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2"/>
  </bookViews>
  <sheets>
    <sheet name="TDSheet" sheetId="1" r:id="rId1"/>
  </sheets>
  <calcPr calcId="144525" refMode="R1C1"/>
</workbook>
</file>

<file path=xl/calcChain.xml><?xml version="1.0" encoding="utf-8"?>
<calcChain xmlns="http://schemas.openxmlformats.org/spreadsheetml/2006/main">
  <c r="U9645" i="1" l="1"/>
  <c r="U9644" i="1"/>
  <c r="U9643" i="1"/>
  <c r="U9642" i="1"/>
  <c r="U9641" i="1"/>
  <c r="U9640" i="1"/>
  <c r="U9639" i="1"/>
  <c r="U9638" i="1"/>
  <c r="U9637" i="1"/>
  <c r="U9636" i="1"/>
  <c r="U9635" i="1"/>
  <c r="U9634" i="1"/>
  <c r="U9633" i="1"/>
  <c r="U9632" i="1"/>
  <c r="U9631" i="1"/>
  <c r="U9630" i="1"/>
  <c r="U9629" i="1"/>
  <c r="U9628" i="1"/>
  <c r="U9627" i="1"/>
  <c r="U9626" i="1"/>
  <c r="U9625" i="1"/>
  <c r="U9624" i="1"/>
  <c r="U9623" i="1"/>
  <c r="U9622" i="1"/>
  <c r="U9621" i="1"/>
  <c r="U9620" i="1"/>
  <c r="U9619" i="1"/>
  <c r="U9618" i="1"/>
  <c r="U9617" i="1"/>
  <c r="U9616" i="1"/>
  <c r="U9615" i="1"/>
  <c r="U9614" i="1"/>
  <c r="U9613" i="1"/>
  <c r="U9612" i="1"/>
  <c r="U9611" i="1"/>
  <c r="U9610" i="1"/>
  <c r="U9609" i="1"/>
  <c r="U9608" i="1"/>
  <c r="U9607" i="1"/>
  <c r="U9606" i="1"/>
  <c r="U9605" i="1"/>
  <c r="U9604" i="1"/>
  <c r="U9603" i="1"/>
  <c r="U9602" i="1"/>
  <c r="U9601" i="1"/>
  <c r="U9600" i="1"/>
  <c r="U9599" i="1"/>
  <c r="U9598" i="1"/>
  <c r="U9597" i="1"/>
  <c r="U9596" i="1"/>
  <c r="U9595" i="1"/>
  <c r="U9594" i="1"/>
  <c r="U9593" i="1"/>
  <c r="U9591" i="1"/>
  <c r="U9590" i="1"/>
  <c r="U9589" i="1"/>
  <c r="U9588" i="1"/>
  <c r="U9587" i="1"/>
  <c r="U9586" i="1"/>
  <c r="U9585" i="1"/>
  <c r="U9584" i="1"/>
  <c r="U9583" i="1"/>
  <c r="U9582" i="1"/>
  <c r="U9581" i="1"/>
  <c r="U9580" i="1"/>
  <c r="U9579" i="1"/>
  <c r="U9578" i="1"/>
  <c r="U9577" i="1"/>
  <c r="U9576" i="1"/>
  <c r="U9575" i="1"/>
  <c r="U9574" i="1"/>
  <c r="U9573" i="1"/>
  <c r="U9572" i="1"/>
  <c r="U9571" i="1"/>
  <c r="U9570" i="1"/>
  <c r="U9569" i="1"/>
  <c r="U9568" i="1"/>
  <c r="U9567" i="1"/>
  <c r="U9566" i="1"/>
  <c r="U9565" i="1"/>
  <c r="U9564" i="1"/>
  <c r="U9563" i="1"/>
  <c r="U9562" i="1"/>
  <c r="U9561" i="1"/>
  <c r="U9560" i="1"/>
  <c r="U9559" i="1"/>
  <c r="U9558" i="1"/>
  <c r="U9557" i="1"/>
  <c r="U9556" i="1"/>
  <c r="U9555" i="1"/>
  <c r="U9554" i="1"/>
  <c r="U9553" i="1"/>
  <c r="U9552" i="1"/>
  <c r="U9551" i="1"/>
  <c r="U9550" i="1"/>
  <c r="U9549" i="1"/>
  <c r="U9548" i="1"/>
  <c r="U9547" i="1"/>
  <c r="U9546" i="1"/>
  <c r="U9545" i="1"/>
  <c r="U9544" i="1"/>
  <c r="U9543" i="1"/>
  <c r="U9542" i="1"/>
  <c r="U9541" i="1"/>
  <c r="U9540" i="1"/>
  <c r="U9539" i="1"/>
  <c r="U9538" i="1"/>
  <c r="U9537" i="1"/>
  <c r="U9536" i="1"/>
  <c r="U9535" i="1"/>
  <c r="U9534" i="1"/>
  <c r="U9533" i="1"/>
  <c r="U9532" i="1"/>
  <c r="U9531" i="1"/>
  <c r="U9530" i="1"/>
  <c r="U9529" i="1"/>
  <c r="U9528" i="1"/>
  <c r="U9527" i="1"/>
  <c r="U9526" i="1"/>
  <c r="U9525" i="1"/>
  <c r="U9524" i="1"/>
  <c r="U9523" i="1"/>
  <c r="U9522" i="1"/>
  <c r="U9521" i="1"/>
  <c r="U9520" i="1"/>
  <c r="U9519" i="1"/>
  <c r="U9518" i="1"/>
  <c r="U9517" i="1"/>
  <c r="U9516" i="1"/>
  <c r="U9515" i="1"/>
  <c r="U9514" i="1"/>
  <c r="U9513" i="1"/>
  <c r="U9512" i="1"/>
  <c r="U9511" i="1"/>
  <c r="U9510" i="1"/>
  <c r="U9509" i="1"/>
  <c r="U9508" i="1"/>
  <c r="U9507" i="1"/>
  <c r="U9506" i="1"/>
  <c r="U9505" i="1"/>
  <c r="U9504" i="1"/>
  <c r="U9503" i="1"/>
  <c r="U9502" i="1"/>
  <c r="U9501" i="1"/>
  <c r="U9500" i="1"/>
  <c r="U9499" i="1"/>
  <c r="U9498" i="1"/>
  <c r="U9497" i="1"/>
  <c r="U9496" i="1"/>
  <c r="U9495" i="1"/>
  <c r="U9494" i="1"/>
  <c r="U9493" i="1"/>
  <c r="U9492" i="1"/>
  <c r="U9491" i="1"/>
  <c r="U9490" i="1"/>
  <c r="U9489" i="1"/>
  <c r="U9488" i="1"/>
  <c r="U9487" i="1"/>
  <c r="U9486" i="1"/>
  <c r="U9485" i="1"/>
  <c r="U9484" i="1"/>
  <c r="U9483" i="1"/>
  <c r="U9482" i="1"/>
  <c r="U9481" i="1"/>
  <c r="U9480" i="1"/>
  <c r="U9479" i="1"/>
  <c r="U9478" i="1"/>
  <c r="U9477" i="1"/>
  <c r="U9476" i="1"/>
  <c r="U9475" i="1"/>
  <c r="U9474" i="1"/>
  <c r="U9473" i="1"/>
  <c r="U9472" i="1"/>
  <c r="U9471" i="1"/>
  <c r="U9470" i="1"/>
  <c r="U9469" i="1"/>
  <c r="U9468" i="1"/>
  <c r="U9467" i="1"/>
  <c r="U9466" i="1"/>
  <c r="U9465" i="1"/>
  <c r="U9464" i="1"/>
  <c r="U9463" i="1"/>
  <c r="U9462" i="1"/>
  <c r="U9461" i="1"/>
  <c r="U9460" i="1"/>
  <c r="U9459" i="1"/>
  <c r="U9458" i="1"/>
  <c r="U9457" i="1"/>
  <c r="U9456" i="1"/>
  <c r="U9455" i="1"/>
  <c r="U9454" i="1"/>
  <c r="U9453" i="1"/>
  <c r="U9452" i="1"/>
  <c r="U9451" i="1"/>
  <c r="U9450" i="1"/>
  <c r="U9449" i="1"/>
  <c r="U9448" i="1"/>
  <c r="U9447" i="1"/>
  <c r="U9446" i="1"/>
  <c r="U9445" i="1"/>
  <c r="U9444" i="1"/>
  <c r="U9443" i="1"/>
  <c r="U9442" i="1"/>
  <c r="U9441" i="1"/>
  <c r="U9440" i="1"/>
  <c r="U9439" i="1"/>
  <c r="U9438" i="1"/>
  <c r="U9437" i="1"/>
  <c r="U9436" i="1"/>
  <c r="U9435" i="1"/>
  <c r="U9434" i="1"/>
  <c r="U9433" i="1"/>
  <c r="U9432" i="1"/>
  <c r="U9431" i="1"/>
  <c r="U9430" i="1"/>
  <c r="U9429" i="1"/>
  <c r="U9428" i="1"/>
  <c r="U9427" i="1"/>
  <c r="U9426" i="1"/>
  <c r="U9425" i="1"/>
  <c r="U9424" i="1"/>
  <c r="U9423" i="1"/>
  <c r="U9422" i="1"/>
  <c r="U9421" i="1"/>
  <c r="U9420" i="1"/>
  <c r="U9419" i="1"/>
  <c r="U9418" i="1"/>
  <c r="U9417" i="1"/>
  <c r="U9416" i="1"/>
  <c r="U9415" i="1"/>
  <c r="U9414" i="1"/>
  <c r="U9413" i="1"/>
  <c r="U9412" i="1"/>
  <c r="U9411" i="1"/>
  <c r="U9410" i="1"/>
  <c r="U9409" i="1"/>
  <c r="U9408" i="1"/>
  <c r="U9407" i="1"/>
  <c r="U9406" i="1"/>
  <c r="U9405" i="1"/>
  <c r="U9404" i="1"/>
  <c r="U9403" i="1"/>
  <c r="U9402" i="1"/>
  <c r="U9401" i="1"/>
  <c r="U9400" i="1"/>
  <c r="U9399" i="1"/>
  <c r="U9398" i="1"/>
  <c r="U9397" i="1"/>
  <c r="U9396" i="1"/>
  <c r="U9395" i="1"/>
  <c r="U9394" i="1"/>
  <c r="U9393" i="1"/>
  <c r="U9392" i="1"/>
  <c r="U9391" i="1"/>
  <c r="U9390" i="1"/>
  <c r="U9389" i="1"/>
  <c r="U9388" i="1"/>
  <c r="U9387" i="1"/>
  <c r="U9386" i="1"/>
  <c r="U9385" i="1"/>
  <c r="U9384" i="1"/>
  <c r="U9383" i="1"/>
  <c r="U9382" i="1"/>
  <c r="U9381" i="1"/>
  <c r="U9380" i="1"/>
  <c r="U9379" i="1"/>
  <c r="U9378" i="1"/>
  <c r="U9377" i="1"/>
  <c r="U9376" i="1"/>
  <c r="U9375" i="1"/>
  <c r="U9374" i="1"/>
  <c r="U9373" i="1"/>
  <c r="U9372" i="1"/>
  <c r="U9371" i="1"/>
  <c r="U9370" i="1"/>
  <c r="U9369" i="1"/>
  <c r="U9368" i="1"/>
  <c r="U9367" i="1"/>
  <c r="U9366" i="1"/>
  <c r="U9365" i="1"/>
  <c r="U9364" i="1"/>
  <c r="U9363" i="1"/>
  <c r="U9362" i="1"/>
  <c r="U9361" i="1"/>
  <c r="U9360" i="1"/>
  <c r="U9359" i="1"/>
  <c r="U9358" i="1"/>
  <c r="U9357" i="1"/>
  <c r="U9356" i="1"/>
  <c r="U9355" i="1"/>
  <c r="U9354" i="1"/>
  <c r="U9353" i="1"/>
  <c r="U9352" i="1"/>
  <c r="U9351" i="1"/>
  <c r="U9350" i="1"/>
  <c r="U9349" i="1"/>
  <c r="U9348" i="1"/>
  <c r="U9347" i="1"/>
  <c r="U9346" i="1"/>
  <c r="U9345" i="1"/>
  <c r="U9344" i="1"/>
  <c r="U9343" i="1"/>
  <c r="U9342" i="1"/>
  <c r="U9341" i="1"/>
  <c r="U9340" i="1"/>
  <c r="U9339" i="1"/>
  <c r="U9338" i="1"/>
  <c r="U9337" i="1"/>
  <c r="U9336" i="1"/>
  <c r="U9335" i="1"/>
  <c r="U9334" i="1"/>
  <c r="U9333" i="1"/>
  <c r="U9332" i="1"/>
  <c r="U9331" i="1"/>
  <c r="U9330" i="1"/>
  <c r="U9329" i="1"/>
  <c r="U9327" i="1"/>
  <c r="U9326" i="1"/>
  <c r="U9325" i="1"/>
  <c r="U9324" i="1"/>
  <c r="U9323" i="1"/>
  <c r="U9322" i="1"/>
  <c r="U9321" i="1"/>
  <c r="U9320" i="1"/>
  <c r="U9319" i="1"/>
  <c r="U9318" i="1"/>
  <c r="U9317" i="1"/>
  <c r="U9316" i="1"/>
  <c r="U9315" i="1"/>
  <c r="U9314" i="1"/>
  <c r="U9313" i="1"/>
  <c r="U9312" i="1"/>
  <c r="U9311" i="1"/>
  <c r="U9310" i="1"/>
  <c r="U9309" i="1"/>
  <c r="U9308" i="1"/>
  <c r="U9307" i="1"/>
  <c r="U9306" i="1"/>
  <c r="U9305" i="1"/>
  <c r="U9304" i="1"/>
  <c r="U9303" i="1"/>
  <c r="U9302" i="1"/>
  <c r="U9301" i="1"/>
  <c r="U9300" i="1"/>
  <c r="U9299" i="1"/>
  <c r="U9298" i="1"/>
  <c r="U9297" i="1"/>
  <c r="U9296" i="1"/>
  <c r="U9295" i="1"/>
  <c r="U9294" i="1"/>
  <c r="U9293" i="1"/>
  <c r="U9292" i="1"/>
  <c r="U9291" i="1"/>
  <c r="U9290" i="1"/>
  <c r="U9289" i="1"/>
  <c r="U9288" i="1"/>
  <c r="U9287" i="1"/>
  <c r="U9286" i="1"/>
  <c r="U9285" i="1"/>
  <c r="U9284" i="1"/>
  <c r="U9283" i="1"/>
  <c r="U9282" i="1"/>
  <c r="U9281" i="1"/>
  <c r="U9280" i="1"/>
  <c r="U9279" i="1"/>
  <c r="U9278" i="1"/>
  <c r="U9277" i="1"/>
  <c r="U9276" i="1"/>
  <c r="U9275" i="1"/>
  <c r="U9274" i="1"/>
  <c r="U9273" i="1"/>
  <c r="U9272" i="1"/>
  <c r="U9271" i="1"/>
  <c r="U9270" i="1"/>
  <c r="U9269" i="1"/>
  <c r="U9268" i="1"/>
  <c r="U9267" i="1"/>
  <c r="U9266" i="1"/>
  <c r="U9265" i="1"/>
  <c r="U9264" i="1"/>
  <c r="U9263" i="1"/>
  <c r="U9262" i="1"/>
  <c r="U9261" i="1"/>
  <c r="U9260" i="1"/>
  <c r="U9259" i="1"/>
  <c r="U9258" i="1"/>
  <c r="U9257" i="1"/>
  <c r="U9256" i="1"/>
  <c r="U9255" i="1"/>
  <c r="U9254" i="1"/>
  <c r="U9253" i="1"/>
  <c r="U9252" i="1"/>
  <c r="U9251" i="1"/>
  <c r="U9250" i="1"/>
  <c r="U9249" i="1"/>
  <c r="U9248" i="1"/>
  <c r="U9247" i="1"/>
  <c r="U9246" i="1"/>
  <c r="U9245" i="1"/>
  <c r="U9244" i="1"/>
  <c r="U9243" i="1"/>
  <c r="U9242" i="1"/>
  <c r="U9241" i="1"/>
  <c r="U9240" i="1"/>
  <c r="U9239" i="1"/>
  <c r="U9238" i="1"/>
  <c r="U9237" i="1"/>
  <c r="U9236" i="1"/>
  <c r="U9235" i="1"/>
  <c r="U9234" i="1"/>
  <c r="U9233" i="1"/>
  <c r="U9232" i="1"/>
  <c r="U9231" i="1"/>
  <c r="U9230" i="1"/>
  <c r="U9229" i="1"/>
  <c r="U9228" i="1"/>
  <c r="U9227" i="1"/>
  <c r="U9226" i="1"/>
  <c r="U9225" i="1"/>
  <c r="U9224" i="1"/>
  <c r="U9223" i="1"/>
  <c r="U9222" i="1"/>
  <c r="U9221" i="1"/>
  <c r="U9220" i="1"/>
  <c r="U9219" i="1"/>
  <c r="U9218" i="1"/>
  <c r="U9217" i="1"/>
  <c r="U9216" i="1"/>
  <c r="U9215" i="1"/>
  <c r="U9214" i="1"/>
  <c r="U9213" i="1"/>
  <c r="U9212" i="1"/>
  <c r="U9211" i="1"/>
  <c r="U9210" i="1"/>
  <c r="U9209" i="1"/>
  <c r="U9208" i="1"/>
  <c r="U9207" i="1"/>
  <c r="U9206" i="1"/>
  <c r="U9205" i="1"/>
  <c r="U9204" i="1"/>
  <c r="U9203" i="1"/>
  <c r="U9202" i="1"/>
  <c r="U9201" i="1"/>
  <c r="U9200" i="1"/>
  <c r="U9199" i="1"/>
  <c r="U9198" i="1"/>
  <c r="U9197" i="1"/>
  <c r="U9196" i="1"/>
  <c r="U9195" i="1"/>
  <c r="U9194" i="1"/>
  <c r="U9193" i="1"/>
  <c r="U9192" i="1"/>
  <c r="U9191" i="1"/>
  <c r="U9190" i="1"/>
  <c r="U9189" i="1"/>
  <c r="U9188" i="1"/>
  <c r="U9187" i="1"/>
  <c r="U9186" i="1"/>
  <c r="U9185" i="1"/>
  <c r="U9184" i="1"/>
  <c r="U9183" i="1"/>
  <c r="U9182" i="1"/>
  <c r="U9181" i="1"/>
  <c r="U9180" i="1"/>
  <c r="U9179" i="1"/>
  <c r="U9178" i="1"/>
  <c r="U9177" i="1"/>
  <c r="U9176" i="1"/>
  <c r="U9175" i="1"/>
  <c r="U9174" i="1"/>
  <c r="U9173" i="1"/>
  <c r="U9172" i="1"/>
  <c r="U9171" i="1"/>
  <c r="U9170" i="1"/>
  <c r="U9169" i="1"/>
  <c r="U9168" i="1"/>
  <c r="U9167" i="1"/>
  <c r="U9166" i="1"/>
  <c r="U9165" i="1"/>
  <c r="U9164" i="1"/>
  <c r="U9163" i="1"/>
  <c r="U9162" i="1"/>
  <c r="U9161" i="1"/>
  <c r="U9160" i="1"/>
  <c r="U9159" i="1"/>
  <c r="U9158" i="1"/>
  <c r="U9157" i="1"/>
  <c r="U9156" i="1"/>
  <c r="U9155" i="1"/>
  <c r="U9154" i="1"/>
  <c r="U9153" i="1"/>
  <c r="U9152" i="1"/>
  <c r="U9151" i="1"/>
  <c r="U9150" i="1"/>
  <c r="U9149" i="1"/>
  <c r="U9148" i="1"/>
  <c r="U9147" i="1"/>
  <c r="U9146" i="1"/>
  <c r="U9145" i="1"/>
  <c r="U9144" i="1"/>
  <c r="U9143" i="1"/>
  <c r="U9142" i="1"/>
  <c r="U9141" i="1"/>
  <c r="U9140" i="1"/>
  <c r="U9139" i="1"/>
  <c r="U9138" i="1"/>
  <c r="U9137" i="1"/>
  <c r="U9136" i="1"/>
  <c r="U9135" i="1"/>
  <c r="U9133" i="1"/>
  <c r="U9132" i="1"/>
  <c r="U9131" i="1"/>
  <c r="U9130" i="1"/>
  <c r="U9129" i="1"/>
  <c r="U9128" i="1"/>
  <c r="U9127" i="1"/>
  <c r="U9126" i="1"/>
  <c r="U9125" i="1"/>
  <c r="U9124" i="1"/>
  <c r="U9123" i="1"/>
  <c r="U9122" i="1"/>
  <c r="U9121" i="1"/>
  <c r="U9120" i="1"/>
  <c r="U9119" i="1"/>
  <c r="U9118" i="1"/>
  <c r="U9117" i="1"/>
  <c r="U9116" i="1"/>
  <c r="U9115" i="1"/>
  <c r="U9114" i="1"/>
  <c r="U9113" i="1"/>
  <c r="U9112" i="1"/>
  <c r="U9111" i="1"/>
  <c r="U9110" i="1"/>
  <c r="U9109" i="1"/>
  <c r="U9108" i="1"/>
  <c r="U9107" i="1"/>
  <c r="U9106" i="1"/>
  <c r="U9105" i="1"/>
  <c r="U9104" i="1"/>
  <c r="U9103" i="1"/>
  <c r="U9102" i="1"/>
  <c r="U9101" i="1"/>
  <c r="U9100" i="1"/>
  <c r="U9099" i="1"/>
  <c r="U9098" i="1"/>
  <c r="U9097" i="1"/>
  <c r="U9096" i="1"/>
  <c r="U9095" i="1"/>
  <c r="U9094" i="1"/>
  <c r="U9093" i="1"/>
  <c r="U9092" i="1"/>
  <c r="U9091" i="1"/>
  <c r="U9090" i="1"/>
  <c r="U9089" i="1"/>
  <c r="U9088" i="1"/>
  <c r="U9087" i="1"/>
  <c r="U9086" i="1"/>
  <c r="U9085" i="1"/>
  <c r="U9084" i="1"/>
  <c r="U9083" i="1"/>
  <c r="U9082" i="1"/>
  <c r="U9081" i="1"/>
  <c r="U9080" i="1"/>
  <c r="U9079" i="1"/>
  <c r="U9078" i="1"/>
  <c r="U9077" i="1"/>
  <c r="U9076" i="1"/>
  <c r="U9075" i="1"/>
  <c r="U9074" i="1"/>
  <c r="U9073" i="1"/>
  <c r="U9072" i="1"/>
  <c r="U9071" i="1"/>
  <c r="U9070" i="1"/>
  <c r="U9069" i="1"/>
  <c r="U9068" i="1"/>
  <c r="U9067" i="1"/>
  <c r="U9066" i="1"/>
  <c r="U9065" i="1"/>
  <c r="U9064" i="1"/>
  <c r="U9063" i="1"/>
  <c r="U9062" i="1"/>
  <c r="U9061" i="1"/>
  <c r="U9060" i="1"/>
  <c r="U9059" i="1"/>
  <c r="U9058" i="1"/>
  <c r="U9057" i="1"/>
  <c r="U9056" i="1"/>
  <c r="U9055" i="1"/>
  <c r="U9054" i="1"/>
  <c r="U9053" i="1"/>
  <c r="U9052" i="1"/>
  <c r="U9051" i="1"/>
  <c r="U9050" i="1"/>
  <c r="U9049" i="1"/>
  <c r="U9048" i="1"/>
  <c r="U9047" i="1"/>
  <c r="U9046" i="1"/>
  <c r="U9045" i="1"/>
  <c r="U9044" i="1"/>
  <c r="U9043" i="1"/>
  <c r="U9042" i="1"/>
  <c r="U9041" i="1"/>
  <c r="U9040" i="1"/>
  <c r="U9039" i="1"/>
  <c r="U9038" i="1"/>
  <c r="U9037" i="1"/>
  <c r="U9036" i="1"/>
  <c r="U9035" i="1"/>
  <c r="U9034" i="1"/>
  <c r="U9033" i="1"/>
  <c r="U9032" i="1"/>
  <c r="U9031" i="1"/>
  <c r="U9030" i="1"/>
  <c r="U9029" i="1"/>
  <c r="U9028" i="1"/>
  <c r="U9027" i="1"/>
  <c r="U9026" i="1"/>
  <c r="U9025" i="1"/>
  <c r="U9024" i="1"/>
  <c r="U9023" i="1"/>
  <c r="U9022" i="1"/>
  <c r="U9021" i="1"/>
  <c r="U9020" i="1"/>
  <c r="U9019" i="1"/>
  <c r="U9018" i="1"/>
  <c r="U9017" i="1"/>
  <c r="U9016" i="1"/>
  <c r="U9015" i="1"/>
  <c r="U9014" i="1"/>
  <c r="U9013" i="1"/>
  <c r="U9012" i="1"/>
  <c r="U9011" i="1"/>
  <c r="U9010" i="1"/>
  <c r="U9009" i="1"/>
  <c r="U9008" i="1"/>
  <c r="U9007" i="1"/>
  <c r="U9006" i="1"/>
  <c r="U9005" i="1"/>
  <c r="U9004" i="1"/>
  <c r="U9003" i="1"/>
  <c r="U9002" i="1"/>
  <c r="U9001" i="1"/>
  <c r="U9000" i="1"/>
  <c r="U8999" i="1"/>
  <c r="U8998" i="1"/>
  <c r="U8997" i="1"/>
  <c r="U8996" i="1"/>
  <c r="U8995" i="1"/>
  <c r="U8994" i="1"/>
  <c r="U8993" i="1"/>
  <c r="U8992" i="1"/>
  <c r="U8991" i="1"/>
  <c r="U8990" i="1"/>
  <c r="U8989" i="1"/>
  <c r="U8988" i="1"/>
  <c r="U8987" i="1"/>
  <c r="U8986" i="1"/>
  <c r="U8985" i="1"/>
  <c r="U8984" i="1"/>
  <c r="U8983" i="1"/>
  <c r="U8982" i="1"/>
  <c r="U8981" i="1"/>
  <c r="U8980" i="1"/>
  <c r="U8979" i="1"/>
  <c r="U8978" i="1"/>
  <c r="U8977" i="1"/>
  <c r="U8976" i="1"/>
  <c r="U8975" i="1"/>
  <c r="U8974" i="1"/>
  <c r="U8973" i="1"/>
  <c r="U8972" i="1"/>
  <c r="U8971" i="1"/>
  <c r="U8970" i="1"/>
  <c r="U8969" i="1"/>
  <c r="U8968" i="1"/>
  <c r="U8967" i="1"/>
  <c r="U8966" i="1"/>
  <c r="U8965" i="1"/>
  <c r="U8964" i="1"/>
  <c r="U8963" i="1"/>
  <c r="U8962" i="1"/>
  <c r="U8961" i="1"/>
  <c r="U8960" i="1"/>
  <c r="U8959" i="1"/>
  <c r="U8958" i="1"/>
  <c r="U8957" i="1"/>
  <c r="U8956" i="1"/>
  <c r="U8955" i="1"/>
  <c r="U8954" i="1"/>
  <c r="U8953" i="1"/>
  <c r="U8952" i="1"/>
  <c r="U8951" i="1"/>
  <c r="U8950" i="1"/>
  <c r="U8949" i="1"/>
  <c r="U8948" i="1"/>
  <c r="U8947" i="1"/>
  <c r="U8946" i="1"/>
  <c r="U8945" i="1"/>
  <c r="U8944" i="1"/>
  <c r="U8943" i="1"/>
  <c r="U8942" i="1"/>
  <c r="U8941" i="1"/>
  <c r="U8940" i="1"/>
  <c r="U8939" i="1"/>
  <c r="U8938" i="1"/>
  <c r="U8937" i="1"/>
  <c r="U8936" i="1"/>
  <c r="U8935" i="1"/>
  <c r="U8934" i="1"/>
  <c r="U8933" i="1"/>
  <c r="U8932" i="1"/>
  <c r="U8931" i="1"/>
  <c r="U8930" i="1"/>
  <c r="U8929" i="1"/>
  <c r="U8928" i="1"/>
  <c r="U8927" i="1"/>
  <c r="U8926" i="1"/>
  <c r="U8925" i="1"/>
  <c r="U8924" i="1"/>
  <c r="U8923" i="1"/>
  <c r="U8922" i="1"/>
  <c r="U8921" i="1"/>
  <c r="U8920" i="1"/>
  <c r="U8919" i="1"/>
  <c r="U8918" i="1"/>
  <c r="U8917" i="1"/>
  <c r="U8916" i="1"/>
  <c r="U8915" i="1"/>
  <c r="U8914" i="1"/>
  <c r="U8913" i="1"/>
  <c r="U8912" i="1"/>
  <c r="U8911" i="1"/>
  <c r="U8910" i="1"/>
  <c r="U8909" i="1"/>
  <c r="U8908" i="1"/>
  <c r="U8907" i="1"/>
  <c r="U8906" i="1"/>
  <c r="U8905" i="1"/>
  <c r="U8904" i="1"/>
  <c r="U8903" i="1"/>
  <c r="U8902" i="1"/>
  <c r="U8901" i="1"/>
  <c r="U8900" i="1"/>
  <c r="U8899" i="1"/>
  <c r="U8898" i="1"/>
  <c r="U8897" i="1"/>
  <c r="U8896" i="1"/>
  <c r="U8895" i="1"/>
  <c r="U8894" i="1"/>
  <c r="U8893" i="1"/>
  <c r="U8892" i="1"/>
  <c r="U8891" i="1"/>
  <c r="U8890" i="1"/>
  <c r="U8889" i="1"/>
  <c r="U8888" i="1"/>
  <c r="U8887" i="1"/>
  <c r="U8886" i="1"/>
  <c r="U8885" i="1"/>
  <c r="U8884" i="1"/>
  <c r="U8883" i="1"/>
  <c r="U8882" i="1"/>
  <c r="U8881" i="1"/>
  <c r="U8880" i="1"/>
  <c r="U8879" i="1"/>
  <c r="U8878" i="1"/>
  <c r="U8877" i="1"/>
  <c r="U8876" i="1"/>
  <c r="U8875" i="1"/>
  <c r="U8874" i="1"/>
  <c r="U8873" i="1"/>
  <c r="U8872" i="1"/>
  <c r="U8871" i="1"/>
  <c r="U8870" i="1"/>
  <c r="U8869" i="1"/>
  <c r="U8868" i="1"/>
  <c r="U8867" i="1"/>
  <c r="U8866" i="1"/>
  <c r="U8865" i="1"/>
  <c r="U8864" i="1"/>
  <c r="U8863" i="1"/>
  <c r="U8862" i="1"/>
  <c r="U8861" i="1"/>
  <c r="U8860" i="1"/>
  <c r="U8859" i="1"/>
  <c r="U8858" i="1"/>
  <c r="U8857" i="1"/>
  <c r="U8856" i="1"/>
  <c r="U8855" i="1"/>
  <c r="U8854" i="1"/>
  <c r="U8853" i="1"/>
  <c r="U8852" i="1"/>
  <c r="U8851" i="1"/>
  <c r="U8850" i="1"/>
  <c r="U8849" i="1"/>
  <c r="U8848" i="1"/>
  <c r="U8847" i="1"/>
  <c r="U8846" i="1"/>
  <c r="U8845" i="1"/>
  <c r="U8844" i="1"/>
  <c r="U8843" i="1"/>
  <c r="U8842" i="1"/>
  <c r="U8841" i="1"/>
  <c r="U8840" i="1"/>
  <c r="U8839" i="1"/>
  <c r="U8838" i="1"/>
  <c r="U8837" i="1"/>
  <c r="U8836" i="1"/>
  <c r="U8835" i="1"/>
  <c r="U8834" i="1"/>
  <c r="U8833" i="1"/>
  <c r="U8832" i="1"/>
  <c r="U8831" i="1"/>
  <c r="U8830" i="1"/>
  <c r="U8829" i="1"/>
  <c r="U8828" i="1"/>
  <c r="U8827" i="1"/>
  <c r="U8826" i="1"/>
  <c r="U8825" i="1"/>
  <c r="U8824" i="1"/>
  <c r="U8823" i="1"/>
  <c r="U8822" i="1"/>
  <c r="U8821" i="1"/>
  <c r="U8820" i="1"/>
  <c r="U8819" i="1"/>
  <c r="U8818" i="1"/>
  <c r="U8817" i="1"/>
  <c r="U8816" i="1"/>
  <c r="U8815" i="1"/>
  <c r="U8814" i="1"/>
  <c r="U8813" i="1"/>
  <c r="U8812" i="1"/>
  <c r="U8811" i="1"/>
  <c r="U8810" i="1"/>
  <c r="U8809" i="1"/>
  <c r="U8808" i="1"/>
  <c r="U8807" i="1"/>
  <c r="U8806" i="1"/>
  <c r="U8805" i="1"/>
  <c r="U8804" i="1"/>
  <c r="U8803" i="1"/>
  <c r="U8802" i="1"/>
  <c r="U8801" i="1"/>
  <c r="U8800" i="1"/>
  <c r="U8799" i="1"/>
  <c r="U8798" i="1"/>
  <c r="U8797" i="1"/>
  <c r="U8796" i="1"/>
  <c r="U8795" i="1"/>
  <c r="U8794" i="1"/>
  <c r="U8793" i="1"/>
  <c r="U8791" i="1"/>
  <c r="U8790" i="1"/>
  <c r="U8789" i="1"/>
  <c r="U8788" i="1"/>
  <c r="U8787" i="1"/>
  <c r="U8786" i="1"/>
  <c r="U8785" i="1"/>
  <c r="U8784" i="1"/>
  <c r="U8783" i="1"/>
  <c r="U8782" i="1"/>
  <c r="U8781" i="1"/>
  <c r="U8780" i="1"/>
  <c r="U8779" i="1"/>
  <c r="U8778" i="1"/>
  <c r="U8777" i="1"/>
  <c r="U8776" i="1"/>
  <c r="U8775" i="1"/>
  <c r="U8774" i="1"/>
  <c r="U8773" i="1"/>
  <c r="U8772" i="1"/>
  <c r="U8771" i="1"/>
  <c r="U8770" i="1"/>
  <c r="U8769" i="1"/>
  <c r="U8768" i="1"/>
  <c r="U8767" i="1"/>
  <c r="U8766" i="1"/>
  <c r="U8765" i="1"/>
  <c r="U8764" i="1"/>
  <c r="U8763" i="1"/>
  <c r="U8762" i="1"/>
  <c r="U8761" i="1"/>
  <c r="U8760" i="1"/>
  <c r="U8759" i="1"/>
  <c r="U8758" i="1"/>
  <c r="U8757" i="1"/>
  <c r="U8756" i="1"/>
  <c r="U8755" i="1"/>
  <c r="U8754" i="1"/>
  <c r="U8753" i="1"/>
  <c r="U8752" i="1"/>
  <c r="U8751" i="1"/>
  <c r="U8750" i="1"/>
  <c r="U8749" i="1"/>
  <c r="U8748" i="1"/>
  <c r="U8747" i="1"/>
  <c r="U8746" i="1"/>
  <c r="U8745" i="1"/>
  <c r="U8744" i="1"/>
  <c r="U8743" i="1"/>
  <c r="U8742" i="1"/>
  <c r="U8741" i="1"/>
  <c r="U8740" i="1"/>
  <c r="U8739" i="1"/>
  <c r="U8738" i="1"/>
  <c r="U8737" i="1"/>
  <c r="U8736" i="1"/>
  <c r="U8735" i="1"/>
  <c r="U8734" i="1"/>
  <c r="U8733" i="1"/>
  <c r="U8732" i="1"/>
  <c r="U8731" i="1"/>
  <c r="U8730" i="1"/>
  <c r="U8729" i="1"/>
  <c r="U8728" i="1"/>
  <c r="U8727" i="1"/>
  <c r="U8726" i="1"/>
  <c r="U8725" i="1"/>
  <c r="U8724" i="1"/>
  <c r="U8723" i="1"/>
  <c r="U8722" i="1"/>
  <c r="U8721" i="1"/>
  <c r="U8720" i="1"/>
  <c r="U8719" i="1"/>
  <c r="U8718" i="1"/>
  <c r="U8717" i="1"/>
  <c r="U8716" i="1"/>
  <c r="U8715" i="1"/>
  <c r="U8714" i="1"/>
  <c r="U8713" i="1"/>
  <c r="U8712" i="1"/>
  <c r="U8711" i="1"/>
  <c r="U8710" i="1"/>
  <c r="U8709" i="1"/>
  <c r="U8708" i="1"/>
  <c r="U8707" i="1"/>
  <c r="U8706" i="1"/>
  <c r="U8705" i="1"/>
  <c r="U8704" i="1"/>
  <c r="U8703" i="1"/>
  <c r="U8702" i="1"/>
  <c r="U8701" i="1"/>
  <c r="U8700" i="1"/>
  <c r="U8699" i="1"/>
  <c r="U8698" i="1"/>
  <c r="U8697" i="1"/>
  <c r="U8696" i="1"/>
  <c r="U8695" i="1"/>
  <c r="U8694" i="1"/>
  <c r="U8693" i="1"/>
  <c r="U8692" i="1"/>
  <c r="U8691" i="1"/>
  <c r="U8690" i="1"/>
  <c r="U8689" i="1"/>
  <c r="U8688" i="1"/>
  <c r="U8687" i="1"/>
  <c r="U8686" i="1"/>
  <c r="U8685" i="1"/>
  <c r="U8684" i="1"/>
  <c r="U8683" i="1"/>
  <c r="U8682" i="1"/>
  <c r="U8681" i="1"/>
  <c r="U8680" i="1"/>
  <c r="U8679" i="1"/>
  <c r="U8678" i="1"/>
  <c r="U8677" i="1"/>
  <c r="U8676" i="1"/>
  <c r="U8675" i="1"/>
  <c r="U8674" i="1"/>
  <c r="U8673" i="1"/>
  <c r="U8672" i="1"/>
  <c r="U8671" i="1"/>
  <c r="U8670" i="1"/>
  <c r="U8669" i="1"/>
  <c r="U8668" i="1"/>
  <c r="U8667" i="1"/>
  <c r="U8666" i="1"/>
  <c r="U8665" i="1"/>
  <c r="U8664" i="1"/>
  <c r="U8663" i="1"/>
  <c r="U8662" i="1"/>
  <c r="U8661" i="1"/>
  <c r="U8660" i="1"/>
  <c r="U8659" i="1"/>
  <c r="U8658" i="1"/>
  <c r="U8657" i="1"/>
  <c r="U8656" i="1"/>
  <c r="U8655" i="1"/>
  <c r="U8654" i="1"/>
  <c r="U8653" i="1"/>
  <c r="U8652" i="1"/>
  <c r="U8651" i="1"/>
  <c r="U8650" i="1"/>
  <c r="U8649" i="1"/>
  <c r="U8648" i="1"/>
  <c r="U8647" i="1"/>
  <c r="U8646" i="1"/>
  <c r="U8645" i="1"/>
  <c r="U8644" i="1"/>
  <c r="U8643" i="1"/>
  <c r="U8642" i="1"/>
  <c r="U8641" i="1"/>
  <c r="U8640" i="1"/>
  <c r="U8639" i="1"/>
  <c r="U8638" i="1"/>
  <c r="U8637" i="1"/>
  <c r="U8636" i="1"/>
  <c r="U8635" i="1"/>
  <c r="U8634" i="1"/>
  <c r="U8633" i="1"/>
  <c r="U8632" i="1"/>
  <c r="U8631" i="1"/>
  <c r="U8630" i="1"/>
  <c r="U8629" i="1"/>
  <c r="U8628" i="1"/>
  <c r="U8627" i="1"/>
  <c r="U8626" i="1"/>
  <c r="U8625" i="1"/>
  <c r="U8624" i="1"/>
  <c r="U8623" i="1"/>
  <c r="U8622" i="1"/>
  <c r="U8621" i="1"/>
  <c r="U8620" i="1"/>
  <c r="U8619" i="1"/>
  <c r="U8618" i="1"/>
  <c r="U8617" i="1"/>
  <c r="U8616" i="1"/>
  <c r="U8615" i="1"/>
  <c r="U8614" i="1"/>
  <c r="U8613" i="1"/>
  <c r="U8612" i="1"/>
  <c r="U8611" i="1"/>
  <c r="U8610" i="1"/>
  <c r="U8609" i="1"/>
  <c r="U8608" i="1"/>
  <c r="U8607" i="1"/>
  <c r="U8606" i="1"/>
  <c r="U8605" i="1"/>
  <c r="U8604" i="1"/>
  <c r="U8603" i="1"/>
  <c r="U8602" i="1"/>
  <c r="U8601" i="1"/>
  <c r="U8600" i="1"/>
  <c r="U8599" i="1"/>
  <c r="U8598" i="1"/>
  <c r="U8597" i="1"/>
  <c r="U8596" i="1"/>
  <c r="U8595" i="1"/>
  <c r="U8594" i="1"/>
  <c r="U8593" i="1"/>
  <c r="U8592" i="1"/>
  <c r="U8591" i="1"/>
  <c r="U8590" i="1"/>
  <c r="U8589" i="1"/>
  <c r="U8588" i="1"/>
  <c r="U8587" i="1"/>
  <c r="U8586" i="1"/>
  <c r="U8585" i="1"/>
  <c r="U8584" i="1"/>
  <c r="U8583" i="1"/>
  <c r="U8582" i="1"/>
  <c r="U8581" i="1"/>
  <c r="U8580" i="1"/>
  <c r="U8579" i="1"/>
  <c r="U8578" i="1"/>
  <c r="U8577" i="1"/>
  <c r="U8576" i="1"/>
  <c r="U8575" i="1"/>
  <c r="U8574" i="1"/>
  <c r="U8573" i="1"/>
  <c r="U8572" i="1"/>
  <c r="U8571" i="1"/>
  <c r="U8570" i="1"/>
  <c r="U8569" i="1"/>
  <c r="U8568" i="1"/>
  <c r="U8567" i="1"/>
  <c r="U8566" i="1"/>
  <c r="U8565" i="1"/>
  <c r="U8564" i="1"/>
  <c r="U8563" i="1"/>
  <c r="U8562" i="1"/>
  <c r="U8561" i="1"/>
  <c r="U8560" i="1"/>
  <c r="U8559" i="1"/>
  <c r="U8558" i="1"/>
  <c r="U8557" i="1"/>
  <c r="U8556" i="1"/>
  <c r="U8555" i="1"/>
  <c r="U8554" i="1"/>
  <c r="U8553" i="1"/>
  <c r="U8552" i="1"/>
  <c r="U8551" i="1"/>
  <c r="U8550" i="1"/>
  <c r="U8549" i="1"/>
  <c r="U8548" i="1"/>
  <c r="U8547" i="1"/>
  <c r="U8546" i="1"/>
  <c r="U8545" i="1"/>
  <c r="U8544" i="1"/>
  <c r="U8543" i="1"/>
  <c r="U8542" i="1"/>
  <c r="U8541" i="1"/>
  <c r="U8540" i="1"/>
  <c r="U8539" i="1"/>
  <c r="U8538" i="1"/>
  <c r="U8537" i="1"/>
  <c r="U8536" i="1"/>
  <c r="U8535" i="1"/>
  <c r="U8534" i="1"/>
  <c r="U8533" i="1"/>
  <c r="U8532" i="1"/>
  <c r="U8531" i="1"/>
  <c r="U8530" i="1"/>
  <c r="U8529" i="1"/>
  <c r="U8528" i="1"/>
  <c r="U8527" i="1"/>
  <c r="U8526" i="1"/>
  <c r="U8525" i="1"/>
  <c r="U8524" i="1"/>
  <c r="U8523" i="1"/>
  <c r="U8522" i="1"/>
  <c r="U8521" i="1"/>
  <c r="U8520" i="1"/>
  <c r="U8519" i="1"/>
  <c r="U8518" i="1"/>
  <c r="U8517" i="1"/>
  <c r="U8516" i="1"/>
  <c r="U8515" i="1"/>
  <c r="U8514" i="1"/>
  <c r="U8513" i="1"/>
  <c r="U8512" i="1"/>
  <c r="U8511" i="1"/>
  <c r="U8510" i="1"/>
  <c r="U8509" i="1"/>
  <c r="U8508" i="1"/>
  <c r="U8507" i="1"/>
  <c r="U8506" i="1"/>
  <c r="U8505" i="1"/>
  <c r="U8504" i="1"/>
  <c r="U8503" i="1"/>
  <c r="U8502" i="1"/>
  <c r="U8501" i="1"/>
  <c r="U8500" i="1"/>
  <c r="U8499" i="1"/>
  <c r="U8498" i="1"/>
  <c r="U8497" i="1"/>
  <c r="U8496" i="1"/>
  <c r="U8495" i="1"/>
  <c r="U8494" i="1"/>
  <c r="U8493" i="1"/>
  <c r="U8492" i="1"/>
  <c r="U8491" i="1"/>
  <c r="U8490" i="1"/>
  <c r="U8489" i="1"/>
  <c r="U8488" i="1"/>
  <c r="U8487" i="1"/>
  <c r="U8486" i="1"/>
  <c r="U8485" i="1"/>
  <c r="U8484" i="1"/>
  <c r="U8483" i="1"/>
  <c r="U8482" i="1"/>
  <c r="U8481" i="1"/>
  <c r="U8480" i="1"/>
  <c r="U8479" i="1"/>
  <c r="U8478" i="1"/>
  <c r="U8477" i="1"/>
  <c r="U8476" i="1"/>
  <c r="U8475" i="1"/>
  <c r="U8474" i="1"/>
  <c r="U8473" i="1"/>
  <c r="U8472" i="1"/>
  <c r="U8471" i="1"/>
  <c r="U8470" i="1"/>
  <c r="U8469" i="1"/>
  <c r="U8468" i="1"/>
  <c r="U8467" i="1"/>
  <c r="U8466" i="1"/>
  <c r="U8465" i="1"/>
  <c r="U8464" i="1"/>
  <c r="U8463" i="1"/>
  <c r="U8462" i="1"/>
  <c r="U8461" i="1"/>
  <c r="U8460" i="1"/>
  <c r="U8459" i="1"/>
  <c r="U8458" i="1"/>
  <c r="U8457" i="1"/>
  <c r="U8456" i="1"/>
  <c r="U8455" i="1"/>
  <c r="U8454" i="1"/>
  <c r="U8453" i="1"/>
  <c r="U8452" i="1"/>
  <c r="U8451" i="1"/>
  <c r="U8450" i="1"/>
  <c r="U8449" i="1"/>
  <c r="U8448" i="1"/>
  <c r="U8447" i="1"/>
  <c r="U8446" i="1"/>
  <c r="U8445" i="1"/>
  <c r="U8444" i="1"/>
  <c r="U8443" i="1"/>
  <c r="U8442" i="1"/>
  <c r="U8441" i="1"/>
  <c r="U8440" i="1"/>
  <c r="U8439" i="1"/>
  <c r="U8438" i="1"/>
  <c r="U8437" i="1"/>
  <c r="U8436" i="1"/>
  <c r="U8435" i="1"/>
  <c r="U8434" i="1"/>
  <c r="U8433" i="1"/>
  <c r="U8432" i="1"/>
  <c r="U8431" i="1"/>
  <c r="U8430" i="1"/>
  <c r="U8429" i="1"/>
  <c r="U8428" i="1"/>
  <c r="U8427" i="1"/>
  <c r="U8426" i="1"/>
  <c r="U8425" i="1"/>
  <c r="U8424" i="1"/>
  <c r="U8423" i="1"/>
  <c r="U8422" i="1"/>
  <c r="U8421" i="1"/>
  <c r="U8420" i="1"/>
  <c r="U8419" i="1"/>
  <c r="U8418" i="1"/>
  <c r="U8417" i="1"/>
  <c r="U8416" i="1"/>
  <c r="U8415" i="1"/>
  <c r="U8414" i="1"/>
  <c r="U8413" i="1"/>
  <c r="U8412" i="1"/>
  <c r="U8411" i="1"/>
  <c r="U8410" i="1"/>
  <c r="U8409" i="1"/>
  <c r="U8408" i="1"/>
  <c r="U8407" i="1"/>
  <c r="U8406" i="1"/>
  <c r="U8405" i="1"/>
  <c r="U8404" i="1"/>
  <c r="U8403" i="1"/>
  <c r="U8402" i="1"/>
  <c r="U8401" i="1"/>
  <c r="U8400" i="1"/>
  <c r="U8399" i="1"/>
  <c r="U8398" i="1"/>
  <c r="U8397" i="1"/>
  <c r="U8396" i="1"/>
  <c r="U8395" i="1"/>
  <c r="U8394" i="1"/>
  <c r="U8393" i="1"/>
  <c r="U8392" i="1"/>
  <c r="U8391" i="1"/>
  <c r="U8390" i="1"/>
  <c r="U8389" i="1"/>
  <c r="U8388" i="1"/>
  <c r="U8387" i="1"/>
  <c r="U8386" i="1"/>
  <c r="U8385" i="1"/>
  <c r="U8384" i="1"/>
  <c r="U8383" i="1"/>
  <c r="U8382" i="1"/>
  <c r="U8381" i="1"/>
  <c r="U8380" i="1"/>
  <c r="U8379" i="1"/>
  <c r="U8378" i="1"/>
  <c r="U8377" i="1"/>
  <c r="U8376" i="1"/>
  <c r="U8375" i="1"/>
  <c r="U8374" i="1"/>
  <c r="U8373" i="1"/>
  <c r="U8372" i="1"/>
  <c r="U8371" i="1"/>
  <c r="U8370" i="1"/>
  <c r="U8369" i="1"/>
  <c r="U8368" i="1"/>
  <c r="U8367" i="1"/>
  <c r="U8366" i="1"/>
  <c r="U8365" i="1"/>
  <c r="U8364" i="1"/>
  <c r="U8363" i="1"/>
  <c r="U8362" i="1"/>
  <c r="U8361" i="1"/>
  <c r="U8360" i="1"/>
  <c r="U8359" i="1"/>
  <c r="U8358" i="1"/>
  <c r="U8357" i="1"/>
  <c r="U8356" i="1"/>
  <c r="U8355" i="1"/>
  <c r="U8354" i="1"/>
  <c r="U8353" i="1"/>
  <c r="U8352" i="1"/>
  <c r="U8351" i="1"/>
  <c r="U8350" i="1"/>
  <c r="U8349" i="1"/>
  <c r="U8348" i="1"/>
  <c r="U8347" i="1"/>
  <c r="U8346" i="1"/>
  <c r="U8345" i="1"/>
  <c r="U8344" i="1"/>
  <c r="U8343" i="1"/>
  <c r="U8342" i="1"/>
  <c r="U8341" i="1"/>
  <c r="U8340" i="1"/>
  <c r="U8339" i="1"/>
  <c r="U8338" i="1"/>
  <c r="U8337" i="1"/>
  <c r="U8336" i="1"/>
  <c r="U8335" i="1"/>
  <c r="U8334" i="1"/>
  <c r="U8333" i="1"/>
  <c r="U8332" i="1"/>
  <c r="U8331" i="1"/>
  <c r="U8330" i="1"/>
  <c r="U8329" i="1"/>
  <c r="U8328" i="1"/>
  <c r="U8327" i="1"/>
  <c r="U8326" i="1"/>
  <c r="U8325" i="1"/>
  <c r="U8324" i="1"/>
  <c r="U8323" i="1"/>
  <c r="U8322" i="1"/>
  <c r="U8321" i="1"/>
  <c r="U8320" i="1"/>
  <c r="U8319" i="1"/>
  <c r="U8318" i="1"/>
  <c r="U8317" i="1"/>
  <c r="U8316" i="1"/>
  <c r="U8315" i="1"/>
  <c r="U8314" i="1"/>
  <c r="U8313" i="1"/>
  <c r="U8311" i="1"/>
  <c r="U8310" i="1"/>
  <c r="U8309" i="1"/>
  <c r="U8308" i="1"/>
  <c r="U8307" i="1"/>
  <c r="U8306" i="1"/>
  <c r="U8305" i="1"/>
  <c r="U8304" i="1"/>
  <c r="U8303" i="1"/>
  <c r="U8302" i="1"/>
  <c r="U8301" i="1"/>
  <c r="U8300" i="1"/>
  <c r="U8299" i="1"/>
  <c r="U8298" i="1"/>
  <c r="U8297" i="1"/>
  <c r="U8296" i="1"/>
  <c r="U8295" i="1"/>
  <c r="U8294" i="1"/>
  <c r="U8293" i="1"/>
  <c r="U8292" i="1"/>
  <c r="U8291" i="1"/>
  <c r="U8290" i="1"/>
  <c r="U8289" i="1"/>
  <c r="U8288" i="1"/>
  <c r="U8287" i="1"/>
  <c r="U8286" i="1"/>
  <c r="U8285" i="1"/>
  <c r="U8284" i="1"/>
  <c r="U8283" i="1"/>
  <c r="U8282" i="1"/>
  <c r="U8281" i="1"/>
  <c r="U8280" i="1"/>
  <c r="U8279" i="1"/>
  <c r="U8278" i="1"/>
  <c r="U8277" i="1"/>
  <c r="U8276" i="1"/>
  <c r="U8275" i="1"/>
  <c r="U8274" i="1"/>
  <c r="U8273" i="1"/>
  <c r="U8272" i="1"/>
  <c r="U8271" i="1"/>
  <c r="U8270" i="1"/>
  <c r="U8269" i="1"/>
  <c r="U8268" i="1"/>
  <c r="U8267" i="1"/>
  <c r="U8266" i="1"/>
  <c r="U8265" i="1"/>
  <c r="U8264" i="1"/>
  <c r="U8263" i="1"/>
  <c r="U8262" i="1"/>
  <c r="U8261" i="1"/>
  <c r="U8260" i="1"/>
  <c r="U8259" i="1"/>
  <c r="U8258" i="1"/>
  <c r="U8257" i="1"/>
  <c r="U8256" i="1"/>
  <c r="U8255" i="1"/>
  <c r="U8254" i="1"/>
  <c r="U8253" i="1"/>
  <c r="U8252" i="1"/>
  <c r="U8251" i="1"/>
  <c r="U8250" i="1"/>
  <c r="U8249" i="1"/>
  <c r="U8248" i="1"/>
  <c r="U8247" i="1"/>
  <c r="U8246" i="1"/>
  <c r="U8245" i="1"/>
  <c r="U8244" i="1"/>
  <c r="U8243" i="1"/>
  <c r="U8242" i="1"/>
  <c r="U8241" i="1"/>
  <c r="U8240" i="1"/>
  <c r="U8239" i="1"/>
  <c r="U8238" i="1"/>
  <c r="U8237" i="1"/>
  <c r="U8236" i="1"/>
  <c r="U8235" i="1"/>
  <c r="U8234" i="1"/>
  <c r="U8233" i="1"/>
  <c r="U8232" i="1"/>
  <c r="U8231" i="1"/>
  <c r="U8230" i="1"/>
  <c r="U8229" i="1"/>
  <c r="U8228" i="1"/>
  <c r="U8227" i="1"/>
  <c r="U8226" i="1"/>
  <c r="U8225" i="1"/>
  <c r="U8224" i="1"/>
  <c r="U8223" i="1"/>
  <c r="U8222" i="1"/>
  <c r="U8221" i="1"/>
  <c r="U8220" i="1"/>
  <c r="U8219" i="1"/>
  <c r="U8218" i="1"/>
  <c r="U8217" i="1"/>
  <c r="U8216" i="1"/>
  <c r="U8215" i="1"/>
  <c r="U8214" i="1"/>
  <c r="U8213" i="1"/>
  <c r="U8212" i="1"/>
  <c r="U8211" i="1"/>
  <c r="U8210" i="1"/>
  <c r="U8209" i="1"/>
  <c r="U8208" i="1"/>
  <c r="U8207" i="1"/>
  <c r="U8206" i="1"/>
  <c r="U8205" i="1"/>
  <c r="U8204" i="1"/>
  <c r="U8203" i="1"/>
  <c r="U8202" i="1"/>
  <c r="U8201" i="1"/>
  <c r="U8200" i="1"/>
  <c r="U8199" i="1"/>
  <c r="U8198" i="1"/>
  <c r="U8197" i="1"/>
  <c r="U8196" i="1"/>
  <c r="U8195" i="1"/>
  <c r="U8194" i="1"/>
  <c r="U8192" i="1"/>
  <c r="U8191" i="1"/>
  <c r="U8190" i="1"/>
  <c r="U8189" i="1"/>
  <c r="U8188" i="1"/>
  <c r="U8187" i="1"/>
  <c r="U8186" i="1"/>
  <c r="U8185" i="1"/>
  <c r="U8184" i="1"/>
  <c r="U8183" i="1"/>
  <c r="U8182" i="1"/>
  <c r="U8181" i="1"/>
  <c r="U8180" i="1"/>
  <c r="U8179" i="1"/>
  <c r="U8178" i="1"/>
  <c r="U8177" i="1"/>
  <c r="U8176" i="1"/>
  <c r="U8175" i="1"/>
  <c r="U8174" i="1"/>
  <c r="U8173" i="1"/>
  <c r="U8172" i="1"/>
  <c r="U8171" i="1"/>
  <c r="U8170" i="1"/>
  <c r="U8169" i="1"/>
  <c r="U8168" i="1"/>
  <c r="U8167" i="1"/>
  <c r="U8166" i="1"/>
  <c r="U8165" i="1"/>
  <c r="U8164" i="1"/>
  <c r="U8163" i="1"/>
  <c r="U8162" i="1"/>
  <c r="U8161" i="1"/>
  <c r="U8160" i="1"/>
  <c r="U8159" i="1"/>
  <c r="U8158" i="1"/>
  <c r="U8157" i="1"/>
  <c r="U8156" i="1"/>
  <c r="U8155" i="1"/>
  <c r="U8154" i="1"/>
  <c r="U8153" i="1"/>
  <c r="U8151" i="1"/>
  <c r="U8150" i="1"/>
  <c r="U8149" i="1"/>
  <c r="U8148" i="1"/>
  <c r="U8147" i="1"/>
  <c r="U8146" i="1"/>
  <c r="U8145" i="1"/>
  <c r="U8144" i="1"/>
  <c r="U8143" i="1"/>
  <c r="U8142" i="1"/>
  <c r="U8141" i="1"/>
  <c r="U8140" i="1"/>
  <c r="U8139" i="1"/>
  <c r="U8138" i="1"/>
  <c r="U8137" i="1"/>
  <c r="U8136" i="1"/>
  <c r="U8135" i="1"/>
  <c r="U8134" i="1"/>
  <c r="U8133" i="1"/>
  <c r="U8132" i="1"/>
  <c r="U8131" i="1"/>
  <c r="U8130" i="1"/>
  <c r="U8129" i="1"/>
  <c r="U8128" i="1"/>
  <c r="U8127" i="1"/>
  <c r="U8126" i="1"/>
  <c r="U8125" i="1"/>
  <c r="U8124" i="1"/>
  <c r="U8123" i="1"/>
  <c r="U8122" i="1"/>
  <c r="U8121" i="1"/>
  <c r="U8120" i="1"/>
  <c r="U8119" i="1"/>
  <c r="U8118" i="1"/>
  <c r="U8117" i="1"/>
  <c r="U8116" i="1"/>
  <c r="U8115" i="1"/>
  <c r="U8114" i="1"/>
  <c r="U8113" i="1"/>
  <c r="U8112" i="1"/>
  <c r="U8111" i="1"/>
  <c r="U8110" i="1"/>
  <c r="U8109" i="1"/>
  <c r="U8108" i="1"/>
  <c r="U8107" i="1"/>
  <c r="U8106" i="1"/>
  <c r="U8105" i="1"/>
  <c r="U8104" i="1"/>
  <c r="U8103" i="1"/>
  <c r="U8102" i="1"/>
  <c r="U8101" i="1"/>
  <c r="U8100" i="1"/>
  <c r="U8099" i="1"/>
  <c r="U8098" i="1"/>
  <c r="U8097" i="1"/>
  <c r="U8096" i="1"/>
  <c r="U8095" i="1"/>
  <c r="U8094" i="1"/>
  <c r="U8093" i="1"/>
  <c r="U8092" i="1"/>
  <c r="U8091" i="1"/>
  <c r="U8090" i="1"/>
  <c r="U8089" i="1"/>
  <c r="U8088" i="1"/>
  <c r="U8087" i="1"/>
  <c r="U8086" i="1"/>
  <c r="U8085" i="1"/>
  <c r="U8084" i="1"/>
  <c r="U8083" i="1"/>
  <c r="U8082" i="1"/>
  <c r="U8081" i="1"/>
  <c r="U8080" i="1"/>
  <c r="U8079" i="1"/>
  <c r="U8078" i="1"/>
  <c r="U8077" i="1"/>
  <c r="U8076" i="1"/>
  <c r="U8075" i="1"/>
  <c r="U8074" i="1"/>
  <c r="U8073" i="1"/>
  <c r="U8072" i="1"/>
  <c r="U8071" i="1"/>
  <c r="U8070" i="1"/>
  <c r="U8069" i="1"/>
  <c r="U8068" i="1"/>
  <c r="U8067" i="1"/>
  <c r="U8066" i="1"/>
  <c r="U8065" i="1"/>
  <c r="U8064" i="1"/>
  <c r="U8063" i="1"/>
  <c r="U8062" i="1"/>
  <c r="U8061" i="1"/>
  <c r="U8060" i="1"/>
  <c r="U8059" i="1"/>
  <c r="U8058" i="1"/>
  <c r="U8057" i="1"/>
  <c r="U8056" i="1"/>
  <c r="U8055" i="1"/>
  <c r="U8054" i="1"/>
  <c r="U8053" i="1"/>
  <c r="U8052" i="1"/>
  <c r="U8051" i="1"/>
  <c r="U8050" i="1"/>
  <c r="U8049" i="1"/>
  <c r="U8048" i="1"/>
  <c r="U8047" i="1"/>
  <c r="U8046" i="1"/>
  <c r="U8045" i="1"/>
  <c r="U8044" i="1"/>
  <c r="U8043" i="1"/>
  <c r="U8042" i="1"/>
  <c r="U8041" i="1"/>
  <c r="U8040" i="1"/>
  <c r="U8039" i="1"/>
  <c r="U8038" i="1"/>
  <c r="U8037" i="1"/>
  <c r="U8036" i="1"/>
  <c r="U8035" i="1"/>
  <c r="U8034" i="1"/>
  <c r="U8033" i="1"/>
  <c r="U8032" i="1"/>
  <c r="U8031" i="1"/>
  <c r="U8030" i="1"/>
  <c r="U8029" i="1"/>
  <c r="U8028" i="1"/>
  <c r="U8027" i="1"/>
  <c r="U8026" i="1"/>
  <c r="U8025" i="1"/>
  <c r="U8024" i="1"/>
  <c r="U8023" i="1"/>
  <c r="U8022" i="1"/>
  <c r="U8021" i="1"/>
  <c r="U8020" i="1"/>
  <c r="U8019" i="1"/>
  <c r="U8018" i="1"/>
  <c r="U8017" i="1"/>
  <c r="U8016" i="1"/>
  <c r="U8015" i="1"/>
  <c r="U8014" i="1"/>
  <c r="U8013" i="1"/>
  <c r="U8012" i="1"/>
  <c r="U8011" i="1"/>
  <c r="U8010" i="1"/>
  <c r="U8009" i="1"/>
  <c r="U8008" i="1"/>
  <c r="U8007" i="1"/>
  <c r="U8006" i="1"/>
  <c r="U8005" i="1"/>
  <c r="U8004" i="1"/>
  <c r="U8003" i="1"/>
  <c r="U8002" i="1"/>
  <c r="U8001" i="1"/>
  <c r="U8000" i="1"/>
  <c r="U7999" i="1"/>
  <c r="U7998" i="1"/>
  <c r="U7997" i="1"/>
  <c r="U7996" i="1"/>
  <c r="U7995" i="1"/>
  <c r="U7994" i="1"/>
  <c r="U7993" i="1"/>
  <c r="U7992" i="1"/>
  <c r="U7991" i="1"/>
  <c r="U7990" i="1"/>
  <c r="U7989" i="1"/>
  <c r="U7988" i="1"/>
  <c r="U7987" i="1"/>
  <c r="U7986" i="1"/>
  <c r="U7985" i="1"/>
  <c r="U7984" i="1"/>
  <c r="U7983" i="1"/>
  <c r="U7982" i="1"/>
  <c r="U7981" i="1"/>
  <c r="U7980" i="1"/>
  <c r="U7979" i="1"/>
  <c r="U7978" i="1"/>
  <c r="U7977" i="1"/>
  <c r="U7976" i="1"/>
  <c r="U7975" i="1"/>
  <c r="U7974" i="1"/>
  <c r="U7973" i="1"/>
  <c r="U7972" i="1"/>
  <c r="U7971" i="1"/>
  <c r="U7970" i="1"/>
  <c r="U7969" i="1"/>
  <c r="U7968" i="1"/>
  <c r="U7967" i="1"/>
  <c r="U7966" i="1"/>
  <c r="U7965" i="1"/>
  <c r="U7964" i="1"/>
  <c r="U7963" i="1"/>
  <c r="U7962" i="1"/>
  <c r="U7961" i="1"/>
  <c r="U7960" i="1"/>
  <c r="U7959" i="1"/>
  <c r="U7958" i="1"/>
  <c r="U7957" i="1"/>
  <c r="U7956" i="1"/>
  <c r="U7955" i="1"/>
  <c r="U7954" i="1"/>
  <c r="U7953" i="1"/>
  <c r="U7952" i="1"/>
  <c r="U7951" i="1"/>
  <c r="U7950" i="1"/>
  <c r="U7949" i="1"/>
  <c r="U7947" i="1"/>
  <c r="U7946" i="1"/>
  <c r="U7945" i="1"/>
  <c r="U7944" i="1"/>
  <c r="U7943" i="1"/>
  <c r="U7942" i="1"/>
  <c r="U7941" i="1"/>
  <c r="U7940" i="1"/>
  <c r="U7939" i="1"/>
  <c r="U7938" i="1"/>
  <c r="U7937" i="1"/>
  <c r="U7936" i="1"/>
  <c r="U7935" i="1"/>
  <c r="U7934" i="1"/>
  <c r="U7933" i="1"/>
  <c r="U7932" i="1"/>
  <c r="U7931" i="1"/>
  <c r="U7930" i="1"/>
  <c r="U7929" i="1"/>
  <c r="U7928" i="1"/>
  <c r="U7927" i="1"/>
  <c r="U7926" i="1"/>
  <c r="U7925" i="1"/>
  <c r="U7924" i="1"/>
  <c r="U7923" i="1"/>
  <c r="U7922" i="1"/>
  <c r="U7921" i="1"/>
  <c r="U7920" i="1"/>
  <c r="U7919" i="1"/>
  <c r="U7918" i="1"/>
  <c r="U7917" i="1"/>
  <c r="U7916" i="1"/>
  <c r="U7915" i="1"/>
  <c r="U7914" i="1"/>
  <c r="U7913" i="1"/>
  <c r="U7912" i="1"/>
  <c r="U7911" i="1"/>
  <c r="U7910" i="1"/>
  <c r="U7909" i="1"/>
  <c r="U7908" i="1"/>
  <c r="U7907" i="1"/>
  <c r="U7906" i="1"/>
  <c r="U7905" i="1"/>
  <c r="U7904" i="1"/>
  <c r="U7903" i="1"/>
  <c r="U7902" i="1"/>
  <c r="U7901" i="1"/>
  <c r="U7900" i="1"/>
  <c r="U7899" i="1"/>
  <c r="U7898" i="1"/>
  <c r="U7897" i="1"/>
  <c r="U7896" i="1"/>
  <c r="U7895" i="1"/>
  <c r="U7894" i="1"/>
  <c r="U7893" i="1"/>
  <c r="U7892" i="1"/>
  <c r="U7891" i="1"/>
  <c r="U7890" i="1"/>
  <c r="U7889" i="1"/>
  <c r="U7888" i="1"/>
  <c r="U7887" i="1"/>
  <c r="U7886" i="1"/>
  <c r="U7885" i="1"/>
  <c r="U7884" i="1"/>
  <c r="U7883" i="1"/>
  <c r="U7882" i="1"/>
  <c r="U7881" i="1"/>
  <c r="U7880" i="1"/>
  <c r="U7879" i="1"/>
  <c r="U7878" i="1"/>
  <c r="U7877" i="1"/>
  <c r="U7876" i="1"/>
  <c r="U7875" i="1"/>
  <c r="U7874" i="1"/>
  <c r="U7873" i="1"/>
  <c r="U7872" i="1"/>
  <c r="U7871" i="1"/>
  <c r="U7870" i="1"/>
  <c r="U7869" i="1"/>
  <c r="U7868" i="1"/>
  <c r="U7867" i="1"/>
  <c r="U7866" i="1"/>
  <c r="U7865" i="1"/>
  <c r="U7864" i="1"/>
  <c r="U7863" i="1"/>
  <c r="U7862" i="1"/>
  <c r="U7861" i="1"/>
  <c r="U7860" i="1"/>
  <c r="U7859" i="1"/>
  <c r="U7858" i="1"/>
  <c r="U7857" i="1"/>
  <c r="U7856" i="1"/>
  <c r="U7855" i="1"/>
  <c r="U7854" i="1"/>
  <c r="U7853" i="1"/>
  <c r="U7852" i="1"/>
  <c r="U7851" i="1"/>
  <c r="U7850" i="1"/>
  <c r="U7849" i="1"/>
  <c r="U7848" i="1"/>
  <c r="U7847" i="1"/>
  <c r="U7846" i="1"/>
  <c r="U7845" i="1"/>
  <c r="U7844" i="1"/>
  <c r="U7843" i="1"/>
  <c r="U7842" i="1"/>
  <c r="U7841" i="1"/>
  <c r="U7840" i="1"/>
  <c r="U7839" i="1"/>
  <c r="U7838" i="1"/>
  <c r="U7837" i="1"/>
  <c r="U7836" i="1"/>
  <c r="U7835" i="1"/>
  <c r="U7834" i="1"/>
  <c r="U7833" i="1"/>
  <c r="U7832" i="1"/>
  <c r="U7831" i="1"/>
  <c r="U7830" i="1"/>
  <c r="U7829" i="1"/>
  <c r="U7828" i="1"/>
  <c r="U7827" i="1"/>
  <c r="U7826" i="1"/>
  <c r="U7825" i="1"/>
  <c r="U7824" i="1"/>
  <c r="U7823" i="1"/>
  <c r="U7822" i="1"/>
  <c r="U7821" i="1"/>
  <c r="U7820" i="1"/>
  <c r="U7819" i="1"/>
  <c r="U7818" i="1"/>
  <c r="U7817" i="1"/>
  <c r="U7816" i="1"/>
  <c r="U7815" i="1"/>
  <c r="U7814" i="1"/>
  <c r="U7813" i="1"/>
  <c r="U7812" i="1"/>
  <c r="U7811" i="1"/>
  <c r="U7810" i="1"/>
  <c r="U7809" i="1"/>
  <c r="U7808" i="1"/>
  <c r="U7807" i="1"/>
  <c r="U7806" i="1"/>
  <c r="U7805" i="1"/>
  <c r="U7804" i="1"/>
  <c r="U7803" i="1"/>
  <c r="U7802" i="1"/>
  <c r="U7801" i="1"/>
  <c r="U7800" i="1"/>
  <c r="U7799" i="1"/>
  <c r="U7798" i="1"/>
  <c r="U7797" i="1"/>
  <c r="U7796" i="1"/>
  <c r="U7795" i="1"/>
  <c r="U7794" i="1"/>
  <c r="U7793" i="1"/>
  <c r="U7792" i="1"/>
  <c r="U7790" i="1"/>
  <c r="U7789" i="1"/>
  <c r="U7788" i="1"/>
  <c r="U7787" i="1"/>
  <c r="U7786" i="1"/>
  <c r="U7785" i="1"/>
  <c r="U7784" i="1"/>
  <c r="U7783" i="1"/>
  <c r="U7782" i="1"/>
  <c r="U7781" i="1"/>
  <c r="U7780" i="1"/>
  <c r="U7779" i="1"/>
  <c r="U7778" i="1"/>
  <c r="U7777" i="1"/>
  <c r="U7776" i="1"/>
  <c r="U7775" i="1"/>
  <c r="U7774" i="1"/>
  <c r="U7773" i="1"/>
  <c r="U7772" i="1"/>
  <c r="U7771" i="1"/>
  <c r="U7770" i="1"/>
  <c r="U7769" i="1"/>
  <c r="U7768" i="1"/>
  <c r="U7767" i="1"/>
  <c r="U7766" i="1"/>
  <c r="U7765" i="1"/>
  <c r="U7764" i="1"/>
  <c r="U7763" i="1"/>
  <c r="U7762" i="1"/>
  <c r="U7761" i="1"/>
  <c r="U7760" i="1"/>
  <c r="U7759" i="1"/>
  <c r="U7758" i="1"/>
  <c r="U7757" i="1"/>
  <c r="U7756" i="1"/>
  <c r="U7755" i="1"/>
  <c r="U7754" i="1"/>
  <c r="U7753" i="1"/>
  <c r="U7752" i="1"/>
  <c r="U7751" i="1"/>
  <c r="U7750" i="1"/>
  <c r="U7749" i="1"/>
  <c r="U7748" i="1"/>
  <c r="U7747" i="1"/>
  <c r="U7746" i="1"/>
  <c r="U7745" i="1"/>
  <c r="U7744" i="1"/>
  <c r="U7743" i="1"/>
  <c r="U7742" i="1"/>
  <c r="U7741" i="1"/>
  <c r="U7740" i="1"/>
  <c r="U7739" i="1"/>
  <c r="U7738" i="1"/>
  <c r="U7737" i="1"/>
  <c r="U7736" i="1"/>
  <c r="U7735" i="1"/>
  <c r="U7734" i="1"/>
  <c r="U7733" i="1"/>
  <c r="U7732" i="1"/>
  <c r="U7731" i="1"/>
  <c r="U7730" i="1"/>
  <c r="U7729" i="1"/>
  <c r="U7728" i="1"/>
  <c r="U7727" i="1"/>
  <c r="U7726" i="1"/>
  <c r="U7725" i="1"/>
  <c r="U7724" i="1"/>
  <c r="U7723" i="1"/>
  <c r="U7722" i="1"/>
  <c r="U7721" i="1"/>
  <c r="U7720" i="1"/>
  <c r="U7718" i="1"/>
  <c r="U7717" i="1"/>
  <c r="U7716" i="1"/>
  <c r="U7715" i="1"/>
  <c r="U7714" i="1"/>
  <c r="U7713" i="1"/>
  <c r="U7712" i="1"/>
  <c r="U7711" i="1"/>
  <c r="U7710" i="1"/>
  <c r="U7709" i="1"/>
  <c r="U7708" i="1"/>
  <c r="U7707" i="1"/>
  <c r="U7706" i="1"/>
  <c r="U7705" i="1"/>
  <c r="U7704" i="1"/>
  <c r="U7703" i="1"/>
  <c r="U7702" i="1"/>
  <c r="U7701" i="1"/>
  <c r="U7700" i="1"/>
  <c r="U7699" i="1"/>
  <c r="U7698" i="1"/>
  <c r="U7697" i="1"/>
  <c r="U7696" i="1"/>
  <c r="U7695" i="1"/>
  <c r="U7694" i="1"/>
  <c r="U7693" i="1"/>
  <c r="U7692" i="1"/>
  <c r="U7691" i="1"/>
  <c r="U7690" i="1"/>
  <c r="U7689" i="1"/>
  <c r="U7688" i="1"/>
  <c r="U7687" i="1"/>
  <c r="U7686" i="1"/>
  <c r="U7685" i="1"/>
  <c r="U7684" i="1"/>
  <c r="U7683" i="1"/>
  <c r="U7682" i="1"/>
  <c r="U7681" i="1"/>
  <c r="U7680" i="1"/>
  <c r="U7679" i="1"/>
  <c r="U7678" i="1"/>
  <c r="U7677" i="1"/>
  <c r="U7676" i="1"/>
  <c r="U7675" i="1"/>
  <c r="U7674" i="1"/>
  <c r="U7673" i="1"/>
  <c r="U7672" i="1"/>
  <c r="U7671" i="1"/>
  <c r="U7670" i="1"/>
  <c r="U7669" i="1"/>
  <c r="U7668" i="1"/>
  <c r="U7667" i="1"/>
  <c r="U7666" i="1"/>
  <c r="U7665" i="1"/>
  <c r="U7664" i="1"/>
  <c r="U7663" i="1"/>
  <c r="U7662" i="1"/>
  <c r="U7661" i="1"/>
  <c r="U7660" i="1"/>
  <c r="U7659" i="1"/>
  <c r="U7658" i="1"/>
  <c r="U7657" i="1"/>
  <c r="U7656" i="1"/>
  <c r="U7655" i="1"/>
  <c r="U7654" i="1"/>
  <c r="U7653" i="1"/>
  <c r="U7652" i="1"/>
  <c r="U7651" i="1"/>
  <c r="U7650" i="1"/>
  <c r="U7649" i="1"/>
  <c r="U7648" i="1"/>
  <c r="U7647" i="1"/>
  <c r="U7646" i="1"/>
  <c r="U7645" i="1"/>
  <c r="U7644" i="1"/>
  <c r="U7643" i="1"/>
  <c r="U7642" i="1"/>
  <c r="U7641" i="1"/>
  <c r="U7640" i="1"/>
  <c r="U7639" i="1"/>
  <c r="U7638" i="1"/>
  <c r="U7637" i="1"/>
  <c r="U7636" i="1"/>
  <c r="U7635" i="1"/>
  <c r="U7634" i="1"/>
  <c r="U7633" i="1"/>
  <c r="U7632" i="1"/>
  <c r="U7631" i="1"/>
  <c r="U7630" i="1"/>
  <c r="U7629" i="1"/>
  <c r="U7628" i="1"/>
  <c r="U7627" i="1"/>
  <c r="U7626" i="1"/>
  <c r="U7625" i="1"/>
  <c r="U7624" i="1"/>
  <c r="U7623" i="1"/>
  <c r="U7622" i="1"/>
  <c r="U7621" i="1"/>
  <c r="U7620" i="1"/>
  <c r="U7619" i="1"/>
  <c r="U7618" i="1"/>
  <c r="U7617" i="1"/>
  <c r="U7616" i="1"/>
  <c r="U7615" i="1"/>
  <c r="U7614" i="1"/>
  <c r="U7613" i="1"/>
  <c r="U7612" i="1"/>
  <c r="U7611" i="1"/>
  <c r="U7610" i="1"/>
  <c r="U7609" i="1"/>
  <c r="U7608" i="1"/>
  <c r="U7607" i="1"/>
  <c r="U7606" i="1"/>
  <c r="U7605" i="1"/>
  <c r="U7604" i="1"/>
  <c r="U7603" i="1"/>
  <c r="U7602" i="1"/>
  <c r="U7601" i="1"/>
  <c r="U7600" i="1"/>
  <c r="U7599" i="1"/>
  <c r="U7598" i="1"/>
  <c r="U7597" i="1"/>
  <c r="U7596" i="1"/>
  <c r="U7595" i="1"/>
  <c r="U7594" i="1"/>
  <c r="U7593" i="1"/>
  <c r="U7592" i="1"/>
  <c r="U7591" i="1"/>
  <c r="U7590" i="1"/>
  <c r="U7589" i="1"/>
  <c r="U7588" i="1"/>
  <c r="U7587" i="1"/>
  <c r="U7586" i="1"/>
  <c r="U7585" i="1"/>
  <c r="U7584" i="1"/>
  <c r="U7583" i="1"/>
  <c r="U7582" i="1"/>
  <c r="U7581" i="1"/>
  <c r="U7580" i="1"/>
  <c r="U7579" i="1"/>
  <c r="U7578" i="1"/>
  <c r="U7577" i="1"/>
  <c r="U7576" i="1"/>
  <c r="U7575" i="1"/>
  <c r="U7574" i="1"/>
  <c r="U7573" i="1"/>
  <c r="U7572" i="1"/>
  <c r="U7571" i="1"/>
  <c r="U7570" i="1"/>
  <c r="U7569" i="1"/>
  <c r="U7568" i="1"/>
  <c r="U7567" i="1"/>
  <c r="U7566" i="1"/>
  <c r="U7565" i="1"/>
  <c r="U7564" i="1"/>
  <c r="U7563" i="1"/>
  <c r="U7562" i="1"/>
  <c r="U7561" i="1"/>
  <c r="U7560" i="1"/>
  <c r="U7559" i="1"/>
  <c r="U7558" i="1"/>
  <c r="U7557" i="1"/>
  <c r="U7556" i="1"/>
  <c r="U7555" i="1"/>
  <c r="U7554" i="1"/>
  <c r="U7553" i="1"/>
  <c r="U7552" i="1"/>
  <c r="U7551" i="1"/>
  <c r="U7550" i="1"/>
  <c r="U7549" i="1"/>
  <c r="U7548" i="1"/>
  <c r="U7546" i="1"/>
  <c r="U7545" i="1"/>
  <c r="U7544" i="1"/>
  <c r="U7543" i="1"/>
  <c r="U7542" i="1"/>
  <c r="U7541" i="1"/>
  <c r="U7540" i="1"/>
  <c r="U7539" i="1"/>
  <c r="U7538" i="1"/>
  <c r="U7537" i="1"/>
  <c r="U7536" i="1"/>
  <c r="U7535" i="1"/>
  <c r="U7534" i="1"/>
  <c r="U7533" i="1"/>
  <c r="U7532" i="1"/>
  <c r="U7531" i="1"/>
  <c r="U7530" i="1"/>
  <c r="U7529" i="1"/>
  <c r="U7528" i="1"/>
  <c r="U7527" i="1"/>
  <c r="U7526" i="1"/>
  <c r="U7525" i="1"/>
  <c r="U7524" i="1"/>
  <c r="U7523" i="1"/>
  <c r="U7522" i="1"/>
  <c r="U7521" i="1"/>
  <c r="U7520" i="1"/>
  <c r="U7519" i="1"/>
  <c r="U7518" i="1"/>
  <c r="U7517" i="1"/>
  <c r="U7516" i="1"/>
  <c r="U7515" i="1"/>
  <c r="U7514" i="1"/>
  <c r="U7513" i="1"/>
  <c r="U7512" i="1"/>
  <c r="U7511" i="1"/>
  <c r="U7510" i="1"/>
  <c r="U7509" i="1"/>
  <c r="U7508" i="1"/>
  <c r="U7507" i="1"/>
  <c r="U7506" i="1"/>
  <c r="U7505" i="1"/>
  <c r="U7504" i="1"/>
  <c r="U7503" i="1"/>
  <c r="U7502" i="1"/>
  <c r="U7501" i="1"/>
  <c r="U7500" i="1"/>
  <c r="U7499" i="1"/>
  <c r="U7498" i="1"/>
  <c r="U7497" i="1"/>
  <c r="U7496" i="1"/>
  <c r="U7495" i="1"/>
  <c r="U7494" i="1"/>
  <c r="U7493" i="1"/>
  <c r="U7492" i="1"/>
  <c r="U7491" i="1"/>
  <c r="U7490" i="1"/>
  <c r="U7489" i="1"/>
  <c r="U7488" i="1"/>
  <c r="U7487" i="1"/>
  <c r="U7486" i="1"/>
  <c r="U7485" i="1"/>
  <c r="U7484" i="1"/>
  <c r="U7483" i="1"/>
  <c r="U7482" i="1"/>
  <c r="U7481" i="1"/>
  <c r="U7480" i="1"/>
  <c r="U7479" i="1"/>
  <c r="U7478" i="1"/>
  <c r="U7477" i="1"/>
  <c r="U7476" i="1"/>
  <c r="U7475" i="1"/>
  <c r="U7474" i="1"/>
  <c r="U7473" i="1"/>
  <c r="U7472" i="1"/>
  <c r="U7471" i="1"/>
  <c r="U7470" i="1"/>
  <c r="U7469" i="1"/>
  <c r="U7468" i="1"/>
  <c r="U7467" i="1"/>
  <c r="U7466" i="1"/>
  <c r="U7465" i="1"/>
  <c r="U7464" i="1"/>
  <c r="U7463" i="1"/>
  <c r="U7462" i="1"/>
  <c r="U7461" i="1"/>
  <c r="U7460" i="1"/>
  <c r="U7459" i="1"/>
  <c r="U7458" i="1"/>
  <c r="U7457" i="1"/>
  <c r="U7456" i="1"/>
  <c r="U7455" i="1"/>
  <c r="U7454" i="1"/>
  <c r="U7453" i="1"/>
  <c r="U7452" i="1"/>
  <c r="U7451" i="1"/>
  <c r="U7450" i="1"/>
  <c r="U7449" i="1"/>
  <c r="U7448" i="1"/>
  <c r="U7447" i="1"/>
  <c r="U7446" i="1"/>
  <c r="U7445" i="1"/>
  <c r="U7444" i="1"/>
  <c r="U7443" i="1"/>
  <c r="U7442" i="1"/>
  <c r="U7441" i="1"/>
  <c r="U7440" i="1"/>
  <c r="U7439" i="1"/>
  <c r="U7438" i="1"/>
  <c r="U7437" i="1"/>
  <c r="U7436" i="1"/>
  <c r="U7435" i="1"/>
  <c r="U7434" i="1"/>
  <c r="U7433" i="1"/>
  <c r="U7432" i="1"/>
  <c r="U7431" i="1"/>
  <c r="U7430" i="1"/>
  <c r="U7429" i="1"/>
  <c r="U7428" i="1"/>
  <c r="U7427" i="1"/>
  <c r="U7426" i="1"/>
  <c r="U7425" i="1"/>
  <c r="U7424" i="1"/>
  <c r="U7423" i="1"/>
  <c r="U7422" i="1"/>
  <c r="U7421" i="1"/>
  <c r="U7420" i="1"/>
  <c r="U7419" i="1"/>
  <c r="U7418" i="1"/>
  <c r="U7417" i="1"/>
  <c r="U7416" i="1"/>
  <c r="U7415" i="1"/>
  <c r="U7414" i="1"/>
  <c r="U7413" i="1"/>
  <c r="U7412" i="1"/>
  <c r="U7411" i="1"/>
  <c r="U7410" i="1"/>
  <c r="U7409" i="1"/>
  <c r="U7408" i="1"/>
  <c r="U7407" i="1"/>
  <c r="U7406" i="1"/>
  <c r="U7405" i="1"/>
  <c r="U7404" i="1"/>
  <c r="U7403" i="1"/>
  <c r="U7402" i="1"/>
  <c r="U7401" i="1"/>
  <c r="U7400" i="1"/>
  <c r="U7399" i="1"/>
  <c r="U7398" i="1"/>
  <c r="U7397" i="1"/>
  <c r="U7396" i="1"/>
  <c r="U7395" i="1"/>
  <c r="U7394" i="1"/>
  <c r="U7393" i="1"/>
  <c r="U7392" i="1"/>
  <c r="U7391" i="1"/>
  <c r="U7390" i="1"/>
  <c r="U7389" i="1"/>
  <c r="U7388" i="1"/>
  <c r="U7387" i="1"/>
  <c r="U7386" i="1"/>
  <c r="U7385" i="1"/>
  <c r="U7384" i="1"/>
  <c r="U7383" i="1"/>
  <c r="U7382" i="1"/>
  <c r="U7381" i="1"/>
  <c r="U7380" i="1"/>
  <c r="U7379" i="1"/>
  <c r="U7378" i="1"/>
  <c r="U7377" i="1"/>
  <c r="U7376" i="1"/>
  <c r="U7375" i="1"/>
  <c r="U7374" i="1"/>
  <c r="U7373" i="1"/>
  <c r="U7372" i="1"/>
  <c r="U7371" i="1"/>
  <c r="U7370" i="1"/>
  <c r="U7369" i="1"/>
  <c r="U7368" i="1"/>
  <c r="U7367" i="1"/>
  <c r="U7366" i="1"/>
  <c r="U7365" i="1"/>
  <c r="U7364" i="1"/>
  <c r="U7363" i="1"/>
  <c r="U7362" i="1"/>
  <c r="U7361" i="1"/>
  <c r="U7360" i="1"/>
  <c r="U7359" i="1"/>
  <c r="U7358" i="1"/>
  <c r="U7357" i="1"/>
  <c r="U7356" i="1"/>
  <c r="U7355" i="1"/>
  <c r="U7354" i="1"/>
  <c r="U7353" i="1"/>
  <c r="U7352" i="1"/>
  <c r="U7351" i="1"/>
  <c r="U7350" i="1"/>
  <c r="U7349" i="1"/>
  <c r="U7348" i="1"/>
  <c r="U7347" i="1"/>
  <c r="U7346" i="1"/>
  <c r="U7345" i="1"/>
  <c r="U7344" i="1"/>
  <c r="U7343" i="1"/>
  <c r="U7342" i="1"/>
  <c r="U7341" i="1"/>
  <c r="U7339" i="1"/>
  <c r="U7338" i="1"/>
  <c r="U7337" i="1"/>
  <c r="U7336" i="1"/>
  <c r="U7335" i="1"/>
  <c r="U7334" i="1"/>
  <c r="U7333" i="1"/>
  <c r="U7332" i="1"/>
  <c r="U7331" i="1"/>
  <c r="U7330" i="1"/>
  <c r="U7329" i="1"/>
  <c r="U7328" i="1"/>
  <c r="U7327" i="1"/>
  <c r="U7326" i="1"/>
  <c r="U7325" i="1"/>
  <c r="U7324" i="1"/>
  <c r="U7323" i="1"/>
  <c r="U7322" i="1"/>
  <c r="U7321" i="1"/>
  <c r="U7320" i="1"/>
  <c r="U7319" i="1"/>
  <c r="U7318" i="1"/>
  <c r="U7317" i="1"/>
  <c r="U7316" i="1"/>
  <c r="U7315" i="1"/>
  <c r="U7314" i="1"/>
  <c r="U7313" i="1"/>
  <c r="U7312" i="1"/>
  <c r="U7311" i="1"/>
  <c r="U7310" i="1"/>
  <c r="U7309" i="1"/>
  <c r="U7308" i="1"/>
  <c r="U7307" i="1"/>
  <c r="U7306" i="1"/>
  <c r="U7305" i="1"/>
  <c r="U7304" i="1"/>
  <c r="U7303" i="1"/>
  <c r="U7302" i="1"/>
  <c r="U7301" i="1"/>
  <c r="U7300" i="1"/>
  <c r="U7299" i="1"/>
  <c r="U7298" i="1"/>
  <c r="U7297" i="1"/>
  <c r="U7296" i="1"/>
  <c r="U7295" i="1"/>
  <c r="U7294" i="1"/>
  <c r="U7293" i="1"/>
  <c r="U7292" i="1"/>
  <c r="U7291" i="1"/>
  <c r="U7290" i="1"/>
  <c r="U7289" i="1"/>
  <c r="U7288" i="1"/>
  <c r="U7287" i="1"/>
  <c r="U7286" i="1"/>
  <c r="U7285" i="1"/>
  <c r="U7284" i="1"/>
  <c r="U7283" i="1"/>
  <c r="U7282" i="1"/>
  <c r="U7281" i="1"/>
  <c r="U7280" i="1"/>
  <c r="U7279" i="1"/>
  <c r="U7278" i="1"/>
  <c r="U7277" i="1"/>
  <c r="U7276" i="1"/>
  <c r="U7275" i="1"/>
  <c r="U7274" i="1"/>
  <c r="U7273" i="1"/>
  <c r="U7272" i="1"/>
  <c r="U7271" i="1"/>
  <c r="U7270" i="1"/>
  <c r="U7269" i="1"/>
  <c r="U7268" i="1"/>
  <c r="U7267" i="1"/>
  <c r="U7266" i="1"/>
  <c r="U7265" i="1"/>
  <c r="U7264" i="1"/>
  <c r="U7263" i="1"/>
  <c r="U7262" i="1"/>
  <c r="U7261" i="1"/>
  <c r="U7260" i="1"/>
  <c r="U7259" i="1"/>
  <c r="U7258" i="1"/>
  <c r="U7257" i="1"/>
  <c r="U7256" i="1"/>
  <c r="U7255" i="1"/>
  <c r="U7254" i="1"/>
  <c r="U7253" i="1"/>
  <c r="U7252" i="1"/>
  <c r="U7251" i="1"/>
  <c r="U7250" i="1"/>
  <c r="U7249" i="1"/>
  <c r="U7248" i="1"/>
  <c r="U7247" i="1"/>
  <c r="U7246" i="1"/>
  <c r="U7245" i="1"/>
  <c r="U7244" i="1"/>
  <c r="U7243" i="1"/>
  <c r="U7242" i="1"/>
  <c r="U7241" i="1"/>
  <c r="U7240" i="1"/>
  <c r="U7239" i="1"/>
  <c r="U7238" i="1"/>
  <c r="U7237" i="1"/>
  <c r="U7236" i="1"/>
  <c r="U7234" i="1"/>
  <c r="U7233" i="1"/>
  <c r="U7232" i="1"/>
  <c r="U7231" i="1"/>
  <c r="U7230" i="1"/>
  <c r="U7229" i="1"/>
  <c r="U7228" i="1"/>
  <c r="U7227" i="1"/>
  <c r="U7226" i="1"/>
  <c r="U7225" i="1"/>
  <c r="U7224" i="1"/>
  <c r="U7223" i="1"/>
  <c r="U7222" i="1"/>
  <c r="U7221" i="1"/>
  <c r="U7220" i="1"/>
  <c r="U7219" i="1"/>
  <c r="U7218" i="1"/>
  <c r="U7217" i="1"/>
  <c r="U7216" i="1"/>
  <c r="U7215" i="1"/>
  <c r="U7214" i="1"/>
  <c r="U7213" i="1"/>
  <c r="U7212" i="1"/>
  <c r="U7211" i="1"/>
  <c r="U7210" i="1"/>
  <c r="U7209" i="1"/>
  <c r="U7208" i="1"/>
  <c r="U7207" i="1"/>
  <c r="U7206" i="1"/>
  <c r="U7205" i="1"/>
  <c r="U7204" i="1"/>
  <c r="U7203" i="1"/>
  <c r="U7202" i="1"/>
  <c r="U7201" i="1"/>
  <c r="U7200" i="1"/>
  <c r="U7199" i="1"/>
  <c r="U7198" i="1"/>
  <c r="U7197" i="1"/>
  <c r="U7195" i="1"/>
  <c r="U7194" i="1"/>
  <c r="U7193" i="1"/>
  <c r="U7192" i="1"/>
  <c r="U7191" i="1"/>
  <c r="U7190" i="1"/>
  <c r="U7189" i="1"/>
  <c r="U7188" i="1"/>
  <c r="U7187" i="1"/>
  <c r="U7186" i="1"/>
  <c r="U7185" i="1"/>
  <c r="U7184" i="1"/>
  <c r="U7183" i="1"/>
  <c r="U7182" i="1"/>
  <c r="U7181" i="1"/>
  <c r="U7180" i="1"/>
  <c r="U7179" i="1"/>
  <c r="U7178" i="1"/>
  <c r="U7177" i="1"/>
  <c r="U7176" i="1"/>
  <c r="U7175" i="1"/>
  <c r="U7174" i="1"/>
  <c r="U7173" i="1"/>
  <c r="U7172" i="1"/>
  <c r="U7171" i="1"/>
  <c r="U7170" i="1"/>
  <c r="U7169" i="1"/>
  <c r="U7168" i="1"/>
  <c r="U7167" i="1"/>
  <c r="U7166" i="1"/>
  <c r="U7165" i="1"/>
  <c r="U7164" i="1"/>
  <c r="U7163" i="1"/>
  <c r="U7162" i="1"/>
  <c r="U7161" i="1"/>
  <c r="U7160" i="1"/>
  <c r="U7159" i="1"/>
  <c r="U7158" i="1"/>
  <c r="U7157" i="1"/>
  <c r="U7156" i="1"/>
  <c r="U7155" i="1"/>
  <c r="U7154" i="1"/>
  <c r="U7153" i="1"/>
  <c r="U7152" i="1"/>
  <c r="U7151" i="1"/>
  <c r="U7150" i="1"/>
  <c r="U7149" i="1"/>
  <c r="U7148" i="1"/>
  <c r="U7147" i="1"/>
  <c r="U7146" i="1"/>
  <c r="U7145" i="1"/>
  <c r="U7144" i="1"/>
  <c r="U7143" i="1"/>
  <c r="U7142" i="1"/>
  <c r="U7141" i="1"/>
  <c r="U7140" i="1"/>
  <c r="U7139" i="1"/>
  <c r="U7138" i="1"/>
  <c r="U7137" i="1"/>
  <c r="U7136" i="1"/>
  <c r="U7135" i="1"/>
  <c r="U7134" i="1"/>
  <c r="U7133" i="1"/>
  <c r="U7132" i="1"/>
  <c r="U7131" i="1"/>
  <c r="U7130" i="1"/>
  <c r="U7129" i="1"/>
  <c r="U7128" i="1"/>
  <c r="U7127" i="1"/>
  <c r="U7126" i="1"/>
  <c r="U7125" i="1"/>
  <c r="U7124" i="1"/>
  <c r="U7123" i="1"/>
  <c r="U7122" i="1"/>
  <c r="U7121" i="1"/>
  <c r="U7120" i="1"/>
  <c r="U7119" i="1"/>
  <c r="U7118" i="1"/>
  <c r="U7117" i="1"/>
  <c r="U7116" i="1"/>
  <c r="U7115" i="1"/>
  <c r="U7114" i="1"/>
  <c r="U7113" i="1"/>
  <c r="U7112" i="1"/>
  <c r="U7111" i="1"/>
  <c r="U7110" i="1"/>
  <c r="U7109" i="1"/>
  <c r="U7108" i="1"/>
  <c r="U7107" i="1"/>
  <c r="U7106" i="1"/>
  <c r="U7105" i="1"/>
  <c r="U7104" i="1"/>
  <c r="U7103" i="1"/>
  <c r="U7102" i="1"/>
  <c r="U7101" i="1"/>
  <c r="U7100" i="1"/>
  <c r="U7099" i="1"/>
  <c r="U7098" i="1"/>
  <c r="U7097" i="1"/>
  <c r="U7096" i="1"/>
  <c r="U7095" i="1"/>
  <c r="U7094" i="1"/>
  <c r="U7093" i="1"/>
  <c r="U7092" i="1"/>
  <c r="U7091" i="1"/>
  <c r="U7090" i="1"/>
  <c r="U7089" i="1"/>
  <c r="U7088" i="1"/>
  <c r="U7087" i="1"/>
  <c r="U7086" i="1"/>
  <c r="U7085" i="1"/>
  <c r="U7084" i="1"/>
  <c r="U7083" i="1"/>
  <c r="U7082" i="1"/>
  <c r="U7081" i="1"/>
  <c r="U7080" i="1"/>
  <c r="U7079" i="1"/>
  <c r="U7078" i="1"/>
  <c r="U7077" i="1"/>
  <c r="U7076" i="1"/>
  <c r="U7075" i="1"/>
  <c r="U7074" i="1"/>
  <c r="U7073" i="1"/>
  <c r="U7072" i="1"/>
  <c r="U7071" i="1"/>
  <c r="U7070" i="1"/>
  <c r="U7069" i="1"/>
  <c r="U7068" i="1"/>
  <c r="U7067" i="1"/>
  <c r="U7066" i="1"/>
  <c r="U7065" i="1"/>
  <c r="U7064" i="1"/>
  <c r="U7063" i="1"/>
  <c r="U7062" i="1"/>
  <c r="U7061" i="1"/>
  <c r="U7060" i="1"/>
  <c r="U7059" i="1"/>
  <c r="U7058" i="1"/>
  <c r="U7057" i="1"/>
  <c r="U7056" i="1"/>
  <c r="U7055" i="1"/>
  <c r="U7054" i="1"/>
  <c r="U7053" i="1"/>
  <c r="U7052" i="1"/>
  <c r="U7051" i="1"/>
  <c r="U7050" i="1"/>
  <c r="U7049" i="1"/>
  <c r="U7048" i="1"/>
  <c r="U7047" i="1"/>
  <c r="U7046" i="1"/>
  <c r="U7045" i="1"/>
  <c r="U7044" i="1"/>
  <c r="U7043" i="1"/>
  <c r="U7042" i="1"/>
  <c r="U7041" i="1"/>
  <c r="U7040" i="1"/>
  <c r="U7039" i="1"/>
  <c r="U7038" i="1"/>
  <c r="U7037" i="1"/>
  <c r="U7036" i="1"/>
  <c r="U7035" i="1"/>
  <c r="U7034" i="1"/>
  <c r="U7033" i="1"/>
  <c r="U7032" i="1"/>
  <c r="U7031" i="1"/>
  <c r="U7030" i="1"/>
  <c r="U7029" i="1"/>
  <c r="U7028" i="1"/>
  <c r="U7027" i="1"/>
  <c r="U7026" i="1"/>
  <c r="U7025" i="1"/>
  <c r="U7024" i="1"/>
  <c r="U7022" i="1"/>
  <c r="U7021" i="1"/>
  <c r="U7020" i="1"/>
  <c r="U7019" i="1"/>
  <c r="U7018" i="1"/>
  <c r="U7017" i="1"/>
  <c r="U7016" i="1"/>
  <c r="U7015" i="1"/>
  <c r="U7014" i="1"/>
  <c r="U7013" i="1"/>
  <c r="U7012" i="1"/>
  <c r="U7011" i="1"/>
  <c r="U7010" i="1"/>
  <c r="U7009" i="1"/>
  <c r="U7008" i="1"/>
  <c r="U7007" i="1"/>
  <c r="U7006" i="1"/>
  <c r="U7005" i="1"/>
  <c r="U7003" i="1"/>
  <c r="U7002" i="1"/>
  <c r="U7001" i="1"/>
  <c r="U7000" i="1"/>
  <c r="U6999" i="1"/>
  <c r="U6998" i="1"/>
  <c r="U6997" i="1"/>
  <c r="U6996" i="1"/>
  <c r="U6995" i="1"/>
  <c r="U6994" i="1"/>
  <c r="U6993" i="1"/>
  <c r="U6992" i="1"/>
  <c r="U6991" i="1"/>
  <c r="U6990" i="1"/>
  <c r="U6989" i="1"/>
  <c r="U6988" i="1"/>
  <c r="U6987" i="1"/>
  <c r="U6986" i="1"/>
  <c r="U6985" i="1"/>
  <c r="U6984" i="1"/>
  <c r="U6983" i="1"/>
  <c r="U6982" i="1"/>
  <c r="U6981" i="1"/>
  <c r="U6980" i="1"/>
  <c r="U6979" i="1"/>
  <c r="U6978" i="1"/>
  <c r="U6977" i="1"/>
  <c r="U6976" i="1"/>
  <c r="U6975" i="1"/>
  <c r="U6974" i="1"/>
  <c r="U6973" i="1"/>
  <c r="U6972" i="1"/>
  <c r="U6971" i="1"/>
  <c r="U6969" i="1"/>
  <c r="U6968" i="1"/>
  <c r="U6967" i="1"/>
  <c r="U6966" i="1"/>
  <c r="U6965" i="1"/>
  <c r="U6964" i="1"/>
  <c r="U6963" i="1"/>
  <c r="U6962" i="1"/>
  <c r="U6961" i="1"/>
  <c r="U6960" i="1"/>
  <c r="U6959" i="1"/>
  <c r="U6958" i="1"/>
  <c r="U6957" i="1"/>
  <c r="U6956" i="1"/>
  <c r="U6955" i="1"/>
  <c r="U6954" i="1"/>
  <c r="U6953" i="1"/>
  <c r="U6952" i="1"/>
  <c r="U6951" i="1"/>
  <c r="U6950" i="1"/>
  <c r="U6949" i="1"/>
  <c r="U6948" i="1"/>
  <c r="U6947" i="1"/>
  <c r="U6946" i="1"/>
  <c r="U6945" i="1"/>
  <c r="U6944" i="1"/>
  <c r="U6943" i="1"/>
  <c r="U6942" i="1"/>
  <c r="U6941" i="1"/>
  <c r="U6940" i="1"/>
  <c r="U6939" i="1"/>
  <c r="U6938" i="1"/>
  <c r="U6937" i="1"/>
  <c r="U6936" i="1"/>
  <c r="U6935" i="1"/>
  <c r="U6934" i="1"/>
  <c r="U6933" i="1"/>
  <c r="U6932" i="1"/>
  <c r="U6931" i="1"/>
  <c r="U6930" i="1"/>
  <c r="U6929" i="1"/>
  <c r="U6928" i="1"/>
  <c r="U6927" i="1"/>
  <c r="U6926" i="1"/>
  <c r="U6925" i="1"/>
  <c r="U6924" i="1"/>
  <c r="U6923" i="1"/>
  <c r="U6922" i="1"/>
  <c r="U6921" i="1"/>
  <c r="U6920" i="1"/>
  <c r="U6919" i="1"/>
  <c r="U6918" i="1"/>
  <c r="U6917" i="1"/>
  <c r="U6916" i="1"/>
  <c r="U6915" i="1"/>
  <c r="U6914" i="1"/>
  <c r="U6913" i="1"/>
  <c r="U6912" i="1"/>
  <c r="U6911" i="1"/>
  <c r="U6910" i="1"/>
  <c r="U6909" i="1"/>
  <c r="U6908" i="1"/>
  <c r="U6907" i="1"/>
  <c r="U6906" i="1"/>
  <c r="U6905" i="1"/>
  <c r="U6904" i="1"/>
  <c r="U6903" i="1"/>
  <c r="U6902" i="1"/>
  <c r="U6901" i="1"/>
  <c r="U6900" i="1"/>
  <c r="U6899" i="1"/>
  <c r="U6898" i="1"/>
  <c r="U6897" i="1"/>
  <c r="U6896" i="1"/>
  <c r="U6895" i="1"/>
  <c r="U6894" i="1"/>
  <c r="U6893" i="1"/>
  <c r="U6892" i="1"/>
  <c r="U6891" i="1"/>
  <c r="U6890" i="1"/>
  <c r="U6889" i="1"/>
  <c r="U6888" i="1"/>
  <c r="U6887" i="1"/>
  <c r="U6886" i="1"/>
  <c r="U6885" i="1"/>
  <c r="U6884" i="1"/>
  <c r="U6883" i="1"/>
  <c r="U6882" i="1"/>
  <c r="U6881" i="1"/>
  <c r="U6880" i="1"/>
  <c r="U6879" i="1"/>
  <c r="U6878" i="1"/>
  <c r="U6877" i="1"/>
  <c r="U6872" i="1"/>
  <c r="U6871" i="1"/>
  <c r="U6870" i="1"/>
  <c r="U6869" i="1"/>
  <c r="U6868" i="1"/>
  <c r="U6867" i="1"/>
  <c r="U6866" i="1"/>
  <c r="U6865" i="1"/>
  <c r="U6864" i="1"/>
  <c r="U6863" i="1"/>
  <c r="U6862" i="1"/>
  <c r="U6861" i="1"/>
  <c r="U6860" i="1"/>
  <c r="U6859" i="1"/>
  <c r="U6857" i="1"/>
  <c r="U6856" i="1"/>
  <c r="U6855" i="1"/>
  <c r="U6854" i="1"/>
  <c r="U6853" i="1"/>
  <c r="U6852" i="1"/>
  <c r="U6851" i="1"/>
  <c r="U6850" i="1"/>
  <c r="U6849" i="1"/>
  <c r="U6848" i="1"/>
  <c r="U6847" i="1"/>
  <c r="U6846" i="1"/>
  <c r="U6845" i="1"/>
  <c r="U6844" i="1"/>
  <c r="U6843" i="1"/>
  <c r="U6842" i="1"/>
  <c r="U6841" i="1"/>
  <c r="U6840" i="1"/>
  <c r="U6839" i="1"/>
  <c r="U6838" i="1"/>
  <c r="U6837" i="1"/>
  <c r="U6836" i="1"/>
  <c r="U6835" i="1"/>
  <c r="U6834" i="1"/>
  <c r="U6833" i="1"/>
  <c r="U6832" i="1"/>
  <c r="U6831" i="1"/>
  <c r="U6830" i="1"/>
  <c r="U6829" i="1"/>
  <c r="U6828" i="1"/>
  <c r="U6827" i="1"/>
  <c r="U6826" i="1"/>
  <c r="U6825" i="1"/>
  <c r="U6824" i="1"/>
  <c r="U6823" i="1"/>
  <c r="U6822" i="1"/>
  <c r="U6821" i="1"/>
  <c r="U6820" i="1"/>
  <c r="U6819" i="1"/>
  <c r="U6818" i="1"/>
  <c r="U6817" i="1"/>
  <c r="U6816" i="1"/>
  <c r="U6815" i="1"/>
  <c r="U6814" i="1"/>
  <c r="U6813" i="1"/>
  <c r="U6812" i="1"/>
  <c r="U6811" i="1"/>
  <c r="U6810" i="1"/>
  <c r="U6809" i="1"/>
  <c r="U6808" i="1"/>
  <c r="U6807" i="1"/>
  <c r="U6806" i="1"/>
  <c r="U6805" i="1"/>
  <c r="U6804" i="1"/>
  <c r="U6803" i="1"/>
  <c r="U6802" i="1"/>
  <c r="U6801" i="1"/>
  <c r="U6800" i="1"/>
  <c r="U6799" i="1"/>
  <c r="U6798" i="1"/>
  <c r="U6797" i="1"/>
  <c r="U6796" i="1"/>
  <c r="U6795" i="1"/>
  <c r="U6794" i="1"/>
  <c r="U6793" i="1"/>
  <c r="U6792" i="1"/>
  <c r="U6791" i="1"/>
  <c r="U6790" i="1"/>
  <c r="U6789" i="1"/>
  <c r="U6788" i="1"/>
  <c r="U6787" i="1"/>
  <c r="U6786" i="1"/>
  <c r="U6785" i="1"/>
  <c r="U6784" i="1"/>
  <c r="U6783" i="1"/>
  <c r="U6782" i="1"/>
  <c r="U6781" i="1"/>
  <c r="U6780" i="1"/>
  <c r="U6779" i="1"/>
  <c r="U6778" i="1"/>
  <c r="U6777" i="1"/>
  <c r="U6776" i="1"/>
  <c r="U6775" i="1"/>
  <c r="U6774" i="1"/>
  <c r="U6773" i="1"/>
  <c r="U6772" i="1"/>
  <c r="U6771" i="1"/>
  <c r="U6770" i="1"/>
  <c r="U6769" i="1"/>
  <c r="U6768" i="1"/>
  <c r="U6767" i="1"/>
  <c r="U6766" i="1"/>
  <c r="U6765" i="1"/>
  <c r="U6764" i="1"/>
  <c r="U6763" i="1"/>
  <c r="U6762" i="1"/>
  <c r="U6761" i="1"/>
  <c r="U6760" i="1"/>
  <c r="U6759" i="1"/>
  <c r="U6758" i="1"/>
  <c r="U6757" i="1"/>
  <c r="U6756" i="1"/>
  <c r="U6755" i="1"/>
  <c r="U6754" i="1"/>
  <c r="U6753" i="1"/>
  <c r="U6752" i="1"/>
  <c r="U6751" i="1"/>
  <c r="U6750" i="1"/>
  <c r="U6749" i="1"/>
  <c r="U6748" i="1"/>
  <c r="U6747" i="1"/>
  <c r="U6746" i="1"/>
  <c r="U6745" i="1"/>
  <c r="U6744" i="1"/>
  <c r="U6743" i="1"/>
  <c r="U6742" i="1"/>
  <c r="U6741" i="1"/>
  <c r="U6740" i="1"/>
  <c r="U6739" i="1"/>
  <c r="U6738" i="1"/>
  <c r="U6737" i="1"/>
  <c r="U6736" i="1"/>
  <c r="U6735" i="1"/>
  <c r="U6734" i="1"/>
  <c r="U6733" i="1"/>
  <c r="U6732" i="1"/>
  <c r="U6731" i="1"/>
  <c r="U6730" i="1"/>
  <c r="U6729" i="1"/>
  <c r="U6728" i="1"/>
  <c r="U6727" i="1"/>
  <c r="U6726" i="1"/>
  <c r="U6725" i="1"/>
  <c r="U6724" i="1"/>
  <c r="U6723" i="1"/>
  <c r="U6722" i="1"/>
  <c r="U6721" i="1"/>
  <c r="U6720" i="1"/>
  <c r="U6719" i="1"/>
  <c r="U6718" i="1"/>
  <c r="U6717" i="1"/>
  <c r="U6716" i="1"/>
  <c r="U6715" i="1"/>
  <c r="U6714" i="1"/>
  <c r="U6713" i="1"/>
  <c r="U6712" i="1"/>
  <c r="U6711" i="1"/>
  <c r="U6710" i="1"/>
  <c r="U6709" i="1"/>
  <c r="U6708" i="1"/>
  <c r="U6707" i="1"/>
  <c r="U6706" i="1"/>
  <c r="U6705" i="1"/>
  <c r="U6704" i="1"/>
  <c r="U6703" i="1"/>
  <c r="U6702" i="1"/>
  <c r="U6701" i="1"/>
  <c r="U6700" i="1"/>
  <c r="U6699" i="1"/>
  <c r="U6698" i="1"/>
  <c r="U6697" i="1"/>
  <c r="U6696" i="1"/>
  <c r="U6695" i="1"/>
  <c r="U6694" i="1"/>
  <c r="U6693" i="1"/>
  <c r="U6692" i="1"/>
  <c r="U6691" i="1"/>
  <c r="U6690" i="1"/>
  <c r="U6689" i="1"/>
  <c r="U6688" i="1"/>
  <c r="U6687" i="1"/>
  <c r="U6685" i="1"/>
  <c r="U6684" i="1"/>
  <c r="U6683" i="1"/>
  <c r="U6682" i="1"/>
  <c r="U6681" i="1"/>
  <c r="U6680" i="1"/>
  <c r="U6679" i="1"/>
  <c r="U6678" i="1"/>
  <c r="U6677" i="1"/>
  <c r="U6676" i="1"/>
  <c r="U6675" i="1"/>
  <c r="U6674" i="1"/>
  <c r="U6673" i="1"/>
  <c r="U6672" i="1"/>
  <c r="U6671" i="1"/>
  <c r="U6670" i="1"/>
  <c r="U6669" i="1"/>
  <c r="U6668" i="1"/>
  <c r="U6667" i="1"/>
  <c r="U6666" i="1"/>
  <c r="U6665" i="1"/>
  <c r="U6664" i="1"/>
  <c r="U6663" i="1"/>
  <c r="U6662" i="1"/>
  <c r="U6661" i="1"/>
  <c r="U6660" i="1"/>
  <c r="U6659" i="1"/>
  <c r="U6658" i="1"/>
  <c r="U6657" i="1"/>
  <c r="U6656" i="1"/>
  <c r="U6655" i="1"/>
  <c r="U6654" i="1"/>
  <c r="U6653" i="1"/>
  <c r="U6652" i="1"/>
  <c r="U6651" i="1"/>
  <c r="U6650" i="1"/>
  <c r="U6649" i="1"/>
  <c r="U6648" i="1"/>
  <c r="U6647" i="1"/>
  <c r="U6646" i="1"/>
  <c r="U6645" i="1"/>
  <c r="U6644" i="1"/>
  <c r="U6643" i="1"/>
  <c r="U6642" i="1"/>
  <c r="U6641" i="1"/>
  <c r="U6640" i="1"/>
  <c r="U6639" i="1"/>
  <c r="U6638" i="1"/>
  <c r="U6637" i="1"/>
  <c r="U6636" i="1"/>
  <c r="U6635" i="1"/>
  <c r="U6634" i="1"/>
  <c r="U6633" i="1"/>
  <c r="U6632" i="1"/>
  <c r="U6631" i="1"/>
  <c r="U6630" i="1"/>
  <c r="U6629" i="1"/>
  <c r="U6628" i="1"/>
  <c r="U6627" i="1"/>
  <c r="U6626" i="1"/>
  <c r="U6625" i="1"/>
  <c r="U6624" i="1"/>
  <c r="U6623" i="1"/>
  <c r="U6622" i="1"/>
  <c r="U6621" i="1"/>
  <c r="U6620" i="1"/>
  <c r="U6619" i="1"/>
  <c r="U6618" i="1"/>
  <c r="U6617" i="1"/>
  <c r="U6616" i="1"/>
  <c r="U6615" i="1"/>
  <c r="U6614" i="1"/>
  <c r="U6613" i="1"/>
  <c r="U6612" i="1"/>
  <c r="U6611" i="1"/>
  <c r="U6610" i="1"/>
  <c r="U6609" i="1"/>
  <c r="U6608" i="1"/>
  <c r="U6607" i="1"/>
  <c r="U6606" i="1"/>
  <c r="U6604" i="1"/>
  <c r="U6603" i="1"/>
  <c r="U6602" i="1"/>
  <c r="U6601" i="1"/>
  <c r="U6600" i="1"/>
  <c r="U6599" i="1"/>
  <c r="U6598" i="1"/>
  <c r="U6597" i="1"/>
  <c r="U6596" i="1"/>
  <c r="U6595" i="1"/>
  <c r="U6594" i="1"/>
  <c r="U6593" i="1"/>
  <c r="U6592" i="1"/>
  <c r="U6591" i="1"/>
  <c r="U6590" i="1"/>
  <c r="U6589" i="1"/>
  <c r="U6588" i="1"/>
  <c r="U6587" i="1"/>
  <c r="U6586" i="1"/>
  <c r="U6585" i="1"/>
  <c r="U6584" i="1"/>
  <c r="U6583" i="1"/>
  <c r="U6582" i="1"/>
  <c r="U6581" i="1"/>
  <c r="U6580" i="1"/>
  <c r="U6579" i="1"/>
  <c r="U6578" i="1"/>
  <c r="U6577" i="1"/>
  <c r="U6576" i="1"/>
  <c r="U6575" i="1"/>
  <c r="U6574" i="1"/>
  <c r="U6573" i="1"/>
  <c r="U6572" i="1"/>
  <c r="U6571" i="1"/>
  <c r="U6570" i="1"/>
  <c r="U6569" i="1"/>
  <c r="U6568" i="1"/>
  <c r="U6567" i="1"/>
  <c r="U6566" i="1"/>
  <c r="U6565" i="1"/>
  <c r="U6564" i="1"/>
  <c r="U6563" i="1"/>
  <c r="U6562" i="1"/>
  <c r="U6561" i="1"/>
  <c r="U6560" i="1"/>
  <c r="U6559" i="1"/>
  <c r="U6558" i="1"/>
  <c r="U6557" i="1"/>
  <c r="U6556" i="1"/>
  <c r="U6555" i="1"/>
  <c r="U6554" i="1"/>
  <c r="U6553" i="1"/>
  <c r="U6552" i="1"/>
  <c r="U6551" i="1"/>
  <c r="U6550" i="1"/>
  <c r="U6549" i="1"/>
  <c r="U6548" i="1"/>
  <c r="U6547" i="1"/>
  <c r="U6546" i="1"/>
  <c r="U6545" i="1"/>
  <c r="U6544" i="1"/>
  <c r="U6543" i="1"/>
  <c r="U6542" i="1"/>
  <c r="U6541" i="1"/>
  <c r="U6540" i="1"/>
  <c r="U6539" i="1"/>
  <c r="U6538" i="1"/>
  <c r="U6537" i="1"/>
  <c r="U6536" i="1"/>
  <c r="U6535" i="1"/>
  <c r="U6534" i="1"/>
  <c r="U6533" i="1"/>
  <c r="U6532" i="1"/>
  <c r="U6531" i="1"/>
  <c r="U6530" i="1"/>
  <c r="U6529" i="1"/>
  <c r="U6528" i="1"/>
  <c r="U6527" i="1"/>
  <c r="U6526" i="1"/>
  <c r="U6525" i="1"/>
  <c r="U6524" i="1"/>
  <c r="U6523" i="1"/>
  <c r="U6522" i="1"/>
  <c r="U6521" i="1"/>
  <c r="U6520" i="1"/>
  <c r="U6519" i="1"/>
  <c r="U6518" i="1"/>
  <c r="U6517" i="1"/>
  <c r="U6516" i="1"/>
  <c r="U6515" i="1"/>
  <c r="U6514" i="1"/>
  <c r="U6513" i="1"/>
  <c r="U6512" i="1"/>
  <c r="U6511" i="1"/>
  <c r="U6510" i="1"/>
  <c r="U6509" i="1"/>
  <c r="U6508" i="1"/>
  <c r="U6506" i="1"/>
  <c r="U6505" i="1"/>
  <c r="U6504" i="1"/>
  <c r="U6503" i="1"/>
  <c r="U6502" i="1"/>
  <c r="U6501" i="1"/>
  <c r="U6500" i="1"/>
  <c r="U6499" i="1"/>
  <c r="U6498" i="1"/>
  <c r="U6497" i="1"/>
  <c r="U6496" i="1"/>
  <c r="U6495" i="1"/>
  <c r="U6494" i="1"/>
  <c r="U6493" i="1"/>
  <c r="U6492" i="1"/>
  <c r="U6491" i="1"/>
  <c r="U6490" i="1"/>
  <c r="U6489" i="1"/>
  <c r="U6488" i="1"/>
  <c r="U6487" i="1"/>
  <c r="U6486" i="1"/>
  <c r="U6485" i="1"/>
  <c r="U6484" i="1"/>
  <c r="U6483" i="1"/>
  <c r="U6482" i="1"/>
  <c r="U6481" i="1"/>
  <c r="U6480" i="1"/>
  <c r="U6479" i="1"/>
  <c r="U6478" i="1"/>
  <c r="U6477" i="1"/>
  <c r="U6476" i="1"/>
  <c r="U6475" i="1"/>
  <c r="U6474" i="1"/>
  <c r="U6473" i="1"/>
  <c r="U6472" i="1"/>
  <c r="U6471" i="1"/>
  <c r="U6470" i="1"/>
  <c r="U6469" i="1"/>
  <c r="U6468" i="1"/>
  <c r="U6467" i="1"/>
  <c r="U6466" i="1"/>
  <c r="U6465" i="1"/>
  <c r="U6464" i="1"/>
  <c r="U6463" i="1"/>
  <c r="U6462" i="1"/>
  <c r="U6461" i="1"/>
  <c r="U6460" i="1"/>
  <c r="U6459" i="1"/>
  <c r="U6458" i="1"/>
  <c r="U6457" i="1"/>
  <c r="U6456" i="1"/>
  <c r="U6455" i="1"/>
  <c r="U6454" i="1"/>
  <c r="U6453" i="1"/>
  <c r="U6452" i="1"/>
  <c r="U6451" i="1"/>
  <c r="U6450" i="1"/>
  <c r="U6449" i="1"/>
  <c r="U6448" i="1"/>
  <c r="U6447" i="1"/>
  <c r="U6446" i="1"/>
  <c r="U6445" i="1"/>
  <c r="U6444" i="1"/>
  <c r="U6443" i="1"/>
  <c r="U6442" i="1"/>
  <c r="U6441" i="1"/>
  <c r="U6440" i="1"/>
  <c r="U6439" i="1"/>
  <c r="U6438" i="1"/>
  <c r="U6437" i="1"/>
  <c r="U6436" i="1"/>
  <c r="U6435" i="1"/>
  <c r="U6434" i="1"/>
  <c r="U6433" i="1"/>
  <c r="U6432" i="1"/>
  <c r="U6431" i="1"/>
  <c r="U6430" i="1"/>
  <c r="U6429" i="1"/>
  <c r="U6428" i="1"/>
  <c r="U6427" i="1"/>
  <c r="U6426" i="1"/>
  <c r="U6425" i="1"/>
  <c r="U6424" i="1"/>
  <c r="U6423" i="1"/>
  <c r="U6422" i="1"/>
  <c r="U6421" i="1"/>
  <c r="U6420" i="1"/>
  <c r="U6419" i="1"/>
  <c r="U6418" i="1"/>
  <c r="U6417" i="1"/>
  <c r="U6416" i="1"/>
  <c r="U6415" i="1"/>
  <c r="U6414" i="1"/>
  <c r="U6413" i="1"/>
  <c r="U6412" i="1"/>
  <c r="U6411" i="1"/>
  <c r="U6410" i="1"/>
  <c r="U6409" i="1"/>
  <c r="U6408" i="1"/>
  <c r="U6407" i="1"/>
  <c r="U6406" i="1"/>
  <c r="U6405" i="1"/>
  <c r="U6404" i="1"/>
  <c r="U6403" i="1"/>
  <c r="U6402" i="1"/>
  <c r="U6401" i="1"/>
  <c r="U6400" i="1"/>
  <c r="U6399" i="1"/>
  <c r="U6398" i="1"/>
  <c r="U6397" i="1"/>
  <c r="U6396" i="1"/>
  <c r="U6395" i="1"/>
  <c r="U6394" i="1"/>
  <c r="U6393" i="1"/>
  <c r="U6392" i="1"/>
  <c r="U6391" i="1"/>
  <c r="U6390" i="1"/>
  <c r="U6389" i="1"/>
  <c r="U6388" i="1"/>
  <c r="U6387" i="1"/>
  <c r="U6386" i="1"/>
  <c r="U6385" i="1"/>
  <c r="U6384" i="1"/>
  <c r="U6383" i="1"/>
  <c r="U6382" i="1"/>
  <c r="U6381" i="1"/>
  <c r="U6380" i="1"/>
  <c r="U6379" i="1"/>
  <c r="U6378" i="1"/>
  <c r="U6377" i="1"/>
  <c r="U6376" i="1"/>
  <c r="U6375" i="1"/>
  <c r="U6374" i="1"/>
  <c r="U6373" i="1"/>
  <c r="U6372" i="1"/>
  <c r="U6371" i="1"/>
  <c r="U6370" i="1"/>
  <c r="U6369" i="1"/>
  <c r="U6368" i="1"/>
  <c r="U6367" i="1"/>
  <c r="U6366" i="1"/>
  <c r="U6365" i="1"/>
  <c r="U6364" i="1"/>
  <c r="U6363" i="1"/>
  <c r="U6362" i="1"/>
  <c r="U6361" i="1"/>
  <c r="U6360" i="1"/>
  <c r="U6359" i="1"/>
  <c r="U6358" i="1"/>
  <c r="U6357" i="1"/>
  <c r="U6356" i="1"/>
  <c r="U6355" i="1"/>
  <c r="U6354" i="1"/>
  <c r="U6353" i="1"/>
  <c r="U6352" i="1"/>
  <c r="U6351" i="1"/>
  <c r="U6350" i="1"/>
  <c r="U6349" i="1"/>
  <c r="U6348" i="1"/>
  <c r="U6347" i="1"/>
  <c r="U6346" i="1"/>
  <c r="U6344" i="1"/>
  <c r="U6343" i="1"/>
  <c r="U6342" i="1"/>
  <c r="U6341" i="1"/>
  <c r="U6340" i="1"/>
  <c r="U6339" i="1"/>
  <c r="U6338" i="1"/>
  <c r="U6337" i="1"/>
  <c r="U6336" i="1"/>
  <c r="U6335" i="1"/>
  <c r="U6334" i="1"/>
  <c r="U6333" i="1"/>
  <c r="U6332" i="1"/>
  <c r="U6331" i="1"/>
  <c r="U6330" i="1"/>
  <c r="U6329" i="1"/>
  <c r="U6328" i="1"/>
  <c r="U6327" i="1"/>
  <c r="U6326" i="1"/>
  <c r="U6325" i="1"/>
  <c r="U6324" i="1"/>
  <c r="U6323" i="1"/>
  <c r="U6322" i="1"/>
  <c r="U6321" i="1"/>
  <c r="U6320" i="1"/>
  <c r="U6319" i="1"/>
  <c r="U6318" i="1"/>
  <c r="U6317" i="1"/>
  <c r="U6316" i="1"/>
  <c r="U6315" i="1"/>
  <c r="U6314" i="1"/>
  <c r="U6313" i="1"/>
  <c r="U6312" i="1"/>
  <c r="U6311" i="1"/>
  <c r="U6310" i="1"/>
  <c r="U6309" i="1"/>
  <c r="U6308" i="1"/>
  <c r="U6307" i="1"/>
  <c r="U6306" i="1"/>
  <c r="U6305" i="1"/>
  <c r="U6304" i="1"/>
  <c r="U6303" i="1"/>
  <c r="U6302" i="1"/>
  <c r="U6301" i="1"/>
  <c r="U6300" i="1"/>
  <c r="U6299" i="1"/>
  <c r="U6298" i="1"/>
  <c r="U6297" i="1"/>
  <c r="U6296" i="1"/>
  <c r="U6295" i="1"/>
  <c r="U6294" i="1"/>
  <c r="U6293" i="1"/>
  <c r="U6292" i="1"/>
  <c r="U6291" i="1"/>
  <c r="U6290" i="1"/>
  <c r="U6289" i="1"/>
  <c r="U6288" i="1"/>
  <c r="U6287" i="1"/>
  <c r="U6286" i="1"/>
  <c r="U6285" i="1"/>
  <c r="U6284" i="1"/>
  <c r="U6283" i="1"/>
  <c r="U6282" i="1"/>
  <c r="U6281" i="1"/>
  <c r="U6280" i="1"/>
  <c r="U6279" i="1"/>
  <c r="U6278" i="1"/>
  <c r="U6277" i="1"/>
  <c r="U6276" i="1"/>
  <c r="U6275" i="1"/>
  <c r="U6274" i="1"/>
  <c r="U6273" i="1"/>
  <c r="U6272" i="1"/>
  <c r="U6271" i="1"/>
  <c r="U6270" i="1"/>
  <c r="U6269" i="1"/>
  <c r="U6268" i="1"/>
  <c r="U6267" i="1"/>
  <c r="U6266" i="1"/>
  <c r="U6265" i="1"/>
  <c r="U6264" i="1"/>
  <c r="U6263" i="1"/>
  <c r="U6262" i="1"/>
  <c r="U6261" i="1"/>
  <c r="U6260" i="1"/>
  <c r="U6259" i="1"/>
  <c r="U6258" i="1"/>
  <c r="U6257" i="1"/>
  <c r="U6256" i="1"/>
  <c r="U6255" i="1"/>
  <c r="U6254" i="1"/>
  <c r="U6253" i="1"/>
  <c r="U6252" i="1"/>
  <c r="U6251" i="1"/>
  <c r="U6250" i="1"/>
  <c r="U6249" i="1"/>
  <c r="U6248" i="1"/>
  <c r="U6247" i="1"/>
  <c r="U6246" i="1"/>
  <c r="U6245" i="1"/>
  <c r="U6244" i="1"/>
  <c r="U6243" i="1"/>
  <c r="U6242" i="1"/>
  <c r="U6241" i="1"/>
  <c r="U6240" i="1"/>
  <c r="U6239" i="1"/>
  <c r="U6238" i="1"/>
  <c r="U6237" i="1"/>
  <c r="U6236" i="1"/>
  <c r="U6235" i="1"/>
  <c r="U6234" i="1"/>
  <c r="U6233" i="1"/>
  <c r="U6232" i="1"/>
  <c r="U6231" i="1"/>
  <c r="U6230" i="1"/>
  <c r="U6229" i="1"/>
  <c r="U6228" i="1"/>
  <c r="U6227" i="1"/>
  <c r="U6226" i="1"/>
  <c r="U6225" i="1"/>
  <c r="U6224" i="1"/>
  <c r="U6223" i="1"/>
  <c r="U6222" i="1"/>
  <c r="U6221" i="1"/>
  <c r="U6220" i="1"/>
  <c r="U6219" i="1"/>
  <c r="U6218" i="1"/>
  <c r="U6217" i="1"/>
  <c r="U6216" i="1"/>
  <c r="U6215" i="1"/>
  <c r="U6214" i="1"/>
  <c r="U6213" i="1"/>
  <c r="U6212" i="1"/>
  <c r="U6211" i="1"/>
  <c r="U6210" i="1"/>
  <c r="U6209" i="1"/>
  <c r="U6208" i="1"/>
  <c r="U6207" i="1"/>
  <c r="U6206" i="1"/>
  <c r="U6205" i="1"/>
  <c r="U6203" i="1"/>
  <c r="U6202" i="1"/>
  <c r="U6201" i="1"/>
  <c r="U6200" i="1"/>
  <c r="U6199" i="1"/>
  <c r="U6198" i="1"/>
  <c r="U6197" i="1"/>
  <c r="U6196" i="1"/>
  <c r="U6195" i="1"/>
  <c r="U6194" i="1"/>
  <c r="U6193" i="1"/>
  <c r="U6192" i="1"/>
  <c r="U6191" i="1"/>
  <c r="U6190" i="1"/>
  <c r="U6189" i="1"/>
  <c r="U6188" i="1"/>
  <c r="U6187" i="1"/>
  <c r="U6186" i="1"/>
  <c r="U6185" i="1"/>
  <c r="U6184" i="1"/>
  <c r="U6183" i="1"/>
  <c r="U6182" i="1"/>
  <c r="U6181" i="1"/>
  <c r="U6180" i="1"/>
  <c r="U6179" i="1"/>
  <c r="U6178" i="1"/>
  <c r="U6177" i="1"/>
  <c r="U6176" i="1"/>
  <c r="U6175" i="1"/>
  <c r="U6174" i="1"/>
  <c r="U6173" i="1"/>
  <c r="U6172" i="1"/>
  <c r="U6171" i="1"/>
  <c r="U6170" i="1"/>
  <c r="U6169" i="1"/>
  <c r="U6168" i="1"/>
  <c r="U6167" i="1"/>
  <c r="U6166" i="1"/>
  <c r="U6165" i="1"/>
  <c r="U6164" i="1"/>
  <c r="U6163" i="1"/>
  <c r="U6162" i="1"/>
  <c r="U6161" i="1"/>
  <c r="U6160" i="1"/>
  <c r="U6159" i="1"/>
  <c r="U6158" i="1"/>
  <c r="U6157" i="1"/>
  <c r="U6156" i="1"/>
  <c r="U6155" i="1"/>
  <c r="U6154" i="1"/>
  <c r="U6153" i="1"/>
  <c r="U6152" i="1"/>
  <c r="U6151" i="1"/>
  <c r="U6150" i="1"/>
  <c r="U6148" i="1"/>
  <c r="U6147" i="1"/>
  <c r="U6146" i="1"/>
  <c r="U6145" i="1"/>
  <c r="U6144" i="1"/>
  <c r="U6143" i="1"/>
  <c r="U6142" i="1"/>
  <c r="U6141" i="1"/>
  <c r="U6140" i="1"/>
  <c r="U6139" i="1"/>
  <c r="U6138" i="1"/>
  <c r="U6137" i="1"/>
  <c r="U6136" i="1"/>
  <c r="U6135" i="1"/>
  <c r="U6134" i="1"/>
  <c r="U6133" i="1"/>
  <c r="U6132" i="1"/>
  <c r="U6131" i="1"/>
  <c r="U6130" i="1"/>
  <c r="U6129" i="1"/>
  <c r="U6128" i="1"/>
  <c r="U6127" i="1"/>
  <c r="U6126" i="1"/>
  <c r="U6125" i="1"/>
  <c r="U6124" i="1"/>
  <c r="U6123" i="1"/>
  <c r="U6122" i="1"/>
  <c r="U6121" i="1"/>
  <c r="U6120" i="1"/>
  <c r="U6119" i="1"/>
  <c r="U6118" i="1"/>
  <c r="U6117" i="1"/>
  <c r="U6116" i="1"/>
  <c r="U6115" i="1"/>
  <c r="U6114" i="1"/>
  <c r="U6113" i="1"/>
  <c r="U6112" i="1"/>
  <c r="U6111" i="1"/>
  <c r="U6110" i="1"/>
  <c r="U6109" i="1"/>
  <c r="U6108" i="1"/>
  <c r="U6107" i="1"/>
  <c r="U6106" i="1"/>
  <c r="U6105" i="1"/>
  <c r="U6104" i="1"/>
  <c r="U6103" i="1"/>
  <c r="U6102" i="1"/>
  <c r="U6101" i="1"/>
  <c r="U6100" i="1"/>
  <c r="U6099" i="1"/>
  <c r="U6098" i="1"/>
  <c r="U6097" i="1"/>
  <c r="U6096" i="1"/>
  <c r="U6095" i="1"/>
  <c r="U6094" i="1"/>
  <c r="U6093" i="1"/>
  <c r="U6092" i="1"/>
  <c r="U6091" i="1"/>
  <c r="U6090" i="1"/>
  <c r="U6089" i="1"/>
  <c r="U6088" i="1"/>
  <c r="U6087" i="1"/>
  <c r="U6086" i="1"/>
  <c r="U6085" i="1"/>
  <c r="U6084" i="1"/>
  <c r="U6083" i="1"/>
  <c r="U6082" i="1"/>
  <c r="U6081" i="1"/>
  <c r="U6080" i="1"/>
  <c r="U6079" i="1"/>
  <c r="U6078" i="1"/>
  <c r="U6077" i="1"/>
  <c r="U6076" i="1"/>
  <c r="U6075" i="1"/>
  <c r="U6074" i="1"/>
  <c r="U6073" i="1"/>
  <c r="U6072" i="1"/>
  <c r="U6071" i="1"/>
  <c r="U6070" i="1"/>
  <c r="U6069" i="1"/>
  <c r="U6068" i="1"/>
  <c r="U6067" i="1"/>
  <c r="U6066" i="1"/>
  <c r="U6065" i="1"/>
  <c r="U6064" i="1"/>
  <c r="U6063" i="1"/>
  <c r="U6062" i="1"/>
  <c r="U6061" i="1"/>
  <c r="U6060" i="1"/>
  <c r="U6059" i="1"/>
  <c r="U6058" i="1"/>
  <c r="U6057" i="1"/>
  <c r="U6056" i="1"/>
  <c r="U6055" i="1"/>
  <c r="U6054" i="1"/>
  <c r="U6053" i="1"/>
  <c r="U6052" i="1"/>
  <c r="U6051" i="1"/>
  <c r="U6050" i="1"/>
  <c r="U6049" i="1"/>
  <c r="U6048" i="1"/>
  <c r="U6047" i="1"/>
  <c r="U6046" i="1"/>
  <c r="U6045" i="1"/>
  <c r="U6044" i="1"/>
  <c r="U6043" i="1"/>
  <c r="U6042" i="1"/>
  <c r="U6041" i="1"/>
  <c r="U6040" i="1"/>
  <c r="U6039" i="1"/>
  <c r="U6038" i="1"/>
  <c r="U6037" i="1"/>
  <c r="U6036" i="1"/>
  <c r="U6035" i="1"/>
  <c r="U6034" i="1"/>
  <c r="U6033" i="1"/>
  <c r="U6032" i="1"/>
  <c r="U6031" i="1"/>
  <c r="U6030" i="1"/>
  <c r="U6029" i="1"/>
  <c r="U6028" i="1"/>
  <c r="U6027" i="1"/>
  <c r="U6026" i="1"/>
  <c r="U6025" i="1"/>
  <c r="U6024" i="1"/>
  <c r="U6023" i="1"/>
  <c r="U6022" i="1"/>
  <c r="U6021" i="1"/>
  <c r="U6020" i="1"/>
  <c r="U6019" i="1"/>
  <c r="U6018" i="1"/>
  <c r="U6017" i="1"/>
  <c r="U6016" i="1"/>
  <c r="U6015" i="1"/>
  <c r="U6014" i="1"/>
  <c r="U6013" i="1"/>
  <c r="U6012" i="1"/>
  <c r="U6011" i="1"/>
  <c r="U6010" i="1"/>
  <c r="U6009" i="1"/>
  <c r="U6008" i="1"/>
  <c r="U6007" i="1"/>
  <c r="U6006" i="1"/>
  <c r="U6005" i="1"/>
  <c r="U6004" i="1"/>
  <c r="U6003" i="1"/>
  <c r="U6002" i="1"/>
  <c r="U6001" i="1"/>
  <c r="U6000" i="1"/>
  <c r="U5999" i="1"/>
  <c r="U5998" i="1"/>
  <c r="U5997" i="1"/>
  <c r="U5996" i="1"/>
  <c r="U5995" i="1"/>
  <c r="U5994" i="1"/>
  <c r="U5993" i="1"/>
  <c r="U5992" i="1"/>
  <c r="U5991" i="1"/>
  <c r="U5990" i="1"/>
  <c r="U5989" i="1"/>
  <c r="U5988" i="1"/>
  <c r="U5987" i="1"/>
  <c r="U5986" i="1"/>
  <c r="U5985" i="1"/>
  <c r="U5984" i="1"/>
  <c r="U5983" i="1"/>
  <c r="U5982" i="1"/>
  <c r="U5981" i="1"/>
  <c r="U5980" i="1"/>
  <c r="U5979" i="1"/>
  <c r="U5978" i="1"/>
  <c r="U5977" i="1"/>
  <c r="U5976" i="1"/>
  <c r="U5975" i="1"/>
  <c r="U5974" i="1"/>
  <c r="U5973" i="1"/>
  <c r="U5972" i="1"/>
  <c r="U5971" i="1"/>
  <c r="U5970" i="1"/>
  <c r="U5969" i="1"/>
  <c r="U5968" i="1"/>
  <c r="U5967" i="1"/>
  <c r="U5966" i="1"/>
  <c r="U5965" i="1"/>
  <c r="U5964" i="1"/>
  <c r="U5963" i="1"/>
  <c r="U5962" i="1"/>
  <c r="U5961" i="1"/>
  <c r="U5960" i="1"/>
  <c r="U5959" i="1"/>
  <c r="U5958" i="1"/>
  <c r="U5957" i="1"/>
  <c r="U5956" i="1"/>
  <c r="U5955" i="1"/>
  <c r="U5954" i="1"/>
  <c r="U5953" i="1"/>
  <c r="U5952" i="1"/>
  <c r="U5951" i="1"/>
  <c r="U5950" i="1"/>
  <c r="U5949" i="1"/>
  <c r="U5948" i="1"/>
  <c r="U5947" i="1"/>
  <c r="U5946" i="1"/>
  <c r="U5945" i="1"/>
  <c r="U5944" i="1"/>
  <c r="U5943" i="1"/>
  <c r="U5942" i="1"/>
  <c r="U5941" i="1"/>
  <c r="U5940" i="1"/>
  <c r="U5939" i="1"/>
  <c r="U5938" i="1"/>
  <c r="U5937" i="1"/>
  <c r="U5936" i="1"/>
  <c r="U5935" i="1"/>
  <c r="U5934" i="1"/>
  <c r="U5933" i="1"/>
  <c r="U5932" i="1"/>
  <c r="U5931" i="1"/>
  <c r="U5930" i="1"/>
  <c r="U5929" i="1"/>
  <c r="U5928" i="1"/>
  <c r="U5927" i="1"/>
  <c r="U5926" i="1"/>
  <c r="U5925" i="1"/>
  <c r="U5924" i="1"/>
  <c r="U5923" i="1"/>
  <c r="U5922" i="1"/>
  <c r="U5921" i="1"/>
  <c r="U5920" i="1"/>
  <c r="U5919" i="1"/>
  <c r="U5918" i="1"/>
  <c r="U5917" i="1"/>
  <c r="U5916" i="1"/>
  <c r="U5915" i="1"/>
  <c r="U5914" i="1"/>
  <c r="U5913" i="1"/>
  <c r="U5912" i="1"/>
  <c r="U5911" i="1"/>
  <c r="U5910" i="1"/>
  <c r="U5909" i="1"/>
  <c r="U5908" i="1"/>
  <c r="U5907" i="1"/>
  <c r="U5906" i="1"/>
  <c r="U5905" i="1"/>
  <c r="U5904" i="1"/>
  <c r="U5903" i="1"/>
  <c r="U5902" i="1"/>
  <c r="U5901" i="1"/>
  <c r="U5900" i="1"/>
  <c r="U5899" i="1"/>
  <c r="U5898" i="1"/>
  <c r="U5897" i="1"/>
  <c r="U5896" i="1"/>
  <c r="U5895" i="1"/>
  <c r="U5894" i="1"/>
  <c r="U5893" i="1"/>
  <c r="U5892" i="1"/>
  <c r="U5891" i="1"/>
  <c r="U5890" i="1"/>
  <c r="U5888" i="1"/>
  <c r="U5887" i="1"/>
  <c r="U5886" i="1"/>
  <c r="U5885" i="1"/>
  <c r="U5884" i="1"/>
  <c r="U5883" i="1"/>
  <c r="U5882" i="1"/>
  <c r="U5881" i="1"/>
  <c r="U5880" i="1"/>
  <c r="U5879" i="1"/>
  <c r="U5878" i="1"/>
  <c r="U5877" i="1"/>
  <c r="U5876" i="1"/>
  <c r="U5875" i="1"/>
  <c r="U5874" i="1"/>
  <c r="U5873" i="1"/>
  <c r="U5872" i="1"/>
  <c r="U5871" i="1"/>
  <c r="U5870" i="1"/>
  <c r="U5869" i="1"/>
  <c r="U5868" i="1"/>
  <c r="U5867" i="1"/>
  <c r="U5866" i="1"/>
  <c r="U5865" i="1"/>
  <c r="U5864" i="1"/>
  <c r="U5863" i="1"/>
  <c r="U5862" i="1"/>
  <c r="U5861" i="1"/>
  <c r="U5860" i="1"/>
  <c r="U5859" i="1"/>
  <c r="U5858" i="1"/>
  <c r="U5857" i="1"/>
  <c r="U5856" i="1"/>
  <c r="U5855" i="1"/>
  <c r="U5854" i="1"/>
  <c r="U5853" i="1"/>
  <c r="U5852" i="1"/>
  <c r="U5851" i="1"/>
  <c r="U5850" i="1"/>
  <c r="U5849" i="1"/>
  <c r="U5848" i="1"/>
  <c r="U5847" i="1"/>
  <c r="U5846" i="1"/>
  <c r="U5845" i="1"/>
  <c r="U5844" i="1"/>
  <c r="U5843" i="1"/>
  <c r="U5842" i="1"/>
  <c r="U5841" i="1"/>
  <c r="U5840" i="1"/>
  <c r="U5839" i="1"/>
  <c r="U5838" i="1"/>
  <c r="U5837" i="1"/>
  <c r="U5836" i="1"/>
  <c r="U5835" i="1"/>
  <c r="U5834" i="1"/>
  <c r="U5833" i="1"/>
  <c r="U5832" i="1"/>
  <c r="U5831" i="1"/>
  <c r="U5830" i="1"/>
  <c r="U5829" i="1"/>
  <c r="U5828" i="1"/>
  <c r="U5827" i="1"/>
  <c r="U5826" i="1"/>
  <c r="U5825" i="1"/>
  <c r="U5824" i="1"/>
  <c r="U5823" i="1"/>
  <c r="U5822" i="1"/>
  <c r="U5821" i="1"/>
  <c r="U5820" i="1"/>
  <c r="U5819" i="1"/>
  <c r="U5818" i="1"/>
  <c r="U5817" i="1"/>
  <c r="U5816" i="1"/>
  <c r="U5815" i="1"/>
  <c r="U5814" i="1"/>
  <c r="U5813" i="1"/>
  <c r="U5812" i="1"/>
  <c r="U5811" i="1"/>
  <c r="U5810" i="1"/>
  <c r="U5809" i="1"/>
  <c r="U5808" i="1"/>
  <c r="U5807" i="1"/>
  <c r="U5806" i="1"/>
  <c r="U5805" i="1"/>
  <c r="U5804" i="1"/>
  <c r="U5803" i="1"/>
  <c r="U5802" i="1"/>
  <c r="U5801" i="1"/>
  <c r="U5800" i="1"/>
  <c r="U5799" i="1"/>
  <c r="U5798" i="1"/>
  <c r="U5797" i="1"/>
  <c r="U5796" i="1"/>
  <c r="U5795" i="1"/>
  <c r="U5794" i="1"/>
  <c r="U5793" i="1"/>
  <c r="U5792" i="1"/>
  <c r="U5791" i="1"/>
  <c r="U5790" i="1"/>
  <c r="U5789" i="1"/>
  <c r="U5788" i="1"/>
  <c r="U5787" i="1"/>
  <c r="U5786" i="1"/>
  <c r="U5785" i="1"/>
  <c r="U5784" i="1"/>
  <c r="U5783" i="1"/>
  <c r="U5782" i="1"/>
  <c r="U5781" i="1"/>
  <c r="U5780" i="1"/>
  <c r="U5779" i="1"/>
  <c r="U5778" i="1"/>
  <c r="U5777" i="1"/>
  <c r="U5776" i="1"/>
  <c r="U5775" i="1"/>
  <c r="U5774" i="1"/>
  <c r="U5773" i="1"/>
  <c r="U5772" i="1"/>
  <c r="U5771" i="1"/>
  <c r="U5770" i="1"/>
  <c r="U5769" i="1"/>
  <c r="U5768" i="1"/>
  <c r="U5767" i="1"/>
  <c r="U5766" i="1"/>
  <c r="U5765" i="1"/>
  <c r="U5764" i="1"/>
  <c r="U5763" i="1"/>
  <c r="U5762" i="1"/>
  <c r="U5761" i="1"/>
  <c r="U5760" i="1"/>
  <c r="U5759" i="1"/>
  <c r="U5758" i="1"/>
  <c r="U5757" i="1"/>
  <c r="U5756" i="1"/>
  <c r="U5755" i="1"/>
  <c r="U5754" i="1"/>
  <c r="U5753" i="1"/>
  <c r="U5752" i="1"/>
  <c r="U5751" i="1"/>
  <c r="U5750" i="1"/>
  <c r="U5749" i="1"/>
  <c r="U5748" i="1"/>
  <c r="U5747" i="1"/>
  <c r="U5746" i="1"/>
  <c r="U5745" i="1"/>
  <c r="U5744" i="1"/>
  <c r="U5743" i="1"/>
  <c r="U5742" i="1"/>
  <c r="U5741" i="1"/>
  <c r="U5740" i="1"/>
  <c r="U5739" i="1"/>
  <c r="U5738" i="1"/>
  <c r="U5737" i="1"/>
  <c r="U5736" i="1"/>
  <c r="U5735" i="1"/>
  <c r="U5734" i="1"/>
  <c r="U5733" i="1"/>
  <c r="U5732" i="1"/>
  <c r="U5731" i="1"/>
  <c r="U5730" i="1"/>
  <c r="U5729" i="1"/>
  <c r="U5728" i="1"/>
  <c r="U5727" i="1"/>
  <c r="U5726" i="1"/>
  <c r="U5725" i="1"/>
  <c r="U5724" i="1"/>
  <c r="U5723" i="1"/>
  <c r="U5722" i="1"/>
  <c r="U5721" i="1"/>
  <c r="U5720" i="1"/>
  <c r="U5719" i="1"/>
  <c r="U5718" i="1"/>
  <c r="U5717" i="1"/>
  <c r="U5716" i="1"/>
  <c r="U5715" i="1"/>
  <c r="U5714" i="1"/>
  <c r="U5713" i="1"/>
  <c r="U5712" i="1"/>
  <c r="U5711" i="1"/>
  <c r="U5710" i="1"/>
  <c r="U5709" i="1"/>
  <c r="U5708" i="1"/>
  <c r="U5707" i="1"/>
  <c r="U5706" i="1"/>
  <c r="U5705" i="1"/>
  <c r="U5704" i="1"/>
  <c r="U5703" i="1"/>
  <c r="U5702" i="1"/>
  <c r="U5701" i="1"/>
  <c r="U5700" i="1"/>
  <c r="U5699" i="1"/>
  <c r="U5698" i="1"/>
  <c r="U5697" i="1"/>
  <c r="U5696" i="1"/>
  <c r="U5695" i="1"/>
  <c r="U5694" i="1"/>
  <c r="U5693" i="1"/>
  <c r="U5692" i="1"/>
  <c r="U5691" i="1"/>
  <c r="U5690" i="1"/>
  <c r="U5689" i="1"/>
  <c r="U5688" i="1"/>
  <c r="U5687" i="1"/>
  <c r="U5686" i="1"/>
  <c r="U5685" i="1"/>
  <c r="U5684" i="1"/>
  <c r="U5683" i="1"/>
  <c r="U5682" i="1"/>
  <c r="U5681" i="1"/>
  <c r="U5680" i="1"/>
  <c r="U5679" i="1"/>
  <c r="U5678" i="1"/>
  <c r="U5677" i="1"/>
  <c r="U5676" i="1"/>
  <c r="U5675" i="1"/>
  <c r="U5674" i="1"/>
  <c r="U5673" i="1"/>
  <c r="U5672" i="1"/>
  <c r="U5671" i="1"/>
  <c r="U5670" i="1"/>
  <c r="U5669" i="1"/>
  <c r="U5668" i="1"/>
  <c r="U5667" i="1"/>
  <c r="U5666" i="1"/>
  <c r="U5665" i="1"/>
  <c r="U5664" i="1"/>
  <c r="U5663" i="1"/>
  <c r="U5662" i="1"/>
  <c r="U5661" i="1"/>
  <c r="U5660" i="1"/>
  <c r="U5659" i="1"/>
  <c r="U5658" i="1"/>
  <c r="U5657" i="1"/>
  <c r="U5656" i="1"/>
  <c r="U5655" i="1"/>
  <c r="U5654" i="1"/>
  <c r="U5653" i="1"/>
  <c r="U5652" i="1"/>
  <c r="U5651" i="1"/>
  <c r="U5650" i="1"/>
  <c r="U5649" i="1"/>
  <c r="U5648" i="1"/>
  <c r="U5647" i="1"/>
  <c r="U5646" i="1"/>
  <c r="U5645" i="1"/>
  <c r="U5644" i="1"/>
  <c r="U5643" i="1"/>
  <c r="U5641" i="1"/>
  <c r="U5640" i="1"/>
  <c r="U5639" i="1"/>
  <c r="U5638" i="1"/>
  <c r="U5637" i="1"/>
  <c r="U5636" i="1"/>
  <c r="U5635" i="1"/>
  <c r="U5634" i="1"/>
  <c r="U5633" i="1"/>
  <c r="U5632" i="1"/>
  <c r="U5631" i="1"/>
  <c r="U5630" i="1"/>
  <c r="U5629" i="1"/>
  <c r="U5628" i="1"/>
  <c r="U5627" i="1"/>
  <c r="U5626" i="1"/>
  <c r="U5625" i="1"/>
  <c r="U5624" i="1"/>
  <c r="U5623" i="1"/>
  <c r="U5622" i="1"/>
  <c r="U5621" i="1"/>
  <c r="U5620" i="1"/>
  <c r="U5619" i="1"/>
  <c r="U5618" i="1"/>
  <c r="U5617" i="1"/>
  <c r="U5616" i="1"/>
  <c r="U5615" i="1"/>
  <c r="U5614" i="1"/>
  <c r="U5613" i="1"/>
  <c r="U5612" i="1"/>
  <c r="U5611" i="1"/>
  <c r="U5610" i="1"/>
  <c r="U5609" i="1"/>
  <c r="U5608" i="1"/>
  <c r="U5607" i="1"/>
  <c r="U5606" i="1"/>
  <c r="U5605" i="1"/>
  <c r="U5604" i="1"/>
  <c r="U5603" i="1"/>
  <c r="U5602" i="1"/>
  <c r="U5601" i="1"/>
  <c r="U5600" i="1"/>
  <c r="U5599" i="1"/>
  <c r="U5598" i="1"/>
  <c r="U5597" i="1"/>
  <c r="U5596" i="1"/>
  <c r="U5595" i="1"/>
  <c r="U5594" i="1"/>
  <c r="U5593" i="1"/>
  <c r="U5592" i="1"/>
  <c r="U5591" i="1"/>
  <c r="U5590" i="1"/>
  <c r="U5589" i="1"/>
  <c r="U5588" i="1"/>
  <c r="U5587" i="1"/>
  <c r="U5586" i="1"/>
  <c r="U5585" i="1"/>
  <c r="U5584" i="1"/>
  <c r="U5583" i="1"/>
  <c r="U5582" i="1"/>
  <c r="U5581" i="1"/>
  <c r="U5580" i="1"/>
  <c r="U5579" i="1"/>
  <c r="U5578" i="1"/>
  <c r="U5577" i="1"/>
  <c r="U5576" i="1"/>
  <c r="U5575" i="1"/>
  <c r="U5574" i="1"/>
  <c r="U5573" i="1"/>
  <c r="U5572" i="1"/>
  <c r="U5571" i="1"/>
  <c r="U5570" i="1"/>
  <c r="U5569" i="1"/>
  <c r="U5568" i="1"/>
  <c r="U5567" i="1"/>
  <c r="U5566" i="1"/>
  <c r="U5565" i="1"/>
  <c r="U5564" i="1"/>
  <c r="U5563" i="1"/>
  <c r="U5562" i="1"/>
  <c r="U5561" i="1"/>
  <c r="U5560" i="1"/>
  <c r="U5559" i="1"/>
  <c r="U5558" i="1"/>
  <c r="U5557" i="1"/>
  <c r="U5556" i="1"/>
  <c r="U5555" i="1"/>
  <c r="U5554" i="1"/>
  <c r="U5553" i="1"/>
  <c r="U5552" i="1"/>
  <c r="U5551" i="1"/>
  <c r="U5550" i="1"/>
  <c r="U5549" i="1"/>
  <c r="U5548" i="1"/>
  <c r="U5547" i="1"/>
  <c r="U5546" i="1"/>
  <c r="U5545" i="1"/>
  <c r="U5544" i="1"/>
  <c r="U5543" i="1"/>
  <c r="U5542" i="1"/>
  <c r="U5541" i="1"/>
  <c r="U5540" i="1"/>
  <c r="U5539" i="1"/>
  <c r="U5538" i="1"/>
  <c r="U5537" i="1"/>
  <c r="U5536" i="1"/>
  <c r="U5535" i="1"/>
  <c r="U5534" i="1"/>
  <c r="U5533" i="1"/>
  <c r="U5532" i="1"/>
  <c r="U5531" i="1"/>
  <c r="U5530" i="1"/>
  <c r="U5529" i="1"/>
  <c r="U5528" i="1"/>
  <c r="U5527" i="1"/>
  <c r="U5526" i="1"/>
  <c r="U5525" i="1"/>
  <c r="U5524" i="1"/>
  <c r="U5523" i="1"/>
  <c r="U5522" i="1"/>
  <c r="U5520" i="1"/>
  <c r="U5519" i="1"/>
  <c r="U5518" i="1"/>
  <c r="U5517" i="1"/>
  <c r="U5516" i="1"/>
  <c r="U5515" i="1"/>
  <c r="U5514" i="1"/>
  <c r="U5513" i="1"/>
  <c r="U5512" i="1"/>
  <c r="U5511" i="1"/>
  <c r="U5510" i="1"/>
  <c r="U5509" i="1"/>
  <c r="U5508" i="1"/>
  <c r="U5507" i="1"/>
  <c r="U5506" i="1"/>
  <c r="U5505" i="1"/>
  <c r="U5504" i="1"/>
  <c r="U5503" i="1"/>
  <c r="U5502" i="1"/>
  <c r="U5501" i="1"/>
  <c r="U5500" i="1"/>
  <c r="U5499" i="1"/>
  <c r="U5498" i="1"/>
  <c r="U5497" i="1"/>
  <c r="U5496" i="1"/>
  <c r="U5495" i="1"/>
  <c r="U5494" i="1"/>
  <c r="U5493" i="1"/>
  <c r="U5492" i="1"/>
  <c r="U5491" i="1"/>
  <c r="U5490" i="1"/>
  <c r="U5489" i="1"/>
  <c r="U5488" i="1"/>
  <c r="U5487" i="1"/>
  <c r="U5486" i="1"/>
  <c r="U5485" i="1"/>
  <c r="U5484" i="1"/>
  <c r="U5483" i="1"/>
  <c r="U5482" i="1"/>
  <c r="U5481" i="1"/>
  <c r="U5480" i="1"/>
  <c r="U5479" i="1"/>
  <c r="U5478" i="1"/>
  <c r="U5477" i="1"/>
  <c r="U5476" i="1"/>
  <c r="U5475" i="1"/>
  <c r="U5474" i="1"/>
  <c r="U5473" i="1"/>
  <c r="U5472" i="1"/>
  <c r="U5471" i="1"/>
  <c r="U5470" i="1"/>
  <c r="U5469" i="1"/>
  <c r="U5468" i="1"/>
  <c r="U5467" i="1"/>
  <c r="U5466" i="1"/>
  <c r="U5465" i="1"/>
  <c r="U5464" i="1"/>
  <c r="U5463" i="1"/>
  <c r="U5462" i="1"/>
  <c r="U5461" i="1"/>
  <c r="U5460" i="1"/>
  <c r="U5459" i="1"/>
  <c r="U5458" i="1"/>
  <c r="U5457" i="1"/>
  <c r="U5456" i="1"/>
  <c r="U5455" i="1"/>
  <c r="U5454" i="1"/>
  <c r="U5453" i="1"/>
  <c r="U5452" i="1"/>
  <c r="U5451" i="1"/>
  <c r="U5450" i="1"/>
  <c r="U5449" i="1"/>
  <c r="U5448" i="1"/>
  <c r="U5447" i="1"/>
  <c r="U5446" i="1"/>
  <c r="U5445" i="1"/>
  <c r="U5444" i="1"/>
  <c r="U5443" i="1"/>
  <c r="U5442" i="1"/>
  <c r="U5441" i="1"/>
  <c r="U5440" i="1"/>
  <c r="U5439" i="1"/>
  <c r="U5438" i="1"/>
  <c r="U5437" i="1"/>
  <c r="U5436" i="1"/>
  <c r="U5435" i="1"/>
  <c r="U5434" i="1"/>
  <c r="U5433" i="1"/>
  <c r="U5432" i="1"/>
  <c r="U5431" i="1"/>
  <c r="U5430" i="1"/>
  <c r="U5429" i="1"/>
  <c r="U5428" i="1"/>
  <c r="U5427" i="1"/>
  <c r="U5426" i="1"/>
  <c r="U5425" i="1"/>
  <c r="U5424" i="1"/>
  <c r="U5423" i="1"/>
  <c r="U5422" i="1"/>
  <c r="U5421" i="1"/>
  <c r="U5420" i="1"/>
  <c r="U5419" i="1"/>
  <c r="U5418" i="1"/>
  <c r="U5417" i="1"/>
  <c r="U5416" i="1"/>
  <c r="U5415" i="1"/>
  <c r="U5414" i="1"/>
  <c r="U5413" i="1"/>
  <c r="U5412" i="1"/>
  <c r="U5411" i="1"/>
  <c r="U5410" i="1"/>
  <c r="U5409" i="1"/>
  <c r="U5408" i="1"/>
  <c r="U5407" i="1"/>
  <c r="U5406" i="1"/>
  <c r="U5405" i="1"/>
  <c r="U5404" i="1"/>
  <c r="U5403" i="1"/>
  <c r="U5402" i="1"/>
  <c r="U5401" i="1"/>
  <c r="U5400" i="1"/>
  <c r="U5399" i="1"/>
  <c r="U5398" i="1"/>
  <c r="U5397" i="1"/>
  <c r="U5396" i="1"/>
  <c r="U5395" i="1"/>
  <c r="U5394" i="1"/>
  <c r="U5393" i="1"/>
  <c r="U5392" i="1"/>
  <c r="U5391" i="1"/>
  <c r="U5390" i="1"/>
  <c r="U5389" i="1"/>
  <c r="U5388" i="1"/>
  <c r="U5387" i="1"/>
  <c r="U5386" i="1"/>
  <c r="U5385" i="1"/>
  <c r="U5384" i="1"/>
  <c r="U5383" i="1"/>
  <c r="U5382" i="1"/>
  <c r="U5381" i="1"/>
  <c r="U5380" i="1"/>
  <c r="U5379" i="1"/>
  <c r="U5378" i="1"/>
  <c r="U5377" i="1"/>
  <c r="U5376" i="1"/>
  <c r="U5375" i="1"/>
  <c r="U5374" i="1"/>
  <c r="U5373" i="1"/>
  <c r="U5372" i="1"/>
  <c r="U5371" i="1"/>
  <c r="U5370" i="1"/>
  <c r="U5369" i="1"/>
  <c r="U5368" i="1"/>
  <c r="U5367" i="1"/>
  <c r="U5365" i="1"/>
  <c r="U5364" i="1"/>
  <c r="U5363" i="1"/>
  <c r="U5362" i="1"/>
  <c r="U5361" i="1"/>
  <c r="U5360" i="1"/>
  <c r="U5359" i="1"/>
  <c r="U5358" i="1"/>
  <c r="U5357" i="1"/>
  <c r="U5356" i="1"/>
  <c r="U5355" i="1"/>
  <c r="U5354" i="1"/>
  <c r="U5353" i="1"/>
  <c r="U5352" i="1"/>
  <c r="U5351" i="1"/>
  <c r="U5350" i="1"/>
  <c r="U5349" i="1"/>
  <c r="U5348" i="1"/>
  <c r="U5347" i="1"/>
  <c r="U5346" i="1"/>
  <c r="U5345" i="1"/>
  <c r="U5344" i="1"/>
  <c r="U5343" i="1"/>
  <c r="U5342" i="1"/>
  <c r="U5341" i="1"/>
  <c r="U5340" i="1"/>
  <c r="U5339" i="1"/>
  <c r="U5338" i="1"/>
  <c r="U5337" i="1"/>
  <c r="U5336" i="1"/>
  <c r="U5335" i="1"/>
  <c r="U5334" i="1"/>
  <c r="U5333" i="1"/>
  <c r="U5332" i="1"/>
  <c r="U5331" i="1"/>
  <c r="U5330" i="1"/>
  <c r="U5329" i="1"/>
  <c r="U5328" i="1"/>
  <c r="U5327" i="1"/>
  <c r="U5326" i="1"/>
  <c r="U5325" i="1"/>
  <c r="U5324" i="1"/>
  <c r="U5323" i="1"/>
  <c r="U5322" i="1"/>
  <c r="U5321" i="1"/>
  <c r="U5320" i="1"/>
  <c r="U5319" i="1"/>
  <c r="U5318" i="1"/>
  <c r="U5317" i="1"/>
  <c r="U5316" i="1"/>
  <c r="U5315" i="1"/>
  <c r="U5314" i="1"/>
  <c r="U5313" i="1"/>
  <c r="U5312" i="1"/>
  <c r="U5311" i="1"/>
  <c r="U5310" i="1"/>
  <c r="U5309" i="1"/>
  <c r="U5308" i="1"/>
  <c r="U5307" i="1"/>
  <c r="U5306" i="1"/>
  <c r="U5305" i="1"/>
  <c r="U5304" i="1"/>
  <c r="U5303" i="1"/>
  <c r="U5302" i="1"/>
  <c r="U5301" i="1"/>
  <c r="U5300" i="1"/>
  <c r="U5299" i="1"/>
  <c r="U5298" i="1"/>
  <c r="U5297" i="1"/>
  <c r="U5296" i="1"/>
  <c r="U5295" i="1"/>
  <c r="U5294" i="1"/>
  <c r="U5293" i="1"/>
  <c r="U5292" i="1"/>
  <c r="U5291" i="1"/>
  <c r="U5290" i="1"/>
  <c r="U5289" i="1"/>
  <c r="U5288" i="1"/>
  <c r="U5287" i="1"/>
  <c r="U5286" i="1"/>
  <c r="U5285" i="1"/>
  <c r="U5284" i="1"/>
  <c r="U5283" i="1"/>
  <c r="U5282" i="1"/>
  <c r="U5281" i="1"/>
  <c r="U5280" i="1"/>
  <c r="U5279" i="1"/>
  <c r="U5278" i="1"/>
  <c r="U5277" i="1"/>
  <c r="U5276" i="1"/>
  <c r="U5275" i="1"/>
  <c r="U5274" i="1"/>
  <c r="U5273" i="1"/>
  <c r="U5272" i="1"/>
  <c r="U5271" i="1"/>
  <c r="U5270" i="1"/>
  <c r="U5269" i="1"/>
  <c r="U5268" i="1"/>
  <c r="U5267" i="1"/>
  <c r="U5266" i="1"/>
  <c r="U5265" i="1"/>
  <c r="U5264" i="1"/>
  <c r="U5263" i="1"/>
  <c r="U5262" i="1"/>
  <c r="U5261" i="1"/>
  <c r="U5260" i="1"/>
  <c r="U5259" i="1"/>
  <c r="U5257" i="1"/>
  <c r="U5256" i="1"/>
  <c r="U5255" i="1"/>
  <c r="U5254" i="1"/>
  <c r="U5253" i="1"/>
  <c r="U5252" i="1"/>
  <c r="U5251" i="1"/>
  <c r="U5250" i="1"/>
  <c r="U5249" i="1"/>
  <c r="U5248" i="1"/>
  <c r="U5247" i="1"/>
  <c r="U5246" i="1"/>
  <c r="U5245" i="1"/>
  <c r="U5244" i="1"/>
  <c r="U5243" i="1"/>
  <c r="U5242" i="1"/>
  <c r="U5241" i="1"/>
  <c r="U5240" i="1"/>
  <c r="U5239" i="1"/>
  <c r="U5238" i="1"/>
  <c r="U5237" i="1"/>
  <c r="U5236" i="1"/>
  <c r="U5235" i="1"/>
  <c r="U5234" i="1"/>
  <c r="U5233" i="1"/>
  <c r="U5232" i="1"/>
  <c r="U5231" i="1"/>
  <c r="U5230" i="1"/>
  <c r="U5229" i="1"/>
  <c r="U5228" i="1"/>
  <c r="U5227" i="1"/>
  <c r="U5226" i="1"/>
  <c r="U5225" i="1"/>
  <c r="U5224" i="1"/>
  <c r="U5223" i="1"/>
  <c r="U5222" i="1"/>
  <c r="U5221" i="1"/>
  <c r="U5220" i="1"/>
  <c r="U5219" i="1"/>
  <c r="U5218" i="1"/>
  <c r="U5217" i="1"/>
  <c r="U5216" i="1"/>
  <c r="U5215" i="1"/>
  <c r="U5214" i="1"/>
  <c r="U5213" i="1"/>
  <c r="U5212" i="1"/>
  <c r="U5211" i="1"/>
  <c r="U5210" i="1"/>
  <c r="U5209" i="1"/>
  <c r="U5208" i="1"/>
  <c r="U5207" i="1"/>
  <c r="U5206" i="1"/>
  <c r="U5205" i="1"/>
  <c r="U5204" i="1"/>
  <c r="U5203" i="1"/>
  <c r="U5202" i="1"/>
  <c r="U5201" i="1"/>
  <c r="U5200" i="1"/>
  <c r="U5199" i="1"/>
  <c r="U5198" i="1"/>
  <c r="U5197" i="1"/>
  <c r="U5196" i="1"/>
  <c r="U5195" i="1"/>
  <c r="U5194" i="1"/>
  <c r="U5193" i="1"/>
  <c r="U5192" i="1"/>
  <c r="U5191" i="1"/>
  <c r="U5190" i="1"/>
  <c r="U5189" i="1"/>
  <c r="U5188" i="1"/>
  <c r="U5187" i="1"/>
  <c r="U5186" i="1"/>
  <c r="U5185" i="1"/>
  <c r="U5184" i="1"/>
  <c r="U5183" i="1"/>
  <c r="U5182" i="1"/>
  <c r="U5181" i="1"/>
  <c r="U5180" i="1"/>
  <c r="U5178" i="1"/>
  <c r="U5177" i="1"/>
  <c r="U5176" i="1"/>
  <c r="U5175" i="1"/>
  <c r="U5174" i="1"/>
  <c r="U5173" i="1"/>
  <c r="U5172" i="1"/>
  <c r="U5171" i="1"/>
  <c r="U5170" i="1"/>
  <c r="U5169" i="1"/>
  <c r="U5168" i="1"/>
  <c r="U5167" i="1"/>
  <c r="U5166" i="1"/>
  <c r="U5165" i="1"/>
  <c r="U5164" i="1"/>
  <c r="U5163" i="1"/>
  <c r="U5162" i="1"/>
  <c r="U5161" i="1"/>
  <c r="U5160" i="1"/>
  <c r="U5159" i="1"/>
  <c r="U5158" i="1"/>
  <c r="U5157" i="1"/>
  <c r="U5156" i="1"/>
  <c r="U5155" i="1"/>
  <c r="U5154" i="1"/>
  <c r="U5153" i="1"/>
  <c r="U5152" i="1"/>
  <c r="U5151" i="1"/>
  <c r="U5150" i="1"/>
  <c r="U5148" i="1"/>
  <c r="U5147" i="1"/>
  <c r="U5146" i="1"/>
  <c r="U5145" i="1"/>
  <c r="U5144" i="1"/>
  <c r="U5143" i="1"/>
  <c r="U5142" i="1"/>
  <c r="U5141" i="1"/>
  <c r="U5140" i="1"/>
  <c r="U5139" i="1"/>
  <c r="U5138" i="1"/>
  <c r="U5137" i="1"/>
  <c r="U5136" i="1"/>
  <c r="U5135" i="1"/>
  <c r="U5134" i="1"/>
  <c r="U5133" i="1"/>
  <c r="U5132" i="1"/>
  <c r="U5131" i="1"/>
  <c r="U5130" i="1"/>
  <c r="U5129" i="1"/>
  <c r="U5128" i="1"/>
  <c r="U5127" i="1"/>
  <c r="U5126" i="1"/>
  <c r="U5125" i="1"/>
  <c r="U5124" i="1"/>
  <c r="U5123" i="1"/>
  <c r="U5122" i="1"/>
  <c r="U5121" i="1"/>
  <c r="U5120" i="1"/>
  <c r="U5119" i="1"/>
  <c r="U5118" i="1"/>
  <c r="U5117" i="1"/>
  <c r="U5116" i="1"/>
  <c r="U5115" i="1"/>
  <c r="U5114" i="1"/>
  <c r="U5113" i="1"/>
  <c r="U5112" i="1"/>
  <c r="U5111" i="1"/>
  <c r="U5110" i="1"/>
  <c r="U5109" i="1"/>
  <c r="U5108" i="1"/>
  <c r="U5107" i="1"/>
  <c r="U5106" i="1"/>
  <c r="U5105" i="1"/>
  <c r="U5104" i="1"/>
  <c r="U5103" i="1"/>
  <c r="U5102" i="1"/>
  <c r="U5101" i="1"/>
  <c r="U5100" i="1"/>
  <c r="U5099" i="1"/>
  <c r="U5098" i="1"/>
  <c r="U5097" i="1"/>
  <c r="U5096" i="1"/>
  <c r="U5095" i="1"/>
  <c r="U5094" i="1"/>
  <c r="U5093" i="1"/>
  <c r="U5092" i="1"/>
  <c r="U5091" i="1"/>
  <c r="U5090" i="1"/>
  <c r="U5089" i="1"/>
  <c r="U5088" i="1"/>
  <c r="U5087" i="1"/>
  <c r="U5086" i="1"/>
  <c r="U5085" i="1"/>
  <c r="U5084" i="1"/>
  <c r="U5083" i="1"/>
  <c r="U5082" i="1"/>
  <c r="U5081" i="1"/>
  <c r="U5080" i="1"/>
  <c r="U5079" i="1"/>
  <c r="U5078" i="1"/>
  <c r="U5077" i="1"/>
  <c r="U5076" i="1"/>
  <c r="U5075" i="1"/>
  <c r="U5074" i="1"/>
  <c r="U5073" i="1"/>
  <c r="U5072" i="1"/>
  <c r="U5071" i="1"/>
  <c r="U5070" i="1"/>
  <c r="U5069" i="1"/>
  <c r="U5068" i="1"/>
  <c r="U5067" i="1"/>
  <c r="U5066" i="1"/>
  <c r="U5065" i="1"/>
  <c r="U5064" i="1"/>
  <c r="U5063" i="1"/>
  <c r="U5062" i="1"/>
  <c r="U5061" i="1"/>
  <c r="U5060" i="1"/>
  <c r="U5059" i="1"/>
  <c r="U5058" i="1"/>
  <c r="U5057" i="1"/>
  <c r="U5056" i="1"/>
  <c r="U5055" i="1"/>
  <c r="U5054" i="1"/>
  <c r="U5053" i="1"/>
  <c r="U5052" i="1"/>
  <c r="U5051" i="1"/>
  <c r="U5050" i="1"/>
  <c r="U5049" i="1"/>
  <c r="U5048" i="1"/>
  <c r="U5047" i="1"/>
  <c r="U5046" i="1"/>
  <c r="U5045" i="1"/>
  <c r="U5044" i="1"/>
  <c r="U5043" i="1"/>
  <c r="U5042" i="1"/>
  <c r="U5041" i="1"/>
  <c r="U5040" i="1"/>
  <c r="U5039" i="1"/>
  <c r="U5038" i="1"/>
  <c r="U5037" i="1"/>
  <c r="U5036" i="1"/>
  <c r="U5035" i="1"/>
  <c r="U5034" i="1"/>
  <c r="U5033" i="1"/>
  <c r="U5032" i="1"/>
  <c r="U5031" i="1"/>
  <c r="U5030" i="1"/>
  <c r="U5029" i="1"/>
  <c r="U5028" i="1"/>
  <c r="U5027" i="1"/>
  <c r="U5026" i="1"/>
  <c r="U5025" i="1"/>
  <c r="U5024" i="1"/>
  <c r="U5023" i="1"/>
  <c r="U5022" i="1"/>
  <c r="U5021" i="1"/>
  <c r="U5020" i="1"/>
  <c r="U5019" i="1"/>
  <c r="U5018" i="1"/>
  <c r="U5017" i="1"/>
  <c r="U5016" i="1"/>
  <c r="U5015" i="1"/>
  <c r="U5014" i="1"/>
  <c r="U5013" i="1"/>
  <c r="U5012" i="1"/>
  <c r="U5011" i="1"/>
  <c r="U5010" i="1"/>
  <c r="U5009" i="1"/>
  <c r="U5008" i="1"/>
  <c r="U5007" i="1"/>
  <c r="U5006" i="1"/>
  <c r="U5005" i="1"/>
  <c r="U5004" i="1"/>
  <c r="U5003" i="1"/>
  <c r="U5002" i="1"/>
  <c r="U5001" i="1"/>
  <c r="U5000" i="1"/>
  <c r="U4999" i="1"/>
  <c r="U4998" i="1"/>
  <c r="U4997" i="1"/>
  <c r="U4996" i="1"/>
  <c r="U4995" i="1"/>
  <c r="U4994" i="1"/>
  <c r="U4993" i="1"/>
  <c r="U4992" i="1"/>
  <c r="U4991" i="1"/>
  <c r="U4990" i="1"/>
  <c r="U4989" i="1"/>
  <c r="U4988" i="1"/>
  <c r="U4987" i="1"/>
  <c r="U4986" i="1"/>
  <c r="U4985" i="1"/>
  <c r="U4984" i="1"/>
  <c r="U4983" i="1"/>
  <c r="U4982" i="1"/>
  <c r="U4981" i="1"/>
  <c r="U4980" i="1"/>
  <c r="U4979" i="1"/>
  <c r="U4978" i="1"/>
  <c r="U4977" i="1"/>
  <c r="U4976" i="1"/>
  <c r="U4975" i="1"/>
  <c r="U4974" i="1"/>
  <c r="U4973" i="1"/>
  <c r="U4972" i="1"/>
  <c r="U4971" i="1"/>
  <c r="U4970" i="1"/>
  <c r="U4969" i="1"/>
  <c r="U4968" i="1"/>
  <c r="U4967" i="1"/>
  <c r="U4966" i="1"/>
  <c r="U4965" i="1"/>
  <c r="U4964" i="1"/>
  <c r="U4963" i="1"/>
  <c r="U4962" i="1"/>
  <c r="U4961" i="1"/>
  <c r="U4960" i="1"/>
  <c r="U4959" i="1"/>
  <c r="U4958" i="1"/>
  <c r="U4957" i="1"/>
  <c r="U4956" i="1"/>
  <c r="U4955" i="1"/>
  <c r="U4954" i="1"/>
  <c r="U4953" i="1"/>
  <c r="U4952" i="1"/>
  <c r="U4951" i="1"/>
  <c r="U4950" i="1"/>
  <c r="U4949" i="1"/>
  <c r="U4948" i="1"/>
  <c r="U4947" i="1"/>
  <c r="U4946" i="1"/>
  <c r="U4945" i="1"/>
  <c r="U4944" i="1"/>
  <c r="U4943" i="1"/>
  <c r="U4942" i="1"/>
  <c r="U4941" i="1"/>
  <c r="U4940" i="1"/>
  <c r="U4939" i="1"/>
  <c r="U4938" i="1"/>
  <c r="U4937" i="1"/>
  <c r="U4936" i="1"/>
  <c r="U4935" i="1"/>
  <c r="U4934" i="1"/>
  <c r="U4933" i="1"/>
  <c r="U4932" i="1"/>
  <c r="U4931" i="1"/>
  <c r="U4930" i="1"/>
  <c r="U4929" i="1"/>
  <c r="U4928" i="1"/>
  <c r="U4927" i="1"/>
  <c r="U4926" i="1"/>
  <c r="U4925" i="1"/>
  <c r="U4924" i="1"/>
  <c r="U4923" i="1"/>
  <c r="U4922" i="1"/>
  <c r="U4921" i="1"/>
  <c r="U4920" i="1"/>
  <c r="U4919" i="1"/>
  <c r="U4918" i="1"/>
  <c r="U4917" i="1"/>
  <c r="U4916" i="1"/>
  <c r="U4915" i="1"/>
  <c r="U4914" i="1"/>
  <c r="U4913" i="1"/>
  <c r="U4912" i="1"/>
  <c r="U4911" i="1"/>
  <c r="U4910" i="1"/>
  <c r="U4909" i="1"/>
  <c r="U4908" i="1"/>
  <c r="U4907" i="1"/>
  <c r="U4906" i="1"/>
  <c r="U4905" i="1"/>
  <c r="U4904" i="1"/>
  <c r="U4903" i="1"/>
  <c r="U4902" i="1"/>
  <c r="U4901" i="1"/>
  <c r="U4900" i="1"/>
  <c r="U4899" i="1"/>
  <c r="U4898" i="1"/>
  <c r="U4897" i="1"/>
  <c r="U4896" i="1"/>
  <c r="U4895" i="1"/>
  <c r="U4894" i="1"/>
  <c r="U4893" i="1"/>
  <c r="U4892" i="1"/>
  <c r="U4891" i="1"/>
  <c r="U4890" i="1"/>
  <c r="U4889" i="1"/>
  <c r="U4888" i="1"/>
  <c r="U4887" i="1"/>
  <c r="U4886" i="1"/>
  <c r="U4885" i="1"/>
  <c r="U4884" i="1"/>
  <c r="U4883" i="1"/>
  <c r="U4882" i="1"/>
  <c r="U4881" i="1"/>
  <c r="U4880" i="1"/>
  <c r="U4879" i="1"/>
  <c r="U4878" i="1"/>
  <c r="U4877" i="1"/>
  <c r="U4876" i="1"/>
  <c r="U4875" i="1"/>
  <c r="U4874" i="1"/>
  <c r="U4873" i="1"/>
  <c r="U4872" i="1"/>
  <c r="U4871" i="1"/>
  <c r="U4870" i="1"/>
  <c r="U4869" i="1"/>
  <c r="U4868" i="1"/>
  <c r="U4867" i="1"/>
  <c r="U4866" i="1"/>
  <c r="U4865" i="1"/>
  <c r="U4864" i="1"/>
  <c r="U4863" i="1"/>
  <c r="U4862" i="1"/>
  <c r="U4861" i="1"/>
  <c r="U4860" i="1"/>
  <c r="U4859" i="1"/>
  <c r="U4858" i="1"/>
  <c r="U4857" i="1"/>
  <c r="U4856" i="1"/>
  <c r="U4855" i="1"/>
  <c r="U4854" i="1"/>
  <c r="U4853" i="1"/>
  <c r="U4852" i="1"/>
  <c r="U4851" i="1"/>
  <c r="U4850" i="1"/>
  <c r="U4849" i="1"/>
  <c r="U4848" i="1"/>
  <c r="U4847" i="1"/>
  <c r="U4846" i="1"/>
  <c r="U4845" i="1"/>
  <c r="U4844" i="1"/>
  <c r="U4843" i="1"/>
  <c r="U4842" i="1"/>
  <c r="U4841" i="1"/>
  <c r="U4840" i="1"/>
  <c r="U4839" i="1"/>
  <c r="U4838" i="1"/>
  <c r="U4837" i="1"/>
  <c r="U4836" i="1"/>
  <c r="U4835" i="1"/>
  <c r="U4834" i="1"/>
  <c r="U4833" i="1"/>
  <c r="U4832" i="1"/>
  <c r="U4831" i="1"/>
  <c r="U4830" i="1"/>
  <c r="U4829" i="1"/>
  <c r="U4828" i="1"/>
  <c r="U4827" i="1"/>
  <c r="U4826" i="1"/>
  <c r="U4825" i="1"/>
  <c r="U4824" i="1"/>
  <c r="U4823" i="1"/>
  <c r="U4822" i="1"/>
  <c r="U4821" i="1"/>
  <c r="U4820" i="1"/>
  <c r="U4819" i="1"/>
  <c r="U4818" i="1"/>
  <c r="U4817" i="1"/>
  <c r="U4816" i="1"/>
  <c r="U4815" i="1"/>
  <c r="U4814" i="1"/>
  <c r="U4813" i="1"/>
  <c r="U4812" i="1"/>
  <c r="U4811" i="1"/>
  <c r="U4810" i="1"/>
  <c r="U4809" i="1"/>
  <c r="U4808" i="1"/>
  <c r="U4807" i="1"/>
  <c r="U4806" i="1"/>
  <c r="U4805" i="1"/>
  <c r="U4804" i="1"/>
  <c r="U4803" i="1"/>
  <c r="U4802" i="1"/>
  <c r="U4801" i="1"/>
  <c r="U4800" i="1"/>
  <c r="U4799" i="1"/>
  <c r="U4798" i="1"/>
  <c r="U4797" i="1"/>
  <c r="U4796" i="1"/>
  <c r="U4795" i="1"/>
  <c r="U4794" i="1"/>
  <c r="U4793" i="1"/>
  <c r="U4792" i="1"/>
  <c r="U4791" i="1"/>
  <c r="U4790" i="1"/>
  <c r="U4789" i="1"/>
  <c r="U4788" i="1"/>
  <c r="U4787" i="1"/>
  <c r="U4786" i="1"/>
  <c r="U4785" i="1"/>
  <c r="U4784" i="1"/>
  <c r="U4783" i="1"/>
  <c r="U4782" i="1"/>
  <c r="U4781" i="1"/>
  <c r="U4780" i="1"/>
  <c r="U4779" i="1"/>
  <c r="U4778" i="1"/>
  <c r="U4777" i="1"/>
  <c r="U4776" i="1"/>
  <c r="U4775" i="1"/>
  <c r="U4774" i="1"/>
  <c r="U4773" i="1"/>
  <c r="U4772" i="1"/>
  <c r="U4771" i="1"/>
  <c r="U4770" i="1"/>
  <c r="U4769" i="1"/>
  <c r="U4768" i="1"/>
  <c r="U4767" i="1"/>
  <c r="U4766" i="1"/>
  <c r="U4765" i="1"/>
  <c r="U4764" i="1"/>
  <c r="U4763" i="1"/>
  <c r="U4762" i="1"/>
  <c r="U4761" i="1"/>
  <c r="U4760" i="1"/>
  <c r="U4759" i="1"/>
  <c r="U4758" i="1"/>
  <c r="U4757" i="1"/>
  <c r="U4756" i="1"/>
  <c r="U4755" i="1"/>
  <c r="U4754" i="1"/>
  <c r="U4753" i="1"/>
  <c r="U4752" i="1"/>
  <c r="U4751" i="1"/>
  <c r="U4750" i="1"/>
  <c r="U4749" i="1"/>
  <c r="U4748" i="1"/>
  <c r="U4747" i="1"/>
  <c r="U4746" i="1"/>
  <c r="U4745" i="1"/>
  <c r="U4744" i="1"/>
  <c r="U4743" i="1"/>
  <c r="U4742" i="1"/>
  <c r="U4741" i="1"/>
  <c r="U4740" i="1"/>
  <c r="U4739" i="1"/>
  <c r="U4738" i="1"/>
  <c r="U4737" i="1"/>
  <c r="U4736" i="1"/>
  <c r="U4735" i="1"/>
  <c r="U4734" i="1"/>
  <c r="U4733" i="1"/>
  <c r="U4732" i="1"/>
  <c r="U4731" i="1"/>
  <c r="U4730" i="1"/>
  <c r="U4729" i="1"/>
  <c r="U4728" i="1"/>
  <c r="U4727" i="1"/>
  <c r="U4726" i="1"/>
  <c r="U4724" i="1"/>
  <c r="U4723" i="1"/>
  <c r="U4722" i="1"/>
  <c r="U4721" i="1"/>
  <c r="U4720" i="1"/>
  <c r="U4719" i="1"/>
  <c r="U4718" i="1"/>
  <c r="U4717" i="1"/>
  <c r="U4716" i="1"/>
  <c r="U4715" i="1"/>
  <c r="U4714" i="1"/>
  <c r="U4713" i="1"/>
  <c r="U4712" i="1"/>
  <c r="U4711" i="1"/>
  <c r="U4710" i="1"/>
  <c r="U4709" i="1"/>
  <c r="U4708" i="1"/>
  <c r="U4707" i="1"/>
  <c r="U4706" i="1"/>
  <c r="U4705" i="1"/>
  <c r="U4704" i="1"/>
  <c r="U4703" i="1"/>
  <c r="U4702" i="1"/>
  <c r="U4701" i="1"/>
  <c r="U4700" i="1"/>
  <c r="U4699" i="1"/>
  <c r="U4698" i="1"/>
  <c r="U4697" i="1"/>
  <c r="U4696" i="1"/>
  <c r="U4695" i="1"/>
  <c r="U4694" i="1"/>
  <c r="U4693" i="1"/>
  <c r="U4692" i="1"/>
  <c r="U4691" i="1"/>
  <c r="U4690" i="1"/>
  <c r="U4689" i="1"/>
  <c r="U4688" i="1"/>
  <c r="U4687" i="1"/>
  <c r="U4686" i="1"/>
  <c r="U4685" i="1"/>
  <c r="U4684" i="1"/>
  <c r="U4683" i="1"/>
  <c r="U4682" i="1"/>
  <c r="U4681" i="1"/>
  <c r="U4680" i="1"/>
  <c r="U4679" i="1"/>
  <c r="U4678" i="1"/>
  <c r="U4677" i="1"/>
  <c r="U4676" i="1"/>
  <c r="U4675" i="1"/>
  <c r="U4674" i="1"/>
  <c r="U4673" i="1"/>
  <c r="U4672" i="1"/>
  <c r="U4671" i="1"/>
  <c r="U4670" i="1"/>
  <c r="U4669" i="1"/>
  <c r="U4668" i="1"/>
  <c r="U4667" i="1"/>
  <c r="U4666" i="1"/>
  <c r="U4665" i="1"/>
  <c r="U4664" i="1"/>
  <c r="U4663" i="1"/>
  <c r="U4662" i="1"/>
  <c r="U4661" i="1"/>
  <c r="U4660" i="1"/>
  <c r="U4659" i="1"/>
  <c r="U4658" i="1"/>
  <c r="U4657" i="1"/>
  <c r="U4656" i="1"/>
  <c r="U4655" i="1"/>
  <c r="U4654" i="1"/>
  <c r="U4653" i="1"/>
  <c r="U4652" i="1"/>
  <c r="U4651" i="1"/>
  <c r="U4650" i="1"/>
  <c r="U4649" i="1"/>
  <c r="U4648" i="1"/>
  <c r="U4647" i="1"/>
  <c r="U4646" i="1"/>
  <c r="U4645" i="1"/>
  <c r="U4644" i="1"/>
  <c r="U4643" i="1"/>
  <c r="U4642" i="1"/>
  <c r="U4641" i="1"/>
  <c r="U4640" i="1"/>
  <c r="U4639" i="1"/>
  <c r="U4638" i="1"/>
  <c r="U4637" i="1"/>
  <c r="U4636" i="1"/>
  <c r="U4635" i="1"/>
  <c r="U4634" i="1"/>
  <c r="U4633" i="1"/>
  <c r="U4632" i="1"/>
  <c r="U4631" i="1"/>
  <c r="U4630" i="1"/>
  <c r="U4629" i="1"/>
  <c r="U4628" i="1"/>
  <c r="U4627" i="1"/>
  <c r="U4626" i="1"/>
  <c r="U4625" i="1"/>
  <c r="U4624" i="1"/>
  <c r="U4623" i="1"/>
  <c r="U4622" i="1"/>
  <c r="U4621" i="1"/>
  <c r="U4620" i="1"/>
  <c r="U4619" i="1"/>
  <c r="U4618" i="1"/>
  <c r="U4617" i="1"/>
  <c r="U4616" i="1"/>
  <c r="U4615" i="1"/>
  <c r="U4614" i="1"/>
  <c r="U4613" i="1"/>
  <c r="U4612" i="1"/>
  <c r="U4611" i="1"/>
  <c r="U4610" i="1"/>
  <c r="U4609" i="1"/>
  <c r="U4608" i="1"/>
  <c r="U4607" i="1"/>
  <c r="U4606" i="1"/>
  <c r="U4605" i="1"/>
  <c r="U4604" i="1"/>
  <c r="U4603" i="1"/>
  <c r="U4602" i="1"/>
  <c r="U4601" i="1"/>
  <c r="U4600" i="1"/>
  <c r="U4599" i="1"/>
  <c r="U4598" i="1"/>
  <c r="U4597" i="1"/>
  <c r="U4595" i="1"/>
  <c r="U4594" i="1"/>
  <c r="U4593" i="1"/>
  <c r="U4592" i="1"/>
  <c r="U4591" i="1"/>
  <c r="U4590" i="1"/>
  <c r="U4589" i="1"/>
  <c r="U4588" i="1"/>
  <c r="U4587" i="1"/>
  <c r="U4586" i="1"/>
  <c r="U4585" i="1"/>
  <c r="U4584" i="1"/>
  <c r="U4583" i="1"/>
  <c r="U4582" i="1"/>
  <c r="U4581" i="1"/>
  <c r="U4580" i="1"/>
  <c r="U4579" i="1"/>
  <c r="U4578" i="1"/>
  <c r="U4577" i="1"/>
  <c r="U4576" i="1"/>
  <c r="U4575" i="1"/>
  <c r="U4574" i="1"/>
  <c r="U4573" i="1"/>
  <c r="U4572" i="1"/>
  <c r="U4571" i="1"/>
  <c r="U4570" i="1"/>
  <c r="U4569" i="1"/>
  <c r="U4568" i="1"/>
  <c r="U4567" i="1"/>
  <c r="U4565" i="1"/>
  <c r="U4564" i="1"/>
  <c r="U4563" i="1"/>
  <c r="U4562" i="1"/>
  <c r="U4561" i="1"/>
  <c r="U4560" i="1"/>
  <c r="U4559" i="1"/>
  <c r="U4558" i="1"/>
  <c r="U4557" i="1"/>
  <c r="U4556" i="1"/>
  <c r="U4555" i="1"/>
  <c r="U4553" i="1"/>
  <c r="U4552" i="1"/>
  <c r="U4551" i="1"/>
  <c r="U4550" i="1"/>
  <c r="U4549" i="1"/>
  <c r="U4548" i="1"/>
  <c r="U4547" i="1"/>
  <c r="U4546" i="1"/>
  <c r="U4545" i="1"/>
  <c r="U4544" i="1"/>
  <c r="U4543" i="1"/>
  <c r="U4542" i="1"/>
  <c r="U4541" i="1"/>
  <c r="U4540" i="1"/>
  <c r="U4539" i="1"/>
  <c r="U4538" i="1"/>
  <c r="U4537" i="1"/>
  <c r="U4536" i="1"/>
  <c r="U4535" i="1"/>
  <c r="U4534" i="1"/>
  <c r="U4533" i="1"/>
  <c r="U4532" i="1"/>
  <c r="U4531" i="1"/>
  <c r="U4530" i="1"/>
  <c r="U4529" i="1"/>
  <c r="U4528" i="1"/>
  <c r="U4527" i="1"/>
  <c r="U4526" i="1"/>
  <c r="U4525" i="1"/>
  <c r="U4524" i="1"/>
  <c r="U4523" i="1"/>
  <c r="U4522" i="1"/>
  <c r="U4521" i="1"/>
  <c r="U4520" i="1"/>
  <c r="U4519" i="1"/>
  <c r="U4518" i="1"/>
  <c r="U4517" i="1"/>
  <c r="U4516" i="1"/>
  <c r="U4515" i="1"/>
  <c r="U4514" i="1"/>
  <c r="U4513" i="1"/>
  <c r="U4512" i="1"/>
  <c r="U4511" i="1"/>
  <c r="U4510" i="1"/>
  <c r="U4509" i="1"/>
  <c r="U4508" i="1"/>
  <c r="U4507" i="1"/>
  <c r="U4506" i="1"/>
  <c r="U4505" i="1"/>
  <c r="U4504" i="1"/>
  <c r="U4503" i="1"/>
  <c r="U4502" i="1"/>
  <c r="U4501" i="1"/>
  <c r="U4500" i="1"/>
  <c r="U4499" i="1"/>
  <c r="U4498" i="1"/>
  <c r="U4497" i="1"/>
  <c r="U4496" i="1"/>
  <c r="U4495" i="1"/>
  <c r="U4494" i="1"/>
  <c r="U4493" i="1"/>
  <c r="U4492" i="1"/>
  <c r="U4491" i="1"/>
  <c r="U4490" i="1"/>
  <c r="U4489" i="1"/>
  <c r="U4488" i="1"/>
  <c r="U4487" i="1"/>
  <c r="U4486" i="1"/>
  <c r="U4485" i="1"/>
  <c r="U4484" i="1"/>
  <c r="U4483" i="1"/>
  <c r="U4482" i="1"/>
  <c r="U4481" i="1"/>
  <c r="U4480" i="1"/>
  <c r="U4479" i="1"/>
  <c r="U4478" i="1"/>
  <c r="U4477" i="1"/>
  <c r="U4476" i="1"/>
  <c r="U4475" i="1"/>
  <c r="U4474" i="1"/>
  <c r="U4473" i="1"/>
  <c r="U4472" i="1"/>
  <c r="U4471" i="1"/>
  <c r="U4470" i="1"/>
  <c r="U4469" i="1"/>
  <c r="U4468" i="1"/>
  <c r="U4467" i="1"/>
  <c r="U4466" i="1"/>
  <c r="U4465" i="1"/>
  <c r="U4464" i="1"/>
  <c r="U4462" i="1"/>
  <c r="U4461" i="1"/>
  <c r="U4460" i="1"/>
  <c r="U4459" i="1"/>
  <c r="U4458" i="1"/>
  <c r="U4457" i="1"/>
  <c r="U4456" i="1"/>
  <c r="U4455" i="1"/>
  <c r="U4454" i="1"/>
  <c r="U4453" i="1"/>
  <c r="U4452" i="1"/>
  <c r="U4451" i="1"/>
  <c r="U4450" i="1"/>
  <c r="U4449" i="1"/>
  <c r="U4448" i="1"/>
  <c r="U4447" i="1"/>
  <c r="U4446" i="1"/>
  <c r="U4445" i="1"/>
  <c r="U4444" i="1"/>
  <c r="U4443" i="1"/>
  <c r="U4442" i="1"/>
  <c r="U4441" i="1"/>
  <c r="U4440" i="1"/>
  <c r="U4439" i="1"/>
  <c r="U4438" i="1"/>
  <c r="U4437" i="1"/>
  <c r="U4436" i="1"/>
  <c r="U4435" i="1"/>
  <c r="U4434" i="1"/>
  <c r="U4433" i="1"/>
  <c r="U4432" i="1"/>
  <c r="U4431" i="1"/>
  <c r="U4430" i="1"/>
  <c r="U4429" i="1"/>
  <c r="U4428" i="1"/>
  <c r="U4427" i="1"/>
  <c r="U4426" i="1"/>
  <c r="U4425" i="1"/>
  <c r="U4424" i="1"/>
  <c r="U4423" i="1"/>
  <c r="U4422" i="1"/>
  <c r="U4421" i="1"/>
  <c r="U4420" i="1"/>
  <c r="U4419" i="1"/>
  <c r="U4418" i="1"/>
  <c r="U4417" i="1"/>
  <c r="U4416" i="1"/>
  <c r="U4415" i="1"/>
  <c r="U4414" i="1"/>
  <c r="U4413" i="1"/>
  <c r="U4412" i="1"/>
  <c r="U4411" i="1"/>
  <c r="U4410" i="1"/>
  <c r="U4409" i="1"/>
  <c r="U4408" i="1"/>
  <c r="U4407" i="1"/>
  <c r="U4406" i="1"/>
  <c r="U4405" i="1"/>
  <c r="U4404" i="1"/>
  <c r="U4403" i="1"/>
  <c r="U4402" i="1"/>
  <c r="U4401" i="1"/>
  <c r="U4400" i="1"/>
  <c r="U4399" i="1"/>
  <c r="U4398" i="1"/>
  <c r="U4397" i="1"/>
  <c r="U4396" i="1"/>
  <c r="U4395" i="1"/>
  <c r="U4394" i="1"/>
  <c r="U4393" i="1"/>
  <c r="U4392" i="1"/>
  <c r="U4391" i="1"/>
  <c r="U4390" i="1"/>
  <c r="U4389" i="1"/>
  <c r="U4388" i="1"/>
  <c r="U4387" i="1"/>
  <c r="U4386" i="1"/>
  <c r="U4385" i="1"/>
  <c r="U4384" i="1"/>
  <c r="U4383" i="1"/>
  <c r="U4382" i="1"/>
  <c r="U4381" i="1"/>
  <c r="U4380" i="1"/>
  <c r="U4379" i="1"/>
  <c r="U4378" i="1"/>
  <c r="U4377" i="1"/>
  <c r="U4376" i="1"/>
  <c r="U4375" i="1"/>
  <c r="U4374" i="1"/>
  <c r="U4373" i="1"/>
  <c r="U4372" i="1"/>
  <c r="U4371" i="1"/>
  <c r="U4370" i="1"/>
  <c r="U4369" i="1"/>
  <c r="U4368" i="1"/>
  <c r="U4367" i="1"/>
  <c r="U4366" i="1"/>
  <c r="U4365" i="1"/>
  <c r="U4364" i="1"/>
  <c r="U4363" i="1"/>
  <c r="U4362" i="1"/>
  <c r="U4361" i="1"/>
  <c r="U4360" i="1"/>
  <c r="U4359" i="1"/>
  <c r="U4358" i="1"/>
  <c r="U4357" i="1"/>
  <c r="U4356" i="1"/>
  <c r="U4355" i="1"/>
  <c r="U4354" i="1"/>
  <c r="U4353" i="1"/>
  <c r="U4352" i="1"/>
  <c r="U4351" i="1"/>
  <c r="U4350" i="1"/>
  <c r="U4349" i="1"/>
  <c r="U4348" i="1"/>
  <c r="U4347" i="1"/>
  <c r="U4346" i="1"/>
  <c r="U4345" i="1"/>
  <c r="U4344" i="1"/>
  <c r="U4343" i="1"/>
  <c r="U4342" i="1"/>
  <c r="U4341" i="1"/>
  <c r="U4340" i="1"/>
  <c r="U4339" i="1"/>
  <c r="U4338" i="1"/>
  <c r="U4337" i="1"/>
  <c r="U4336" i="1"/>
  <c r="U4335" i="1"/>
  <c r="U4334" i="1"/>
  <c r="U4333" i="1"/>
  <c r="U4332" i="1"/>
  <c r="U4331" i="1"/>
  <c r="U4330" i="1"/>
  <c r="U4329" i="1"/>
  <c r="U4328" i="1"/>
  <c r="U4327" i="1"/>
  <c r="U4326" i="1"/>
  <c r="U4325" i="1"/>
  <c r="U4324" i="1"/>
  <c r="U4323" i="1"/>
  <c r="U4322" i="1"/>
  <c r="U4321" i="1"/>
  <c r="U4320" i="1"/>
  <c r="U4319" i="1"/>
  <c r="U4318" i="1"/>
  <c r="U4317" i="1"/>
  <c r="U4316" i="1"/>
  <c r="U4315" i="1"/>
  <c r="U4314" i="1"/>
  <c r="U4313" i="1"/>
  <c r="U4312" i="1"/>
  <c r="U4311" i="1"/>
  <c r="U4310" i="1"/>
  <c r="U4309" i="1"/>
  <c r="U4308" i="1"/>
  <c r="U4307" i="1"/>
  <c r="U4306" i="1"/>
  <c r="U4305" i="1"/>
  <c r="U4304" i="1"/>
  <c r="U4303" i="1"/>
  <c r="U4302" i="1"/>
  <c r="U4301" i="1"/>
  <c r="U4300" i="1"/>
  <c r="U4299" i="1"/>
  <c r="U4298" i="1"/>
  <c r="U4297" i="1"/>
  <c r="U4296" i="1"/>
  <c r="U4295" i="1"/>
  <c r="U4294" i="1"/>
  <c r="U4293" i="1"/>
  <c r="U4292" i="1"/>
  <c r="U4291" i="1"/>
  <c r="U4290" i="1"/>
  <c r="U4289" i="1"/>
  <c r="U4288" i="1"/>
  <c r="U4287" i="1"/>
  <c r="U4286" i="1"/>
  <c r="U4285" i="1"/>
  <c r="U4284" i="1"/>
  <c r="U4283" i="1"/>
  <c r="U4282" i="1"/>
  <c r="U4281" i="1"/>
  <c r="U4280" i="1"/>
  <c r="U4279" i="1"/>
  <c r="U4278" i="1"/>
  <c r="U4277" i="1"/>
  <c r="U4276" i="1"/>
  <c r="U4275" i="1"/>
  <c r="U4274" i="1"/>
  <c r="U4273" i="1"/>
  <c r="U4272" i="1"/>
  <c r="U4271" i="1"/>
  <c r="U4270" i="1"/>
  <c r="U4269" i="1"/>
  <c r="U4268" i="1"/>
  <c r="U4267" i="1"/>
  <c r="U4266" i="1"/>
  <c r="U4265" i="1"/>
  <c r="U4264" i="1"/>
  <c r="U4263" i="1"/>
  <c r="U4262" i="1"/>
  <c r="U4261" i="1"/>
  <c r="U4260" i="1"/>
  <c r="U4259" i="1"/>
  <c r="U4258" i="1"/>
  <c r="U4257" i="1"/>
  <c r="U4256" i="1"/>
  <c r="U4255" i="1"/>
  <c r="U4254" i="1"/>
  <c r="U4253" i="1"/>
  <c r="U4252" i="1"/>
  <c r="U4251" i="1"/>
  <c r="U4250" i="1"/>
  <c r="U4249" i="1"/>
  <c r="U4248" i="1"/>
  <c r="U4247" i="1"/>
  <c r="U4246" i="1"/>
  <c r="U4245" i="1"/>
  <c r="U4244" i="1"/>
  <c r="U4243" i="1"/>
  <c r="U4242" i="1"/>
  <c r="U4241" i="1"/>
  <c r="U4240" i="1"/>
  <c r="U4239" i="1"/>
  <c r="U4238" i="1"/>
  <c r="U4237" i="1"/>
  <c r="U4236" i="1"/>
  <c r="U4235" i="1"/>
  <c r="U4234" i="1"/>
  <c r="U4233" i="1"/>
  <c r="U4232" i="1"/>
  <c r="U4231" i="1"/>
  <c r="U4230" i="1"/>
  <c r="U4229" i="1"/>
  <c r="U4228" i="1"/>
  <c r="U4227" i="1"/>
  <c r="U4226" i="1"/>
  <c r="U4225" i="1"/>
  <c r="U4224" i="1"/>
  <c r="U4223" i="1"/>
  <c r="U4222" i="1"/>
  <c r="U4221" i="1"/>
  <c r="U4220" i="1"/>
  <c r="U4219" i="1"/>
  <c r="U4218" i="1"/>
  <c r="U4217" i="1"/>
  <c r="U4216" i="1"/>
  <c r="U4215" i="1"/>
  <c r="U4214" i="1"/>
  <c r="U4213" i="1"/>
  <c r="U4212" i="1"/>
  <c r="U4211" i="1"/>
  <c r="U4210" i="1"/>
  <c r="U4209" i="1"/>
  <c r="U4208" i="1"/>
  <c r="U4207" i="1"/>
  <c r="U4206" i="1"/>
  <c r="U4205" i="1"/>
  <c r="U4204" i="1"/>
  <c r="U4203" i="1"/>
  <c r="U4202" i="1"/>
  <c r="U4201" i="1"/>
  <c r="U4200" i="1"/>
  <c r="U4199" i="1"/>
  <c r="U4198" i="1"/>
  <c r="U4197" i="1"/>
  <c r="U4196" i="1"/>
  <c r="U4195" i="1"/>
  <c r="U4194" i="1"/>
  <c r="U4193" i="1"/>
  <c r="U4192" i="1"/>
  <c r="U4191" i="1"/>
  <c r="U4190" i="1"/>
  <c r="U4189" i="1"/>
  <c r="U4188" i="1"/>
  <c r="U4187" i="1"/>
  <c r="U4186" i="1"/>
  <c r="U4185" i="1"/>
  <c r="U4184" i="1"/>
  <c r="U4183" i="1"/>
  <c r="U4182" i="1"/>
  <c r="U4181" i="1"/>
  <c r="U4180" i="1"/>
  <c r="U4179" i="1"/>
  <c r="U4178" i="1"/>
  <c r="U4177" i="1"/>
  <c r="U4176" i="1"/>
  <c r="U4175" i="1"/>
  <c r="U4174" i="1"/>
  <c r="U4173" i="1"/>
  <c r="U4172" i="1"/>
  <c r="U4171" i="1"/>
  <c r="U4170" i="1"/>
  <c r="U4169" i="1"/>
  <c r="U4168" i="1"/>
  <c r="U4167" i="1"/>
  <c r="U4166" i="1"/>
  <c r="U4165" i="1"/>
  <c r="U4164" i="1"/>
  <c r="U4163" i="1"/>
  <c r="U4162" i="1"/>
  <c r="U4160" i="1"/>
  <c r="U4159" i="1"/>
  <c r="U4158" i="1"/>
  <c r="U4157" i="1"/>
  <c r="U4156" i="1"/>
  <c r="U4155" i="1"/>
  <c r="U4154" i="1"/>
  <c r="U4153" i="1"/>
  <c r="U4152" i="1"/>
  <c r="U4151" i="1"/>
  <c r="U4150" i="1"/>
  <c r="U4149" i="1"/>
  <c r="U4148" i="1"/>
  <c r="U4147" i="1"/>
  <c r="U4146" i="1"/>
  <c r="U4145" i="1"/>
  <c r="U4144" i="1"/>
  <c r="U4143" i="1"/>
  <c r="U4142" i="1"/>
  <c r="U4141" i="1"/>
  <c r="U4140" i="1"/>
  <c r="U4139" i="1"/>
  <c r="U4138" i="1"/>
  <c r="U4137" i="1"/>
  <c r="U4136" i="1"/>
  <c r="U4135" i="1"/>
  <c r="U4134" i="1"/>
  <c r="U4133" i="1"/>
  <c r="U4132" i="1"/>
  <c r="U4131" i="1"/>
  <c r="U4130" i="1"/>
  <c r="U4129" i="1"/>
  <c r="U4128" i="1"/>
  <c r="U4127" i="1"/>
  <c r="U4126" i="1"/>
  <c r="U4125" i="1"/>
  <c r="U4124" i="1"/>
  <c r="U4123" i="1"/>
  <c r="U4122" i="1"/>
  <c r="U4121" i="1"/>
  <c r="U4120" i="1"/>
  <c r="U4119" i="1"/>
  <c r="U4118" i="1"/>
  <c r="U4117" i="1"/>
  <c r="U4116" i="1"/>
  <c r="U4115" i="1"/>
  <c r="U4114" i="1"/>
  <c r="U4113" i="1"/>
  <c r="U4112" i="1"/>
  <c r="U4111" i="1"/>
  <c r="U4110" i="1"/>
  <c r="U4109" i="1"/>
  <c r="U4108" i="1"/>
  <c r="U4107" i="1"/>
  <c r="U4106" i="1"/>
  <c r="U4105" i="1"/>
  <c r="U4104" i="1"/>
  <c r="U4103" i="1"/>
  <c r="U4102" i="1"/>
  <c r="U4101" i="1"/>
  <c r="U4100" i="1"/>
  <c r="U4099" i="1"/>
  <c r="U4098" i="1"/>
  <c r="U4097" i="1"/>
  <c r="U4096" i="1"/>
  <c r="U4095" i="1"/>
  <c r="U4094" i="1"/>
  <c r="U4093" i="1"/>
  <c r="U4092" i="1"/>
  <c r="U4091" i="1"/>
  <c r="U4090" i="1"/>
  <c r="U4089" i="1"/>
  <c r="U4088" i="1"/>
  <c r="U4087" i="1"/>
  <c r="U4086" i="1"/>
  <c r="U4085" i="1"/>
  <c r="U4084" i="1"/>
  <c r="U4083" i="1"/>
  <c r="U4082" i="1"/>
  <c r="U4081" i="1"/>
  <c r="U4080" i="1"/>
  <c r="U4079" i="1"/>
  <c r="U4078" i="1"/>
  <c r="U4077" i="1"/>
  <c r="U4076" i="1"/>
  <c r="U4075" i="1"/>
  <c r="U4074" i="1"/>
  <c r="U4073" i="1"/>
  <c r="U4072" i="1"/>
  <c r="U4071" i="1"/>
  <c r="U4070" i="1"/>
  <c r="U4069" i="1"/>
  <c r="U4068" i="1"/>
  <c r="U4067" i="1"/>
  <c r="U4066" i="1"/>
  <c r="U4065" i="1"/>
  <c r="U4064" i="1"/>
  <c r="U4063" i="1"/>
  <c r="U4062" i="1"/>
  <c r="U4061" i="1"/>
  <c r="U4060" i="1"/>
  <c r="U4059" i="1"/>
  <c r="U4058" i="1"/>
  <c r="U4057" i="1"/>
  <c r="U4056" i="1"/>
  <c r="U4055" i="1"/>
  <c r="U4054" i="1"/>
  <c r="U4053" i="1"/>
  <c r="U4052" i="1"/>
  <c r="U4051" i="1"/>
  <c r="U4050" i="1"/>
  <c r="U4049" i="1"/>
  <c r="U4048" i="1"/>
  <c r="U4047" i="1"/>
  <c r="U4046" i="1"/>
  <c r="U4045" i="1"/>
  <c r="U4044" i="1"/>
  <c r="U4043" i="1"/>
  <c r="U4042" i="1"/>
  <c r="U4041" i="1"/>
  <c r="U4040" i="1"/>
  <c r="U4039" i="1"/>
  <c r="U4038" i="1"/>
  <c r="U4037" i="1"/>
  <c r="U4036" i="1"/>
  <c r="U4035" i="1"/>
  <c r="U4034" i="1"/>
  <c r="U4033" i="1"/>
  <c r="U4032" i="1"/>
  <c r="U4031" i="1"/>
  <c r="U4030" i="1"/>
  <c r="U4029" i="1"/>
  <c r="U4028" i="1"/>
  <c r="U4027" i="1"/>
  <c r="U4026" i="1"/>
  <c r="U4025" i="1"/>
  <c r="U4024" i="1"/>
  <c r="U4023" i="1"/>
  <c r="U4022" i="1"/>
  <c r="U4021" i="1"/>
  <c r="U4020" i="1"/>
  <c r="U4019" i="1"/>
  <c r="U4018" i="1"/>
  <c r="U4017" i="1"/>
  <c r="U4016" i="1"/>
  <c r="U4015" i="1"/>
  <c r="U4014" i="1"/>
  <c r="U4013" i="1"/>
  <c r="U4012" i="1"/>
  <c r="U4011" i="1"/>
  <c r="U4010" i="1"/>
  <c r="U4009" i="1"/>
  <c r="U4008" i="1"/>
  <c r="U4007" i="1"/>
  <c r="U4006" i="1"/>
  <c r="U4005" i="1"/>
  <c r="U4004" i="1"/>
  <c r="U4003" i="1"/>
  <c r="U4002" i="1"/>
  <c r="U4001" i="1"/>
  <c r="U4000" i="1"/>
  <c r="U3999" i="1"/>
  <c r="U3998" i="1"/>
  <c r="U3997" i="1"/>
  <c r="U3996" i="1"/>
  <c r="U3995" i="1"/>
  <c r="U3994" i="1"/>
  <c r="U3993" i="1"/>
  <c r="U3992" i="1"/>
  <c r="U3991" i="1"/>
  <c r="U3990" i="1"/>
  <c r="U3989" i="1"/>
  <c r="U3988" i="1"/>
  <c r="U3987" i="1"/>
  <c r="U3986" i="1"/>
  <c r="U3985" i="1"/>
  <c r="U3984" i="1"/>
  <c r="U3983" i="1"/>
  <c r="U3982" i="1"/>
  <c r="U3981" i="1"/>
  <c r="U3980" i="1"/>
  <c r="U3979" i="1"/>
  <c r="U3978" i="1"/>
  <c r="U3977" i="1"/>
  <c r="U3976" i="1"/>
  <c r="U3975" i="1"/>
  <c r="U3974" i="1"/>
  <c r="U3973" i="1"/>
  <c r="U3972" i="1"/>
  <c r="U3971" i="1"/>
  <c r="U3970" i="1"/>
  <c r="U3969" i="1"/>
  <c r="U3967" i="1"/>
  <c r="U3966" i="1"/>
  <c r="U3965" i="1"/>
  <c r="U3964" i="1"/>
  <c r="U3963" i="1"/>
  <c r="U3962" i="1"/>
  <c r="U3961" i="1"/>
  <c r="U3960" i="1"/>
  <c r="U3959" i="1"/>
  <c r="U3958" i="1"/>
  <c r="U3957" i="1"/>
  <c r="U3956" i="1"/>
  <c r="U3955" i="1"/>
  <c r="U3954" i="1"/>
  <c r="U3953" i="1"/>
  <c r="U3952" i="1"/>
  <c r="U3951" i="1"/>
  <c r="U3950" i="1"/>
  <c r="U3949" i="1"/>
  <c r="U3948" i="1"/>
  <c r="U3947" i="1"/>
  <c r="U3946" i="1"/>
  <c r="U3945" i="1"/>
  <c r="U3944" i="1"/>
  <c r="U3943" i="1"/>
  <c r="U3942" i="1"/>
  <c r="U3941" i="1"/>
  <c r="U3940" i="1"/>
  <c r="U3939" i="1"/>
  <c r="U3938" i="1"/>
  <c r="U3937" i="1"/>
  <c r="U3936" i="1"/>
  <c r="U3935" i="1"/>
  <c r="U3934" i="1"/>
  <c r="U3933" i="1"/>
  <c r="U3932" i="1"/>
  <c r="U3931" i="1"/>
  <c r="U3930" i="1"/>
  <c r="U3929" i="1"/>
  <c r="U3928" i="1"/>
  <c r="U3927" i="1"/>
  <c r="U3926" i="1"/>
  <c r="U3925" i="1"/>
  <c r="U3924" i="1"/>
  <c r="U3923" i="1"/>
  <c r="U3922" i="1"/>
  <c r="U3921" i="1"/>
  <c r="U3920" i="1"/>
  <c r="U3919" i="1"/>
  <c r="U3918" i="1"/>
  <c r="U3917" i="1"/>
  <c r="U3916" i="1"/>
  <c r="U3915" i="1"/>
  <c r="U3914" i="1"/>
  <c r="U3913" i="1"/>
  <c r="U3912" i="1"/>
  <c r="U3911" i="1"/>
  <c r="U3910" i="1"/>
  <c r="U3909" i="1"/>
  <c r="U3908" i="1"/>
  <c r="U3907" i="1"/>
  <c r="U3906" i="1"/>
  <c r="U3905" i="1"/>
  <c r="U3904" i="1"/>
  <c r="U3903" i="1"/>
  <c r="U3902" i="1"/>
  <c r="U3901" i="1"/>
  <c r="U3900" i="1"/>
  <c r="U3899" i="1"/>
  <c r="U3898" i="1"/>
  <c r="U3897" i="1"/>
  <c r="U3896" i="1"/>
  <c r="U3895" i="1"/>
  <c r="U3894" i="1"/>
  <c r="U3893" i="1"/>
  <c r="U3892" i="1"/>
  <c r="U3891" i="1"/>
  <c r="U3890" i="1"/>
  <c r="U3889" i="1"/>
  <c r="U3888" i="1"/>
  <c r="U3887" i="1"/>
  <c r="U3886" i="1"/>
  <c r="U3885" i="1"/>
  <c r="U3884" i="1"/>
  <c r="U3883" i="1"/>
  <c r="U3882" i="1"/>
  <c r="U3881" i="1"/>
  <c r="U3880" i="1"/>
  <c r="U3879" i="1"/>
  <c r="U3878" i="1"/>
  <c r="U3877" i="1"/>
  <c r="U3876" i="1"/>
  <c r="U3875" i="1"/>
  <c r="U3874" i="1"/>
  <c r="U3873" i="1"/>
  <c r="U3872" i="1"/>
  <c r="U3871" i="1"/>
  <c r="U3870" i="1"/>
  <c r="U3869" i="1"/>
  <c r="U3868" i="1"/>
  <c r="U3867" i="1"/>
  <c r="U3866" i="1"/>
  <c r="U3865" i="1"/>
  <c r="U3864" i="1"/>
  <c r="U3863" i="1"/>
  <c r="U3862" i="1"/>
  <c r="U3861" i="1"/>
  <c r="U3860" i="1"/>
  <c r="U3859" i="1"/>
  <c r="U3858" i="1"/>
  <c r="U3857" i="1"/>
  <c r="U3856" i="1"/>
  <c r="U3855" i="1"/>
  <c r="U3854" i="1"/>
  <c r="U3853" i="1"/>
  <c r="U3852" i="1"/>
  <c r="U3851" i="1"/>
  <c r="U3850" i="1"/>
  <c r="U3849" i="1"/>
  <c r="U3848" i="1"/>
  <c r="U3847" i="1"/>
  <c r="U3846" i="1"/>
  <c r="U3845" i="1"/>
  <c r="U3844" i="1"/>
  <c r="U3843" i="1"/>
  <c r="U3842" i="1"/>
  <c r="U3841" i="1"/>
  <c r="U3840" i="1"/>
  <c r="U3839" i="1"/>
  <c r="U3838" i="1"/>
  <c r="U3837" i="1"/>
  <c r="U3836" i="1"/>
  <c r="U3835" i="1"/>
  <c r="U3834" i="1"/>
  <c r="U3833" i="1"/>
  <c r="U3832" i="1"/>
  <c r="U3831" i="1"/>
  <c r="U3830" i="1"/>
  <c r="U3829" i="1"/>
  <c r="U3828" i="1"/>
  <c r="U3827" i="1"/>
  <c r="U3826" i="1"/>
  <c r="U3825" i="1"/>
  <c r="U3824" i="1"/>
  <c r="U3823" i="1"/>
  <c r="U3822" i="1"/>
  <c r="U3821" i="1"/>
  <c r="U3820" i="1"/>
  <c r="U3819" i="1"/>
  <c r="U3818" i="1"/>
  <c r="U3817" i="1"/>
  <c r="U3816" i="1"/>
  <c r="U3815" i="1"/>
  <c r="U3814" i="1"/>
  <c r="U3813" i="1"/>
  <c r="U3812" i="1"/>
  <c r="U3811" i="1"/>
  <c r="U3810" i="1"/>
  <c r="U3809" i="1"/>
  <c r="U3808" i="1"/>
  <c r="U3807" i="1"/>
  <c r="U3806" i="1"/>
  <c r="U3805" i="1"/>
  <c r="U3804" i="1"/>
  <c r="U3803" i="1"/>
  <c r="U3802" i="1"/>
  <c r="U3801" i="1"/>
  <c r="U3800" i="1"/>
  <c r="U3799" i="1"/>
  <c r="U3798" i="1"/>
  <c r="U3797" i="1"/>
  <c r="U3796" i="1"/>
  <c r="U3795" i="1"/>
  <c r="U3794" i="1"/>
  <c r="U3793" i="1"/>
  <c r="U3792" i="1"/>
  <c r="U3791" i="1"/>
  <c r="U3790" i="1"/>
  <c r="U3789" i="1"/>
  <c r="U3788" i="1"/>
  <c r="U3787" i="1"/>
  <c r="U3786" i="1"/>
  <c r="U3785" i="1"/>
  <c r="U3784" i="1"/>
  <c r="U3783" i="1"/>
  <c r="U3782" i="1"/>
  <c r="U3781" i="1"/>
  <c r="U3780" i="1"/>
  <c r="U3779" i="1"/>
  <c r="U3778" i="1"/>
  <c r="U3777" i="1"/>
  <c r="U3776" i="1"/>
  <c r="U3775" i="1"/>
  <c r="U3774" i="1"/>
  <c r="U3773" i="1"/>
  <c r="U3772" i="1"/>
  <c r="U3771" i="1"/>
  <c r="U3770" i="1"/>
  <c r="U3769" i="1"/>
  <c r="U3768" i="1"/>
  <c r="U3767" i="1"/>
  <c r="U3766" i="1"/>
  <c r="U3765" i="1"/>
  <c r="U3764" i="1"/>
  <c r="U3763" i="1"/>
  <c r="U3761" i="1"/>
  <c r="U3760" i="1"/>
  <c r="U3759" i="1"/>
  <c r="U3758" i="1"/>
  <c r="U3757" i="1"/>
  <c r="U3756" i="1"/>
  <c r="U3755" i="1"/>
  <c r="U3754" i="1"/>
  <c r="U3753" i="1"/>
  <c r="U3751" i="1"/>
  <c r="U3750" i="1"/>
  <c r="U3749" i="1"/>
  <c r="U3748" i="1"/>
  <c r="U3747" i="1"/>
  <c r="U3746" i="1"/>
  <c r="U3745" i="1"/>
  <c r="U3744" i="1"/>
  <c r="U3743" i="1"/>
  <c r="U3742" i="1"/>
  <c r="U3741" i="1"/>
  <c r="U3740" i="1"/>
  <c r="U3739" i="1"/>
  <c r="U3738" i="1"/>
  <c r="U3737" i="1"/>
  <c r="U3736" i="1"/>
  <c r="U3735" i="1"/>
  <c r="U3734" i="1"/>
  <c r="U3733" i="1"/>
  <c r="U3732" i="1"/>
  <c r="U3731" i="1"/>
  <c r="U3730" i="1"/>
  <c r="U3729" i="1"/>
  <c r="U3728" i="1"/>
  <c r="U3727" i="1"/>
  <c r="U3726" i="1"/>
  <c r="U3725" i="1"/>
  <c r="U3724" i="1"/>
  <c r="U3723" i="1"/>
  <c r="U3722" i="1"/>
  <c r="U3721" i="1"/>
  <c r="U3720" i="1"/>
  <c r="U3719" i="1"/>
  <c r="U3718" i="1"/>
  <c r="U3717" i="1"/>
  <c r="U3716" i="1"/>
  <c r="U3715" i="1"/>
  <c r="U3714" i="1"/>
  <c r="U3713" i="1"/>
  <c r="U3712" i="1"/>
  <c r="U3711" i="1"/>
  <c r="U3710" i="1"/>
  <c r="U3709" i="1"/>
  <c r="U3708" i="1"/>
  <c r="U3707" i="1"/>
  <c r="U3706" i="1"/>
  <c r="U3705" i="1"/>
  <c r="U3704" i="1"/>
  <c r="U3703" i="1"/>
  <c r="U3702" i="1"/>
  <c r="U3701" i="1"/>
  <c r="U3699" i="1"/>
  <c r="U3698" i="1"/>
  <c r="U3697" i="1"/>
  <c r="U3696" i="1"/>
  <c r="U3695" i="1"/>
  <c r="U3694" i="1"/>
  <c r="U3693" i="1"/>
  <c r="U3692" i="1"/>
  <c r="U3691" i="1"/>
  <c r="U3690" i="1"/>
  <c r="U3689" i="1"/>
  <c r="U3688" i="1"/>
  <c r="U3687" i="1"/>
  <c r="U3686" i="1"/>
  <c r="U3685" i="1"/>
  <c r="U3684" i="1"/>
  <c r="U3683" i="1"/>
  <c r="U3682" i="1"/>
  <c r="U3681" i="1"/>
  <c r="U3680" i="1"/>
  <c r="U3679" i="1"/>
  <c r="U3678" i="1"/>
  <c r="U3677" i="1"/>
  <c r="U3676" i="1"/>
  <c r="U3675" i="1"/>
  <c r="U3674" i="1"/>
  <c r="U3673" i="1"/>
  <c r="U3672" i="1"/>
  <c r="U3671" i="1"/>
  <c r="U3670" i="1"/>
  <c r="U3669" i="1"/>
  <c r="U3668" i="1"/>
  <c r="U3667" i="1"/>
  <c r="U3666" i="1"/>
  <c r="U3665" i="1"/>
  <c r="U3664" i="1"/>
  <c r="U3663" i="1"/>
  <c r="U3662" i="1"/>
  <c r="U3661" i="1"/>
  <c r="U3660" i="1"/>
  <c r="U3659" i="1"/>
  <c r="U3658" i="1"/>
  <c r="U3657" i="1"/>
  <c r="U3656" i="1"/>
  <c r="U3655" i="1"/>
  <c r="U3654" i="1"/>
  <c r="U3653" i="1"/>
  <c r="U3652" i="1"/>
  <c r="U3651" i="1"/>
  <c r="U3650" i="1"/>
  <c r="U3649" i="1"/>
  <c r="U3648" i="1"/>
  <c r="U3647" i="1"/>
  <c r="U3646" i="1"/>
  <c r="U3645" i="1"/>
  <c r="U3644" i="1"/>
  <c r="U3643" i="1"/>
  <c r="U3642" i="1"/>
  <c r="U3641" i="1"/>
  <c r="U3640" i="1"/>
  <c r="U3639" i="1"/>
  <c r="U3638" i="1"/>
  <c r="U3637" i="1"/>
  <c r="U3636" i="1"/>
  <c r="U3635" i="1"/>
  <c r="U3634" i="1"/>
  <c r="U3633" i="1"/>
  <c r="U3632" i="1"/>
  <c r="U3631" i="1"/>
  <c r="U3630" i="1"/>
  <c r="U3629" i="1"/>
  <c r="U3628" i="1"/>
  <c r="U3627" i="1"/>
  <c r="U3626" i="1"/>
  <c r="U3625" i="1"/>
  <c r="U3624" i="1"/>
  <c r="U3623" i="1"/>
  <c r="U3622" i="1"/>
  <c r="U3621" i="1"/>
  <c r="U3620" i="1"/>
  <c r="U3619" i="1"/>
  <c r="U3618" i="1"/>
  <c r="U3617" i="1"/>
  <c r="U3616" i="1"/>
  <c r="U3615" i="1"/>
  <c r="U3614" i="1"/>
  <c r="U3613" i="1"/>
  <c r="U3612" i="1"/>
  <c r="U3611" i="1"/>
  <c r="U3610" i="1"/>
  <c r="U3609" i="1"/>
  <c r="U3608" i="1"/>
  <c r="U3607" i="1"/>
  <c r="U3606" i="1"/>
  <c r="U3605" i="1"/>
  <c r="U3604" i="1"/>
  <c r="U3603" i="1"/>
  <c r="U3602" i="1"/>
  <c r="U3601" i="1"/>
  <c r="U3600" i="1"/>
  <c r="U3599" i="1"/>
  <c r="U3598" i="1"/>
  <c r="U3597" i="1"/>
  <c r="U3596" i="1"/>
  <c r="U3595" i="1"/>
  <c r="U3594" i="1"/>
  <c r="U3593" i="1"/>
  <c r="U3592" i="1"/>
  <c r="U3591" i="1"/>
  <c r="U3590" i="1"/>
  <c r="U3589" i="1"/>
  <c r="U3588" i="1"/>
  <c r="U3587" i="1"/>
  <c r="U3586" i="1"/>
  <c r="U3585" i="1"/>
  <c r="U3584" i="1"/>
  <c r="U3583" i="1"/>
  <c r="U3582" i="1"/>
  <c r="U3581" i="1"/>
  <c r="U3580" i="1"/>
  <c r="U3579" i="1"/>
  <c r="U3578" i="1"/>
  <c r="U3577" i="1"/>
  <c r="U3576" i="1"/>
  <c r="U3575" i="1"/>
  <c r="U3574" i="1"/>
  <c r="U3573" i="1"/>
  <c r="U3572" i="1"/>
  <c r="U3571" i="1"/>
  <c r="U3570" i="1"/>
  <c r="U3569" i="1"/>
  <c r="U3568" i="1"/>
  <c r="U3567" i="1"/>
  <c r="U3566" i="1"/>
  <c r="U3565" i="1"/>
  <c r="U3564" i="1"/>
  <c r="U3563" i="1"/>
  <c r="U3562" i="1"/>
  <c r="U3561" i="1"/>
  <c r="U3560" i="1"/>
  <c r="U3559" i="1"/>
  <c r="U3558" i="1"/>
  <c r="U3557" i="1"/>
  <c r="U3556" i="1"/>
  <c r="U3555" i="1"/>
  <c r="U3554" i="1"/>
  <c r="U3553" i="1"/>
  <c r="U3552" i="1"/>
  <c r="U3551" i="1"/>
  <c r="U3550" i="1"/>
  <c r="U3549" i="1"/>
  <c r="U3548" i="1"/>
  <c r="U3547" i="1"/>
  <c r="U3546" i="1"/>
  <c r="U3545" i="1"/>
  <c r="U3544" i="1"/>
  <c r="U3543" i="1"/>
  <c r="U3542" i="1"/>
  <c r="U3541" i="1"/>
  <c r="U3540" i="1"/>
  <c r="U3539" i="1"/>
  <c r="U3538" i="1"/>
  <c r="U3537" i="1"/>
  <c r="U3536" i="1"/>
  <c r="U3535" i="1"/>
  <c r="U3534" i="1"/>
  <c r="U3533" i="1"/>
  <c r="U3532" i="1"/>
  <c r="U3531" i="1"/>
  <c r="U3530" i="1"/>
  <c r="U3529" i="1"/>
  <c r="U3528" i="1"/>
  <c r="U3527" i="1"/>
  <c r="U3526" i="1"/>
  <c r="U3525" i="1"/>
  <c r="U3524" i="1"/>
  <c r="U3523" i="1"/>
  <c r="U3522" i="1"/>
  <c r="U3521" i="1"/>
  <c r="U3520" i="1"/>
  <c r="U3519" i="1"/>
  <c r="U3518" i="1"/>
  <c r="U3517" i="1"/>
  <c r="U3516" i="1"/>
  <c r="U3515" i="1"/>
  <c r="U3514" i="1"/>
  <c r="U3513" i="1"/>
  <c r="U3512" i="1"/>
  <c r="U3511" i="1"/>
  <c r="U3510" i="1"/>
  <c r="U3509" i="1"/>
  <c r="U3508" i="1"/>
  <c r="U3507" i="1"/>
  <c r="U3506" i="1"/>
  <c r="U3505" i="1"/>
  <c r="U3504" i="1"/>
  <c r="U3503" i="1"/>
  <c r="U3502" i="1"/>
  <c r="U3501" i="1"/>
  <c r="U3500" i="1"/>
  <c r="U3499" i="1"/>
  <c r="U3498" i="1"/>
  <c r="U3497" i="1"/>
  <c r="U3496" i="1"/>
  <c r="U3495" i="1"/>
  <c r="U3494" i="1"/>
  <c r="U3493" i="1"/>
  <c r="U3492" i="1"/>
  <c r="U3491" i="1"/>
  <c r="U3490" i="1"/>
  <c r="U3489" i="1"/>
  <c r="U3488" i="1"/>
  <c r="U3487" i="1"/>
  <c r="U3486" i="1"/>
  <c r="U3485" i="1"/>
  <c r="U3484" i="1"/>
  <c r="U3483" i="1"/>
  <c r="U3482" i="1"/>
  <c r="U3481" i="1"/>
  <c r="U3480" i="1"/>
  <c r="U3479" i="1"/>
  <c r="U3478" i="1"/>
  <c r="U3477" i="1"/>
  <c r="U3476" i="1"/>
  <c r="U3475" i="1"/>
  <c r="U3474" i="1"/>
  <c r="U3473" i="1"/>
  <c r="U3472" i="1"/>
  <c r="U3471" i="1"/>
  <c r="U3470" i="1"/>
  <c r="U3469" i="1"/>
  <c r="U3468" i="1"/>
  <c r="U3467" i="1"/>
  <c r="U3466" i="1"/>
  <c r="U3465" i="1"/>
  <c r="U3464" i="1"/>
  <c r="U3463" i="1"/>
  <c r="U3462" i="1"/>
  <c r="U3461" i="1"/>
  <c r="U3460" i="1"/>
  <c r="U3459" i="1"/>
  <c r="U3458" i="1"/>
  <c r="U3457" i="1"/>
  <c r="U3456" i="1"/>
  <c r="U3455" i="1"/>
  <c r="U3454" i="1"/>
  <c r="U3453" i="1"/>
  <c r="U3452" i="1"/>
  <c r="U3451" i="1"/>
  <c r="U3450" i="1"/>
  <c r="U3449" i="1"/>
  <c r="U3448" i="1"/>
  <c r="U3447" i="1"/>
  <c r="U3446" i="1"/>
  <c r="U3445" i="1"/>
  <c r="U3444" i="1"/>
  <c r="U3443" i="1"/>
  <c r="U3442" i="1"/>
  <c r="U3441" i="1"/>
  <c r="U3440" i="1"/>
  <c r="U3439" i="1"/>
  <c r="U3438" i="1"/>
  <c r="U3437" i="1"/>
  <c r="U3436" i="1"/>
  <c r="U3435" i="1"/>
  <c r="U3434" i="1"/>
  <c r="U3433" i="1"/>
  <c r="U3432" i="1"/>
  <c r="U3431" i="1"/>
  <c r="U3430" i="1"/>
  <c r="U3429" i="1"/>
  <c r="U3428" i="1"/>
  <c r="U3427" i="1"/>
  <c r="U3426" i="1"/>
  <c r="U3425" i="1"/>
  <c r="U3424" i="1"/>
  <c r="U3423" i="1"/>
  <c r="U3422" i="1"/>
  <c r="U3421" i="1"/>
  <c r="U3420" i="1"/>
  <c r="U3419" i="1"/>
  <c r="U3418" i="1"/>
  <c r="U3417" i="1"/>
  <c r="U3416" i="1"/>
  <c r="U3415" i="1"/>
  <c r="U3413" i="1"/>
  <c r="U3412" i="1"/>
  <c r="U3411" i="1"/>
  <c r="U3410" i="1"/>
  <c r="U3409" i="1"/>
  <c r="U3408" i="1"/>
  <c r="U3407" i="1"/>
  <c r="U3406" i="1"/>
  <c r="U3405" i="1"/>
  <c r="U3404" i="1"/>
  <c r="U3403" i="1"/>
  <c r="U3402" i="1"/>
  <c r="U3401" i="1"/>
  <c r="U3400" i="1"/>
  <c r="U3399" i="1"/>
  <c r="U3398" i="1"/>
  <c r="U3397" i="1"/>
  <c r="U3396" i="1"/>
  <c r="U3395" i="1"/>
  <c r="U3394" i="1"/>
  <c r="U3393" i="1"/>
  <c r="U3392" i="1"/>
  <c r="U3391" i="1"/>
  <c r="U3390" i="1"/>
  <c r="U3389" i="1"/>
  <c r="U3388" i="1"/>
  <c r="U3387" i="1"/>
  <c r="U3386" i="1"/>
  <c r="U3385" i="1"/>
  <c r="U3384" i="1"/>
  <c r="U3383" i="1"/>
  <c r="U3382" i="1"/>
  <c r="U3381" i="1"/>
  <c r="U3380" i="1"/>
  <c r="U3379" i="1"/>
  <c r="U3378" i="1"/>
  <c r="U3377" i="1"/>
  <c r="U3376" i="1"/>
  <c r="U3375" i="1"/>
  <c r="U3374" i="1"/>
  <c r="U3373" i="1"/>
  <c r="U3372" i="1"/>
  <c r="U3371" i="1"/>
  <c r="U3370" i="1"/>
  <c r="U3369" i="1"/>
  <c r="U3368" i="1"/>
  <c r="U3367" i="1"/>
  <c r="U3366" i="1"/>
  <c r="U3365" i="1"/>
  <c r="U3364" i="1"/>
  <c r="U3363" i="1"/>
  <c r="U3362" i="1"/>
  <c r="U3361" i="1"/>
  <c r="U3360" i="1"/>
  <c r="U3359" i="1"/>
  <c r="U3358" i="1"/>
  <c r="U3357" i="1"/>
  <c r="U3356" i="1"/>
  <c r="U3355" i="1"/>
  <c r="U3354" i="1"/>
  <c r="U3353" i="1"/>
  <c r="U3352" i="1"/>
  <c r="U3351" i="1"/>
  <c r="U3350" i="1"/>
  <c r="U3349" i="1"/>
  <c r="U3348" i="1"/>
  <c r="U3347" i="1"/>
  <c r="U3346" i="1"/>
  <c r="U3345" i="1"/>
  <c r="U3344" i="1"/>
  <c r="U3343" i="1"/>
  <c r="U3342" i="1"/>
  <c r="U3341" i="1"/>
  <c r="U3340" i="1"/>
  <c r="U3339" i="1"/>
  <c r="U3338" i="1"/>
  <c r="U3337" i="1"/>
  <c r="U3336" i="1"/>
  <c r="U3335" i="1"/>
  <c r="U3334" i="1"/>
  <c r="U3333" i="1"/>
  <c r="U3332" i="1"/>
  <c r="U3331" i="1"/>
  <c r="U3330" i="1"/>
  <c r="U3329" i="1"/>
  <c r="U3328" i="1"/>
  <c r="U3327" i="1"/>
  <c r="U3326" i="1"/>
  <c r="U3325" i="1"/>
  <c r="U3324" i="1"/>
  <c r="U3323" i="1"/>
  <c r="U3322" i="1"/>
  <c r="U3321" i="1"/>
  <c r="U3320" i="1"/>
  <c r="U3319" i="1"/>
  <c r="U3318" i="1"/>
  <c r="U3317" i="1"/>
  <c r="U3316" i="1"/>
  <c r="U3315" i="1"/>
  <c r="U3314" i="1"/>
  <c r="U3313" i="1"/>
  <c r="U3312" i="1"/>
  <c r="U3311" i="1"/>
  <c r="U3310" i="1"/>
  <c r="U3309" i="1"/>
  <c r="U3308" i="1"/>
  <c r="U3307" i="1"/>
  <c r="U3306" i="1"/>
  <c r="U3305" i="1"/>
  <c r="U3304" i="1"/>
  <c r="U3303" i="1"/>
  <c r="U3302" i="1"/>
  <c r="U3301" i="1"/>
  <c r="U3300" i="1"/>
  <c r="U3299" i="1"/>
  <c r="U3298" i="1"/>
  <c r="U3297" i="1"/>
  <c r="U3296" i="1"/>
  <c r="U3295" i="1"/>
  <c r="U3294" i="1"/>
  <c r="U3293" i="1"/>
  <c r="U3292" i="1"/>
  <c r="U3291" i="1"/>
  <c r="U3290" i="1"/>
  <c r="U3289" i="1"/>
  <c r="U3288" i="1"/>
  <c r="U3287" i="1"/>
  <c r="U3286" i="1"/>
  <c r="U3285" i="1"/>
  <c r="U3284" i="1"/>
  <c r="U3283" i="1"/>
  <c r="U3282" i="1"/>
  <c r="U3281" i="1"/>
  <c r="U3280" i="1"/>
  <c r="U3279" i="1"/>
  <c r="U3278" i="1"/>
  <c r="U3277" i="1"/>
  <c r="U3276" i="1"/>
  <c r="U3275" i="1"/>
  <c r="U3274" i="1"/>
  <c r="U3273" i="1"/>
  <c r="U3272" i="1"/>
  <c r="U3271" i="1"/>
  <c r="U3270" i="1"/>
  <c r="U3269" i="1"/>
  <c r="U3268" i="1"/>
  <c r="U3267" i="1"/>
  <c r="U3266" i="1"/>
  <c r="U3265" i="1"/>
  <c r="U3264" i="1"/>
  <c r="U3263" i="1"/>
  <c r="U3262" i="1"/>
  <c r="U3261" i="1"/>
  <c r="U3260" i="1"/>
  <c r="U3259" i="1"/>
  <c r="U3258" i="1"/>
  <c r="U3257" i="1"/>
  <c r="U3256" i="1"/>
  <c r="U3255" i="1"/>
  <c r="U3254" i="1"/>
  <c r="U3253" i="1"/>
  <c r="U3252" i="1"/>
  <c r="U3251" i="1"/>
  <c r="U3250" i="1"/>
  <c r="U3249" i="1"/>
  <c r="U3248" i="1"/>
  <c r="U3247" i="1"/>
  <c r="U3246" i="1"/>
  <c r="U3245" i="1"/>
  <c r="U3244" i="1"/>
  <c r="U3243" i="1"/>
  <c r="U3242" i="1"/>
  <c r="U3241" i="1"/>
  <c r="U3240" i="1"/>
  <c r="U3239" i="1"/>
  <c r="U3238" i="1"/>
  <c r="U3237" i="1"/>
  <c r="U3236" i="1"/>
  <c r="U3235" i="1"/>
  <c r="U3234" i="1"/>
  <c r="U3233" i="1"/>
  <c r="U3232" i="1"/>
  <c r="U3231" i="1"/>
  <c r="U3230" i="1"/>
  <c r="U3229" i="1"/>
  <c r="U3228" i="1"/>
  <c r="U3227" i="1"/>
  <c r="U3226" i="1"/>
  <c r="U3225" i="1"/>
  <c r="U3224" i="1"/>
  <c r="U3223" i="1"/>
  <c r="U3222" i="1"/>
  <c r="U3221" i="1"/>
  <c r="U3220" i="1"/>
  <c r="U3219" i="1"/>
  <c r="U3218" i="1"/>
  <c r="U3217" i="1"/>
  <c r="U3216" i="1"/>
  <c r="U3215" i="1"/>
  <c r="U3214" i="1"/>
  <c r="U3213" i="1"/>
  <c r="U3212" i="1"/>
  <c r="U3211" i="1"/>
  <c r="U3210" i="1"/>
  <c r="U3209" i="1"/>
  <c r="U3208" i="1"/>
  <c r="U3207" i="1"/>
  <c r="U3206" i="1"/>
  <c r="U3205" i="1"/>
  <c r="U3204" i="1"/>
  <c r="U3203" i="1"/>
  <c r="U3202" i="1"/>
  <c r="U3201" i="1"/>
  <c r="U3200" i="1"/>
  <c r="U3199" i="1"/>
  <c r="U3198" i="1"/>
  <c r="U3197" i="1"/>
  <c r="U3196" i="1"/>
  <c r="U3195" i="1"/>
  <c r="U3194" i="1"/>
  <c r="U3193" i="1"/>
  <c r="U3192" i="1"/>
  <c r="U3191" i="1"/>
  <c r="U3190" i="1"/>
  <c r="U3189" i="1"/>
  <c r="U3188" i="1"/>
  <c r="U3187" i="1"/>
  <c r="U3186" i="1"/>
  <c r="U3185" i="1"/>
  <c r="U3184" i="1"/>
  <c r="U3183" i="1"/>
  <c r="U3182" i="1"/>
  <c r="U3181" i="1"/>
  <c r="U3180" i="1"/>
  <c r="U3179" i="1"/>
  <c r="U3178" i="1"/>
  <c r="U3177" i="1"/>
  <c r="U3176" i="1"/>
  <c r="U3175" i="1"/>
  <c r="U3174" i="1"/>
  <c r="U3173" i="1"/>
  <c r="U3172" i="1"/>
  <c r="U3171" i="1"/>
  <c r="U3170" i="1"/>
  <c r="U3169" i="1"/>
  <c r="U3168" i="1"/>
  <c r="U3167" i="1"/>
  <c r="U3166" i="1"/>
  <c r="U3165" i="1"/>
  <c r="U3164" i="1"/>
  <c r="U3163" i="1"/>
  <c r="U3162" i="1"/>
  <c r="U3161" i="1"/>
  <c r="U3160" i="1"/>
  <c r="U3159" i="1"/>
  <c r="U3158" i="1"/>
  <c r="U3157" i="1"/>
  <c r="U3156" i="1"/>
  <c r="U3155" i="1"/>
  <c r="U3154" i="1"/>
  <c r="U3153" i="1"/>
  <c r="U3152" i="1"/>
  <c r="U3151" i="1"/>
  <c r="U3150" i="1"/>
  <c r="U3149" i="1"/>
  <c r="U3148" i="1"/>
  <c r="U3147" i="1"/>
  <c r="U3146" i="1"/>
  <c r="U3145" i="1"/>
  <c r="U3144" i="1"/>
  <c r="U3143" i="1"/>
  <c r="U3142" i="1"/>
  <c r="U3141" i="1"/>
  <c r="U3140" i="1"/>
  <c r="U3139" i="1"/>
  <c r="U3138" i="1"/>
  <c r="U3137" i="1"/>
  <c r="U3136" i="1"/>
  <c r="U3135" i="1"/>
  <c r="U3134" i="1"/>
  <c r="U3133" i="1"/>
  <c r="U3132" i="1"/>
  <c r="U3131" i="1"/>
  <c r="U3130" i="1"/>
  <c r="U3129" i="1"/>
  <c r="U3128" i="1"/>
  <c r="U3127" i="1"/>
  <c r="U3126" i="1"/>
  <c r="U3125" i="1"/>
  <c r="U3124" i="1"/>
  <c r="U3123" i="1"/>
  <c r="U3122" i="1"/>
  <c r="U3121" i="1"/>
  <c r="U3120" i="1"/>
  <c r="U3119" i="1"/>
  <c r="U3118" i="1"/>
  <c r="U3117" i="1"/>
  <c r="U3116" i="1"/>
  <c r="U3115" i="1"/>
  <c r="U3114" i="1"/>
  <c r="U3113" i="1"/>
  <c r="U3112" i="1"/>
  <c r="U3111" i="1"/>
  <c r="U3110" i="1"/>
  <c r="U3109" i="1"/>
  <c r="U3108" i="1"/>
  <c r="U3107" i="1"/>
  <c r="U3106" i="1"/>
  <c r="U3105" i="1"/>
  <c r="U3104" i="1"/>
  <c r="U3103" i="1"/>
  <c r="U3102" i="1"/>
  <c r="U3101" i="1"/>
  <c r="U3100" i="1"/>
  <c r="U3099" i="1"/>
  <c r="U3098" i="1"/>
  <c r="U3097" i="1"/>
  <c r="U3096" i="1"/>
  <c r="U3095" i="1"/>
  <c r="U3094" i="1"/>
  <c r="U3093" i="1"/>
  <c r="U3092" i="1"/>
  <c r="U3091" i="1"/>
  <c r="U3090" i="1"/>
  <c r="U3089" i="1"/>
  <c r="U3088" i="1"/>
  <c r="U3087" i="1"/>
  <c r="U3086" i="1"/>
  <c r="U3085" i="1"/>
  <c r="U3084" i="1"/>
  <c r="U3083" i="1"/>
  <c r="U3082" i="1"/>
  <c r="U3081" i="1"/>
  <c r="U3080" i="1"/>
  <c r="U3079" i="1"/>
  <c r="U3078" i="1"/>
  <c r="U3077" i="1"/>
  <c r="U3076" i="1"/>
  <c r="U3075" i="1"/>
  <c r="U3074" i="1"/>
  <c r="U3073" i="1"/>
  <c r="U3072" i="1"/>
  <c r="U3071" i="1"/>
  <c r="U3070" i="1"/>
  <c r="U3069" i="1"/>
  <c r="U3068" i="1"/>
  <c r="U3067" i="1"/>
  <c r="U3066" i="1"/>
  <c r="U3065" i="1"/>
  <c r="U3064" i="1"/>
  <c r="U3063" i="1"/>
  <c r="U3062" i="1"/>
  <c r="U3061" i="1"/>
  <c r="U3060" i="1"/>
  <c r="U3059" i="1"/>
  <c r="U3058" i="1"/>
  <c r="U3057" i="1"/>
  <c r="U3056" i="1"/>
  <c r="U3055" i="1"/>
  <c r="U3054" i="1"/>
  <c r="U3053" i="1"/>
  <c r="U3052" i="1"/>
  <c r="U3051" i="1"/>
  <c r="U3050" i="1"/>
  <c r="U3049" i="1"/>
  <c r="U3048" i="1"/>
  <c r="U3047" i="1"/>
  <c r="U3046" i="1"/>
  <c r="U3045" i="1"/>
  <c r="U3044" i="1"/>
  <c r="U3043" i="1"/>
  <c r="U3042" i="1"/>
  <c r="U3041" i="1"/>
  <c r="U3040" i="1"/>
  <c r="U3039" i="1"/>
  <c r="U3038" i="1"/>
  <c r="U3037" i="1"/>
  <c r="U3036" i="1"/>
  <c r="U3035" i="1"/>
  <c r="U3034" i="1"/>
  <c r="U3033" i="1"/>
  <c r="U3032" i="1"/>
  <c r="U3031" i="1"/>
  <c r="U3030" i="1"/>
  <c r="U3029" i="1"/>
  <c r="U3028" i="1"/>
  <c r="U3027" i="1"/>
  <c r="U3026" i="1"/>
  <c r="U3025" i="1"/>
  <c r="U3024" i="1"/>
  <c r="U3023" i="1"/>
  <c r="U3022" i="1"/>
  <c r="U3021" i="1"/>
  <c r="U3020" i="1"/>
  <c r="U3019" i="1"/>
  <c r="U3018" i="1"/>
  <c r="U3017" i="1"/>
  <c r="U3016" i="1"/>
  <c r="U3015" i="1"/>
  <c r="U3014" i="1"/>
  <c r="U3013" i="1"/>
  <c r="U3012" i="1"/>
  <c r="U3011" i="1"/>
  <c r="U3010" i="1"/>
  <c r="U3009" i="1"/>
  <c r="U3008" i="1"/>
  <c r="U3007" i="1"/>
  <c r="U3006" i="1"/>
  <c r="U3005" i="1"/>
  <c r="U3004" i="1"/>
  <c r="U3003" i="1"/>
  <c r="U3002" i="1"/>
  <c r="U3001" i="1"/>
  <c r="U3000" i="1"/>
  <c r="U2999" i="1"/>
  <c r="U2998" i="1"/>
  <c r="U2997" i="1"/>
  <c r="U2996" i="1"/>
  <c r="U2995" i="1"/>
  <c r="U2994" i="1"/>
  <c r="U2993" i="1"/>
  <c r="U2992" i="1"/>
  <c r="U2991" i="1"/>
  <c r="U2990" i="1"/>
  <c r="U2989" i="1"/>
  <c r="U2988" i="1"/>
  <c r="U2987" i="1"/>
  <c r="U2986" i="1"/>
  <c r="U2985" i="1"/>
  <c r="U2984" i="1"/>
  <c r="U2983" i="1"/>
  <c r="U2982" i="1"/>
  <c r="U2981" i="1"/>
  <c r="U2980" i="1"/>
  <c r="U2979" i="1"/>
  <c r="U2978" i="1"/>
  <c r="U2977" i="1"/>
  <c r="U2976" i="1"/>
  <c r="U2975" i="1"/>
  <c r="U2974" i="1"/>
  <c r="U2973" i="1"/>
  <c r="U2972" i="1"/>
  <c r="U2971" i="1"/>
  <c r="U2970" i="1"/>
  <c r="U2969" i="1"/>
  <c r="U2968" i="1"/>
  <c r="U2967" i="1"/>
  <c r="U2966" i="1"/>
  <c r="U2965" i="1"/>
  <c r="U2964" i="1"/>
  <c r="U2963" i="1"/>
  <c r="U2962" i="1"/>
  <c r="U2961" i="1"/>
  <c r="U2960" i="1"/>
  <c r="U2959" i="1"/>
  <c r="U2958" i="1"/>
  <c r="U2957" i="1"/>
  <c r="U2956" i="1"/>
  <c r="U2955" i="1"/>
  <c r="U2954" i="1"/>
  <c r="U2953" i="1"/>
  <c r="U2952" i="1"/>
  <c r="U2951" i="1"/>
  <c r="U2950" i="1"/>
  <c r="U2949" i="1"/>
  <c r="U2948" i="1"/>
  <c r="U2947" i="1"/>
  <c r="U2946" i="1"/>
  <c r="U2945" i="1"/>
  <c r="U2944" i="1"/>
  <c r="U2943" i="1"/>
  <c r="U2942" i="1"/>
  <c r="U2941" i="1"/>
  <c r="U2940" i="1"/>
  <c r="U2939" i="1"/>
  <c r="U2938" i="1"/>
  <c r="U2937" i="1"/>
  <c r="U2936" i="1"/>
  <c r="U2935" i="1"/>
  <c r="U2934" i="1"/>
  <c r="U2933" i="1"/>
  <c r="U2932" i="1"/>
  <c r="U2931" i="1"/>
  <c r="U2930" i="1"/>
  <c r="U2929" i="1"/>
  <c r="U2927" i="1"/>
  <c r="U2926" i="1"/>
  <c r="U2925" i="1"/>
  <c r="U2924" i="1"/>
  <c r="U2923" i="1"/>
  <c r="U2922" i="1"/>
  <c r="U2921" i="1"/>
  <c r="U2920" i="1"/>
  <c r="U2919" i="1"/>
  <c r="U2918" i="1"/>
  <c r="U2917" i="1"/>
  <c r="U2916" i="1"/>
  <c r="U2915" i="1"/>
  <c r="U2914" i="1"/>
  <c r="U2913" i="1"/>
  <c r="U2912" i="1"/>
  <c r="U2911" i="1"/>
  <c r="U2910" i="1"/>
  <c r="U2909" i="1"/>
  <c r="U2908" i="1"/>
  <c r="U2907" i="1"/>
  <c r="U2906" i="1"/>
  <c r="U2905" i="1"/>
  <c r="U2904" i="1"/>
  <c r="U2903" i="1"/>
  <c r="U2902" i="1"/>
  <c r="U2901" i="1"/>
  <c r="U2900" i="1"/>
  <c r="U2899" i="1"/>
  <c r="U2898" i="1"/>
  <c r="U2897" i="1"/>
  <c r="U2896" i="1"/>
  <c r="U2895" i="1"/>
  <c r="U2894" i="1"/>
  <c r="U2893" i="1"/>
  <c r="U2892" i="1"/>
  <c r="U2891" i="1"/>
  <c r="U2890" i="1"/>
  <c r="U2889" i="1"/>
  <c r="U2888" i="1"/>
  <c r="U2887" i="1"/>
  <c r="U2886" i="1"/>
  <c r="U2885" i="1"/>
  <c r="U2884" i="1"/>
  <c r="U2883" i="1"/>
  <c r="U2882" i="1"/>
  <c r="U2881" i="1"/>
  <c r="U2880" i="1"/>
  <c r="U2879" i="1"/>
  <c r="U2878" i="1"/>
  <c r="U2877" i="1"/>
  <c r="U2876" i="1"/>
  <c r="U2875" i="1"/>
  <c r="U2874" i="1"/>
  <c r="U2873" i="1"/>
  <c r="U2872" i="1"/>
  <c r="U2871" i="1"/>
  <c r="U2870" i="1"/>
  <c r="U2869" i="1"/>
  <c r="U2868" i="1"/>
  <c r="U2867" i="1"/>
  <c r="U2866" i="1"/>
  <c r="U2865" i="1"/>
  <c r="U2864" i="1"/>
  <c r="U2863" i="1"/>
  <c r="U2862" i="1"/>
  <c r="U2861" i="1"/>
  <c r="U2860" i="1"/>
  <c r="U2859" i="1"/>
  <c r="U2858" i="1"/>
  <c r="U2857" i="1"/>
  <c r="U2856" i="1"/>
  <c r="U2855" i="1"/>
  <c r="U2854" i="1"/>
  <c r="U2853" i="1"/>
  <c r="U2852" i="1"/>
  <c r="U2851" i="1"/>
  <c r="U2850" i="1"/>
  <c r="U2849" i="1"/>
  <c r="U2848" i="1"/>
  <c r="U2847" i="1"/>
  <c r="U2846" i="1"/>
  <c r="U2845" i="1"/>
  <c r="U2844" i="1"/>
  <c r="U2843" i="1"/>
  <c r="U2842" i="1"/>
  <c r="U2841" i="1"/>
  <c r="U2840" i="1"/>
  <c r="U2839" i="1"/>
  <c r="U2838" i="1"/>
  <c r="U2837" i="1"/>
  <c r="U2836" i="1"/>
  <c r="U2835" i="1"/>
  <c r="U2834" i="1"/>
  <c r="U2833" i="1"/>
  <c r="U2832" i="1"/>
  <c r="U2831" i="1"/>
  <c r="U2830" i="1"/>
  <c r="U2829" i="1"/>
  <c r="U2828" i="1"/>
  <c r="U2827" i="1"/>
  <c r="U2826" i="1"/>
  <c r="U2825" i="1"/>
  <c r="U2824" i="1"/>
  <c r="U2823" i="1"/>
  <c r="U2822" i="1"/>
  <c r="U2821" i="1"/>
  <c r="U2820" i="1"/>
  <c r="U2819" i="1"/>
  <c r="U2818" i="1"/>
  <c r="U2817" i="1"/>
  <c r="U2816" i="1"/>
  <c r="U2815" i="1"/>
  <c r="U2814" i="1"/>
  <c r="U2813" i="1"/>
  <c r="U2812" i="1"/>
  <c r="U2811" i="1"/>
  <c r="U2810" i="1"/>
  <c r="U2809" i="1"/>
  <c r="U2808" i="1"/>
  <c r="U2807" i="1"/>
  <c r="U2806" i="1"/>
  <c r="U2805" i="1"/>
  <c r="U2804" i="1"/>
  <c r="U2803" i="1"/>
  <c r="U2802" i="1"/>
  <c r="U2801" i="1"/>
  <c r="U2800" i="1"/>
  <c r="U2799" i="1"/>
  <c r="U2798" i="1"/>
  <c r="U2797" i="1"/>
  <c r="U2796" i="1"/>
  <c r="U2795" i="1"/>
  <c r="U2794" i="1"/>
  <c r="U2793" i="1"/>
  <c r="U2792" i="1"/>
  <c r="U2791" i="1"/>
  <c r="U2790" i="1"/>
  <c r="U2789" i="1"/>
  <c r="U2788" i="1"/>
  <c r="U2787" i="1"/>
  <c r="U2786" i="1"/>
  <c r="U2785" i="1"/>
  <c r="U2784" i="1"/>
  <c r="U2783" i="1"/>
  <c r="U2782" i="1"/>
  <c r="U2781" i="1"/>
  <c r="U2780" i="1"/>
  <c r="U2779" i="1"/>
  <c r="U2778" i="1"/>
  <c r="U2777" i="1"/>
  <c r="U2776" i="1"/>
  <c r="U2775" i="1"/>
  <c r="U2774" i="1"/>
  <c r="U2773" i="1"/>
  <c r="U2772" i="1"/>
  <c r="U2771" i="1"/>
  <c r="U2770" i="1"/>
  <c r="U2769" i="1"/>
  <c r="U2768" i="1"/>
  <c r="U2767" i="1"/>
  <c r="U2766" i="1"/>
  <c r="U2765" i="1"/>
  <c r="U2764" i="1"/>
  <c r="U2763" i="1"/>
  <c r="U2762" i="1"/>
  <c r="U2761" i="1"/>
  <c r="U2760" i="1"/>
  <c r="U2759" i="1"/>
  <c r="U2758" i="1"/>
  <c r="U2757" i="1"/>
  <c r="U2756" i="1"/>
  <c r="U2755" i="1"/>
  <c r="U2754" i="1"/>
  <c r="U2753" i="1"/>
  <c r="U2752" i="1"/>
  <c r="U2751" i="1"/>
  <c r="U2750" i="1"/>
  <c r="U2749" i="1"/>
  <c r="U2748" i="1"/>
  <c r="U2747" i="1"/>
  <c r="U2746" i="1"/>
  <c r="U2745" i="1"/>
  <c r="U2744" i="1"/>
  <c r="U2743" i="1"/>
  <c r="U2742" i="1"/>
  <c r="U2741" i="1"/>
  <c r="U2740" i="1"/>
  <c r="U2739" i="1"/>
  <c r="U2738" i="1"/>
  <c r="U2737" i="1"/>
  <c r="U2736" i="1"/>
  <c r="U2735" i="1"/>
  <c r="U2734" i="1"/>
  <c r="U2733" i="1"/>
  <c r="U2732" i="1"/>
  <c r="U2731" i="1"/>
  <c r="U2730" i="1"/>
  <c r="U2729" i="1"/>
  <c r="U2728" i="1"/>
  <c r="U2727" i="1"/>
  <c r="U2726" i="1"/>
  <c r="U2725" i="1"/>
  <c r="U2724" i="1"/>
  <c r="U2723" i="1"/>
  <c r="U2722" i="1"/>
  <c r="U2721" i="1"/>
  <c r="U2720" i="1"/>
  <c r="U2719" i="1"/>
  <c r="U2718" i="1"/>
  <c r="U2717" i="1"/>
  <c r="U2716" i="1"/>
  <c r="U2715" i="1"/>
  <c r="U2714" i="1"/>
  <c r="U2713" i="1"/>
  <c r="U2712" i="1"/>
  <c r="U2711" i="1"/>
  <c r="U2710" i="1"/>
  <c r="U2709" i="1"/>
  <c r="U2708" i="1"/>
  <c r="U2707" i="1"/>
  <c r="U2706" i="1"/>
  <c r="U2705" i="1"/>
  <c r="U2704" i="1"/>
  <c r="U2703" i="1"/>
  <c r="U2702" i="1"/>
  <c r="U2701" i="1"/>
  <c r="U2700" i="1"/>
  <c r="U2699" i="1"/>
  <c r="U2698" i="1"/>
  <c r="U2697" i="1"/>
  <c r="U2696" i="1"/>
  <c r="U2695" i="1"/>
  <c r="U2694" i="1"/>
  <c r="U2693" i="1"/>
  <c r="U2692" i="1"/>
  <c r="U2691" i="1"/>
  <c r="U2690" i="1"/>
  <c r="U2689" i="1"/>
  <c r="U2688" i="1"/>
  <c r="U2687" i="1"/>
  <c r="U2686" i="1"/>
  <c r="U2685" i="1"/>
  <c r="U2684" i="1"/>
  <c r="U2683" i="1"/>
  <c r="U2682" i="1"/>
  <c r="U2681" i="1"/>
  <c r="U2680" i="1"/>
  <c r="U2679" i="1"/>
  <c r="U2678" i="1"/>
  <c r="U2677" i="1"/>
  <c r="U2675" i="1"/>
  <c r="U2674" i="1"/>
  <c r="U2673" i="1"/>
  <c r="U2672" i="1"/>
  <c r="U2671" i="1"/>
  <c r="U2670" i="1"/>
  <c r="U2669" i="1"/>
  <c r="U2668" i="1"/>
  <c r="U2667" i="1"/>
  <c r="U2666" i="1"/>
  <c r="U2665" i="1"/>
  <c r="U2664" i="1"/>
  <c r="U2663" i="1"/>
  <c r="U2662" i="1"/>
  <c r="U2661" i="1"/>
  <c r="U2660" i="1"/>
  <c r="U2659" i="1"/>
  <c r="U2658" i="1"/>
  <c r="U2657" i="1"/>
  <c r="U2656" i="1"/>
  <c r="U2655" i="1"/>
  <c r="U2654" i="1"/>
  <c r="U2653" i="1"/>
  <c r="U2652" i="1"/>
  <c r="U2651" i="1"/>
  <c r="U2650" i="1"/>
  <c r="U2649" i="1"/>
  <c r="U2648" i="1"/>
  <c r="U2647" i="1"/>
  <c r="U2646" i="1"/>
  <c r="U2645" i="1"/>
  <c r="U2644" i="1"/>
  <c r="U2643" i="1"/>
  <c r="U2642" i="1"/>
  <c r="U2641" i="1"/>
  <c r="U2640" i="1"/>
  <c r="U2639" i="1"/>
  <c r="U2638" i="1"/>
  <c r="U2637" i="1"/>
  <c r="U2636" i="1"/>
  <c r="U2635" i="1"/>
  <c r="U2634" i="1"/>
  <c r="U2633" i="1"/>
  <c r="U2632" i="1"/>
  <c r="U2630" i="1"/>
  <c r="U2629" i="1"/>
  <c r="U2628" i="1"/>
  <c r="U2627" i="1"/>
  <c r="U2626" i="1"/>
  <c r="U2625" i="1"/>
  <c r="U2624" i="1"/>
  <c r="U2623" i="1"/>
  <c r="U2622" i="1"/>
  <c r="U2621" i="1"/>
  <c r="U2620" i="1"/>
  <c r="U2619" i="1"/>
  <c r="U2618" i="1"/>
  <c r="U2617" i="1"/>
  <c r="U2616" i="1"/>
  <c r="U2615" i="1"/>
  <c r="U2614" i="1"/>
  <c r="U2613" i="1"/>
  <c r="U2612" i="1"/>
  <c r="U2611" i="1"/>
  <c r="U2610" i="1"/>
  <c r="U2609" i="1"/>
  <c r="U2608" i="1"/>
  <c r="U2607" i="1"/>
  <c r="U2606" i="1"/>
  <c r="U2605" i="1"/>
  <c r="U2604" i="1"/>
  <c r="U2603" i="1"/>
  <c r="U2602" i="1"/>
  <c r="U2601" i="1"/>
  <c r="U2600" i="1"/>
  <c r="U2599" i="1"/>
  <c r="U2598" i="1"/>
  <c r="U2597" i="1"/>
  <c r="U2596" i="1"/>
  <c r="U2595" i="1"/>
  <c r="U2594" i="1"/>
  <c r="U2593" i="1"/>
  <c r="U2592" i="1"/>
  <c r="U2591" i="1"/>
  <c r="U2590" i="1"/>
  <c r="U2589" i="1"/>
  <c r="U2588" i="1"/>
  <c r="U2587" i="1"/>
  <c r="U2586" i="1"/>
  <c r="U2585" i="1"/>
  <c r="U2584" i="1"/>
  <c r="U2583" i="1"/>
  <c r="U2582" i="1"/>
  <c r="U2581" i="1"/>
  <c r="U2580" i="1"/>
  <c r="U2579" i="1"/>
  <c r="U2578" i="1"/>
  <c r="U2577" i="1"/>
  <c r="U2576" i="1"/>
  <c r="U2574" i="1"/>
  <c r="U2573" i="1"/>
  <c r="U2572" i="1"/>
  <c r="U2571" i="1"/>
  <c r="U2570" i="1"/>
  <c r="U2569" i="1"/>
  <c r="U2568" i="1"/>
  <c r="U2567" i="1"/>
  <c r="U2566" i="1"/>
  <c r="U2565" i="1"/>
  <c r="U2564" i="1"/>
  <c r="U2563" i="1"/>
  <c r="U2562" i="1"/>
  <c r="U2561" i="1"/>
  <c r="U2560" i="1"/>
  <c r="U2559" i="1"/>
  <c r="U2558" i="1"/>
  <c r="U2557" i="1"/>
  <c r="U2556" i="1"/>
  <c r="U2555" i="1"/>
  <c r="U2554" i="1"/>
  <c r="U2553" i="1"/>
  <c r="U2552" i="1"/>
  <c r="U2551" i="1"/>
  <c r="U2550" i="1"/>
  <c r="U2549" i="1"/>
  <c r="U2548" i="1"/>
  <c r="U2547" i="1"/>
  <c r="U2546" i="1"/>
  <c r="U2545" i="1"/>
  <c r="U2544" i="1"/>
  <c r="U2543" i="1"/>
  <c r="U2542" i="1"/>
  <c r="U2541" i="1"/>
  <c r="U2540" i="1"/>
  <c r="U2539" i="1"/>
  <c r="U2538" i="1"/>
  <c r="U2537" i="1"/>
  <c r="U2536" i="1"/>
  <c r="U2535" i="1"/>
  <c r="U2534" i="1"/>
  <c r="U2533" i="1"/>
  <c r="U2532" i="1"/>
  <c r="U2531" i="1"/>
  <c r="U2530" i="1"/>
  <c r="U2529" i="1"/>
  <c r="U2528" i="1"/>
  <c r="U2527" i="1"/>
  <c r="U2526" i="1"/>
  <c r="U2525" i="1"/>
  <c r="U2524" i="1"/>
  <c r="U2523" i="1"/>
  <c r="U2522" i="1"/>
  <c r="U2521" i="1"/>
  <c r="U2520" i="1"/>
  <c r="U2519" i="1"/>
  <c r="U2518" i="1"/>
  <c r="U2517" i="1"/>
  <c r="U2516" i="1"/>
  <c r="U2515" i="1"/>
  <c r="U2514" i="1"/>
  <c r="U2513" i="1"/>
  <c r="U2512" i="1"/>
  <c r="U2511" i="1"/>
  <c r="U2510" i="1"/>
  <c r="U2509" i="1"/>
  <c r="U2508" i="1"/>
  <c r="U2507" i="1"/>
  <c r="U2506" i="1"/>
  <c r="U2505" i="1"/>
  <c r="U2504" i="1"/>
  <c r="U2503" i="1"/>
  <c r="U2502" i="1"/>
  <c r="U2501" i="1"/>
  <c r="U2500" i="1"/>
  <c r="U2499" i="1"/>
  <c r="U2498" i="1"/>
  <c r="U2497" i="1"/>
  <c r="U2496" i="1"/>
  <c r="U2495" i="1"/>
  <c r="U2494" i="1"/>
  <c r="U2493" i="1"/>
  <c r="U2492" i="1"/>
  <c r="U2491" i="1"/>
  <c r="U2490" i="1"/>
  <c r="U2489" i="1"/>
  <c r="U2488" i="1"/>
  <c r="U2487" i="1"/>
  <c r="U2486" i="1"/>
  <c r="U2485" i="1"/>
  <c r="U2484" i="1"/>
  <c r="U2483" i="1"/>
  <c r="U2482" i="1"/>
  <c r="U2481" i="1"/>
  <c r="U2480" i="1"/>
  <c r="U2479" i="1"/>
  <c r="U2478" i="1"/>
  <c r="U2477" i="1"/>
  <c r="U2476" i="1"/>
  <c r="U2475" i="1"/>
  <c r="U2474" i="1"/>
  <c r="U2473" i="1"/>
  <c r="U2472" i="1"/>
  <c r="U2471" i="1"/>
  <c r="U2470" i="1"/>
  <c r="U2469" i="1"/>
  <c r="U2468" i="1"/>
  <c r="U2467" i="1"/>
  <c r="U2466" i="1"/>
  <c r="U2465" i="1"/>
  <c r="U2464" i="1"/>
  <c r="U2463" i="1"/>
  <c r="U2462" i="1"/>
  <c r="U2461" i="1"/>
  <c r="U2460" i="1"/>
  <c r="U2459" i="1"/>
  <c r="U2458" i="1"/>
  <c r="U2457" i="1"/>
  <c r="U2456" i="1"/>
  <c r="U2455" i="1"/>
  <c r="U2454" i="1"/>
  <c r="U2453" i="1"/>
  <c r="U2452" i="1"/>
  <c r="U2451" i="1"/>
  <c r="U2450" i="1"/>
  <c r="U2449" i="1"/>
  <c r="U2448" i="1"/>
  <c r="U2447" i="1"/>
  <c r="U2446" i="1"/>
  <c r="U2445" i="1"/>
  <c r="U2444" i="1"/>
  <c r="U2443" i="1"/>
  <c r="U2442" i="1"/>
  <c r="U2441" i="1"/>
  <c r="U2440" i="1"/>
  <c r="U2439" i="1"/>
  <c r="U2438" i="1"/>
  <c r="U2437" i="1"/>
  <c r="U2436" i="1"/>
  <c r="U2435" i="1"/>
  <c r="U2434" i="1"/>
  <c r="U2433" i="1"/>
  <c r="U2432" i="1"/>
  <c r="U2431" i="1"/>
  <c r="U2430" i="1"/>
  <c r="U2429" i="1"/>
  <c r="U2428" i="1"/>
  <c r="U2427" i="1"/>
  <c r="U2426" i="1"/>
  <c r="U2425" i="1"/>
  <c r="U2424" i="1"/>
  <c r="U2423" i="1"/>
  <c r="U2422" i="1"/>
  <c r="U2421" i="1"/>
  <c r="U2420" i="1"/>
  <c r="U2419" i="1"/>
  <c r="U2418" i="1"/>
  <c r="U2417" i="1"/>
  <c r="U2416" i="1"/>
  <c r="U2415" i="1"/>
  <c r="U2414" i="1"/>
  <c r="U2413" i="1"/>
  <c r="U2412" i="1"/>
  <c r="U2411" i="1"/>
  <c r="U2409" i="1"/>
  <c r="U2408" i="1"/>
  <c r="U2407" i="1"/>
  <c r="U2406" i="1"/>
  <c r="U2405" i="1"/>
  <c r="U2404" i="1"/>
  <c r="U2403" i="1"/>
  <c r="U2402" i="1"/>
  <c r="U2401" i="1"/>
  <c r="U2400" i="1"/>
  <c r="U2399" i="1"/>
  <c r="U2398" i="1"/>
  <c r="U2397" i="1"/>
  <c r="U2396" i="1"/>
  <c r="U2395" i="1"/>
  <c r="U2394" i="1"/>
  <c r="U2393" i="1"/>
  <c r="U2392" i="1"/>
  <c r="U2391" i="1"/>
  <c r="U2390" i="1"/>
  <c r="U2389" i="1"/>
  <c r="U2388" i="1"/>
  <c r="U2387" i="1"/>
  <c r="U2386" i="1"/>
  <c r="U2385" i="1"/>
  <c r="U2384" i="1"/>
  <c r="U2383" i="1"/>
  <c r="U2382" i="1"/>
  <c r="U2381" i="1"/>
  <c r="U2380" i="1"/>
  <c r="U2379" i="1"/>
  <c r="U2378" i="1"/>
  <c r="U2377" i="1"/>
  <c r="U2376" i="1"/>
  <c r="U2375" i="1"/>
  <c r="U2374" i="1"/>
  <c r="U2373" i="1"/>
  <c r="U2372" i="1"/>
  <c r="U2371" i="1"/>
  <c r="U2370" i="1"/>
  <c r="U2369" i="1"/>
  <c r="U2368" i="1"/>
  <c r="U2367" i="1"/>
  <c r="U2366" i="1"/>
  <c r="U2365" i="1"/>
  <c r="U2364" i="1"/>
  <c r="U2363" i="1"/>
  <c r="U2362" i="1"/>
  <c r="U2361" i="1"/>
  <c r="U2360" i="1"/>
  <c r="U2359" i="1"/>
  <c r="U2358" i="1"/>
  <c r="U2357" i="1"/>
  <c r="U2356" i="1"/>
  <c r="U2355" i="1"/>
  <c r="U2354" i="1"/>
  <c r="U2353" i="1"/>
  <c r="U2352" i="1"/>
  <c r="U2351" i="1"/>
  <c r="U2350" i="1"/>
  <c r="U2349" i="1"/>
  <c r="U2348" i="1"/>
  <c r="U2347" i="1"/>
  <c r="U2346" i="1"/>
  <c r="U2345" i="1"/>
  <c r="U2344" i="1"/>
  <c r="U2343" i="1"/>
  <c r="U2342" i="1"/>
  <c r="U2341" i="1"/>
  <c r="U2340" i="1"/>
  <c r="U2339" i="1"/>
  <c r="U2338" i="1"/>
  <c r="U2337" i="1"/>
  <c r="U2336" i="1"/>
  <c r="U2335" i="1"/>
  <c r="U2334" i="1"/>
  <c r="U2333" i="1"/>
  <c r="U2332" i="1"/>
  <c r="U2331" i="1"/>
  <c r="U2330" i="1"/>
  <c r="U2329" i="1"/>
  <c r="U2328" i="1"/>
  <c r="U2327" i="1"/>
  <c r="U2326" i="1"/>
  <c r="U2325" i="1"/>
  <c r="U2324" i="1"/>
  <c r="U2323" i="1"/>
  <c r="U2322" i="1"/>
  <c r="U2321" i="1"/>
  <c r="U2320" i="1"/>
  <c r="U2319" i="1"/>
  <c r="U2318" i="1"/>
  <c r="U2317" i="1"/>
  <c r="U2316" i="1"/>
  <c r="U2315" i="1"/>
  <c r="U2314" i="1"/>
  <c r="U2313" i="1"/>
  <c r="U2312" i="1"/>
  <c r="U2311" i="1"/>
  <c r="U2310" i="1"/>
  <c r="U2309" i="1"/>
  <c r="U2308" i="1"/>
  <c r="U2307" i="1"/>
  <c r="U2306" i="1"/>
  <c r="U2305" i="1"/>
  <c r="U2304" i="1"/>
  <c r="U2303" i="1"/>
  <c r="U2302" i="1"/>
  <c r="U2301" i="1"/>
  <c r="U2300" i="1"/>
  <c r="U2299" i="1"/>
  <c r="U2298" i="1"/>
  <c r="U2297" i="1"/>
  <c r="U2296" i="1"/>
  <c r="U2295" i="1"/>
  <c r="U2294" i="1"/>
  <c r="U2293" i="1"/>
  <c r="U2292" i="1"/>
  <c r="U2291" i="1"/>
  <c r="U2290" i="1"/>
  <c r="U2289" i="1"/>
  <c r="U2288" i="1"/>
  <c r="U2287" i="1"/>
  <c r="U2286" i="1"/>
  <c r="U2285" i="1"/>
  <c r="U2284" i="1"/>
  <c r="U2283" i="1"/>
  <c r="U2282" i="1"/>
  <c r="U2281" i="1"/>
  <c r="U2280" i="1"/>
  <c r="U2279" i="1"/>
  <c r="U2278" i="1"/>
  <c r="U2277" i="1"/>
  <c r="U2276" i="1"/>
  <c r="U2275" i="1"/>
  <c r="U2274" i="1"/>
  <c r="U2273" i="1"/>
  <c r="U2272" i="1"/>
  <c r="U2271" i="1"/>
  <c r="U2270" i="1"/>
  <c r="U2269" i="1"/>
  <c r="U2268" i="1"/>
  <c r="U2267" i="1"/>
  <c r="U2266" i="1"/>
  <c r="U2265" i="1"/>
  <c r="U2264" i="1"/>
  <c r="U2263" i="1"/>
  <c r="U2262" i="1"/>
  <c r="U2261" i="1"/>
  <c r="U2260" i="1"/>
  <c r="U2259" i="1"/>
  <c r="U2258" i="1"/>
  <c r="U2257" i="1"/>
  <c r="U2256" i="1"/>
  <c r="U2255" i="1"/>
  <c r="U2254" i="1"/>
  <c r="U2253" i="1"/>
  <c r="U2252" i="1"/>
  <c r="U2251" i="1"/>
  <c r="U2250" i="1"/>
  <c r="U2249" i="1"/>
  <c r="U2248" i="1"/>
  <c r="U2247" i="1"/>
  <c r="U2246" i="1"/>
  <c r="U2245" i="1"/>
  <c r="U2244" i="1"/>
  <c r="U2243" i="1"/>
  <c r="U2242" i="1"/>
  <c r="U2241" i="1"/>
  <c r="U2240" i="1"/>
  <c r="U2239" i="1"/>
  <c r="U2238" i="1"/>
  <c r="U2237" i="1"/>
  <c r="U2236" i="1"/>
  <c r="U2235" i="1"/>
  <c r="U2234" i="1"/>
  <c r="U2233" i="1"/>
  <c r="U2232" i="1"/>
  <c r="U2231" i="1"/>
  <c r="U2230" i="1"/>
  <c r="U2229" i="1"/>
  <c r="U2228" i="1"/>
  <c r="U2227" i="1"/>
  <c r="U2226" i="1"/>
  <c r="U2225" i="1"/>
  <c r="U2224" i="1"/>
  <c r="U2223" i="1"/>
  <c r="U2222" i="1"/>
  <c r="U2221" i="1"/>
  <c r="U2220" i="1"/>
  <c r="U2219" i="1"/>
  <c r="U2218" i="1"/>
  <c r="U2217" i="1"/>
  <c r="U2216" i="1"/>
  <c r="U2215" i="1"/>
  <c r="U2214" i="1"/>
  <c r="U2213" i="1"/>
  <c r="U2212" i="1"/>
  <c r="U2211" i="1"/>
  <c r="U2210" i="1"/>
  <c r="U2209" i="1"/>
  <c r="U2208" i="1"/>
  <c r="U2207" i="1"/>
  <c r="U2206" i="1"/>
  <c r="U2205" i="1"/>
  <c r="U2204" i="1"/>
  <c r="U2203" i="1"/>
  <c r="U2202" i="1"/>
  <c r="U2201" i="1"/>
  <c r="U2200" i="1"/>
  <c r="U2199" i="1"/>
  <c r="U2198" i="1"/>
  <c r="U2197" i="1"/>
  <c r="U2196" i="1"/>
  <c r="U2195" i="1"/>
  <c r="U2194" i="1"/>
  <c r="U2193" i="1"/>
  <c r="U2192" i="1"/>
  <c r="U2191" i="1"/>
  <c r="U2190" i="1"/>
  <c r="U2189" i="1"/>
  <c r="U2188" i="1"/>
  <c r="U2187" i="1"/>
  <c r="U2186" i="1"/>
  <c r="U2185" i="1"/>
  <c r="U2184" i="1"/>
  <c r="U2183" i="1"/>
  <c r="U2182" i="1"/>
  <c r="U2181" i="1"/>
  <c r="U2180" i="1"/>
  <c r="U2179" i="1"/>
  <c r="U2178" i="1"/>
  <c r="U2177" i="1"/>
  <c r="U2176" i="1"/>
  <c r="U2175" i="1"/>
  <c r="U2174" i="1"/>
  <c r="U2173" i="1"/>
  <c r="U2172" i="1"/>
  <c r="U2171" i="1"/>
  <c r="U2170" i="1"/>
  <c r="U2169" i="1"/>
  <c r="U2168" i="1"/>
  <c r="U2167" i="1"/>
  <c r="U2166" i="1"/>
  <c r="U2165" i="1"/>
  <c r="U2164" i="1"/>
  <c r="U2163" i="1"/>
  <c r="U2162" i="1"/>
  <c r="U2161" i="1"/>
  <c r="U2160" i="1"/>
  <c r="U2159" i="1"/>
  <c r="U2158" i="1"/>
  <c r="U2157" i="1"/>
  <c r="U2156" i="1"/>
  <c r="U2155" i="1"/>
  <c r="U2154" i="1"/>
  <c r="U2153" i="1"/>
  <c r="U2152" i="1"/>
  <c r="U2151" i="1"/>
  <c r="U2150" i="1"/>
  <c r="U2149" i="1"/>
  <c r="U2148" i="1"/>
  <c r="U2147" i="1"/>
  <c r="U2146" i="1"/>
  <c r="U2145" i="1"/>
  <c r="U2144" i="1"/>
  <c r="U2143" i="1"/>
  <c r="U2142" i="1"/>
  <c r="U2141" i="1"/>
  <c r="U2140" i="1"/>
  <c r="U2139" i="1"/>
  <c r="U2138" i="1"/>
  <c r="U2137" i="1"/>
  <c r="U2136" i="1"/>
  <c r="U2135" i="1"/>
  <c r="U2134" i="1"/>
  <c r="U2133" i="1"/>
  <c r="U2132" i="1"/>
  <c r="U2131" i="1"/>
  <c r="U2130" i="1"/>
  <c r="U2129" i="1"/>
  <c r="U2128" i="1"/>
  <c r="U2127" i="1"/>
  <c r="U2126" i="1"/>
  <c r="U2125" i="1"/>
  <c r="U2124" i="1"/>
  <c r="U2123" i="1"/>
  <c r="U2122" i="1"/>
  <c r="U2121" i="1"/>
  <c r="U2120" i="1"/>
  <c r="U2119" i="1"/>
  <c r="U2118" i="1"/>
  <c r="U2117" i="1"/>
  <c r="U2116" i="1"/>
  <c r="U2115" i="1"/>
  <c r="U2114" i="1"/>
  <c r="U2113" i="1"/>
  <c r="U2112" i="1"/>
  <c r="U2111" i="1"/>
  <c r="U2110" i="1"/>
  <c r="U2109" i="1"/>
  <c r="U2108" i="1"/>
  <c r="U2107" i="1"/>
  <c r="U2106" i="1"/>
  <c r="U2105" i="1"/>
  <c r="U2104" i="1"/>
  <c r="U2103" i="1"/>
  <c r="U2102" i="1"/>
  <c r="U2101" i="1"/>
  <c r="U2100" i="1"/>
  <c r="U2099" i="1"/>
  <c r="U2098" i="1"/>
  <c r="U2097" i="1"/>
  <c r="U2096" i="1"/>
  <c r="U2095" i="1"/>
  <c r="U2094" i="1"/>
  <c r="U2093" i="1"/>
  <c r="U2092" i="1"/>
  <c r="U2091" i="1"/>
  <c r="U2090" i="1"/>
  <c r="U2089" i="1"/>
  <c r="U2088" i="1"/>
  <c r="U2087" i="1"/>
  <c r="U2086" i="1"/>
  <c r="U2085" i="1"/>
  <c r="U2084" i="1"/>
  <c r="U2083" i="1"/>
  <c r="U2082" i="1"/>
  <c r="U2081" i="1"/>
  <c r="U2080" i="1"/>
  <c r="U2079" i="1"/>
  <c r="U2078" i="1"/>
  <c r="U2077" i="1"/>
  <c r="U2076" i="1"/>
  <c r="U2075" i="1"/>
  <c r="U2074" i="1"/>
  <c r="U2073" i="1"/>
  <c r="U2072" i="1"/>
  <c r="U2071" i="1"/>
  <c r="U2070" i="1"/>
  <c r="U2069" i="1"/>
  <c r="U2068" i="1"/>
  <c r="U2067" i="1"/>
  <c r="U2066" i="1"/>
  <c r="U2065" i="1"/>
  <c r="U2064" i="1"/>
  <c r="U2063" i="1"/>
  <c r="U2062" i="1"/>
  <c r="U2061" i="1"/>
  <c r="U2060" i="1"/>
  <c r="U2059" i="1"/>
  <c r="U2058" i="1"/>
  <c r="U2057" i="1"/>
  <c r="U2056" i="1"/>
  <c r="U2055" i="1"/>
  <c r="U2054" i="1"/>
  <c r="U2053" i="1"/>
  <c r="U2052" i="1"/>
  <c r="U2051" i="1"/>
  <c r="U2050" i="1"/>
  <c r="U2049" i="1"/>
  <c r="U2048" i="1"/>
  <c r="U2047" i="1"/>
  <c r="U2046" i="1"/>
  <c r="U2045" i="1"/>
  <c r="U2044" i="1"/>
  <c r="U2043" i="1"/>
  <c r="U2042" i="1"/>
  <c r="U2041" i="1"/>
  <c r="U2040" i="1"/>
  <c r="U2039" i="1"/>
  <c r="U2038" i="1"/>
  <c r="U2037" i="1"/>
  <c r="U2036" i="1"/>
  <c r="U2035" i="1"/>
  <c r="U2034" i="1"/>
  <c r="U2033" i="1"/>
  <c r="U2032" i="1"/>
  <c r="U2031" i="1"/>
  <c r="U2030" i="1"/>
  <c r="U2029" i="1"/>
  <c r="U2028" i="1"/>
  <c r="U2027" i="1"/>
  <c r="U2026" i="1"/>
  <c r="U2025" i="1"/>
  <c r="U2024" i="1"/>
  <c r="U2022" i="1"/>
  <c r="U2021" i="1"/>
  <c r="U2020" i="1"/>
  <c r="U2019" i="1"/>
  <c r="U2018" i="1"/>
  <c r="U2017" i="1"/>
  <c r="U2016" i="1"/>
  <c r="U2015" i="1"/>
  <c r="U2014" i="1"/>
  <c r="U2013" i="1"/>
  <c r="U2012" i="1"/>
  <c r="U2011" i="1"/>
  <c r="U2010" i="1"/>
  <c r="U2009" i="1"/>
  <c r="U2008" i="1"/>
  <c r="U2007" i="1"/>
  <c r="U2006" i="1"/>
  <c r="U2005" i="1"/>
  <c r="U2004" i="1"/>
  <c r="U2003" i="1"/>
  <c r="U2002" i="1"/>
  <c r="U2001" i="1"/>
  <c r="U2000" i="1"/>
  <c r="U1999" i="1"/>
  <c r="U1998" i="1"/>
  <c r="U1997" i="1"/>
  <c r="U1996" i="1"/>
  <c r="U1995" i="1"/>
  <c r="U1994" i="1"/>
  <c r="U1993" i="1"/>
  <c r="U1992" i="1"/>
  <c r="U1991" i="1"/>
  <c r="U1990" i="1"/>
  <c r="U1989" i="1"/>
  <c r="U1988" i="1"/>
  <c r="U1987" i="1"/>
  <c r="U1986" i="1"/>
  <c r="U1985" i="1"/>
  <c r="U1984" i="1"/>
  <c r="U1983" i="1"/>
  <c r="U1982" i="1"/>
  <c r="U1981" i="1"/>
  <c r="U1980" i="1"/>
  <c r="U1979" i="1"/>
  <c r="U1978" i="1"/>
  <c r="U1977" i="1"/>
  <c r="U1976" i="1"/>
  <c r="U1975" i="1"/>
  <c r="U1974" i="1"/>
  <c r="U1973" i="1"/>
  <c r="U1972" i="1"/>
  <c r="U1971" i="1"/>
  <c r="U1970" i="1"/>
  <c r="U1969" i="1"/>
  <c r="U1968" i="1"/>
  <c r="U1967" i="1"/>
  <c r="U1966" i="1"/>
  <c r="U1965" i="1"/>
  <c r="U1963" i="1"/>
  <c r="U1962" i="1"/>
  <c r="U1961" i="1"/>
  <c r="U1960" i="1"/>
  <c r="U1959" i="1"/>
  <c r="U1958" i="1"/>
  <c r="U1957" i="1"/>
  <c r="U1956" i="1"/>
  <c r="U1955" i="1"/>
  <c r="U1954" i="1"/>
  <c r="U1953" i="1"/>
  <c r="U1952" i="1"/>
  <c r="U1951" i="1"/>
  <c r="U1950" i="1"/>
  <c r="U1949" i="1"/>
  <c r="U1948" i="1"/>
  <c r="U1947" i="1"/>
  <c r="U1946" i="1"/>
  <c r="U1945" i="1"/>
  <c r="U1944" i="1"/>
  <c r="U1943" i="1"/>
  <c r="U1942" i="1"/>
  <c r="U1941" i="1"/>
  <c r="U1940" i="1"/>
  <c r="U1939" i="1"/>
  <c r="U1938" i="1"/>
  <c r="U1937" i="1"/>
  <c r="U1936" i="1"/>
  <c r="U1935" i="1"/>
  <c r="U1934" i="1"/>
  <c r="U1933" i="1"/>
  <c r="U1932" i="1"/>
  <c r="U1931" i="1"/>
  <c r="U1930" i="1"/>
  <c r="U1929" i="1"/>
  <c r="U1928" i="1"/>
  <c r="U1927" i="1"/>
  <c r="U1926" i="1"/>
  <c r="U1925" i="1"/>
  <c r="U1924" i="1"/>
  <c r="U1923" i="1"/>
  <c r="U1922" i="1"/>
  <c r="U1921" i="1"/>
  <c r="U1920" i="1"/>
  <c r="U1919" i="1"/>
  <c r="U1918" i="1"/>
  <c r="U1917" i="1"/>
  <c r="U1916" i="1"/>
  <c r="U1915" i="1"/>
  <c r="U1914" i="1"/>
  <c r="U1913" i="1"/>
  <c r="U1912" i="1"/>
  <c r="U1911" i="1"/>
  <c r="U1910" i="1"/>
  <c r="U1909" i="1"/>
  <c r="U1908" i="1"/>
  <c r="U1907" i="1"/>
  <c r="U1906" i="1"/>
  <c r="U1905" i="1"/>
  <c r="U1904" i="1"/>
  <c r="U1903" i="1"/>
  <c r="U1902" i="1"/>
  <c r="U1901" i="1"/>
  <c r="U1900" i="1"/>
  <c r="U1899" i="1"/>
  <c r="U1898" i="1"/>
  <c r="U1897" i="1"/>
  <c r="U1896" i="1"/>
  <c r="U1895" i="1"/>
  <c r="U1894" i="1"/>
  <c r="U1893" i="1"/>
  <c r="U1892" i="1"/>
  <c r="U1891" i="1"/>
  <c r="U1890" i="1"/>
  <c r="U1889" i="1"/>
  <c r="U1888" i="1"/>
  <c r="U1887" i="1"/>
  <c r="U1886" i="1"/>
  <c r="U1885" i="1"/>
  <c r="U1884" i="1"/>
  <c r="U1883" i="1"/>
  <c r="U1882" i="1"/>
  <c r="U1881" i="1"/>
  <c r="U1880" i="1"/>
  <c r="U1879" i="1"/>
  <c r="U1878" i="1"/>
  <c r="U1877" i="1"/>
  <c r="U1876" i="1"/>
  <c r="U1875" i="1"/>
  <c r="U1874" i="1"/>
  <c r="U1873" i="1"/>
  <c r="U1872" i="1"/>
  <c r="U1871" i="1"/>
  <c r="U1870" i="1"/>
  <c r="U1869" i="1"/>
  <c r="U1868" i="1"/>
  <c r="U1867" i="1"/>
  <c r="U1866" i="1"/>
  <c r="U1865" i="1"/>
  <c r="U1864" i="1"/>
  <c r="U1863" i="1"/>
  <c r="U1862" i="1"/>
  <c r="U1861" i="1"/>
  <c r="U1860" i="1"/>
  <c r="U1859" i="1"/>
  <c r="U1858" i="1"/>
  <c r="U1857" i="1"/>
  <c r="U1856" i="1"/>
  <c r="U1855" i="1"/>
  <c r="U1854" i="1"/>
  <c r="U1853" i="1"/>
  <c r="U1852" i="1"/>
  <c r="U1851" i="1"/>
  <c r="U1850" i="1"/>
  <c r="U1849" i="1"/>
  <c r="U1848" i="1"/>
  <c r="U1847" i="1"/>
  <c r="U1846" i="1"/>
  <c r="U1845" i="1"/>
  <c r="U1844" i="1"/>
  <c r="U1843" i="1"/>
  <c r="U1842" i="1"/>
  <c r="U1841" i="1"/>
  <c r="U1840" i="1"/>
  <c r="U1839" i="1"/>
  <c r="U1838" i="1"/>
  <c r="U1837" i="1"/>
  <c r="U1836" i="1"/>
  <c r="U1835" i="1"/>
  <c r="U1834" i="1"/>
  <c r="U1833" i="1"/>
  <c r="U1832" i="1"/>
  <c r="U1831" i="1"/>
  <c r="U1830" i="1"/>
  <c r="U1829" i="1"/>
  <c r="U1828" i="1"/>
  <c r="U1827" i="1"/>
  <c r="U1826" i="1"/>
  <c r="U1825" i="1"/>
  <c r="U1824" i="1"/>
  <c r="U1823" i="1"/>
  <c r="U1822" i="1"/>
  <c r="U1821" i="1"/>
  <c r="U1820" i="1"/>
  <c r="U1819" i="1"/>
  <c r="U1818" i="1"/>
  <c r="U1817" i="1"/>
  <c r="U1816" i="1"/>
  <c r="U1815" i="1"/>
  <c r="U1814" i="1"/>
  <c r="U1813" i="1"/>
  <c r="U1812" i="1"/>
  <c r="U1811" i="1"/>
  <c r="U1810" i="1"/>
  <c r="U1809" i="1"/>
  <c r="U1808" i="1"/>
  <c r="U1807" i="1"/>
  <c r="U1806" i="1"/>
  <c r="U1805" i="1"/>
  <c r="U1804" i="1"/>
  <c r="U1803" i="1"/>
  <c r="U1802" i="1"/>
  <c r="U1801" i="1"/>
  <c r="U1800" i="1"/>
  <c r="U1799" i="1"/>
  <c r="U1798" i="1"/>
  <c r="U1797" i="1"/>
  <c r="U1796" i="1"/>
  <c r="U1795" i="1"/>
  <c r="U1794" i="1"/>
  <c r="U1793" i="1"/>
  <c r="U1792" i="1"/>
  <c r="U1791" i="1"/>
  <c r="U1790" i="1"/>
  <c r="U1789" i="1"/>
  <c r="U1788" i="1"/>
  <c r="U1787" i="1"/>
  <c r="U1786" i="1"/>
  <c r="U1785" i="1"/>
  <c r="U1784" i="1"/>
  <c r="U1783" i="1"/>
  <c r="U1782" i="1"/>
  <c r="U1781" i="1"/>
  <c r="U1780" i="1"/>
  <c r="U1779" i="1"/>
  <c r="U1778" i="1"/>
  <c r="U1777" i="1"/>
  <c r="U1776" i="1"/>
  <c r="U1775" i="1"/>
  <c r="U1774" i="1"/>
  <c r="U1773" i="1"/>
  <c r="U1772" i="1"/>
  <c r="U1771" i="1"/>
  <c r="U1770" i="1"/>
  <c r="U1769" i="1"/>
  <c r="U1768" i="1"/>
  <c r="U1767" i="1"/>
  <c r="U1766" i="1"/>
  <c r="U1765" i="1"/>
  <c r="U1764" i="1"/>
  <c r="U1763" i="1"/>
  <c r="U1762" i="1"/>
  <c r="U1761" i="1"/>
  <c r="U1760" i="1"/>
  <c r="U1759" i="1"/>
  <c r="U1758" i="1"/>
  <c r="U1757" i="1"/>
  <c r="U1756" i="1"/>
  <c r="U1755" i="1"/>
  <c r="U1754" i="1"/>
  <c r="U1753" i="1"/>
  <c r="U1752" i="1"/>
  <c r="U1751" i="1"/>
  <c r="U1750" i="1"/>
  <c r="U1749" i="1"/>
  <c r="U1748" i="1"/>
  <c r="U1747" i="1"/>
  <c r="U1746" i="1"/>
  <c r="U1745" i="1"/>
  <c r="U1744" i="1"/>
  <c r="U1743" i="1"/>
  <c r="U1742" i="1"/>
  <c r="U1741" i="1"/>
  <c r="U1740" i="1"/>
  <c r="U1739" i="1"/>
  <c r="U1738" i="1"/>
  <c r="U1737" i="1"/>
  <c r="U1736" i="1"/>
  <c r="U1735" i="1"/>
  <c r="U1734" i="1"/>
  <c r="U1733" i="1"/>
  <c r="U1732" i="1"/>
  <c r="U1731" i="1"/>
  <c r="U1730" i="1"/>
  <c r="U1729" i="1"/>
  <c r="U1728" i="1"/>
  <c r="U1727" i="1"/>
  <c r="U1726" i="1"/>
  <c r="U1725" i="1"/>
  <c r="U1724" i="1"/>
  <c r="U1723" i="1"/>
  <c r="U1722" i="1"/>
  <c r="U1721" i="1"/>
  <c r="U1720" i="1"/>
  <c r="U1719" i="1"/>
  <c r="U1718" i="1"/>
  <c r="U1717" i="1"/>
  <c r="U1716" i="1"/>
  <c r="U1715" i="1"/>
  <c r="U1714" i="1"/>
  <c r="U1713" i="1"/>
  <c r="U1712" i="1"/>
  <c r="U1711" i="1"/>
  <c r="U1710" i="1"/>
  <c r="U1709" i="1"/>
  <c r="U1708" i="1"/>
  <c r="U1707" i="1"/>
  <c r="U1706" i="1"/>
  <c r="U1705" i="1"/>
  <c r="U1704" i="1"/>
  <c r="U1703" i="1"/>
  <c r="U1702" i="1"/>
  <c r="U1701" i="1"/>
  <c r="U1700" i="1"/>
  <c r="U1699" i="1"/>
  <c r="U1698" i="1"/>
  <c r="U1697" i="1"/>
  <c r="U1696" i="1"/>
  <c r="U1695" i="1"/>
  <c r="U1694" i="1"/>
  <c r="U1693" i="1"/>
  <c r="U1692" i="1"/>
  <c r="U1691" i="1"/>
  <c r="U1690" i="1"/>
  <c r="U1689" i="1"/>
  <c r="U1688" i="1"/>
  <c r="U1687" i="1"/>
  <c r="U1686" i="1"/>
  <c r="U1685" i="1"/>
  <c r="U1684" i="1"/>
  <c r="U1683" i="1"/>
  <c r="U1682" i="1"/>
  <c r="U1681" i="1"/>
  <c r="U1680" i="1"/>
  <c r="U1679" i="1"/>
  <c r="U1678" i="1"/>
  <c r="U1677" i="1"/>
  <c r="U1676" i="1"/>
  <c r="U1675" i="1"/>
  <c r="U1674" i="1"/>
  <c r="U1673" i="1"/>
  <c r="U1672" i="1"/>
  <c r="U1671" i="1"/>
  <c r="U1670" i="1"/>
  <c r="U1669" i="1"/>
  <c r="U1668" i="1"/>
  <c r="U1667" i="1"/>
  <c r="U1666" i="1"/>
  <c r="U1665" i="1"/>
  <c r="U1664" i="1"/>
  <c r="U1663" i="1"/>
  <c r="U1662" i="1"/>
  <c r="U1661" i="1"/>
  <c r="U1660" i="1"/>
  <c r="U1659" i="1"/>
  <c r="U1658" i="1"/>
  <c r="U1657" i="1"/>
  <c r="U1656" i="1"/>
  <c r="U1655" i="1"/>
  <c r="U1654" i="1"/>
  <c r="U1653" i="1"/>
  <c r="U1652" i="1"/>
  <c r="U1651" i="1"/>
  <c r="U1650" i="1"/>
  <c r="U1649" i="1"/>
  <c r="U1648" i="1"/>
  <c r="U1647" i="1"/>
  <c r="U1646" i="1"/>
  <c r="U1645" i="1"/>
  <c r="U1644" i="1"/>
  <c r="U1643" i="1"/>
  <c r="U1642" i="1"/>
  <c r="U1641" i="1"/>
  <c r="U1640" i="1"/>
  <c r="U1639" i="1"/>
  <c r="U1638" i="1"/>
  <c r="U1637" i="1"/>
  <c r="U1636" i="1"/>
  <c r="U1635" i="1"/>
  <c r="U1634" i="1"/>
  <c r="U1633" i="1"/>
  <c r="U1632" i="1"/>
  <c r="U1631" i="1"/>
  <c r="U1630" i="1"/>
  <c r="U1629" i="1"/>
  <c r="U1628" i="1"/>
  <c r="U1627" i="1"/>
  <c r="U1626" i="1"/>
  <c r="U1625" i="1"/>
  <c r="U1624" i="1"/>
  <c r="U1623" i="1"/>
  <c r="U1622" i="1"/>
  <c r="U1621" i="1"/>
  <c r="U1620" i="1"/>
  <c r="U1619" i="1"/>
  <c r="U1618" i="1"/>
  <c r="U1617" i="1"/>
  <c r="U1616" i="1"/>
  <c r="U1615" i="1"/>
  <c r="U1614" i="1"/>
  <c r="U1613" i="1"/>
  <c r="U1612" i="1"/>
  <c r="U1611" i="1"/>
  <c r="U1610" i="1"/>
  <c r="U1609" i="1"/>
  <c r="U1608" i="1"/>
  <c r="U1607" i="1"/>
  <c r="U1606" i="1"/>
  <c r="U1605" i="1"/>
  <c r="U1604" i="1"/>
  <c r="U1603" i="1"/>
  <c r="U1602" i="1"/>
  <c r="U1601" i="1"/>
  <c r="U1600" i="1"/>
  <c r="U1599" i="1"/>
  <c r="U1598" i="1"/>
  <c r="U1597" i="1"/>
  <c r="U1595" i="1"/>
  <c r="U1594" i="1"/>
  <c r="U1593" i="1"/>
  <c r="U1592" i="1"/>
  <c r="U1591" i="1"/>
  <c r="U1590" i="1"/>
  <c r="U1589" i="1"/>
  <c r="U1588" i="1"/>
  <c r="U1587" i="1"/>
  <c r="U1586" i="1"/>
  <c r="U1585" i="1"/>
  <c r="U1584" i="1"/>
  <c r="U1583" i="1"/>
  <c r="U1582" i="1"/>
  <c r="U1581" i="1"/>
  <c r="U1580" i="1"/>
  <c r="U1579" i="1"/>
  <c r="U1578" i="1"/>
  <c r="U1577" i="1"/>
  <c r="U1576" i="1"/>
  <c r="U1575" i="1"/>
  <c r="U1574" i="1"/>
  <c r="U1573" i="1"/>
  <c r="U1572" i="1"/>
  <c r="U1571" i="1"/>
  <c r="U1570" i="1"/>
  <c r="U1569" i="1"/>
  <c r="U1568" i="1"/>
  <c r="U1567" i="1"/>
  <c r="U1566" i="1"/>
  <c r="U1565" i="1"/>
  <c r="U1564" i="1"/>
  <c r="U1563" i="1"/>
  <c r="U1562" i="1"/>
  <c r="U1561" i="1"/>
  <c r="U1560" i="1"/>
  <c r="U1559" i="1"/>
  <c r="U1558" i="1"/>
  <c r="U1557" i="1"/>
  <c r="U1556" i="1"/>
  <c r="U1555" i="1"/>
  <c r="U1554" i="1"/>
  <c r="U1553" i="1"/>
  <c r="U1552" i="1"/>
  <c r="U1551" i="1"/>
  <c r="U1550" i="1"/>
  <c r="U1549" i="1"/>
  <c r="U1548" i="1"/>
  <c r="U1547" i="1"/>
  <c r="U1546" i="1"/>
  <c r="U1545" i="1"/>
  <c r="U1544" i="1"/>
  <c r="U1543" i="1"/>
  <c r="U1542" i="1"/>
  <c r="U1541" i="1"/>
  <c r="U1540" i="1"/>
  <c r="U1539" i="1"/>
  <c r="U1538" i="1"/>
  <c r="U1537" i="1"/>
  <c r="U1536" i="1"/>
  <c r="U1535" i="1"/>
  <c r="U1534" i="1"/>
  <c r="U1533" i="1"/>
  <c r="U1532" i="1"/>
  <c r="U1531" i="1"/>
  <c r="U1530" i="1"/>
  <c r="U1529" i="1"/>
  <c r="U1527" i="1"/>
  <c r="U1526" i="1"/>
  <c r="U1525" i="1"/>
  <c r="U1524" i="1"/>
  <c r="U1523" i="1"/>
  <c r="U1522" i="1"/>
  <c r="U1521" i="1"/>
  <c r="U1520" i="1"/>
  <c r="U1519" i="1"/>
  <c r="U1518" i="1"/>
  <c r="U1517" i="1"/>
  <c r="U1516" i="1"/>
  <c r="U1515" i="1"/>
  <c r="U1514" i="1"/>
  <c r="U1513" i="1"/>
  <c r="U1512" i="1"/>
  <c r="U1511" i="1"/>
  <c r="U1510" i="1"/>
  <c r="U1509" i="1"/>
  <c r="U1508" i="1"/>
  <c r="U1507" i="1"/>
  <c r="U1506" i="1"/>
  <c r="U1505" i="1"/>
  <c r="U1504" i="1"/>
  <c r="U1503" i="1"/>
  <c r="U1502" i="1"/>
  <c r="U1501" i="1"/>
  <c r="U1500" i="1"/>
  <c r="U1499" i="1"/>
  <c r="U1498" i="1"/>
  <c r="U1497" i="1"/>
  <c r="U1496" i="1"/>
  <c r="U1495" i="1"/>
  <c r="U1494" i="1"/>
  <c r="U1493" i="1"/>
  <c r="U1492" i="1"/>
  <c r="U1491" i="1"/>
  <c r="U1490" i="1"/>
  <c r="U1489" i="1"/>
  <c r="U1488" i="1"/>
  <c r="U1487" i="1"/>
  <c r="U1486" i="1"/>
  <c r="U1485" i="1"/>
  <c r="U1484" i="1"/>
  <c r="U1483" i="1"/>
  <c r="U1482" i="1"/>
  <c r="U1481" i="1"/>
  <c r="U1480" i="1"/>
  <c r="U1479" i="1"/>
  <c r="U1478" i="1"/>
  <c r="U1477" i="1"/>
  <c r="U1476" i="1"/>
  <c r="U1475" i="1"/>
  <c r="U1474" i="1"/>
  <c r="U1473" i="1"/>
  <c r="U1472" i="1"/>
  <c r="U1471" i="1"/>
  <c r="U1470" i="1"/>
  <c r="U1469" i="1"/>
  <c r="U1468" i="1"/>
  <c r="U1467" i="1"/>
  <c r="U1466" i="1"/>
  <c r="U1465" i="1"/>
  <c r="U1464" i="1"/>
  <c r="U1463" i="1"/>
  <c r="U1462" i="1"/>
  <c r="U1461" i="1"/>
  <c r="U1460" i="1"/>
  <c r="U1459" i="1"/>
  <c r="U1458" i="1"/>
  <c r="U1457" i="1"/>
  <c r="U1456" i="1"/>
  <c r="U1455" i="1"/>
  <c r="U1454" i="1"/>
  <c r="U1453" i="1"/>
  <c r="U1452" i="1"/>
  <c r="U1451" i="1"/>
  <c r="U1450" i="1"/>
  <c r="U1449" i="1"/>
  <c r="U1448" i="1"/>
  <c r="U1447" i="1"/>
  <c r="U1446" i="1"/>
  <c r="U1445" i="1"/>
  <c r="U1444" i="1"/>
  <c r="U1443" i="1"/>
  <c r="U1442" i="1"/>
  <c r="U1441" i="1"/>
  <c r="U1440" i="1"/>
  <c r="U1439" i="1"/>
  <c r="U1438" i="1"/>
  <c r="U1437" i="1"/>
  <c r="U1436" i="1"/>
  <c r="U1435" i="1"/>
  <c r="U1434" i="1"/>
  <c r="U1433" i="1"/>
  <c r="U1432" i="1"/>
  <c r="U1431" i="1"/>
  <c r="U1430" i="1"/>
  <c r="U1429" i="1"/>
  <c r="U1428" i="1"/>
  <c r="U1427" i="1"/>
  <c r="U1426" i="1"/>
  <c r="U1425" i="1"/>
  <c r="U1424" i="1"/>
  <c r="U1423" i="1"/>
  <c r="U1422" i="1"/>
  <c r="U1421" i="1"/>
  <c r="U1420" i="1"/>
  <c r="U1419" i="1"/>
  <c r="U1418" i="1"/>
  <c r="U1417" i="1"/>
  <c r="U1416" i="1"/>
  <c r="U1415" i="1"/>
  <c r="U1414" i="1"/>
  <c r="U1413" i="1"/>
  <c r="U1412" i="1"/>
  <c r="U1411" i="1"/>
  <c r="U1410" i="1"/>
  <c r="U1409" i="1"/>
  <c r="U1408" i="1"/>
  <c r="U1407" i="1"/>
  <c r="U1406" i="1"/>
  <c r="U1405" i="1"/>
  <c r="U1404" i="1"/>
  <c r="U1403" i="1"/>
  <c r="U1402" i="1"/>
  <c r="U1401" i="1"/>
  <c r="U1400" i="1"/>
  <c r="U1399" i="1"/>
  <c r="U1398" i="1"/>
  <c r="U1397" i="1"/>
  <c r="U1396" i="1"/>
  <c r="U1395" i="1"/>
  <c r="U1394" i="1"/>
  <c r="U1393" i="1"/>
  <c r="U1392" i="1"/>
  <c r="U1391" i="1"/>
  <c r="U1390" i="1"/>
  <c r="U1389" i="1"/>
  <c r="U1388" i="1"/>
  <c r="U1387" i="1"/>
  <c r="U1386" i="1"/>
  <c r="U1385" i="1"/>
  <c r="U1384" i="1"/>
  <c r="U1383" i="1"/>
  <c r="U1382" i="1"/>
  <c r="U1381" i="1"/>
  <c r="U1380" i="1"/>
  <c r="U1379" i="1"/>
  <c r="U1378" i="1"/>
  <c r="U1377" i="1"/>
  <c r="U1376" i="1"/>
  <c r="U1375" i="1"/>
  <c r="U1374" i="1"/>
  <c r="U1373" i="1"/>
  <c r="U1372" i="1"/>
  <c r="U1371" i="1"/>
  <c r="U1370" i="1"/>
  <c r="U1368" i="1"/>
  <c r="U1367" i="1"/>
  <c r="U1366" i="1"/>
  <c r="U1365" i="1"/>
  <c r="U1364" i="1"/>
  <c r="U1363" i="1"/>
  <c r="U1362" i="1"/>
  <c r="U1361" i="1"/>
  <c r="U1360" i="1"/>
  <c r="U1359" i="1"/>
  <c r="U1358" i="1"/>
  <c r="U1357" i="1"/>
  <c r="U1356" i="1"/>
  <c r="U1355" i="1"/>
  <c r="U1354" i="1"/>
  <c r="U1353" i="1"/>
  <c r="U1352" i="1"/>
  <c r="U1351" i="1"/>
  <c r="U1350" i="1"/>
  <c r="U1349" i="1"/>
  <c r="U1348" i="1"/>
  <c r="U1347" i="1"/>
  <c r="U1346" i="1"/>
  <c r="U1345" i="1"/>
  <c r="U1344" i="1"/>
  <c r="U1343" i="1"/>
  <c r="U1342" i="1"/>
  <c r="U1341" i="1"/>
  <c r="U1340" i="1"/>
  <c r="U1339" i="1"/>
  <c r="U1338" i="1"/>
  <c r="U1337" i="1"/>
  <c r="U1336" i="1"/>
  <c r="U1335" i="1"/>
  <c r="U1334" i="1"/>
  <c r="U1333" i="1"/>
  <c r="U1332" i="1"/>
  <c r="U1331" i="1"/>
  <c r="U1330" i="1"/>
  <c r="U1329" i="1"/>
  <c r="U1328" i="1"/>
  <c r="U1327" i="1"/>
  <c r="U1326" i="1"/>
  <c r="U1325" i="1"/>
  <c r="U1324" i="1"/>
  <c r="U1323" i="1"/>
  <c r="U1322" i="1"/>
  <c r="U1321" i="1"/>
  <c r="U1320" i="1"/>
  <c r="U1319" i="1"/>
  <c r="U1318" i="1"/>
  <c r="U1317" i="1"/>
  <c r="U1316" i="1"/>
  <c r="U1315" i="1"/>
  <c r="U1314" i="1"/>
  <c r="U1313" i="1"/>
  <c r="U1312" i="1"/>
  <c r="U1311" i="1"/>
  <c r="U1310" i="1"/>
  <c r="U1309" i="1"/>
  <c r="U1308" i="1"/>
  <c r="U1307" i="1"/>
  <c r="U1306" i="1"/>
  <c r="U1305" i="1"/>
  <c r="U1304" i="1"/>
  <c r="U1303" i="1"/>
  <c r="U1302" i="1"/>
  <c r="U1301" i="1"/>
  <c r="U1300" i="1"/>
  <c r="U1299" i="1"/>
  <c r="U1298" i="1"/>
  <c r="U1297" i="1"/>
  <c r="U1296" i="1"/>
  <c r="U1295" i="1"/>
  <c r="U1294" i="1"/>
  <c r="U1293" i="1"/>
  <c r="U1292" i="1"/>
  <c r="U1291" i="1"/>
  <c r="U1290" i="1"/>
  <c r="U1289" i="1"/>
  <c r="U1288" i="1"/>
  <c r="U1287" i="1"/>
  <c r="U1286" i="1"/>
  <c r="U1285" i="1"/>
  <c r="U1284" i="1"/>
  <c r="U1283" i="1"/>
  <c r="U1282" i="1"/>
  <c r="U1281" i="1"/>
  <c r="U1280" i="1"/>
  <c r="U1279" i="1"/>
  <c r="U1278" i="1"/>
  <c r="U1277" i="1"/>
  <c r="U1276" i="1"/>
  <c r="U1275" i="1"/>
  <c r="U1274" i="1"/>
  <c r="U1273" i="1"/>
  <c r="U1272" i="1"/>
  <c r="U1271" i="1"/>
  <c r="U1270" i="1"/>
  <c r="U1269" i="1"/>
  <c r="U1268" i="1"/>
  <c r="U1267" i="1"/>
  <c r="U1266" i="1"/>
  <c r="U1265" i="1"/>
  <c r="U1264" i="1"/>
  <c r="U1263" i="1"/>
  <c r="U1262" i="1"/>
  <c r="U1261" i="1"/>
  <c r="U1260" i="1"/>
  <c r="U1259" i="1"/>
  <c r="U1258" i="1"/>
  <c r="U1257" i="1"/>
  <c r="U1256" i="1"/>
  <c r="U1254" i="1"/>
  <c r="U1253" i="1"/>
  <c r="U1252" i="1"/>
  <c r="U1251" i="1"/>
  <c r="U1250" i="1"/>
  <c r="U1249" i="1"/>
  <c r="U1248" i="1"/>
  <c r="U1247" i="1"/>
  <c r="U1246" i="1"/>
  <c r="U1245" i="1"/>
  <c r="U1244" i="1"/>
  <c r="U1243" i="1"/>
  <c r="U1242" i="1"/>
  <c r="U1241" i="1"/>
  <c r="U1240" i="1"/>
  <c r="U1239" i="1"/>
  <c r="U1238" i="1"/>
  <c r="U1237" i="1"/>
  <c r="U1236" i="1"/>
  <c r="U1235" i="1"/>
  <c r="U1234" i="1"/>
  <c r="U1233" i="1"/>
  <c r="U1232" i="1"/>
  <c r="U1231" i="1"/>
  <c r="U1230" i="1"/>
  <c r="U1229" i="1"/>
  <c r="U1228" i="1"/>
  <c r="U1227" i="1"/>
  <c r="U1226" i="1"/>
  <c r="U1225" i="1"/>
  <c r="U1224" i="1"/>
  <c r="U1223" i="1"/>
  <c r="U1222" i="1"/>
  <c r="U1221" i="1"/>
  <c r="U1220" i="1"/>
  <c r="U1219" i="1"/>
  <c r="U1218" i="1"/>
  <c r="U1217" i="1"/>
  <c r="U1216" i="1"/>
  <c r="U1215" i="1"/>
  <c r="U1214" i="1"/>
  <c r="U1213" i="1"/>
  <c r="U1212" i="1"/>
  <c r="U1211" i="1"/>
  <c r="U1210" i="1"/>
  <c r="U1209" i="1"/>
  <c r="U1208" i="1"/>
  <c r="U1207" i="1"/>
  <c r="U1206" i="1"/>
  <c r="U1205" i="1"/>
  <c r="U1204" i="1"/>
  <c r="U1203" i="1"/>
  <c r="U1202" i="1"/>
  <c r="U1201" i="1"/>
  <c r="U1200" i="1"/>
  <c r="U1199" i="1"/>
  <c r="U1198" i="1"/>
  <c r="U1197" i="1"/>
  <c r="U1196" i="1"/>
  <c r="U1195" i="1"/>
  <c r="U1194" i="1"/>
  <c r="U1193" i="1"/>
  <c r="U1192" i="1"/>
  <c r="U1191" i="1"/>
  <c r="U1190" i="1"/>
  <c r="U1189" i="1"/>
  <c r="U1188" i="1"/>
  <c r="U1187" i="1"/>
  <c r="U1186" i="1"/>
  <c r="U1185" i="1"/>
  <c r="U1184" i="1"/>
  <c r="U1183" i="1"/>
  <c r="U1182" i="1"/>
  <c r="U1181" i="1"/>
  <c r="U1180" i="1"/>
  <c r="U1179" i="1"/>
  <c r="U1178" i="1"/>
  <c r="U1177" i="1"/>
  <c r="U1176" i="1"/>
  <c r="U1175" i="1"/>
  <c r="U1174" i="1"/>
  <c r="U1173" i="1"/>
  <c r="U1172" i="1"/>
  <c r="U1171" i="1"/>
  <c r="U1170" i="1"/>
  <c r="U1169" i="1"/>
  <c r="U1168" i="1"/>
  <c r="U1167" i="1"/>
  <c r="U1166" i="1"/>
  <c r="U1165" i="1"/>
  <c r="U1164" i="1"/>
  <c r="U1163" i="1"/>
  <c r="U1162" i="1"/>
  <c r="U1161" i="1"/>
  <c r="U1160" i="1"/>
  <c r="U1159" i="1"/>
  <c r="U1158" i="1"/>
  <c r="U1157" i="1"/>
  <c r="U1156" i="1"/>
  <c r="U1155" i="1"/>
  <c r="U1154" i="1"/>
  <c r="U1153" i="1"/>
  <c r="U1152" i="1"/>
  <c r="U1151" i="1"/>
  <c r="U1150" i="1"/>
  <c r="U1149" i="1"/>
  <c r="U1148" i="1"/>
  <c r="U1147" i="1"/>
  <c r="U1146" i="1"/>
  <c r="U1145" i="1"/>
  <c r="U1144" i="1"/>
  <c r="U1143" i="1"/>
  <c r="U1142" i="1"/>
  <c r="U1141" i="1"/>
  <c r="U1139" i="1"/>
  <c r="U1138" i="1"/>
  <c r="U1136" i="1"/>
  <c r="U1135" i="1"/>
  <c r="U1134" i="1"/>
  <c r="U1133" i="1"/>
  <c r="U1132" i="1"/>
  <c r="U1131" i="1"/>
  <c r="U1130" i="1"/>
  <c r="U1129" i="1"/>
  <c r="U1128" i="1"/>
  <c r="U1127" i="1"/>
  <c r="U1126" i="1"/>
  <c r="U1125" i="1"/>
  <c r="U1124" i="1"/>
  <c r="U1123" i="1"/>
  <c r="U1122" i="1"/>
  <c r="U1121" i="1"/>
  <c r="U1120" i="1"/>
  <c r="U1119" i="1"/>
  <c r="U1118" i="1"/>
  <c r="U1117" i="1"/>
  <c r="U1116" i="1"/>
  <c r="U1115" i="1"/>
  <c r="U1114" i="1"/>
  <c r="U1113" i="1"/>
  <c r="U1112" i="1"/>
  <c r="U1111" i="1"/>
  <c r="U1110" i="1"/>
  <c r="U1109" i="1"/>
  <c r="U1108" i="1"/>
  <c r="U1107" i="1"/>
  <c r="U1106" i="1"/>
  <c r="U1105" i="1"/>
  <c r="U1104" i="1"/>
  <c r="U1103" i="1"/>
  <c r="U1102" i="1"/>
  <c r="U1101" i="1"/>
  <c r="U1100" i="1"/>
  <c r="U1099" i="1"/>
  <c r="U1097" i="1"/>
  <c r="U1096" i="1"/>
  <c r="U1095" i="1"/>
  <c r="U1094" i="1"/>
  <c r="U1093" i="1"/>
  <c r="U1092" i="1"/>
  <c r="U1091" i="1"/>
  <c r="U1090" i="1"/>
  <c r="U1089" i="1"/>
  <c r="U1088" i="1"/>
  <c r="U1087" i="1"/>
  <c r="U1086" i="1"/>
  <c r="U1085" i="1"/>
  <c r="U1084" i="1"/>
  <c r="U1083" i="1"/>
  <c r="U1082" i="1"/>
  <c r="U1081" i="1"/>
  <c r="U1080" i="1"/>
  <c r="U1079" i="1"/>
  <c r="U1078" i="1"/>
  <c r="U1077" i="1"/>
  <c r="U1076" i="1"/>
  <c r="U1075" i="1"/>
  <c r="U1074" i="1"/>
  <c r="U1073" i="1"/>
  <c r="U1072" i="1"/>
  <c r="U1071" i="1"/>
  <c r="U1070" i="1"/>
  <c r="U1069" i="1"/>
  <c r="U1068" i="1"/>
  <c r="U1067" i="1"/>
  <c r="U1066" i="1"/>
  <c r="U1065" i="1"/>
  <c r="U1064" i="1"/>
  <c r="U1063" i="1"/>
  <c r="U1062" i="1"/>
  <c r="U1061" i="1"/>
  <c r="U1060" i="1"/>
  <c r="U1059" i="1"/>
  <c r="U1058" i="1"/>
  <c r="U1057" i="1"/>
  <c r="U1056" i="1"/>
  <c r="U1055" i="1"/>
  <c r="U1054" i="1"/>
  <c r="U1053" i="1"/>
  <c r="U1052" i="1"/>
  <c r="U1051" i="1"/>
  <c r="U1050" i="1"/>
  <c r="U1049" i="1"/>
  <c r="U1048" i="1"/>
  <c r="U1047" i="1"/>
  <c r="U1046" i="1"/>
  <c r="U1045" i="1"/>
  <c r="U1044" i="1"/>
  <c r="U1043" i="1"/>
  <c r="U1042" i="1"/>
  <c r="U1041" i="1"/>
  <c r="U1040" i="1"/>
  <c r="U1039" i="1"/>
  <c r="U1038" i="1"/>
  <c r="U1037" i="1"/>
  <c r="U1036" i="1"/>
  <c r="U1035" i="1"/>
  <c r="U1034" i="1"/>
  <c r="U1033" i="1"/>
  <c r="U1032" i="1"/>
  <c r="U1031" i="1"/>
  <c r="U1030" i="1"/>
  <c r="U1029" i="1"/>
  <c r="U1028" i="1"/>
  <c r="U1027" i="1"/>
  <c r="U1026" i="1"/>
  <c r="U1025" i="1"/>
  <c r="U1024" i="1"/>
  <c r="U1023" i="1"/>
  <c r="U1022" i="1"/>
  <c r="U1021" i="1"/>
  <c r="U1020" i="1"/>
  <c r="U1019" i="1"/>
  <c r="U1018" i="1"/>
  <c r="U1017" i="1"/>
  <c r="U1016" i="1"/>
  <c r="U1015" i="1"/>
  <c r="U1014" i="1"/>
  <c r="U1013" i="1"/>
  <c r="U1012" i="1"/>
  <c r="U1011" i="1"/>
  <c r="U1010" i="1"/>
  <c r="U1009" i="1"/>
  <c r="U1008" i="1"/>
  <c r="U1007" i="1"/>
  <c r="U1006" i="1"/>
  <c r="U1005" i="1"/>
  <c r="U1004" i="1"/>
  <c r="U1003" i="1"/>
  <c r="U1002" i="1"/>
  <c r="U1001" i="1"/>
  <c r="U1000" i="1"/>
  <c r="U999" i="1"/>
  <c r="U998" i="1"/>
  <c r="U997" i="1"/>
  <c r="U996" i="1"/>
  <c r="U995" i="1"/>
  <c r="U994" i="1"/>
  <c r="U993" i="1"/>
  <c r="U992" i="1"/>
  <c r="U991" i="1"/>
  <c r="U990" i="1"/>
  <c r="U989" i="1"/>
  <c r="U988" i="1"/>
  <c r="U987" i="1"/>
  <c r="U986" i="1"/>
  <c r="U985" i="1"/>
  <c r="U984" i="1"/>
  <c r="U983" i="1"/>
  <c r="U982" i="1"/>
  <c r="U981" i="1"/>
  <c r="U980" i="1"/>
  <c r="U979" i="1"/>
  <c r="U978" i="1"/>
  <c r="U977" i="1"/>
  <c r="U976" i="1"/>
  <c r="U975" i="1"/>
  <c r="U974" i="1"/>
  <c r="U973" i="1"/>
  <c r="U972" i="1"/>
  <c r="U971" i="1"/>
  <c r="U970" i="1"/>
  <c r="U969" i="1"/>
  <c r="U968" i="1"/>
  <c r="U967" i="1"/>
  <c r="U966" i="1"/>
  <c r="U965" i="1"/>
  <c r="U964" i="1"/>
  <c r="U963" i="1"/>
  <c r="U962" i="1"/>
  <c r="U961" i="1"/>
  <c r="U960" i="1"/>
  <c r="U959" i="1"/>
  <c r="U958" i="1"/>
  <c r="U957" i="1"/>
  <c r="U956" i="1"/>
  <c r="U955" i="1"/>
  <c r="U954" i="1"/>
  <c r="U953" i="1"/>
  <c r="U952" i="1"/>
  <c r="U951" i="1"/>
  <c r="U950" i="1"/>
  <c r="U949" i="1"/>
  <c r="U948" i="1"/>
  <c r="U947" i="1"/>
  <c r="U946" i="1"/>
  <c r="U945" i="1"/>
  <c r="U944" i="1"/>
  <c r="U943" i="1"/>
  <c r="U942" i="1"/>
  <c r="U941" i="1"/>
  <c r="U940" i="1"/>
  <c r="U939" i="1"/>
  <c r="U938" i="1"/>
  <c r="U937" i="1"/>
  <c r="U936" i="1"/>
  <c r="U935" i="1"/>
  <c r="U934" i="1"/>
  <c r="U932" i="1"/>
  <c r="U931" i="1"/>
  <c r="U930" i="1"/>
  <c r="U929" i="1"/>
  <c r="U928" i="1"/>
  <c r="U927" i="1"/>
  <c r="U926" i="1"/>
  <c r="U925" i="1"/>
  <c r="U924" i="1"/>
  <c r="U923" i="1"/>
  <c r="U922" i="1"/>
  <c r="U921" i="1"/>
  <c r="U920" i="1"/>
  <c r="U919" i="1"/>
  <c r="U918" i="1"/>
  <c r="U917" i="1"/>
  <c r="U916" i="1"/>
  <c r="U915" i="1"/>
  <c r="U914" i="1"/>
  <c r="U913" i="1"/>
  <c r="U912" i="1"/>
  <c r="U911" i="1"/>
  <c r="U910" i="1"/>
  <c r="U909" i="1"/>
  <c r="U908" i="1"/>
  <c r="U907" i="1"/>
  <c r="U906" i="1"/>
  <c r="U905" i="1"/>
  <c r="U904" i="1"/>
  <c r="U903" i="1"/>
  <c r="U902" i="1"/>
  <c r="U901" i="1"/>
  <c r="U900" i="1"/>
  <c r="U898" i="1"/>
  <c r="U897" i="1"/>
  <c r="U896" i="1"/>
  <c r="U895" i="1"/>
  <c r="U894" i="1"/>
  <c r="U893" i="1"/>
  <c r="U892" i="1"/>
  <c r="U891" i="1"/>
  <c r="U890" i="1"/>
  <c r="U889" i="1"/>
  <c r="U888" i="1"/>
  <c r="U887" i="1"/>
  <c r="U886" i="1"/>
  <c r="U885" i="1"/>
  <c r="U884" i="1"/>
  <c r="U883" i="1"/>
  <c r="U882" i="1"/>
  <c r="U881" i="1"/>
  <c r="U880" i="1"/>
  <c r="U878" i="1"/>
  <c r="U877" i="1"/>
  <c r="U876" i="1"/>
  <c r="U875" i="1"/>
  <c r="U874" i="1"/>
  <c r="U873" i="1"/>
  <c r="U872" i="1"/>
  <c r="U871" i="1"/>
  <c r="U870" i="1"/>
  <c r="U869" i="1"/>
  <c r="U868" i="1"/>
  <c r="U867" i="1"/>
  <c r="U866" i="1"/>
  <c r="U865" i="1"/>
  <c r="U864" i="1"/>
  <c r="U863" i="1"/>
  <c r="U862" i="1"/>
  <c r="U861" i="1"/>
  <c r="U860" i="1"/>
  <c r="U859" i="1"/>
  <c r="U858" i="1"/>
  <c r="U857" i="1"/>
  <c r="U856" i="1"/>
  <c r="U855" i="1"/>
  <c r="U854" i="1"/>
  <c r="U853" i="1"/>
  <c r="U852" i="1"/>
  <c r="U851" i="1"/>
  <c r="U850" i="1"/>
  <c r="U849" i="1"/>
  <c r="U848" i="1"/>
  <c r="U847" i="1"/>
  <c r="U846" i="1"/>
  <c r="U845" i="1"/>
  <c r="U844" i="1"/>
  <c r="U843" i="1"/>
  <c r="U842" i="1"/>
  <c r="U841" i="1"/>
  <c r="U840" i="1"/>
  <c r="U839" i="1"/>
  <c r="U838" i="1"/>
  <c r="U837" i="1"/>
  <c r="U836" i="1"/>
  <c r="U835" i="1"/>
  <c r="U834" i="1"/>
  <c r="U833" i="1"/>
  <c r="U832" i="1"/>
  <c r="U831" i="1"/>
  <c r="U830" i="1"/>
  <c r="U829" i="1"/>
  <c r="U828" i="1"/>
  <c r="U827" i="1"/>
  <c r="U826" i="1"/>
  <c r="U825" i="1"/>
  <c r="U824" i="1"/>
  <c r="U823" i="1"/>
  <c r="U822" i="1"/>
  <c r="U821" i="1"/>
  <c r="U820" i="1"/>
  <c r="U819" i="1"/>
  <c r="U818" i="1"/>
  <c r="U817" i="1"/>
  <c r="U816" i="1"/>
  <c r="U815" i="1"/>
  <c r="U814" i="1"/>
  <c r="U813" i="1"/>
  <c r="U812" i="1"/>
  <c r="U811" i="1"/>
  <c r="U810" i="1"/>
  <c r="U809" i="1"/>
  <c r="U808" i="1"/>
  <c r="U806" i="1"/>
  <c r="U805" i="1"/>
  <c r="U804" i="1"/>
  <c r="U803" i="1"/>
  <c r="U802" i="1"/>
  <c r="U801" i="1"/>
  <c r="U800" i="1"/>
  <c r="U799" i="1"/>
  <c r="U798" i="1"/>
  <c r="U797" i="1"/>
  <c r="U796" i="1"/>
  <c r="U795" i="1"/>
  <c r="U794" i="1"/>
  <c r="U793" i="1"/>
  <c r="U792" i="1"/>
  <c r="U791" i="1"/>
  <c r="U790" i="1"/>
  <c r="U789" i="1"/>
  <c r="U788" i="1"/>
  <c r="U787" i="1"/>
  <c r="U786" i="1"/>
  <c r="U785" i="1"/>
  <c r="U784" i="1"/>
  <c r="U783" i="1"/>
  <c r="U782" i="1"/>
  <c r="U781" i="1"/>
  <c r="U780" i="1"/>
  <c r="U779" i="1"/>
  <c r="U778" i="1"/>
  <c r="U777" i="1"/>
  <c r="U776" i="1"/>
  <c r="U775" i="1"/>
  <c r="U774" i="1"/>
  <c r="U773" i="1"/>
  <c r="U772" i="1"/>
  <c r="U771" i="1"/>
  <c r="U770" i="1"/>
  <c r="U769" i="1"/>
  <c r="U768" i="1"/>
  <c r="U767" i="1"/>
  <c r="U766" i="1"/>
  <c r="U765" i="1"/>
  <c r="U764" i="1"/>
  <c r="U763" i="1"/>
  <c r="U762" i="1"/>
  <c r="U761" i="1"/>
  <c r="U760" i="1"/>
  <c r="U759" i="1"/>
  <c r="U758" i="1"/>
  <c r="U757" i="1"/>
  <c r="U756" i="1"/>
  <c r="U755" i="1"/>
  <c r="U754" i="1"/>
  <c r="U753" i="1"/>
  <c r="U752" i="1"/>
  <c r="U751" i="1"/>
  <c r="U750" i="1"/>
  <c r="U749" i="1"/>
  <c r="U748" i="1"/>
  <c r="U747" i="1"/>
  <c r="U746" i="1"/>
  <c r="U745" i="1"/>
  <c r="U744" i="1"/>
  <c r="U743" i="1"/>
  <c r="U742" i="1"/>
  <c r="U741" i="1"/>
  <c r="U740" i="1"/>
  <c r="U739" i="1"/>
  <c r="U738" i="1"/>
  <c r="U737" i="1"/>
  <c r="U736" i="1"/>
  <c r="U735" i="1"/>
  <c r="U734" i="1"/>
  <c r="U733" i="1"/>
  <c r="U732" i="1"/>
  <c r="U731" i="1"/>
  <c r="U730" i="1"/>
  <c r="U729" i="1"/>
  <c r="U728" i="1"/>
  <c r="U727" i="1"/>
  <c r="U726" i="1"/>
  <c r="U725" i="1"/>
  <c r="U724" i="1"/>
  <c r="U723" i="1"/>
  <c r="U722" i="1"/>
  <c r="U721" i="1"/>
  <c r="U720" i="1"/>
  <c r="U719" i="1"/>
  <c r="U718" i="1"/>
  <c r="U717" i="1"/>
  <c r="U716" i="1"/>
  <c r="U715" i="1"/>
  <c r="U714" i="1"/>
  <c r="U713" i="1"/>
  <c r="U712" i="1"/>
  <c r="U711" i="1"/>
  <c r="U710" i="1"/>
  <c r="U709" i="1"/>
  <c r="U708" i="1"/>
  <c r="U707" i="1"/>
  <c r="U706" i="1"/>
  <c r="U705" i="1"/>
  <c r="U704" i="1"/>
  <c r="U703" i="1"/>
  <c r="U702" i="1"/>
  <c r="U701" i="1"/>
  <c r="U700" i="1"/>
  <c r="U699" i="1"/>
  <c r="U698" i="1"/>
  <c r="U697" i="1"/>
  <c r="U696" i="1"/>
  <c r="U695" i="1"/>
  <c r="U694" i="1"/>
  <c r="U693" i="1"/>
  <c r="U692" i="1"/>
  <c r="U691" i="1"/>
  <c r="U690" i="1"/>
  <c r="U689" i="1"/>
  <c r="U688" i="1"/>
  <c r="U687" i="1"/>
  <c r="U686" i="1"/>
  <c r="U685" i="1"/>
  <c r="U684" i="1"/>
  <c r="U683" i="1"/>
  <c r="U682" i="1"/>
  <c r="U681" i="1"/>
  <c r="U680" i="1"/>
  <c r="U679" i="1"/>
  <c r="U678" i="1"/>
  <c r="U677" i="1"/>
  <c r="U676" i="1"/>
  <c r="U675" i="1"/>
  <c r="U674" i="1"/>
  <c r="U673" i="1"/>
  <c r="U672" i="1"/>
  <c r="U671" i="1"/>
  <c r="U670" i="1"/>
  <c r="U669" i="1"/>
  <c r="U668" i="1"/>
  <c r="U667" i="1"/>
  <c r="U666" i="1"/>
  <c r="U665" i="1"/>
  <c r="U664" i="1"/>
  <c r="U663" i="1"/>
  <c r="U662" i="1"/>
  <c r="U661" i="1"/>
  <c r="U660" i="1"/>
  <c r="U659" i="1"/>
  <c r="U658" i="1"/>
  <c r="U657" i="1"/>
  <c r="U656" i="1"/>
  <c r="U655" i="1"/>
  <c r="U654" i="1"/>
  <c r="U653" i="1"/>
  <c r="U652" i="1"/>
  <c r="U651" i="1"/>
  <c r="U650" i="1"/>
  <c r="U649" i="1"/>
  <c r="U648" i="1"/>
  <c r="U647" i="1"/>
  <c r="U646" i="1"/>
  <c r="U645" i="1"/>
  <c r="U644" i="1"/>
  <c r="U643" i="1"/>
  <c r="U642" i="1"/>
  <c r="U641" i="1"/>
  <c r="U640" i="1"/>
  <c r="U639" i="1"/>
  <c r="U638" i="1"/>
  <c r="U637" i="1"/>
  <c r="U636" i="1"/>
  <c r="U635" i="1"/>
  <c r="U634" i="1"/>
  <c r="U633" i="1"/>
  <c r="U632" i="1"/>
  <c r="U631" i="1"/>
  <c r="U630" i="1"/>
  <c r="U629" i="1"/>
  <c r="U628" i="1"/>
  <c r="U627" i="1"/>
  <c r="U626" i="1"/>
  <c r="U625" i="1"/>
  <c r="U624" i="1"/>
  <c r="U623" i="1"/>
  <c r="U622" i="1"/>
  <c r="U621" i="1"/>
  <c r="U620" i="1"/>
  <c r="U619" i="1"/>
  <c r="U618" i="1"/>
  <c r="U617" i="1"/>
  <c r="U616" i="1"/>
  <c r="U615" i="1"/>
  <c r="U614" i="1"/>
  <c r="U613" i="1"/>
  <c r="U612" i="1"/>
  <c r="U611" i="1"/>
  <c r="U610" i="1"/>
  <c r="U609" i="1"/>
  <c r="U608" i="1"/>
  <c r="U607" i="1"/>
  <c r="U606" i="1"/>
  <c r="U605" i="1"/>
  <c r="U604" i="1"/>
  <c r="U603" i="1"/>
  <c r="U602" i="1"/>
  <c r="U601" i="1"/>
  <c r="U600" i="1"/>
  <c r="U599" i="1"/>
  <c r="U598" i="1"/>
  <c r="U597" i="1"/>
  <c r="U596" i="1"/>
  <c r="U595" i="1"/>
  <c r="U594" i="1"/>
  <c r="U593" i="1"/>
  <c r="U592" i="1"/>
  <c r="U591" i="1"/>
  <c r="U590" i="1"/>
  <c r="U589" i="1"/>
  <c r="U588" i="1"/>
  <c r="U587" i="1"/>
  <c r="U586" i="1"/>
  <c r="U585" i="1"/>
  <c r="U584" i="1"/>
  <c r="U583" i="1"/>
  <c r="U582" i="1"/>
  <c r="U581" i="1"/>
  <c r="U580" i="1"/>
  <c r="U579" i="1"/>
  <c r="U578" i="1"/>
  <c r="U577" i="1"/>
  <c r="U576" i="1"/>
  <c r="U575" i="1"/>
  <c r="U574" i="1"/>
  <c r="U573" i="1"/>
  <c r="U572" i="1"/>
  <c r="U571" i="1"/>
  <c r="U570" i="1"/>
  <c r="U569" i="1"/>
  <c r="U568" i="1"/>
  <c r="U566" i="1"/>
  <c r="U565" i="1"/>
  <c r="U564" i="1"/>
  <c r="U563" i="1"/>
  <c r="U562" i="1"/>
  <c r="U561" i="1"/>
  <c r="U560" i="1"/>
  <c r="U559" i="1"/>
  <c r="U558" i="1"/>
  <c r="U557" i="1"/>
  <c r="U556" i="1"/>
  <c r="U555" i="1"/>
  <c r="U554" i="1"/>
  <c r="U553" i="1"/>
  <c r="U552" i="1"/>
  <c r="U551" i="1"/>
  <c r="U550" i="1"/>
  <c r="U549" i="1"/>
  <c r="U548" i="1"/>
  <c r="U547" i="1"/>
  <c r="U546" i="1"/>
  <c r="U545" i="1"/>
  <c r="U544" i="1"/>
  <c r="U543" i="1"/>
  <c r="U542" i="1"/>
  <c r="U541" i="1"/>
  <c r="U540" i="1"/>
  <c r="U539" i="1"/>
  <c r="U538" i="1"/>
  <c r="U537" i="1"/>
  <c r="U536" i="1"/>
  <c r="U535" i="1"/>
  <c r="U534" i="1"/>
  <c r="U533" i="1"/>
  <c r="U532" i="1"/>
  <c r="U531" i="1"/>
  <c r="U530" i="1"/>
  <c r="U529" i="1"/>
  <c r="U528" i="1"/>
  <c r="U527" i="1"/>
  <c r="U526" i="1"/>
  <c r="U525" i="1"/>
  <c r="U524" i="1"/>
  <c r="U523" i="1"/>
  <c r="U522" i="1"/>
  <c r="U521" i="1"/>
  <c r="U520" i="1"/>
  <c r="U519" i="1"/>
  <c r="U518" i="1"/>
  <c r="U517" i="1"/>
  <c r="U516" i="1"/>
  <c r="U515" i="1"/>
  <c r="U514" i="1"/>
  <c r="U513" i="1"/>
  <c r="U512" i="1"/>
  <c r="U511" i="1"/>
  <c r="U510" i="1"/>
  <c r="U509" i="1"/>
  <c r="U508" i="1"/>
  <c r="U507" i="1"/>
  <c r="U506" i="1"/>
  <c r="U505" i="1"/>
  <c r="U504" i="1"/>
  <c r="U503" i="1"/>
  <c r="U502" i="1"/>
  <c r="U501" i="1"/>
  <c r="U500" i="1"/>
  <c r="U499" i="1"/>
  <c r="U498" i="1"/>
  <c r="U497" i="1"/>
  <c r="U496" i="1"/>
  <c r="U495" i="1"/>
  <c r="U494" i="1"/>
  <c r="U493" i="1"/>
  <c r="U492" i="1"/>
  <c r="U491" i="1"/>
  <c r="U490" i="1"/>
  <c r="U489" i="1"/>
  <c r="U488" i="1"/>
  <c r="U487" i="1"/>
  <c r="U486" i="1"/>
  <c r="U485" i="1"/>
  <c r="U484" i="1"/>
  <c r="U483" i="1"/>
  <c r="U482" i="1"/>
  <c r="U481" i="1"/>
  <c r="U480" i="1"/>
  <c r="U479" i="1"/>
  <c r="U478" i="1"/>
  <c r="U477" i="1"/>
  <c r="U476" i="1"/>
  <c r="U475" i="1"/>
  <c r="U474" i="1"/>
  <c r="U473" i="1"/>
  <c r="U472" i="1"/>
  <c r="U471" i="1"/>
  <c r="U470" i="1"/>
  <c r="U469" i="1"/>
  <c r="U468" i="1"/>
  <c r="U467" i="1"/>
  <c r="U466" i="1"/>
  <c r="U465" i="1"/>
  <c r="U464" i="1"/>
  <c r="U463" i="1"/>
  <c r="U462" i="1"/>
  <c r="U461" i="1"/>
  <c r="U460" i="1"/>
  <c r="U459" i="1"/>
  <c r="U458" i="1"/>
  <c r="U457" i="1"/>
  <c r="U456" i="1"/>
  <c r="U455" i="1"/>
  <c r="U454" i="1"/>
  <c r="U453" i="1"/>
  <c r="U452" i="1"/>
  <c r="U451" i="1"/>
  <c r="U450" i="1"/>
  <c r="U449" i="1"/>
  <c r="U448" i="1"/>
  <c r="U447" i="1"/>
  <c r="U446" i="1"/>
  <c r="U445" i="1"/>
  <c r="U443" i="1"/>
  <c r="U442" i="1"/>
  <c r="U441" i="1"/>
  <c r="U440" i="1"/>
  <c r="U439" i="1"/>
  <c r="U438" i="1"/>
  <c r="U437" i="1"/>
  <c r="U436" i="1"/>
  <c r="U435" i="1"/>
  <c r="U434" i="1"/>
  <c r="U433" i="1"/>
  <c r="U432" i="1"/>
  <c r="U431" i="1"/>
  <c r="U430" i="1"/>
  <c r="U429" i="1"/>
  <c r="U428" i="1"/>
  <c r="U427" i="1"/>
  <c r="U426" i="1"/>
  <c r="U425" i="1"/>
  <c r="U424" i="1"/>
  <c r="U423" i="1"/>
  <c r="U422" i="1"/>
  <c r="U421" i="1"/>
  <c r="U420" i="1"/>
  <c r="U419" i="1"/>
  <c r="U418" i="1"/>
  <c r="U417" i="1"/>
  <c r="U416" i="1"/>
  <c r="U415" i="1"/>
  <c r="U414" i="1"/>
  <c r="U413" i="1"/>
  <c r="U412" i="1"/>
  <c r="U411" i="1"/>
  <c r="U410" i="1"/>
  <c r="U409" i="1"/>
  <c r="U408" i="1"/>
  <c r="U407" i="1"/>
  <c r="U406" i="1"/>
  <c r="U405" i="1"/>
  <c r="U404" i="1"/>
  <c r="U403" i="1"/>
  <c r="U402" i="1"/>
  <c r="U401" i="1"/>
  <c r="U400" i="1"/>
  <c r="U399" i="1"/>
  <c r="U398" i="1"/>
  <c r="U397" i="1"/>
  <c r="U396" i="1"/>
  <c r="U395" i="1"/>
  <c r="U394" i="1"/>
  <c r="U393" i="1"/>
  <c r="U392" i="1"/>
  <c r="U391" i="1"/>
  <c r="U390" i="1"/>
  <c r="U389" i="1"/>
  <c r="U388" i="1"/>
  <c r="U387" i="1"/>
  <c r="U386" i="1"/>
  <c r="U385" i="1"/>
  <c r="U384" i="1"/>
  <c r="U383" i="1"/>
  <c r="U382" i="1"/>
  <c r="U381" i="1"/>
  <c r="U380" i="1"/>
  <c r="U379" i="1"/>
  <c r="U378" i="1"/>
  <c r="U377" i="1"/>
  <c r="U376" i="1"/>
  <c r="U375" i="1"/>
  <c r="U374" i="1"/>
  <c r="U373" i="1"/>
  <c r="U372" i="1"/>
  <c r="U371" i="1"/>
  <c r="U370" i="1"/>
  <c r="U369" i="1"/>
  <c r="U368" i="1"/>
  <c r="U367" i="1"/>
  <c r="U366" i="1"/>
  <c r="U365" i="1"/>
  <c r="U364" i="1"/>
  <c r="U363" i="1"/>
  <c r="U362" i="1"/>
  <c r="U361" i="1"/>
  <c r="U360" i="1"/>
  <c r="U359" i="1"/>
  <c r="U358" i="1"/>
  <c r="U357" i="1"/>
  <c r="U356" i="1"/>
  <c r="U355" i="1"/>
  <c r="U354" i="1"/>
  <c r="U353" i="1"/>
  <c r="U352" i="1"/>
  <c r="U351" i="1"/>
  <c r="U350" i="1"/>
  <c r="U349" i="1"/>
  <c r="U348" i="1"/>
  <c r="U347" i="1"/>
  <c r="U346" i="1"/>
  <c r="U345" i="1"/>
  <c r="U344" i="1"/>
  <c r="U343" i="1"/>
  <c r="U342" i="1"/>
  <c r="U341" i="1"/>
  <c r="U340" i="1"/>
  <c r="U339" i="1"/>
  <c r="U338" i="1"/>
  <c r="U337" i="1"/>
  <c r="U336" i="1"/>
  <c r="U335" i="1"/>
  <c r="U334" i="1"/>
  <c r="U333" i="1"/>
  <c r="U332" i="1"/>
  <c r="U331" i="1"/>
  <c r="U330" i="1"/>
  <c r="U329" i="1"/>
  <c r="U328" i="1"/>
  <c r="U327" i="1"/>
  <c r="U326" i="1"/>
  <c r="U325" i="1"/>
  <c r="U324" i="1"/>
  <c r="U323" i="1"/>
  <c r="U322" i="1"/>
  <c r="U321" i="1"/>
  <c r="U320" i="1"/>
  <c r="U319" i="1"/>
  <c r="U318" i="1"/>
  <c r="U317" i="1"/>
  <c r="U316" i="1"/>
  <c r="U315" i="1"/>
  <c r="U314" i="1"/>
  <c r="U313" i="1"/>
  <c r="U312" i="1"/>
  <c r="U311" i="1"/>
  <c r="U310" i="1"/>
  <c r="U309" i="1"/>
  <c r="U308" i="1"/>
  <c r="U307" i="1"/>
  <c r="U306" i="1"/>
  <c r="U305" i="1"/>
  <c r="U304" i="1"/>
  <c r="U303" i="1"/>
  <c r="U302" i="1"/>
  <c r="U301" i="1"/>
  <c r="U300" i="1"/>
  <c r="U299" i="1"/>
  <c r="U298" i="1"/>
  <c r="U297" i="1"/>
  <c r="U296" i="1"/>
  <c r="U295" i="1"/>
  <c r="U294" i="1"/>
  <c r="U293" i="1"/>
  <c r="U292" i="1"/>
  <c r="U291" i="1"/>
  <c r="U290" i="1"/>
  <c r="U289" i="1"/>
  <c r="U288" i="1"/>
  <c r="U287" i="1"/>
  <c r="U286" i="1"/>
  <c r="U285" i="1"/>
  <c r="U284" i="1"/>
  <c r="U283" i="1"/>
  <c r="U282" i="1"/>
  <c r="U281" i="1"/>
  <c r="U280" i="1"/>
  <c r="U279" i="1"/>
  <c r="U278" i="1"/>
  <c r="U277" i="1"/>
  <c r="U276" i="1"/>
  <c r="U275" i="1"/>
  <c r="U274" i="1"/>
  <c r="U273" i="1"/>
  <c r="U272" i="1"/>
  <c r="U271" i="1"/>
  <c r="U270" i="1"/>
  <c r="U269" i="1"/>
  <c r="U268" i="1"/>
  <c r="U267" i="1"/>
  <c r="U266" i="1"/>
  <c r="U265" i="1"/>
  <c r="U264" i="1"/>
  <c r="U263" i="1"/>
  <c r="U262" i="1"/>
  <c r="U261" i="1"/>
  <c r="U260" i="1"/>
  <c r="U259" i="1"/>
  <c r="U258" i="1"/>
  <c r="U257" i="1"/>
  <c r="U256" i="1"/>
  <c r="U255" i="1"/>
  <c r="U254" i="1"/>
  <c r="U253" i="1"/>
  <c r="U252" i="1"/>
  <c r="U251" i="1"/>
  <c r="U250" i="1"/>
  <c r="U249" i="1"/>
  <c r="U248" i="1"/>
  <c r="U247" i="1"/>
  <c r="U246" i="1"/>
  <c r="U245" i="1"/>
  <c r="U244" i="1"/>
  <c r="U243" i="1"/>
  <c r="U242" i="1"/>
  <c r="U241" i="1"/>
  <c r="U240" i="1"/>
  <c r="U239" i="1"/>
  <c r="U238" i="1"/>
  <c r="U237" i="1"/>
  <c r="U236" i="1"/>
  <c r="U235" i="1"/>
  <c r="U234" i="1"/>
  <c r="U233" i="1"/>
  <c r="U232" i="1"/>
  <c r="U231" i="1"/>
  <c r="U230" i="1"/>
  <c r="U229" i="1"/>
  <c r="U228" i="1"/>
  <c r="U227" i="1"/>
  <c r="U226" i="1"/>
  <c r="U225" i="1"/>
  <c r="U224" i="1"/>
  <c r="U223" i="1"/>
  <c r="U222" i="1"/>
  <c r="U221" i="1"/>
  <c r="U220" i="1"/>
  <c r="U219" i="1"/>
  <c r="U218" i="1"/>
  <c r="U217" i="1"/>
  <c r="U216" i="1"/>
  <c r="U215" i="1"/>
  <c r="U214" i="1"/>
  <c r="U213" i="1"/>
  <c r="U212" i="1"/>
  <c r="U211" i="1"/>
  <c r="U210" i="1"/>
  <c r="U209" i="1"/>
  <c r="U208" i="1"/>
  <c r="U207" i="1"/>
  <c r="U206" i="1"/>
  <c r="U205" i="1"/>
  <c r="U204" i="1"/>
  <c r="U203" i="1"/>
  <c r="U202" i="1"/>
  <c r="U201" i="1"/>
  <c r="U200"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4" i="1"/>
  <c r="U173" i="1"/>
  <c r="U172" i="1"/>
  <c r="U171" i="1"/>
  <c r="U170" i="1"/>
  <c r="U169" i="1"/>
  <c r="U168" i="1"/>
  <c r="U167" i="1"/>
  <c r="U166" i="1"/>
  <c r="U165" i="1"/>
  <c r="U164" i="1"/>
  <c r="U163" i="1"/>
  <c r="U162" i="1"/>
  <c r="U161" i="1"/>
  <c r="U160" i="1"/>
  <c r="U159" i="1"/>
  <c r="U158" i="1"/>
  <c r="U157" i="1"/>
  <c r="U156" i="1"/>
  <c r="U155" i="1"/>
  <c r="U154" i="1"/>
  <c r="U153" i="1"/>
  <c r="U152" i="1"/>
  <c r="U151" i="1"/>
  <c r="U150" i="1"/>
  <c r="U149" i="1"/>
  <c r="U148" i="1"/>
  <c r="U147" i="1"/>
  <c r="U146" i="1"/>
  <c r="U145" i="1"/>
  <c r="U144" i="1"/>
  <c r="U143" i="1"/>
  <c r="U142" i="1"/>
  <c r="U141" i="1"/>
  <c r="U140" i="1"/>
  <c r="U139" i="1"/>
  <c r="U138" i="1"/>
  <c r="U137" i="1"/>
  <c r="U136" i="1"/>
  <c r="U135" i="1"/>
  <c r="U134" i="1"/>
  <c r="U133" i="1"/>
  <c r="U132" i="1"/>
  <c r="U131" i="1"/>
  <c r="U130" i="1"/>
  <c r="U129" i="1"/>
  <c r="U128" i="1"/>
  <c r="U127" i="1"/>
  <c r="U126" i="1"/>
  <c r="U125" i="1"/>
  <c r="U124" i="1"/>
  <c r="U123" i="1"/>
  <c r="U122" i="1"/>
  <c r="U121" i="1"/>
  <c r="U120" i="1"/>
  <c r="U119" i="1"/>
  <c r="U118" i="1"/>
  <c r="U117" i="1"/>
  <c r="U116" i="1"/>
  <c r="U115" i="1"/>
  <c r="U114" i="1"/>
  <c r="U113" i="1"/>
  <c r="U112" i="1"/>
  <c r="U111" i="1"/>
  <c r="U110" i="1"/>
  <c r="U109" i="1"/>
  <c r="U108" i="1"/>
  <c r="U107" i="1"/>
  <c r="U106" i="1"/>
  <c r="U105" i="1"/>
  <c r="U104" i="1"/>
  <c r="U103" i="1"/>
  <c r="U102" i="1"/>
  <c r="U101" i="1"/>
  <c r="U100" i="1"/>
  <c r="U99" i="1"/>
  <c r="U98" i="1"/>
  <c r="U97" i="1"/>
  <c r="U96" i="1"/>
  <c r="U95" i="1"/>
  <c r="U94" i="1"/>
  <c r="U93" i="1"/>
  <c r="U92" i="1"/>
  <c r="U91" i="1"/>
  <c r="U90" i="1"/>
  <c r="U89" i="1"/>
  <c r="U88" i="1"/>
  <c r="U87" i="1"/>
  <c r="U86" i="1"/>
  <c r="U85" i="1"/>
  <c r="U84" i="1"/>
  <c r="U83" i="1"/>
  <c r="U82" i="1"/>
  <c r="U81" i="1"/>
  <c r="U80" i="1"/>
  <c r="U79" i="1"/>
  <c r="U78" i="1"/>
  <c r="U77" i="1"/>
  <c r="U76" i="1"/>
  <c r="U75" i="1"/>
  <c r="U74" i="1"/>
  <c r="U73" i="1"/>
  <c r="U72" i="1"/>
  <c r="U71" i="1"/>
  <c r="U70" i="1"/>
  <c r="U69" i="1"/>
  <c r="U68" i="1"/>
  <c r="U67" i="1"/>
  <c r="U66" i="1"/>
  <c r="U65" i="1"/>
  <c r="U64" i="1"/>
  <c r="U63" i="1"/>
  <c r="U62" i="1"/>
  <c r="U61" i="1"/>
  <c r="U60" i="1"/>
  <c r="U59" i="1"/>
  <c r="U58" i="1"/>
  <c r="U57" i="1"/>
  <c r="U56" i="1"/>
  <c r="U55" i="1"/>
  <c r="U54" i="1"/>
  <c r="U53" i="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U22" i="1"/>
  <c r="U21" i="1"/>
  <c r="U20" i="1"/>
  <c r="U19" i="1"/>
  <c r="U18" i="1"/>
  <c r="U17" i="1"/>
  <c r="U16" i="1"/>
  <c r="U15" i="1"/>
  <c r="U14" i="1"/>
  <c r="U13" i="1"/>
  <c r="U12" i="1"/>
  <c r="U11" i="1"/>
  <c r="U9" i="1"/>
  <c r="U8" i="1"/>
</calcChain>
</file>

<file path=xl/sharedStrings.xml><?xml version="1.0" encoding="utf-8"?>
<sst xmlns="http://schemas.openxmlformats.org/spreadsheetml/2006/main" count="149818" uniqueCount="53968">
  <si>
    <t>ИНФРА-М Научно-издательский Центр</t>
  </si>
  <si>
    <t>001. Прайс-лист для организаций (собственная)
от 04.08.2026</t>
  </si>
  <si>
    <t>Заказ</t>
  </si>
  <si>
    <t>Код</t>
  </si>
  <si>
    <t>Наименование товара</t>
  </si>
  <si>
    <t>Основное заглавие</t>
  </si>
  <si>
    <t>Авторы</t>
  </si>
  <si>
    <t>Оформление</t>
  </si>
  <si>
    <t>Издательство</t>
  </si>
  <si>
    <t>Серия</t>
  </si>
  <si>
    <t>Ст-т</t>
  </si>
  <si>
    <t>Стр.</t>
  </si>
  <si>
    <t>Год</t>
  </si>
  <si>
    <t>ISBN</t>
  </si>
  <si>
    <t>Раздел</t>
  </si>
  <si>
    <t>Подраздел</t>
  </si>
  <si>
    <t>Вид издания</t>
  </si>
  <si>
    <t>Уровень образования</t>
  </si>
  <si>
    <t>ОКСО</t>
  </si>
  <si>
    <t>Гриф МО</t>
  </si>
  <si>
    <t>Доп. мат. на znanium</t>
  </si>
  <si>
    <t>Обложка</t>
  </si>
  <si>
    <t>Аффилиация автора</t>
  </si>
  <si>
    <t>Новинка месяца</t>
  </si>
  <si>
    <t>ПООП</t>
  </si>
  <si>
    <t>Планируется к выходу</t>
  </si>
  <si>
    <t>К</t>
  </si>
  <si>
    <t>Ш</t>
  </si>
  <si>
    <t>Победитель конкурсов</t>
  </si>
  <si>
    <t>185300.08.01</t>
  </si>
  <si>
    <t>"Влесова книга": введ. к науч. анализу источ.: Моногр. / Д.С.Логинов - М.: НИЦ ИНФРА-М, 2026 - 391 с.(о)</t>
  </si>
  <si>
    <t>"ВЛЕСОВА КНИГА": ВВЕДЕНИЕ К НАУЧНОМУ АНАЛИЗУ ИСТОЧНИКА, ИЗД.1</t>
  </si>
  <si>
    <t>Логинов Д. С.</t>
  </si>
  <si>
    <t>Обложка. КБС</t>
  </si>
  <si>
    <t>НИЦ ИНФРА-М</t>
  </si>
  <si>
    <t>Научная мысль</t>
  </si>
  <si>
    <t>978-5-16-016800-5</t>
  </si>
  <si>
    <t>ОБЩЕСТВЕННЫЕ НАУКИ.  ЭКОНОМИКА. ПРАВО</t>
  </si>
  <si>
    <t>История. Исторические науки</t>
  </si>
  <si>
    <t>Монография</t>
  </si>
  <si>
    <t>Дополнительное образование / Дополнительное профессиональное образование</t>
  </si>
  <si>
    <t>46.03.01, 46.04.01, 46.06.01</t>
  </si>
  <si>
    <t>Рязанский государственный медицинский университет им. академика И.П. Павлова</t>
  </si>
  <si>
    <t>0112</t>
  </si>
  <si>
    <t>414350.10.01</t>
  </si>
  <si>
    <t>"Идем в Третьяковку!": Уч. пос. для иностр. студ. / Н.Н.Левшина - М.: Форум, 2026 -128с. (о)</t>
  </si>
  <si>
    <t>"ИДЕМ В ТРЕТЬЯКОВКУ!", ИЗД.1</t>
  </si>
  <si>
    <t>Левшина Н. Н., Филиппова О. В.</t>
  </si>
  <si>
    <t>Форум</t>
  </si>
  <si>
    <t>978-5-91134-725-3</t>
  </si>
  <si>
    <t>Культура. Средства массовой информации</t>
  </si>
  <si>
    <t>Учебное пособие</t>
  </si>
  <si>
    <t>Профессиональное образование / ВО - Бакалавриат</t>
  </si>
  <si>
    <t>00.03.09</t>
  </si>
  <si>
    <t>Московский педагогический государственный университет</t>
  </si>
  <si>
    <t>0113</t>
  </si>
  <si>
    <t>845554.02.01</t>
  </si>
  <si>
    <t>"Как дела?": Уч.пос. для иностранных учащихся (баз. ур.) / Л.В.Владимирова - М.:НИЦ ИНФРА-М, КФУ,2026. - 213 с(п)</t>
  </si>
  <si>
    <t>"КАК ДЕЛА?" УЧЕБНОЕ ПОСОБИЕ ДЛЯ ИНОСТРАННЫХ УЧАЩИХСЯ (БАЗОВЫЙ УРОВЕНЬ), ИЗД.1</t>
  </si>
  <si>
    <t>Владимирова Л.В., Кулигина О.В., Сафин Р.Н.</t>
  </si>
  <si>
    <t>Переплет 7БЦ</t>
  </si>
  <si>
    <t>Высшее образование (КазФУ)</t>
  </si>
  <si>
    <t>978-5-16-020601-1</t>
  </si>
  <si>
    <t>ГУМАНИТАРНЫЕ НАУКИ. РЕЛИГИЯ. ИСКУССТВО</t>
  </si>
  <si>
    <t>Филологические науки</t>
  </si>
  <si>
    <t>Профессиональное образование</t>
  </si>
  <si>
    <t>00.03.09, 00.05.09</t>
  </si>
  <si>
    <t>Казанский (Приволжский) федеральный университет</t>
  </si>
  <si>
    <t>0125</t>
  </si>
  <si>
    <t>807007.02.01</t>
  </si>
  <si>
    <t>"Как закалялась сталь" Н. Островского...: Моногр. / С.Сунь - М.:НИЦ ИНФРА-М,2026. - 229 с.(Науч.мысль)(о)</t>
  </si>
  <si>
    <t>"КАК ЗАКАЛЯЛАСЬ СТАЛЬ" НИКОЛАЯ ОСТРОВСКОГО: ЛИНГВОКУЛЬТУРОЛОГИЧЕСКИЕ ОСОБЕННОСТИ ПЕРЕВОДА НА КИТАЙСКИЙ И АНГЛИЙСКИЙ ЯЗЫКИ, ИЗД.1</t>
  </si>
  <si>
    <t>Сунь С., Жирова И.Г.</t>
  </si>
  <si>
    <t>978-5-16-019635-0</t>
  </si>
  <si>
    <t>45.03.02, 45.04.02, 45.05.01</t>
  </si>
  <si>
    <t>Сюйчжоуский технологический институт</t>
  </si>
  <si>
    <t>0124</t>
  </si>
  <si>
    <t>АИСТ'ИЯ-2025, Лауреат</t>
  </si>
  <si>
    <t>684054.06.01</t>
  </si>
  <si>
    <t>"Народ против": протесты и протестующие...: Моногр. / С.Г.Ушкин - М.:НИЦ ИНФРА-М,2023 - 100 с.(Науч.мысль)(О)</t>
  </si>
  <si>
    <t>"НАРОД ПРОТИВ": ПРОТЕСТЫ И ПРОТЕСТУЮЩИЕ В ВИРТУАЛЬНЫХ СОЦИАЛЬНЫХ СЕТЯХ, ИЗД.1</t>
  </si>
  <si>
    <t>Ушкин С.Г.</t>
  </si>
  <si>
    <t>978-5-16-014079-7</t>
  </si>
  <si>
    <t>Политика. Социология</t>
  </si>
  <si>
    <t>39.03.01, 39.04.01, 41.03.04, 41.04.04</t>
  </si>
  <si>
    <t>Научный центр социально-экономического мониторинга</t>
  </si>
  <si>
    <t>0118</t>
  </si>
  <si>
    <t>640367.05.01</t>
  </si>
  <si>
    <t>"От малышек до  подготовишек". Сис. работы по разв...: Пос. / Т.А.Серебрякова -М.:НИЦ ИНФРА-М,2024-509с(П)</t>
  </si>
  <si>
    <t>"ОТ МАЛЫШЕК ДО  ПОДГОТОВИШЕК". СИСТЕМА РАБОТЫ ПО РАЗВИТИЮ СОЦИАЛЬНО-ЛИЧНОСТНОЙ СФЕРЫ ДЕТЕЙ ДОШКОЛЬНОГО ВОЗРАСТА, ИЗД.1</t>
  </si>
  <si>
    <t>Серебрякова Т.А., Волгина В.С., Хворостинина Н.В.</t>
  </si>
  <si>
    <t>Практическая педагогика</t>
  </si>
  <si>
    <t>978-5-16-012412-4</t>
  </si>
  <si>
    <t>ЛИТЕРАТУРА ДЛЯ СРЕДНЕЙ ШКОЛЫ И АБИТУРИЕНТОВ. ПЕДАГОГИКА</t>
  </si>
  <si>
    <t>Педагогика. Образование</t>
  </si>
  <si>
    <t>Пособие</t>
  </si>
  <si>
    <t>44.02.01, 44.02.04, 44.03.01, 44.03.02, 44.03.04, 44.03.05, 44.04.01, 44.04.02</t>
  </si>
  <si>
    <t>ДА</t>
  </si>
  <si>
    <t>Нижегородский государственный педагогический университет им. К. Минина</t>
  </si>
  <si>
    <t>0117</t>
  </si>
  <si>
    <t>640367.09.01</t>
  </si>
  <si>
    <t>"От малышек до  подготовишек". Сис. работы...: Пос. / Т.А.Серебрякова - 2 изд. - М.:НИЦ ИНФРА-М,2027 - 523с(п)</t>
  </si>
  <si>
    <t>"ОТ МАЛЫШЕК ДО  ПОДГОТОВИШЕК". СИСТЕМА РАБОТЫ ПО РАЗВИТИЮ СОЦИАЛЬНО-ЛИЧНОСТНОЙ СФЕРЫ ДЕТЕЙ ДОШКОЛЬНОГО ВОЗРАСТА, ИЗД.2</t>
  </si>
  <si>
    <t>Серебрякова Т.А., Волгина В.С., Хворостинина Н.В. и др.</t>
  </si>
  <si>
    <t>978-5-16-019561-2</t>
  </si>
  <si>
    <t>Учебно-методическое пособие</t>
  </si>
  <si>
    <t>0224</t>
  </si>
  <si>
    <t>684798.06.01</t>
  </si>
  <si>
    <t>"Тайный ключ русской литературы"...: Моногр. / С.О.Курьянов - М.:НИЦ ИНФРА-М,2025. - 311с.(о)</t>
  </si>
  <si>
    <t>"ТАЙНЫЙ КЛЮЧ РУССКОЙ ЛИТЕРАТУРЫ": ФОРМИРОВАНИЕ И СТАНОВЛЕНИЕ КРЫМСКОГО ТЕКСТА В РУССКОЙ ЛИТЕРАТУРЕ X-XIX ВЕКОВ, ИЗД.1</t>
  </si>
  <si>
    <t>Курьянов С.О.</t>
  </si>
  <si>
    <t>Научная мысль (КрымФУ)</t>
  </si>
  <si>
    <t>978-5-16-019072-3</t>
  </si>
  <si>
    <t>42.03.04, 44.03.05, 45.03.01, 45.03.02, 45.04.01, 45.04.02</t>
  </si>
  <si>
    <t>Крымский федеральный университет им. В.И. Вернадского, структурное подразделение Таврическая академия</t>
  </si>
  <si>
    <t>0119</t>
  </si>
  <si>
    <t>684798.07.01</t>
  </si>
  <si>
    <t>"Тайный ключ русской литературы"...: Моногр. / С.О.Курьянов - М.:НИЦ ИНФРА-М,2026. - 311 с.(П)</t>
  </si>
  <si>
    <t>Переплет 7БЦ/Без шитья</t>
  </si>
  <si>
    <t>Научная мысль - 100 лет КрымФУ</t>
  </si>
  <si>
    <t>978-5-16-014774-1</t>
  </si>
  <si>
    <t>151950.11.01</t>
  </si>
  <si>
    <t>"Феноменология духа" и проблема структуры..: Моногр. / В.И.Коротких - М: НИЦ ИНФРА-М, 2026 - 382 с (П)</t>
  </si>
  <si>
    <t>"ФЕНОМЕНОЛОГИЯ ДУХА" И ПРОБЛЕМА СТРУКТУРЫ СИСТЕМЫ ФИЛОСОФИИ В ТВОРЧЕСТВЕ ГЕГЕЛЯ, ИЗД.1</t>
  </si>
  <si>
    <t>Коротких В.И.</t>
  </si>
  <si>
    <t>978-5-16-009753-4</t>
  </si>
  <si>
    <t>Философия</t>
  </si>
  <si>
    <t>40.03.01, 44.03.01, 44.03.05, 47.03.01, 47.04.01</t>
  </si>
  <si>
    <t>Елецкий государственный университет им. И.А. Бунина</t>
  </si>
  <si>
    <t>0111</t>
  </si>
  <si>
    <t>672416.02.01</t>
  </si>
  <si>
    <t>"Цветные революции" и "Арабская весна" в конституц. измер.:Моногр./Т.Я.Хабриева-М.:Юр.Норма,НИЦ ИНФРА-М,2018-192с</t>
  </si>
  <si>
    <t>"ЦВЕТНЫЕ РЕВОЛЮЦИИ" И "АРАБСКАЯ ВЕСНА" В КОНСТИТУЦИОННОМ ИЗМЕРЕНИИ: ПОЛИТОЛОГО-ЮРИДИЧЕСКОЕ ИССЛЕДОВАНИЕ, ИЗД.1</t>
  </si>
  <si>
    <t>Хабриева Т.Я., Чиркин В.Е.</t>
  </si>
  <si>
    <t>Юр. НОРМА</t>
  </si>
  <si>
    <t>978-5-91768-880-0</t>
  </si>
  <si>
    <t>Право. Юридические науки</t>
  </si>
  <si>
    <t>40.03.01, 40.04.01, 40.05.01, 40.05.02, 41.03.04, 41.04.04</t>
  </si>
  <si>
    <t>Институт законодательства и сравнительного правоведения при Правительстве Российской Федерации</t>
  </si>
  <si>
    <t>672416.10.01</t>
  </si>
  <si>
    <t>"Цветные революции" и "Арабская весна" в конституц... / Т.Я.Хабриева - М.:Юр.Норма,НИЦ ИНФРА-М,2026 - 192 с.(п)</t>
  </si>
  <si>
    <t>763312.06.01</t>
  </si>
  <si>
    <t>"Чайка” А. П. Чехова. Поэтика. Проблематика...: Моногр. / А.Г.Головачёва - М.:НИЦ ИНФРА-М,2027 - 235 с.(О)</t>
  </si>
  <si>
    <t>"ЧАЙКА” А. П. ЧЕХОВА. ПОЭТИКА. ПРОБЛЕМАТИКА. ЛИТЕРАТУРНО-ТЕАТРАЛЬНЫЙ КОНТЕКСТ, ИЗД.1</t>
  </si>
  <si>
    <t>Головачёва А.Г.</t>
  </si>
  <si>
    <t>978-5-16-017152-4</t>
  </si>
  <si>
    <t>44.03.05, 45.07.01, 52.03.04, 52.03.05</t>
  </si>
  <si>
    <t>Театральный Музей им. А.А. Бахрушина, Бахрушинский Музей</t>
  </si>
  <si>
    <t>0122</t>
  </si>
  <si>
    <t>776902.04.01</t>
  </si>
  <si>
    <t>"Человек самоорганизующийся". Психология взаимодейств..: Моногр. / В.В.Гребнева - М.:НИЦ ИНФРА-М,2025 - 342 с.(о)</t>
  </si>
  <si>
    <t>"ЧЕЛОВЕК САМООРГАНИЗУЮЩИЙСЯ". ПСИХОЛОГИЯ ВЗАИМОДЕЙСТВИЯ В СФЕРЕ ВЫСШЕГО ОБРАЗОВАНИЯ, ИЗД.1</t>
  </si>
  <si>
    <t>Гребнева В.В.</t>
  </si>
  <si>
    <t>978-5-16-017671-0</t>
  </si>
  <si>
    <t>Психология</t>
  </si>
  <si>
    <t>37.04.01, 37.05.02, 37.06.01</t>
  </si>
  <si>
    <t>Белгородский государственный национальный исследовательский университет</t>
  </si>
  <si>
    <t>0123</t>
  </si>
  <si>
    <t>440550.08.01</t>
  </si>
  <si>
    <t>«Американская мечта» сегодня: ср. класс США в конце ХХ-нач.ХХI в. / И.В.Варивончик - М.:НИЦ ИНФРА-М,2026 - 317 с.(о)</t>
  </si>
  <si>
    <t>«АМЕРИКАНСКАЯ МЕЧТА» СЕГОДНЯ: СРЕДНИЙ КЛАСС США В КОНЦЕ ХХ - НАЧАЛЕ ХХI ВЕКА, ИЗД.1</t>
  </si>
  <si>
    <t>Варивончик И.В.</t>
  </si>
  <si>
    <t>978-5-16-016801-2</t>
  </si>
  <si>
    <t>38.03.01, 38.04.01, 39.03.01, 39.04.01, 41.03.04, 46.03.01, 46.03.03, 46.04.01, 46.04.03, 51.03.01, 51.04.01</t>
  </si>
  <si>
    <t>Белорусский государственный педагогический университет им. М. Танка</t>
  </si>
  <si>
    <t>440550.07.01</t>
  </si>
  <si>
    <t>«Американская мечта» сегодня: ср.класс США в конце ХХ-нач.ХХIв. / И.В.Варивончик - НИЦ ИНФРА-М,2025 - 317 с.(п)</t>
  </si>
  <si>
    <t>Варивончик И. В.</t>
  </si>
  <si>
    <t>978-5-16-006772-8</t>
  </si>
  <si>
    <t>761523.01.01</t>
  </si>
  <si>
    <t>«Замкнутые вселенные» сопротивления...: Моногр. / А.В.Скиперских - М.:НИЦ ИНФРА-М,2022 - 237 с.(П)</t>
  </si>
  <si>
    <t>«ЗАМКНУТЫЕ ВСЕЛЕННЫЕ» СОПРОТИВЛЕНИЯ: РАЗЫСКАНИЯ В ПРОСТРАНСТВЕ РУССКОЙ КУЛЬТУРЫ, ИЗД.1</t>
  </si>
  <si>
    <t>Скиперских А.В.</t>
  </si>
  <si>
    <t>978-5-16-017184-5</t>
  </si>
  <si>
    <t>44.04.01, 44.04.04, 44.06.01, 51.04.01, 51.06.01</t>
  </si>
  <si>
    <t>868839.01.01</t>
  </si>
  <si>
    <t>«Кино эпохи модерна» (Акционер. кинематогр...) / А.А.Бессолицын - М.:НИЦ ИНФРА-М,2026. - 195 с. [16+](п)</t>
  </si>
  <si>
    <t>«КИНО ЭПОХИ МОДЕРНА» (АКЦИОНЕРНЫЕ КИНЕМАТОГРАФИЧЕСКИЕ КОМПАНИИ В РОССИИ В НАЧАЛЕ ХХ ВЕКА), ИЗД.1</t>
  </si>
  <si>
    <t>Бессолицын А.А.</t>
  </si>
  <si>
    <t>Интересно знать</t>
  </si>
  <si>
    <t>978-5-16-021537-2</t>
  </si>
  <si>
    <t>Искусство</t>
  </si>
  <si>
    <t>Научно-популярное издание</t>
  </si>
  <si>
    <t>Дополнительное образование / Дополнительное образование взрослых</t>
  </si>
  <si>
    <t>50.03.01, 50.04.04, 50.06.01, 51.03.01, 51.03.03, 51.03.04, 51.03.05, 52.03.06, 55.05.01, 55.05.03, 55.05.04, 55.05.05, 55.09.01, 55.09.02, 55.09.03</t>
  </si>
  <si>
    <t>Институт российской истории Российской академии наук</t>
  </si>
  <si>
    <t>Декабрь, 2025</t>
  </si>
  <si>
    <t>0126</t>
  </si>
  <si>
    <t>828589.04.01</t>
  </si>
  <si>
    <t>«Кино эпохи модерна» (Акционер. кинематогр...): Моногр. / А.А.Бессолицын - М.:НИЦ ИНФРА-М,2026 - 195 с.(п)</t>
  </si>
  <si>
    <t>978-5-16-019929-0</t>
  </si>
  <si>
    <t>50.03.03</t>
  </si>
  <si>
    <t>683429.03.01</t>
  </si>
  <si>
    <t>«Православный тихий Дон» в творчестве..: Моногр. / Л.Г.Сатарова - М.:НИЦ ИНФРА-М,2021 - 270 с.(П)</t>
  </si>
  <si>
    <t>«ПРАВОСЛАВНЫЙ ТИХИЙ ДОН» В ТВОРЧЕСТВЕ М.А. ШОЛОХОВА И ЕГО ПРЕДШЕСТВЕННИКОВ, ИЗД.1</t>
  </si>
  <si>
    <t>Сатарова Л.Г.</t>
  </si>
  <si>
    <t>978-5-16-014175-6</t>
  </si>
  <si>
    <t>44.03.01, 45.03.01, 45.03.02, 45.03.99</t>
  </si>
  <si>
    <t>Липецкий государственный педагогический университет им. П.П. Семенова-Тян-Шанского</t>
  </si>
  <si>
    <t>683429.10.01</t>
  </si>
  <si>
    <t>«Православный тихий Дон» в творчестве..: Моногр. / Л.Г.Сатарова - М.:НИЦ ИНФРА-М,2027 - 270 с.(о)</t>
  </si>
  <si>
    <t>978-5-16-017481-5</t>
  </si>
  <si>
    <t>852051.01.01</t>
  </si>
  <si>
    <t>«Разворот мировой демографии»..: Моногр. / Е.К.Гайкович - М.:НИЦ ИНФРА-М,2025. - 436 с.(Науч.мысль)(п)</t>
  </si>
  <si>
    <t>«РАЗВОРОТ МИРОВОЙ ДЕМОГРАФИИ»: ТРАНСФОРМАЦИЯ ПОДХОДОВ ПО ВОПРОСАМ НАРОДОНАСЕЛЕНИЯ, ИЗД.1</t>
  </si>
  <si>
    <t>Гайкович Е.К.</t>
  </si>
  <si>
    <t>978-5-16-020844-2</t>
  </si>
  <si>
    <t>Демография. Статистика</t>
  </si>
  <si>
    <t>38.03.01, 38.03.04, 38.04.01, 38.04.04, 38.06.01, 39.03.01, 39.04.01, 41.03.06</t>
  </si>
  <si>
    <t>Нижегородский государственный лингвистический университет им. Добролюбова</t>
  </si>
  <si>
    <t>699353.09.01</t>
  </si>
  <si>
    <t>«Советская Атлантида». Мифология революции: Моногр. / М.С.Колесов, - 2 изд. - М.:НИЦ ИНФРА-М,2026. - 352 с.(П)</t>
  </si>
  <si>
    <t>«СОВЕТСКАЯ АТЛАНТИДА». МИФОЛОГИЯ РЕВОЛЮЦИИ, ИЗД.2</t>
  </si>
  <si>
    <t>Колесов М.С.</t>
  </si>
  <si>
    <t>Научная мысль (СевГУ)</t>
  </si>
  <si>
    <t>978-5-16-014778-9</t>
  </si>
  <si>
    <t>46.04.01, 46.06.01</t>
  </si>
  <si>
    <t>Севастопольский государственный университет</t>
  </si>
  <si>
    <t>0220</t>
  </si>
  <si>
    <t>138150.16.01</t>
  </si>
  <si>
    <t>100 уроков вольной борьбы: Уч.пос. / П.Ф.Матущак - М.:ИНФРА-М Изд/ Дом,2027 - 292 с.(П)</t>
  </si>
  <si>
    <t>100 УРОКОВ ВОЛЬНОЙ БОРЬБЫ, ИЗД.1</t>
  </si>
  <si>
    <t>Матущак П. Ф.</t>
  </si>
  <si>
    <t>978-5-16-004421-7</t>
  </si>
  <si>
    <t>ДОМ, БЫТ, ДОСУГ</t>
  </si>
  <si>
    <t>Спорт. Самооборона</t>
  </si>
  <si>
    <t>44.03.01, 44.03.05, 44.04.01, 49.03.03, 49.04.03</t>
  </si>
  <si>
    <t>-</t>
  </si>
  <si>
    <t>810856.06.01</t>
  </si>
  <si>
    <t>1200 показателей KPI бизнес-процессов...: Прак. пос. / Р.А.Исаев-М.:НИЦ ИНФРА-М,2026.-150 с.(о)</t>
  </si>
  <si>
    <t>1200 ПОКАЗАТЕЛЕЙ KPI БИЗНЕС-ПРОЦЕССОВ И ПРИМЕРЫ ОПТИМИЗАЦИИ, ИЗД.1</t>
  </si>
  <si>
    <t>Исаев Р.А.</t>
  </si>
  <si>
    <t>978-5-16-018971-0</t>
  </si>
  <si>
    <t>Экономика. Бухгалтерский учет. Финансы</t>
  </si>
  <si>
    <t>Практическое пособие</t>
  </si>
  <si>
    <t>38.04.01, 38.04.02, 38.04.03, 38.06.01</t>
  </si>
  <si>
    <t>ГК СОВРЕМЕННЫЕ ТЕХНОЛОГИИ УПРАВЛЕНИЯ ООО</t>
  </si>
  <si>
    <t>307200.03.01</t>
  </si>
  <si>
    <t>1С: Предприятие. Проект.прилож.: Уч.пос. / Э.Г.Дадян - М.:Вуз.уч., НИЦ ИНФРА-М,2017 - 288с(п)</t>
  </si>
  <si>
    <t>1С: ПРЕДПРИЯТИЕ. ПРОЕКТИРОВАНИЕ  ПРИЛОЖЕНИЙ, ИЗД.1</t>
  </si>
  <si>
    <t>Дадян Э.Г.</t>
  </si>
  <si>
    <t>Вузовский учебник</t>
  </si>
  <si>
    <t>978-5-9558-0394-4</t>
  </si>
  <si>
    <t>ПРИКЛАДНЫЕ НАУКИ. ТЕХНИКА. МЕДИЦИНА</t>
  </si>
  <si>
    <t>Информатика. Вычислительная техника</t>
  </si>
  <si>
    <t>38.03.01, 38.03.05, 38.04.01, 38.04.05</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</si>
  <si>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подготовки 080100 «Экономика" (квалификация (степень) - бакалавр)</t>
  </si>
  <si>
    <t>Финансовый университет при Правительстве Российской Федерации</t>
  </si>
  <si>
    <t>0114</t>
  </si>
  <si>
    <t>468250.18.01</t>
  </si>
  <si>
    <t>3D Studio Max + VRay + Corona: Уч.пос. / Д.А.Хворостов - 2 изд. - М.:НИЦ ИНФРА-М,2027 - 333 с.(ВО)(п)</t>
  </si>
  <si>
    <t>3D STUDIO MAX + VRAY + CORONA. ПРОЕКТИРОВАНИЕ ДИЗАЙНА СРЕДЫ, ИЗД.2</t>
  </si>
  <si>
    <t>Хворостов Д. А.</t>
  </si>
  <si>
    <t>Высшее образование</t>
  </si>
  <si>
    <t>978-5-16-021468-9</t>
  </si>
  <si>
    <t>54.03.01, 54.04.01, 54.05.03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</si>
  <si>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54.03.01 «Дизайн», 54.03.02 «Декоративно-прикладное искусство и народные промыслы» (квалификация (степень) «бакалавр») (протокол № 11 от 09.11.2020)</t>
  </si>
  <si>
    <t>Орловский государственный университет им. И.С. Тургенева</t>
  </si>
  <si>
    <t>0221</t>
  </si>
  <si>
    <t>682799.04.01</t>
  </si>
  <si>
    <t>3D Studio Max + VRay. Проектир...: Уч.пос. / Д.А.Хворостов, - 2 изд. - М, НИЦ ИНФРА-М,2026. - 333 с.(п)</t>
  </si>
  <si>
    <t>3D STUDIO MAX + VRAY. ПРОЕКТИРОВАНИЕ ДИЗАЙНА СРЕДЫ, ИЗД.2</t>
  </si>
  <si>
    <t>Хворостов Д.А.</t>
  </si>
  <si>
    <t>Среднее профессиональное образование</t>
  </si>
  <si>
    <t>978-5-16-021694-2</t>
  </si>
  <si>
    <t>Профессиональное образование / Среднее профессиональное образование</t>
  </si>
  <si>
    <t>54.01.20, 54.02.01, 54.02.03, 54.02.06, 54.02.07, 54.02.08, 09.02.10</t>
  </si>
  <si>
    <t>32</t>
  </si>
  <si>
    <t>468250.05.01</t>
  </si>
  <si>
    <t>3D Studio Max + VRay...: Уч.пос. / Д.А.Хворостов - М.:Форум,НИЦ ИНФРА-М,2019 - 270с(ВО:Бакалавр.)(о)</t>
  </si>
  <si>
    <t>3D STUDIO MAX + VRAY. ПРОЕКТИРОВАНИЕ ДИЗАЙНА СРЕДЫ, ИЗД.1</t>
  </si>
  <si>
    <t>Высшее образование: Бакалавриат</t>
  </si>
  <si>
    <t>978-5-00091-515-8</t>
  </si>
  <si>
    <t>Рекомендовано в качестве учебного пособия для студентов высших учебных заведений, обучающихся по специальностям художественно-графического цикла</t>
  </si>
  <si>
    <t>0115</t>
  </si>
  <si>
    <t>165450.12.01</t>
  </si>
  <si>
    <t>454 вопроса по менеджменту: Уч.пос. / Т.Б.Борискина - М.:НИЦ ИНФРА-М,2027. - 100 с.-(ВО)(о)</t>
  </si>
  <si>
    <t>454 ВОПРОСА ПО МЕНЕДЖМЕНТУ, ИЗД.1</t>
  </si>
  <si>
    <t>Борискина Т.Б., Пескова О.С.</t>
  </si>
  <si>
    <t>978-5-16-018604-7</t>
  </si>
  <si>
    <t>Управление (менеджмент)</t>
  </si>
  <si>
    <t>38.03.02, 38.03.04, 38.04.04, 41.03.06, 44.03.05</t>
  </si>
  <si>
    <t>Рекомендовано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</si>
  <si>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Волгоградский государственный технический университет</t>
  </si>
  <si>
    <t>824721.04.01</t>
  </si>
  <si>
    <t>7,62-мм Снайперская винтовка Драгунова со..: Уч.пос. / В.А.Мельничук - М.:НИЦ ИНФРА-М,2026 - 146 с.(п)</t>
  </si>
  <si>
    <t>7,62-ММ СНАЙПЕРСКАЯ ВИНТОВКА ДРАГУНОВА СО СКЛАДЫВАЮЩИМСЯ ПРИКЛАДОМ (СВДС), ИЗД.1</t>
  </si>
  <si>
    <t>Мельничук В.А., Яшин С.В.</t>
  </si>
  <si>
    <t>Военное образование</t>
  </si>
  <si>
    <t>978-5-16-019822-4</t>
  </si>
  <si>
    <t>Военное дело. Оружие. Спецслужбы</t>
  </si>
  <si>
    <t>00.03.41, 00.05.17</t>
  </si>
  <si>
    <t>Санкт-Петербургский университет Министерства внутренних дел России</t>
  </si>
  <si>
    <t>861925.01.01</t>
  </si>
  <si>
    <t>82-мм и 120-мм минометы: устройство...: Уч.пос. / В.А.Мельничук - М.:НИЦ ИНФРА-М,2026. - 180 с.(п)</t>
  </si>
  <si>
    <t>82-ММ И 120-ММ МИНОМЕТЫ: УСТРОЙСТВО, ЭКСПЛУАТАЦИЯ И БОЕВОЕ ПРИМЕНЕНИЕ, ИЗД.1</t>
  </si>
  <si>
    <t>Мельничук В.А., Алимов Д.О.</t>
  </si>
  <si>
    <t>978-5-16-021282-1</t>
  </si>
  <si>
    <t>17.05.02</t>
  </si>
  <si>
    <t>Март, 2026</t>
  </si>
  <si>
    <t>854552.01.01</t>
  </si>
  <si>
    <t>A Comprehensive Grammar of Contemporary English..: Уч. / Е.Ю.Андреева - М.:НИЦ ИНФРА-М,2025. - 359 с.:цв.ил.(ВО)(п)</t>
  </si>
  <si>
    <t>A COMPREHENSIVE GRAMMAR OF CONTEMPORARY ENGLISH IN HIGHER EDUCATION STUDIES, ИЗД.1</t>
  </si>
  <si>
    <t>Андреева Е.Ю.</t>
  </si>
  <si>
    <t>Высшее образование (Финансовый университет)</t>
  </si>
  <si>
    <t>978-5-16-020949-4</t>
  </si>
  <si>
    <t>Учебник</t>
  </si>
  <si>
    <t>00.03.02, 45.03.02</t>
  </si>
  <si>
    <t>АКАДЕМУС-2025, Лауреат</t>
  </si>
  <si>
    <t>450804.0026.01</t>
  </si>
  <si>
    <t>Advances in Law Studies, 2017, № 4</t>
  </si>
  <si>
    <t>ADVANCES IN LAW STUDIES, 2017, № 4, ИЗД.</t>
  </si>
  <si>
    <t>Стародубцев Г.С. под ред.</t>
  </si>
  <si>
    <t>ИЦ РИОР</t>
  </si>
  <si>
    <t>Журнал</t>
  </si>
  <si>
    <t>179450.11.01</t>
  </si>
  <si>
    <t>Analyse grammaticale du mot dans la phrase...: Уч.пос. / Ж.Багана - М.:НИЦ ИНФРА-М,2027-103 с.(ВО)(о)</t>
  </si>
  <si>
    <t>ANALYSE GRAMMATICALE DU MOT DANS LA PHRASE (ГРАММАТИЧЕСКИЙ АНАЛИЗ СЛОВ В ПРЕДЛОЖЕНИИ), ИЗД.1</t>
  </si>
  <si>
    <t>Багана Ж., Хапилина Е.В.</t>
  </si>
  <si>
    <t>978-5-16-019283-3</t>
  </si>
  <si>
    <t>00.03.02, 00.05.02, 40.03.01, 44.03.01, 44.03.05, 44.04.01, 45.03.01, 45.03.02, 45.04.01</t>
  </si>
  <si>
    <t>Рекомендовано в качестве учебного пособия для студентов высших учебных заведений, обучающихся по направлениям подготовки 45.03.01 «Филология», 45.03.02 «Лингвистика» (квалификация (степень) «бакалавр»)</t>
  </si>
  <si>
    <t>Белгородский государственный институт искусств и культуры</t>
  </si>
  <si>
    <t>676264.08.01</t>
  </si>
  <si>
    <t>AutoCAD Mechanical: Уч.пос. / В.М.Бабенко - М.:НИЦ ИНФРА-М,2026 - 143 с.-(ВО:Бакалавр. (СевГУ))(П)</t>
  </si>
  <si>
    <t>AUTOCAD MECHANICAL, ИЗД.1</t>
  </si>
  <si>
    <t>Бабенко В.М., Мухина О.В.</t>
  </si>
  <si>
    <t>Высшее образование: Бакалавриат (СевГУ)</t>
  </si>
  <si>
    <t>978-5-16-013842-8</t>
  </si>
  <si>
    <t>Технические науки в целом</t>
  </si>
  <si>
    <t>15.03.01, 15.03.02, 15.03.03, 15.03.04, 15.03.05</t>
  </si>
  <si>
    <t>852010.01.01</t>
  </si>
  <si>
    <t>Aviation English for aircraft maintenance ...Авиац. англ. яз..: Уч. / В.И.Петрищев - М.:НИЦ ИНФРА-М,2025 - 354 с.(п)</t>
  </si>
  <si>
    <t>AVIATION ENGLISH FOR AIRCRAFT MAINTENANCE ENGINEERS, TECHNICIANS, AND MECHANICS (АВИАЦИОННЫЙ АНГЛИЙСКИЙ ЯЗЫК ДЛЯ ИНЖЕНЕРОВ, ТЕХНИКОВ И МЕХАНИКОВ ПО ОБCЛУЖИВАНИЮ ВОЗДУШНЫХ СУДОВ), ИЗД.1</t>
  </si>
  <si>
    <t>Петрищев В.И., Грасс Т.П.</t>
  </si>
  <si>
    <t>978-5-16-020862-6</t>
  </si>
  <si>
    <t>21.05.04, 24.03.02, 24.03.04, 24.03.05, 24.04.02, 24.04.04, 24.04.05, 24.05.02, 24.05.03, 24.05.05, 24.05.06, 24.05.07, 25.03.01, 25.03.02, 25.03.03, 25.03.04, 25.04.01, 25.04.02, 25.04.03, 25.04.04, 25.05.01, 25.05.02, 25.05.03, 25.05.04, 25.05.05</t>
  </si>
  <si>
    <t>Санкт-Петербургский государственный университет гражданской авиации</t>
  </si>
  <si>
    <t>856283.01.01</t>
  </si>
  <si>
    <t>Aviation English for aircraft maintenance ..: Уч. / В.И.Петрищев - М.:НИЦ ИНФРА-М,2026 - 354 с.(СПО)(п)</t>
  </si>
  <si>
    <t>978-5-16-021204-3</t>
  </si>
  <si>
    <t>25.02.01, 25.02.04, 25.02.05</t>
  </si>
  <si>
    <t>Сентябрь, 2025</t>
  </si>
  <si>
    <t>СПО-2025, Победитель, II место</t>
  </si>
  <si>
    <t>864928.01.01</t>
  </si>
  <si>
    <t>Bank 5.0: новая цифровая реальность: Моногр. / Т.Н.Зверькова - М.:НИЦ ИНФРА-М,2026 - 181 с.(Науч.мысль)(п)</t>
  </si>
  <si>
    <t>BANK 5.0: НОВАЯ ЦИФРОВАЯ РЕАЛЬНОСТЬ, ИЗД.1</t>
  </si>
  <si>
    <t>Зверькова Т.Н., Зверьков А.И.</t>
  </si>
  <si>
    <t>978-5-16-021429-0</t>
  </si>
  <si>
    <t>38.03.01, 38.04.01, 38.04.02, 38.04.05, 38.04.08, 38.05.01, 38.06.01</t>
  </si>
  <si>
    <t>Оренбургский государственный университет</t>
  </si>
  <si>
    <t>Апрель, 2026</t>
  </si>
  <si>
    <t>095360.13.01</t>
  </si>
  <si>
    <t>Business English for students of economics = Дел. англ..: Уч.пос. / Б.И.Герасимов - 2 изд. - М.:Форум, ИНФРА-М,2027 - 183 c.(П)</t>
  </si>
  <si>
    <t>BUSINESS ENGLISH FOR STUDENTS OF ECONOMICS = ДЕЛОВОЙ АНГЛИЙСКИЙ ДЛЯ СТУДЕНТОВ-ЭКОНОМИСТОВ, ИЗД.2</t>
  </si>
  <si>
    <t>Герасимов Б.И., Гливенкова О.А., Гунина Н.А. и др.</t>
  </si>
  <si>
    <t>978-5-00091-116-7</t>
  </si>
  <si>
    <t>38.03.01, 38.03.02</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</si>
  <si>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профессионального образования</t>
  </si>
  <si>
    <t>Тамбовский государственный технический университет</t>
  </si>
  <si>
    <t>0216</t>
  </si>
  <si>
    <t>095360.07.01</t>
  </si>
  <si>
    <t>Business English for students of economics = Дел. англ..: Уч.пос./Б.И.Герасимов-М.:Форум,2020-184с(О)</t>
  </si>
  <si>
    <t>Герасимов Б.И, Гливенкова О.А., Гунина Н.А. и др.</t>
  </si>
  <si>
    <t>Рекомендовано Методическим советом Учебно-методического центра по  по профессиональному образованию Департамента образования города Москвы в качестве учебного пособия для студентов образовательных учреждений проф. образования.</t>
  </si>
  <si>
    <t>805404.01.01</t>
  </si>
  <si>
    <t>Business Fundamentals (Основы бизнеса): Уч. / М.В.Мельничук-М.:НИЦ ИНФРА-М,2024.-216 с.(ВО (Финансовый универ.))(п)</t>
  </si>
  <si>
    <t>BUSINESS FUNDAMENTALS (ОСНОВЫ БИЗНЕСА), ИЗД.1</t>
  </si>
  <si>
    <t>Мельничук М.В., Анюшенкова О.Н.</t>
  </si>
  <si>
    <t>978-5-16-018712-9</t>
  </si>
  <si>
    <t>38.03.01, 38.03.02, 38.03.03, 38.03.04, 38.03.05, 38.03.06, 38.03.07, 38.03.10</t>
  </si>
  <si>
    <t>871397.02.01</t>
  </si>
  <si>
    <t>Clinical anatomy of the larynx. Modern diagnostic methods. Disease: уч.мет.пос. / И.Д.Шляга и др.-М.:НИЦ ИНФРА-М,2026.-114 с. .ч/б -(ВО (ГомГМУ))(п)</t>
  </si>
  <si>
    <t>КЛИНИЧЕСКАЯ АНАТОМИЯ ГОРТАНИ. СОВРЕМЕННЫЕ МЕТОДЫ ДИАГНОСТИКИ. ЗАБОЛЕВАНИЯ ГОРТАНИ, ИЗД.1</t>
  </si>
  <si>
    <t>Шляга И.Д., Межейникова М.О., Поддубный А.А.</t>
  </si>
  <si>
    <t>Высшее образование (ГомГМУ)</t>
  </si>
  <si>
    <t>978-5-16-022137-3</t>
  </si>
  <si>
    <t>Профессиональное образование / ВО - Специалитет</t>
  </si>
  <si>
    <t>31.05.01</t>
  </si>
  <si>
    <t>Гомельский государственный медицинский университет</t>
  </si>
  <si>
    <t>832129.02.01</t>
  </si>
  <si>
    <t>COVID-19: сов. представл..: Уч.пос. / Под общ. ред. И.О. Стомы - М.:НИЦ ИНФРА-М, Гомельский ГМУ,2026. - 306 с.(ВО)(п)</t>
  </si>
  <si>
    <t>COVID-19: СОВРЕМЕННЫЕ ПРЕДСТАВЛЕНИЯ, ВОЗМОЖНОСТИ ЛЕЧЕНИЯ И ПРОФИЛАКТИКИ, ИЗД.1</t>
  </si>
  <si>
    <t>Карпов И.А., Горбич Ю.Л., Стома И.О.</t>
  </si>
  <si>
    <t>978-5-16-019980-1</t>
  </si>
  <si>
    <t>Медицина. Фармакология</t>
  </si>
  <si>
    <t>20.02.01, 30.05.03, 31.02.01, 31.05.01, 31.05.02, 31.05.03, 32.02.01, 32.04.01, 32.05.01</t>
  </si>
  <si>
    <t>Рекомендовано Учебно-методическим объединением в сфере дополнительного образования взрослых по профилю образования «Здравоохранение»</t>
  </si>
  <si>
    <t>189250.03.01</t>
  </si>
  <si>
    <t>Delphi: програм. в прим. и задачах. Практ.: Уч.пос./ Г.М.Эйдлина-М:ИЦ РИОР:НИЦ Инфра-М,2017-119-(ВО)</t>
  </si>
  <si>
    <t>DELPHI: ПРОГРАММИРОВАНИЕ В ПРИМЕРАХ И ЗАДАЧАХ. ПРАКТИКУМ, ИЗД.1</t>
  </si>
  <si>
    <t>Эйдлина Г. М., Милорадов К. А.</t>
  </si>
  <si>
    <t>ВО</t>
  </si>
  <si>
    <t>978-5-369-01084-6</t>
  </si>
  <si>
    <t>Практикум</t>
  </si>
  <si>
    <t>09.03.01, 09.03.02, 09.04.01, 09.04.02</t>
  </si>
  <si>
    <t>Российский экономический университет им. Г.В. Плеханова</t>
  </si>
  <si>
    <t>682800.06.01</t>
  </si>
  <si>
    <t>Delphi: програм. в примерах и задачах. Прак. / Г.М.Эйдлина, - 2 изд. - М.:ИЦ РИОР, НИЦ ИНФРА-М,2026. - 138 с.(СПО)(о)</t>
  </si>
  <si>
    <t>DELPHI: ПРОГРАММИРОВАНИЕ В ПРИМЕРАХ И ЗАДАЧАХ. ПРАКТИКУМ, ИЗД.2</t>
  </si>
  <si>
    <t>Эйдлина Г.М., Милорадов К.А.</t>
  </si>
  <si>
    <t>СПО</t>
  </si>
  <si>
    <t>978-5-369-01762-3</t>
  </si>
  <si>
    <t>09.02.01, 09.02.02, 09.02.03, 09.02.04, 09.02.05, 09.02.06, 09.02.07, 10.02.01, 10.02.02, 10.02.03, 10.02.04, 10.02.05</t>
  </si>
  <si>
    <t>0218</t>
  </si>
  <si>
    <t>189250.07.01</t>
  </si>
  <si>
    <t>Delphi: программирование в прим. и задачах. Практ.:Уч.пос. / Г.М.Эйдлина - 2изд.-М.:ИЦ РИОР, НИЦ ИНФРА-М,2023-138 с.(ВО)</t>
  </si>
  <si>
    <t>978-5-369-01768-5</t>
  </si>
  <si>
    <t>802225.04.01</t>
  </si>
  <si>
    <t>Dermatology and veneorology: Уч.пос. / Д.В.Прохоров. - М.:НИЦ ИНФРА-М,2025. - 214 с.(ВО)(п)</t>
  </si>
  <si>
    <t>DERMATOLOGY AND VENEOROLOGY, ИЗД.1</t>
  </si>
  <si>
    <t>Притуло О.А., Прохоров Д.В., Мараках М.Я. и др.</t>
  </si>
  <si>
    <t>978-5-16-018539-2</t>
  </si>
  <si>
    <t>31.05.01, 31.08.32</t>
  </si>
  <si>
    <t>Крымский федеральный университет им. В.И. Вернадского</t>
  </si>
  <si>
    <t>874805.01.01</t>
  </si>
  <si>
    <t>Emergency Conditions in Internal Organs Diseases=Неотл. состояния при забол. внутр. органов: уч.пос.-М.:НИЦ ИНФРА-М, ГомГМУ,2027.- 284с. (ВО)(п)</t>
  </si>
  <si>
    <t>EMERGENCY CONDITIONS IN INTERNAL ORGANS DISEASES=НЕОТЛОЖНЫЕ СОСТОЯНИЯ ПРИ ЗАБОЛЕВАНИЯХ ВНУТРЕННИХ ОРГАНОВ, ИЗД.1</t>
  </si>
  <si>
    <t>Малаева Е.Г., Алейникова Т.В., Ярмоленко О.А. и др.</t>
  </si>
  <si>
    <t>978-5-16-022092-5</t>
  </si>
  <si>
    <t>0127</t>
  </si>
  <si>
    <t>745690.06.01</t>
  </si>
  <si>
    <t>English Coursebook for Lawyers: Уч. англ.яз. / Е.Б.Попов  - М.:НИЦ ИНФРА-М,2027. - 314 с.(ВО)(П)</t>
  </si>
  <si>
    <t>ENGLISH COURSEBOOK FOR LAWYERS, ИЗД.1</t>
  </si>
  <si>
    <t>Попов Е.Б., Феоктистова Е.М., Халюшева Г.Р. и др.</t>
  </si>
  <si>
    <t>978-5-16-020991-3</t>
  </si>
  <si>
    <t>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</si>
  <si>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40.05.00 «Юриспруденция»  (протокол № 8 от 22.06.2020)</t>
  </si>
  <si>
    <t>Московский государственный юридический университет им. О.Е. Кутафина, ф-л Оренбургский институт</t>
  </si>
  <si>
    <t>35</t>
  </si>
  <si>
    <t>0121</t>
  </si>
  <si>
    <t>837758.01.01</t>
  </si>
  <si>
    <t>English for Agriculture and Agronomy «Английский яз...: Уч. / М.В.Мельничук - М.:НИЦ ИНФРА-М,2025. - 437 с.(п)</t>
  </si>
  <si>
    <t>ENGLISH FOR AGRICULTURE AND AGRONOMY «АНГЛИЙСКИЙ ЯЗЫК ДЛЯ СПЕЦИАЛИСТОВ СЕЛЬСКОГО ХОЗЯЙСТВА И АГРОНОМОВ, ИЗД.1</t>
  </si>
  <si>
    <t>Среднее профессиональное образование (ФинУн)</t>
  </si>
  <si>
    <t>978-5-16-020279-2</t>
  </si>
  <si>
    <t>35.02.05</t>
  </si>
  <si>
    <t>СПО-2024, Победитель, I место</t>
  </si>
  <si>
    <t>063800.18.01</t>
  </si>
  <si>
    <t>English for students of economics: Уч./ Л.А.Халилова - 4 изд. - М.:Форум,ИНФРА-М,2026 - 383с. (СПО)(П)</t>
  </si>
  <si>
    <t>ENGLISH FOR STUDENTS OF ECONOMICS = АНГЛИЙСКИЙ ЯЗЫК ДЛЯ СТУДЕНТОВ-ЭКОНОМИСТОВ, ИЗД.4</t>
  </si>
  <si>
    <t>Халилова Л. А.</t>
  </si>
  <si>
    <t>978-5-00091-775-6</t>
  </si>
  <si>
    <t>38.01.02, 38.01.03, 38.02.01, 38.02.02, 38.02.03, 38.02.06, 38.02.07, 38.02.08</t>
  </si>
  <si>
    <t>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t>
  </si>
  <si>
    <t>Российский государственный гуманитарный университет РГГУ</t>
  </si>
  <si>
    <t>0415</t>
  </si>
  <si>
    <t>786395.03.01</t>
  </si>
  <si>
    <t>English for Students of Electronics. Англ. яз...: Уч. / О.Н.Анюшенкова - М.:НИЦ ИНФРА-М,2026. - 462 с.(П)</t>
  </si>
  <si>
    <t>АНГЛИЙСКИЙ ЯЗЫК ДЛЯ СТУДЕНТОВ, ИЗУЧАЮЩИХ ЭЛЕКТРОНИКУ (ENGLISH FOR STUDENTS OF ELECTRONICS), ИЗД.1</t>
  </si>
  <si>
    <t>Анюшенкова О.Н.</t>
  </si>
  <si>
    <t>978-5-16-018509-5</t>
  </si>
  <si>
    <t>11.01.01, 11.01.02, 11.01.05, 11.01.08, 11.01.11, 11.02.03, 11.02.06, 11.02.07, 11.02.09, 11.02.11, 11.02.12, 11.02.13, 11.02.14, 11.02.15, 11.02.16, 11.02.17, 11.02.18, 11.02.19</t>
  </si>
  <si>
    <t>768743.01.01</t>
  </si>
  <si>
    <t>Enhancing the effectiveness of regional economic policy...: Моногр. / А.В.Аверин - М.:НИЦ ИНФРА-М,2022 - 426 с.(П)</t>
  </si>
  <si>
    <t>ENHANCING THE EFFECTIVENESS OF REGIONAL ECONOMIC  POLICY IN THE FIELD OF SUPPORT AND DEVELOPMENT OF SMALL BUSINESSES, ИЗД.1</t>
  </si>
  <si>
    <t>Аверин А.В.</t>
  </si>
  <si>
    <t>Научная мысль - Финансовый университет</t>
  </si>
  <si>
    <t>978-5-16-017374-0</t>
  </si>
  <si>
    <t>38.04.01, 38.04.02, 38.04.04, 38.06.01</t>
  </si>
  <si>
    <t>725294.01.01</t>
  </si>
  <si>
    <t>Ens realissimum: Жизнь и философия И,В, Гёте: Моногр. / П.А.Горохов-М.:НИЦ ИНФРА-М,2021.-401 с..-(Науч.мысль)(П)</t>
  </si>
  <si>
    <t>ENS REALISSIMUM: ЖИЗНЬ И ФИЛОСОФИЯ ИОГАННА ВОЛЬФГАНГА ГЁТЕ, ИЗД.1</t>
  </si>
  <si>
    <t>Горохов П.А.</t>
  </si>
  <si>
    <t>978-5-16-015882-2</t>
  </si>
  <si>
    <t>47.03.01, 47.04.01, 47.06.01</t>
  </si>
  <si>
    <t>Российская академия народного хозяйства и государственной службы при Президенте РФ, Оренбургский ф-л</t>
  </si>
  <si>
    <t>АКАДЕМУС-2019, Победитель</t>
  </si>
  <si>
    <t>805082.01.01</t>
  </si>
  <si>
    <t>ESG-концепция производ. учета и управл. устойчивостью..: Моногр. / Н.А.Казакова-М.:НИЦ ИНФРА-М,2024.-251 с.(п)</t>
  </si>
  <si>
    <t>ESG-КОНЦЕПЦИЯ ПРОИЗВОДСТВЕННОГО УЧЕТА И УПРАВЛЕНИЕ УСТОЙЧИВОСТЬЮ РАЗВИТИЯ ПРОМЫШЛЕННОЙ ОРГАНИЗАЦИИ, ИЗД.1</t>
  </si>
  <si>
    <t>Казакова Н.А., Пермитина Л.В.</t>
  </si>
  <si>
    <t>978-5-16-018717-4</t>
  </si>
  <si>
    <t>38.04.01, 38.04.02, 38.04.08, 38.06.01</t>
  </si>
  <si>
    <t>684900.09.01</t>
  </si>
  <si>
    <t>Essential English for Law (англ. яз. для юристов): Уч.пос. / Т.В.Сидоренко - М.:НИЦ ИНФРА-М,2026 - 282 с.(П)</t>
  </si>
  <si>
    <t>ESSENTIAL ENGLISH FOR LAW (АНГЛИЙСКИЙ ЯЗЫК ДЛЯ ЮРИСТОВ), ИЗД.1</t>
  </si>
  <si>
    <t>Сидоренко Т.В., Шагиева Н.М.</t>
  </si>
  <si>
    <t>978-5-16-014148-0</t>
  </si>
  <si>
    <t>40.02.02, 40.02.04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</si>
  <si>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t>
  </si>
  <si>
    <t>430150.11.01</t>
  </si>
  <si>
    <t>Essential English for Law (англ. яз. для юристов): Уч.пос. / Т.В.Сидоренко - М.:НИЦ ИНФРА-М,2026. - 282 с.(ВО)(П)</t>
  </si>
  <si>
    <t>978-5-16-005665-4</t>
  </si>
  <si>
    <t>40.03.01, 40.04.01, 40.05.01, 40.05.02, 40.05.03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</si>
  <si>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направлениий 40.03.01 «Юриспруденция» (квалификация (степень) «бакалавр») (протокол № 12 от 24.06.2019)</t>
  </si>
  <si>
    <t>665721.11.01</t>
  </si>
  <si>
    <t>Government Relations: теория, стратегии и нац. практ..: Уч. / Р.Т.Мухаев - М.:НИЦ ИНФРА-М,2026 - 393 с.(П)</t>
  </si>
  <si>
    <t>GOVERNMENT RELATIONS: ТЕОРИЯ, СТРАТЕГИИ И НАЦИОНАЛЬНЫЕ ПРАКТИКИ. ПОЛНОЕ РУКОВОДСТВО, ИЗД.1</t>
  </si>
  <si>
    <t>Мухаев Р.Т.</t>
  </si>
  <si>
    <t>978-5-16-019054-9</t>
  </si>
  <si>
    <t>38.03.04, 38.04.04, 41.03.04, 41.04.04, 42.03.01, 42.04.01</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</si>
  <si>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38.03.04 «Государственное и муниципальное управление», 43.03.01 «Реклама и связи с общественностью», 41.03.04 «Политология» (квалификация (степень) «бакалавр»)</t>
  </si>
  <si>
    <t>АКАДЕМУС-2017, Победитель</t>
  </si>
  <si>
    <t>156050.14.01</t>
  </si>
  <si>
    <t>GR для эффективного бизнеса: Уч.пос. / А.Б.Шатилов - М.:НИЦ ИНФРА-М,2026. - 143 с.(ВО)(п)</t>
  </si>
  <si>
    <t>GR ДЛЯ ЭФФЕКТИВНОГО БИЗНЕСА, ИЗД.1</t>
  </si>
  <si>
    <t>Шатилов А.Б., Никитин А.С.</t>
  </si>
  <si>
    <t>978-5-16-022081-9</t>
  </si>
  <si>
    <t>Бизнес</t>
  </si>
  <si>
    <t>Профессиональное образование / ВО - Магистратура</t>
  </si>
  <si>
    <t>38.03.02, 38.03.04, 38.04.02, 38.04.03, 38.04.04, 44.03.05</t>
  </si>
  <si>
    <t>156050.13.01</t>
  </si>
  <si>
    <t>GR для эффективного бизнеса: Уч.пос. / А.Б.Шатилов - М.:НИЦ ИНФРА-М,2026. - 143 с.(ВО: Магистратура)</t>
  </si>
  <si>
    <t>Высшее образование: Магистратура</t>
  </si>
  <si>
    <t>978-5-16-017576-8</t>
  </si>
  <si>
    <t>670262.04.01</t>
  </si>
  <si>
    <t>Homo nudes: Монография / Е.Ф.Казаков - М.:НИЦ ИНФРА-М,2022 - 242 с.-(Науч.мысль)(П)</t>
  </si>
  <si>
    <t>HOMO NUDES, ИЗД.1</t>
  </si>
  <si>
    <t>Казаков Е.Ф.</t>
  </si>
  <si>
    <t>978-5-16-013615-8</t>
  </si>
  <si>
    <t>40.04.01, 44.04.01, 47.04.01</t>
  </si>
  <si>
    <t>Кемеровский государственный университет</t>
  </si>
  <si>
    <t>467250.08.01</t>
  </si>
  <si>
    <t>HR в СТАРТАПе: практ. пос. / В.В.Музыченко - М.:НИЦ ИНФРА-М,2026. - 224 с.-(Просто, кратко, быстро)(о)</t>
  </si>
  <si>
    <t>HR В СТАРТАПЕ, ИЗД.1</t>
  </si>
  <si>
    <t>Музыченко В.В.</t>
  </si>
  <si>
    <t>Просто, кратко, быстро</t>
  </si>
  <si>
    <t>978-5-16-009804-3</t>
  </si>
  <si>
    <t>08.02.01, 08.02.04, 15.02.07, 38.02.01, 38.02.03, 38.02.07, 38.03.02, 38.03.03, 38.04.02, 38.04.03, 40.02.04, 44.03.05</t>
  </si>
  <si>
    <t>Нью-Йоркская академия наук</t>
  </si>
  <si>
    <t>868283.01.01</t>
  </si>
  <si>
    <t>Human physiology = Физиология человека: Уч.пос.: Ч.1 / В.А.Мельник. - М.:НИЦ ИНФРА-М,2026. - 304 с.:цв.ил.(ВО)(п)</t>
  </si>
  <si>
    <t>HUMAN PHYSIOLOGY = ФИЗИОЛОГИЯ ЧЕЛОВЕКА. В 2 Ч. Ч.1, Т.1</t>
  </si>
  <si>
    <t>Мельник В.А., Мельник С.Н., Брель Ю.И.</t>
  </si>
  <si>
    <t>978-5-16-021637-9</t>
  </si>
  <si>
    <t>06.04.01, 31.05.01, 31.05.02, 31.05.03, 31.05.04, 49.03.01, 49.03.02, 49.03.03</t>
  </si>
  <si>
    <t>Белорусский государственный медицинский университет</t>
  </si>
  <si>
    <t>Февраль, 2026</t>
  </si>
  <si>
    <t>868284.01.01</t>
  </si>
  <si>
    <t>Human physiology = Физиология человека: Уч.пос.: Ч.2 / В.А.Мельник. - М.:НИЦ ИНФРА-М,2026. - 315 с.:цв.ил.(ВО)(п)</t>
  </si>
  <si>
    <t>HUMAN PHYSIOLOGY = ФИЗИОЛОГИЯ ЧЕЛОВЕКА. В 2 Ч. Ч.2, Т.2</t>
  </si>
  <si>
    <t>978-5-16-021641-6</t>
  </si>
  <si>
    <t>06.04.01, 30.05.03, 31.05.01, 31.05.02, 31.05.03, 31.05.04, 49.03.01, 49.03.02, 49.03.03</t>
  </si>
  <si>
    <t>801746.06.01</t>
  </si>
  <si>
    <t>Intercultural Communication in a Multipolar World: Уч.пос. / И.И.Климова - М.:НИЦ ИНФРА-М,2027 - 201 с.(п)</t>
  </si>
  <si>
    <t>INTERCULTURAL COMMUNICATION IN A MULTIPOLAR WORLD, ИЗД.1</t>
  </si>
  <si>
    <t>Климова И.И., Козловцева Н.А., Дронова С.Ю. и др.</t>
  </si>
  <si>
    <t>978-5-16-019808-8</t>
  </si>
  <si>
    <t>45.03.02, 45.03.03</t>
  </si>
  <si>
    <t>848107.01.01</t>
  </si>
  <si>
    <t>IPO: от старого к новому: Моногр. / С.Г.Главина - М.:НИЦ ИНФРА-М,2026. - 336 с.-(Науч.мысль)(п)</t>
  </si>
  <si>
    <t>IPO: ОТ СТАРОГО К НОВОМУ, ИЗД.1</t>
  </si>
  <si>
    <t>Главина С.Г.</t>
  </si>
  <si>
    <t>978-5-16-020940-1</t>
  </si>
  <si>
    <t>38.04.01, 38.04.02, 38.04.08, 38.05.01, 38.06.01</t>
  </si>
  <si>
    <t>Российский университет дружбы народов имени Патриса Лумумбы</t>
  </si>
  <si>
    <t>Ноябрь, 2025</t>
  </si>
  <si>
    <t>165250.12.01</t>
  </si>
  <si>
    <t>Langue francaise: Techniques dexpression ecrite et orale: Уч.пос. / Ж.Багана - М.:НИЦ ИНФРА-М,2026. - 127 с.(ВО)(о).</t>
  </si>
  <si>
    <t>LANGUE FRANCAISE: TECHNIQUES DEXPRESSION ECRITE ET ORALE, ИЗД.1</t>
  </si>
  <si>
    <t>Багана Ж., Хапилина Е. В., Трещева Н. В.</t>
  </si>
  <si>
    <t>978-5-16-017891-2</t>
  </si>
  <si>
    <t>00.03.02, 00.05.02</t>
  </si>
  <si>
    <t>108150.07.01</t>
  </si>
  <si>
    <t>Le francais des affaires: Деловой французский: уч.пос. / Б.И.Герасимов и др. - М.:Форум,2027. - 176 с.(п)</t>
  </si>
  <si>
    <t>LE FRANCAIS DES AFFAIRES: ДЕЛОВОЙ ФРАНЦУЗСКИЙ, ИЗД.1</t>
  </si>
  <si>
    <t>Герасимов Б. И., Волостных И. А., Гуляева Е. А., Бородулина Н. Ю.</t>
  </si>
  <si>
    <t>978-5-91134-326-2</t>
  </si>
  <si>
    <t>08.02.14, 43.02.16</t>
  </si>
  <si>
    <t>Рекомендовано Учебно-методическим советом УМЦ по профессиональному образованию Департамента образования города Москвы в качестве учебного пособия для студентов образ. учрежд. среднего профессионального образования</t>
  </si>
  <si>
    <t>0109</t>
  </si>
  <si>
    <t>712459.10.01</t>
  </si>
  <si>
    <t>Legal English: Англ. яз. для юристов: Уч. / Е.Б.Попов - М.:НИЦ ИНФРА-М,2026 - 314 с.(СПО)(П)</t>
  </si>
  <si>
    <t>LEGAL ENGLISH: АНГЛИЙСКИЙ ЯЗЫК ДЛЯ ЮРИСТОВ, ИЗД.1</t>
  </si>
  <si>
    <t>Попов Е.Б., Феоктистова Е.М., Халюшева Г.Р.</t>
  </si>
  <si>
    <t>978-5-16-015369-8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</si>
  <si>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6 от 25.03.2019)</t>
  </si>
  <si>
    <t>383500.12.01</t>
  </si>
  <si>
    <t>Legal English:Quick Overview: Англ.яз. Баз.курс / Е.Б.Попов - 2 изд. - НИЦ ИНФРА-М,2027 - 314 с.(ВО)(П)</t>
  </si>
  <si>
    <t>LEGAL ENGLISH: QUICK OVERVIEW: АНГЛИЙСКИЙ ЯЗЫК В СФЕРЕ ЮРИСПРУДЕНЦИИ. БАЗОВЫЙ КУРС, ИЗД.2</t>
  </si>
  <si>
    <t>978-5-16-012304-2</t>
  </si>
  <si>
    <t>40.03.01, 40.04.01, 40.05.02, 40.05.03</t>
  </si>
  <si>
    <t>Рекомендовано УМО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40.03.01 «Юриспруденция» (квалификация (степень) «бакалавр»)</t>
  </si>
  <si>
    <t>813920.03.01</t>
  </si>
  <si>
    <t>Modern Interpreting: практикум по устному переводу / А.В.Петрова. - М.:НИЦ ИНФРА-М,2027. - 160 с.(о)</t>
  </si>
  <si>
    <t>MODERN INTERPRETING: ПРАКТИКУМ ПО УСТНОМУ ПЕРЕВОДУ, ИЗД.1</t>
  </si>
  <si>
    <t>Петрова А.В., Чулкова Е.А., Арсеньева Д.А.</t>
  </si>
  <si>
    <t>978-5-16-019111-9</t>
  </si>
  <si>
    <t>45.05.01</t>
  </si>
  <si>
    <t>401600.08.01</t>
  </si>
  <si>
    <t>NBIC-технологии: Инновац. цивилизация ХХI в: Моногр. / Под ред. Казанцев А.К.-М.:НИЦ ИНФРА-М,2024.-384 с.(П)</t>
  </si>
  <si>
    <t>NBIC-ТЕХНОЛОГИИ: ИННОВАЦИОННАЯ ЦИВИЛИЗАЦИЯ ХХI ВЕКА, ИЗД.1</t>
  </si>
  <si>
    <t>Казанцев А.К., Киселев В.Н., Рубвальтер Д.А. и др.</t>
  </si>
  <si>
    <t>978-5-16-005468-1</t>
  </si>
  <si>
    <t>ЕСТЕСТВЕННЫЕ НАУКИ. МАТЕМАТИКА</t>
  </si>
  <si>
    <t>Естественные науки в целом</t>
  </si>
  <si>
    <t>27.04.07, 38.03.01, 38.03.02, 38.03.04, 38.04.01, 38.04.02, 38.04.04, 41.03.06</t>
  </si>
  <si>
    <t>Санкт-Петербургский государственный университет</t>
  </si>
  <si>
    <t>684155.03.01</t>
  </si>
  <si>
    <t>Per aspera ad astra. Взаимоот.педагогов и уч. в отечест: Моногр. / О.А.Грива - М.:НИЦ ИНФРА-М,2022 - 143 с.(О)</t>
  </si>
  <si>
    <t>PER ASPERA AD ASTRA. ВЗАИМООТНОШЕНИЯ ПЕДАГОГОВ И УЧАЩИХСЯ В ОТЕЧЕСТВЕННОЙ ГИМНАЗИИ ВО ВТОРОЙ ПОЛОВИНЕ XIX - НАЧАЛЕ XX ВЕКА, ИЗД.1</t>
  </si>
  <si>
    <t>Грива О.А.</t>
  </si>
  <si>
    <t>978-5-16-014206-7</t>
  </si>
  <si>
    <t>44.03.01, 44.03.05, 44.04.01</t>
  </si>
  <si>
    <t>110450.09.01</t>
  </si>
  <si>
    <t>Pocket English Grammar (Карман.грамматика англ. яз.): Справ.пос. / И.Е. Торбан - ИНФРА-М, 2025 - 97 с.(о)</t>
  </si>
  <si>
    <t>POCKET ENGLISH GRAMMAR (КАРМАННАЯ ГРАММАТИКА АНГЛИЙСКОГО ЯЗЫКА), ИЗД.1</t>
  </si>
  <si>
    <t>Торбан И. Е.</t>
  </si>
  <si>
    <t>Справочники ИНФРА-М</t>
  </si>
  <si>
    <t>978-5-16-018838-6</t>
  </si>
  <si>
    <t>Справочное пособие</t>
  </si>
  <si>
    <t>00.03.02, 00.05.02, 44.02.01</t>
  </si>
  <si>
    <t>682803.06.01</t>
  </si>
  <si>
    <t>PR в сфере коммерции: Уч. / Под ред. Синяевой И.М. - М.:НИЦ ИНФРА-М,2025. - 298 с.(п)</t>
  </si>
  <si>
    <t>PR В СФЕРЕ КОММЕРЦИИ, ИЗД.1</t>
  </si>
  <si>
    <t>Синяева И.М.</t>
  </si>
  <si>
    <t>978-5-16-013867-1</t>
  </si>
  <si>
    <t>38.02.08, 42.02.01</t>
  </si>
  <si>
    <t>Рекомендовано Учебно-методическим советом СПО в качестве учебника  для учебных заведений, реализующих программу среднего профессионального образования по специальностям 38.02.01 «Коммерция (по отраслям)», 42.02.01 «Реклама»</t>
  </si>
  <si>
    <t>682804.09.01</t>
  </si>
  <si>
    <t>PR: методы работы со СМИ: Уч.пос. / Б.Р.Мандель - 2 изд. - М.:Вуз. уч., НИЦ ИНФРА-М,2027 - 238 с.(СПО) (П)</t>
  </si>
  <si>
    <t>PR: МЕТОДЫ РАБОТЫ СО СРЕДСТВАМИ МАССОВОЙ ИНФОРМАЦИИ, ИЗД.2</t>
  </si>
  <si>
    <t>Мандель Б.Р.</t>
  </si>
  <si>
    <t>978-5-9558-0615-0</t>
  </si>
  <si>
    <t>42.02.01, 42.02.02</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</si>
  <si>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42.02.01 «Реклама», 42.02.02 «Издательское дело»</t>
  </si>
  <si>
    <t>Сибирский университет потребительской кооперации</t>
  </si>
  <si>
    <t>102800.17.01</t>
  </si>
  <si>
    <t>PR: методы работы со СМИ: Уч.пос. / Б.Р.Мандель - 2 изд. - М.:НИЦ ИНФРА-М,2026 - 238 с.(ВО)(П)</t>
  </si>
  <si>
    <t>978-5-16-019658-9</t>
  </si>
  <si>
    <t>41.03.06, 42.03.01, 42.03.02, 42.04.02</t>
  </si>
  <si>
    <t>Для студентов высших учебных заведений, занимающихся по специальностям «Связи с общественностью», «Журналистика» (специалисты, бакалавры, магистры)</t>
  </si>
  <si>
    <t>0217</t>
  </si>
  <si>
    <t>689995.05.01</t>
  </si>
  <si>
    <t>Professional English: Уч. / Л.М.Фишман - М.:НИЦ ИНФРА-М,2022 - 120 с.-(ВО: Бакалавриат)(О)</t>
  </si>
  <si>
    <t>PROFESSIONAL ENGLISH, ИЗД.1</t>
  </si>
  <si>
    <t>Фишман Л. М.</t>
  </si>
  <si>
    <t>978-5-16-014339-2</t>
  </si>
  <si>
    <t>00.03.02, 00.05.02, 09.03.01, 09.03.02, 09.03.03, 09.03.04, 09.05.01, 10.03.01, 10.05.01, 10.05.02, 10.05.03, 10.05.04, 10.05.05, 10.05.07</t>
  </si>
  <si>
    <t>Рекомендовано Учебно-методическим советом ВО в качестве учебника для студентов высших учебных заведений, обучающихся по УГС 02.03.00 «Компьютерные и информационные науки», 09.03.00 «Информатика и вычислительная техника», 10.03.00 «Информационная безопасность»</t>
  </si>
  <si>
    <t>Санкт-Петербургский политехнический университет Петра Великого</t>
  </si>
  <si>
    <t>23</t>
  </si>
  <si>
    <t>262800.17.01</t>
  </si>
  <si>
    <t>Professional English: Уч.пос. / Л.М.Фишман - М.:НИЦ ИНФРА-М,2027 - 120 с.(СПО)(о)</t>
  </si>
  <si>
    <t>978-5-16-009536-3</t>
  </si>
  <si>
    <t>09.01.03, 09.02.01, 09.02.02, 09.02.03, 09.02.04, 09.02.05, 09.02.06, 09.02.07, 10.02.01, 10.02.02, 10.02.03, 10.02.04, 10.02.05</t>
  </si>
  <si>
    <t>Допущено Региональным научно-методическим центром при Совете директоров ССУЗ Санкт-Петербурга и Ленинградской области в качестве учебного пособия для студентов образовательных учреждений СПО по специальностям: 09.02.01 «Компьютерные системы и комплексы», 09.02.03 «Программирование в компьютерных системах», 09.02.04 «Информационные системы (по отраслям)»</t>
  </si>
  <si>
    <t>771134.02.01</t>
  </si>
  <si>
    <t>Project management: Управ. проектами: Уч. / Д.Д.Цителадзе - М.:НИЦ ИНФРА-М,2026. - 339 с.(ВО)(п)(на англ.)</t>
  </si>
  <si>
    <t>PROJECT MANAGEMENT: УПРАВЛЕНИЕ ПРОЕКТАМИ, ИЗД.1</t>
  </si>
  <si>
    <t>Цителадзе Д.Д.</t>
  </si>
  <si>
    <t>978-5-16-017502-7</t>
  </si>
  <si>
    <t>38.03.01, 38.03.02, 38.03.03, 38.03.04, 38.03.05, 38.03.06, 38.03.10, 38.04.02</t>
  </si>
  <si>
    <t>Национальный исследовательский университет "Высшая школа экономики"</t>
  </si>
  <si>
    <t>771134.03.01</t>
  </si>
  <si>
    <t>Project management: Управ/ проектами: Уч. / Д.Д.Цителадзе, - 2 изд. - М.:НИЦ ИНФРА-М,2026. - 341 с.(ВО)(п)</t>
  </si>
  <si>
    <t>PROJECT MANAGEMENT: УПРАВЛЕНИЕ ПРОЕКТАМИ, ИЗД.2</t>
  </si>
  <si>
    <t>978-5-16-021871-7</t>
  </si>
  <si>
    <t>Июнь, 2026</t>
  </si>
  <si>
    <t>0226</t>
  </si>
  <si>
    <t>815320.02.01</t>
  </si>
  <si>
    <t>Public Administration Deviantology: textbook for...: Уч. / И.В.Понкин - М.:НИЦ ИНФРА-М,2027. - 304 с(ВО)(п)</t>
  </si>
  <si>
    <t>PUBLIC ADMINISTRATION DEVIANTOLOGY: TEXTBOOK FOR MASTER AND SPECIALIST OF PUBLIC ADMINISTRATION PROGRAMMES (НА АНГЛИЙСКОМ ЯЗЫКЕ), ИЗД.1</t>
  </si>
  <si>
    <t>Понкин И.В.</t>
  </si>
  <si>
    <t>978-5-16-019290-1</t>
  </si>
  <si>
    <t>38.03.04, 38.04.04, 41.03.06</t>
  </si>
  <si>
    <t>Российская академия народного хозяйства и государственной службы при Президенте РФ</t>
  </si>
  <si>
    <t>450454.0026.01</t>
  </si>
  <si>
    <t>Russian journal of management, 2017, № 4</t>
  </si>
  <si>
    <t>RUSSIAN JOURNAL OF MANAGEMENT, 2017, № 4, ИЗД.</t>
  </si>
  <si>
    <t>Резник С.Д.</t>
  </si>
  <si>
    <t>819790.02.01</t>
  </si>
  <si>
    <t>R-лингвистика: Моногр. / О.М.Поляков - М.:НИЦ ИНФРА-М,2026. - 212 с.(Науч.мысль)(п)</t>
  </si>
  <si>
    <t>R-ЛИНГВИСТИКА, ИЗД.1</t>
  </si>
  <si>
    <t>Поляков О.М.</t>
  </si>
  <si>
    <t>978-5-16-019637-4</t>
  </si>
  <si>
    <t>Физико-математические науки</t>
  </si>
  <si>
    <t>01.04.02, 01.06.01, 02.04.02, 02.06.01, 03.03.03, 03.06.01, 09.04.01, 09.04.03, 09.06.01</t>
  </si>
  <si>
    <t>Санкт-Петербургский государственный университет аэрокосмического приборостроения (ГУАП)</t>
  </si>
  <si>
    <t>АКАДЕМУС-2023, Победитель, I место</t>
  </si>
  <si>
    <t>757761.01.01</t>
  </si>
  <si>
    <t>TEN LECTURES ON LAW: Монография / В.Д.Зорькин - М.:Юр.Норма, НИЦ ИНФРА-М,2021 - 344 с.(П)</t>
  </si>
  <si>
    <t>TEN LECTURES ON LAW, ИЗД.1</t>
  </si>
  <si>
    <t>Зорькин В.Д.</t>
  </si>
  <si>
    <t>978-5-00156-174-3</t>
  </si>
  <si>
    <t>40.03.01, 40.04.01, 40.05.01, 40.05.02, 40.05.03, 40.05.04, 40.06.01</t>
  </si>
  <si>
    <t>Конституционный суд Российской Федерации</t>
  </si>
  <si>
    <t>756460.03.01</t>
  </si>
  <si>
    <t>Thematic commentary to the Law of the Russian Federation: коммент. / T.Y.Khabrieva - М.:Юр.Норма,2022 - 216 с.(П)</t>
  </si>
  <si>
    <t>THEMATIC COMMENTARY TO THE LAW OF THE RUSSIAN FEDERATION AMENDING THE CONSTITUTION OF THE RUSSIAN FEDERATION OF MARCH 14, 2020 NO. 1-FKZ «ON IMPROVING, ИЗД.1</t>
  </si>
  <si>
    <t>Khabrieva T.Y.</t>
  </si>
  <si>
    <t>978-5-00156-167-5</t>
  </si>
  <si>
    <t>Комментарий</t>
  </si>
  <si>
    <t>40.04.01, 40.06.01</t>
  </si>
  <si>
    <t>770331.01.01</t>
  </si>
  <si>
    <t>Topical issues of English grammar...: Уч.пос. / Ю.Г.Романова-М.:НИЦ ИНФРА-М,2023.-119 с-(ВО)(о)</t>
  </si>
  <si>
    <t>TOPICAL ISSUES OF ENGLISH GRAMMAR: FORMS EXPRESSING UNREALITY IN MODERN ENGLISH, ИЗД.1</t>
  </si>
  <si>
    <t>Романова Ю.Г., Коробейникова О.В.</t>
  </si>
  <si>
    <t>978-5-16-017524-9</t>
  </si>
  <si>
    <t>45.03.02, 45.05.01</t>
  </si>
  <si>
    <t>861609.01.01</t>
  </si>
  <si>
    <t>Tuberculosis = Туберкулез: Уч.мет.пос. / И.В.Буйневич - М.:НИЦ ИНФРА-М,2026. - 202 с.(ВО (ГомГМУ))(п)</t>
  </si>
  <si>
    <t>TUBERCULOSIS = ТУБЕРКУЛЕЗ, ИЗД.1</t>
  </si>
  <si>
    <t>Буйневич И.В., Гопоняко С.В.</t>
  </si>
  <si>
    <t>978-5-16-021628-7</t>
  </si>
  <si>
    <t>31.05.01, 31.05.02, 31.05.03, 31.05.04, 32.05.01</t>
  </si>
  <si>
    <t>АКАДЕМУС-2000, Победитель, III место
АКАДЕМУС-2025, Победитель, III место</t>
  </si>
  <si>
    <t>682805.04.01</t>
  </si>
  <si>
    <t>Web-аппликации в интернет-маркетинге: проект...: Практ.пос. / Я.С.Винарский - М.:НИЦ ИНФРА-М,2025 - 269 с.(п)</t>
  </si>
  <si>
    <t>WEB-АППЛИКАЦИИ В ИНТЕРНЕТ-МАРКЕТИНГЕ: ПРОЕКТИРОВАНИЕ, СОЗДАНИЕ И ПРИМЕНЕНИЕ, ИЗД.1</t>
  </si>
  <si>
    <t>Винарский Я.С., Гутгарц Р.Д.</t>
  </si>
  <si>
    <t>978-5-16-014219-7</t>
  </si>
  <si>
    <t>09.01.03, 09.02.01, 09.02.02, 09.02.03, 09.02.04, 09.02.05</t>
  </si>
  <si>
    <t>Иркутский национальный исследовательский технический университет</t>
  </si>
  <si>
    <t>?2</t>
  </si>
  <si>
    <t>471750.08.01</t>
  </si>
  <si>
    <t>Web-аппликации в Интернет-маркетинге: проектир..: Прак. пос. / Я.С.Винарский - М.:НИЦ ИНФРА-М,2026 - 269 с.(о)</t>
  </si>
  <si>
    <t>978-5-16-010065-4</t>
  </si>
  <si>
    <t>09.03.02, 09.04.02</t>
  </si>
  <si>
    <t>093000.13.01</t>
  </si>
  <si>
    <t>Wirtschaftsdeutsch (Деловой нем. яз.): Уч. / Н.Г.Чернышева  - 2 изд. - М.:ФОРУМ:НИЦ ИНФРА-М,2027 - 360 с.(п)</t>
  </si>
  <si>
    <t>WIRTSCHAFTSDEUTSCH: MARKT, UNTERNEHMERSCHAFT, HANDEL = ДЕЛОВОЙ НЕМЕЦКИЙ ЯЗЫК: РЫНОК, ПРЕДПРИНИМАТЕЛЬСТВО, ТОРГОВЛЯ, ИЗД.2</t>
  </si>
  <si>
    <t>Чернышева Н.Г., Лыгина Н.И., Музалевская Р.С.</t>
  </si>
  <si>
    <t>978-5-91134-766-6</t>
  </si>
  <si>
    <t>38.03.01, 38.03.02, 38.03.03, 38.03.04, 38.03.05, 38.03.06, 38.03.07</t>
  </si>
  <si>
    <t>Допущено УМО по образованию в области экономики и экономической теории в качестве учебника для студентов, обучающихся по направлению  "Экономика" и экономическим специальностям</t>
  </si>
  <si>
    <t>Орловский государственный университет экономики и торговли</t>
  </si>
  <si>
    <t>0213</t>
  </si>
  <si>
    <t>682806.04.01</t>
  </si>
  <si>
    <t>Wirtschaftsdeutsch: Markt...: Уч. / Н.Г.Чернышева - 2 изд. - М.:Форум: Инфра-М,2027 - 359 с (СПО)(П)</t>
  </si>
  <si>
    <t>978-5-00091-534-9</t>
  </si>
  <si>
    <t>38.01.02, 38.02.01, 38.02.02, 38.02.03, 38.02.06, 38.02.07, 38.02.08</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</si>
  <si>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t>
  </si>
  <si>
    <t>801491.02.01</t>
  </si>
  <si>
    <t>Writing Scientific and Technical English...: Уч. / Л.А.Барановская - М.:НИЦ ИНФРА-М,2027. - 232 .(п)</t>
  </si>
  <si>
    <t>WRITING SCIENTIFIC AND TECHNICAL ENGLISH. ПИСЬМЕННЫЙ НАУЧНЫЙ  И ТЕХНИЧЕСКИЙ АНГЛИЙСКИЙ ЯЗЫК, ИЗД.1</t>
  </si>
  <si>
    <t>Барановская Л.А.</t>
  </si>
  <si>
    <t>978-5-16-019342-7</t>
  </si>
  <si>
    <t>Сибирский государственный университет науки и технологий им. академика М.Ф. Решетнева</t>
  </si>
  <si>
    <t>868887.01.01</t>
  </si>
  <si>
    <t>XXI в.: чел. в «зеркалах» вечности-времени: Моногр. / Е.Ф.Казаков - М.:НИЦ ИНФРА-М,2027. - 263 с.(п)</t>
  </si>
  <si>
    <t>XXI ВЕК: ЧЕЛОВЕК В «ЗЕРКАЛАХ» ВЕЧНОСТИ-ВРЕМЕНИ, ИЗД.1</t>
  </si>
  <si>
    <t>978-5-16-021648-5</t>
  </si>
  <si>
    <t>47.03.01, 51.03.01</t>
  </si>
  <si>
    <t>445250.05.01</t>
  </si>
  <si>
    <t>XXI век. Россия. Расписание на сегодня/Ю.А.Ковалев-2изд-М.:ИЦ РИОР,НИЦ ИНФРА-М,2018-135с(Науч.мысль)</t>
  </si>
  <si>
    <t>XXI ВЕК. РОССИЯ. РАСПИСАНИЕ НА СЕГОДНЯ, ИЗД.2</t>
  </si>
  <si>
    <t>Ковалев Ю.А.</t>
  </si>
  <si>
    <t>978-5-369-01447-9</t>
  </si>
  <si>
    <t>41.04.04, 41.06.01, 46.04.01, 46.06.01</t>
  </si>
  <si>
    <t>Институт нефтехимического синтеза им. А.В. Топчиева Российской академии наук</t>
  </si>
  <si>
    <t>266100.13.01</t>
  </si>
  <si>
    <t>Абилитация детей с церебр. параличом и его синдромами: Прак. рук. / Ф.А.Юнусов - М:НИЦ ИНФРА-М,2026 - 143 с.(О)</t>
  </si>
  <si>
    <t>АБИЛИТАЦИЯ ДЕТЕЙ С ЦЕРЕБРАЛЬНЫМ ПАРАЛИЧОМ И ЕГО СИНДРОМАМИ, ИЗД.1</t>
  </si>
  <si>
    <t>Юнусов Ф. А., Ефимов А. П.</t>
  </si>
  <si>
    <t>Клиническая практика</t>
  </si>
  <si>
    <t>978-5-16-009582-0</t>
  </si>
  <si>
    <t>Практическое руководство</t>
  </si>
  <si>
    <t>Дополнительное образование / Дополнительное профессиональное образование / ДПО - повышение квалификации</t>
  </si>
  <si>
    <t>31.02.01, 31.05.01, 31.05.02</t>
  </si>
  <si>
    <t>Российская Академия Медико-Социальный Реабилитации</t>
  </si>
  <si>
    <t>265400.11.01</t>
  </si>
  <si>
    <t>Абразивная обработка: Справ. / Л.И.Вереина - М.:НИЦ ИНФРА-М,2025 - 304 с.(Справ."ИНФРА-М")(П)</t>
  </si>
  <si>
    <t>АБРАЗИВНАЯ ОБРАБОТКА, ИЗД.1</t>
  </si>
  <si>
    <t>Вереина Л.И., Краснов М.М., Фрадкин Е.И.</t>
  </si>
  <si>
    <t>Справочники "ИНФРА-М"</t>
  </si>
  <si>
    <t>978-5-16-010397-6</t>
  </si>
  <si>
    <t>Энергетика. Промышленность</t>
  </si>
  <si>
    <t>Справочник</t>
  </si>
  <si>
    <t>12.02.04, 15.02.01, 15.02.16, 15.02.17, 15.02.18, 15.03.01, 15.03.02, 15.03.03, 15.03.04, 15.03.05, 15.03.06</t>
  </si>
  <si>
    <t>Московский государственный технический университет им. Н.Э. Баумана Национальный исследовательский университет</t>
  </si>
  <si>
    <t>417400.16.01</t>
  </si>
  <si>
    <t>Авиатранспортный маркетинг: Уч. / Е.В.Костромина, - 2 изд. - М.:НИЦ ИНФРА-М,2026. - 360 с.(ВО: Бакалавр.)(П)</t>
  </si>
  <si>
    <t>АВИАТРАНСПОРТНЫЙ МАРКЕТИНГ, ИЗД.2</t>
  </si>
  <si>
    <t>Костромина Е.В.</t>
  </si>
  <si>
    <t>978-5-16-006252-5</t>
  </si>
  <si>
    <t>38.03.01, 38.03.02, 38.04.01, 38.04.02, 44.03.01, 44.03.05</t>
  </si>
  <si>
    <t>Рекомендовано в качестве учебника для студентов высших учебных заведений, обучающихся по направлению подготовки 38.03.01 «Экономика» (квалификация (степень) «бакалавр»)</t>
  </si>
  <si>
    <t>0212</t>
  </si>
  <si>
    <t>347800.13.01</t>
  </si>
  <si>
    <t>Авиационная экология. Воздействие авиационных..: Уч.пос. / Л.С.Яновский - М.:НИЦ ИНФРА-М,2027-180с.(ВО)(П)</t>
  </si>
  <si>
    <t>АВИАЦИОННАЯ ЭКОЛОГИЯ. ВОЗДЕЙСТВИЕ АВИАЦИОННЫХ ГОРЮЧЕ-СМАЗОЧНЫХ МАТЕРИАЛОВ НА ОКРУЖАЮЩУЮ СРЕДУ, ИЗД.1</t>
  </si>
  <si>
    <t>Яновский Л.С., Харин А.А., Шевченко И.В. и др.</t>
  </si>
  <si>
    <t>978-5-16-010830-8</t>
  </si>
  <si>
    <t>Науки о Земле. Экология</t>
  </si>
  <si>
    <t>25.03.01, 25.03.02, 25.03.04, 25.05.01, 25.05.04, 25.05.05</t>
  </si>
  <si>
    <t>Рекомендовано в качестве учебного пособия для студентов высших учебных заведений, обучающихся по направлению подготовки 25.03.01 «Техническая эксплуатация летательных аппаратов и двигателей» (квалификация (степень) «бакалавр»)</t>
  </si>
  <si>
    <t>Центральный институт авиационного моторостроения им. П.И. Баранова</t>
  </si>
  <si>
    <t>0116</t>
  </si>
  <si>
    <t>758453.03.01</t>
  </si>
  <si>
    <t>Авиационно-ракетные кластеры и окруж. среда: Моногр. / Ж.Ю.Кочетова, - М.:НИЦ ИНФРА-М,2026. - 266 с.(О)</t>
  </si>
  <si>
    <t>АВИАЦИОННО-РАКЕТНЫЕ КЛАСТЕРЫ И ОКРУЖАЮЩАЯ СРЕДА, ИЗД.1</t>
  </si>
  <si>
    <t>Кочетова Ж.Ю., Маслова Н.В., Базарский О.В. и др.</t>
  </si>
  <si>
    <t>978-5-16-017033-6</t>
  </si>
  <si>
    <t>05.03.06</t>
  </si>
  <si>
    <t>Военно-воздушная академия им. профессора Н.Е. Жуковского и Ю.А. Гагарина</t>
  </si>
  <si>
    <t>842186.03.01</t>
  </si>
  <si>
    <t>Австралийско-китайские отношения в XX и XXI в...: Моногр. / Е.Ю.Каткова - М.:НИЦ ИНФРА-М,2026. - 243 с.(п)</t>
  </si>
  <si>
    <t>АВСТРАЛИЙСКО-КИТАЙСКИЕ ОТНОШЕНИЯ В XX И XXI ВЕКЕ: ОСОБЕННОСТИ, ОСНОВНЫЕ НАПРАВЛЕНИЯ И ВЫЗОВЫ, ИЗД.1</t>
  </si>
  <si>
    <t>Каткова Е.Ю.</t>
  </si>
  <si>
    <t>978-5-16-020317-1</t>
  </si>
  <si>
    <t>46.04.01</t>
  </si>
  <si>
    <t>415900.10.01</t>
  </si>
  <si>
    <t>Автоматизация и роботизация строит.: Уч.пос. / С.И.Евтушенко  - 2 изд.  - М:ИЦ РИОР:НИЦ ИНФРА-М,2026 - 451 с.(ВО) (п)</t>
  </si>
  <si>
    <t>АВТОМАТИЗАЦИЯ И РОБОТИЗАЦИЯ СТРОИТЕЛЬСТВА, ИЗД.2</t>
  </si>
  <si>
    <t>Евтушенко С. И., Булгаков А. Г., Воробьев В. А., Паршин Д. Я.</t>
  </si>
  <si>
    <t>978-5-369-01109-6</t>
  </si>
  <si>
    <t>Строительство</t>
  </si>
  <si>
    <t>08.03.01, 08.04.01, 15.03.04, 15.04.04, 27.03.04</t>
  </si>
  <si>
    <t>Допущено Учебно-методическим объединением вузов по образованию в области транспортных машин и транспортно-технических комплексов для бакалавриата и мэгистриата техники и технологии направления 550200 ^Автоматизация и управление» и для подготовки дипл</t>
  </si>
  <si>
    <t>Южно-Российский государственный политехнический университет (НПИ) им. М.И. Платова</t>
  </si>
  <si>
    <t>775339.02.01</t>
  </si>
  <si>
    <t>Автоматизация и управ. сис. водоснаб. и..: Уч. / М.А.Гордеев-Бургвиц - М.:НИЦ ИНФРА-М,2026. - 437 с.(ВО)(п)</t>
  </si>
  <si>
    <t>АВТОМАТИЗАЦИЯ И УПРАВЛЕНИЕ СИСТЕМАМИ ВОДОСНАБЖЕНИЯ И ВОДООТВЕДЕНИЯ, ИЗД.1</t>
  </si>
  <si>
    <t>Гордеев-Бургвиц М.А., Гордеев-Бургвиц Д.М.</t>
  </si>
  <si>
    <t>978-5-16-018281-0</t>
  </si>
  <si>
    <t>07.03.01, 08.03.01, 08.05.01, 20.04.02</t>
  </si>
  <si>
    <t>Допущено Министерством науки и образования Российской Федерации в качестве учебника для студентов высших учебных заведений, обучающихся по специальностям «Водоснабжение и водоотведение» направления подготовки дипломированных специалистов «Строительство»; «Управление в технических системах»; «Автоматизация технологических процессов и производств»</t>
  </si>
  <si>
    <t>Национальный исследовательский Московский государственный строительный университет</t>
  </si>
  <si>
    <t>141500.19.01</t>
  </si>
  <si>
    <t>Автоматизация произв. процес.в машиностр.: Уч.пос. / Е.Э.Фельдштейн - М.:НИЦ ИНФРА-М,,2026  - 264 с.(п)</t>
  </si>
  <si>
    <t>АВТОМАТИЗАЦИЯ ПРОИЗВОДСТВЕННЫХ ПРОЦЕССОВ В МАШИНОСТРОЕНИИ, ИЗД.1</t>
  </si>
  <si>
    <t>Фельдштейн Е.Э., Корниевич М.А.</t>
  </si>
  <si>
    <t>978-5-16-010531-4</t>
  </si>
  <si>
    <t>15.01.26, 15.01.27, 15.01.35, 15.01.36, 15.01.38, 15.02.03, 15.02.04, 15.02.07, 15.02.09, 15.02.10, 15.02.16, 15.02.17, 15.02.18, 18.01.35, 18.02.04, 18.02.05, 18.02.07, 18.02.09, 18.02.10, 18.02.13, 18.02.14, 19.02.11, 19.02.12, 22.02.08, 26.02.02, 35.01.05, 35.01.06, 35.02.18</t>
  </si>
  <si>
    <t>Рекомендовано учреждением образования «Республиканский институт профессионального образования» в качестве пособия для учащихся учреждений, обеспечивающих получение среднего специального образования по специальности «Технология машиностроения». Рекомендовано федеральным государственным учреждением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t>
  </si>
  <si>
    <t>645288.08.01</t>
  </si>
  <si>
    <t>Автоматизация производ. процессов в машиностр.: Уч. / В.А.Скрябин - М.:КУРС, НИЦ ИНФРА-М,2026 - 320 с.(П)</t>
  </si>
  <si>
    <t>Скрябин В.А., Схиртладзе А.Г., Зверовщиков А.Е. и др.</t>
  </si>
  <si>
    <t>КУРС</t>
  </si>
  <si>
    <t>978-5-906818-60-7</t>
  </si>
  <si>
    <t>15.03.04, 15.03.05, 15.04.04, 15.04.05</t>
  </si>
  <si>
    <t>Российский экономический университет им. Г.В. Плеханова, Ивановский ф-л</t>
  </si>
  <si>
    <t>682807.10.01</t>
  </si>
  <si>
    <t>Автоматизация производственных процес.: Уч.пос. / В.В.Клепиков - М.:НИЦ ИНФРА-М,2026 - 208 с.(СПО)(п)</t>
  </si>
  <si>
    <t>АВТОМАТИЗАЦИЯ ПРОИЗВОДСТВЕННЫХ ПРОЦЕССОВ, ИЗД.1</t>
  </si>
  <si>
    <t>Клепиков В.В., Султан-заде Н.М., Схиртладзе А.Г.</t>
  </si>
  <si>
    <t>978-5-16-013871-8</t>
  </si>
  <si>
    <t>15.02.04, 15.02.07, 15.02.09, 15.02.16, 15.02.18, 18.01.35, 18.02.04, 18.02.05, 18.02.07, 18.02.09, 18.02.10, 18.02.13, 18.02.14, 19.02.11, 19.02.12, 22.02.08, 26.02.02, 35.01.05, 35.01.06, 35.02.18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</si>
  <si>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 15.02.09 «Аддитивные технологии»</t>
  </si>
  <si>
    <t>Московский политехнический университет</t>
  </si>
  <si>
    <t>377200.10.01</t>
  </si>
  <si>
    <t>Автоматизация производственных процессов: Уч.пос. / В.В.Клепиков - М.:НИЦ ИНФРА-М,2025 - 208с.(ВО)(П)</t>
  </si>
  <si>
    <t>978-5-16-020590-8</t>
  </si>
  <si>
    <t>15.03.05</t>
  </si>
  <si>
    <t>Допущено Учебно-методическим объединением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15.03.05 «Конструкторско-технологическое обеспечение машиностроительных производств»</t>
  </si>
  <si>
    <t>659144.07.01</t>
  </si>
  <si>
    <t>Автоматизация производственных процессов: Уч.пос. / М.С.Чепчуров - М.:НИЦ ИНФРА-М,2027 - 274 с.(ВО)(П)</t>
  </si>
  <si>
    <t>Чепчуров М.С., Четвериков Б.С.</t>
  </si>
  <si>
    <t>978-5-16-014256-2</t>
  </si>
  <si>
    <t>15.03.01, 15.03.04, 15.03.05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</si>
  <si>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t>
  </si>
  <si>
    <t>Белгородский государственный технологический университет им. В.Г. Шухова</t>
  </si>
  <si>
    <t>487900.08.01</t>
  </si>
  <si>
    <t>Автоматизация расчетов сооруж. гидротех. строит.: Уч.пос. / В.А.Волосухин - М.:ИЦ РИОР, НИЦ ИНФРА-М,2026 - 241 с.(О)</t>
  </si>
  <si>
    <t>АВТОМАТИЗАЦИЯ РАСЧЕТОВ СООРУЖЕНИЙ ГИДРОТЕХНИЧЕКОГО СТРОИТЕЛЬСТВА, ИЗД.1</t>
  </si>
  <si>
    <t>Волосухин В.А., Евтушенко С.И., Петров И.А. и др.</t>
  </si>
  <si>
    <t>978-5-369-01563-6</t>
  </si>
  <si>
    <t>07.03.01, 08.03.01, 08.05.01, 20.03.02</t>
  </si>
  <si>
    <t>Рекомендовано УМО по образованию в области природообустройства и водопользования в качестве учебного пособия для студентов высших учебных заведений, обучающихся по направлению подготовки «Природообустройство»</t>
  </si>
  <si>
    <t>Донской государственный аграрный университет</t>
  </si>
  <si>
    <t>078450.19.01</t>
  </si>
  <si>
    <t>Автоматизация систем водоснабжения и водоотведения: Уч. / А.А.Рульнов - 2 изд. - М.: ИНФРА-М,2026 - 192 с.(СПО)</t>
  </si>
  <si>
    <t>АВТОМАТИЗАЦИЯ СИСТЕМ ВОДОСНАБЖЕНИЯ И ВОДООТВЕДЕНИЯ, ИЗД.2</t>
  </si>
  <si>
    <t>Рульнов А.А.</t>
  </si>
  <si>
    <t>978-5-16-009369-7</t>
  </si>
  <si>
    <t>08.01.29, 08.02.02, 08.02.04, 08.02.13, 08.02.14, 13.02.02, 18.01.27, 18.01.28, 18.01.35, 18.02.04, 18.02.05, 18.02.07, 18.02.09, 18.02.10, 18.02.13, 18.02.14, 19.01.01, 19.02.11, 19.02.12, 22.02.08, 26.02.02, 35.02.18</t>
  </si>
  <si>
    <t>Допущено Федеральным агентством по строительству и жилищно-коммунальному хозяйству в качестве учебника для студентов средних специальных учебных заведений, обучающихся по специальности 08.02.04 «Водоснабжение и водоотведение»</t>
  </si>
  <si>
    <t>0214</t>
  </si>
  <si>
    <t>682808.07.01</t>
  </si>
  <si>
    <t>Автоматизация техн.процессов и произв.: Уч.пос. / А.А.Иванов - 2 изд. - М.:Форум,НИЦ ИНФРА-М,2025 - 224 с.(СПО)</t>
  </si>
  <si>
    <t>АВТОМАТИЗАЦИЯ ТЕХНОЛОГИЧЕСКИХ ПРОЦЕССОВ И ПРОИЗВОДСТВ, ИЗД.2</t>
  </si>
  <si>
    <t>Иванов А.А.</t>
  </si>
  <si>
    <t>978-5-00091-535-6</t>
  </si>
  <si>
    <t>08.02.03, 13.02.01, 15.02.03, 15.02.09, 15.02.16, 15.02.17, 15.02.18, 18.01.35, 18.02.04, 18.02.05, 18.02.07, 18.02.09, 18.02.10, 18.02.13, 18.02.14, 19.02.11, 19.02.12, 22.02.08, 26.02.02, 26.02.04, 35.01.05, 35.01.06, 35.02.18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</si>
  <si>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t>
  </si>
  <si>
    <t>Нижегородский государственный технический университет им. Р.Е. Алексеева</t>
  </si>
  <si>
    <t>150950.12.01</t>
  </si>
  <si>
    <t>Автоматизация технол. проц. и произв.: Уч.пос. / А.А.Иванов - 2 изд. - М.: Форум, НИЦ ИНФРА-М,2025 - 224 с.(п)</t>
  </si>
  <si>
    <t>Иванов А. А.</t>
  </si>
  <si>
    <t>978-5-91134-948-6</t>
  </si>
  <si>
    <t>15.03.06, 15.04.06, 20.02.02</t>
  </si>
  <si>
    <t>Допущено Учебно-методическим объединением вузов по образованию в области автоматизированного машиностроения в качестве учебного пособия для студентов высших учебных заведений, обучающихся по специальности «Автоматизация технологических процессов и производств (машиностроение)» (направление подготовки «Автоматизированные технологии и производства») и направлению «Конструкторско-технологическое обеспечение машиностроительных производств»</t>
  </si>
  <si>
    <t>0215</t>
  </si>
  <si>
    <t>682809.14.01</t>
  </si>
  <si>
    <t>Автоматизация технологич. процес. и производ..: Уч.пос. / В.М.Виноградов - М.:Форум, НИЦ ИНФРА-М,2026 -161с(П)</t>
  </si>
  <si>
    <t>АВТОМАТИЗАЦИЯ ТЕХНОЛОГИЧЕСКИХ ПРОЦЕССОВ И ПРОИЗВОДСТВ. ВВЕДЕНИЕ В СПЕЦИАЛЬНОСТЬ, ИЗД.1</t>
  </si>
  <si>
    <t>Виноградов В.М., Черепахин А.А.</t>
  </si>
  <si>
    <t>978-5-00091-536-3</t>
  </si>
  <si>
    <t>15.02.03, 15.02.07, 15.02.16, 15.02.17, 15.02.18, 18.01.35, 18.02.04, 18.02.05, 18.02.07, 18.02.09, 18.02.10, 18.02.13, 18.02.14, 19.02.11, 19.02.12, 22.02.08, 26.02.02, 35.01.05, 35.01.06, 35.02.18</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</si>
  <si>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t>
  </si>
  <si>
    <t>ПО2</t>
  </si>
  <si>
    <t>150950.14.01</t>
  </si>
  <si>
    <t>Автоматизация технологич. процес. и производ.: Уч.пос. / А.А.Иванов, - 2 изд. - М.:НИЦ ИНФРА-М,2026. - 224 с.(ВО)(о)</t>
  </si>
  <si>
    <t>978-5-16-021507-5</t>
  </si>
  <si>
    <t>283300.07.01</t>
  </si>
  <si>
    <t>Автоматизация технологич. процессов и..: Уч. / В.М.Виноградов - М.:Форум, НИЦ ИНФРА-М,2022-192с(ВО)(о)</t>
  </si>
  <si>
    <t>Виноградов В. М., Черепахин А. А.</t>
  </si>
  <si>
    <t>978-5-91134-898-4</t>
  </si>
  <si>
    <t>15.03.04, 35.01.06</t>
  </si>
  <si>
    <t>283300.09.01</t>
  </si>
  <si>
    <t>Автоматизация технологич. процессов и..: Уч. / В.М.Виноградов - М.:Форум, НИЦ ИНФРА-М,2026 - 193 с(ВО)(П)</t>
  </si>
  <si>
    <t>АВТОМАТИЗАЦИЯ ТЕХНОЛОГИЧЕСКИХ ПРОЦЕССОВ И ПРОИЗВОДСТВ. ВВЕДЕНИЕ В СПЕЦИАЛЬНОСТЬ, ИЗД.2</t>
  </si>
  <si>
    <t>978-5-00091-626-1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</si>
  <si>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подготовки15.03.04 «Автоматизация технологических процессов и производств» (квалификация (степень) «бакалавр») (протокол № 4 от 21.04.2021)</t>
  </si>
  <si>
    <t>0222</t>
  </si>
  <si>
    <t>309800.08.01</t>
  </si>
  <si>
    <t>Автоматизация технологических процессов: Уч.пос. / С.Н.Фурсенко - М.:НИЦ ИНФРА-М,2026 - 377 с.(ВО)(п)</t>
  </si>
  <si>
    <t>АВТОМАТИЗАЦИЯ ТЕХНОЛОГИЧЕСКИХ ПРОЦЕССОВ, ИЗД.1</t>
  </si>
  <si>
    <t>Фурсенко С.Н., Якубовская Е.С., Волкова Е.С.</t>
  </si>
  <si>
    <t>978-5-16-022314-8</t>
  </si>
  <si>
    <t>15.03.04, 15.04.04</t>
  </si>
  <si>
    <t>опущено Министерством образования Республики Беларусь в качестве учебного пособия для студентов учреждений высшего сельскохозяйственного образования по техническим специальностям (соответствует направлению подготовки 15.03.04 «Автоматизация технологических процессов и производств»)</t>
  </si>
  <si>
    <t>Белорусский государственный аграрный технический университет</t>
  </si>
  <si>
    <t>167150.08.01</t>
  </si>
  <si>
    <t>Автоматизированные нечетко-логич. сист..: Моногр. /С.Г.Емельянов - М.: НИЦ ИНФРА-М, 2024 -175 с.(О)</t>
  </si>
  <si>
    <t>АВТОМАТИЗИРОВАННЫЕ НЕЧЕТКО-ЛОГИЧЕСКИЕ СИСТЕМЫ УПРАВЛЕНИЯ, ИЗД.1</t>
  </si>
  <si>
    <t>Емельянов С. Г., Титов В. С., Бобырь М. В.</t>
  </si>
  <si>
    <t>978-5-16-009759-6</t>
  </si>
  <si>
    <t>15.03.02, 15.04.01, 15.04.02</t>
  </si>
  <si>
    <t>Юго-Западный государственный университет</t>
  </si>
  <si>
    <t>167150.09.01</t>
  </si>
  <si>
    <t>Автоматизированные нечетко-логические сис..: Моногр. / М.В.Бобырь - 2 изд. - М.:НИЦ ИНФРА-М,2025. - 267 с.(о)</t>
  </si>
  <si>
    <t>АВТОМАТИЗИРОВАННЫЕ НЕЧЕТКО-ЛОГИЧЕСКИЕ СИСТЕМЫ УПРАВЛЕНИЯ И МЕТОДЫ ИХ ОЧУВСТВЛЕНИЯ, ИЗД.2</t>
  </si>
  <si>
    <t>Бобырь М.В., Емельянов С.Г., Милостная Н.А.</t>
  </si>
  <si>
    <t>978-5-16-020200-6</t>
  </si>
  <si>
    <t>0225</t>
  </si>
  <si>
    <t>179100.07.01</t>
  </si>
  <si>
    <t>Автоматизированные сборочные системы: Уч. / А.А. Иванов - М.: Форум, 2026 - 336 с.(ВО) (п)</t>
  </si>
  <si>
    <t>АВТОМАТИЗИРОВАННЫЕ СБОРОЧНЫЕ СИСТЕМЫ, ИЗД.1</t>
  </si>
  <si>
    <t>978-5-91134-602-7</t>
  </si>
  <si>
    <t>Допущено УМО вузов по образованию в области автоматизированного машиностроения в качестве учебника для студентов вузов, обучающихся по напр. ПДС "Конструкторско-технол. обеспечение машиностроит. произ-в", "Автоматиз. технологии и произв."</t>
  </si>
  <si>
    <t>682810.08.01</t>
  </si>
  <si>
    <t>Автоматизированные сборочные системы: Уч. / А.А.Иванов - М.:Форум,НИЦ ИНФРА-М,2026 - 336 с.(СПО)(П)</t>
  </si>
  <si>
    <t>978-5-00091-537-0</t>
  </si>
  <si>
    <t>15.01.35, 15.01.37, 15.02.03, 15.02.04, 15.02.16, 15.02.17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</si>
  <si>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t>
  </si>
  <si>
    <t>684160.07.01</t>
  </si>
  <si>
    <t>Автоматизированные сис. управ. и связь...: Уч.пос. / А.И.Братко - М.:НИЦ ИНФРА-М,2026 - 329 с.(П)</t>
  </si>
  <si>
    <t>АВТОМАТИЗИРОВАННЫЕ СИСТЕМЫ УПРАВЛЕНИЯ И СВЯЗЬ: ОСНОВЫ ЭЛЕКТРОСВЯЗИ, ИЗД.1</t>
  </si>
  <si>
    <t>Братко А.И.</t>
  </si>
  <si>
    <t>978-5-16-014957-8</t>
  </si>
  <si>
    <t>Автоматика. Радиоэлектроника. Связь</t>
  </si>
  <si>
    <t>08.02.09, 11.02.06, 11.02.09, 11.02.11, 11.02.15, 11.02.18, 13.02.13, 20.02.02, 20.02.04, 20.02.05, 27.02.05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</si>
  <si>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20.02.02 «Защита в чрезвычайных ситуациях» и 20.02.04 «Пожарная безопасность» (протокол № 8 от 22.06.2020)</t>
  </si>
  <si>
    <t>Новочеркасский колледж промышленных технологий и управления</t>
  </si>
  <si>
    <t>071150.23.01</t>
  </si>
  <si>
    <t>Автоматика и телемеханика сис. газоснабжения: Уч. / В.А.Жила, - 2 изд. - М.:НИЦ ИНФРА-М,2026. - 232 с.(СПО)(п)</t>
  </si>
  <si>
    <t>АВТОМАТИКА И ТЕЛЕМЕХАНИКА СИСТЕМ ГАЗОСНАБЖЕНИЯ, ИЗД.2</t>
  </si>
  <si>
    <t>Жила В.А.</t>
  </si>
  <si>
    <t>978-5-16-018193-6</t>
  </si>
  <si>
    <t>08.02.02, 08.02.08</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</si>
  <si>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«Монтаж и эксплуатация оборудования и систем газоснабжения»</t>
  </si>
  <si>
    <t>СПО-2023, Победитель, I место</t>
  </si>
  <si>
    <t>071150.20.01</t>
  </si>
  <si>
    <t>Автоматика и телемеханика систем газоснабжения: Уч. / В.А.Жила - М.:НИЦ ИНФРА-М,2023-238 с.(СПО)(П)</t>
  </si>
  <si>
    <t>АВТОМАТИКА И ТЕЛЕМЕХАНИКА СИСТЕМ ГАЗОСНАБЖЕНИЯ, ИЗД.1</t>
  </si>
  <si>
    <t>978-5-16-006864-0</t>
  </si>
  <si>
    <t>0106</t>
  </si>
  <si>
    <t>704928.05.01</t>
  </si>
  <si>
    <t>Автоматические системы заряжания вооружения..: Уч.пос. / И.Ю.Лепешинский - М.:НИЦ ИНФРА-М,2026 - 237 с.(П)</t>
  </si>
  <si>
    <t>АВТОМАТИЧЕСКИЕ СИСТЕМЫ ЗАРЯЖАНИЯ ВООРУЖЕНИЯ БРОНЕТАНКОВОЙ ТЕХНИКИ, ИЗД.1</t>
  </si>
  <si>
    <t>Лепешинский И.Ю., Чикирев О.И., Погодаев Д.В.</t>
  </si>
  <si>
    <t>Военное образование (ОмГТУ)</t>
  </si>
  <si>
    <t>978-5-16-015097-0</t>
  </si>
  <si>
    <t>23.03.02, 56.04.04</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</si>
  <si>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</si>
  <si>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Омский государственный технический университет</t>
  </si>
  <si>
    <t>316600.14.01</t>
  </si>
  <si>
    <t>Автоматические системы транспортных средств: Уч. / В.В. Беляков - М.:Форум: ИНФРА-М, 2026 - 352 с.(ВО) (п)</t>
  </si>
  <si>
    <t>АВТОМАТИЧЕСКИЕ СИСТЕМЫ ТРАНСПОРТНЫХ СРЕДСТВ, ИЗД.1</t>
  </si>
  <si>
    <t>Беляков В.В., Зезюлин Д.В., Макаров В.С. и др.</t>
  </si>
  <si>
    <t>978-5-00091-696-4</t>
  </si>
  <si>
    <t>Транспорт</t>
  </si>
  <si>
    <t>23.03.02</t>
  </si>
  <si>
    <t>Допущено УМО вузов РФ по образованию в области транспортных машин и транспортно-технологических комплексов в качестве учебника для студентов вузов, обучающихся по направлению 23.03.02 «Наземные транспортно-технологические комплексы»</t>
  </si>
  <si>
    <t>682811.09.01</t>
  </si>
  <si>
    <t>Автоматические системы транспортных средств: Уч./ В.В.Беляков - М.:НИЦ ИНФРА-М,2027 - 352 с.(СПО)(п)</t>
  </si>
  <si>
    <t>978-5-16-022340-7</t>
  </si>
  <si>
    <t>23.01.03, 23.01.17, 23.02.02, 23.02.03, 23.02.04, 23.02.05, 23.02.07, 43.02.06</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</si>
  <si>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t>
  </si>
  <si>
    <t>704929.06.01</t>
  </si>
  <si>
    <t>Автоматические системы управления вооружением: Уч.пос. / И.Ю.Лепешинский - М.:НИЦ ИНФРА-М,2026 - 194 с.(П)</t>
  </si>
  <si>
    <t>АВТОМАТИЧЕСКИЕ СИСТЕМЫ УПРАВЛЕНИЯ ВООРУЖЕНИЕМ, ИЗД.1</t>
  </si>
  <si>
    <t>Лепешинский И.Ю., Варлаков П.М., Погодаев Д.В. и др.</t>
  </si>
  <si>
    <t>978-5-16-014991-2</t>
  </si>
  <si>
    <t>23.03.02, 23.03.03, 23.04.02, 23.04.03, 23.05.01, 23.05.02, 56.04.04</t>
  </si>
  <si>
    <t>Рекомендовано государственным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</si>
  <si>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064840.21.01</t>
  </si>
  <si>
    <t>Автоматическое регулирование: Уч. / А.А.Рульнов - 2 изд. - М.:НИЦ ИНФРА-М,2027 - 219 с.-(СПО)(П</t>
  </si>
  <si>
    <t>АВТОМАТИЧЕСКОЕ РЕГУЛИРОВАНИЕ, ИЗД.2</t>
  </si>
  <si>
    <t>Рульнов А.А., Горюнов И.И., Евстафьев К.Ю.</t>
  </si>
  <si>
    <t>978-5-16-006216-7</t>
  </si>
  <si>
    <t>08.02.02, 08.02.13</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</si>
  <si>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08.02.07 «Монтаж и эксплуатация внутренних сантехнических устройств, кондиционирования воздуха и вентиляции»</t>
  </si>
  <si>
    <t>633656.09.01</t>
  </si>
  <si>
    <t>Автоматическое упр. процессами мех. обработки: Уч. / С.М.Братан и др. - М.: НИЦ ИНФРА-М,2026 - 228 с.(П)</t>
  </si>
  <si>
    <t>АВТОМАТИЧЕСКОЕ УПРАВЛЕНИЕ ПРОЦЕССАМИ МЕХАНИЧЕСКОЙ ОБРАБОТКИ, ИЗД.1</t>
  </si>
  <si>
    <t>Братан С.М., Левченко Е.А., Покинтелица Н.И. и др.</t>
  </si>
  <si>
    <t>978-5-16-022113-7</t>
  </si>
  <si>
    <t>01.04.03, 09.05.01, 13.03.03, 15.03.01, 15.03.02, 15.03.05, 15.04.01, 15.04.02, 15.04.05, 15.05.01</t>
  </si>
  <si>
    <t>170050.11.01</t>
  </si>
  <si>
    <t>Автоматическое управление. Курс лекций с решен..: Уч. пос./Н.П.Молоканова - М.: Форум, 2026 - 224 с.(п)</t>
  </si>
  <si>
    <t>АВТОМАТИЧЕСКОЕ УПРАВЛЕНИЕ. КУРС ЛЕКЦИЙ С РЕШЕНИЕМ ЗАДАЧ И ЛАБОРАТОРНЫХ РАБОТ, ИЗД.1</t>
  </si>
  <si>
    <t>Молоканова Н. П.</t>
  </si>
  <si>
    <t>978-5-91134-593-8</t>
  </si>
  <si>
    <t>27.02.04</t>
  </si>
  <si>
    <t>Среднерусский гуманитарно-технологический институт</t>
  </si>
  <si>
    <t>049950.17.01</t>
  </si>
  <si>
    <t>Автоматическое управление: Уч. / М.В.Гальперин - М.:НИЦ ИНФРА-М,2025 - 224 с.(СПО)(П)</t>
  </si>
  <si>
    <t>АВТОМАТИЧЕСКОЕ УПРАВЛЕНИЕ, ИЗД.1</t>
  </si>
  <si>
    <t>Гальперин М. В.</t>
  </si>
  <si>
    <t>978-5-16-016930-9</t>
  </si>
  <si>
    <t>12.01.07, 12.02.01, 12.02.02, 12.02.03, 12.02.04, 12.02.05, 12.02.06, 12.02.07, 13.01.07, 14.02.01, 15.02.10, 15.02.18, 18.01.28, 18.01.35, 18.02.04, 18.02.05, 18.02.07, 18.02.09, 18.02.10, 18.02.13, 18.02.14, 19.01.01, 19.02.11, 19.02.12, 22.02.08, 26.02.02, 27.02.03, 27.02.04, 35.02.08, 35.02.18</t>
  </si>
  <si>
    <t>Допущено Министерством образования Российской Федерации в качестве учебника для студентов образовательных учреждений среднего профессионального образования, обучающихся по группам специальностей «Приборостроение», «Электроника и микроэлектроника, радиотехника и телекоммуникации», «Автоматизация и управление», «Информатика и вычислительная техника»</t>
  </si>
  <si>
    <t>Московский техникум креативных индустрий им. Л.Б. Красина</t>
  </si>
  <si>
    <t>0104</t>
  </si>
  <si>
    <t>130850.16.01</t>
  </si>
  <si>
    <t>Автоматическое управление: Уч.пос. / А.М.Петрова - М.:Форум,НИЦ ИНФРА-М,2025 - 240 с.(СПО)(п)</t>
  </si>
  <si>
    <t>Петрова А.М.</t>
  </si>
  <si>
    <t>978-5-00091-467-0</t>
  </si>
  <si>
    <t>13.01.07, 13.02.01, 13.02.02, 13.02.04, 13.02.05, 13.02.07, 13.02.08, 13.02.09, 13.02.12, 13.02.13, 15.01.18, 15.01.26, 15.01.27, 15.01.35, 15.01.36, 15.01.37, 15.01.38, 15.02.01, 15.02.03, 15.02.04, 15.02.06, 15.02.07, 15.02.09, 15.02.10, 15.02.16, 15.02.17, 15.02.18, 18.01.28, 18.01.35, 18.02.04, 18.02.05, 18.02.07, 18.02.09, 18.02.10, 18.02.13, 18.02.14, 19.01.01, 19.02.11, 19.02.12, 22.02.08, 26.02.02, 27.02.01, 27.02.02, 27.02.03, 27.02.04, 27.02.05, 35.02.18</t>
  </si>
  <si>
    <t>Рекомендовано Учебно-методическим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t>
  </si>
  <si>
    <t>Московский гуманитарный университет</t>
  </si>
  <si>
    <t>0110</t>
  </si>
  <si>
    <t>400400.13.01</t>
  </si>
  <si>
    <t>Автомобили: конструкция, теория и расчет: Уч.пос. / Е.В.Березина - М:М,НИЦ ИНФРА-М,2026 - 320 с.(п)</t>
  </si>
  <si>
    <t>АВТОМОБИЛИ: КОНСТРУКЦИЯ, ТЕОРИЯ И РАСЧЕТ, ИЗД.1</t>
  </si>
  <si>
    <t>Березина Е.В.</t>
  </si>
  <si>
    <t>978-5-16-018271-1</t>
  </si>
  <si>
    <t>23.02.03, 35.01.01</t>
  </si>
  <si>
    <t>Рекомендовано федеральным государственным учреждением «Федеральный институт развития образования» (ФГУ «ФИРО»)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 по специальности 23.02.03 «Техническое обслуживание и ремонт автомобильного транспорта»</t>
  </si>
  <si>
    <t>682812.11.01</t>
  </si>
  <si>
    <t>Автомобили: Уч. / Под ред. Богатырева А.В. - 3 изд. - М.:НИЦ ИНФРА-М,2026 - 655 с.(П)</t>
  </si>
  <si>
    <t>АВТОМОБИЛИ, ИЗД.3</t>
  </si>
  <si>
    <t>Богатырев А.В., Есеновский-Лашков Ю.К., Насоновский М.Л. и др.</t>
  </si>
  <si>
    <t>978-5-16-013875-6</t>
  </si>
  <si>
    <t>23.01.17, 23.02.02, 23.02.03, 23.02.07, 35.01.01, 35.01.27, 35.01.30, 35.02.05, 35.02.07, 35.02.16</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</si>
  <si>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 35.02.07 «Механизация сельского хозяйства»</t>
  </si>
  <si>
    <t>Российский государственный аграрный университет - МСХА им. К.А. Тимирязева</t>
  </si>
  <si>
    <t>0318</t>
  </si>
  <si>
    <t>274800.11.01</t>
  </si>
  <si>
    <t>Автомобили: Уч. / Под ред. Богатырева А.В. - 3 изд. - М.:НИЦ ИНФРА-М,2027 - 655 с.(ВО: Бакалавр.)(П)</t>
  </si>
  <si>
    <t>978-5-16-010219-1</t>
  </si>
  <si>
    <t>23.03.01, 23.03.02, 23.04.02, 35.03.06, 35.04.06</t>
  </si>
  <si>
    <t>Рекомендовано Учебно-методическим объединением вузов по образованию в области агроинженерии в качестве учебника для студентов высших учебных заведений, обучающихся по направлению 35.03.06 «Агроинженерия»</t>
  </si>
  <si>
    <t>0314</t>
  </si>
  <si>
    <t>087000.19.01</t>
  </si>
  <si>
    <t>Автомобильные перевозки: Уч.пос. / И.С.Туревский - М.:ИД ФОРУМ, НИЦ ИНФРА-М,2026 - 223 с.(СПО)(П)</t>
  </si>
  <si>
    <t>АВТОМОБИЛЬНЫЕ ПЕРЕВОЗКИ, ИЗД.1</t>
  </si>
  <si>
    <t>Туревский И.С.</t>
  </si>
  <si>
    <t>ИД Форум</t>
  </si>
  <si>
    <t>978-5-8199-0866-2</t>
  </si>
  <si>
    <t>23.02.01, 43.02.06</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</si>
  <si>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23.02.00 «Техника и технологии наземного транспорта»</t>
  </si>
  <si>
    <t>Автомобильный, правовой техникум Воронежской области</t>
  </si>
  <si>
    <t>0108</t>
  </si>
  <si>
    <t>037100.26.01</t>
  </si>
  <si>
    <t>Автомобильные эксплуатац. матер. Лаборатор. прак.: Уч.пос. / В.А.Стуканов, - 2 изд. - М.:НИЦ ИНФРА-М,2026. - 304 с.(п)</t>
  </si>
  <si>
    <t>АВТОМОБИЛЬНЫЕ ЭКСПЛУАТАЦИОННЫЕ МАТЕРИАЛЫ. ЛАБОРАТОРНЫЙ ПРАКТИКУМ, ИЗД.2</t>
  </si>
  <si>
    <t>Стуканов В. А.</t>
  </si>
  <si>
    <t>978-5-16-021418-4</t>
  </si>
  <si>
    <t>15.02.04, 23.01.03, 23.01.17, 23.02.01, 23.02.02, 23.02.03, 23.02.04, 23.02.05, 23.02.07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</si>
  <si>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специальностям «Техническое обслуживание и ремонт автомобильного транспорта» и «Механизация сельского хозяйства»</t>
  </si>
  <si>
    <t>Научно-Исследовательский Институт сельского хозяйства центрально-черноземной полосы имени В.В.Докуча</t>
  </si>
  <si>
    <t>0209</t>
  </si>
  <si>
    <t>154900.15.01</t>
  </si>
  <si>
    <t>Автомобильный справочник-энц.: Справ. пос. / Н.А. Кузьмин - М.:Форум, 2026 - 288 с.(П)</t>
  </si>
  <si>
    <t>АВТОМОБИЛЬНЫЙ СПРАВОЧНИК-ЭНЦИКЛОПЕДИЯ, ИЗД.2</t>
  </si>
  <si>
    <t>Кузьмин Н. А., Песков В. И.</t>
  </si>
  <si>
    <t>978-5-91134-535-8</t>
  </si>
  <si>
    <t>23.04.01, 23.04.02, 23.04.03, 23.05.01, 23.06.01</t>
  </si>
  <si>
    <t>714069.05.01</t>
  </si>
  <si>
    <t>Автономия воли в регулиров. межд. отнош..: Уч.пос. / Ю.Базедов - М.:Юр.Норма, НИЦ ИНФРА-М,2027 - 136 с.(П)</t>
  </si>
  <si>
    <t>АВТОНОМИЯ ВОЛИ В РЕГУЛИРОВАНИИ МЕЖДУНАРОДНЫХ ОТНОШЕНИЙ. К ОБЩЕМУ КУРСУ МЕЖДУНАРОДНОГО ЧАСТНОГО ПРАВА, ИЗД.1</t>
  </si>
  <si>
    <t>Базедов Ю.</t>
  </si>
  <si>
    <t>978-5-00156-008-1</t>
  </si>
  <si>
    <t>40.03.01, 40.05.01, 40.05.02, 40.05.03, 40.05.04</t>
  </si>
  <si>
    <t>Институт государства и права Российской академии наук</t>
  </si>
  <si>
    <t>632561.05.01</t>
  </si>
  <si>
    <t>Аграрное законодательство зарубежных стран и России: Моногр. / Е.Л.Минина-М.:НИЦ ИНФРА-М, 2024-320с.</t>
  </si>
  <si>
    <t>АГРАРНОЕ ЗАКОНОДАТЕЛЬСТВО ЗАРУБЕЖНЫХ СТРАН И РОССИИ, ИЗД.1</t>
  </si>
  <si>
    <t>Гаврилюк О.В., Гайдаенко-Шер И.Н., Меркулова Т.А. и др.</t>
  </si>
  <si>
    <t>ИЗиСП</t>
  </si>
  <si>
    <t>978-5-16-011997-7</t>
  </si>
  <si>
    <t>38.03.04, 40.03.01</t>
  </si>
  <si>
    <t>668717.02.01</t>
  </si>
  <si>
    <t>Аграрные програм.российск.полит.партий в нач.ХХ в.:Моногр./С.А.Сафронов-М.:НИЦ ИНФРА-М,СФУ,2019-252с</t>
  </si>
  <si>
    <t>АГРАРНЫЕ ПРОГРАММЫ РОССИЙСКИХ ПОЛИТИЧЕСКИХ ПАРТИЙ В НАЧАЛЕ ХХ В., ИЗД.1</t>
  </si>
  <si>
    <t>Сафронов С.А.</t>
  </si>
  <si>
    <t>Научная мысль (СФУ)</t>
  </si>
  <si>
    <t>978-5-16-013296-9</t>
  </si>
  <si>
    <t>Сибирский федеральный университет</t>
  </si>
  <si>
    <t>668717.04.01</t>
  </si>
  <si>
    <t>Аграрные программы росс. полит. партий в нач. ХХ в.: Моногр. / С.А.Сафронов - М.:НИЦ ИНФРА-М, СФУ,2022.-252 с.(О)</t>
  </si>
  <si>
    <t>978-5-16-017225-5</t>
  </si>
  <si>
    <t>694928.02.01</t>
  </si>
  <si>
    <t>Аграрный сектор рос. экономики в условиях... : Моногр. / М.М.Махмудова - М.:НИЦ ИНФРА-М,2022 - 133с.(О)</t>
  </si>
  <si>
    <t>АГРАРНЫЙ СЕКТОР РОССИЙСКОЙ ЭКОНОМИКИ В УСЛОВИЯХ МАКРОЭКОНОМИЧЕСКОЙ НЕСТАБИЛЬНОСТИ, ИЗД.1</t>
  </si>
  <si>
    <t>Махмудова М.М., Королева А.М.</t>
  </si>
  <si>
    <t>Научная мысль (Тюм. индустр. ун-т)</t>
  </si>
  <si>
    <t>978-5-16-014797-0</t>
  </si>
  <si>
    <t>35.03.04, 35.03.05, 35.03.07, 35.04.04, 35.04.05</t>
  </si>
  <si>
    <t>Тюменский индустриальный университет</t>
  </si>
  <si>
    <t>159000.12.01</t>
  </si>
  <si>
    <t>Агробиологические основы производ., хран. и перераб..: Уч. пос. / Г.И.Баздырев - ИНФРА-М,2026 - 725 с.(ВО) (п)</t>
  </si>
  <si>
    <t>АГРОБИОЛОГИЧЕСКИЕ ОСНОВЫ ПРОИЗВОДСТВА, ХРАНЕНИЯ И ПЕРЕРАБОТКИ ПРОДУКЦИИ РАСТЕНИЕВОДСТВА, ИЗД.1</t>
  </si>
  <si>
    <t>Баздырев Г. И., Сафонов А. Ф., Мякиньков А. Г., Баздырев Г. И.</t>
  </si>
  <si>
    <t>978-5-16-006222-8</t>
  </si>
  <si>
    <t>Сельское хозяйство</t>
  </si>
  <si>
    <t>35.03.05, 35.03.07</t>
  </si>
  <si>
    <t>Рекомендовано Министерством сельского хозяйства Российской Федерации в качестве учебного пособия для студентов высших учебных заведений по агроэкономическим и агротехнологическим специальностям</t>
  </si>
  <si>
    <t>682813.07.01</t>
  </si>
  <si>
    <t>Агробиологические основы производства, хранения..: Уч.пос. / Баздырев Г.И. - М.:НИЦ ИНФРА-М,2026 - 725 с.(п)</t>
  </si>
  <si>
    <t>Баздырев Г.И., Сафонов А.Ф., Андреев Ю.М. и др.</t>
  </si>
  <si>
    <t>978-5-16-013876-3</t>
  </si>
  <si>
    <t>19.01.01, 35.01.23, 35.01.26, 35.02.05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</si>
  <si>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35.02.05 «Агрономия», 35.02.06 «Технология производства и переработки сельскохозяйственной продукции»</t>
  </si>
  <si>
    <t>682791.04.01</t>
  </si>
  <si>
    <t>Агрометеорология: Уч. / Л.Л.Журина - 3 изд. - М.:НИЦ ИНФРА-М,2026 - 350 с.(СПО)(П)</t>
  </si>
  <si>
    <t>АГРОМЕТЕОРОЛОГИЯ, ИЗД.3</t>
  </si>
  <si>
    <t>Журина Л.Л.</t>
  </si>
  <si>
    <t>978-5-16-013877-0</t>
  </si>
  <si>
    <t>05.02.03, 19.02.11, 19.02.12, 20.02.01, 35.01.26, 35.01.27, 35.02.01, 35.02.05, 35.02.07, 35.02.16, 43.01.11</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</si>
  <si>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35.02.05 «Агрономия», 35.02.06 «Технология производства и переработки сельскохозяйственной продукции»</t>
  </si>
  <si>
    <t>Санкт-Петербургский государственный аграрный университет</t>
  </si>
  <si>
    <t>0319</t>
  </si>
  <si>
    <t>291400.14.01</t>
  </si>
  <si>
    <t>Агрометеорология: Уч. / Л.Л.Журина - 3 изд. - М.:НИЦ ИНФРА-М,2027 - 350 с.-(ВО)(п)</t>
  </si>
  <si>
    <t>978-5-16-010054-8</t>
  </si>
  <si>
    <t>35.03.03, 35.03.04</t>
  </si>
  <si>
    <t>Допущено Министерством сельского хозяйства Российской Федерации в качестве учебника для студентов высших учебных заведений по направлениям подготовки 35.03.03 «Агрохимия и агропочвоведение", 35.03.04 -Агрономия" и 35.03.05 "Садоводство»</t>
  </si>
  <si>
    <t>0315</t>
  </si>
  <si>
    <t>813215.02.01</t>
  </si>
  <si>
    <t>Агрохимические методы исслед.: лаб. прак.: Уч.пос. / Е.Н.Белоусова - М.:НИЦ ИНФРА-М,2026. - 192 с.(ВО)(п)</t>
  </si>
  <si>
    <t>АГРОХИМИЧЕСКИЕ МЕТОДЫ ИССЛЕДОВАНИЙ: ЛАБОРАТОРНЫЙ ПРАКТИКУМ, ИЗД.1</t>
  </si>
  <si>
    <t>Белоусова Е.Н.</t>
  </si>
  <si>
    <t>Высшее образование (КрГАУ)</t>
  </si>
  <si>
    <t>978-5-16-019520-9</t>
  </si>
  <si>
    <t>06.03.02, 35.03.03, 35.03.04, 35.03.05, 35.03.10</t>
  </si>
  <si>
    <t>Рекомендовано Научно-методическим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35.03.03 «Агрохимия и агропочвоведение»</t>
  </si>
  <si>
    <t>Красноярский Государственный Аграрный Университет</t>
  </si>
  <si>
    <t>682814.08.01</t>
  </si>
  <si>
    <t>Агрохимия: Уч.пос. / В.В.Кидин - М.:НИЦ ИНФРА-М,2026 - 351 с.(СПО)(П)</t>
  </si>
  <si>
    <t>АГРОХИМИЯ, ИЗД.1</t>
  </si>
  <si>
    <t>Кидин В.В.</t>
  </si>
  <si>
    <t>978-5-16-014937-0</t>
  </si>
  <si>
    <t>19.02.11, 19.02.12, 20.02.01, 35.01.26, 35.01.27, 35.02.01, 35.02.05, 35.02.07, 35.02.12, 35.02.16, 43.01.11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</si>
  <si>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35.02.05 «Агрономия»</t>
  </si>
  <si>
    <t>288600.07.01</t>
  </si>
  <si>
    <t>Агрохимия: Уч.пос. / В.В.Кидин - М.:НИЦ ИНФРА-М,2026. - 351 с.(ВО)(п)</t>
  </si>
  <si>
    <t>978-5-16-021109-1</t>
  </si>
  <si>
    <t>35.03.03, 35.03.04, 35.04.03</t>
  </si>
  <si>
    <t>Допущено УМО вузов РФ по агрономическому образованию в качестве учебного пособия для подготовки бакалавров, обучающихся по направлению 35.03.03 «Агрохимия и агропочвоведение"</t>
  </si>
  <si>
    <t>279500.11.01</t>
  </si>
  <si>
    <t>Адаптация персонала  в российских организациях..: Моногр. /А.Н.Прошина - М.: НИЦ ИНФРА-М,2027. - 124 с.(о)</t>
  </si>
  <si>
    <t>АДАПТАЦИЯ ПЕРСОНАЛА В РОССИЙСКИХ ОРГАНИЗАЦИЯХ:СОЦИАЛЬНО-УПРАВЛЕНЧЕСКИЙ АНАЛИЗ(НА ПРИМЕРЕ РАБОТНИКОВ С ОГРАНИЧЕННЫМИ ВОЗМОЖНОСТЯМИ), ИЗД.1</t>
  </si>
  <si>
    <t>Прошина А.Н.</t>
  </si>
  <si>
    <t>978-5-16-009821-0</t>
  </si>
  <si>
    <t>38.03.01, 38.03.03, 38.04.03, 41.03.06, 44.03.01</t>
  </si>
  <si>
    <t>653021.04.01</t>
  </si>
  <si>
    <t>Адаптивное возд. на организм льняных тканей.: Моногр. / Н.В.Якутина - М.:ИЦ РИОР,НИЦ ИНФРА-М,2026 -122с.(о)</t>
  </si>
  <si>
    <t>АДАПТИВНОЕ ВОЗДЕЙСТВИЕ НА ОРГАНИЗМ ЛЬНЯНЫХ ТКАНЕЙ, ИЗД.1</t>
  </si>
  <si>
    <t>Якутина Н.В.</t>
  </si>
  <si>
    <t>978-5-369-01667-1</t>
  </si>
  <si>
    <t>22.04.01, 29.03.01, 29.03.05, 38.03.07</t>
  </si>
  <si>
    <t>Российский государственный университет им. А.Н. Косыгина</t>
  </si>
  <si>
    <t>653929.07.01</t>
  </si>
  <si>
    <t>Адаптивно-ландшафтные системы земледелия: Уч. / А.И.Беленков - М.:НИЦ ИНФРА-М,2026. - 213 с.(ВО)(П)</t>
  </si>
  <si>
    <t>АДАПТИВНО-ЛАНДШАФТНЫЕ СИСТЕМЫ ЗЕМЛЕДЕЛИЯ, ИЗД.1</t>
  </si>
  <si>
    <t>Беленков А.И., Мазиров М.А., Зеленев А.В.</t>
  </si>
  <si>
    <t>978-5-16-013068-2</t>
  </si>
  <si>
    <t>35.04.04</t>
  </si>
  <si>
    <t>Рекомендовано в качестве учебника для студентов высших учебных заведений, обучающихся по направлению подготовки 35.04.04 «Агрономия» (квалификация (степень) «магистр»)</t>
  </si>
  <si>
    <t>335300.05.01</t>
  </si>
  <si>
    <t>Адаптивные организационные структуры управления..: Моногр. /Л.Э.Комаева -М.:НИЦ ИНФРА-М,2024-200с.(О)</t>
  </si>
  <si>
    <t>АДАПТИВНЫЕ ОРГАНИЗАЦИОННЫЕ СТРУКТУРЫ УПРАВЛЕНИЯ ПРЕДПРИЯТИЯМИ В НЕСТАБИЛЬНОЙ СРЕДЕ ХОЗЯЙСТВОВАНИЯ, ИЗД.1</t>
  </si>
  <si>
    <t>Л.Э.Комаева, М.Р.Дзагоева, З.Л.Дзакоев</t>
  </si>
  <si>
    <t>978-5-16-010670-0</t>
  </si>
  <si>
    <t>38.03.01, 38.03.02, 38.03.04, 38.04.01, 38.04.02, 38.04.04, 38.06.01</t>
  </si>
  <si>
    <t>Владикавказский институт управления</t>
  </si>
  <si>
    <t>672155.04.01</t>
  </si>
  <si>
    <t>Адаптивные системы упр. с идентифик.: Моногр. / А.И.Рубан - М:НИЦ ИНФРА-М,СФУ,2025 - 1 39 с.(Науч.мысль)(О)</t>
  </si>
  <si>
    <t>АДАПТИВНЫЕ СИСТЕМЫ УПРАВЛЕНИЯ С ИДЕНТИФИКАЦИЕЙ, ИЗД.1</t>
  </si>
  <si>
    <t>Рубан А.И.</t>
  </si>
  <si>
    <t>978-5-16-018646-7</t>
  </si>
  <si>
    <t>27.04.03</t>
  </si>
  <si>
    <t>864009.01.01</t>
  </si>
  <si>
    <t>Адвокатура: Практикум / Е.О.Анисимова и др. - М.:Юр. НОРМА, НИЦ ИНФРА-М,2026. - 112 с.(о)</t>
  </si>
  <si>
    <t>АДВОКАТУРА, ИЗД.1</t>
  </si>
  <si>
    <t>Анисимова Е.О., Володина С.И., Евтеев К.И. и др.</t>
  </si>
  <si>
    <t>978-5-00156-457-7</t>
  </si>
  <si>
    <t>40.03.01, 40.04.01, 40.05.02, 40.05.04, 40.03.02</t>
  </si>
  <si>
    <t>Московский государственный юридический университет им. О.Е. Кутафина</t>
  </si>
  <si>
    <t>682815.07.01</t>
  </si>
  <si>
    <t>Аддиктология. Теоретические и эксперимент...: Уч.пос. / Е.И.Николаева - М.:ИНФРА-М,2026 - 209 с.(СПО)(п)</t>
  </si>
  <si>
    <t>АДДИКТОЛОГИЯ. ТЕОРЕТИЧЕСКИЕ И ЭКСПЕРИМЕНТАЛЬНЫЕ ИССЛЕДОВАНИЯ ФОРМИРОВАНИЯ АДДИКЦИИ, ИЗД.1</t>
  </si>
  <si>
    <t>Николаева Е.И., Каменская В.Г.</t>
  </si>
  <si>
    <t>978-5-16-017022-0</t>
  </si>
  <si>
    <t>40.02.02, 44.02.02, 44.02.04, 44.02.05, 44.02.06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</si>
  <si>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t>
  </si>
  <si>
    <t>Российский государственный педагогический университет им. А.И. Герцена</t>
  </si>
  <si>
    <t>151400.13.01</t>
  </si>
  <si>
    <t>Аддиктология. Теоретические и экспериментальные... / Е.И.Николаева - М.: Форум, 2026 - 208 с.(о)</t>
  </si>
  <si>
    <t>Николаева Е. И., Каменская В. Г.</t>
  </si>
  <si>
    <t>978-5-91134-508-2</t>
  </si>
  <si>
    <t>37.03.01, 39.03.02, 44.03.02, 44.05.01</t>
  </si>
  <si>
    <t>Допущено Учебно-методическим объединением по направлениям педагогического образования в качестве учебника для студентов высших учебных заведений, обучающихся по направлению 050700 "Педагогика"</t>
  </si>
  <si>
    <t>693136.10.01</t>
  </si>
  <si>
    <t>Аддитивное производство: Уч.пос. / Т.В.Тарасова - М.:НИЦ ИНФРА-М,2026 - 196 с.-(ВО (СТАНКИН))(П)</t>
  </si>
  <si>
    <t>АДДИТИВНОЕ ПРОИЗВОДСТВО, ИЗД.1</t>
  </si>
  <si>
    <t>Тарасова Т.В.</t>
  </si>
  <si>
    <t>Высшее образование (СТАНКИН)</t>
  </si>
  <si>
    <t>978-5-16-014676-8</t>
  </si>
  <si>
    <t>Рекомендовано Учебно-методическим советом федерального государственного бюджетного образовательного учреждения высшего образования «Московский государственный технологический университет "СТАНКИН”» (ФГБОУ ВО «МГТУ "СТАНКИН”»)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t>
  </si>
  <si>
    <t>Московский государственный технологический университет "Станкин"</t>
  </si>
  <si>
    <t>769208.04.01</t>
  </si>
  <si>
    <t>Административная деят. орг. внутр. дел: Уч. / Под ред. Костенникова М.В. - М.:НИЦ ИНФРА-М,2026. - 376 с.(СПО)(п)</t>
  </si>
  <si>
    <t>АДМИНИСТРАТИВНАЯ ДЕЯТЕЛЬНОСТЬ ОРГАНОВ ВНУТРЕННИХ ДЕЛ, ИЗД.1</t>
  </si>
  <si>
    <t>Адмиралова И.А., Алимова Е.Н., Василенко Г.Н. и др.</t>
  </si>
  <si>
    <t>978-5-16-017355-9</t>
  </si>
  <si>
    <t>Всероссийский институт повышения квалификации сотрудников Министерства внутренних дел Российской Федерации</t>
  </si>
  <si>
    <t>771448.02.01</t>
  </si>
  <si>
    <t>Административная деят. органов внутр. дел. Общ. ч.: Уч.пос. / Р.Г.Миронов - М.:НИЦ ИНФРА-М,2025 - 222 с.(ВО)(п)</t>
  </si>
  <si>
    <t>АДМИНИСТРАТИВНАЯ ДЕЯТЕЛЬНОСТЬ ОРГАНОВ ВНУТРЕННИХ ДЕЛ. ОБЩАЯ ЧАСТЬ, ИЗД.1</t>
  </si>
  <si>
    <t>Миронов Р.Г., Миронов А.Н.</t>
  </si>
  <si>
    <t>978-5-16-018320-6</t>
  </si>
  <si>
    <t>40.03.01, 40.04.01, 40.05.02</t>
  </si>
  <si>
    <t>Восточная экономико-юридическая гуманитарная академия</t>
  </si>
  <si>
    <t>799145.02.01</t>
  </si>
  <si>
    <t>Административная деят. органов внутр. дел. Особ. часть: Уч.пос. / Р.Г.Миронов - М.:НИЦ ИНФРА-М,2026 - 257 с.(ВО)(п)</t>
  </si>
  <si>
    <t>АДМИНИСТРАТИВНАЯ ДЕЯТЕЛЬНОСТЬ ОРГАНОВ ВНУТРЕННИХ ДЕЛ. ОСОБЕННАЯ ЧАСТЬ, ИЗД.1</t>
  </si>
  <si>
    <t>978-5-16-018715-0</t>
  </si>
  <si>
    <t>40.03.01, 40.05.02</t>
  </si>
  <si>
    <t>824461.02.01</t>
  </si>
  <si>
    <t>Административная ответ. за правонаруш. в области...: Моногр. / Н.Т.Джафарова - М.:НИЦ ИНФРА-М,2027 - 142 с.(Науч.мысль)(о)</t>
  </si>
  <si>
    <t>АДМИНИСТРАТИВНАЯ ОТВЕТСТВЕННОСТЬ ЗА ПРАВОНАРУШЕНИЯ В ОБЛАСТИ ОБОРОТА ИНФОРМАЦИИ, ИЗД.1</t>
  </si>
  <si>
    <t>Джафарова Н.Т.</t>
  </si>
  <si>
    <t>978-5-16-019801-9</t>
  </si>
  <si>
    <t>40.04.01, 40.05.01, 40.05.02, 40.05.03, 40.05.04, 40.06.01</t>
  </si>
  <si>
    <t>Московский университет Министерства внутренних дел Российской Федерации им. В.Я. Кикотя</t>
  </si>
  <si>
    <t>708072.05.01</t>
  </si>
  <si>
    <t>Административная ответств. в ряде стран Европы: Моногр. / Е.В.Зенькович-М.:Юр.Норма, НИЦ ИНФРА-М,2023-128 с.(П)</t>
  </si>
  <si>
    <t>АДМИНИСТРАТИВНАЯ ОТВЕТСТВЕННОСТЬ В РЯДЕ СТРАН ЕВРОПЫ: СРАВНИТЕЛЬНОЕ ИССЛЕДОВАНИЕ, ИЗД.1</t>
  </si>
  <si>
    <t>Зенькович Е.В.</t>
  </si>
  <si>
    <t>978-5-91768-657-8</t>
  </si>
  <si>
    <t>38.03.04, 40.03.01, 40.04.01, 40.05.02, 44.03.05, 46.03.02</t>
  </si>
  <si>
    <t>824556.02.01</t>
  </si>
  <si>
    <t>Административная ответств. за незаконный оборот наркотиков... / М.В.Куцкель - М.:НИЦ ИНФРА-М,2025 - 151 с.(о)</t>
  </si>
  <si>
    <t>АДМИНИСТРАТИВНАЯ ОТВЕТСТВЕННОСТЬ ЗА НЕЗАКОННЫЙ ОБОРОТ НАРКОТИКОВ И РОЛЬ ПОЛИЦИИ В ЕЕ ПРИМЕНЕНИИ, ИЗД.1</t>
  </si>
  <si>
    <t>Куцкель М.В., Цуканов Н.Н.</t>
  </si>
  <si>
    <t>978-5-16-019857-6</t>
  </si>
  <si>
    <t>Сибирский юридический институт Министерства внутренних дел Российской Федерации</t>
  </si>
  <si>
    <t>837251.01.01</t>
  </si>
  <si>
    <t>Административная ответственность в РФ...: Уч.пос. / Н.А.Морозова - М.:НИЦ ИНФРА-М, СФУ,2025-403 с.(ВО (СФУ))(п)</t>
  </si>
  <si>
    <t>АДМИНИСТРАТИВНАЯ ОТВЕТСТВЕННОСТЬ В РОССИЙСКОЙ ФЕДЕРАЦИИ: ТЕОРИЯ, ЗАКОНОДАТЕЛЬСТВО И СУДЕБНАЯ ПРАКТИКА, ИЗД.1</t>
  </si>
  <si>
    <t>Морозова Н.А.</t>
  </si>
  <si>
    <t>Высшее образование (СФУ)</t>
  </si>
  <si>
    <t>978-5-16-020181-8</t>
  </si>
  <si>
    <t>740839.06.01</t>
  </si>
  <si>
    <t>Административная ответственность: Уч.пос. / Б.В.Россинский - М.:Юр.Норма, НИЦ ИНФРА-М,2026 - 248 с.(П)</t>
  </si>
  <si>
    <t>АДМИНИСТРАТИВНАЯ ОТВЕТСТВЕННОСТЬ, ИЗД.1</t>
  </si>
  <si>
    <t>Россинский Б.В.</t>
  </si>
  <si>
    <t>978-5-00156-080-7</t>
  </si>
  <si>
    <t>40.03.01</t>
  </si>
  <si>
    <t>0120</t>
  </si>
  <si>
    <t>820969.01.01</t>
  </si>
  <si>
    <t>Административная юрисдикция: Уч. / А.А.Беженцев - М.:НИЦ ИНФРА-М,2025. - 179 с.(ВО)(п)</t>
  </si>
  <si>
    <t>АДМИНИСТРАТИВНАЯ ЮРИСДИКЦИЯ, ИЗД.1</t>
  </si>
  <si>
    <t>Беженцев А.А.</t>
  </si>
  <si>
    <t>978-5-16-019724-1</t>
  </si>
  <si>
    <t>40.03.01, 40.05.02, 40.05.04</t>
  </si>
  <si>
    <t>Российская академия народного хозяйства и государственной службы при Президенте РФ, ф-л Северо-Западный институт управления</t>
  </si>
  <si>
    <t>852680.01.01</t>
  </si>
  <si>
    <t>Административно-военное право: Уч. / И.А.Адмиралова - М.:НИЦ ИНФРА-М,2026. - 502 с.(ВО)(п)</t>
  </si>
  <si>
    <t>АДМИНИСТРАТИВНО-ВОЕННОЕ ПРАВО, ИЗД.1</t>
  </si>
  <si>
    <t>Адмиралова И.А., Василенко Г.Н., Гасак А.А. и др.</t>
  </si>
  <si>
    <t>978-5-16-021687-4</t>
  </si>
  <si>
    <t>40.04.01, 40.05.01, 40.05.02, 40.05.04, 56.04.12, 40.03.02</t>
  </si>
  <si>
    <t>699371.06.01</t>
  </si>
  <si>
    <t>Административно-деликтное право: Уч.пос. /  Под ред. Хазанова С.Д.-М.:НИЦ ИНФРА-М,2023-293 с.(ВО)(П)</t>
  </si>
  <si>
    <t>АДМИНИСТРАТИВНО-ДЕЛИКТНОЕ ПРАВО, ИЗД.1</t>
  </si>
  <si>
    <t>Аникеенко Ю.Б., Новоселова Н.В., Хазанов С.Д.</t>
  </si>
  <si>
    <t>978-5-16-015129-8</t>
  </si>
  <si>
    <t>40.03.01, 40.04.01, 40.05.01, 40.05.02, 40.05.03, 40.05.04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</si>
  <si>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17 от 11.11.2019)</t>
  </si>
  <si>
    <t>Уральский государственный юридический университет имени В.Ф. Яковлева</t>
  </si>
  <si>
    <t>699371.11.01</t>
  </si>
  <si>
    <t>Административно-деликтное право: Уч.пос. / Ю.Б.Аникеенко, - 2 изд. - М.:НИЦ ИНФРА-М,2027. - 335 с.(ВО)(п)</t>
  </si>
  <si>
    <t>АДМИНИСТРАТИВНО-ДЕЛИКТНОЕ ПРАВО, ИЗД.2</t>
  </si>
  <si>
    <t>Аникеенко Ю.Б., Новоселова Н.В.</t>
  </si>
  <si>
    <t>978-5-16-020269-3</t>
  </si>
  <si>
    <t>687306.02.01</t>
  </si>
  <si>
    <t>Административно-деликтный процесс: надзор и пересмотр.: Моногр./А.В.Новиков-М.:Юр.Норма, НИЦ ИНФРА-М,2019-160с(П)</t>
  </si>
  <si>
    <t>АДМИНИСТРАТИВНО-ДЕЛИКТНЫЙ ПРОЦЕСС: НАДЗОР И ПЕРЕСМОТР ПО НОВЫМ И ВНОВЬ ОТКРЫВШИМСЯ ОБСТОЯТЕЛЬСТВАМ, ИЗД.1</t>
  </si>
  <si>
    <t>Новиков А.В.</t>
  </si>
  <si>
    <t>978-5-91768-947-0</t>
  </si>
  <si>
    <t>38.03.04, 40.02.02, 40.02.04, 40.03.01, 40.04.01, 40.05.02, 44.03.05, 46.03.02</t>
  </si>
  <si>
    <t>657371.16.01</t>
  </si>
  <si>
    <t>Административное право и админ. отв... / Б.В.Россинский - 3 изд. - М.:Юр.Норма, НИЦ ИНФРА-М,2026 - 376 с.(П)</t>
  </si>
  <si>
    <t>АДМИНИСТРАТИВНОЕ ПРАВО И АДМИНИСТРАТИВНАЯ ОТВЕТСТВЕННОСТЬ, ИЗД.3</t>
  </si>
  <si>
    <t>978-5-00156-397-6</t>
  </si>
  <si>
    <t>Курс лекций</t>
  </si>
  <si>
    <t>38.03.04, 40.03.01, 40.04.01, 40.05.01, 40.05.02, 40.05.03, 40.05.04, 44.03.05, 46.03.02</t>
  </si>
  <si>
    <t>0325</t>
  </si>
  <si>
    <t>657371.12.01</t>
  </si>
  <si>
    <t>Административное право и админ. ответ.: Курс лекций / Б.В.Россинский - 2 изд.-М.:Юр.Норма, НИЦ ИНФРА-М,2023-352 с.(П)</t>
  </si>
  <si>
    <t>АДМИНИСТРАТИВНОЕ ПРАВО И АДМИНИСТРАТИВНАЯ ОТВЕТСТВЕННОСТЬ, ИЗД.2</t>
  </si>
  <si>
    <t>978-5-00156-188-0</t>
  </si>
  <si>
    <t>683246.06.01</t>
  </si>
  <si>
    <t>Административное право и админ. ответ.: Уч. пос. / Б.В.Россинский - 2 изд.-М.:Юр.Норма, НИЦ ИНФРА-М,2025-352 с.(П)</t>
  </si>
  <si>
    <t>978-5-00156-306-8</t>
  </si>
  <si>
    <t>0223</t>
  </si>
  <si>
    <t>683246.08.01</t>
  </si>
  <si>
    <t>Административное право и админ. ответ.: Уч. пос. / Б.В.Россинский - 3 изд. - М.:Юр.Норма, НИЦ ИНФРА-М,2026 - 376 с.(П)</t>
  </si>
  <si>
    <t>978-5-00156-396-9</t>
  </si>
  <si>
    <t>657371.07.01</t>
  </si>
  <si>
    <t>Административное право и админ.ответ.: Курс лекций /Б.В.Россинский-М.:Юр.Норма,НИЦ ИНФРА-М,2021-352с(П)</t>
  </si>
  <si>
    <t>АДМИНИСТРАТИВНОЕ ПРАВО И АДМИНИСТРАТИВНАЯ ОТВЕТСТВЕННОСТЬ, ИЗД.1</t>
  </si>
  <si>
    <t>978-5-91768-842-8</t>
  </si>
  <si>
    <t>683260.07.01</t>
  </si>
  <si>
    <t>Административное право России: Уч. / С.Н.Братановский - 3 изд. - М.:ИЦ РИОР, НИЦ ИНФРА-М,2025. - 287 с.(ВО)(п)</t>
  </si>
  <si>
    <t>АДМИНИСТРАТИВНОЕ ПРАВО РОССИИ, ИЗД.3</t>
  </si>
  <si>
    <t>Братановский С.Н., Капитанец Ю.В., Вулах М.Г.</t>
  </si>
  <si>
    <t>978-5-369-01977-1</t>
  </si>
  <si>
    <t>40.02.04, 40.03.01, 40.04.01, 40.05.01, 40.05.02, 40.05.03, 40.05.04, 44.03.05, 46.03.02</t>
  </si>
  <si>
    <t>АКАДЕМУС-2018, Победитель</t>
  </si>
  <si>
    <t>683260.08.01</t>
  </si>
  <si>
    <t>Административное право России: Уч. / С.Н.Братановский - 4 изд. - М.:ИЦ РИОР, НИЦ ИНФРА-М,2026. - 298 с.(ВО)(п)</t>
  </si>
  <si>
    <t>АДМИНИСТРАТИВНОЕ ПРАВО РОССИИ, ИЗД.4</t>
  </si>
  <si>
    <t>Братановский С.Н., Капитанец Ю.В., Соцков В.В.</t>
  </si>
  <si>
    <t>978-5-369-03001-1</t>
  </si>
  <si>
    <t>0426</t>
  </si>
  <si>
    <t>683260.02.01</t>
  </si>
  <si>
    <t>Административное право России: Уч. / С.Н.Братановский - М.:ИЦ РИОР, НИЦ ИНФРА-М,2019.-499 с.(ВО)(П)</t>
  </si>
  <si>
    <t>АДМИНИСТРАТИВНОЕ ПРАВО РОССИИ, ИЗД.1</t>
  </si>
  <si>
    <t>Братановский С.Н., Братановская М.С., Конджакулян К.М.</t>
  </si>
  <si>
    <t>978-5-369-01798-2</t>
  </si>
  <si>
    <t>683260.06.01</t>
  </si>
  <si>
    <t>Административное право России: Уч. / С.Н.Братановский-2 изд.-М.:ИЦ РИОР, НИЦ ИНФРА-М,2024-285с.(ВО)(п)</t>
  </si>
  <si>
    <t>АДМИНИСТРАТИВНОЕ ПРАВО РОССИИ, ИЗД.2</t>
  </si>
  <si>
    <t>978-5-369-01927-6</t>
  </si>
  <si>
    <t>695785.09.01</t>
  </si>
  <si>
    <t>Административное право. Практикум: Уч.пос. / С.Н.Зайкова - М.:НИЦ ИНФРА-М,2025. - 181 с.(ВО)(п)</t>
  </si>
  <si>
    <t>АДМИНИСТРАТИВНОЕ ПРАВО. ПРАКТИКУМ, ИЗД.1</t>
  </si>
  <si>
    <t>Зайкова С.Н.</t>
  </si>
  <si>
    <t>978-5-16-020009-5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</si>
  <si>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4 от 02.03.2020)</t>
  </si>
  <si>
    <t>Саратовская государственная юридическая академия</t>
  </si>
  <si>
    <t>757760.06.01</t>
  </si>
  <si>
    <t>Административное право. Практикум: Уч.пос. / С.Н.Зайкова - М.:НИЦ ИНФРА-М,2027 - 181 с.-(СПО)(п)</t>
  </si>
  <si>
    <t>978-5-16-016909-5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</si>
  <si>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12 от 14.12.2020)</t>
  </si>
  <si>
    <t>862509.01.01</t>
  </si>
  <si>
    <t>Административное право: позитивные институты: Уч. / Г.Н.Василенко. - М.:НИЦ ИНФРА-М,2026. - 403 с.(ВО)(п)</t>
  </si>
  <si>
    <t>АДМИНИСТРАТИВНОЕ ПРАВО: ПОЗИТИВНЫЕ ИНСТИТУТЫ, ИЗД.1</t>
  </si>
  <si>
    <t>Василенко Г.Н., Брунер Р.А., Бочаров С.Н. и др.</t>
  </si>
  <si>
    <t>978-5-16-021362-0</t>
  </si>
  <si>
    <t>Профессиональное образование / ВО - Кадры высшей квалификации / Аспирантура</t>
  </si>
  <si>
    <t>38.03.04, 38.05.02, 38.06.01, 40.04.01, 40.05.01, 40.05.03, 40.05.04, 40.06.01</t>
  </si>
  <si>
    <t>136450.03.01</t>
  </si>
  <si>
    <t>Административное право: Прак. / Под ред. Старилова Ю.Н. - 2 изд. - М.:Юр. НОРМА, НИЦ ИНФРА-М,2025 - 224 с.(п)</t>
  </si>
  <si>
    <t>АДМИНИСТРАТИВНОЕ ПРАВО, ИЗД.2</t>
  </si>
  <si>
    <t>Старилов Ю.Н., Гриценко В.В., Денисова Г.Д. и др.</t>
  </si>
  <si>
    <t>Практикум: Для юридических вузов и факультетов</t>
  </si>
  <si>
    <t>978-5-00156-443-0</t>
  </si>
  <si>
    <t>Воронежский государственный университет</t>
  </si>
  <si>
    <t>867439.01.01</t>
  </si>
  <si>
    <t>Административное право: Практикум: Уч.пос. / С.Д.Хазанов и др. - М.:НИЦ ИНФРА-М,2026. - 590 с.(ВО)(п)</t>
  </si>
  <si>
    <t>АДМИНИСТРАТИВНОЕ ПРАВО: ПРАКТИКУМ, ИЗД.1</t>
  </si>
  <si>
    <t>Хазанов С.Д., Новоселова Н.В., Грачева М.В.</t>
  </si>
  <si>
    <t>978-5-16-021559-4</t>
  </si>
  <si>
    <t>10.05.04, 38.03.04, 38.05.02, 40.03.01, 40.05.01, 40.05.02, 40.05.03, 40.05.04, 44.03.05, 46.03.02, 40.03.02</t>
  </si>
  <si>
    <t>078380.21.01</t>
  </si>
  <si>
    <t>Административное право: Уч. / А.Н.Миронов - 3 изд. - М.:ИД ФОРУМ, НИЦ ИНФРА-М,2022 - 320 с.(П)</t>
  </si>
  <si>
    <t>АДМИНИСТРАТИВНОЕ ПРАВО, ИЗД.3</t>
  </si>
  <si>
    <t>Миронов А.Н.</t>
  </si>
  <si>
    <t>978-5-8199-0726-9</t>
  </si>
  <si>
    <t>26.02.02, 40.02.02, 40.02.04</t>
  </si>
  <si>
    <t>078380.28.01</t>
  </si>
  <si>
    <t>Административное право: Уч. / А.Н.Миронов - 4 изд. -  М.:НИЦ ИНФРА-М,2026 - 333 с.-(СПО)(п)</t>
  </si>
  <si>
    <t>АДМИНИСТРАТИВНОЕ ПРАВО, ИЗД.4</t>
  </si>
  <si>
    <t>978-5-16-016327-7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</si>
  <si>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11 от 09.11.2020)</t>
  </si>
  <si>
    <t>0421</t>
  </si>
  <si>
    <t>852390.01.01</t>
  </si>
  <si>
    <t>Административное право: Уч. / Н.А.Игошин и др. - М.:НИЦ ИНФРА-М,2026. - 304 с.-(ВО)(п)</t>
  </si>
  <si>
    <t>АДМИНИСТРАТИВНОЕ ПРАВО, ИЗД.1</t>
  </si>
  <si>
    <t>Игошин Н.А., Малютин Н.С., Сергевнин С.Л. и др.</t>
  </si>
  <si>
    <t>978-5-16-021128-2</t>
  </si>
  <si>
    <t>38.03.04, 38.05.02, 40.03.01, 40.05.01, 40.05.02, 40.05.03, 40.03.02</t>
  </si>
  <si>
    <t>Октябрь, 2025</t>
  </si>
  <si>
    <t>102000.22.01</t>
  </si>
  <si>
    <t>Административное право: Уч. / Под ред. Л.Л.Попова - 3 изд. - М.:Юр.Норма,НИЦ ИНФРА-М,2026 - 736 с.(п)</t>
  </si>
  <si>
    <t>Попов Л.Л., Студеникина М.С.</t>
  </si>
  <si>
    <t>978-5-00156-083-8</t>
  </si>
  <si>
    <t>38.03.04, 40.02.02, 40.02.04, 40.03.01, 40.05.01, 40.05.02, 40.05.03, 40.05.04, 44.03.05, 46.03.02</t>
  </si>
  <si>
    <t>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40.03.01 (030900) «Юриспруденция», квалификация (степень) «бакалавр»</t>
  </si>
  <si>
    <t>0320</t>
  </si>
  <si>
    <t>102000.12.01</t>
  </si>
  <si>
    <t>Административное право: Уч. / Под ред. Попова Л.Л. - 2 изд. - М.:Юр.Норма,ИНФРА-М,2019 - 704 с.(П)</t>
  </si>
  <si>
    <t>Попов Л. Л., Студеникина М. С.</t>
  </si>
  <si>
    <t>978-5-91768-690-5</t>
  </si>
  <si>
    <t>051000.12.01</t>
  </si>
  <si>
    <t>Административное право: Уч. для вузов / Б.В.Россинский - 5 изд.-М.:Юр.Норма,НИЦ ИНФРА-М,2018-576с(П)</t>
  </si>
  <si>
    <t>АДМИНИСТРАТИВНОЕ ПРАВО, ИЗД.5</t>
  </si>
  <si>
    <t>Россинский Б.В., Старилов Ю.Н.</t>
  </si>
  <si>
    <t>978-5-91768-599-1</t>
  </si>
  <si>
    <t>38.03.04, 40.02.02, 40.02.04, 40.03.01, 40.05.01, 40.05.02, 40.05.03, 40.05.04, 44.03.05</t>
  </si>
  <si>
    <t>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40.03.01 (030900) Юриспруденция, квалификация (степень) «бакалавр»</t>
  </si>
  <si>
    <t>0515</t>
  </si>
  <si>
    <t>051000.18.01</t>
  </si>
  <si>
    <t>Административное право: Уч. для вузов / Б.В.Россинский, - 7 изд. - М.:Юр.Норма, НИЦ ИНФРА-М,2026 - 840 с.(П)</t>
  </si>
  <si>
    <t>АДМИНИСТРАТИВНОЕ ПРАВО, ИЗД.7</t>
  </si>
  <si>
    <t>978-5-00156-385-3</t>
  </si>
  <si>
    <t>0725</t>
  </si>
  <si>
    <t>051000.13.01</t>
  </si>
  <si>
    <t>Административное право: Уч. для вузов / Б.В.Россинский,-6 изд.-М.:Юр.Норма, НИЦ ИНФРА-М,2019-640с(П)</t>
  </si>
  <si>
    <t>АДМИНИСТРАТИВНОЕ ПРАВО, ИЗД.6</t>
  </si>
  <si>
    <t>978-5-91768-983-8</t>
  </si>
  <si>
    <t>0619</t>
  </si>
  <si>
    <t>690226.04.01</t>
  </si>
  <si>
    <t>Административное право: Уч.пос. / Т.И.Губарева - М.:НИЦ ИНФРА-М,2024 - 481 с.(СПО)(П)</t>
  </si>
  <si>
    <t>Губарева Т.И., Трусов А.И.</t>
  </si>
  <si>
    <t>978-5-16-014475-7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</si>
  <si>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4 от 21.04.2021)</t>
  </si>
  <si>
    <t>Краснодарский университет  Министерства внутренних дел Российской Федерации, Ставропольский ф-л</t>
  </si>
  <si>
    <t>СПО-2018, Победитель</t>
  </si>
  <si>
    <t>683425.07.01</t>
  </si>
  <si>
    <t>Административное судопроизводство: Уч. / Под ред. Смагиной Е.С. - М.:НИЦ ИНФРА-М,2026 - 483 с.(ВО)(п)</t>
  </si>
  <si>
    <t>АДМИНИСТРАТИВНОЕ СУДОПРОИЗВОДСТВО, ИЗД.1</t>
  </si>
  <si>
    <t>Власенко В.А., Зиновьева О.П., Невский И.А. и др.</t>
  </si>
  <si>
    <t>978-5-16-014384-2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</si>
  <si>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4 от 25.02.2019)</t>
  </si>
  <si>
    <t>Южный федеральный университет</t>
  </si>
  <si>
    <t>696633.06.01</t>
  </si>
  <si>
    <t>Административное судопроизводство: Уч.пос. / Ю.Н.Старилов - 2 изд. - М.:Юр. НОРМА, НИЦ ИНФРА-М,2027. - 624 с.(П)</t>
  </si>
  <si>
    <t>АДМИНИСТРАТИВНОЕ СУДОПРОИЗВОДСТВО, ИЗД.2</t>
  </si>
  <si>
    <t>Старилов Ю.Н., Рогачева О.С., Махина С.Н.</t>
  </si>
  <si>
    <t>978-5-00156-263-4</t>
  </si>
  <si>
    <t>696633.03.01</t>
  </si>
  <si>
    <t>Административное судопроизводство: Уч.пос. / Ю.Н.Старилов - М.:Юр.Норма,НИЦ ИНФРА-М,2020 - 496 с.(П)</t>
  </si>
  <si>
    <t>978-5-91768-979-1</t>
  </si>
  <si>
    <t>726673.06.01</t>
  </si>
  <si>
    <t>Административно-прав. аспекты гос. упр. в России...: Моногр. / Россинский Б.В. - М.:Юр.Норма,НИЦ ИНФРА-М,2025 - 168 с.(П)</t>
  </si>
  <si>
    <t>АДМИНИСТРАТИВНО-ПРАВОВЫЕ АСПЕКТЫ ГОСУДАРСТВЕННОГО УПРАВЛЕНИЯ В РОССИИ: СИСТЕМНЫЕ ПОДХОДЫ, ИЗД.1</t>
  </si>
  <si>
    <t>978-5-00156-042-5</t>
  </si>
  <si>
    <t>38.03.04, 38.04.04, 40.03.01, 40.04.01, 40.06.01</t>
  </si>
  <si>
    <t>740823.03.01</t>
  </si>
  <si>
    <t>Административно-прав. защита прав и законных интересов граждан / Ю.Г.Федотова - М.:НИЦ ИНФРА-М,2025. - 330 с.(О)</t>
  </si>
  <si>
    <t>АДМИНИСТРАТИВНО-ПРАВОВАЯ ЗАЩИТА ПРАВ И ЗАКОННЫХ ИНТЕРЕСОВ ГРАЖДАН В СФЕРЕ ОБЕСПЕЧЕНИЯ ОБОРОНЫ И БЕЗОПАСНОСТИ РОССИЙСКОЙ ФЕДЕРАЦИИ, ИЗД.1</t>
  </si>
  <si>
    <t>Федотова Ю.Г.</t>
  </si>
  <si>
    <t>978-5-16-016356-7</t>
  </si>
  <si>
    <t>40.03.01, 40.04.01, 40.05.01, 40.05.04, 40.06.01</t>
  </si>
  <si>
    <t>706543.03.01</t>
  </si>
  <si>
    <t>Административно-прав. обесп. безоп. дорожного движ. в РФ:Моногр./П.Молчанов-М.:Юр.Норма,2023-248с(П)</t>
  </si>
  <si>
    <t>АДМИНИСТРАТИВНО-ПРАВОВОЕ ОБЕСПЕЧЕНИЕ БЕЗОПАСНОСТИ ДОРОЖНОГО ДВИЖЕНИЯ В РФ, ИЗД.1</t>
  </si>
  <si>
    <t>Молчанов П.В.</t>
  </si>
  <si>
    <t>978-5-91768-642-4</t>
  </si>
  <si>
    <t>854258.01.01</t>
  </si>
  <si>
    <t>Административно-прав. статус иностр. граждан и лиц без гражд.../ В.А.Морозов - М.:НИЦ ИНФРА-М,2025. - 169 с.(о)</t>
  </si>
  <si>
    <t>АДМИНИСТРАТИВНО-ПРАВОВОЙ СТАТУС ИНОСТРАННЫХ ГРАЖДАН И ЛИЦ БЕЗ ГРАЖДАНСТВА, СОДЕРЖАЩИХСЯ В СПЕЦИАЛЬНЫХ УЧРЕЖДЕНИЯХ МВД РОССИИ, ИЗД.1</t>
  </si>
  <si>
    <t>Морозов В.А.</t>
  </si>
  <si>
    <t>978-5-16-020943-2</t>
  </si>
  <si>
    <t>849435.01.01</t>
  </si>
  <si>
    <t>Административно-правовой институт декларир.: Моногр. / Г.Н.Василенко - М.:НИЦ ИНФРА-М,2025. - 289 с.)(п)</t>
  </si>
  <si>
    <t>АДМИНИСТРАТИВНО-ПРАВОВОЙ ИНСТИТУТ ДЕКЛАРИРОВАНИЯ, ИЗД.1</t>
  </si>
  <si>
    <t>Василенко Г.Н.</t>
  </si>
  <si>
    <t>978-5-16-020724-7</t>
  </si>
  <si>
    <t>38.05.02, 38.06.01</t>
  </si>
  <si>
    <t>800682.01.01</t>
  </si>
  <si>
    <t>Административно-правовой статус врача...: Моногр. / А.С.Зайкова-М.:НИЦ ИНФРА-М,2023.-124 с..(о)</t>
  </si>
  <si>
    <t>АДМИНИСТРАТИВНО-ПРАВОВОЙ СТАТУС ВРАЧА: ОСНОВНЫЕ НАПРАВЛЕНИЯ СОВЕРШЕНСТВОВАНИЯ, ИЗД.1</t>
  </si>
  <si>
    <t>Зайкова А.С.</t>
  </si>
  <si>
    <t>978-5-16-018419-7</t>
  </si>
  <si>
    <t>31.05.01, 31.06.01, 40.03.01, 40.04.01, 40.06.01</t>
  </si>
  <si>
    <t>670764.07.01</t>
  </si>
  <si>
    <t>Административно-правовые формы и методы...: Уч.пос./ М.М.Поляков - М.:Юр.Норма, НИЦ ИНФРА-М,2026. - 128 с.(О)</t>
  </si>
  <si>
    <t>АДМИНИСТРАТИВНО-ПРАВОВЫЕ ФОРМЫ И МЕТОДЫ ПРОТИВОДЕЙСТВИЯ КОРРУПЦИИ, ИЗД.1</t>
  </si>
  <si>
    <t>Поляков М.М.</t>
  </si>
  <si>
    <t>978-5-91768-873-2</t>
  </si>
  <si>
    <t>128250.17.01</t>
  </si>
  <si>
    <t>Административно-процессуальное право: Уч.пос. / А.Н.Миронов, - 2  изд. - М.:НИЦ ИНФРА-М,2026. - 169 с.(п)</t>
  </si>
  <si>
    <t>АДМИНИСТРАТИВНО-ПРОЦЕССУАЛЬНОЕ ПРАВО, ИЗД.2</t>
  </si>
  <si>
    <t>978-5-16-021947-9</t>
  </si>
  <si>
    <t>825363.02.01</t>
  </si>
  <si>
    <t>Административные правонаруш., отнесённые к компетенции военной...: Уч.прак. пос. / С.А.Минтягов - М.:НИЦ ИНФРА-М,2026 - 207 с.(п)</t>
  </si>
  <si>
    <t>АДМИНИСТРАТИВНЫЕ ПРАВОНАРУШЕНИЯ, ОТНЕСЁННЫЕ К КОМПЕТЕНЦИИ ВОЕННОЙ ПОЛИЦИИ ВООРУЖЁННЫХ СИЛ РОССИЙСКОЙ ФЕДЕРАЦИИ, ИЗД.1</t>
  </si>
  <si>
    <t>Минтягов С.А.</t>
  </si>
  <si>
    <t>978-5-16-019835-4</t>
  </si>
  <si>
    <t>Учебно-практическое пособие</t>
  </si>
  <si>
    <t>00.03.41, 40.04.01, 40.05.01</t>
  </si>
  <si>
    <t>Всероссийский государственный университет юстиции (РПА Минюста России)</t>
  </si>
  <si>
    <t>648401.12.01</t>
  </si>
  <si>
    <t>Административные процедуры: Моногр. / Л.Л.Попов - М.:Юр.Норма, НИЦ ИНФРА-М,2026. - 240 с.(П)</t>
  </si>
  <si>
    <t>АДМИНИСТРАТИВНЫЕ ПРОЦЕДУРЫ, ИЗД.1</t>
  </si>
  <si>
    <t>Попов Л.Л.</t>
  </si>
  <si>
    <t>978-5-91768-806-0</t>
  </si>
  <si>
    <t>38.03.04, 40.03.01, 44.03.05, 46.03.02</t>
  </si>
  <si>
    <t>871541.02.01</t>
  </si>
  <si>
    <t>Административный конституц. в правовом механизме публич. управ.../Р.В.Нагорных - М.:НИЦ ИНФРА-М,2026 - 196 с.(п)</t>
  </si>
  <si>
    <t>АДМИНИСТРАТИВНЫЙ КОНСТИТУЦИОНАЛИЗМ В ПРАВОВОМ МЕХАНИЗМЕ ПУБЛИЧНОГО УПРАВЛЕНИЯ СОВРЕМЕННОЙ РОССИИ, ИЗД.1</t>
  </si>
  <si>
    <t>Нагорных Р.В.</t>
  </si>
  <si>
    <t>978-5-16-021865-6</t>
  </si>
  <si>
    <t>38.04.04, 40.04.01, 40.05.01, 40.05.02, 40.05.04, 40.06.01</t>
  </si>
  <si>
    <t>Вологодский институт права и экономики Федеральной службы исполнения наказаний</t>
  </si>
  <si>
    <t>083080.15.01</t>
  </si>
  <si>
    <t>Административный менеджмент: Уч. / А.В.Райченко - М.:НИЦ ИНФРА-М,2027. - 416 с.(Уч.и для программы MBA)(п)</t>
  </si>
  <si>
    <t>АДМИНИСТРАТИВНЫЙ МЕНЕДЖМЕНТ, ИЗД.1</t>
  </si>
  <si>
    <t>Райченко А. В.</t>
  </si>
  <si>
    <t>Учебники для программы MBA</t>
  </si>
  <si>
    <t>978-5-16-018769-3</t>
  </si>
  <si>
    <t>38.03.02, 38.04.02, 41.03.06</t>
  </si>
  <si>
    <t>Допущено Министерством образования РФ в качестве учебного пособия для слушателей образовательных учреждений, обучающихся по программе MBA и другим программам подготовки управленческих кадров</t>
  </si>
  <si>
    <t>Государственный университет управления</t>
  </si>
  <si>
    <t>0107</t>
  </si>
  <si>
    <t>862429.01.01</t>
  </si>
  <si>
    <t>Административный порядок разрешения правовых споров....: Моногр. / Д.М.Лифанов - М.:НИЦ ИНФРА-М,2026. - 256 с.(п)</t>
  </si>
  <si>
    <t>АДМИНИСТРАТИВНЫЙ ПОРЯДОК РАЗРЕШЕНИЯ ПРАВОВЫХ СПОРОВ: ВОПРОСЫ МАТЕРИАЛЬНОГО И ПРОЦЕССУАЛЬНОГО ПРАВА (МОНОГРАФИЯ), ИЗД.1</t>
  </si>
  <si>
    <t>Лифанов Д.М.</t>
  </si>
  <si>
    <t>978-5-16-021405-4</t>
  </si>
  <si>
    <t>40.03.01, 40.04.01, 40.05.01, 40.05.02, 40.05.04, 40.06.01, 40.03.02</t>
  </si>
  <si>
    <t>265800.08.01</t>
  </si>
  <si>
    <t>Адсорбенты и носители катализаторов..: моногр. / В.С.Комаров - М.:НИЦ ИНФРА-М ,2027 - 203 с.(о)</t>
  </si>
  <si>
    <t>АДСОРБЕНТЫ И НОСИТЕЛИ КАТАЛИЗАТОРОВ. НАУЧНЫЕ ОСНОВЫ РЕГУЛИРОВАНИЯ ПОРИСТОЙ СТРУКТУРЫ, ИЗД.1</t>
  </si>
  <si>
    <t>Комаров В.С., Бесараб С.В.</t>
  </si>
  <si>
    <t>978-5-16-009581-3</t>
  </si>
  <si>
    <t>Химические науки</t>
  </si>
  <si>
    <t>04.03.01, 04.03.02, 18.03.01, 18.03.02</t>
  </si>
  <si>
    <t>Национальная академия наук Беларуси</t>
  </si>
  <si>
    <t>672225.03.01</t>
  </si>
  <si>
    <t>Адсорбция бактерий почвой и её эпидемиол. знач.: Моногр. / В.Н.Кисленко-М.:НИЦ ИНФРА-М,2023-156с(П)</t>
  </si>
  <si>
    <t>АДСОРБЦИЯ БАКТЕРИЙ ПОЧВОЙ И ЕЁ ЭПИДЕМИОЛОГИЧЕСКОЕ ЗНАЧЕНИЕ, ИЗД.1</t>
  </si>
  <si>
    <t>Кисленко В.Н.</t>
  </si>
  <si>
    <t>978-5-16-013499-4</t>
  </si>
  <si>
    <t>06.03.01, 06.04.01, 19.03.01, 35.03.03, 35.03.04, 36.03.01</t>
  </si>
  <si>
    <t>Сибирский государственный университет инженерии и биотехнологий</t>
  </si>
  <si>
    <t>421950.08.01</t>
  </si>
  <si>
    <t>Азбука психологии: Уч.пос.для студентов-иностр. / З.В.Бойко - М.: Форум, НИЦ ИНФРА-М, 2027. -192 с.(О)</t>
  </si>
  <si>
    <t>АЗБУКА ПСИХОЛОГИИ, ИЗД.1</t>
  </si>
  <si>
    <t>Бойко З.В., Полянская Е.Н., Полянская В.И.</t>
  </si>
  <si>
    <t>978-5-91134-727-7</t>
  </si>
  <si>
    <t>37.03.01, 37.03.02, 37.05.02, 44.03.02</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</si>
  <si>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ФГОС ВПО ОЗОЗОО "Психология"</t>
  </si>
  <si>
    <t>641499.09.01</t>
  </si>
  <si>
    <t>Аксиологические основы воспитания нрав..: Моногр. / С.В.Яковлев - 2 изд. - М.:НИЦ ИНФРА-М,2025 - 170 с.(о)</t>
  </si>
  <si>
    <t>АКСИОЛОГИЧЕСКИЕ ОСНОВЫ ВОСПИТАНИЯ НРАВСТВЕННОЙ КУЛЬТУРЫ ЛИЧНОСТИ В СИСТЕМЕ ОБЩЕГО ОБРАЗОВАНИЯ, ИЗД.2</t>
  </si>
  <si>
    <t>Яковлев С.В.</t>
  </si>
  <si>
    <t>978-5-16-019991-7</t>
  </si>
  <si>
    <t>44.03.01, 44.03.04, 44.03.05</t>
  </si>
  <si>
    <t>641499.08.01</t>
  </si>
  <si>
    <t>Аксиологические основы воспитания нрав..: Моногр. / С.В.Яковлев - М.:НИЦ ИНФРА-М,2024 - 137 с(Науч.мысль)</t>
  </si>
  <si>
    <t>АКСИОЛОГИЧЕСКИЕ ОСНОВЫ ВОСПИТАНИЯ НРАВСТВЕННОЙ КУЛЬТУРЫ ЛИЧНОСТИ В СИСТЕМЕ ОБЩЕГО ОБРАЗОВАНИЯ, ИЗД.1</t>
  </si>
  <si>
    <t>978-5-16-012340-0</t>
  </si>
  <si>
    <t>868324.01.01</t>
  </si>
  <si>
    <t>Активность личности обучающихся: Моногр. / В.А.Беликов - М.:НИЦ ИНФРА-М,2026. - 186 с.(Науч.мысль)(о)</t>
  </si>
  <si>
    <t>АКТИВНОСТЬ ЛИЧНОСТИ ОБУЧАЮЩИХСЯ, ИЗД.1</t>
  </si>
  <si>
    <t>Беликов В.А.</t>
  </si>
  <si>
    <t>978-5-16-021647-8</t>
  </si>
  <si>
    <t>00.03.15, 00.05.15, 44.04.01, 44.04.02, 44.06.01</t>
  </si>
  <si>
    <t>Уральская высшая школа (институт) общественных наук</t>
  </si>
  <si>
    <t>801902.02.01</t>
  </si>
  <si>
    <t>Акторы и субъекты международ. экон. отнош.на соврем.этапе...: Ч.2: Моногр. / В.Л.Абрамов - М.:НИЦ ИНФРА-М,2026 - 234 с.(о)</t>
  </si>
  <si>
    <t>АКТОРЫ И СУБЪЕКТЫ МЕЖДУНАРОДНЫХ ЭКОНОМИЧЕСКИХ ОТНОШЕНИЙ НА СОВРЕМЕННОМ ЭТАПЕ РАЗВИТИЯ МИРОВОГО СООБЩЕСТВА, ИЗД.1</t>
  </si>
  <si>
    <t>Перская В.В., Ткаченко А.А., Кузнецов А.В. и др.</t>
  </si>
  <si>
    <t>978-5-16-019095-2</t>
  </si>
  <si>
    <t>38.04.01, 38.04.02, 38.05.01, 38.06.01</t>
  </si>
  <si>
    <t>818391.01.01</t>
  </si>
  <si>
    <t>Актуальные воп. и перспективы образоват. процесса.../ И.Н.Айнутдинова-М.:НИЦ ИНФРА-М,2024.-176 с.(п)</t>
  </si>
  <si>
    <t>АКТУАЛЬНЫЕ ВОПРОСЫ И ПЕРСПЕКТИВЫ ОБРАЗОВАТЕЛЬНОГО ПРОЦЕССА В ВЫСШЕЙ ШКОЛЕ, ИЗД.1</t>
  </si>
  <si>
    <t>Айнутдинова И.Н., Айнутдинова К.А., Гали Г.Ф. и др.</t>
  </si>
  <si>
    <t>978-5-16-019787-6</t>
  </si>
  <si>
    <t>44.04.01, 44.06.01</t>
  </si>
  <si>
    <t>832387.02.01</t>
  </si>
  <si>
    <t>Актуальные воп. кардиоревмат. дет. возраста: Уч.мет.пос. / А.И.Зарянкина - М.:НИЦ ИНФРА-М, ГомГМУ,2026 - 327 с.(п)</t>
  </si>
  <si>
    <t>АКТУАЛЬНЫЕ ВОПРОСЫ КАРДИОРЕВМАТОЛОГИИ ДЕТСКОГО ВОЗРАСТА, ИЗД.1</t>
  </si>
  <si>
    <t>Зарянкина А.И., Ивкина С.С., Бубневич Т.Е. и др.</t>
  </si>
  <si>
    <t>978-5-16-020101-6</t>
  </si>
  <si>
    <t>32.04.01</t>
  </si>
  <si>
    <t>Рекомендовано учебно-методическим объединением в сфере дополнительного образования взрослых по профилю образования «Здравоохранение»</t>
  </si>
  <si>
    <t>857369.01.01</t>
  </si>
  <si>
    <t>Актуальные воп. учета, анализа и аудита финанс.-хоз. деят.: Уч. / К.Ю.Коновалова - М.:НИЦ ИНФРА-М,2026 - 534 с.(п)</t>
  </si>
  <si>
    <t>АКТУАЛЬНЫЕ ВОПРОСЫ УЧЕТА, АНАЛИЗА И АУДИТА ФИНАНСОВО-ХОЗЯЙСТВЕННОЙ ДЕЯТЕЛЬНОСТИ, ИЗД.1</t>
  </si>
  <si>
    <t>Коновалова К.Ю.</t>
  </si>
  <si>
    <t>978-5-16-021039-1</t>
  </si>
  <si>
    <t>38.04.01</t>
  </si>
  <si>
    <t>656481.08.01</t>
  </si>
  <si>
    <t>Актуальные вопр. защиты информации: Моногр. / Е.К.Баранова - 2 изд. - М.:ИЦ РИОР, НИЦ ИНФРА-М,2026. - 216 с.(о)</t>
  </si>
  <si>
    <t>АКТУАЛЬНЫЕ ВОПРОСЫ ЗАЩИТЫ ИНФОРМАЦИИ, ИЗД.2</t>
  </si>
  <si>
    <t>Баранова Е.К., Бабаш А.В.</t>
  </si>
  <si>
    <t>978-5-369-01972-6</t>
  </si>
  <si>
    <t>09.03.01, 10.03.01, 10.04.01, 10.05.01, 10.05.02, 10.05.03, 10.05.04, 10.05.05, 10.05.07, 27.03.02, 27.04.03, 46.03.02</t>
  </si>
  <si>
    <t>700725.05.01</t>
  </si>
  <si>
    <t>Актуальные вопросы аэротехногенной безоп.: Моногр / Н.Н.Крупина - М.:НИЦ ИНФРА-М,2026. - 188 с.(О)</t>
  </si>
  <si>
    <t>АКТУАЛЬНЫЕ ВОПРОСЫ АЭРОТЕХНОГЕННОЙ БЕЗОПАСНОСТИ ПРОМЗОН: ФАКТОР ОЗЕЛЕНЕНИЯ, ИЗД.1</t>
  </si>
  <si>
    <t>Крупина Н.Н., Киприянова Е.Н.</t>
  </si>
  <si>
    <t>978-5-16-014826-7</t>
  </si>
  <si>
    <t>05.04.06, 05.06.01, 20.04.01, 20.04.02, 20.06.01</t>
  </si>
  <si>
    <t>656481.06.01</t>
  </si>
  <si>
    <t>Актуальные вопросы защиты информации: Моногр. / Е.К.Баранова-М.:ИЦ РИОР, НИЦ ИНФРА-М,2023-111с.(О)</t>
  </si>
  <si>
    <t>АКТУАЛЬНЫЕ ВОПРОСЫ ЗАЩИТЫ ИНФОРМАЦИИ, ИЗД.1</t>
  </si>
  <si>
    <t>978-5-369-01680-0</t>
  </si>
  <si>
    <t>649112.07.01</t>
  </si>
  <si>
    <t>Актуальные каналы соц. личности...: Моногр. / Под ред. Сергеева В.П. - 2 изд. - М.:НИЦ ИНФРА-М,2026 - 131 с.(О)</t>
  </si>
  <si>
    <t>АКТУАЛЬНЫЕ КАНАЛЫ СОЦИАЛИЗАЦИИ ЛИЧНОСТИ: ОТ ТЕОРИИ К ТЕХНОЛОГИЯМ, ИЗД.2</t>
  </si>
  <si>
    <t>Сергеева В.П., Подымова Л.С., Алисов Е.А. и др.</t>
  </si>
  <si>
    <t>978-5-16-014154-1</t>
  </si>
  <si>
    <t>44.03.01, 44.03.02, 44.03.03, 44.03.05, 44.04.01, 44.04.02</t>
  </si>
  <si>
    <t>Московский городской педагогический университет</t>
  </si>
  <si>
    <t>750135.08.01</t>
  </si>
  <si>
    <t>Актуальные модели гос. и регионал. политики: Моногр. / Б.С.Павлов -  М.:НИЦ ИНФРА-М,2026 - 154 с.(О)</t>
  </si>
  <si>
    <t>АКТУАЛЬНЫЕ МОДЕЛИ ГОСУДАРСТВЕННОЙ И РЕГИОНАЛЬНОЙ ПОЛИТИКИ В СФЕРЕ ПАТРИОТИЧЕСКОГО ВОСПИТАНИЯ, ИЗД.1</t>
  </si>
  <si>
    <t>Павлов Б.С., Гогиберидзе Г.М., Пацула А.В.</t>
  </si>
  <si>
    <t>978-5-16-016870-8</t>
  </si>
  <si>
    <t>44.03.01, 44.03.02, 44.04.01, 44.04.02, 44.06.01</t>
  </si>
  <si>
    <t>Институт экономики Уральского отделения Российской академии наук</t>
  </si>
  <si>
    <t>727849.07.01</t>
  </si>
  <si>
    <t>Актуальные паразитарные и инфекционные болезни лошадей: Моногр. / К.П.Юров - М.:НИЦ ИНФРА-М,2026 - 286 с.(О)</t>
  </si>
  <si>
    <t>АКТУАЛЬНЫЕ ПАРАЗИТАРНЫЕ И ИНФЕКЦИОННЫЕ БОЛЕЗНИ ЛОШАДЕЙ, ИЗД.1</t>
  </si>
  <si>
    <t>Юров К.П., Христиановский П.И., Белименко В.В.</t>
  </si>
  <si>
    <t>978-5-16-015991-1</t>
  </si>
  <si>
    <t>36.03.02, 36.04.01, 36.04.02, 36.05.01, 36.06.01</t>
  </si>
  <si>
    <t>Всероссийский научно-исследовательский институт экспериментальной ветеринарии им. К.И. Скрябина</t>
  </si>
  <si>
    <t>842001.01.01</t>
  </si>
  <si>
    <t>Актуальные пробл. административно-прав. регулир.: Моногр. / Адмиралова И.А. - М.:НИЦ ИНФРА-М,2025. - 169 с.(п)</t>
  </si>
  <si>
    <t>АКТУАЛЬНЫЕ ПРОБЛЕМЫ АДМИНИСТРАТИВНО-ПРАВОВОГО РЕГУЛИРОВАНИЯ, ИЗД.1</t>
  </si>
  <si>
    <t>Куракин А.В., Адмиралова И.А., Костенников М.В.</t>
  </si>
  <si>
    <t>978-5-16-020390-4</t>
  </si>
  <si>
    <t>38.05.01, 40.03.01, 40.05.01, 40.05.02, 40.06.01</t>
  </si>
  <si>
    <t>746318.06.01</t>
  </si>
  <si>
    <t>Актуальные пробл. блокчейн-технологий в..: Уч.пос. / Л.Л.Арзуманова - М.:Юр.Норма, НИЦ ИНФРА-М,2025 - 96с(О)</t>
  </si>
  <si>
    <t>АКТУАЛЬНЫЕ ПРОБЛЕМЫ БЛОКЧЕЙН-ТЕХНОЛОГИЙ В ФИНАНСОВОМ ПРАВЕ, ИЗД.1</t>
  </si>
  <si>
    <t>Арзуманова Л.Л., Грачева Е.Ю., Чернобровкина Е.Б. и др.</t>
  </si>
  <si>
    <t>978-5-00156-108-8</t>
  </si>
  <si>
    <t>40.03.01, 40.04.01</t>
  </si>
  <si>
    <t>081000.11.01</t>
  </si>
  <si>
    <t>Актуальные пробл. борьбы с коррупц. и орг. преступ... / П.А.Скобликов - М.:Юр. НОРМА, НИЦ ИНФРА-М,2027 - 272 с. (о)</t>
  </si>
  <si>
    <t>АКТУАЛЬНЫЕ ПРОБЛЕМЫ БОРЬБЫ С КОРРУПЦИЕЙ И ОРГАНИЗОВАННОЙ ПРЕСТУПНОСТЬЮ В СОВРЕМЕННОЙ РОССИИ, ИЗД.1</t>
  </si>
  <si>
    <t>Скобликов П. А.</t>
  </si>
  <si>
    <t>978-5-91768-884-8</t>
  </si>
  <si>
    <t>40.03.01, 40.04.01, 44.03.05</t>
  </si>
  <si>
    <t>665997.04.01</t>
  </si>
  <si>
    <t>Актуальные пробл. и методология строит. науки: Уч.пос. / Федоров В.В. - М.:НИЦ ИНФРА-М,2027 - 262 с.(П)</t>
  </si>
  <si>
    <t>АКТУАЛЬНЫЕ ПРОБЛЕМЫ И МЕТОДОЛОГИЯ СТРОИТЕЛЬНОЙ НАУКИ, ИЗД.1</t>
  </si>
  <si>
    <t>Федоров В.В., Субботин С.Л., Баркая Т.Р. и др.</t>
  </si>
  <si>
    <t>978-5-16-014586-0</t>
  </si>
  <si>
    <t>08.04.01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</si>
  <si>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 (протокол № 13 от 16.09.2019)</t>
  </si>
  <si>
    <t>Тверской государственный технический университет</t>
  </si>
  <si>
    <t>419650.06.01</t>
  </si>
  <si>
    <t>Актуальные пробл. исслед. экономич..: Сб. ст. /В.Г.Клинов -М.:Магистр, НИЦ ИНФРА-М, 2024.-264 с.(О)</t>
  </si>
  <si>
    <t>АКТУАЛЬНЫЕ ПРОБЛЕМЫ ИССЛЕДОВАНИЯ ЭКОНОМИЧЕСКОЙ КОНЪЮНКТУРЫ, ИЗД.1</t>
  </si>
  <si>
    <t>Клинов В. Г.</t>
  </si>
  <si>
    <t>Магистр</t>
  </si>
  <si>
    <t>978-5-9776-0264-8</t>
  </si>
  <si>
    <t>38.03.01, 38.04.01</t>
  </si>
  <si>
    <t>Московский государственный институт международных отношений (университет) Министерства иностранных дел Российской Федерации</t>
  </si>
  <si>
    <t>668063.06.01</t>
  </si>
  <si>
    <t>Актуальные пробл. ист. полит. и прав. учений: Уч.пос. / Т.А.Желдыбина - 2изд.-М.:НИЦ ИНФРА-М,2023.-105 с.(О)</t>
  </si>
  <si>
    <t>АКТУАЛЬНЫЕ ПРОБЛЕМЫ ИСТОРИИ ПОЛИТИЧЕСКИХ И ПРАВОВЫХ УЧЕНИЙ, ИЗД.2</t>
  </si>
  <si>
    <t>Желдыбина Т.А.</t>
  </si>
  <si>
    <t>978-5-16-017212-5</t>
  </si>
  <si>
    <t>40.04.01, 40.05.01, 40.05.02, 40.05.03, 40.05.04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</si>
  <si>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юридическим направлениям подготовки (квалификация (степень) «магистр») (протокол № 6 от 16.06.2021)</t>
  </si>
  <si>
    <t>834829.02.01</t>
  </si>
  <si>
    <t>Актуальные пробл. конституц. права...: моногр. / В.В. Комарова - М.:Юр. НОРМА, НИЦ ИНФРА-М,2026. - 328 с.(п)</t>
  </si>
  <si>
    <t>АКТУАЛЬНЫЕ ПРОБЛЕМЫ КОНСТИТУЦИОННОГО ПРАВА: К 100-ЛЕТИЮ Е.И.КОЗЛОВОЙ, ИЗД.1</t>
  </si>
  <si>
    <t>Комарова В.В., Таева Н.Е., Дородонова Н.В. и др.</t>
  </si>
  <si>
    <t>978-5-00156-383-9</t>
  </si>
  <si>
    <t>Профессиональное образование / ВО - Кадры высшей квалификации</t>
  </si>
  <si>
    <t>40.05.01, 40.05.02, 40.05.03, 40.05.04, 40.06.01</t>
  </si>
  <si>
    <t>646040.04.01</t>
  </si>
  <si>
    <t>Актуальные пробл. муниципал. права России: Уч. / А.А.Акмалова - М.:НИЦ ИНФРА-М,2027. - 402 с.(ВО:Магистр)(п)</t>
  </si>
  <si>
    <t>АКТУАЛЬНЫЕ ПРОБЛЕМЫ МУНИЦИПАЛЬНОГО ПРАВА РОССИИ, ИЗД.1</t>
  </si>
  <si>
    <t>Акмалова А.А.</t>
  </si>
  <si>
    <t>978-5-16-013024-8</t>
  </si>
  <si>
    <t>40.04.01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</si>
  <si>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40.04.01 «Юриспруденция» (квалификация (степень) «магистр») (протокол № 6 от 16.06.2021)</t>
  </si>
  <si>
    <t>324100.08.01</t>
  </si>
  <si>
    <t>Актуальные пробл. муниципал. права: Уч./ Г.Н.Чеботарев - 2 изд. - М.:Юр.Норма, НИЦ ИНФРА-М,2026. - 320 с.(п)</t>
  </si>
  <si>
    <t>АКТУАЛЬНЫЕ ПРОБЛЕМЫ МУНИЦИПАЛЬНОГО ПРАВА, ИЗД.2</t>
  </si>
  <si>
    <t>Чеботарев Г.Н., Акулич Е.М., Зайцева Л.В. и др.</t>
  </si>
  <si>
    <t>978-5-00156-337-2</t>
  </si>
  <si>
    <t>Рекомендовано УМО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«магистр»</t>
  </si>
  <si>
    <t>Тюменский государственный университет</t>
  </si>
  <si>
    <t>660121.03.01</t>
  </si>
  <si>
    <t>Актуальные пробл. налогообложения физ. лиц: Уч. /  Сильвестрова Т.Я. - М.:НИЦ ИНФРА-М,2027 - 219 с.(ВО)(П)</t>
  </si>
  <si>
    <t>АКТУАЛЬНЫЕ ПРОБЛЕМЫ НАЛОГООБЛОЖЕНИЯ ФИЗИЧЕСКИХ ЛИЦ, ИЗД.1</t>
  </si>
  <si>
    <t>Сильвестрова Т.Я., Гурова С.Ю., Александрова Н.В. и др.</t>
  </si>
  <si>
    <t>978-5-16-015012-3</t>
  </si>
  <si>
    <t>38.04.01, 38.04.02, 38.04.08, 40.04.01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</si>
  <si>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38.04.01 «Экономика» (квалификация (степень) «магистр») (протокол № 18 от 25.11.2019)</t>
  </si>
  <si>
    <t>Чебоксарский кооперативный техникум</t>
  </si>
  <si>
    <t>818118.03.01</t>
  </si>
  <si>
    <t>Актуальные пробл. оператив.-розыск. деят. в XXI в. в РФ: Сб. / С.С.Галахов - М.:Юр. НОРМА,2026. - 304 с.(п)</t>
  </si>
  <si>
    <t>АКТУАЛЬНЫЕ ПРОБЛЕМЫ ОПЕРАТИВНО-РОЗЫСКНОЙ ДЕЯТЕЛЬНОСТИ В XXI В. В РОССИЙСКОЙ ФЕДЕРАЦИИ, ИЗД.1</t>
  </si>
  <si>
    <t>Галахов С.С.</t>
  </si>
  <si>
    <t>978-5-00156-345-7</t>
  </si>
  <si>
    <t>Сборник научных трудов</t>
  </si>
  <si>
    <t>40.03.01, 40.05.01, 40.05.02</t>
  </si>
  <si>
    <t>823925.01.01</t>
  </si>
  <si>
    <t>Актуальные пробл. принуждения и ответств. в админ.праве: Моногр. / И.А.Адмиралова-М.:НИЦ ИНФРА-М,2024-174с(о)</t>
  </si>
  <si>
    <t>АКТУАЛЬНЫЕ ПРОБЛЕМЫ ПРИНУЖДЕНИЯ И ОТВЕТСТВЕННОСТИ В АДМИНИСТРАТИВНОМ ПРАВЕ, ИЗД.1</t>
  </si>
  <si>
    <t>Адмиралова И.А., Костенников М.В., Куракин А.В.</t>
  </si>
  <si>
    <t>978-5-16-019785-2</t>
  </si>
  <si>
    <t>700692.05.01</t>
  </si>
  <si>
    <t>Актуальные пробл. проектир. образоват. процесса: Уч.пос. / Е.В.Семенова - М.:НИЦ ИНФРА-М,2026. - 208 с.(ВО)(П)</t>
  </si>
  <si>
    <t>АКТУАЛЬНЫЕ ПРОБЛЕМЫ ПРОЕКТИРОВАНИЯ ОБРАЗОВАТЕЛЬНОГО ПРОЦЕССА, ИЗД.1</t>
  </si>
  <si>
    <t>Семенова Е.В.</t>
  </si>
  <si>
    <t>978-5-16-014971-4</t>
  </si>
  <si>
    <t>44.00.00, 44.03.01, 44.04.01, 44.04.02, 44.04.03, 44.04.04, 44.05.01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</si>
  <si>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«магистр») (протокол № 10 от 12.10.2020)</t>
  </si>
  <si>
    <t>Челябинский государственный институт культуры</t>
  </si>
  <si>
    <t>801690.03.01</t>
  </si>
  <si>
    <t>Актуальные пробл. развит. налог. системы России: Уч. / Под ред. Малис Н.И. - М.:Магистр, ИНФРА-М, 2025 - 520 с.(п)</t>
  </si>
  <si>
    <t>АКТУАЛЬНЫЕ ПРОБЛЕМЫ РАЗВИТИЯ НАЛОГОВОЙ СИСТЕМЫ РОССИИ, ИЗД.1</t>
  </si>
  <si>
    <t>Малис Н.И.</t>
  </si>
  <si>
    <t>978-5-9776-0551-9</t>
  </si>
  <si>
    <t>774768.08.01</t>
  </si>
  <si>
    <t>Актуальные пробл. развития сов. ист. науки...: Моногр. / А.Е.Смирницкий - М.:НИЦ ИНФРА-М,2026 - 157 с.(О)</t>
  </si>
  <si>
    <t>АКТУАЛЬНЫЕ ПРОБЛЕМЫ РАЗВИТИЯ СОВЕТСКОЙ ИСТОРИЧЕСКОЙ НАУКИ (1917-1991), ИЗД.1</t>
  </si>
  <si>
    <t>Смирницкий А.Е.</t>
  </si>
  <si>
    <t>978-5-16-017606-2</t>
  </si>
  <si>
    <t>44.04.01, 46.04.01, 46.04.02, 46.06.01</t>
  </si>
  <si>
    <t>Нижегородская академия Министерства внутренних дел Российской Федерации</t>
  </si>
  <si>
    <t>0199</t>
  </si>
  <si>
    <t>146800.09.01</t>
  </si>
  <si>
    <t>Актуальные пробл. теор. гос.и права: Уч.пос./Р.В.Шагиева -2изд.-М.:Юр.Норма,НИЦ ИНФРА-М,2024-576с(П)</t>
  </si>
  <si>
    <t>АКТУАЛЬНЫЕ ПРОБЛЕМЫ ТЕОРИИ ГОСУДАРСТВА И ПРАВА, ИЗД.2</t>
  </si>
  <si>
    <t>Шагиева Р.В., Букалерова Л.А., Виноградов В.В. и др.</t>
  </si>
  <si>
    <t>978-5-91768-526-7</t>
  </si>
  <si>
    <t>Допущено УМО по юридическому образованию вузов РФ в качестве учебного пособия для студентов вузов, обучающихся по направлению "Юриспруденция"</t>
  </si>
  <si>
    <t>656212.07.01</t>
  </si>
  <si>
    <t>Актуальные пробл. управ. персоналом: Моббинг: Уч.пос. / И.Б.Дуракова - М.:НИЦ ИНФРА-М,2026. - 226 с.(ВО)(п)</t>
  </si>
  <si>
    <t>АКТУАЛЬНЫЕ ПРОБЛЕМЫ УПРАВЛЕНИЯ ПЕРСОНАЛОМ: МОББИНГ, ИЗД.1</t>
  </si>
  <si>
    <t>Дуракова И.Б., Корыстина Е.С.</t>
  </si>
  <si>
    <t>978-5-16-021652-2</t>
  </si>
  <si>
    <t>38.03.02, 38.03.03, 38.03.04, 38.04.02, 38.04.03, 38.04.04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</si>
  <si>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38.04.02 «Менеджмент», 38.04.03 «Управление персоналом», 38.04.04 «Государственное и муниципальное управление» (квалификация (степень) «магистр»)</t>
  </si>
  <si>
    <t>645330.08.01</t>
  </si>
  <si>
    <t>Актуальные проблемы гражданского права: Уч.пос. / С.А.Иванова. - М.:НИЦ ИНФРА-М,2026 - 190 с.(ВО)(П)</t>
  </si>
  <si>
    <t>АКТУАЛЬНЫЕ ПРОБЛЕМЫ ГРАЖДАНСКОГО ПРАВА, ИЗД.1</t>
  </si>
  <si>
    <t>Иванова С.А., Пашенцев Д.А., Санникова Л.В.</t>
  </si>
  <si>
    <t>978-5-16-014246-3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</si>
  <si>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40.04.00 «Юриспруденция» (квалификация (степень) «магистр») (протокол № 12 от 24.06.2019)</t>
  </si>
  <si>
    <t>766407.05.01</t>
  </si>
  <si>
    <t>Актуальные проблемы гражданского процессуал. права: Уч. / Я.Я.Кайль - М.:НИЦ ИНФРА-М,2026. - 307 с.(ВО)(П)</t>
  </si>
  <si>
    <t>АКТУАЛЬНЫЕ ПРОБЛЕМЫ ГРАЖДАНСКОГО ПРОЦЕССУАЛЬНОГО ПРАВА, ИЗД.1</t>
  </si>
  <si>
    <t>Кайль Я.Я.</t>
  </si>
  <si>
    <t>978-5-16-022228-8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</si>
  <si>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40.04.01 «Юриспруденция» (квалификация (степень) «магистр») (протокол № 6 от 08.06.2022)</t>
  </si>
  <si>
    <t>Российская академия народного хозяйства и государственной службы при Президенте РФ, ф-л Волгоградский институт управления</t>
  </si>
  <si>
    <t>АКАДЕМУС-2021, Победитель, II место</t>
  </si>
  <si>
    <t>668063.03.01</t>
  </si>
  <si>
    <t>Актуальные проблемы истории полит. и прав.уч.: Уч.пос. / Т.А.Желдыбина-М.:НИЦ ИНФРА-М,2019-88с(ВО)</t>
  </si>
  <si>
    <t>АКТУАЛЬНЫЕ ПРОБЛЕМЫ ИСТОРИИ ПОЛИТИЧЕСКИХ И ПРАВОВЫХ УЧЕНИЙ, ИЗД.1</t>
  </si>
  <si>
    <t>978-5-16-013753-7</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</si>
  <si>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t>
  </si>
  <si>
    <t>636374.05.01</t>
  </si>
  <si>
    <t>Актуальные проблемы международного фин. права: Уч.пос. / С.Г.Павликов - М.:НИЦ ИНФРА-М,2027 - 322 с..(п)</t>
  </si>
  <si>
    <t>АКТУАЛЬНЫЕ ПРОБЛЕМЫ МЕЖДУНАРОДНОГО ФИНАНСОВОГО ПРАВА, ИЗД.1</t>
  </si>
  <si>
    <t>Павликов С.Г., Ефимова Н.А., Иксанов И.С. и др.</t>
  </si>
  <si>
    <t>Высшее образование: Магистратура (Финуниверситет)</t>
  </si>
  <si>
    <t>978-5-16-012168-0</t>
  </si>
  <si>
    <t>38.03.01, 38.04.01, 38.04.08, 38.04.09, 40.03.01, 40.04.01, 44.03.05</t>
  </si>
  <si>
    <t>Рекомендовано в качестве учебного пособия для студентов высших учебных заведений, обучающихся по направлениям подготовки 38.04.01 «Экономика», 34.04.08 «Финансы и кредит», 40.04.01 «Юриспруденция» (квалификация (степень) «магистр»)</t>
  </si>
  <si>
    <t>324100.06.01</t>
  </si>
  <si>
    <t>Актуальные проблемы муниципального права: Уч. / Г.Н.Чеботарев-М.:Юр.Норма, НИЦ ИНФРА-М,2022.-304с(п)</t>
  </si>
  <si>
    <t>АКТУАЛЬНЫЕ ПРОБЛЕМЫ МУНИЦИПАЛЬНОГО ПРАВА, ИЗД.1</t>
  </si>
  <si>
    <t>Чеботарев Г.Н., Гуркова С.Г., Иванова К.А. и др.</t>
  </si>
  <si>
    <t>978-5-91768-572-4</t>
  </si>
  <si>
    <t>650156.06.01</t>
  </si>
  <si>
    <t>Актуальные проблемы налогового права: Уч. / Е.Л.Васянина - М.:НИЦ ИНФРА-М,2026. - 330 с.(ВО: Магистр.)(П)</t>
  </si>
  <si>
    <t>АКТУАЛЬНЫЕ ПРОБЛЕМЫ НАЛОГОВОГО ПРАВА, ИЗД.1</t>
  </si>
  <si>
    <t>Васянина Е.Л., Запольский С.В.</t>
  </si>
  <si>
    <t>978-5-16-013746-9</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</si>
  <si>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38.04.01 «Экономика», 40.04.01 «Юриспруденция» (квалификация (степень) «магистр»)</t>
  </si>
  <si>
    <t>Санкт-Петербургский государственный экономический университет</t>
  </si>
  <si>
    <t>689660.09.01</t>
  </si>
  <si>
    <t>Актуальные проблемы права интеллект. собственности: Уч. / Л.И.Гончаренко. - М.:НИЦ ИНФРА-М,2027 - 320 с.(ВО)(п)</t>
  </si>
  <si>
    <t>АКТУАЛЬНЫЕ ПРОБЛЕМЫ ПРАВА ИНТЕЛЛЕКТУАЛЬНОЙ СОБСТВЕННОСТИ, ИЗД.1</t>
  </si>
  <si>
    <t>Гончаренко Л.И., Кулешова И.А., Лосева О.В. и др.</t>
  </si>
  <si>
    <t>978-5-16-022493-0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</si>
  <si>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40.04.01 «Юриспруденция» (квалификация (степень) «магистр») (протокол № 8 от 22.06.2020)</t>
  </si>
  <si>
    <t>472700.07.01</t>
  </si>
  <si>
    <t>Актуальные проблемы права: Уч. / под. ред. Шагиева Р.В. - М.:Юр.Норма,НИЦ ИНФРА-М,2026 - 352с.(п)</t>
  </si>
  <si>
    <t>АКТУАЛЬНЫЕ ПРОБЛЕМЫ ПРАВА, ИЗД.1</t>
  </si>
  <si>
    <t>Шагиева Р.В., Букалерова Л.А., Грудцына Л.Ю. и др.</t>
  </si>
  <si>
    <t>НОРМА</t>
  </si>
  <si>
    <t>978-5-91768-697-4</t>
  </si>
  <si>
    <t>795908.01.01</t>
  </si>
  <si>
    <t>Актуальные проблемы предмета административного права: Моногр. / А.В.Куракин.-М.:НИЦ ИНФРА-М,2023.-204 с.(о)</t>
  </si>
  <si>
    <t>АКТУАЛЬНЫЕ ПРОБЛЕМЫ ПРЕДМЕТА АДМИНИСТРАТИВНОГО ПРАВА, ИЗД.1</t>
  </si>
  <si>
    <t>978-5-16-018113-4</t>
  </si>
  <si>
    <t>АКАДЕМУС-2022, Победитель, III место</t>
  </si>
  <si>
    <t>459150.06.01</t>
  </si>
  <si>
    <t>Актуальные проблемы совр. наслед. законодат. РФ: Моногр. / Е.А.Кириллова - М.:НИЦ ИНФРА-М,2023-123 с.(О)</t>
  </si>
  <si>
    <t>АКТУАЛЬНЫЕ ПРОБЛЕМЫ СОВРЕМЕННОГО НАСЛЕДСТВЕННОГО ЗАКОНОДАТЕЛЬСТВА РОССИЙСКОЙ ФЕДЕРАЦИИ, ИЗД.1</t>
  </si>
  <si>
    <t>Кириллова Е.А.</t>
  </si>
  <si>
    <t>978-5-16-009435-9</t>
  </si>
  <si>
    <t>323300.04.01</t>
  </si>
  <si>
    <t>Актуальные проблемы совр. российской теории права: Моногр. /В.М.Шамаров-М.:Альфа-М,2024.-192 с-(п)</t>
  </si>
  <si>
    <t>АКТУАЛЬНЫЕ ПРОБЛЕМЫ СОВРЕМЕННОЙ РОССИЙСКОЙ ТЕОРИИ ПРАВА, ИЗД.1</t>
  </si>
  <si>
    <t>Шамаров В. М.</t>
  </si>
  <si>
    <t>Альфа-М</t>
  </si>
  <si>
    <t>Ligitimitate legem et ordinem</t>
  </si>
  <si>
    <t>978-5-98281-420-3</t>
  </si>
  <si>
    <t>Институт деловой карьеры</t>
  </si>
  <si>
    <t>805474.01.01</t>
  </si>
  <si>
    <t>Актуальные проблемы судебного права: Моногр. / А.А.Максуров-М.:НИЦ ИНФРА-М,2024.-308 с.(Науч.мысль)(п)</t>
  </si>
  <si>
    <t>АКТУАЛЬНЫЕ ПРОБЛЕМЫ СУДЕБНОГО ПРАВА, ИЗД.1</t>
  </si>
  <si>
    <t>Максуров А.А.</t>
  </si>
  <si>
    <t>978-5-16-018741-9</t>
  </si>
  <si>
    <t>40.04.01, 40.05.04, 40.06.01</t>
  </si>
  <si>
    <t>Ярославский государственный университет им. П.Г. Демидова</t>
  </si>
  <si>
    <t>АКАДЕМУС-2023, Победитель, II место</t>
  </si>
  <si>
    <t>427750.07.01</t>
  </si>
  <si>
    <t>Актуальные проблемы теории и фил. права: Курс лекций / Ю.В.Сорокина -М.:Норма:НИЦ ИНФРА-М,2024-304с. (о)</t>
  </si>
  <si>
    <t>АКТУАЛЬНЫЕ ПРОБЛЕМЫ ТЕОРИИ И ФИЛОСОФИИ ПРАВА, ИЗД.1</t>
  </si>
  <si>
    <t>Сорокина Ю. В.</t>
  </si>
  <si>
    <t>978-5-91768-367-6</t>
  </si>
  <si>
    <t>38.04.09, 40.03.01, 40.04.01</t>
  </si>
  <si>
    <t>351100.06.01</t>
  </si>
  <si>
    <t>Актуальные проблемы унификации гражд.процес.и.../Рожкова М.А.-М:Моногр.-НИЦ ИНФРА-М,2023-304с</t>
  </si>
  <si>
    <t>АКТУАЛЬНЫЕ ПРОБЛЕМЫ УНИФИКАЦИИ ГРАЖДАНСКОГО ПРОЦЕССУАЛЬНОГО И АРБИТРАЖНОГО ПРОЦЕССУАЛЬНОГО ЗАКОНОДАТЕЛЬСТВА, ИЗД.1</t>
  </si>
  <si>
    <t>Рожкова М.А., Глазкова М.Е., Савина М.А. и др.</t>
  </si>
  <si>
    <t>978-5-16-010863-6</t>
  </si>
  <si>
    <t>40.02.04, 40.03.01, 40.06.01, 44.03.05</t>
  </si>
  <si>
    <t>656213.10.01</t>
  </si>
  <si>
    <t>Актуальные проблемы упр. персоналом...: Уч.пос. / И.Б.Дуракова - М.:НИЦ ИНФРА-М,2026 - 191 с.(ВО)(П)</t>
  </si>
  <si>
    <t>АКТУАЛЬНЫЕ ПРОБЛЕМЫ УПРАВЛЕНИЯ ПЕРСОНАЛОМ: РАБОТНИКИ СТАРШИХ ВОЗРАСТОВ, ИЗД.1</t>
  </si>
  <si>
    <t>Дуракова И.Б., Талтынов С.М., Майер Е.В.</t>
  </si>
  <si>
    <t>978-5-16-022195-3</t>
  </si>
  <si>
    <t>38.04.03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</si>
  <si>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38.04.03 «Управление персоналом», 38.04.02 «Менеджмент» (квалификация (степень) «магистр»)</t>
  </si>
  <si>
    <t>388000.05.01</t>
  </si>
  <si>
    <t>Актуальные проблемы финансового права: Моногр. / Е.Ю.Грачева - М.:Юр.Норма,НИЦ ИНФРА-М,2024-208с.(П)</t>
  </si>
  <si>
    <t>АКТУАЛЬНЫЕ ПРОБЛЕМЫ ФИНАНСОВОГО ПРАВА, ИЗД.1</t>
  </si>
  <si>
    <t>Грачева Е.Ю.</t>
  </si>
  <si>
    <t>978-5-91768-733-9</t>
  </si>
  <si>
    <t>358100.13.01</t>
  </si>
  <si>
    <t>Актуальные термины полит. лингвистики: Справ. / М.А.Семкин - М.:,НИЦ ИНФРА-М,2027-112 с.(О)</t>
  </si>
  <si>
    <t>АКТУАЛЬНЫЕ ТЕРМИНЫ ПОЛИТИЧЕСКОЙ ЛИНГВИСТИКИ: СЛОВАРЬ СОВРЕМЕННЫХ МЕДИА, ИЗД.1</t>
  </si>
  <si>
    <t>Семкин М.А.</t>
  </si>
  <si>
    <t>Библиотека словарей ИНФРА-М</t>
  </si>
  <si>
    <t>978-5-16-022342-1</t>
  </si>
  <si>
    <t>Словарь</t>
  </si>
  <si>
    <t>41.03.04, 41.04.04, 42.03.01, 42.03.02, 42.03.03, 42.03.04, 42.03.05, 42.04.01, 42.04.02, 42.04.03, 42.04.04, 42.04.05, 45.03.01, 45.04.01</t>
  </si>
  <si>
    <t>838951.01.01</t>
  </si>
  <si>
    <t>Акушерство и гинекология: Уч. пос.: В 2 ч.Ч.1 /  Е.А.Эйныш - М.:НИЦ ИНФРА-М,2025. - 228 с. (ВО)(п)</t>
  </si>
  <si>
    <t>АКУШЕРСТВО И ГИНЕКОЛОГИЯ: В 2 ЧАСТЯХ. ЧАСТЬ 1. АКУШЕРСТВО, Т.1</t>
  </si>
  <si>
    <t>Эйныш Е.А., Захаренкова Т.Н., Недосейкина М.С. и др.</t>
  </si>
  <si>
    <t>978-5-16-020274-7</t>
  </si>
  <si>
    <t>31.05.01, 31.05.02, 32.05.01, 36.05.01</t>
  </si>
  <si>
    <t>Рекомендовано 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«Лечебное дело», «Медико-диагностическое дело»</t>
  </si>
  <si>
    <t>682816.07.01</t>
  </si>
  <si>
    <t>Акушерство, гинекология и биотех. воспроизвод. жив.: Уч.пос./Г.Д.Некрасов - М.:Форум, НИЦ ИНФРА-М,2026 - 174 с.(П)</t>
  </si>
  <si>
    <t>АКУШЕРСТВО, ГИНЕКОЛОГИЯ И БИОТЕХНИКА ВОСПРОИЗВОДСТВА ЖИВОТНЫХ, ИЗД.1</t>
  </si>
  <si>
    <t>Некрасов Г.Д., Суманова И.А.</t>
  </si>
  <si>
    <t>978-5-00091-538-7</t>
  </si>
  <si>
    <t>35.01.01, 35.01.23, 35.02.09, 36.01.01, 36.01.02, 36.01.03, 36.02.01, 36.02.03</t>
  </si>
  <si>
    <t>Допущено Учебно-методическим объединением вузов РФ по аграрному образованию в качестве учебного пособия для студентов, обучающихся по специальности 110305 - "Технология производства и переработки сельскохозяйственной продукции"</t>
  </si>
  <si>
    <t>Алтайский государственный аграрный университет</t>
  </si>
  <si>
    <t>094020.12.01</t>
  </si>
  <si>
    <t>Акушерство, гинекология и биотехника воспр-ва животных: Уч. пос. / Г.Д. Некрасов - М.:Форум,2026 - 176 с. (о)</t>
  </si>
  <si>
    <t>Некрасов Г. Д., Суманова И. А.</t>
  </si>
  <si>
    <t>978-5-91134-202-9</t>
  </si>
  <si>
    <t>35.03.07</t>
  </si>
  <si>
    <t>082050.11.01</t>
  </si>
  <si>
    <t>Акушерство: Уч.пос. / О.Н.Сластухина - М.:ИЦ РИОР, НИЦ ИНФРА-М,2026. - 271 с.(ВО)(о,к/ф)</t>
  </si>
  <si>
    <t>АКУШЕРСТВО, ИЗД.1</t>
  </si>
  <si>
    <t>Сластухина О.Н.</t>
  </si>
  <si>
    <t>978-5-369-00153-0</t>
  </si>
  <si>
    <t>639818.07.01</t>
  </si>
  <si>
    <t>Алгебра и геометрия: Сб. зад. и реш. с прим. сис. Maple: Уч.пос. / М.Н.Кирсанов - М.:НИЦ ИНФРА-М,2026. - 272 с.(П)</t>
  </si>
  <si>
    <t>АЛГЕБРА И ГЕОМЕТРИЯ. СБОРНИК ЗАДАЧ И РЕШЕНИЙ С ПРИМЕНЕНИЕМ СИСТЕМЫ MAPLE, ИЗД.1</t>
  </si>
  <si>
    <t>Кирсанов М.Н., Кузнецова О.С.</t>
  </si>
  <si>
    <t>978-5-16-012325-7</t>
  </si>
  <si>
    <t>01.03.02, 02.03.02, 03.03.02, 07.03.01, 08.03.01, 09.03.01, 09.03.02, 09.03.03, 09.03.04, 10.03.01, 11.03.01, 11.03.02, 11.03.03, 11.03.04, 12.03.01, 12.03.02, 12.03.03, 12.03.04, 12.03.05, 13.03.01, 13.03.02, 13.03.03, 15.03.01, 15.03.02, 15.03.03, 15.03.04, 15.03.05, 16.03.01, 16.03.02, 16.03.03, 38.03.01, 38.03.05, 38.04.01, 38.04.05, 38.04.08</t>
  </si>
  <si>
    <t>Рекомендовано в качестве учебного пособия для студентов высших учебных заведений, обучающихся по УГС технического профиля и УГС 38.00.00 «Экономика и управление» (квалификация (степень) «бакалавр»)</t>
  </si>
  <si>
    <t>Московский энергетический институт</t>
  </si>
  <si>
    <t>664359.06.01</t>
  </si>
  <si>
    <t>Алгебра и геометрия: Уч.пос. / Г.И.Шуман и др. - М.:ИЦ РИОР,НИЦ ИНФРА-М,2026 - 160 с.(П)</t>
  </si>
  <si>
    <t>АЛГЕБРА И ГЕОМЕТРИЯ, ИЗД.1</t>
  </si>
  <si>
    <t>Шуман Г.И., Волгина О.А., Голодная Н.Ю.</t>
  </si>
  <si>
    <t>978-5-369-01708-1</t>
  </si>
  <si>
    <t>01.03.02, 02.03.02, 03.03.02, 04.03.02, 09.03.04</t>
  </si>
  <si>
    <t>Владивостокский Государственный Университет</t>
  </si>
  <si>
    <t>803528.02.01</t>
  </si>
  <si>
    <t>Алгоритмизация и программир. на яз. Visual C#: Уч.пос. / С.Р.Гуриков - М.:НИЦ ИНФРА-М,2026. - 556 с.(ВО)(п)</t>
  </si>
  <si>
    <t>АЛГОРИТМИЗАЦИЯ И ПРОГРАММИРОВАНИЕ НА ЯЗЫКЕ VISUAL C#, ИЗД.1</t>
  </si>
  <si>
    <t>Гуриков С.Р.</t>
  </si>
  <si>
    <t>978-5-16-018538-5</t>
  </si>
  <si>
    <t>02.03.02, 02.03.03, 03.03.02, 03.03.03, 09.03.01, 09.03.03, 09.05.01, 10.03.01, 38.03.05, 38.04.05</t>
  </si>
  <si>
    <t>689795.03.01</t>
  </si>
  <si>
    <t>Алгоритмизация и программир.: подготовка к ЕГЭ...: Уч.пос. / С.Р.Гуриков - М.:НИЦ ИНФРА-М,2026. - 399 с.(п)</t>
  </si>
  <si>
    <t>АЛГОРИТМИЗАЦИЯ И ПРОГРАММИРОВАНИЕ: ПОДГОТОВКА К ЕГЭ ПО ИНФОРМАТИКЕ, ИЗД.1</t>
  </si>
  <si>
    <t>ЕГЭ</t>
  </si>
  <si>
    <t>978-5-16-016347-5</t>
  </si>
  <si>
    <t>Информатика, ОБЖ, Технология, Физкультура</t>
  </si>
  <si>
    <t>Общее образование / Среднее общее образование</t>
  </si>
  <si>
    <t>00.03.03, 09.02.01, 09.02.03, 09.02.04, 09.02.05, 09.02.06, 09.02.07, 10.02.02, 10.02.03</t>
  </si>
  <si>
    <t>090850.17.01</t>
  </si>
  <si>
    <t>Алгоритмизация и программирование: Уч.пос. / С.А.Канцедал - М.:ИД ФОРУМ, НИЦ ИНФРА-М,2026. - 352 с.(СПО)(П)</t>
  </si>
  <si>
    <t>АЛГОРИТМИЗАЦИЯ И ПРОГРАММИРОВАНИЕ, ИЗД.1</t>
  </si>
  <si>
    <t>Канцедал С.А.</t>
  </si>
  <si>
    <t>978-5-8199-0727-6</t>
  </si>
  <si>
    <t>08.02.15, 09.02.01, 09.02.02, 09.02.03, 09.02.04, 09.02.05, 09.02.06, 09.02.07, 09.02.08, 09.02.09, 10.02.02, 10.02.03, 10.02.04, 10.02.05, 27.02.01, 55.02.01</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</si>
  <si>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«Информатика и вычислительная техника»</t>
  </si>
  <si>
    <t>632548.10.01</t>
  </si>
  <si>
    <t>Алгоритмы и структуры данных: Уч. / В.В.Белов - М.:КУРС, НИЦ ИНФРА-М,2026 - 240 с.(Бакалавр.)(П)</t>
  </si>
  <si>
    <t>АЛГОРИТМЫ И СТРУКТУРЫ ДАННЫХ, ИЗД.1</t>
  </si>
  <si>
    <t>Белов В.В., Чистякова В.И.</t>
  </si>
  <si>
    <t>Бакалавриат</t>
  </si>
  <si>
    <t>978-5-906818-25-6</t>
  </si>
  <si>
    <t>09.03.01, 09.03.02, 09.03.03, 09.03.04</t>
  </si>
  <si>
    <t>Рекомендовано Научно-методическим советом ФГБОУ ВО «РГРТУ» в качестве учебника для студентов высших учебных заведений, обучающихся по направлению подготовки 09.03.04 «Программная инженерия» (квалификация — Бакалавр)</t>
  </si>
  <si>
    <t>Рязанский государственный радиотехнический университет имени В.Ф. Уткина</t>
  </si>
  <si>
    <t>668774.05.01</t>
  </si>
  <si>
    <t>Алтайская лит. Портреты писателей...: Моногр. / Н.М.Киндикова - М.:НИЦ ИНФРА-М,2027 - 82 с.(Науч.мысль)(О)</t>
  </si>
  <si>
    <t>АЛТАЙСКАЯ ЛИТЕРАТУРА. ПОРТРЕТЫ ПИСАТЕЛЕЙ И ЛИТЕРАТУРОВЕДОВ., ИЗД.1</t>
  </si>
  <si>
    <t>Киндикова Н.М.</t>
  </si>
  <si>
    <t>978-5-16-013387-4</t>
  </si>
  <si>
    <t>41.03.06, 42.03.02, 42.03.03, 42.03.04, 45.03.01</t>
  </si>
  <si>
    <t>Горно-Алтайский государственный университет</t>
  </si>
  <si>
    <t>759045.01.01</t>
  </si>
  <si>
    <t>Алтарные преграды храмов Центр. Рос...: Моногр. / Т.В.Лазарева-М.:НИЦ ИНФРА-М,2023.-244 с.(П)</t>
  </si>
  <si>
    <t>АЛТАРНЫЕ ПРЕГРАДЫ ХРАМОВ ЦЕНТРАЛЬНОЙ РОССИИ НОВОГО ВРЕМЕНИ (НА ПРИМЕРЕ ПРИОКСКОГО РЕГИОНА), ИЗД.1</t>
  </si>
  <si>
    <t>Лазарева Т.В.</t>
  </si>
  <si>
    <t>978-5-16-018008-3</t>
  </si>
  <si>
    <t>07.04.01, 07.04.02, 07.06.01, 07.09.02</t>
  </si>
  <si>
    <t>Орловский государственный институт культуры</t>
  </si>
  <si>
    <t>831549.02.01</t>
  </si>
  <si>
    <t>Альтернативное разрешение споров: Уч.пос. / Д.В.Князев - М.:НИЦ ИНФРА-М,2026. - 209 с.(ВО)(п)</t>
  </si>
  <si>
    <t>АЛЬТЕРНАТИВНОЕ РАЗРЕШЕНИЕ СПОРОВ, ИЗД.1</t>
  </si>
  <si>
    <t>Князев Д.В.</t>
  </si>
  <si>
    <t>978-5-16-020014-9</t>
  </si>
  <si>
    <t>Российский государственный университет правосудия, Западно-Сибирский ф-л</t>
  </si>
  <si>
    <t>839050.01.01</t>
  </si>
  <si>
    <t>Альтернативные источники энергии: уч.пос. / Ю.Д.Сибикин, - 2-е изд., стер.-М.:НИЦ ИНФРА-М,2025.-247 с..-(СПО)(п)</t>
  </si>
  <si>
    <t>АЛЬТЕРНАТИВНЫЕ ИСТОЧНИКИ ЭНЕРГИИ, ИЗД.2</t>
  </si>
  <si>
    <t>Сибикин Ю.Д., Сибикин М.Ю.</t>
  </si>
  <si>
    <t>978-5-16-020240-2</t>
  </si>
  <si>
    <t>13.02.13</t>
  </si>
  <si>
    <t>766757.06.01</t>
  </si>
  <si>
    <t>Альтернативные источники энергии: Уч.пос. / Ю.Д.Сибикин-2 изд.,-М.:НИЦ ИНФРА-М,2023.-247с.(ВО)(п)</t>
  </si>
  <si>
    <t>978-5-16-019494-3</t>
  </si>
  <si>
    <t>13.03.01, 13.03.02</t>
  </si>
  <si>
    <t>638700.05.01</t>
  </si>
  <si>
    <t>Альтернативные механизмы разрешения споров.. / Н.И.Гайдаенко Шер-М.:НИЦ ИНФРА-М,2022-248с.(ИЗиСП)(П)</t>
  </si>
  <si>
    <t>АЛЬТЕРНАТИВНЫЕ МЕХАНИЗМЫ РАЗРЕШЕНИЯ СПОРОВ КАК ИНСТРУМЕНТ ФОРМИРОВАНИЯ БЛАГОПРИЯТНОЙ СРЕДЫ ДЛЯ ПРЕДПРИНИМАТЕЛЬСКОЙ ДЕЯТЕЛЬНОСТИ (ОПЫТ РОССИИ И ЗАРУБЕЖНЫХ СТРАН), ИЗД.1</t>
  </si>
  <si>
    <t>Гайдаенко-Шер Н.И.</t>
  </si>
  <si>
    <t>978-5-16-012243-4</t>
  </si>
  <si>
    <t>701903.02.01</t>
  </si>
  <si>
    <t>Альтернативные санкции в рос. праве: Моногр. / Липинский Д.А. - М.:ИЦ РИОР, НИЦ ИНФРА-М,2020-184с(О)</t>
  </si>
  <si>
    <t>АЛЬТЕРНАТИВНЫЕ САНКЦИИ В РОССИЙСКОМ ПРАВЕ, ИЗД.1</t>
  </si>
  <si>
    <t>Липинский Д.А., Мусаткина А.А., Чуклова Е.В.</t>
  </si>
  <si>
    <t>978-5-369-01803-3</t>
  </si>
  <si>
    <t>Тольяттинский государственный университет</t>
  </si>
  <si>
    <t>799192.02.01</t>
  </si>
  <si>
    <t>Альтернативные способы разреш. уголов.-правовых конфликтов / И.В.Килина - М.:НИЦ ИНФРА-М,2025. - 232 с(п)</t>
  </si>
  <si>
    <t>АЛЬТЕРНАТИВНЫЕ СПОСОБЫ РАЗРЕШЕНИЯ УГОЛОВНО-ПРАВОВЫХ КОНФЛИКТОВ, ИЗД.1</t>
  </si>
  <si>
    <t>Килина И.В.</t>
  </si>
  <si>
    <t>978-5-16-018374-9</t>
  </si>
  <si>
    <t>40.04.01, 40.05.02, 40.05.04, 40.06.01</t>
  </si>
  <si>
    <t>Пермский государственный национальный исследовательский университет</t>
  </si>
  <si>
    <t>758089.01.01</t>
  </si>
  <si>
    <t>Альтернативы: Моногр. / С.В.Борзых - М.:НИЦ ИНФРА-М,2021 - 370 с.(Науч.мысль)(О)</t>
  </si>
  <si>
    <t>АЛЬТЕРНАТИВЫ, ИЗД.1</t>
  </si>
  <si>
    <t>Борзых С.В.</t>
  </si>
  <si>
    <t>978-5-16-017003-9</t>
  </si>
  <si>
    <t>632070.06.01</t>
  </si>
  <si>
    <t>Америка Синклера Льюиса: Моногр. / Б.А.Гиленсон, - 2 изд. - М.:НИЦ ИНФРА-М,2025. - 188 с.(Науч.мысль)(о)</t>
  </si>
  <si>
    <t>АМЕРИКА СИНКЛЕРА ЛЬЮИСА, ИЗД.2</t>
  </si>
  <si>
    <t>Гиленсон Б.А.</t>
  </si>
  <si>
    <t>978-5-16-020469-7</t>
  </si>
  <si>
    <t>41.03.06, 42.03.02, 42.03.03, 42.03.04, 45.03.01, 45.04.01</t>
  </si>
  <si>
    <t>632070.05.01</t>
  </si>
  <si>
    <t>Америка Синклера Льюиса: Монография / Б.А.Гиленсон, - 2 изд.-М.:НИЦ ИНФРА-М,2022-188с(Науч.мысль)(П)</t>
  </si>
  <si>
    <t>978-5-16-012024-9</t>
  </si>
  <si>
    <t>688039.05.01</t>
  </si>
  <si>
    <t>Американская доктрина о превентивном ударе от Монро... / И.З.Фархутдинов - М.:НИЦ ИНФРА-М,2027-419 с.(П)</t>
  </si>
  <si>
    <t>АМЕРИКАНСКАЯ ДОКТРИНА О ПРЕВЕНТИВНОМ УДАРЕ ОТ МОНРО ДО ТРАМПА: МЕЖДУНАРОДНО-ПРАВОВЫЕ АСПЕКТЫ, ИЗД.1</t>
  </si>
  <si>
    <t>Фархутдинов И.З.</t>
  </si>
  <si>
    <t>978-5-16-014300-2</t>
  </si>
  <si>
    <t>41.04.04, 41.04.05, 41.06.01</t>
  </si>
  <si>
    <t>674977.05.01</t>
  </si>
  <si>
    <t>Амигдала в сис.регуляции репродуктив.функций организма..../ И.И.Садртдинова-М.:НИЦ ИНФРА-М,2025-148с(о)</t>
  </si>
  <si>
    <t>АМИГДАЛА В СИСТЕМЕ РЕГУЛЯЦИИ РЕПРОДУКТИВНЫХ ФУНКЦИЙ ОРГАНИЗМА ПРИ АБСАНСНОЙ ЭПИЛЕПСИИ, ИЗД.1</t>
  </si>
  <si>
    <t>Садртдинова И.И., Хисматуллина З.Р.</t>
  </si>
  <si>
    <t>978-5-16-013527-4</t>
  </si>
  <si>
    <t>789493.01.01</t>
  </si>
  <si>
    <t>Амнистия. Помилование. Судимость: Моногр. / А.Я.Гришко, - 2 изд.-М.:НИЦ ИНФРА-М,2023.-187 с.(п)</t>
  </si>
  <si>
    <t>АМНИСТИЯ. ПОМИЛОВАНИЕ. СУДИМОСТЬ, ИЗД.2</t>
  </si>
  <si>
    <t>Гришко А.Я.</t>
  </si>
  <si>
    <t>978-5-16-018007-6</t>
  </si>
  <si>
    <t>Рязанский государственный университет им. С.А. Есенина</t>
  </si>
  <si>
    <t>473850.05.01</t>
  </si>
  <si>
    <t>Амортизация основных средств: вопросы теории...: Моногр. / Ю.И.Сигидов - М.: НИЦ ИНФРА-М, 2022-175с.(О)</t>
  </si>
  <si>
    <t>АМОРТИЗАЦИЯ ОСНОВНЫХ СРЕДСТВ: ВОПРОСЫ ТЕОРИИ И МЕТОДИКИ УЧЕТА, ИЗД.1</t>
  </si>
  <si>
    <t>Сигидов Ю.И., Мороз Н.Ю.</t>
  </si>
  <si>
    <t>978-5-16-010141-5</t>
  </si>
  <si>
    <t>38.03.01, 38.03.02, 38.04.01, 38.04.02, 38.04.08</t>
  </si>
  <si>
    <t>Кубанский государственный аграрный университет им. И.Т. Трубилина</t>
  </si>
  <si>
    <t>674909.10.01</t>
  </si>
  <si>
    <t>Анализ  финансово-хоз.  деятельности: Уч. / А.М.Фридман - М.:ИЦ РИОР, НИЦ ИНФРА-М,2026. - 264 с.(СПО)(П)</t>
  </si>
  <si>
    <t>АНАЛИЗ  ФИНАНСОВО-ХОЗЯЙСТВЕННОЙ  ДЕЯТЕЛЬНОСТИ, ИЗД.1</t>
  </si>
  <si>
    <t>Фридман А.М.</t>
  </si>
  <si>
    <t>978-5-369-01791-3</t>
  </si>
  <si>
    <t>38.02.01, 38.02.03, 38.02.06, 38.02.07, 38.02.08</t>
  </si>
  <si>
    <t>Российский университет кооперации</t>
  </si>
  <si>
    <t>801172.02.01</t>
  </si>
  <si>
    <t>Анализ больших данных в полит. исслед.: Уч.пос. / Е.В.Бродовская - М.:НИЦ ИНФРА-М,2026. - 158 с.(ВО)(п)</t>
  </si>
  <si>
    <t>АНАЛИЗ БОЛЬШИХ ДАННЫХ В ПОЛИТИЧЕСКИХ ИССЛЕДОВАНИЯХ, ИЗД.1</t>
  </si>
  <si>
    <t>Бродовская Е.В., Домбровская А.Ю., Заславский С.Е. и др.</t>
  </si>
  <si>
    <t>978-5-16-018477-7</t>
  </si>
  <si>
    <t>41.03.04, 41.04.04</t>
  </si>
  <si>
    <t>801483.02.01</t>
  </si>
  <si>
    <t>Анализ данных. Методы теории вероят. и матем..: Уч.пос. / С.Я.Криволапов - М.:НИЦ ИНФРА-М,2026.-678 с.(п)</t>
  </si>
  <si>
    <t>АНАЛИЗ ДАННЫХ. МЕТОДЫ ТЕОРИИ ВЕРОЯТНОСТЕЙ И МАТЕМАТИЧЕСКОЙ СТАТИСТИКИ НА ЯЗЫКЕ PYTHON, ИЗД.1</t>
  </si>
  <si>
    <t>Криволапов С.Я.</t>
  </si>
  <si>
    <t>978-5-16-018616-0</t>
  </si>
  <si>
    <t>268900.08.01</t>
  </si>
  <si>
    <t>Анализ денежных потоков орг.: Сб. зад.: Уч. пос./Н.А.Алексеева - М.: ИНФРА-М, 2027 - 159 с.(ВО) (о)</t>
  </si>
  <si>
    <t>АНАЛИЗ ДЕНЕЖНЫХ ПОТОКОВ ОРГАНИЗАЦИИ: СБОРНИК ЗАДАЧ (С МЕТОДИЧЕСКИМИ РЕКОМЕНДАЦИЯМИ И ОТВЕТАМИ К РЕШЕНИЮ ЗАДАЧ), ИЗД.1</t>
  </si>
  <si>
    <t>Алексеева Н. А.</t>
  </si>
  <si>
    <t>978-5-16-009623-0</t>
  </si>
  <si>
    <t>38.03.01, 38.03.02, 38.03.04, 38.03.06, 38.03.07, 38.04.01, 38.04.02, 38.04.04, 38.04.06, 38.04.07, 38.04.08, 38.04.09, 38.05.01, 38.05.02</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</si>
  <si>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 (уровень бакалавриата)</t>
  </si>
  <si>
    <t>Удмуртский государственный аграрный университет</t>
  </si>
  <si>
    <t>676883.06.01</t>
  </si>
  <si>
    <t>Анализ деят. экономических субъектов: Уч. / Е.Б.Герасимова - М.:НИЦ ИНФРА-М,2027. - 318 с.(ВО: Бакалавр.)(п)</t>
  </si>
  <si>
    <t>АНАЛИЗ ДЕЯТЕЛЬНОСТИ ЭКОНОМИЧЕСКИХ СУБЪЕКТОВ, ИЗД.1</t>
  </si>
  <si>
    <t>Герасимова Е.Б.</t>
  </si>
  <si>
    <t>Высшее образование: Бакалавриат (Финуниверситет)</t>
  </si>
  <si>
    <t>978-5-16-014492-4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</si>
  <si>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19 от 09.12.2019)</t>
  </si>
  <si>
    <t>665718.01.01</t>
  </si>
  <si>
    <t>Анализ деятельности коммерческого банка: Уч. / А.А.Казимагомедов-2 изд.-М.:НИЦ ИНФРА-М,2023-421с.(П)</t>
  </si>
  <si>
    <t>АНАЛИЗ ДЕЯТЕЛЬНОСТИ КОММЕРЧЕСКОГО БАНКА, ИЗД.2</t>
  </si>
  <si>
    <t>Казимагомедов А.А., Абдулсаламова А.А., Казимагомедов А.А.</t>
  </si>
  <si>
    <t>978-5-16-017219-4</t>
  </si>
  <si>
    <t>38.03.01, 38.04.01, 38.04.08</t>
  </si>
  <si>
    <t>Рекомендовано УМО по образованию в области финансов, учета и мировой экономики в качестве учебника для студентов, обучающихся по специальности «Финансы и кредит»</t>
  </si>
  <si>
    <t>Дагестанский государственный университет</t>
  </si>
  <si>
    <t>475950.09.01</t>
  </si>
  <si>
    <t>Анализ деятельности конкурентов: Уч. пос . / Т.Н.Рыжикова - М.:НИЦ ИНФРА-М,2026. - 267 с.(ВО)(п)</t>
  </si>
  <si>
    <t>АНАЛИЗ ДЕЯТЕЛЬНОСТИ КОНКУРЕНТОВ, ИЗД.1</t>
  </si>
  <si>
    <t>Рыжикова Т. Н.</t>
  </si>
  <si>
    <t>978-5-16-010215-3</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</si>
  <si>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38.03.02 (080200.62) «Менеджмент» (квалификация (ст</t>
  </si>
  <si>
    <t>277800.10.01</t>
  </si>
  <si>
    <t>Анализ и диагност.фин.-хоз.деят.орг.: Уч.пос. / П.Ф.Аскеров - М.:НИЦ ИНФРА-М,2026 - 176с (ВО)(п)</t>
  </si>
  <si>
    <t>АНАЛИЗ И ДИАГНОСТИКА ФИНАНСОВО-ХОЗЯЙСТВЕННОЙ ДЕЯТЕЛЬНОСТИ ОРГАНИЗАЦИИ, ИЗД.1</t>
  </si>
  <si>
    <t>Аскеров П.Ф., Цветков И.А., Кибиров Х.Г. и др.</t>
  </si>
  <si>
    <t>978-5-16-020016-3</t>
  </si>
  <si>
    <t>Российский государственный университет народного хозяйства им. В.И.Вернадского</t>
  </si>
  <si>
    <t>086700.11.01</t>
  </si>
  <si>
    <t>Анализ и диагностика фин.-хоз. деят. предпр.: Уч. / А.Д.Шеремет- 2 изд.,-М.:НИЦ ИНФРА-М,2024-374с(П)</t>
  </si>
  <si>
    <t>АНАЛИЗ И ДИАГНОСТИКА ФИНАНСОВО-ХОЗЯЙСТВЕННОЙ ДЕЯТЕЛЬНОСТИ ПРЕДПРИЯТИЯ, ИЗД.2</t>
  </si>
  <si>
    <t>Шеремет А.Д.</t>
  </si>
  <si>
    <t>978-5-16-018982-6</t>
  </si>
  <si>
    <t>38.03.01, 38.03.02, 38.04.01, 38.04.02</t>
  </si>
  <si>
    <t>Рекомендовано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и 38.04.01 «Экономика», 38.04.02 «Менеджмент» (квалификация (степень) «магистр»)</t>
  </si>
  <si>
    <t>Московский государственный университет им. М.В. Ломоносова, экономический факультет</t>
  </si>
  <si>
    <t>288100.07.01</t>
  </si>
  <si>
    <t>Анализ и диагностика фин.-хоз. деят. предпр.: Уч. / А.П. Гарнов - М.:НИЦ ИНФРА-М, 2027 - 366 с. (ВО)(П)</t>
  </si>
  <si>
    <t>АНАЛИЗ И ДИАГНОСТИКА ФИНАНСОВО-ХОЗЯЙСТВЕННОЙ ДЕЯТЕЛЬНОСТИ ПРЕДПРИЯТИЯ, ИЗД.1</t>
  </si>
  <si>
    <t>Гарнов А.П., Поздняков В.Я., Гарнова В.Ю. и др.</t>
  </si>
  <si>
    <t>978-5-16-009995-8</t>
  </si>
  <si>
    <t>38.03.01, 38.03.02, 38.04.01, 38.04.02, 41.03.06</t>
  </si>
  <si>
    <t>Рекомендовано в качестве учебника для студентов высших учебных заведений, обучающихся по направлениям подготовки 38.03.01 «Экономика» и 38.03.02 «Менеджмент» (квалификация (степень) «бакалавр»)</t>
  </si>
  <si>
    <t>463150.04.01</t>
  </si>
  <si>
    <t>Анализ и диагностика фин.-хоз. деят. пром..: Уч.пос. / Е.Н.Изюмова-2 изд.-М.:РИОР:ИНФРА-М,2020-313с(п)</t>
  </si>
  <si>
    <t>АНАЛИЗ И ДИАГНОСТИКА ФИНАНСОВО-ХОЗЯЙСТВЕННОЙ ДЕЯТЕЛЬНОСТИ ПРОМЫШЛЕННОГО ПРЕДПРИЯТИЯ, ИЗД.2</t>
  </si>
  <si>
    <t>Изюмова Е.Н., Мыльник В.В., Мыльник А.В. и др.</t>
  </si>
  <si>
    <t>978-5-369-01333-5</t>
  </si>
  <si>
    <t>38.03.01, 38.03.02, 38.03.03, 38.03.04, 38.03.05, 38.03.06, 38.03.07, 38.04.01, 38.04.02, 38.04.03, 38.04.04, 38.04.05, 38.04.06, 38.04.07, 38.04.08, 38.04.09, 38.05.01, 38.05.02</t>
  </si>
  <si>
    <t>095150.14.01</t>
  </si>
  <si>
    <t>Анализ и диагностика фин.-хоз. деят..: Практ.: Уч.пос. / О.В.Губина - 2 изд. - М.:ФОРУМ:ИНФРА-М, 2027 - 192 с.(п)</t>
  </si>
  <si>
    <t>Губина О.В.</t>
  </si>
  <si>
    <t>978-5-8199-0906-5</t>
  </si>
  <si>
    <t>38.03.01, 38.03.02, 38.03.05, 38.03.06</t>
  </si>
  <si>
    <t>Допущено Учебно-методическим объединением по образованию в области производственного менеджмента в качестве учебного пособия для студентов высших учебных заведений, обучающихся по направлениям подготовки 38.03.01 «Экономика», 38.03.05 «Бизнес-информатика», 38.03.06 «Торговое дело»</t>
  </si>
  <si>
    <t>Российская академия народного хозяйства и государственной службы при Президенте РФ, ф-л Среднерусский институт управления</t>
  </si>
  <si>
    <t>719423.09.01</t>
  </si>
  <si>
    <t>Анализ и диагностика финанс.-хоз. деят. предпр.: Уч. / А.Д.Шеремет - 2 изд. - М.:НИЦ ИНФРА-М,2026 - 374 с.(П)</t>
  </si>
  <si>
    <t>978-5-16-015634-7</t>
  </si>
  <si>
    <t>38.02.01, 38.02.03, 38.02.06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</si>
  <si>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12 от 26.06.2019)</t>
  </si>
  <si>
    <t>212600.11.01</t>
  </si>
  <si>
    <t>Анализ и диагностика финанс.-эконом. сос. орг.: Уч. / О.В.Бережная - 2 изд. - М.:НИЦ ИНФРА-М,2027 - 471 с.(п)</t>
  </si>
  <si>
    <t>АНАЛИЗ И ДИАГНОСТИКА ФИНАНСОВО-ЭКОНОМИЧЕСКОГО СОСТОЯНИЯ ОРГАНИЗАЦИИ, ИЗД.2</t>
  </si>
  <si>
    <t>Бережная О.В.</t>
  </si>
  <si>
    <t>978-5-16-019108-9</t>
  </si>
  <si>
    <t>38.03.01, 38.03.02, 41.03.06</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</si>
  <si>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080200.62 «Менеджмент» (квалификация (степень) «бакалавр»)</t>
  </si>
  <si>
    <t>Северо-Кавказский федеральный университет</t>
  </si>
  <si>
    <t>643106.08.01</t>
  </si>
  <si>
    <t>Анализ и диагностика финансово-хоз.деят.предпр.: Уч. / Ю.Г.Чернышева - М.:НИЦ ИНФРА-М,2025 - 421с(П)</t>
  </si>
  <si>
    <t>АНАЛИЗ И ДИАГНОСТИКА ФИНАНСОВО-ХОЗЯЙСТВЕННОЙ ДЕЯТЕЛЬНОСТИ ПРЕДПРИЯТИЯ (ОРГАНИЗАЦИИ), ИЗД.1</t>
  </si>
  <si>
    <t>Чернышева Ю.Г.</t>
  </si>
  <si>
    <t>978-5-16-012750-7</t>
  </si>
  <si>
    <t>Рекомендовано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t>
  </si>
  <si>
    <t>Ростовский государственный экономический университет (РИНХ)</t>
  </si>
  <si>
    <t>734725.04.01</t>
  </si>
  <si>
    <t>Анализ и обоснование финансовых решений: Уч. / Е.Б.Герасимова - М.:НИЦ ИНФРА-М,2027. - 220 с.(ВО)(П)</t>
  </si>
  <si>
    <t>АНАЛИЗ И ОБОСНОВАНИЕ ФИНАНСОВЫХ РЕШЕНИЙ, ИЗД.1</t>
  </si>
  <si>
    <t>978-5-16-016913-2</t>
  </si>
  <si>
    <t>38.04.01, 38.04.02, 38.04.05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</si>
  <si>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38.04.02 «Менеджмент» (квалификация (степень) «магистр») (протокол № 6 от 08.06.2022)</t>
  </si>
  <si>
    <t>651521.11.01</t>
  </si>
  <si>
    <t>Анализ и обработка навигационных измерений: Уч.пос./ Л.Е.Курочкин - М.:Вуз. уч., НИЦ ИНФРА-М,2026 - 128 с.(О)</t>
  </si>
  <si>
    <t>АНАЛИЗ И ОБРАБОТКА НАВИГАЦИОННЫХ ИЗМЕРЕНИЙ, ИЗД.1</t>
  </si>
  <si>
    <t>Курочкин Л.Е.</t>
  </si>
  <si>
    <t>978-5-9558-0564-1</t>
  </si>
  <si>
    <t>26.03.01, 26.03.02, 26.05.01, 26.05.02, 26.05.03, 26.05.04, 26.05.05, 26.05.06, 26.05.07</t>
  </si>
  <si>
    <t>864558.01.01</t>
  </si>
  <si>
    <t>Анализ и оценка устойчивости бизнеса для аудитор...: Уч. / Н.А.Казакова - М.:НИЦ ИНФРА-М,2027. - 264 с.(ВО)(п)</t>
  </si>
  <si>
    <t>АНАЛИЗ И ОЦЕНКА УСТОЙЧИВОСТИ БИЗНЕСА ДЛЯ АУДИТОРОВ И АНАЛИТИКОВ, ИЗД.1</t>
  </si>
  <si>
    <t>Казакова Н.А., Когденко В.Г.</t>
  </si>
  <si>
    <t>978-5-16-021777-2</t>
  </si>
  <si>
    <t>38.04.01, 38.04.02, 38.04.04, 38.04.06, 38.04.08</t>
  </si>
  <si>
    <t>Рекомендовано Учебно-методическим отделом высшего образования в качестве учебника по экономическим направлениям и специальностям</t>
  </si>
  <si>
    <t>Июль, 2026</t>
  </si>
  <si>
    <t>703680.08.01</t>
  </si>
  <si>
    <t>Анализ и прогноз загрязнений окруж. среды: Уч. / В.В.Стрельников - М.:НИЦ ИНФРА-М,2026. - 339 с.(ВО)(П)</t>
  </si>
  <si>
    <t>АНАЛИЗ И ПРОГНОЗ ЗАГРЯЗНЕНИЙ ОКРУЖАЮЩЕЙ СРЕДЫ, ИЗД.1</t>
  </si>
  <si>
    <t>Стрельников В.В., Чернышева Н.В.</t>
  </si>
  <si>
    <t>978-5-16-015389-6</t>
  </si>
  <si>
    <t>Допущено Министерством сельского хозяйства Российской Федерации в качестве учебника для студентов высших учебных заведений, обучающихся по направлению подготовки «Экология и природопользование»</t>
  </si>
  <si>
    <t>844926.01.01</t>
  </si>
  <si>
    <t>Анализ и прогнозир. денежных потоков орг.: Прак.: Уч.пос. / Т.В.Тимофеева - М.:НИЦ ИНФРА-М,2026. - 180 с.(ВО)(п)</t>
  </si>
  <si>
    <t>АНАЛИЗ И ПРОГНОЗИРОВАНИЕ ДЕНЕЖНЫХ ПОТОКОВ ОРГАНИЗАЦИИ: ПРАКТИКУМ, ИЗД.1</t>
  </si>
  <si>
    <t>Тимофеева Т.В., Снатенков А.А.</t>
  </si>
  <si>
    <t>978-5-16-021781-9</t>
  </si>
  <si>
    <t>38.03.01, 38.03.02, 38.04.01, 38.04.08</t>
  </si>
  <si>
    <t>Оренбургский государственный аграрный университет</t>
  </si>
  <si>
    <t>089500.08.01</t>
  </si>
  <si>
    <t>Анализ и управ. рисками организации: Уч.пос. / Н.А.Рыхтикова- 2изд.-М.:Форум,ИНФРА-М,2014-240с.(ВО)</t>
  </si>
  <si>
    <t>АНАЛИЗ И УПРАВЛЕНИЕ РИСКАМИ ОРГАНИЗАЦИИ, ИЗД.2</t>
  </si>
  <si>
    <t>Рыхтикова Н. А.</t>
  </si>
  <si>
    <t>978-5-91134-355-2</t>
  </si>
  <si>
    <t>38.03.02, 38.04.02</t>
  </si>
  <si>
    <t>Рекомендовано УМО по образованию в области финансов, учета и мировой экономики в качестве учебного пособия для студентов вузов, обучающихся по специальностям "Финансы и кредит",  "Бухгалтерский учет, анализ и аудит"</t>
  </si>
  <si>
    <t>089500.16.01</t>
  </si>
  <si>
    <t>Анализ и управление рисками орг.: Уч.пос. / Н.А.Рыхтикова, - 3 изд. - М.:НИЦ ИНФРА-М,2027 - 248 с.(П)</t>
  </si>
  <si>
    <t>АНАЛИЗ И УПРАВЛЕНИЕ РИСКАМИ ОРГАНИЗАЦИИ, ИЗД.3</t>
  </si>
  <si>
    <t>Рыхтикова Н.А.</t>
  </si>
  <si>
    <t>978-5-16-013163-4</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</si>
  <si>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</si>
  <si>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343000.04.01</t>
  </si>
  <si>
    <t>Анализ международного опыта развития футбола...: Моногр. / А.И.Воробьев-М.:НИЦ ИНФРА-М,2023-140с.(П)</t>
  </si>
  <si>
    <t>АНАЛИЗ МЕЖДУНАРОДНОГО ОПЫТА РАЗВИТИЯ ФУТБОЛА И ЕГО ПРИМЕНЕНИЕ В РОССИИ С УЧЕТОМ ПОДГОТОВКИ К ЧЕМПИОНАТУ МИРА ПО ФУТБОЛУ ФИФА 2018, ИЗД.1</t>
  </si>
  <si>
    <t>Воробьев А.И., Солнцев И.В., Осокин Н.А.</t>
  </si>
  <si>
    <t>978-5-16-011861-1</t>
  </si>
  <si>
    <t>49.03.01</t>
  </si>
  <si>
    <t>700540.03.01</t>
  </si>
  <si>
    <t>Анализ плоидометрических и морфометрич. параметров...: Моногр. / А.Ю.Долгатов - М.:ИНФРА-М, 2026 - 147 с.(О)</t>
  </si>
  <si>
    <t>АНАЛИЗ ПЛОИДОМЕТРИЧЕСКИХ И МОРФОМЕТРИЧЕСКИХ ПАРАМЕТРОВ ПОЧЕЧНО-КЛЕТОЧНОГО РАКА: КЛИНИКО-МОРФОЛОГИЧЕСКИЕ СОПОСТАВЛЕНИЯ, ИЗД.1</t>
  </si>
  <si>
    <t>Долгатов А.Ю., Климачев В.В., Черданцева Т.М. и др.</t>
  </si>
  <si>
    <t>Научная мысль - АГМУ (65 лет)</t>
  </si>
  <si>
    <t>978-5-16-014804-5</t>
  </si>
  <si>
    <t>Алтайский государственный медицинский университет</t>
  </si>
  <si>
    <t>795740.01.01</t>
  </si>
  <si>
    <t>Анализ полицейских практик в сфере противодействия...: Моногр. / Э.Н.Лыков-М.:НИЦ ИНФРА-М,2023.-167 с.(о)</t>
  </si>
  <si>
    <t>АНАЛИЗ ПОЛИЦЕЙСКИХ ПРАКТИК В СФЕРЕ ПРОТИВОДЕЙСТВИЯ ПРЕСТУПНОСТИ, ИЗД.1</t>
  </si>
  <si>
    <t>Лыков Э.Н., Липич Т.И.</t>
  </si>
  <si>
    <t>Научная мысль (РГГУ)</t>
  </si>
  <si>
    <t>978-5-16-018147-9</t>
  </si>
  <si>
    <t>Российский государственный гуманитарный университет, ф-л в г.Домодедово</t>
  </si>
  <si>
    <t>747085.08.01</t>
  </si>
  <si>
    <t>Анализ правового регулир. и судеб. прак. разреш. споров... / В.А.Дергунова - М.:НИЦ ИНФРА-М,2027 - 365 с.(п)</t>
  </si>
  <si>
    <t>АНАЛИЗ ПРАВОВОГО РЕГУЛИРОВАНИЯ И СУДЕБНОЙ ПРАКТИКИ РАЗРЕШЕНИЯ СПОРОВ РОДИТЕЛЕЙ О ДЕТЯХ, ИЗД.1</t>
  </si>
  <si>
    <t>Дергунова В.А., Прокопова А.Д.</t>
  </si>
  <si>
    <t>978-5-16-016703-9</t>
  </si>
  <si>
    <t>702851.05.01</t>
  </si>
  <si>
    <t>Анализ причин повреждений судовых тех. средств: Уч.пос. / Ю.Г.Дайнего - М.:НИЦ ИНФРА-М,2026. - 70 с.(ВО)(О)</t>
  </si>
  <si>
    <t>АНАЛИЗ ПРИЧИН ПОВРЕЖДЕНИЙ СУДОВЫХ ТЕХНИЧЕСКИХ СРЕДСТВ, ИЗД.1</t>
  </si>
  <si>
    <t>Дайнего Ю.Г.</t>
  </si>
  <si>
    <t>Военное образование (ЧВВМУ им. Нахимова)</t>
  </si>
  <si>
    <t>978-5-16-014962-2</t>
  </si>
  <si>
    <t>26.02.02, 26.02.05, 26.03.02</t>
  </si>
  <si>
    <t>Рекомендовано экспертным советом ЧВВМУ имени П.С. Нахимова в качестве учебного пособия по дисциплине «Анализ причин повреждений судовых технических средств». Предназначено для студентов специальности 26.05.06 «Эксплуатация судовых энергетических установок»</t>
  </si>
  <si>
    <t>ЧЕРНОМОРСКОЕ ВЫСШЕЕ ВОЕННО-МОРСКОЕ ОРДЕНОВ НАХИМОВА и КРАСНОЙ ЗВЕЗДЫ УЧИЛИЩЕ ИМЕНИ П.С.НАХИМОВА Министерство обороны Российской Федерации</t>
  </si>
  <si>
    <t>044200.18.01</t>
  </si>
  <si>
    <t>Анализ произ.-фин. деят. сельскохоз. предпр.: Уч. / Г.В.Савицкая - 4 изд. - М.:НИЦ ИНФРА-М,2027-287с(п)</t>
  </si>
  <si>
    <t>АНАЛИЗ ПРОИЗВОДСТВЕННО-ФИНАНСОВОЙ ДЕЯТЕЛЬНОСТИ СЕЛЬСКОХОЗЯЙСТВЕННЫХ ПРЕДПРИЯТИЙ, ИЗД.4</t>
  </si>
  <si>
    <t>Савицкая Г.В.</t>
  </si>
  <si>
    <t>978-5-16-020110-8</t>
  </si>
  <si>
    <t>19.02.11, 19.02.12, 35.01.27, 35.02.05, 35.02.07, 35.02.16, 38.02.01, 38.02.06, 38.02.08</t>
  </si>
  <si>
    <t>0425</t>
  </si>
  <si>
    <t>044200.16.01</t>
  </si>
  <si>
    <t>Анализ произв.-фин. деят. сельск. хоз. предпр.: Уч. / Г.В. Савицкая - 3 изд.-ИНФРА-М,2024-368с.(СПО)</t>
  </si>
  <si>
    <t>АНАЛИЗ ПРОИЗВОДСТВЕННО-ФИНАНСОВОЙ ДЕЯТЕЛЬНОСТИ СЕЛЬСКОХОЗЯЙСТВЕННЫХ ПРЕДПРИЯТИЙ, ИЗД.3</t>
  </si>
  <si>
    <t>Савицкая Г. В.</t>
  </si>
  <si>
    <t>978-5-16-004282-4</t>
  </si>
  <si>
    <t>Рекомендовано Учебно-методическим советом по среднему профессиональному образованию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t>
  </si>
  <si>
    <t>0307</t>
  </si>
  <si>
    <t>659135.04.01</t>
  </si>
  <si>
    <t>Анализ производ.-хоз. деят. строит. организаций: Уч. / В.М.Серов - М.:НИЦ ИНФРА-М,2026. - 302 с.(ВО)(П)</t>
  </si>
  <si>
    <t>АНАЛИЗ ПРОИЗВОДСТВЕННО-ХОЗЯЙСТВЕННОЙ ДЕЯТЕЛЬНОСТИ СТРОИТЕЛЬНЫХ ОРГАНИЗАЦИЙ, ИЗД.1</t>
  </si>
  <si>
    <t>Серов В.М.</t>
  </si>
  <si>
    <t>978-5-16-013837-4</t>
  </si>
  <si>
    <t>08.03.01, 38.03.01, 38.03.02</t>
  </si>
  <si>
    <t>Рекомендован в качестве учебника для студентов высших учебных заведений (уровень подготовки «Бакалавр»), обучающихся по направлениям подготовки 38.03.01 «Экономика» (профиль «Экономика предприятий и организаций»), 38.03.02 «Менеджмент» (профиль «Производственный менеджмент»)</t>
  </si>
  <si>
    <t>711168.06.01</t>
  </si>
  <si>
    <t>Анализ производственно-хоз. деят.и строительных орг.: Уч. / В.М.Серов - М.:НИЦ ИНФРА-М,2027 - 302с(П)</t>
  </si>
  <si>
    <t>978-5-16-015322-3</t>
  </si>
  <si>
    <t>38.02.01, 38.02.02, 38.02.03, 38.02.06, 38.02.07, 38.02.08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</si>
  <si>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08.02.01 «Строительство и эксплуатация зданий и сооружений» (протокол № 5 от 11.03.2019)</t>
  </si>
  <si>
    <t>806325.01.01</t>
  </si>
  <si>
    <t>Анализ рисков в процессах обеспеч. информац. безопас. / А.В.Царегородцев.-М.:НИЦ ИНФРА-М,2024.-198 с(о)</t>
  </si>
  <si>
    <t>АНАЛИЗ РИСКОВ В ПРОЦЕССАХ ОБЕСПЕЧЕНИЯ ИНФОРМАЦИОННОЙ БЕЗОПАСНОСТИ ЖИЗНЕННОГО ЦИКЛА ФИНАНСОВЫХ АВТОМАТИЗИРОВАННЫХ ИНФОРМАЦИОННЫХ СИСТЕМ, ИЗД.1</t>
  </si>
  <si>
    <t>Царегородцев А.В., Романовский С.В., Волков С.Д.</t>
  </si>
  <si>
    <t>978-5-16-018719-8</t>
  </si>
  <si>
    <t>09.03.03, 09.04.01, 09.06.01, 10.03.01, 10.05.02, 10.06.01, 38.03.05, 38.05.01</t>
  </si>
  <si>
    <t>АКАДЕМУС-2023, Победитель, III место</t>
  </si>
  <si>
    <t>322100.05.01</t>
  </si>
  <si>
    <t>Анализ теории личности в российской социологии: история..: Моногр./К.К.Оганян - М:ИНФРА-М,2019-360с.</t>
  </si>
  <si>
    <t>АНАЛИЗ ТЕОРИИ ЛИЧНОСТИ В РОССИЙСКОЙ СОЦИОЛОГИИ: ИСТОРИЯ И СОВРЕМЕННОСТЬ, ИЗД.1</t>
  </si>
  <si>
    <t>Оганян К.К.</t>
  </si>
  <si>
    <t>978-5-16-010479-9</t>
  </si>
  <si>
    <t>39.03.01, 39.04.01, 44.03.01, 44.03.05</t>
  </si>
  <si>
    <t>Национальный государственный Университет физической культуры, спорта и здоровья им. П.Ф. Лесгафта</t>
  </si>
  <si>
    <t>155050.11.01</t>
  </si>
  <si>
    <t>Анализ фин. сост. и фин.результ. предпр. структур: Уч.пос. / И.Т.Абдукаримов - М.:НИЦ ИНФРА-М,2027 - 214 с.(о)</t>
  </si>
  <si>
    <t>АНАЛИЗ ФИНАНСОВОГО СОСТОЯНИЯ И ФИНАНСОВЫХ РЕЗУЛЬТАТОВ ПРЕДПРИНИМАТЕЛЬСКИХ СТРУКТУР, ИЗД.1</t>
  </si>
  <si>
    <t>Абдукаримов И. Т., Беспалов М. В.</t>
  </si>
  <si>
    <t>978-5-16-006404-8</t>
  </si>
  <si>
    <t>Рекомендовано в качестве учебного пособия для студентов вузов, обучающиеся по направлениям подготовки 38.03.01 "Экономика", 38.03.02 "Менеджмент" (квалификация (степень) "бакалавр")</t>
  </si>
  <si>
    <t>Тамбовский государственный университет им. Г.Р. Державина</t>
  </si>
  <si>
    <t>297800.13.01</t>
  </si>
  <si>
    <t>Анализ финанс. отчетности, составл. по МСФО: Уч. / Н.С.Пласкова - 3 изд. - М.:Вуз.уч.,НИЦ ИНФРА-М,2026 - 276 с.(П)</t>
  </si>
  <si>
    <t>АНАЛИЗ ФИНАНСОВОЙ ОТЧЕТНОСТИ,  СОСТАВЛЕННОЙ ПО МСФО, ИЗД.3</t>
  </si>
  <si>
    <t>Пласкова Н.С.</t>
  </si>
  <si>
    <t>978-5-16-021844-1</t>
  </si>
  <si>
    <t>38.04.01, 38.04.08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</si>
  <si>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38.04.08 «Финансы и кредит» (квалификация (степень) «магистр») (протокол № 9 от 28.09.2020)</t>
  </si>
  <si>
    <t>0321</t>
  </si>
  <si>
    <t>АКАДЕМУС-2020, Победитель</t>
  </si>
  <si>
    <t>293800.09.01</t>
  </si>
  <si>
    <t>Анализ финанс.-хоз. деят. коммер. орг.: Уч.пос. / И.В.Кобелева - 2 изд. - М.:ИНФРА-М,2027 - 292 с.(ВО)(п)</t>
  </si>
  <si>
    <t>АНАЛИЗ ФИНАНСОВО-ХОЗЯЙСТВЕННОЙ ДЕЯТЕЛЬНОСТИ КОММЕРЧЕСКИХ ОРГАНИЗАЦИЙ, ИЗД.2</t>
  </si>
  <si>
    <t>Кобелева И.В., Ивашина Н.С.</t>
  </si>
  <si>
    <t>978-5-16-019570-4</t>
  </si>
  <si>
    <t>38.03.02, 41.03.06</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</si>
  <si>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</si>
  <si>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Международный инновационный университет</t>
  </si>
  <si>
    <t>0219</t>
  </si>
  <si>
    <t>297800.07.01</t>
  </si>
  <si>
    <t>Анализ финансовой отчетности,  составл. по МСФО: Уч./ Н.С.Пласкова,-2 изд.-М.:Вуз. уч.,НИЦ ИНФРА-М,2020-269с.(П)</t>
  </si>
  <si>
    <t>АНАЛИЗ ФИНАНСОВОЙ ОТЧЕТНОСТИ,  СОСТАВЛЕННОЙ ПО МСФО, ИЗД.2</t>
  </si>
  <si>
    <t>978-5-9558-0489-7</t>
  </si>
  <si>
    <t>766502.06.01</t>
  </si>
  <si>
    <t>Анализ финансовой отчетности: Уч. / Е.В.Никифорова - М.:НИЦ ИНФРА-М,2027. - 211 с.(ВО)(п)</t>
  </si>
  <si>
    <t>АНАЛИЗ ФИНАНСОВОЙ ОТЧЕТНОСТИ, ИЗД.1</t>
  </si>
  <si>
    <t>Никифорова Е.В., Боровицкая М.В., Куприянова Л.М. и др.</t>
  </si>
  <si>
    <t>978-5-16-018591-0</t>
  </si>
  <si>
    <t>38.03.01, 38.03.02, 38.03.04, 38.03.06, 38.03.10, 38.04.02, 38.05.01, 38.05.02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</si>
  <si>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8 от 19.10.2022)</t>
  </si>
  <si>
    <t>082650.19.01</t>
  </si>
  <si>
    <t>Анализ финансовой отчетности: Уч. / Под ред. Вахрушиной М.А. - 4 изд.-М.:НИЦ ИНФРА-М,2024-434с(П)</t>
  </si>
  <si>
    <t>АНАЛИЗ ФИНАНСОВОЙ ОТЧЕТНОСТИ, ИЗД.4</t>
  </si>
  <si>
    <t>Вахрушина М.А., Антонова О.В., Друцкая М.В. и др.</t>
  </si>
  <si>
    <t>978-5-16-018431-9</t>
  </si>
  <si>
    <t>38.03.01, 38.03.02, 38.04.08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</si>
  <si>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10 от 27.05.2019)</t>
  </si>
  <si>
    <t>0419</t>
  </si>
  <si>
    <t>082650.12.01</t>
  </si>
  <si>
    <t>Анализ финансовой отчетности: Уч. / Под ред. Вахрушиной М.А.-3 изд-М.:Вуз.уч.,НИЦ ИНФРА-М,2019-432с</t>
  </si>
  <si>
    <t>АНАЛИЗ ФИНАНСОВОЙ ОТЧЕТНОСТИ, ИЗД.3</t>
  </si>
  <si>
    <t>Вахрушина М. А., Пласкова Н. С.</t>
  </si>
  <si>
    <t>978-5-9558-0436-1</t>
  </si>
  <si>
    <t>Рекомендовано УМО по образованию в области финансов, учета и мировой экономики в качестве учебного пособия для студентов высших учебных заведений, обучающихся по специальности "Бухгалтерский учет, анализ и аудит"</t>
  </si>
  <si>
    <t>766874.03.01</t>
  </si>
  <si>
    <t>Анализ финансовой отчетности: Уч. / Ю.И.Сигидов. - М.:НИЦ ИНФРА-М,2027. - 356 с.(ВО)(п)</t>
  </si>
  <si>
    <t>Сигидов Ю.И., Мороз Н.Ю., Оксанич Е.А. и др.</t>
  </si>
  <si>
    <t>978-5-16-022354-4</t>
  </si>
  <si>
    <t>38.03.01, 38.03.02, 38.03.04, 38.03.05, 38.03.06, 38.03.07, 38.03.10, 38.05.01, 38.05.02</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</si>
  <si>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направлению подготовки 38.03.01 «Экономика»</t>
  </si>
  <si>
    <t>685066.06.01</t>
  </si>
  <si>
    <t>Анализ финансовой устойчивости банка: Уч. / Е.Б.Герасимова - М.:НИЦ ИНФРА-М,2027 - 366 с.-(ВО)(П)</t>
  </si>
  <si>
    <t>АНАЛИЗ ФИНАНСОВОЙ УСТОЙЧИВОСТИ БАНКА, ИЗД.1</t>
  </si>
  <si>
    <t>978-5-16-014227-2</t>
  </si>
  <si>
    <t>38.03.01, 38.03.02, 38.04.02, 38.04.08</t>
  </si>
  <si>
    <t>Рекомендовано Учебно-методическим советом ВО в качестве учебника для студентов высших учебных заведений, обучающихся по направлению подготовки 38.04.08 «Финансы и кредит» (квалификация (степень) «магистр»)</t>
  </si>
  <si>
    <t>682818.06.01</t>
  </si>
  <si>
    <t>Анализ финансово-хоз. деят. коммерч. орг.: Уч.пос. / И.В.Кобелева - М.:НИЦ ИНФРА-М,2026 - 256 с.(п)</t>
  </si>
  <si>
    <t>АНАЛИЗ ФИНАНСОВО-ХОЗЯЙСТВЕННОЙ ДЕЯТЕЛЬНОСТИ КОММЕРЧЕСКИХ ОРГАНИЗАЦИЙ, ИЗД.1</t>
  </si>
  <si>
    <t>978-5-16-013880-0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</si>
  <si>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38.02.01 «Экономика и бухгалтерский учет (по отраслям)», 38.02.04 «Коммерция (по отраслям)»</t>
  </si>
  <si>
    <t>730651.06.01</t>
  </si>
  <si>
    <t>Анализ финансово-хоз. деят. Практ.: Уч.пос. / А.М.Фридман - М.:ИЦ РИОР, НИЦ ИНФРА-М,2025. - 204 с.(СПО)(П)</t>
  </si>
  <si>
    <t>АНАЛИЗ ФИНАНСОВО-ХОЗЯЙСТВЕННОЙ ДЕЯТЕЛЬНОСТИ. ПРАКТИКУМ, ИЗД.1</t>
  </si>
  <si>
    <t>978-5-369-01860-6</t>
  </si>
  <si>
    <t>083000.18.01</t>
  </si>
  <si>
    <t>Анализ финансово-хоз. деят. Практ.: Уч.пос. / О.В.Губина, - 3 изд. - М.:НИЦ ИНФРА-М,2027 - 198 с.(СПО)(п)</t>
  </si>
  <si>
    <t>АНАЛИЗ ФИНАНСОВО-ХОЗЯЙСТВЕННОЙ ДЕЯТЕЛЬНОСТИ. ПРАКТИКУМ, ИЗД.3</t>
  </si>
  <si>
    <t>Губина О.В., Губин В.Е.</t>
  </si>
  <si>
    <t>978-5-16-016858-6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</si>
  <si>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38.02.04 «Коммерция (по отраслям)», 38.02.07 «Банковское дело» (протокол № 2 от 09.02.2022)</t>
  </si>
  <si>
    <t>219700.10.01</t>
  </si>
  <si>
    <t>Анализ финансово-хоз. деят. предпр.: Уч. / Под ред. Усенко Л.Н. - М.:НИЦ ИНФРА-М,2026. - 624 с.(ВО)(п)</t>
  </si>
  <si>
    <t>АНАЛИЗ ФИНАНСОВО-ХОЗЯЙСТВЕННОЙ ДЕЯТЕЛЬНОСТИ ПРЕДПРИЯТИЯ, ИЗД.1</t>
  </si>
  <si>
    <t>Чернышева Ю.Г., Удалова З.В., Гончарова Л.В. и др.</t>
  </si>
  <si>
    <t>978-5-16-016173-0</t>
  </si>
  <si>
    <t>055050.15.01</t>
  </si>
  <si>
    <t>Анализ финансово-хоз. деят. предпр.: Уч.пос. / А.А.Канке-2 изд.-М.:ИД Форум, НИЦ ИНФРА-М,2024-288с.(СПО)(о)</t>
  </si>
  <si>
    <t>АНАЛИЗ ФИНАНСОВО-ХОЗЯЙСТВЕННОЙ ДЕЯТЕЛЬНОСТИ ПРЕДПРИЯТИЯ, ИЗД.2</t>
  </si>
  <si>
    <t>Канке А.А., Кошевая И.П.</t>
  </si>
  <si>
    <t>978-5-8199-0914-0</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</si>
  <si>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«Экономика и управление»</t>
  </si>
  <si>
    <t>0205</t>
  </si>
  <si>
    <t>079690.18.01</t>
  </si>
  <si>
    <t>Анализ финансово-хоз. деят. предпр.: Уч.пос. / М.В.Мельник, - 3 изд. - М.:НИЦ ИНФРА-М,2026. - 208 с.(СПО)(п)</t>
  </si>
  <si>
    <t>АНАЛИЗ ФИНАНСОВО-ХОЗЯЙСТВЕННОЙ ДЕЯТЕЛЬНОСТИ ПРЕДПРИЯТИЯ, ИЗД.3</t>
  </si>
  <si>
    <t>Мельник М.В., Герасимова Е.Б.</t>
  </si>
  <si>
    <t>978-5-16-021155-8</t>
  </si>
  <si>
    <t>Рекомендовано УМО по образованию в области финансов, учета и мировой экономики в качестве учебника для студентов, обучающихся по специальностям «Финансы и кредит», «Бухгалтерский учет, анализ и аудит», «Мировая экономика», «Налоги с физических лиц»</t>
  </si>
  <si>
    <t>0317</t>
  </si>
  <si>
    <t>030500.33.01</t>
  </si>
  <si>
    <t>Анализ финансово-хоз. деят.: Уч. / Г.В.Савицкая, - 7 изд. - М.:НИЦ ИНФРА-М,2027. - 286 с.(СПО)(п)</t>
  </si>
  <si>
    <t>АНАЛИЗ ФИНАНСОВО-ХОЗЯЙСТВЕННОЙ ДЕЯТЕЛЬНОСТИ, ИЗД.7</t>
  </si>
  <si>
    <t>978-5-16-020979-1</t>
  </si>
  <si>
    <t>Утверждено Министерством образования республики Беларусь в качестве учебника для учащихся средних специальных учебных заведений по специальностям «Бухгалтерский учет, анализ и контроль», «Экономика и управление персоналом»</t>
  </si>
  <si>
    <t>734727.04.01</t>
  </si>
  <si>
    <t>Анализ финансово-хоз. деят.: Уч. / Е.Б.Герасимова - М.:НИЦ ИНФРА-М,2027. - 262 с.(СПО (ФинУ ТМ))(П)</t>
  </si>
  <si>
    <t>АНАЛИЗ ФИНАНСОВО-ХОЗЯЙСТВЕННОЙ ДЕЯТЕЛЬНОСТИ, ИЗД.1</t>
  </si>
  <si>
    <t>978-5-16-016738-1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</si>
  <si>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2 от 17.02.2021)</t>
  </si>
  <si>
    <t>705331.03.01</t>
  </si>
  <si>
    <t>Анализ финансово-хоз. деят.: Уч.пос. / Т.М.Голубева - М.:НИЦ ИНФРА-М,2025 - 269 с.(СПО)(П)</t>
  </si>
  <si>
    <t>Голубева Т.М.</t>
  </si>
  <si>
    <t>978-5-16-016097-9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</si>
  <si>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8 от 20.10.2021)</t>
  </si>
  <si>
    <t>Московский образовательный комплекс ЗАПАД</t>
  </si>
  <si>
    <t>293800.04.01</t>
  </si>
  <si>
    <t>Анализ финансово-хоз. деят.коммерческих орг.: Уч.пос. / И.В.Кобелева - М.:НИЦ ИНФРА-М,2018-224с.(о)</t>
  </si>
  <si>
    <t>978-5-16-010078-4</t>
  </si>
  <si>
    <t>Рекомедовано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</si>
  <si>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083000.16.01</t>
  </si>
  <si>
    <t>Анализ финансово-хоз.деят. Практ.: Уч.пос. / О.В.Губина -  2 изд. - М.:ИД ФОРУМ, НИЦ ИНФРА-М,2021-192с(П)</t>
  </si>
  <si>
    <t>АНАЛИЗ ФИНАНСОВО-ХОЗЯЙСТВЕННОЙ ДЕЯТЕЛЬНОСТИ. ПРАКТИКУМ, ИЗД.2</t>
  </si>
  <si>
    <t>Губина О. В., Губин В. Е.</t>
  </si>
  <si>
    <t>978-5-8199-0731-3</t>
  </si>
  <si>
    <t>Допущено Министерством образования Российской Федерации в качестве учебника для студентов учреждений среднего профессионального образования, обучающихся по группе специальностей «Экономика и управление»</t>
  </si>
  <si>
    <t>0211</t>
  </si>
  <si>
    <t>077050.15.01</t>
  </si>
  <si>
    <t>Анализ финансово-хоз.деят.: Уч. / В.Е.Губин - 2 изд. - М.:ИД ФОРУМ, НИЦ ИНФРА-М,2026 - 335 с.(П)</t>
  </si>
  <si>
    <t>АНАЛИЗ ФИНАНСОВО-ХОЗЯЙСТВЕННОЙ ДЕЯТЕЛЬНОСТИ, ИЗД.2</t>
  </si>
  <si>
    <t>978-5-8199-0710-8</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</si>
  <si>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группе специальностей «Экономика и управление»</t>
  </si>
  <si>
    <t>826558.01.01</t>
  </si>
  <si>
    <t>Анализ финансово-хозяйственной деят. предпр.: Уч. / П.Ф.Аскеров. - М.:НИЦ ИНФРА-М,2025. - 235 с.(ВО)(п)</t>
  </si>
  <si>
    <t>Аскеров П.Ф., Кибиров Х.Г., Аскеров П.Ф.</t>
  </si>
  <si>
    <t>978-5-16-020201-3</t>
  </si>
  <si>
    <t>38.03.01, 38.03.02, 38.03.04, 38.05.02</t>
  </si>
  <si>
    <t>013119.23.01</t>
  </si>
  <si>
    <t>Анализ хоз. деятельности предпр. АПК: Уч. / Г.В.Савицкая - 8 изд. - М.: НИЦ ИНФРА-М,2026 - 519 с.(ВО)(П)</t>
  </si>
  <si>
    <t>АНАЛИЗ ХОЗЯЙСТВЕННОЙ ДЕЯТЕЛЬНОСТИ ПРЕДПРИЯТИЙ АПК, ИЗД.8</t>
  </si>
  <si>
    <t>978-5-16-009303-1</t>
  </si>
  <si>
    <t>35.03.04, 35.03.05, 35.03.06, 35.03.07, 38.03.01</t>
  </si>
  <si>
    <t>0811</t>
  </si>
  <si>
    <t>030500.31.01</t>
  </si>
  <si>
    <t>Анализ хоз. деятельности предприятия: Уч. / Г.В.Савицкая - 6 изд. - М.:НИЦ ИНФРА-М,2025 - 378с.(СПО)(П)</t>
  </si>
  <si>
    <t>АНАЛИЗ ХОЗЯЙСТВЕННОЙ ДЕЯТЕЛЬНОСТИ ПРЕДПРИЯТИЯ, ИЗД.6</t>
  </si>
  <si>
    <t>978-5-16-006707-0</t>
  </si>
  <si>
    <t>0613</t>
  </si>
  <si>
    <t>087400.13.01</t>
  </si>
  <si>
    <t>Анализ эффектив. и рисков предпр. деят..: Моногр./ Г.В.Савицкая, - 2 изд. - М:НИЦ ИНФРА-М,2026 - 291с.(п)</t>
  </si>
  <si>
    <t>АНАЛИЗ ЭФФЕКТИВНОСТИ И РИСКОВ ПРЕДПРИНИМАТЕЛЬСКОЙ ДЕЯТЕЛЬНОСТИ: МЕТОДОЛОГИЧЕСКИЕ АСПЕКТЫ:, ИЗД.2</t>
  </si>
  <si>
    <t>978-5-16-012373-8</t>
  </si>
  <si>
    <t>38.03.01, 38.03.02, 38.03.05, 38.03.06, 38.04.01, 38.04.02, 38.04.05, 38.04.06</t>
  </si>
  <si>
    <t>153800.12.01</t>
  </si>
  <si>
    <t>Анализ, оценка и фин. инновац. проектов: Уч.пос. / В.К.Проскурин, - 2 изд. - М.:Вуз. уч. НИЦ ИНФРА-М,2027. - 136 с.(о)</t>
  </si>
  <si>
    <t>АНАЛИЗ, ОЦЕНКА И ФИНАНСИРОВАНИЕ ИННОВАЦИОННЫХ ПРОЕКТОВ, ИЗД.2</t>
  </si>
  <si>
    <t>Проскурин В.К.</t>
  </si>
  <si>
    <t>978-5-9558-0486-6</t>
  </si>
  <si>
    <t>02.04.03, 05.03.03, 15.04.04, 19.04.02, 22.04.02, 23.04.03, 25.04.01, 25.04.02, 25.04.03, 25.04.04, 27.03.05, 27.04.01, 27.04.05, 27.04.07, 28.04.02, 38.03.01, 38.03.02, 38.03.04, 38.04.02, 38.04.04</t>
  </si>
  <si>
    <t>800911.02.01</t>
  </si>
  <si>
    <t>Аналитика устойч. развития и оценка стейкхолд. рисков в нефин. отчетн. / Н.А.Казакова. - М.:НИЦ ИНФРА-М,2026. - 217 с.(п)</t>
  </si>
  <si>
    <t>АНАЛИТИКА УСТОЙЧИВОГО РАЗВИТИЯ И ОЦЕНКА СТЕЙКХОЛДЕРСКИХ РИСКОВ В НЕФИНАНСОВОЙ ОТЧЕТНОСТИ, ИЗД.1</t>
  </si>
  <si>
    <t>Казакова Н.А., Когденко В.Г., Доан Т.Л.</t>
  </si>
  <si>
    <t>978-5-16-018902-4</t>
  </si>
  <si>
    <t>38.03.01, 38.04.01, 38.04.02, 38.04.04, 38.04.08, 38.05.01, 38.06.01</t>
  </si>
  <si>
    <t>275900.07.01</t>
  </si>
  <si>
    <t>Аналитика человеческого бытия: введение в опыт...: Моногр. / С.Е.Ячин - НИЦ ИНФРА-М, 2027 - 210 с.(о)</t>
  </si>
  <si>
    <t>АНАЛИТИКА ЧЕЛОВЕЧЕСКОГО БЫТИЯ: ВВЕДЕНИЕ В ОПЫТ САМОПОЗНАНИЯ. СИСТЕМАТИЧЕСКИЙ ОЧЕРК, ИЗД.1</t>
  </si>
  <si>
    <t>Ячин С.Е.</t>
  </si>
  <si>
    <t>978-5-16-009719-0</t>
  </si>
  <si>
    <t>Дальневосточный федеральный университет</t>
  </si>
  <si>
    <t>785363.07.01</t>
  </si>
  <si>
    <t>Аналитико-синтетич. переработка информ.: теор..: Уч.пос. / О.Л.Лаврик - М.:НИЦ ИНФРА-М,2026 - 210 с.(ВО)(п)</t>
  </si>
  <si>
    <t>АНАЛИТИКО-СИНТЕТИЧЕСКАЯ ПЕРЕРАБОТКА ИНФОРМАЦИИ: ТЕОРЕТИЧЕСКИЕ ОСНОВЫ, АННОТИРОВАНИЕ, РЕФЕРИРОВАНИЕ, КОНСПЕКТИРОВАНИЕ И ПОДГОТОВКА ДАЙДЖЕСТОВ И ОБЗОРОВ, ИЗД.1</t>
  </si>
  <si>
    <t>Лаврик О.Л.</t>
  </si>
  <si>
    <t>978-5-16-017864-6</t>
  </si>
  <si>
    <t>51.03.06, 51.04.06</t>
  </si>
  <si>
    <t>Новосибирский государственный педагогический университет</t>
  </si>
  <si>
    <t>Всероссийский Конкурс РБА «Лучшая профкнига года»-2024, Победитель, II место</t>
  </si>
  <si>
    <t>391500.08.01</t>
  </si>
  <si>
    <t>Аналитическая геометрия в...: Уч.пос. / А.С.Бортаковский, - 2 изд. - М.:НИЦ ИНФРА-М,2026 - 496 с.(ВО)</t>
  </si>
  <si>
    <t>АНАЛИТИЧЕСКАЯ ГЕОМЕТРИЯ В ПРИМЕРАХ И ЗАДАЧАХ, ИЗД.2</t>
  </si>
  <si>
    <t>Бортаковский А.С., Пантелеев А.В.</t>
  </si>
  <si>
    <t>978-5-16-011202-2</t>
  </si>
  <si>
    <t>01.03.02, 01.03.04, 01.04.02, 01.04.04, 02.03.02, 03.03.02, 04.03.02</t>
  </si>
  <si>
    <t>Рекомендовано Учебно-методическим объединением высших учебных заведений Российской Федерации по образованию в области авиации, ракетостроения и космоса в качестве учебного пособия для студентов высших технических учебных заведений</t>
  </si>
  <si>
    <t>Московский авиационный институт (национальный исследовательский университет)</t>
  </si>
  <si>
    <t>229100.09.01</t>
  </si>
  <si>
    <t>Аналитическая химия. Практикум: Уч.пос. / А.И.Жебентяев и др. - М.:НИЦ ИНФРА-М,2025. - 428 с.(ВО)(п)</t>
  </si>
  <si>
    <t>АНАЛИТИЧЕСКАЯ ХИМИЯ. ПРАКТИКУМ, ИЗД.1</t>
  </si>
  <si>
    <t>Жебентяев А.И., Жерносек А.К., Талуть И.Е.</t>
  </si>
  <si>
    <t>978-5-16-009043-6</t>
  </si>
  <si>
    <t>04.03.01, 18.02.07, 31.05.01, 31.05.02, 31.05.03, 33.05.01</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</si>
  <si>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«Фармация», «Химия (фармацевтическая деятельность)»</t>
  </si>
  <si>
    <t>Витебский государственный медицинский университет</t>
  </si>
  <si>
    <t>146015.13.01</t>
  </si>
  <si>
    <t>Аналитическая химия. Хим. методы...: Уч.пос. / А.И.Жебентяев - 2 изд. - М.:НИЦ ИНФРА-М,2026 - 542 с.(ВО)(п)</t>
  </si>
  <si>
    <t>АНАЛИТИЧЕСКАЯ ХИМИЯ. ХИМИЧЕСКИЕ МЕТОДЫ АНАЛИЗА, ИЗД.2</t>
  </si>
  <si>
    <t>Жебентяев А. И., Жерносек А. К., Талуть И. Е.</t>
  </si>
  <si>
    <t>978-5-16-021133-6</t>
  </si>
  <si>
    <t>04.03.01, 04.03.02, 04.05.01, 18.03.01, 18.03.02, 18.04.01, 18.05.01, 18.05.02, 19.03.01, 19.03.02, 19.03.03, 19.03.04, 30.05.01, 31.05.01, 31.05.02, 31.05.03, 33.05.01</t>
  </si>
  <si>
    <t>Допущено Министерством образования Республики Беларусь в качестве учебного пособия для студентов высших учебных заведений по фармацевтическим и химическим специальностям</t>
  </si>
  <si>
    <t>426750.07.01</t>
  </si>
  <si>
    <t>Аналитическая химия. Хроматографич. методы..: Уч.пос. / А.И.Жебентяев - М.:НИЦ ИНФРА-М,2025. - 206 с.(ВО)(п)</t>
  </si>
  <si>
    <t>АНАЛИТИЧЕСКАЯ ХИМИЯ. ХРОМАТОГРАФИЧЕСКИЕ МЕТОДЫ АНАЛИЗА, ИЗД.1</t>
  </si>
  <si>
    <t>Жебентяев А. И.</t>
  </si>
  <si>
    <t>978-5-16-006615-8</t>
  </si>
  <si>
    <t>04.03.01, 31.05.01, 31.05.02, 31.05.03, 44.03.05</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</si>
  <si>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"Фармация" и химическим специальностям</t>
  </si>
  <si>
    <t>842429.01.01</t>
  </si>
  <si>
    <t>Аналитическая химия: Уч. / Н.И.Мовчан - М.:НИЦ ИНФРА-М,2025 - 394 с.(СПО)(п)</t>
  </si>
  <si>
    <t>АНАЛИТИЧЕСКАЯ ХИМИЯ, ИЗД.1</t>
  </si>
  <si>
    <t>Мовчан Н.И., Романова Р.Г., Горбунова Т.С. и др.</t>
  </si>
  <si>
    <t>978-5-16-020343-0</t>
  </si>
  <si>
    <t>13.02.05, 18.01.34, 18.01.35, 18.02.01, 18.02.04, 18.02.07, 18.02.09, 18.02.11, 18.02.12, 18.02.13, 18.02.14, 18.02.15, 20.02.01, 21.02.09, 22.02.08, 31.02.01, 33.02.01, 35.02.18</t>
  </si>
  <si>
    <t>Казанский национальный исследовательский технологический университет</t>
  </si>
  <si>
    <t>247200.12.01</t>
  </si>
  <si>
    <t>Аналитическая химия: Уч. / Н.И.Мовчан и др. - М.:НИЦ ИНФРА-М,2025 - 394 с.-(ВО: БакалавР.)(П)</t>
  </si>
  <si>
    <t>978-5-16-009311-6</t>
  </si>
  <si>
    <t>18.03.01, 18.04.01, 22.03.01, 22.04.01, 31.05.01, 31.05.02, 31.05.03, 33.05.01, 44.03.05</t>
  </si>
  <si>
    <t>Рекомендовано ФГБОУ ВО «Российский химико-технологический университет им. Д.И. Менделеева» в качестве учебника для студентов высших учебных заведений, обучающихся по направлениям подготовки 22.03.01 «Материаловедение и технологии материалов» и 18.03.01 «Химическая технология»</t>
  </si>
  <si>
    <t>665642.03.01</t>
  </si>
  <si>
    <t>Аналитические модели в скважинной термометрии: Уч.пос. / А.Ш.Рамазанов - М.:НИЦ ИНФРА-М,2027. - 172 с.(ВО)(П)</t>
  </si>
  <si>
    <t>АНАЛИТИЧЕСКИЕ МОДЕЛИ В СКВАЖИННОЙ ТЕРМОМЕТРИИ, ИЗД.1</t>
  </si>
  <si>
    <t>Рамазанов А.Ш.</t>
  </si>
  <si>
    <t>978-5-16-017043-5</t>
  </si>
  <si>
    <t>21.04.01, 21.05.03</t>
  </si>
  <si>
    <t>437350.09.01</t>
  </si>
  <si>
    <t>Аналитические реш. параболич. и..: Уч.пос. / Под ред. Карташова Э.М. - М.:НИЦ ИНФРА-М,2027 - 391с.(ВО)(п)</t>
  </si>
  <si>
    <t>АНАЛИТИЧЕСКИЕ РЕШЕНИЯ ПАРАБОЛИЧЕСКИХ И ГИПЕРБОЛИЧЕСКИХ УРАВНЕНИЙ ТЕПЛОМАССОПЕРЕНОСА, ИЗД.1</t>
  </si>
  <si>
    <t>Кудинов И.В., Кудинов В.А., Карташов Э.М.</t>
  </si>
  <si>
    <t>978-5-16-022355-1</t>
  </si>
  <si>
    <t>13.03.01, 13.04.01, 20.03.01</t>
  </si>
  <si>
    <t>Рекомендовано Научно-методическим советом по теплотехнике Министерства образования и науки Российской Федерации в качестве учебного пособия для студентов высших учебных заведений, обучающихся по направлению подготовки бакалавров и магистров в области</t>
  </si>
  <si>
    <t>Самарский государственный технический университет</t>
  </si>
  <si>
    <t>486800.05.01</t>
  </si>
  <si>
    <t>Аналитический контроль в произв.кожи и меха: Уч.пос. / А.Г.Данилкович  - М.:НИЦ ИНФРА-М,2026. - 176 с.(ВО)(О)</t>
  </si>
  <si>
    <t>АНАЛИТИЧЕСКИЙ КОНТРОЛЬ В ПРОИЗВОДСТВЕ КОЖИ И МЕХА: ЛАБОРАТОРНЫЙ ПРАКТИКУМ, ИЗД.1</t>
  </si>
  <si>
    <t>Данилкович  А.Г., Чурсин В.И.</t>
  </si>
  <si>
    <t>978-5-16-011741-6</t>
  </si>
  <si>
    <t>29.03.01</t>
  </si>
  <si>
    <t>Допущено УМОЛегпром для студентов высших учебных заведений, обучающихся по направлению 29.03.01 'Технология изделий легкой промышленности"</t>
  </si>
  <si>
    <t>407850.12.01</t>
  </si>
  <si>
    <t>Аналитический маркетинг: что должен знать маркет.: Уч.пос. / Т.Н.Рыжикова - М.:НИЦ ИНФРА-М,2026-288 с.(ВО)(п)</t>
  </si>
  <si>
    <t>АНАЛИТИЧЕСКИЙ МАРКЕТИНГ: ЧТО ДОЛЖЕН ЗНАТЬ МАРКЕТИНГОВЫЙ АНАЛИТИК, ИЗД.1</t>
  </si>
  <si>
    <t>Рыжикова Т.Н.</t>
  </si>
  <si>
    <t>978-5-16-019774-6</t>
  </si>
  <si>
    <t>38.03.01, 38.03.02, 38.04.01, 38.04.02, 41.03.06, 44.03.01, 44.03.05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</si>
  <si>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38.03.02 «Менеджмент» (профиль — «Маркетинг») (квалификация (степень) — «бакалавр»)</t>
  </si>
  <si>
    <t>231300.07.01</t>
  </si>
  <si>
    <t>Аналогия в налоговом праве: Моногр. / М.В.Юзвак, - 2 изд. - М.:ИЦ РИОР, НИЦ ИНФРА-М,2027. - 138 с.(Науч.мысль)(о)</t>
  </si>
  <si>
    <t>АНАЛОГИЯ В НАЛОГОВОМ ПРАВЕ, ИЗД.2</t>
  </si>
  <si>
    <t>Юзвак М.В.</t>
  </si>
  <si>
    <t>978-5-369-01533-9</t>
  </si>
  <si>
    <t>Московский государственный университет им. М.В. Ломоносова, юридический факультет</t>
  </si>
  <si>
    <t>682819.09.01</t>
  </si>
  <si>
    <t>Анатомия животных: Уч. / В.И.Боев и др. - М.:НИЦ ИНФРА-М,2026 - 352 с.-(СПО)(П)</t>
  </si>
  <si>
    <t>АНАТОМИЯ ЖИВОТНЫХ, ИЗД.1</t>
  </si>
  <si>
    <t>Боев В.И., Журавлева И.А., Брагин Г.И.</t>
  </si>
  <si>
    <t>978-5-16-013881-7</t>
  </si>
  <si>
    <t>Биологические науки</t>
  </si>
  <si>
    <t>35.02.09, 35.02.14, 35.02.15, 36.01.02, 36.01.03, 36.01.05, 36.02.01, 36.02.03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</si>
  <si>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36.02.01 «Ветеринария», 36.02.02 «Зоотехния» (протокол № 3 от 11.02.2019)</t>
  </si>
  <si>
    <t>Российский биотехнологический университет (РОСБИОТЕХ)</t>
  </si>
  <si>
    <t>209400.16.01</t>
  </si>
  <si>
    <t>Анатомия животных: Уч. / В.И.Боев и др. - М.:НИЦ ИНФРА-М,2026. -  352 с.(ВО)(п)</t>
  </si>
  <si>
    <t>978-5-16-019738-8</t>
  </si>
  <si>
    <t>36.03.02, 36.04.02</t>
  </si>
  <si>
    <t>Допущено УМО вузов РФ по агрономическому образованию в качестве учебника для подготовки бакалавров, обучающихся по направлению 35.03.07 «Технология производства и переработки сельскохозяйственной продукции»</t>
  </si>
  <si>
    <t>475900.08.01</t>
  </si>
  <si>
    <t>Анатомия и возрастная физиология: Уч. / Г.Н.Тюрикова - М.:НИЦ ИНФРА-М,2026 - 178 с.(ВО.)(О)</t>
  </si>
  <si>
    <t>АНАТОМИЯ И ВОЗРАСТНАЯ ФИЗИОЛОГИЯ, ИЗД.1</t>
  </si>
  <si>
    <t>ТюриковаГ.Н., ТюриковаЮ.Б.</t>
  </si>
  <si>
    <t>978-5-16-019665-7</t>
  </si>
  <si>
    <t>44.03.01, 44.03.02, 44.03.05</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</si>
  <si>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</si>
  <si>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682820.07.01</t>
  </si>
  <si>
    <t>Анатомия и возрастная физиология: Уч. / Г.Н.Тюрикова - М.:НИЦ ИНФРА-М,2026 - 178 с.(СПО)(П)</t>
  </si>
  <si>
    <t>Тюрикова Г.Н., Тюрикова Ю.Б.</t>
  </si>
  <si>
    <t>978-5-16-013882-4</t>
  </si>
  <si>
    <t>12.02.08, 29.01.04, 31.02.01, 31.02.02, 31.02.03, 31.02.04, 31.02.05, 31.02.06, 32.02.01, 33.02.01, 34.02.01, 34.02.02, 42.02.12, 43.02.02, 43.02.04, 43.02.17, 44.02.01, 44.02.02, 44.02.03, 44.02.04, 44.02.05, 44.02.06, 49.02.01, 49.02.02, 53.02.01, 54.02.01, 54.02.02, 54.02.03, 54.02.06, 54.02.07, 49.02.03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</si>
  <si>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t>
  </si>
  <si>
    <t>682821.07.01</t>
  </si>
  <si>
    <t>Анатомия и гистология сельск. животных: Практ.: Уч.пос. / В.И.Боев - 2 изд. - М.:НИЦ ИНФРА-М,2026 - 330 с.(СПО)</t>
  </si>
  <si>
    <t>АНАТОМИЯ И ГИСТОЛОГИЯ СЕЛЬСКОХОЗЯЙСТВЕННЫХ ЖИВОТНЫХ: ПРАКТИКУМ, ИЗД.2</t>
  </si>
  <si>
    <t>Боев В.И., Писменская В.Н.</t>
  </si>
  <si>
    <t>978-5-16-013883-1</t>
  </si>
  <si>
    <t>19.02.11, 19.02.12, 35.02.09, 35.02.15, 36.01.02, 36.01.03, 36.01.05, 36.02.01, 36.02.03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</si>
  <si>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35.02.06 «Технология производства и переработки сельскохозяйственной продукции»</t>
  </si>
  <si>
    <t>276800.08.01</t>
  </si>
  <si>
    <t>Анатомия и гистология сельскохоз.животных: Практ: Уч. пос. / В.И.Боев - 2 изд. - НИЦ ИНФРА-М,2026 - 330 с.-(ВО:Бак.)(п)</t>
  </si>
  <si>
    <t>В.И.Боев, В.Н.Писменская</t>
  </si>
  <si>
    <t>978-5-16-009779-4</t>
  </si>
  <si>
    <t>36.03.02</t>
  </si>
  <si>
    <t>252400.16.01</t>
  </si>
  <si>
    <t>Анатомия и физиология гомеостаза: Уч.пос. /Ю.Н.Самко - М.:НИЦ ИНФРА-М,2027 - 94 с(Клиническая практ.)(о)</t>
  </si>
  <si>
    <t>АНАТОМИЯ И ФИЗИОЛОГИЯ ГОМЕОСТАЗА, ИЗД.1</t>
  </si>
  <si>
    <t>Самко Ю.Н.</t>
  </si>
  <si>
    <t>978-5-16-009383-3</t>
  </si>
  <si>
    <t>31.05.01, 31.05.02, 31.05.03, 34.03.01, 44.03.05</t>
  </si>
  <si>
    <t>Рекомендовано в качестве учебного пособия для студентов высших учебных заведений, обучающихся по направлениям подготовки 31.05.01 «Лечебное дело», 31.05.02 «Педиатрия», 31.05.03 «Стоматология» (квалификация «врач (врач-педиатр; врач-стоматолог) общей практики»)</t>
  </si>
  <si>
    <t>Российский национальный исследовательский медицинский университет им. Н.И. Пирогова</t>
  </si>
  <si>
    <t>318800.10.01</t>
  </si>
  <si>
    <t>Анатомия и физиология дом. животных: Уч. / Под ред. Максимова В.И. - М.:НИЦ ИНФРА-М,2026. - 600 с.(СПО)(П)</t>
  </si>
  <si>
    <t>АНАТОМИЯ И ФИЗИОЛОГИЯ ДОМАШНИХ ЖИВОТНЫХ, ИЗД.1</t>
  </si>
  <si>
    <t>Максимов В.И., Слесаренко Н.А., Селезнев С.Б. и др.</t>
  </si>
  <si>
    <t>Среднее профессиональное образование (КрГАУ)</t>
  </si>
  <si>
    <t>978-5-16-010415-7</t>
  </si>
  <si>
    <t>35.02.09, 35.02.15, 36.01.02, 36.01.03, 36.01.05, 36.02.01, 36.02.03</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</si>
  <si>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образовательных учреждений среднего профессионального образования по специальностям 36.02.01 «Ветеринария» и 36.02.02 «Зоотехния»</t>
  </si>
  <si>
    <t>Московская государственная академия ветеринарной медицины и биотехнологии - МВА им. К.И. Скрябина</t>
  </si>
  <si>
    <t>785125.05.01</t>
  </si>
  <si>
    <t>Анатомия и физиология человека: Уч. / А.И.Тюкавин - М.:НИЦ ИНФРА-М,2027 - 424 с.(СПО)(п)</t>
  </si>
  <si>
    <t>АНАТОМИЯ И ФИЗИОЛОГИЯ ЧЕЛОВЕКА, ИЗД.1</t>
  </si>
  <si>
    <t>Тюкавин А.И., Гайворонский И.В., Майстренко В.А. и др.</t>
  </si>
  <si>
    <t>978-5-16-018329-9</t>
  </si>
  <si>
    <t>12.02.08, 29.01.04, 31.02.01, 31.02.02, 31.02.03, 31.02.04, 31.02.05, 31.02.06, 32.02.01, 33.02.01, 34.02.01, 34.02.02, 42.02.12, 43.02.04, 43.02.17, 44.02.01, 44.02.02, 44.02.03, 44.02.04, 44.02.05, 44.02.06, 49.02.01, 49.02.02, 53.02.01, 54.02.03, 54.02.06, 49.02.03</t>
  </si>
  <si>
    <t>Первый Санкт-Петербургский государственный медицинский университет им. академика И.П.Павлова</t>
  </si>
  <si>
    <t>220400.14.01</t>
  </si>
  <si>
    <t>Анатомия человека: Уч.пос. / И.М.Прищепа - ,НИЦ ИНФРА-М,2026 - 459 с.(ВО.)(п)</t>
  </si>
  <si>
    <t>АНАТОМИЯ ЧЕЛОВЕКА, ИЗД.1</t>
  </si>
  <si>
    <t>Прищепа И. М.</t>
  </si>
  <si>
    <t>978-5-16-006954-8</t>
  </si>
  <si>
    <t>34.03.01, 44.03.05, 49.03.01, 49.03.02, 52.03.01</t>
  </si>
  <si>
    <t>Допущено Министерством образования Республики Беларусь в качестве учебного пособия для студентов учреждений высшего образования по биологическим специальностям</t>
  </si>
  <si>
    <t>Витебский государственный университет им. П.М. Машерова</t>
  </si>
  <si>
    <t>656383.07.01</t>
  </si>
  <si>
    <t>Английская номинативность и картина мира: Моногр. / А.А.Джиоева - М:НИЦ ИНФРА-М,2026 - 176 с.(Науч.мысль)(о)</t>
  </si>
  <si>
    <t>АНГЛИЙСКАЯ НОМИНАТИВНОСТЬ И КАРТИНА МИРА, ИЗД.1</t>
  </si>
  <si>
    <t>Джиоева А.А.</t>
  </si>
  <si>
    <t>978-5-16-017031-2</t>
  </si>
  <si>
    <t>40.03.01, 44.03.01, 44.03.05, 45.03.01, 45.03.02, 45.03.03, 45.03.04</t>
  </si>
  <si>
    <t>Московский государственный университет им. М.В. Ломоносова, факультет политологии</t>
  </si>
  <si>
    <t>656383.05.01</t>
  </si>
  <si>
    <t>Английская номинативность и картина мира: Моногр. / А.А.Джиоева-М:НИЦ ИНФРА-М,2024-176с(Науч.мысль)</t>
  </si>
  <si>
    <t>260400.14.01</t>
  </si>
  <si>
    <t>Английские заимствования в рус. и нем. языках в усл...: Моногр. / Ж.Багана - М.:НИЦ ИНФРА-М,2026 - 120 с.(О)</t>
  </si>
  <si>
    <t>АНГЛИЙСКИЕ ЗАИМСТВОВАНИЯ В РУССКОМ И НЕМЕЦКОМ ЯЗЫКАХ В УСЛОВИЯХ ГЛОБАЛИЗАЦИИ, ИЗД.1</t>
  </si>
  <si>
    <t>Багана Ж., Тарасова М. В.</t>
  </si>
  <si>
    <t>978-5-16-009504-2</t>
  </si>
  <si>
    <t>45.03.01, 45.03.02, 45.04.01, 45.04.02, 51.03.01, 51.04.01</t>
  </si>
  <si>
    <t>241900.05.01</t>
  </si>
  <si>
    <t>Английские заимствования в террит. вариантах фр.яз.: Моногр. /Ж.Багана -НИЦ ИНФРА-М,2024-106(Науч.мысль)</t>
  </si>
  <si>
    <t>АНГЛИЙСКИЕ ЗАИМСТВОВАНИЯ В ТЕРРИТОРИАЛЬНЫХ ВАРИАНТАХ ФРАНЦУЗСКОГО ЯЗЫКА АФРИКИ, ИЗД.1</t>
  </si>
  <si>
    <t>Багана Ж., Хапилина Е.В., Блажевич Ю.С.</t>
  </si>
  <si>
    <t>978-5-16-009255-3</t>
  </si>
  <si>
    <t>45.03.01, 45.04.01</t>
  </si>
  <si>
    <t>795384.01.01</t>
  </si>
  <si>
    <t>Английские собств. имена: Т.1: Сл. / С.И.Гарагуля - М.:НИЦ ИНФРА-М,2026. - 1180 с.(п)</t>
  </si>
  <si>
    <t>АНГЛИЙСКИЕ СОБСТВЕННЫЕ ИМЕНА: БОЛЬШОЙ ЛИНГВОКУЛЬТУРОЛОГИЧЕСКИЙ СЛОВАРЬ, Т.1</t>
  </si>
  <si>
    <t>Гарагуля С.И.</t>
  </si>
  <si>
    <t>978-5-16-021043-8</t>
  </si>
  <si>
    <t>42.04.02, 44.04.01, 45.04.01, 45.04.02, 45.05.01, 51.03.01, 51.04.01</t>
  </si>
  <si>
    <t>Август, 2025</t>
  </si>
  <si>
    <t>859702.01.01</t>
  </si>
  <si>
    <t>Английские собственные имена...: Сл.: Т.2 / С.И.Гарагуля - М.:НИЦ ИНФРА-М,2026. - 875 с.(п)</t>
  </si>
  <si>
    <t>АНГЛИЙСКИЕ СОБСТВЕННЫЕ ИМЕНА: БОЛЬШОЙ ЛИНГВОКУЛЬТУРОЛОГИЧЕСКИЙ СЛОВАРЬ, Т.2</t>
  </si>
  <si>
    <t>978-5-16-021044-5</t>
  </si>
  <si>
    <t>790399.03.01</t>
  </si>
  <si>
    <t>Английский  яз. для банковского дела: Уч. / О.Н.Анюшенкова - М.:НИЦ ИНФРА-М,2026. - 379 с.(СПО)(П)</t>
  </si>
  <si>
    <t>АНГЛИЙСКИЙ  ЯЗЫК ДЛЯ БАНКОВСКОГО ДЕЛА (ENGLISH FOR BANKING), ИЗД.1</t>
  </si>
  <si>
    <t>978-5-16-018037-3</t>
  </si>
  <si>
    <t>38.02.07</t>
  </si>
  <si>
    <t>465250.11.01</t>
  </si>
  <si>
    <t>Английский в индустрии моды: Уч.пос. / Е.В.Казакова и др. - М.:НИЦ ИНФРА-М,2026. - 224 с.(Проф.ин.яз.)(п)</t>
  </si>
  <si>
    <t>АНГЛИЙСКИЙ В ИНДУСТРИИ МОДЫ, ИЗД.1</t>
  </si>
  <si>
    <t>Казакова Е.В., Дружкова С.Г., Юрасова Н.К.</t>
  </si>
  <si>
    <t>Профессиональный иностранный язык</t>
  </si>
  <si>
    <t>978-5-16-021568-6</t>
  </si>
  <si>
    <t>29.03.01, 29.03.05, 45.03.02, 54.01.20, 54.02.01, 54.02.02, 54.03.01, 54.03.03</t>
  </si>
  <si>
    <t>Допущено к изданию с грифом УМО вузов России по образованию в области технологии, конструирования изделий легкой промышленности в качестве учебного пособия по иностранному языку для бакалавров и магистров высших учебных заведений, обучающихся по направлениям подготовки «Технология изделий легкой промышленности» и «Конструирование изделий легкой промышленности»</t>
  </si>
  <si>
    <t>431870.15.01</t>
  </si>
  <si>
    <t>Английский для аспирантов: Уч.пос. / Е.И.Белякова, - 2-е изд.-М.:НИЦ ИНФРА-М,2026.-188 с.(п)</t>
  </si>
  <si>
    <t>АНГЛИЙСКИЙ ДЛЯ АСПИРАНТОВ, ИЗД.2</t>
  </si>
  <si>
    <t>Белякова Е. И.</t>
  </si>
  <si>
    <t>978-5-16-021119-0</t>
  </si>
  <si>
    <t>37.06.01, 38.06.01, 40.03.01, 44.03.01, 44.03.05, 44.06.01</t>
  </si>
  <si>
    <t>704992.10.01</t>
  </si>
  <si>
    <t>Английский для деревообр., плотников и столяров: Уч./Е.А.Агеева - М.:ИЦ РИОР, НИЦ ИНФРА-М,2026 - 132 с(П)</t>
  </si>
  <si>
    <t>АНГЛИЙСКИЙ ДЛЯ ДЕРЕВООБРАБОТЧИКОВ,ПЛОТНИКОВ И СТОЛЯРОВ, ИЗД.1</t>
  </si>
  <si>
    <t>Агеева Е.А.</t>
  </si>
  <si>
    <t>978-5-369-01821-7</t>
  </si>
  <si>
    <t>08.01.04, 08.01.05, 08.01.08, 08.01.24, 08.01.27, 08.01.28, 35.01.07, 35.01.08, 35.01.28, 35.01.29, 35.02.02, 35.02.18</t>
  </si>
  <si>
    <t>Московский индустриальный колледж</t>
  </si>
  <si>
    <t>728109.02.01</t>
  </si>
  <si>
    <t>Английский для землеустроителей: English for..: Уч. / Н.А.Титаренко - М.:НИЦ ИНФРА-М,2027. - 563 с.(ВО)(п)</t>
  </si>
  <si>
    <t>АНГЛИЙСКИЙ ДЛЯ ЗЕМЛЕУСТРОИТЕЛЕЙ: ENGLISH FOR LAND USE PLANNERS, ИЗД.1</t>
  </si>
  <si>
    <t>Титаренко Н.А.</t>
  </si>
  <si>
    <t>978-5-16-016028-3</t>
  </si>
  <si>
    <t>21.03.02, 21.04.02</t>
  </si>
  <si>
    <t>Государственный университет по землеустройству</t>
  </si>
  <si>
    <t>818467.02.01</t>
  </si>
  <si>
    <t>Английский для матем. = English for Mathem.: Уч.пос. / Т.Н.Свиридова - М.:НИЦ ИНФРА-М, СФУ,2027 - 184 с.(ВО)(п)</t>
  </si>
  <si>
    <t>АНГЛИЙСКИЙ ДЛЯ МАТЕМАТИКОВ (ENGLISH FOR MATHEMATICIANS), ИЗД.1</t>
  </si>
  <si>
    <t>Свиридова Т.Н., Шелепова М.Г.</t>
  </si>
  <si>
    <t>978-5-16-019515-5</t>
  </si>
  <si>
    <t>01.03.01, 01.03.02, 02.03.01</t>
  </si>
  <si>
    <t>682933.07.01</t>
  </si>
  <si>
    <t>Английский яз. GUIDES FOR..: Уч.пос. / А.П.Миньяр-Белоручева - 2 изд. - М.:НИЦ ИНФРА-М,2026 - 176 с.(п)</t>
  </si>
  <si>
    <t>АНГЛИЙСКИЙ ЯЗЫК. GUIDES FOR ADVERTISING. РЕКЛАМА В ТУРИЗМЕ, ИЗД.2</t>
  </si>
  <si>
    <t>Миньяр-Белоручева А.П., Покровская М.Е.</t>
  </si>
  <si>
    <t>978-5-16-014100-8</t>
  </si>
  <si>
    <t>42.03.01, 43.03.02, 49.03.03</t>
  </si>
  <si>
    <t>Допущено УМО по классическому университетскому образованию в качестве учебного пособия для студентов вузов, обучающихся по направлению подготовки 43.03.02 «Туризм»</t>
  </si>
  <si>
    <t>Московский государственный университет им. М.В. Ломоносова, исторический факультет</t>
  </si>
  <si>
    <t>170550.11.01</t>
  </si>
  <si>
    <t>Английский яз. в ситуациях повседнев. дел...: Уч.пос. / З.В.Маньковская - М:НИЦ ИНФРА-М,2026 - 223 с.(ВО)(п)</t>
  </si>
  <si>
    <t>АНГЛИЙСКИЙ ЯЗЫК В СИТУАЦИЯХ ПОВСЕДНЕВНОГО ДЕЛОВОГО ОБЩЕНИЯ, ИЗД.1</t>
  </si>
  <si>
    <t>Маньковская З.В.</t>
  </si>
  <si>
    <t>978-5-16-005065-2</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</si>
  <si>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по английскому языкудля студентов, обучающихся по специальности «Перевод и переводоведение» направления «Лингвистика и межкультурная коммуникация»</t>
  </si>
  <si>
    <t>Московский государственный технический университет им. Н.Э. Баумана, Мытищинский ф-л</t>
  </si>
  <si>
    <t>684901.08.01</t>
  </si>
  <si>
    <t>Английский яз. в ситуациях повседнев.дел.общ.: Уч.пос. / З.В.Маньковская - М.:НИЦ ИНФРА-М,2027 - 223 с.(СПО)</t>
  </si>
  <si>
    <t>978-5-16-014149-7</t>
  </si>
  <si>
    <t>00.01.02, 00.02.02, 38.02.01, 38.02.02, 38.02.03, 38.02.06, 38.02.07, 38.02.08, 46.02.01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</si>
  <si>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УГС 38.02.00 «Экономика и управление»</t>
  </si>
  <si>
    <t>867438.01.01</t>
  </si>
  <si>
    <t>Английский яз. в стоматологии = English for Dentistry: Уч. / О.Н.Анюшенкова - М.:НИЦ ИНФРА-М,2026. - 523 с.(п)</t>
  </si>
  <si>
    <t>АНГЛИЙСКИЙ ЯЗЫК В СТОМАТОЛОГИИ = ENGLISH FOR DENTISTRY, ИЗД.1</t>
  </si>
  <si>
    <t>978-5-16-021560-0</t>
  </si>
  <si>
    <t>31.02.05, 31.02.06, 31.05.01, 31.05.02, 31.05.03, 31.08.72, 31.08.73, 31.08.74, 31.08.75, 31.08.76</t>
  </si>
  <si>
    <t>АКАДЕМУС-2025, Победитель, I место</t>
  </si>
  <si>
    <t>798665.02.01</t>
  </si>
  <si>
    <t>Английский яз. в сфере гос. и муниципал. управ.: Уч. / А.П.Шмакова - М.:НИЦ ИНФРА-М,2027. - 294 с.(ВО)(п)</t>
  </si>
  <si>
    <t>АНГЛИЙСКИЙ ЯЗЫК В СФЕРЕ ГОСУДАРСТВЕННОГО И МУНИЦИПАЛЬНОГО УПРАВЛЕНИЯ, ИЗД.1</t>
  </si>
  <si>
    <t>Шмакова А.П.</t>
  </si>
  <si>
    <t>978-5-16-018880-5</t>
  </si>
  <si>
    <t>38.03.04</t>
  </si>
  <si>
    <t>Финансовый университет при Правительстве Российской Федерации, Омский ф-л</t>
  </si>
  <si>
    <t>683242.07.01</t>
  </si>
  <si>
    <t>Английский яз. в сфере юриспруденции: Уч. / Э.Г.Куликова - М.:Юр.Норма, НИЦ ИНФРА-М,2026 - 208 с.(СПО)(П)</t>
  </si>
  <si>
    <t>АНГЛИЙСКИЙ ЯЗЫК В СФЕРЕ ЮРИСПРУДЕНЦИИ, ИЗД.1</t>
  </si>
  <si>
    <t>Куликова Э.Г., Солдатов Б.Г., Солдатова Н.В.</t>
  </si>
  <si>
    <t>978-5-91768-926-5</t>
  </si>
  <si>
    <t>860391.01.01</t>
  </si>
  <si>
    <t>Английский яз. для автомобильной индустрии: Уч. / О.Н.Анюшенкова - М.:НИЦ ИНФРА-М,2026 - 460 с.(ВО)(п)</t>
  </si>
  <si>
    <t>АНГЛИЙСКИЙ ЯЗЫК ДЛЯ АВТОМОБИЛЬНОЙ ИНДУСТРИИ = ENGLISH FOR THE AUTO INDUSTRY, ИЗД.1</t>
  </si>
  <si>
    <t>978-5-16-021083-4</t>
  </si>
  <si>
    <t>23.03.01, 23.03.02, 23.03.03, 23.05.01</t>
  </si>
  <si>
    <t>808641.05.01</t>
  </si>
  <si>
    <t>Английский яз. для автомобильной индустрии: Уч. / О.Н.Анюшенкова - М.:НИЦ ИНФРА-М,2026. - 460 с.(п)</t>
  </si>
  <si>
    <t>978-5-16-018903-1</t>
  </si>
  <si>
    <t>23.01.17, 23.02.01, 23.02.02, 23.02.03, 23.02.04, 23.02.05</t>
  </si>
  <si>
    <t>871190.01.01</t>
  </si>
  <si>
    <t>Английский яз. для бортпроводников= English..: Уч. / О.Н.Анюшенкова - М.:НИЦ ИНФРА-М,2027. - 409 с.(п)</t>
  </si>
  <si>
    <t>АНГЛИЙСКИЙ ЯЗЫК ДЛЯ БОРТПРОВОДНИКОВ = ENGLISH FOR CABIN CREW, ИЗД.1</t>
  </si>
  <si>
    <t>978-5-16-021763-5</t>
  </si>
  <si>
    <t>43.02.06, 43.03.01</t>
  </si>
  <si>
    <t>851777.01.01</t>
  </si>
  <si>
    <t>Английский яз. для Геодезистов и Картографов: Уч. / О.Н.Анюшенкова - М.:НИЦ ИНФРА-М,2026. - 338 с.(п)(ВО)</t>
  </si>
  <si>
    <t>АНГЛИЙСКИЙ ЯЗЫК ДЛЯ ГЕОДЕЗИСТОВ И КАРТОГРАФОВ. ENGLISH FOR GEODESISTS AND LAND SURVEYORS, ИЗД.1</t>
  </si>
  <si>
    <t>978-5-16-020829-9</t>
  </si>
  <si>
    <t>05.03.03, 05.04.03, 21.03.02, 21.03.03, 21.05.01</t>
  </si>
  <si>
    <t>154050.11.01</t>
  </si>
  <si>
    <t>Английский яз. для для спец. в области упр. качеством...: Уч.пос. / Б.Герасимов - М.:Форум,2026  - 160 с.(о)</t>
  </si>
  <si>
    <t>ENGLISH FOR QUALITY MANAGEMENT AND STANDARDIZATION = АНГЛИЙСКИЙ ЯЗЫК ДЛЯ СТУДЕНТОВ В ОБЛАСТИ УПРАВЛЕНИЯ КАЧЕСТВОМ И СТАНДАРТИЗАЦИ, ИЗД.1</t>
  </si>
  <si>
    <t>978-5-16-021088-9</t>
  </si>
  <si>
    <t>27.03.01, 27.03.02, 27.03.03, 27.03.04, 27.03.05</t>
  </si>
  <si>
    <t>860097.01.01</t>
  </si>
  <si>
    <t>Английский яз. для железнодорожников: Уч. / О.Н.Анюшенкова - М.:НИЦ ИНФРА-М,2026. - 503 с.(ВО (ФинУн))(п)</t>
  </si>
  <si>
    <t>АНГЛИЙСКИЙ ЯЗЫК ДЛЯ ЖЕЛЕЗНОДОРОЖНИКОВ, ИЗД.1</t>
  </si>
  <si>
    <t>978-5-16-021066-7</t>
  </si>
  <si>
    <t>23.03.01, 23.03.02, 23.03.03, 23.05.01, 23.05.02, 23.05.03, 23.05.04, 23.05.05, 23.05.06</t>
  </si>
  <si>
    <t>300300.16.01</t>
  </si>
  <si>
    <t>Английский яз. для индустрии гостеприимства: Уч.пос. / К.В.Кабанова - 2 изд. - М.:ИНФРА-М,2026 - 190 c.(СПО)</t>
  </si>
  <si>
    <t>АНГЛИЙСКИЙ ЯЗЫК ДЛЯ ИНДУСТРИИ ГОСТЕПРИИМСТВА, ИЗД.2</t>
  </si>
  <si>
    <t>Кабанова К.В., Мотинова Е.Н., Темякова В.В.</t>
  </si>
  <si>
    <t>978-5-16-013648-6</t>
  </si>
  <si>
    <t>43.02.06, 43.02.11, 43.02.16</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</si>
  <si>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программу СПО</t>
  </si>
  <si>
    <t>Колледж Московского гуманитарного университета</t>
  </si>
  <si>
    <t>768662.04.01</t>
  </si>
  <si>
    <t>Английский яз. для машиностроит. специальностей: Уч. / Г.В.Шевцова - М.:НИЦ ИНФРА-М,2026 - 266 с.(СПО)(п)</t>
  </si>
  <si>
    <t>АНГЛИЙСКИЙ ЯЗЫК ДЛЯ МАШИНОСТРОИТЕЛЬНЫХ СПЕЦИАЛЬНОСТЕЙ, ИЗД.1</t>
  </si>
  <si>
    <t>Шевцова Г.В., Москалец Л.Е.</t>
  </si>
  <si>
    <t>978-5-16-018397-8</t>
  </si>
  <si>
    <t>15.01.08, 15.01.29, 15.01.35, 15.01.36, 15.01.37, 15.01.38, 15.02.01, 15.02.03, 15.02.04, 15.02.06, 15.02.07, 15.02.09, 15.02.10, 15.02.16, 15.02.17, 15.02.18, 15.02.19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</si>
  <si>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15.00.00 «Машиностроение» (протокол № 1 от 17.01.2023)</t>
  </si>
  <si>
    <t>СПО-2023, Победитель, II место</t>
  </si>
  <si>
    <t>765194.05.01</t>
  </si>
  <si>
    <t>Английский яз. для моряков и судостроителей: Уч. / О.Н.Анюшенкова - М.:НИЦ ИНФРА-М,2026 - 782 с.(СПО)(п)</t>
  </si>
  <si>
    <t>АНГЛИЙСКИЙ ЯЗЫК ДЛЯ МОРЯКОВ И СУДОСТРОИТЕЛЕЙ = ENGLISH FOR SEAFARERS AND SHIPBUILDERS, ИЗД.1</t>
  </si>
  <si>
    <t>978-5-16-017900-1</t>
  </si>
  <si>
    <t>26.01.01, 26.01.02, 26.01.03, 26.02.01, 26.02.02, 26.02.03, 26.02.04, 26.02.05, 26.02.06</t>
  </si>
  <si>
    <t>СПО-2022, Победитель, I место</t>
  </si>
  <si>
    <t>860098.01.01</t>
  </si>
  <si>
    <t>Английский яз. для моряков и судостроителей: Уч. / О.Н.Анюшенкова - М.:НИЦ ИНФРА-М,2026 - 782 с.:цв.ил.(ВО)(п)</t>
  </si>
  <si>
    <t>978-5-16-021067-4</t>
  </si>
  <si>
    <t>26.03.01, 26.03.02, 26.03.03, 26.04.01, 26.04.02, 26.05.01, 26.05.02, 26.05.03, 26.05.04, 26.05.05, 26.05.06, 26.05.07</t>
  </si>
  <si>
    <t>863100.01.01</t>
  </si>
  <si>
    <t>Английский яз. для нефтегазовой отрасли: Уч. / О.Н.Анюшенкова - М.:НИЦ ИНФРА-М,2026. - 348 с.(п)</t>
  </si>
  <si>
    <t>АНГЛИЙСКИЙ ЯЗЫК ДЛЯ НЕФТЕГАЗОВОЙ ОТРАСЛИ (ENGLISH FOR OIL AND GAS INDUSTRY), ИЗД.1</t>
  </si>
  <si>
    <t>978-5-16-021303-3</t>
  </si>
  <si>
    <t>21.02.01, 21.02.02, 21.02.03, 21.02.10, 21.03.01</t>
  </si>
  <si>
    <t>467400.09.01</t>
  </si>
  <si>
    <t>Английский яз. для раб.в туризме..: Уч. / А.П.Миньяр-Белоручева - 2 изд. - М.:Форум, НИЦ ИНФРА-М,2026 - 192 с.(О)</t>
  </si>
  <si>
    <t>АНГЛИЙСКИЙ ЯЗЫК ДЛЯ РАБОТЫ В ТУРИЗМЕ = WORKING IN TOURISM, ИЗД.2</t>
  </si>
  <si>
    <t>978-5-00091-529-5</t>
  </si>
  <si>
    <t>43.03.02</t>
  </si>
  <si>
    <t>Допущено Учебно-методическим объединением по классическому университетскому образованию в качестве учебника по английскому языку для студентов высших учебных заведений, обучающихся по направлению подготовки 46.03.01 «История»</t>
  </si>
  <si>
    <t>855366.03.01</t>
  </si>
  <si>
    <t>Английский яз. для сотруд. полиции: Уч.пос. / Д.И.Высоцкая - М.:НИЦ ИНФРА-М,2027. - 514 с.(п)</t>
  </si>
  <si>
    <t>АНГЛИЙСКИЙ ЯЗЫК ДЛЯ СОТРУДНИКОВ ПОЛИЦИИ (ENGLISH FOR POLICE STAFF), ИЗД.1</t>
  </si>
  <si>
    <t>Высоцкая Д.И.</t>
  </si>
  <si>
    <t>978-5-16-021026-1</t>
  </si>
  <si>
    <t>40.02.02, 40.05.02, 40.03.02</t>
  </si>
  <si>
    <t>Колледж полиции</t>
  </si>
  <si>
    <t>АКАДЕМУС-2025, Лауреат
СПО-2025, Победитель, II место</t>
  </si>
  <si>
    <t>837757.01.01</t>
  </si>
  <si>
    <t>Английский яз. для спец. лесного хоз.: Уч. / О.Н.Анюшенкова - М.:НИЦ ИНФРА-М,2025. - 395 с.(СПО)(п)</t>
  </si>
  <si>
    <t>АНГЛИЙСКИЙ ЯЗЫК ДЛЯ СПЕЦИАЛИСТОВ ЛЕСНОГО ХОЗЯЙСТВА, ИЗД.1</t>
  </si>
  <si>
    <t>978-5-16-020251-8</t>
  </si>
  <si>
    <t>35.02.01, 35.02.12</t>
  </si>
  <si>
    <t>860394.01.01</t>
  </si>
  <si>
    <t>Английский яз. для спец. лесного хоз.: Уч. / О.Н.Анюшенкова - М.:НИЦ ИНФРА-М,2026. - 395 с.(ВО (ФинУн)(п)</t>
  </si>
  <si>
    <t>АНГЛИЙСКИЙ ЯЗЫК ДЛЯ СПЕЦИАЛИСТОВ ЛЕСНОГО ХОЗЯЙСТВА = ENGLISH FOR FORESTRY, ИЗД.1</t>
  </si>
  <si>
    <t>978-5-16-021085-8</t>
  </si>
  <si>
    <t>35.03.01, 35.03.02, 35.03.05, 35.04.01, 35.04.02, 35.04.05</t>
  </si>
  <si>
    <t>834752.01.01</t>
  </si>
  <si>
    <t>Английский яз. для спец. по библ.- информ. деят.: Уч. / О.Н.Анюшенкова - М.:НИЦ ИНФРА-М,2025 - 399 с.(СПО)(п)</t>
  </si>
  <si>
    <t>АНГЛИЙСКИЙ ЯЗЫК ДЛЯ СПЕЦИАЛИСТОВ ПО БИБЛИОТЕЧНО-ИНФОРМАЦИОННОЙ ДЕЯТЕЛЬНОСТИ, ИЗД.1</t>
  </si>
  <si>
    <t>978-5-16-020185-6</t>
  </si>
  <si>
    <t>42.00.00, 51.02.03</t>
  </si>
  <si>
    <t>СПО-2024, Победитель, I место
Всероссийский (с международным участием) конкурс учебно-методических, учебных и научных работ "Добросвет"-2025, Победитель, I место</t>
  </si>
  <si>
    <t>860393.01.01</t>
  </si>
  <si>
    <t>Английский яз. для спец. по рекламе и продвижению..: Уч. / О.Н.Анюшенкова - М.:НИЦ ИНФРА-М,2026. - 403 с.(п)</t>
  </si>
  <si>
    <t>АНГЛИЙСКИЙ ЯЗЫК ДЛЯ СПЕЦИАЛИСТОВ ПО РЕКЛАМЕ И ПРОДВИЖЕНИЮ (ENGLISH FOR ADVERTISING AND PROMOTION), ИЗД.1</t>
  </si>
  <si>
    <t>978-5-16-021084-1</t>
  </si>
  <si>
    <t>42.03.01, 42.03.03, 42.03.04, 42.04.01, 42.04.02</t>
  </si>
  <si>
    <t>834751.01.01</t>
  </si>
  <si>
    <t>Английский яз. для спец. по рекламе и продвижению: Уч. / О.Н.Анюшенкова - М.:НИЦ ИНФРА-М,2025. - 403 с.(п)</t>
  </si>
  <si>
    <t>978-5-16-020137-5</t>
  </si>
  <si>
    <t>42.01.01, 42.02.01</t>
  </si>
  <si>
    <t>866046.01.01</t>
  </si>
  <si>
    <t>Английский яз. для таможенного дела: Уч. / О.Н.Анюшенкова - М.:НИЦ ИНФРА-М,2026. - 526 с.(п)</t>
  </si>
  <si>
    <t>АНГЛИЙСКИЙ ЯЗЫК ДЛЯ ТАМОЖЕННОГО ДЕЛА = ENGLISH FOR CUSTOMS SERVICE, ИЗД.1</t>
  </si>
  <si>
    <t>978-5-16-021483-2</t>
  </si>
  <si>
    <t>38.05.02</t>
  </si>
  <si>
    <t>787445.02.01</t>
  </si>
  <si>
    <t>Английский яз. для телекоммуникационных технологий: Уч. / О.Н.Анюшенкова - М.:НИЦ ИНФРА-М,2026. - 283 с.(п)</t>
  </si>
  <si>
    <t>АНГЛИЙСКИЙ ЯЗЫК ДЛЯ ТЕЛЕКОММУНИКАЦИОННЫХ ТЕХНОЛОГИЙ = ENGLISH FOR TELECOMMUNICATION TECHNOLOGIES, ИЗД.1</t>
  </si>
  <si>
    <t>978-5-16-018065-6</t>
  </si>
  <si>
    <t>09.02.01, 09.02.06, 09.02.07, 11.01.01, 11.01.02, 11.01.05, 11.01.08, 11.01.11, 11.02.03, 11.02.06, 11.02.07, 11.02.09, 11.02.11, 11.02.12, 11.02.13, 11.02.14, 11.02.15, 11.02.16, 11.02.17, 11.02.18, 11.02.19</t>
  </si>
  <si>
    <t>706166.04.01</t>
  </si>
  <si>
    <t>Английский яз. для технич. вузов: Уч.пос. / З.В.Маньковская - М.:НИЦ ИНФРА-М,2026 - 270 с.(ВО: Бакалавр.)(П)</t>
  </si>
  <si>
    <t>АНГЛИЙСКИЙ ЯЗЫК ДЛЯ ТЕХНИЧЕСКИХ ВУЗОВ, ИЗД.1</t>
  </si>
  <si>
    <t>978-5-16-015452-7</t>
  </si>
  <si>
    <t>00.03.02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</si>
  <si>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8 от 22.06.2020)</t>
  </si>
  <si>
    <t>786374.02.01</t>
  </si>
  <si>
    <t>Английский яз. Менеджмент (English for Management): Уч.пос. / О.Н.Анюшенкова - М.:НИЦ ИНФРА-М,2027 - 426 с.(ВО)(п)</t>
  </si>
  <si>
    <t>АНГЛИЙСКИЙ ЯЗЫК. МЕНЕДЖМЕНТ (ENGLISH FOR MANAGEMENT), ИЗД.1</t>
  </si>
  <si>
    <t>Высшее образование (Финансовый университет-105 лет)</t>
  </si>
  <si>
    <t>978-5-16-017899-8</t>
  </si>
  <si>
    <t>00.03.02, 38.03.02</t>
  </si>
  <si>
    <t>686785.09.01</t>
  </si>
  <si>
    <t>Английский яз. Стилистика. The Power of Stylistics: Уч.пос. / Г.И.Лушникова - М.:НИЦ ИНФРА-М,2026 - 189 с.(ВО)(П)</t>
  </si>
  <si>
    <t>АНГЛИЙСКИЙ ЯЗЫК. СТИЛИСТИКА. THE POWER OF STYLISTICS, ИЗД.1</t>
  </si>
  <si>
    <t>Лушникова Г.И., Осадчая Т.Ю.</t>
  </si>
  <si>
    <t>Высшее образование: Бакалавриат (КрымФУ)</t>
  </si>
  <si>
    <t>978-5-16-017285-9</t>
  </si>
  <si>
    <t>44.03.01, 45.03.01, 45.03.02, 45.03.03, 45.03.04, 45.04.01, 45.04.02, 45.04.03, 45.04.04, 45.05.01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</si>
  <si>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45.03.01 «Филология» (квалификация (степень) «бакалавр»)</t>
  </si>
  <si>
    <t>851137.01.01</t>
  </si>
  <si>
    <t>Английский яз. Устройства СВЧ и Антенны: Уч. / О.Н.Анюшенкова - М.:НИЦ ИНФРА-М,2025. - 443 с.(ВО)(п)</t>
  </si>
  <si>
    <t>АНГЛИЙСКИЙ ЯЗЫК. УСТРОЙСТВА СВЧ И АНТЕННЫ. ENGLISH FOR MICROWAVE DEVICES AND ANTENNAS, ИЗД.1</t>
  </si>
  <si>
    <t>978-5-16-020803-9</t>
  </si>
  <si>
    <t>11.03.01, 11.03.02, 11.04.01, 11.05.01, 11.05.02</t>
  </si>
  <si>
    <t>820895.02.01</t>
  </si>
  <si>
    <t>Английский яз. Учебно-познав. сфера общения: Уч.пос. / Н.А.Грищенко - М.:НИЦ ИНФРА-М, СФУ,2027. - 126 с.(ВО)(п)</t>
  </si>
  <si>
    <t>АНГЛИЙСКИЙ ЯЗЫК. УЧЕБНО-ПОЗНАВАТЕЛЬНАЯ СФЕРА ОБЩЕНИЯ, ИЗД.1</t>
  </si>
  <si>
    <t>Грищенко Н.А., Ершова Е.О., Корниенко В.В. и др.</t>
  </si>
  <si>
    <t>978-5-16-019581-0</t>
  </si>
  <si>
    <t>38.03.02, 38.03.03</t>
  </si>
  <si>
    <t>869405.01.01</t>
  </si>
  <si>
    <t>Английский яз.: виноградарство и виноделие: Уч. / О.Н.Анюшенкова - М.:НИЦ ИНФРА-М,2026. -  460 с.(п)</t>
  </si>
  <si>
    <t>АНГЛИЙСКИЙ ЯЗЫК: ВИНОГРАДАРСТВО И ВИНОДЕЛИЕ = ENGLISH FOR VITICULTURE AND WINEMAKING, ИЗД.1</t>
  </si>
  <si>
    <t>978-5-16-021672-0</t>
  </si>
  <si>
    <t>19.02.11, 19.02.15, 19.03.02, 19.04.01, 19.04.02, 35.03.05, 35.03.07, 35.04.05</t>
  </si>
  <si>
    <t>765144.08.01</t>
  </si>
  <si>
    <t>Английский яз.: гостиничное дело и обществ. питание: Уч. / О.Н.Анюшенкова - М.:НИЦ ИНФРА-М,2026 - 358 с.(П)</t>
  </si>
  <si>
    <t>АНГЛИЙСКИЙ ЯЗЫК: ГОСТИНИЧНОЕ ДЕЛО И ОБЩЕСТВЕННОЕ ПИТАНИЕ, ИЗД.1</t>
  </si>
  <si>
    <t>978-5-16-017241-5</t>
  </si>
  <si>
    <t>43.02.01, 43.02.11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</si>
  <si>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43.02.14 «Гостиничное дело», 43.02.01 «Организация обслуживания в общественном питании», 43.02.11 «Гостиничный сервис» (протокол № 10 от 15.12.2021)</t>
  </si>
  <si>
    <t>822505.02.01</t>
  </si>
  <si>
    <t>Английский яз.: проф. сфера коммуникации: Уч.пос. / Ю.И.Дзись - М.:НИЦ ИНФРА-М, СФУ,2027 -167 с.(ВО)(п)</t>
  </si>
  <si>
    <t>АНГЛИЙСКИЙ ЯЗЫК: ПРОФЕССИОНАЛЬНАЯ СФЕРА КОММУНИКАЦИИ, ИЗД.1</t>
  </si>
  <si>
    <t>Дзись Ю.И., Селихова С.Г., Сидорова Н.А.</t>
  </si>
  <si>
    <t>978-5-16-019693-0</t>
  </si>
  <si>
    <t>41.03.05</t>
  </si>
  <si>
    <t>870282.01.01</t>
  </si>
  <si>
    <t>Английский яз.: Фармация = English for Pharmacy: Уч. / О.Н.Анюшенкова - М.:НИЦ ИНФРА-М,2026. - 432 с.(п)</t>
  </si>
  <si>
    <t>АНГЛИЙСКИЙ ЯЗЫК: ФАРМАЦИЯ = ENGLISH FOR PHARMACY, ИЗД.1</t>
  </si>
  <si>
    <t>978-5-16-021728-4</t>
  </si>
  <si>
    <t>33.02.01, 33.04.01, 33.05.01</t>
  </si>
  <si>
    <t>682801.07.01</t>
  </si>
  <si>
    <t>Английский яз.для студ., изуч. турист.бизнес: Уч.пос. / А.П.Миньяр-Белоручева - М,НИЦ ИНФРА-М,2026 - 302 с.(СПО)(П)</t>
  </si>
  <si>
    <t>ENGLISH FOR STUDENTS IN TOURISM MANAGEMENT. АНГЛИЙСКИЙ ЯЗЫК ДЛЯ СТУДЕНТОВ, ИЗУЧАЮЩИХ ТУРИСТИЧЕСКИЙ БИЗНЕС, ИЗД.1</t>
  </si>
  <si>
    <t>978-5-16-021467-2</t>
  </si>
  <si>
    <t>43.02.11, 43.02.16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</si>
  <si>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43.02.10 «Туризм», 43.02.11 «Гостиничный сервис»</t>
  </si>
  <si>
    <t>822117.01.01</t>
  </si>
  <si>
    <t>Английский язык (агроинженерия): Уч.пос. / Т.В.Агапова. - М.:НИЦ ИНФРА-М,2025. - 210 с.(ВО (КрГАУ))(п)</t>
  </si>
  <si>
    <t>АНГЛИЙСКИЙ ЯЗЫК (АГРОИНЖЕНЕРИЯ), ИЗД.1</t>
  </si>
  <si>
    <t>Агапова Т.В., Айснер Л.Ю., Оленцова Ю.А.</t>
  </si>
  <si>
    <t>978-5-16-020003-3</t>
  </si>
  <si>
    <t>35.03.06</t>
  </si>
  <si>
    <t>819342.03.01</t>
  </si>
  <si>
    <t>Английский язык (гостиничное дело): Уч. / О.Н.Анюшенкова - М.:НИЦ ИНФРА-М,2026. - 467 с.(СПО (ФинУн))(п)</t>
  </si>
  <si>
    <t>АНГЛИЙСКИЙ ЯЗЫК (ГОСТИНИЧНОЕ ДЕЛО), ИЗД.1</t>
  </si>
  <si>
    <t>978-5-16-019616-9</t>
  </si>
  <si>
    <t>43.02.11</t>
  </si>
  <si>
    <t>850442.01.01</t>
  </si>
  <si>
    <t>Английский язык (маркетинг): Уч. / О.Н.Анюшенкова - М.:НИЦ ИНФРА-М,2025. - 373 с.(ВО)(п)</t>
  </si>
  <si>
    <t>АНГЛИЙСКИЙ ЯЗЫК (МАРКЕТИНГ), ИЗД.1</t>
  </si>
  <si>
    <t>978-5-16-020787-2</t>
  </si>
  <si>
    <t>38.03.01, 38.03.02, 38.03.06, 38.04.01, 38.04.02, 38.04.06</t>
  </si>
  <si>
    <t>860390.01.01</t>
  </si>
  <si>
    <t>Английский язык в  машиностроении: Уч. / О.Н.Анюшенкова - М.:НИЦ ИНФРА-М,2026. - 340 с.(ВО (ФинУн))(п)</t>
  </si>
  <si>
    <t>АНГЛИЙСКИЙ ЯЗЫК В  МАШИНОСТРОЕНИИ (ENGLISH FOR MECHANICAL ENGINEERING), ИЗД.1</t>
  </si>
  <si>
    <t>978-5-16-021082-7</t>
  </si>
  <si>
    <t>15.03.01, 15.03.03, 15.03.05, 15.03.06, 15.04.03</t>
  </si>
  <si>
    <t>807968.02.01</t>
  </si>
  <si>
    <t>Английский язык в машиностроении: Уч. / О.Н.Анюшенкова - М.:НИЦ ИНФРА-М,2027. - 340 с.(СПО (ФинУн))(п)</t>
  </si>
  <si>
    <t>АНГЛИЙСКИЙ ЯЗЫК В МАШИНОСТРОЕНИИ (ENGLISH FOR MECHANICAL ENGINEERING), ИЗД.1</t>
  </si>
  <si>
    <t>978-5-16-018813-3</t>
  </si>
  <si>
    <t>15.01.29, 15.02.01, 15.02.07, 15.02.16, 15.02.17, 15.02.18</t>
  </si>
  <si>
    <t>265500.06.01</t>
  </si>
  <si>
    <t>Английский язык в менеджменте: Уч.пос. / Н.М. Дюканова - М.: НИЦ ИНФРА-М, 2027 - 256 с.(ВО) (п)</t>
  </si>
  <si>
    <t>АНГЛИЙСКИЙ ЯЗЫК В МЕНЕДЖМЕНТЕ, ИЗД.1</t>
  </si>
  <si>
    <t>Дюканова Н.М.</t>
  </si>
  <si>
    <t>978-5-16-009576-9</t>
  </si>
  <si>
    <t>Рекомендовано в качестве учебного пособия для студентов высших учебных заведений, обучающихся по направлению 38.03.02 "Менеджмент"</t>
  </si>
  <si>
    <t>431900.09.01</t>
  </si>
  <si>
    <t>Английский язык в научной среде..: Уч.пос. / Л.М.Гальчук - 2 изд. - М.:.,НИЦ ИНФРА-М,2026 - 80 с.(О)</t>
  </si>
  <si>
    <t>АНГЛИЙСКИЙ ЯЗЫК В НАУЧНОЙ СРЕДЕ: ПРАКТИКУМ УСТНОЙ РЕЧИ, ИЗД.2</t>
  </si>
  <si>
    <t>Гальчук Л.М.</t>
  </si>
  <si>
    <t>978-5-16-022138-0</t>
  </si>
  <si>
    <t>00.04.16, 45.04.01, 45.04.02</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</si>
  <si>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по английскому языку для аспирантов, магистрантов и научных работников</t>
  </si>
  <si>
    <t>Новосибирский государственный университет экономики и управления</t>
  </si>
  <si>
    <t>774791.04.01</t>
  </si>
  <si>
    <t>Английский язык в проф. сфере: маркетинг...: Уч.пос. / Под ред. Дубинина - М. : ИНФРА-М, 2027-234 с.(ВО)(п)</t>
  </si>
  <si>
    <t>АНГЛИЙСКИЙ ЯЗЫК В ПРОФЕССИОНАЛЬНОЙ СФЕРЕ: МАРКЕТИНГ И ЛОГИСТИКА (ENGLISH FOR SPECIFIC PURPOSES: MARKETING AND LOGISTICS), ИЗД.1</t>
  </si>
  <si>
    <t>Белогаш М.А., Дубинина Г.А., Кондрахина Н.Г. и др.</t>
  </si>
  <si>
    <t>978-5-16-018311-4</t>
  </si>
  <si>
    <t>00.03.02, 38.03.01, 38.03.02, 38.04.02</t>
  </si>
  <si>
    <t>Рекомендовано Советом Департамента английского языка и профессиональной коммуникации Финансового университета при Правительстве Российской Федерации</t>
  </si>
  <si>
    <t>804944.02.01</t>
  </si>
  <si>
    <t>Английский язык в сфере строит. (English for...): Уч. / О.Н.Анюшенкова - М.:ИНФРА-М,2026 - 371 с.(п)</t>
  </si>
  <si>
    <t>АНГЛИЙСКИЙ ЯЗЫК В СФЕРЕ СТРОИТЕЛЬСТВА (ENGLISH FOR STUDENTS OF CIVIL ENGINEERING AND CONSTRUCTION), ИЗД.1</t>
  </si>
  <si>
    <t>978-5-16-018711-2</t>
  </si>
  <si>
    <t>08.01.04, 08.01.24, 08.01.27, 08.01.28, 08.01.29, 08.01.30, 08.01.31, 08.01.32, 08.02.01, 08.02.02, 08.02.03, 08.02.04, 08.02.08, 08.02.09, 08.02.12, 08.02.13, 08.02.14, 08.02.15</t>
  </si>
  <si>
    <t>860185.01.01</t>
  </si>
  <si>
    <t>Английский язык в сфере строительства: Уч. / О.Н.Анюшенкова - М.:ИНФРА-М,2026 - 371.с.(ВО)(п)</t>
  </si>
  <si>
    <t>978-5-16-021070-4</t>
  </si>
  <si>
    <t>08.03.01, 08.04.01, 08.05.01, 08.05.02, 08.05.03</t>
  </si>
  <si>
    <t>633323.10.01</t>
  </si>
  <si>
    <t>Английский язык в сфере юриспруденции: Уч. / Э.Г.Куликова - М.:Юр.Норма, НИЦ ИНФРА-М,2026. - 208 с.(О)</t>
  </si>
  <si>
    <t>978-5-91768-744-5</t>
  </si>
  <si>
    <t>860343.01.01</t>
  </si>
  <si>
    <t>Английский язык для авиадиспетчеров...: Уч. / О.Н.Анюшенкова - М.:НИЦ ИНФРА-М,2026. - 538 с.(п)</t>
  </si>
  <si>
    <t>АНГЛИЙСКИЙ ЯЗЫК ДЛЯ АВИАДИСПЕТЧЕРОВ (ENGLISH FOR AIR TRAFFIC CONTROLLERS), ИЗД.1</t>
  </si>
  <si>
    <t>978-5-16-021172-5</t>
  </si>
  <si>
    <t>25.03.03, 25.03.04, 25.05.05</t>
  </si>
  <si>
    <t>854171.01.01</t>
  </si>
  <si>
    <t>Английский язык для артиллеристов..: Уч. / О.Н.Анюшенкова - М.:НИЦ ИНФРА-М,2026. - 469 с.(ВО)(п)</t>
  </si>
  <si>
    <t>АНГЛИЙСКИЙ ЯЗЫК ДЛЯ АРТИЛЛЕРИСТОВ. ENGLISH FOR ARTILLERYMEN, ИЗД.1</t>
  </si>
  <si>
    <t>978-5-16-020910-4</t>
  </si>
  <si>
    <t>17.05.02, 56.04.02, 56.04.03, 56.04.04, 56.04.08, 56.05.01</t>
  </si>
  <si>
    <t>858910.01.01</t>
  </si>
  <si>
    <t>Английский язык для архивного дела: Уч. / О.Н.Анюшенкова - М.:НИЦ ИНФРА-М,2026. - 356 с.(Проф. ин. яз.)(п)</t>
  </si>
  <si>
    <t>АНГЛИЙСКИЙ ЯЗЫК ДЛЯ АРХИВНОГО ДЕЛА = ENGLISH FOR ARCHIVAL AFFAIRS, ИЗД.1</t>
  </si>
  <si>
    <t>978-5-16-021053-7</t>
  </si>
  <si>
    <t>46.01.03, 46.02.01, 46.02.02</t>
  </si>
  <si>
    <t>179600.22.01</t>
  </si>
  <si>
    <t>Английский язык для архитекторов: Уч. / И.С.Ивянская - 2 изд. - М.:КУРС,НИЦ ИНФРА-М,2027 - 400с.(О)</t>
  </si>
  <si>
    <t>АНГЛИЙСКИЙ ЯЗЫК ДЛЯ АРХИТЕКТОРОВ, ИЗД.2</t>
  </si>
  <si>
    <t>Ивянская И.С.</t>
  </si>
  <si>
    <t>978-5-905554-38-4</t>
  </si>
  <si>
    <t>07.02.01, 07.03.01, 07.03.04, 07.04.01, 07.04.04</t>
  </si>
  <si>
    <t>Допущено УМО по образоанию в области архитектуры в качестве учебного пособия для студентов вузов обучающихся по направлению «Архитектура»</t>
  </si>
  <si>
    <t>Информационно-технологический центр Москомархитектуры</t>
  </si>
  <si>
    <t>766449.03.01</t>
  </si>
  <si>
    <t>Английский язык для врачей = English for Doctors: Уч.пос. / И.С.Гончарова - М.:НИЦ ИНФРА-М,2026. - 272 с.(п)</t>
  </si>
  <si>
    <t>ENGLISH FOR DOCTORS = АНГЛИЙСКИЙ ЯЗЫК ДЛЯ ВРАЧЕЙ, ИЗД.1</t>
  </si>
  <si>
    <t>Гончарова И.С.</t>
  </si>
  <si>
    <t>978-5-16-021698-0</t>
  </si>
  <si>
    <t>31.05.01, 31.05.02, 31.05.03, 31.05.04</t>
  </si>
  <si>
    <t>765163.03.01</t>
  </si>
  <si>
    <t>Английский язык для железнодорожников: Уч. / О.Н.Анюшенкова - М.:НИЦ ИНФРА-М,2026. - 503 с.(СПО (ФинУн))(п)</t>
  </si>
  <si>
    <t>978-5-16-017443-3</t>
  </si>
  <si>
    <t>23.01.14, 23.01.16, 23.02.01, 23.02.05, 23.02.06, 23.02.08</t>
  </si>
  <si>
    <t>300300.02.01</t>
  </si>
  <si>
    <t>Английский язык для индустрии гостеприимства: Уч.пос. / К.В.Ишимцева - Альфа-М,НИЦ ИНФРА-М,2017-192с</t>
  </si>
  <si>
    <t>АНГЛИЙСКИЙ ЯЗЫК ДЛЯ ИНДУСТРИИ ГОСТЕПРИИМСТВА, ИЗД.1</t>
  </si>
  <si>
    <t>Ишимцева К. В., Мотинова Е. Н., Темякова В. В.</t>
  </si>
  <si>
    <t>ПРОФИль</t>
  </si>
  <si>
    <t>978-5-98281-409-8</t>
  </si>
  <si>
    <t>833304.01.01</t>
  </si>
  <si>
    <t>Английский язык для индустрии моды: Уч. / О.Н.Анюшенкова - М.:НИЦ ИНФРА-М,2025. - 524 с.(СПО (ФинУн))(п)</t>
  </si>
  <si>
    <t>АНГЛИЙСКИЙ ЯЗЫК ДЛЯ ИНДУСТРИИ МОДЫ, ИЗД.1</t>
  </si>
  <si>
    <t>978-5-16-020092-7</t>
  </si>
  <si>
    <t>29.02.02, 29.02.05, 29.02.10</t>
  </si>
  <si>
    <t>845540.01.01</t>
  </si>
  <si>
    <t>Английский язык для криминалистов..: Уч. / О.Н.Анюшенкова - М.:НИЦ ИНФРА-М,2025. - 527 с.(ВО)(п)</t>
  </si>
  <si>
    <t>АНГЛИЙСКИЙ ЯЗЫК ДЛЯ КРИМИНАЛИСТОВ (ENGLISH FOR FORENSIC SCIENCE), ИЗД.1</t>
  </si>
  <si>
    <t>978-5-16-020526-7</t>
  </si>
  <si>
    <t>АКАДЕМУС-2024, Победитель, II место</t>
  </si>
  <si>
    <t>658925.07.01</t>
  </si>
  <si>
    <t>Английский язык для курсантов военных спец..: Уч.пос. / Т.Г.Мошкина - М.:НИЦ ИНФРА-М, СФУ,2026 -140 с.(О)</t>
  </si>
  <si>
    <t>АНГЛИЙСКИЙ ЯЗЫК ДЛЯ КУРСАНТОВ ВОЕННЫХ СПЕЦИАЛЬНОСТЕЙ РАДИОТЕХНИЧЕСКИХ НАПРАВЛЕНИЙ, ИЗД.1</t>
  </si>
  <si>
    <t>Мошкина Т.Г., Шагалина О.В.</t>
  </si>
  <si>
    <t>Военное образование (СФУ)</t>
  </si>
  <si>
    <t>978-5-16-017209-5</t>
  </si>
  <si>
    <t>11.03.01, 11.03.02, 11.03.03, 11.03.04, 11.05.01, 11.05.02, 11.05.04</t>
  </si>
  <si>
    <t>Рекомендовано УМО вузов РФ по образованию в области радиотехники, электроники, биомедицинской техники и автоматизации в качестве учебника для студентов высших учебных заведений, обучающихся по специальностям «Проектирование и технология радиоэлектронных средств» и «Проектирование и технология электронно-вычислительных средств» направления 11.03.03 «Конструирование и технология электронных средств»</t>
  </si>
  <si>
    <t>830230.01.01</t>
  </si>
  <si>
    <t>Английский язык для маркетинга: Уч.пос. / Под ред. Фридмана В.П. - М.:НИЦ ИНФРА-М,2026. - 302 с.(п)</t>
  </si>
  <si>
    <t>АНГЛИЙСКИЙ ЯЗЫК ДЛЯ МАРКЕТИНГА = PROFESSIONAL ENGLISH IN MARKETING, ИЗД.1</t>
  </si>
  <si>
    <t>Вовси-Тиллье Л.А., Година Д.Х., Калашникова Н.А. и др.</t>
  </si>
  <si>
    <t>978-5-16-021508-2</t>
  </si>
  <si>
    <t>862520.01.01</t>
  </si>
  <si>
    <t>Английский язык для моряков-подводников: Уч. / О.Н.Анюшенкова - М.:НИЦ ИНФРА-М,2026. - 463 с.(Проф.ин.яз.)(п)</t>
  </si>
  <si>
    <t>АНГЛИЙСКИЙ ЯЗЫК ДЛЯ МОРЯКОВ-ПОДВОДНИКОВ = ENGLISH FOR SUBMARINERS, ИЗД.1</t>
  </si>
  <si>
    <t>978-5-16-021297-5</t>
  </si>
  <si>
    <t>26.05.04</t>
  </si>
  <si>
    <t>Январь, 2026</t>
  </si>
  <si>
    <t>850795.01.01</t>
  </si>
  <si>
    <t>Английский язык для организации и безоп. дорожного движ...: Уч. / О.Н.Анюшенкова - М.:НИЦ ИНФРА-М,2026. - 329 с.(П)</t>
  </si>
  <si>
    <t>АНГЛИЙСКИЙ ЯЗЫК ДЛЯ ОРГАНИЗАЦИИ И БЕЗОПАСНОСТИ ДОРОЖНОГО ДВИЖЕНИЯ. ENGLISH FOR TRAFFIC MANAGEMENT SYSTEMS, ИЗД.1</t>
  </si>
  <si>
    <t>978-5-16-020911-1</t>
  </si>
  <si>
    <t>23.01.03, 23.01.04, 23.01.06, 23.02.01, 23.02.02, 23.02.03, 23.02.04, 23.02.05, 40.02.02</t>
  </si>
  <si>
    <t>838716.01.01</t>
  </si>
  <si>
    <t>Английский язык для промыш. рыболовства...: Уч. / О.Н.Анюшенкова - М.:НИЦ ИНФРА-М,2025. - 388 с.(п)</t>
  </si>
  <si>
    <t>АНГЛИЙСКИЙ ЯЗЫК ДЛЯ ПРОМЫШЛЕННОГО РЫБОЛОВСТВА (ENGLISH FOR COMMERCIAL FISHING), ИЗД.1</t>
  </si>
  <si>
    <t>978-5-16-020388-1</t>
  </si>
  <si>
    <t>35.02.11</t>
  </si>
  <si>
    <t>819335.02.01</t>
  </si>
  <si>
    <t>Английский язык для психотерапии и консультир.: Уч. / М.В.Мельничук - М.:НИЦ ИНФРА-М,2027. - 258 с.(ВО)(п)</t>
  </si>
  <si>
    <t>АНГЛИЙСКИЙ ЯЗЫК ДЛЯ ПСИХОТЕРАПИИ И КОНСУЛЬТИРОВАНИЯ, ИЗД.1</t>
  </si>
  <si>
    <t>978-5-16-019606-0</t>
  </si>
  <si>
    <t>37.03.01, 37.04.01</t>
  </si>
  <si>
    <t>125950.14.01</t>
  </si>
  <si>
    <t>Английский язык для соврем. менедж.: Уч. пос. /З.В.Маньковская - 2 изд. - Форум: ИНФРА-М, 2026 - 152 с. (ВО)</t>
  </si>
  <si>
    <t>АНГЛИЙСКИЙ ЯЗЫК ДЛЯ СОВРЕМЕННЫХ МЕНЕДЖЕРОВ, ИЗД.2</t>
  </si>
  <si>
    <t>Маньковская З. В.</t>
  </si>
  <si>
    <t>978-5-91134-975-2</t>
  </si>
  <si>
    <t>38.03.02, 38.03.04, 38.04.02, 38.04.04</t>
  </si>
  <si>
    <t>Рекомендовано Научно-методическим советом по иностранным языкам Мин. обр. и науки РФ в качестве учебного пособия для студентов высших учебных заведений, обучающихся по специальности 080500.68 - Менеджмент</t>
  </si>
  <si>
    <t>838715.01.01</t>
  </si>
  <si>
    <t>Английский язык для спец. лесопарк. хоз..: Уч. / О.Н.Анюшенкова - М.:НИЦ ИНФРА-М,2025. - 422 с.(п)</t>
  </si>
  <si>
    <t>АНГЛИЙСКИЙ ЯЗЫК ДЛЯ СПЕЦИАЛИСТОВ ЛЕСОПАРКОВОГО ХОЗЯЙСТВА (ENGLISH FOR FOREST PARKS), ИЗД.1</t>
  </si>
  <si>
    <t>978-5-16-020308-9</t>
  </si>
  <si>
    <t>857418.01.01</t>
  </si>
  <si>
    <t>Английский язык для танковых войск...: Уч. / О.Н.Анюшенкова - М.:НИЦ ИНФРА-М,2026. - 348 с.(ВО)(п)</t>
  </si>
  <si>
    <t>АНГЛИЙСКИЙ ЯЗЫК ДЛЯ ТАНКОВЫХ ВОЙСК. ENGLISH FOR TANK TROOPS, ИЗД.1</t>
  </si>
  <si>
    <t>978-5-16-020984-5</t>
  </si>
  <si>
    <t>17.05.02, 56.04.03, 56.04.04, 56.04.08, 56.04.11</t>
  </si>
  <si>
    <t>690286.09.01</t>
  </si>
  <si>
    <t>Английский язык для технических спец.: Уч.пос. / С.С.Литвинская - М.:НИЦ ИНФРА-М,2026 - 252 с.(СПО)(П)</t>
  </si>
  <si>
    <t>АНГЛИЙСКИЙ ЯЗЫК ДЛЯ ТЕХНИЧЕСКИХ СПЕЦИАЛЬНОСТЕЙ, ИЗД.1</t>
  </si>
  <si>
    <t>Литвинская С.С.</t>
  </si>
  <si>
    <t>978-5-16-014535-8</t>
  </si>
  <si>
    <t>05.02.02, 05.02.03, 08.02.13, 13.02.13, 20.02.01, 20.02.02, 21.01.03, 21.02.03, 21.02.09, 21.02.10, 21.02.12, 21.02.13, 21.02.19, 23.02.03, 24.02.02, 27.02.04, 27.02.05, 27.02.06, 27.02.07, 35.01.05, 35.01.06, 35.02.12, 39.02.01, 39.02.03, 55.02.01, 55.02.02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</si>
  <si>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23.02.03 «Техническое обслуживание и ремонт автомобильного транспорта», 13.02.11 «Техническая эксплуатация и обслуживание электрического и электромеханического оборудования (по отраслям)» (протокол №14 от 30.09.2019)</t>
  </si>
  <si>
    <t>Приамурский государственный университет имени Шолом-Алейхема</t>
  </si>
  <si>
    <t>188150.12.01</t>
  </si>
  <si>
    <t>Английский язык для эконом. специал.: Уч.пос. / Л.С.Чикилева - 2 изд. - М.:КУРС,НИЦ ИНФРА-М,2025 - 160 с.(о)</t>
  </si>
  <si>
    <t>АНГЛИЙСКИЙ ЯЗЫК ДЛЯ ЭКОНОМИЧЕСКИХ СПЕЦИАЛЬНОСТЕЙ, ИЗД.2</t>
  </si>
  <si>
    <t>Чикилева Л.С., Матвеева И.В.</t>
  </si>
  <si>
    <t>978-5-905554-71-1</t>
  </si>
  <si>
    <t>Рекомендовано Научно-методическим советом по иностранным языкам Министерства образования и науки РФ в качестве учебного пособия для студентов высших учебных заведений, обучающихся по направлению(38.03.01) «Экономика»</t>
  </si>
  <si>
    <t>633718.06.01</t>
  </si>
  <si>
    <t>Английский язык для экономистов: Уч. / Т.В.Евсюкова и др.-М.:ИЦ РИОР, НИЦ ИНФРА-М,2024-192с.(ВО)(П)</t>
  </si>
  <si>
    <t>АНГЛИЙСКИЙ ЯЗЫК ДЛЯ ЭКОНОМИСТОВ, ИЗД.1</t>
  </si>
  <si>
    <t>Евсюкова Т.В., Барабанова И.Г., Агабабян С.Р.</t>
  </si>
  <si>
    <t>978-5-369-01600-8</t>
  </si>
  <si>
    <t>00.03.13</t>
  </si>
  <si>
    <t>838720.01.01</t>
  </si>
  <si>
    <t>Английский язык. Водные биоресурсы и аквакультура..: Уч. / О.Н.Анюшенкова - М.:НИЦ ИНФРА-М,2025. - 415 с.(п)</t>
  </si>
  <si>
    <t>АНГЛИЙСКИЙ ЯЗЫК. ВОДНЫЕ БИОРЕСУРСЫ И АКВАКУЛЬТУРА (ENGLISH FOR AQUATIC BIORESOURCES AND AQUACULTURE), ИЗД.1</t>
  </si>
  <si>
    <t>978-5-16-020373-7</t>
  </si>
  <si>
    <t>35.01.18, 35.02.09, 35.02.10</t>
  </si>
  <si>
    <t>848895.01.01</t>
  </si>
  <si>
    <t>Английский язык. Гидроакустика...: Уч. / О.Н.Анюшенкова - М.:НИЦ ИНФРА-М,2025. - 410 с.(ВО)(п)</t>
  </si>
  <si>
    <t>АНГЛИЙСКИЙ ЯЗЫК. ГИДРОАКУСТИКА (ENGLISH FOR HYDROACOUSTICS), ИЗД.1</t>
  </si>
  <si>
    <t>978-5-16-020632-5</t>
  </si>
  <si>
    <t>11.03.02, 11.03.03</t>
  </si>
  <si>
    <t>853725.02.01</t>
  </si>
  <si>
    <t>Английский язык. Налоги и налогообложение: Уч. / М.В.Мельничук. - М.:НИЦ ИНФРА-М,2026. - 339 с.[цв].(п)</t>
  </si>
  <si>
    <t>АНГЛИЙСКИЙ ЯЗЫК. НАЛОГИ И НАЛОГООБЛОЖЕНИЕ, ИЗД.1</t>
  </si>
  <si>
    <t>Мельничук М.В., Варламова А.И., Манвелова И.А.</t>
  </si>
  <si>
    <t>978-5-16-021884-7</t>
  </si>
  <si>
    <t>38.03.01</t>
  </si>
  <si>
    <t>823864.01.01</t>
  </si>
  <si>
    <t>Английский язык. Финансовый менеджмент: Уч. / О.Н.Анюшенкова - М.:НИЦ ИНФРА-М,2025. - 379 с.(ВО)(п)</t>
  </si>
  <si>
    <t>АНГЛИЙСКИЙ ЯЗЫК. ФИНАНСОВЫЙ МЕНЕДЖМЕНТ. ENGLISH FOR FINANCIAL MANAGEMENT., ИЗД.1</t>
  </si>
  <si>
    <t>978-5-16-019799-9</t>
  </si>
  <si>
    <t>38.03.02</t>
  </si>
  <si>
    <t>842918.01.01</t>
  </si>
  <si>
    <t>Английский язык: ветеринария: Уч. / О.Н.Анюшенкова - М.:НИЦ ИНФРА-М,2025. - 455 с.(СПО (ФинУн))(п)</t>
  </si>
  <si>
    <t>АНГЛИЙСКИЙ ЯЗЫК: ВЕТЕРИНАРИЯ, ИЗД.1</t>
  </si>
  <si>
    <t>978-5-16-020446-8</t>
  </si>
  <si>
    <t>35.01.27, 35.02.14</t>
  </si>
  <si>
    <t>776370.02.01</t>
  </si>
  <si>
    <t>Английский язык: гостиничное дело и...: Уч. / О.Н.Анюшенкова - М.:НИЦ ИНФРА-М,2026 - 358 с.(ВО)(П)</t>
  </si>
  <si>
    <t>978-5-16-017599-7</t>
  </si>
  <si>
    <t>19.03.04, 19.04.04, 43.03.03, 43.04.02, 43.04.03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</si>
  <si>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43.03.01 «Сервис», 43.03.03 «Гостиничное дело», 19.03.04 «Технология продукции и организация общественного питания» (квалификация (степень) «бакалавр») (протокол № 10 от 15.12.2021)</t>
  </si>
  <si>
    <t>АКАДЕМУС-2021, Победитель, I место</t>
  </si>
  <si>
    <t>732327.04.01</t>
  </si>
  <si>
    <t>Английский язык: пос. по чтению и переводу / А.З.Измайлов - М.:Магистр, НИЦ ИНФРА-М,2025 - 128 с.(О)</t>
  </si>
  <si>
    <t>АНГЛИЙСКИЙ ЯЗЫК: ПОСОБИЕ ПО ЧТЕНИЮ И ПЕРЕВОДУ, ИЗД.1</t>
  </si>
  <si>
    <t>Измайлов А.З., Ковалева С.С.</t>
  </si>
  <si>
    <t>978-5-9776-0514-4</t>
  </si>
  <si>
    <t>869673.01.01</t>
  </si>
  <si>
    <t>Английский язык: судебная и прокурорская деят.: Уч. / О.Н.Анюшенкова - М.:НИЦ ИНФРА-М,2026. - 326 с.(П)</t>
  </si>
  <si>
    <t>АНГЛИЙСКИЙ ЯЗЫК: СУДЕБНАЯ И ПРОКУРОРСКАЯ ДЕЯТЕЛЬНОСТЬ = ENGLISH FOR THE JUDICIARY AND PROSECUTION SERVICE, ИЗД.1</t>
  </si>
  <si>
    <t>978-5-16-021673-7</t>
  </si>
  <si>
    <t>40.02.02, 40.02.04, 40.03.01, 40.04.01, 40.05.02, 40.05.03, 40.05.04, 40.03.02</t>
  </si>
  <si>
    <t>797594.02.01</t>
  </si>
  <si>
    <t>Английский язык: транспорт...: Уч.пос. / Л.Т.Шариева - М.:НИЦ ИНФРА-М,2027. - 160 с.(СПО)(п)</t>
  </si>
  <si>
    <t>АНГЛИЙСКИЙ ЯЗЫК: ТРАНСПОРТНЫЕ СРЕДСТВА, СТРОИТЕЛЬНЫЕ И ДОРОЖНЫЕ МАШИНЫ (ENGLISH. TRANSPORT. ROAD CONSTRUCTION MACHINERY), ИЗД.1</t>
  </si>
  <si>
    <t>Шариева Л.Т.</t>
  </si>
  <si>
    <t>978-5-16-018376-3</t>
  </si>
  <si>
    <t>23.01.17, 23.02.01, 23.02.02, 23.02.03, 23.02.04, 23.02.05, 23.02.07</t>
  </si>
  <si>
    <t>Альметьевский политехнический техникум</t>
  </si>
  <si>
    <t>СПО-2023, Победитель, III место</t>
  </si>
  <si>
    <t>066900.13.01</t>
  </si>
  <si>
    <t>Английский язык: Уч. пос. / Н.М.Дюканова. - 2 изд. - М.: НИЦ ИНФРА-М, 2025 - 319 с.(ВО:Бакалавр.) (п)</t>
  </si>
  <si>
    <t>АНГЛИЙСКИЙ ЯЗЫК, ИЗД.2</t>
  </si>
  <si>
    <t>Дюканова Н. М.</t>
  </si>
  <si>
    <t>978-5-16-006254-9</t>
  </si>
  <si>
    <t>339800.06.01</t>
  </si>
  <si>
    <t>Английский язык: Уч.пос. / А.П.Миньяр-Белоручева - М.:Форум,НИЦ ИНФРА-М,2026 - 304 с.(ВО:Бакалавр.)(П)</t>
  </si>
  <si>
    <t>978-5-00091-045-0</t>
  </si>
  <si>
    <t>43.03.02, 49.03.03</t>
  </si>
  <si>
    <t>642931.13.01</t>
  </si>
  <si>
    <t>Английский язык: Уч.пос. / З.В.Маньковская - М.:НИЦ ИНФРА-М,2026 - 200 с.(СПО)(П)</t>
  </si>
  <si>
    <t>АНГЛИЙСКИЙ ЯЗЫК, ИЗД.1</t>
  </si>
  <si>
    <t>978-5-16-012363-9</t>
  </si>
  <si>
    <t>00.01.02, 00.02.02, 13.02.05, 21.02.20, 26.02.04, 27.02.06, 38.02.02, 40.02.04</t>
  </si>
  <si>
    <t>Рекомендуется в качестве учебного пособия для использования учебными заведениями, реализующими основную профессиональную образовательную программу СПО социально-экономического профиля на базе основного общего образования с получением среднего общего профессионального образования</t>
  </si>
  <si>
    <t>682824.07.01</t>
  </si>
  <si>
    <t>Английский язык: Уч.пос. / Н.М.Дюканова - 2 изд.- М.:НИЦ ИНФРА-М, 2025 - 319 с.-(СПО)(П)</t>
  </si>
  <si>
    <t>978-5-16-013886-2</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</si>
  <si>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38.02.01 «Экономика и бухгалтерский учет (по отраслям)», 38.02.02 «Страховое дело (по отраслям)», 38.02.03 «Операционная деятельность в логистике», 38.02.04 «Коммерция (по отраслям)», 38.02.05 «Товароведение и экспертиза качества потребительских товаров», 38.02.06 «Финансы», 38.02.07 «Банковское дело»</t>
  </si>
  <si>
    <t>837762.02.01</t>
  </si>
  <si>
    <t>Английский язык: эксплуатация беспилотных...: Уч. / О.Н.Анюшенкова - М.:НИЦ ИНФРА-М,2026. - 393 с.(п)</t>
  </si>
  <si>
    <t>АНГЛИЙСКИЙ ЯЗЫК: ЭКСПЛУАТАЦИЯ БЕСПИЛОТНЫХ АВИАЦИОННЫХ СИСТЕМ, ИЗД.1</t>
  </si>
  <si>
    <t>978-5-16-020220-4</t>
  </si>
  <si>
    <t>25.02.01, 25.02.02, 25.02.03, 25.02.04, 25.02.05, 25.02.06, 25.02.07, 25.02.08</t>
  </si>
  <si>
    <t>674003.05.01</t>
  </si>
  <si>
    <t>Английский язык: электроэнергетика и электр.: Уч.пос. / А.А.Новикова - М.:НИЦ ИНФРА-М,2026 - 246 с.(П)</t>
  </si>
  <si>
    <t>АНГЛИЙСКИЙ ЯЗЫК: ЭЛЕКТРОЭНЕРГЕТИКА И ЭЛЕКТРОТЕХНИКА, ИЗД.1</t>
  </si>
  <si>
    <t>Новикова А.А.</t>
  </si>
  <si>
    <t>978-5-16-014593-8</t>
  </si>
  <si>
    <t>13.03.02, 13.03.03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</si>
  <si>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(протокол № 3 от 11.02.2019)</t>
  </si>
  <si>
    <t>Тюменский индустриальный университет, ф-л Тобольский индустриальный институт</t>
  </si>
  <si>
    <t>712458.11.01</t>
  </si>
  <si>
    <t>Английский язык: электроэнергетика...: Уч.пос. / А.А.Новикова - М.:НИЦ ИНФРА-М,2027 - 246 с.(СПО)(П)</t>
  </si>
  <si>
    <t>978-5-16-015367-4</t>
  </si>
  <si>
    <t>13.02.01, 13.02.02, 13.02.04, 13.02.05, 13.02.07, 13.02.08, 13.02.09, 13.02.12, 13.02.13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</si>
  <si>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5 от 11.03.2019)</t>
  </si>
  <si>
    <t>826213.01.01</t>
  </si>
  <si>
    <t>Англо-рус. сл. по химии и химич. технологии: Сл. / С.О.Даминова - М.:НИЦ ИНФРА-М,2025. - 336 с.(п)</t>
  </si>
  <si>
    <t>АНГЛО-РУССКИЙ СЛОВАРЬ ПО ХИМИИ И ХИМИЧЕСКОЙ ТЕХНОЛОГИИ, ИЗД.1</t>
  </si>
  <si>
    <t>Даминова С.О.</t>
  </si>
  <si>
    <t>978-5-16-019862-0</t>
  </si>
  <si>
    <t>04.03.01, 04.03.02, 04.04.01, 04.04.02, 04.05.01, 04.06.01, 04.07.01, 18.03.01, 18.03.02, 18.04.01, 18.04.02, 18.05.01, 18.05.02</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</si>
  <si>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04.00.00 Химия в качестве учебного пособия для обучающихся по основным образовательным программам высшего образования уровня бакалавриата и магистратуры по направлениям подготовки 04.04.01 и 04.04.02 «Химия, физика и механика материалов»</t>
  </si>
  <si>
    <t>Московский государственный университет им. М.В. Ломоносова</t>
  </si>
  <si>
    <t>415100.11.01</t>
  </si>
  <si>
    <t>Англо-рус. слов. идиом и устойчив. словосочетаний.. / К.А.Солодушкина - М.:НИЦ ИНФРА-М,2025 - 243 с.(П)</t>
  </si>
  <si>
    <t>АНГЛО-РУССКИЙ СЛОВАРЬ ИДИОМ И УСТОЙЧИВЫХ СЛОВОСОЧЕТАНИЙ В ЯЗЫКЕ СОВРЕМЕННОЙ ПРЕССЫ (ПО СОЦИАЛЬНО-ЭКОНОМИЧЕСКИМ И МЕЖДУНАРОДНЫМ ПРОБЛЕМАМ), ИЗД.1</t>
  </si>
  <si>
    <t>Солодушкина К.А.</t>
  </si>
  <si>
    <t>Библиотека словарей "ИНФРА-М"</t>
  </si>
  <si>
    <t>978-5-16-005173-4</t>
  </si>
  <si>
    <t>38.04.01, 41.03.05, 41.04.05, 45.03.01, 45.03.02, 45.03.03</t>
  </si>
  <si>
    <t>Санкт-Петербургский государственный технологический институт (технический университет)</t>
  </si>
  <si>
    <t>640145.07.01</t>
  </si>
  <si>
    <t>Англо-русский толковый словарь хоккейных терминов / С.Е.Гинзбург - М.:НИЦ ИНФРА-М,2026 - 238 с.(П)</t>
  </si>
  <si>
    <t>АНГЛО-РУССКИЙ ТОЛКОВЫЙ СЛОВАРЬ ХОККЕЙНЫХ ТЕРМИНОВ, ИЗД.1</t>
  </si>
  <si>
    <t>Гинзбург С.Е.</t>
  </si>
  <si>
    <t>978-5-16-012449-0</t>
  </si>
  <si>
    <t>45.03.02, 45.04.02, 45.05.01, 49.03.01, 49.04.01</t>
  </si>
  <si>
    <t>Лингва сервис центр</t>
  </si>
  <si>
    <t>774740.05.01</t>
  </si>
  <si>
    <t>Англосаксы: фальсификация полит. ист.: Моногр. / П.Л.Карабущенко - М.:НИЦ ИНФРА-М,2026. - 367 с.(П)</t>
  </si>
  <si>
    <t>АНГЛОСАКСЫ: ФАЛЬСИФИКАЦИЯ ПОЛИТИЧЕСКОЙ ИСТОРИИ (ОПЫТ ИСТОРИЧЕСКОЙ ГЕРМЕНЕВТИКИ), ИЗД.1</t>
  </si>
  <si>
    <t>Карабущенко П.Л., Вартумян А.А.</t>
  </si>
  <si>
    <t>978-5-16-017814-1</t>
  </si>
  <si>
    <t>41.03.04, 41.03.05, 41.03.06, 46.04.01</t>
  </si>
  <si>
    <t>Астраханский государственный университет имени В.Н. Татищева</t>
  </si>
  <si>
    <t>837248.01.01</t>
  </si>
  <si>
    <t>Анимация в туризме: Уч.пос. / Н.В.Соболева - М.:НИЦ ИНФРА-М, СФУ,2025. - 160 с.(ВО (СФУ))(п)</t>
  </si>
  <si>
    <t>АНИМАЦИЯ В ТУРИЗМЕ, ИЗД.1</t>
  </si>
  <si>
    <t>Соболева Н.В., Тельных В.В., Соболев С.В.</t>
  </si>
  <si>
    <t>978-5-16-020180-1</t>
  </si>
  <si>
    <t>49.03.03</t>
  </si>
  <si>
    <t>815813.03.01</t>
  </si>
  <si>
    <t>Антикоррупционная политика: Уч. / Р.Т.Мухаев - М.:НИЦ ИНФРА-М,2026. - 506 с.(ВО (РЭУ))(п)</t>
  </si>
  <si>
    <t>АНТИКОРРУПЦИОННАЯ ПОЛИТИКА, ИЗД.1</t>
  </si>
  <si>
    <t>Высшее образование (РЭУ)</t>
  </si>
  <si>
    <t>978-5-16-019355-7</t>
  </si>
  <si>
    <t>38.03.01, 38.04.04, 38.04.09, 38.05.01, 38.05.02, 40.04.01, 40.05.02, 41.03.06</t>
  </si>
  <si>
    <t>Рекомендовано в качестве учебника для студентов высших учебных заведений, обучающихся по направлениям подготовки 38.03.04 «Государственное и муниципальное управление», 41.03.04 «Политология», 39.03.01 «Социология» (квалификация (степень) «бакалавр»)</t>
  </si>
  <si>
    <t>282400.11.01</t>
  </si>
  <si>
    <t>Антикоррупционная эксперт.норм.правовых акт..: Уч.пос. / С.Ю.Кабашов - М.:НИЦ ИНФРА-М,2026 - 240 с.(П)</t>
  </si>
  <si>
    <t>АНТИКОРРУПЦИОННАЯ ЭКСПЕРТИЗА НОРМАТИВНЫХ ПРАВОВЫХ АКТОВ И ПРОЕКТОВ НОРМАТИВНЫХ ПРАВОВЫХ АКТОВ, ИЗД.1</t>
  </si>
  <si>
    <t>Кабашов С.Ю., Кабашов Ю.С.</t>
  </si>
  <si>
    <t>978-5-16-009878-4</t>
  </si>
  <si>
    <t>38.03.04, 38.04.04, 40.03.01, 40.04.01, 40.05.01, 40.05.02, 40.05.03, 44.03.05</t>
  </si>
  <si>
    <t>Рекомендовано Советом Учебно-методического объединения по образованию вузов России в области менеджмента в качестве учебного пособия для студентов, обучающихся по направлению 38.03.04  «Государственное и муниципальное управление» (квалификация (степень) «бакалавр»)</t>
  </si>
  <si>
    <t>Башкирская академия государственной службы и управления при Главе Республики Башкортостан</t>
  </si>
  <si>
    <t>259800.14.01</t>
  </si>
  <si>
    <t>Антикоррупционная экспертиза норм правов. актов...: Моногр. / Е.Р.Россинская - М.: Юр.Норма, НИЦ ИНФРА-М, 2026 - 160 с.(о)</t>
  </si>
  <si>
    <t>АНТИКОРРУПЦИОННАЯ ЭКСПЕРТИЗА НОРМАТИВНЫХ ПРАВОВЫХ АКТОВ И ИХ ПРОЕКТОВ: ПРОБЛЕМЫ ТЕОРИИ И ПРАКТИКИ, ИЗД.1</t>
  </si>
  <si>
    <t>Россинская Е. Р., Галяшина Е. И.</t>
  </si>
  <si>
    <t>978-5-91768-451-2</t>
  </si>
  <si>
    <t>680753.12.01</t>
  </si>
  <si>
    <t>Антикоррупционная этика и служебное поведение / Под ред. Кучерова И.И. - М.:НИЦ ИНФРА-М,2026 - 124 с.(О)</t>
  </si>
  <si>
    <t>АНТИКОРРУПЦИОННАЯ ЭТИКА И СЛУЖЕБНОЕ ПОВЕДЕНИЕ, ИЗД.1</t>
  </si>
  <si>
    <t>Абузярова Н.А., Залоило М.В., Кузнецов В.И. и др.</t>
  </si>
  <si>
    <t>978-5-16-013736-0</t>
  </si>
  <si>
    <t>Научно-практическое пособие</t>
  </si>
  <si>
    <t>38.03.01, 38.03.03, 38.03.04, 40.03.01, 41.03.06, 44.03.05</t>
  </si>
  <si>
    <t>371300.07.01</t>
  </si>
  <si>
    <t>Антикоррупционные стандарты Орг. эконом..: Моногр. /Под ред.Хабриевой Т.Я.-М.:НИЦ ИНФРА-М,2024-296с.(П)</t>
  </si>
  <si>
    <t>АНТИКОРРУПЦИОННЫЕ СТАНДАРТЫ ОРГАНИЗАЦИИ ЭКОНОМИЧЕСКОГО СОТРУДНИЧЕСТВА И РАЗВИТИЯ И ИХ РЕАЛИЗАЦИЯ В РОССИЙСКОЙ ФЕДЕРАЦИИ, ИЗД.1</t>
  </si>
  <si>
    <t>Хабриева Т.Я., Федоров А.В.</t>
  </si>
  <si>
    <t>978-5-16-011033-2</t>
  </si>
  <si>
    <t>38.03.04, 38.04.04, 40.03.01, 40.04.01, 40.05.01, 40.05.02, 44.03.05</t>
  </si>
  <si>
    <t>461450.08.01</t>
  </si>
  <si>
    <t>Антикризисная модель роста эконом.России..: Моногр. / В.И.Орехов - М.:НИЦ ИНФРА-М,2023-111(Науч.мысль)(о)</t>
  </si>
  <si>
    <t>АНТИКРИЗИСНАЯ МОДЕЛЬ РОСТА ЭКОНОМИКИ РОССИИ НА ОСНОВЕ ОБЕСПЕЧЕНИЯ ПОВЫШЕНИЯ ПРОИЗВОДИТЕЛЬНОСТИ ТРУДА, ИЗД.1</t>
  </si>
  <si>
    <t>Орехов В.И., Орехова Т.Р., Карагодина О.В.</t>
  </si>
  <si>
    <t>978-5-16-009552-3</t>
  </si>
  <si>
    <t>Российская академия естественных наук</t>
  </si>
  <si>
    <t>405450.11.01</t>
  </si>
  <si>
    <t>Антикризисное бизнес-регулир.: Моногр. / Под ред. Ряховской А.Н. - 2 изд. - М.:Магистр, НИЦ ИНФРА-М,2025. - 304 с.(П)</t>
  </si>
  <si>
    <t>АНТИКРИЗИСНОЕ БИЗНЕС-РЕГУЛИРОВАНИЕ, ИЗД.2</t>
  </si>
  <si>
    <t>Ряховская А. Н., Распопов В. М., Арсенова Е. В., Ряховская А. Н.</t>
  </si>
  <si>
    <t>978-5-9776-0499-4</t>
  </si>
  <si>
    <t>405450.06.01</t>
  </si>
  <si>
    <t>Антикризисное бизнес-регулир.: Моногр. /А.Н.Ряховская и др. -М.:Магистр, НИЦ ИНФРА-М, 2019-240с.(О)</t>
  </si>
  <si>
    <t>АНТИКРИЗИСНОЕ БИЗНЕС-РЕГУЛИРОВАНИЕ, ИЗД.1</t>
  </si>
  <si>
    <t>978-5-9776-0247-1</t>
  </si>
  <si>
    <t>379200.09.01</t>
  </si>
  <si>
    <t>Антикризисное упр. как основа формир..: Моногр. / А.Н.Ряховская - М.:НИЦ ИНФРА-М,2025 - 169 с.(Науч.мысль)</t>
  </si>
  <si>
    <t>АНТИКРИЗИСНОЕ УПРАВЛЕНИЕ КАК ОСНОВА ФОРМИРОВАНИЯ МЕХАНИЗМА УСТОЙЧИВОГО РАЗВИТИЯ БИЗНЕСА, ИЗД.1</t>
  </si>
  <si>
    <t>Алферов В.Н., Кован С.Е., Кочетков Е.П. и др.</t>
  </si>
  <si>
    <t>978-5-16-011137-7</t>
  </si>
  <si>
    <t>38.06.01</t>
  </si>
  <si>
    <t>373600.15.01</t>
  </si>
  <si>
    <t>Антикризисное управление организацией: Уч. / Г.Д.Антонов - М.:НИЦ ИНФРА-М,2027 - 143 с.(ВО)(о)</t>
  </si>
  <si>
    <t>АНТИКРИЗИСНОЕ УПРАВЛЕНИЕ ОРГАНИЗАЦИЕЙ, ИЗД.1</t>
  </si>
  <si>
    <t>Антонов Г.Д., Иванова О.П., Тумин В.М., Трифонов В.А.</t>
  </si>
  <si>
    <t>978-5-16-018841-6</t>
  </si>
  <si>
    <t>38.03.01, 38.03.02, 44.03.05</t>
  </si>
  <si>
    <t>Допущено Учебно-методическим объединением вузов России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студентов технологических направлений и специальностей в части их экономико-организационной и управленческой подготовки</t>
  </si>
  <si>
    <t>Новгородский государственный университет им. Ярослава Мудрого</t>
  </si>
  <si>
    <t>071800.12.01</t>
  </si>
  <si>
    <t>Антикризисное управление: Уч.пос. / В.И.Орехов и др. - 2 изд. - М.:НИЦ ИНФРА-М,2019-268с(ВО)(П)</t>
  </si>
  <si>
    <t>АНТИКРИЗИСНОЕ УПРАВЛЕНИЕ, ИЗД.2</t>
  </si>
  <si>
    <t>Орехов В. И., Балдин К. В., Орехова Т. Р.</t>
  </si>
  <si>
    <t>978-5-16-006790-2</t>
  </si>
  <si>
    <t>Допущено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t>
  </si>
  <si>
    <t>071800.17.01</t>
  </si>
  <si>
    <t>Антикризисное управление: Уч.пос. / В.И.Орехов и др., - 3 изд. - М.:НИЦ ИНФРА-М,2026. - 541 с.(ВО)(п)</t>
  </si>
  <si>
    <t>АНТИКРИЗИСНОЕ УПРАВЛЕНИЕ, ИЗД.3</t>
  </si>
  <si>
    <t>Орехов В.И., Орехова Т.Р., Балдин К.В.</t>
  </si>
  <si>
    <t>978-5-16-018757-0</t>
  </si>
  <si>
    <t>0322</t>
  </si>
  <si>
    <t>351800.04.01</t>
  </si>
  <si>
    <t>Антикризисное управление: Уч.пос. / С.М.Васин - М.:ИЦ РИОР, НИЦ ИНФРА-М,2023-272с.(ВО)(П)</t>
  </si>
  <si>
    <t>АНТИКРИЗИСНОЕ УПРАВЛЕНИЕ, ИЗД.1</t>
  </si>
  <si>
    <t>Васин С.М., Шутов В.С.</t>
  </si>
  <si>
    <t>978-5-369-01557-5</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</si>
  <si>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«Менеджмент» (квалификация (степень) «бакалавр»)</t>
  </si>
  <si>
    <t>Пензенский государственный университет архитектуры и строительства</t>
  </si>
  <si>
    <t>734351.03.01</t>
  </si>
  <si>
    <t>Антикризисный менеджмент: Уч.пос. / В.И.Орехов - М.:НИЦ ИНФРА-М,2027 - 500 с.(ВО: Бакалавр.)(П)</t>
  </si>
  <si>
    <t>АНТИКРИЗИСНЫЙ МЕНЕДЖМЕНТ, ИЗД.1</t>
  </si>
  <si>
    <t>978-5-16-016280-5</t>
  </si>
  <si>
    <t>38.03.02, 38.04.01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</si>
  <si>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3 от 17.03.2021)</t>
  </si>
  <si>
    <t>774253.04.01</t>
  </si>
  <si>
    <t>Антимонопольное и тариф. регулир. в сис. гос. контроля РФ: Уч. / С.Г.Васин - М.:НИЦ ИНФРА-М,2027. - 293 с.(ВО)(п)</t>
  </si>
  <si>
    <t>АНТИМОНОПОЛЬНОЕ И ТАРИФНОЕ РЕГУЛИРОВАНИЕ В СИСТЕМЕ ГОСУДАРСТВЕННОГО КОНТРОЛЯ РФ, ИЗД.1</t>
  </si>
  <si>
    <t>Бердников Д.В., Васин С.Г., Гавриленко Д.А. и др.</t>
  </si>
  <si>
    <t>978-5-16-017597-3</t>
  </si>
  <si>
    <t>38.04.02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</si>
  <si>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38.04.02 «Менеджмент», 40.04.01 «Юриспруденция» (квалификация (степень) «магистр») (протокол № 9 от 17.11.2022)</t>
  </si>
  <si>
    <t>698209.07.01</t>
  </si>
  <si>
    <t>Антиоксиданты растений и методы их определения: Моногр. / Н.А.Голубкина - М.:НИЦ ИНФРА-М,2026 -181 с.(О)</t>
  </si>
  <si>
    <t>АНТИОКСИДАНТЫ РАСТЕНИЙ И МЕТОДЫ ИХ ОПРЕДЕЛЕНИЯ, ИЗД.1</t>
  </si>
  <si>
    <t>Голубкина Н.А., Кекина Е.Г., Молчанова А.В. и др.</t>
  </si>
  <si>
    <t>978-5-16-015666-8</t>
  </si>
  <si>
    <t>06.04.01, 19.03.01, 19.03.02, 19.04.01, 19.04.02</t>
  </si>
  <si>
    <t>Федеральный научный центр овощеводства</t>
  </si>
  <si>
    <t>767191.05.01</t>
  </si>
  <si>
    <t>Антироссийские санкции: оценка ущерба: Моногр. / С.В.Казанцев - М.:НИЦ ИНФРА-М,2027 - 201 с.(Науч.мысль)(о)</t>
  </si>
  <si>
    <t>АНТИРОССИЙСКИЕ САНКЦИИ: ОЦЕНКА УЩЕРБА, ИЗД.1</t>
  </si>
  <si>
    <t>Казанцев С.В.</t>
  </si>
  <si>
    <t>978-5-16-017323-8</t>
  </si>
  <si>
    <t>38.04.01, 38.05.01, 38.06.01</t>
  </si>
  <si>
    <t>Институт народнохозяйственного прогнозирования Российской академии наук</t>
  </si>
  <si>
    <t>463750.04.01</t>
  </si>
  <si>
    <t>Анти-СаМ: что "не так" в уч. П.Самуэльсона, Н.Мэнкью...: Моногр./Л.С.Гребнев-М:ИНФРА-М,2023-235с.(о)</t>
  </si>
  <si>
    <t>АНТИ-САМ: ЧТО "НЕ ТАК" В УЧЕБНИКАХ П. САМУЭЛЬСОНА, Н. МЭНКЬЮ..., ИЗД.1</t>
  </si>
  <si>
    <t>Гребнев Л.С.</t>
  </si>
  <si>
    <t>978-5-16-009630-8</t>
  </si>
  <si>
    <t>38.03.01, 38.03.03, 38.04.01, 38.04.08, 38.06.01</t>
  </si>
  <si>
    <t>259400.10.01</t>
  </si>
  <si>
    <t>Античные монеты и свинцовые тессеры..: Каталог / Н.А.Фролова - М.:ИЦ РИОР, НИЦ ИНФРА-М,2026 - 176 с.(О)</t>
  </si>
  <si>
    <t>АНТИЧНЫЕ МОНЕТЫ И СВИНЦОВЫЕ ТЕССЕРЫ ХЕРСОНЕСА ТАВРИЧЕСКОГО В СОБРАНИИ ГОСУДАРСТВЕННОГО ИСТОРИЧЕСКОГО МУЗЕЯ, ИЗД.1</t>
  </si>
  <si>
    <t>Фролова Н.А., Абрамзон М.Г., Кошеленко Г.А.</t>
  </si>
  <si>
    <t>978-5-369-01415-8</t>
  </si>
  <si>
    <t>Каталог</t>
  </si>
  <si>
    <t>44.03.01, 44.03.05, 46.03.01, 46.04.01</t>
  </si>
  <si>
    <t>664726.03.01</t>
  </si>
  <si>
    <t>Антология  Рос. естественно-правовой мысли: Т.3: Моногр. / А.Г.Чернявский - М.:ИНФРА-М,2027 -222с(П)</t>
  </si>
  <si>
    <t>АНТОЛОГИЯ  РОССИЙСКОЙ ЕСТЕСТВЕННО-ПРАВОВОЙ МЫСЛИ: ТОМ 3: РОССИЙСКАЯ ЕСТЕСТВЕННО-ПРАВОВАЯ МЫСЛЬ ПЕРВОЙ ЧЕТВЕРТИ  XX ВЕКА, Т.3</t>
  </si>
  <si>
    <t>Чернявский А.Г., Куницын А.С., Воронцов А.Л.</t>
  </si>
  <si>
    <t>978-5-16-013308-9</t>
  </si>
  <si>
    <t>40.03.01, 40.04.01, 41.03.06, 44.03.05</t>
  </si>
  <si>
    <t>Военный Университет</t>
  </si>
  <si>
    <t>654521.05.01</t>
  </si>
  <si>
    <t>Антология Российской естеств.-правовой мысли: Моногр.: Т.1 / А.Г.Чернявский - М.:НИЦ ИНФРА-М,2027 - 166 с.(п)</t>
  </si>
  <si>
    <t>АНТОЛОГИЯ РОССИЙСКОЙ ЕСТЕСТВЕННО-ПРАВОВОЙ МЫСЛИ, Т.1</t>
  </si>
  <si>
    <t>978-5-16-012738-5</t>
  </si>
  <si>
    <t>654522.04.01</t>
  </si>
  <si>
    <t>Антология Российской естеств.-правовой мысли: Моногр.: Т.2 / А.Г.Чернявский - М.:НИЦ ИНФРА-М,2027 - 239 с.(п)</t>
  </si>
  <si>
    <t>АНТОЛОГИЯ РОССИЙСКОЙ ЕСТЕСТВЕННО-ПРАВОВОЙ МЫСЛИ, Т.2</t>
  </si>
  <si>
    <t>978-5-16-012739-2</t>
  </si>
  <si>
    <t>695033.05.01</t>
  </si>
  <si>
    <t>Антропологическая элитология: Моногр. / П.Л.Карабущенко - М.:НИЦ ИНФРА-М,2027 - 340 с.(Науч.мысль)(П)</t>
  </si>
  <si>
    <t>АНТРОПОЛОГИЧЕСКАЯ ЭЛИТОЛОГИЯ, ИЗД.1</t>
  </si>
  <si>
    <t>Карабущенко П.Л.</t>
  </si>
  <si>
    <t>978-5-16-014637-9</t>
  </si>
  <si>
    <t>41.04.02, 41.06.01, 47.04.01, 47.06.01</t>
  </si>
  <si>
    <t>869394.01.01</t>
  </si>
  <si>
    <t>Антропологические вызовы университета: знание, среда...: Моногр, / Л.О.Терновая - М.:НИЦ ИНФРА-М,2027. - 252 с.(п)</t>
  </si>
  <si>
    <t>АНТРОПОЛОГИЧЕСКИЕ ВЫЗОВЫ УНИВЕРСИТЕТА: ЗНАНИЕ, СРЕДА, ЧЕЛОВЕК, ИЗД.1</t>
  </si>
  <si>
    <t>Терновая Л.О.</t>
  </si>
  <si>
    <t>978-5-16-021667-6</t>
  </si>
  <si>
    <t>37.03.01, 37.03.02, 37.05.02, 37.06.01, 44.03.01, 44.03.05, 44.04.01, 44.04.02, 44.06.01, 51.04.06, 51.06.01</t>
  </si>
  <si>
    <t>Журнал Власть истории и история власти</t>
  </si>
  <si>
    <t>725791.03.01</t>
  </si>
  <si>
    <t>Антропологические и биомеханич. основы конструир. изделей из кожи: Уч. / В.М.Ключникова - М.:НИЦ ИНФРА-М,2026. - 252 с.(П)</t>
  </si>
  <si>
    <t>АНТРОПОЛОГИЧЕСКИЕ И БИОМЕХАНИЧЕСКИЕ ОСНОВЫ КОНСТРУИРОВАНИЯ ИЗДЕЛИЙ ИЗ КОЖИ, ИЗД.1</t>
  </si>
  <si>
    <t>Ключникова В.М., Костылева В.В.</t>
  </si>
  <si>
    <t>978-5-16-020653-0</t>
  </si>
  <si>
    <t>29.03.01, 29.03.05, 29.04.01, 29.04.05</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</si>
  <si>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29.00.00 «Технологии легкой промышленности» в качестве учебника при реализации основных профессиональных образовательных программ высшего образования по направлению подготовки (специальности) бакалавриата / магистратуры по направлению подготовки 29.03.01 «Технология изделий легкой промышленности», 29.03.05 «Конструирование изделий легкой промышленности», 29.04.01 «Технология изделий легкой промышленности» и 29.04.05 «Конструирование изделий легкой промышленности»</t>
  </si>
  <si>
    <t>674730.09.01</t>
  </si>
  <si>
    <t>Антропология воспитания в рус. культуре: Моногр. / И.А.Булгакова - М.:НИЦ ИНФРА-М,2027 - 158 с.(Науч.мысль) (О)</t>
  </si>
  <si>
    <t>АНТРОПОЛОГИЯ ВОСПИТАНИЯ В РУССКОЙ КУЛЬТУРЕ, ИЗД.1</t>
  </si>
  <si>
    <t>Булгакова И.А.</t>
  </si>
  <si>
    <t>978-5-16-015636-1</t>
  </si>
  <si>
    <t>44.03.01, 44.03.02, 44.03.05, 44.04.01, 44.04.02, 44.04.03, 44.04.04</t>
  </si>
  <si>
    <t>703419.07.01</t>
  </si>
  <si>
    <t>Антропология права: Уч. / А.И.Ковлер - М.:Юр.Норма, НИЦ ИНФРА-М,2026 - 480 с.(П)</t>
  </si>
  <si>
    <t>АНТРОПОЛОГИЯ ПРАВА, ИЗД.1</t>
  </si>
  <si>
    <t>Ковлер А.И.</t>
  </si>
  <si>
    <t>978-5-91768-555-7</t>
  </si>
  <si>
    <t>40.03.01, 40.04.01, 40.05.01, 40.05.02, 40.05.03, 40.05.04, 46.03.01, 47.04.01</t>
  </si>
  <si>
    <t>085050.17.01</t>
  </si>
  <si>
    <t>Антропология: Уч.пос. / Под ред. Сигиды Е.А. - М.:НИЦ ИНФРА-М,2026 - 240 с.-(ВО: Бакалавр.)(п)</t>
  </si>
  <si>
    <t>АНТРОПОЛОГИЯ, ИЗД.1</t>
  </si>
  <si>
    <t>Лукьянова И. Е., Овчаренко В. А., Сигида Е. А.</t>
  </si>
  <si>
    <t>978-5-16-009131-0</t>
  </si>
  <si>
    <t>39.03.02, 39.04.02, 44.03.02, 44.03.05, 44.04.02, 46.03.01, 46.04.03, 51.03.01</t>
  </si>
  <si>
    <t>Рекомендовано Учебно-методическим объединением по образованию в области социальной работы в качестве учебного пособия для студентов высших учебных заведений, обучающихся по направлению подготовки 39.03.02 «Социальная работа»</t>
  </si>
  <si>
    <t>131750.18.01</t>
  </si>
  <si>
    <t>Аппараты защиты в электрич.сетях низ. напряж.:  Уч.пос. / В.П.Шеховцов - М.:НИЦ ИНФРА-М,2026 - 160 с.(О)</t>
  </si>
  <si>
    <t>АППАРАТЫ ЗАЩИТЫ В ЭЛЕКТРИЧЕСКИХ СЕТЯХ НИЗКОГО НАПРЯЖЕНИЯ, ИЗД.1</t>
  </si>
  <si>
    <t>Шеховцов В. П.</t>
  </si>
  <si>
    <t>978-5-16-016326-0</t>
  </si>
  <si>
    <t>00.02.39, 08.01.31, 08.02.09, 11.01.05, 11.02.14, 11.02.16, 13.01.03, 13.01.04, 13.01.05, 13.01.07, 13.01.10, 13.02.07, 13.02.09, 13.02.12, 13.02.13, 21.01.15, 26.01.05, 26.02.04, 26.02.05, 26.02.06, 35.01.15</t>
  </si>
  <si>
    <t>Национальный исследовательский ядерный университет "МИФИ", ф-л Обнинский институт атомной энергетики</t>
  </si>
  <si>
    <t>814506.01.01</t>
  </si>
  <si>
    <t>Аппроксимация кусочно-линейных и обобщенных функций / С.В.Алюков-М.:НИЦ ИНФРА-М,2024.-149 с.(о)</t>
  </si>
  <si>
    <t>АППРОКСИМАЦИЯ КУСОЧНО-ЛИНЕЙНЫХ И ОБОБЩЕННЫХ ФУНКЦИЙ, ИЗД.1</t>
  </si>
  <si>
    <t>Алюков С.В.</t>
  </si>
  <si>
    <t>978-5-16-019295-6</t>
  </si>
  <si>
    <t>01.04.01, 01.04.03, 01.04.04, 01.05.01, 01.06.01</t>
  </si>
  <si>
    <t>Южно-Уральский государственный университет (национальный исследовательский университет)</t>
  </si>
  <si>
    <t>100250.04.01</t>
  </si>
  <si>
    <t>Арбитражный процесс / И.В.Решетникова и др. - 2 изд. - М.:Юр.Норма, НИЦ ИНФРА-М,2019.-400 с.(О)</t>
  </si>
  <si>
    <t>АРБИТРАЖНЫЙ ПРОЦЕСС, ИЗД.2</t>
  </si>
  <si>
    <t>Решетникова И.В., Куликова М.А., Царегородцева Е.А.</t>
  </si>
  <si>
    <t>978-5-91768-781-0</t>
  </si>
  <si>
    <t>Краткий учебный курс</t>
  </si>
  <si>
    <t>40.02.04, 40.03.01, 40.04.01, 40.05.01, 40.05.02, 40.05.03, 40.05.04</t>
  </si>
  <si>
    <t>100250.14.01</t>
  </si>
  <si>
    <t>Арбитражный процесс / И.В.Решетникова и др. - 3 изд. - М.:Юр.Норма, НИЦ ИНФРА-М,2026 - 368 с.(О)</t>
  </si>
  <si>
    <t>АРБИТРАЖНЫЙ ПРОЦЕСС, ИЗД.3</t>
  </si>
  <si>
    <t>Решетникова И. В., Куликова М. А., Царегородцева Е. А.</t>
  </si>
  <si>
    <t>978-5-00156-070-8</t>
  </si>
  <si>
    <t>243500.07.01</t>
  </si>
  <si>
    <t>Арифметика, алгебра, начала анализа: Уч.пос. / Е.С. Кочетков - М.: Форум: ИНФРА-М, 2026 - 496 с. (п)</t>
  </si>
  <si>
    <t>АРИФМЕТИКА, АЛГЕБРА, НАЧАЛА АНАЛИЗА, ИЗД.1</t>
  </si>
  <si>
    <t>Кочетков Е.С.</t>
  </si>
  <si>
    <t>978-5-91134-824-3</t>
  </si>
  <si>
    <t>00.02.06, 38.02.08</t>
  </si>
  <si>
    <t>414500.13.01</t>
  </si>
  <si>
    <t>Артериальная гипертензия у детей и подростков...: Моногр. / В.А.Кельцев - М.:НИЦ ИНФРА-М,2026 - 157 с.(О)</t>
  </si>
  <si>
    <t>АРТЕРИАЛЬНАЯ ГИПЕРТЕНЗИЯ У ДЕТЕЙ И ПОДРОСТКОВ (КЛИНИКА, ДИАГНОСТИКА, ЛЕЧЕНИЕ), ИЗД.1</t>
  </si>
  <si>
    <t>Кельцев В. А.</t>
  </si>
  <si>
    <t>978-5-16-006219-8</t>
  </si>
  <si>
    <t>30.06.01, 31.05.02, 31.06.01, 31.07.01, 31.08.13, 31.08.19, 31.08.36, 31.08.49, 31.08.63</t>
  </si>
  <si>
    <t>Самарский государственный медицинский университет</t>
  </si>
  <si>
    <t>636233.11.01</t>
  </si>
  <si>
    <t>Арт-менеджмент: Уч. / Е.Ф.Командышко, - 2 изд. - М.:НИЦ ИНФРА-М,2026. - 249 с.(ВО)(п)</t>
  </si>
  <si>
    <t>АРТ-МЕНЕДЖМЕНТ, ИЗД.2</t>
  </si>
  <si>
    <t>Командышко Е.Ф.</t>
  </si>
  <si>
    <t>978-5-16-021179-4</t>
  </si>
  <si>
    <t>38.03.02, 51.03.01, 51.03.02, 51.03.03, 53.03.01, 53.03.03, 53.04.06, 53.05.04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</si>
  <si>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в области искусства и культуры (квалификация (степень) «бакалавр») (протокол № 10 от 21.12.2022)</t>
  </si>
  <si>
    <t>Российская академия образования</t>
  </si>
  <si>
    <t>636233.10.01</t>
  </si>
  <si>
    <t>Арт-менеджмент: Уч. / Е.Ф.Командышко, - М.:НИЦ ИНФРА-М,2026. - 194 с.(ВО)(п)</t>
  </si>
  <si>
    <t>АРТ-МЕНЕДЖМЕНТ, ИЗД.1</t>
  </si>
  <si>
    <t>978-5-16-021108-4</t>
  </si>
  <si>
    <t>732728.08.01</t>
  </si>
  <si>
    <t>Арт-рынок: актуальные пробл. правового регулир.: Моногр. / Л.Р. Клебанов - М,Норма, ИНФРА-М,2026-232с.(П)</t>
  </si>
  <si>
    <t>АРТ-РЫНОК: АКТУАЛЬНЫЕ ПРОБЛЕМЫ ПРАВОВОГО РЕГУЛИРОВАНИЯ, ИЗД.1</t>
  </si>
  <si>
    <t>Клебанов Л.Р.</t>
  </si>
  <si>
    <t>978-5-00156-052-4</t>
  </si>
  <si>
    <t>842760.02.01</t>
  </si>
  <si>
    <t>Арт-терапия в психологич. консультир.: Уч.пос. / О.О.Андронникова - М.:НИЦ ИНФРА-М,2026. - 259 с.(ВО)(п)</t>
  </si>
  <si>
    <t>АРТ-ТЕРАПИЯ В ПСИХОЛОГИЧЕСКОМ КОНСУЛЬТИРОВАНИИ, ИЗД.1</t>
  </si>
  <si>
    <t>Андронникова О.О.</t>
  </si>
  <si>
    <t>978-5-16-020430-7</t>
  </si>
  <si>
    <t>37.03.01, 37.05.01, 37.05.02, 49.04.02</t>
  </si>
  <si>
    <t>139400.16.01</t>
  </si>
  <si>
    <t>Архетипические психологич. типы: Моногр. / С.Ю.Поройков - М.:НИЦ ИНФРА-М,2026. - 597 с.(Науч.мысль)(п)</t>
  </si>
  <si>
    <t>АРХЕТИПИЧЕСКИЕ ПСИХОЛОГИЧЕСКИЕ ТИПЫ, ИЗД.1</t>
  </si>
  <si>
    <t>Поройков С. Ю.</t>
  </si>
  <si>
    <t>978-5-16-011617-4</t>
  </si>
  <si>
    <t>37.03.01, 37.03.02, 37.04.01, 37.04.02, 37.05.01, 37.05.02, 44.03.01, 44.03.02, 44.03.05, 44.04.02</t>
  </si>
  <si>
    <t>835022.04.01</t>
  </si>
  <si>
    <t>Архивоведение: Уч. пос. / Е.В.Булюлина - М.:НИЦ ИНФРА-М,2027. - 206 с.-(СПО)(п)</t>
  </si>
  <si>
    <t>АРХИВОВЕДЕНИЕ, ИЗД.1</t>
  </si>
  <si>
    <t>Булюлина Е.В.</t>
  </si>
  <si>
    <t>978-5-16-020095-8</t>
  </si>
  <si>
    <t>40.02.04, 46.01.01, 46.01.02, 46.01.03, 46.02.01, 46.02.02</t>
  </si>
  <si>
    <t>Центр документации новейшей истории Волгоградской области</t>
  </si>
  <si>
    <t>СПО-2024, Победитель, II место</t>
  </si>
  <si>
    <t>703830.03.01</t>
  </si>
  <si>
    <t>Архивоведение: Уч.пос. / Е.В.Булюлина - М.:НИЦ ИНФРА-М,2026. - 206 с.(ВО)(п)</t>
  </si>
  <si>
    <t>978-5-16-015311-7</t>
  </si>
  <si>
    <t>46.03.01, 46.03.02, 46.04.02</t>
  </si>
  <si>
    <t>765775.04.01</t>
  </si>
  <si>
    <t>Архивы документов по личному составу: Уч.пос. / Е.С.Герасимова - М.:НИЦ ИНФРА-М,2026. - 186 с.(ВО)(п)</t>
  </si>
  <si>
    <t>АРХИВЫ ДОКУМЕНТОВ ПО ЛИЧНОМУ СОСТАВУ, ИЗД.1</t>
  </si>
  <si>
    <t>Герасимова Е.С.</t>
  </si>
  <si>
    <t>978-5-16-017879-0</t>
  </si>
  <si>
    <t>46.03.02</t>
  </si>
  <si>
    <t>352200.10.01</t>
  </si>
  <si>
    <t>Архитектоника объемных структур: Уч.пос. / О.И.Докучаева - М.:НИЦ ИНФРА-М,2026. - 333 с.[цв](п)</t>
  </si>
  <si>
    <t>АРХИТЕКТОНИКА ОБЪЕМНЫХ СТРУКТУР, ИЗД.1</t>
  </si>
  <si>
    <t>Докучаева О.И.</t>
  </si>
  <si>
    <t>978-5-16-010874-2</t>
  </si>
  <si>
    <t>54.03.03, 54.04.03</t>
  </si>
  <si>
    <t>Рекомендовано в качестве учебного пособия для студентов высших учебных заведений по направлениям подготовки 29.03.05 «Конструирование изделий легкой промышленности» и 54.03.03 «Искусство костюма и текстиля» (квалификация (степень) «бакалавр»)</t>
  </si>
  <si>
    <t>066200.30.01</t>
  </si>
  <si>
    <t>Архитектура зданий: Уч. / Н.П.Вильчик - 2 изд. - М.:НИЦ ИНФРА-М,2026 - 319 с. - (СПО)(п)</t>
  </si>
  <si>
    <t>АРХИТЕКТУРА ЗДАНИЙ, ИЗД.2</t>
  </si>
  <si>
    <t>Вильчик Н. П.</t>
  </si>
  <si>
    <t>978-5-16-004279-4</t>
  </si>
  <si>
    <t>07.02.01, 08.02.01, 08.02.15, 20.01.01</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</si>
  <si>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08.02.01 «Строительство и эксплуатация зданий и сооружений»</t>
  </si>
  <si>
    <t>0210</t>
  </si>
  <si>
    <t>401500.12.01</t>
  </si>
  <si>
    <t>Архитектура и проект. програм. сис.: Моногр. / С.В.Назаров   - 2 изд.  - М.:НИЦ ИНФРА-М,2026  - 374 с.(П)</t>
  </si>
  <si>
    <t>АРХИТЕКТУРА И ПРОЕКТИРОВАНИЕ ПРОГРАММНЫХ СИСТЕМ, ИЗД.2</t>
  </si>
  <si>
    <t>Назаров С.В.</t>
  </si>
  <si>
    <t>978-5-16-011753-9</t>
  </si>
  <si>
    <t>02.03.02, 02.03.03, 02.06.01, 09.03.02, 09.03.04, 12.03.03</t>
  </si>
  <si>
    <t>Еврейский университет</t>
  </si>
  <si>
    <t>682920.09.01</t>
  </si>
  <si>
    <t>Архитектура общественных простр.: Моногр. / А.Л.Гельфонд - М.:НИЦ ИНФРА-М,2026 - 412 с.(Науч.мысль)(П)</t>
  </si>
  <si>
    <t>АРХИТЕКТУРА ОБЩЕСТВЕННЫХ ПРОСТРАНСТВ, ИЗД.1</t>
  </si>
  <si>
    <t>Гельфонд А.Л.</t>
  </si>
  <si>
    <t>978-5-16-014070-4</t>
  </si>
  <si>
    <t>07.03.01, 07.04.01</t>
  </si>
  <si>
    <t>Нижегородский государственный архитектурно-строительный университет</t>
  </si>
  <si>
    <t>060560.26.01</t>
  </si>
  <si>
    <t>Архитектура ЭВМ и вычислит. систем: Уч. / Н.В.Максимов - 5 изд. - М.:Форум, НИЦ ИНФРА-М,2026 - 511 c.(П)</t>
  </si>
  <si>
    <t>АРХИТЕКТУРА ЭВМ И ВЫЧИСЛИТЕЛЬНЫХ СИСТЕМ, ИЗД.5</t>
  </si>
  <si>
    <t>Максимов Н.В., Партыка Т.Л., Попов И.И.</t>
  </si>
  <si>
    <t>978-5-00091-511-0</t>
  </si>
  <si>
    <t>09.02.01, 09.02.02, 09.02.03, 09.02.04, 09.02.05, 09.02.06, 09.02.07, 26.02.04</t>
  </si>
  <si>
    <t>Рекомендовано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группе специальностей 09.00.00 «Информатика и вычислительная техника»</t>
  </si>
  <si>
    <t>Национальный исследовательский ядерный университет "МИФИ"</t>
  </si>
  <si>
    <t>0513</t>
  </si>
  <si>
    <t>640317.15.01</t>
  </si>
  <si>
    <t>Архитектура ЭВМ и вычислительные системы: Уч. / В.В.Степина - М.:КУРС, НИЦ ИНФРА-М,2026 - 384 с.(СПО)(П)</t>
  </si>
  <si>
    <t>АРХИТЕКТУРА ЭВМ И ВЫЧИСЛИТЕЛЬНЫЕ СИСТЕМЫ, ИЗД.1</t>
  </si>
  <si>
    <t>Степина В.В.</t>
  </si>
  <si>
    <t>978-5-906923-07-3</t>
  </si>
  <si>
    <t>09.02.01, 09.02.02, 09.02.03, 09.02.04, 09.02.05, 09.02.07, 09.02.08</t>
  </si>
  <si>
    <t>Колледж предпринимательства № 11, г. Москва</t>
  </si>
  <si>
    <t>100600.21.01</t>
  </si>
  <si>
    <t>Архитектура ЭВМ: Уч.пос. /В.Д.Колдаев - М.:ИД ФОРУМ, НИЦ ИНФРА-М,2026 - 383 с.(СПО)(П)</t>
  </si>
  <si>
    <t>АРХИТЕКТУРА ЭВМ, ИЗД.1</t>
  </si>
  <si>
    <t>Колдаев В. Д., Лупин С. А.</t>
  </si>
  <si>
    <t>978-5-8199-0868-6</t>
  </si>
  <si>
    <t>09.02.01, 09.02.02, 09.02.03, 09.02.04, 09.02.05, 09.02.06, 09.02.07, 15.02.10</t>
  </si>
  <si>
    <t>Московский институт электронной техники</t>
  </si>
  <si>
    <t>720406.03.01</t>
  </si>
  <si>
    <t>Архитектура эволюции: Моногр. / Ю.И.Пацкевич - М.:НИЦ ИНФРА-М,2026 - 186 с.(Науч.мысль)(о)</t>
  </si>
  <si>
    <t>АРХИТЕКТУРА ЭВОЛЮЦИИ, ИЗД.1</t>
  </si>
  <si>
    <t>Пацкевич Ю.И., Пацкевич А.В.</t>
  </si>
  <si>
    <t>978-5-16-016916-3</t>
  </si>
  <si>
    <t>00.03.10, 00.05.10, 39.06.01</t>
  </si>
  <si>
    <t>335000.07.01</t>
  </si>
  <si>
    <t>Архитектурная климатография: Уч.пос. / М.С.Мягков - М.:НИЦ ИНФРА-М,2026-363 с.(ВО: Бакалавр.)(П)</t>
  </si>
  <si>
    <t>АРХИТЕКТУРНАЯ КЛИМАТОГРАФИЯ, ИЗД.1</t>
  </si>
  <si>
    <t>Мягков М.С., Алексеева Л.И.</t>
  </si>
  <si>
    <t>978-5-16-011855-0</t>
  </si>
  <si>
    <t>07.03.01, 07.03.02, 07.03.03, 07.04.01, 07.04.02</t>
  </si>
  <si>
    <t>Допущено УМО по образованию в области архитектуры в качестве учебного пособия для студентов вузов, обучающихся по направлению 07.03.01 «Архитектура»</t>
  </si>
  <si>
    <t>Московский архитектурный институт (государственная академия)</t>
  </si>
  <si>
    <t>803325.01.01</t>
  </si>
  <si>
    <t>Архитектурная экология: Уч.пос. / Е.А.Ильина - М.:НИЦ ИНФРА-М,2024. - 156 с.(ВО)(п)</t>
  </si>
  <si>
    <t>АРХИТЕКТУРНАЯ ЭКОЛОГИЯ, ИЗД.1</t>
  </si>
  <si>
    <t>Ильина Е.А.</t>
  </si>
  <si>
    <t>978-5-16-019401-1</t>
  </si>
  <si>
    <t>340500.14.01</t>
  </si>
  <si>
    <t>Архитектурное проектир. обществ. зданий: Уч. / А.Л.Гельфонд - 2 изд. - М.:НИЦ ИНФРА-М,2027 - 373 с.[цв].(ВО)(п)</t>
  </si>
  <si>
    <t>АРХИТЕКТУРНОЕ ПРОЕКТИРОВАНИЕ ОБЩЕСТВЕННЫХ ЗДАНИЙ, ИЗД.2</t>
  </si>
  <si>
    <t>978-5-16-018400-5</t>
  </si>
  <si>
    <t>Рекомендовано Федеральным учебно-методическим объединением в системе высшего образования по укрупненной группе направлений «Архитектура» в качестве учебника для обучающихся по основным образовательным программам высшего образования</t>
  </si>
  <si>
    <t>340500.06.01</t>
  </si>
  <si>
    <t>Архитектурное проектирование общественных зданий: Уч. / А.Л.Гельфонд-М.:НИЦ ИНФРА-М,2023-368с(ВО)(П)</t>
  </si>
  <si>
    <t>АРХИТЕКТУРНОЕ ПРОЕКТИРОВАНИЕ ОБЩЕСТВЕННЫХ ЗДАНИЙ, ИЗД.1</t>
  </si>
  <si>
    <t>978-5-16-010739-4</t>
  </si>
  <si>
    <t>Допущено УМО по образованию в области архитектуры в качестве учебника для студентов вузов, обучающихся по направлению подготовки 07.04.01 «Архитектура» (квалификация (степень) «магистр»)</t>
  </si>
  <si>
    <t>343900.08.01</t>
  </si>
  <si>
    <t>Архитектурное проектирование. Подземная урбанистика: уч.пос. / Д.Б.Веретенников - М.:НИЦ ИНФРА-М,2026. - 176 с.-(ВО)(о)</t>
  </si>
  <si>
    <t>АРХИТЕКТУРНОЕ ПРОЕКТИРОВАНИЕ. ПОДЗЕМНАЯ УРБАНИСТИКА, ИЗД.1</t>
  </si>
  <si>
    <t>Веретенников Д.Б.</t>
  </si>
  <si>
    <t>978-5-16-021722-2</t>
  </si>
  <si>
    <t>07.03.01, 07.04.01, 07.04.04</t>
  </si>
  <si>
    <t>655225.06.01</t>
  </si>
  <si>
    <t>Архитектурно-компаратив. аспект правосл. монаст. Балкан... / С.В.Ильвицкая - 2 изд., - М.:НИЦ ИНФРА-М,2026 - 257 с.(о)</t>
  </si>
  <si>
    <t>АРХИТЕКТУРНО-КОМПАРАТИВНЫЙ АСПЕКТ ПРАВОСЛАВНЫХ МОНАСТЫРЕЙ БАЛКАНСКИХ СТРАН И РОССИИ, ИЗД.2</t>
  </si>
  <si>
    <t>Ильвицкая С.В.</t>
  </si>
  <si>
    <t>978-5-16-015512-8</t>
  </si>
  <si>
    <t>07.04.01, 07.04.02</t>
  </si>
  <si>
    <t>655225.02.01</t>
  </si>
  <si>
    <t>Архитектурно-компаративный аспект правосл.монаст.Балканских стран и России:Моногр./ С.В.Ильвицкая-М.:НИЦ ИНФРА-М,2018-99с</t>
  </si>
  <si>
    <t>АРХИТЕКТУРНО-КОМПАРАТИВНЫЙ АСПЕКТ ПРАВОСЛАВНЫХ МОНАСТЫРЕЙ БАЛКАНСКИХ СТРАН И РОССИИ, ИЗД.1</t>
  </si>
  <si>
    <t>978-5-16-012757-6</t>
  </si>
  <si>
    <t>446500.10.01</t>
  </si>
  <si>
    <t>Архитектурные конструкции и теор. конструир..: Уч.пос. / Е.В.Сысоева - М:НИЦ ИНФРА-М,2023-280с(ВО:Бак.)(П)</t>
  </si>
  <si>
    <t>АРХИТЕКТУРНЫЕ КОНСТРУКЦИИ И ТЕОРИЯ КОНСТРУИРОВАНИЯ:  МАЛОЭТАЖНЫЕ ЖИЛЫЕ ЗДАНИЯ, ИЗД.1</t>
  </si>
  <si>
    <t>Сысоева Е.В., Трушин С.И., Коновалов В.П. и др.</t>
  </si>
  <si>
    <t>978-5-16-011400-2</t>
  </si>
  <si>
    <t>07.03.01, 08.03.01</t>
  </si>
  <si>
    <t>Допущено УМО по образованию в области архитектуры в качестве учебного пособия для студентов вузов, обучающихся по направлениям подготовки 07.03.01 «Архитектура», 08.03.01 «Строительство» (квалификация (степень) «бакалавр»)</t>
  </si>
  <si>
    <t>687653.10.01</t>
  </si>
  <si>
    <t>Архитектурные конструкции и теория констр...: Уч.пос. / Е.В.Сысоева. - М.:НИЦ ИНФРА-М,2026 - 280 с.(П)(СПО)</t>
  </si>
  <si>
    <t>АРХИТЕКТУРНЫЕ КОНСТРУКЦИИ И ТЕОРИЯ КОНСТРУИРОВАНИЯ: МАЛОЭТАЖНЫЕ ЖИЛЫЕ ЗДАНИЯ, ИЗД.1</t>
  </si>
  <si>
    <t>978-5-16-014238-8</t>
  </si>
  <si>
    <t>07.02.01, 08.02.01, 08.02.02, 08.02.04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</si>
  <si>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07.02.01 «Архитектура», 08.02.01 «Строительство и эксплуатация зданий и сооружений»</t>
  </si>
  <si>
    <t>446500.12.01</t>
  </si>
  <si>
    <t>Архитектурные конструкции и теория...: Уч.пос. / Е.В.Сысоева - 2 изд. - М.:НИЦ ИНФРА-М,2026. - 258 с.(ВО: Бак.)(п)</t>
  </si>
  <si>
    <t>АРХИТЕКТУРНЫЕ КОНСТРУКЦИИ И ТЕОРИЯ КОНСТРУИРОВАНИЯ: МАЛОЭТАЖНЫЕ ЖИЛЫЕ ЗДАНИЯ, ИЗД.2</t>
  </si>
  <si>
    <t>Сысоева Е.В., Трушин С.И., Коновалов В.П.</t>
  </si>
  <si>
    <t>978-5-16-018203-2</t>
  </si>
  <si>
    <t>448150.06.01</t>
  </si>
  <si>
    <t>Архитектурные модели эконом. сис.: Моногр. /К.С.Дрогобыцкая -М.:Вуз. уч., НИЦ ИНФРА-М,2023.-301 с.(П)</t>
  </si>
  <si>
    <t>АРХИТЕКТУРНЫЕ МОДЕЛИ ЭКОНОМИЧЕСКИХ СИСТЕМ, ИЗД.1</t>
  </si>
  <si>
    <t>Дрогобыцкая К. С., Дрогобыцкий И. Н.</t>
  </si>
  <si>
    <t>Научная книга</t>
  </si>
  <si>
    <t>978-5-9558-0328-9</t>
  </si>
  <si>
    <t>01.03.02, 01.04.02, 02.03.01, 02.03.02, 02.03.03, 02.04.01, 02.04.03, 03.03.02, 04.03.02, 09.03.02, 38.03.05, 38.04.05</t>
  </si>
  <si>
    <t>837238.01.01</t>
  </si>
  <si>
    <t>Архитектурный рисунок. От линии к тону: Уч.пос. / М.А.Ганцов - М.:НИЦ ИНФРА-М, СФУ,2025. - 172 с.(ВО (СФУ))(п)</t>
  </si>
  <si>
    <t>АРХИТЕКТУРНЫЙ РИСУНОК. ОТ ЛИНИИ К ТОНУ, ИЗД.1</t>
  </si>
  <si>
    <t>Ганцов М.А., Мурина Н.В.</t>
  </si>
  <si>
    <t>978-5-16-020179-5</t>
  </si>
  <si>
    <t>07.03.01, 07.03.02, 07.03.04</t>
  </si>
  <si>
    <t>837237.01.01</t>
  </si>
  <si>
    <t>Архитектурный рисунок: от простого...: Уч.пос. / М.В.Никитина - М.:НИЦ ИНФРА-М, СФУ,2025. - 178 с.(ВО)(п)</t>
  </si>
  <si>
    <t>АРХИТЕКТУРНЫЙ РИСУНОК: ОТ ПРОСТОГО К СЛОЖНОМУ, ИЗД.1</t>
  </si>
  <si>
    <t>Никитина М.В., Карепов Г.Е., Кудряшова Л.А.</t>
  </si>
  <si>
    <t>978-5-16-020178-8</t>
  </si>
  <si>
    <t>07.03.01</t>
  </si>
  <si>
    <t>653888.07.01</t>
  </si>
  <si>
    <t>АСЕАН - движущ. сила регион. интегр. в Азии: Моногр. / И.И.Шувалов и др.-М.:НИЦ ИНФРА-М,2023-256с(П)</t>
  </si>
  <si>
    <t>АСЕАН - ДВИЖУЩАЯ СИЛА РЕГИОНАЛЬНОЙ ИНТЕГРАЦИИ В АЗИИ, ИЗД.1</t>
  </si>
  <si>
    <t>Шувалов И.И., Хабриева Т.Я., Капустин А.Я. и др.</t>
  </si>
  <si>
    <t>978-5-16-012641-8</t>
  </si>
  <si>
    <t>38.03.01, 44.03.01</t>
  </si>
  <si>
    <t>ВЭБ.РФ</t>
  </si>
  <si>
    <t>845557.01.01</t>
  </si>
  <si>
    <t>Асимметрический органический синтез: Уч.пос. / В.В.Племенков - 2 изд. - М.:НИЦ ИНФРА-М,2025. - 135 с.(ВО)(п)</t>
  </si>
  <si>
    <t>АСИММЕТРИЧЕСКИЙ ОРГАНИЧЕСКИЙ СИНТЕЗ, ИЗД.2</t>
  </si>
  <si>
    <t>Племенков В.В., Курамшин Б.К.</t>
  </si>
  <si>
    <t>978-5-16-020602-8</t>
  </si>
  <si>
    <t>04.05.01, 18.03.01, 44.03.05</t>
  </si>
  <si>
    <t>706590.01.01</t>
  </si>
  <si>
    <t>Аспекты маркетингового управления деятельностью и развитием: Моногр./ И.И.Скоробогатых и др.-Москва:НИЦ ИНФРА-М,2019.-195 с..-(Науч.мысль)(О)</t>
  </si>
  <si>
    <t>АСПЕКТЫ МАРКЕТИНГОВОГО УПРАВЛЕНИЯ ДЕЯТЕЛЬНОСТЬЮ И РАЗВИТИЕМ ПРЕДПРИНИМАТЕЛЬСКИХ СТРУКТУР НА ОБЩЕСТВЕННОМ ТРАНСПОРТЕ, ИЗД.1</t>
  </si>
  <si>
    <t>Скоробогатых И.И., Сидорчук Р.Р., Мешков А.А. и др.</t>
  </si>
  <si>
    <t>978-5-16-015151-9</t>
  </si>
  <si>
    <t>460850.05.01</t>
  </si>
  <si>
    <t>Аспекты экол. отв.  хозяйст. субъектов РФ: Моног. /А.П.Гарнов -М:НИЦ ИНФРА-М, 2020-190с-(Научн. мысль)(о)</t>
  </si>
  <si>
    <t>АСПЕКТЫ ЭКОЛОГИЧЕСКОЙ ОТВЕТСТВЕННОСТИ ХОЗЯЙСТВУЮЩИХ СУБЪЕКТОВ РОССИЙСКОЙ ФЕДЕРАЦИИ, ИЗД.1</t>
  </si>
  <si>
    <t>Гарнов А.П., Краснобаева О.В.</t>
  </si>
  <si>
    <t>978-5-16-009496-0</t>
  </si>
  <si>
    <t>38.03.01, 38.03.02, 38.03.04, 38.04.01, 38.04.02, 38.04.04, 40.03.01, 40.04.01, 41.03.06</t>
  </si>
  <si>
    <t>138900.09.01</t>
  </si>
  <si>
    <t>Аспирант вуза: технологии науч. творчества и пед. деятель..: Уч. / С.Д.Резник-7изд.-М.:НИЦ ИНФРА-М,2021-400 с(П)</t>
  </si>
  <si>
    <t>АСПИРАНТ ВУЗА: ТЕХНОЛОГИИ НАУЧНОГО ТВОРЧЕСТВА И ПЕДАГОГИЧЕСКОЙ ДЕЯТЕЛЬНОСТИ, ИЗД.7</t>
  </si>
  <si>
    <t>Менеджмент в науке</t>
  </si>
  <si>
    <t>978-5-16-013585-4</t>
  </si>
  <si>
    <t>Рекомендовано Советом Учебно-методического объединения по образованию в области менеджмента в качестве учебника для обучения по программам подготовки научно-педагогических кадров в аспирантуре высших учебных заведений</t>
  </si>
  <si>
    <t>0719</t>
  </si>
  <si>
    <t>138900.18.01</t>
  </si>
  <si>
    <t>Аспирант вуза: технологии науч. творчества...: Уч. / С.Д.Резник - 8 изд. - М.:НИЦ ИНФРА-М,2026. - 388 с.(П)</t>
  </si>
  <si>
    <t>АСПИРАНТ ВУЗА: ТЕХНОЛОГИИ НАУЧНОГО ТВОРЧЕСТВА И ПЕДАГОГИЧЕСКОЙ ДЕЯТЕЛЬНОСТИ, ИЗД.8</t>
  </si>
  <si>
    <t>978-5-16-017412-9</t>
  </si>
  <si>
    <t>Рекомендовано Советом Учебно-методического объединения вузов по образованию в области менеджмента в качестве учебника для обучения по программам подготовки научно-педагогических кадров в аспирантуре высших учебных заведений</t>
  </si>
  <si>
    <t>0822</t>
  </si>
  <si>
    <t>138900.06.01</t>
  </si>
  <si>
    <t>Аспирант вуза: технологии научного творчества и педагогической деятельности:Уч. / С.Д.Резник, - 6-е изд., стереотип.-М.:НИЦ ИНФРА-М,2018.-451 с..-</t>
  </si>
  <si>
    <t>АСПИРАНТ ВУЗА: ТЕХНОЛОГИИ НАУЧНОГО ТВОРЧЕСТВА И ПЕДАГОГИЧЕСКОЙ ДЕЯТЕЛЬНОСТИ, ИЗД.6</t>
  </si>
  <si>
    <t>978-5-16-011754-6</t>
  </si>
  <si>
    <t>Рекомендовано Советом Учебно-методического объединения вузов России по образованию в области менеджмента в качестве учебного пособия для аспирантов высших учебных заведений</t>
  </si>
  <si>
    <t>0618</t>
  </si>
  <si>
    <t>218100.09.01</t>
  </si>
  <si>
    <t>Аспиранты России:отбор,подготовка..:Моногр./С.Д.Резник-2изд.-М.:НИЦ ИНФРА-М,2023-236с(Науч.мысль)(о)</t>
  </si>
  <si>
    <t>АСПИРАНТЫ РОССИИ: ОТБОР, ПОДГОТОВКА К САМОСТОЯТЕЛЬНОЙ НАУЧНОЙ И ПЕДАГОГИЧЕСКОЙ ДЕЯТЕЛЬНОСТИ, ИЗД.2</t>
  </si>
  <si>
    <t>Резник С.Д., Макарова С.Н., Джевицкая Е.С. и др.</t>
  </si>
  <si>
    <t>978-5-16-006929-6</t>
  </si>
  <si>
    <t>40.03.01, 44.03.01, 44.03.05</t>
  </si>
  <si>
    <t>144450.09.01</t>
  </si>
  <si>
    <t>Ассортимент, товаровед. и эксперт. пушно-мех. товаров: Уч. пос. / Л.В.Орленко - ИД ФОРУМ,2026 - 272 с.(ВО) (п)</t>
  </si>
  <si>
    <t>АССОРТИМЕНТ, ТОВАРОВЕДЕНИЕ И ЭКСПЕРТИЗА ПУШНО-МЕХОВЫХ ТОВАРОВ, ИЗД.1</t>
  </si>
  <si>
    <t>Орленко Л. В.</t>
  </si>
  <si>
    <t>978-5-8199-0454-1</t>
  </si>
  <si>
    <t>38.03.07</t>
  </si>
  <si>
    <t>Рекомендовано Учебно-методическим объединением по образованию в области сервиса и туризма в качестве учебного пособия для студентов высших учебных заведений, обучающихся по специальности  "Сервис"</t>
  </si>
  <si>
    <t>682826.05.01</t>
  </si>
  <si>
    <t>Ассортимент, товаровед. и экспертиза...: Уч.пос. / Л.В.Орленко - М.:НИЦ ИНФРА-М,2026 - 272 с.(СПО)(П)</t>
  </si>
  <si>
    <t>Орленко Л.В.</t>
  </si>
  <si>
    <t>978-5-8199-0784-9</t>
  </si>
  <si>
    <t>38.02.08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</si>
  <si>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29.02.02 «Технология кожи и меха», 29.02.03 «Конструирование, моделирование и технология изделий из меха»</t>
  </si>
  <si>
    <t>704840.03.01</t>
  </si>
  <si>
    <t>Астрономия. Практикум: Уч.пос. / А.А.Гамза, - 2 изд.-М.:НИЦ ИНФРА-М,2023.-127 с.(СПО)(О)</t>
  </si>
  <si>
    <t>АСТРОНОМИЯ. ПРАКТИКУМ, ИЗД.2</t>
  </si>
  <si>
    <t>Гамза А.А.</t>
  </si>
  <si>
    <t>978-5-16-015348-3</t>
  </si>
  <si>
    <t>00.02.10</t>
  </si>
  <si>
    <t>Рекомендовано учреждением образования «Республиканский институт профессионального образования» в качестве пособия для учащихся учреждений, реализующих образовательные программы профессионально-технического и среднего специального образования</t>
  </si>
  <si>
    <t>Республиканский институт профессионального образования</t>
  </si>
  <si>
    <t>СПО-2019, Победитель</t>
  </si>
  <si>
    <t>845526.05.01</t>
  </si>
  <si>
    <t>Астрономия: Науч.-популяр. изд. / С.В.Павлов - М.:НИЦ ИНФРА-М,2026. - 358 с. [16+](цв.ил)(п)</t>
  </si>
  <si>
    <t>АСТРОНОМИЯ, ИЗД.1</t>
  </si>
  <si>
    <t>Павлов С.В.</t>
  </si>
  <si>
    <t>978-5-16-020476-5</t>
  </si>
  <si>
    <t>Дополнительное образование</t>
  </si>
  <si>
    <t>Московский государственный университет им. М.В. Ломоносова, физический факультет</t>
  </si>
  <si>
    <t>734007.06.01</t>
  </si>
  <si>
    <t>Астрономия: Уч.пос. / А.В.Благин - М.:НИЦ ИНФРА-М,2026. - 272 с.(СПО)(П)</t>
  </si>
  <si>
    <t>Благин А.В., Котова О.В.</t>
  </si>
  <si>
    <t>978-5-16-016147-1</t>
  </si>
  <si>
    <t>00.02.10, 21.02.20, 52.02.01, 52.02.02, 53.02.02, 53.02.03, 53.02.04, 53.02.05, 53.02.07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</si>
  <si>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программу среднего профессионального образования (протокол № 5 от 16.03.2020)</t>
  </si>
  <si>
    <t>Донской государственный технический университет</t>
  </si>
  <si>
    <t>СПО-2021, Победитель</t>
  </si>
  <si>
    <t>734219.07.01</t>
  </si>
  <si>
    <t>Астрономия: Уч.пос. / С.В.Павлов - М.:НИЦ ИНФРА-М,2025 - 359 с.: цв.ил.-(СПО)(П)</t>
  </si>
  <si>
    <t>978-5-16-016443-4</t>
  </si>
  <si>
    <t>00.02.10, 52.02.01, 52.02.02, 53.02.02, 53.02.03, 53.02.04, 53.02.05, 53.02.07</t>
  </si>
  <si>
    <t>Рекомендовано Межрегиональным учебно-методическим советом профессионального образования в качестве учебного пособия для учащихся учебных заведений среднего профессионального образования, обучающихся по основной образовательной программе среднего профессионального образования</t>
  </si>
  <si>
    <t>777627.06.01</t>
  </si>
  <si>
    <t>Атеросклероз: иммуногенетические...: Моногр. / Е.А.Чагина - М.:НИЦ ИНФРА-М,2027. - 171 с.(Науч.мысль)(О)</t>
  </si>
  <si>
    <t>АТЕРОСКЛЕРОЗ: ИММУНОГЕНЕТИЧЕСКИЕ И МЕТАБОЛИЧЕСКИЕ АСПЕКТЫ ПАТОГЕНЕЗА, ИЗД.1</t>
  </si>
  <si>
    <t>Турмова Е.П., Маркелова Е.В., Чагина Е.А. и др.</t>
  </si>
  <si>
    <t>978-5-16-017710-6</t>
  </si>
  <si>
    <t>31.05.01, 31.06.01</t>
  </si>
  <si>
    <t>Тихоокеанский государственный медицинский университет</t>
  </si>
  <si>
    <t>838285.01.01</t>
  </si>
  <si>
    <t>Атмоэкодиагностика урбанизир. геосис. межгор. котловин / А.П.Щербатюк - М.:НИЦ ИНФРА-М,2024.-188 с.(о)</t>
  </si>
  <si>
    <t>АТМОЭКОДИАГНОСТИКА УРБАНИЗИРОВАННЫХ ГЕОСИСТЕМ МЕЖГОРНЫХ КОТЛОВИН (НА ПРИМЕРЕ ЗАБАЙКАЛЬЯ), ИЗД.1</t>
  </si>
  <si>
    <t>Щербатюк А.П.</t>
  </si>
  <si>
    <t>978-5-16-020246-4</t>
  </si>
  <si>
    <t>05.04.06, 05.06.01</t>
  </si>
  <si>
    <t>Забайкальский государственный университет</t>
  </si>
  <si>
    <t>344800.12.01</t>
  </si>
  <si>
    <t>Атомная и ядер.физ. Элем.квант.мех. Практ.: Уч.пос. / А.Г.Браун - М.:НИЦ ИНФРА-М,2027 - 88 с.(ВО)(о)</t>
  </si>
  <si>
    <t>АТОМНАЯ И ЯДЕРНАЯ ФИЗИКА. ЭЛЕМЕНТЫ КВАНТОВОЙ МЕХАНИКИ. ПРАКТИКУМ, ИЗД.1</t>
  </si>
  <si>
    <t>Браун А.Г., Левитина И.Г.</t>
  </si>
  <si>
    <t>Высшее образование (МАТИ-МАИ)</t>
  </si>
  <si>
    <t>978-5-16-019148-5</t>
  </si>
  <si>
    <t>03.03.02, 03.04.02</t>
  </si>
  <si>
    <t>Допущено Учебно-методическим Советом МАТИ в качестве учебного пособия для студентов высших учебных заведений, обучающихся по техническим направлениям подготовки и специальностям</t>
  </si>
  <si>
    <t>829091.01.01</t>
  </si>
  <si>
    <t>Аудиовизуализация и аудир. устных науч. текстов на англ. яз.: Уч.пос. / С.О.Даминова - М.:НИЦ ИНФРА-М,2025 - 358 с.(п)</t>
  </si>
  <si>
    <t>АУДИОВИЗУАЛИЗАЦИЯ И АУДИРОВАНИЕ УСТНЫХ НАУЧНЫХ ТЕКСТОВ НА АНГЛИЙСКОМ ЯЗЫКЕ, ИЗД.1</t>
  </si>
  <si>
    <t>978-5-16-020378-2</t>
  </si>
  <si>
    <t>01.03.01, 01.03.02, 01.03.03, 01.03.04, 01.03.05, 01.05.01, 02.03.01, 02.03.02, 02.03.03, 03.03.01, 03.03.02, 03.03.03, 03.05.01, 03.05.02, 04.03.01, 04.03.02, 04.05.01, 05.03.01, 05.03.02, 05.03.03, 05.03.04, 05.03.05, 05.03.06, 06.03.01, 06.03.02, 06.05.01</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</si>
  <si>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04.00.00 «Химия» в качестве учебного пособия для обучающихся по основным образовательным программам высшего образования уровня бакалавриата и магистратуры по направлениям подготовки 04.04.01 и 04.04.02 «Химия, физика и механика материалов»</t>
  </si>
  <si>
    <t>837934.01.01</t>
  </si>
  <si>
    <t>Аудиовизуальная психодиагностика в служеб. деят.: Уч.пос. / М.А.Мадоян - М.:НИЦ ИНФРА-М,2027. - 200 с.(ВО)(п)</t>
  </si>
  <si>
    <t>АУДИОВИЗУАЛЬНАЯ ПСИХОДИАГНОСТИКА В СЛУЖЕБНОЙ ДЕЯТЕЛЬНОСТИ, ИЗД.1</t>
  </si>
  <si>
    <t>Мадоян М.А., Мадоян С.М.</t>
  </si>
  <si>
    <t>978-5-16-021664-5</t>
  </si>
  <si>
    <t>37.05.02</t>
  </si>
  <si>
    <t>Академия права и управления Федеральной службы исполнения наказаний</t>
  </si>
  <si>
    <t>678439.09.01</t>
  </si>
  <si>
    <t>Аудит в соответствии с международ. стандарт.: Уч. / Ю.Ю.Кочинев - М.:НИЦ ИНФРА-М,2024 - 413 с.(ВО)(П)</t>
  </si>
  <si>
    <t>АУДИТ В СООТВЕТСТВИИ С МЕЖДУНАРОДНЫМИ СТАНДАРТАМИ, ИЗД.1</t>
  </si>
  <si>
    <t>Кочинев Ю.Ю.</t>
  </si>
  <si>
    <t>978-5-16-019354-0</t>
  </si>
  <si>
    <t>38.03.01, 38.04.01, 38.04.09</t>
  </si>
  <si>
    <t>Рекомендовано Учебно-методическим советом ВО в качестве учебника для студентов высших учебных заведений, обучающихся по направлению подготовки 38.03.01 «Экономика» (квалификация (степень) «бакалавр»)</t>
  </si>
  <si>
    <t>706235.02.01</t>
  </si>
  <si>
    <t>Аудит в соответствии с международными стандартами: Уч. /Ю.Ю.Кочинев-М.:НИЦ ИНФРА-М,2023-370с(СПО)(П)</t>
  </si>
  <si>
    <t>978-5-16-015070-3</t>
  </si>
  <si>
    <t>35.01.23, 35.01.24, 38.02.01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</si>
  <si>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(протокол № 9 от 13.05.2019)</t>
  </si>
  <si>
    <t>636369.02.01</t>
  </si>
  <si>
    <t>Аудит для магистров по рос.и международ.стандартам: Уч. / Казакова Н.А.-М.:НИЦ ИНФРА-М,2018-345с.(П)</t>
  </si>
  <si>
    <t>АУДИТ ДЛЯ МАГИСТРОВ ПО РОССИЙСКИМ И МЕЖДУНАРОДНЫМ СТАНДАРТАМ, ИЗД.1</t>
  </si>
  <si>
    <t>Казакова Н.А.</t>
  </si>
  <si>
    <t>110 лет РЭУ им. Плеханова</t>
  </si>
  <si>
    <t>978-5-16-012166-6</t>
  </si>
  <si>
    <t>38.00.00, 38.03.01, 38.03.02, 38.03.04, 38.03.06, 38.04.01, 38.04.02, 38.04.04, 38.04.06, 38.04.09, 38.05.01</t>
  </si>
  <si>
    <t>Рекомендовано в качестве учебника для студентов высших учебных заведений, обучающихся по направлению подготовки 38.04.01 "Экономика" (квалификация (степень) "магистр")</t>
  </si>
  <si>
    <t>636365.03.01</t>
  </si>
  <si>
    <t>Аудит для магистров: актуал.вопр.аудит.пров.: Уч. / Под ред. Казаковой Н.А.-М.:НИЦ ИНФРА-М,2018-387с</t>
  </si>
  <si>
    <t>АУДИТ ДЛЯ МАГИСТРОВ: АКТУАЛЬНЫЕ ВОПРОСЫ АУДИТОРСКОЙ ПРОВЕРКИ, ИЗД.1</t>
  </si>
  <si>
    <t>Казакова Н.А., Донцова Л.В., Ефремова Е.И. и др.</t>
  </si>
  <si>
    <t>978-5-16-012167-3</t>
  </si>
  <si>
    <t>38.03.01, 38.03.02, 38.03.04, 38.04.01, 38.04.02, 38.04.04, 38.04.06, 38.04.09, 38.05.01</t>
  </si>
  <si>
    <t>Рекомендовано в качестве учебника для студентов высших учебных заведений, обучающихся по направлению подготовки 38.04.01 «Экономика» (квалификация (степень) «магистр»)</t>
  </si>
  <si>
    <t>169900.06.01</t>
  </si>
  <si>
    <t>Аудит для магистров: Практич. аудит. Прак: Уч. / А.А.Савин - 2 изд. - М.:НИЦ ИНФРА-М,2026. - 385 с.(ВО)(п)</t>
  </si>
  <si>
    <t>АУДИТ ДЛЯ МАГИСТРОВ: ПРАКТИЧЕСКИЙ АУДИТ, ИЗД.2</t>
  </si>
  <si>
    <t>Савин А.А., Савин И.А., Савин Д.А.</t>
  </si>
  <si>
    <t>978-5-16-017851-6</t>
  </si>
  <si>
    <t>38.04.01, 38.04.08, 38.04.09</t>
  </si>
  <si>
    <t>169900.03.01</t>
  </si>
  <si>
    <t>Аудит для магистров: Практический аудит: Уч. / А.А. Савин - М.: Вуз. уч.:  ИНФРА-М, 2014 - 188с. (п)</t>
  </si>
  <si>
    <t>АУДИТ ДЛЯ МАГИСТРОВ: ПРАКТИЧЕСКИЙ АУДИТ, ИЗД.1</t>
  </si>
  <si>
    <t>978-5-9558-0227-5</t>
  </si>
  <si>
    <t>426800.09.01</t>
  </si>
  <si>
    <t>Аудит и анализ при банкротстве: теория и практика: Моногр. / М.В.Чернова-М.:НИЦ ИНФРА-М,2025-207с(О)</t>
  </si>
  <si>
    <t>АУДИТ И АНАЛИЗ ПРИ БАНКРОТСТВЕ: ТЕОРИЯ И ПРАКТИКА, ИЗД.1</t>
  </si>
  <si>
    <t>Чернова М. В.</t>
  </si>
  <si>
    <t>978-5-16-006029-3</t>
  </si>
  <si>
    <t>38.03.01, 38.03.02, 38.04.01, 38.04.02, 38.04.08, 41.03.06</t>
  </si>
  <si>
    <t>857524.01.01</t>
  </si>
  <si>
    <t>Аудит и контроль закупок для гос. и корпоратив. нужд: Уч.пос. / В.Д.Андреев - М.:НИЦ ИНФРА-М,2026. - 352 с.(п)</t>
  </si>
  <si>
    <t>АУДИТ И КОНТРОЛЬ ЗАКУПОК ДЛЯ ГОСУДАРСТВЕННЫХ И КОРПОРАТИВНЫХ НУЖД, ИЗД.1</t>
  </si>
  <si>
    <t>Андреев В.Д.</t>
  </si>
  <si>
    <t>978-5-16-021081-0</t>
  </si>
  <si>
    <t>38.04.04, 38.04.06</t>
  </si>
  <si>
    <t>Сочинский государственный университет</t>
  </si>
  <si>
    <t>226300.11.01</t>
  </si>
  <si>
    <t>Аудит качества для постоянного улучшения: Уч. пос. / Ю.В. Сажин - М.: НИЦ ИНФРА-М, 2026 - 112с.(ВО) (о)</t>
  </si>
  <si>
    <t>АУДИТ КАЧЕСТВА ДЛЯ ПОСТОЯННОГО УЛУЧШЕНИЯ, ИЗД.1</t>
  </si>
  <si>
    <t>Сажин Ю. В., Плетнева Н. П.</t>
  </si>
  <si>
    <t>978-5-16-009010-8</t>
  </si>
  <si>
    <t>Рекомендовано УМО по образованию в области статистики в качестве учебного пособия для студентов высших учебных заведений, обучающихся по экономическим направлениям</t>
  </si>
  <si>
    <t>Национальный исследовательский Мордовский государственный университет им. Н.П. Огарева</t>
  </si>
  <si>
    <t>095280.09.01</t>
  </si>
  <si>
    <t>Аудит налогообложения: Уч.пос. / А.А.Савин, - 3 изд. - М.:НИЦ ИНФРА-М,2026 - 594 с.(ВО: Бак. (Финунивер.)(П)</t>
  </si>
  <si>
    <t>АУДИТ НАЛОГООБЛОЖЕНИЯ, ИЗД.3</t>
  </si>
  <si>
    <t>Савин А.А., Савин А.А., Савин А.А.</t>
  </si>
  <si>
    <t>978-5-16-016992-7</t>
  </si>
  <si>
    <t>38.03.01, 38.04.04, 38.04.09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</si>
  <si>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4 от 13.04.2022)</t>
  </si>
  <si>
    <t>682154.04.01</t>
  </si>
  <si>
    <t>Аудит налогообложения: Уч.пос. / М.М.Богданова - М.:НИЦ ИНФРА-М,2025 - 206 с.(ВО: Магистр.)(П)</t>
  </si>
  <si>
    <t>АУДИТ НАЛОГООБЛОЖЕНИЯ, ИЗД.1</t>
  </si>
  <si>
    <t>Богданова М.М.</t>
  </si>
  <si>
    <t>978-5-16-015837-2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</si>
  <si>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38.04.01 «Экономика» (квалификация (степень) «магистр») (протокол № 11 от 09.11.2020)</t>
  </si>
  <si>
    <t>Финансовый университет при Правительстве Российской Федерации, Алтайский ф-л</t>
  </si>
  <si>
    <t>869304.01.01</t>
  </si>
  <si>
    <t>Аудит: нормативные термины и определения: Словарь / В.П.Горегляд  - М.:НИЦ ИНФРА-М,2026. - 379 с.(п)</t>
  </si>
  <si>
    <t>АУДИТ: НОРМАТИВНЫЕ ТЕРМИНЫ И ОПРЕДЕЛЕНИЯ, ИЗД.1</t>
  </si>
  <si>
    <t>Горегляд В.П., Астанин В.В., Станик Н.А.</t>
  </si>
  <si>
    <t>978-5-16-021608-9</t>
  </si>
  <si>
    <t>38.02.01, 38.02.03, 38.03.01, 38.04.01, 38.04.08, 38.04.09, 38.05.01, 38.05.02</t>
  </si>
  <si>
    <t>072670.19.01</t>
  </si>
  <si>
    <t>Аудит: Практикум: Уч.пос. / Н.В.Парушина и др., - 3 изд. - М.:НИЦ ИНФРА-М,2026. - 286 с.(п)</t>
  </si>
  <si>
    <t>АУДИТ: ПРАКТИКУМ, ИЗД.3</t>
  </si>
  <si>
    <t>Парушина Н.В., Суворова С.П., Галкина Е.В.</t>
  </si>
  <si>
    <t>978-5-16-021127-5</t>
  </si>
  <si>
    <t>35.01.23, 35.01.24, 38.02.01, 38.02.03, 38.02.06</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</si>
  <si>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38.00.00 «Экономика и управление»</t>
  </si>
  <si>
    <t>0313</t>
  </si>
  <si>
    <t>423450.07.01</t>
  </si>
  <si>
    <t>Аудит: расширяем границы науки (теор. и метод.): Моногр. /И.В.Федоренко -М.:НИЦ ИНФРА-М,2023.-100 с.(Науч. мысль)(О)</t>
  </si>
  <si>
    <t>АУДИТ: РАСШИРЯЕМ ГРАНИЦЫ НАУКИ (ТЕОРИЯ И МЕТОДОЛОГИЯ), ИЗД.1</t>
  </si>
  <si>
    <t>Федоренко И. В.</t>
  </si>
  <si>
    <t>978-5-16-006575-5</t>
  </si>
  <si>
    <t>38.03.01, 38.03.02, 38.04.01, 38.04.02, 38.04.08, 38.04.09, 38.05.01</t>
  </si>
  <si>
    <t>662580.06.01</t>
  </si>
  <si>
    <t>Аудит: теория и практика: Уч.: В 2 ч.Ч.2: Практ. / Л.И.Воронина - 4 изд. - М.:НИЦ ИНФРА-М,2026 - 344 с.(П)</t>
  </si>
  <si>
    <t>АУДИТ: ТЕОРИЯ И ПРАКТИКА, Т.2</t>
  </si>
  <si>
    <t>Воронина Л.И.</t>
  </si>
  <si>
    <t>978-5-16-013151-1</t>
  </si>
  <si>
    <t>38.04.09</t>
  </si>
  <si>
    <t>Рекомендовано ФГБОУ ВО «Государственный университет управления» в качестве учебника для студентов высших учебных заведений, обучающихся по специальности «Бухгалтерский учет, анализ и аудит»</t>
  </si>
  <si>
    <t>Московский финансово-юридический университет</t>
  </si>
  <si>
    <t>0418</t>
  </si>
  <si>
    <t>660692.04.01</t>
  </si>
  <si>
    <t>Аудит: теория и практика: Уч.: Ч.1 / Л.И.Воронина, - 4 изд. - М.:НИЦ ИНФРА-М,2026. - 314 с.(ВО)(п)</t>
  </si>
  <si>
    <t>АУДИТ: ТЕОРИЯ И ПРАКТИКА, Т.1</t>
  </si>
  <si>
    <t>978-5-16-013150-4</t>
  </si>
  <si>
    <t>176500.14.01</t>
  </si>
  <si>
    <t>Аудит: Уч. / И.В.Федоренко - 2 изд. - М.:НИЦ ИНФРА-М,2027 - 281 с.(ВО: Бакалавр.)(П)</t>
  </si>
  <si>
    <t>АУДИТ, ИЗД.2</t>
  </si>
  <si>
    <t>Федоренко И.В., Золотарева Г.И.</t>
  </si>
  <si>
    <t>978-5-16-015136-6</t>
  </si>
  <si>
    <t>38.03.01, 38.03.02, 38.03.04, 38.03.05, 38.04.01, 38.05.01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</si>
  <si>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12 от 24.06.2019)</t>
  </si>
  <si>
    <t>176500.08.01</t>
  </si>
  <si>
    <t>Аудит: Уч. / И.В.Федоренко - М.:НИЦ ИНФРА-М,2019 - 272 с.-(ВО: Бакалавриат)(П)</t>
  </si>
  <si>
    <t>АУДИТ, ИЗД.1</t>
  </si>
  <si>
    <t>Федоренко И. В., Золотарева Г. И.</t>
  </si>
  <si>
    <t>978-5-16-005015-7</t>
  </si>
  <si>
    <t>Рекомендовано Государственным университетом управления в качестве учебника для студентов высших учебных заведений, обучающихся по направлению подготовки 38.03.01 «Экономика»</t>
  </si>
  <si>
    <t>684986.02.01</t>
  </si>
  <si>
    <t>Аудит: Уч. / И.В.Федоренко - М.:НИЦ ИНФРА-М,2019 - 272 с.-(СПО)(П)</t>
  </si>
  <si>
    <t>978-5-16-014141-1</t>
  </si>
  <si>
    <t>38.02.01, 38.02.03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</si>
  <si>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38.02.01 «Экономика и бухгалтерский учет (по отраслям)»</t>
  </si>
  <si>
    <t>684986.05.01</t>
  </si>
  <si>
    <t>Аудит: Уч. / И.В.Федоренко, - 2 изд. - М.:НИЦ ИНФРА-М,2026. - 281 с.(СПО)(п)</t>
  </si>
  <si>
    <t>978-5-16-015889-1</t>
  </si>
  <si>
    <t>636369.05.01</t>
  </si>
  <si>
    <t>Аудит: Уч. / Н.А.Казакова, - 2 изд. - М.:НИЦ ИНФРА-М,2025. - 308 с.-(ВО: Магистратура)(П)</t>
  </si>
  <si>
    <t>Казакова Н.А., Ефремова Е.И., Казакова Н.А.</t>
  </si>
  <si>
    <t>978-5-16-017267-5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</si>
  <si>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«магистр») (протокол № 8 от 19.10.2022)</t>
  </si>
  <si>
    <t>636369.06.01</t>
  </si>
  <si>
    <t>Аудит: Уч. / Н.А.Казакова, - 3 изд. - М.:НИЦ ИНФРА-М,2026. - 359 с.(ВО)(п)</t>
  </si>
  <si>
    <t>АУДИТ, ИЗД.3</t>
  </si>
  <si>
    <t>Казакова Н.А., Ефремова Е.И.</t>
  </si>
  <si>
    <t>978-5-16-021461-0</t>
  </si>
  <si>
    <t>0326</t>
  </si>
  <si>
    <t>802560.01.01</t>
  </si>
  <si>
    <t>Аудит: Уч. / Н.Г.Гаджиев и др. - М.:НИЦ ИНФРА-М,2025. - 306 с.(СПО)(п)</t>
  </si>
  <si>
    <t>Гаджиев Н.Г., Коноваленко С.А., Скрипкина О.В. и др.</t>
  </si>
  <si>
    <t>978-5-16-020264-8</t>
  </si>
  <si>
    <t>38.02.01</t>
  </si>
  <si>
    <t>805084.01.01</t>
  </si>
  <si>
    <t>Аудит: Уч. / Н.Г.Гаджиев и др. - М.:НИЦ ИНФРА-М,2025. - 449 с.(ВО)(п)</t>
  </si>
  <si>
    <t>978-5-16-019341-0</t>
  </si>
  <si>
    <t>38.03.01, 38.04.08, 38.05.01, 38.05.02</t>
  </si>
  <si>
    <t>364100.03.01</t>
  </si>
  <si>
    <t>Аудит: Уч. пос. / С.А.Касьянова - М.:Вуз. уч., НИЦ ИНФРА-М,2020 - 196 с.(П)</t>
  </si>
  <si>
    <t>Касьянова С.А.</t>
  </si>
  <si>
    <t>978-5-9558-0440-8</t>
  </si>
  <si>
    <t>Ремомендовано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38.03.01 «Экономика»</t>
  </si>
  <si>
    <t>Российский экономический университет им. Г.В. Плеханова, Краснодарский ф-л</t>
  </si>
  <si>
    <t>471700.03.01</t>
  </si>
  <si>
    <t>Аудит: Уч.пос. / Д.Ю.Филипьев - М.:ИЦ РИОР, НИЦ ИНФРА-М,2019.-179 с..-(ВО: Бакалавриат)(О)</t>
  </si>
  <si>
    <t>Филипьев Д.Ю., Пислегина Н.В.</t>
  </si>
  <si>
    <t>978-5-369-01539-1</t>
  </si>
  <si>
    <t>38.03.01, 38.04.01, 38.04.08, 38.04.09</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</si>
  <si>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«Финансы и кредит» и «Налоги и налогообложение»</t>
  </si>
  <si>
    <t>Алтайский государственный технический университет им. И.И. Ползунова</t>
  </si>
  <si>
    <t>633746.02.01</t>
  </si>
  <si>
    <t>Аудит: Уч.пос. / Под ред. Хахоновой Н.Н. - 3 изд. - М.:ИЦ РИОР, НИЦ ИНФРА-М,2017.-384с.(ВО)(П)</t>
  </si>
  <si>
    <t>Хахонова Н.Н., Хахонова И.И., Богатая И.Н.</t>
  </si>
  <si>
    <t>978-5-369-01576-6</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</si>
  <si>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(бакалавриат) и специальностям «Финансы и кредит», «Бухгалтерский учет, анализ и аудит» и «Налоги и налогообложен</t>
  </si>
  <si>
    <t>0316</t>
  </si>
  <si>
    <t>682827.02.01</t>
  </si>
  <si>
    <t>Аудит: Уч.пос. / С.А.Касьянова - М.:Вуз. уч.,НИЦ ИНФРА-М,2020 - 196 с.(СПО)(П)</t>
  </si>
  <si>
    <t>978-5-9558-0620-4</t>
  </si>
  <si>
    <t>35.01.23, 35.01.24, 38.02.01, 38.02.03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</si>
  <si>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38.02.03 «Операционная деятельность в логистике» (протокол № 3 от 11.02. 2019)</t>
  </si>
  <si>
    <t>364100.08.01</t>
  </si>
  <si>
    <t>Аудит: Уч.пос. / С.А.Касьянова, - 2 изд., - М.:НИЦ ИНФРА-М,2027. - 200 с.(ВО: Бакалавр.)(П)</t>
  </si>
  <si>
    <t>978-5-16-017617-8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</si>
  <si>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4 от 13.04.2022)</t>
  </si>
  <si>
    <t>682827.11.01</t>
  </si>
  <si>
    <t>Аудит: Уч.пос. / С.А.Касьянова, - 2 изд., - М.:НИЦ ИНФРА-М,2027. - 200 с.(СПО)(П)</t>
  </si>
  <si>
    <t>978-5-16-017620-8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</si>
  <si>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38.02.03 «Операционная деятельность в логистике» (протокол № 4 от 13.04.2022)</t>
  </si>
  <si>
    <t>371200.0112.01</t>
  </si>
  <si>
    <t>Аудитор, 2024, № 7</t>
  </si>
  <si>
    <t>АУДИТОР, 2024, № 7, ИЗД.</t>
  </si>
  <si>
    <t>371200.0135.01</t>
  </si>
  <si>
    <t>Аудитор, 2026, № 6</t>
  </si>
  <si>
    <t>АУДИТОР, 2026, № 6, ИЗД.1</t>
  </si>
  <si>
    <t>761038.02.01</t>
  </si>
  <si>
    <t>Аускультация сердца: Уч.пос. / В.Н.Ослопов и др. - М.:НИЦ ИНФРА-М,2025. - 303 с..-(ВО)(п)</t>
  </si>
  <si>
    <t>АУСКУЛЬТАЦИЯ СЕРДЦА, ИЗД.1</t>
  </si>
  <si>
    <t>Ослопов В.Н., Мишанина Ю.С., Ослопова Ю.В. и др.</t>
  </si>
  <si>
    <t>978-5-16-020987-6</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</si>
  <si>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32.05.01 «Медико-профилактическое дело» (протокол № 072 от 21 сентября 2023 г.)</t>
  </si>
  <si>
    <t>Казанский государственный медицинский университет</t>
  </si>
  <si>
    <t>825639.01.01</t>
  </si>
  <si>
    <t>Аутогенный кризис - инновац. методология обеспеч...: Моногр. / О.В.Девяткин - М.:НИЦ ИНФРА-М,2025. - 184 с.(п)</t>
  </si>
  <si>
    <t>АУТОГЕННЫЙ КРИЗИС - ИННОВАЦИОННАЯ МЕТОДОЛОГИЯ ОБЕСПЕЧЕНИЯ УСТОЙЧИВОГО РАЗВИТИЯ ЭКОНОМИЧЕСКИХ СИСТЕМ, ИЗД.1</t>
  </si>
  <si>
    <t>Девяткин О.В.</t>
  </si>
  <si>
    <t>978-5-16-019928-3</t>
  </si>
  <si>
    <t>38.04.01, 38.04.02, 38.06.01</t>
  </si>
  <si>
    <t>АКАДЕМУС-2024, Победитель, III место</t>
  </si>
  <si>
    <t>068850.18.01</t>
  </si>
  <si>
    <t>Аутсорсинг и аутстаффинг: высокие тех. менед.: Уч.пос. / Б.А.Аникин - 4 изд. - М.:НИЦ ИНФРА-М,2027. - 313 с.(ВО)(П)</t>
  </si>
  <si>
    <t>АУТСОРСИНГ И АУТСТАФФИНГ: ВЫСОКИЕ ТЕХНОЛОГИИ МЕНЕДЖМЕНТА, ИЗД.4</t>
  </si>
  <si>
    <t>Аникин Б.А., Рудая И.Л.</t>
  </si>
  <si>
    <t>978-5-16-016979-8</t>
  </si>
  <si>
    <t>38.03.01, 38.03.02, 38.03.03, 38.03.04, 38.04.01, 38.04.02, 38.04.03, 38.04.04, 42.03.01</t>
  </si>
  <si>
    <t>Рекомендовано Учебно-методическим объединением вузов России по образованию в области менеджмента в качестве учебного пособия для студентов образовательных организаций высшего образования</t>
  </si>
  <si>
    <t>0422</t>
  </si>
  <si>
    <t>068850.13.01</t>
  </si>
  <si>
    <t>Аутсорсинг и аутстаффинг: высокие тех. менед.: Уч.пос. / Б.А.Аникин -3 изд. - М.:НИЦ ИНФРА-М,2020-330с</t>
  </si>
  <si>
    <t>АУТСОРСИНГ И АУТСТАФФИНГ: ВЫСОКИЕ ТЕХНОЛОГИИ МЕНЕДЖМЕНТА, ИЗД.3</t>
  </si>
  <si>
    <t>978-5-16-011101-8</t>
  </si>
  <si>
    <t>Рекомендовано   Учебно-методическим объединением вузов России по образованию в области менеджмента в качестве учебного пособия для студентов образовательных организаций высшего образования</t>
  </si>
  <si>
    <t>832019.02.01</t>
  </si>
  <si>
    <t>Африка в сис. совр. международ. отнош. в контексте СВО на Украине / Я.Н.Аду - М.:НИЦ ИНФРА-М,2026. - 153 с.(п)</t>
  </si>
  <si>
    <t>АФРИКА В СИСТЕМЕ СОВРЕМЕННЫХ МЕЖДУНАРОДНЫХ ОТНОШЕНИЙ В КОНТЕКСТЕ СВО НА УКРАИНЕ, ИЗД.1</t>
  </si>
  <si>
    <t>Аду Я.Н.</t>
  </si>
  <si>
    <t>978-5-16-019976-4</t>
  </si>
  <si>
    <t>41.04.01, 41.04.03, 41.04.04, 41.04.05, 41.06.01</t>
  </si>
  <si>
    <t>657351.05.01</t>
  </si>
  <si>
    <t>Афроамериканская лит. США: очерки и портреты: Моногр/ / Б.А.Гиленсон-М.:НИЦ ИНФРА-М,2023.-187 с(П)</t>
  </si>
  <si>
    <t>АФРОАМЕРИКАНСКАЯ ЛИТЕРАТУРА США: ОЧЕРКИ И ПОРТРЕТЫ, ИЗД.1</t>
  </si>
  <si>
    <t>978-5-16-012826-9</t>
  </si>
  <si>
    <t>41.03.06, 42.03.02, 42.03.03, 42.03.04, 44.03.05</t>
  </si>
  <si>
    <t>316100.05.01</t>
  </si>
  <si>
    <t>Аэродинамика и тепломассообмен газодисперсных..: Уч. пос. /М.И.Шиляев -Форум, ИНФРА-М, 2023 -288с.(П)</t>
  </si>
  <si>
    <t>АЭРОДИНАМИКА И ТЕПЛОМАССООБМЕН ГАЗОДИСПЕРСНЫХ ПОТОКОВ, ИЗД.2</t>
  </si>
  <si>
    <t>Шиляев М.И.</t>
  </si>
  <si>
    <t>978-5-91134-976-9</t>
  </si>
  <si>
    <t>08.03.01, 08.04.01, 13.03.01, 13.04.01</t>
  </si>
  <si>
    <t>Томский государственный архитектурно-строительный университет</t>
  </si>
  <si>
    <t>472250.08.01</t>
  </si>
  <si>
    <t>Аэродинамика промышленных зданий: аэродин..: Моногр. / В.Т.Самсонов - 2 изд.-М.:НИЦ ИНФРА-М,2024-230с(О)</t>
  </si>
  <si>
    <t>АЭРОДИНАМИКА ПРОМЫШЛЕННЫХ ЗДАНИЙ: АЭРОДИНАМИЧЕСКИЕ РАСЧЁТЫ ПРИ ПРОЕКТИРОВАНИИ ВЕНТИЛЯЦИОННЫХ ВЫБРОСОВ, ИЗД.2</t>
  </si>
  <si>
    <t>Самсонов В.Т.</t>
  </si>
  <si>
    <t>978-5-16-014461-0</t>
  </si>
  <si>
    <t>08.03.01, 08.04.01, 08.05.01</t>
  </si>
  <si>
    <t>Всероссийский научно-исследовательский институт труда</t>
  </si>
  <si>
    <t>212100.12.01</t>
  </si>
  <si>
    <t>Базисная система риск-менеджмента...: Моногр. / Д.В.Соколов - М.:НИЦ ИНФРА-М,2025 - 125 с.(Науч.мысль)(О)</t>
  </si>
  <si>
    <t>БАЗИСНАЯ СИСТЕМА РИСК-МЕНЕДЖМЕНТ ОРГАНИЗАЦИЙ РЕАЛЬНОГО СЕКТОРА ЭКОНОМИКИ, ИЗД.1</t>
  </si>
  <si>
    <t>Соколов Д.В., Барчуков А.В.</t>
  </si>
  <si>
    <t>978-5-16-006862-6</t>
  </si>
  <si>
    <t>38.03.02, 38.04.02, 41.03.06, 44.03.05</t>
  </si>
  <si>
    <t>861606.01.01</t>
  </si>
  <si>
    <t>Базовые и клинич. аспекты молочной железы: Уч.мет.пос. / Н.Ю.Давид - М.:НИЦ ИНФРА-М, ГомГМУ,2026. - 115 с.(ВО)(о)</t>
  </si>
  <si>
    <t>БАЗОВЫЕ И КЛИНИЧЕСКИЕ АСПЕКТЫ МОЛОЧНОЙ ЖЕЛЕЗЫ, ИЗД.1</t>
  </si>
  <si>
    <t>Давид Н.Ю., Захаренкова Т.Н., Призенцов А.А. и др.</t>
  </si>
  <si>
    <t>978-5-16-021301-9</t>
  </si>
  <si>
    <t>31.05.01, 31.05.02, 32.05.01</t>
  </si>
  <si>
    <t>240800.18.01</t>
  </si>
  <si>
    <t>Базовые и прикладные информ. технологии: Уч. / В.А.Гвоздева - М.:НИЦ ИНФРА-М,2027 - 383 с.-(ВО)</t>
  </si>
  <si>
    <t>БАЗОВЫЕ И ПРИКЛАДНЫЕ ИНФОРМАЦИОННЫЕ ТЕХНОЛОГИИ, ИЗД.1</t>
  </si>
  <si>
    <t>Гвоздева В. А.</t>
  </si>
  <si>
    <t>978-5-16-022415-2</t>
  </si>
  <si>
    <t>09.03.02, 33.02.01</t>
  </si>
  <si>
    <t>Рекомендовано Научно-методическим советом Московского государственного института электронной техники (технического университета) в качестве учебника для студентов высших учебных заведений, обучающихся по техническим специальностям</t>
  </si>
  <si>
    <t>682828.01.01</t>
  </si>
  <si>
    <t>Базовые средства прогр. на Visual Basic в среде Visual...: Уч.пос/В.Н.Шакин-М.:Форум,НИЦ ИНФРА-М,2019-303c(п)</t>
  </si>
  <si>
    <t>БАЗОВЫЕ СРЕДСТВА ПРОГРАММИРОВАНИЯ НА VISUAL BASIC В СРЕДЕ VISUALSTUDIO .NET, ИЗД.1</t>
  </si>
  <si>
    <t>Шакин В.Н.</t>
  </si>
  <si>
    <t>978-5-00091-564-6</t>
  </si>
  <si>
    <t>08.01.30, 08.01.31, 08.02.12, 08.02.13, 08.02.14, 08.02.15, 09.01.04, 09.01.05, 09.02.01, 09.02.02, 09.02.03, 09.02.04, 09.02.05, 13.02.12, 18.02.10, 18.02.15, 19.02.11, 19.02.12, 19.02.14, 19.02.15, 21.02.02, 21.02.09, 24.02.01, 24.02.02, 29.02.10, 35.01.16, 35.01.30, 35.01.33, 35.02.01, 35.02.17, 38.02.08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</si>
  <si>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09.02.03 «Программирование в компьютерных системах», 09.02.04 «Информационные системы (по отраслям)», 09.02.05 «Прикладная информатика (по отраслям)»</t>
  </si>
  <si>
    <t>Московский технический университет связи и информатики, Северо-Кавказский ф-л</t>
  </si>
  <si>
    <t>690447.07.01</t>
  </si>
  <si>
    <t>Базы данных и их безопасность: Уч.пос. / Ю.В.Полищук - М.:НИЦ ИНФРА-М,2026 - 210 с.(ВО)(П)</t>
  </si>
  <si>
    <t>БАЗЫ ДАННЫХ И ИХ БЕЗОПАСНОСТЬ, ИЗД.1</t>
  </si>
  <si>
    <t>Полищук Ю.В., Боровский А.С.</t>
  </si>
  <si>
    <t>978-5-16-014924-0</t>
  </si>
  <si>
    <t>10.05.01, 10.05.02, 10.05.03, 10.05.04, 10.05.05, 10.05.07</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</si>
  <si>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10.00.00 «Информационная безопасность» в качестве учебного пособия студентов образовательных организаций высшего образования, обучающихся по специальности 10.05.03 «Информационная безопасность автоматизированных систем»</t>
  </si>
  <si>
    <t>734789.08.01</t>
  </si>
  <si>
    <t>Базы данных и их безопасность: Уч.пос. / Ю.В.Полищук - М.:НИЦ ИНФРА-М,2026 - 210 с.-(СПО)(П)</t>
  </si>
  <si>
    <t>978-5-16-016151-8</t>
  </si>
  <si>
    <t>09.01.03, 09.02.01, 09.02.04, 09.02.06, 09.02.07, 09.02.09, 10.02.01, 10.02.02, 10.02.03, 11.02.12, 51.02.03, 09.02.10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</si>
  <si>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09.00.00 «Информатика и вычислительная техника», 10.00.00 «Информационная безопасность» (протокол № 8 от 22.06.2020)</t>
  </si>
  <si>
    <t>52</t>
  </si>
  <si>
    <t>682830.11.01</t>
  </si>
  <si>
    <t>Базы данных. Прак. прим.СУБД SQL- и NoSOL..: Уч.пос. / С.А.Мартишин - М.,НИЦ ИНФРА-М,2027 - 368 с.(СПО)(П)</t>
  </si>
  <si>
    <t>БАЗЫ ДАННЫХ. ПРАКТИЧЕСКОЕ ПРИМЕНЕНИЕ СУБД SQL- И NOSOL-ТИПА ДЛЯ ПРИМЕНЕНИЯ ПРОЕКТИРОВАНИЯ ИНФОРМАЦИОННЫХ СИСТЕМ, ИЗД.1</t>
  </si>
  <si>
    <t>Мартишин С.А., Симонов В.Л., Храпченко М.В.</t>
  </si>
  <si>
    <t>978-5-16-021721-5</t>
  </si>
  <si>
    <t>09.01.03, 09.01.04, 09.01.05, 09.02.01, 09.02.02, 09.02.03, 09.02.04, 09.02.05, 09.02.06, 09.02.07, 09.02.09, 10.02.01, 10.02.02, 10.02.03, 10.02.04, 11.02.12, 51.02.03, 09.02.10</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</si>
  <si>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УГС 09.02.00 «Информатика и вычислительная техника»</t>
  </si>
  <si>
    <t>Институт системного программирования Российской академии наук</t>
  </si>
  <si>
    <t>633184.12.01</t>
  </si>
  <si>
    <t>Базы данных.Практ. прим.СУБД SQL и NoSOL: Уч.пос. / С.А.Мартишин - М.:ИД ФОРУМ, НИЦ ИНФРА-М,2026 - 368 с.(ВО)(П)</t>
  </si>
  <si>
    <t>БАЗЫ ДАННЫХ.ПРАКТИЧЕСКОЕ ПРИМЕНЕНИЕ СУБД SQL И NOSOL-ТИПА ДЛЯ ПРИМЕНЕНИЯ ПРОЕКТИРОВАНИЯ ИНФОРМАЦИОННЫХ СИСТЕМ, ИЗД.1</t>
  </si>
  <si>
    <t>978-5-8199-0946-1</t>
  </si>
  <si>
    <t>01.03.02, 02.03.02, 02.03.03, 03.03.02, 09.03.01, 09.03.02, 09.03.03, 09.03.04, 09.05.01, 38.03.05</t>
  </si>
  <si>
    <t>Рекомендовано научно-методическим советом Национального исследовательского университета «МИЭТ» в качестве учебного пособия для бакалавров и магистрантов направлений подготовки 01.03.02 «Прикладная математика и информатика», 09.03.01 «Информатика и вычислительная техника», 09.03.02 «Информационные системы и технологии», 09.03.03 «Прикладная информатика», 09.03.04 «Программная инженерия», 27.03.04 «Управление в технических системах», 38.03.05 «Бизнес-информатика», 44.03.01 «Педагогическое образование (профиль "Информатика")»</t>
  </si>
  <si>
    <t>107900.16.01</t>
  </si>
  <si>
    <t>Базы данных: В 2 кн.Кн.2: Распределенные и удаленные...: Уч. / В.П.Агальцов - М.:НИЦ ИНФРА-М,2027. - 271 с.(ВО)(п)</t>
  </si>
  <si>
    <t>БАЗЫ ДАННЫХ: В 2 КНИГАХ., ИЗД.1</t>
  </si>
  <si>
    <t>Агальцов В.П.</t>
  </si>
  <si>
    <t>978-5-16-022519-7</t>
  </si>
  <si>
    <t>01.03.02, 01.03.04, 02.03.02, 02.03.03, 02.04.02, 03.03.02, 04.03.02, 09.02.07, 09.03.01, 09.03.03, 09.03.04, 27.03.02</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</si>
  <si>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09.03.01 "Информатика и вычислительная техника"</t>
  </si>
  <si>
    <t>753620.01.01</t>
  </si>
  <si>
    <t>Базы данных: Проектир. и разработка...: Уч.пос. / С.А.Мартишин.-М.:НИЦ ИНФРА-М,2022.-325 с.(ВО)(п)</t>
  </si>
  <si>
    <t>БАЗЫ ДАННЫХ: ПРОЕКТИРОВАНИЕ И РАЗРАБОТКА ИНФОРМАЦИОННЫХ СИСТЕМ С ИСПОЛЬЗОВАНИЕМ СУБД MYSQL И ЯЗЫКА GO, ИЗД.1</t>
  </si>
  <si>
    <t>978-5-16-017213-2</t>
  </si>
  <si>
    <t>09.03.01, 09.03.02, 09.03.03, 09.03.04, 27.03.04, 38.03.05, 44.03.01</t>
  </si>
  <si>
    <t>Рекомендовано в качестве учебного пособия для студентов (специалитет, бакалавриат и магистратура) специальностей направлений подготовки: «Информатика и вычислительная техника», «Информационные системы и технологии», «Программная инженерия», «Прикладная математика и информатика», «Управление в технических системах», «Бизнес-информатика», «Педагогическое образование»</t>
  </si>
  <si>
    <t>704388.09.01</t>
  </si>
  <si>
    <t>Базы данных: Работа с распред. базами данных...: Уч.пос. / С.А.Мартишин - М.:НИЦ ИНФРА-М,2026 - 235 с.(ВО)(п)</t>
  </si>
  <si>
    <t>БАЗЫ ДАННЫХ: РАБОТА С РАСПРЕДЕЛЕННЫМИ БАЗАМИ ДАННЫХ И ФАЙЛОВЫМИ СИСТЕМАМИ НА ПРИМЕРЕ MONGODB И HDFS С ИСПОЛЬЗОВАНИЕМ NODE.JS, EXPRESS.JS, APACHE SPARK И SCALA, ИЗД.1</t>
  </si>
  <si>
    <t>978-5-16-019845-3</t>
  </si>
  <si>
    <t>01.03.02, 01.04.02, 09.03.01, 09.03.02, 09.03.03, 09.03.04, 09.04.01, 09.04.02, 09.04.03, 09.04.04, 38.03.05, 38.04.05</t>
  </si>
  <si>
    <t>Рекомендовано в качестве учебного пособия для студентов, бакалавров и магистрантов направлений подготовки «Информатика и вычислительная техника», «Информационные системы и технологии», «Программная инженерия», «Прикладная математика и информатика», «Прикладная информатика», «Управление в технических системах», «Бизнес-информатика», «Педагогическое образование» (профиль «Информатика»)</t>
  </si>
  <si>
    <t>719616.07.01</t>
  </si>
  <si>
    <t>Базы данных: Работа с распределенными...: Уч.пос. / С.А. Мартишин, - М.: ИНФРА-М, 2027 - 235 с.(П)</t>
  </si>
  <si>
    <t>978-5-16-015643-9</t>
  </si>
  <si>
    <t>09.01.03, 09.02.01, 10.02.03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</si>
  <si>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12 от 24.06.2019)</t>
  </si>
  <si>
    <t>684990.08.01</t>
  </si>
  <si>
    <t>Базы данных: Уч. / Л.И.Шустова - М.:НИЦ ИНФРА-М,2026 - 304 с.(СПО)(П)</t>
  </si>
  <si>
    <t>БАЗЫ ДАННЫХ, ИЗД.1</t>
  </si>
  <si>
    <t>Шустова Л.И., Тараканов О.В.</t>
  </si>
  <si>
    <t>978-5-16-014161-9</t>
  </si>
  <si>
    <t>09.01.03, 09.02.01, 09.02.02, 09.02.03, 09.02.04, 09.02.05, 10.02.01, 10.02.03, 11.02.12, 51.02.03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</si>
  <si>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t>
  </si>
  <si>
    <t>322400.11.01</t>
  </si>
  <si>
    <t>Базы данных: Уч. / Л.И.Шустова - М.:НИЦ ИНФРА-М,2026. - 304 с.(ВО: Бакалавр.)(П)</t>
  </si>
  <si>
    <t>978-5-16-010485-0</t>
  </si>
  <si>
    <t>09.03.01, 09.03.02, 09.03.04, 09.04.01, 09.04.02, 09.04.03, 09.04.04</t>
  </si>
  <si>
    <t>Допущено Учебно-методическим объединением по образованию в области прикладной информатики в качестве учебника для студентов, обучающихся по направлению подготовки 09.03.03 «Прикладная информатика» (квалификация (степень) «бакалавр»)</t>
  </si>
  <si>
    <t>109600.17.01</t>
  </si>
  <si>
    <t>Базы данных: Уч.: В 2 кн. Кн.1: Локальные базы... / В.П. Агальцов - М.:ФОРУМ: ИНФРА-М,2026 - 352 с.(ВО) (п)</t>
  </si>
  <si>
    <t>БАЗЫ ДАННЫХ, ИЗД.2</t>
  </si>
  <si>
    <t>Агальцов В. П.</t>
  </si>
  <si>
    <t>978-5-8199-0377-3</t>
  </si>
  <si>
    <t>01.03.02, 01.03.04, 02.03.02, 03.03.02, 04.03.02, 09.03.01, 09.03.03, 09.03.04, 45.03.04</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</si>
  <si>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"Информатика и вычислительная техника"</t>
  </si>
  <si>
    <t>842287.01.01</t>
  </si>
  <si>
    <t>Базы данных: Уч.пос. / О.В.Исаченко - М.:НИЦ ИНФРА-М,2025. - 202 с.(ВО)(п)</t>
  </si>
  <si>
    <t>Исаченко О.В.</t>
  </si>
  <si>
    <t>978-5-16-020320-1</t>
  </si>
  <si>
    <t>01.03.02, 01.03.04, 01.05.01, 02.03.02, 02.03.03, 03.03.01, 03.03.02, 03.03.03, 04.03.02, 09.03.01, 09.03.03, 09.03.04, 09.05.01, 10.05.03, 10.05.05, 22.03.01, 24.05.03, 30.05.03, 38.03.05, 38.04.05, 40.05.03, 45.03.04, 45.04.03, 45.04.04, 51.03.06</t>
  </si>
  <si>
    <t>2ПО</t>
  </si>
  <si>
    <t>731820.01.01</t>
  </si>
  <si>
    <t>Базы данных: Уч.пос. / О.В.Исаченко - М.:НИЦ ИНФРА-М,2025. - 202 с.-(СПО)(п)</t>
  </si>
  <si>
    <t>978-5-16-016506-6</t>
  </si>
  <si>
    <t>09.02.01, 10.02.01, 10.02.03, 11.02.12, 51.02.03</t>
  </si>
  <si>
    <t>682831.09.01</t>
  </si>
  <si>
    <t>Базы данных: Уч.пос. / О.Л.Голицына - 4 изд. - М.:Форум, НИЦ ИНФРА-М,2025 - 400 с.-(СПО)(П)</t>
  </si>
  <si>
    <t>БАЗЫ ДАННЫХ, ИЗД.4</t>
  </si>
  <si>
    <t>Голицына О.Л., Максимов Н.В., Попов И.И.</t>
  </si>
  <si>
    <t>978-5-00091-601-8</t>
  </si>
  <si>
    <t>09.01.03, 09.02.01, 09.02.02, 09.02.03, 09.02.04, 09.02.05, 09.02.06, 09.02.07, 09.02.09, 10.02.01, 10.02.03, 11.02.12, 51.02.03, 09.02.10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</si>
  <si>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t>
  </si>
  <si>
    <t>046850.23.01</t>
  </si>
  <si>
    <t>Базы данных: Уч.пос. / О.Л.Голицына. - 4 изд. - М.:Форум, НИЦ ИНФРА-М,2027 - 400 с.-(ВО)(П)</t>
  </si>
  <si>
    <t>978-5-00091-516-5</t>
  </si>
  <si>
    <t>01.03.02, 01.03.04, 02.03.02, 02.03.03, 03.03.02, 04.03.02, 09.03.01, 09.03.03, 09.03.04, 45.03.04</t>
  </si>
  <si>
    <t>Рекомендовано Учебно-методическим объединением вузов Российской Федерации по образованию в области прикладной информатики в качестве учебного пособия для студентов высших учебных заведений, обучающихся по направлению 09.03.03 «Прикладная информатика»</t>
  </si>
  <si>
    <t>0414</t>
  </si>
  <si>
    <t>813218.01.01</t>
  </si>
  <si>
    <t>Байкаловедение: Уч.пос. / В.Н.Моложников и др. - М.:НИЦ ИНФРА-М,2025. - 226 с.:цв.ил.(ВО)(п)</t>
  </si>
  <si>
    <t>БАЙКАЛОВЕДЕНИЕ, ИЗД.1</t>
  </si>
  <si>
    <t>Моложников В.Н., Козлова С.А., Таничев А.И.</t>
  </si>
  <si>
    <t>978-5-16-019728-9</t>
  </si>
  <si>
    <t>05.03.06, 05.04.06, 06.03.01, 35.03.01, 35.03.08, 43.03.02, 49.03.03, 51.04.03</t>
  </si>
  <si>
    <t>ФГБУ "Заповедное Прибайкалье"</t>
  </si>
  <si>
    <t>АКАДЕМУС-2023, Победитель, I место
Международный конкурс на лучшее учебное и научное издание, Омский ГАУ-2025, Победитель, III место</t>
  </si>
  <si>
    <t>682688.02.01</t>
  </si>
  <si>
    <t>Банальность бытия: Монография / С.В.Борзых - М.:НИЦ ИНФРА-М,2023 - 155 с.-(Науч.мысль)(О)</t>
  </si>
  <si>
    <t>БАНАЛЬНОСТЬ БЫТИЯ, ИЗД.1</t>
  </si>
  <si>
    <t>978-5-16-014027-8</t>
  </si>
  <si>
    <t>44.03.01, 44.03.05, 47.04.01</t>
  </si>
  <si>
    <t>632667.08.01</t>
  </si>
  <si>
    <t>Банк 3.0: стратегии, бизнес-процессы, инновации: Моногр. / Р.А.Исаев-М.:НИЦ ИНФРА-М,2024.-160 с.(О)</t>
  </si>
  <si>
    <t>БАНК 3.0: СТРАТЕГИИ, БИЗНЕС-ПРОЦЕССЫ, ИННОВАЦИИ, ИЗД.1</t>
  </si>
  <si>
    <t>978-5-16-012010-2</t>
  </si>
  <si>
    <t>38.03.01, 38.04.01, 38.04.08, 44.03.05</t>
  </si>
  <si>
    <t>061750.12.01</t>
  </si>
  <si>
    <t>Банковские операции: Уч. / А.В.Печникова - 2 изд. - М.:ИД ФОРУМ, НИЦ ИНФРА-М,2023-336с.(ПО)</t>
  </si>
  <si>
    <t>БАНКОВСКИЕ ОПЕРАЦИИ, ИЗД.2</t>
  </si>
  <si>
    <t>Печникова А.В., Маркова О.М., Стародубцева Е.Б.</t>
  </si>
  <si>
    <t>978-5-8199-0578-4</t>
  </si>
  <si>
    <t>Допущено Министерством образования РФ в качестве учебника для студентов общеобразовательных учреждений среднего профессионального образования</t>
  </si>
  <si>
    <t>Всероссийский заочный финансово-экономический институт</t>
  </si>
  <si>
    <t>061750.13.01</t>
  </si>
  <si>
    <t>Банковские операции: Уч. / Е.Б.Стародубцева, - 3 изд. - М.:НИЦ ИНФРА-М,2025. - 303 с.(СПО (ФинУн))(п)</t>
  </si>
  <si>
    <t>БАНКОВСКИЕ ОПЕРАЦИИ, ИЗД.3</t>
  </si>
  <si>
    <t>Стародубцева Е.Б., Маркова О.М.</t>
  </si>
  <si>
    <t>978-5-16-018159-2</t>
  </si>
  <si>
    <t>Допущено Министерством науки и высшего образования Российской Федерации в качестве учебника для студентов образовательных учреждений среднего профессионального образования</t>
  </si>
  <si>
    <t>0323</t>
  </si>
  <si>
    <t>081800.05.01</t>
  </si>
  <si>
    <t>Банковские операции: Уч. пос. /Под ред. Ю.И.Коробова - М.: Магистр:  НИЦ ИНФРА-М, 2015-448с</t>
  </si>
  <si>
    <t>БАНКОВСКИЕ ОПЕРАЦИИ, ИЗД.1</t>
  </si>
  <si>
    <t>Коробова Г. Г., Нестеренко Е. А., Карпова Р. А., Коробов Ю. И.</t>
  </si>
  <si>
    <t>Колледж</t>
  </si>
  <si>
    <t>978-5-9776-0007-1</t>
  </si>
  <si>
    <t>38.01.02, 38.02.01, 38.02.06, 38.02.07, 43.01.05</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</si>
  <si>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специальности 0601 "Экономика и бухгалтерский учет" (по отраслям)</t>
  </si>
  <si>
    <t>Саратовский государственный технический университет им. Гагарина Ю.А., ф-л Саратовский социально-экономический институт</t>
  </si>
  <si>
    <t>800833.03.01</t>
  </si>
  <si>
    <t>Банковский маркетинг: Уч.пос. / И.В.Курникова-М.:ИЦ РИОР, НИЦ ИНФРА-М,2023.-141 с.(ВО)(о)</t>
  </si>
  <si>
    <t>БАНКОВСКИЙ МАРКЕТИНГ, ИЗД.1</t>
  </si>
  <si>
    <t>Курникова И.В., Савин В.Э.</t>
  </si>
  <si>
    <t>978-5-369-01928-3</t>
  </si>
  <si>
    <t>Ивановский государственный университет</t>
  </si>
  <si>
    <t>150600.13.11</t>
  </si>
  <si>
    <t>Банковский менеджмент и бизнес-инжиниринг: В 2 т.Т.1 / Р.А.Исаев - 2 изд. - М.:НИЦ ИНФРА-М,2026 - 286 с.(п)</t>
  </si>
  <si>
    <t>БАНКОВСКИЙ МЕНЕДЖМЕНТ И БИЗНЕС-ИНЖИНИРИНГ, ИЗД.2</t>
  </si>
  <si>
    <t>978-5-16-010457-7</t>
  </si>
  <si>
    <t>747343.11.01</t>
  </si>
  <si>
    <t>Банковский менеджмент и бизнес-инжиниринг: В 2 т.Т.2 / Р.А.Исаев - 2 изд. - М.:НИЦ ИНФРА-М,2026 - 336 с.(п)</t>
  </si>
  <si>
    <t>БАНКОВСКИЙ МЕНЕДЖМЕНТ И БИЗНЕС-ИНЖИНИРИНГ, Т.2</t>
  </si>
  <si>
    <t>978-5-16-010459-1</t>
  </si>
  <si>
    <t>325200.09.01</t>
  </si>
  <si>
    <t>Банковский менеджмент: Уч. / Ю.Ю. Русанов - М.: Магистр: НИЦ ИНФРА-М, 2025 - 480 с.(Бакалавриат)(п)</t>
  </si>
  <si>
    <t>БАНКОВСКИЙ МЕНЕДЖМЕНТ, ИЗД.1</t>
  </si>
  <si>
    <t>Русанов Ю.Ю., Бадалов Л.А., Маганов В.В. и др.</t>
  </si>
  <si>
    <t>978-5-9776-0355-3</t>
  </si>
  <si>
    <t>38.03.02, 38.04.03</t>
  </si>
  <si>
    <t>Рекомендовано Учебно-методическим объединением по образованию в области экономики в качестве учебника для студентов высших учебных заведений обучающихся по направлению 38.03.01 (080100) "Экономика» (квалификация (степень) «бакалавр») по профилям «Бан</t>
  </si>
  <si>
    <t>700951.05.01</t>
  </si>
  <si>
    <t>Банковский менеджмент: Уч. / Я.Ю.Радюкова и др. - М.:НИЦ ИНФРА-М,2026 - 379 с.-(ВО)(п)</t>
  </si>
  <si>
    <t>Радюкова Я.Ю., Чернышова О.Н., Федорова А.Ю. и др.</t>
  </si>
  <si>
    <t>978-5-16-019189-8</t>
  </si>
  <si>
    <t>38.03.01, 38.04.08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</si>
  <si>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5 от 26.03.2020)</t>
  </si>
  <si>
    <t>685032.01.01</t>
  </si>
  <si>
    <t>Банковский надзор в РФ: Уч.пос. / Т.Э.Рождественская - М.:Юр.Норма, НИЦ ИНФРА-М,2018.-176 с.(П)</t>
  </si>
  <si>
    <t>БАНКОВСКИЙ НАДЗОР В РФ, ИЗД.1</t>
  </si>
  <si>
    <t>Рождественская Т.Э., Гузнов А.Г.</t>
  </si>
  <si>
    <t>978-5-91768-942-5</t>
  </si>
  <si>
    <t>685032.03.01</t>
  </si>
  <si>
    <t>Банковский надзор в РФ: Уч.пос. / Т.Э.Рождественская, - 2 изд.-М.:Юр.Норма, НИЦ ИНФРА-М,2024.-192 с.(П)</t>
  </si>
  <si>
    <t>БАНКОВСКИЙ НАДЗОР В РФ, ИЗД.2</t>
  </si>
  <si>
    <t>978-5-00156-187-3</t>
  </si>
  <si>
    <t>124922.11.01</t>
  </si>
  <si>
    <t>Банковский риск-менеджмент: Уч. пос./П.П.Ковалев - 2 изд. - М.: КУРС: ИНФРА-М, 2024-320с.(Магистр.) (п)</t>
  </si>
  <si>
    <t>БАНКОВСКИЙ РИСК-МЕНЕДЖМЕНТ, ИЗД.2</t>
  </si>
  <si>
    <t>Ковалев П. П.</t>
  </si>
  <si>
    <t>Магистратура</t>
  </si>
  <si>
    <t>978-5-905554-36-0</t>
  </si>
  <si>
    <t>38.04.01, 38.04.02</t>
  </si>
  <si>
    <t>Траст</t>
  </si>
  <si>
    <t>640453.07.01</t>
  </si>
  <si>
    <t>Банковское дело: орг. деятельности центр. банка...: Уч. / А.А.Казимагомедов-М.:НИЦ ИНФРА-М,2023-502 с.(П)</t>
  </si>
  <si>
    <t>БАНКОВСКОЕ ДЕЛО: ОРГАНИЗАЦИЯ ДЕЯТЕЛЬНОСТИ ЦЕНТРАЛЬНОГО БАНКА  И КОММЕРЧЕСКОГО БАНКА, НЕБАНКОВСКИХ ОРГАНИЗАЦИЙ, ИЗД.1</t>
  </si>
  <si>
    <t>Казимагомедов А.А.</t>
  </si>
  <si>
    <t>978-5-16-012458-2</t>
  </si>
  <si>
    <t>247600.09.01</t>
  </si>
  <si>
    <t>Банковское дело: Уч. / Е.Б. Стародубцева - М.: ИД ФОРУМ:  НИЦ ИНФРА-М, 2026. - 464 с.(ВО) (п)</t>
  </si>
  <si>
    <t>БАНКОВСКОЕ ДЕЛО, ИЗД.1</t>
  </si>
  <si>
    <t>Стародубцева Е.Б.</t>
  </si>
  <si>
    <t>978-5-8199-0575-3</t>
  </si>
  <si>
    <t>38.04.08</t>
  </si>
  <si>
    <t>Рекомендовано в качестве учебника для студентов высших учебных заведений, обучающихся по направлению подготовки бакалавров и магистров для направления 38.03.01 «Экономика» специализации «Банки и банковская деятельность»</t>
  </si>
  <si>
    <t>036537.20.01</t>
  </si>
  <si>
    <t>Банковское дело: Уч. / Под ред. Коробовой Г.Г. - 2 изд. - М.:Магистр, НИЦ ИНФРА-М, 2023 - 592 с.(П)</t>
  </si>
  <si>
    <t>БАНКОВСКОЕ ДЕЛО, ИЗД.2</t>
  </si>
  <si>
    <t>Коробова Г.Г.</t>
  </si>
  <si>
    <t>978-5-9776-0109-2</t>
  </si>
  <si>
    <t>38.03.01, 38.03.02, 38.03.04, 38.04.01, 38.04.02, 38.04.04, 38.04.08, 44.03.05</t>
  </si>
  <si>
    <t>Допущено Министерством образования и науки Российской Федерации в качестве учебника для студентов высших учебных заведений, обучающихся по финансово-экономическим специальностям</t>
  </si>
  <si>
    <t>683239.02.01</t>
  </si>
  <si>
    <t>Банковское право Российской Федерации: уч. / Е.Ю.Грачева-М.:Юр.Норма, НИЦ ИНФРА-М,2018.-368 с..-(СПО)(П 7БЦ)</t>
  </si>
  <si>
    <t>БАНКОВСКОЕ ПРАВО РОССИЙСКОЙ ФЕДЕРАЦИИ, ИЗД.1</t>
  </si>
  <si>
    <t>978-5-91768-925-8</t>
  </si>
  <si>
    <t>38.01.03, 38.02.06, 38.02.07</t>
  </si>
  <si>
    <t>683239.07.01</t>
  </si>
  <si>
    <t>Банковское право РФ: Уч. / Е.Ю.Грачева - 2 изд. - М.:Юр.Норма, НИЦ ИНФРА-М,2026 - 336 с.-(П)</t>
  </si>
  <si>
    <t>БАНКОВСКОЕ ПРАВО РОССИЙСКОЙ ФЕДЕРАЦИИ, ИЗД.2</t>
  </si>
  <si>
    <t>978-5-00156-139-2</t>
  </si>
  <si>
    <t>095250.07.01</t>
  </si>
  <si>
    <t>Банковское право РФ: Уч. / Отв. ред. Е.Ю.Грачева, - 3 изд.-М.:Юр.Норма,НИЦ ИНФРА-М,2019-368с.(П)</t>
  </si>
  <si>
    <t>БАНКОВСКОЕ ПРАВО РОССИЙСКОЙ ФЕДЕРАЦИИ, ИЗД.3</t>
  </si>
  <si>
    <t>978-5-91768-737-7</t>
  </si>
  <si>
    <t>40.03.01, 40.04.01, 40.05.01, 40.05.02, 40.05.03, 40.05.04, 44.03.05</t>
  </si>
  <si>
    <t>095250.12.01</t>
  </si>
  <si>
    <t>Банковское право РФ: Уч. / Отв. ред. Е.Ю.Грачева, - 4 изд. - М.:Юр.Норма,НИЦ ИНФРА-М,2026 - 336 с.(П)</t>
  </si>
  <si>
    <t>БАНКОВСКОЕ ПРАВО РОССИЙСКОЙ ФЕДЕРАЦИИ, ИЗД.4</t>
  </si>
  <si>
    <t>978-5-00156-093-7</t>
  </si>
  <si>
    <t>757885.02.01</t>
  </si>
  <si>
    <t>Банковское право: Уч. / Е.Г.Хоменко - М.:Юр.Норма, НИЦ ИНФРА-М,2025 - 384 с.(П)</t>
  </si>
  <si>
    <t>БАНКОВСКОЕ ПРАВО, ИЗД.1</t>
  </si>
  <si>
    <t>Хоменко Е.Г.</t>
  </si>
  <si>
    <t>978-5-00156-179-8</t>
  </si>
  <si>
    <t>132350.14.01</t>
  </si>
  <si>
    <t>Банкротство: учет, анализ, аудит: Практ. пос. / Н.В.Кобозева - М.:Магистр, НИЦ ИНФРА-М,2026. - 208 с.(о)</t>
  </si>
  <si>
    <t>БАНКРОТСТВО: УЧЕТ, АНАЛИЗ, АУДИТ, ИЗД.1</t>
  </si>
  <si>
    <t>Кобозева Н.В.</t>
  </si>
  <si>
    <t>978-5-16-021957-8</t>
  </si>
  <si>
    <t>38.03.01, 38.03.02, 38.04.01, 38.04.02, 38.04.08, 44.03.01</t>
  </si>
  <si>
    <t>770894.05.01</t>
  </si>
  <si>
    <t>Бедренная грыжа: Моногр. / В.И.Белоконев - М.:НИЦ ИНФРА-М,2026 - 152 с.(Науч.мысль)(О)</t>
  </si>
  <si>
    <t>БЕДРЕННАЯ ГРЫЖА, ИЗД.1</t>
  </si>
  <si>
    <t>Белоконев В.И., Пушкин С.Ю., Бурнаева Н.С. и др.</t>
  </si>
  <si>
    <t>978-5-16-017466-2</t>
  </si>
  <si>
    <t>31.05.01, 31.05.02, 31.08.67, 32.05.01</t>
  </si>
  <si>
    <t>708859.06.01</t>
  </si>
  <si>
    <t>Безопасная эксплуатация сис. электроснабжения: Уч.пос. / Г.В.Пачурин - М.:НИЦ ИНФРА-М,2026-205 с.(ВО)(п)</t>
  </si>
  <si>
    <t>БЕЗОПАСНАЯ ЭКСПЛУАТАЦИЯ СИСТЕМ ЭЛЕКТРОСНАБЖЕНИЯ, ИЗД.1</t>
  </si>
  <si>
    <t>Пачурин Г.В., Маслеева О.В., Севостьянов А.А. и др.</t>
  </si>
  <si>
    <t>978-5-16-019500-1</t>
  </si>
  <si>
    <t>13.03.01, 13.03.02, 13.03.03, 15.03.02</t>
  </si>
  <si>
    <t>Рекомендовано УМО РАЕ по классическому университетскому образованию в качестве учебного пособия для студентов высших учебных заведений, обучающихся по направлениям подготовки 13.03.02 и 13.04.02 «Электроэнергетика и электротехника», 20.03.01 «Техносферная безопасность»</t>
  </si>
  <si>
    <t>805941.04.01</t>
  </si>
  <si>
    <t>Безопасность в  чрезвычайных ситуациях: Уч. / В.А.Бондаренко. - М.:ИЦ РИОР, НИЦ ИНФРА-М,2026. - 224 с.(ВО)(п)</t>
  </si>
  <si>
    <t>БЕЗОПАСНОСТЬ В  ЧРЕЗВЫЧАЙНЫХ СИТУАЦИЯХ, ИЗД.1</t>
  </si>
  <si>
    <t>Бондаренко В.А., Евтушенко С.И., Лепихова В.А. и др.</t>
  </si>
  <si>
    <t>978-5-369-01929-0</t>
  </si>
  <si>
    <t>00.03.01, 00.05.01, 01.03.01, 01.03.02, 01.03.03, 01.03.04, 01.05.01, 02.03.01, 02.03.02, 02.03.03, 03.03.02, 03.03.03, 04.03.01, 04.03.02, 05.03.01, 05.03.03, 05.03.04, 05.03.06, 06.03.01, 06.03.02, 07.03.02, 07.03.03, 07.03.04, 08.03.01, 09.03.01, 09.03.03, 09.03.04, 11.03.01, 11.03.02, 11.03.03, 11.03.04, 12.03.01, 12.03.02, 12.03.03, 12.03.04, 12.03.05, 13.03.02, 13.03.03, 14.03.01, 15.03.01, 15.03.03, 15.03.05, 16.03.01, 16.03.02, 16.03.03, 17.03.01, 18.03.01, 18.03.02, 19.03.01, 19.03.02, 19.03.04, 20.03.01, 20.03.02, 21.03.01, 21.03.02, 21.03.03, 21.05.04, 22.03.01, 23.03.01, 23.03.02, 23.03.03, 24.03.01, 24.03.03, 24.03.04, 24.03.05, 25.03.01, 25.03.02, 25.03.03, 25.03.04, 26.03.02, 27.03.01, 27.03.02, 27.03.04, 27.03.05, 28.03.01, 28.03.02, 29.03.01, 29.03.02, 29.03.03, 29.03.05, 31.05.02, 31.05.03, 32.05.01, 33.05.01, 34.03.01, 35.03.01, 35.03.02, 35.03.03, 35.03.04, 35.03.05, 35.03.06, 35.03.08, 35.03.09, 35.03.10, 36.03.01, 36.03.02, 36.05.01, 37.03.01, 37.03.02, 38.03.01, 38.03.02, 38.03.03, 38.03.04, 38.03.07, 39.03.02, 39.03.03, 40.03.01, 41.03.01, 41.03.04, 41.03.05, 41.03.06, 42.03.01, 42.03.02, 42.03.03, 42.03.04, 43.03.01, 43.03.02, 43.03.03, 44.03.01, 44.03.03, 44.03.04, 44.03.05, 45.03.01, 45.03.02, 45.03.03, 45.03.04, 46.03.01, 46.03.02, 47.03.01, 47.03.02, 47.03.03, 48.03.01, 49.03.01, 49.03.02, 49.03.03, 50.03.01, 50.03.03, 51.03.01, 51.03.02, 51.03.03, 51.03.04, 51.03.05, 51.03.06, 52.03.01, 52.03.02, 52.03.04, 52.03.05, 53.03.06, 54.03.01, 54.03.02, 54.03.03, 54.03.04, 56.05.01</t>
  </si>
  <si>
    <t>433931.0037.01</t>
  </si>
  <si>
    <t>Безопасность в техносфере, 2020, № 3 (84)</t>
  </si>
  <si>
    <t>БЕЗОПАСНОСТЬ В ТЕХНОСФЕРЕ, 2020, № 3 (84), ИЗД.</t>
  </si>
  <si>
    <t>00.03.01, 20.03.01, 20.03.02, 20.04.01, 20.04.02, 20.05.01</t>
  </si>
  <si>
    <t>086630.14.01</t>
  </si>
  <si>
    <t>Безопасность в туризме: Уч. пос. / А.П. Бгатов. - 2 изд. - М.:Форум: НИЦ ИНФРА-М, 2027 - 176 с.(ВО) (о)</t>
  </si>
  <si>
    <t>БЕЗОПАСНОСТЬ В ТУРИЗМЕ, ИЗД.2</t>
  </si>
  <si>
    <t>Бгатов А. П.</t>
  </si>
  <si>
    <t>978-5-91134-756-7</t>
  </si>
  <si>
    <t>43.03.02, 43.04.02</t>
  </si>
  <si>
    <t>Рекомендовано УМО учебных заведений РФ по образованию в области сервиса и туризма Министерства обр. и науки России в качестве учебного пособия для студентов высших учебных заведений, обучающихся по напр. подготовки "Туризм"</t>
  </si>
  <si>
    <t>Российская международная академия туризма, Московский ф-л</t>
  </si>
  <si>
    <t>702283.05.01</t>
  </si>
  <si>
    <t>Безопасность в туризме: Уч.пос. / А.П.Бгатов - 2 изд. - М.:Форум,НИЦ ИНФРА-М,2026 - 175 с.(СПО) (П)</t>
  </si>
  <si>
    <t>Бгатов А.П.</t>
  </si>
  <si>
    <t>978-5-00091-655-1</t>
  </si>
  <si>
    <t>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</si>
  <si>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(протокол № 8 от 29.04.2019)</t>
  </si>
  <si>
    <t>887712.01.01</t>
  </si>
  <si>
    <t>Безопасность ведения горных работ: уч.пос. / В.В.Коростовенко и др.-М.:НИЦ ИНФРА-М, СФУ,2027.-187 с..-(ВО)(п)</t>
  </si>
  <si>
    <t>БЕЗОПАСНОСТЬ ВЕДЕНИЯ ГОРНЫХ РАБОТ, ИЗД.1</t>
  </si>
  <si>
    <t>Коростовенко В.В., Галайко А.В., Медведь Н.В. и др.</t>
  </si>
  <si>
    <t>978-5-16-022501-2</t>
  </si>
  <si>
    <t>21.05.04</t>
  </si>
  <si>
    <t>378600.17.01</t>
  </si>
  <si>
    <t>Безопасность дорожного движения: Уч. / А.А.Беженцев - М.:НИЦ ИНФРА-М,2027. - 561 с.(СПО)(п)</t>
  </si>
  <si>
    <t>БЕЗОПАСНОСТЬ ДОРОЖНОГО ДВИЖЕНИЯ, ИЗД.1</t>
  </si>
  <si>
    <t>Беженцев А.А., Козлов А.П.</t>
  </si>
  <si>
    <t>978-5-16-022080-2</t>
  </si>
  <si>
    <t>23.01.04, 23.02.01</t>
  </si>
  <si>
    <t>855584.01.01</t>
  </si>
  <si>
    <t>Безопасность дорожного движения: Уч.пос. / А.А.Беженцев, - 2 изд. - М.:НИЦ ИНФРА-М,2025. - 320 с.(ВО)(п)</t>
  </si>
  <si>
    <t>БЕЗОПАСНОСТЬ ДОРОЖНОГО ДВИЖЕНИЯ, ИЗД.2</t>
  </si>
  <si>
    <t>978-5-16-020913-5</t>
  </si>
  <si>
    <t>08.05.02, 23.03.01, 23.03.03, 23.04.03</t>
  </si>
  <si>
    <t>378600.16.01</t>
  </si>
  <si>
    <t>Безопасность дорожного движения: Уч.пос. / А.А.Беженцев, - 2 изд. - М.:НИЦ ИНФРА-М,2025. - 320 с.(СПО)(п)</t>
  </si>
  <si>
    <t>978-5-16-020115-3</t>
  </si>
  <si>
    <t>486300.11.01</t>
  </si>
  <si>
    <t>Безопасность жизнедеят. и упр. рисками: Уч.пос. / Е.Н.Каменская - 2 изд. - М.:ИЦ РИОР, НИЦ ИНФРА-М,2026 - 255 с.(п)</t>
  </si>
  <si>
    <t>БЕЗОПАСНОСТЬ ЖИЗНЕДЕЯТЕЛЬНОСТИ И УПРАВЛЕНИЕ РИСКАМИ, ИЗД.2</t>
  </si>
  <si>
    <t>Каменская Е.Н.</t>
  </si>
  <si>
    <t>978-5-369-02007-4</t>
  </si>
  <si>
    <t>00.03.01</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</si>
  <si>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гуманитарным направлениям и специальностям</t>
  </si>
  <si>
    <t>486300.08.01</t>
  </si>
  <si>
    <t>Безопасность жизнедеят. и упр. рисками: Уч.пос. / Е.Н.Каменская-М.:ИЦ РИОР, НИЦ ИНФРА-М,2024-251(ВО)</t>
  </si>
  <si>
    <t>БЕЗОПАСНОСТЬ ЖИЗНЕДЕЯТЕЛЬНОСТИ И УПРАВЛЕНИЕ РИСКАМИ, ИЗД.1</t>
  </si>
  <si>
    <t>978-5-369-01541-4</t>
  </si>
  <si>
    <t>486700.11.01</t>
  </si>
  <si>
    <t>Безопасность жизнедеят. предпр. легкой и текс. промыш.: Уч.пос. / П.Н.Умняков - 3 изд. - М.:НИЦ ИНФРА-М,2026. - 207 с.(п)</t>
  </si>
  <si>
    <t>БЕЗОПАСНОСТЬ ЖИЗНЕДЕЯТЕЛЬНОСТИ ПРЕДПРИЯТИЯ ЛЕГКОЙ И ТЕКСТИЛЬНОЙ ПРОМЫШЛЕННОСТИ, ИЗД.3</t>
  </si>
  <si>
    <t>Умняков П.Н., Смирнов В.А., Свищев Г.А. и др.</t>
  </si>
  <si>
    <t>978-5-16-021182-4</t>
  </si>
  <si>
    <t>29.03.01, 29.03.02, 29.03.03, 29.03.04, 29.03.05</t>
  </si>
  <si>
    <t>Рекомендовано Учебно-методическим объединением по образованию в области технологии, конструирования изделий легкой и текстильной промышленности в качестве учебного пособия для студентов высших учебных заведений, обучающихся по направлению подготовки бакалавров специальностей 29.03.01/02; 29.03.05; 50.03.02; 54.03.01/03; 15.03.03/04; 18.03.01</t>
  </si>
  <si>
    <t>682834.02.01</t>
  </si>
  <si>
    <t>Безопасность жизнедеят. предпр. легкой и...: Уч.пос. / П.Н.Умняков - 3 изд.-М.:Форум, НИЦ ИНФРА-М,2023-207с(П)</t>
  </si>
  <si>
    <t>Умняков П.Н., Смирнов В.А., Свищев Г.А.</t>
  </si>
  <si>
    <t>978-5-00091-539-4</t>
  </si>
  <si>
    <t>00.02.01, 29.01.01, 29.01.03, 29.01.04, 29.01.06, 29.01.09, 29.01.10, 29.01.11, 29.01.12, 29.01.13, 29.01.14, 29.01.15, 29.01.18, 29.01.19, 29.01.20, 29.01.21, 29.01.22, 29.01.23, 29.01.28, 29.01.30, 29.01.31, 29.01.32, 29.01.33, 29.01.34, 29.01.35, 29.01.36, 29.02.02, 29.02.05, 29.02.08, 29.02.10, 29.02.11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</si>
  <si>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29.02.00 «Технологии легкой промышленности» (протокол № 3 от 17.02.2020)</t>
  </si>
  <si>
    <t>455950.09.01</t>
  </si>
  <si>
    <t>Безопасность жизнедеятельности. Защита..: Уч. пос. / М.Г.Оноприенко - Форум:ИНФРА-М, 2024-400с.(ВО) (п)</t>
  </si>
  <si>
    <t>БЕЗОПАСНОСТЬ ЖИЗНЕДЕЯТЕЛЬНОСТИ. ЗАЩИТА ТЕРРИТОРИЙ И ОБЪЕКТОВ ЭКОНОМИКИ В ЧРЕЗВЫЧАЙНЫХ СИТУАЦИЯХ, ИЗД.1</t>
  </si>
  <si>
    <t>Оноприенко М. Г.</t>
  </si>
  <si>
    <t>978-5-91134-831-1</t>
  </si>
  <si>
    <t>39.03.01</t>
  </si>
  <si>
    <t>690050.11.01</t>
  </si>
  <si>
    <t>Безопасность жизнедеятельности. Практ.: Уч.пос. / В.А.Бондаренко - М.:ИЦ РИОР,НИЦ ИНФРА-М,2026 - 150 с.(СПО)(О)</t>
  </si>
  <si>
    <t>БЕЗОПАСНОСТЬ ЖИЗНЕДЕЯТЕЛЬНОСТИ. ПРАКТИКУМ, ИЗД.1</t>
  </si>
  <si>
    <t>978-5-369-01794-4</t>
  </si>
  <si>
    <t>00.01.01, 00.02.01, 05.01.01, 05.02.03, 08.01.30, 08.02.13, 09.01.05, 20.02.02, 20.02.04, 20.02.05, 21.01.03, 21.02.09, 21.02.10, 21.02.11, 21.02.12, 21.02.13, 21.02.15, 21.02.16, 21.02.17, 21.02.18, 21.02.19, 21.02.20, 23.01.17, 23.02.07, 24.02.02, 26.01.01, 26.02.02, 26.02.03, 26.02.05, 26.02.06, 27.02.04, 27.02.05, 27.02.07, 34.02.01, 35.01.05, 35.01.06, 35.01.15, 35.01.28, 39.02.01, 39.02.03, 46.02.01, 49.02.01, 55.02.01, 55.02.02</t>
  </si>
  <si>
    <t>682837.03.01</t>
  </si>
  <si>
    <t>Безопасность жизнедеятельности...: Уч.пос. / М.Г.Оноприенко-М.:НИЦ ИНФРА-М,2023-400 с.(СПО)(П)</t>
  </si>
  <si>
    <t>Оноприенко М.Г.</t>
  </si>
  <si>
    <t>978-5-16-016654-4</t>
  </si>
  <si>
    <t>00.01.01, 00.02.01, 34.02.02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</si>
  <si>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программы среднего профессионального образования (протокол № 8 от 22.06.2020)</t>
  </si>
  <si>
    <t>694171.03.01</t>
  </si>
  <si>
    <t>Безопасность жизнедеятельности: Практикум: Уч.пос. / С.В.Алексеев - М.:НИЦ ИНФРА-М,2026 - 215 с.(ВО)(П)</t>
  </si>
  <si>
    <t>БЕЗОПАСНОСТЬ ЖИЗНЕДЕЯТЕЛЬНОСТИ: ИННОВАЦИИ В МЕТОДИКЕ ОБУЧЕНИЯ. ПРАКТИКУМ, ИЗД.1</t>
  </si>
  <si>
    <t>Алексеев С.В., Костецкая Г.А.</t>
  </si>
  <si>
    <t>978-5-16-022274-5</t>
  </si>
  <si>
    <t>00.03.01, 44.03.01, 44.03.02, 44.03.04, 44.03.05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</si>
  <si>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«бакалавр») (протокол № 6 от 16.06.2021)</t>
  </si>
  <si>
    <t>Санкт-Петербургская академия постдипломного педагогического образования имени К.Д. Ушинского</t>
  </si>
  <si>
    <t>201900.10.01</t>
  </si>
  <si>
    <t>Безопасность жизнедеятельности: Уч. / В.Н.Коханов - М.:НИЦ ИНФРА-М,2027 - 400 с.(ВО: Бакалавр.)(п)</t>
  </si>
  <si>
    <t>БЕЗОПАСНОСТЬ ЖИЗНЕДЕЯТЕЛЬНОСТИ, ИЗД.1</t>
  </si>
  <si>
    <t>Коханов В.Н., Некрасов П.А., Емельянов В.М.</t>
  </si>
  <si>
    <t>978-5-16-006522-9</t>
  </si>
  <si>
    <t>00.03.01, 00.05.01</t>
  </si>
  <si>
    <t>451900.08.01</t>
  </si>
  <si>
    <t>Безопасность жизнедеятельности: Уч. / В.П.Мельников - М.:КУРС, НИЦ ИНФРА-М,2026 - 400 с.(П)</t>
  </si>
  <si>
    <t>Мельников В.П.</t>
  </si>
  <si>
    <t>978-5-906818-13-3</t>
  </si>
  <si>
    <t>00.03.01, 00.05.01, 15.03.01</t>
  </si>
  <si>
    <t>653223.10.01</t>
  </si>
  <si>
    <t>Безопасность жизнедеятельности: Уч. / В.П.Мельников и др. - М.:КУРС, НИЦ ИНФРА-М,2027 - 368 с.(П)</t>
  </si>
  <si>
    <t>Мельников В.П., Куприянов А.И., Назаров А.В.</t>
  </si>
  <si>
    <t>978-5-906923-11-0</t>
  </si>
  <si>
    <t>00.02.01, 09.02.02, 09.02.03, 09.02.04, 09.02.05, 09.02.07, 23.02.07, 24.01.01, 24.02.01, 26.02.02, 26.02.03, 26.02.05, 26.02.06</t>
  </si>
  <si>
    <t>202900.08.01</t>
  </si>
  <si>
    <t>Безопасность жизнедеятельности: Уч. / И.С. Масленникова - 4 изд. - М.: НИЦ ИНФРА-М, 2025 - 304 с.(ВО) (П)</t>
  </si>
  <si>
    <t>БЕЗОПАСНОСТЬ ЖИЗНЕДЕЯТЕЛЬНОСТИ, ИЗД.4</t>
  </si>
  <si>
    <t>Масленникова И. С., Еронько О. Н.</t>
  </si>
  <si>
    <t>978-5-16-006581-6</t>
  </si>
  <si>
    <t>Рекомендовано государственным образовательным учреждением высшего профессионального образования «Московский государственный университет природообустройства» к использованию в качестве учебника в образовательных учреждениях, реализующих образовательны</t>
  </si>
  <si>
    <t>403600.08.01</t>
  </si>
  <si>
    <t>Безопасность жизнедеятельности: Уч. / М.В.Графкина и др. - М.:Форум, НИЦ ИНФРА-М,2027. - 416 с.(ВО)(п)</t>
  </si>
  <si>
    <t>Графкина М. В., Нюнин Б. Н., Михайлов В. А.</t>
  </si>
  <si>
    <t>978-5-91134-681-2</t>
  </si>
  <si>
    <t>414150.05.01</t>
  </si>
  <si>
    <t>Безопасность жизнедеятельности: Уч. пос. / Л.Л. Никифоров - М.: НИЦ ИНФРА-М, 2023-297с.(ВО) (П)</t>
  </si>
  <si>
    <t>Никифоров Л. Л., Персиянов В. В.</t>
  </si>
  <si>
    <t>978-5-16-006480-2</t>
  </si>
  <si>
    <t>06.03.01, 06.05.01, 36.03.01, 36.03.02, 36.05.01</t>
  </si>
  <si>
    <t>Допущено УМО по образованию в области технологии сырья и продуктов животного происхождения для студентов высших учебных заведений в качестве учебного пособия для подготовки по направлениям 111900.62 «Ветеринарно-санитарная экспертиза», 020400.62 «Био</t>
  </si>
  <si>
    <t>683283.04.01</t>
  </si>
  <si>
    <t>Безопасность жизнедеятельности: Уч.пос. / Л.Л.Никифоров - М.:НИЦ ИНФРА-М,2023 - 297 с.-(СПО)(П)</t>
  </si>
  <si>
    <t>Никифоров Л.Л., Персиянов В.В.</t>
  </si>
  <si>
    <t>978-5-16-014043-8</t>
  </si>
  <si>
    <t>00.01.01, 00.02.01, 36.02.01, 36.02.03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</si>
  <si>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36.02.01 «Ветеринария», 36.02.02 «Зоотехния»</t>
  </si>
  <si>
    <t>683283.05.01</t>
  </si>
  <si>
    <t>Безопасность жизнедеятельности: Уч.пос. / Л.Л.Никифоров, - 2  изд. - М.:НИЦ ИНФРА-М,2026. - 346 с.(СПО)(п)</t>
  </si>
  <si>
    <t>БЕЗОПАСНОСТЬ ЖИЗНЕДЕЯТЕЛЬНОСТИ, ИЗД.2</t>
  </si>
  <si>
    <t>978-5-16-020981-4</t>
  </si>
  <si>
    <t>414150.07.01</t>
  </si>
  <si>
    <t>Безопасность жизнедеятельности: Уч.пос. / Л.Л.Никифоров, - 2 изд. - М.:НИЦ ИНФРА-М,2027. -  346 с.(ВО)(п)</t>
  </si>
  <si>
    <t>978-5-16-020225-9</t>
  </si>
  <si>
    <t>757868.07.01</t>
  </si>
  <si>
    <t>Безопасность жизнедеятельности: Уч.пос. / Под ред. Халилова Ш.А. - М.:НИЦ ИНФРА-М,2026. - 576 с.(СПО)(п)</t>
  </si>
  <si>
    <t>Халилов Ш.А., Маликов А.Н., Гневанов В.П. и др.</t>
  </si>
  <si>
    <t>978-5-16-021211-1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</si>
  <si>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программу среднего профессионального образования (протокол № 11 от 09.11.2020)</t>
  </si>
  <si>
    <t>160800.14.01</t>
  </si>
  <si>
    <t>Безопасность жизнедеятельности: Уч.пос. / Халилов Ш.А. - М.:ИД Форум, НИЦ ИНФРА-М,2026. - 576 с.(ВО)(п)</t>
  </si>
  <si>
    <t>978-5-8199-0905-8</t>
  </si>
  <si>
    <t>00.03.01, 00.05.01, 21.02.12</t>
  </si>
  <si>
    <t>Допущено Научно-методическим советом по безопасности жизнедеятельности Министерства образования и науки России в качестве учебного пособия для студентов высших учебных заведений, обучающихся по гуманитарным и социально-экономическим направлениям подг</t>
  </si>
  <si>
    <t>684712.03.01</t>
  </si>
  <si>
    <t>Безопасность жизнедеятельности: Уч.пос. / Ю.Н.Сычев - М.:НИЦ ИНФРА-М,2022 - 204 с.-(ВО: Бакалавр.)(П)</t>
  </si>
  <si>
    <t>Сычев Ю.Н.</t>
  </si>
  <si>
    <t>978-5-16-014337-8</t>
  </si>
  <si>
    <t>00.03.01, 00.05.01, 56.05.02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</si>
  <si>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бакалавриата</t>
  </si>
  <si>
    <t>708643.02.01</t>
  </si>
  <si>
    <t>Безопасность жизнедеятельности: Уч.пос. / Ю.Н.Сычев - М.:НИЦ ИНФРА-М,2022 - 204 с.-(СПО)(П)</t>
  </si>
  <si>
    <t>978-5-16-015260-8</t>
  </si>
  <si>
    <t>00.01.01, 00.02.01, 14.02.02, 26.02.04, 38.02.02, 40.02.04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</si>
  <si>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4 от 25.02.2019)</t>
  </si>
  <si>
    <t>684712.08.01</t>
  </si>
  <si>
    <t>Безопасность жизнедеятельности: Уч.пос. / Ю.Н.Сычев, - 2 изд. - М.:НИЦ ИНФРА-М,2026. - 225 с.(ВО)(п)</t>
  </si>
  <si>
    <t>978-5-16-018205-6</t>
  </si>
  <si>
    <t>708643.07.01</t>
  </si>
  <si>
    <t>Безопасность жизнедеятельности: Уч.пос. / Ю.Н.Сычев, - 2 изд. - М.:НИЦ ИНФРА-М,2026. - 225 с.(СПО)(п)</t>
  </si>
  <si>
    <t>978-5-16-018956-7</t>
  </si>
  <si>
    <t>686099.06.01</t>
  </si>
  <si>
    <t>Безопасность и эколог. в машиностроит. производ.: Уч.пос. / Г.В.Пачурин - М.:НИЦ ИНФРА-М,2025 - 231 с.(ВО)(П)</t>
  </si>
  <si>
    <t>БЕЗОПАСНОСТЬ И ЭКОЛОГИЧНОСТЬ В МАШИНОСТРОИТЕЛЬНОМ ПРОИЗВОДСТВЕ, ИЗД.1</t>
  </si>
  <si>
    <t>Пачурин Г.В., Елькин А.Б., Трунова И.Г. и др.</t>
  </si>
  <si>
    <t>978-5-16-014412-2</t>
  </si>
  <si>
    <t>15.03.01, 15.04.01, 15.04.04, 15.04.05, 15.04.06, 27.04.02, 27.04.03</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</si>
  <si>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15.04.01 «Машиностроение», 15.04.05 «Конструкторско-технологическое обеспечение машиностроительных производств», 15.04.04 «Автоматизация технологических процессов и производств»</t>
  </si>
  <si>
    <t>678433.04.01</t>
  </si>
  <si>
    <t>Безопасность пищевых продуктов в Среднем Приобье: Моногр. / В.Н.Кисленко - М.:НИЦ ИНФРА-М,2026 - 145 с.(О)</t>
  </si>
  <si>
    <t>БЕЗОПАСНОСТЬ ПИЩЕВЫХ ПРОДУКТОВ В СРЕДНЕМ ПРИОБЬЕ, ИЗД.1</t>
  </si>
  <si>
    <t>978-5-16-013760-5</t>
  </si>
  <si>
    <t>19.03.04, 38.03.07</t>
  </si>
  <si>
    <t>153000.10.01</t>
  </si>
  <si>
    <t>Безопасность продовольственных товаров..: Уч. / В.М.Позняковский - М.:НИЦ ИНФРА-М,2026. - 269 с.(ВО)(п)</t>
  </si>
  <si>
    <t>БЕЗОПАСНОСТЬ ПРОДОВОЛЬСТВЕННЫХ ТОВАРОВ (С ОСНОВАМИ НУТРИЦИОЛОГИИ), ИЗД.1</t>
  </si>
  <si>
    <t>Позняковский В.М.</t>
  </si>
  <si>
    <t>978-5-16-020733-9</t>
  </si>
  <si>
    <t>38.03.07, 38.04.07</t>
  </si>
  <si>
    <t>Рекомендовано Учебно-методическим объединением по образованию в области товароведения и экспертизы товаров в качестве учебника для подготовки бакалавров и магистров по направлению 38.03.07 «Товароведение»</t>
  </si>
  <si>
    <t>Кемеровский государственный медицинский университет Министерства здравоохранения Российской Федерации</t>
  </si>
  <si>
    <t>664782.04.01</t>
  </si>
  <si>
    <t>Безопасность продукции: Уч.прак.пос. / Ю.Н.Берновский - М.:НИЦ ИНФРА-М,2024-254 с.(ВО: Бакалавр.)(П)</t>
  </si>
  <si>
    <t>БЕЗОПАСНОСТЬ ПРОДУКЦИИ, ИЗД.1</t>
  </si>
  <si>
    <t>Берновский Ю.Н.</t>
  </si>
  <si>
    <t>978-5-16-014056-8</t>
  </si>
  <si>
    <t>01.04.02, 08.04.01, 14.03.02, 19.03.04, 19.04.03, 19.04.05, 20.03.02, 21.05.04, 21.05.06, 24.03.04, 25.03.01, 25.04.01, 25.05.05, 26.04.02, 26.05.02, 27.03.01, 27.04.03, 27.04.05, 27.04.07, 27.04.08, 28.03.02, 29.03.03, 29.04.02, 29.04.04, 35.03.07, 38.04.07, 43.04.01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</si>
  <si>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27.03.01 «Стандартизация и метрология»,27.03.02 «Управление качеством» (квалификация (степень) «бакалавр») (протокол № 15 от 14.10.2019)</t>
  </si>
  <si>
    <t>Стандартинформ</t>
  </si>
  <si>
    <t>799532.01.01</t>
  </si>
  <si>
    <t>Безопасность условий труда в энергетике: Уч.пос. / С.Н.Орловский-М.:НИЦ ИНФРА-М,2023.-265 с.(ВО (КрГАУ))(п)</t>
  </si>
  <si>
    <t>БЕЗОПАСНОСТЬ УСЛОВИЙ ТРУДА В ЭНЕРГЕТИКЕ, ИЗД.1</t>
  </si>
  <si>
    <t>Орловский С.Н.</t>
  </si>
  <si>
    <t>978-5-16-018828-7</t>
  </si>
  <si>
    <t>13.03.01, 13.03.02, 13.03.03, 20.03.01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</si>
  <si>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20.03.01 «Техносферная безопасность»</t>
  </si>
  <si>
    <t>777932.05.01</t>
  </si>
  <si>
    <t>Белорусский выбор. Политич. и экономич. анализ...: Моногр. / С.Ю.Глазьев - М.:НИЦ ИНФРА-М,2026. - 218 с.(О)</t>
  </si>
  <si>
    <t>БЕЛОРУССКИЙ ВЫБОР. ПОЛИТИЧЕСКИЙ И ЭКОНОМИЧЕСКИЙ АНАЛИЗ РЕСПУБЛИКИ БЕЛАРУСЬ ДО И ПОСЛЕ ПРЕЗИДЕНТСКИХ ВЫБОРОВ 2020 ГОДА, ИЗД.1</t>
  </si>
  <si>
    <t>Глазьев С.Ю., Чистилин Д.К., Живалов В.Н. и др.</t>
  </si>
  <si>
    <t>978-5-16-017784-7</t>
  </si>
  <si>
    <t>41.03.01, 41.03.05, 41.03.06, 41.04.04, 41.06.01</t>
  </si>
  <si>
    <t>861290.01.01</t>
  </si>
  <si>
    <t>Бенефициарная собственность и трасты в России и за рубежом / А.А.Максуров - М.:НИЦ ИНФРА-М,2026. - 168 с.(п)</t>
  </si>
  <si>
    <t>БЕНЕФИЦИАРНАЯ СОБСТВЕННОСТЬ И ТРАСТЫ В РОССИИ И ЗА РУБЕЖОМ, ИЗД.1</t>
  </si>
  <si>
    <t>978-5-16-021253-1</t>
  </si>
  <si>
    <t>40.04.01, 40.05.01, 40.05.02, 40.05.04, 40.06.01</t>
  </si>
  <si>
    <t>717496.09.01</t>
  </si>
  <si>
    <t>Беспилотные летательные аппараты...: Моногр. / В.А.Крамарь - М.:НИЦ ИНФРА-М,2026 - 180 с.(о)</t>
  </si>
  <si>
    <t>БЕСПИЛОТНЫЕ ЛЕТАТЕЛЬНЫЕ АППАРАТЫ,  ИХ ЭЛЕКТРОМАГНИТНАЯ СТОЙКОСТЬ И МАТЕМАТИЧЕСКИЕ МОДЕЛИ СИСТЕМ  СТАБИЛИЗАЦИИ, ИЗД.1</t>
  </si>
  <si>
    <t>Крамарь В.А., Володин А.Н., Евтушенко Е.В. и др.</t>
  </si>
  <si>
    <t>978-5-16-015841-9</t>
  </si>
  <si>
    <t>15.02.10, 24.03.04, 24.04.04, 24.05.06, 24.06.01, 25.02.08</t>
  </si>
  <si>
    <t>848310.02.01</t>
  </si>
  <si>
    <t>Беспризорные организации: Моногр. / Д.Ю.Каталевский - М., НИЦ ИНФРА-М,2026. - 324 с.(п)</t>
  </si>
  <si>
    <t>БЕСПРИЗОРНЫЕ ОРГАНИЗАЦИИ, ИЗД.1</t>
  </si>
  <si>
    <t>Каталевский Д.Ю.</t>
  </si>
  <si>
    <t>978-5-16-021676-8</t>
  </si>
  <si>
    <t>38.04.01, 38.04.02, 38.04.04, 38.05.01, 38.06.01</t>
  </si>
  <si>
    <t>649805.10.01</t>
  </si>
  <si>
    <t>Беспроводные технологии на автомобильном транспорте...: Уч.пос. / В.М.Власов - М.:ИНФРА,2027 - 184с(П)</t>
  </si>
  <si>
    <t>БЕСПРОВОДНЫЕ ТЕХНОЛОГИИ НА АВТОМОБИЛЬНОМ ТРАНСПОРТЕ. ГЛОБАЛЬНАЯ НАВИГАЦИЯ И ОПРЕДЕЛЕНИЕ МЕСТОПОЛОЖЕНИЯ ТРАНСПОРТНЫХ СРЕДСТВ, ИЗД.1</t>
  </si>
  <si>
    <t>Власов В.М., Мактас Б.Я., Богумил В.Н. и др.</t>
  </si>
  <si>
    <t>978-5-16-012733-0</t>
  </si>
  <si>
    <t>23.03.01, 23.04.03, 38.03.02</t>
  </si>
  <si>
    <t>Допущено Федеральным УМО в системе высшего образования по укрупненной группе направлений подготовки 23.00.00 «Техника и технологии наземного транспорта» в качестве учебного пособия для обучающихся по направлениям «Эксплуатация транспортно-технологических машин и комплексов» (квалификация (степень) «бакалавр», «магистр»), «Технология транспортных процессов» (квалификация (степень) «магистр»)</t>
  </si>
  <si>
    <t>Московский автомобильно-дорожный государственный технический университет</t>
  </si>
  <si>
    <t>243800.11.01</t>
  </si>
  <si>
    <t>Бесшовные мосты: Уч. пос. / Б.А.Дробышевский - М.: ИЦ РИОР:  НИЦ ИНФРА-М, 2027 - 154 с.(ВО: Бакалавр.) (п)</t>
  </si>
  <si>
    <t>БЕСШОВНЫЕ МОСТЫ, ИЗД.1</t>
  </si>
  <si>
    <t>Дробышевский Б. А.</t>
  </si>
  <si>
    <t>978-5-369-01294-9</t>
  </si>
  <si>
    <t>08.03.01, 08.04.01, 23.05.06</t>
  </si>
  <si>
    <t>Рекомендовано УМС Государственной академии повышения квалификации и переподготовки кадров для строительства и жилищно-коммунального комплекса для студентов вузов и специалистов транспортного строительства</t>
  </si>
  <si>
    <t>Центральный научно-исследовательский институт экономики, информатики и систем управления</t>
  </si>
  <si>
    <t>887728.01.01</t>
  </si>
  <si>
    <t>Библиомастерство: профессиональное развитие в библиотечной сфере: уч.пос. / Е.Н.Касянчук и др.-М.:НИЦ ИНФРА-М, СФУ,2027.-169 с..-(ВО)(п)</t>
  </si>
  <si>
    <t>БИБЛИОМАСТЕРСТВО: ПРОФЕССИОНАЛЬНОЕ РАЗВИТИЕ В БИБЛИОТЕЧНОЙ СФЕРЕ, ИЗД.1</t>
  </si>
  <si>
    <t>Касянчук Е.Н., Цветочкина И.А., Кузнецова Ю.Ю.</t>
  </si>
  <si>
    <t>978-5-16-022502-9</t>
  </si>
  <si>
    <t>51.03.06</t>
  </si>
  <si>
    <t>289700.19.01</t>
  </si>
  <si>
    <t>Библиотековедение. История библиотек..: Уч.пос. / Л.И.Алешин - М., НИЦ ИНФРА-М,2026. - 239 с.(ВО)(О)</t>
  </si>
  <si>
    <t>БИБЛИОТЕКОВЕДЕНИЕ. ИСТОРИЯ БИБЛИОТЕК И ИХ СОВРЕМЕННОЕ СОСТОЯНИЕ, ИЗД.1</t>
  </si>
  <si>
    <t>Алешин Л. И.</t>
  </si>
  <si>
    <t>978-5-16-021625-6</t>
  </si>
  <si>
    <t>Рекомендовано в качестве учебного пособия для студентов высших учебных заведений, обучающихся по направлению подготовки 51.03.06 «Библиотечно-информационная деятельность» (квалификация (степень) «бакалавр»)</t>
  </si>
  <si>
    <t>Московский государственный институт культуры</t>
  </si>
  <si>
    <t>887733.01.01</t>
  </si>
  <si>
    <t>Библиотечно-информационная деятельность: уч.пос. / Е.Н.Касянчук-М.:НИЦ ИНФРА-М, СФУ,2027.-164 с.-(ВО)(п)</t>
  </si>
  <si>
    <t>БИБЛИОТЕЧНО-ИНФОРМАЦИОННАЯ ДЕЯТЕЛЬНОСТЬ, ИЗД.1</t>
  </si>
  <si>
    <t>Касянчук Е.Н., Цветочкина И.А.</t>
  </si>
  <si>
    <t>978-5-16-022504-3</t>
  </si>
  <si>
    <t>452200.17.01</t>
  </si>
  <si>
    <t>Библиотечный фонд: Сл.-справ. / Под ред. Столярова Ю.Н. - М.:НИЦ ИНФРА-М,2027 - 160 с.(П)</t>
  </si>
  <si>
    <t>БИБЛИОТЕЧНЫЙ ФОНД, ИЗД.1</t>
  </si>
  <si>
    <t>Ратникова Е.И., Стародубова Н.З., Толчинская Л.М. и др.</t>
  </si>
  <si>
    <t>Библиотека малых словарей "Инфра-М"</t>
  </si>
  <si>
    <t>978-5-16-011455-2</t>
  </si>
  <si>
    <t>Словарь-справочник</t>
  </si>
  <si>
    <t>РГБ ФГБУ</t>
  </si>
  <si>
    <t>185450.03.01</t>
  </si>
  <si>
    <t>Бизнес в Русской Америке: история и современность: Моногр. /О.В.Воробьева -М.:НИЦ ИНФРА-М,2019-143с.</t>
  </si>
  <si>
    <t>БИЗНЕС В РУССКОЙ АМЕРИКЕ: ИСТОРИЯ И СОВРЕМЕННОСТЬ, ИЗД.1</t>
  </si>
  <si>
    <t>Воробьева О. В.</t>
  </si>
  <si>
    <t>978-5-16-005614-2</t>
  </si>
  <si>
    <t>46.03.01, 46.04.01</t>
  </si>
  <si>
    <t>Российский государственный университет туризма и сервиса</t>
  </si>
  <si>
    <t>638007.11.01</t>
  </si>
  <si>
    <t>Бизнес по правилам: регламенты должны работать: Практ.пос. / В.В.Репин - М.:НИЦ ИНФРА-М,2026 - 347 с.(П)</t>
  </si>
  <si>
    <t>БИЗНЕС ПО ПРАВИЛАМ: РЕГЛАМЕНТЫ ДОЛЖНЫ РАБОТАТЬ, ИЗД.1</t>
  </si>
  <si>
    <t>Репин В.В.</t>
  </si>
  <si>
    <t>978-5-16-012221-2</t>
  </si>
  <si>
    <t>38.02.01, 38.03.01, 38.03.02, 38.04.02, 43.02.16, 44.03.01</t>
  </si>
  <si>
    <t>754705.05.01</t>
  </si>
  <si>
    <t>Бизнес-анализ и упр. рисками: Уч. / Н.А.Казакова - М.:НИЦ ИНФРА-М,2026 - 336 с.(ВО(РЭУ))(П)</t>
  </si>
  <si>
    <t>БИЗНЕС-АНАЛИЗ И УПРАВЛЕНИЕ РИСКАМИ, ИЗД.1</t>
  </si>
  <si>
    <t>Казакова Н.А., Иванова А.Н.</t>
  </si>
  <si>
    <t>978-5-16-022284-4</t>
  </si>
  <si>
    <t>38.03.01, 38.04.01, 38.04.02, 38.05.01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</si>
  <si>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38.04.02 «Менеджмент», 38.04.08 «Финансы и кредит» (квалификация (степень) «магистр») (протокол № 1 от 12.01.2022)</t>
  </si>
  <si>
    <t>АКАДЕМУС-2021, Победитель, III место</t>
  </si>
  <si>
    <t>704206.05.01</t>
  </si>
  <si>
    <t>Бизнес-анализ: Уч. / Ю.Г.Чернышева - М.:НИЦ ИНФРА-М,2025. - 648 с.(ВО)(п)</t>
  </si>
  <si>
    <t>БИЗНЕС-АНАЛИЗ, ИЗД.1</t>
  </si>
  <si>
    <t>978-5-16-019839-2</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</si>
  <si>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38.03.01 «Экономика», 38.03.02 «Менеджмент»</t>
  </si>
  <si>
    <t>415300.14.01</t>
  </si>
  <si>
    <t>Бизнес-аналитика средствами Excel: Уч.пос. / Я.Л.Гобарева - 3 изд. - М.:НИЦ ИНФРА-М,2026 - 350 с.(П)</t>
  </si>
  <si>
    <t>БИЗНЕС-АНАЛИТИКА СРЕДСТВАМИ EXCEL, ИЗД.3</t>
  </si>
  <si>
    <t>Гобарева Я.Л., Городецкая О.Ю., Золотарюк А.В.</t>
  </si>
  <si>
    <t>978-5-16-021968-4</t>
  </si>
  <si>
    <t>38.03.01, 38.03.02, 44.03.01</t>
  </si>
  <si>
    <t>Рекомендовано в качестве учебного пособия для студентов, обучающихся по направлению подготовки 38.03.01 «Экономика» (квалификация (степень) «бакалавр»)</t>
  </si>
  <si>
    <t>415300.05.01</t>
  </si>
  <si>
    <t>Бизнес-аналитика средствами Excel: Уч.пос. / Я.Л.Гобарева- 2изд., -М.:Вуз.уч., НИЦ ИНФРА-М,2017-336с</t>
  </si>
  <si>
    <t>БИЗНЕС-АНАЛИТИКА СРЕДСТВАМИ EXCEL, ИЗД.2</t>
  </si>
  <si>
    <t>Финансовый университет при Правительстве РФ</t>
  </si>
  <si>
    <t>978-5-9558-0390-6</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</si>
  <si>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(квалификация (степень) — «бакалавр»)</t>
  </si>
  <si>
    <t>188350.09.01</t>
  </si>
  <si>
    <t>Бизнес-диалог/Business dialogue and ...: Reference book / Е.А. Спинова - М.: НИЦ Инфра-М, 2026 -72 с.(о)</t>
  </si>
  <si>
    <t>БИЗНЕС-ДИАЛОГ/BUSINESS DIALOGUE AND NEGOTIATION PHRASES, ИЗД.1</t>
  </si>
  <si>
    <t>Спинова Е.А.</t>
  </si>
  <si>
    <t>978-5-9776-0239-6</t>
  </si>
  <si>
    <t>41.03.05, 41.04.05, 45.03.02, 45.04.02, 45.05.01</t>
  </si>
  <si>
    <t>Всероссийская академия внешней торговли Министерства экономического развития Российской Федерации</t>
  </si>
  <si>
    <t>354400.08.01</t>
  </si>
  <si>
    <t>Бизнес-задачи, решения и расчеты в управ. учете: Уч.пос. / В.Б.Ивашкевич - М.:Магистр, НИЦ ИНФРА-М,2027 - 160 с.(О)</t>
  </si>
  <si>
    <t>БИЗНЕС-ЗАДАЧИ, РЕШЕНИЯ И РАСЧЕТЫ В УПРАВЛЕНЧЕСКОМ УЧЕТЕ, ИЗД.1</t>
  </si>
  <si>
    <t>Ивашкевич В.Б.</t>
  </si>
  <si>
    <t>978-5-9776-0365-2</t>
  </si>
  <si>
    <t>38.02.01, 38.02.03, 38.02.07, 38.02.08, 38.03.01, 38.03.02, 38.03.03, 38.04.01, 38.04.02, 38.04.03, 38.04.08, 40.02.04</t>
  </si>
  <si>
    <t>459550.07.01</t>
  </si>
  <si>
    <t>Бизнес-инкубаторы и предпринимат.: Моногр. / В.Л.Горбунов - М.:ИЦ РИОР, НИЦ ИНФРА-М,2025. - 215 с.(О)</t>
  </si>
  <si>
    <t>БИЗНЕС-ИНКУБАТОРЫ И ПРЕДПРИНИМАТЕЛЬСТВО, ИЗД.1</t>
  </si>
  <si>
    <t>Горбунов В.Л.</t>
  </si>
  <si>
    <t>Наука и практика</t>
  </si>
  <si>
    <t>978-5-369-01316-8</t>
  </si>
  <si>
    <t>872980.01.01</t>
  </si>
  <si>
    <t>Бизнес-климат и механизмы стимулирования деятельности субъектов малого и среднего предпринимательства стран БРИКС: монография / С.А.Тронин и др.-М.:НИ</t>
  </si>
  <si>
    <t>БИЗНЕС-КЛИМАТ И МЕХАНИЗМЫ СТИМУЛИРОВАНИЯ ДЕЯТЕЛЬНОСТИ СУБЪЕКТОВ МАЛОГО И СРЕДНЕГО ПРЕДПРИНИМАТЕЛЬСТВА СТРАН БРИКС, ИЗД.1</t>
  </si>
  <si>
    <t>Тронин С.А., Кучковская Н.В., Урасова Н.Г. и др.</t>
  </si>
  <si>
    <t>978-5-16-022235-6</t>
  </si>
  <si>
    <t>Август, 2026</t>
  </si>
  <si>
    <t>818410.01.01</t>
  </si>
  <si>
    <t>Бизнес-команда: технологии формир. и управ.: Уч.пос. / Т.Ю.Калошина - М.:НИЦ ИНФРА-М,2025. - 200 с.(ВО)(п)</t>
  </si>
  <si>
    <t>БИЗНЕС-КОМАНДА: ТЕХНОЛОГИИ ФОРМИРОВАНИЯ И УПРАВЛЕНИЯ, ИЗД.1</t>
  </si>
  <si>
    <t>Калошина Т.Ю., Борисова А.А., Спиридонова Е.В. и др.</t>
  </si>
  <si>
    <t>978-5-16-019805-7</t>
  </si>
  <si>
    <t>38.03.01, 38.03.03</t>
  </si>
  <si>
    <t>Новосибирский государственный технический университет</t>
  </si>
  <si>
    <t>645381.09.01</t>
  </si>
  <si>
    <t>Бизнес-коммуникации в сервисе: документац...: Уч.пос. / О.Я.Гойхман - М.:НИЦ ИНФРА-М,2025 - 229 с.(ВО)(П)</t>
  </si>
  <si>
    <t>БИЗНЕС-КОММУНИКАЦИИ В СЕРВИСЕ: ДОКУМЕНТАЦИОННЫЕ, РЕЧЕВЫЕ, ИМИДЖЕВЫЕ И РЕКЛАМНЫЕ ТЕХНОЛОГИИ, ИЗД.1</t>
  </si>
  <si>
    <t>Гойхман О.Я., Гончарова Л.М., Кошлякова М.О. и др.</t>
  </si>
  <si>
    <t>978-5-16-020687-5</t>
  </si>
  <si>
    <t>38.02.01, 42.03.01, 43.03.01</t>
  </si>
  <si>
    <t>Рекомендовано в качестве учебного пособия для студентов высших учебных заведений, обучающихся по направлениям подготовки  42.03.01 «Реклама и связи с общественностью», 43.03.01 «Сервис» (квалификация (степень) «бакалавр»)</t>
  </si>
  <si>
    <t>Российский новый университет</t>
  </si>
  <si>
    <t>682730.07.01</t>
  </si>
  <si>
    <t>Бизнес-модели в управ. устойчивым развитием предпр.: Уч. / А.Д.Бобрышев - М.:НИЦ ИНФРА-М,2026 - 289 с.(П)</t>
  </si>
  <si>
    <t>БИЗНЕС-МОДЕЛИ В УПРАВЛЕНИИ УСТОЙЧИВЫМ РАЗВИТИЕМ ПРЕДПРИЯТИЙ, ИЗД.1</t>
  </si>
  <si>
    <t>Бобрышев А.Д., Тумин В.М., Тарабрин К.М. и др.</t>
  </si>
  <si>
    <t>978-5-16-014167-1</t>
  </si>
  <si>
    <t>27.03.02, 27.03.03, 27.03.05, 38.03.01, 38.03.02, 38.03.03, 38.03.04, 38.03.06, 38.03.07, 38.03.10</t>
  </si>
  <si>
    <t>Рекомендовано Учебно-методическим советом ВО в качестве учебника для студентов высших учебных заведений, обучающихся по укрупненным группам специальностей 27.00.00 «Управление в технических системах», 38.00.00 «Экономика и управление»</t>
  </si>
  <si>
    <t>Всероссийский научно-исследовательский институт "Центр"</t>
  </si>
  <si>
    <t>050080.18.01</t>
  </si>
  <si>
    <t>Бизнес-план фирмы.Теория и практика: Уч.пос. / В.П.Буров. - М.:НИЦ ИНФРА-М,2027. - 192 с.(ВО)(п)</t>
  </si>
  <si>
    <t>БИЗНЕС-ПЛАН ФИРМЫ.ТЕОРИЯ И ПРАКТИКА, ИЗД.1</t>
  </si>
  <si>
    <t>Буров В. П., Ломакин А. Л., Морошкин В. А.</t>
  </si>
  <si>
    <t>978-5-16-018750-1</t>
  </si>
  <si>
    <t>Рекомендовано УМО по образованию в области экономики и экономической теории в качестве учебного пособия для студентов обучающихся по направлению 521600 "Экономика" и экономическим специальностям</t>
  </si>
  <si>
    <t>444550.10.01</t>
  </si>
  <si>
    <t>Бизнес-планир. с оценкой рисков..: Науч.-практ. пос. / В.Л.Горбунов - 4 изд. - М.:ИЦ РИОР, НИЦ ИНФРА-М,2027 - 290 с.(О)</t>
  </si>
  <si>
    <t>БИЗНЕС-ПЛАНИРОВАНИЕ С ОЦЕНКОЙ РИСКОВ И ЭФФЕКТИВНОСТИ ПРОЕКТОВ, ИЗД.4</t>
  </si>
  <si>
    <t>978-5-369-01971-9</t>
  </si>
  <si>
    <t>38.03.01, 38.03.02, 38.03.05, 38.04.02, 38.04.05, 41.03.06</t>
  </si>
  <si>
    <t>081850.12.01</t>
  </si>
  <si>
    <t>Бизнес-планир.: прак. по использовани с исп. Project..: Уч.пос. / В.С.Алиев - 3 изд. - ИНФРА-М,2027 - 287 с.(ВО)(П)</t>
  </si>
  <si>
    <t>БИЗНЕС-ПЛАНИРОВАНИЕ: ПРАКТИКУМ С ИСПОЛЬЗОВАНИЕМ ПРОГРАММЫ PROJECT EXPERT, ИЗД.3</t>
  </si>
  <si>
    <t>Алиев В.С.</t>
  </si>
  <si>
    <t>978-5-16-016877-7</t>
  </si>
  <si>
    <t>38.03.01, 38.03.02, 41.03.06, 44.03.01</t>
  </si>
  <si>
    <t>Допущено УМО по образованию в области финансов, учета и мировой экономики в качестве учебного пособия для студентов, обучающихся по направлению подготовки «Экономика и управление»</t>
  </si>
  <si>
    <t>140500.10.01</t>
  </si>
  <si>
    <t>Бизнес-планирование с исп. прогр. Project Expert: Уч.пос. / В.С.Алиев - 2 изд. - М.:НИЦ ИНФРА-М,2025 - 382 с.(П)</t>
  </si>
  <si>
    <t>БИЗНЕС-ПЛАНИРОВАНИЕ С ИСПОЛЬЗОВАНИЕМ ПРОГРАММЫ PROJECT EXPERT (ПОЛНЫЙ КУРС), ИЗД.2</t>
  </si>
  <si>
    <t>Алиев В.С., Чистов Д.В.</t>
  </si>
  <si>
    <t>978-5-16-020731-5</t>
  </si>
  <si>
    <t>38.03.01, 38.03.02, 38.03.05, 38.03.06, 38.04.01, 38.04.02, 38.04.05, 38.04.06, 38.04.08, 44.03.01</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</si>
  <si>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направлениям подготовки «Финансы и кредит», «Бухгалтерский учет, анализ и аудит», «Налоги и налогообложение»</t>
  </si>
  <si>
    <t>140500.07.01</t>
  </si>
  <si>
    <t>Бизнес-планирование с исп. прогр.Project Expert: Уч.пос. /В.С.Алиев-М.:НИЦ ИНФРА-М,2019-352с.(ВО)</t>
  </si>
  <si>
    <t>БИЗНЕС-ПЛАНИРОВАНИЕ С ИСПОЛЬЗОВАНИЕМ ПРОГРАММЫ PROJECT EXPERT (ПОЛНЫЙ КУРС), ИЗД.1</t>
  </si>
  <si>
    <t>Алиев В. С., Чистов Д. В.</t>
  </si>
  <si>
    <t>978-5-16-006431-4</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</si>
  <si>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 «Налоги и налогообложение»</t>
  </si>
  <si>
    <t>444550.08.01</t>
  </si>
  <si>
    <t>Бизнес-планирование с оценкой рисков..: Науч.-практ. пос. / В.Л.Горбунов - 3 изд.-М.:ИЦ РИОР, НИЦ ИНФРА-М,2024-288с.(О)</t>
  </si>
  <si>
    <t>БИЗНЕС-ПЛАНИРОВАНИЕ С ОЦЕНКОЙ РИСКОВ И ЭФФЕКТИВНОСТИ ПРОЕКТОВ, ИЗД.3</t>
  </si>
  <si>
    <t>978-5-369-01894-1</t>
  </si>
  <si>
    <t>444550.06.01</t>
  </si>
  <si>
    <t>Бизнес-планирование с оценкой рисков..: Науч.-практ. пос./ В.Л.Горбунов,-2 изд.-М.:ИЦ РИОР, НИЦ ИНФРА-М,2021-287с.(О)</t>
  </si>
  <si>
    <t>БИЗНЕС-ПЛАНИРОВАНИЕ С ОЦЕНКОЙ РИСКОВ И ЭФФЕКТИВНОСТИ ПРОЕКТОВ, ИЗД.2</t>
  </si>
  <si>
    <t>978-5-369-00611-5</t>
  </si>
  <si>
    <t>839083.02.01</t>
  </si>
  <si>
    <t>Бизнес-планирование: прак. по использовани с исп. Project..: Уч.пос. / В.С.Алиев - 3 изд. - ИНФРА-М,2027 - 287 с.(СПО)(п)</t>
  </si>
  <si>
    <t>978-5-16-020241-9</t>
  </si>
  <si>
    <t>19.02.13, 38.02.01, 43.02.16</t>
  </si>
  <si>
    <t>682838.06.01</t>
  </si>
  <si>
    <t>Бизнес-планирование: Уч. / Под ред. Попадюк Т.Г. - М.:Вуз. уч., НИЦ ИНФРА-М,2025 - 296 с.(СПО)(П)</t>
  </si>
  <si>
    <t>БИЗНЕС-ПЛАНИРОВАНИЕ, ИЗД.1</t>
  </si>
  <si>
    <t>Горфинкель В.Я., Захаров П.Н. и др.</t>
  </si>
  <si>
    <t>978-5-9558-0617-4</t>
  </si>
  <si>
    <t>08.01.27, 08.01.28, 38.02.01, 38.02.02, 38.02.03, 38.02.06, 38.02.07, 38.02.08</t>
  </si>
  <si>
    <t>Рекомендовано Учебно-методическим советом СПО в качестве учебника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38.02.04 «Коммерция (по отраслям)», 38.02.06 «Финансы»</t>
  </si>
  <si>
    <t>405700.17.01</t>
  </si>
  <si>
    <t>Бизнес-планирование: Уч. / Под ред. Попадюк Т.Г. - М.:Вуз.уч., НИЦ ИНФРА-М,2025 - 296 с.(П)</t>
  </si>
  <si>
    <t>Бобков Л.В., Горфинкель В.Я., Захаров П.Н. и др.</t>
  </si>
  <si>
    <t>978-5-9558-0270-1</t>
  </si>
  <si>
    <t>682839.08.01</t>
  </si>
  <si>
    <t>Бизнес-планирование: Уч.пос. / А.С.Волков - М.:ИЦ РИОР, НИЦ ИНФРА-М,2026. - 81 с.(СПО)(о)</t>
  </si>
  <si>
    <t>Волков А.С., Марченко А.А.</t>
  </si>
  <si>
    <t>978-5-369-01764-7</t>
  </si>
  <si>
    <t>067970.11.01</t>
  </si>
  <si>
    <t>Бизнес-планирование: Уч.пос. / А.С.Волков - М.:ИЦ РИОР,НИЦ ИНФРА-М,2026 - 81с.(ВО:Бакалавр.)(о)</t>
  </si>
  <si>
    <t>Волков А. С., Марченко А. А.</t>
  </si>
  <si>
    <t>ВО: Бакалавриат</t>
  </si>
  <si>
    <t>978-5-369-00732-7</t>
  </si>
  <si>
    <t>38.03.01, 38.03.02, 38.03.05, 38.03.06, 38.04.01, 38.04.02, 38.04.05, 44.03.01</t>
  </si>
  <si>
    <t>0105</t>
  </si>
  <si>
    <t>041940.21.01</t>
  </si>
  <si>
    <t>Бизнес-планирование: Уч.пос. / В.А.Баринов - 4 изд. - М.: НИЦ ИНФРА-М,2026 - 272 с.(СПО)(О)</t>
  </si>
  <si>
    <t>БИЗНЕС-ПЛАНИРОВАНИЕ, ИЗД.4</t>
  </si>
  <si>
    <t>Баринов В. А.</t>
  </si>
  <si>
    <t>978-5-16-022028-4</t>
  </si>
  <si>
    <t>08.01.27, 08.01.28, 26.02.02, 38.02.01, 38.02.03, 38.02.06, 38.02.07, 38.02.08</t>
  </si>
  <si>
    <t>Допущено Мин. обр. и науки РФ в качестве учебного пособия для студентов учреждений среднего профессионального образования</t>
  </si>
  <si>
    <t>079570.13.01</t>
  </si>
  <si>
    <t>Бизнес-планирование: Уч.пос. / В.А.Морошкин - 2 изд. - М.:НИЦ ИНФРА-М,2026 - 288 с. (СПО)(П)</t>
  </si>
  <si>
    <t>БИЗНЕС-ПЛАНИРОВАНИЕ, ИЗД.2</t>
  </si>
  <si>
    <t>Морошкин В. А., Буров В. П.</t>
  </si>
  <si>
    <t>978-5-16-012223-6</t>
  </si>
  <si>
    <t>Допущено Министерством образования и науки Российской Федерации в качестве учебного пособия для студентов образовательных учреждений среднего профессионального образования</t>
  </si>
  <si>
    <t>079590.18.01</t>
  </si>
  <si>
    <t>Бизнес-планирование: Уч.пос. / М.В.Романова - М.:НИЦ ИНФРА-М,2026. - 240 с.(СПО)(п)</t>
  </si>
  <si>
    <t>Романова М.В.</t>
  </si>
  <si>
    <t>978-5-16-021834-2</t>
  </si>
  <si>
    <t>Допущено Министерством образования РФ в качестве учебного пособия для студентов образовательных учреждений среднего профессионального образования, обучающихся по группе специальностей 0600 "Экономика и управление"</t>
  </si>
  <si>
    <t>688907.05.01</t>
  </si>
  <si>
    <t>Бизнес-процессы матер.-технич. обеспеч. ж/д трансп.: Моногр. / А.В.Цевелев - М.:НИЦ ИНФРА-М,2024-246с(О)</t>
  </si>
  <si>
    <t>БИЗНЕС-ПРОЦЕССЫ МАТЕРИАЛЬНО-ТЕХНИЧЕСКОГО ОБЕСПЕЧЕНИЯ ЖЕЛЕЗНОДОРОЖНОГО ТРАНСПОРТА, ИЗД.1</t>
  </si>
  <si>
    <t>Цевелев А.В.</t>
  </si>
  <si>
    <t>978-5-16-015401-5</t>
  </si>
  <si>
    <t>23.05.04, 23.06.01, 38.04.01, 38.04.02, 38.06.01</t>
  </si>
  <si>
    <t>Сибирский государственный университет путей сообщения</t>
  </si>
  <si>
    <t>056100.23.01</t>
  </si>
  <si>
    <t>Бизнес-процессы: Регламентация и управление: Уч./ В.Г.Елиферов - М.:НИЦ ИНФРА-М,2026 - 319 с.(П)</t>
  </si>
  <si>
    <t>БИЗНЕС-ПРОЦЕССЫ: РЕГЛАМЕНТАЦИЯ И УПРАВЛЕНИЕ, ИЗД.1</t>
  </si>
  <si>
    <t>Елиферов В. Г., Репин В. В.</t>
  </si>
  <si>
    <t>978-5-16-001825-6</t>
  </si>
  <si>
    <t>27.04.07, 38.02.01, 38.03.01, 38.03.02, 38.03.06, 41.03.06, 43.02.16, 44.03.01</t>
  </si>
  <si>
    <t>Допущено Министерством образования Российской Федерации в качестве учебника для слушателей образовательных учреждений, обучающихся по программе МВА и другим программам подготовки управленческих кадров</t>
  </si>
  <si>
    <t>645369.03.01</t>
  </si>
  <si>
    <t>Бизнес-этика: Уч. / В.А.Канке - М.:НИЦ ИНФРА-М,2023 - 236 с.-(ВО)(п)</t>
  </si>
  <si>
    <t>БИЗНЕС-ЭТИКА, ИЗД.1</t>
  </si>
  <si>
    <t>Канке В.А.</t>
  </si>
  <si>
    <t>978-5-16-018571-2</t>
  </si>
  <si>
    <t>38.03.01, 38.03.02, 38.03.03, 38.03.04, 38.03.05, 38.03.06, 38.03.07, 38.03.10, 38.04.01, 38.04.02, 38.04.03, 38.04.04, 38.04.05, 38.04.06, 38.04.07, 38.04.08, 38.04.09, 38.05.01, 38.05.02</t>
  </si>
  <si>
    <t>Рекомендовано Межрегиональным учебно-методическим советом профессионального образования в качестве учебника для высших учебных заведений, реализующих основную образовательную программу высшего образования (квалификация (степень) «бакалавр») (протокол № 11 от 09.11.2020)</t>
  </si>
  <si>
    <t>700948.04.01</t>
  </si>
  <si>
    <t>Биогеография: Уч.пос. / А.Я.Григорьевская - 2 изд. - М.:НИЦ ИНФРА-М,2023 - 200 с.(ВО: Бакалавр.)(П)</t>
  </si>
  <si>
    <t>БИОГЕОГРАФИЯ, ИЗД.2</t>
  </si>
  <si>
    <t>Григорьевская А.Я.</t>
  </si>
  <si>
    <t>978-5-16-014828-1</t>
  </si>
  <si>
    <t>05.03.02, 05.03.03, 05.03.04, 05.03.06, 44.03.05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</si>
  <si>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05.03.02 «География», 05.03.06 «Экология и природопользование», 06.03.01 «Биология» (квалификация (степень) «бакалавр»)</t>
  </si>
  <si>
    <t>331500.05.01</t>
  </si>
  <si>
    <t>Биогеохимия радионуклидов: Уч. / С.П.Торшин - М.:НИЦ ИНФРА-М,2023 - 320 с.-(ВО: Бакалавр.)(П))</t>
  </si>
  <si>
    <t>БИОГЕОХИМИЯ РАДИОНУКЛИДОВ, ИЗД.1</t>
  </si>
  <si>
    <t>Торшин С.П., Смолина Г.А.</t>
  </si>
  <si>
    <t>978-5-16-010625-0</t>
  </si>
  <si>
    <t>04.03.02, 35.03.03, 35.04.03</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</si>
  <si>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35.03.03 «Агрохимия и агропочвоведение»</t>
  </si>
  <si>
    <t>681880.09.01</t>
  </si>
  <si>
    <t>Биоиндикация состояния окружающей среды: Моногр. / В.С.Груздев - М.:НИЦ ИНФРА-М,2026 - 160 с(Науч.мысль)(О)</t>
  </si>
  <si>
    <t>БИОИНДИКАЦИЯ СОСТОЯНИЯ ОКРУЖАЮЩЕЙ СРЕДЫ, ИЗД.1</t>
  </si>
  <si>
    <t>Груздев В.С.</t>
  </si>
  <si>
    <t>978-5-16-013797-1</t>
  </si>
  <si>
    <t>05.03.06, 06.03.01, 06.04.01, 20.04.02</t>
  </si>
  <si>
    <t>806237.01.01</t>
  </si>
  <si>
    <t>Биоинтерфейс. Конформная наноэнергетика: Моногр. / С.Ю.Ильин-М.:НИЦ ИНФРА-М,2023.-398 с.(Науч.мысль)(п)</t>
  </si>
  <si>
    <t>БИОИНТЕРФЕЙС. КОНФОРМНАЯ НАНОЭНЕРГЕТИКА, ИЗД.1</t>
  </si>
  <si>
    <t>Ильин С.Ю., Лучинин В.В.</t>
  </si>
  <si>
    <t>978-5-16-018718-1</t>
  </si>
  <si>
    <t>28.04.01, 28.06.01</t>
  </si>
  <si>
    <t>Санкт-петербургский государственный электротехнический университет "ЛЭТИ" им. В.И. Ульянова (Ленина)</t>
  </si>
  <si>
    <t>785884.03.01</t>
  </si>
  <si>
    <t>Биоконверсия вторич. сырья и отходов агропромыш...: Уч.пос. / О.Д.Сидоренко - М.:НИЦ ИНФРА-М,2026. - 171 с.(п)</t>
  </si>
  <si>
    <t>БИОКОНВЕРСИЯ ВТОРИЧНОГО СЫРЬЯ И ОТХОДОВ АГРОПРОМЫШЛЕННОГО КОМПЛЕКСА, ИЗД.1</t>
  </si>
  <si>
    <t>Сидоренко О.Д.</t>
  </si>
  <si>
    <t>978-5-16-017906-3</t>
  </si>
  <si>
    <t>19.01.01, 19.02.14, 19.02.15, 35.02.05</t>
  </si>
  <si>
    <t>356400.05.01</t>
  </si>
  <si>
    <t>Биоконверсия вторичных продуктов агропромышл. компл.: Уч. / О.Д.Сидоренко-М.:НИЦ ИНФРА-М,2023.-296 с.(П)</t>
  </si>
  <si>
    <t>БИОКОНВЕРСИЯ ВТОРИЧНЫХ ПРОДУКТОВ АГРОПРОМЫШЛЕННОГО КОМПЛЕКСА, ИЗД.1</t>
  </si>
  <si>
    <t>978-5-16-010917-6</t>
  </si>
  <si>
    <t>06.03.01, 19.03.01, 35.03.04, 44.03.05</t>
  </si>
  <si>
    <t>Допущено Министерством образования и науки Российской Федерации в качестве учебника для студентов высших учебных заведений, обучающихся по направлению подготовки 06.03.01 «Биология» и специальностям агрономического (35.03.04) и биотехнологического (19.00.00) образования</t>
  </si>
  <si>
    <t>441450.09.01</t>
  </si>
  <si>
    <t>Биоконверсия отходов агропромышл. компл.: Уч.пос. / О.Д.Сидоренко. - М.:НИЦ ИНФРА-М,2027 - 160 с.(ВО) (п)</t>
  </si>
  <si>
    <t>БИОКОНВЕРСИЯ ОТХОДОВ АГРОПРОМЫШЛЕННОГО КОМПЛЕКСА, ИЗД.1</t>
  </si>
  <si>
    <t>Сидоренко О. Д., Кутровский В. Н.</t>
  </si>
  <si>
    <t>978-5-16-005712-5</t>
  </si>
  <si>
    <t>35.03.03, 35.03.06, 35.03.07</t>
  </si>
  <si>
    <t>Допущено Учебно-методическим объединением вузов Российской Федерации по агрономическому образованию в качестве учебного пособия студентов, обучающихся по направлению 110900 «Технология производства и переработка сельскохозяйственной продукции». (квал</t>
  </si>
  <si>
    <t>675204.06.01</t>
  </si>
  <si>
    <t>Биологическая очистка сточных вод: Уч.пос. / Б.С.Ксенофонтов - М.:НИЦ ИНФРА-М,2026 - 255 с.-(ВО)(п)</t>
  </si>
  <si>
    <t>БИОЛОГИЧЕСКАЯ ОЧИСТКА СТОЧНЫХ ВОД, ИЗД.1</t>
  </si>
  <si>
    <t>Ксенофонтов Б.С.</t>
  </si>
  <si>
    <t>978-5-16-019032-7</t>
  </si>
  <si>
    <t>20.03.01, 20.03.02, 20.04.01, 20.04.02, 20.06.01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</si>
  <si>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20.00.00 «Техносферная безопасность и природообустройство» (квалификация (степень) «бакалавр») (протокол № 8 от 22.06.2020)</t>
  </si>
  <si>
    <t>671271.04.01</t>
  </si>
  <si>
    <t>Биологические и социальные эффекты адаптации к ..: Моногр. / О.Н.Малах - М.:НИЦ ИНФРА-М,2027-200с(О)</t>
  </si>
  <si>
    <t>БИОЛОГИЧЕСКИЕ И СОЦИАЛЬНЫЕ ЭФФЕКТЫ АДАПТАЦИИ К ГИПОБАРИЧЕСКОЙ ГИПОКСИИ, ИЗД.1</t>
  </si>
  <si>
    <t>Малах О.Н., Крестьянинова Т.Ю.</t>
  </si>
  <si>
    <t>978-5-16-013756-8</t>
  </si>
  <si>
    <t>633924.10.01</t>
  </si>
  <si>
    <t>Биологические методы контроля продукции живот. происх.: Уч. / О.Д.Сидоренко - М.:НИЦ ИНФРА-М,2027 - 164 с.(О)</t>
  </si>
  <si>
    <t>БИОЛОГИЧЕСКИЕ МЕТОДЫ КОНТРОЛЯ ПРОДУКЦИИ ЖИВОТНОГО ПРОИСХОЖДЕНИЯ, ИЗД.1</t>
  </si>
  <si>
    <t>978-5-16-012085-0</t>
  </si>
  <si>
    <t>19.03.03, 19.03.04, 19.04.03, 19.04.04, 35.03.07, 36.03.01</t>
  </si>
  <si>
    <t>Рекомендовано в качестве учебника для студентов высших учебных заведений, обучающихся по направлениям подготовки 19.03.03 «Продукты питания животного происхождения», 35.03.07 «Технология производства и переработки сельскохозяйственной продукции» (квалификация (степень) «бакалавр»)</t>
  </si>
  <si>
    <t>757940.02.01</t>
  </si>
  <si>
    <t>Биологические методы контроля продукции живот. происхож.: Уч. / О.Д.Сидоренко - М.:НИЦ ИНФРА-М,2027. - 164 с.(П)</t>
  </si>
  <si>
    <t>978-5-16-016943-9</t>
  </si>
  <si>
    <t>19.02.10, 19.02.11, 19.02.12, 36.02.01, 36.02.03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</si>
  <si>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19.02.01 «Биохимическое производство», 19.02.10 «Технология продукции общественного питания», 19.02.07 «Технология молока и молочных продуктов», 19.02.08 «Технология мяса и мясных продуктов», 35.02.06 «Технология производства и переработки сельскохозяйственной продукции» (протокол № 11 от 09.11.2020)</t>
  </si>
  <si>
    <t>277900.07.01</t>
  </si>
  <si>
    <t>Биологические ресурсы Камчатки и их рац. исп. /А.Н.Сметанин - М.:НИЦ ИНФРА-М,2026 - 256 с.(п)</t>
  </si>
  <si>
    <t>БИОЛОГИЧЕСКИЕ РЕСУРСЫ КАМЧАТКИ И ИХ РАЦИОНАЛЬНОЕ  ИСПОЛЬЗОВАНИЕ, ИЗД.1</t>
  </si>
  <si>
    <t>Сметанин А. Н.</t>
  </si>
  <si>
    <t>978-5-16-009802-9</t>
  </si>
  <si>
    <t>05.04.06, 06.04.01</t>
  </si>
  <si>
    <t>738655.01.01</t>
  </si>
  <si>
    <t>Биологические сис. в переработке вторичных продуктов и отходов АПК / О.Д.Сидоренко-М.:НИЦ ИНФРА-М,2021.-207 с.(П)</t>
  </si>
  <si>
    <t>БИОЛОГИЧЕСКИЕ СИСТЕМЫ В ПЕРЕРАБОТКЕ ВТОРИЧНЫХ ПРОДУКТОВ И ОТХОДОВ АПК, ИЗД.1</t>
  </si>
  <si>
    <t>978-5-16-016346-8</t>
  </si>
  <si>
    <t>19.03.02, 36.03.02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</si>
  <si>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технологическим направлениям подготовки (квалификация (степень) «бакалавр») (протокол № 11 от 09.11.2020)</t>
  </si>
  <si>
    <t>749468.06.01</t>
  </si>
  <si>
    <t>Биологические эффекты электромагнитных полей: Моногр. / Е.К.Еськов - М.:НИЦ ИНФРА-М,2027. - 284 с.(О)</t>
  </si>
  <si>
    <t>БИОЛОГИЧЕСКИЕ ЭФФЕКТЫ ЭЛЕКТРОМАГНИТНЫХ ПОЛЕЙ, ИЗД.1</t>
  </si>
  <si>
    <t>Еськов Е.К.</t>
  </si>
  <si>
    <t>978-5-16-016769-5</t>
  </si>
  <si>
    <t>06.03.01</t>
  </si>
  <si>
    <t>424350.11.01</t>
  </si>
  <si>
    <t>Биология пчел: Энц. сл.-справ. / Е.К.Еськов - М.:НИЦ ИНФРА-М,2026 - VI,388 с.(Б-ка словарей "ИНФРА-М") (п)</t>
  </si>
  <si>
    <t>БИОЛОГИЯ ПЧЕЛ, ИЗД.1</t>
  </si>
  <si>
    <t>Еськов Е. К.</t>
  </si>
  <si>
    <t>978-5-16-005127-7</t>
  </si>
  <si>
    <t>Энциклопедический словарь</t>
  </si>
  <si>
    <t>06.03.01, 06.04.01, 36.03.02, 36.04.02, 44.03.05</t>
  </si>
  <si>
    <t>Допущено Учебно-методическим объединением высших учебных заведений Российской Федерации в качестве учебно-методического пособия для студентов высших учебных заведений, обучающихся по направлению подготовки 110401 «Зоотехния» и специальности 111801 «В</t>
  </si>
  <si>
    <t>814844.02.01</t>
  </si>
  <si>
    <t>Биология с основами цитологии: Уч.пос. / Т.В.Карпюк - М.:НИЦ ИНФРА-М,2027. - 282 с.(ВО (КрГАУ))(п)</t>
  </si>
  <si>
    <t>БИОЛОГИЯ С ОСНОВАМИ ЦИТОЛОГИИ, ИЗД.1</t>
  </si>
  <si>
    <t>Карпюк Т.В.</t>
  </si>
  <si>
    <t>978-5-16-019634-3</t>
  </si>
  <si>
    <t>35.03.03</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</si>
  <si>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35.03.03 «Агрохимия и агропочвоведение»</t>
  </si>
  <si>
    <t>069990.12.01</t>
  </si>
  <si>
    <t>Биология с основами экологии / Л.Г. Ахмадуллина. - М.: РИОР, 2026 - 128 с. - (Карман. учеб. пособие) (о, к/ф)</t>
  </si>
  <si>
    <t>БИОЛОГИЯ С ОСНОВАМИ ЭКОЛОГИИ, ИЗД.1</t>
  </si>
  <si>
    <t>Ахмадуллина Л. Г.</t>
  </si>
  <si>
    <t>Карманное учебное пособие</t>
  </si>
  <si>
    <t>5-9557-0288-1</t>
  </si>
  <si>
    <t>05.03.03, 05.03.04, 05.03.06, 06.03.01, 06.03.02</t>
  </si>
  <si>
    <t>274400.11.01</t>
  </si>
  <si>
    <t>Биомедицинская этика: Уч. / И.А.Шамов - 2 изд. - М.:НИЦ ИНФРА-М,2025 - 288 с.(ВО)(п)</t>
  </si>
  <si>
    <t>БИОМЕДИЦИНСКАЯ ЭТИКА, ИЗД.2</t>
  </si>
  <si>
    <t>Шамов И.А.</t>
  </si>
  <si>
    <t>978-5-16-018686-3</t>
  </si>
  <si>
    <t>30.05.01, 30.05.02, 30.05.03, 30.06.01, 30.07.01, 31.05.01, 31.05.02, 31.05.03, 31.06.01, 31.07.01, 31.08.01, 31.08.02, 31.08.03, 31.08.04, 31.08.05, 31.08.06, 31.08.07, 31.08.08, 31.08.09, 31.08.10, 31.08.11, 31.08.12, 31.08.13, 31.08.14, 31.08.15, 31.08.16, 31.08.17, 31.08.18, 31.08.19, 31.08.20, 31.08.21, 31.08.22, 31.08.23, 31.08.24, 31.08.25, 31.08.26, 31.08.27,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t>
  </si>
  <si>
    <t>Рекомендовано Учебно-методическим объединением вузов России по медицинскому и фармацевтическому образованию в качестве учебника для студентов медицинских вузов</t>
  </si>
  <si>
    <t>Дагестанский  государственный медицинский университет</t>
  </si>
  <si>
    <t>832226.01.01</t>
  </si>
  <si>
    <t>Биомедицинская этика: Уч.мет.пос./ Т.М.Шаршакова - М.:НИЦ ИНФРА-М, ГомГМУ,2025. - 319 с.(ВО (ГомГМУ))(п)</t>
  </si>
  <si>
    <t>БИОМЕДИЦИНСКАЯ ЭТИКА, ИЗД.1</t>
  </si>
  <si>
    <t>Шаршакова Т.М., Соболева Л.Г.</t>
  </si>
  <si>
    <t>978-5-16-019985-6</t>
  </si>
  <si>
    <t>31.05.01, 32.05.01, 37.05.01</t>
  </si>
  <si>
    <t>Рекомендовано 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«Лечебное дело», «Медико-диагностическое дело»</t>
  </si>
  <si>
    <t>Всероссийский (с международным участием) конкурс учебно-методических, учебных и научных работ "Добросвет"-2025, Победитель, II место</t>
  </si>
  <si>
    <t>692030.06.01</t>
  </si>
  <si>
    <t>Биомедицинская этика: Уч.пос. / А.Л.Панищев - М.:НИЦ ИНФРА-М,2024 - 172 с.-(СПО)(П)</t>
  </si>
  <si>
    <t>Панищев А.Л.</t>
  </si>
  <si>
    <t>978-5-16-014596-9</t>
  </si>
  <si>
    <t>31.02.01, 31.02.02, 31.02.03, 31.02.04, 31.02.05, 31.02.06, 33.02.01, 34.01.01, 34.02.01, 34.02.02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</si>
  <si>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реализующих программу среднего профессионального образования по укрупненной группе специальностей 31.02.00 «Клиническая медицина» (протокол № 9 от 13.05.2019)</t>
  </si>
  <si>
    <t>692030.08.01</t>
  </si>
  <si>
    <t>Биомедицинская этика: Уч.пос. / А.Л.Панищев, - 2 изд. - М.:НИЦ ИНФРА-М,2027. - 193 с.(СПО)(п)</t>
  </si>
  <si>
    <t>978-5-16-020109-2</t>
  </si>
  <si>
    <t>660978.08.01</t>
  </si>
  <si>
    <t>Биомембранология: Уч.пос. / А.А.Болдырев - 2 изд., - М.:НИЦ ИНФРА-М, СФУ,2027 - 186 с.(ВО)(п)</t>
  </si>
  <si>
    <t>БИОМЕМБРАНОЛОГИЯ, ИЗД.2</t>
  </si>
  <si>
    <t>Болдырев А.А., Кяйвяряйнен Е.И., Илюха В.А.</t>
  </si>
  <si>
    <t>978-5-16-019441-7</t>
  </si>
  <si>
    <t>06.03.01, 06.05.01</t>
  </si>
  <si>
    <t>Рекомендовано в качестве учебного пособия для студентов высших учебных заведений, обучающихся по направлениям подготовки 04.03.01 «Химия», 06.03.01 «Биология», 19.03.01 «Биотехнология» (квалификация (степень) «бакалавр»)</t>
  </si>
  <si>
    <t>346600.05.01</t>
  </si>
  <si>
    <t>Биоорганическая химия: Уч. / И.В.Романовский - М.:НИЦ ИНФРА-М,,2026. - 504 с.(ВО)(п)</t>
  </si>
  <si>
    <t>БИООРГАНИЧЕСКАЯ ХИМИЯ, ИЗД.1</t>
  </si>
  <si>
    <t>Романовский И.В., Болтромеюк В.В., Гидранович Л.Г. и др.</t>
  </si>
  <si>
    <t>978-5-16-010819-3</t>
  </si>
  <si>
    <t>06.03.01, 06.04.01, 30.05.01, 30.05.02, 31.05.01, 31.05.02, 31.05.03, 32.05.01, 33.05.01, 34.03.01, 44.03.05</t>
  </si>
  <si>
    <t>862096.01.01</t>
  </si>
  <si>
    <t>Биоорганическая химия: Уч.пос. / Л.А.Франк, - 2 изд. - М.:НИЦ ИНФРА-М, СФУ,2026. - 150 с.(ВО (СФУ))(п)</t>
  </si>
  <si>
    <t>БИООРГАНИЧЕСКАЯ ХИМИЯ, ИЗД.2</t>
  </si>
  <si>
    <t>Франк Л.А.</t>
  </si>
  <si>
    <t>978-5-16-021385-9</t>
  </si>
  <si>
    <t>04.03.01, 06.04.01, 19.04.01</t>
  </si>
  <si>
    <t>682841.07.01</t>
  </si>
  <si>
    <t>Биотехника воспр. с основ. акушерства животных. Практ.: Уч.пос. / В.С.Авдеенко - М.:НИЦ ИНФРА-М,2026. - 155 с.(СПО)(П)</t>
  </si>
  <si>
    <t>БИОТЕХНИКА ВОСПРОИЗВОДСТВА С ОСНОВАМИ АКУШЕРСТВА ЖИВОТНЫХ. ПРАКТИКУМ, ИЗД.1</t>
  </si>
  <si>
    <t>Авдеенко В.С., Федотов С.В.</t>
  </si>
  <si>
    <t>978-5-16-013896-1</t>
  </si>
  <si>
    <t>35.01.01, 35.02.14, 36.02.03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</si>
  <si>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36.02.02 «Зоотехния»</t>
  </si>
  <si>
    <t>Саратовский государственный университет генетики, биотехнологии и инженерии имени Н.И. Вавилова</t>
  </si>
  <si>
    <t>682840.08.01</t>
  </si>
  <si>
    <t>Биотехника воспроизводства с основами акушер.: Уч. / В.С.Авдеенко - М.:НИЦ ИНФРА-М,2027. - 454 с.(СПО)(п)</t>
  </si>
  <si>
    <t>БИОТЕХНИКА ВОСПРОИЗВОДСТВА С ОСНОВАМИ АКУШЕРСТВА, ИЗД.1</t>
  </si>
  <si>
    <t>978-5-16-013895-4</t>
  </si>
  <si>
    <t>35.01.01, 35.01.23, 35.02.09, 36.01.02, 36.01.03, 36.02.01, 36.02.03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</si>
  <si>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36.02.02 «Зоотехния»</t>
  </si>
  <si>
    <t>323700.06.01</t>
  </si>
  <si>
    <t>Биотехника воспроизводства с основами акушерства животных. Практ. / В.С.Авдеенко - М.:НИЦ ИНФРА-М,2026 - 155 с.(О)</t>
  </si>
  <si>
    <t>978-5-16-010502-4</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</si>
  <si>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направлению подготовки 36.03.02 «Зоотехния»</t>
  </si>
  <si>
    <t>318300.07.01</t>
  </si>
  <si>
    <t>Биотехника воспроизводства с основами акушерства животных: Уч.пос. / В.С.Авдеенко - М.:НИЦ ИНФРА-М,2026 - 124 с.(ВО)(о)</t>
  </si>
  <si>
    <t>БИОТЕХНИКА ВОСПРОИЗВОДСТВА С ОСНОВАМИ АКУШЕРСТВА ЖИВОТНЫХ, ИЗД.1</t>
  </si>
  <si>
    <t>Авдеенко В.С., Федотов С.В., Кемешов Ж.О.</t>
  </si>
  <si>
    <t>978-5-16-010408-9</t>
  </si>
  <si>
    <t>36.03.02, 36.05.01</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</si>
  <si>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направлению подготовки (специальности) 36.05.01 —Ветеринария (квалификация (степень) «ветеринарный врач»)</t>
  </si>
  <si>
    <t>481400.05.01</t>
  </si>
  <si>
    <t>Биотехника воспроизводства с основами акушерства: Уч./ В.С.Авдеенко - М.:НИЦ ИНФРА-М,2027. - 454 с.(ВО)(П)</t>
  </si>
  <si>
    <t>978-5-16-011705-8</t>
  </si>
  <si>
    <t>36.03.02, 36.04.02, 36.05.01</t>
  </si>
  <si>
    <t>Допущено учебно-методическим объединением высших учебных заведений РФ по образованию в области зоотехнии и ветеринарии в качестве учебника для студентов высших учебных заведений, обучающихся по направлению подготовки (специальности) 36.03.02 «Зоотехния»</t>
  </si>
  <si>
    <t>640523.08.01</t>
  </si>
  <si>
    <t>Биотехнология нефтедобычи: принципы и применение: Моногр. / Н.М.Исмаилов - М.:НИЦ ИНФРА-М,2025 - 169 с.(о)</t>
  </si>
  <si>
    <t>БИОТЕХНОЛОГИЯ НЕФТЕДОБЫЧИ: ПРИНЦИПЫ И ПРИМЕНЕНИЕ, ИЗД.1</t>
  </si>
  <si>
    <t>Исмаилов Н.М.</t>
  </si>
  <si>
    <t>978-5-16-019906-1</t>
  </si>
  <si>
    <t>21.03.01</t>
  </si>
  <si>
    <t>Национальная академия наук Азербайджана</t>
  </si>
  <si>
    <t>640523.05.01</t>
  </si>
  <si>
    <t>Биотехнология нефтедобычи: принципы и применение: Моногр. / Н.М.Исмаилов-М.:НИЦ ИНФРА-М,2023-169с(П)</t>
  </si>
  <si>
    <t>978-5-16-012427-8</t>
  </si>
  <si>
    <t>688090.08.01</t>
  </si>
  <si>
    <t>Биотехнология. Практ. по культивир. клеточ. культур: Практ. / М.Ш.Азаев - М.:НИЦ ИНФРА-М,2026 - 142 с.(ВО)</t>
  </si>
  <si>
    <t>БИОТЕХНОЛОГИЯ : ПРАКТИКУМ ПО КУЛЬТИВИРОВАНИЮ КЛЕТОЧНЫХ КУЛЬТУР, ИЗД.1</t>
  </si>
  <si>
    <t>Азаев М.Ш., Бакулина Л.Ф., Дадаева А.А. и др.</t>
  </si>
  <si>
    <t>978-5-16-014611-9</t>
  </si>
  <si>
    <t>06.03.01, 19.03.01</t>
  </si>
  <si>
    <t>Государственный научный центр вирусологии и биотехнологии «Вектор» Роспотребнадзора</t>
  </si>
  <si>
    <t>730828.07.01</t>
  </si>
  <si>
    <t>Биотехнология: Прак. по культивир. клеточных культур: Уч.пос. / М.Ш.Азаев - М.:НИЦ ИНФРА-М,2026. - 142 с.(СПО)(п)</t>
  </si>
  <si>
    <t>БИОТЕХНОЛОГИЯ. ПРАКТИКУМ ПО КУЛЬТИВИРОВАНИЮ КЛЕТОЧНЫХ КУЛЬТУР, ИЗД.1</t>
  </si>
  <si>
    <t>Азаев М.Ш., Ильичева Т.Н., Бакулина Л.Ф. и др.</t>
  </si>
  <si>
    <t>978-5-16-015953-9</t>
  </si>
  <si>
    <t>00.02.17, 19.01.01, 19.02.15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</si>
  <si>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19.02.01 «Биохимическое производство» (протокол № 14 от 30.09.2019)</t>
  </si>
  <si>
    <t>066480.15.01</t>
  </si>
  <si>
    <t>Биохимия: Уч.пос. / Ю.А.Митякина - М.:ИЦ РИОР,2026 - 114 с.(О.к/ф)</t>
  </si>
  <si>
    <t>БИОХИМИЯ, ИЗД.1</t>
  </si>
  <si>
    <t>Митякина Ю. А.</t>
  </si>
  <si>
    <t>978-5-9557-0268-1</t>
  </si>
  <si>
    <t>06.03.01, 06.04.01, 30.05.01, 30.05.02, 30.05.03, 31.05.01, 31.05.02, 31.05.03, 32.04.01, 32.05.01, 33.05.01, 34.03.01, 35.02.09, 49.03.01, 49.04.01</t>
  </si>
  <si>
    <t>717636.02.01</t>
  </si>
  <si>
    <t>Биоэкокластерные компл. для реш.  экологич., производ... / Н.М.Исмаилов - М. : ИНФРА-М, 2023-260с(О)</t>
  </si>
  <si>
    <t>БИОЭКОКЛАСТЕРНЫЕ КОМПЛЕКСЫ ДЛЯ РЕШЕНИЯ  ЭКОЛОГИЧЕСКИХ, ПРОИЗВОДСТВЕННЫХ И СОЦИАЛЬНЫХ ПРОБЛЕМ (НА ПРИМЕРЕ АЗЕРБАЙДЖАНА), ИЗД.1</t>
  </si>
  <si>
    <t>Исмаилов Н.М., Наджафова С.И., Гасымова А.С.</t>
  </si>
  <si>
    <t>978-5-16-015619-4</t>
  </si>
  <si>
    <t>05.04.06, 38.04.01</t>
  </si>
  <si>
    <t>861523.01.01</t>
  </si>
  <si>
    <t>Биоэкологические основы защиты окружающей среды...: Моногр. / Б.С.Ксенофонтов - М.:НИЦ ИНФРА-М,2026. - 388 с.(п)</t>
  </si>
  <si>
    <t>БИОЭКОЛОГИЧЕСКИЕ ОСНОВЫ ЗАЩИТЫ ОКРУЖАЮЩЕЙ СРЕДЫ И ИСПОЛЬЗОВАНИЕ БИОКОМБАЙНОВ, ИЗД.1</t>
  </si>
  <si>
    <t>978-5-16-021210-4</t>
  </si>
  <si>
    <t>АКАДЕМУС-2000, Лауреат
АКАДЕМУС-2025, Лауреат</t>
  </si>
  <si>
    <t>853277.01.01</t>
  </si>
  <si>
    <t>Биоэкономика 4.0.: Инновац. подходы к валоризации...: Моногр. / А.И.Курбатова - М.:НИЦ ИНФРА-М,2026. - 150 с.(о)</t>
  </si>
  <si>
    <t>БИОЭКОНОМИКА 4.0.: ИННОВАЦИОННЫЕ ПОДХОДЫ К ВАЛОРИЗАЦИИ ОРГАНИЧЕСКИХ ОТХОДОВ, ИЗД.1</t>
  </si>
  <si>
    <t>Курбатова А.И., Хани А.</t>
  </si>
  <si>
    <t>978-5-16-020941-8</t>
  </si>
  <si>
    <t>05.04.06, 05.06.01, 06.05.01, 06.07.01, 20.04.01, 20.06.01, 38.04.01, 38.04.02, 38.04.07, 38.06.01</t>
  </si>
  <si>
    <t>416600.13.01</t>
  </si>
  <si>
    <t>Биржа и биржевое дело: Уч.пос. / А.И.Маскаева - М.:НИЦ ИНФРА-М,2027 - 118 с.-(ВО)(о)</t>
  </si>
  <si>
    <t>БИРЖА И БИРЖЕВОЕ ДЕЛО, ИЗД.1</t>
  </si>
  <si>
    <t>Маскаева А. И., Туманова Н. Н.</t>
  </si>
  <si>
    <t>978-5-16-018603-0</t>
  </si>
  <si>
    <t>083680.18.01</t>
  </si>
  <si>
    <t>Биржевое дело: Уч. / О.И.Дегтярева - 2 изд. - М., НИЦ ИНФРА-М,2026 - 528 с.(П)</t>
  </si>
  <si>
    <t>БИРЖЕВОЕ ДЕЛО, ИЗД.2</t>
  </si>
  <si>
    <t>Дегтярева О. И.</t>
  </si>
  <si>
    <t>978-5-16-021736-9</t>
  </si>
  <si>
    <t>38.03.01, 38.03.06, 38.04.06</t>
  </si>
  <si>
    <t>Допущено Учебно-методическим объединением по образованию в области коммерции в качестве учебника  для студентов высших учебных заведений, обучающихся по специальности 080301  "Коммерция (торговое дело)"</t>
  </si>
  <si>
    <t>854700.02.01</t>
  </si>
  <si>
    <t>Биржевой трейдинг: Уч. / В.А.Галанов - М.:НИЦ ИНФРА-М,2027. - 191 с.(ВО)(п)</t>
  </si>
  <si>
    <t>БИРЖЕВОЙ ТРЕЙДИНГ, ИЗД.1</t>
  </si>
  <si>
    <t>Галанов В.А., Фрумина С.В.</t>
  </si>
  <si>
    <t>978-5-16-020962-3</t>
  </si>
  <si>
    <t>718573.02.01</t>
  </si>
  <si>
    <t>Биржевые рынки гос. Азии, Австралии и Тихого океана: Моногр. / Р.С.Куракин-М.:НИЦ ИНФРА-М,2023.-595 с(П)</t>
  </si>
  <si>
    <t>БИРЖЕВЫЕ РЫНКИ ГОСУДАРСТВ АЗИИ, АВСТРАЛИИ И ТИХОГО ОКЕАНА, ИЗД.1</t>
  </si>
  <si>
    <t>Куракин Р.С.</t>
  </si>
  <si>
    <t>978-5-16-015574-6</t>
  </si>
  <si>
    <t>38.03.01, 38.03.02, 38.04.01, 38.04.08, 40.03.01, 40.04.01</t>
  </si>
  <si>
    <t>678280.01.01</t>
  </si>
  <si>
    <t>Биржевые рынки гос. Африки: Моногр. / Р.С.Куракин - М.:НИЦ ИНФРА-М,2019 - 432 с.-(Науч.мысль)(П)</t>
  </si>
  <si>
    <t>БИРЖЕВЫЕ РЫНКИ ГОСУДАРСТВ АФРИКИ, ИЗД.1</t>
  </si>
  <si>
    <t>978-5-16-013646-2</t>
  </si>
  <si>
    <t>672053.02.01</t>
  </si>
  <si>
    <t>Биржевые рынки государств Америки: Монография / Р.С.Куракин-М.:НИЦ ИНФРА-М,2019-529с(Науч.мысль)(П)</t>
  </si>
  <si>
    <t>БИРЖЕВЫЕ РЫНКИ ГОСУДАРСТВ АМЕРИКИ, ИЗД.1</t>
  </si>
  <si>
    <t>978-5-16-013441-3</t>
  </si>
  <si>
    <t>699197.02.01</t>
  </si>
  <si>
    <t>Биржевые рынки государств Ближнего Востока:Моногр. / Р.С.Куракин-М.:НИЦ ИНФРА-М,2023-319 с.-(Науч.мысль)(П)</t>
  </si>
  <si>
    <t>БИРЖЕВЫЕ РЫНКИ ГОСУДАРСТВ БЛИЖНЕГО ВОСТОКА, ИЗД.1</t>
  </si>
  <si>
    <t>978-5-16-014677-5</t>
  </si>
  <si>
    <t>38.03.01, 38.04.01, 38.04.08, 40.03.01, 40.04.01</t>
  </si>
  <si>
    <t>668723.04.01</t>
  </si>
  <si>
    <t>Биржевые рынки государств Европы: Моногр. / Р.С.Куракин-М.:НИЦ ИНФРА-М,2023.-549 с..-(Науч.мысль)(П)</t>
  </si>
  <si>
    <t>БИРЖЕВЫЕ РЫНКИ ГОСУДАРСТВ ЕВРОПЫ, ИЗД.1</t>
  </si>
  <si>
    <t>978-5-16-013309-6</t>
  </si>
  <si>
    <t>632635.04.01</t>
  </si>
  <si>
    <t>Биржи стран БРИКС в контексте мировой.: Моногр. / О.И.Дегтярева - М.: НИЦ ИНФРА-М,2026 - 208 с.(О)</t>
  </si>
  <si>
    <t>БИРЖИ СТРАН БРИКС В КОНТЕКСТЕ МИРОВОЙ БИРЖЕВОЙ ТОРГОВЛИ, ИЗД.1</t>
  </si>
  <si>
    <t>Дегтярева О.И.</t>
  </si>
  <si>
    <t>978-5-16-021572-3</t>
  </si>
  <si>
    <t>38.03.01, 38.03.02, 38.04.01, 38.04.06, 38.04.08, 44.03.01</t>
  </si>
  <si>
    <t>850478.01.01</t>
  </si>
  <si>
    <t>Благополучие персонала в сис. управ. человеч. ресурс.: Моногр. / Т.Г.Озерникова - М.:НИЦ ИНФРА-М,2026. - 373 с.(п)</t>
  </si>
  <si>
    <t>БЛАГОПОЛУЧИЕ ПЕРСОНАЛА В СИСТЕМЕ УПРАВЛЕНИЯ ЧЕЛОВЕЧЕСКИМИ РЕСУРСАМИ, ИЗД.1</t>
  </si>
  <si>
    <t>Озерникова Т.Г.</t>
  </si>
  <si>
    <t>978-5-16-020939-5</t>
  </si>
  <si>
    <t>38.04.03, 38.06.01</t>
  </si>
  <si>
    <t>747743.04.01</t>
  </si>
  <si>
    <t>Благоприятствование защите (favor defensionis): Моногр. / С.А.Соловьев - М.:Юр.Норма,ИНФРА-М,2026. - 296 с.(П)</t>
  </si>
  <si>
    <t>БЛАГОПРИЯТСТВОВАНИЕ ЗАЩИТЕ (FAVOR DEFENSIONIS), ИЗД.1</t>
  </si>
  <si>
    <t>Соловьев С.А.</t>
  </si>
  <si>
    <t>978-5-00156-137-8</t>
  </si>
  <si>
    <t>40.03.01, 40.04.01, 40.05.02, 40.05.04, 40.06.01</t>
  </si>
  <si>
    <t>756458.08.01</t>
  </si>
  <si>
    <t>Блокчейн в платеж.сис.,цифр. финанс. активы...: Уч.пос. / Т.Э.Рождественская. - М.:Юр.Норма, НИЦ ИНФРА-М,2026 - 128 с.(П)</t>
  </si>
  <si>
    <t>БЛОКЧЕЙН В ПЛАТЕЖНЫХ СИСТЕМАХ, ЦИФРОВЫЕ ФИНАНСОВЫЕ АКТИВЫ И ЦИФРОВЫЕ ВАЛЮТЫ, ИЗД.1</t>
  </si>
  <si>
    <t>Рождественская Т.Э., Ситник А.А., Хоменко Е.Г. и др.</t>
  </si>
  <si>
    <t>978-5-00156-171-2</t>
  </si>
  <si>
    <t>693954.05.01</t>
  </si>
  <si>
    <t>Блокчейн в сис. упр. знанием: Моногр. / М.А.Сажина - М.:ИД ФОРУМ, НИЦ ИНФРА-М,2022 - 90с(Науч.мысль)(О)</t>
  </si>
  <si>
    <t>БЛОКЧЕЙН В СИСТЕМЕ УПРАВЛЕНИЯ ЗНАНИЕМ, ИЗД.1</t>
  </si>
  <si>
    <t>Сажина М.А., Костин С.В.</t>
  </si>
  <si>
    <t>978-5-8199-0849-5</t>
  </si>
  <si>
    <t>Московский государственный университет им. М.В. Ломоносова, факультет государственного управления</t>
  </si>
  <si>
    <t>786543.06.01</t>
  </si>
  <si>
    <t>Богатство цвета в русском языке: Моногр. / В.К.Харченко - М.:НИЦ ИНФРА-М,2027. - 233 с.(Науч.мысль)(о)</t>
  </si>
  <si>
    <t>БОГАТСТВО ЦВЕТА В РУССКОМ ЯЗЫКЕ, ИЗД.1</t>
  </si>
  <si>
    <t>Харченко В.К.</t>
  </si>
  <si>
    <t>978-5-16-018691-7</t>
  </si>
  <si>
    <t>45.04.02, 45.06.01</t>
  </si>
  <si>
    <t>АКАДЕМУС-2022, Победитель, II место</t>
  </si>
  <si>
    <t>786543.01.01</t>
  </si>
  <si>
    <t>Богатство цвета в русском языке: Моногр. / В.К.Харченко-М.:НИЦ ИНФРА-М,2023.-233 с.(Науч.мысль)(П)</t>
  </si>
  <si>
    <t>978-5-16-017895-0</t>
  </si>
  <si>
    <t>658920.04.01</t>
  </si>
  <si>
    <t>Боевое примен.подразд.РТВ ВВС. Радиолок.станция П-18: Уч. /Д.Д.Дмитриев -М.:НИЦ ИНФРА-М, СФУ,2022-170с.(п)</t>
  </si>
  <si>
    <t>БОЕВОЕ ПРИМЕНЕНИЕ ПОДРАЗДЕЛЕНИЙ РТВ ВВС. РАДИОЛОКАЦИОННАЯ СТАНЦИЯ П-18, ИЗД.1</t>
  </si>
  <si>
    <t>Дмитриев Д.Д., Сосновский А.Д., Абалмасов В.А. и др.</t>
  </si>
  <si>
    <t>978-5-16-012904-4</t>
  </si>
  <si>
    <t>11.03.01</t>
  </si>
  <si>
    <t>Допущено Министерством обороны Российской Федерации в качестве учебника для студентов, обучающихся по программам подготовки офицеров запаса на военных кафедрах по военно-учетной специальности «Эксплуатация и ремонт радиолокационных комплексов противовоздушной обороны Военно-воздушных сил», а также курсантов учебных военных центров (per. № 494 от 11.12.2013)</t>
  </si>
  <si>
    <t>658918.08.01</t>
  </si>
  <si>
    <t>Боевое применение подразделений РТВ ВВС..: Уч. / А.Д.Сосновский - М.:НИЦ ИНФРА-М, СФУ,2027. - 164 с.(П)</t>
  </si>
  <si>
    <t>БОЕВОЕ ПРИМЕНЕНИЕ ПОДРАЗДЕЛЕНИЙ РТВ ВВС. ПОДВИЖНЫЙ РАДИОВЫСОТОМЕР ПРВ-13, ИЗД.1</t>
  </si>
  <si>
    <t>Сосновский А.Д., Кащеев М.М., Дмитриев Д.Д. и др.</t>
  </si>
  <si>
    <t>978-5-16-012884-9</t>
  </si>
  <si>
    <t>11.03.01, 11.04.01, 11.05.01, 11.05.02</t>
  </si>
  <si>
    <t>Допущено Министерством обороны Российской Федерации в качестве учебника для студентов, обучающихся по программам подготовки офицеров запаса на военных кафедрах по военно-учетной специальности «Эксплуатация и ремонт радиолокационных комплексов противовоздушной обороны Военно-воздушных сил», а также курсантов учебных военных центров (per. № 494 от 11.12.2013 ГУК МО РФ)</t>
  </si>
  <si>
    <t>825280.01.01</t>
  </si>
  <si>
    <t>Боевые действия формир. войск НКВД в операц. по... / Д.В.Ставицкий - М.:НИЦ ИНФРА-М,2024. - 126 с(о)</t>
  </si>
  <si>
    <t>БОЕВЫЕ ДЕЙСТВИЯ ФОРМИРОВАНИЙ ВОЙСК НКВД В ОПЕРАЦИЯХ ПО ОБОРОНЕ КАВКАЗА (1942-1943 ГОДЫ), ИЗД.1</t>
  </si>
  <si>
    <t>Ставицкий Д.В., Фетисов А.В., Кузнецов Д.Е.</t>
  </si>
  <si>
    <t>978-5-16-019867-5</t>
  </si>
  <si>
    <t>56.00.00, 46.04.01, 46.06.01, 56.04.01, 56.07.01</t>
  </si>
  <si>
    <t>Военная ордена Жукова академия войск национальной гвардии Российской Федерации</t>
  </si>
  <si>
    <t>143000.11.01</t>
  </si>
  <si>
    <t>Большой испанско-рус. сл.: Латинская Америка /А.С.Волкова - 2 изд. - М.: НИЦ ИНФРА-М, 2026 - 726 с.(п)</t>
  </si>
  <si>
    <t>БОЛЬШОЙ ИСПАНСКО-РУССКИЙ СЛОВАРЬ: ЛАТИНСКАЯ АМЕРИКА, ИЗД.2</t>
  </si>
  <si>
    <t>Волкова А. С., Михеева Н. Ф., Синявский А. А., Фирсова Н. М.</t>
  </si>
  <si>
    <t>978-5-16-006097-2</t>
  </si>
  <si>
    <t>45.03.01, 45.03.02, 45.04.02</t>
  </si>
  <si>
    <t>705917.05.01</t>
  </si>
  <si>
    <t>Бортовые источ. и накопители энергии...: Уч. / Е.М.Овсянников - 2 изд. - М.:ФОРУМ : ИНФРА-М, 2027 - 280 с.(П)</t>
  </si>
  <si>
    <t>БОРТОВЫЕ ИСТОЧНИКИ И НАКОПИТЕЛИ ЭНЕРГИИ АВТОТРАНСПОРТНЫХ СРЕДСТВ С ТЯГОВЫМИ ЭЛЕКТРОПРИВОДАМИ, ИЗД.2</t>
  </si>
  <si>
    <t>Овсянников Е.М.</t>
  </si>
  <si>
    <t>978-5-00091-676-6</t>
  </si>
  <si>
    <t>23.02.02, 23.02.03, 23.02.05</t>
  </si>
  <si>
    <t>Рекомендовано Межрегиональным учебно-методическим советом профессионального образования в качестве учебника для  использования в учебном процессе образовательных учреждений, реализующих программу СПО по специальности 23.00.00 "Техника и технологии наземного транспорта" (протокол № 7 от 08.06.2020)</t>
  </si>
  <si>
    <t>714105.04.01</t>
  </si>
  <si>
    <t>Борьба за Евразию в фокусе транспортных геостратегий / Ю.А.Харламова - 2 изд.-М.:НИЦ ИНФРА-М,2022-219 с.(П)</t>
  </si>
  <si>
    <t>БОРЬБА ЗА ЕВРАЗИЮ В ФОКУСЕ ТРАНСПОРТНЫХ ГЕОСТРАТЕГИЙ, ИЗД.2</t>
  </si>
  <si>
    <t>Харламова Ю.А.</t>
  </si>
  <si>
    <t>978-5-16-016842-5</t>
  </si>
  <si>
    <t>38.04.01, 38.06.01, 40.06.01, 41.04.04, 41.04.05, 41.06.01</t>
  </si>
  <si>
    <t>Российский университет транспорта (МИИТ)</t>
  </si>
  <si>
    <t>714105.02.01</t>
  </si>
  <si>
    <t>Борьба за Евразию в фокусе транспортных геостратегий: Моногр./ Ю.А.Харламова-М.:НИЦ ИНФРА-М,2021-196с.(Науч.мысль)(П)</t>
  </si>
  <si>
    <t>БОРЬБА ЗА ЕВРАЗИЮ В ФОКУСЕ ТРАНСПОРТНЫХ ГЕОСТРАТЕГИЙ, ИЗД.1</t>
  </si>
  <si>
    <t>978-5-16-015450-3</t>
  </si>
  <si>
    <t>083270.13.01</t>
  </si>
  <si>
    <t>Борьба мотивов в преступном поведении: Моногр. / В.Н.Кудрявцев - М.:Юр.Норма, НИЦ ИНФРА-М,2026 - 128 с.(О)</t>
  </si>
  <si>
    <t>БОРЬБА МОТИВОВ В ПРЕСТУПНОМ ПОВЕДЕНИИ, ИЗД.1</t>
  </si>
  <si>
    <t>Кудрявцев В.Н.</t>
  </si>
  <si>
    <t>978-5-91768-855-8</t>
  </si>
  <si>
    <t>681717.09.01</t>
  </si>
  <si>
    <t>Борьба с коррупцией в правоохранит. орг. за рубежом: Моногр. / В.Ю.Артемов. - М.:НИЦ ИНФРА-М,2025. - 320 с.(П)</t>
  </si>
  <si>
    <t>БОРЬБА С КОРРУПЦИЕЙ В ПРАВООХРАНИТЕЛЬНЫХ ОРГАНАХ ЗА РУБЕЖОМ:, ИЗД.1</t>
  </si>
  <si>
    <t>Артемов В.Ю., Власов И.С., Голованова Н.А. и др.</t>
  </si>
  <si>
    <t>978-5-16-013731-5</t>
  </si>
  <si>
    <t>842462.01.01</t>
  </si>
  <si>
    <t>Ботаника с основами физиологии растений: Уч.пос. / В.И.Полонский - М.:НИЦ ИНФРА-М,2025.-366 с.(СПО (КрГАУ))(п)</t>
  </si>
  <si>
    <t>БОТАНИКА С ОСНОВАМИ ФИЗИОЛОГИИ РАСТЕНИЙ, ИЗД.1</t>
  </si>
  <si>
    <t>Полонский В.И., Карпюк Т.В.</t>
  </si>
  <si>
    <t>978-5-16-020346-1</t>
  </si>
  <si>
    <t>35.02.05, 35.02.12, 43.01.11</t>
  </si>
  <si>
    <t>809455.02.01</t>
  </si>
  <si>
    <t>Ботаника с основами физиологии растений: Уч.пос. / В.И.Полонский - М.:НИЦ ИНФРА-М,2027. - 366 с.(ВО)(п)</t>
  </si>
  <si>
    <t>978-5-16-019485-1</t>
  </si>
  <si>
    <t>35.03.04, 35.03.07, 35.04.04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</si>
  <si>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сельскохозяйственным направлениям подготовки</t>
  </si>
  <si>
    <t>712697.07.01</t>
  </si>
  <si>
    <t>Ботаника: Уч.пос. / Н.В.Корягина - М.:НИЦ ИНФРА-М,2026 - 351 с.(ВО)(П)</t>
  </si>
  <si>
    <t>БОТАНИКА, ИЗД.1</t>
  </si>
  <si>
    <t>Корягина Н.В., Корягин Ю.В.</t>
  </si>
  <si>
    <t>978-5-16-021443-6</t>
  </si>
  <si>
    <t>06.03.01, 33.05.01, 35.03.01, 35.03.04, 35.03.05, 35.03.10, 44.03.01, 44.03.05</t>
  </si>
  <si>
    <t>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направлению 35.03.07 «Технология производства и переработки сельскохозяйственной продукции»</t>
  </si>
  <si>
    <t>Пензенский государственный аграрный университет</t>
  </si>
  <si>
    <t>735063.06.01</t>
  </si>
  <si>
    <t>Ботаника: Уч.пос. / Н.В.Корягина - М.:НИЦ ИНФРА-М,2026 - 351 с.-(СПО)(П)</t>
  </si>
  <si>
    <t>978-5-16-016161-7</t>
  </si>
  <si>
    <t>33.02.01, 35.01.19, 35.02.01, 35.02.05, 35.02.12, 43.01.11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</si>
  <si>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35.02.00 «Сельское, лесное и рыбное хозяйство» (протокол № 5 от 16.03.2020)</t>
  </si>
  <si>
    <t>399600.05.01</t>
  </si>
  <si>
    <t>Бремя разума: Моногр. / С.В.Борзых - М.:НИЦ ИНФРА-М,2026. - 115 с.-(Науч.мысль)(О)</t>
  </si>
  <si>
    <t>БРЕМЯ РАЗУМА, ИЗД.1</t>
  </si>
  <si>
    <t>978-5-16-011282-4</t>
  </si>
  <si>
    <t>39.00.00, 51.00.00, 39.04.01, 40.03.01, 44.03.01, 44.03.05, 47.03.01, 47.04.01, 51.04.01</t>
  </si>
  <si>
    <t>447300.10.01</t>
  </si>
  <si>
    <t>Бренд в современной культуре: Моногр. / Л.М.Дмитриева - М.:,НИЦ ИНФРА-М, 2027 - 200 с.(О)</t>
  </si>
  <si>
    <t>БРЕНД В СОВРЕМЕННОЙ КУЛЬТУРЕ, ИЗД.1</t>
  </si>
  <si>
    <t>Дмитриева Л.М.</t>
  </si>
  <si>
    <t>978-5-16-022275-2</t>
  </si>
  <si>
    <t>42.04.01, 44.03.01, 44.03.05, 51.04.01</t>
  </si>
  <si>
    <t>220700.13.01</t>
  </si>
  <si>
    <t>Брендинг. Управление брендом: Уч. / В.Л.Музыкант - М.:ИЦ РИОР, НИЦ ИНФРА-М,2026. - 316 с.(ВО)(п)</t>
  </si>
  <si>
    <t>БРЕНДИНГ. УПРАВЛЕНИЕ БРЕНДОМ, ИЗД.1</t>
  </si>
  <si>
    <t>Музыкант В. Л.</t>
  </si>
  <si>
    <t>978-5-369-01934-4</t>
  </si>
  <si>
    <t>38.03.02, 38.03.06, 38.04.02, 41.03.06, 42.03.01, 42.03.02, 42.04.01</t>
  </si>
  <si>
    <t>Допущено Учебно-методическим объединением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100700.62 - «Торговое дело» и по специал</t>
  </si>
  <si>
    <t>636223.07.01</t>
  </si>
  <si>
    <t>Бренд-менеджмент: Уч.пос. / О.Г.Кузьмина - М.:ИЦ РИОР, НИЦ ИНФРА-М,2025. - 176 с.-(ВО)(о)</t>
  </si>
  <si>
    <t>БРЕНД-МЕНЕДЖМЕНТ, ИЗД.1</t>
  </si>
  <si>
    <t>Кузьмина О.Г.</t>
  </si>
  <si>
    <t>978-5-369-01614-5</t>
  </si>
  <si>
    <t>38.03.02, 38.03.06, 38.03.07</t>
  </si>
  <si>
    <t>818510.01.01</t>
  </si>
  <si>
    <t>БРИКС в системе управления Интернетом: Моногр. / А.А.Игнатов-М.:НИЦ ИНФРА-М,2024.-186 с.(Науч.мысль)(о)</t>
  </si>
  <si>
    <t>БРИКС В СИСТЕМЕ УПРАВЛЕНИЯ ИНТЕРНЕТОМ, ИЗД.1</t>
  </si>
  <si>
    <t>Игнатов А.А.</t>
  </si>
  <si>
    <t>978-5-16-019551-3</t>
  </si>
  <si>
    <t>09.04.02, 09.06.01, 10.04.01, 10.05.02, 10.06.01, 38.04.01, 38.06.01, 40.04.01, 40.06.01, 41.03.05, 41.04.04, 41.04.05, 41.06.01</t>
  </si>
  <si>
    <t>740999.08.01</t>
  </si>
  <si>
    <t>Будущее права: наследие академика В.С. Степина... / Т.Я.Хабриева - М.:НИЦ ИНФРА-М,2027. - 176 с.(П)</t>
  </si>
  <si>
    <t>БУДУЩЕЕ ПРАВА: НАСЛЕДИЕ АКАДЕМИКА В.С. СТЕПИНА И ЮРИДИЧЕСКАЯ НАУКА, ИЗД.1</t>
  </si>
  <si>
    <t>Хабриева Т.Я., Черногор Н.Н.</t>
  </si>
  <si>
    <t>978-5-16-016361-1</t>
  </si>
  <si>
    <t>726513.06.01</t>
  </si>
  <si>
    <t>Будущее России: переход в новую формацию: Моногр./ В.Д.Попов - М.:НИЦ ИНФРА-М,2025 - 229 с.(Науч.мысль)(О)</t>
  </si>
  <si>
    <t>БУДУЩЕЕ РОССИИ: ПЕРЕХОД В НОВУЮ ФОРМАЦИЮ, ИЗД.1</t>
  </si>
  <si>
    <t>Попов В.Д.</t>
  </si>
  <si>
    <t>978-5-16-015903-4</t>
  </si>
  <si>
    <t>41.04.02, 41.04.04, 41.04.05, 41.06.01</t>
  </si>
  <si>
    <t>485350.11.01</t>
  </si>
  <si>
    <t>Бурение скважин: Уч.пос. / В.В.Нескоромных - М.:НИЦ ИНФРА-М, СФУ,2026. - 352 с.(ВО: Спец. (СФУ))(п)</t>
  </si>
  <si>
    <t>БУРЕНИЕ СКВАЖИН, ИЗД.1</t>
  </si>
  <si>
    <t>Нескоромных В.В.</t>
  </si>
  <si>
    <t>978-5-16-020503-8</t>
  </si>
  <si>
    <t>05.03.01, 05.04.01, 21.02.12, 21.05.01, 21.05.02, 21.05.03, 21.05.04, 21.05.05, 21.05.06</t>
  </si>
  <si>
    <t>Рекомендовано федеральным государственным бюджетным образовательным учреждением высшего профессионального образования «Национальный минерально-сырьевой университет «Горный» в качестве учебного пособия для студентов специальности 21.05.03 «Технология геологической разведки»</t>
  </si>
  <si>
    <t>668716.08.01</t>
  </si>
  <si>
    <t>Буровые станки и бурение скважин: Уч.пос. / В.И.Зварыгин - 2 изд. - М.:НИЦ ИНФРА-М, СФУ,2027 - 255 с.(ВО)(п)</t>
  </si>
  <si>
    <t>БУРОВЫЕ СТАНКИ И БУРЕНИЕ СКВАЖИН, ИЗД.2</t>
  </si>
  <si>
    <t>Зварыгин В.И.</t>
  </si>
  <si>
    <t>978-5-16-021069-8</t>
  </si>
  <si>
    <t>21.05.02</t>
  </si>
  <si>
    <t>Допущено Учебно-методическим объединением вузов Российской Федерации по высшему образованию в области прикладной геологии в качестве учебного пособия для студентов высших учебных заведений, обучающихся по направлению подготовки 21.05.02 «Прикладная геология»</t>
  </si>
  <si>
    <t>433800.05.01</t>
  </si>
  <si>
    <t>Бухгалтерская (фин.)отчет.: Уч.пос. / М.Я.Погорелова - М.:ИЦ РИОР,НИЦ ИНФРА-М,2026 - 242 с.(ВО)(п)</t>
  </si>
  <si>
    <t>БУХГАЛТЕРСКАЯ (ФИНАНСОВАЯ) ОТЧЕТНОСТЬ: ТЕОРИЯ И ПРАКТИКА СОСТАВЛЕНИЯ, ИЗД.1</t>
  </si>
  <si>
    <t>Погорелова М.Я.</t>
  </si>
  <si>
    <t>978-5-369-01521-6</t>
  </si>
  <si>
    <t>38.03.01, 38.03.02, 38.03.06, 38.04.01, 38.04.02, 38.04.06, 38.04.08</t>
  </si>
  <si>
    <t>766306.01.01</t>
  </si>
  <si>
    <t>Бухгалтерская (финанс.) отчет. в орг. агропродовольств...: Уч. / В.Г.Широбоков - М.:НИЦ ИНФРА-М,2026. - 299 с.(п)</t>
  </si>
  <si>
    <t>БУХГАЛТЕРСКАЯ (ФИНАНСОВАЯ) ОТЧЕТНОСТЬ В ОРГАНИЗАЦИЯХ АГРОПРОДОВОЛЬСТВЕННОГО КОМПЛЕКСА, ИЗД.1</t>
  </si>
  <si>
    <t>Широбоков В.Г.</t>
  </si>
  <si>
    <t>978-5-16-020517-5</t>
  </si>
  <si>
    <t>Воронежский государственный аграрный университет им. императора Петра I</t>
  </si>
  <si>
    <t>645036.07.01</t>
  </si>
  <si>
    <t>Бухгалтерская (финанс.) отчетность: Уч. / Под ред. Сигидова Ю.И. - М.:НИЦ ИНФРА-М,2023-340с.(ВО)(П)</t>
  </si>
  <si>
    <t>БУХГАЛТЕРСКАЯ (ФИНАНСОВАЯ) ОТЧЕТНОСТЬ, ИЗД.1</t>
  </si>
  <si>
    <t>Сигидов Ю.И., Ясменко Г.Н., Оксанич Е.А. и др.</t>
  </si>
  <si>
    <t>978-5-16-011881-9</t>
  </si>
  <si>
    <t>38.03.01, 38.03.02, 38.03.06</t>
  </si>
  <si>
    <t>645036.08.01</t>
  </si>
  <si>
    <t>Бухгалтерская (финанс.) отчетность: Уч./ Под ред. Сигидова Ю.И. -  2 изд. - М.:НИЦ ИНФРА-М,2025. - 520 с.(ВО)(п)</t>
  </si>
  <si>
    <t>БУХГАЛТЕРСКАЯ (ФИНАНСОВАЯ) ОТЧЕТНОСТЬ, ИЗД.2</t>
  </si>
  <si>
    <t>978-5-16-018388-6</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</si>
  <si>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38.03.01 «Экономика», 38.05.01 «Экономическая безопасность»</t>
  </si>
  <si>
    <t>425850.10.01</t>
  </si>
  <si>
    <t>Бухгалтерская (финанс.) отчетность: Уч.пос. / Л.В.Пономарева, - 2 изд.-М.:НИЦ ИНФРА-М,2023.-276 с.(ВО)(п)</t>
  </si>
  <si>
    <t>Пономарева Л.В., Стельмашенко Н.Д.</t>
  </si>
  <si>
    <t>978-5-16-017942-1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</si>
  <si>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10 от 21.12.2022)</t>
  </si>
  <si>
    <t>Финансовый университет при Правительстве Российской Федерации, Владимирский ф-л</t>
  </si>
  <si>
    <t>425850.07.01</t>
  </si>
  <si>
    <t>Бухгалтерская (финансовая) отчетность: Уч.пос. / Л.В.Пономарева - М.:Вуз.уч., НИЦ ИНФРА-М,2022 - 224 с(П)</t>
  </si>
  <si>
    <t>Пономарева Л. В., Стельмашенко Н. Д.</t>
  </si>
  <si>
    <t>978-5-9558-0304-3</t>
  </si>
  <si>
    <t>269100.06.01</t>
  </si>
  <si>
    <t>Бухгалтерская (финансовая) отчетность: Уч.пос. / Н.Н.Бондина - М.:НИЦ ИНФРА-М,2023-256с.(ВО:Бакалавр.)(о)</t>
  </si>
  <si>
    <t>Бондина Н. Н., Бондин И. А., Зубкова Т. В., Павлова И. В.</t>
  </si>
  <si>
    <t>978-5-16-009625-4</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</si>
  <si>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38.03.01 «Экономика» (квалификация (степень) «бакалавр» )</t>
  </si>
  <si>
    <t>802588.01.01</t>
  </si>
  <si>
    <t>Бухгалтерская (финансовая) отчетность: Уч.пос./ А.Х.Курманова - М.:НИЦ ИНФРА-М,2025. - 478 с.(ВО)(п)</t>
  </si>
  <si>
    <t>Курманова А.Х.</t>
  </si>
  <si>
    <t>978-5-16-018560-6</t>
  </si>
  <si>
    <t>38.03.01, 38.04.01, 38.04.08, 38.05.01</t>
  </si>
  <si>
    <t>Рекомендовано ученым советом федерального государственного бюджетного образовательного учреждения высшего образования «Оренбургский государственный университет» для обучающихся по образовательным программам высшего образования по направлению подготовки 38.03.01 «Экономика» и специальности 38.05.01 «Экономическая безопасность»</t>
  </si>
  <si>
    <t>704421.09.01</t>
  </si>
  <si>
    <t>Бухгалтерская тех.провед.и оформ. инвентар.: Уч.пос. / Н.А.Качан, - 2 изд. - М.:НИЦ ИНФРА-М,2026 - 137 с.(о)</t>
  </si>
  <si>
    <t>БУХГАЛТЕРСКАЯ ТЕХНОЛОГИЯ ПРОВЕДЕНИЯ И ОФОРМЛЕНИЯ ИНВЕНТАРИЗАЦИИ, ИЗД.2</t>
  </si>
  <si>
    <t>Качан Н.А.</t>
  </si>
  <si>
    <t>978-5-16-015096-3</t>
  </si>
  <si>
    <t>Рекомендовано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t>
  </si>
  <si>
    <t>Белгородский университет кооперации, экономики и права</t>
  </si>
  <si>
    <t>712542.12.01</t>
  </si>
  <si>
    <t>Бухгалтерская технология провед. и оформл...: Уч. / М.Д.Акатьева - М.:НИЦ ИНФРА-М,2027 - 208 с.(СПО)(п)</t>
  </si>
  <si>
    <t>БУХГАЛТЕРСКАЯ ТЕХНОЛОГИЯ ПРОВЕДЕНИЯ И ОФОРМЛЕНИЯ ИНВЕНТАРИЗАЦИИ, ИЗД.1</t>
  </si>
  <si>
    <t>Акатьева М.Д.</t>
  </si>
  <si>
    <t>978-5-16-015454-1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</si>
  <si>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17 от 11.11.2019)</t>
  </si>
  <si>
    <t>184950.03.01</t>
  </si>
  <si>
    <t>Бухгалтерские проводки: Уч. пос. / А.М. Сайгидмагомедов, А.С. Акаева. - М.: Форум, 2015- 248 с. (о)</t>
  </si>
  <si>
    <t>БУХГАЛТЕРСКИЕ ПРОВОДКИ, ИЗД.1</t>
  </si>
  <si>
    <t>Сайгидмагомедов А. М., Акаева А. С.</t>
  </si>
  <si>
    <t>978-5-91134-615-7</t>
  </si>
  <si>
    <t>38.03.01, 38.03.02, 38.03.04, 38.03.06, 38.03.07</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</si>
  <si>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"Бухгалтерский учет, анализ и аудит"</t>
  </si>
  <si>
    <t>Дагестанский государственный аграрный университет им. М.М. Джамбулатова</t>
  </si>
  <si>
    <t>184950.08.01</t>
  </si>
  <si>
    <t>Бухгалтерские проводки: Уч.пос. / А.М.Сайгидмагомедов, - 2 изд. - М., НИЦ ИНФРА-М,2026 - 325 с.(ВО)</t>
  </si>
  <si>
    <t>БУХГАЛТЕРСКИЕ ПРОВОДКИ, ИЗД.2</t>
  </si>
  <si>
    <t>Сайгидмагомедов А.М., Акаева А.С.</t>
  </si>
  <si>
    <t>978-5-16-022143-4</t>
  </si>
  <si>
    <t>Рекомендовано в качестве учебного пособия для студентов высших учебных заведений, обучающихся по направлениям подготовки 38.03.01 «Экономика»,38.03.02 «Менеджмент» (квалификация (степень) «бакалавр»)</t>
  </si>
  <si>
    <t>693052.09.01</t>
  </si>
  <si>
    <t>Бухгалтерские проводки: Уч.пос. / А.М.Сайгидмагомедов, - 2 изд. - М.:Форум, НИЦ ИНФРА-М,2027 - 325 с.(СПО)(П)</t>
  </si>
  <si>
    <t>978-5-00091-629-2</t>
  </si>
  <si>
    <t>38.02.01, 38.02.03, 38.02.07, 38.02.08</t>
  </si>
  <si>
    <t>632102.07.01</t>
  </si>
  <si>
    <t>Бухгалтерский  учет в гос. (муниц.) учр.: Уч.пос. / Т.С.Маслова - М.:Магистр,НИЦ ИНФРА-М,2027-544 c.(П)</t>
  </si>
  <si>
    <t>БУХГАЛТЕРСКИЙ  УЧЕТ В ГОСУДАРСТВЕННЫХ (МУНИЦИПАЛЬНЫХ) УЧРЕЖДЕНИЯХ, ИЗД.1</t>
  </si>
  <si>
    <t>Маслова Т.С.</t>
  </si>
  <si>
    <t>978-5-9776-0422-2</t>
  </si>
  <si>
    <t>Национальный исследовательский Нижегородский государственный университет им. Н.И. Лобачевского</t>
  </si>
  <si>
    <t>144650.14.01</t>
  </si>
  <si>
    <t>Бухгалтерский (упр.) учет в сельском хозяйстве: Уч. пос. / Г.М. Лисович - М.:Вуз.уч.,2026 - 168 с.(п)</t>
  </si>
  <si>
    <t>БУХГАЛТЕРСКИЙ (УПРАВЛЕНЧЕСКИЙ) УЧЕТ В СЕЛЬСКОМ ХОЗЯЙСТВЕ, ИЗД.1</t>
  </si>
  <si>
    <t>Шутова И. С., Лисович Г. М.</t>
  </si>
  <si>
    <t>978-5-16-022103-8</t>
  </si>
  <si>
    <t>751339.03.01</t>
  </si>
  <si>
    <t>Бухгалтерский (управлен.) учет. Основы теории...: Уч. / А.Н.Кизилов - М.:НИЦ ИНФРА-М,2026. - 282 с.(ВО)(п)</t>
  </si>
  <si>
    <t>БУХГАЛТЕРСКИЙ (УПРАВЛЕНЧЕСКИЙ) УЧЕТ. ОСНОВЫ ТЕОРИИ. ПРАКТИЧЕСКИЕ ЗАДАНИЯ. ТЕСТЫ, ИЗД.1</t>
  </si>
  <si>
    <t>Кизилов А.Н.</t>
  </si>
  <si>
    <t>978-5-16-017292-7</t>
  </si>
  <si>
    <t>00.03.13, 37.04.02, 38.03.01, 38.03.02, 38.03.03, 38.03.04, 38.03.05, 38.03.06, 38.03.07, 38.04.01, 38.04.07, 38.04.08, 38.04.09, 38.05.02, 41.03.06</t>
  </si>
  <si>
    <t>653172.04.01</t>
  </si>
  <si>
    <t>Бухгалтерский и налоговый учет: Уч. / Э.Ч.Цыденова - 2 изд. - М.:НИЦ ИНФРА-М,2025 - 399 с.(ВО: Бакалавр.)(П)</t>
  </si>
  <si>
    <t>БУХГАЛТЕРСКИЙ И НАЛОГОВЫЙ УЧЕТ, ИЗД.2</t>
  </si>
  <si>
    <t>Цыденова Э.Ч., Аюшиева Л.К.</t>
  </si>
  <si>
    <t>978-5-16-020187-0</t>
  </si>
  <si>
    <t>Рекомендовано УМО вузов России по образованию в области финансов, учета и мировой экономики в качестве учебника для студентов высших учебных заведений, обучающихся по направлению подготовки 38.03.01 «Экономика»</t>
  </si>
  <si>
    <t>Бурятский государственный университет</t>
  </si>
  <si>
    <t>633562.04.01</t>
  </si>
  <si>
    <t>Бухгалтерский и упр.учет. Лаб.практ.: Уч.пос. / Серебрякова Т.Ю. - М.:НИЦ ИНФРА-М,2023-300с.(П)</t>
  </si>
  <si>
    <t>БУХГАЛТЕРСКИЙ И УПРАВЛЕНЧЕСКИЙ УЧЕТ. ЛАБОРАТОРНЫЙ ПРАКТИКУМ, ИЗД.1</t>
  </si>
  <si>
    <t>Серебрякова Т.Ю., Антонова М.В., Кондрашова О.Р. и др.</t>
  </si>
  <si>
    <t>978-5-16-012068-3</t>
  </si>
  <si>
    <t>38.03.01, 38.03.02, 38.03.03, 38.03.04, 38.03.05, 38.03.06, 38.03.07, 38.04.08</t>
  </si>
  <si>
    <t>Рекомендовано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</si>
  <si>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Российский университет кооперации, Чебоксарский ф-л</t>
  </si>
  <si>
    <t>402550.07.01</t>
  </si>
  <si>
    <t>Бухгалтерский упр. учет: Уч.пос. / И.Е.Мизиковский - 2изд. - М.:Магистр, НИЦ ИНФРА-М,2023-144с(О)</t>
  </si>
  <si>
    <t>БУХГАЛТЕРСКИЙ УПРАВЛЕНЧЕСКИЙ УЧЕТ, ИЗД.2</t>
  </si>
  <si>
    <t>Мизиковский И.Е.</t>
  </si>
  <si>
    <t>978-5-9776-0413-0</t>
  </si>
  <si>
    <t>38.03.01, 38.03.02, 38.04.01, 41.03.06</t>
  </si>
  <si>
    <t>041918.14.01</t>
  </si>
  <si>
    <t>Бухгалтерский управленческий учет: Уч. / В.Б. Ивашкевич - 3изд. - М.: Магистр: НИЦ ИНФРА-М,2025 - 448 с. (п)</t>
  </si>
  <si>
    <t>БУХГАЛТЕРСКИЙ УПРАВЛЕНЧЕСКИЙ УЧЕТ, ИЗД.3</t>
  </si>
  <si>
    <t>Ивашкевич В. Б.</t>
  </si>
  <si>
    <t>978-5-9776-0362-1</t>
  </si>
  <si>
    <t>Допущено Мин. обр. и науки РФ в качестве учебника для студентов высших учебных заведений, обучающихся по финансово-экономическим специальностям</t>
  </si>
  <si>
    <t>441850.07.01</t>
  </si>
  <si>
    <t>Бухгалтерский управленческий учет: Уч.пос. / В.И.Бережной - М.:НИЦ ИНФРА-М,2026 - 176 с.(ВО.)(П)</t>
  </si>
  <si>
    <t>БУХГАЛТЕРСКИЙ УПРАВЛЕНЧЕСКИЙ УЧЕТ, ИЗД.1</t>
  </si>
  <si>
    <t>Бережной В.И., Крохичева Г.Е., Лесняк В.В.</t>
  </si>
  <si>
    <t>978-5-16-022154-0</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</si>
  <si>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«Экономика» (квалификация (степень) «бакалавр»). Регистрационный номер рецензии 745 от 27 декабря 2012 г. (ФГАУ ФИРО)</t>
  </si>
  <si>
    <t>Белгородский университет кооперации, экономики и права, ф-л Ставропольский кооперативный институт</t>
  </si>
  <si>
    <t>049000.30.01</t>
  </si>
  <si>
    <t>Бухгалтерский учет (фин. и упр.): Уч. / Н.П.Кондраков - 5 изд. - М.:НИЦ ИНФРА-М,2025 - 584 с.(ВО) (П)</t>
  </si>
  <si>
    <t>БУХГАЛТЕРСКИЙ УЧЕТ (ФИНАНСОВЫЙ И УПРАВЛЕНЧЕСКИЙ), ИЗД.5</t>
  </si>
  <si>
    <t>Кондраков Н.П.</t>
  </si>
  <si>
    <t>978-5-16-020234-1</t>
  </si>
  <si>
    <t>38.03.01, 38.03.02, 38.04.01, 38.04.02, 38.04.08, 38.04.09, 41.03.06</t>
  </si>
  <si>
    <t>0516</t>
  </si>
  <si>
    <t>776422.05.01</t>
  </si>
  <si>
    <t>Бухгалтерский учет в бюджетных учреждениях: Уч. / Т.С.Маслова - М.:Магистр, НИЦ ИНФРА-М,2026 - 480 с.(П)</t>
  </si>
  <si>
    <t>БУХГАЛТЕРСКИЙ УЧЕТ В БЮДЖЕТНЫХ УЧРЕЖДЕНИЯХ, ИЗД.1</t>
  </si>
  <si>
    <t>978-5-9776-0542-7</t>
  </si>
  <si>
    <t>666393.01.01</t>
  </si>
  <si>
    <t>Бухгалтерский учет в двух модулях: Уч.пос. / Т.В.Терентьева - М.:ИЦ РИОР, НИЦ ИНФРА-М,2018-288 с.(П)</t>
  </si>
  <si>
    <t>БУХГАЛТЕРСКИЙ УЧЕТ В ДВУХ МОДУЛЯХ, ИЗД.1</t>
  </si>
  <si>
    <t>Терентьева Т.В., Малышева В.В.</t>
  </si>
  <si>
    <t>978-5-369-01727-2</t>
  </si>
  <si>
    <t>23.03.01, 26.03.01, 38.03.01, 38.03.06, 38.03.07, 38.04.01, 38.04.02, 38.04.03, 38.04.04, 38.04.05, 38.04.06, 38.04.07, 38.04.08, 38.04.09, 38.05.01, 38.05.02, 43.03.03, 56.05.01</t>
  </si>
  <si>
    <t>462600.05.01</t>
  </si>
  <si>
    <t>Бухгалтерский учет в коммерч.орг.: Уч.пос. / М.В.Мельник - М.:Форум,НИЦ ИНФРА-М, 2025 - 480 с.(ВО:Бакалавр.) (п)</t>
  </si>
  <si>
    <t>БУХГАЛТЕРСКИЙ УЧЕТ В КОММЕРЧЕСКИХ ОРГАНИЗАЦИЯХ, ИЗД.1</t>
  </si>
  <si>
    <t>Мельник М.В., Егорова С.Е., Кулакова Н.Г. и др.</t>
  </si>
  <si>
    <t>978-5-00091-146-4</t>
  </si>
  <si>
    <t>23.03.01, 38.03.01, 38.03.02, 41.03.06</t>
  </si>
  <si>
    <t>Рекомендовано Учебно-методическим объединением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направлениям подготовки «Экономика» и «Менеджмент»</t>
  </si>
  <si>
    <t>761244.04.01</t>
  </si>
  <si>
    <t>Бухгалтерский учет в коммерческих орг.: Уч.пос. / М.В.Мельник - М.:Форум, НИЦ ИНФРА-М,2025 - 479 с.(СПО)(п)</t>
  </si>
  <si>
    <t>978-5-00091-759-6</t>
  </si>
  <si>
    <t>38.02.01, 38.02.03, 38.02.07, 38.02.08, 40.02.04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</si>
  <si>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2 от 17.02.2021)</t>
  </si>
  <si>
    <t>739624.03.01</t>
  </si>
  <si>
    <t>Бухгалтерский учет в ресторанно-гостиничном...: Уч. / С.А.Касьянова - М.:НИЦ ИНФРА-М,2025 - 215 с.(ВО)(П)</t>
  </si>
  <si>
    <t>БУХГАЛТЕРСКИЙ УЧЕТ В РЕСТОРАННО-ГОСТИНИЧНОМ БИЗНЕСЕ И ТУРИЗМЕ, ИЗД.1</t>
  </si>
  <si>
    <t>978-5-16-020793-3</t>
  </si>
  <si>
    <t>38.03.01, 43.03.03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</si>
  <si>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8 от 20.10.2021)</t>
  </si>
  <si>
    <t>854881.01.01</t>
  </si>
  <si>
    <t>Бухгалтерский учет в схемах и таблицах: уч.пос. / А.В.Зонова и др. - М.:НИЦ ИНФРА-М, Магистр,2025. - 252 с.(п)</t>
  </si>
  <si>
    <t>БУХГАЛТЕРСКИЙ УЧЕТ В СХЕМАХ И ТАБЛИЦАХ, ИЗД.1</t>
  </si>
  <si>
    <t>Зонова А.В., Горячих С.П., Ливанова Р.В. и др.</t>
  </si>
  <si>
    <t>978-5-9776-0571-7</t>
  </si>
  <si>
    <t>38.02.01, 38.02.02, 38.02.03, 38.02.06, 38.02.07, 38.02.08, 38.03.01, 38.03.02, 38.03.03, 38.03.04, 38.03.05, 38.03.06, 38.03.07, 38.03.10, 38.05.01, 38.05.02</t>
  </si>
  <si>
    <t>448050.11.01</t>
  </si>
  <si>
    <t>Бухгалтерский учет и анализ. Осн. теор. для бакал. эконом.: Уч. / Ю.А.Бабаев - М,: Вуз.уч.: ИНФРА-М,2027 - 302 с.(п)</t>
  </si>
  <si>
    <t>БУХГАЛТЕРСКИЙ УЧЕТ И АНАЛИЗ. ОСНОВЫ ТЕОРИИ ДЛЯ БАКАЛАВРОВ ЭКОНОМИКИ, ИЗД.1</t>
  </si>
  <si>
    <t>Бабаев Ю. А., Петров А. М.</t>
  </si>
  <si>
    <t>978-5-9558-0327-2</t>
  </si>
  <si>
    <t>38.03.02, 38.03.04, 38.03.05, 38.03.06, 38.03.07, 38.04.01, 38.04.02, 38.04.04, 38.04.05, 38.04.06, 38.04.07, 38.04.08</t>
  </si>
  <si>
    <t>Рекомендовано УМО вузов России по образованию в области финансов, учета и мировой экономики в качестве учебника для студентов, обучающихся по направлению «Экономика»</t>
  </si>
  <si>
    <t>463250.08.01</t>
  </si>
  <si>
    <t>Бухгалтерский учет и анализ. Практикум: Уч. пос. / Ю.И.Сигидов - М:ИНФРА-М,2025 - 156 с.(ВО: Бакалавр.) (п)</t>
  </si>
  <si>
    <t>БУХГАЛТЕРСКИЙ УЧЕТ И АНАЛИЗ. ПРАКТИКУМ, ИЗД.1</t>
  </si>
  <si>
    <t>Сигидов Ю. И., Рыбянцева М. С., Мороз Н. Ю., Сигидов Ю. И., Оксанич Е. А.</t>
  </si>
  <si>
    <t>978-5-16-009609-4</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</si>
  <si>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з качестве учебного пособия для студентов высших учебных заведений, обучающихся по направле</t>
  </si>
  <si>
    <t>462700.05.01</t>
  </si>
  <si>
    <t>Бухгалтерский учет и анализ: практикум: Уч.пос. / М.В.Мельник - 2 изд. - М.:НИЦ ИНФРА-М,2026. - 198 с.(ВО)(П)</t>
  </si>
  <si>
    <t>БУХГАЛТЕРСКИЙ УЧЕТ И АНАЛИЗ: ПРАКТИКУМ, ИЗД.2</t>
  </si>
  <si>
    <t>978-5-16-016433-5</t>
  </si>
  <si>
    <t>23.03.01, 38.03.01, 38.03.02, 38.03.03, 38.03.04, 38.03.05, 38.03.06, 38.03.07, 38.05.01, 38.05.02</t>
  </si>
  <si>
    <t>135600.15.01</t>
  </si>
  <si>
    <t>Бухгалтерский учет и анализ: Уч. / А.Д.Шеремет - 3 изд. - М.:НИЦ ИНФРА-М,2026 - 472 с.(ВО: Бакалавр.) (П)</t>
  </si>
  <si>
    <t>БУХГАЛТЕРСКИЙ УЧЕТ И АНАЛИЗ, ИЗД.3</t>
  </si>
  <si>
    <t>Шеремет А.Д., Старовойтова Е.В., Шеремет А.Д.</t>
  </si>
  <si>
    <t>978-5-16-015482-4</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</si>
  <si>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направлению подготовки «Экономика»</t>
  </si>
  <si>
    <t>336300.08.01</t>
  </si>
  <si>
    <t>Бухгалтерский учет и анализ: Уч. / М.Д.Акатьева - 3 изд. - М.:НИЦ ИНФРА-М,2023 - 274 с.-(ВО)(П)</t>
  </si>
  <si>
    <t>Акатьева М.Д., Бирюков В.А.</t>
  </si>
  <si>
    <t>978-5-16-015826-6</t>
  </si>
  <si>
    <t>Рекомендовано федеральным государственным образовательным бюджетным учреждением высшего образования «Финансовый университет при Правительстве Российской Федерации» в качестве учебника к использованию в образовательных учреждениях, реализующих образовательные программы ВО по направлению подготовки 38.03.01 «Экономика» по дисциплине «Бухгалтерский учет и анализ» (регистрационный номер рецензии 3041 от 03.06.2015, МГУП)</t>
  </si>
  <si>
    <t>336300.06.01</t>
  </si>
  <si>
    <t>Бухгалтерский учет и анализ: Уч. / М.Д.Акатьева, - 2 изд.-М.:НИЦ ИНФРА-М,2019-258с(ВО: Бакалавр.)(П)</t>
  </si>
  <si>
    <t>БУХГАЛТЕРСКИЙ УЧЕТ И АНАЛИЗ, ИЗД.2</t>
  </si>
  <si>
    <t>978-5-16-013204-4</t>
  </si>
  <si>
    <t>Рекомендовано федеральным государственным образовательным бюджетным учреждением высшего образования «Финансовый университет при Правительстве Российской Федерации» в качестве учебника к использованию в образовательных учреждениях, реализующих образовательные программы ВО по направлению подготовки 38.03.01 «Экономика» по дисциплине «Бухгалтерский учет и анализ»</t>
  </si>
  <si>
    <t>631954.03.01</t>
  </si>
  <si>
    <t>Бухгалтерский учет и анализ: Уч. / Под ред. Суглобова А.Е.-М.:ИЦ РИОР, НИЦ ИНФРА-М,2018-478с.(ВО)(П)</t>
  </si>
  <si>
    <t>БУХГАЛТЕРСКИЙ УЧЕТ И АНАЛИЗ, ИЗД.1</t>
  </si>
  <si>
    <t>Суглобов А.Е., Жарылгасова Б.Т., Хмелев С.А. и др.</t>
  </si>
  <si>
    <t>978-5-369-01585-8</t>
  </si>
  <si>
    <t>38.03.01, 38.03.02, 38.03.04, 38.04.02, 38.04.04, 38.05.01</t>
  </si>
  <si>
    <t>Международный славянский институт</t>
  </si>
  <si>
    <t>661008.05.01</t>
  </si>
  <si>
    <t>Бухгалтерский учет и анализ: Уч. / С.А.Сироткин - М.:НИЦ ИНФРА-М,2024 - 355 с.-(ВО: Бакалавриат)(П)</t>
  </si>
  <si>
    <t>Сироткин С.А., Кельчевская Н.Р.</t>
  </si>
  <si>
    <t>978-5-16-013703-2</t>
  </si>
  <si>
    <t>38.03.01, 38.03.02, 38.03.04, 38.03.06, 38.03.10</t>
  </si>
  <si>
    <t>Уральский федеральный университет им. первого Президента России Б.Н. Ельцина</t>
  </si>
  <si>
    <t>733123.03.01</t>
  </si>
  <si>
    <t>Бухгалтерский учет и анализ: Уч. / С.А.Сироткин - М.:НИЦ ИНФРА-М,2025 - 355 с.-(СПО)(П)</t>
  </si>
  <si>
    <t>978-5-16-016048-1</t>
  </si>
  <si>
    <t>11.02.12, 19.02.10, 29.02.05, 35.01.23, 35.01.24, 38.01.02, 38.02.01, 38.02.03, 38.02.06, 38.02.07, 38.02.08, 40.02.04, 43.01.09, 43.02.01, 43.02.11, 51.02.02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</si>
  <si>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8 от 22.06.2020)</t>
  </si>
  <si>
    <t>235300.05.01</t>
  </si>
  <si>
    <t>Бухгалтерский учет и анализ: Уч. пос. / Под ред. Ю.И. Сигидова - М.: НИЦ ИНФРА-М, 2020 - 336 с. (ВО) (п)</t>
  </si>
  <si>
    <t>Сигидов Ю. И., Оксанич Е. А., Сигидова Н. Ю., Сигидов Ю. И., Рыбянцева М. С.</t>
  </si>
  <si>
    <t>978-5-16-009144-0</t>
  </si>
  <si>
    <t>38.03.01, 38.03.02, 38.03.03, 38.03.04, 38.03.06, 38.03.07</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</si>
  <si>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t>
  </si>
  <si>
    <t>455450.04.01</t>
  </si>
  <si>
    <t>Бухгалтерский учет и анализ: Уч. пос./ А.В. Зонова - М.: Магистр: НИЦ ИНФРА-М, 2025.-576 с.(п)</t>
  </si>
  <si>
    <t>Зонова А. В., Адамайтис Л. А.</t>
  </si>
  <si>
    <t>978-5-9776-0294-5</t>
  </si>
  <si>
    <t>862688.01.01</t>
  </si>
  <si>
    <t>Бухгалтерский учет и анализ: Уч.пос. / Л.А.Адамайтис и др. - М.:НИЦ ИНФРА-М,2026. - 704 с.(п)</t>
  </si>
  <si>
    <t>Зонова А. В., Адамайтис Л.А., Холкин А.В., Ливанова Р.В.</t>
  </si>
  <si>
    <t>978-5-16-021318-7</t>
  </si>
  <si>
    <t>00.03.13, 38.03.01</t>
  </si>
  <si>
    <t>Вятский государственный университет</t>
  </si>
  <si>
    <t>235300.08.01</t>
  </si>
  <si>
    <t>Бухгалтерский учет и анализ: Уч.пос. / Ю.И.Сигидов - 2 изд. - М.:НИЦ ИНФРА-М,2027. - 358 с.(ВО)(п)</t>
  </si>
  <si>
    <t>978-5-16-022448-0</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</si>
  <si>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38.03.01 «Экономика», 38.03.02 «Менеджмент» (квалификация (степень) «бакалавр») (ФГАУ ФИРО)</t>
  </si>
  <si>
    <t>631954.04.01</t>
  </si>
  <si>
    <t>Бухгалтерский учет и анализ:Уч. / Под ред. Суглобов А.Е., - 2-е изд.-М.:ИЦ РИОР, НИЦ ИНФРА-М,2019.-488 с.(П 7БЦ)</t>
  </si>
  <si>
    <t>Суглобов А.Е., Жарылгасова Б.Т., Манышин Д.М. и др.</t>
  </si>
  <si>
    <t>978-5-369-01790-6</t>
  </si>
  <si>
    <t>369900.05.01</t>
  </si>
  <si>
    <t>Бухгалтерский учет и аудит: Уч.пос. / Ю.И.Сигидов и др. - М.:НИЦ ИНФРА-М,2024-407с.(ВО: Бакалавриат)</t>
  </si>
  <si>
    <t>БУХГАЛТЕРСКИЙ УЧЕТ И АУДИТ, ИЗД.1</t>
  </si>
  <si>
    <t>Ю.И.Сигидов, М.Ф.Сафонова, Г.Н.Ясменко и др.</t>
  </si>
  <si>
    <t>978-5-16-011016-5</t>
  </si>
  <si>
    <t>797999.02.01</t>
  </si>
  <si>
    <t>Бухгалтерский учет и внутренний контроль: Уч. / Ю.И.Сигидов - М.:НИЦ ИНФРА-М,2027. - 641 с.(ВО)(п)</t>
  </si>
  <si>
    <t>БУХГАЛТЕРСКИЙ УЧЕТ И ВНУТРЕННИЙ КОНТРОЛЬ, ИЗД.1</t>
  </si>
  <si>
    <t>Сигидов Ю.И., Оксанич Е.А., Ясменко Г.Н. и др.</t>
  </si>
  <si>
    <t>978-5-16-018308-4</t>
  </si>
  <si>
    <t>38.03.01, 38.03.02, 38.05.01</t>
  </si>
  <si>
    <t>676901.05.01</t>
  </si>
  <si>
    <t>Бухгалтерский учет и налогообл. внешнеэконом...: Уч. / Р.Г.Каспина - 2 изд.-М.:НИЦ ИНФРА-М,2024-420с(П)</t>
  </si>
  <si>
    <t>БУХГАЛТЕРСКИЙ УЧЕТ И НАЛОГООБЛОЖЕНИЕ ВНЕШНЕЭКОНОМИЧЕСКОЙ ДЕЯТЕЛЬНОСТИ ОРГАНИЗАЦИЙ, ИЗД.2</t>
  </si>
  <si>
    <t>Каспина Р.Г., Плотникова Л.А.</t>
  </si>
  <si>
    <t>978-5-16-018442-5</t>
  </si>
  <si>
    <t>38.03.01, 38.03.02, 38.03.04, 38.03.06, 38.04.01, 38.04.02, 38.04.04, 38.04.06, 38.05.02</t>
  </si>
  <si>
    <t>Рекомендован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(квалификация (степень) «бакалавр») (протокол № 17 от 11.11.2019)</t>
  </si>
  <si>
    <t>763891.04.01</t>
  </si>
  <si>
    <t>Бухгалтерский учет и налогооблож. субъектов малого и...: Уч.пос./ Шахбанов Р.-М.:Магистр, НИЦ ИНФРА-М,2025.-184 с.(П)</t>
  </si>
  <si>
    <t>БУХГАЛТЕРСКИЙ УЧЕТ И НАЛОГООБЛОЖЕНИЕ СУБЪЕКТОВ МАЛОГО И СРЕДНЕГО ПРЕДПРИНИМАТЕЛЬСТВА, ИЗД.1</t>
  </si>
  <si>
    <t>Шахбанов Р.Б., Рабаданова Ж.Б.</t>
  </si>
  <si>
    <t>978-5-9776-0534-2</t>
  </si>
  <si>
    <t>Дагестанский государственный университет народного хозяйства</t>
  </si>
  <si>
    <t>656360.05.01</t>
  </si>
  <si>
    <t>Бухгалтерский учет и отчетность: практ.: Уч.пос. / Хахонова Н.Н. - М.:ИЦ РИОР, НИЦ ИНФРА-М,2022 - 450 с.(П)</t>
  </si>
  <si>
    <t>БУХГАЛТЕРСКИЙ УЧЕТ И ОТЧЕТНОСТЬ: ПРАКТИКУМ, ИЗД.1</t>
  </si>
  <si>
    <t>Хахонова Н.Н., Емельянова И.Н., Алексеева И.В. и др.</t>
  </si>
  <si>
    <t>978-5-369-01719-7</t>
  </si>
  <si>
    <t>645777.08.01</t>
  </si>
  <si>
    <t>Бухгалтерский учет и отчетность: Уч. / Под ред. Хахоновой Н.Н. - М.:ИЦ РИОР, НИЦ ИНФРА-М,2022 - 560 с.(ВО)(П)</t>
  </si>
  <si>
    <t>БУХГАЛТЕРСКИЙ УЧЕТ И ОТЧЕТНОСТЬ, ИЗД.1</t>
  </si>
  <si>
    <t>Хахонова Н.Н., Алексеева И.В., Бахтеев А.В. и др.</t>
  </si>
  <si>
    <t>978-5-369-01702-9</t>
  </si>
  <si>
    <t>38.03.01, 38.03.02, 38.03.04, 38.04.01</t>
  </si>
  <si>
    <t>715337.03.01</t>
  </si>
  <si>
    <t>Бухгалтерский учет и оценка незаверш. произв. в растениеводстве: Моногр. / Н.Н.Карзаева-М.:НИЦ ИНФРА-М,2022-172 с.(О)</t>
  </si>
  <si>
    <t>БУХГАЛТЕРСКИЙ УЧЕТ И ОЦЕНКА НЕЗАВЕРШЕННОГО ПРОИЗВОДСТВА В РАСТЕНИЕВОДСТВЕ, ИЗД.1</t>
  </si>
  <si>
    <t>Карзаева Н.Н., Бенгардт М.В.</t>
  </si>
  <si>
    <t>978-5-16-015519-7</t>
  </si>
  <si>
    <t>38.03.01, 38.04.01, 38.06.01</t>
  </si>
  <si>
    <t>737295.03.01</t>
  </si>
  <si>
    <t>Бухгалтерский учет и эконом. анализ бизнес-процес: Уч.пос. / Е.А.Мизиковский - М.:Магистр, НИЦ ИНФРА-М,2027 - 216 с.(О)</t>
  </si>
  <si>
    <t>БУХГАЛТЕРСКИЙ УЧЕТ И ЭКОНОМИЧЕСКИЙ АНАЛИЗ БИЗНЕС-ПРОЦЕССОВ, ИЗД.1</t>
  </si>
  <si>
    <t>Мизиковский Е.А., Мизиковский И.Е.</t>
  </si>
  <si>
    <t>978-5-9776-0517-5</t>
  </si>
  <si>
    <t>826773.01.01</t>
  </si>
  <si>
    <t>Бухгалтерский учет обязательств организации...: Моногр. / Т.Ю.Дружиловская - М.:НИЦ ИНФРА-М,2025. - 181с(о)</t>
  </si>
  <si>
    <t>БУХГАЛТЕРСКИЙ УЧЕТ ОБЯЗАТЕЛЬСТВ ОРГАНИЗАЦИИ: ТЕОРЕТИЧЕСКИЙ, МЕТОДИЧЕСКИЙ И ПРАКТИЧЕСКИЙ АСПЕКТЫ, ИЗД.1</t>
  </si>
  <si>
    <t>Дружиловская Т.Ю., Игонина Т.В.</t>
  </si>
  <si>
    <t>978-5-16-019900-9</t>
  </si>
  <si>
    <t>38.04.01, 38.06.01</t>
  </si>
  <si>
    <t>128200.12.01</t>
  </si>
  <si>
    <t>Бухгалтерский учет, анализ и аудит внешнеэконом. деят.: Уч. / Ю.А.Бабаев - 3 изд. - М.:Вуз. уч., НИЦ ИНФРА-М,2027. - 349 с.(П)</t>
  </si>
  <si>
    <t>БУХГАЛТЕРСКИЙ УЧЕТ, АНАЛИЗ И АУДИТ ВНЕШНЕЭКОНОМИЧЕСКОЙ ДЕЯТЕЛЬНОСТИ, ИЗД.3</t>
  </si>
  <si>
    <t>Бабаев Ю.А., Петров А.М., Кеворкова Ж.А. и др.</t>
  </si>
  <si>
    <t>978-5-9558-0510-8</t>
  </si>
  <si>
    <t>25.04.03, 38.03.01, 38.03.02, 38.04.01, 38.04.08, 38.04.09, 41.03.06</t>
  </si>
  <si>
    <t>Рекомендовано Учебно-методическим объединением вузов России по образованию в области финансов, учета и мировой экономики в качестве учебника для студентов, обучающихся по специальности 080109 "Бухгалтерский учет,анализ и аудит"</t>
  </si>
  <si>
    <t>474500.05.01</t>
  </si>
  <si>
    <t>Бухгалтерский учет, анализ и аудит операций..: Уч.пос. / О.В.Дмитриева - М.:НИЦ ИНФРА-М,2025 - 268 с.(ВО)(П)</t>
  </si>
  <si>
    <t>БУХГАЛТЕРСКИЙ УЧЕТ, АНАЛИЗ И АУДИТ ОПЕРАЦИЙ С ЦЕННЫМИ БУМАГАМИ, ИЗД.1</t>
  </si>
  <si>
    <t>Дмитриева О.В.</t>
  </si>
  <si>
    <t>978-5-16-020808-4</t>
  </si>
  <si>
    <t>38.03.01, 38.03.02, 38.04.01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</si>
  <si>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17 от 11.11.2019)</t>
  </si>
  <si>
    <t>714623.07.01</t>
  </si>
  <si>
    <t>Бухгалтерский учет. Сб. задач..: Уч.пос. / Под ред. Гаджиев Н.Г., - 2 изд. - М.:НИЦ ИНФРА-М,2025 - 391 с.(ВО)(п)</t>
  </si>
  <si>
    <t>БУХГАЛТЕРСКИЙ УЧЕТ. СБОРНИК ЗАДАЧ, СИТУАЦИЙ И ТЕСТОВ, ИЗД.2</t>
  </si>
  <si>
    <t>Гаджиев Н.Г., Заугарова Е.В., Киселева О.В. и др.</t>
  </si>
  <si>
    <t>Высшее образование: Специалитет</t>
  </si>
  <si>
    <t>978-5-16-016907-1</t>
  </si>
  <si>
    <t>38.05.01, 38.05.02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</si>
  <si>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4 от 13.04.2022)</t>
  </si>
  <si>
    <t>125300.08.01</t>
  </si>
  <si>
    <t>Бухгалтерский учет. Сборник задач: Уч.пос. / Е.А.Кыштымова - М.:ИД ФОРУМ:НИЦ ИНФРА-М,2024 -208с.(ВО)</t>
  </si>
  <si>
    <t>БУХГАЛТЕРСКИЙ УЧЕТ. СБОРНИК ЗАДАЧ, ИЗД.1</t>
  </si>
  <si>
    <t>Кыштымова Е. А.</t>
  </si>
  <si>
    <t>978-5-8199-0427-5</t>
  </si>
  <si>
    <t>Рекомендовано УМО по образованию в области финансов, учета и мировой экономики в качестве учебного пособия для студентов вузов, обучающихся по специальности "Бухгалтерский учет, анализ и аудит"</t>
  </si>
  <si>
    <t>Орловский государственный аграрный университет им. Н.В. Парахина</t>
  </si>
  <si>
    <t>714623.04.01</t>
  </si>
  <si>
    <t>Бухгалтерский учет: Сб. задач...: Уч.пос. / Под ред. Гаджиева Н.Г. - М.:НИЦ ИНФРА-М,2022 - 283 с.(ВО)(П)</t>
  </si>
  <si>
    <t>БУХГАЛТЕРСКИЙ УЧЕТ. СБОРНИК ЗАДАЧ, СИТУАЦИЙ И ТЕСТОВ, ИЗД.1</t>
  </si>
  <si>
    <t>Гаджиев Н.Г., Ивличев П.С., Ивличева Н.А. и др.</t>
  </si>
  <si>
    <t>978-5-16-015486-2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</si>
  <si>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19 от 09.12.2019)</t>
  </si>
  <si>
    <t>125300.10.01</t>
  </si>
  <si>
    <t>Бухгалтерский учет: Сб. задач: Уч.пос. / Е.А.Кыштымова, - 2 изд. - М.:НИЦ ИНФРА-М,2027. - 261 с.(ВО)(п)</t>
  </si>
  <si>
    <t>БУХГАЛТЕРСКИЙ УЧЕТ. СБОРНИК ЗАДАЧ, ИЗД.2</t>
  </si>
  <si>
    <t>Кыштымова Е.А.</t>
  </si>
  <si>
    <t>978-5-16-019623-7</t>
  </si>
  <si>
    <t>Рекомендовано Ученым советом Среднерусского института управления — филиала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 в качестве учебного пособия для студентов, обучающихся по направлению подготовки «Бухгалтерский учет, анализ и аудит»</t>
  </si>
  <si>
    <t>693009.05.01</t>
  </si>
  <si>
    <t>Бухгалтерский учет: теория и практика: Уч. / Т.В.Миршук - М.:НИЦ ИНФРА-М,2026 - 182 с.(СПО)(П)</t>
  </si>
  <si>
    <t>БУХГАЛТЕРСКИЙ УЧЕТ: ТЕОРИЯ И ПРАКТИКА, ИЗД.1</t>
  </si>
  <si>
    <t>Миршук Т.В.</t>
  </si>
  <si>
    <t>978-5-16-015121-2</t>
  </si>
  <si>
    <t>11.02.12, 29.02.05, 35.01.23, 35.01.24, 38.01.02, 38.02.01, 38.02.02, 38.02.03, 38.02.06, 38.02.07, 38.02.08, 40.02.04, 43.01.09, 43.02.01, 43.02.16, 51.02.02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</si>
  <si>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38.02.01 «Экономика и управление» (протокол № 8 от 22.06.2020)</t>
  </si>
  <si>
    <t>124500.17.01</t>
  </si>
  <si>
    <t>Бухгалтерский учет: Уч. / В.Г.Гетьман - 3 изд. - М.:НИЦ ИНФРА-М,2027. - 591 с.(ВО)(п)</t>
  </si>
  <si>
    <t>БУХГАЛТЕРСКИЙ УЧЕТ, ИЗД.3</t>
  </si>
  <si>
    <t>Гетьман В.Г., Бабаева З.Д., Блинова У.Ю. и др.</t>
  </si>
  <si>
    <t>978-5-16-020860-2</t>
  </si>
  <si>
    <t>Рекомендовано Государственным университетом управления в качестве учебника для студентов вузов, обучающихся по направлению подготовки 38.03.01 «Экономика» (квалификация (степень) «бакалавр»)</t>
  </si>
  <si>
    <t>864272.01.01</t>
  </si>
  <si>
    <t>Бухгалтерский учет: Уч. / Е.А.Мизиковский - М.:НИЦ ИНФРА-М,2026. - 416 с.(Магистр)(п)</t>
  </si>
  <si>
    <t>БУХГАЛТЕРСКИЙ УЧЕТ, ИЗД.1</t>
  </si>
  <si>
    <t>Мизиковский Е.А., Мизиковский И.Е., Мельник М.В.</t>
  </si>
  <si>
    <t>978-5-16-021497-9</t>
  </si>
  <si>
    <t>38.03.01, 38.03.02, 38.03.03, 38.03.04, 38.03.05, 38.03.06, 38.03.07, 38.03.10, 38.05.01, 38.05.02</t>
  </si>
  <si>
    <t>070800.11.01</t>
  </si>
  <si>
    <t>Бухгалтерский учет: Уч. / Н.А.Лытнева и др., - 3 изд. - М.:НИЦ ИНФРА-М,2025. - 535 с.(СПО)(п)</t>
  </si>
  <si>
    <t>Лытнева Н.А., Малявкина Л.И., Федорова Т.В.</t>
  </si>
  <si>
    <t>978-5-16-019325-0</t>
  </si>
  <si>
    <t>11.02.12, 29.02.05, 35.01.23, 35.01.24, 38.01.02, 38.02.01, 38.02.03, 38.02.06, 38.02.07, 38.02.08, 40.02.04, 43.02.01, 51.02.02</t>
  </si>
  <si>
    <t>712781.04.01</t>
  </si>
  <si>
    <t>Бухгалтерский учет: Уч. / Н.Г.Гаджиев и др. - М.:НИЦ ИНФРА-М,2022 - 581 с.-(ВО: Специалитет)(П)</t>
  </si>
  <si>
    <t>Гаджиев Н.Г., Ивличева Н.А., Ивличев П.С. и др.</t>
  </si>
  <si>
    <t>978-5-16-015446-6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</si>
  <si>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38.05.01 «Экономическая безопасность» (квалификация «экономист») (протокол № 15 от 14.10.2019)</t>
  </si>
  <si>
    <t>852328.01.01</t>
  </si>
  <si>
    <t>Бухгалтерский учет: Уч. / С.Н.Петренко и др. - М.:НИЦ ИНФРА-М,2026. - 360 с.(ВО)(п)</t>
  </si>
  <si>
    <t>Петренко С.Н., Проданова Н.А., Наумчук О.А. и др.</t>
  </si>
  <si>
    <t>978-5-16-020866-4</t>
  </si>
  <si>
    <t>Донецкий национальный университет экономики и торговли имени Михаила Туган-Барановского</t>
  </si>
  <si>
    <t>078500.13.01</t>
  </si>
  <si>
    <t>Бухгалтерский учет: Уч.пос. / Л.М.Бурмистрова - 4 изд. - М.:НИЦ ИНФРА-М,2022 - 304 с.-(СПО)(П)</t>
  </si>
  <si>
    <t>БУХГАЛТЕРСКИЙ УЧЕТ, ИЗД.4</t>
  </si>
  <si>
    <t>Бурмистрова Л.М.</t>
  </si>
  <si>
    <t>978-5-16-015682-8</t>
  </si>
  <si>
    <t>11.02.12, 29.02.05, 35.01.23, 35.01.24, 38.01.02, 38.02.01, 38.02.02, 38.02.03, 38.02.06, 38.02.07, 38.02.08, 40.02.04, 43.01.09, 43.02.01, 51.02.02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</si>
  <si>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11 от 09.11.2020)</t>
  </si>
  <si>
    <t>Аудиторская фирма "Аудит Вашего Бизнеса"</t>
  </si>
  <si>
    <t>078500.11.01</t>
  </si>
  <si>
    <t>Бухгалтерский учет: Уч.пос. / Л.М.Бурмистрова, - 3 изд.-М.:Форум, НИЦ ИНФРА-М,2020.-318 с..-(СПО)(О)</t>
  </si>
  <si>
    <t>978-5-91134-855-7</t>
  </si>
  <si>
    <t>Допущено Мин. обр. и науки РФ в качестве учебного пособия для студентов учреждений среднего профессионального образования, обучаюищхся по группе специальностей "Экономика и управление"</t>
  </si>
  <si>
    <t>078500.18.01</t>
  </si>
  <si>
    <t>Бухгалтерский учет: Уч.пос. / Л.М.Бурмистрова, - 5 изд. - М.:НИЦ ИНФРА-М,2027. - 315 с.(СПО (ФинУн))(п)</t>
  </si>
  <si>
    <t>БУХГАЛТЕРСКИЙ УЧЕТ, ИЗД.5</t>
  </si>
  <si>
    <t>978-5-16-019743-2</t>
  </si>
  <si>
    <t>0525</t>
  </si>
  <si>
    <t>344200.05.01</t>
  </si>
  <si>
    <t>Бухгалтерский учет:учет оборот.средств: Уч.пос. / В.И.Бережной - М.:НИЦ ИНФРА-М,2025 - 192 с.(ВО:Бакалавр.)</t>
  </si>
  <si>
    <t>БУХГАЛТЕРСКИЙ УЧЕТ: УЧЕТ ОБОРОТНЫХ СРЕДСТВ, ИЗД.1</t>
  </si>
  <si>
    <t>Бережной В.И., Суспицына Г.Г., Бигдай О.Б. и др.</t>
  </si>
  <si>
    <t>978-5-16-010784-4</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</si>
  <si>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Регистрационный номер рецензии 022 от 29 января 2015 г. (ФГАУ ФИРО)</t>
  </si>
  <si>
    <t>390600.05.01</t>
  </si>
  <si>
    <t>Бухгалтерский фин. учет. Практикум: Уч.пос. / А.М.Петров - М.: Вуз.уч., НИЦ ИНФРА-М, 2026 - 280 с.(п)</t>
  </si>
  <si>
    <t>БУХГАЛТЕРСКИЙ ФИНАНСОВЫЙ УЧЕТ. ПРАКТИКУМ, ИЗД.1</t>
  </si>
  <si>
    <t>ПетровА.М.</t>
  </si>
  <si>
    <t>978-5-9558-0456-9</t>
  </si>
  <si>
    <t>175000.10.01</t>
  </si>
  <si>
    <t>Бухгалтерский финанс. учет в сельском хоз.: Уч.пос. / А.М.Сайгидмагомедов - 2 изд. - М.:НИЦ ИНФРА-М,2027 - 561 с.(п)</t>
  </si>
  <si>
    <t>БУХГАЛТЕРСКИЙ ФИНАНСОВЫЙ УЧЕТ В СЕЛЬСКОМ ХОЗЯЙСТВЕ, ИЗД.2</t>
  </si>
  <si>
    <t>Сайгидмагомедов А.М.</t>
  </si>
  <si>
    <t>978-5-16-016146-4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</si>
  <si>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 от 20.01.2021)</t>
  </si>
  <si>
    <t>852052.01.01</t>
  </si>
  <si>
    <t>Бухгалтерский финанс. учет в сельском хоз.: Уч.пос. / И.А.Бондин. - М.:НИЦ ИНФРА-М,2026. - 529 с.(ВО)(п)</t>
  </si>
  <si>
    <t>БУХГАЛТЕРСКИЙ ФИНАНСОВЫЙ УЧЕТ В СЕЛЬСКОМ ХОЗЯЙСТВЕ, ИЗД.1</t>
  </si>
  <si>
    <t>Бондин И.А., Бондина Н.Н., Павлова И.В. и др.</t>
  </si>
  <si>
    <t>978-5-16-020813-8</t>
  </si>
  <si>
    <t>766307.02.01</t>
  </si>
  <si>
    <t>Бухгалтерский финанс. учет в сельском хозяйстве: Уч. / В.Г.Широбоков - М.:НИЦ ИНФРА-М,2027. - 550 с.(ВО)(п)</t>
  </si>
  <si>
    <t>978-5-16-018115-8</t>
  </si>
  <si>
    <t>Рекомендовано Федеральным УМО по сельскому, лесному и рыбному хозяйству в качестве учебника для подготовки бакалавров по направлению «Экономика»</t>
  </si>
  <si>
    <t>Международный конкурс на лучшее учебное и научное издание, Омский ГАУ-2025, Победитель, III место</t>
  </si>
  <si>
    <t>108700.13.01</t>
  </si>
  <si>
    <t>Бухгалтерский финансовый учет в сельском хоз.: Уч. / Г.М.Лисович - 2 изд. - Вуз.уч.:ИНФРА-М,2025 - 288 с.(п)</t>
  </si>
  <si>
    <t>Лисович Г. М.</t>
  </si>
  <si>
    <t>978-5-9558-0377-7</t>
  </si>
  <si>
    <t>Рекомендовано Учебно-методическим объединением вузов России по образованию в области финансов, бухгалтерского учета и мировой экономики в качестве учебного пособия для студентов высших учебных заведений, обучающихся по направлению «Экономика» (степен</t>
  </si>
  <si>
    <t>175000.05.01</t>
  </si>
  <si>
    <t>Бухгалтерский финансовый учет в сельском хозяйстве: уч.пос. / А.М.Сайгидмагомедов-М.:Форум, НИЦ ИНФРА-М,2018.-768 с..-(ВО: Магистратур</t>
  </si>
  <si>
    <t>Сайгидмагомедов А. М.</t>
  </si>
  <si>
    <t>978-5-91134-643-0</t>
  </si>
  <si>
    <t>742670.05.01</t>
  </si>
  <si>
    <t>Бухгалтерский финансовый учет: теория и практика: Уч. / Л.И.Воронина - М.:НИЦ ИНФРА-М,2027. - 587с.(ВО)(п)</t>
  </si>
  <si>
    <t>БУХГАЛТЕРСКИЙ ФИНАНСОВЫЙ УЧЕТ: ТЕОРИЯ И ПРАКТИКА, ИЗД.1</t>
  </si>
  <si>
    <t>978-5-16-019392-2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</si>
  <si>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6 от 16.06.2021)</t>
  </si>
  <si>
    <t>289200.06.01</t>
  </si>
  <si>
    <t>Бухгалтерский финансовый учет: Уч. / Е.А.Мизиковский, - 2 изд.-М.:Магистр, НИЦ ИНФРА-М,2022.-624 с.(П)</t>
  </si>
  <si>
    <t>БУХГАЛТЕРСКИЙ ФИНАНСОВЫЙ УЧЕТ, ИЗД.2</t>
  </si>
  <si>
    <t>Мизиковский Е. А., Мизиковский И. Е.</t>
  </si>
  <si>
    <t>978-5-9776-0544-1</t>
  </si>
  <si>
    <t>38.03.01, 38.03.02, 38.04.01, 38.04.09, 41.03.06</t>
  </si>
  <si>
    <t>Рекомендовано УМО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«Экономика» (уровень бакалавриата, уровень магистратуры)</t>
  </si>
  <si>
    <t>289200.08.01</t>
  </si>
  <si>
    <t>Бухгалтерский финансовый учет: Уч. / Е.А.Мизиковский, - 3 изд. - М.:Магистр, НИЦ ИНФРА-М,2027. -  656 с.(п)</t>
  </si>
  <si>
    <t>БУХГАЛТЕРСКИЙ ФИНАНСОВЫЙ УЧЕТ, ИЗД.3</t>
  </si>
  <si>
    <t>978-5-9776-0559-5</t>
  </si>
  <si>
    <t>0324</t>
  </si>
  <si>
    <t>483250.04.01</t>
  </si>
  <si>
    <t>Бухгалтерский финансовый учет: Уч. / Ю.И.Сигидов - 2 изд. - М.:НИЦ ИНФРА-М,2025. - 480 с.(ВО)(п)</t>
  </si>
  <si>
    <t>Сигидов Ю.И., Оксанич Е.А., Ясменко Г.Н.</t>
  </si>
  <si>
    <t>978-5-16-018235-3</t>
  </si>
  <si>
    <t>38.03.01, 38.03.02, 38.04.01, 38.04.02, 38.04.08, 44.03.05</t>
  </si>
  <si>
    <t>289200.05.01</t>
  </si>
  <si>
    <t>Бухгалтерский финансовый учет: Уч. пос. /Е.А. Мизиковский - М:Магистр: ИНФРА-М, 2022 -624с. (Бакалавриат)(П)</t>
  </si>
  <si>
    <t>БУХГАЛТЕРСКИЙ ФИНАНСОВЫЙ УЧЕТ, ИЗД.1</t>
  </si>
  <si>
    <t>978-5-9776-0310-2</t>
  </si>
  <si>
    <t>433650.07.01</t>
  </si>
  <si>
    <t>Бухгалтерский финансовый учет: Уч.пос. / И.В.Бахолдина, - 2 изд. - М.:НИЦ ИНФРА-М,2026. - 277 с.(ВО)(П)</t>
  </si>
  <si>
    <t>Бахолдина И.В., Голышева Н.И.</t>
  </si>
  <si>
    <t>978-5-16-016380-2</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</si>
  <si>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подготовки 38.03.01 «Экономика» (профиль «Бухгалтерский учет, анализ и аудит»)</t>
  </si>
  <si>
    <t>433650.03.01</t>
  </si>
  <si>
    <t>Бухгалтерский финансовый учет: уч.пос. / И.В.Бахолдина-М.:Форум, НИЦ ИНФРА-М,2018.-320 с..-(ВО: Бакалавриат)(О. КБС)</t>
  </si>
  <si>
    <t>Бахолдина И. В., Голышева Н. И.</t>
  </si>
  <si>
    <t>978-5-91134-739-0</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</si>
  <si>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«Бухгалтерский учет, анализ и аудит»</t>
  </si>
  <si>
    <t>483250.03.01</t>
  </si>
  <si>
    <t>Бухгалтерский финансовый учет: Уч.пос. / Под ред. Сигидова Ю.И.-М.:НИЦ ИНФРА-М,2019-367с.(ВО)(П)</t>
  </si>
  <si>
    <t>Сигидов Ю.И., Ясменко Г.Н., Рыбянцева М.С. и др.</t>
  </si>
  <si>
    <t>978-5-16-010482-9</t>
  </si>
  <si>
    <t>283700.07.01</t>
  </si>
  <si>
    <t>Бухгалтерский экологич. учет и анализ: Уч.пос. / А.И.Белоусов - 2 изд. - М.:Форум,НИЦ ИНФРА-М,2027 - 206 с.(П)</t>
  </si>
  <si>
    <t>БУХГАЛТЕРСКИЙ ЭКОЛОГИЧЕСКИЙ УЧЕТ И АНАЛИЗ, ИЗД.2</t>
  </si>
  <si>
    <t>Белоусов А.И., Шелухина Е.А., Близно Л.В.</t>
  </si>
  <si>
    <t>978-5-00091-690-2</t>
  </si>
  <si>
    <t>283700.03.01</t>
  </si>
  <si>
    <t>Бухгалтерский экологич.учет и анализ: Уч.пос. / А.И.Белоусов-М.:Форум, НИЦ ИНФРА-М,2017.-224 с(О)</t>
  </si>
  <si>
    <t>БУХГАЛТЕРСКИЙ ЭКОЛОГИЧЕСКИЙ УЧЕТ И АНАЛИЗ, ИЗД.1</t>
  </si>
  <si>
    <t>Белоусов А. И., Шелухина Е. А., Близно Л. В.</t>
  </si>
  <si>
    <t>978-5-91134-901-1</t>
  </si>
  <si>
    <t>Рекомендовано УМ 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t>
  </si>
  <si>
    <t>298700.06.01</t>
  </si>
  <si>
    <t>Бухгалтерское дело: Уч. / М.А.Вахрушина - М.:Вуз. уч., НИЦ ИНФРА-М,2022 - 376 с.(П)</t>
  </si>
  <si>
    <t>БУХГАЛТЕРСКОЕ ДЕЛО, ИЗД.2</t>
  </si>
  <si>
    <t>Вахрушина М.А.</t>
  </si>
  <si>
    <t>978-5-9558-0386-9</t>
  </si>
  <si>
    <t>121900.10.01</t>
  </si>
  <si>
    <t>Бухгалтерское дело: Уч. / Под ред. Шахбанова Р.Б., - 3 изд. - М.:Магистр, НИЦ ИНФРА-М,2027. - 592 с.(П)</t>
  </si>
  <si>
    <t>БУХГАЛТЕРСКОЕ ДЕЛО, ИЗД.3</t>
  </si>
  <si>
    <t>Шахбанов Р. Б.</t>
  </si>
  <si>
    <t>978-5-9776-0490-1</t>
  </si>
  <si>
    <t>38.03.01, 38.03.02, 38.03.03, 38.03.04, 38.03.05, 38.03.06, 38.03.07, 38.04.01, 38.04.02, 38.04.03, 38.04.04, 38.04.05, 38.04.06, 38.04.07, 38.04.08, 38.04.09</t>
  </si>
  <si>
    <t>Рекомендовано УМО по образованию в области финансов, учета и мировой экономики в качестве учебного пособия для студентов вузов, обучающихся по специальности 060500 "Бухгалтерский учет, анализ и аудит"</t>
  </si>
  <si>
    <t>121900.05.01</t>
  </si>
  <si>
    <t>Бухгалтерское дело: Уч. пос./Под ред. Р.Б.Шахбанова -Изд. с обновл.-М.:Магистр,ИНФРА-М,2017-384с.(П)</t>
  </si>
  <si>
    <t>БУХГАЛТЕРСКОЕ ДЕЛО, ИЗД.1</t>
  </si>
  <si>
    <t>Р.Б.Шахбанов, З.Ш.Бабаева, Ж.Б.Рабаданова и др.</t>
  </si>
  <si>
    <t>978-5-9776-0193-1</t>
  </si>
  <si>
    <t>802416.02.01</t>
  </si>
  <si>
    <t>Бухгалтерское дело: Уч.пос. / Л.И.Хоружий. - М.:НИЦ ИНФРА-М,2027. - 347 с.(ВО)(п)</t>
  </si>
  <si>
    <t>Хоружий Л.И., Кокорев Н.А., Мишин П.Н.</t>
  </si>
  <si>
    <t>978-5-16-019242-0</t>
  </si>
  <si>
    <t>РЕКОМЕНДОВАНО ФУМО в системе высшего образования в качестве учебного пособия по укрупненной группе специальностей и направлений подготовки 35.00.00 Сельское, лесное и рыбное хозяйство (Научно-методический совет по экономико - управленческой подготовке кадров для сельского, лесного и рыбного хозяйства).</t>
  </si>
  <si>
    <t>482050.03.01</t>
  </si>
  <si>
    <t>Бухгалтерское дело: Уч.пос. / Н.В.Предеус - М.:ИЦ РИОР,НИЦ ИНФРА-М,2019 - 304 с.-(ВО: Бакалавр.)(п)</t>
  </si>
  <si>
    <t>Предеус Н.В., Церпенто С.И., Предеус Ю.В.</t>
  </si>
  <si>
    <t>978-5-369-01400-4</t>
  </si>
  <si>
    <t>425250.07.01</t>
  </si>
  <si>
    <t>Бухгалтерское дело: Уч.пос. / Ю.И.Сигидов. - 2 изд. - М.:НИЦ ИНФРА-М,2026. - 208 с.(ВО: Бакалавр.)(П)</t>
  </si>
  <si>
    <t>Сигидов Ю. И., Рыбянцева М. С., Ясменко Г. Н., Заболотная И. А., Сигидов Ю. И., Трубилин А. И.</t>
  </si>
  <si>
    <t>978-5-16-006587-8</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</si>
  <si>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38.03 01 (080100) «Экономика" (квалификация (степень) «бакалавр")</t>
  </si>
  <si>
    <t>670743.03.01</t>
  </si>
  <si>
    <t>Быстродействующие импульсные стабил.напряж.: Моногр. / В.И.Иванчура-М.:НИЦ ИНФРА-М, СФУ,2022-172с(П)</t>
  </si>
  <si>
    <t>БЫСТРОДЕЙСТВУЮЩИЕ ИМПУЛЬСНЫЕ СТАБИЛИЗАТОРЫ НАПРЯЖЕНИЯ, ИЗД.1</t>
  </si>
  <si>
    <t>Иванчура В.И., Капулин Д.В., Краснобаев Ю.В.</t>
  </si>
  <si>
    <t>978-5-16-017456-3</t>
  </si>
  <si>
    <t>13.03.02, 13.04.02, 13.06.01</t>
  </si>
  <si>
    <t>777261.06.01</t>
  </si>
  <si>
    <t>Бюджет и бюджетная система РФ: Уч.пос. / Под ред. Морозовой Н.В. - М.:НИЦ ИНФРА-М,2026. - 225 с.(ВО)(п)</t>
  </si>
  <si>
    <t>БЮДЖЕТ И БЮДЖЕТНАЯ СИСТЕМА РОССИЙСКОЙ ФЕДЕРАЦИИ, ИЗД.1</t>
  </si>
  <si>
    <t>Аркадьева О.Г., Березина Н.В., Морозова Н.В.</t>
  </si>
  <si>
    <t>978-5-16-021049-0</t>
  </si>
  <si>
    <t>38.03.01, 38.03.04, 38.05.01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</si>
  <si>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38.03.04 «Государственное и муниципальное управление» (квалификация (степень) «бакалавр») (протокол № 9 от 17.11.2022)</t>
  </si>
  <si>
    <t>Чувашский государственный университет им. И.Н. Ульянова</t>
  </si>
  <si>
    <t>485950.08.01</t>
  </si>
  <si>
    <t>Бюджет России: развитие и обеспеч. эконом. безопас.: Моногр. / В.К.Сенчагов - М.:ИНФРА-М,2027 - 384 с.(П)</t>
  </si>
  <si>
    <t>БЮДЖЕТ РОССИИ: РАЗВИТИЕ И ОБЕСПЕЧЕНИЕ ЭКОНОМИЧЕСКОЙ БЕЗОПАСНОСТИ, ИЗД.1</t>
  </si>
  <si>
    <t>Сенчагов В.К.</t>
  </si>
  <si>
    <t>978-5-16-010597-0</t>
  </si>
  <si>
    <t>468550.10.01</t>
  </si>
  <si>
    <t>Бюджетирование в сист.упр.уч..: Моногр. /М.А.Вахрушина - М.НИЦ ИНФРА-М,2026 - 114 с.(Науч.книга)(О)</t>
  </si>
  <si>
    <t>БЮДЖЕТИРОВАНИЕ В СИСТЕМЕ УПРАВЛЕНЧЕСКОГО УЧЕТА МАЛОГО БИЗНЕСА: МЕТОДИКА И ОРГАНИЗАЦИЯ ПОСТАНОВКИ, ИЗД.1</t>
  </si>
  <si>
    <t>Вахрушина М.А., Пашкова Л.В.</t>
  </si>
  <si>
    <t>978-5-16-021753-6</t>
  </si>
  <si>
    <t>38.03.04, 38.04.04, 38.04.08, 41.03.06</t>
  </si>
  <si>
    <t>638291.07.01</t>
  </si>
  <si>
    <t>Бюджетная сист.и система налогов и сборов РФ: Уч. /Е.Ю.Грачева-2изд.-М.:Юр.Норма,НИЦ ИНФРА-М,2025-256с.(П)</t>
  </si>
  <si>
    <t>БЮДЖЕТНАЯ СИСТЕМА И СИСТЕМА НАЛОГОВ И СБОРОВ РОССИЙСКОЙ ФЕДЕРАЦИИ, ИЗД.2</t>
  </si>
  <si>
    <t>Грачева Е.Ю., Болтинова О.В., Арзуманова Л.Л. и др.</t>
  </si>
  <si>
    <t>978-5-00156-302-0</t>
  </si>
  <si>
    <t>38.04.01, 38.04.04, 40.04.01, 40.05.01, 40.05.02, 40.05.03, 40.05.04</t>
  </si>
  <si>
    <t>712994.01.01</t>
  </si>
  <si>
    <t>Бюджетная система и система налогов и сборов РФ:Уч./Грачева Е.Ю.-М.:Юр.Норма,НИЦ ИНФРА-М,2019-272(П)</t>
  </si>
  <si>
    <t>БЮДЖЕТНАЯ СИСТЕМА И СИСТЕМА НАЛОГОВ И СБОРОВ РОССИЙСКОЙ ФЕДЕРАЦИИ, ИЗД.1</t>
  </si>
  <si>
    <t>978-5-00156-009-8</t>
  </si>
  <si>
    <t>38.02.06, 40.02.02</t>
  </si>
  <si>
    <t>42</t>
  </si>
  <si>
    <t>402600.15.01</t>
  </si>
  <si>
    <t>Бюджетная система РФ: Уч. / Ф.И.Ниналалова - М.:НИЦ ИНФРА-М,2026 - 297 с.(ВО)(п)</t>
  </si>
  <si>
    <t>БЮДЖЕТНАЯ СИСТЕМА РОССИЙСКОЙ ФЕДЕРАЦИИ, ИЗД.1</t>
  </si>
  <si>
    <t>Ниналалова Ф.И.</t>
  </si>
  <si>
    <t>978-5-16-018683-2</t>
  </si>
  <si>
    <t>38.02.06, 38.03.01, 38.04.01, 38.04.08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</si>
  <si>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11 от 09.11.2020)</t>
  </si>
  <si>
    <t>712975.02.01</t>
  </si>
  <si>
    <t>Бюджетная система РФ: Уч. / Ф.И.Ниналалова - М.:НИЦ ИНФРА-М,2026. - 297 с.(СПО)(п)</t>
  </si>
  <si>
    <t>978-5-16-020442-0</t>
  </si>
  <si>
    <t>38.02.01, 38.02.06</t>
  </si>
  <si>
    <t>402600.07.01</t>
  </si>
  <si>
    <t>Бюджетная система РФ: Уч.пос. / Ф.И.Ниналалова - 2 изд. - М.:Вуз. уч.,НИЦ ИНФРА-М,2020 - 296 с.(П)</t>
  </si>
  <si>
    <t>БЮДЖЕТНАЯ СИСТЕМА РОССИЙСКОЙ ФЕДЕРАЦИИ, ИЗД.2</t>
  </si>
  <si>
    <t>978-5-9558-0533-7</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</si>
  <si>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и специальности / профилю «Финансы и кредит»</t>
  </si>
  <si>
    <t>683010.09.01</t>
  </si>
  <si>
    <t>Бюджетное планирование и прогнозирование: Уч.пос. / О.В.Макашина - М.:НИЦ ИНФРА-М,2027. - 247 с.(ВО)(п)</t>
  </si>
  <si>
    <t>БЮДЖЕТНОЕ ПЛАНИРОВАНИЕ И ПРОГНОЗИРОВАНИЕ, ИЗД.1</t>
  </si>
  <si>
    <t>Макашина О.В.</t>
  </si>
  <si>
    <t>978-5-16-018808-9</t>
  </si>
  <si>
    <t>38.03.01, 38.03.04, 38.04.01</t>
  </si>
  <si>
    <t>158600.07.01</t>
  </si>
  <si>
    <t>Бюджетное право России: Уч. / Х.В. Пешкова - М.: ИНФРА-М:  Контракт, 2015. - 416 с.(ВО) (п)</t>
  </si>
  <si>
    <t>БЮДЖЕТНОЕ ПРАВО РОССИИ, ИЗД.1</t>
  </si>
  <si>
    <t>Пешкова Х.В.</t>
  </si>
  <si>
    <t>ИНФРА-М Издательский Дом</t>
  </si>
  <si>
    <t>978-5-16-005156-7</t>
  </si>
  <si>
    <t>38.03.01, 38.03.04, 38.04.08, 40.03.01, 40.04.01, 40.05.01, 40.05.02, 40.05.03, 40.05.04</t>
  </si>
  <si>
    <t>Рекомендовано в качестве учебника для студентов высших учебных заведений, обучающихся по направлению 030900 «Юриспруденция»</t>
  </si>
  <si>
    <t>Воронежский институт Федеральной службы исполнения наказаний России</t>
  </si>
  <si>
    <t>158600.14.01</t>
  </si>
  <si>
    <t>Бюджетное право России: Уч. / Х.В.Белогорцева, - 3 изд. - М.:НИЦ ИНФРА-М,2026. -  404 с.(ВО)(п)</t>
  </si>
  <si>
    <t>БЮДЖЕТНОЕ ПРАВО РОССИИ, ИЗД.3</t>
  </si>
  <si>
    <t>Белогорцева Х.В.</t>
  </si>
  <si>
    <t>978-5-16-020712-4</t>
  </si>
  <si>
    <t>158600.13.01</t>
  </si>
  <si>
    <t>Бюджетное право России: Уч. / Х.В.Пешкова, - 2-е изд.-М.:НИЦ ИНФРА-М,2023.-404 с.(ВО: Бакалавр.)(П)</t>
  </si>
  <si>
    <t>БЮДЖЕТНОЕ ПРАВО РОССИИ, ИЗД.2</t>
  </si>
  <si>
    <t>978-5-16-012191-8</t>
  </si>
  <si>
    <t>Рекомендовано в качестве учебника для студентов высших учебных заведений, обучающихся по направлению подготовки 40.03.01 «Юриспруденция» (квалификация (степень) «бакалавр»)</t>
  </si>
  <si>
    <t>117350.03.01</t>
  </si>
  <si>
    <t>Бюджетное право: Уч. пос. / О.В.Болтинова - 2 изд. - М.:Норма: НИЦ Инфра-М, 2013 - 320с. (о) ISBN:978-5-91768-335-5</t>
  </si>
  <si>
    <t>БЮДЖЕТНОЕ ПРАВО, ИЗД.2</t>
  </si>
  <si>
    <t>Болтинова О. В.</t>
  </si>
  <si>
    <t>978-5-91768-335-5</t>
  </si>
  <si>
    <t>38.03.01, 38.04.08, 40.03.01, 40.04.01, 40.05.01, 40.05.02, 40.05.03, 40.05.04</t>
  </si>
  <si>
    <t>117350.06.01</t>
  </si>
  <si>
    <t>Бюджетное право: Уч.пос. / О.В.Болтинова - 3 изд. - М.:Юр.Норма, НИЦ ИНФРА-М,2020-256с(П)</t>
  </si>
  <si>
    <t>БЮДЖЕТНОЕ ПРАВО, ИЗД.3</t>
  </si>
  <si>
    <t>Болтинова О.В.</t>
  </si>
  <si>
    <t>978-5-91768-862-6</t>
  </si>
  <si>
    <t>712995.01.01</t>
  </si>
  <si>
    <t>Бюджетное право: Уч.пос. / О.В.Болтинова - 3 изд. - М.:Юр.Норма,НИЦ ИНФРА-М,2019 - 256 с.-(СПО)(П)</t>
  </si>
  <si>
    <t>978-5-00156-011-1</t>
  </si>
  <si>
    <t>38.02.01, 38.02.06, 38.02.07, 40.02.04</t>
  </si>
  <si>
    <t>117350.09.01</t>
  </si>
  <si>
    <t>Бюджетное право: Уч.пос. / О.В.Болтинова - 4 изд. - М.:Юр.Норма, НИЦ ИНФРА-М,2026 - 260 с.(П)</t>
  </si>
  <si>
    <t>БЮДЖЕТНОЕ ПРАВО, ИЗД.4</t>
  </si>
  <si>
    <t>978-5-00156-295-5</t>
  </si>
  <si>
    <t>0423</t>
  </si>
  <si>
    <t>782712.01.01</t>
  </si>
  <si>
    <t>Бюджетное регулирование в РФ: Монография / Р.В.Ткаченко-М.:Юр. НОРМА,2022.-400 с.(П)</t>
  </si>
  <si>
    <t>БЮДЖЕТНОЕ РЕГУЛИРОВАНИЕ В РОССИЙСКОЙ ФЕДЕРАЦИИ, ИЗД.1</t>
  </si>
  <si>
    <t>Ткаченко Р.В.</t>
  </si>
  <si>
    <t>978-5-00156-252-8</t>
  </si>
  <si>
    <t>38.04.08, 40.04.01, 40.06.01</t>
  </si>
  <si>
    <t>801691.03.01</t>
  </si>
  <si>
    <t>Бюджетное устройство и бюджетный процесс: Уч.пос. / М.В.Кучиева - М.:Магистр, 2025 - 100 с.(о)</t>
  </si>
  <si>
    <t>БЮДЖЕТНОЕ УСТРОЙСТВО И БЮДЖЕТНЫЙ ПРОЦЕСС, ИЗД.1</t>
  </si>
  <si>
    <t>Кучиева М.В.</t>
  </si>
  <si>
    <t>978-5-9776-0550-2</t>
  </si>
  <si>
    <t>38.03.01, 38.03.02, 38.03.04, 38.04.01, 38.04.02, 38.04.04, 38.04.08</t>
  </si>
  <si>
    <t>248500.10.01</t>
  </si>
  <si>
    <t>Бюджетное устройство России: Моногр. / Х.В.Пешкова - М.: НИЦ ИНФРА-М, 2026 - 176 с.(Науч. мысль; Право)(О)</t>
  </si>
  <si>
    <t>БЮДЖЕТНОЕ УСТРОЙСТВО РОССИИ, ИЗД.1</t>
  </si>
  <si>
    <t>Пешкова Х. В.</t>
  </si>
  <si>
    <t>978-5-16-009332-1</t>
  </si>
  <si>
    <t>38.04.08, 40.03.01, 40.04.01, 40.05.01, 40.05.02, 40.05.03, 40.05.04</t>
  </si>
  <si>
    <t>322700.04.01</t>
  </si>
  <si>
    <t>Бюджетное устройство РФ:теор.аспекты:Моногр. / Н.М.Сабитова-М.:НИЦ ИНФРА-М,2019-182с.(Науч.мысль)(О)</t>
  </si>
  <si>
    <t>БЮДЖЕТНОЕ УСТРОЙСТВО РОССИЙСКОЙ ФЕДЕРАЦИИ: ТЕОРЕТИЧЕСКИЕ АСПЕКТЫ, ИЗД.1</t>
  </si>
  <si>
    <t>Сабитова Н.М.</t>
  </si>
  <si>
    <t>978-5-16-010491-1</t>
  </si>
  <si>
    <t>765634.04.01</t>
  </si>
  <si>
    <t>Бюджетные системы России и Китая...: Моногр. / А.А.Трофимов - М.:НИЦ ИНФРА-М,2023 - 215 с.(Науч.мысль)(п)</t>
  </si>
  <si>
    <t>БЮДЖЕТНЫЕ СИСТЕМЫ РОССИИ И КИТАЯ: ВОПРОСЫ ПРАВОВОГО РЕГУЛИРОВАНИЯ, ИЗД.1</t>
  </si>
  <si>
    <t>Трофимов А.А.</t>
  </si>
  <si>
    <t>978-5-16-018491-3</t>
  </si>
  <si>
    <t>38.04.01, 38.04.08, 38.06.01, 40.03.01, 40.04.01, 40.06.01</t>
  </si>
  <si>
    <t>765634.07.01</t>
  </si>
  <si>
    <t>Бюджетные системы России и Китая...: Моногр. / А.А.Трофимов - М.:НИЦ ИНФРА-М,2026 - 215 с.(Науч.мысль)(о)</t>
  </si>
  <si>
    <t>978-5-16-017244-6</t>
  </si>
  <si>
    <t>682756.06.01</t>
  </si>
  <si>
    <t>Бюджетный контроль: Уч.пос. / О.В.Болтинова - М.:Юр.Норма, НИЦ ИНФРА-М,2025 - 160 с.(П)</t>
  </si>
  <si>
    <t>БЮДЖЕТНЫЙ КОНТРОЛЬ, ИЗД.1</t>
  </si>
  <si>
    <t>Болтинова О.В., Петрова И.В.</t>
  </si>
  <si>
    <t>978-5-91768-913-5</t>
  </si>
  <si>
    <t>38.03.01, 38.03.04, 38.04.01, 38.04.04, 38.04.08, 38.04.09, 38.05.01, 40.03.01, 40.04.01, 40.05.01, 40.05.02, 40.05.03, 40.05.04, 44.03.05</t>
  </si>
  <si>
    <t>712993.02.01</t>
  </si>
  <si>
    <t>Бюджетный контроль: Уч.пос. / О.В.Болтинова-М.:Юр.Норма, НИЦ ИНФРА-М,2023.-160 с.(СПО)(П)</t>
  </si>
  <si>
    <t>978-5-00156-010-4</t>
  </si>
  <si>
    <t>38.02.06, 38.02.07, 40.02.02, 40.02.04</t>
  </si>
  <si>
    <t>802025.02.01</t>
  </si>
  <si>
    <t>Бюджетный учет и отчетность: Сб. задач: Уч.пос. / Н.Г.Гаджиев - М.:НИЦ ИНФРА-М,2026. - 208 с.(ВО)(п)</t>
  </si>
  <si>
    <t>БЮДЖЕТНЫЙ УЧЕТ И ОТЧЕТНОСТЬ: СБОРНИК ЗАДАЧ, ИЗД.1</t>
  </si>
  <si>
    <t>Гаджиев Н.Г., Коноваленко С.А., Скрипкина О.В.</t>
  </si>
  <si>
    <t>978-5-16-021630-0</t>
  </si>
  <si>
    <t>38.04.01, 38.05.01</t>
  </si>
  <si>
    <t>646551.02.01</t>
  </si>
  <si>
    <t>В поисках равновесия / Р.С.Гринберг - М.:Магистр,2017 - 160 с.(П)</t>
  </si>
  <si>
    <t>В ПОИСКАХ РАВНОВЕСИЯ, ИЗД.1</t>
  </si>
  <si>
    <t>Гринберг Р.С.</t>
  </si>
  <si>
    <t>978-5-9776-0420-8</t>
  </si>
  <si>
    <t>Институт экономики Российской академии наук</t>
  </si>
  <si>
    <t>727996.04.01</t>
  </si>
  <si>
    <t>В поисках совр. концепции внеш. полит. США конца ХΙХ - нач. ХХ в. / Л.В.Байбакова - М.:НИЦ ИНФРА-М,2025. - 187 с.(О)</t>
  </si>
  <si>
    <t>В ПОИСКАХ СОВРЕМЕННОЙ КОНЦЕПЦИИ ВНЕШНЕЙ ПОЛИТИКИ США КОНЦА ХΙХ - НАЧАЛА ХХ ВЕКА, ИЗД.1</t>
  </si>
  <si>
    <t>Байбакова Л.В.</t>
  </si>
  <si>
    <t>978-5-16-015954-6</t>
  </si>
  <si>
    <t>766949.01.01</t>
  </si>
  <si>
    <t>В поиске смыслов...: Монография / Д.А.Чугунов-М.:НИЦ ИНФРА-М,2022.-340 с.(Науч.мысль)(П)</t>
  </si>
  <si>
    <t>В ПОИСКЕ СМЫСЛОВ. НЕМЕЦКОЯЗЫЧНАЯ ПРЕМИАЛЬНАЯ ЛИТЕРАТУРА 2001-2020 ГГ., ИЗД.1</t>
  </si>
  <si>
    <t>Чугунов Д.А.</t>
  </si>
  <si>
    <t>978-5-16-017301-6</t>
  </si>
  <si>
    <t>45.04.01, 45.06.01</t>
  </si>
  <si>
    <t>844212.01.01</t>
  </si>
  <si>
    <t>В2В-маркетинг (Промышленный маркетинг): Уч. / Е.Е.Жукова и др. - М.:НИЦ ИНФРА-М,2026. - 325 с.(ВО)(п)</t>
  </si>
  <si>
    <t>В2В-МАРКЕТИНГ (ПРОМЫШЛЕННЫЙ МАРКЕТИНГ), ИЗД.1</t>
  </si>
  <si>
    <t>Жукова Е.Е., Суворова Т.В., Бурлаков В.В.</t>
  </si>
  <si>
    <t>978-5-16-020786-5</t>
  </si>
  <si>
    <t>27.04.06, 38.03.02, 38.04.02</t>
  </si>
  <si>
    <t>237600.11.01</t>
  </si>
  <si>
    <t>Вакуумная ионно-плазменная обработка: Уч. пос. / А.А.Ильин. - М.:Альфа-М, НИЦ ИНФРА-М,2026 - 160 с.(П)</t>
  </si>
  <si>
    <t>ВАКУУМНАЯ ИОННО-ПЛАЗМЕННАЯ ОБРАБОТКА, ИЗД.1</t>
  </si>
  <si>
    <t>Ильин А. А., Плихунов В. В., Петров Л. М., Спектор В. С.</t>
  </si>
  <si>
    <t>Современные технологии: Магистратура</t>
  </si>
  <si>
    <t>978-5-98281-366-4</t>
  </si>
  <si>
    <t>22.03.01, 22.04.01</t>
  </si>
  <si>
    <t>Рекомендовано Учебным объединением высших учебных заведений РФ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магис</t>
  </si>
  <si>
    <t>188050.07.01</t>
  </si>
  <si>
    <t>Вакуумная техника: Уч.пос. / А.Н.Попов - М.:НИЦ ИНФРА-М,2026. - 167 с.(ВО: Бакалавр.)(о)</t>
  </si>
  <si>
    <t>ВАКУУМНАЯ ТЕХНИКА, ИЗД.1</t>
  </si>
  <si>
    <t>Попов А.Н.</t>
  </si>
  <si>
    <t>978-5-16-006031-6</t>
  </si>
  <si>
    <t>03.03.02, 03.04.02, 04.03.02, 04.04.02</t>
  </si>
  <si>
    <t>Допущено Министерством образования Республики Беларусь в качестве учебного пособия для студентов высших учебных заведений по техническим специальностям</t>
  </si>
  <si>
    <t>Университет прокуратуры Российской Федерации</t>
  </si>
  <si>
    <t>674995.03.01</t>
  </si>
  <si>
    <t>Вакуумные плазменные электропечи: Моногр. / В.С.Чередниченко - 2 изд. - М.:НИЦ ИНФРА-М,2022-583с(П)</t>
  </si>
  <si>
    <t>ВАКУУМНЫЕ ПЛАЗМЕННЫЕ ЭЛЕКТРОПЕЧИ, ИЗД.2</t>
  </si>
  <si>
    <t>Чередниченко В.С., Юдин Б.И.</t>
  </si>
  <si>
    <t>978-5-16-013627-1</t>
  </si>
  <si>
    <t>22.03.02, 22.04.01, 22.04.02</t>
  </si>
  <si>
    <t>164050.14.01</t>
  </si>
  <si>
    <t>Валеология: Словарь терминов и понятий / Э.М.Прохорова - М.:НИЦ ИНФРА-М,2026 - 110 с.(о)</t>
  </si>
  <si>
    <t>ВАЛЕОЛОГИЯ: СЛОВАРЬ ТЕРМИНОВ И ПОНЯТИЙ, ИЗД.1</t>
  </si>
  <si>
    <t>Прохорова Э. М.</t>
  </si>
  <si>
    <t>978-5-16-013211-2</t>
  </si>
  <si>
    <t>39.02.01, 39.03.02, 39.04.02</t>
  </si>
  <si>
    <t>Российский государственный университет туризма и сервиса, ф-л Институт туризма и гостеприимства</t>
  </si>
  <si>
    <t>105800.17.01</t>
  </si>
  <si>
    <t>Валеология: Уч.пос. / Э.М.Прохорова, - 2 изд. - М.:НИЦ ИНФРА-М,2026. - 253 с.(ВО)(П)</t>
  </si>
  <si>
    <t>ВАЛЕОЛОГИЯ, ИЗД.2</t>
  </si>
  <si>
    <t>978-5-16-019625-1</t>
  </si>
  <si>
    <t>43.03.01, 43.03.03, 43.04.01, 43.04.03</t>
  </si>
  <si>
    <t>Рекомендовано в качестве учебного пособия для студентов высших учебных заведений, обучающихся по направлению подготовки 43.03.01 «Сервис» (квалификация (степень) «бакалавр»)</t>
  </si>
  <si>
    <t>666399.05.01</t>
  </si>
  <si>
    <t>Валюативные модели социального...: Моногр. / Ю.М.Коротченко - М.:Вуз.уч.,НИЦ ИНФРА-М,2027 - 153 с.(Науч. кн.)(О)</t>
  </si>
  <si>
    <t>ВАЛЮАТИВНЫЕ МОДЕЛИ СОЦИАЛЬНОГО: ГЕРОИ И ЦЕННОСТИ, ИЗД.1</t>
  </si>
  <si>
    <t>Коротченко Ю.М.</t>
  </si>
  <si>
    <t>978-5-9558-0597-9</t>
  </si>
  <si>
    <t>37.03.01, 40.03.01, 41.03.04, 41.04.04, 44.03.01, 44.03.05, 47.03.01</t>
  </si>
  <si>
    <t>726662.03.01</t>
  </si>
  <si>
    <t>Валютное регулирование и валютный контроль...: Уч.пос. / Ю.В.Леднева-М.:Юр.Норма, НИЦ ИНФРА-М,2022-136 с.(О)</t>
  </si>
  <si>
    <t>ВАЛЮТНОЕ РЕГУЛИРОВАНИЕ И ВАЛЮТНЫЙ КОНТРОЛЬ: ПРАВОВЫЕ ОСНОВЫ, ИЗД.1</t>
  </si>
  <si>
    <t>Леднева Ю.В.</t>
  </si>
  <si>
    <t>978-5-00156-040-1</t>
  </si>
  <si>
    <t>296900.07.01</t>
  </si>
  <si>
    <t>Валютный дилинг: Уч.пос./Л.Г.Кузнецова - М.:Магистр,НИЦ ИНФРА-М,2026 - 288 с.(Бакалавр.)(п)</t>
  </si>
  <si>
    <t>ВАЛЮТНЫЙ ДИЛИНГ, ИЗД.1</t>
  </si>
  <si>
    <t>Кузнецова Л. Г.</t>
  </si>
  <si>
    <t>978-5-9776-0326-3</t>
  </si>
  <si>
    <t>Рекомендовано ФГБОУ ВПО «Финансовый университет при Правительстве Российской Федерации»в качестве учебного пособия для студентов высших учебных заведений, обучающихся по направлению подготовки магистров 080300.68 «Финансы и кредит»</t>
  </si>
  <si>
    <t>Тихоокеанский государственный университет</t>
  </si>
  <si>
    <t>751369.01.01</t>
  </si>
  <si>
    <t>Валютный контроль: Уч.пос. / А.А.Ситник и др. - М.:Юр.Норма, НИЦ ИНФРА-М,2021 - 216 с.(П)</t>
  </si>
  <si>
    <t>ВАЛЮТНЫЙ КОНТРОЛЬ, ИЗД.1</t>
  </si>
  <si>
    <t>Ситник А.А., Рождественская Т.Э., Арзуманова Л.Л. и др.</t>
  </si>
  <si>
    <t>978-5-00156-151-4</t>
  </si>
  <si>
    <t>751369.03.01</t>
  </si>
  <si>
    <t>Валютный контроль: Уч.пос. / А.А.Ситник. - 2 изд. - М.:Юр.Норма, НИЦ ИНФРА-М,2026 - 220 с.(П)</t>
  </si>
  <si>
    <t>ВАЛЮТНЫЙ КОНТРОЛЬ, ИЗД.2</t>
  </si>
  <si>
    <t>Ситник А.А., Арзуманова Л.Л., Артемов Н.М. и др.</t>
  </si>
  <si>
    <t>978-5-00156-392-1</t>
  </si>
  <si>
    <t>724404.06.01</t>
  </si>
  <si>
    <t>Вахтенное обслуж. судовых энергетич. установок: Уч.пос. / С.В.Максимов - М.:НИЦ ИНФРА-М,2026. - 157 с.(ВО)(П)</t>
  </si>
  <si>
    <t>ВАХТЕННОЕ ОБСЛУЖИВАНИЕ СУДОВЫХ ЭНЕРГЕТИЧЕСКИХ УСТАНОВОК, ИЗД.1</t>
  </si>
  <si>
    <t>Максимов С.В., Дайнего Ю.Г.</t>
  </si>
  <si>
    <t>978-5-16-015838-9</t>
  </si>
  <si>
    <t>26.02.03, 26.02.04, 26.03.01</t>
  </si>
  <si>
    <t>Рекомендовано экспертным советом ЧВВМУ имени П.С. Нахимова в качестве учебного пособия по дисциплине «Вахтенное обслуживание судовой энергетической установки» для студентов специальности 126.05.06 « Эксплуатация судовых энергетических установок»</t>
  </si>
  <si>
    <t>Башкирский государственный педагогический университет им. М. Акмуллы</t>
  </si>
  <si>
    <t>736718.02.01</t>
  </si>
  <si>
    <t>Вахтенное обслуживание СЭУ. Эксплуатация судовых..: Уч.мет.пос. / Ю.Г.Дейнего - М.:НИЦ ИНФРА-М,2026 - 174 с.(п)</t>
  </si>
  <si>
    <t>ВАХТЕННОЕ ОБСЛУЖИВАНИЕ СЭУ. ЭКСПЛУАТАЦИЯ СУДОВЫХ ЭНЕРГЕТИЧЕСКИХ УСТАНОВОК И БЕЗОПАСНОЕ НЕСЕНИЕ МАШИННОЙ ВАХТЫ, ИЗД.1</t>
  </si>
  <si>
    <t>Дейнего Ю.Г., ЧВВМУ имени П.С Нахимова</t>
  </si>
  <si>
    <t>978-5-16-016320-8</t>
  </si>
  <si>
    <t>26.05.06</t>
  </si>
  <si>
    <t>757823.04.01</t>
  </si>
  <si>
    <t>Вахтенное обслуживание СЭУ...: Уч.мет.пос. / Ю.Г.Дейнего - М.:НИЦ ИНФРА-М,2027 - 174 с.(П)</t>
  </si>
  <si>
    <t>Среднее профессиональное образование (ЧВВМУ им. Нахимова)</t>
  </si>
  <si>
    <t>978-5-16-016917-0</t>
  </si>
  <si>
    <t>26.01.01, 26.01.07, 26.01.09, 26.02.01, 26.02.03, 26.02.05, 26.02.06, 35.01.32, 35.02.11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</si>
  <si>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26.02.05 «Эксплуатация судовых энергетических установок» (протокол № 11 от 09.11.2020)</t>
  </si>
  <si>
    <t>747406.01.01</t>
  </si>
  <si>
    <t>Введение в аксиоматическую теорию элемент. функций: Уч.пос. / А.Б.Шишкин-М.:НИЦ ИНФРА-М,2021.-169 с.(ВО)(П)</t>
  </si>
  <si>
    <t>ВВЕДЕНИЕ В АКСИОМАТИЧЕСКУЮ ТЕОРИЮ ЭЛЕМЕНТАРНЫХ ФУНКЦИЙ, ИЗД.1</t>
  </si>
  <si>
    <t>Шишкин А.Б.</t>
  </si>
  <si>
    <t>978-5-16-016652-0</t>
  </si>
  <si>
    <t>44.03.04, 44.03.05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</si>
  <si>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44.04.01 «Педагогическое образование» (квалификация (степень) «магистр») (протокол № 9 от 28.09.2020)</t>
  </si>
  <si>
    <t>Кубанский государственный университет</t>
  </si>
  <si>
    <t>801484.04.01</t>
  </si>
  <si>
    <t>Введение в анализ данных. Поиск структуры данных...: Уч.пос. / С.Я.Криволапов - М.:НИЦ ИНФРА-М,2026. - 177 с.(п)</t>
  </si>
  <si>
    <t>ВВЕДЕНИЕ В АНАЛИЗ ДАННЫХ. ПОИСК СТРУКТУРЫ ДАННЫХ С ПРИМЕНЕНИЕМ ЯЗЫКА PYTHON, ИЗД.1</t>
  </si>
  <si>
    <t>978-5-16-019001-3</t>
  </si>
  <si>
    <t>14.04.02, 41.03.04, 42.03.05</t>
  </si>
  <si>
    <t>411550.11.01</t>
  </si>
  <si>
    <t>Введение в античную нумизматику: Уч.пос. / Л.Н.Казаманова - 2 изд. - М.:ИЦ РИОР,НИЦ ИНФРА-М,2026 - 360 с.(ВО)(п)</t>
  </si>
  <si>
    <t>ВВЕДЕНИЕ В АНТИЧНУЮ НУМИЗМАТИКУ, ИЗД.2</t>
  </si>
  <si>
    <t>Казаманова Л. Н., Фролова Н. А., Кошеленко Г. А.</t>
  </si>
  <si>
    <t>978-5-369-01165-2</t>
  </si>
  <si>
    <t>46.03.01, 46.04.01, 50.03.01, 50.03.03, 50.03.04, 50.04.01, 50.04.03, 50.04.04, 51.04.04, 54.03.04, 54.04.04</t>
  </si>
  <si>
    <t>742372.04.01</t>
  </si>
  <si>
    <t>Введение в античную философию: Уч.пос. / Е.А.Воронцов - М.:НИЦ ИНФРА-М,2026 - 201 с.(ВО)(п)</t>
  </si>
  <si>
    <t>ВВЕДЕНИЕ В АНТИЧНУЮ ФИЛОСОФИЮ, ИЗД.1</t>
  </si>
  <si>
    <t>Воронцов Е.А.</t>
  </si>
  <si>
    <t>978-5-16-019025-9</t>
  </si>
  <si>
    <t>47.03.01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</si>
  <si>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 (протокол № 6 от 08.06.2022)</t>
  </si>
  <si>
    <t>Российский государственный университет социальных технологий</t>
  </si>
  <si>
    <t>241000.04.01</t>
  </si>
  <si>
    <t>Введение в архитектуру прогр.обеспеч.: Уч.пос. /Л.Г.Гагарина -М.:ИД ФОРУМ, НИЦ ИНФРА-М, 2018-320с(п)</t>
  </si>
  <si>
    <t>ВВЕДЕНИЕ В АРХИТЕКТУРУ ПРОГРАММНОГО ОБЕСПЕЧЕНИЯ, ИЗД.1</t>
  </si>
  <si>
    <t>Гагарина Л.Г., Федоров А.Р., Федоров П.А.</t>
  </si>
  <si>
    <t>978-5-8199-0649-1</t>
  </si>
  <si>
    <t>09.03.03</t>
  </si>
  <si>
    <t>Рекомендовано научно-методическим советом Национального исследовательского университета «МИЭТ» в качестве учебного пособия для студентов, обучающихся по направлениям подготовки 09.03.04 «Программная инженерия» (профиль бакалавриата «Программные технологии распределенной обработки информации»), 09.04.04 «Программная инженерия» (программа магистратуры «Программное обеспечение автоматизированных систем и вычислительных комплексов»)</t>
  </si>
  <si>
    <t>720385.04.01</t>
  </si>
  <si>
    <t>Введение в архитектуру програм. обеспечения: Уч.пос./ Л.Г.Гагарина -М.:ИД ФОРУМ, НИЦ ИНФРА-М,2023-320 с.(СПО)(П)</t>
  </si>
  <si>
    <t>978-5-8199-0903-4</t>
  </si>
  <si>
    <t>09.02.01, 09.02.07, 09.02.09, 09.02.10</t>
  </si>
  <si>
    <t>826959.01.01</t>
  </si>
  <si>
    <t>Введение в биотехнологию: Уч.пос. / Е.В.Четвертакова - М.:НИЦ ИНФРА-М,2025. - 194 с.(ВО (КрГАУ))(п)</t>
  </si>
  <si>
    <t>ВВЕДЕНИЕ В БИОТЕХНОЛОГИЮ, ИЗД.1</t>
  </si>
  <si>
    <t>Четвертакова Е.В.</t>
  </si>
  <si>
    <t>978-5-16-020333-1</t>
  </si>
  <si>
    <t>35.03.04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</si>
  <si>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межвузовского использования в качестве учебного пособия для студентов по направлению подготовки 06.03.01 «Биология»</t>
  </si>
  <si>
    <t>228700.13.01</t>
  </si>
  <si>
    <t>Введение в генетику: Уч.пос. / В.А.Пухальский - М.:НИЦ ИНФРА-М,2024.-224 с.-(ВО: Бакалавриат)(П)</t>
  </si>
  <si>
    <t>ВВЕДЕНИЕ В ГЕНЕТИКУ, ИЗД.1</t>
  </si>
  <si>
    <t>Пухальский В. А.</t>
  </si>
  <si>
    <t>978-5-16-015633-0</t>
  </si>
  <si>
    <t>35.03.03, 35.04.03, 44.03.05</t>
  </si>
  <si>
    <t>Рекомендовано Министерством сельского хозяйства Российской Федерации в качестве учебного пособия для студентов высших учебных заведений, обучающихся по агрономическим специальностям</t>
  </si>
  <si>
    <t>Институт общей генетики им. Н.И.Вавилова Российской Академии Наук</t>
  </si>
  <si>
    <t>228700.16.01</t>
  </si>
  <si>
    <t>Введение в генетику: Уч.пос. / В.А.Пухальский, - 2 изд. - М.:НИЦ ИНФРА-М,2026. - 273 с.(ВО)(п)</t>
  </si>
  <si>
    <t>ВВЕДЕНИЕ В ГЕНЕТИКУ, ИЗД.2</t>
  </si>
  <si>
    <t>Пухальский В.А.</t>
  </si>
  <si>
    <t>978-5-16-020772-8</t>
  </si>
  <si>
    <t>842180.01.01</t>
  </si>
  <si>
    <t>Введение в геоинформ. сис.: Уч.пос. / Я.Ю.Блиновская - 2 изд. - М.:Форум, НИЦ ИНФРА-М,2025 - 112 с(СПО)(о)</t>
  </si>
  <si>
    <t>ВВЕДЕНИЕ В ГЕОИНФОРМАЦИОННЫЕ СИСТЕМЫ, ИЗД.2</t>
  </si>
  <si>
    <t>Блиновская Я.Ю., Задоя Д.С.</t>
  </si>
  <si>
    <t>978-5-00091-810-4</t>
  </si>
  <si>
    <t>21.02.10, 21.02.19, 21.02.20</t>
  </si>
  <si>
    <t>411100.17.01</t>
  </si>
  <si>
    <t>Введение в геоинформ. системы: Уч.пос. / Я.Ю.Блиновская - 2 изд. - М.:Форум, НИЦ ИНФРА-М,2026 - 112 с(О)</t>
  </si>
  <si>
    <t>978-5-00091-115-0</t>
  </si>
  <si>
    <t>20.03.01, 20.04.01, 21.02.10, 21.03.01, 21.03.02, 21.03.03, 21.04.01, 21.04.02, 21.04.03</t>
  </si>
  <si>
    <t>Рекомендовано Дальневосточным региональным учебно-методическим центром в качестве учебного пособия для студентов направлений подготовки бакалавров 20.03.01 «Техносферная безопасность» и 21.03.01 «Нефтегазовое дело»</t>
  </si>
  <si>
    <t>441650.15.01</t>
  </si>
  <si>
    <t>Введение в инфокоммуникац. технологии: Уч.пос. / Под ред. Гагариной Л.Г. - 2 изд. - М.:НИЦ ИНФРА-М,2026 - 339 с.(ВО)(п)</t>
  </si>
  <si>
    <t>ВВЕДЕНИЕ В ИНФОКОММУНИКАЦИОННЫЕ ТЕХНОЛОГИИ, ИЗД.2</t>
  </si>
  <si>
    <t>Гагарина Л.Г., Кузнецов Г.А., Портнов Е.М. и др.</t>
  </si>
  <si>
    <t>978-5-16-019457-8</t>
  </si>
  <si>
    <t>09.03.01, 09.03.02, 09.03.03, 09.03.04, 11.01.05, 11.03.02, 11.04.02</t>
  </si>
  <si>
    <t>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 обучающихся по направлению подготовки 11.03.02, 11.04.02 «Инфокоммуникационные технологии и системы связи» (квалификации (степени) «бакалавр» и «магистр»)</t>
  </si>
  <si>
    <t>441650.09.01</t>
  </si>
  <si>
    <t>Введение в инфокоммуникационные технол.: Уч.пос./Л.Г.Гагарина-М:ИД ФОРУМ,НИЦ ИНФРА-М,2021-336(ВО)(п)</t>
  </si>
  <si>
    <t>ВВЕДЕНИЕ В ИНФОКОММУНИКАЦИОННЫЕ ТЕХНОЛОГИИ, ИЗД.1</t>
  </si>
  <si>
    <t>Гагарина Л. Г., Баин А. М., Кузнецов Г. А., Портнов Е. М., Теплова Я. О., Гагарина Л. Г.</t>
  </si>
  <si>
    <t>978-5-8199-0768-9</t>
  </si>
  <si>
    <t>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 обучающихся по направлению подготовки 210700 — Инфокоммуникационные технологии и системы свя</t>
  </si>
  <si>
    <t>695744.02.01</t>
  </si>
  <si>
    <t>Введение в кинетическую геометрию: Моногр. / Н.А.Сальков - М.:НИЦ ИНФРА-М,2022 - 160 с.(Науч.мысль)(О)</t>
  </si>
  <si>
    <t>ВВЕДЕНИЕ В КИНЕТИЧЕСКУЮ ГЕОМЕТРИЮ, ИЗД.1</t>
  </si>
  <si>
    <t>Сальков Н.А.</t>
  </si>
  <si>
    <t>978-5-16-014614-0</t>
  </si>
  <si>
    <t>07.03.01, 07.04.01, 07.04.03, 07.04.04, 08.03.01, 08.04.01</t>
  </si>
  <si>
    <t>Московский государственный академический художественный институт им. В.И. Сурикова при Российской академии художеств</t>
  </si>
  <si>
    <t>425700.07.01</t>
  </si>
  <si>
    <t>Введение в Конституцию России: Моногр. / Б.С.Эбзеев - М.:Юр.Норма, НИЦ ИНФРА-М, 2026. - 560 с. (П)</t>
  </si>
  <si>
    <t>ВВЕДЕНИЕ В КОНСТИТУЦИЮ РОССИИ, ИЗД.1</t>
  </si>
  <si>
    <t>Эбзеев Б. С.</t>
  </si>
  <si>
    <t>978-5-91768-338-6</t>
  </si>
  <si>
    <t>Центральная избирательная комиссия Российской Федерации</t>
  </si>
  <si>
    <t>860586.01.01</t>
  </si>
  <si>
    <t>Введение в криптовалюту: Уч.пос. / Н.Н.Данилов - М.:НИЦ ИНФРА-М,2026 - 192 с.(ВО)(п)</t>
  </si>
  <si>
    <t>ВВЕДЕНИЕ В КРИПТОВАЛЮТУ, ИЗД.1</t>
  </si>
  <si>
    <t>Данилов Н.Н.</t>
  </si>
  <si>
    <t>978-5-16-021257-9</t>
  </si>
  <si>
    <t>38.03.01, 38.03.05, 38.04.01, 38.04.05, 38.04.08, 38.05.01</t>
  </si>
  <si>
    <t>168350.04.01</t>
  </si>
  <si>
    <t>Введение в криптографию: Курс лекций / В.А. Романьков. - 2 изд. - М.: Форум, 2017. - 240 с.(ВО) (о)</t>
  </si>
  <si>
    <t>ВВЕДЕНИЕ В КРИПТОГРАФИЮ, ИЗД.2</t>
  </si>
  <si>
    <t>Романьков В.А.</t>
  </si>
  <si>
    <t>978-5-91134-573-0</t>
  </si>
  <si>
    <t>01.03.02, 02.03.01, 02.03.02, 02.03.03, 09.03.01, 09.03.02, 09.03.03, 09.03.04</t>
  </si>
  <si>
    <t>Рекомендовано в качестве учебного пособия для студентов высших учебных заведений, обучающихся по направлениям подготовки 01.03.01 «Математика», 02.03.01 «Математика и компьютерные технологии» 01.03.02 «Прикладная математика и информатика» (кватфикауия (степень) «бакалавр»)</t>
  </si>
  <si>
    <t>Омский государственный университет им. Ф.М. Достоевского</t>
  </si>
  <si>
    <t>168350.13.01</t>
  </si>
  <si>
    <t>Введение в криптографию: Курс лекций / В.А.Романьков, - 2 изд. - М.:Форум, НИЦ ИНФРА-М,2026 - 240 с.(ВО)(П)</t>
  </si>
  <si>
    <t>978-5-00091-493-9</t>
  </si>
  <si>
    <t>Рекомендовано студентам высших учебных заведений. Рекомендовано в качестве учебного пособия для студентов высших учебных заведений, обучающихся по направлениям подготовки 01.03.01 «Математика», 02.03.01 «Математика и компьютерные технологии», 01.03.02 «Прикладная математика и информатика» (квалификация (степень) «бакалавр»)</t>
  </si>
  <si>
    <t>738185.07.01</t>
  </si>
  <si>
    <t>Введение в маркетинг территорий: Уч.пос. / В.И.Алешникова - М.:НИЦ ИНФРА-М,2025 - 272 с.(ВО)(П)</t>
  </si>
  <si>
    <t>ВВЕДЕНИЕ В МАРКЕТИНГ ТЕРРИТОРИЙ, ИЗД.1</t>
  </si>
  <si>
    <t>Алешникова В.И.</t>
  </si>
  <si>
    <t>978-5-16-020077-4</t>
  </si>
  <si>
    <t>38.03.01, 38.03.06, 38.04.01, 38.04.06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</si>
  <si>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(протокол № 6 от 16.06.2021)</t>
  </si>
  <si>
    <t>157600.06.01</t>
  </si>
  <si>
    <t>Введение в маркетинг: Уч. пос./ Г.А.Резник - 3 изд. - М.: ИНФРА-М, 2020. - 202 с. (ВО: Бакалавриат)(П)</t>
  </si>
  <si>
    <t>ВВЕДЕНИЕ В МАРКЕТИНГ, ИЗД.3</t>
  </si>
  <si>
    <t>Резник Г. А.</t>
  </si>
  <si>
    <t>978-5-16-009459-5</t>
  </si>
  <si>
    <t>38.03.02, 44.03.01, 44.03.05</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</si>
  <si>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направлению 080200 "Менеджмент"</t>
  </si>
  <si>
    <t>800302.01.01</t>
  </si>
  <si>
    <t>Введение в математику финансовых инструментов: Уч.пос. / Д.А.Власов - М.:НИЦ ИНФРА-М,2025. - 289 с.(ВО)(п)</t>
  </si>
  <si>
    <t>ВВЕДЕНИЕ В МАТЕМАТИКУ ФИНАНСОВЫХ ИНСТРУМЕНТОВ, ИЗД.1</t>
  </si>
  <si>
    <t>Власов Д.А.</t>
  </si>
  <si>
    <t>978-5-16-018412-8</t>
  </si>
  <si>
    <t>38.03.01, 38.03.02, 38.03.05, 38.04.01, 38.04.02, 38.04.05, 38.04.08, 38.05.01</t>
  </si>
  <si>
    <t>165000.09.01</t>
  </si>
  <si>
    <t>Введение в менеджмент: Уч.пос . / С.Д.Резник - 2 изд. - М.:НИЦ ИНФРА-М,2027 - 416 с.(Менедж. в высшей школе)</t>
  </si>
  <si>
    <t>ВВЕДЕНИЕ В МЕНЕДЖМЕНТ, ИЗД.2</t>
  </si>
  <si>
    <t>Резник С.Д., Игошина И.А., Резник С.Д.</t>
  </si>
  <si>
    <t>Менеджмент в высшей школе</t>
  </si>
  <si>
    <t>978-5-16-005164-2</t>
  </si>
  <si>
    <t>38.03.01, 38.03.02, 38.03.03, 38.03.04, 38.04.02, 38.04.03</t>
  </si>
  <si>
    <t>Рекомендовано  Учебно-методическим объединением по образованию в области менеджмента в качестве учебного пособия для студентов вузов,обучающихся по направлению 080200 "Менеджмент"</t>
  </si>
  <si>
    <t>165000.07.01</t>
  </si>
  <si>
    <t>Введение в менеджмент: Уч.пос. / Под ред. Резника С.Д. - 2 изд. - М.:НИЦ ИНФРА-М,2022 - 416 с.(П)</t>
  </si>
  <si>
    <t>ВВЕДЕНИЕ В МЕНЕДЖМЕНТ, ИЗД.3</t>
  </si>
  <si>
    <t>162800.10.01</t>
  </si>
  <si>
    <t>Введение в методы и алгоритмы прин. реш.: Уч.пос. / В.Г.Дорогов - М.:ИД Форум, ИНФРА-М ,2026. - 240 с.(ВО)(п)</t>
  </si>
  <si>
    <t>ВВЕДЕНИЕ В МЕТОДЫ И АЛГОРИТМЫ ПРИНЯТИЯ РЕШЕНИЙ, ИЗД.1</t>
  </si>
  <si>
    <t>Дорогов В. Г., Теплова Я. О.</t>
  </si>
  <si>
    <t>978-5-8199-0486-2</t>
  </si>
  <si>
    <t>09.03.04, 09.04.04, 27.03.05, 38.03.01, 38.03.02, 38.03.03, 38.03.04, 38.03.05, 38.03.06, 38.04.01, 38.04.02, 38.04.03, 38.04.04, 38.04.05, 38.04.06, 41.03.06</t>
  </si>
  <si>
    <t>Рекомендовано Учеб.-метод. Советом Мос. Гос. института электронной техники (технич. универ.) в качестве уч. пос. для студ. вузов, обуч. по напр 230100 "Информатика и ВТ" и по основной образов. прогр. подгот. бакалавров 231000 "Програм. инженерия "</t>
  </si>
  <si>
    <t>864165.01.01</t>
  </si>
  <si>
    <t>Введение в нерелятивистскую квантовую механику: Уч.пос. / Под ред. Петрова Н.И.-М.:НИЦ ИНФРА-М,2025.-73 с.(о)</t>
  </si>
  <si>
    <t>ВВЕДЕНИЕ В НЕРЕЛЯТИВИСТСКУЮ КВАНТОВУЮ МЕХАНИКУ, ИЗД.1</t>
  </si>
  <si>
    <t>Петров Н.И., Суняева М.Э., Томчук А.А. и др.</t>
  </si>
  <si>
    <t>978-5-16-021291-3</t>
  </si>
  <si>
    <t>01.04.03, 03.03.01, 03.03.03, 03.05.01, 12.03.02, 14.03.01, 14.03.02, 14.05.02, 16.03.01, 22.04.01, 28.04.03</t>
  </si>
  <si>
    <t>Российский химико-технологический университет им. Д.И. Менделеева</t>
  </si>
  <si>
    <t>072850.18.01</t>
  </si>
  <si>
    <t>Введение в оперативно-розыскную психологию: Уч.пос. / Г.К.Синилов - М.:Норма:НИЦ ИНФРА-М,2026 - 48 с.(о)</t>
  </si>
  <si>
    <t>ВВЕДЕНИЕ В ОПЕРАТИВНО-РОЗЫСКНУЮ ПСИХОЛОГИЮ, ИЗД.1</t>
  </si>
  <si>
    <t>Синилов Г.К.</t>
  </si>
  <si>
    <t>978-5-91768-465-9</t>
  </si>
  <si>
    <t>696502.05.01</t>
  </si>
  <si>
    <t>Введение в педагог. деят. Практ.: Уч.мет.пос. / Под ред. Орлова А.А. - 2 изд. - М.:НИЦ ИНФРА-М,2026 - 258 с.(ВО)(п)</t>
  </si>
  <si>
    <t>ВВЕДЕНИЕ В ПЕДАГОГИЧЕСКУЮ ДЕЯТЕЛЬНОСТЬ. ПРАКТИКУМ, ИЗД.2</t>
  </si>
  <si>
    <t>Орлов А.А., Агафонова А.С., Орлов А.А.</t>
  </si>
  <si>
    <t>978-5-16-019403-5</t>
  </si>
  <si>
    <t>44.03.01, 44.03.02, 44.03.03, 44.03.04, 44.03.05, 44.05.01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</si>
  <si>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направлениий 44.03.00 «Образование и педагогические науки» (квалификация (степень) «бакалавр») (протокол № 15 от 14.10.2019)</t>
  </si>
  <si>
    <t>Тульский государственный педагогический университет им. Л.Н. Толстого</t>
  </si>
  <si>
    <t>687079.06.01</t>
  </si>
  <si>
    <t>Введение в педагогическую деят.: Уч.пос. / Н.А.Шайденко - М.:НИЦ ИНФРА-М,2026. - 228 с.(ВО: Бакалавр.)(П)</t>
  </si>
  <si>
    <t>ВВЕДЕНИЕ В ПЕДАГОГИЧЕСКУЮ ДЕЯТЕЛЬНОСТЬ, ИЗД.1</t>
  </si>
  <si>
    <t>Шайденко Н.А., Кипурова С.Н.</t>
  </si>
  <si>
    <t>978-5-16-015767-2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</si>
  <si>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44.03.00 «Образование и педагогические науки» (квалификация (степень) «бакалавр») (протокол № 10 от 12.10.2020)</t>
  </si>
  <si>
    <t>753738.06.01</t>
  </si>
  <si>
    <t>Введение в педагогическую деятельность: Уч.пос. / Н.А.Шайденко - М.:НИЦ ИНФРА-М,2025 - 228 с.(СПО)(П)</t>
  </si>
  <si>
    <t>978-5-16-016834-0</t>
  </si>
  <si>
    <t>44.02.01, 44.02.02, 44.02.03, 44.02.04, 44.02.05, 44.02.06, 49.02.01, 49.02.02, 51.02.01, 51.02.03, 53.02.01, 54.02.06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</si>
  <si>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11 от 26.10.2020)</t>
  </si>
  <si>
    <t>656189.05.01</t>
  </si>
  <si>
    <t>Введение в програм. на яз. Visual Basic for Applications (VBA): Уч.пос. / С.Р.Гуриков - М.:НИЦ ИНФРА-М,2026 - 317 с.(ВО)(П)</t>
  </si>
  <si>
    <t>ВВЕДЕНИЕ В ПРОГРАММИРОВАНИЕ НА ЯЗЫКЕ VISUAL BASIC FOR APPLICATIONS (VBA), ИЗД.1</t>
  </si>
  <si>
    <t>978-5-16-013667-7</t>
  </si>
  <si>
    <t>01.03.02, 02.03.02, 03.03.02, 04.03.02, 09.03.01, 09.03.02, 09.03.03, 09.03.04, 10.03.01, 10.04.01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</si>
  <si>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№14 от 30.09.2019)</t>
  </si>
  <si>
    <t>732031.03.01</t>
  </si>
  <si>
    <t>Введение в программир. на яз. Visual Basic for Applications (VBA): Уч.пос. / С.Р.Гуриков - М.:НИЦ ИНФРА-М,2026. - 317 с.(п)</t>
  </si>
  <si>
    <t>978-5-16-015995-9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</si>
  <si>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8 от 22.06.2020)</t>
  </si>
  <si>
    <t>656041.11.01</t>
  </si>
  <si>
    <t>Введение в программную инженерию: Уч. / В.А.Антипов и др. - М.:КУРС,НИЦ ИНФРА-М,2026 - 336 с.(п)</t>
  </si>
  <si>
    <t>ВВЕДЕНИЕ В ПРОГРАММНУЮ ИНЖЕНЕРИЮ, ИЗД.1</t>
  </si>
  <si>
    <t>Антипов В.А., Бубнов А.А., Пылькин А.Н. и др.</t>
  </si>
  <si>
    <t>978-5-906923-22-6</t>
  </si>
  <si>
    <t>09.03.04</t>
  </si>
  <si>
    <t>Рекомендовано Научно-методическим советом «РГРТУ» в качестве учебника для студентов высших учебных заведений, обучающихся по направлению подготовки 09.03.04 «Программная инженерия» (квалификация "бакалавр")</t>
  </si>
  <si>
    <t>738198.06.01</t>
  </si>
  <si>
    <t>Введение в профессию "архитектор": Уч. / Н.Э.Оселко - М.:НИЦ ИНФРА-М,2025 - 229 с.(ВО: Бакалавриат)(П)</t>
  </si>
  <si>
    <t>ВВЕДЕНИЕ В ПРОФЕССИЮ "АРХИТЕКТОР", ИЗД.1</t>
  </si>
  <si>
    <t>Оселко Н.Э.</t>
  </si>
  <si>
    <t>978-5-16-016864-7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</si>
  <si>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07.03.01 «Архитектура» (квалификация (степень) «бакалавр») (протокол № 8 от 20.10.2021)</t>
  </si>
  <si>
    <t>277100.09.01</t>
  </si>
  <si>
    <t>Введение в профессию (психология): Уч. / П.С. Гуревич. - М.: НИЦ ИНФРА-М, 2026 - 415 с.(ВО) (п)</t>
  </si>
  <si>
    <t>ВВЕДЕНИЕ В ПРОФЕССИЮ (ПСИХОЛОГИЯ), ИЗД.1</t>
  </si>
  <si>
    <t>Гуревич П.С.</t>
  </si>
  <si>
    <t>978-5-16-009783-1</t>
  </si>
  <si>
    <t>37.03.01, 37.03.02, 37.05.01, 37.05.02</t>
  </si>
  <si>
    <t>Московский государственный университет им. М.В. Ломоносова, факультет психологии</t>
  </si>
  <si>
    <t>763408.03.01</t>
  </si>
  <si>
    <t>Введение в профессию (спец. по раб. с семьей): Уч.пос. / Е.Н.Приступа - М.:НИЦ ИНФРА-М,2025. - 216 с.(ВО)(п)</t>
  </si>
  <si>
    <t>ВВЕДЕНИЕ В ПРОФЕССИЮ (СПЕЦИАЛИСТ ПО РАБОТЕ С СЕМЬЕЙ), ИЗД.1</t>
  </si>
  <si>
    <t>Приступа Е.Н., Акимова Ю.А.</t>
  </si>
  <si>
    <t>978-5-16-018098-4</t>
  </si>
  <si>
    <t>39.03.02</t>
  </si>
  <si>
    <t>Институт развития, здоровья и адаптации ребенка</t>
  </si>
  <si>
    <t>110410.10.01</t>
  </si>
  <si>
    <t>Введение в профессию бухгалтера: Уч. пос. / В.Д. Андреев - М.: Магистр: НИЦ ИНФРА-М, 2025 - 192 с.(о)</t>
  </si>
  <si>
    <t>ВВЕДЕНИЕ В ПРОФЕССИЮ БУХГАЛТЕРА, ИЗД.1</t>
  </si>
  <si>
    <t>Андреев В. Д., Лисихина И. В.</t>
  </si>
  <si>
    <t>978-5-9776-0107-8</t>
  </si>
  <si>
    <t>117800.07.01</t>
  </si>
  <si>
    <t>Введение в регрес. анализ и планир. регрес. эксп. в эконом.: Уч.пос. / Г.А.Соколов. - ИНФРА-М,2025. - 202 с.(п)(ВО)</t>
  </si>
  <si>
    <t>ВВЕДЕНИЕ В РЕГРЕССИОННЫЙ АНАЛИЗ И ПЛАНИРОВАНИЕ РЕГРЕССИОННЫХ ЭКСПЕРИМЕНТОВ В ЭКОНОМИКЕ, ИЗД.1</t>
  </si>
  <si>
    <t>Соколов Г. А., Сагитов Р. В.</t>
  </si>
  <si>
    <t>978-5-16-003646-5</t>
  </si>
  <si>
    <t>38.03.01, 38.03.02, 38.03.03, 38.03.04, 38.03.05</t>
  </si>
  <si>
    <t>Рекомендовано УМО вузов по образованию в области экономики и экономической теории в качестве учебного пособия для студентов, обучающихся по направлению 521600 "Экономика и  экономические специальности"</t>
  </si>
  <si>
    <t>Российский экономический университет им. Г.В. Плеханова, Пятигорский ф-л</t>
  </si>
  <si>
    <t>058900.16.01</t>
  </si>
  <si>
    <t>Введение в специальность программиста: Уч. / В.А.Гвоздева - 2 изд. - М.: НИЦ ИНФРА-М,2026. - 208 с.(П)</t>
  </si>
  <si>
    <t>ВВЕДЕНИЕ В СПЕЦИАЛЬНОСТЬ ПРОГРАММИСТА, ИЗД.2</t>
  </si>
  <si>
    <t>Гвоздева В.А.</t>
  </si>
  <si>
    <t>978-5-16-022041-3</t>
  </si>
  <si>
    <t>09.02.03, 21.02.12</t>
  </si>
  <si>
    <t>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 обучающихся по специальности «Программное обеспечение вычислительной техники и автоматизированных систем»</t>
  </si>
  <si>
    <t>0207</t>
  </si>
  <si>
    <t>160200.11.01</t>
  </si>
  <si>
    <t>Введение в специальность. Менеджмент: Уч. / В.В.Кукушкина - М.: ИНФРА-М, 2025 - 252 с.(ВО: Бакалавр.) (п)</t>
  </si>
  <si>
    <t>ВВЕДЕНИЕ В СПЕЦИАЛЬНОСТЬ. МЕНЕДЖМЕНТ, ИЗД.1</t>
  </si>
  <si>
    <t>Кукушкина В. В.</t>
  </si>
  <si>
    <t>978-5-16-004168-1</t>
  </si>
  <si>
    <t>38.03.01, 38.03.02, 38.03.04</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</si>
  <si>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080200 Менеджмент и по специальности 080507 Менеджмент организации</t>
  </si>
  <si>
    <t>113200.12.01</t>
  </si>
  <si>
    <t>Введение в теорию алгоритм. яз. и компиляторов: Уч.пос. / Л.Г.Гагарина - 2 изд. - М.:НИЦ ИНФРА-М,2026 - 207 с.(п)</t>
  </si>
  <si>
    <t>ВВЕДЕНИЕ В ТЕОРИЮ АЛГОРИТМИЧЕСКИХ ЯЗЫКОВ И КОМПИЛЯТОРОВ, ИЗД.2</t>
  </si>
  <si>
    <t>Гагарина Л.Г., Кокорева Е.В.</t>
  </si>
  <si>
    <t>978-5-16-017756-4</t>
  </si>
  <si>
    <t>01.03.02, 09.03.01, 09.03.02, 09.03.03, 09.03.04</t>
  </si>
  <si>
    <t>113200.10.01</t>
  </si>
  <si>
    <t>Введение в теорию алгоритмич. языков и компиляторов: Уч. пос./ Л.Г. Гагарина. -ФОРУМ,2022.-176с.(ВО) (П)</t>
  </si>
  <si>
    <t>ВВЕДЕНИЕ В ТЕОРИЮ АЛГОРИТМИЧЕСКИХ ЯЗЫКОВ И КОМПИЛЯТОРОВ, ИЗД.1</t>
  </si>
  <si>
    <t>Гагарина Л. Г., Кокорева Е. В.</t>
  </si>
  <si>
    <t>978-5-8199-0404-6</t>
  </si>
  <si>
    <t>Рек. Науч.-метод. советом Моск. гос. ин-та электронной техники (технич. универ.) в качестве уч. пос. для студ. вузов, обуч. по спец.230105.65 Прогр. обесп. ВТ и автоматизир. сист. по напр. 654600 Информ. и ВТ и напр. подг. бакалавр. и маг. 552800 Инф</t>
  </si>
  <si>
    <t>331700.06.01</t>
  </si>
  <si>
    <t>Введение в теорию биолог. таксономии: Моногр. /В.В.Зуев - М.:НИЦ ИНФРА-М,2027. - 168 с.(Научная мысль)(о)</t>
  </si>
  <si>
    <t>ВВЕДЕНИЕ В ТЕОРИЮ БИОЛОГИЧЕСКОЙ ТАКСОНОМИИ, ИЗД.1</t>
  </si>
  <si>
    <t>Зуев В.В.</t>
  </si>
  <si>
    <t>978-5-16-010628-1</t>
  </si>
  <si>
    <t>06.03.01, 06.03.02, 06.04.01, 06.04.02, 06.05.01, 06.06.01, 06.07.01</t>
  </si>
  <si>
    <t>Новосибирский национальный исследовательский государственный университет</t>
  </si>
  <si>
    <t>766876.04.01</t>
  </si>
  <si>
    <t>Введение в теорию и ист. политич. орг. общества и права / С.А.Дробышевский - М.:Юр.Норма,ИНФРА-М,2026. - 304 с.(П)</t>
  </si>
  <si>
    <t>ВВЕДЕНИЕ В ТЕОРИЮ И ИСТОРИЮ ПОЛИТИЧЕСКИ ОРГАНИЗОВАННОГО ОБЩЕСТВА И ПРАВА, ИЗД.1</t>
  </si>
  <si>
    <t>Дробышевский С.А.</t>
  </si>
  <si>
    <t>978-5-00156-200-9</t>
  </si>
  <si>
    <t>40.03.01, 40.06.01</t>
  </si>
  <si>
    <t>750605.02.01</t>
  </si>
  <si>
    <t>Введение в теорию игр: Уч. пос. / Д.А.Власов-М.:НИЦ ИНФРА-М,2024.-222 с.(ВО)(п)</t>
  </si>
  <si>
    <t>ВВЕДЕНИЕ В ТЕОРИЮ ИГР, ИЗД.1</t>
  </si>
  <si>
    <t>978-5-16-018869-0</t>
  </si>
  <si>
    <t>01.03.02, 10.04.01, 38.03.01, 38.03.02, 41.03.06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</si>
  <si>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6 от 08.06.2022)</t>
  </si>
  <si>
    <t>774786.01.01</t>
  </si>
  <si>
    <t>Введение в теорию принятия решений: Уч.пос. / Д.А.Власов - М.:НИЦ ИНФРА-М,2024. - 233 с.(ВО)(п)</t>
  </si>
  <si>
    <t>ВВЕДЕНИЕ В ТЕОРИЮ ПРИНЯТИЯ РЕШЕНИЙ, ИЗД.1</t>
  </si>
  <si>
    <t>978-5-16-017589-8</t>
  </si>
  <si>
    <t>38.03.01, 38.03.02, 38.03.05, 38.04.01, 38.04.02, 38.04.05</t>
  </si>
  <si>
    <t>658921.07.01</t>
  </si>
  <si>
    <t>Введение в теорию радиолокационных систем: Моногр. / Ботов М.И. - М.:НИЦ ИНФРА-М, СФУ,2025. - 394 с.(П)</t>
  </si>
  <si>
    <t>ВВЕДЕНИЕ В ТЕОРИЮ РАДИОЛОКАЦИОННЫХ СИСТЕМ, ИЗД.1</t>
  </si>
  <si>
    <t>Ботов М.И., Вяхирев В.А., Девотчак В.В. и др.</t>
  </si>
  <si>
    <t>978-5-16-017812-7</t>
  </si>
  <si>
    <t>11.04.01, 11.04.03, 11.04.04, 11.05.01, 11.05.02, 11.06.01</t>
  </si>
  <si>
    <t>403350.06.01</t>
  </si>
  <si>
    <t>Введение в теорию целых функций: Уч.пос. / Т.А.Леонтьева - М.:НИЦ ИНФРА-М,2023 - 95 с.(ВО: Магистр.) (о)</t>
  </si>
  <si>
    <t>ВВЕДЕНИЕ В ТЕОРИЮ ЦЕЛЫХ ФУНКЦИЙ, ИЗД.1</t>
  </si>
  <si>
    <t>Леонтьева Т. А.</t>
  </si>
  <si>
    <t>978-5-16-006242-6</t>
  </si>
  <si>
    <t>01.03.01, 01.03.02, 01.04.01, 01.04.02, 02.03.01, 02.03.02, 02.04.02, 35.04.08</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</si>
  <si>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направлениям ВПО 010400 (Прикладная математика и информатика) и 010300 (Фундаментальная информатика и информационные технологии)</t>
  </si>
  <si>
    <t>Московский государственный университет им. М.В. Ломоносова, факультет вычислительной математики и кибернетики</t>
  </si>
  <si>
    <t>091250.07.01</t>
  </si>
  <si>
    <t>Введение в философию права: Курс лекций / Ю.В. Сорокина - М.: Норма:ИНФРА-М, 2022 - 336 с. (О)</t>
  </si>
  <si>
    <t>ВВЕДЕНИЕ В ФИЛОСОФИЮ ПРАВА, ИЗД.1</t>
  </si>
  <si>
    <t>Курс лекций для студентов юридических вузов и факультетов</t>
  </si>
  <si>
    <t>978-5-91768-200-6</t>
  </si>
  <si>
    <t>657068.03.01</t>
  </si>
  <si>
    <t>Введение в философию: Уч.пос. / С.И.Платонова - М.:ИЦ РИОР, НИЦ ИНФРА-М,2022 - 212 с.-(ВО)(П)</t>
  </si>
  <si>
    <t>ВВЕДЕНИЕ В ФИЛОСОФИЮ, ИЗД.1</t>
  </si>
  <si>
    <t>Платонова С.И.</t>
  </si>
  <si>
    <t>978-5-369-01696-1</t>
  </si>
  <si>
    <t>00.03.11, 00.05.11</t>
  </si>
  <si>
    <t>275700.08.01</t>
  </si>
  <si>
    <t>Введение в численные методы в задачах и упр.: Уч.пос. / А.В.Гулин. - М.:НИЦ ИНФРА-М,2027 - 368 с.(П)</t>
  </si>
  <si>
    <t>ВВЕДЕНИЕ В ЧИСЛЕННЫЕ МЕТОДЫ В ЗАДАЧАХ И УПРАЖНЕНИЯХ, ИЗД.1</t>
  </si>
  <si>
    <t>Гулин А.В., Мажорова О.С., Морозова В.А.</t>
  </si>
  <si>
    <t>978-5-16-022464-0</t>
  </si>
  <si>
    <t>01.03.01, 01.03.02, 01.03.03, 01.03.04, 01.04.02, 02.03.01, 02.03.02, 02.03.03, 02.04.02, 03.03.02, 03.03.03, 04.03.02</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</si>
  <si>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направлениям ВПО 010400 «Прикладная математика и информатика» и 010300 «Фундаментальная информатика и информ</t>
  </si>
  <si>
    <t>323800.12.01</t>
  </si>
  <si>
    <t>Введение в юридическую профессию: Уч. / Л.А. Морозова - М.: Норма: НИЦ ИНФРА-М, 2026 -176 с.(о)</t>
  </si>
  <si>
    <t>ВВЕДЕНИЕ В ЮРИДИЧЕСКУЮ ПРОФЕССИЮ, ИЗД.1</t>
  </si>
  <si>
    <t>Морозова Л.А.</t>
  </si>
  <si>
    <t>978-5-91768-569-4</t>
  </si>
  <si>
    <t>Российский государственный университет правосудия г. Москва им. В.М. Лебедева</t>
  </si>
  <si>
    <t>690259.05.01</t>
  </si>
  <si>
    <t>Введение в ядерный магнит. резонанс и магнитную релакс.: Уч.пос. / С.Н.Полулях - М.:НИЦ ИНФРА-М,2025 - 163 с.(П)</t>
  </si>
  <si>
    <t>ВВЕДЕНИЕ В ЯДЕРНЫЙ МАГНИТНЫЙ РЕЗОНАНС И МАГНИТНУЮ РЕЛАКСАЦИЮ, ИЗД.1</t>
  </si>
  <si>
    <t>Полулях С.Н.</t>
  </si>
  <si>
    <t>978-5-16-016715-2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</si>
  <si>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03.03.02 «Физика», 03.03.03 «Радиофизика», 16.03.01 «Техническая физика» (квалификация (степень) «бакалавр») (протокол № 4 от 25.02.2019)</t>
  </si>
  <si>
    <t>724400.04.01</t>
  </si>
  <si>
    <t>Введение в языкознание: Уч. / А.В.Блинов - М.:НИЦ ИНФРА-М,2026. - 381 с.(ВО: Бакалавр.)(п)</t>
  </si>
  <si>
    <t>ВВЕДЕНИЕ В ЯЗЫКОЗНАНИЕ, ИЗД.1</t>
  </si>
  <si>
    <t>Блинов А.В., Рождественский Ю.В.</t>
  </si>
  <si>
    <t>978-5-16-015927-0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</si>
  <si>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45.03.01 «Филология» (квалификация (степень) «бакалавр») (протокол № 6 от 08.06.2022)</t>
  </si>
  <si>
    <t>Московский государственный университет им. М.В. Ломоносова, филологический факультет</t>
  </si>
  <si>
    <t>703446.09.01</t>
  </si>
  <si>
    <t>Введение в языкознание: Уч.пос. / Н.М.Орлова - 2 изд. - М.:НИЦ ИНФРА-М,2027 - 263 с.(ВО:Бакалавр.)(п)</t>
  </si>
  <si>
    <t>ВВЕДЕНИЕ В ЯЗЫКОЗНАНИЕ, ИЗД.2</t>
  </si>
  <si>
    <t>Орлова Н.М.</t>
  </si>
  <si>
    <t>978-5-16-014947-9</t>
  </si>
  <si>
    <t>44.03.05, 45.03.01, 45.03.02, 45.03.03, 45.03.04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</si>
  <si>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44.03.04 «Профессиональное обучение (по отраслям)», 44.03.05 «Педагогическое образование (с двумя профилями подготовки)», 45.03.01 «Филология» (квалификация (степень) «бакалавр»)</t>
  </si>
  <si>
    <t>Саратовский государственный университет им. Н.Г. Чернышевского</t>
  </si>
  <si>
    <t>717633.03.01</t>
  </si>
  <si>
    <t>Введение в языкознание: Уч.пос. / Н.М.Орлова - 2 изд. - М.:НИЦ ИНФРА-М,2027 - 263 с.(СПО)(п)</t>
  </si>
  <si>
    <t>978-5-16-015513-5</t>
  </si>
  <si>
    <t>44.02.03, 44.02.05, 44.02.06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</si>
  <si>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10 от 27.05.2019)</t>
  </si>
  <si>
    <t>813790.01.01</t>
  </si>
  <si>
    <t>Веб-проектирование: Уч.пос. / А.А.Баркович - М.:НИЦ ИНФРА-М,2025. - 231 с.(ВО)(п)</t>
  </si>
  <si>
    <t>ВЕБ-ПРОЕКТИРОВАНИЕ, ИЗД.1</t>
  </si>
  <si>
    <t>Баркович А.А., Филимонова Т.А.</t>
  </si>
  <si>
    <t>978-5-16-019399-1</t>
  </si>
  <si>
    <t>00.03.03, 00.05.03</t>
  </si>
  <si>
    <t>Белорусский государственный университет</t>
  </si>
  <si>
    <t>819901.01.01</t>
  </si>
  <si>
    <t>Ведение бух. учета источ. формир. активов, вып. работ...: Уч.пос. / Т.А.Тюленева - М.:НИЦ ИНФРА-М,2025. - 273 с.(п)</t>
  </si>
  <si>
    <t>ВЕДЕНИЕ БУХГАЛТЕРСКОГО УЧЕТА ИСТОЧНИКОВ ФОРМИРОВАНИЯ АКТИВОВ, ВЫПОЛНЕНИЕ РАБОТ ПО ИНВЕНТАРИЗАЦИИ АКТИВОВ И ФИНАНСОВЫХ ОБЯЗАТЕЛЬСТВ ОРГАНИЗАЦИИ, ИЗД.1</t>
  </si>
  <si>
    <t>Тюленева Т.А.</t>
  </si>
  <si>
    <t>978-5-16-019673-2</t>
  </si>
  <si>
    <t>Кузбасский государственный технический университет имени Т. Ф. Горбачева</t>
  </si>
  <si>
    <t>771941.01.01</t>
  </si>
  <si>
    <t>Ведение бух. учета источников формир. имущества..: Уч. / Г.И.Алексеева - М.:НИЦ ИНФРА-М,2025. - 345 с.(п)</t>
  </si>
  <si>
    <t>ВЕДЕНИЕ БУХГАЛТЕРСКОГО УЧЕТА ИСТОЧНИКОВ ФОРМИРОВАНИЯ ИМУЩЕСТВА, ВЫПОЛНЕНИЕ РАБОТ ПО ИНВЕНТАРИЗАЦИИ ИМУЩЕСТВА И ФИНАНСОВЫХ ОБЯЗАТЕЛЬСТВ, ИЗД.1</t>
  </si>
  <si>
    <t>Алексеева Г.И.</t>
  </si>
  <si>
    <t>978-5-16-019747-0</t>
  </si>
  <si>
    <t>157650.13.01</t>
  </si>
  <si>
    <t>Вейвлет-анализ и его приложения: Уч.пос. / Т.В.Захарова, - 2 изд. - М.:НИЦ ИНФРА-М,2025. - 158 с.(ВО)(о)</t>
  </si>
  <si>
    <t>ВЕЙВЛЕТ-АНАЛИЗ И ЕГО ПРИЛОЖЕНИЯ, ИЗД.2</t>
  </si>
  <si>
    <t>Захарова Т.В., Шестаков О.В.</t>
  </si>
  <si>
    <t>978-5-16-020711-7</t>
  </si>
  <si>
    <t>01.03.01, 01.04.01, 02.03.01, 02.04.01</t>
  </si>
  <si>
    <t>Рекомендовано в качестве учебного пособия для студентов высших учебных заведений, обучающихся по направлениям подготовки 01.03.01 "Математика" и 01.03.02 "Прикладная математика и информатика"</t>
  </si>
  <si>
    <t>690036.03.01</t>
  </si>
  <si>
    <t>Векторные задачи на графах с недетерминир. входными / Ф.Б.Тебуева-М.:ИЦ РИОР,НИЦ ИНФРА-М,2020-234с(О)</t>
  </si>
  <si>
    <t>ВЕКТОРНЫЕ ЗАДАЧИ НА ГРАФАХ С НЕДЕТЕРМИНИРОВАННЫМИ ВХОДНЫМИ ПАРАМЕТРАМИ, ИЗД.1</t>
  </si>
  <si>
    <t>Тебуева Ф.Б., Петренко В.И.</t>
  </si>
  <si>
    <t>978-5-369-01809-5</t>
  </si>
  <si>
    <t>01.04.01, 01.04.02, 01.04.04, 01.06.01</t>
  </si>
  <si>
    <t>873413.01.01</t>
  </si>
  <si>
    <t>Векторы правового регулирования отношений по использ. облачных хранилищ информации: монография / К.К.Таран-М.:НИЦ ИНФРА-М,2027.-174 с.-(Науч.мысль)(п)</t>
  </si>
  <si>
    <t>ВЕКТОРЫ ПРАВОВОГО РЕГУЛИРОВАНИЯ ОТНОШЕНИЙ ПО ИСПОЛЬЗОВАНИЮ ОБЛАЧНЫХ ХРАНИЛИЩ ИНФОРМАЦИИ, ИЗД.1</t>
  </si>
  <si>
    <t>Таран К.К.</t>
  </si>
  <si>
    <t>978-5-16-022020-8</t>
  </si>
  <si>
    <t>10.05.04, 38.03.01, 38.03.05, 38.04.05, 40.03.01, 40.05.01, 40.05.02, 40.05.03, 40.05.04, 40.06.01</t>
  </si>
  <si>
    <t>446600.11.01</t>
  </si>
  <si>
    <t>Великая депрессия и великая реформа...: Моногр. / Р.М.Нуреев - М.:Юр.Норма,НИЦ ИНФРА-М,2026 - 224 с.(П)</t>
  </si>
  <si>
    <t>ВЕЛИКАЯ ДЕПРЕССИЯ И ВЕЛИКАЯ РЕФОРМА (УСПЕХИ И ПРОВАЛЫ ЭКОНОМИЧЕСКОЙ ПОЛИТИКИ Ф.Д.РУЗВЕЛЬТА), ИЗД.1</t>
  </si>
  <si>
    <t>Нуреев Р.М., Латов Ю.В.</t>
  </si>
  <si>
    <t>978-5-91768-668-4</t>
  </si>
  <si>
    <t>38.03.01, 38.03.04, 38.04.01, 38.04.04, 40.03.01, 44.03.01, 44.03.05</t>
  </si>
  <si>
    <t>825759.06.01</t>
  </si>
  <si>
    <t>Великие настав. рос. учительства ХVIII- XIX в.: Моногр. / М.В.Богуславский - М.:НИЦ ИНФРА-М,2027 - 213с(п)</t>
  </si>
  <si>
    <t>ВЕЛИКИЕ НАСТАВНИКИ РОССИЙСКОГО УЧИТЕЛЬСТВА ХVIII- XIX ВЕКОВ, ИЗД.1</t>
  </si>
  <si>
    <t>Богуславский М.В.</t>
  </si>
  <si>
    <t>978-5-16-019898-9</t>
  </si>
  <si>
    <t>44.00.00, 44.03.01, 44.03.05, 44.04.01, 44.04.02, 44.04.04, 44.06.01</t>
  </si>
  <si>
    <t>Институт содержания и методов обучения им. В.С. Леднева</t>
  </si>
  <si>
    <t>АКАДЕМУС-2024, Победитель, III место
Всероссийский (с международным участием) конкурс учебно-методических, учебных и научных работ "Добросвет"-2025, Победитель, III место</t>
  </si>
  <si>
    <t>674513.08.01</t>
  </si>
  <si>
    <t>Вентиляция и качество воздуха в зданиях гор. среды: Моногр. / Н.А.Литвинова - М.:НИЦ ИНФРА-М,2026. - 175 с.(О)</t>
  </si>
  <si>
    <t>ВЕНТИЛЯЦИЯ И КАЧЕСТВО ВОЗДУХА В ЗДАНИЯХ ГОРОДСКОЙ СРЕДЫ, ИЗД.1</t>
  </si>
  <si>
    <t>Литвинова Н.А.</t>
  </si>
  <si>
    <t>978-5-16-013768-1</t>
  </si>
  <si>
    <t>08.02.13, 08.03.01, 08.04.01, 08.05.01</t>
  </si>
  <si>
    <t>472400.07.01</t>
  </si>
  <si>
    <t>Верблюдоводство: Уч. пос. / Д.А.Баймуканов - М.:КУРС, НИЦ ИНФРА-М, 2026 - 184 с.(ВО)(п)</t>
  </si>
  <si>
    <t>ВЕРБЛЮДОВОДСТВО, ИЗД.1</t>
  </si>
  <si>
    <t>Баймуканов Д.А., Юлдашбаев Ю.А., Дошанов Д.А.</t>
  </si>
  <si>
    <t>978-5-906818-14-0</t>
  </si>
  <si>
    <t>Рекомендовано в качестве учебного пособия для студентов высших учебных заведений, обучающихся по направлению 36.03.02 «Зоотехния»</t>
  </si>
  <si>
    <t>Национальная академия наук Республики Казахстан</t>
  </si>
  <si>
    <t>039890.11.01</t>
  </si>
  <si>
    <t>Вероятностное моделирование в фин.-эконом. области: Уч.пос. / Л.Г.Лабскер. - М.: ИНФРА-М, 2027 - 172 с.(ВО)(п)</t>
  </si>
  <si>
    <t>ВЕРОЯТНОСТНОЕ МОДЕЛИРОВАНИЕ В ФИНАНСОВО-ЭКОНОМИЧЕСКОЙ ОБЛАСТИ, ИЗД.2</t>
  </si>
  <si>
    <t>Лабскер Л.Г.</t>
  </si>
  <si>
    <t>978-5-16-018749-5</t>
  </si>
  <si>
    <t>08.01.28, 38.03.01, 38.03.02, 38.03.05, 38.04.01, 38.04.02, 38.04.05, 38.04.08, 38.04.09, 38.05.01</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</si>
  <si>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«Налоги и налогообложение», «Мировая экономика», «Финансы и кредит»</t>
  </si>
  <si>
    <t>105950.08.01</t>
  </si>
  <si>
    <t>Верхняя палата соврем. парламента: срав.-правовое.. /В.Е.Чиркин -М.:Юр.Норма, НИЦ ИНФРА-М,2024-144с.(О)</t>
  </si>
  <si>
    <t>ВЕРХНЯЯ ПАЛАТА СОВРЕМЕННОГО ПАРЛАМЕНТА, ИЗД.1</t>
  </si>
  <si>
    <t>Чиркин В.Е.</t>
  </si>
  <si>
    <t>978-5-91768-770-4</t>
  </si>
  <si>
    <t>38.03.04, 40.03.01, 40.04.01, 44.03.05</t>
  </si>
  <si>
    <t>404100.10.01</t>
  </si>
  <si>
    <t>Верховный суд США: Судеб. прав. политика... / А.Ю.Саломатин - 2 изд. - М.:ИЦ РИОР,НИЦ ИНФРА-М, 2026 - 139 с.(о)</t>
  </si>
  <si>
    <t>ВЕРХОВНЫЙ СУД США: СУДЕБНАЯ ПРАВОВАЯ ПОЛИТИКА ОТ ДЖ. ДЖЕЯ ДО ДЖ. РОБЕРТСА, ИЗД.2</t>
  </si>
  <si>
    <t>Саломатин А.Ю.</t>
  </si>
  <si>
    <t>978-5-369-01211-6</t>
  </si>
  <si>
    <t>40.03.01, 40.04.01, 41.03.04, 41.04.04, 44.03.05, 46.03.01, 46.04.01</t>
  </si>
  <si>
    <t>Пензенский государственный университет</t>
  </si>
  <si>
    <t>745016.01.01</t>
  </si>
  <si>
    <t>Вестиментарный код международ. общения: Моногр. / Л.О.Терновая-М.:НИЦ ИНФРА-М,2021.-249 с.(Науч.мысль)(О)</t>
  </si>
  <si>
    <t>ВЕСТИМЕНТАРНЫЙ КОД МЕЖДУНАРОДНОГО ОБЩЕНИЯ, ИЗД.1</t>
  </si>
  <si>
    <t>978-5-16-016644-5</t>
  </si>
  <si>
    <t>39.06.01, 41.03.04, 41.03.05, 41.04.04, 41.04.05, 41.06.01, 51.06.01</t>
  </si>
  <si>
    <t>361700.05.01</t>
  </si>
  <si>
    <t>Ветеринарная иммунология (теор.и практ.): Уч. /В.Н.Кисленко - М.:НИЦ ИНФРА-М,2024-214с(ВО:Магистр.)(п)</t>
  </si>
  <si>
    <t>ВЕТЕРИНАРНАЯ ИММУНОЛОГИЯ (ТЕОРИЯ И ПРАКТИКА), ИЗД.1</t>
  </si>
  <si>
    <t>978-5-16-010964-0</t>
  </si>
  <si>
    <t>36.04.01</t>
  </si>
  <si>
    <t>Допущено Министерством сельского хозяйства РФ в качестве учебника для студентов высших учебных заведений, обучающихся по направлению подготовки 36.04.01 —«Ветеринарно-санитарная экспертиза» (степень «магистр»)</t>
  </si>
  <si>
    <t>341900.09.01</t>
  </si>
  <si>
    <t>Ветеринарная микробиол.  и иммунология: Уч.:Ч.1. / В.Н.Кисленко - М.:НИЦ ИНФРА-М,2026 - 183 с.(ВО)(П)</t>
  </si>
  <si>
    <t>ВЕТЕРИНАРНАЯ МИКРОБИОЛОГИЯ И ИММУНОЛОГИЯ, Т.1</t>
  </si>
  <si>
    <t>Кисленко В.Н., Колычев Н.М.</t>
  </si>
  <si>
    <t>978-5-16-010759-2</t>
  </si>
  <si>
    <t>36.03.01, 36.03.02, 36.04.01, 44.03.05</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</si>
  <si>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36.05.01 «Ветеринария»</t>
  </si>
  <si>
    <t>682843.07.01</t>
  </si>
  <si>
    <t>Ветеринарная пропедевтика: Уч. / Б.В.Уша - 2 изд. - М.:НИЦ ИНФРА-М,2026 - 451 с.(СПО)(П)</t>
  </si>
  <si>
    <t>ВЕТЕРИНАРНАЯ ПРОПЕДЕВТИКА, ИЗД.2</t>
  </si>
  <si>
    <t>Уша Б.В., Беляков И.М.</t>
  </si>
  <si>
    <t>978-5-16-013898-5</t>
  </si>
  <si>
    <t>35.01.23, 35.02.09, 36.01.02, 36.01.03, 36.02.01, 36.02.03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</si>
  <si>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36.02.01 «Ветеринария», 36.02.02 «Зоотехния»</t>
  </si>
  <si>
    <t>637238.05.01</t>
  </si>
  <si>
    <t>Ветеринарная пропедевтика: Уч. / Б.В.Уша - 2 изд., - М.:НИЦ ИНФРА-М,2026 - 451с.(ВО)(п)</t>
  </si>
  <si>
    <t>978-5-16-019208-6</t>
  </si>
  <si>
    <t>36.03.01, 36.05.01</t>
  </si>
  <si>
    <t>Допущено Учебно-методическим объединением вузов России по образованию в области технологии сырья и продуктов животного происхождения в качестве учебника для студентов высших учебных заведений, обучающихся по специальности «Ветеринарно-санитарная экспертиза» и направлению подготовки 36.03.01 «Ветеринарно-санитарная экспертиза»</t>
  </si>
  <si>
    <t>436350.08.01</t>
  </si>
  <si>
    <t>Ветеринарная санитария на предпр. по переработке ..: Уч.пос. / К.Н.Сон - М.:НИЦ ИНФРА-М,2027 - 208 с.(П)</t>
  </si>
  <si>
    <t>ВЕТЕРИНАРНАЯ САНИТАРИЯ НА ПРЕДПРИЯТИЯХ ПО ПЕРЕРАБОТКЕ ПИЩЕВОГО СЫРЬЯ ЖИВОТНОГО ПРОИСХОЖДЕНИЯ, ИЗД.1</t>
  </si>
  <si>
    <t>Сон К. Н., Родин В. Н.</t>
  </si>
  <si>
    <t>978-5-16-006714-8</t>
  </si>
  <si>
    <t>36.03.01, 36.04.01</t>
  </si>
  <si>
    <t>641478.07.01</t>
  </si>
  <si>
    <t>Ветеринарно-санитарная экспертиза рыбы и рыбопродуктов: Справ. / Т.И.Дячук - М.:НИЦ ИНФРА-М,2027 - 366 с.(П)</t>
  </si>
  <si>
    <t>ВЕТЕРИНАРНО-САНИТАРНАЯ ЭКСПЕРТИЗА РЫБЫ И РЫБОПРОДУКТОВ, ИЗД.1</t>
  </si>
  <si>
    <t>Дячук Т.И.</t>
  </si>
  <si>
    <t>978-5-16-012329-5</t>
  </si>
  <si>
    <t>19.02.11, 19.02.12, 35.01.32, 35.02.09, 36.02.03, 36.03.01, 36.04.01</t>
  </si>
  <si>
    <t>Допущено  Министерством сельского хозяйства Российской Федерации в качестве учебного пособия для студентов, обучающихся по специальностям 36.03.01 «Ветеринарно-санитарная экспертиза» и 36.05.01 «Ветеринария»</t>
  </si>
  <si>
    <t>Новосибирский химико-технологический колледж им. Д.И. Менделеева</t>
  </si>
  <si>
    <t>204300.19.01</t>
  </si>
  <si>
    <t>Ветеринарно-санитарная экспертиза: Уч. / Под ред. Кунакова А.А. - 2 изд. - М.:НИЦ ИНФРА-М,2026 - 252 с.(ВО)(П)</t>
  </si>
  <si>
    <t>ВЕТЕРИНАРНО-САНИТАРНАЯ ЭКСПЕРТИЗА, ИЗД.2</t>
  </si>
  <si>
    <t>Уша Б.В., Авылов Ч.К., Гламаздин И.Г. и др.</t>
  </si>
  <si>
    <t>978-5-16-018561-3</t>
  </si>
  <si>
    <t>36.03.01, 36.03.02, 36.04.01, 36.04.02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</si>
  <si>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36.03.01 «Ветеринарно-санитарная экспертиза» и 06.03.01 «Биология» (квалификация (степень) «бакалавр») (протокол № 8 от 22.06.2020)</t>
  </si>
  <si>
    <t>204300.11.01</t>
  </si>
  <si>
    <t>Ветеринарно-санитарная экспертиза: Уч. / Под ред. Кунакова А.А. - М.:НИЦ ИНФРА-М,2020. 2 34 с.(ВО)(П)</t>
  </si>
  <si>
    <t>ВЕТЕРИНАРНО-САНИТАРНАЯ ЭКСПЕРТИЗА, ИЗД.1</t>
  </si>
  <si>
    <t>Кунаков А.А., Уша Б.В., Кальницкая О.И. и др.</t>
  </si>
  <si>
    <t>978-5-16-005442-1</t>
  </si>
  <si>
    <t>Допущено УМО по образованию в области технологии сырья и продуктов животного происхождения в качестве учебного пособия для студентов высших учебных заведений: для бакалавров и магистров по направлениям 36.03.01 и 36.04.01 «Ветеринарно-санитарная экспертиза», для специалистов по направлению 36.05.01 «Ветеринария»</t>
  </si>
  <si>
    <t>682844.07.01</t>
  </si>
  <si>
    <t>Ветеринарно-санитарная экспертиза: Уч. / Под ред. Кунакова А.А. - М.:НИЦ ИНФРА-М,2027 - 234 с.(СПО) (П)</t>
  </si>
  <si>
    <t>978-5-16-013899-2</t>
  </si>
  <si>
    <t>18.01.01, 18.01.34, 36.01.05, 36.02.01, 36.02.03, 38.01.02</t>
  </si>
  <si>
    <t>Рекомендовано Учебно-методическим советом СПО в качестве учебника для учебных заведений, реализующих программу среднего профессионального образования по  специальностям 36.02.01 «Ветеринария», 36.02.02 «Зоотехния»</t>
  </si>
  <si>
    <t>798005.02.01</t>
  </si>
  <si>
    <t>Ветроагрегаты с оптимал. управ. выработки электроэнергии / В.И.Буяльский-М.:НИЦ ИНФРА-М,2023.-182 с.(о)</t>
  </si>
  <si>
    <t>ВЕТРОАГРЕГАТЫ С ОПТИМАЛЬНЫМ УПРАВЛЕНИЕМ ВЫРАБОТКИ ЭЛЕКТРОЭНЕРГИИ, ИЗД.1</t>
  </si>
  <si>
    <t>Буяльский В.И.</t>
  </si>
  <si>
    <t>978-5-16-018259-9</t>
  </si>
  <si>
    <t>13.04.02, 13.04.03, 13.06.01</t>
  </si>
  <si>
    <t>Севастопольский колледж информационных технологий и промышленности</t>
  </si>
  <si>
    <t>665726.03.01</t>
  </si>
  <si>
    <t>Вещное право проживания: Моногр. / Д.А.Формакидов -М.:НИЦ ИНФРА-М,2022.-142 с..-(Науч.мысль)(О)</t>
  </si>
  <si>
    <t>ВЕЩНОЕ ПРАВО ПРОЖИВАНИЯ, ИЗД.1</t>
  </si>
  <si>
    <t>Формакидов Д.А.</t>
  </si>
  <si>
    <t>978-5-16-013613-4</t>
  </si>
  <si>
    <t>665691.07.01</t>
  </si>
  <si>
    <t>Вещное право: Уч.пос. / Д.А.Формакидов, - 2 изд. - М.:НИЦ ИНФРА-М,2026. - 184 с.(ВО)(п)</t>
  </si>
  <si>
    <t>ВЕЩНОЕ ПРАВО, ИЗД.2</t>
  </si>
  <si>
    <t>978-5-16-019263-5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</si>
  <si>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13 от 16.09. 2019)</t>
  </si>
  <si>
    <t>185250.14.01</t>
  </si>
  <si>
    <t>Вещные иски: проблемы теории и практики: Моногр. / А.А.Новоселова - М.:НИЦ ИНФРА-М, 2026 - 279 с.(о)</t>
  </si>
  <si>
    <t>ВЕЩНЫЕ ИСКИ: ПРОБЛЕМЫ ТЕОРИИ И ПРАКТИКИ, ИЗД.1</t>
  </si>
  <si>
    <t>Новоселова А. А., Подшивалов Т. П.</t>
  </si>
  <si>
    <t>978-5-16-005589-3</t>
  </si>
  <si>
    <t>664063.03.01</t>
  </si>
  <si>
    <t>Взаимные инвестиции стран Персидского залива и СНГ: Моногр. / А.З.Нагимова-М.:НИЦ ИНФРА-М,2019-208с</t>
  </si>
  <si>
    <t>ВЗАИМНЫЕ ИНВЕСТИЦИИ СТРАН ПЕРСИДСКОГО ЗАЛИВА И СНГ, ИЗД.1</t>
  </si>
  <si>
    <t>Нагимова А.З.</t>
  </si>
  <si>
    <t>978-5-16-013372-0</t>
  </si>
  <si>
    <t>Уфимский государственный нефтяной технический университет</t>
  </si>
  <si>
    <t>782869.02.01</t>
  </si>
  <si>
    <t>Взаимовлияние трансп. инфраструктуры и чел. развития: Моногр. / М.В.Сергеева - М.:НИЦ ИНФРА-М,2026 - 218 с.(П)</t>
  </si>
  <si>
    <t>ВЗАИМОВЛИЯНИЕ ТРАНСПОРТНОЙ ИНФРАСТРУКТУРЫ И ЧЕЛОВЕЧЕСКОГО РАЗВИТИЯ, ИЗД.1</t>
  </si>
  <si>
    <t>Сергеева М.В.</t>
  </si>
  <si>
    <t>978-5-16-017822-6</t>
  </si>
  <si>
    <t>730437.05.01</t>
  </si>
  <si>
    <t>Взаимодействие антигенов с антителами и с...: Моногр. / Н.Г.Титова - М.:НИЦ ИНФРА-М,2026 - 186 с.(П)</t>
  </si>
  <si>
    <t>ВЗАИМОДЕЙСТВИЕ АНТИГЕНОВ С АНТИТЕЛАМИ И С ИММУНОКОМПЕТЕНТНЫМИ КЛЕТКАМИ (КОЛИЧЕСТВЕННЫЕ АСПЕКТЫ), ИЗД.1</t>
  </si>
  <si>
    <t>Титова Н.Г.</t>
  </si>
  <si>
    <t>978-5-16-015943-0</t>
  </si>
  <si>
    <t>30.05.01, 31.05.01, 31.05.02, 31.05.03, 32.05.01</t>
  </si>
  <si>
    <t>Научно-исследовательский институт вакцин и сывороток им. И.И. Мечникова</t>
  </si>
  <si>
    <t>707071.04.01</t>
  </si>
  <si>
    <t>Взаимодействие педагог. науки и системы...: Моногр. / Я.С.Турбовской - М.:НИЦ ИНФРА-М,2026  - 276 с.(П)</t>
  </si>
  <si>
    <t>ВЗАИМОДЕЙСТВИЕ ПЕДАГОГИЧЕСКОЙ НАУКИ И СИСТЕМЫ ОТЕЧЕСТВЕННОГО ОБРАЗОВАНИЯ КАК УПРАВЛЯЕМЫЙ ПРОЦЕСС, ИЗД.1</t>
  </si>
  <si>
    <t>Турбовской Я.С.</t>
  </si>
  <si>
    <t>978-5-16-015250-9</t>
  </si>
  <si>
    <t>44.04.01, 44.04.02, 44.04.03, 44.04.04, 44.05.01</t>
  </si>
  <si>
    <t>656464.08.01</t>
  </si>
  <si>
    <t>Взаимодействие пользов.с интерфейсами информ..: Уч.пос. / О.Н.Ткаченко -М.:НИЦ ИНФРА-М,2026 - 152 с.(о)</t>
  </si>
  <si>
    <t>ВЗАИМОДЕЙСТВИЕ ПОЛЬЗОВАТЕЛЯ С ИНТЕРФЕЙСАМИ ИНФОРМАЦИОННЫХ СИСТЕМ ДЛЯ МОБИЛЬНЫХ УСТРОЙСТВ: ИССЛЕДОВАНИЕ ОПЫТА, ИЗД.1</t>
  </si>
  <si>
    <t>Ткаченко О.Н.</t>
  </si>
  <si>
    <t>978-5-16-021361-3</t>
  </si>
  <si>
    <t>09.03.02, 42.03.02, 42.03.05</t>
  </si>
  <si>
    <t>769547.01.01</t>
  </si>
  <si>
    <t>Взаимодействие правоохр. органов по обеспечению нац. безоп..: Моногр. / Р.Г.Миронов-М.:НИЦ ИНФРА-М,2022-183с.(П)</t>
  </si>
  <si>
    <t>ВЗАИМОДЕЙСТВИЕ ПРАВООХРАНИТЕЛЬНЫХ ОРГАНОВ ПО ОБЕСПЕЧЕНИЮ НАЦИОНАЛЬНОЙ БЕЗОПАСНОСТИ, ИЗД.1</t>
  </si>
  <si>
    <t>Миронов Р.Г.</t>
  </si>
  <si>
    <t>978-5-16-017549-2</t>
  </si>
  <si>
    <t>40.03.01, 40.04.01, 40.05.01, 40.06.01</t>
  </si>
  <si>
    <t>468200.07.01</t>
  </si>
  <si>
    <t>Взаимодействие физических полей..: Уч.пос. / Под ред. Нефедова Е.И.-М.:КУРС, НИЦ ИНФРА-М,2023-344с.</t>
  </si>
  <si>
    <t>ВЗАИМОДЕЙСТВИЕ ФИЗИЧЕСКИХ ПОЛЕЙ С БИОЛОГИЧЕСКИМИ ОБЪЕКТАМИ (С ОСНОВАМИ ПРОЕКТИРОВАНИЯ ВЫСОКОЧАСТОТНОЙ МЕДИКО-БИОЛОГИЧЕСКОЙ АППАРАТУРЫ), ИЗД.1</t>
  </si>
  <si>
    <t>Нефедов Е.И., Субботина Т.И., Яшин А.А. и др.</t>
  </si>
  <si>
    <t>978-5-906818-19-5</t>
  </si>
  <si>
    <t>03.03.03, 11.03.01, 12.03.04, 12.04.02</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</si>
  <si>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направлению подготовки 12.03.04 и 12.04.04 «Биотехнические системы и технологии»</t>
  </si>
  <si>
    <t>Институт радиотехники и электроники им. В.А. Котельникова Российской академии наук</t>
  </si>
  <si>
    <t>441250.06.01</t>
  </si>
  <si>
    <t>Взаимозаменяемость в расч. червячных передач: Уч. пос. / Л.И.Миронова - РИОР:ИНФРА-М, 2027 - 78 с.(ВО) (о)</t>
  </si>
  <si>
    <t>ВЗАИМОЗАМЕНЯЕМОСТЬ В РАСЧЕТАХ ЧЕРВЯЧНЫХ ПЕРЕДАЧ, ИЗД.1</t>
  </si>
  <si>
    <t>Миронова Л. И.</t>
  </si>
  <si>
    <t>978-5-369-01209-3</t>
  </si>
  <si>
    <t>13.03.03, 15.03.01, 15.03.03, 15.03.05, 15.04.01, 15.04.05, 16.03.03, 23.03.02, 23.03.03, 24.03.03, 24.03.04, 24.03.05</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</si>
  <si>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«Конструкторско-технологиче</t>
  </si>
  <si>
    <t>654658.08.01</t>
  </si>
  <si>
    <t>Взаимозаменяемость и нормирование точности: Уч. / А.А.Афанасьев - М.:НИЦ ИНФРА-М,2027. - 427 с.(ВО)(п)</t>
  </si>
  <si>
    <t>ВЗАИМОЗАМЕНЯЕМОСТЬ И НОРМИРОВАНИЕ ТОЧНОСТИ, ИЗД.1</t>
  </si>
  <si>
    <t>Афанасьев А.А., Погонин А.А.</t>
  </si>
  <si>
    <t>978-5-16-019445-5</t>
  </si>
  <si>
    <t>15.03.01, 15.03.05, 27.03.01, 27.03.02</t>
  </si>
  <si>
    <t>Рекомендовано в качестве учебника для студентов высших учебных заведений, обучающихся по направлениям подготовки 27.03.01 «Стандартизация и метрология», 27.03.02 «Управление качеством» (квалификация (степень) «бакалавр»)</t>
  </si>
  <si>
    <t>730831.03.01</t>
  </si>
  <si>
    <t>Взаимозаменяемость и нормирование точности: Уч. / А.А.Афанасьев - М.:НИЦ ИНФРА-М,2027-427 с.(СПО)(п)</t>
  </si>
  <si>
    <t>978-5-16-015957-7</t>
  </si>
  <si>
    <t>15.02.16, 27.02.01, 27.02.02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</si>
  <si>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27.02.01 «Метрология», 27.02.02 «Техническое регулирование и управление качеством»  (протокол № 14 от 30.09.2019)</t>
  </si>
  <si>
    <t>485650.06.01</t>
  </si>
  <si>
    <t>Взаимосвязь контроллинга и упр.учета: Моногр. / Ю.И.Сигидов-М.:НИЦ ИНФРА-М,2024-168с.(Науч.мысль)(о)</t>
  </si>
  <si>
    <t>ВЗАИМОСВЯЗЬ КОНТРОЛЛИНГА И УПРАВЛЕНЧЕСКОГО УЧЕТА, ИЗД.1</t>
  </si>
  <si>
    <t>Сигидов Ю.И., Рыбянцева М.С.</t>
  </si>
  <si>
    <t>978-5-16-010589-5</t>
  </si>
  <si>
    <t>38.03.01, 38.03.02, 38.03.03, 41.03.06</t>
  </si>
  <si>
    <t>187250.01.01</t>
  </si>
  <si>
    <t>Взимание НДС: международная практика и российские нормы:Монография/К.К.Семкин и др.-М.:Магистр, НИЦ ИНФРА-М,2012.-160 с.</t>
  </si>
  <si>
    <t>ВЗИМАНИЕ НДС: МЕЖДУНАРОДНАЯ ПРАКТИКА И РОССИЙСКИЕ НОРМЫ, ИЗД.1</t>
  </si>
  <si>
    <t>Семкин К. К., Медведева О. В., Семкина Т. И.</t>
  </si>
  <si>
    <t>978-5-9776-0237-2</t>
  </si>
  <si>
    <t>38.03.01, 38.03.02, 38.03.03, 38.03.04, 38.03.05, 38.03.06, 38.03.07, 38.04.01, 38.04.02, 38.04.03, 38.04.04, 38.04.05, 38.04.06, 38.04.07, 38.04.08, 38.04.09, 38.05.01, 38.05.02, 44.03.01, 44.03.05</t>
  </si>
  <si>
    <t>Научно-исследователький финансовый институт Министерства финансов Российской Федерации</t>
  </si>
  <si>
    <t>644533.10.01</t>
  </si>
  <si>
    <t>Взлеты и падения гениев науки: практ. по метод. науки: Моногр. / В.А.Канке - М.:НИЦ ИНФРА-М,2025 - 190 с.(П)</t>
  </si>
  <si>
    <t>ВЗЛЕТЫ И ПАДЕНИЯ ГЕНИЕВ НАУКИ. НАУЧНО-ПОПУЛЯРНЫЕ ОЧЕРКИ, ИЗД.1</t>
  </si>
  <si>
    <t>978-5-16-012428-5</t>
  </si>
  <si>
    <t>802005.02.01</t>
  </si>
  <si>
    <t>Взрывопожаробезопасность корабля: Уч.пос. / А.Н.Гулевич и др. - М.:НИЦ ИНФРА-М,2026. - 224 с.(п)</t>
  </si>
  <si>
    <t>ВЗРЫВОПОЖАРОБЕЗОПАСНОСТЬ КОРАБЛЯ, ИЗД.1</t>
  </si>
  <si>
    <t>Гулевич А.Н., Матковский В.В., Сошкин П.А.</t>
  </si>
  <si>
    <t>978-5-16-018739-6</t>
  </si>
  <si>
    <t>26.04.02, 26.05.01, 26.05.02, 26.05.04, 26.05.06, 26.05.07, 26.06.01</t>
  </si>
  <si>
    <t>Рекомендовано экспертным советом ЧВВМУ имени П.С. Нахимова в качестве учебного пособия по дисциплине «Живучесть корабля», разделу дисциплин «Устройство и живучесть корабля», «Теория и устройство судна» для курсантов и студентов высшего и среднего профессионального образования</t>
  </si>
  <si>
    <t>705030.10.01</t>
  </si>
  <si>
    <t>Взрывчатые вещества и взрывчатые превращения: Уч.пос. / Ю.И.Котасонов - М.:НИЦ ИНФРА-М,2027 - 142 с(П)</t>
  </si>
  <si>
    <t>ВЗРЫВЧАТЫЕ ВЕЩЕСТВА И ВЗРЫВЧАТЫЕ ПРЕВРАЩЕНИЯ, ИЗД.1</t>
  </si>
  <si>
    <t>Котасонов Ю.И.</t>
  </si>
  <si>
    <t>978-5-16-015160-1</t>
  </si>
  <si>
    <t>Профессиональное обучение</t>
  </si>
  <si>
    <t>17.03.01, 17.04.01, 17.05.01, 56.04.02, 56.04.03, 56.04.06, 56.04.08, 56.05.01</t>
  </si>
  <si>
    <t>Рекомендовано Ученым советом ЧВВМУ имени П.С. Нахимова (протокол № 11/2015-2016 от 24.06.2016) в качестве учебного пособия по дисциплине «Взрывчатые вещества и взрывчатые превращения» для курсантов ЧВВМУ</t>
  </si>
  <si>
    <t>405000.08.01</t>
  </si>
  <si>
    <t>Вибрационная болезнь: моногр. / С.А.Бабанов и др. - М.:НИЦ ИНФРА-М,2026. - 160 с.(Науч.мысль)(о)</t>
  </si>
  <si>
    <t>ВИБРАЦИОННАЯ БОЛЕЗНЬ, ИЗД.1</t>
  </si>
  <si>
    <t>Бабанов С.А., Азовскова Т.А., Вакурова Н.В. и др.</t>
  </si>
  <si>
    <t>978-5-16-022227-1</t>
  </si>
  <si>
    <t>834527.02.01</t>
  </si>
  <si>
    <t>Видные настав. рос. учительства второй половины ХХ в. / М.В.Богуславский - М.:НИЦ ИНФРА-М,2026. - 153 с.(п)</t>
  </si>
  <si>
    <t>ВИДНЫЕ НАСТАВНИКИ РОССИЙСКОГО УЧИТЕЛЬСТВА ВТОРОЙ ПОЛОВИНЫ ХХ ВЕКА, ИЗД.1</t>
  </si>
  <si>
    <t>978-5-16-020838-1</t>
  </si>
  <si>
    <t>44.03.01, 44.03.03, 44.03.05, 44.04.01, 44.04.02, 44.04.03, 44.04.04, 44.06.01</t>
  </si>
  <si>
    <t>АКАДЕМУС-2025, Лауреат
Всероссийский (с международным участием) конкурс учебно-методических, учебных и научных работ "Добросвет"-2025, Призер</t>
  </si>
  <si>
    <t>796035.05.01</t>
  </si>
  <si>
    <t>Видовое и породное биоразнообразие круп. рог. скота / Е.Я.Лебедько - М.:НИЦ ИНФРА-М,2026. - 367 с.(п)</t>
  </si>
  <si>
    <t>ВИДОВОЕ И ПОРОДНОЕ БИОРАЗНООБРАЗИЕ КРУПНОГО РОГАТОГО СКОТА, ИЗД.1</t>
  </si>
  <si>
    <t>Лебедько Е.Я.</t>
  </si>
  <si>
    <t>978-5-16-018238-4</t>
  </si>
  <si>
    <t>35.03.07, 36.02.01, 36.02.03, 36.03.02</t>
  </si>
  <si>
    <t>Брянский государственный аграрный университет</t>
  </si>
  <si>
    <t>АКАДЕМУС-2022, Победитель, I место</t>
  </si>
  <si>
    <t>104850.17.01</t>
  </si>
  <si>
    <t>Виды и средства распростр. рекламы: Уч.пос. / Б.И.Герасимов. - М.:Форум, НИЦ ИНФРА-М,2026. - 128 с.(О)</t>
  </si>
  <si>
    <t>ВИДЫ И СРЕДСТВА РАСПРОСТРАНЕНИЯ РЕКЛАМЫ, ИЗД.1</t>
  </si>
  <si>
    <t>Герасимов Б.И., Молоткова Н.В., Блюм М.А.</t>
  </si>
  <si>
    <t>978-5-00091-611-7</t>
  </si>
  <si>
    <t>38.02.08, 42.01.01, 42.02.01, 54.02.08</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</si>
  <si>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t>
  </si>
  <si>
    <t>733987.08.01</t>
  </si>
  <si>
    <t>Византия и Русь. Статус гос. как отражение..: Моногр. / Д.А.Казанцев - М.:НИЦ ИНФРА-М,2026 - 210 с.(О)</t>
  </si>
  <si>
    <t>ВИЗАНТИЯ И РУСЬ. СТАТУС ГОСУДАРЯ КАК ОТРАЖЕНИЕ ПОЛИТИЧЕСКОЙ КУЛЬТУРЫ (КОНЕЦ IX - НАЧАЛО XVI ВЕКА), ИЗД.1</t>
  </si>
  <si>
    <t>Казанцев Д.А.</t>
  </si>
  <si>
    <t>978-5-16-016263-8</t>
  </si>
  <si>
    <t>00.05.04</t>
  </si>
  <si>
    <t>Центр развития экономики</t>
  </si>
  <si>
    <t>637288.05.01</t>
  </si>
  <si>
    <t>Визуализация в науч. исследованиях: Уч.пос. / В.И.Корнеев - М.:НИЦ ИНФРА-М,2026 - 400 с.(ВО: Магистр.)(П)</t>
  </si>
  <si>
    <t>ВИЗУАЛИЗАЦИЯ В НАУЧНЫХ ИССЛЕДОВАНИЯХ, ИЗД.1</t>
  </si>
  <si>
    <t>Корнеев В.И., Гагарина Л.Г., Корнеева М.В.</t>
  </si>
  <si>
    <t>978-5-16-015308-7</t>
  </si>
  <si>
    <t>09.04.04, 09.06.01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</si>
  <si>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09.04.04 «Программная инженерия» (квалификация (степень) «магистр») (протокол № 10 от 12.10.2020)</t>
  </si>
  <si>
    <t>734008.01.01</t>
  </si>
  <si>
    <t>Виктимологические аспекты насильств. преступ. в семейно-бытовой сфере / Е.В.Бочкарева-М.:НИЦ ИНФРА-М,2021.-135 с.(О)</t>
  </si>
  <si>
    <t>ВИКТИМОЛОГИЧЕСКИЕ АСПЕКТЫ НАСИЛЬСТВЕННОЙ ПРЕСТУПНОСТИ В СЕМЕЙНО-БЫТОВОЙ СФЕРЕ, ИЗД.1</t>
  </si>
  <si>
    <t>Бочкарева Е.В.</t>
  </si>
  <si>
    <t>978-5-16-016154-9</t>
  </si>
  <si>
    <t>37.05.01, 40.04.01, 40.06.01</t>
  </si>
  <si>
    <t>Московский университет имени А.С.Грибоедова</t>
  </si>
  <si>
    <t>407750.06.01</t>
  </si>
  <si>
    <t>Виндикационное правоотношение: Моногр. / С.А.Краснова - М.:НИЦ ИНФРА-М,2025. - 136 с.(Науч. мысль)(О)</t>
  </si>
  <si>
    <t>ВИНДИКАЦИОННОЕ ПРАВООТНОШЕНИЕ, ИЗД.1</t>
  </si>
  <si>
    <t>Краснова С. А.</t>
  </si>
  <si>
    <t>978-5-16-006380-5</t>
  </si>
  <si>
    <t>38.03.04, 40.03.01, 40.04.01, 44.03.05, 46.03.02</t>
  </si>
  <si>
    <t>Российский экономический университет им. Г.В. Плеханова, Кемеровский институт ф-л</t>
  </si>
  <si>
    <t>149750.10.01</t>
  </si>
  <si>
    <t>Виндикация: юрид.природа и проблемы реал.: Моногр. / Д.В.Лоренц  - М.:НИЦ ИНФРА-М,2026 - 164 с.(Науч.мысль)(О)</t>
  </si>
  <si>
    <t>ВИНДИКАЦИЯ: ЮРИДИЧЕСКАЯ ПРИРОДА И ПРОБЛЕМЫ РЕАЛИЗАЦИИ, ИЗД.1</t>
  </si>
  <si>
    <t>Лоренц Д.В.</t>
  </si>
  <si>
    <t>978-5-16-004845-1</t>
  </si>
  <si>
    <t>659708.06.01</t>
  </si>
  <si>
    <t>Виртуализация современных финансов: Моногр. / М.А.Сажина-М.:ИД ФОРУМ,НИЦ ИНФРА-М,2021-120с(О)</t>
  </si>
  <si>
    <t>ВИРТУАЛИЗАЦИЯ СОВРЕМЕННЫХ ФИНАНСОВ, ИЗД.1</t>
  </si>
  <si>
    <t>Сажина М.А.</t>
  </si>
  <si>
    <t>978-5-8199-0820-4</t>
  </si>
  <si>
    <t>803215.01.01</t>
  </si>
  <si>
    <t>Виртуальная проф. практика для студентов-дефектологов: Моногр. / Т.В.Николаева-М.:НИЦ ИНФРА-М,2024.-160 с.(п)</t>
  </si>
  <si>
    <t>ВИРТУАЛЬНАЯ ПРОФЕССИОНАЛЬНАЯ ПРАКТИКА ДЛЯ СТУДЕНТОВ-ДЕФЕКТОЛОГОВ, ИЗД.1</t>
  </si>
  <si>
    <t>Николаева Т.В.</t>
  </si>
  <si>
    <t>978-5-16-019234-5</t>
  </si>
  <si>
    <t>44.03.03, 44.04.03, 44.06.01</t>
  </si>
  <si>
    <t>Институт коррекционной педагогики</t>
  </si>
  <si>
    <t>802976.03.01</t>
  </si>
  <si>
    <t>Виртуальное коммуникационное пространство..: Моногр. / А.Б.Ромашкина - М.:НИЦ ИНФРА-М,2026 - 231 с.(о)</t>
  </si>
  <si>
    <t>ВИРТУАЛЬНОЕ КОММУНИКАЦИОННОЕ ПРОСТРАНСТВО: ВЗАИМОДЕЙСТВИЕ ВЛАСТИ И ОБЩЕСТВА, ИЗД.1</t>
  </si>
  <si>
    <t>Ромашкина А.Б.</t>
  </si>
  <si>
    <t>978-5-16-018593-4</t>
  </si>
  <si>
    <t>41.04.04, 41.06.01</t>
  </si>
  <si>
    <t>662960.07.01</t>
  </si>
  <si>
    <t>Витте С.Ю. - выдающийся железнодорожник: Моногр./Д.Ю.Левин-М.:НИЦ ИНФРА-М,2024-418 с.(Науч.мысль)(П)</t>
  </si>
  <si>
    <t>ВИТТЕ С.Ю. - ВЫДАЮЩИЙСЯ ЖЕЛЕЗНОДОРОЖНИК, ИЗД.1</t>
  </si>
  <si>
    <t>Левин Д.Ю.</t>
  </si>
  <si>
    <t>978-5-16-013021-7</t>
  </si>
  <si>
    <t>23.05.01, 23.05.03, 23.05.04, 23.05.05, 23.05.06, 23.06.01</t>
  </si>
  <si>
    <t>862386.01.01</t>
  </si>
  <si>
    <t>Вклад рос. студенческих отрядов в соц.-экономич. развитие страны / С.В.Чуев. - М.:НИЦ ИНФРА-М,2026. - 228 с.(о)</t>
  </si>
  <si>
    <t>ВКЛАД РОССИЙСКИХ СТУДЕНЧЕСКИХ ОТРЯДОВ В СОЦИАЛЬНО-ЭКОНОМИЧЕСКОЕ РАЗВИТИЕ СТРАНЫ, ИЗД.1</t>
  </si>
  <si>
    <t>Чуев С.В., Анферов А.А., Гуров Г.А. и др.</t>
  </si>
  <si>
    <t>978-5-16-021426-9</t>
  </si>
  <si>
    <t>38.06.01, 39.03.03, 39.04.01, 39.06.01</t>
  </si>
  <si>
    <t>АКАДЕМУС-2025, Победитель, II место</t>
  </si>
  <si>
    <t>683866.06.01</t>
  </si>
  <si>
    <t>Властные механизмы обеспеч.военной безоп.РФ: Моногр. / А.А.Ковалев - М.:ИЦ РИОР, НИЦ ИНФРА-М,2025 - 256 с.(О)</t>
  </si>
  <si>
    <t>ВЛАСТНЫЕ МЕХАНИЗМЫ ОБЕСПЕЧЕНИЯ ВОЕННОЙ БЕЗОПАСНОСТИ РФ, ИЗД.1</t>
  </si>
  <si>
    <t>Ковалев А.А., Шамахов В.А.</t>
  </si>
  <si>
    <t>978-5-369-01789-0</t>
  </si>
  <si>
    <t>40.05.01, 40.06.01, 56.04.01</t>
  </si>
  <si>
    <t>684194.03.01</t>
  </si>
  <si>
    <t>Власть и общество в развитии общего образ. в России: Моногр. / А.В.Овчинников. - М.:НИЦ ИНФРА-М,2027. - 230 с.(о)</t>
  </si>
  <si>
    <t>ВЛАСТЬ И ОБЩЕСТВО В РАЗВИТИИ ОБЩЕГО ОБРАЗОВАНИЯ В РОССИИ (XIX - КОНЕЦ XX ВЕКА), ИЗД.1</t>
  </si>
  <si>
    <t>Овчинников А.В., Козлова Г.Н., Петухова И.В.</t>
  </si>
  <si>
    <t>978-5-16-022503-6</t>
  </si>
  <si>
    <t>44.03.04, 44.03.05, 44.04.01, 44.04.02, 44.04.03, 44.04.04</t>
  </si>
  <si>
    <t>684194.02.01</t>
  </si>
  <si>
    <t>Власть и общество в развитии общего образования в Рос.: Моногр. / А.В.Овчинников.-М.:НИЦ ИНФРА-М,2019.-230с(П)</t>
  </si>
  <si>
    <t>978-5-16-014098-8</t>
  </si>
  <si>
    <t>871118.01.01</t>
  </si>
  <si>
    <t>Власть, идеология...: Моногр. / В.Н.Первушина. - М.:НИЦ ИНФРА-М,2026. - 161 с.(п)</t>
  </si>
  <si>
    <t>ВЛАСТЬ, ИДЕОЛОГИЯ: ЦИВИЛИЗАЦИОННО-КУЛЬТУРОЛОГИЧЕСКИЙ ПОДХОД, ИЗД.1</t>
  </si>
  <si>
    <t>Первушина В.Н., Морозова Н.М., Талынев В.Е.</t>
  </si>
  <si>
    <t>978-5-16-021825-0</t>
  </si>
  <si>
    <t>37.06.01, 40.05.01, 40.05.02, 41.04.04, 41.06.01, 46.04.01, 46.06.01, 47.04.01, 47.06.01</t>
  </si>
  <si>
    <t>Российский государственный университет правосудия, Центральный ф-л</t>
  </si>
  <si>
    <t>294900.11.01</t>
  </si>
  <si>
    <t>Влияние гражданского права на налог. отнош.: моногр. / А.А.Рябов - М.:Юр. НОРМА, НИЦ ИНФРА-М,2025. - 224 с.(о)</t>
  </si>
  <si>
    <t>ВЛИЯНИЕ ГРАЖДАНСКОГО ПРАВА НА НАЛОГОВЫЕ ОТНОШЕНИЯ, ИЗД.1</t>
  </si>
  <si>
    <t>Рябов А. А.</t>
  </si>
  <si>
    <t>978-5-91768-524-3</t>
  </si>
  <si>
    <t>38.03.04, 40.03.01, 44.03.05</t>
  </si>
  <si>
    <t>682762.01.01</t>
  </si>
  <si>
    <t>Влияние регионов гос. внешнюю политику и междунар.соглашения: Моногр. -М.:Юр.Норма,2018-224с(П)</t>
  </si>
  <si>
    <t>ВЛИЯНИЕ РЕГИОНОВ ГОСУДАРСТВ НА ВНЕШНЮЮ ПОЛИТИКУ И МЕЖДУНАРОДНЫЕ СОГЛАШЕНИЯ, ИЗД.1</t>
  </si>
  <si>
    <t>Дубровина О.Ю.</t>
  </si>
  <si>
    <t>Переплет 7 + 1 тиснение</t>
  </si>
  <si>
    <t>978-5-91768-915-9</t>
  </si>
  <si>
    <t>41.03.04, 41.04.04, 41.06.01</t>
  </si>
  <si>
    <t>658859.04.01</t>
  </si>
  <si>
    <t>Влияние системы факторов на развитие угол.-исп. политики:Моногр. /Селиверстов В.И.-М.:НИЦ ИНФРА-М,2023-208с</t>
  </si>
  <si>
    <t>ВЛИЯНИЕ СИСТЕМЫ ФАКТОРОВ НА РАЗВИТИЕ УГОЛОВНО-ИСПОЛНИТЕЛЬНОЙ ПОЛИТИКИ И УГОЛОВНО-ИСПОЛНИТЕЛЬНОГО ЗАКОНОДАТЕЛЬСТВА РОССИЙСКОЙ ФЕДЕРАЦИИ, ИЗД.1</t>
  </si>
  <si>
    <t>Грушин Ф.В.,</t>
  </si>
  <si>
    <t>978-5-16-012921-1</t>
  </si>
  <si>
    <t>40.03.01, 40.04.01, 40.05.01, 40.05.02</t>
  </si>
  <si>
    <t>Научно-исследовательский институт Федеральной службы исполнения наказаний</t>
  </si>
  <si>
    <t>832688.01.01</t>
  </si>
  <si>
    <t>Влияние современных способов обработки и стерилизации...: Моногр./ Л.Ч.Бурак-М.:НИЦ ИНФРА-М,2025.-236с.(П)</t>
  </si>
  <si>
    <t>ВЛИЯНИЕ СОВРЕМЕННЫХ СПОСОБОВ ОБРАБОТКИ И СТЕРИЛИЗАЦИИ НА КАЧЕСТВО ПЛОДООВОЩНОГО СЫРЬЯ И СОКОВОЙ ПРОДУКЦИИ, ИЗД.1</t>
  </si>
  <si>
    <t>Бурак Л.Ч.</t>
  </si>
  <si>
    <t>978-5-16-020036-1</t>
  </si>
  <si>
    <t>19.04.01, 19.04.05, 35.03.07</t>
  </si>
  <si>
    <t>Белросаква ООО</t>
  </si>
  <si>
    <t>365100.09.01</t>
  </si>
  <si>
    <t>Влияние соц.медиа на поведение потребит.в индустр.: Моногр. / С.П.Казаков - ИЦ РИОР,НИЦ ИНФРА-М,2024-98с.(О)</t>
  </si>
  <si>
    <t>ВЛИЯНИЕ СОЦИАЛЬНЫХ МЕДИА НА ПОВЕДЕНИЕ ПОТРЕБИТЕЛЕЙ В ИНДУСТРИИ ГОСТЕПРИИМСТВА И В ТУРИЗМЕ, ИЗД.1</t>
  </si>
  <si>
    <t>С.П.Казаков</t>
  </si>
  <si>
    <t>978-5-369-01453-0</t>
  </si>
  <si>
    <t>38.03.02, 38.04.02, 43.03.01, 43.03.02, 43.03.03, 43.04.01, 43.04.02, 43.04.03</t>
  </si>
  <si>
    <t>864105.01.01</t>
  </si>
  <si>
    <t>ВМС США - современное состояние: Справ. Ч.1 / А.В.Васильев и др. - М.:НИЦ ИНФРА-М,2026. - 115 с.(о)</t>
  </si>
  <si>
    <t>ВМС США - СОВРЕМЕННОЕ СОСТОЯНИЕ. ЧАСТЬ 1. ОСНОВЫ ОРГАНИЗАЦИИ И НАДВОДНЫЙ ФЛОТ, ИЗД.1</t>
  </si>
  <si>
    <t>Васильев А.В., Викулин А.И., Козлов В.В. и др.</t>
  </si>
  <si>
    <t>978-5-16-021642-3</t>
  </si>
  <si>
    <t>26.05.01, 26.05.02, 26.05.03, 26.05.04, 26.05.05, 26.05.06, 26.05.07, 56.04.02, 56.05.01</t>
  </si>
  <si>
    <t>640486.09.01</t>
  </si>
  <si>
    <t>Внебюджетные фонды: Уч.пос. / П.А.Левчаев - М.:НИЦ ИНФРА-М,2027 - 149 с.-(ВО: Бакалавриат)(О)</t>
  </si>
  <si>
    <t>ВНЕБЮДЖЕТНЫЕ ФОНДЫ, ИЗД.1</t>
  </si>
  <si>
    <t>Левчаев П.А.</t>
  </si>
  <si>
    <t>978-5-16-012524-4</t>
  </si>
  <si>
    <t>Саранский электромеханический колледж</t>
  </si>
  <si>
    <t>645476.10.01</t>
  </si>
  <si>
    <t>Внедоговорные обязат.в межд.част.праве: Моногр. / И.О.Хлестова - М.:Юр.Норма,НИЦ ИНФРА-М,2026 - 160 c.(П)</t>
  </si>
  <si>
    <t>ВНЕДОГОВОРНЫЕ ОБЯЗАТЕЛЬСТВА В МЕЖДУНАРОДНОМ ЧАСТНОМ ПРАВЕ, ИЗД.1</t>
  </si>
  <si>
    <t>Хлестова И.О., Борисов В.Б., Власова Н.В. и др.</t>
  </si>
  <si>
    <t>978-5-91768-786-5</t>
  </si>
  <si>
    <t>689659.03.01</t>
  </si>
  <si>
    <t>Внедрение и практ.применение соврем.финан.тех.:Моногр./ Г.Ф.Ручкина-М.:НИЦ ИНФРА-М,2024-161с(О)</t>
  </si>
  <si>
    <t>ВНЕДРЕНИЕ И ПРАКТИЧЕСКОЕ ПРИМЕНЕНИЕ СОВРЕМЕННЫХ ФИНАНСОВЫХ ТЕХНОЛОГИЙ: ЗАКОНОДАТЕЛЬНОЕ РЕГУЛИРОВАНИЕ, ИЗД.1</t>
  </si>
  <si>
    <t>Ручкина Г.Ф., Березин М.Ю., Демченко М.В. и др.</t>
  </si>
  <si>
    <t>Научная мысль - 100 лет ФУ</t>
  </si>
  <si>
    <t>978-5-16-014380-4</t>
  </si>
  <si>
    <t>27.04.07, 38.04.08, 38.04.09, 40.03.01, 40.04.01, 44.03.05</t>
  </si>
  <si>
    <t>865458.01.01</t>
  </si>
  <si>
    <t>Внедрение цифровых технологий и искусственного интеллекта в закупки предприятия: монография / Д.А.Казанцев-М.:НИЦ ИНФРА-М,2027.-239 с..-(Науч.мысль)(п</t>
  </si>
  <si>
    <t>ВНЕДРЕНИЕ ЦИФРОВЫХ ТЕХНОЛОГИЙ И ИСКУССТВЕННОГО ИНТЕЛЛЕКТА В ЗАКУПКИ ПРЕДПРИЯТИЯ, ИЗД.1</t>
  </si>
  <si>
    <t>978-5-16-021704-8</t>
  </si>
  <si>
    <t>38.04.01, 38.04.02, 38.04.04, 38.04.06, 38.04.10, 38.06.01</t>
  </si>
  <si>
    <t>095660.16.01</t>
  </si>
  <si>
    <t>Внешнеторговый контракт = Contract in Foreign Trade: Уч.пос. / Н.М.Громова, - 2 изд.-М.:Магистр, НИЦ ИНФРА-М,2023.-144 с.(о)</t>
  </si>
  <si>
    <t>ВНЕШНЕТОРГОВЫЙ КОНТРАКТ = CONTRACT IN FOREIGN TRADE, ИЗД.2</t>
  </si>
  <si>
    <t>Громова Н. М.</t>
  </si>
  <si>
    <t>978-5-9776-0064-4</t>
  </si>
  <si>
    <t>Московский государственный лингвистический университет</t>
  </si>
  <si>
    <t>0208</t>
  </si>
  <si>
    <t>656521.06.01</t>
  </si>
  <si>
    <t>Внешнеэкономическая деят. организации: Уч. / А.А.Чурсин - 2 изд. - М.:НИЦ ИНФРА-М,2026. - 555 с.(ВО)(п)</t>
  </si>
  <si>
    <t>ВНЕШНЕЭКОНОМИЧЕСКАЯ ДЕЯТЕЛЬНОСТЬ ОРГАНИЗАЦИИ, ИЗД.2</t>
  </si>
  <si>
    <t>Чурсин А.А., Ермаков В.А., Назюта С.В. и др.</t>
  </si>
  <si>
    <t>978-5-16-019792-0</t>
  </si>
  <si>
    <t>38.04.01, 38.04.02, 38.04.04, 38.04.06, 38.05.02</t>
  </si>
  <si>
    <t>781794.02.01</t>
  </si>
  <si>
    <t>Внешнеэкономическая деят. Сб. задач...: Уч.пос. / Н.Г.Гаджиев - М.:НИЦ ИНФРА-М,2026. - 188 с.(ВО.Сп)(п)</t>
  </si>
  <si>
    <t>ВНЕШНЕЭКОНОМИЧЕСКАЯ ДЕЯТЕЛЬНОСТЬ. СБОРНИК ЗАДАЧ, СИТУАЦИЙ И ТЕСТОВ, ИЗД.1</t>
  </si>
  <si>
    <t>Карпунина Е.В., Карпунин А.Ю., Гаджиев Н.Г. и др.</t>
  </si>
  <si>
    <t>978-5-16-017862-2</t>
  </si>
  <si>
    <t>38.00.00, 38.04.01</t>
  </si>
  <si>
    <t>845209.01.01</t>
  </si>
  <si>
    <t>Внешнеэкономическая деят. Сб. задач..: Уч.пос. / Е.В.Карпунина - М.:НИЦ ИНФРА-М,2026. - 228 с.(СПО)(п)</t>
  </si>
  <si>
    <t>ВНЕШНЕЭКОНОМИЧЕСКАЯ ДЕЯТЕЛЬНОСТЬ. СБОРНИК ЗАДАЧ, СИТУАЦИЙ И ТЕСТОВ: УЧЕБНОЕ ПОСОБИЕ, ИЗД.1</t>
  </si>
  <si>
    <t>978-5-16-020770-4</t>
  </si>
  <si>
    <t>38.02.06</t>
  </si>
  <si>
    <t>641467.11.01</t>
  </si>
  <si>
    <t>Внешнеэкономическая деят.: Уч. / Под ред. Бурденко Е.В., - 2 изд. - М.:НИЦ ИНФРА-М,2027. -  255 с.(ВО)(п)</t>
  </si>
  <si>
    <t>ВНЕШНЕЭКОНОМИЧЕСКАЯ ДЕЯТЕЛЬНОСТЬ: НАЛОГООБЛОЖЕНИЕ, УЧЕТ, АНАЛИЗ И АУДИТ, ИЗД.2</t>
  </si>
  <si>
    <t>Бурденко Е.В., Быкасова Е.В., Ковалева О.Н. и др.</t>
  </si>
  <si>
    <t>978-5-16-019203-1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</si>
  <si>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6 от 16.06.2021)</t>
  </si>
  <si>
    <t>656521.03.01</t>
  </si>
  <si>
    <t>Внешнеэкономическая деятельность организации: Уч. / А.А.Чурсин - М.:НИЦ ИНФРА-М,2023-332 с.-(ВО)(П)</t>
  </si>
  <si>
    <t>ВНЕШНЕЭКОНОМИЧЕСКАЯ ДЕЯТЕЛЬНОСТЬ ОРГАНИЗАЦИИ, ИЗД.1</t>
  </si>
  <si>
    <t>Чурсин А.А., Муртузалиева С.Ю.</t>
  </si>
  <si>
    <t>978-5-16-013219-8</t>
  </si>
  <si>
    <t>Рекомендовано Учебно-методическим советом ВО в качестве учебника для студентов высших учебных заведений, обучающихся по направлению подготовки 38.04.01 «Экономика» (квалификация (степень) «магистр»)</t>
  </si>
  <si>
    <t>641467.04.01</t>
  </si>
  <si>
    <t>Внешнеэкономическая деятельность: налогообл., учет, анализ и аудит: Уч. / Под ред. Бурденко Е.В.-М.:НИЦ ИНФРА-М,2020-249с.-(ВО)(П)</t>
  </si>
  <si>
    <t>ВНЕШНЕЭКОНОМИЧЕСКАЯ ДЕЯТЕЛЬНОСТЬ: НАЛОГООБЛОЖЕНИЕ, УЧЕТ, АНАЛИЗ И АУДИТ, ИЗД.1</t>
  </si>
  <si>
    <t>978-5-16-012441-4</t>
  </si>
  <si>
    <t>Рекомендовано в качестве учебника для студентов высших учебных заведений, обучающихся по направлениям подготовки 38.04.01 «Экономика» (квалификация (степень) «магистр»)</t>
  </si>
  <si>
    <t>774737.02.01</t>
  </si>
  <si>
    <t>Внешнеэкономическая деятельность: Уч. / Е.В.Карпунина - М.:НИЦ ИНФРА-М,2027. - 265 с.(ВО.Сп)(п)</t>
  </si>
  <si>
    <t>ВНЕШНЕЭКОНОМИЧЕСКАЯ ДЕЯТЕЛЬНОСТЬ, ИЗД.1</t>
  </si>
  <si>
    <t>978-5-16-017713-7</t>
  </si>
  <si>
    <t>38.00.00, 38.04.01, 38.05.01</t>
  </si>
  <si>
    <t>845049.01.01</t>
  </si>
  <si>
    <t>Внешнеэкономическая деятельность: Уч.пос. / Е.В.Карпунина. - М.:НИЦ ИНФРА-М,2026. - 188 с.(СПО)(п)</t>
  </si>
  <si>
    <t>978-5-16-020624-0</t>
  </si>
  <si>
    <t>38.02.01, 38.02.06, 38.02.07, 38.02.08</t>
  </si>
  <si>
    <t>388500.08.01</t>
  </si>
  <si>
    <t>Внешнеэкономическая деятельность: Уч.пос. / М.А.Гуреева-М.:ИД Форум, НИЦ ИНФРА-М,2023.-287 с.(ВО)(П)</t>
  </si>
  <si>
    <t>Гуреева М.А.</t>
  </si>
  <si>
    <t>978-5-8199-0635-4</t>
  </si>
  <si>
    <t>Рекомендовано Учебно-методическим объединением вузов России по образованию в области финансов, учета и мировой экономики в качестве учебного пособия для студентов бакалавриата, обучающихся по профилю подготовки «Мировая экономика»</t>
  </si>
  <si>
    <t>734014.07.01</t>
  </si>
  <si>
    <t>Внешняя политика Древнего Рима...: Моногр. / А.Л.Панищев - М.:НИЦ ИНФРА-М,2026 - 161 с.(О)</t>
  </si>
  <si>
    <t>ВНЕШНЯЯ ПОЛИТИКА ДРЕВНЕГО РИМА В ПЕРИОД ЦАРЕЙ И РАННЕЙ РЕСПУБЛИКИ, ИЗД.1</t>
  </si>
  <si>
    <t>978-5-16-016138-9</t>
  </si>
  <si>
    <t>832509.02.01</t>
  </si>
  <si>
    <t>Внешняя торговля России в условиях санкций: Моногр. / Под ред. Руднева А.О. - М.:НИЦ ИНФРА-М,2026 -238 с.(о)</t>
  </si>
  <si>
    <t>ВНЕШНЯЯ ТОРГОВЛЯ РОССИИ В УСЛОВИЯХ САНКЦИЙ, ИЗД.1</t>
  </si>
  <si>
    <t>Руднева А.О., Алтухов А.О., Бутенко Н.А. и др.</t>
  </si>
  <si>
    <t>978-5-16-020074-3</t>
  </si>
  <si>
    <t>Национальный Исследовательский Технологический Университет "МИСИС"</t>
  </si>
  <si>
    <t>134662.13.01</t>
  </si>
  <si>
    <t>Внешняя торговля: Сл.-справ. / А.О.Руднева - 2 изд. - НИЦ Инфра-М, 2026 - 222 с.(Б-ка слов. "ИНФРА-М") (п)</t>
  </si>
  <si>
    <t>ВНЕШНЯЯ ТОРГОВЛЯ: СЛОВАРЬ-СПРАВОЧНИК, ИЗД.2</t>
  </si>
  <si>
    <t>Руднева А. О.</t>
  </si>
  <si>
    <t>978-5-16-005611-1</t>
  </si>
  <si>
    <t>38.03.01, 38.03.04, 41.03.05, 44.03.05</t>
  </si>
  <si>
    <t>682845.09.01</t>
  </si>
  <si>
    <t>Внутренние болезни животных: Уч. / Под ред. Уша Б.В. - 2 изд. - М.:НИЦ ИНФРА-М,2026 - 311 с.(СПО)(П)</t>
  </si>
  <si>
    <t>ВНУТРЕННИЕ БОЛЕЗНИ ЖИВОТНЫХ, ИЗД.2</t>
  </si>
  <si>
    <t>Уша Б.В., Жавнис С.Э., Серегин И.Г. и др.</t>
  </si>
  <si>
    <t>978-5-16-016379-6</t>
  </si>
  <si>
    <t>333400.08.01</t>
  </si>
  <si>
    <t>Внутренние болезни животных: Уч. / Под ред. Уша Б.В., - 2 изд. - М.:НИЦ ИНФРА-М,2026. - 311 с.(ВО)(п)</t>
  </si>
  <si>
    <t>Уша Б.В.</t>
  </si>
  <si>
    <t>978-5-16-019113-3</t>
  </si>
  <si>
    <t>36.03.01, 36.03.02</t>
  </si>
  <si>
    <t>Рекомендовано Учебно-методическим объединением вузов России по образованию в области технологии сырья и продуктов животного происхождения в качестве учебника для студентов высших учебных заведений, обучающихся по направлению подготовки 36.03.01 «Ветеринарно-санитарная экспертиза» и направлению подготовки бакалавров</t>
  </si>
  <si>
    <t>631350.10.01</t>
  </si>
  <si>
    <t>Внутренние болезни: заболев. желудочно-кишеч. тракта: Уч.пос. / И.А.Шамов - М.:НИЦ ИНФРА-М,2026 - 157 с.(ВО)(О)</t>
  </si>
  <si>
    <t>ВНУТРЕННИЕ БОЛЕЗНИ: ЗАБОЛЕВАНИЯ ЖЕЛУДОЧНО-КИШЕЧНОГО ТРАКТА, ИЗД.1</t>
  </si>
  <si>
    <t>978-5-16-011914-4</t>
  </si>
  <si>
    <t>31.05.01, 31.05.02</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</si>
  <si>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(степень) «врач общей практики»), 31.05.02 «Педиатрия» (квалификация (степень) «врач-педиатр общей практики»)</t>
  </si>
  <si>
    <t>832222.01.01</t>
  </si>
  <si>
    <t>Внутренние болезни: Уч.мет.пос. / Э.Н.Платошкин. - М.:НИЦ ИНФРА-М, ГомГМУ,2025. - 474 с.(ВО (ГомГМУ))(п)</t>
  </si>
  <si>
    <t>ВНУТРЕННИЕ БОЛЕЗНИ, ИЗД.1</t>
  </si>
  <si>
    <t>Платошкин Э.Н., Шут С.А., Николаева Н.В. и др.</t>
  </si>
  <si>
    <t>978-5-16-019983-2</t>
  </si>
  <si>
    <t>30.05.01, 30.05.02, 30.05.03, 31.05.01, 31.05.02, 31.05.03, 32.05.01, 36.03.01</t>
  </si>
  <si>
    <t>471150.09.01</t>
  </si>
  <si>
    <t>Внутренний аудит в совр.системе..: Практ.пос. / С.Н.Орлов - М.:ИНФРА-М,2026 - 284 с.(Наука и практ.)(о)</t>
  </si>
  <si>
    <t>ВНУТРЕННИЙ АУДИТ В СОВРЕМЕННОЙ СИСТЕМЕ КОРПОРАТИВНОГО УПРАВЛЕНИЯ КОМПАНИЕЙ, ИЗД.1</t>
  </si>
  <si>
    <t>Орлов С.Н.</t>
  </si>
  <si>
    <t>978-5-16-010044-9</t>
  </si>
  <si>
    <t>38.03.02, 38.03.03, 38.04.02, 38.04.03</t>
  </si>
  <si>
    <t>736621.04.01</t>
  </si>
  <si>
    <t>Внутренний аудит оценоч. резервов и обязательств...: Моногр. / Н.А.Казакова - М.:НИЦ ИНФРА-М,2025 - 184 с.(О)</t>
  </si>
  <si>
    <t>ВНУТРЕННИЙ АУДИТ ОЦЕНОЧНЫХ РЕЗЕРВОВ И ОБЯЗАТЕЛЬСТВ КАК МЕТОД ДИАГНОСТИКИ КОРПОРАТИВНЫХ РИСКОВ, ИЗД.1</t>
  </si>
  <si>
    <t>Казакова Н.А., Чикурова С.С.</t>
  </si>
  <si>
    <t>978-5-16-016249-2</t>
  </si>
  <si>
    <t>659216.05.01</t>
  </si>
  <si>
    <t>Внутренний контроль и контроллинг: Уч.пос. / Под ред. Серебрякова Т.Ю. - М.:НИЦ ИНФРА-М,2026 - 238 с.(ВО)(П)</t>
  </si>
  <si>
    <t>ВНУТРЕННИЙ КОНТРОЛЬ И КОНТРОЛЛИНГ, ИЗД.1</t>
  </si>
  <si>
    <t>Серебрякова Т.Ю., Бирюкова О.А., Серебрякова Т.Ю.</t>
  </si>
  <si>
    <t>978-5-16-014369-9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</si>
  <si>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38.04.08 «Финансы» (квалификация (степень) «магистр») (протокол № 5 от 11.03.2019)</t>
  </si>
  <si>
    <t>410200.08.01</t>
  </si>
  <si>
    <t>Внутренний контроль: методол. сквоз...: Моногр. /А.В.Порфирьева-М.:НИЦ ИНФРА-М,2019-152с(О)</t>
  </si>
  <si>
    <t>ВНУТРЕННИЙ КОНТРОЛЬ: МЕТОДОЛОГИЯ СКВОЗНОГО КОНТРОЛЯ АВТОНОМНЫХ УЧРЕЖДЕНИЙ, ИЗД.1</t>
  </si>
  <si>
    <t>Порфирьева А. В., Серебрякова Т. Ю.</t>
  </si>
  <si>
    <t>978-5-16-006179-5</t>
  </si>
  <si>
    <t>846432.03.01</t>
  </si>
  <si>
    <t>Внутренний туризм / Л.И.Егоренков - М.:НИЦ ИНФРА-М,2026. - 193 с.(Интересно знать) (п)</t>
  </si>
  <si>
    <t>ВНУТРЕННИЙ ТУРИЗМ, ИЗД.1</t>
  </si>
  <si>
    <t>Егоренков Л.И.</t>
  </si>
  <si>
    <t>978-5-16-020496-3</t>
  </si>
  <si>
    <t>43.02.16, 43.03.02, 43.03.03, 49.03.03, 51.04.03</t>
  </si>
  <si>
    <t>Государственный Университет Просвещения</t>
  </si>
  <si>
    <t>753671.02.01</t>
  </si>
  <si>
    <t>Внутренний туризм: Уч.пос. / Л.И.Егоренков - М.:НИЦ ИНФРА-М,2027 - 193 с.(ВО)(п)</t>
  </si>
  <si>
    <t>978-5-16-017825-7</t>
  </si>
  <si>
    <t>05.04.02, 43.03.02, 43.03.03, 43.04.02, 49.03.03</t>
  </si>
  <si>
    <t>718568.04.01</t>
  </si>
  <si>
    <t>ВО в России: вызовы времени и взгляд в будущее: Моногр./ В.И.Алешникова -М.:НИЦ ИНФРА-М,2021.-610 с.(Науч.мысль)(П)</t>
  </si>
  <si>
    <t>ВЫСШЕЕ ОБРАЗОВАНИЕ В РОССИИ: ВЫЗОВЫ ВРЕМЕНИ И ВЗГЛЯД В БУДУЩЕЕ, ИЗД.1</t>
  </si>
  <si>
    <t>Алешникова В.И., Ахметшин А.Ф., Басова В.П. и др.</t>
  </si>
  <si>
    <t>978-5-16-015665-1</t>
  </si>
  <si>
    <t>00.03.16, 00.04.16, 00.05.16, 38.04.01, 38.04.02, 38.04.03, 38.06.01, 39.04.01, 39.04.03, 39.06.01, 44.04.01</t>
  </si>
  <si>
    <t>708875.02.01</t>
  </si>
  <si>
    <t>ВО как ресурс управ. социокультурной модернизацией регионов/ Р.В.Леньков-М.:НИЦ ИНФРА-М,2023.-161 с.(О)</t>
  </si>
  <si>
    <t>ВЫСШЕЕ ОБРАЗОВАНИЕ КАК РЕСУРС УПРАВЛЕНИЯ СОЦИОКУЛЬТУРНОЙ МОДЕРНИЗАЦИЕЙ РЕГИОНОВ, ИЗД.1</t>
  </si>
  <si>
    <t>Леньков Р.В.</t>
  </si>
  <si>
    <t>978-5-16-016155-6</t>
  </si>
  <si>
    <t>39.04.01, 39.06.01</t>
  </si>
  <si>
    <t>077600.22.01</t>
  </si>
  <si>
    <t>Водоотведение: Уч. / Ю.В.Воронов и др. - М.:НИЦ ИНФРА-М,2026 - 415 с.(СПО)(П)</t>
  </si>
  <si>
    <t>ВОДООТВЕДЕНИЕ, ИЗД.1</t>
  </si>
  <si>
    <t>Воронов Ю. В., Алексеев Е. В., Саломеев В. П., Пугачев Е. А.</t>
  </si>
  <si>
    <t>978-5-16-006330-0</t>
  </si>
  <si>
    <t>08.01.29, 08.02.04, 08.02.13, 08.02.14</t>
  </si>
  <si>
    <t>Допущено Федеральным агентством по строительству и жилищно-коммунальному хозяйству в качестве учебника для студентов средних специальных заведений, обучающихся по специальности «Водоснабжение и водоотведение»</t>
  </si>
  <si>
    <t>649145.09.01</t>
  </si>
  <si>
    <t>Водоподготовка и водоотведение: Уч.пос. / Б.С.Ксенофонтов - М.:НИЦ ИНФРА-М,2026. - 298 с.(ВО)(п)</t>
  </si>
  <si>
    <t>ВОДОПОДГОТОВКА И ВОДООТВЕДЕНИЕ, ИЗД.1</t>
  </si>
  <si>
    <t>978-5-16-021554-9</t>
  </si>
  <si>
    <t>20.04.01, 20.04.02</t>
  </si>
  <si>
    <t>Рекомендовано в качестве учебного пособия для студентов высших учебных заведений, обучающихся по направлениям подготовки 20.04.01 «Техносферная безопасность», 20.04.02 «Природообустройство и водопользование» (квалификация (степень) «магистр»)</t>
  </si>
  <si>
    <t>297200.10.01</t>
  </si>
  <si>
    <t>Водоснабжение: Уч. / В.А.Орлов - М.:НИЦ ИНФРА-М,2025 - 443 с.(ВО: Бакалавриат)(П)</t>
  </si>
  <si>
    <t>ВОДОСНАБЖЕНИЕ, ИЗД.1</t>
  </si>
  <si>
    <t>Орлов В.А., Квитка Л.А.</t>
  </si>
  <si>
    <t>978-5-16-010620-5</t>
  </si>
  <si>
    <t>08.03.01, 08.04.01</t>
  </si>
  <si>
    <t>Рекомендовано Учебно-методическим объединением вузов РФ по образованию в области строительства в качестве учебника для студентов высших учебных заведений, обучающихся по программе бакалавриата по направлению подготовки 08.03.01 «Строительство» (профиль «Водоснабжение и водоотведение»)</t>
  </si>
  <si>
    <t>682846.07.01</t>
  </si>
  <si>
    <t>Водоснабжение: Уч. / В.А.Орлов - М.:НИЦ ИНФРА-М,2026 - 443 с.(СПО)(П)</t>
  </si>
  <si>
    <t>978-5-16-013901-2</t>
  </si>
  <si>
    <t>08.02.04, 13.02.02, 18.01.27, 19.01.01</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</si>
  <si>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08.02.04 «Водоснабжение и водоотведение»</t>
  </si>
  <si>
    <t>071830.20.01</t>
  </si>
  <si>
    <t>Водоснабжение: Уч. / М.А.Сомов - М.:НИЦ ИНФРА-М,2026 - 287 с.(СПО)(П)</t>
  </si>
  <si>
    <t>Сомов М. А., Квитка Л. А.</t>
  </si>
  <si>
    <t>978-5-16-009068-9</t>
  </si>
  <si>
    <t>08.01.29, 08.02.04, 08.02.13, 13.02.02, 18.01.27, 19.01.01</t>
  </si>
  <si>
    <t>Рекомендовано в качестве учебника для студентов средних профессиональных учебных заведений, обучающихся по специальности 08.02.04 «Водоснабжение и водоотведение» (квалификация (степень) «техник»)</t>
  </si>
  <si>
    <t>788937.03.01</t>
  </si>
  <si>
    <t>Водотоки польдеров: методы исслед. и...: Монография / Ю.А.Спирин-М.:НИЦ ИНФРА-М,2023.-217 с.(о)</t>
  </si>
  <si>
    <t>ВОДОТОКИ ПОЛЬДЕРОВ: МЕТОДЫ ИССЛЕДОВАНИЙ И ГЕОЭКОЛОГИЧЕСКАЯ ОЦЕНКА, ИЗД.1</t>
  </si>
  <si>
    <t>Спирин Ю.А., Зотов С.И.</t>
  </si>
  <si>
    <t>Научная мысль БФУ</t>
  </si>
  <si>
    <t>978-5-16-018010-6</t>
  </si>
  <si>
    <t>05.04.04, 05.04.05, 05.06.01, 20.03.02, 20.06.01</t>
  </si>
  <si>
    <t>635938.07.01</t>
  </si>
  <si>
    <t>Водохозяйственные сис. и водопользование: Уч. / А.М.Бакштанин. - М.:НИЦ ИНФРА-М,2025 - 452 с.(ВО)(П)</t>
  </si>
  <si>
    <t>ВОДОХОЗЯЙСТВЕННЫЕ СИСТЕМЫ И ВОДОПОЛЬЗОВАНИЕ, ИЗД.1</t>
  </si>
  <si>
    <t>Бакштанин А.М., Беглярова Э.С., Бубер А.Л. и др.</t>
  </si>
  <si>
    <t>978-5-16-014286-9</t>
  </si>
  <si>
    <t>20.03.02</t>
  </si>
  <si>
    <t>Рекомендовано Научно-методическим советом по природообустройству и водопользованию Федерального учебно-методического отдела по УГСН 20.00.00 «Техносферная безопасность и природообустройство» в качестве учебника по дисциплине «Водохозяйственные системы и водопользование», а также для направлений подготовки 20.03.02 и 20.04.02  «Природообустройство и водопользование»</t>
  </si>
  <si>
    <t>694072.09.01</t>
  </si>
  <si>
    <t>Военная безопасность России и ее информ. полит...: Моногр. / А.А.Ковалев - М.:ИЦ РИОР,ИНФРА-М,2026 - 184 с.(О)</t>
  </si>
  <si>
    <t>ВОЕННАЯ БЕЗОПАСНОСТЬ РОССИИ И ЕЕ ИНФОРМАЦИОННАЯ ПОЛИТИКА В ЭПОХУ ЦИВИЛИЗАЦИОННЫХ КОНФЛИКТОВ, ИЗД.1</t>
  </si>
  <si>
    <t>978-5-369-00673-3</t>
  </si>
  <si>
    <t>38.07.02, 40.05.01, 40.06.01, 56.04.01, 56.04.12</t>
  </si>
  <si>
    <t>637303.13.01</t>
  </si>
  <si>
    <t>Военная доктрина РФ - М.:НИЦ ИНФРА-М,2026 - 22 с.(о)</t>
  </si>
  <si>
    <t>ВОЕННАЯ ДОКТРИНА РОССИЙСКОЙ ФЕДЕРАЦИИ, ИЗД.1</t>
  </si>
  <si>
    <t>Без автора</t>
  </si>
  <si>
    <t>Обложка. Внакидку</t>
  </si>
  <si>
    <t>Федеральные нормы и правила</t>
  </si>
  <si>
    <t>978-5-16-012205-2</t>
  </si>
  <si>
    <t>Закон РФ</t>
  </si>
  <si>
    <t>40.03.01, 41.03.04, 41.03.06, 41.04.04, 44.03.01, 44.03.05</t>
  </si>
  <si>
    <t>780349.02.01</t>
  </si>
  <si>
    <t>Военная педагогика: Уч. / И.Ю.Устинов. - М.:НИЦ ИНФРА-М,2025. - 523 с.(Военное образование)(п)</t>
  </si>
  <si>
    <t>ВОЕННАЯ ПЕДАГОГИКА, ИЗД.1</t>
  </si>
  <si>
    <t>Устинов И.Ю., Талынев В.Е., Кирюшин А.Н. и др.</t>
  </si>
  <si>
    <t>978-5-16-017802-8</t>
  </si>
  <si>
    <t>56.04.09</t>
  </si>
  <si>
    <t>АКАДЕМУС-2023, Победитель, I место
Книга года: Сибирь–Евразия – 2024-2024, Победитель</t>
  </si>
  <si>
    <t>837061.02.01</t>
  </si>
  <si>
    <t>Военная подготовка: Уч.пос.: Ч. I / И.Ю.Лепешинский - М.:НИЦ ИНФРА-М,2026. - 536 с.(Воен. обр. (ОмГТУ))(п)</t>
  </si>
  <si>
    <t>ВОЕННАЯ ПОДГОТОВКА В 2-Х ЧАСТЯХ. ЧАСТЬ I, Т.1</t>
  </si>
  <si>
    <t>Лепешинский И.Ю., Блонский Ю.П.</t>
  </si>
  <si>
    <t>978-5-16-020309-6</t>
  </si>
  <si>
    <t>00.03.41, 00.05.17, 56.05.01, 56.05.05</t>
  </si>
  <si>
    <t>837064.02.01</t>
  </si>
  <si>
    <t>Военная подготовка: Уч.пос.: Ч. II / И.Ю.Лепешинский - М.:НИЦ ИНФРА-М,2026. - 564 с.(Воен. обр. (ОмГТУ))(п)</t>
  </si>
  <si>
    <t>ВОЕННАЯ ПОДГОТОВКА В 2-Х ЧАСТЯХ. ЧАСТЬ II, Т.2</t>
  </si>
  <si>
    <t>978-5-16-020310-2</t>
  </si>
  <si>
    <t>846070.02.01</t>
  </si>
  <si>
    <t>Военная топография в деят. органов внутр. дел: Уч.пос. / В.А.Мельничук - М.:НИЦ ИНФРА-М,2025. - 135 с.:цв.ил.(п)</t>
  </si>
  <si>
    <t>ВОЕННАЯ ТОПОГРАФИЯ В ДЕЯТЕЛЬНОСТИ ОРГАНОВ ВНУТРЕННИХ ДЕЛ, ИЗД.1</t>
  </si>
  <si>
    <t>Мельничук В.А., Михайлов О.Г.</t>
  </si>
  <si>
    <t>978-5-16-020719-3</t>
  </si>
  <si>
    <t>40.02.02, 40.05.02, 56.05.01, 56.05.02, 56.05.03, 56.05.04, 56.05.05, 57.04.01, 57.05.01, 57.05.02, 57.05.03</t>
  </si>
  <si>
    <t>817718.06.01</t>
  </si>
  <si>
    <t>Военная топография: Уч. / Под ред. Филатов В.Н.-М.:НИЦ ИНФРА-М,2026.-419 с.[цв].-(Военное образ.)(п)</t>
  </si>
  <si>
    <t>ВОЕННАЯ ТОПОГРАФИЯ, ИЗД.1</t>
  </si>
  <si>
    <t>Вучко Р.А., Фролов В.В., Филатов В.Н.</t>
  </si>
  <si>
    <t>978-5-16-019756-2</t>
  </si>
  <si>
    <t>40.05.02, 56.05.01, 56.05.02, 56.05.03, 56.05.04, 56.05.05, 57.04.01, 57.05.01, 57.05.02, 57.05.03</t>
  </si>
  <si>
    <t>Военно-космическая академия имени А.Ф.Можайского</t>
  </si>
  <si>
    <t>704937.11.01</t>
  </si>
  <si>
    <t>Военно-инженерная подготовка: Уч. / И.Ю.Лепешинский и др. - М.:НИЦ ИНФРА-М,2026 - 443 с.(П)</t>
  </si>
  <si>
    <t>ВОЕННО-ИНЖЕНЕРНАЯ ПОДГОТОВКА, ИЗД.1</t>
  </si>
  <si>
    <t>Лепешинский И.Ю., Кутепов В.А., Глебов В.В.</t>
  </si>
  <si>
    <t>978-5-16-014990-5</t>
  </si>
  <si>
    <t>56.04.02, 56.04.03, 56.05.01</t>
  </si>
  <si>
    <t>Рекомендуется Федеральным государственным казенным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учебника для курсантов и слушателей образовательных учреждений высшего профессионального образования, обучающихся по направлению подготовки «Транспортные средства специального назначения» по специальности «Военные гусеничные и колесные машины»</t>
  </si>
  <si>
    <t>736722.08.01</t>
  </si>
  <si>
    <t>Военно-инженерная подготовка: Уч.пос. / В.С.Литовский - М.:НИЦ ИНФРА-М,2026. - 496 с.(Военное образ.)(П)</t>
  </si>
  <si>
    <t>Литовский В.С., Кузнецов Д.В.</t>
  </si>
  <si>
    <t>978-5-16-016322-2</t>
  </si>
  <si>
    <t>56.04.02, 56.04.03, 56.04.04, 56.05.01</t>
  </si>
  <si>
    <t>Рекомендовано экспертным советом ЧВВМУ имени П.С. Нахимова в качестве учебного пособия для курсантов ЧВВМУ высшего и среднего профессионального образования и преподавателей профильного направления</t>
  </si>
  <si>
    <t>788711.07.01</t>
  </si>
  <si>
    <t>Военно-политическая подготовка: Уч. / Ю.Б.Байрамуков. - М.:НИЦ ИНФРА-М, СФУ,2026 - 363 с.(п)</t>
  </si>
  <si>
    <t>ВОЕННО-ПОЛИТИЧЕСКАЯ ПОДГОТОВКА, ИЗД.1</t>
  </si>
  <si>
    <t>Байрамуков Ю.Б., Янович В.С., Арефьев П.Е. и др.</t>
  </si>
  <si>
    <t>978-5-16-017924-7</t>
  </si>
  <si>
    <t>56.04.02, 56.04.09, 56.05.04</t>
  </si>
  <si>
    <t>Допущено Федеральным государственным казенным военным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 в качестве учебника для студентов, обучающихся по программам военной подготовки офицеров запаса в военных учебных центрах при высших учебных заведениях</t>
  </si>
  <si>
    <t>862930.03.01</t>
  </si>
  <si>
    <t>Военно-политическая работа в Вооруженных силах РФ: Уч.пос. / Г.А.Аппинг - М.:НИЦ ИНФРА-М,2027. - 92 с.(о)</t>
  </si>
  <si>
    <t>ВОЕННО-ПОЛИТИЧЕСКАЯ РАБОТА В ВООРУЖЕННЫХ СИЛАХ РОССИЙСКОЙ ФЕДЕРАЦИИ, ИЗД.1</t>
  </si>
  <si>
    <t>Аппинг Г.А., Швецов Е.И., Грымзин К.А.</t>
  </si>
  <si>
    <t>978-5-16-021458-0</t>
  </si>
  <si>
    <t>56.04.02, 56.04.03, 56.04.04, 56.04.05, 56.04.08, 56.04.09, 56.04.10, 56.04.11, 56.04.12, 56.05.01, 56.05.04, 56.05.05</t>
  </si>
  <si>
    <t>679180.07.01</t>
  </si>
  <si>
    <t>Военно-правовое исслед.участия граждан в обесп...: Моногр. / Ю.Г.Федотова - М.:НИЦ ИНФРА-М,2025 - 330 с.(О)</t>
  </si>
  <si>
    <t>ВОЕННО-ПРАВОВОЕ ИССЛЕДОВАНИЕ УЧАСТИЯ ГРАЖДАН В ОБЕСПЕЧЕНИИ ОБОРОНЫ СТРАНЫ И БЕЗОПАСНОСТИ ГОСУДАРСТВА, ИЗД.1</t>
  </si>
  <si>
    <t>978-5-16-016170-9</t>
  </si>
  <si>
    <t>38.03.04, 40.03.01, 40.04.01, 40.05.01, 40.05.02, 44.03.05, 56.04.01, 56.04.09</t>
  </si>
  <si>
    <t>679180.01.01</t>
  </si>
  <si>
    <t>Военно-правовое исслед.участия граждан в обесп...: Моногр./ Ю.Г.Федотова-М.:НИЦ ИНФРА-М,2019-330с(П)</t>
  </si>
  <si>
    <t>978-5-16-013778-0</t>
  </si>
  <si>
    <t>662492.07.01</t>
  </si>
  <si>
    <t>Военно-технич. подготовка. Устройство...: Уч.пос.: Ч.2. / Е.Н.Гарин - М.:НИЦ ИНФРА-М, СФУ,2026 - 120 с.(О)</t>
  </si>
  <si>
    <t>ВОЕННО-ТЕХНИЧЕСКАЯ ПОДГОТОВКА. УСТРОЙСТВО РЛС РТВ ВВС., Т.2</t>
  </si>
  <si>
    <t>Гарин Е.Н., Дмитриев Д.Д., Тяпкин В.Н. и др.</t>
  </si>
  <si>
    <t>978-5-16-017439-6</t>
  </si>
  <si>
    <t>11.04.01</t>
  </si>
  <si>
    <t>658924.05.01</t>
  </si>
  <si>
    <t>Военно-техническая подготовка...: Уч.: В 2 ч.Ч.1 / Е.Н.Гарин. - М.:НИЦ ИНФРА-М,2026 - 268 с.(П)</t>
  </si>
  <si>
    <t>ВОЕННО-ТЕХНИЧЕСКАЯ ПОДГОТОВКА. УСТРОЙСТВО РЛС РТВ ВВС. РАДИОЛОКАЦИОННАЯ СТАНЦИЯ П-18Р, Т.1</t>
  </si>
  <si>
    <t>Гарин Е.Н., Тяпкин В.Н., Владимиров В.М. и др.</t>
  </si>
  <si>
    <t>978-5-16-017440-2</t>
  </si>
  <si>
    <t>11.03.01, 11.04.01</t>
  </si>
  <si>
    <t>Допущено Министерством обороны Российской Федерации в качестве учебника для студентов, обучающихся по программам подготовки офицеров запаса на военных кафедрах по военно-учетной специальности «Эксплуатация и ремонт радиолокационных комплексов противовоздушной обороны Военно-воздушных сил», а также курсантов учебных военных центров</t>
  </si>
  <si>
    <t>658930.03.01</t>
  </si>
  <si>
    <t>Военный прогресс и особ. его прояв.в трад.Запада..: Моногр. / С.В.Максимов - М.:НИЦ ИНФРА-М, СФУ,2024-254с(П)</t>
  </si>
  <si>
    <t>ВОЕННЫЙ ПРОГРЕСС И ОСОБЕННОСТИ ЕГО ПРОЯВЛЕНИЯ В ТРАДИЦИЯХ ЗАПАДА (СОЦИАЛЬНО-ФИЛОСОФСКИЙ АНАЛИЗ), ИЗД.1</t>
  </si>
  <si>
    <t>Максимов С.В.</t>
  </si>
  <si>
    <t>978-5-16-017698-7</t>
  </si>
  <si>
    <t>47.04.01, 47.06.01, 56.04.01</t>
  </si>
  <si>
    <t>658934.03.01</t>
  </si>
  <si>
    <t>Военный прогресс: социально-философ.анализ: Моногр./ С.В.Максимов - М.:НИЦ ИНФРА-М, СФУ,2025-326с(П)</t>
  </si>
  <si>
    <t>ВОЕННЫЙ ПРОГРЕСС: СОЦИАЛЬНО-ФИЛОСОФСКИЙ АНАЛИЗ, ИЗД.1</t>
  </si>
  <si>
    <t>978-5-16-017697-0</t>
  </si>
  <si>
    <t>867037.01.01</t>
  </si>
  <si>
    <t>Вожатская деятельность: Сл.-справ. / М.П.Кулаченко - М.:НИЦ ИНФРА-М,2027. - 252 с.(Б-ка сл. "ИНФРА-М")(п)</t>
  </si>
  <si>
    <t>ВОЖАТСКАЯ ДЕЯТЕЛЬНОСТЬ, ИЗД.1</t>
  </si>
  <si>
    <t>Кулаченко М.П.</t>
  </si>
  <si>
    <t>978-5-16-021535-8</t>
  </si>
  <si>
    <t>44.03.01, 44.03.02, 44.03.05, 44.04.01, 44.04.02, 00.03.44</t>
  </si>
  <si>
    <t>868141.01.01</t>
  </si>
  <si>
    <t>Возбуждение производ.по делу о признании и... / В.И.Гильманова - М.:НИЦ ИНФРА-М,2026. - 214 с.(п)</t>
  </si>
  <si>
    <t>ВОЗБУЖДЕНИЕ ПРОИЗВОДСТВА ПО ДЕЛУ О ПРИЗНАНИИ И ПРИВЕДЕНИИ В ИСПОЛНЕНИЕ РЕШЕНИЙ ИНОСТРАННЫХ СУДОВ В АРБИТРАЖНОМ ПРОЦЕССЕ, ИЗД.1</t>
  </si>
  <si>
    <t>Гильманова В.И.</t>
  </si>
  <si>
    <t>978-5-16-021577-8</t>
  </si>
  <si>
    <t>405750.15.01</t>
  </si>
  <si>
    <t>Возведение зданий и сооруж. с прим. монолит.бет..: Уч.пос. / О.Э.Дружинина - М.:КУРС,НИЦ ИНФРА-М,2023-128с.</t>
  </si>
  <si>
    <t>ВОЗВЕДЕНИЕ ЗДАНИЙ И СООРУЖЕНИЙ С ПРИМЕНЕНИЕМ МОНОЛИТНОГО БЕТОНА И ЖЕЛЕЗОБЕТОНА: ТЕХНОЛОГИИ УСТОЙЧИВОГО РАЗВИТИЯ, ИЗД.1</t>
  </si>
  <si>
    <t>Дружинина О. Э., Муштаева Н. Е.</t>
  </si>
  <si>
    <t>Строительные технологии для архитекторов</t>
  </si>
  <si>
    <t>978-5-905554-26-1</t>
  </si>
  <si>
    <t>07.03.01, 07.03.04, 07.04.01, 07.04.04, 08.02.01, 08.03.01, 08.04.01</t>
  </si>
  <si>
    <t>Допущено УМО по образованию в области архитектуры в качестве учебного пособия для студентов вузов обучающихся по направлению Архитектура</t>
  </si>
  <si>
    <t>773884.07.01</t>
  </si>
  <si>
    <t>Возвращаясь к Чехову: Моногр. / В.Я.Звиняцковский - М.:НИЦ ИНФРА-М,2026. - 189 с.(Науч.мысль)(п)</t>
  </si>
  <si>
    <t>ВОЗВРАЩАЯСЬ К ЧЕХОВУ, ИЗД.1</t>
  </si>
  <si>
    <t>Звиняцковский В.Я.</t>
  </si>
  <si>
    <t>978-5-16-017513-3</t>
  </si>
  <si>
    <t>168550.11.01</t>
  </si>
  <si>
    <t>Возмещение вреда, прич. жизни и здоровью в рез. ДТП / О.В.Колесниченко - 5 изд. - М.:ИЦ РИОР,НИЦ ИНФРА-М,2026 - 144 с.(О)</t>
  </si>
  <si>
    <t>ВОЗМЕЩЕНИЕ ВРЕДА, ПРИЧИНЕННОГО ЖИЗНИ И ЗДОРОВЬЮ В РЕЗУЛЬТАТЕ ДТП, ИЗД.5</t>
  </si>
  <si>
    <t>Колесниченко О. В.</t>
  </si>
  <si>
    <t>978-5-369-02006-7</t>
  </si>
  <si>
    <t>40.02.04, 40.03.01, 40.04.01</t>
  </si>
  <si>
    <t>0526</t>
  </si>
  <si>
    <t>168550.10.01</t>
  </si>
  <si>
    <t>Возмещение вреда, прич. жизни и здоровью в рез. ДТП / О.В.Колесниченко-4 изд.-М.:ИЦ РИОР,НИЦ ИНФРА-М,2025-142с.(О)</t>
  </si>
  <si>
    <t>ВОЗМЕЩЕНИЕ ВРЕДА, ПРИЧИНЕННОГО ЖИЗНИ И ЗДОРОВЬЮ В РЕЗУЛЬТАТЕ ДТП, ИЗД.4</t>
  </si>
  <si>
    <t>978-5-369-01843-9</t>
  </si>
  <si>
    <t>0420</t>
  </si>
  <si>
    <t>168550.06.01</t>
  </si>
  <si>
    <t>Возмещение вреда, прич. жизни и здоровью в рез. ДТП/О.В.Корнеева-3изд-ИЦ РИОР,НИЦ ИНФРА-М,2020-146с(Наука и практика)(О)</t>
  </si>
  <si>
    <t>ВОЗМЕЩЕНИЕ ВРЕДА, ПРИЧИНЕННОГО ЖИЗНИ И ЗДОРОВЬЮ В РЕЗУЛЬТАТЕ ДТП, ИЗД.3</t>
  </si>
  <si>
    <t>Корнеева О.В.</t>
  </si>
  <si>
    <t>978-5-369-01434-9</t>
  </si>
  <si>
    <t>765631.04.01</t>
  </si>
  <si>
    <t>Возникновение и эволюция Вселенной: Моногр. / Е.К.Еськов - М.:НИЦ ИНФРА-М,2026. - 306 с.(Науч.мысль)(О)</t>
  </si>
  <si>
    <t>ВОЗНИКНОВЕНИЕ И ЭВОЛЮЦИЯ ВСЕЛЕННОЙ, ИЗД.1</t>
  </si>
  <si>
    <t>978-5-16-017425-9</t>
  </si>
  <si>
    <t>01.05.01, 03.04.01, 03.04.02, 03.05.01, 03.05.02, 14.04.02, 44.04.01</t>
  </si>
  <si>
    <t>873533.01.01</t>
  </si>
  <si>
    <t>Возникновение Сов. гос. и права (1917-1920): Уч.пос. / Т.Е.Новицкая - М.:Юр. НОРМА, НИЦ ИНФРА-М,2026. - 240 с.(п)</t>
  </si>
  <si>
    <t>ВОЗНИКНОВЕНИЕ СОВЕТСКОГО ГОСУДАРСТВА И ПРАВА (1917-1920), ИЗД.1</t>
  </si>
  <si>
    <t>Новицкая Т.Е., Полянский П.Л.</t>
  </si>
  <si>
    <t>978-5-00156-482-9</t>
  </si>
  <si>
    <t>40.03.01, 40.04.01, 40.05.01, 40.05.02, 40.05.03, 40.05.04, 40.03.02</t>
  </si>
  <si>
    <t>837279.03.01</t>
  </si>
  <si>
    <t>Возрастающая отдача в бизнесе...: Моногр. / О.С.Виханский - М.:НИЦ ИНФРА-М,2026. - 252 с.(п)</t>
  </si>
  <si>
    <t>ВОЗРАСТАЮЩАЯ ОТДАЧА В БИЗНЕСЕ: СТРАТЕГИИ УПРАВЛЕНИЯ ВЫСОКОТЕХНОЛОГИЧНЫМИ КОМПАНИЯМИ, ИЗД.1</t>
  </si>
  <si>
    <t>Виханский О.С., Каталевский Д.Ю.</t>
  </si>
  <si>
    <t>978-5-16-021530-3</t>
  </si>
  <si>
    <t>00.03.13, 00.05.13, 38.03.01, 38.03.02, 38.04.01, 38.04.02</t>
  </si>
  <si>
    <t>445850.15.01</t>
  </si>
  <si>
    <t>Возрастная анатомия и физиология: Уч пос. / Н.Ф. Лысова - М.: НИЦ ИНФРА-М, 2026. - 352 с. (ВО) (п)</t>
  </si>
  <si>
    <t>ВОЗРАСТНАЯ АНАТОМИЯ И ФИЗИОЛОГИЯ, ИЗД.1</t>
  </si>
  <si>
    <t>Лысова Н.Ф., Айзман Р.И.</t>
  </si>
  <si>
    <t>978-5-16-008972-0</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</si>
  <si>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44.03.01 «Педагогическое образование» (квалификация (степень) «бакалавр»)</t>
  </si>
  <si>
    <t>682847.08.01</t>
  </si>
  <si>
    <t>Возрастная анатомия и физиология: Уч.пос. / Н.Ф.Лысова - М.:НИЦ ИНФРА-М,2026 - 352 с.-(СПО)(П)</t>
  </si>
  <si>
    <t>978-5-16-013902-9</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</si>
  <si>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 44.02.06 «Профессиональное обучение (по отраслям)»</t>
  </si>
  <si>
    <t>177500.20.01</t>
  </si>
  <si>
    <t>Возрастная психология: Уч.пос. / Б.Р.Мандель - 2 изд. - М.:НИЦ ИНФРА-М,2026 - 350 с.(ВО)(п)</t>
  </si>
  <si>
    <t>ВОЗРАСТНАЯ ПСИХОЛОГИЯ, ИЗД.2</t>
  </si>
  <si>
    <t>978-5-16-019850-7</t>
  </si>
  <si>
    <t>31.05.02, 37.03.01, 44.03.01, 44.03.02, 44.03.03, 44.03.04, 44.03.05, 44.05.01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</si>
  <si>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направлений подготовки 44.03.00 «Образование и педагогические науки», 37.03.00 «Психологические науки» (квалификация (степень) «бакалавр») (протокол № 1 от 20.01.2020)</t>
  </si>
  <si>
    <t>682848.06.01</t>
  </si>
  <si>
    <t>Возрастная психология: Уч.пос. / Б.Р.Мандель - М, НИЦ ИНФРА-М,2026. - 338 с.(СПО)(П)</t>
  </si>
  <si>
    <t>ВОЗРАСТНАЯ ПСИХОЛОГИЯ, ИЗД.1</t>
  </si>
  <si>
    <t>978-5-16-018895-9</t>
  </si>
  <si>
    <t>20.02.05, 39.02.01, 44.02.01, 44.02.02, 44.02.03, 44.02.04, 44.02.05, 44.02.06, 49.02.01, 49.02.02, 53.02.01, 54.02.06</t>
  </si>
  <si>
    <t>Рекомендовано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</si>
  <si>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177500.09.01</t>
  </si>
  <si>
    <t>Возрастная психология: Уч.пос. / Б.Р.Мандель-М.:Вуз.уч., НИЦ ИНФРА-М,2019.-352 с.(ВО: Бакалавр.)(П)</t>
  </si>
  <si>
    <t>Мандель Б. Р.</t>
  </si>
  <si>
    <t>978-5-9558-0195-7</t>
  </si>
  <si>
    <t>431700.10.01</t>
  </si>
  <si>
    <t>Возрастная физиология и психофизиология: Уч. пос. / Р.И. Айзман - М.: ИНФРА-М, 2025. - 352 с.(ВО)(п)</t>
  </si>
  <si>
    <t>ВОЗРАСТНАЯ ФИЗИОЛОГИЯ И ПСИХОФИЗИОЛОГИЯ, ИЗД.1</t>
  </si>
  <si>
    <t>Айзман Р.И., Лысова Н.Ф.</t>
  </si>
  <si>
    <t>978-5-16-006423-9</t>
  </si>
  <si>
    <t>04.03.02, 06.03.01, 34.03.01, 44.03.04, 44.03.05, 49.03.01</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</si>
  <si>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44.03.01 (050100.62) «Педагогическое образование»</t>
  </si>
  <si>
    <t>682849.09.01</t>
  </si>
  <si>
    <t>Возрастная физиология и психофизиология: Уч.пос. / Р.И.Айзман - М.:НИЦ ИНФРА-М,2027 - 352 с.(СПО)(П)</t>
  </si>
  <si>
    <t>978-5-16-013904-3</t>
  </si>
  <si>
    <t>12.02.08, 31.02.01, 31.02.02, 31.02.03, 31.02.04, 31.02.06, 32.02.01, 33.02.01, 34.02.01, 42.02.12, 43.02.04, 43.02.17, 44.02.01, 44.02.02, 44.02.03, 44.02.04, 44.02.05, 44.02.06, 49.02.01, 49.02.02, 53.02.01, 54.02.06, 49.02.03</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</si>
  <si>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44.02.03 «Преподавание в начальных классах», 44.02.03 «Педагогика дополнительного образования», 44.02.01 «Дошкольное образование»</t>
  </si>
  <si>
    <t>762167.03.01</t>
  </si>
  <si>
    <t>Воинские автомобильные перевозки...: Уч. пос.: Ч.1: Баз.курс. / М.А.Михневич. - М.:НИЦ ИНФРА-М,2026 - 301с.:цв.ил.(П)</t>
  </si>
  <si>
    <t>ВОИНСКИЕ АВТОМОБИЛЬНЫЕ ПЕРЕВОЗКИ. ПЕРЕВОЗКА ОПАСНЫХ ГРУЗОВ, Т.1</t>
  </si>
  <si>
    <t>Михневич М.А., Ковчик А.И., Качармина Е.А. и др.</t>
  </si>
  <si>
    <t>Военное образование (РВВДКУ им. Маргелова)</t>
  </si>
  <si>
    <t>978-5-16-017214-9</t>
  </si>
  <si>
    <t>23.03.01, 23.03.02, 23.03.03, 23.04.02, 56.04.08, 56.05.01</t>
  </si>
  <si>
    <t>Рекомендуется Федеральным государственным казенным военным образовательным учреждением высшего образования «Рязанское гвардейское высшее воздушно-десантное ордена Суворова дважды Краснознаменное командное училище имени генерала армии В.Ф. Маргелова» Министерства обороны Российской Федерации в качестве учебного пособия для обучения военнослужащих соединений и частей Воздушно-десантных войск по программе профессио нальной подготовки военнослужащих, проходящих воинскую службу на воинских должностях водителей транспортных средств, осуществляющих перевозку опасных грузов</t>
  </si>
  <si>
    <t>Рязанское высшее воздушно-десантное командное училище</t>
  </si>
  <si>
    <t>699619.03.01</t>
  </si>
  <si>
    <t>Воинские автомобильные перевозки: Уч.пос. / М.А.Михневич - М.:НИЦ ИНФРА-М,2026. - 340 с.(п)</t>
  </si>
  <si>
    <t>ВОИНСКИЕ АВТОМОБИЛЬНЫЕ ПЕРЕВОЗКИ, ИЗД.1</t>
  </si>
  <si>
    <t>Михневич М.А., Белов А.Б., Горохов Н.М. и др.</t>
  </si>
  <si>
    <t>978-5-16-014973-8</t>
  </si>
  <si>
    <t>23.03.01, 23.03.03, 23.04.02, 23.04.03, 56.04.04, 56.04.08, 56.05.01</t>
  </si>
  <si>
    <t>Рекомендуется федеральным государственным казенным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 в качестве учебного пособия для курсантов Рязанского высшего воздушно-десантного командного училища (военный институт) имени генерала армии В.Ф. Маргелова (филиал) федерального государственного казенного образовательного учреждения высшего профессионального образования «Военный учебно-научный центр Сухопутных войск «Общевойсковая академия Вооруженных Сил Российской Федерации», обучающихся по специальности «Техническое обслуживание и ремонт автомобильного транспорта» (регистрационный номер рецензии 245 от 20 сентября 2012 г. Департамента образования Министерства обороны Российской Федерации)</t>
  </si>
  <si>
    <t>723510.07.01</t>
  </si>
  <si>
    <t>Война и мир в гибридном измерении: Моногр. / Л.О.Терновая - М.:НИЦ ИНФРА-М,2026 - 368 с.(Науч.мысль)(О)</t>
  </si>
  <si>
    <t>ВОЙНА И МИР В ГИБРИДНОМ ИЗМЕРЕНИИ, ИЗД.1</t>
  </si>
  <si>
    <t>978-5-16-015800-6</t>
  </si>
  <si>
    <t>00.05.04, 46.03.01</t>
  </si>
  <si>
    <t>822170.02.01</t>
  </si>
  <si>
    <t>Войска и органы правопорядка Санкт-Петербурга: Моногр. / А.А.Дерюгин - М.:НИЦ ИНФРА-М,2027. - 174 с.(п)</t>
  </si>
  <si>
    <t>ВОЙСКА И ОРГАНЫ ПРАВОПОРЯДКА САНКТ-ПЕТЕРБУРГА: ИСТОРИЯ И СОВРЕМЕННОСТЬ, ИЗД.1</t>
  </si>
  <si>
    <t>Дерюгин А.А., Крижановская Г.Н., Лысенков С.Г. и др.</t>
  </si>
  <si>
    <t>978-5-16-019745-6</t>
  </si>
  <si>
    <t>40.03.01, 40.05.01, 40.05.02, 40.05.03, 40.05.04, 40.06.01</t>
  </si>
  <si>
    <t>870466.01.01</t>
  </si>
  <si>
    <t>Волонтерство в сфере здравоохранения: история и современность: монография / Н.И.Горлова и др.-М.:НИЦ ИНФРА-М,2027.-154 с..-(Науч.мысль)(п)</t>
  </si>
  <si>
    <t>ВОЛОНТЕРСТВО В СФЕРЕ ЗДРАВООХРАНЕНИЯ: ИСТОРИЯ И СОВРЕМЕННОСТЬ, ИЗД.1</t>
  </si>
  <si>
    <t>Горлова Н.И., Зальцман Т.В., Омельченко А.С.</t>
  </si>
  <si>
    <t>978-5-16-021705-5</t>
  </si>
  <si>
    <t>31.05.01, 39.03.02</t>
  </si>
  <si>
    <t>682795.10.01</t>
  </si>
  <si>
    <t>Вольная борьба: Уч.пос. / П.Ф.Матущак - М.:НИЦ ИНФРА-М,2026 - 292 с.-(СПО)(П)</t>
  </si>
  <si>
    <t>ВОЛЬНАЯ БОРЬБА, ИЗД.1</t>
  </si>
  <si>
    <t>978-5-16-014085-8</t>
  </si>
  <si>
    <t>00.01.05, 00.02.14, 49.02.01</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</si>
  <si>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на базе основного общего образования</t>
  </si>
  <si>
    <t>237300.11.01</t>
  </si>
  <si>
    <t>Вооруженный конфликт немеждународ. характера..: Моногр. / М.Г.Смирнов - М.:Норма, НИЦ ИНФРА-М,2024 - 208 с(о)</t>
  </si>
  <si>
    <t>ВООРУЖЕННЫЙ КОНФЛИКТ НЕМЕЖДУНАРОДНОГО ХАРАКТЕРА: МЕЖДУНАРОДНО-ПРАВОВОЙ АСПЕКТ, ИЗД.1</t>
  </si>
  <si>
    <t>Смирнов М. Г.</t>
  </si>
  <si>
    <t>978-5-91768-432-1</t>
  </si>
  <si>
    <t>Российский государственный университет нефти и газа (НИУ) им. И.М. Губкина</t>
  </si>
  <si>
    <t>170250.09.01</t>
  </si>
  <si>
    <t>Вопросы налоговых и бюджетных правоотн. в суд..: Моногр. / Х.В.Пешкова - 2 изд. - М.:НИЦ ИНФРА-М,2025 - 253 с.(О)</t>
  </si>
  <si>
    <t>ВОПРОСЫ НАЛОГОВЫХ И БЮДЖЕТНЫХ ПРАВООТНОШЕНИЙ В СУДЕБНОЙ ПРАКТИКЕ, ИЗД.2</t>
  </si>
  <si>
    <t>978-5-16-014835-9</t>
  </si>
  <si>
    <t>38.03.01, 38.03.02, 38.03.04, 38.04.01, 38.04.02, 38.04.04, 38.04.08, 38.05.01, 38.05.02, 40.03.01, 40.04.01, 40.05.02, 40.05.03, 44.03.01, 44.03.05</t>
  </si>
  <si>
    <t>170250.06.01</t>
  </si>
  <si>
    <t>Вопросы налоговых и бюджетных правоотн. в суд..: Моногр. / Х.В.Пешкова-М.:НИЦ ИНФРА-М,2018-184с(О)</t>
  </si>
  <si>
    <t>ВОПРОСЫ НАЛОГОВЫХ И БЮДЖЕТНЫХ ПРАВООТНОШЕНИЙ В СУДЕБНОЙ ПРАКТИКЕ, ИЗД.1</t>
  </si>
  <si>
    <t>978-5-16-005298-4</t>
  </si>
  <si>
    <t>873410.02.01</t>
  </si>
  <si>
    <t>Воронежская учеб. команда-шк. полицейской стражи в лицах / К.А.Ситников - М.:НИЦ ИНФРА-М,2026-161 с.(о)</t>
  </si>
  <si>
    <t>ВОРОНЕЖСКАЯ УЧЕБНАЯ КОМАНДА-ШКОЛА ПОЛИЦЕЙСКОЙ СТРАЖИ В ЛИЦАХ, ИЗД.1</t>
  </si>
  <si>
    <t>Ситников К.А.</t>
  </si>
  <si>
    <t>978-5-16-021984-4</t>
  </si>
  <si>
    <t>40.03.01, 40.05.01, 40.05.02, 40.06.01, 40.03.02</t>
  </si>
  <si>
    <t>162350.16.01</t>
  </si>
  <si>
    <t>Воспитание детей в духе миролюбия в трад..: Моногр. / О.В.Коротких - М.:НИЦ ИНФРА-М,2026 - 128 с(О)</t>
  </si>
  <si>
    <t>ВОСПИТАНИЕ ДЕТЕЙ В ДУХЕ МИРОЛЮБИЯ В ТРАДИЦИЯХ НАРОДНОЙ ПЕДАГОГИКИ, ИЗД.1</t>
  </si>
  <si>
    <t>Коротких О.В.</t>
  </si>
  <si>
    <t>978-5-16-005175-8</t>
  </si>
  <si>
    <t>44.03.01, 44.03.02, 44.03.04, 44.03.05, 44.04.01, 44.04.02, 44.04.04</t>
  </si>
  <si>
    <t>800888.06.01</t>
  </si>
  <si>
    <t>Воспитание детей и молодежи: тенденции и реш.: Моногр. / И.В.Иванова. - М.:НИЦ ИНФРА-М,2026 - 183 с.(п)</t>
  </si>
  <si>
    <t>ВОСПИТАНИЕ ДЕТЕЙ И МОЛОДЕЖИ: ТЕНДЕНЦИИ И РЕШЕНИЯ, ИЗД.1</t>
  </si>
  <si>
    <t>Иванова И.В., Макарова В.А., Астахова Л.Г. и др.</t>
  </si>
  <si>
    <t>978-5-16-018627-6</t>
  </si>
  <si>
    <t>44.04.01, 44.04.02, 44.04.04, 44.05.01, 44.06.01</t>
  </si>
  <si>
    <t>Калужский государственный  университет им. К.Э. Циолковского</t>
  </si>
  <si>
    <t>682850.11.01</t>
  </si>
  <si>
    <t>Воспитание и обуч. детей с наруш. речи....: Уч. пос. / Л.С.Вакуленко - М.:НИЦ ИНФРА-М,2027 - 272 с.(СПО)(п)</t>
  </si>
  <si>
    <t>ВОСПИТАНИЕ И ОБУЧЕНИЕ ДЕТЕЙ С НАРУШЕНИЯМИ РЕЧИ. ПСИХОЛОГИЯ ДЕТЕЙ С НАРУШЕНИЯМИ РЕЧИ, ИЗД.1</t>
  </si>
  <si>
    <t>Вакуленко Л.С.</t>
  </si>
  <si>
    <t>978-5-16-022428-2</t>
  </si>
  <si>
    <t>44.02.01, 44.02.04, 44.02.05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</si>
  <si>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</si>
  <si>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431350.13.01</t>
  </si>
  <si>
    <t>Воспитание и обучение детей с наруш. речи..: Уч.мет.пос. / Л.С.Вакуленко - М.:НИЦ ИНФРА-М,2027. - 272 с.(ВО)(п)</t>
  </si>
  <si>
    <t>978-5-16-021157-2</t>
  </si>
  <si>
    <t>37.03.01, 44.03.01, 44.03.03, 44.03.05, 44.04.01, 44.04.03, 49.03.02</t>
  </si>
  <si>
    <t>733188.05.01</t>
  </si>
  <si>
    <t>Воспитание толерантности у младших шк.: Уч.пос. / С.А.Герасимов - М.:НИЦ ИНФРА-М,2026 - 315 с.(П)</t>
  </si>
  <si>
    <t>ВОСПИТАНИЕ ТОЛЕРАНТНОСТИ У МЛАДШИХ ШКОЛЬНИКОВ, ИЗД.1</t>
  </si>
  <si>
    <t>Герасимов С.А., Сковородкина И.З.</t>
  </si>
  <si>
    <t>978-5-16-016166-2</t>
  </si>
  <si>
    <t>44.02.02, 44.02.03, 44.02.04, 44.02.05, 54.02.06</t>
  </si>
  <si>
    <t>Допущено Министерством образования и науки Российской Федерации в качестве учебного пособия для студентов профессиональных образовательных организаций, обучающихся по специальности 44.02.02 «Преподавание в начальных классах», студентов образовательных организаций высшего образования, обучающихся по направлению подготовки 44.03.01 «Педагогическое образование», профиль «Начальное образование», и обучающихся организаций дополнительного профессионального образования</t>
  </si>
  <si>
    <t>Архангельский политехнический техникум</t>
  </si>
  <si>
    <t>643226.08.01</t>
  </si>
  <si>
    <t>Воспитание ценностных основ.личности: Моногр. / С.В.Яковлев - 2 изд. - М.:НИЦ ИНФРА-М,2024-148с(О)</t>
  </si>
  <si>
    <t>ВОСПИТАНИЕ ЦЕННОСТНЫХ ОСНОВАНИЙ ЛИЧНОСТИ, ИЗД.2</t>
  </si>
  <si>
    <t>978-5-16-010217-7</t>
  </si>
  <si>
    <t>44.04.01, 44.04.02, 44.04.03, 44.04.04, 44.06.01</t>
  </si>
  <si>
    <t>643226.10.01</t>
  </si>
  <si>
    <t>Воспитание ценностных оснований личности: Моногр. / С.В.Яковлев - 3 изд. - М.:НИЦ ИНФРА-М,2027 -158 с.(о)</t>
  </si>
  <si>
    <t>ВОСПИТАНИЕ ЦЕННОСТНЫХ ОСНОВАНИЙ ЛИЧНОСТИ, ИЗД.3</t>
  </si>
  <si>
    <t>978-5-16-020319-5</t>
  </si>
  <si>
    <t>643226.04.01</t>
  </si>
  <si>
    <t>Воспитание ценностных оснований личности: Моногр. / С.В.Яковлев-2 изд.,доп.-М.:НИЦ ИНФРА-М,2019-148с(П)</t>
  </si>
  <si>
    <t>Переплет</t>
  </si>
  <si>
    <t>441300.12.01</t>
  </si>
  <si>
    <t>Воспитатель в дошк. обр. орг..: Уч.пос. / Под ред.Козловой С.А. - 2 изд. - М.:НИЦ ИНФРА-М,2025 - 508 с.(п)</t>
  </si>
  <si>
    <t>ВОСПИТАТЕЛЬ В ДОШКОЛЬНЫХ ОБРАЗОВАТЕЛЬНЫХ ОРГАНИЗАЦИЯХ. ФИЗИЧЕСКОЕ ВОСПИТАНИЕ ДОШКОЛЬНИКОВ, ИЗД.2</t>
  </si>
  <si>
    <t>Борисова М.М., Кожухова Н.Н., Рыжкова Л.А. и др.</t>
  </si>
  <si>
    <t>978-5-16-013803-9</t>
  </si>
  <si>
    <t>44.00.00, 44.03.01, 44.03.04, 44.03.05</t>
  </si>
  <si>
    <t>838554.01.01</t>
  </si>
  <si>
    <t>Воспитательна работа с осужденными, сост. на учете в угол.-исп. инспекциях... / С.И.Бякина - М.:ИНФРА-М,2025. - 164 с.(о)</t>
  </si>
  <si>
    <t>ВОСПИТАТЕЛЬНАЯ РАБОТА С ОСУЖДЕННЫМИ, СОСТОЯЩИМИ НА УЧЕТЕ В УГОЛОВНО-ИСПОЛНИТЕЛЬНЫХ ИНСПЕКЦИЯХ: ПРАВОВЫЕ И ОРГАНИЗАЦИОННЫЕ АСПЕКТЫ, ИЗД.1</t>
  </si>
  <si>
    <t>Бякина С.И., Грушин Ф.В.</t>
  </si>
  <si>
    <t>978-5-16-020330-0</t>
  </si>
  <si>
    <t>37.05.02, 37.06.01, 40.03.01, 40.04.01, 40.05.02, 40.06.01</t>
  </si>
  <si>
    <t>Самарский юридический институт Федеральной службы исполнения наказаний</t>
  </si>
  <si>
    <t>429350.04.01</t>
  </si>
  <si>
    <t>Воспитываем ребенка / Н.А.Пастернак - М.:Форум, НИЦ ИНФРА-М,2018.-112 с.(О) [12+]</t>
  </si>
  <si>
    <t>ВОСПИТЫВАЕМ РЕБЕНКА, ИЗД.1</t>
  </si>
  <si>
    <t>Пастернак Н.А.</t>
  </si>
  <si>
    <t>978-5-91134-734-5</t>
  </si>
  <si>
    <t>37.03.01, 37.04.01, 44.03.01, 44.03.02, 44.03.03, 44.03.04, 44.03.05, 44.04.01, 44.04.02, 44.05.01</t>
  </si>
  <si>
    <t>Российский университет медицины</t>
  </si>
  <si>
    <t>429350.10.01</t>
  </si>
  <si>
    <t>Воспитываем ребенка: Уч.пос. / Под ред. Асмолова А.Г. - 2 изд. - М.: НИЦ ИНФРА-М,2026 - 166 с.(П)</t>
  </si>
  <si>
    <t>ВОСПИТЫВАЕМ РЕБЕНКА, ИЗД.2</t>
  </si>
  <si>
    <t>Пастернак Н.А., Асмолов А.Г.</t>
  </si>
  <si>
    <t>978-5-16-022229-5</t>
  </si>
  <si>
    <t>477450.06.01</t>
  </si>
  <si>
    <t>Воспроизводство сельскохозяйственной птицы: Уч.пос. / Б.Ф.Бессарабов - М.:НИЦ ИНФРА-М,2026. - 358 с.(ВО)(п)</t>
  </si>
  <si>
    <t>ВОСПРОИЗВОДСТВО СЕЛЬСКОХОЗЯЙСТВЕННОЙ ПТИЦЫ, ИЗД.1</t>
  </si>
  <si>
    <t>Бессарабов Б.Ф., Федотов С.В.</t>
  </si>
  <si>
    <t>978-5-16-010265-8</t>
  </si>
  <si>
    <t>Допущено Учебно-методическим объединением высших учебных заведений Российской Федерации |   по образованию в области зоотехнии и ветеринарии в качестве учебного пособия для студентов высших учебных заведений, обучающихся по направлению подготовки (сп</t>
  </si>
  <si>
    <t>713886.04.01</t>
  </si>
  <si>
    <t>Восстановительная  терапия церебральных нарушений... / И.В.Кунцевская и др. - М.:НИЦ ИНФРА-М,2026. - 160 с.-(Науч.мысль)(о)</t>
  </si>
  <si>
    <t>ВОССТАНОВИТЕЛЬНАЯ  ТЕРАПИЯ ЦЕРЕБРАЛЬНЫХ НАРУШЕНИЙ У БОЛЬНЫХ ХРОНИЧЕСКОЙ ОБСТРУКТИВНОЙ БОЛЕЗНЬЮ ЛЕГКИХ НА ЭТАПЕ САНАТОРНО-КУРОРТНОЙ РЕАБИЛИТАЦИИ, ИЗД.1</t>
  </si>
  <si>
    <t>Кунцевская И.В., Кушнир Г.М., Бобрик Ю.В.</t>
  </si>
  <si>
    <t>978-5-16-015678-1</t>
  </si>
  <si>
    <t>31.05.01, 31.08.49</t>
  </si>
  <si>
    <t>Крымский федеральный университет им. В.И. Вернадского, структурное подразделение Медицинская академия имени С.И. Георгиевского</t>
  </si>
  <si>
    <t>АКАДЕМУС, Победитель</t>
  </si>
  <si>
    <t>810796.02.01</t>
  </si>
  <si>
    <t>Восстановление бронетанковой техники: Уч.: В 2 ч.Ч.1 / И.Ю.Лепешинский - М.:НИЦ ИНФРА-М,2026 - 455 с.(п)</t>
  </si>
  <si>
    <t>ВОССТАНОВЛЕНИЕ БРОНЕТАНКОВОЙ ТЕХНИКИ. В 2 Ч. ЧАСТЬ 1, Т.1</t>
  </si>
  <si>
    <t>Лепешинский И.Ю., Крюков К.С., Ануфриев Е.В. и др.</t>
  </si>
  <si>
    <t>978-5-16-019019-8</t>
  </si>
  <si>
    <t>23.03.02, 23.04.02, 56.04.03</t>
  </si>
  <si>
    <t>810800.02.01</t>
  </si>
  <si>
    <t>Восстановление бронетанковой техники: Уч.: В 2 ч.Ч.2 / И.Ю.Лепешинский. - М.:НИЦ ИНФРА-М,2026. - 451 с.(п)</t>
  </si>
  <si>
    <t>ВОССТАНОВЛЕНИЕ БРОНЕТАНКОВОЙ ТЕХНИКИ В  2-Х Ч., Т.2</t>
  </si>
  <si>
    <t>978-5-16-019020-4</t>
  </si>
  <si>
    <t>352700.09.01</t>
  </si>
  <si>
    <t>Восстановление и усиление железобетон...: Уч.мет.пос. / М.В.Яковлева-М.:Форум, НИЦ ИНФРА-М,2024-191 с.(ВО)(П)</t>
  </si>
  <si>
    <t>ВОССТАНОВЛЕНИЕ И УСИЛЕНИЕ ЖЕЛЕЗОБЕТОННЫХ И КАМЕННЫХ КОНСТРУКЦИЙ, ИЗД.1</t>
  </si>
  <si>
    <t>Яковлева М.В., Коткова О.Н., Широков В.С.</t>
  </si>
  <si>
    <t>978-5-00091-795-4</t>
  </si>
  <si>
    <t>Рекомендовано Государственным образовательным учреждением высшего профессионального образования «Московский государственный строительный университет» (МГСУ) в качестве учебного пособия для студентов высших учебных заведений, обучающихся по направлению подготовки «Строительство» по профилю подготовки «Городское строительство»</t>
  </si>
  <si>
    <t>656313.08.01</t>
  </si>
  <si>
    <t>Восточнославянское язычество: От рождения до гибели богов / М.Н.Козлов - М.:Вуз.уч.,НИЦ ИНФРА-М,2026 - 296 с.(П)</t>
  </si>
  <si>
    <t>ВОСТОЧНОСЛАВЯНСКОЕ ЯЗЫЧЕСТВО: ОТ РОЖДЕНИЯ ДО ГИБЕЛИ БОГОВ, ИЗД.1</t>
  </si>
  <si>
    <t>Козлов М.Н.</t>
  </si>
  <si>
    <t>978-5-16-021479-5</t>
  </si>
  <si>
    <t>44.03.05, 51.03.01, 51.04.01</t>
  </si>
  <si>
    <t>818123.03.01</t>
  </si>
  <si>
    <t>Вред при медицинском вмешательстве: проблемы..: Моногр. / М.В.Кратенко - М.:Юр. НОРМА, ИНФРА-М,2026 - 240 с.(п)</t>
  </si>
  <si>
    <t>ВРЕД ПРИ МЕДИЦИНСКОМ ВМЕШАТЕЛЬСТВЕ: ПРОБЛЕМЫ КОМПЕНСАЦИИ И ПРЕДОТВРАЩЕНИЯ (СРАВНИТЕЛЬНО-ПРАВОВОЕ ИССЛЕДОВАНИЕ), ИЗД.1</t>
  </si>
  <si>
    <t>Кратенко М.В.</t>
  </si>
  <si>
    <t>978-5-00156-342-6</t>
  </si>
  <si>
    <t>31.05.01, 34.03.01, 40.03.01, 40.04.01, 40.05.02, 40.05.04, 40.06.01</t>
  </si>
  <si>
    <t>151750.10.01</t>
  </si>
  <si>
    <t>Времена английского глагола....: Уч. пос. / А.А.Караванов - М.:НИЦ ИНФРА-М,2025 - 212 с. - (ВО: Бакалавр.)(П)</t>
  </si>
  <si>
    <t>ВРЕМЕНА АНГЛИЙСКОГО ГЛАГОЛА.СИСТЕМА,ПРАВИЛА,УПРАЖНЕНИЯ,ТЕСТЫ, ИЗД.1</t>
  </si>
  <si>
    <t>Караванов А.А.</t>
  </si>
  <si>
    <t>978-5-16-011442-2</t>
  </si>
  <si>
    <t>00.03.02, 00.05.02, 35.01.16, 35.02.09</t>
  </si>
  <si>
    <t>843804.01.01</t>
  </si>
  <si>
    <t>Времена английского глагола....: Уч. пос. / А.А.Караванов - М.:НИЦ ИНФРА-М,2025 - 212 с.(СПО)(п)</t>
  </si>
  <si>
    <t>ВРЕМЕНА АНГЛИЙСКОГО ГЛАГОЛА. СИСТЕМА, ПРАВИЛА, УПРАЖНЕНИЯ, ТЕСТЫ, ИЗД.1</t>
  </si>
  <si>
    <t>978-5-16-020404-8</t>
  </si>
  <si>
    <t>00.01.02</t>
  </si>
  <si>
    <t>817547.01.01</t>
  </si>
  <si>
    <t>Всеволод Петрович Кащенко: Жизнь и деят. в документах и мат.: Сб. / М.А.Тимофеев-М.:НИЦ ИНФРА-М,2023.-761 с.(п)</t>
  </si>
  <si>
    <t>ВСЕВОЛОД ПЕТРОВИЧ КАЩЕНКО: ЖИЗНЬ И ДЕЯТЕЛЬНОСТЬ В ДОКУМЕНТАХ И МАТЕРИАЛАХ, ИЗД.1</t>
  </si>
  <si>
    <t>Тимофеев М.А., Кукушкина Е.А.</t>
  </si>
  <si>
    <t>978-5-16-019378-6</t>
  </si>
  <si>
    <t>Сборник документов</t>
  </si>
  <si>
    <t>44.04.03, 44.06.01, 44.07.02</t>
  </si>
  <si>
    <t>218600.09.01</t>
  </si>
  <si>
    <t>Всемирная история гос-ва. и гос. упр.: Уч.пос. / А.Ю.Саломатин - М:Юр.Норма:НИЦ ИНФРА-М,2026 - 288 с.(п)</t>
  </si>
  <si>
    <t>ВСЕМИРНАЯ ИСТОРИЯ ГОСУДАРСТВА И ГОСУДАРСТВЕННОГО УПРАВЛЕНИЯ, ИЗД.1</t>
  </si>
  <si>
    <t>Саломатин А. Ю.</t>
  </si>
  <si>
    <t>978-5-91768-401-7</t>
  </si>
  <si>
    <t>022367.27.01</t>
  </si>
  <si>
    <t>Всеобщая история права и гос.: Уч. / В.Г.Графский - 3 изд. - М.: Юр.Норма, НИЦ ИНФРА-М, 2025 - 816 с.(п)</t>
  </si>
  <si>
    <t>ВСЕОБЩАЯ ИСТОРИЯ ПРАВА И ГОСУДАРСТВА, ИЗД.3</t>
  </si>
  <si>
    <t>Графский В. Г.</t>
  </si>
  <si>
    <t>978-5-91768-078-1</t>
  </si>
  <si>
    <t>Допущено Министерством образования и науки РФ в качестве учебника для студентов высших учебных заведений, обучающихся по специальности "Юриспруденция"</t>
  </si>
  <si>
    <t>0310</t>
  </si>
  <si>
    <t>719868.02.01</t>
  </si>
  <si>
    <t>Вспомогательные ист. дисциплины...: Уч.пос. / В.В.Шевцов-М.:НИЦ ИНФРА-М,2023.-283 с.(ВО)(П)</t>
  </si>
  <si>
    <t>ВСПОМОГАТЕЛЬНЫЕ ИСТОРИЧЕСКИЕ ДИСЦИПЛИНЫ: ИСТОРИЧЕСКАЯ МЕТРОЛОГИЯ РОССИИ, ИЗД.1</t>
  </si>
  <si>
    <t>Шевцов В.В.</t>
  </si>
  <si>
    <t>978-5-16-018588-0</t>
  </si>
  <si>
    <t>44.03.01, 44.03.05, 46.03.01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</si>
  <si>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46.03.01 «История» (квалификация (степень) «бакалавр») (протокол № 8 от 22.06.2020)</t>
  </si>
  <si>
    <t>Национальный исследовательский Томский государственный университет</t>
  </si>
  <si>
    <t>741931.05.01</t>
  </si>
  <si>
    <t>Вся физика на ладони. Интерактивный справ. / С.И.Кузнецов - М.:НИЦ ИНФРА-М,2026. - 252 с.(СПО)(п)</t>
  </si>
  <si>
    <t>ВСЯ ФИЗИКА НА ЛАДОНИ. ИНТЕРАКТИВНЫЙ СПРАВОЧНИК, ИЗД.1</t>
  </si>
  <si>
    <t>Кузнецов С.И., Рогозин К.И.</t>
  </si>
  <si>
    <t>978-5-16-021175-6</t>
  </si>
  <si>
    <t>00.02.23, 10.02.04, 25.02.01, 52.02.01, 52.02.02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</si>
  <si>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программу среднего профессионального образования по техническим специальностям (протокол № 9 от 28.09.2020)</t>
  </si>
  <si>
    <t>Национальный исследовательский Томский политехнический университет</t>
  </si>
  <si>
    <t>342900.10.01</t>
  </si>
  <si>
    <t>Вся физика на ладони: интерактивный справочник / С.И.Кузнецов - М.:НИЦ ИНФРА-М,2026. - 252 с.(п)</t>
  </si>
  <si>
    <t>ВСЯ ФИЗИКА НА ЛАДОНИ: ИНТЕРАКТИВНЫЙ СПРАВОЧНИК, ИЗД.1</t>
  </si>
  <si>
    <t>978-5-16-022220-2</t>
  </si>
  <si>
    <t>03.03.01, 03.03.02, 03.03.03, 04.03.01, 04.03.02, 05.03.01, 05.03.02, 05.03.03, 05.03.04, 05.03.05, 05.03.06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</si>
  <si>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(протокол № 4 от 02.03.2020)</t>
  </si>
  <si>
    <t>077280.23.01</t>
  </si>
  <si>
    <t>Выбор и наладка электрооборуд.: Справ. пос. / В.К.Варварин - 3 изд. - М.: НИЦ ИНФРА-М,2026 - 238 с.(П)</t>
  </si>
  <si>
    <t>ВЫБОР И НАЛАДКА ЭЛЕКТРООБОРУДОВАНИЯ, ИЗД.3</t>
  </si>
  <si>
    <t>Варварин В. К.</t>
  </si>
  <si>
    <t>978-5-16-022171-7</t>
  </si>
  <si>
    <t>08.01.31, 08.02.09, 11.01.02, 11.01.05, 13.01.07, 13.01.10, 13.02.07, 13.02.09, 13.02.12, 13.02.13, 18.01.28, 21.01.15, 26.01.05, 26.02.04, 26.02.05, 26.02.06, 35.01.15</t>
  </si>
  <si>
    <t>670740.03.01</t>
  </si>
  <si>
    <t>Выбор и рац. экспл. буровых инструм. и станков..:Моногр. / В.Д.Буткин - М.:НИЦ ИНФРА-М, СФУ,2022 - 235 с(П)</t>
  </si>
  <si>
    <t>ВЫБОР И РАЦИОНАЛЬНАЯ ЭКСПЛУАТАЦИЯ БУРОВЫХ ИНСТРУМЕНТОВ И СТАНКОВ НА КАРЬЕРАХ, ИЗД.1</t>
  </si>
  <si>
    <t>Буткин В.Д., Гилев А.В., Нехорошев Д.Б. и др.</t>
  </si>
  <si>
    <t>978-5-16-017185-2</t>
  </si>
  <si>
    <t>21.05.03, 21.05.04</t>
  </si>
  <si>
    <t>428500.12.01</t>
  </si>
  <si>
    <t>Выбор материалов и технологий в машиностр.: Уч.пос. /А.М.Токмин - М.:НИЦ ИНФРА-М, СФУ,2026 - 235 с.(П)</t>
  </si>
  <si>
    <t>ВЫБОР МАТЕРИАЛОВ И ТЕХНОЛОГИЙ В МАШИНОСТРОЕНИИ, ИЗД.1</t>
  </si>
  <si>
    <t>Токмин А.М., Темных В.И., Свечникова Л.А.</t>
  </si>
  <si>
    <t>Высшее образование: Бакалавриат (СФУ)</t>
  </si>
  <si>
    <t>978-5-16-016774-9</t>
  </si>
  <si>
    <t>22.03.01</t>
  </si>
  <si>
    <t>Рекомендовано ФГБОУ ВПО «Московский государственный технический университет имени Н.Э. Баумана» в качестве учебного пособия для студентов высших учебных заведений, обучающихся по направлению подготовки 22.03.01 «Материаловедение и технологии материалов» (рег. № 1582 от 30.11.2011, МГУП)</t>
  </si>
  <si>
    <t>261100.05.01</t>
  </si>
  <si>
    <t>Выбор направлений диверсификации в машиностр.: Моногр./В.Н.Еремин - ИНФРА-М, 2022-184с.(Науч. мысль) (О)</t>
  </si>
  <si>
    <t>ВЫБОР НАПРАВЛЕНИЙ ДИВЕРСИФИКАЦИИ В МАШИНОСТРОЕНИИ, ИЗД.1</t>
  </si>
  <si>
    <t>Еремин В. Н., Еремина Е. В.</t>
  </si>
  <si>
    <t>978-5-16-009513-4</t>
  </si>
  <si>
    <t>15.04.01, 15.04.02, 15.04.04, 15.04.05, 15.04.06, 38.04.01, 38.04.02</t>
  </si>
  <si>
    <t>128340.10.01</t>
  </si>
  <si>
    <t>Выборы и избират.право в зеркале суд...: Моногр. / Е.И.Колюшин - 3 изд. - М.:Юр.Норма,НИЦ ИНФРА-М,2020 - 384 с.(П)</t>
  </si>
  <si>
    <t>ВЫБОРЫ И ИЗБИРАТЕЛЬНОЕ ПРАВО В ЗЕРКАЛЕ СУДЕБНЫХ РЕШЕНИЙ, ИЗД.3</t>
  </si>
  <si>
    <t>Колюшин Е.И.</t>
  </si>
  <si>
    <t>978-5-91768-866-4</t>
  </si>
  <si>
    <t>38.03.04, 40.03.01, 40.04.01, 40.05.01, 40.05.02, 40.05.03</t>
  </si>
  <si>
    <t>825874.03.01</t>
  </si>
  <si>
    <t>Выдающиеся настав. рос. учительства первой половины ХХ в. / М.В.Богуславский - М.:НИЦ ИНФРА-М,2026 - 234 с.(п)</t>
  </si>
  <si>
    <t>ВЫДАЮЩИЕСЯ НАСТАВНИКИ РОССИЙСКОГО УЧИТЕЛЬСТВА ПЕРВОЙ ПОЛОВИНЫ ХХ ВЕКА, ИЗД.1</t>
  </si>
  <si>
    <t>978-5-16-020557-1</t>
  </si>
  <si>
    <t>44.04.01, 44.04.02, 44.04.03, 44.04.04, 44.05.01, 44.06.01</t>
  </si>
  <si>
    <t>684145.07.01</t>
  </si>
  <si>
    <t>Вызов времени и ответы России: 1917 - 2017: Моногр. / Под ред. Кальной И.И. - М.:НИЦ ИНФРА-М,2027 - 323 с.(о)</t>
  </si>
  <si>
    <t>ВЫЗОВ ВРЕМЕНИ И ОТВЕТЫ РОССИИ: 1917 - 2017, ИЗД.1</t>
  </si>
  <si>
    <t>Кальной И.И.</t>
  </si>
  <si>
    <t>978-5-16-020853-4</t>
  </si>
  <si>
    <t>41.03.04, 41.03.05, 41.04.04, 41.04.05, 44.03.01, 44.03.05, 46.03.01, 46.04.01</t>
  </si>
  <si>
    <t>684145.04.01</t>
  </si>
  <si>
    <t>Вызов времени и ответы России: 1917 - 2017: Моногр./ И.И.Кальной - М.:НИЦ ИНФРА-М,2025. - 323 с(П)</t>
  </si>
  <si>
    <t>978-5-16-014267-8</t>
  </si>
  <si>
    <t>773958.04.01</t>
  </si>
  <si>
    <t>Выполнение работ по профессии рабочего: Прак.: Уч.пос. / Л.А.Сайдуллаева - М.:НИЦ ИНФРА-М,2026 - 183 с.(П)</t>
  </si>
  <si>
    <t>ВЫПОЛНЕНИЕ РАБОТ ПО ПРОФЕССИИ РАБОЧЕГО: ТРАКТОРИСТ-МАШИНИСТ СЕЛЬСКОХОЗЯЙСТВЕННОГО ПРОИЗВОДСТВА. ПРАКТИКУМ, ИЗД.1</t>
  </si>
  <si>
    <t>Сайдуллаева Л.А.</t>
  </si>
  <si>
    <t>978-5-16-017519-5</t>
  </si>
  <si>
    <t>35.01.01, 35.01.27, 35.01.30, 35.02.05, 35.02.16, 36.01.04</t>
  </si>
  <si>
    <t>Кемеровский аграрный техникум</t>
  </si>
  <si>
    <t>671809.09.01</t>
  </si>
  <si>
    <t>Выпускная квалификац. раб. в проф. образ. орг. СПО: Уч.мет.пос. / С.Н.Рыжиков - М.:НИЦ ИНФРА-М,2026 - 236с(П)</t>
  </si>
  <si>
    <t>ВЫПУСКНАЯ КВАЛИФИКАЦИОННАЯ РАБОТА В ПРОФЕССИОНАЛЬНЫХ ОБРАЗОВАТЕЛЬНЫХ ОРГАНИЗАЦИЯХ СПО, ИЗД.1</t>
  </si>
  <si>
    <t>Рыжиков С.Н.</t>
  </si>
  <si>
    <t>978-5-16-013869-5</t>
  </si>
  <si>
    <t>00.02.03, 31.02.01, 39.02.01, 44.02.01, 44.02.02, 44.02.03, 44.02.04, 44.02.05, 44.02.06, 49.02.01, 49.02.02</t>
  </si>
  <si>
    <t>Рекомендовано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10 от 27.05.2019)</t>
  </si>
  <si>
    <t>682656.06.01</t>
  </si>
  <si>
    <t>Выпускная квалификац. работа: бакалавриат: Уч.пос. / Л.Б.Лазарова - М.:НИЦ ИНФРА-М,2026 - 228 с.(ВО)(п)</t>
  </si>
  <si>
    <t>ВЫПУСКНАЯ КВАЛИФИКАЦИОННАЯ РАБОТА: БАКАЛАВРИАТ, ИЗД.1</t>
  </si>
  <si>
    <t>Лазарова Л.Б., Каирова Ф.А.</t>
  </si>
  <si>
    <t>978-5-16-022317-9</t>
  </si>
  <si>
    <t>00.03.16, 00.05.16, 38.03.01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</si>
  <si>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38.03.01 «Экономика» (квалификация (степень) «бакалавр») (протокол № 5 от 11.03.2019)38</t>
  </si>
  <si>
    <t>Финансовый университет при Правительстве Российской Федерации, Владикавказский ф-л</t>
  </si>
  <si>
    <t>794190.02.01</t>
  </si>
  <si>
    <t>Выпускная квалификационная работа: Магистр.: Уч.пос. / Л.Б.Лазарова - М.:НИЦ ИНФРА-М,2027. - 200 с.(ВО)(п)</t>
  </si>
  <si>
    <t>ВЫПУСКНАЯ КВАЛИФИКАЦИОННАЯ РАБОТА: МАГИСТРАТУРА, ИЗД.1</t>
  </si>
  <si>
    <t>978-5-16-018153-0</t>
  </si>
  <si>
    <t>690667.04.01</t>
  </si>
  <si>
    <t>Высоковольтное электротехнич. оборуд...: Уч.пос. /.А.Ю. Хренников. — М. : ИНФРА-М, 2026- 186с(П)</t>
  </si>
  <si>
    <t>ВЫСОКОВОЛЬТНОЕ ЭЛЕКТРОТЕХНИЧЕСКОЕ ОБОРУДОВАНИЕ В ЭЛЕКТРОЭНЕРГЕТИЧЕСКИХ СИСТЕМАХ: ДИАГНОСТИКА, ДЕФЕКТЫ, ПОВРЕЖДАЕМОСТЬ, МОНИТОРИНГ, ИЗД.1</t>
  </si>
  <si>
    <t>Хренников А.Ю.</t>
  </si>
  <si>
    <t>978-5-16-014439-9</t>
  </si>
  <si>
    <t>13.04.02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</si>
  <si>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13.04.02 «Электроэнергетика и электротехника» (квалификация (степень) «магистр») (протокол № 10 от 27.05.2019)</t>
  </si>
  <si>
    <t>293200.10.01</t>
  </si>
  <si>
    <t>Высшая математика для экономистов: сб.задач: Уч.пос. / Г.И.Бобрик. - 3 изд. - М.:НИЦ ИНФРА-М,2026 - 539 с.(П)</t>
  </si>
  <si>
    <t>ВЫСШАЯ МАТЕМАТИКА ДЛЯ ЭКОНОМИСТОВ: СБОРНИК ЗАДАЧ, ИЗД.3</t>
  </si>
  <si>
    <t>Г.И.Бобрик, Р.К.Гринцевичюс, В.И.Матвеев и др.</t>
  </si>
  <si>
    <t>978-5-16-010074-6</t>
  </si>
  <si>
    <t>01.03.01, 01.03.04, 38.03.01</t>
  </si>
  <si>
    <t>462450.05.01</t>
  </si>
  <si>
    <t>Высшая математика для экономистов: теория пределов и прил.:Уч./А.В.Лежнёв - Магистр:ИНФРА-М,2023-240с (п)</t>
  </si>
  <si>
    <t>ВЫСШАЯ МАТЕМАТИКА ДЛЯ ЭКОНОМИСТОВ: ТЕОРИЯ ПРЕДЕЛОВ И ПРИЛОЖЕНИЯ, ИЗД.1</t>
  </si>
  <si>
    <t>Лежнёв А. В.</t>
  </si>
  <si>
    <t>978-5-9776-0307-2</t>
  </si>
  <si>
    <t>38.03.01, 38.03.02, 38.03.03, 38.03.04, 38.04.01, 38.04.02, 38.04.03, 38.04.04, 38.04.08, 38.04.09, 41.03.06</t>
  </si>
  <si>
    <t>Рекомендовано УМО по образованию в области прикладной в качестве учебника для студентов высших учебных заведений, обучающихся по направлению 080800 «Прикладная информатика (по областям)» и другим экономическим специальностям информатики</t>
  </si>
  <si>
    <t>361200.02.01</t>
  </si>
  <si>
    <t>Высшая математика для экономистов: Уч.пос. / О.А.Кастрица, - 4 изд. - М.:НИЦ ИНФРА-М,2026. - 491 с.(ВО)(п)</t>
  </si>
  <si>
    <t>ВЫСШАЯ МАТЕМАТИКА ДЛЯ ЭКОНОМИСТОВ, ИЗД.4</t>
  </si>
  <si>
    <t>О.А.Кастрица</t>
  </si>
  <si>
    <t>978-5-16-010960-2</t>
  </si>
  <si>
    <t>01.03.01, 01.03.02, 38.03.01</t>
  </si>
  <si>
    <t>Допущено Министерством образования Республики Беларусь в качестве учебного пособия для студентов учреждений высшего образования по экономическим специальностям</t>
  </si>
  <si>
    <t>403050.10.01</t>
  </si>
  <si>
    <t>Высшая математика. Практикум: Уч.пос. / И.Г.Лурье - М.:Вуз. уч., НИЦ ИНФРА-М,2027 - 160 с.(О)</t>
  </si>
  <si>
    <t>ВЫСШАЯ МАТЕМАТИКА. ПРАКТИКУМ, ИЗД.1</t>
  </si>
  <si>
    <t>Лурье И. Г., Фунтикова Т. П.</t>
  </si>
  <si>
    <t>978-5-9558-0281-7</t>
  </si>
  <si>
    <t>00.03.06, 00.05.06, 38.03.01, 38.03.02</t>
  </si>
  <si>
    <t>Калининградский государственный технический университет, Научно-техническая библиотека</t>
  </si>
  <si>
    <t>472150.15.01</t>
  </si>
  <si>
    <t>Высшая математика: Уч. / В.С.Шипачев - М.:НИЦ ИНФРА-М,2026 - 479 с.-(ВО)(П)</t>
  </si>
  <si>
    <t>ВЫСШАЯ МАТЕМАТИКА, ИЗД.1</t>
  </si>
  <si>
    <t>Шипачев В.С.</t>
  </si>
  <si>
    <t>978-5-16-010072-2</t>
  </si>
  <si>
    <t>00.03.06, 00.05.06</t>
  </si>
  <si>
    <t>Рекомендовано Министерством образования и науки Российской Федерации в качестве учебника для студентов высших учебных заведений</t>
  </si>
  <si>
    <t>172000.10.01</t>
  </si>
  <si>
    <t>Высшая математика: Уч. / Л.Т. Ячменёв. - М.: ИЦ РИОР: НИЦ Инфра-М, 2027 - 752 с.(ВО; Бакалавр.) (п)</t>
  </si>
  <si>
    <t>Ячменёв Л. Т.</t>
  </si>
  <si>
    <t>978-5-369-01032-7</t>
  </si>
  <si>
    <t>00.03.06, 00.05.06, 33.02.01</t>
  </si>
  <si>
    <t>Рекомендовано Научно-методическим советом по математике Министерства образования и науки РФ в качестве учебника для студентов вузов, обучающихся по инженерно-техническим и экономическим специальностям</t>
  </si>
  <si>
    <t>076450.12.01</t>
  </si>
  <si>
    <t>Высшая математика: Уч.пос. / В.И.Малыхин - 2 изд. - М.:ИНФРА-М,2027 - 365 с.-(ВО)(п)</t>
  </si>
  <si>
    <t>ВЫСШАЯ МАТЕМАТИКА, ИЗД.2</t>
  </si>
  <si>
    <t>Малыхин В.И.</t>
  </si>
  <si>
    <t>978-5-16-002625-1</t>
  </si>
  <si>
    <t>Рекомендовано УМО по образованию в области финансов, учета и мировой экономики в качестве учебного пособия для студентов, обучающихся по спец. "Финансы и кредит", "Бух. учет, анализ и аудит", "Мировая экономика", "Налоги и налогообложение"</t>
  </si>
  <si>
    <t>0206</t>
  </si>
  <si>
    <t>718568.06.01</t>
  </si>
  <si>
    <t>Высшее образование в России: вызовы времени и взгляд в будущее: Моногр. / В.И.Алешникова - М.:НИЦ ИНФРА-М,2026. - 610 с.(п)</t>
  </si>
  <si>
    <t>978-5-16-019406-6</t>
  </si>
  <si>
    <t>751368.05.01</t>
  </si>
  <si>
    <t>Высшее положение в преступ. иерархии...: Моногр. / П.А.Скобликов - М.:Юр.Норма, НИЦ ИНФРА-М,2026 - 168 с.(П)</t>
  </si>
  <si>
    <t>ВЫСШЕЕ ПОЛОЖЕНИЕ В ПРЕСТУПНОЙ ИЕРАРХИИ: УГОЛОВНЫЙ ЗАКОН, ЕГО ОСНОВАНИЯ, ТОЛКОВАНИЕ И ПРИМЕНЕНИЕ, ИЗД.1</t>
  </si>
  <si>
    <t>Скобликов П.А.</t>
  </si>
  <si>
    <t>978-5-00156-150-7</t>
  </si>
  <si>
    <t>40.03.01, 40.05.02, 40.05.04, 40.06.01</t>
  </si>
  <si>
    <t>079300.17.01</t>
  </si>
  <si>
    <t>Вычислительная техника: Уч.пос. / Т.Л.Партыка, - 3 изд. - М.:Форум, НИЦ ИНФРА-М,2026. - 445 с.(СПО)(П)</t>
  </si>
  <si>
    <t>ВЫЧИСЛИТЕЛЬНАЯ ТЕХНИКА, ИЗД.3</t>
  </si>
  <si>
    <t>Партыка Т.Л., Попов И.И.</t>
  </si>
  <si>
    <t>978-5-00091-510-3</t>
  </si>
  <si>
    <t>09.01.03, 09.01.04, 09.02.01, 09.02.02, 09.02.03, 09.02.04, 09.02.05, 09.02.06, 09.02.07, 10.02.01, 10.02.02, 10.02.03, 10.02.05, 11.02.03, 11.02.06, 11.02.07, 11.02.09, 11.02.11, 11.02.14, 11.02.15, 11.02.17, 11.02.18, 11.02.19, 12.02.01, 12.02.03, 12.02.05, 12.02.06, 13.02.12, 15.02.07, 15.02.09, 15.02.10, 15.02.17, 26.01.05, 27.02.04, 46.01.02, 46.01.03, 53.02.08</t>
  </si>
  <si>
    <t>Рекомендовано Мин. обр. и науки РФ в качестве учебника для студентов учреждений среднего пофессионального образования</t>
  </si>
  <si>
    <t>0312</t>
  </si>
  <si>
    <t>699301.04.01</t>
  </si>
  <si>
    <t>Вычислительные модели: Уч.пос. / А.П.Гловацкая - М.:НИЦ ИНФРА-М,2027 - 395 с.-(ВО: Бакалавриат)(П)</t>
  </si>
  <si>
    <t>ВЫЧИСЛИТЕЛЬНЫЕ МОДЕЛИ, ИЗД.1</t>
  </si>
  <si>
    <t>Гловацкая А.П.</t>
  </si>
  <si>
    <t>978-5-16-014981-3</t>
  </si>
  <si>
    <t>01.03.02, 01.03.03, 01.03.04, 01.04.02, 01.04.03, 01.04.04, 02.03.01, 02.03.02, 02.03.03, 03.03.02, 03.03.03, 04.03.02, 09.04.01, 15.03.03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</si>
  <si>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математическим и естественно-научным направлениям подготовки (квалификация (степень) «бакалавр») (протокол № 8 от 22.06.2020)</t>
  </si>
  <si>
    <t>Московский технический университет связи и информатики</t>
  </si>
  <si>
    <t>266500.15.01</t>
  </si>
  <si>
    <t>Габитоскопия и портрет. эксперт.: Уч. / Под ред. Россинской Е.Р. - М.:Юр.Норма,НИЦ ИНФРА-М,2026 - 288 с.(П)</t>
  </si>
  <si>
    <t>ГАБИТОСКОПИЯ И ПОРТРЕТНАЯ ЭКСПЕРТИЗА, ИЗД.1</t>
  </si>
  <si>
    <t>Зинин А. М., Подволоцкий И. Н., Россинская Е. Р.</t>
  </si>
  <si>
    <t>978-5-91768-466-6</t>
  </si>
  <si>
    <t>Допущено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«Судебная экспертиза», квалификация «специалист»</t>
  </si>
  <si>
    <t>065100.17.01</t>
  </si>
  <si>
    <t>Газифицированные котельные агрегаты: Уч. / О.Н. Брюханов - М.:НИЦ ИНФРА-М, 2021.- 392 с.- (СПО)(П)</t>
  </si>
  <si>
    <t>ГАЗИФИЦИРОВАННЫЕ КОТЕЛЬНЫЕ АГРЕГАТЫ, ИЗД.1</t>
  </si>
  <si>
    <t>Брюханов О. Н., Кузнецов В. А.</t>
  </si>
  <si>
    <t>978-5-16-005373-8</t>
  </si>
  <si>
    <t>08.02.02, 08.02.08, 13.02.02, 18.01.27, 19.01.01</t>
  </si>
  <si>
    <t>Допущено Гос. комитетом РФ по строительству и жилищно-коммунальному комплексу в кач. учеб. для студ. сред. спец. учеб. зав., обуч. по спец. 2915 "Монтаж и эксплуатация оборудования и систем газоснабжения"</t>
  </si>
  <si>
    <t>065100.25.01</t>
  </si>
  <si>
    <t>Газифицированные котельные агрегаты: Уч. / О.Н.Брюханов - 2 изд. - М.:НИЦ ИНФРА-М,2027 - 392 с.(СПО)(П)</t>
  </si>
  <si>
    <t>ГАЗИФИЦИРОВАННЫЕ КОТЕЛЬНЫЕ АГРЕГАТЫ, ИЗД.2</t>
  </si>
  <si>
    <t>Брюханов О.Н., Кузнецов В.А.</t>
  </si>
  <si>
    <t>978-5-16-014787-1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</si>
  <si>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08.02.08 «Монтаж и эксплуатация оборудования и систем газоснабжения» (протокол № 3 от 17.03.2021)</t>
  </si>
  <si>
    <t>402750.05.01</t>
  </si>
  <si>
    <t>Газоаналитическое отображ.явл.в произв.:Моногр./Н.В.Дараселия-М.:НИЦ ИНФРА-М,2024.-92 с..-(Науч.мысль)(О)</t>
  </si>
  <si>
    <t>ГАЗОАНАЛИТИЧЕСКОЕ ОТОБРАЖЕНИЕ ЯВЛЕНИЙ В ПРОИЗВОДСТВЕННЫХ ПРОЦЕССАХ, ИЗД.1</t>
  </si>
  <si>
    <t>Дараселия Н.В., Швецов И.В.</t>
  </si>
  <si>
    <t>978-5-16-006213-6</t>
  </si>
  <si>
    <t>13.03.01, 13.03.02, 13.03.03, 13.04.01, 13.04.02</t>
  </si>
  <si>
    <t>698315.07.01</t>
  </si>
  <si>
    <t>Гастрономическая геополитика: Моногр./ Л.О.Терновая - М.:НИЦ ИНФРА-М,2027 - 243 с.(Науч.мысль)(П)</t>
  </si>
  <si>
    <t>ГАСТРОНОМИЧЕСКАЯ ГЕОПОЛИТИКА, ИЗД.1</t>
  </si>
  <si>
    <t>978-5-16-014689-8</t>
  </si>
  <si>
    <t>19.04.04, 39.04.01, 39.06.01, 41.04.04, 41.06.01</t>
  </si>
  <si>
    <t>850155.01.01</t>
  </si>
  <si>
    <t>Где кончаются технологии и начинается человек..:: Моногр. / Т.Г.Лешкевич - М.:НИЦ ИНФРА-М,2025. - 221 с.(п)</t>
  </si>
  <si>
    <t>ГДЕ КОНЧАЮТСЯ ТЕХНОЛОГИИ И НАЧИНАЕТСЯ ЧЕЛОВЕК: СОЦИОГУМАНИТАРНОЕ ОСМЫСЛЕНИЕ ИСКУССТВЕННОГО ИНТЕЛЛЕКТА, ИЗД.1</t>
  </si>
  <si>
    <t>Лешкевич Т.Г.</t>
  </si>
  <si>
    <t>978-5-16-020726-1</t>
  </si>
  <si>
    <t>39.03.01, 47.03.01, 47.04.01, 47.06.01</t>
  </si>
  <si>
    <t>403750.10.01</t>
  </si>
  <si>
    <t>Гегель: Моногр. / В.С. Нерсесянц. - 2 изд. - М.: Норма: НИЦ Инфра-М, 2026 - 112 с. (о)</t>
  </si>
  <si>
    <t>ГЕГЕЛЬ, ИЗД.2</t>
  </si>
  <si>
    <t>Нерсесянц В.С.</t>
  </si>
  <si>
    <t>978-5-91768-314-0</t>
  </si>
  <si>
    <t>322200.07.01</t>
  </si>
  <si>
    <t>Гельминтозы крупного рогатого скота / А.Н.Токарев-М.:ИЦ РИОР, НИЦ ИНФРА-М,2023.-186 с.(О)</t>
  </si>
  <si>
    <t>ГЕЛЬМИНТОЗЫ КРУПНОГО РОГАТОГО СКОТА, ИЗД.1</t>
  </si>
  <si>
    <t>Токарев А.Н., Енгашев С.В.</t>
  </si>
  <si>
    <t>978-5-369-01401-1</t>
  </si>
  <si>
    <t>06.03.01, 06.04.01</t>
  </si>
  <si>
    <t>Санкт-Петербургский Государственный Университет Ветеринарной Медицины</t>
  </si>
  <si>
    <t>322200.08.01</t>
  </si>
  <si>
    <t>Гельминтозы крупного рогатого скота: Моногр. / А.Н.Токарев - М.:ИЦ РИОР, НИЦ ИНФРА-М,2026. - 183 с.(о)</t>
  </si>
  <si>
    <t>409700.17.01</t>
  </si>
  <si>
    <t>Гендерная дифференциация в психологии: Уч.пос. / О.О.Андронникова - М.:НИЦ ИНФРА-М,2027 - 264 с.(ВО)(п)</t>
  </si>
  <si>
    <t>ГЕНДЕРНАЯ ДИФФЕРЕНЦИАЦИЯ В ПСИХОЛОГИИ, ИЗД.1</t>
  </si>
  <si>
    <t>Андронникова О. О.</t>
  </si>
  <si>
    <t>978-5-16-021229-6</t>
  </si>
  <si>
    <t>37.03.01, 37.04.01, 44.03.02, 44.03.03, 44.04.02, 44.04.03</t>
  </si>
  <si>
    <t>641419.08.01</t>
  </si>
  <si>
    <t>Гендерная психология: Уч.пос. / Л.Э.Семенова - М.:НИЦ ИНФРА-М,2026 - 309 с.(ВО)(п)</t>
  </si>
  <si>
    <t>ГЕНДЕРНАЯ ПСИХОЛОГИЯ, ИЗД.1</t>
  </si>
  <si>
    <t>Семенова Л.Э., Семенова В.Э.</t>
  </si>
  <si>
    <t>978-5-16-019452-3</t>
  </si>
  <si>
    <t>37.03.01, 37.03.02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</si>
  <si>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 (протокол № 3 от 17.03.2021)</t>
  </si>
  <si>
    <t>707016.06.01</t>
  </si>
  <si>
    <t>Гендерная социология: женское движение...: Моногр. / Л.О.Терновая - М.:НИЦ ИНФРА-М,2026. - 198 с.(Науч.мысль)(О)</t>
  </si>
  <si>
    <t>ГЕНДЕРНАЯ СОЦИОЛОГИЯ: ЖЕНСКОЕ ДВИЖЕНИЕ В ОТВЕТАХ НА «ЖЕНСКИЙ ВОПРОС», ИЗД.1</t>
  </si>
  <si>
    <t>978-5-16-015198-4</t>
  </si>
  <si>
    <t>817378.02.01</t>
  </si>
  <si>
    <t>Гендерная социология: Уч. / Л.О.Терновая - М.:НИЦ ИНФРА-М,2027. - 366 с.(ВО)(п)</t>
  </si>
  <si>
    <t>ГЕНДЕРНАЯ СОЦИОЛОГИЯ, ИЗД.1</t>
  </si>
  <si>
    <t>978-5-16-019676-3</t>
  </si>
  <si>
    <t>37.03.01, 39.03.01, 39.03.02, 39.03.03, 39.04.01, 39.04.03</t>
  </si>
  <si>
    <t>784858.01.01</t>
  </si>
  <si>
    <t>Генезис возникновения и развит. теории раздел. властей... / А.Г.Чернявский-М.:НИЦ ИНФРА-М,2024.-435 с.(п)</t>
  </si>
  <si>
    <t>ГЕНЕЗИС ВОЗНИКНОВЕНИЯ И РАЗВИТИЯ ТЕОРИИ РАЗДЕЛЕНИЯ ВЛАСТЕЙ ДО КОНЦА XIX ВЕКА: МЕСТО УЧЕНИЯ В НАУКЕ ГОСУДАРСТВЕННОГО ПРАВА., ИЗД.1</t>
  </si>
  <si>
    <t>Чернявский А.Г.</t>
  </si>
  <si>
    <t>978-5-16-017847-9</t>
  </si>
  <si>
    <t>38.05.01, 40.04.01, 40.05.01, 40.05.02, 40.05.03, 40.05.04, 40.06.01</t>
  </si>
  <si>
    <t>796851.02.01</t>
  </si>
  <si>
    <t>Генезис концепта права в ист. полит.-прав. учений: Моногр. / Г.С.Працко - М.:ИЦ РИОР, НИЦ ИНФРА-М,2026 - 391 с.(п)</t>
  </si>
  <si>
    <t>ГЕНЕЗИС КОНЦЕПТА ПРАВА В ИСТОРИИ ПОЛИТИКО-ПРАВОВЫХ УЧЕНИЙ, ИЗД.1</t>
  </si>
  <si>
    <t>Працко Г.С.</t>
  </si>
  <si>
    <t>978-5-369-01920-7</t>
  </si>
  <si>
    <t>008792.11.01</t>
  </si>
  <si>
    <t>Генезис преступления. Опыт криминол...: Уч.пос. / В.Н.Кудрявцев - М.:Юр.Норма, НИЦ ИНФРА-М,2027 - 220 с.(П)</t>
  </si>
  <si>
    <t>ГЕНЕЗИС ПРЕСТУПЛЕНИЯ. ОПЫТ КРИМИНОЛОГИЧЕСКОГО МОДЕЛИРОВАНИЯ, ИЗД.1</t>
  </si>
  <si>
    <t>Кудрявцев В. Н.</t>
  </si>
  <si>
    <t>978-5-91768-710-0</t>
  </si>
  <si>
    <t>0198</t>
  </si>
  <si>
    <t>477500.07.01</t>
  </si>
  <si>
    <t>Генетическая минералогия и...: Уч.пос. / О.В.Япаскурт - 2 изд. - М.:НИЦ ИНФРА-М,2026-356с(ВО:Магистр)(п)</t>
  </si>
  <si>
    <t>ГЕНЕТИЧЕСКАЯ МИНЕРАЛОГИЯ И СТАДИАЛЬНЫЙ АНАЛИЗ ПРОЦЕССОВ ОСАДОЧНОГО ПОРОДО- И РУДООБРАЗОВАНИЯ, ИЗД.2</t>
  </si>
  <si>
    <t>Япаскурт О.В.</t>
  </si>
  <si>
    <t>978-5-16-020358-4</t>
  </si>
  <si>
    <t>05.00.00, 21.00.00, 05.03.01, 05.04.01, 21.05.02</t>
  </si>
  <si>
    <t>Рекомендовано УМС геологического факультета МГУ им. MB. Ломоносова в качестве учебного пособия для студентов, обучающихся по направлению 05.04.01 «Геология»</t>
  </si>
  <si>
    <t>Московский государственный университет им. М.В. Ломоносова, Геологический факультет</t>
  </si>
  <si>
    <t>785898.02.01</t>
  </si>
  <si>
    <t>Генетические исследования...: Моногр. / И.Р.Рустамбеков.-М.:НИЦ ИНФРА-М,2024.-139 с.(Науч.мысль)(п)</t>
  </si>
  <si>
    <t>ГЕНЕТИЧЕСКИЕ ИССЛЕДОВАНИЯ: ПРАВОВЫЕ И ЭТИЧЕСКИЕ АСПЕКТЫ, ИЗД.1</t>
  </si>
  <si>
    <t>Гулямов С.С., Рустамбеков И.Р., Мадреймова А.С.</t>
  </si>
  <si>
    <t>978-5-16-017993-3</t>
  </si>
  <si>
    <t>Ташкентский государственный юридический университет</t>
  </si>
  <si>
    <t>757867.02.01</t>
  </si>
  <si>
    <t>Геннадий Семенович Пономарев. Бесстрашный  прокурор. Кн. памяти / Под ред. Герасимова С.-М.:Юр.Норма, 2 изд/2021.-192 с.(П)</t>
  </si>
  <si>
    <t>ГЕННАДИЙ СЕМЕНОВИЧ ПОНОМАРЕВ. БЕССТРАШНЫЙ  ПРОКУРОР. КНИГА ПАМЯТИ, ИЗД.2</t>
  </si>
  <si>
    <t>Герасимов С.</t>
  </si>
  <si>
    <t>978-5-00156-191-0</t>
  </si>
  <si>
    <t>Общее</t>
  </si>
  <si>
    <t>377300.09.01</t>
  </si>
  <si>
    <t>Геноцид в рос. и междунар. угол.праве: Уч.пос. / Е.Д.Ветошкина - М.:Юр.Норма,НИЦ ИНФРА-М,2026 - 128 с.(О)</t>
  </si>
  <si>
    <t>ГЕНОЦИД В РОССИЙСКОМ И МЕЖДУНАРОДНОМ УГОЛОВНОМ ПРАВЕ, ИЗД.1</t>
  </si>
  <si>
    <t>Ветошкина Е.Д.</t>
  </si>
  <si>
    <t>978-5-91768-635-6</t>
  </si>
  <si>
    <t>40.02.02, 40.02.04, 40.03.01, 40.04.01, 40.05.01, 40.05.02, 40.05.03, 40.05.04</t>
  </si>
  <si>
    <t>Московский государственный юридический университет им. О.Е. Кутафина, ф-л Волго-Вятский институт</t>
  </si>
  <si>
    <t>752120.02.01</t>
  </si>
  <si>
    <t>Географическая экспертиза стратегий эконом. развития России / В.И.Блануца-М.:НИЦ ИНФРА-М,2022-198 с.(Науч.мысль)(О)</t>
  </si>
  <si>
    <t>ГЕОГРАФИЧЕСКАЯ ЭКСПЕРТИЗА СТРАТЕГИЙ ЭКОНОМИЧЕСКОГО РАЗВИТИЯ РОССИИ, ИЗД.1</t>
  </si>
  <si>
    <t>Блануца В.И.</t>
  </si>
  <si>
    <t>978-5-16-016776-3</t>
  </si>
  <si>
    <t>05.04.02, 05.06.01, 38.04.01, 38.06.01</t>
  </si>
  <si>
    <t>Институт географии им. В.Б. Сочавы Сибирского отделения Российской академии наук</t>
  </si>
  <si>
    <t>708358.05.01</t>
  </si>
  <si>
    <t>Географические информ.сист. в тем.картографии: Уч.пос. / В.П.Раклов - 5 изд, - М.:НИЦ ИНФРА-М,2027 - 177 с.(П)</t>
  </si>
  <si>
    <t>ГЕОГРАФИЧЕСКИЕ ИНФОРМАЦИОННЫЕ СИСТЕМЫ В ТЕМАТИЧЕСКОЙ КАРТОГРАФИИ, ИЗД.5</t>
  </si>
  <si>
    <t>Раклов В.П.</t>
  </si>
  <si>
    <t>978-5-16-015299-8</t>
  </si>
  <si>
    <t>05.02.01, 05.03.03, 05.03.06, 05.04.06, 21.03.01, 21.03.02, 21.03.03, 21.04.02</t>
  </si>
  <si>
    <t>Рекомендовано УМО по образованию в области землеустройства и кадастров в качестве учебного пособия для студентов высших учебных заведений, обучающихся по направлениям подготовки 21.03.02 «Землеустройство и кадастры», 05.03.06 «Экология и природопользование», 21.03.03 «Геодезия и дистанционное зондирование»</t>
  </si>
  <si>
    <t>0519</t>
  </si>
  <si>
    <t>800809.01.01</t>
  </si>
  <si>
    <t>Географическое москвоведение: Уч. / О.В.Шульгина - М.:НИЦ ИНФРА-М,2025.-244 с.(ВО)(п)</t>
  </si>
  <si>
    <t>ГЕОГРАФИЧЕСКОЕ МОСКВОВЕДЕНИЕ, ИЗД.1</t>
  </si>
  <si>
    <t>Шульгина О.В., Воронова Т.С., Гайворон Т.Д. и др.</t>
  </si>
  <si>
    <t>978-5-16-019536-0</t>
  </si>
  <si>
    <t>44.03.04, 44.04.01, 44.04.04, 51.04.03</t>
  </si>
  <si>
    <t>417150.10.01</t>
  </si>
  <si>
    <t>География мирового хозяйства: Уч.пос. / А.А.Паикидзе - М.:НИЦ ИНФРА-М,2027. - 256 с.(ВО)(п)</t>
  </si>
  <si>
    <t>ГЕОГРАФИЯ МИРОВОГО ХОЗЯЙСТВА, ИЗД.1</t>
  </si>
  <si>
    <t>Паикидзе А. А., Цветков А. М., Шмайдюк Т. С.</t>
  </si>
  <si>
    <t>978-5-16-018815-7</t>
  </si>
  <si>
    <t>Рекомендовано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</si>
  <si>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799966.01.01</t>
  </si>
  <si>
    <t>География населения с основами демографии: Уч.пос. / П.М.Крылов. - М.:НИЦ ИНФРА-М,2026. - 354 с.(ВО)(п)</t>
  </si>
  <si>
    <t>ГЕОГРАФИЯ НАСЕЛЕНИЯ С ОСНОВАМИ ДЕМОГРАФИИ, ИЗД.1</t>
  </si>
  <si>
    <t>Волгин А.В., Евдокимов М.Ю., Крылов П.М. и др.</t>
  </si>
  <si>
    <t>978-5-16-019958-0</t>
  </si>
  <si>
    <t>05.03.02</t>
  </si>
  <si>
    <t>226800.07.01</t>
  </si>
  <si>
    <t>География почв. Почвы тропиков и субтропиков: Уч./ В.Д. Наумов. - М.: ИНФРА-М, 2026. - 284 с.(ВО) (п)</t>
  </si>
  <si>
    <t>ГЕОГРАФИЯ ПОЧВ. ПОЧВЫ ТРОПИКОВ И СУБТРОПИКОВ, ИЗД.1</t>
  </si>
  <si>
    <t>Наумов В. Д.</t>
  </si>
  <si>
    <t>978-5-16-009014-6</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</si>
  <si>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35.03.03 (110100) «Агрохимия и агропочвоведение»</t>
  </si>
  <si>
    <t>226900.10.01</t>
  </si>
  <si>
    <t>География почв: Толковый словарь / В.Д.Наумов - М.:НИЦ ИНФРА-М,2025 - 376 с.(Б-ка словарей ИНФРА-М)(П) [12+]</t>
  </si>
  <si>
    <t>ГЕОГРАФИЯ ПОЧВ, ИЗД.1</t>
  </si>
  <si>
    <t>Наумов В.Д.</t>
  </si>
  <si>
    <t>978-5-16-009015-3</t>
  </si>
  <si>
    <t>05.03.02, 05.04.02, 20.02.01, 35.02.01, 35.03.03, 35.03.04, 35.04.03, 35.04.04</t>
  </si>
  <si>
    <t>817929.02.01</t>
  </si>
  <si>
    <t>География родного края: Уч.пос. / Под ред. Большаник П.В.-Краснод.:Традиция,2024.-207 с.:ил.(п)</t>
  </si>
  <si>
    <t>ГЕОГРАФИЯ РОДНОГО КРАЯ: ПРИРОДА И НАСЕЛЕНИЕ ОМСКОЙ ОБЛАСТИ, ИЗД.1</t>
  </si>
  <si>
    <t>Аблова И.М., Азарова Л.В., Большаник П.В. и др.</t>
  </si>
  <si>
    <t>Традиция</t>
  </si>
  <si>
    <t>978-5-91883-551-7</t>
  </si>
  <si>
    <t>Естественнонаучные дисциплины (школа)</t>
  </si>
  <si>
    <t>41.03.02, 44.03.05</t>
  </si>
  <si>
    <t>Омский государственный педагогический университет</t>
  </si>
  <si>
    <t>854162.01.01</t>
  </si>
  <si>
    <t>География туризма: инновац. развитие туристских городов: Уч.пос. / Г.А.Потаев - М.:НИЦ ИНФРА-М,2026. - 355 с.(ВО)(п)</t>
  </si>
  <si>
    <t>ГЕОГРАФИЯ ТУРИЗМА: ИННОВАЦИОННОЕ РАЗВИТИЕ ТУРИСТСКИХ ГОРОДОВ, ИЗД.1</t>
  </si>
  <si>
    <t>Потаев Г.А., Потаева Г.Р.</t>
  </si>
  <si>
    <t>978-5-16-020926-5</t>
  </si>
  <si>
    <t>07.03.01, 07.03.03, 07.03.04, 07.04.01, 07.04.03, 07.04.04, 38.03.04, 38.04.04, 43.03.03, 43.04.02, 54.03.01</t>
  </si>
  <si>
    <t>Белорусский национальный технический университет</t>
  </si>
  <si>
    <t>159800.13.01</t>
  </si>
  <si>
    <t>География туризма: Уч. / Под ред. Богданова Е.И. - М.:НИЦ ИНФРА-М,2025 - 256 с.-(ВО: Бакалавриат)(п)</t>
  </si>
  <si>
    <t>ГЕОГРАФИЯ ТУРИЗМА, ИЗД.1</t>
  </si>
  <si>
    <t>Погодина В.Л., Филиппова И.Г., Богданов Е.И.</t>
  </si>
  <si>
    <t>978-5-16-010338-9</t>
  </si>
  <si>
    <t>43.03.01, 43.03.02, 43.03.03, 43.04.01, 43.04.02, 43.04.03, 49.03.03</t>
  </si>
  <si>
    <t>Рекомендовано Учебно-методическим объединением по образованию в области производственного менеджмента в качестве учебника для студентов, обучающихся по направлению подготовки 38.03.02 «Менеджмент»</t>
  </si>
  <si>
    <t>Санкт-Петербургский университет технологий управления и экономики</t>
  </si>
  <si>
    <t>682852.07.01</t>
  </si>
  <si>
    <t>География туризма: Уч. / Под ред. Богданова Е.И. - М.:НИЦ ИНФРА-М,2027 - 256 с.-(СПО)(П)</t>
  </si>
  <si>
    <t>978-5-16-013906-7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</si>
  <si>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43.02.10 «Туризм», 43.02.11 «Гостиничный сервис»</t>
  </si>
  <si>
    <t>161300.14.01</t>
  </si>
  <si>
    <t>География туризма: Уч.пос. / П.В.Большаник - 2 изд. - М.:НИЦ ИНФРА-М,2026 - 355 с.(СПО)(П)</t>
  </si>
  <si>
    <t>ГЕОГРАФИЯ ТУРИЗМА, ИЗД.2</t>
  </si>
  <si>
    <t>Большаник П.В.</t>
  </si>
  <si>
    <t>978-5-16-012118-5</t>
  </si>
  <si>
    <t>Рекомендовано в качестве учебного пособия для учебных заведений, реализующих программу среднего профессионального образования по специальности 43.02.10 «Туризм»</t>
  </si>
  <si>
    <t>809272.01.01</t>
  </si>
  <si>
    <t>География туризма: Уч.пос. / С.В.Вакуленко - М.:НИЦ ИНФРА-М,2025 - 282 с.(СПО)(п)</t>
  </si>
  <si>
    <t>Вакуленко С.В.</t>
  </si>
  <si>
    <t>978-5-16-019647-3</t>
  </si>
  <si>
    <t>641799.13.01</t>
  </si>
  <si>
    <t>География: Уч. / О.В.Шульгина и др. - М.:НИЦ ИНФРА-М,2026. - 313 с..(СПО)(П)</t>
  </si>
  <si>
    <t>ГЕОГРАФИЯ, ИЗД.1</t>
  </si>
  <si>
    <t>Шульгина О.В., Козаренко А.Е., Самусенко Д.Н.</t>
  </si>
  <si>
    <t>978-5-16-013213-6</t>
  </si>
  <si>
    <t>00.02.19, 11.01.08, 31.02.01</t>
  </si>
  <si>
    <t>Рекомендовано в качестве учебника для учебных заведений, реализующих основную профессиональную образовательную программу среднего профессионального образования на базе основного общего образования</t>
  </si>
  <si>
    <t>426500.09.01</t>
  </si>
  <si>
    <t>Геодезия: Задачник: Уч.пос. / М.А.Гиршберг - М.:НИЦ ИНФРА-М,2026 - 288 с.-(ВО: Бакалавр.)(п)</t>
  </si>
  <si>
    <t>ГЕОДЕЗИЯ: ЗАДАЧНИК, ИЗД.1</t>
  </si>
  <si>
    <t>Гиршберг М.А.</t>
  </si>
  <si>
    <t>978-5-16-006350-8</t>
  </si>
  <si>
    <t>08.03.01, 08.04.01, 21.02.13, 21.03.02, 21.03.03, 21.04.02, 21.04.03, 35.03.10, 35.04.09</t>
  </si>
  <si>
    <t>Рекомендовано в качестве учебного пособия для студентов высших учебных заведений, обучающихся по направлениям подготовки 21.03.03 «Геодезия и дистанционное зондирование», 08.03.01 «Строительство», 21.03.02 «Землеустройство и кадастры» (квалификация (степень) «бакалавр»)</t>
  </si>
  <si>
    <t>737685.04.01</t>
  </si>
  <si>
    <t>Геодезия: классическая и современная: Уч. / Ю.А.Кравченко - М.:НИЦ ИНФРА-М,2026 - 775 с.(ВО)(п)</t>
  </si>
  <si>
    <t>ГЕОДЕЗИЯ: КЛАССИЧЕСКАЯ И СОВРЕМЕННАЯ, ИЗД.1</t>
  </si>
  <si>
    <t>Кравченко Ю.А.</t>
  </si>
  <si>
    <t>978-5-16-019215-4</t>
  </si>
  <si>
    <t>07.03.01, 07.03.02, 08.03.01, 08.05.01, 20.03.02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</si>
  <si>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08.03.01 «Строительство» (квалификация (степень) «бакалавр») (протокол № 9 от 17.11.2021)</t>
  </si>
  <si>
    <t>Новосибирский государственный архитектурно-строительный университет (Сибстрин)</t>
  </si>
  <si>
    <t>426600.14.01</t>
  </si>
  <si>
    <t>Геодезия: Уч. / М.А.Гиршберг - М.:НИЦ ИНФРА-М,2026. - 384 с.(ВО)(п)</t>
  </si>
  <si>
    <t>ГЕОДЕЗИЯ, ИЗД.1</t>
  </si>
  <si>
    <t>Гиршберг М. А.</t>
  </si>
  <si>
    <t>978-5-16-018677-1</t>
  </si>
  <si>
    <t>07.03.04, 08.03.01, 21.02.19, 21.02.20, 21.03.02, 21.03.03, 21.05.01, 21.05.04, 21.05.05, 35.03.01, 35.03.03, 35.03.10</t>
  </si>
  <si>
    <t>Рекомендуется в качестве учебника для студентов высших учебных заведений по направлениям подготовки  21.03.03 «Геодезия и дистанционное зондирование», 21.03.02 «Землеустройство и кадастры»</t>
  </si>
  <si>
    <t>646098.12.01</t>
  </si>
  <si>
    <t>Геодезия: Уч. / Ю.А.Кравченко - М.:НИЦ ИНФРА-М,2026 - 344 с.(ВО)(П)</t>
  </si>
  <si>
    <t>978-5-16-020619-6</t>
  </si>
  <si>
    <t>08.03.01, 21.03.03, 21.04.03, 21.05.01, 21.05.02</t>
  </si>
  <si>
    <t>Рекомендовано в качестве учебника для студентов высших учебных заведений, обучающихся по направлению подготовки 08.03.01 «Строительство» (квалификация (степень) «бакалавр»)</t>
  </si>
  <si>
    <t>682853.12.01</t>
  </si>
  <si>
    <t>Геодезия: Уч. / Ю.А.Кравченко - М.:НИЦ ИНФРА-М,2026 - 344 с.(СПО)(П)</t>
  </si>
  <si>
    <t>978-5-16-013907-4</t>
  </si>
  <si>
    <t>07.02.01, 08.02.01, 08.02.02, 08.02.04, 08.02.08, 08.02.12, 08.02.13, 08.02.14, 13.02.04, 21.02.03, 21.02.10, 21.02.11, 21.02.15, 21.02.20, 23.02.08, 26.02.01, 35.01.19, 35.02.01, 35.02.02, 35.02.09, 35.02.12</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</si>
  <si>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08.02.01 «Строительство и эксплуатация зданий и сооружений», 08.02.02 «Строительство и эксплуатация инженерных сооружений», 08.02.05 «Строительство и эксплуатация автомобильных дорог и аэродромов», 08.02.06 «Строительство и эксплуатация городских путей сообщения»</t>
  </si>
  <si>
    <t>673213.04.01</t>
  </si>
  <si>
    <t>Геоинформационное картограф. в экономич. и..: Уч.пос. / А.В.Молочко - М.:НИЦ ИНФРА-М,2026. - 127 с.(ВО)(о)</t>
  </si>
  <si>
    <t>ГЕОИНФОРМАЦИОННОЕ КАРТОГРАФИРОВАНИЕ В ЭКОНОМИЧЕСКОЙ И СОЦИАЛЬНОЙ ГЕОГРАФИИ, ИЗД.1</t>
  </si>
  <si>
    <t>Молочко А.В., Хворостухин Д.П.</t>
  </si>
  <si>
    <t>978-5-16-021251-7</t>
  </si>
  <si>
    <t>05.03.02, 05.03.03, 05.03.04, 05.04.02, 05.04.06, 21.03.02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</si>
  <si>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05.03.02 «География», 05.03.03 «Картография и геоинформатика», 21.03.02 «Землеустройство и кадастры» (квалификация (степень) «бакалавр»)</t>
  </si>
  <si>
    <t>664177.04.01</t>
  </si>
  <si>
    <t>Геоинформационные сис. в техносферной безоп.: Уч.пос. / Я.Ю.Блиновская - М.:Форум, ИНФРА-М,2026 - 160 с.(ВО)(п)</t>
  </si>
  <si>
    <t>ГЕОИНФОРМАЦИОННЫЕ СИСТЕМЫ В ТЕХНОСФЕРНОЙ БЕЗОПАСНОСТИ, ИЗД.1</t>
  </si>
  <si>
    <t>978-5-00091-651-3</t>
  </si>
  <si>
    <t>20.03.01, 20.03.02, 20.04.01, 20.04.02, 20.05.01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</si>
  <si>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20.03.00 «Техносферная безопасность и природообустройство» (квалификация (степень) «бакалавр») (протокол № 12 от 14.12.2020)</t>
  </si>
  <si>
    <t>483500.09.01</t>
  </si>
  <si>
    <t>Геология для горного дела: Уч.пос./ Н.В.Короновский - 2 изд. - М.:НИЦ ИНФРА-М,2027 - 576 с.(ВО)(П)</t>
  </si>
  <si>
    <t>ГЕОЛОГИЯ ДЛЯ ГОРНОГО ДЕЛА, ИЗД.2</t>
  </si>
  <si>
    <t>Короновский Н.В., Старостин В.И., Авдонин В.В.</t>
  </si>
  <si>
    <t>978-5-16-022391-9</t>
  </si>
  <si>
    <t>05.03.01, 05.04.01, 21.02.12, 21.05.02, 21.05.03, 21.05.04</t>
  </si>
  <si>
    <t>Допущено Учебно-методическим объединением по образованию в области горного дела в качестве учебнрго пособия для студентов высших учебных заведений, обучающихся по направлению подготовки 21.05.04 «Горное дело»</t>
  </si>
  <si>
    <t>451650.07.01</t>
  </si>
  <si>
    <t>Геология и нефтегазоносность Каспийской впадины: Моногр. / С.А. Алиева - М.: НИЦ ИНФРА-М, 2026 - 486 с.(п)</t>
  </si>
  <si>
    <t>ГЕОЛОГИЯ И НЕФТЕГАЗОНОСНОСТЬ КАСПИЙСКОЙ ВПАДИНЫ, ИЗД.1</t>
  </si>
  <si>
    <t>Алиева С.А., Авербух Б.М., Серикова У.С. и др.</t>
  </si>
  <si>
    <t>978-5-16-009212-6</t>
  </si>
  <si>
    <t>05.03.01, 05.04.01, 21.05.02</t>
  </si>
  <si>
    <t>648973.07.01</t>
  </si>
  <si>
    <t>Геология регионов России: Уч. / О.И.Серебряков - М.:НИЦ ИНФРА-М,2026. - 222 с.(ВО)(П)</t>
  </si>
  <si>
    <t>ГЕОЛОГИЯ РЕГИОНОВ РОССИИ, ИЗД.1</t>
  </si>
  <si>
    <t>Серебряков О.И., Федорова Н.Ф.</t>
  </si>
  <si>
    <t>978-5-16-020656-1</t>
  </si>
  <si>
    <t>05.03.01, 05.04.01</t>
  </si>
  <si>
    <t>Рекомендовано Федеральным Учебно-методическим объединением для магистрантов высших учебных заведений, обучающихся по направлению подготовки 05.04.01 «Геология»</t>
  </si>
  <si>
    <t>631301.07.01</t>
  </si>
  <si>
    <t>Геология России и сопредельных территорий: Уч. / Н.В.Короновский, - 2 изд. - М.:НИЦ ИНФРА-М,2026. - 230 с.(ВО)(п)</t>
  </si>
  <si>
    <t>ГЕОЛОГИЯ РОССИИ И СОПРЕДЕЛЬНЫХ ТЕРРИТОРИЙ, ИЗД.2</t>
  </si>
  <si>
    <t>Короновский Н.В.</t>
  </si>
  <si>
    <t>978-5-16-018888-1</t>
  </si>
  <si>
    <t>05.03.01, 05.04.01, 21.02.10, 21.02.11, 21.02.12, 21.05.02</t>
  </si>
  <si>
    <t>Рекомендовано Учебно-методическим объединением по классическому университетскому образованию в качестве учебника для студентов, обучающихся по направлению подготовки 05.03.01 «Геология» (квалификация (степень) «бакалавр»)</t>
  </si>
  <si>
    <t>283900.11.01</t>
  </si>
  <si>
    <t>Геология с основами геоморфологии: Уч.пос. / Под ред. Ганжары Н.Ф. - М.:НИЦ ИНФРА-М,2026. - 207 с.(ВО)(п)</t>
  </si>
  <si>
    <t>ГЕОЛОГИЯ С ОСНОВАМИ ГЕОМОРФОЛОГИИ, ИЗД.1</t>
  </si>
  <si>
    <t>Ганжара Н.Ф.</t>
  </si>
  <si>
    <t>978-5-16-019925-2</t>
  </si>
  <si>
    <t>829890.05.01</t>
  </si>
  <si>
    <t>Геология с основами геоморфологии: Уч.пос. / Под ред. Ганжары Н.Ф. - М.:НИЦ ИНФРА-М,2026. - 207 с.(СПО)(п)</t>
  </si>
  <si>
    <t>Ганжара Н.Ф., Борисов Б.А., Арешин А.В. и др.</t>
  </si>
  <si>
    <t>978-5-16-019930-6</t>
  </si>
  <si>
    <t>08.02.02</t>
  </si>
  <si>
    <t>820913.03.01</t>
  </si>
  <si>
    <t>Геолого-технологич. исслед. нефтяных и...: Уч.пос. / А.К.Битнер - М.:НИЦ ИНФРА-М, СФУ,2027. - 261 с.(п)</t>
  </si>
  <si>
    <t>ГЕОЛОГО-ТЕХНОЛОГИЧЕСКИЕ ИССЛЕДОВАНИЯ НЕФТЯНЫХ И ГАЗОВЫХ СКВАЖИН, ИЗД.1</t>
  </si>
  <si>
    <t>Битнер А.К.</t>
  </si>
  <si>
    <t>Высшее образование: Специалитет (СФУ)</t>
  </si>
  <si>
    <t>978-5-16-019585-8</t>
  </si>
  <si>
    <t>21.04.01, 21.05.02, 21.05.06</t>
  </si>
  <si>
    <t>766521.04.01</t>
  </si>
  <si>
    <t>Геометрическая алгебра Клиффорда: Моногр. / Г.В.Кондратьев - М.:НИЦ ИНФРА-М,2026. - 217 с.(Науч.мысль)(П)</t>
  </si>
  <si>
    <t>ГЕОМЕТРИЧЕСКАЯ АЛГЕБРА КЛИФФОРДА, ИЗД.1</t>
  </si>
  <si>
    <t>Кондратьев Г.В.</t>
  </si>
  <si>
    <t>978-5-16-017235-4</t>
  </si>
  <si>
    <t>01.03.02, 01.06.01</t>
  </si>
  <si>
    <t>082980.10.01</t>
  </si>
  <si>
    <t>Геометрические построения на плоскости..: Уч. пос./А.А.Дадаян - 2 изд.- Форум:ИНФРА-М,2027-464с.(ПО) (п)</t>
  </si>
  <si>
    <t>ГЕОМЕТРИЧЕСКИЕ ПОСТРОЕНИЯ НА ПЛОСКОСТИ И В ПРОСТРАНСТВЕ: ЗАДАЧИ И РЕШЕНИЯ, ИЗД.2</t>
  </si>
  <si>
    <t>Дадаян А. А.</t>
  </si>
  <si>
    <t>978-5-91134-807-6</t>
  </si>
  <si>
    <t>00.02.06, 08.02.14, 26.02.04, 26.02.05</t>
  </si>
  <si>
    <t>668756.05.01</t>
  </si>
  <si>
    <t>Геометрическое моделиров.в начертат.геометрии: Уч.пос. / Л.И.Супрун-М.:НИЦ ИНФРА-М,СФУ,2023-255с(ВО)</t>
  </si>
  <si>
    <t>ГЕОМЕТРИЧЕСКОЕ МОДЕЛИРОВАНИЕ В НАЧЕРТАТЕЛЬНОЙ ГЕОМЕТРИИ, ИЗД.1</t>
  </si>
  <si>
    <t>Супрун Л.И., Супрун Е.Г.</t>
  </si>
  <si>
    <t>978-5-16-017037-4</t>
  </si>
  <si>
    <t>07.03.01, 07.03.02, 07.03.03, 07.03.04</t>
  </si>
  <si>
    <t>Допущено Учебно-методическим объединением по образованию в качестве учебного пособия для студентов, обучающихся по направлению подготовки 07.03.01 «Архитектура»</t>
  </si>
  <si>
    <t>437600.08.01</t>
  </si>
  <si>
    <t>Геометрическое моделирование: Уч.пос. / Н.Н.Голованов - М.:КУРС,НИЦ ИНФРА-М,2027-400с.(п)</t>
  </si>
  <si>
    <t>ГЕОМЕТРИЧЕСКОЕ МОДЕЛИРОВАНИЕ, ИЗД.1</t>
  </si>
  <si>
    <t>Голованов Н.Н.</t>
  </si>
  <si>
    <t>978-5-905554-76-6</t>
  </si>
  <si>
    <t>09.03.01, 09.04.01, 21.02.10</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</si>
  <si>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направлениям 09.03.01 "Информатика и вычислительная техника" (уровень бакалавриата), 09.04.01 "Информатика и вычислительная техника" (уровень магистратуры)</t>
  </si>
  <si>
    <t>C3D Лабс</t>
  </si>
  <si>
    <t>742745.01.01</t>
  </si>
  <si>
    <t>Геометрия в образовании и науке: Моногр. / Н.А.Сальков-М.:НИЦ ИНФРА-М,2021.-232 с.(Науч.мысль)(О)</t>
  </si>
  <si>
    <t>ГЕОМЕТРИЯ В ОБРАЗОВАНИИ И НАУКЕ, ИЗД.1</t>
  </si>
  <si>
    <t>978-5-16-016471-7</t>
  </si>
  <si>
    <t>01.06.01, 07.06.01, 08.06.01, 15.06.01</t>
  </si>
  <si>
    <t>450868.0071.01</t>
  </si>
  <si>
    <t>Геометрия и графика, 2023, № 4</t>
  </si>
  <si>
    <t>ГЕОМЕТРИЯ И ГРАФИКА, 2023, № 4, ИЗД.</t>
  </si>
  <si>
    <t>450868.0082.01</t>
  </si>
  <si>
    <t>Геометрия и графика, 2026, № 2</t>
  </si>
  <si>
    <t>ГЕОМЕТРИЯ И ГРАФИКА, 2026, № 2, ИЗД.1</t>
  </si>
  <si>
    <t>754499.02.01</t>
  </si>
  <si>
    <t>Геометрия: практикум в Excel: Уч.пос. / О.А.Сдвижков - М.:НИЦ ИНФРА-М,2027 - 313 с.(СПО)(п)</t>
  </si>
  <si>
    <t>ГЕОМЕТРИЯ: ПРАКТИКУМ В EXCEL, ИЗД.1</t>
  </si>
  <si>
    <t>Сдвижков О.А.</t>
  </si>
  <si>
    <t>978-5-16-016954-5</t>
  </si>
  <si>
    <t>00.02.06</t>
  </si>
  <si>
    <t>668187.02.01</t>
  </si>
  <si>
    <t>Геополитика. В 2 т.. Т. 1: Уч. / Р.Т.Мухаев, - 3-е изд.-М.:НИЦ ИНФРА-М,2027.-463 с.(ВО)(п)</t>
  </si>
  <si>
    <t>ГЕОПОЛИТИКА. В 2 Т., Т.1</t>
  </si>
  <si>
    <t>978-5-16-018241-4</t>
  </si>
  <si>
    <t>38.04.04, 41.04.04, 41.04.05, 46.04.01</t>
  </si>
  <si>
    <t>Учебник года-2025, Лауреат</t>
  </si>
  <si>
    <t>111900.08.01</t>
  </si>
  <si>
    <t>Геополитика: история и теория: уч.пос. / В.В.Желтов-М.:Вузовский учебник, НИЦ ИНФРА-М,2018.-445 с.(О. КБС)</t>
  </si>
  <si>
    <t>ГЕОПОЛИТИКА: ИСТОРИЯ И ТЕОРИЯ, ИЗД.1</t>
  </si>
  <si>
    <t>Желтов В. В., Желтов М. В.</t>
  </si>
  <si>
    <t>978-5-9558-0373-9</t>
  </si>
  <si>
    <t>41.03.05, 41.04.05</t>
  </si>
  <si>
    <t>Рекомендовано УМО по классическому университетскому образованию в качестве учебного пособия для студентов вузов, обучающихся по направлению подготовки ВПО 030200 Политология</t>
  </si>
  <si>
    <t>111900.15.01</t>
  </si>
  <si>
    <t>Геополитика: теория и история: Уч. пос./В.В.Желтов-2 изд.-М.:Вузовский уч., НИЦ ИНФРА-М,2023-462с.(п)</t>
  </si>
  <si>
    <t>ГЕОПОЛИТИКА: ТЕОРИЯ И ИСТОРИЯ, ИЗД.2</t>
  </si>
  <si>
    <t>978-5-9558-0452-1</t>
  </si>
  <si>
    <t>111900.14.01</t>
  </si>
  <si>
    <t>Геополитика: теория и история: Уч.пос. / В.В.Желтов, - 3 изд. - М.:НИЦ ИНФРА-М,2025. - 434 с.(ВО)(п)</t>
  </si>
  <si>
    <t>ГЕОПОЛИТИКА: ТЕОРИЯ И ИСТОРИЯ, ИЗД.3</t>
  </si>
  <si>
    <t>Желтов В.В., Желтов М.В.</t>
  </si>
  <si>
    <t>978-5-16-019038-9</t>
  </si>
  <si>
    <t>103950.13.01</t>
  </si>
  <si>
    <t>Геополитика: Уч. пос. / А.В. Маринченко. - 2 изд. - М.: НИЦ ИНФРА-М, 2024. - 490 с.(ВО: Бакалавр.) (п)</t>
  </si>
  <si>
    <t>ГЕОПОЛИТИКА, ИЗД.2</t>
  </si>
  <si>
    <t>Маринченко А. В.</t>
  </si>
  <si>
    <t>978-5-16-019638-1</t>
  </si>
  <si>
    <t>38.03.04, 38.04.04, 41.03.01, 41.03.02, 41.03.04, 41.03.05, 41.04.02, 41.04.04, 41.04.05</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</si>
  <si>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"Государственное и муниципальное управление"</t>
  </si>
  <si>
    <t>Международная академия наук экологии, безопасности человека и природы</t>
  </si>
  <si>
    <t>799343.01.01</t>
  </si>
  <si>
    <t>Геополитика: Уч.: В 2 т.Т. 2 / Р.Т.Мухаев, - 3 изд. - М.:НИЦ ИНФРА-М,2024 - 327 с.(ВО)(п)</t>
  </si>
  <si>
    <t>ГЕОПОЛИТИКА. В 2 ТТ., Т.2</t>
  </si>
  <si>
    <t>978-5-16-018266-7</t>
  </si>
  <si>
    <t>758140.03.01</t>
  </si>
  <si>
    <t>Геополитическая культура: Моногр. / Л.О.Терновая - М.:НИЦ ИНФРА-М,2025 - 340 с.(Науч.мысль)(О)</t>
  </si>
  <si>
    <t>ГЕОПОЛИТИЧЕСКАЯ КУЛЬТУРА, ИЗД.1</t>
  </si>
  <si>
    <t>978-5-16-017000-8</t>
  </si>
  <si>
    <t>00.03.07, 41.04.01, 41.04.03, 41.04.04, 41.04.05, 41.06.01</t>
  </si>
  <si>
    <t>779635.01.01</t>
  </si>
  <si>
    <t>Геополитическая лимология: Уч. / Л.О.Терновая - М.:НИЦ ИНФРА-М,2026. - 225 с.(СПО)(п)</t>
  </si>
  <si>
    <t>ГЕОПОЛИТИЧЕСКАЯ ЛИМОЛОГИЯ, ИЗД.1</t>
  </si>
  <si>
    <t>978-5-16-020811-4</t>
  </si>
  <si>
    <t>57.02.01</t>
  </si>
  <si>
    <t>861081.01.01</t>
  </si>
  <si>
    <t>Геополитическая лингвистика: Моногр. / Л.О.Терновая - М.:НИЦ ИНФРА-М,2026. - 234 с.-(Науч.мысль)(п)</t>
  </si>
  <si>
    <t>ГЕОПОЛИТИЧЕСКАЯ ЛИНГВИСТИКА, ИЗД.1</t>
  </si>
  <si>
    <t>978-5-16-021181-7</t>
  </si>
  <si>
    <t>39.04.01, 39.07.01, 41.04.01, 41.04.03, 41.04.04, 41.04.05, 41.04.06, 41.06.01, 42.04.02, 42.06.01, 45.04.02, 45.06.01, 46.04.01, 46.06.01</t>
  </si>
  <si>
    <t>714020.05.01</t>
  </si>
  <si>
    <t>Геополитическая формула воды: Моногр. / Л.О.Терновая - М.:НИЦ ИНФРА-М,2026. - 229 с.(Науч.мысль)(О)</t>
  </si>
  <si>
    <t>ГЕОПОЛИТИЧЕСКАЯ ФОРМУЛА ВОДЫ, ИЗД.1</t>
  </si>
  <si>
    <t>978-5-16-015440-4</t>
  </si>
  <si>
    <t>38.04.01, 38.05.01, 41.03.04, 41.03.05, 41.04.04, 41.04.05</t>
  </si>
  <si>
    <t>464200.04.01</t>
  </si>
  <si>
    <t>Геополитический код дороги: от караванного пути..: Моногр. / Л.О.Терновая - М:НИЦ ИНФРА-М,2021-281с(П)</t>
  </si>
  <si>
    <t>ГЕОПОЛИТИЧЕСКИЙ КОД ДОРОГИ: ОТ КАРАВАННОГО ПУТИ ДО ХАЙВЕЯ, ИЗД.1</t>
  </si>
  <si>
    <t>978-5-16-011530-6</t>
  </si>
  <si>
    <t>23.03.01, 23.03.02, 23.03.03, 23.04.01, 23.04.02, 23.04.03</t>
  </si>
  <si>
    <t>871689.02.01</t>
  </si>
  <si>
    <t>Геополитическое и концептуальное переформат...: Моногр. / А.С.Науменко - М.:НИЦ ИНФРА-М,2026. - 172 с.(п)</t>
  </si>
  <si>
    <t>ГЕОПОЛИТИЧЕСКОЕ И КОНЦЕПТУАЛЬНОЕ ПЕРЕФОРМАТИРОВАНИЕ АЗИАТСКО-ТИХООКЕАНСКОГО РЕГИОНА: МНОГООБРАЗИЕ ПОДХОДОВ И ИНСТРУМЕНТОВ, ИЗД.1</t>
  </si>
  <si>
    <t>Науменко А.С.</t>
  </si>
  <si>
    <t>978-5-16-021858-8</t>
  </si>
  <si>
    <t>41.03.01, 41.03.06, 41.04.03, 41.04.04, 41.04.05, 41.06.01</t>
  </si>
  <si>
    <t>422550.09.01</t>
  </si>
  <si>
    <t>Геопоэтика: международные отношения и искусство: Моногр. / Л.О.Терновая - М.:ИНФРА-М,2026-591 с.(П)</t>
  </si>
  <si>
    <t>ГЕОПОЭТИКА: МЕЖДУНАРОДНЫЕ ОТНОШЕНИЯ И ИСКУССТВО, ИЗД.1</t>
  </si>
  <si>
    <t>Терновая Л. О.</t>
  </si>
  <si>
    <t>978-5-16-018021-2</t>
  </si>
  <si>
    <t>41.06.01, 51.06.01</t>
  </si>
  <si>
    <t>740449.02.01</t>
  </si>
  <si>
    <t>Геосоциология права: Уч. / Л.О.Терновая - М.:НИЦ ИНФРА-М,2027. - 332 с.(ВО: Магистр.)(П)</t>
  </si>
  <si>
    <t>ГЕОСОЦИОЛОГИЯ ПРАВА, ИЗД.1</t>
  </si>
  <si>
    <t>978-5-16-016587-5</t>
  </si>
  <si>
    <t>39.04.01, 40.04.01, 40.05.01, 41.04.01, 41.04.02, 41.04.03, 41.04.04, 41.04.05, 41.04.06</t>
  </si>
  <si>
    <t>Рекомендовано к изданию кафедрой социологии и управления Московского автомобильно-дорожного государственного технического университета (МАДИ)</t>
  </si>
  <si>
    <t>725766.07.01</t>
  </si>
  <si>
    <t>Геотехнология: подземные горные выработки и их крепл.: Уч.пос. / Е.И.Комаров - М.:НИЦ ИНФРА-М,2026 - 170 с.(ВО)(П)</t>
  </si>
  <si>
    <t>ГЕОТЕХНОЛОГИЯ: ПОДЗЕМНЫЕ ГОРНЫЕ ВЫРАБОТКИ И ИХ КРЕПЛЕНИЕ, ИЗД.1</t>
  </si>
  <si>
    <t>Комаров Е.И.</t>
  </si>
  <si>
    <t>978-5-16-015873-0</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</si>
  <si>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(специальности) «Горное дело»</t>
  </si>
  <si>
    <t>652068.08.01</t>
  </si>
  <si>
    <t>Геохимические дистанц. поиски месторождений: Уч. / О.И.Серебряков - М.:НИЦ ИНФРА-М,2025. - 251 с.(ВО)(П)</t>
  </si>
  <si>
    <t>ГЕОХИМИЧЕСКИЕ ДИСТАНЦИОННЫЕ ПОИСКИ МЕСТОРОЖДЕНИЙ, ИЗД.1</t>
  </si>
  <si>
    <t>Серебряков О.И., Ушивцева Л.Ф.</t>
  </si>
  <si>
    <t>978-5-16-012794-1</t>
  </si>
  <si>
    <t>05.03.01, 21.03.01, 21.03.03, 21.05.02, 21.05.03, 21.05.04</t>
  </si>
  <si>
    <t>Рекомендовано в качестве учебника для студентов высших учебных заведений, обучающихся по направлению подготовки 05.03.01 «Геология» (квалификация (степень) «бакалавр»)</t>
  </si>
  <si>
    <t>858180.03.01</t>
  </si>
  <si>
    <t>Геоэкологические пробл. и безопас. городов России: Моногр. / В.Г.Заиканов - М.:НИЦ ИНФРА-М,2026. - 320 с.(п)</t>
  </si>
  <si>
    <t>ГЕОЭКОЛОГИЧЕСКИЕ ПРОБЛЕМЫ И БЕЗОПАСНОСТЬ ГОРОДОВ РОССИИ, ИЗД.1</t>
  </si>
  <si>
    <t>Заиканов В.Г., Минакова Т.Б., Булдакова Е.В., Сависько И.С.</t>
  </si>
  <si>
    <t>978-5-16-021287-6</t>
  </si>
  <si>
    <t>05.03.02, 05.03.06, 07.04.04, 08.04.01, 21.04.02, 38.03.10, 38.04.10</t>
  </si>
  <si>
    <t>ФЕДЕРАЛЬНОЕ ГОСУДАРСТВЕННОЕ БЮДЖЕТНОЕ УЧРЕЖДЕНИЕ НАУКИ ИНСТИТУТ ГЕОЭКОЛОГИИ ИМ. Е.М.СЕРГЕЕВА РОССИЙСКОЙ АКАДЕМИИ НАУК</t>
  </si>
  <si>
    <t>646318.04.01</t>
  </si>
  <si>
    <t>Геоэкологические проблемы трансформ.рельефа..: Моногр. / П.В.Большаник - М.:НИЦ ИНФРА-М,2025 - 243 с.(О)</t>
  </si>
  <si>
    <t>ГЕОЭКОЛОГИЧЕСКИЕ ПРОБЛЕМЫ ТРАНСФОРМАЦИИ РЕЛЬЕФА УРБАНИЗИРОВАННЫХ ТЕРРИТОРИЙ (НА ПРИМЕРЕ ГОРОДОВ ЗАПАДНОЙ СИБИРИ), ИЗД.1</t>
  </si>
  <si>
    <t>Большаник П.В., Недбай В.Н.</t>
  </si>
  <si>
    <t>978-5-16-015687-3</t>
  </si>
  <si>
    <t>05.03.06, 05.04.06</t>
  </si>
  <si>
    <t>646318.02.01</t>
  </si>
  <si>
    <t>Геоэкологические проблемы трансформ.рельефа..: Моногр. / П.В.Большаник-М.:НИЦ ИНФРА-М,2018-243с.(П)</t>
  </si>
  <si>
    <t>978-5-16-012246-5</t>
  </si>
  <si>
    <t>742909.08.01</t>
  </si>
  <si>
    <t>Геоэкология города...: Моногр. / Под ред. Ивашкиной И.В. - М.:НИЦ ИНФРА-М,2026 - 185 с.(Науч.мысль)(О)</t>
  </si>
  <si>
    <t>ГЕОЭКОЛОГИЯ ГОРОДА: МОДЕЛИ КАЧЕСТВА СРЕДЫ, ИЗД.1</t>
  </si>
  <si>
    <t>Сокольская Е.В., Кочуров Б.И., Ивашкина И.В.</t>
  </si>
  <si>
    <t>978-5-16-016643-8</t>
  </si>
  <si>
    <t>05.03.06, 05.04.01, 05.04.06, 05.06.01</t>
  </si>
  <si>
    <t>408900.09.01</t>
  </si>
  <si>
    <t>Геоэкология: Уч.пос. / И.Ю.Григорьева - М.:НИЦ ИНФРА-М,2021 - 270 с.-(ВО: Бакалавриат)(П)</t>
  </si>
  <si>
    <t>ГЕОЭКОЛОГИЯ, ИЗД.1</t>
  </si>
  <si>
    <t>Григорьева И.Ю.</t>
  </si>
  <si>
    <t>978-5-16-006314-0</t>
  </si>
  <si>
    <t>05.03.01, 05.03.02, 05.03.06, 05.04.01, 05.04.02, 05.04.06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</si>
  <si>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05.03.01 «Геология», 05.03.02 «География», 05.03.06 «Экология и природопользование» (протокол № 8 от  29.04.2019)</t>
  </si>
  <si>
    <t>408900.14.01</t>
  </si>
  <si>
    <t>Геоэкология: Уч.пос. / И.Ю.Григорьева, - 2 изд. - М.:НИЦ ИНФРА-М,2026. - 273 с.(ВО)(п)</t>
  </si>
  <si>
    <t>ГЕОЭКОЛОГИЯ, ИЗД.2</t>
  </si>
  <si>
    <t>662376.07.01</t>
  </si>
  <si>
    <t>Геоэкология: Уч.пос. / Н.В.Короновский и др. - 3 изд. - М.:НИЦ ИНФРА-М,2027 - 411 с.(ВО: Бакалавр.)(П)</t>
  </si>
  <si>
    <t>ГЕОЭКОЛОГИЯ, ИЗД.3</t>
  </si>
  <si>
    <t>Короновский Н.В., Брянцева Г.В., Ясаманов Н.А.</t>
  </si>
  <si>
    <t>978-5-16-013176-4</t>
  </si>
  <si>
    <t>Допущено Учебно-методическим объединением по классическому университетскому образованию Российской Федерации в качестве учебного пособия для студентов высших учебных заведений, обучающихся по направлению «Экология и природопользование»</t>
  </si>
  <si>
    <t>666813.05.01</t>
  </si>
  <si>
    <t>Геоэкономические и геополит. механизмы Пер.Мир..: Уч.пос. / В.В.Инюшин. - М.:НИЦ ИНФРА-М,2027 - 154 с.(ВО)(п)</t>
  </si>
  <si>
    <t>ГЕОЭКОНОМИЧЕСКИЕ И ГЕОПОЛИТИЧЕСКИЕ МЕХАНИЗМЫ ПЕРВОЙ МИРОВОЙ ВОЙНЫ., ИЗД.1</t>
  </si>
  <si>
    <t>Инюшин В.В., Медоваров М.В., Черкасов А.Н.</t>
  </si>
  <si>
    <t>978-5-16-019890-3</t>
  </si>
  <si>
    <t>38.03.01, 41.03.04, 41.03.05, 44.03.01, 44.03.05, 46.03.01</t>
  </si>
  <si>
    <t>Рекомендовано в качестве учебного пособия для студенторв высших учебных заведений, обучающихся по направлениям подготовки 38.03.01 «Экономика», 41.03.04 «Политология», 41.03.05 «Международные отношения», 46.03.01 «История» (квалификация (степень) «бакалавр»)</t>
  </si>
  <si>
    <t>637315.09.01</t>
  </si>
  <si>
    <t>Герметизация, гидроизол. и теплоизол. в строит...: Уч.пос. / О.А.Лукинский - М.:НИЦ ИНФРА-М,2027 - 668 с.(п)</t>
  </si>
  <si>
    <t>ГЕРМЕТИЗАЦИЯ, ГИДРОИЗОЛЯЦИЯ И ТЕПЛОИЗОЛЯЦИЯ В СТРОИТЕЛЬСТВЕ, РЕМОНТЕ И РЕСТАВРАЦИИ ЗДАНИЙ И СООРУЖЕНИЙ, ИЗД.1</t>
  </si>
  <si>
    <t>Лукинский О.А.</t>
  </si>
  <si>
    <t>978-5-16-019888-0</t>
  </si>
  <si>
    <t>08.03.01</t>
  </si>
  <si>
    <t>Рекомендовано в качестве учебного пособия для повышения квалификации инженеров ремонтно-строительного производства, работников сферы ЖКХ, студентов высших учебных заведений</t>
  </si>
  <si>
    <t>712717.07.01</t>
  </si>
  <si>
    <t>Геронтостоматология и забол. слиз. оболоч. полости рта: Уч.пос. / С.И.Токмакова. - М.:НИЦ ИНФРА-М,2026. - 126 с.(О)</t>
  </si>
  <si>
    <t>ГЕРОНТОСТОМАТОЛОГИЯ И ЗАБОЛЕВАНИЯ СЛИЗИСТОЙ ОБОЛОЧКИ ПОЛОСТИ РТА, ИЗД.1</t>
  </si>
  <si>
    <t>Токмакова С.И., Бондаренко О.В., Воблова Т.В. и др.</t>
  </si>
  <si>
    <t>Высшее образование (АГМУ)</t>
  </si>
  <si>
    <t>978-5-16-022115-1</t>
  </si>
  <si>
    <t>31.05.03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</si>
  <si>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31.05.03 «Стоматология» (квалификация «врач-стоматолог») (протокол № 12 от 24.06.2019)</t>
  </si>
  <si>
    <t>742257.01.01</t>
  </si>
  <si>
    <t>Гибкие сборочные линии модульного типа на единой..: Уч.пос. / А.А.Иванов-М.:НИЦ ИНФРА-М,2022-315с.(ВО)(П)</t>
  </si>
  <si>
    <t>ГИБКИЕ СБОРОЧНЫЕ ЛИНИИ МОДУЛЬНОГО ТИПА НА ЕДИНОЙ СТРУКТУРНОЙ ОСНОВЕ, ИЗД.1</t>
  </si>
  <si>
    <t>978-5-16-016615-5</t>
  </si>
  <si>
    <t>15.03.04, 15.03.05, 15.04.04, 15.04.05, 15.05.01</t>
  </si>
  <si>
    <t>Допущено Учебно-методическим объединением вузов по образованию в области автоматизированного машиностроения в качестве учебного пособия для студентов высших учебных заведений, обучающихся по направлениям подготовки бакалавров и магистров: «Конструкторско-технологическое обеспечение машиностроительных производств» и «Автоматизированные технологии и производства»</t>
  </si>
  <si>
    <t>852228.01.01</t>
  </si>
  <si>
    <t>Гибкое управ. персоналом гостиничного предприятия: Моногр. / И.С.Ключевская - М.:НИЦ ИНФРА-М,2026. - 196 с.(п)</t>
  </si>
  <si>
    <t>ГИБКОЕ УПРАВЛЕНИЕ ПЕРСОНАЛОМ ГОСТИНИЧНОГО ПРЕДПРИЯТИЯ: НОВЫЕ ПОДХОДЫ И АДАПТИВНЫЕ РЕШЕНИЯ, ИЗД.1</t>
  </si>
  <si>
    <t>Ключевская И.С.</t>
  </si>
  <si>
    <t>978-5-16-020822-0</t>
  </si>
  <si>
    <t>38.04.02, 38.04.03, 38.06.01</t>
  </si>
  <si>
    <t>865386.02.01</t>
  </si>
  <si>
    <t>Гибридные алгоритмы комп. зрения для прецизионного... / Н.В.Володарец - М.:НИЦ ИНФРА-М,2027 - 178 с.(о) [цв]</t>
  </si>
  <si>
    <t>ГИБРИДНЫЕ АЛГОРИТМЫ КОМПЬЮТЕРНОГО ЗРЕНИЯ ДЛЯ ПРЕЦИЗИОННОГО АВТОНОМНОГО УПРАВЛЕНИЯ БПЛА, ИЗД.1</t>
  </si>
  <si>
    <t>Сацюк А.В., Володарец Н.В.</t>
  </si>
  <si>
    <t>978-5-16-021492-4</t>
  </si>
  <si>
    <t>01.03.03, 01.04.03, 01.06.01, 02.06.01, 09.03.01, 09.03.02, 09.03.03, 09.03.04, 09.04.01, 09.04.02, 09.04.03, 09.04.04, 09.06.01, 11.03.03, 11.06.01, 24.05.05, 24.06.01, 27.03.04, 27.06.01</t>
  </si>
  <si>
    <t>Донецкий институт железнодорожного транспорта</t>
  </si>
  <si>
    <t>272400.11.01</t>
  </si>
  <si>
    <t>Гибридный автомобиль: основы проектир., конструир..: Уч. пос. / Н.М.Филькин - Форум:ИНФРА-М, 2026 - 240 с. (о)</t>
  </si>
  <si>
    <t>ГИБРИДНЫЙ АВТОМОБИЛЬ: ОСНОВЫ ПРОЕКТИРОВАНИЯ, КОНСТРУИРОВАНИЯ И РАСЧЕТА, ИЗД.1</t>
  </si>
  <si>
    <t>Филькин Н.М., Умняшкин В.А., Музафаров Р.С.</t>
  </si>
  <si>
    <t>978-5-91134-865-6</t>
  </si>
  <si>
    <t>23.03.01, 23.03.02, 23.03.03</t>
  </si>
  <si>
    <t>Допущено Учебно-методическим объединением вузов Российской Федерации по образованию в области транспортных машин и транспортно-технологических комплексов в качестве учебного пособия для студентов высших учебных заведений, обучающихся по специальностя</t>
  </si>
  <si>
    <t>Ижевский государственный технический университет им. М.Т. Калашникова</t>
  </si>
  <si>
    <t>708154.01.01</t>
  </si>
  <si>
    <t>Гигиенические основы физкультурно-спорт. деят.: Уч.пос. / Е.А.Багнетова - 2 изд.-М.:НИЦ ИНФРА-М,2025.-315с(п)</t>
  </si>
  <si>
    <t>ГИГИЕНИЧЕСКИЕ ОСНОВЫ ФИЗКУЛЬТУРНО-СПОРТИВНОЙ ДЕЯТЕЛЬНОСТИ, ИЗД.2</t>
  </si>
  <si>
    <t>Багнетова Е.А.</t>
  </si>
  <si>
    <t>978-5-16-017135-7</t>
  </si>
  <si>
    <t>44.03.01, 49.03.02</t>
  </si>
  <si>
    <t>Сургутский государственный педагогический университет</t>
  </si>
  <si>
    <t>665621.06.01</t>
  </si>
  <si>
    <t>Гидравлика и гидропневмопривод. Гидравлика.: Уч. / А.В.Лепешкин. - М.:НИЦ ИНФРА-М,2027. - 319 с.(ВО)(П)</t>
  </si>
  <si>
    <t>ГИДРАВЛИКА И ГИДРОПНЕВМОПРИВОД. ГИДРАВЛИКА., ИЗД.1</t>
  </si>
  <si>
    <t>Лепешкин А.В., Михайлин А.А., Шейпак А.А. и др.</t>
  </si>
  <si>
    <t>978-5-16-013824-4</t>
  </si>
  <si>
    <t>23.03.03</t>
  </si>
  <si>
    <t>682854.08.01</t>
  </si>
  <si>
    <t>Гидравлика и гидропневмопривод. Основы механики...: Уч. / А.А.Шейпак, - 6 изд. - М.:НИЦ ИНФРА-М,2026 - 270 с.(П)</t>
  </si>
  <si>
    <t>ГИДРАВЛИКА И ГИДРОПНЕВМОПРИВОД. ОСНОВЫ МЕХАНИКИ ЖИДКОСТИ И ГАЗА, ИЗД.6</t>
  </si>
  <si>
    <t>Шейпак А.А.</t>
  </si>
  <si>
    <t>978-5-16-013908-1</t>
  </si>
  <si>
    <t>15.02.03, 15.02.16, 15.02.17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</si>
  <si>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15.02.00 «Машиностроение»</t>
  </si>
  <si>
    <t>321000.09.01</t>
  </si>
  <si>
    <t>Гидравлика и гидропневмопривод.: Уч. / А.А.Шейпак - 6 изд. - М.:НИЦ ИНФРА-М,2027 - 272 с.(ВО)(П)</t>
  </si>
  <si>
    <t>ГИДРАВЛИКА И ГИДРОПНЕВМОПРИВОД.ОСНОВЫ МЕХАНИКИ ЖИДКОСТИ И ГАЗА, ИЗД.6</t>
  </si>
  <si>
    <t>978-5-16-019380-9</t>
  </si>
  <si>
    <t>23.03.01, 23.03.02, 23.03.03, 23.04.02, 23.05.01, 23.05.02</t>
  </si>
  <si>
    <t>Допущено УМО вузов РФ по образованию в области транспортных машин и транспортно-технологических комплексов в качестве учебника для студентов, обучающихся по направлению подготовки 23.03.02 «Наземные транспортно-технологические комплексы»</t>
  </si>
  <si>
    <t>0617</t>
  </si>
  <si>
    <t>632039.09.01</t>
  </si>
  <si>
    <t>Гидравлика и гидропневмопривод.: Уч. / А.В.Лепешкин - 6 изд. - М.:НИЦ ИНФРА-М,2025 - 446 с.(ВО)(П)</t>
  </si>
  <si>
    <t>ГИДРАВЛИКА И ГИДРОПНЕВМОПРИВОД. ГИДРАВЛИЧЕСКИЕ МАШИНЫ И ГИДРОПНЕВМОПРИВОД, ИЗД.6</t>
  </si>
  <si>
    <t>Лепешкин А.В., Михайлин А.А., Шейпак А.А.</t>
  </si>
  <si>
    <t>978-5-16-011954-0</t>
  </si>
  <si>
    <t>15.03.05, 23.03.02, 23.03.03, 23.04.02, 23.05.01, 23.05.02, 35.03.02, 35.03.06</t>
  </si>
  <si>
    <t>309600.03.01</t>
  </si>
  <si>
    <t>Гидравлика, гидрология, гидрометрия вод.: Уч. пос./В.Т.Парахневич-М:ИНФРА-М;Мн:Нов. знан.,2023-368с</t>
  </si>
  <si>
    <t>ГИДРАВЛИКА, ГИДРОЛОГИЯ, ГИДРОМЕТРИЯ ВОДОТОКОВ, ИЗД.1</t>
  </si>
  <si>
    <t>Парахневич В. Т.</t>
  </si>
  <si>
    <t>978-5-16-010308-2</t>
  </si>
  <si>
    <t>Белорусско-Российский университет</t>
  </si>
  <si>
    <t>717646.06.01</t>
  </si>
  <si>
    <t>Гидравлика. Практикум: Уч.пос. / С.Ф.Вольвак - М.:НИЦ ИНФРА-М,2023 - 318 с.-(ВО: Бакалавриат)(П)</t>
  </si>
  <si>
    <t>ГИДРАВЛИКА. ПРАКТИКУМ, ИЗД.1</t>
  </si>
  <si>
    <t>Вольвак С.Ф.</t>
  </si>
  <si>
    <t>978-5-16-015660-6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</si>
  <si>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35.03.06 «Агроинженерия» (квалификация (степень) «бакалавр») (протокол № 5 от 26.03.2020)</t>
  </si>
  <si>
    <t>Белгородский государственный аграрный университет им. В.Я. Горина</t>
  </si>
  <si>
    <t>288200.07.01</t>
  </si>
  <si>
    <t>Гидравлика: Уч. / А.П.Исаев и др. - М.:НИЦ ИНФРА-М,2025. - 420 с.(ВО)(п)</t>
  </si>
  <si>
    <t>ГИДРАВЛИКА, ИЗД.1</t>
  </si>
  <si>
    <t>Исаев А.П., Кожевникова Н.Г., Ещин А.В.</t>
  </si>
  <si>
    <t>978-5-16-020617-2</t>
  </si>
  <si>
    <t>Рекомендовано Учебно-методическим объединением вузов Российской Федерации по агроинженерному образованию в качестве учебника для студентов высших учебных заведений, обучающихся по направлению подготовки 35.03.06 «Агроинженерия»</t>
  </si>
  <si>
    <t>087300.16.01</t>
  </si>
  <si>
    <t>Гидравлика: Уч. / Б.В.Ухин - М.:НИЦ ИНФРА-М,2025 - 432 с.(СПО)(П)</t>
  </si>
  <si>
    <t>Ухин Б. В., Гусев А. А.</t>
  </si>
  <si>
    <t>978-5-16-005536-7</t>
  </si>
  <si>
    <t>08.02.01, 08.02.04, 13.02.05, 20.02.03, 21.02.01, 21.02.03, 24.02.02, 25.02.01, 25.02.02, 26.02.01, 26.02.05, 35.02.17</t>
  </si>
  <si>
    <t>Допущено Федеральным агентством по строительству и жилищно-коммунальному хозяйству в качестве учебника для студентов средних специальных заведений, обучающихся  по специальности 08.02.01 «Строительство и эксплуатация зданий и сооружений»</t>
  </si>
  <si>
    <t>638921.07.01</t>
  </si>
  <si>
    <t>Гидравлика: Уч. / И.И.Сазанов и др. - М.:КУРС,НИЦ ИНФРА-М,2026 - 320 с.(Бакалавр.)(П)</t>
  </si>
  <si>
    <t>Сазанов И.И., Схиртладзе А.Г., Иванов В.И.</t>
  </si>
  <si>
    <t>978-5-906818-77-5</t>
  </si>
  <si>
    <t>15.03.04, 15.03.05</t>
  </si>
  <si>
    <t>Допущен Учебно-методическим объединением вузов по образованию в области автоматизированного машиностроения (УМО AM) в качестве учебника для студентов высших учебных заведений, обучающихся по направлениям подготовки «Конструкторско- технологическое обеспечение машиностроительных производств», «Автоматизация технологических процессов и производств»</t>
  </si>
  <si>
    <t>647313.06.01</t>
  </si>
  <si>
    <t>Гидравлика: Уч.пос. / В.Ф.Юдаев - 2 изд. - М.:НИЦ ИНФРА-М,2026 - 423 с.-(ВО)(П)</t>
  </si>
  <si>
    <t>ГИДРАВЛИКА, ИЗД.2</t>
  </si>
  <si>
    <t>Юдаев В.Ф.</t>
  </si>
  <si>
    <t>978-5-16-021295-1</t>
  </si>
  <si>
    <t>16.03.03, 19.03.01, 19.03.02, 20.03.01, 20.03.02, 21.02.12</t>
  </si>
  <si>
    <t>Рекомендовано в качестве учебного пособия для студентов высших учебных заведений, обучающихся по направлениям подготовки 19.03.01 «Биотехнология», 19.03.02 «Продукты питания из растительного сырья», 20.03.01 «Техносферная безопасность», 16.03.03 «Холодильная, криогенная техника и системы жизнеобеспечения» (квалификация (степень) «бакалавр»)</t>
  </si>
  <si>
    <t>Московский государственный университет технологий и управления им. К.Г. Разумовского</t>
  </si>
  <si>
    <t>647313.02.01</t>
  </si>
  <si>
    <t>Гидравлика: Уч.пос. / В.Ф.Юдаев - М.:НИЦ ИНФРА-М,2018.-301 с..-(ВО: Бакалавриат)(П)</t>
  </si>
  <si>
    <t>978-5-16-012476-6</t>
  </si>
  <si>
    <t>717645.03.01</t>
  </si>
  <si>
    <t>Гидравлика: Уч.пос. / С.Ф.Вольвак - М.:НИЦ ИНФРА-М,2023 - 438 с.-(ВО: Бакалавриат)(П)</t>
  </si>
  <si>
    <t>978-5-16-015659-0</t>
  </si>
  <si>
    <t>21.02.12, 35.03.06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</si>
  <si>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35.03.06 «Агроинженерия» (квалификация (степень) «бакалавр») (протокол № 5 от 16.03.2020)</t>
  </si>
  <si>
    <t>152400.18.01</t>
  </si>
  <si>
    <t>Гидрогазодинамика: Уч.пос. / А.А.Кудинов - М.:НИЦ ИНФРА-М,2025 - 336 с.(ВО)(п)</t>
  </si>
  <si>
    <t>ГИДРОГАЗОДИНАМИКА, ИЗД.1</t>
  </si>
  <si>
    <t>Кудинов А.А.</t>
  </si>
  <si>
    <t>978-5-16-018644-3</t>
  </si>
  <si>
    <t>13.03.01, 13.04.01</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</si>
  <si>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13.03.01 «Теплоэнергетика и теплотехника»</t>
  </si>
  <si>
    <t>167350.13.01</t>
  </si>
  <si>
    <t>Гидрогеодинамическое моделир. взаимо...: Моногр. / С.О.Гриневский - М.:НИЦ ИНФРА-М,2026 - 153 с.(О)</t>
  </si>
  <si>
    <t>ГИДРОГЕОДИНАМИЧЕСКОЕ МОДЕЛИРОВАНИЕ ВЗАИМОДЕЙСТВИЯ ПОДЗЕМНЫХ И ПОВЕРХНОСТНЫХ ВОД, ИЗД.1</t>
  </si>
  <si>
    <t>Гриневский С. О.</t>
  </si>
  <si>
    <t>978-5-16-005256-4</t>
  </si>
  <si>
    <t>657523.10.01</t>
  </si>
  <si>
    <t>Гидрогеология и основы геологии: Уч.пос. / Н.П.Карпенко и др. - М.:НИЦ ИНФРА-М,2026. - 328 с.(ВО)(П)</t>
  </si>
  <si>
    <t>ГИДРОГЕОЛОГИЯ И ОСНОВЫ ГЕОЛОГИИ, ИЗД.1</t>
  </si>
  <si>
    <t>Карпенко Н.П., Ломакин И.М., Дроздов В.С.</t>
  </si>
  <si>
    <t>978-5-16-018564-4</t>
  </si>
  <si>
    <t>05.03.01, 05.03.06, 08.03.01, 20.03.01, 20.03.02, 21.02.09, 21.02.12, 21.03.02</t>
  </si>
  <si>
    <t>Рекомендовано Учебно-методическим объединением по образованию в области природообустройства и водопользования в качестве учебного пособия для студентов высших учебных заведений, обучающихся по направлению подготовки «Природообустройство»</t>
  </si>
  <si>
    <t>683617.04.01</t>
  </si>
  <si>
    <t>Гидрогеология месторождений нефти и газа: Уч. / О.И.Серебряков - М.:НИЦ ИНФРА-М,2025 - 251 с.(ВО: Магистр.)(П)</t>
  </si>
  <si>
    <t>ГИДРОГЕОЛОГИЯ МЕСТОРОЖДЕНИЙ НЕФТИ И ГАЗА, ИЗД.1</t>
  </si>
  <si>
    <t>978-5-16-014209-8</t>
  </si>
  <si>
    <t>05.04.01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</si>
  <si>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05.04.01 «Геология» (квалификация (степень) «магистр») (протокол № 8 от 22.06.2020)</t>
  </si>
  <si>
    <t>376600.08.01</t>
  </si>
  <si>
    <t>Гидрогеология нефти и газа: Уч. / О.И.Серебряков и др.-М.:НИЦ ИНФРА-М,2023.-249 с.(П)</t>
  </si>
  <si>
    <t>ГИДРОГЕОЛОГИЯ НЕФТИ И ГАЗА, ИЗД.1</t>
  </si>
  <si>
    <t>Серебряков О.И., Ушивцева Л.Ф., Смирнова Т.С.</t>
  </si>
  <si>
    <t>978-5-16-018140-0</t>
  </si>
  <si>
    <t>05.00.00, 05.03.01</t>
  </si>
  <si>
    <t>682638.06.01</t>
  </si>
  <si>
    <t>Гидрогеология: Уч. / О.И.Серебряков и др. - М.:НИЦ ИНФРА-М,2026 - 233 с.-(СПО)(П)</t>
  </si>
  <si>
    <t>ГИДРОГЕОЛОГИЯ, ИЗД.1</t>
  </si>
  <si>
    <t>Серебряков О.И., Ушивцева Л.Ф., Жигульская О.П. и др.</t>
  </si>
  <si>
    <t>978-5-16-014273-9</t>
  </si>
  <si>
    <t>05.02.02, 21.02.09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</si>
  <si>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21.02.00 «Прикладная геология, горное дело, нефтегазовое дело и геодезия» (протокол № 9 от 13.05.2019)</t>
  </si>
  <si>
    <t>215800.14.01</t>
  </si>
  <si>
    <t>Гидрогеоэкология городов: Уч.пос. / М.С.Орлов - М.:НИЦ ИНФРА-М,2025 - 288 с.-(ВО)(П)</t>
  </si>
  <si>
    <t>ГИДРОГЕОЭКОЛОГИЯ ГОРОДОВ, ИЗД.1</t>
  </si>
  <si>
    <t>Орлов М.С., Питьева К.Е.</t>
  </si>
  <si>
    <t>978-5-16-021002-5</t>
  </si>
  <si>
    <t>Допущено УМО по классическому университетскому образованию в качестве учебного пособия для студентов, обучающихся по направлению подготовки 05.03.01 «Геология»</t>
  </si>
  <si>
    <t>453350.05.01</t>
  </si>
  <si>
    <t>Гидродинамика и тепломассообмен пленочных течений...:Моногр./М.И.Шиляев - М:НИЦ ИНФРА-М,2024-198с (о)</t>
  </si>
  <si>
    <t>ГИДРОДИНАМИКА И ТЕПЛОМАССООБМЕН ПЛЕНОЧНЫХ ТЕЧЕНИЙ В ПОЛЯХ МАССОВЫХ СИЛ И ИХ ПРИЛОЖЕНИЯ, ИЗД.1</t>
  </si>
  <si>
    <t>Шиляев М. И., Толстых А. В.</t>
  </si>
  <si>
    <t>978-5-16-009291-1</t>
  </si>
  <si>
    <t>344600.05.01</t>
  </si>
  <si>
    <t>Гидродинамика и теплообм.в роторах и трансм..: Моногр. / Н.Н.Салов-М.:Вуз.уч.,НИЦ ИНФРА-М,2024-180с(О)</t>
  </si>
  <si>
    <t>ГИДРОДИНАМИКА И ТЕПЛООБМЕН В РОТОРАХ И ТРАНСМИССИЯХ ГАЗОТУРБИННЫХ ДВИГАТЕЛЕЙ. УМЕНЬШЕНИЕ ТЕМПЕРАТУРНЫХ НАПРЯЖЕНИЙ В ДИСКАХ, ИЗД.1</t>
  </si>
  <si>
    <t>Салов Н.Н., Харченко А.А.</t>
  </si>
  <si>
    <t>978-5-9558-0427-9</t>
  </si>
  <si>
    <t>14.05.03, 14.05.04</t>
  </si>
  <si>
    <t>849523.02.01</t>
  </si>
  <si>
    <t>Гидроклиматические расчеты в изменяющихся природ. условиях / В.А.Лобанов - М.:НИЦ ИНФРА-М,2025. - 306 с.(п)</t>
  </si>
  <si>
    <t>ГИДРОКЛИМАТИЧЕСКИЕ РАСЧЕТЫ В ИЗМЕНЯЮЩИХСЯ ПРИРОДНЫХ УСЛОВИЯХ, ИЗД.1</t>
  </si>
  <si>
    <t>Лобанов В.А.</t>
  </si>
  <si>
    <t>978-5-16-020845-9</t>
  </si>
  <si>
    <t>05.03.04, 05.03.05, 05.04.04, 05.04.05, 05.06.01, 20.03.02, 20.04.02</t>
  </si>
  <si>
    <t>Российский государственный гидрометеорологический университет</t>
  </si>
  <si>
    <t>702761.08.01</t>
  </si>
  <si>
    <t>Гидрометеорологическое обесп. судовождения: Уч.мет.пос. / М.И.Сухина - М.:НИЦ ИНФРА-М,2026 - 283 с.(П)</t>
  </si>
  <si>
    <t>ГИДРОМЕТЕОРОЛОГИЧЕСКОЕ ОБЕСПЕЧЕНИЕ СУДОВОЖДЕНИЯ, ИЗД.1</t>
  </si>
  <si>
    <t>Сухина М.И., Белокур Г.В., Головко А.В.</t>
  </si>
  <si>
    <t>978-5-16-014948-6</t>
  </si>
  <si>
    <t>26.05.05</t>
  </si>
  <si>
    <t>756449.05.01</t>
  </si>
  <si>
    <t>Гидрометеорологическое обеспеч. судовождения: Уч.мет.пос. / ЧВВМУ им. П.С Нахимова - М.:НИЦ ИНФРА-М,2026  - 283 с.(П)</t>
  </si>
  <si>
    <t>ЧВВМУ имени П.С Нахимова , Сухина М.И., Белокур Г.В. и др.</t>
  </si>
  <si>
    <t>978-5-16-016892-0</t>
  </si>
  <si>
    <t>05.01.01, 26.02.01, 26.02.03</t>
  </si>
  <si>
    <t>636251.07.01</t>
  </si>
  <si>
    <t>Гидромеханизация открытых горных работ...: Уч.пос. / И.В.Деревяшкин - М.:НИЦ ИНФРА-М,2025 - 149 с.(ВО)(О)</t>
  </si>
  <si>
    <t>ГИДРОМЕХАНИЗАЦИЯ ОТКРЫТЫХ ГОРНЫХ РАБОТ. ГИДРОМОНИТОРНО-ЗЕМЛЕСОСНЫЕ КОМПЛЕКСЫ, ИЗД.1</t>
  </si>
  <si>
    <t>Деревяшкин И.В., Кононенко Е.А., Демченко А.В.</t>
  </si>
  <si>
    <t>978-5-16-020931-9</t>
  </si>
  <si>
    <t>21.02.15, 21.05.04</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</si>
  <si>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21.05.04 «Горное дело» (специализация «Открытые горные работы»)</t>
  </si>
  <si>
    <t>701691.02.01</t>
  </si>
  <si>
    <t>Гидромеханические сист.стационар.и мобил. тех. машин:Уч.пос. /В.С.Сидоренко-М.:НИЦ ИНФРА-М,2023-281с(П)</t>
  </si>
  <si>
    <t>ГИДРОМЕХАНИЧЕСКИЕ СИСТЕМЫ СТАЦИОНАРНЫХ И МОБИЛЬНЫХ ТЕХНОЛОГИЧЕСКИХ МАШИН, ИЗД.1</t>
  </si>
  <si>
    <t>Сидоренко В.С., Полешкин М.С., Антоненко В.И.</t>
  </si>
  <si>
    <t>978-5-16-014879-3</t>
  </si>
  <si>
    <t>15.04.02, 23.03.03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</si>
  <si>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15.03.00 «Машиностроение» (квалификация (степень) «бакалавр») (протокол № 5 от 11.03.2019)</t>
  </si>
  <si>
    <t>444750.03.01</t>
  </si>
  <si>
    <t>Гидротехнические сооружения внутрихоз. / С.Г.Белогай - ИЦ РИОР,НИЦ ИНФРА-М,2022-321с.(Научная мысль)</t>
  </si>
  <si>
    <t>ГИДРОТЕХНИЧЕСКИЕ СООРУЖЕНИЯ ВНУТРИХОЗЯЙСТВЕННОЙ МЕЛИОРАТИВНОЙ СЕТИ, ИЗД.1</t>
  </si>
  <si>
    <t>Белогай С.Г., Волосухин В.А., Тищенко А.И.</t>
  </si>
  <si>
    <t>978-5-369-01230-7</t>
  </si>
  <si>
    <t>05.03.04, 05.04.04, 06.03.02, 06.04.02, 08.03.01, 08.04.01, 20.03.02, 35.03.01, 35.03.03, 35.03.06, 35.03.08, 35.04.06, 35.04.07</t>
  </si>
  <si>
    <t>Ростстройсервис</t>
  </si>
  <si>
    <t>309300.11.01</t>
  </si>
  <si>
    <t>Гидротехнические сооружения: Уч. / М.В.Нестеров - 2 изд. - ИНФРА-М; 2026 - 601 с.(ВО)</t>
  </si>
  <si>
    <t>ГИДРОТЕХНИЧЕСКИЕ СООРУЖЕНИЯ, ИЗД.2</t>
  </si>
  <si>
    <t>Нестеров М.В.</t>
  </si>
  <si>
    <t>978-5-16-010306-8</t>
  </si>
  <si>
    <t>08.03.01, 08.04.01, 35.03.08</t>
  </si>
  <si>
    <t>220500.14.01</t>
  </si>
  <si>
    <t>Гимнастика. Методика преподавания: Уч. / В.М.Миронов. - НИЦ ИНФРА-М,2026. - 335 с.(ВО)(П)</t>
  </si>
  <si>
    <t>ГИМНАСТИКА. МЕТОДИКА ПРЕПОДАВАНИЯ, ИЗД.1</t>
  </si>
  <si>
    <t>Миронов В.М., Рабиль Г.Б., Морозевич-Шилюк Т.А. и др.</t>
  </si>
  <si>
    <t>978-5-16-018540-8</t>
  </si>
  <si>
    <t>49.03.01, 49.04.01, 49.04.03</t>
  </si>
  <si>
    <t>Утверждено Министерством образования Республики Беларусь в качестве учебника для студентов учреждений высшего образования по специальностям физической культуры, спорта и туризма</t>
  </si>
  <si>
    <t>Белорусский государственный университет физической культуры</t>
  </si>
  <si>
    <t>838952.01.01</t>
  </si>
  <si>
    <t>Гинекология. Планир.  семьи...: Уч.мет.пос. на англ. яз. / Е.А.Эйныш. - М.:НИЦ ИНФРА-М, ГомГМУ,2025. - 240 с.(п)</t>
  </si>
  <si>
    <t>ГИНЕКОЛОГИЯ. ПЛАНИРОВАНИЕ СЕМЬИ И РЕПРОДУКТИВНЫЕ ТЕХНОЛОГИИ, ИЗД.1</t>
  </si>
  <si>
    <t>Эйныш Е.А., Лызикова Ю.А., Корбут И. и др.</t>
  </si>
  <si>
    <t>978-5-16-020273-0</t>
  </si>
  <si>
    <t>362400.06.01</t>
  </si>
  <si>
    <t>Гиперсомнии: клиника, диагностика, лечение: Уч.пос. / А.В.Захаров. - М.:Форум, НИЦ ИНФРА-М,2026. - 56 с.(о)</t>
  </si>
  <si>
    <t>ГИПЕРСОМНИИ: КЛИНИКА, ДИАГНОСТИКА, ЛЕЧЕНИЕ, ИЗД.1</t>
  </si>
  <si>
    <t>Захаров А.В., Хивинцева Е.В., Повереннова И.Е.</t>
  </si>
  <si>
    <t>978-5-00091-075-7</t>
  </si>
  <si>
    <t>31.08.05</t>
  </si>
  <si>
    <t>416150.07.01</t>
  </si>
  <si>
    <t>Гипертрофическая кардиомиопатия: патофизиология..: Уч. пос. / Ю.Н.Беленков. - М.:Альфа-М, НИЦ ИНФРА-М,2026. - 256 с.(П)</t>
  </si>
  <si>
    <t>ГИПЕРТРОФИЧЕСКАЯ КАРДИОМИОПАТИЯ: ПАТОФИЗИОЛОГИЯ, КЛИНИКА И ДИАГНОСТИКА, ИЗД.1</t>
  </si>
  <si>
    <t>Беленков Ю. Н., Привалова Е. В., Каплунова В. Ю.</t>
  </si>
  <si>
    <t>978-5-98281-334-3</t>
  </si>
  <si>
    <t>Рекомендовано Российской медицинской академией последипломного образования в качестве учебного пособия для студентов медицинских вузов, обучающихся по специальности 060101 «Лечебное дело»</t>
  </si>
  <si>
    <t>Первый Московский государственный медицинский университет им. И.М. Сеченова</t>
  </si>
  <si>
    <t>418050.05.01</t>
  </si>
  <si>
    <t>Гипертрофическая кардиомиопатия: факт. риск..: Уч.пос. / В.Ю.Каплунова - М.:Альфа; НИЦ ИНФРА-М,2026 - 160 с. (п)</t>
  </si>
  <si>
    <t>ГИПЕРТРОФИЧЕСКАЯ КАРДИОМИОПАТИЯ: ФАКТОРЫ РИСКА, ПРОГНОЗ И ВАРИАНТЫ ЛЕЧЕНИЯ, ИЗД.1</t>
  </si>
  <si>
    <t>Каплунова В. Ю., Привалова Е. В., Беленков Ю. Н.</t>
  </si>
  <si>
    <t>978-5-98281-335-0</t>
  </si>
  <si>
    <t>31.05.01, 32.04.01</t>
  </si>
  <si>
    <t>790083.02.01</t>
  </si>
  <si>
    <t>Гипсовые материалы для фасадных систем: Моногр. / И.В.Бессонов-М.:НИЦ ИНФРА-М,2023.-164 с.(о)</t>
  </si>
  <si>
    <t>ГИПСОВЫЕ МАТЕРИАЛЫ ДЛЯ ФАСАДНЫХ СИСТЕМ, ИЗД.1</t>
  </si>
  <si>
    <t>Бессонов И.В.</t>
  </si>
  <si>
    <t>978-5-16-018097-7</t>
  </si>
  <si>
    <t>08.00.00, 08.04.01, 08.05.01, 08.06.01, 20.06.01, 20.07.01</t>
  </si>
  <si>
    <t>НИИ строительной физики Российской Академии архитектуры и строительных наук</t>
  </si>
  <si>
    <t>857417.01.01</t>
  </si>
  <si>
    <t>Гироскопические курсоуказатели: Уч.пос. / К.Е.Яковлев. - М.:НИЦ ИНФРА-М,2026. - 269 с.(Воен. образ.)(п)</t>
  </si>
  <si>
    <t>ГИРОСКОПИЧЕСКИЕ КУРСОУКАЗАТЕЛИ, ИЗД.1</t>
  </si>
  <si>
    <t>Яковлев К.Е., Калечиц В.Г., Палий Н.Н. и др.</t>
  </si>
  <si>
    <t>978-5-16-021463-4</t>
  </si>
  <si>
    <t>269800.07.01</t>
  </si>
  <si>
    <t>Гистология и основы эмбриологии: Уч.пос. / Е.М.Ленченко - М.:НИЦ ИНФРА-М,2027. - 202 с.(ВО: Бакалавриат)(о)</t>
  </si>
  <si>
    <t>ГИСТОЛОГИЯ И ОСНОВЫ ЭМБРИОЛОГИИ, ИЗД.1</t>
  </si>
  <si>
    <t>Ленченко Е.М.</t>
  </si>
  <si>
    <t>978-5-16-009638-4</t>
  </si>
  <si>
    <t>Допущено Учебно-методическим объединением вузов России по образованию в области технологии сырья и продуктов животного происхождения в качестве учебного  пособия для подготовки бакалавров направления 36.03.01 (111900) «Ветеринарно-санитарная эксперти</t>
  </si>
  <si>
    <t>205800.14.01</t>
  </si>
  <si>
    <t>Гистология, цитология и эмбриология: Уч.пос. /  Студеникина Т.М. - М.:НИЦ ИНФРА-М,2026 - 574 с.-(ВО)(п)</t>
  </si>
  <si>
    <t>ГИСТОЛОГИЯ, ЦИТОЛОГИЯ И ЭМБРИОЛОГИЯ, ИЗД.1</t>
  </si>
  <si>
    <t>Студеникина Т. М., Вылегжанина Т. А., Островская Т. И., Стельмах И. А., Студеникина Т. М.</t>
  </si>
  <si>
    <t>978-5-16-019657-2</t>
  </si>
  <si>
    <t>06.03.01, 06.04.01, 30.05.01, 30.05.02, 30.05.03, 31.05.01, 31.05.02, 44.03.01, 44.03.05</t>
  </si>
  <si>
    <t>Допущено Министерством образования Республики Беларусь в качестве учебного пособия для студентов учреждений высшего образования по медицинским специальностям</t>
  </si>
  <si>
    <t>851955.01.01</t>
  </si>
  <si>
    <t>Гистология, цитология, эмбриология: Прак. / И.Л.Кравцова - М.:НИЦ ИНФРА-М, ГомГМУ,2025. - 234 с.(ВО)(п)</t>
  </si>
  <si>
    <t>ГИСТОЛОГИЯ, ЦИТОЛОГИЯ, ЭМБРИОЛОГИЯ, ИЗД.1</t>
  </si>
  <si>
    <t>Кравцова И.Л., Солодова Е.К., Мальцева Н.Г. и др.</t>
  </si>
  <si>
    <t>978-5-16-020806-0</t>
  </si>
  <si>
    <t>30.05.02, 30.05.03, 31.05.01, 31.05.02, 31.05.03, 32.05.01</t>
  </si>
  <si>
    <t>795333.02.01</t>
  </si>
  <si>
    <t>Глава государства в странах СНГ: Моногр. / А.В.Нечкин-М.:Юр. НОРМА,2024.-288 с.(П)</t>
  </si>
  <si>
    <t>ГЛАВА ГОСУДАРСТВА В СТРАНАХ СНГ, ИЗД.1</t>
  </si>
  <si>
    <t>Нечкин А.В.</t>
  </si>
  <si>
    <t>978-5-00156-278-8</t>
  </si>
  <si>
    <t>128330.11.01</t>
  </si>
  <si>
    <t>Глава государства. Сравнит.-прав. исслед.: Моногр. /В.Е.Чиркин - 2 изд. - Норма: ИНФРА-М,  2026 - 240 с.(о)</t>
  </si>
  <si>
    <t>ГЛАВА ГОСУДАРСТВА. СРАВНИТЕЛЬНО-ПРАВОВОЕ ИССЛЕДОВАНИЕ, ИЗД.2</t>
  </si>
  <si>
    <t>Чиркин В. Е.</t>
  </si>
  <si>
    <t>978-5-91768-453-6</t>
  </si>
  <si>
    <t>40.04.01, 40.05.01, 40.06.01</t>
  </si>
  <si>
    <t>822973.04.01</t>
  </si>
  <si>
    <t>Гладкость и геометрия движ. в нейрореабилитации ... / О.С.Васильев - М.:НИЦ ИНФРА-М,2026. - 209 с.: цв.ил.(п)</t>
  </si>
  <si>
    <t>ГЛАДКОСТЬ И ГЕОМЕТРИЯ ДВИЖЕНИЯ В НЕЙРОРЕАБИЛИТАЦИИ (ФОРМАЛИЗАЦИЯ ОЦЕНКИ КАЧЕСТВА ЖИЗНИ), ИЗД.1</t>
  </si>
  <si>
    <t>Васильев О.С., Ачкасов Е.Е., Рохлин А.В.</t>
  </si>
  <si>
    <t>978-5-16-019788-3</t>
  </si>
  <si>
    <t>30.05.02, 31.05.01, 32.05.01, 49.03.01</t>
  </si>
  <si>
    <t>282300.08.01</t>
  </si>
  <si>
    <t>Глобализация и интеграц.процессы в Азиат...: Моногр. /И.И.Шувалов-М.:НИЦ ИНФРА-М,ИЗиСП,2019-332с.(о)</t>
  </si>
  <si>
    <t>ГЛОБАЛИЗАЦИЯ И ИНТЕГРАЦИОННЫЕ ПРОЦЕССЫ В АЗИАТСКО-ТИХООКЕАНСКОМ РЕГИОНЕ (ПРАВОВОЕ И ЭКОНОМИЧЕСКОЕ ИССЛЕДОВАНИЕ), ИЗД.1</t>
  </si>
  <si>
    <t>978-5-16-010504-8</t>
  </si>
  <si>
    <t>38.03.01, 40.03.01, 40.04.01</t>
  </si>
  <si>
    <t>144150.05.01</t>
  </si>
  <si>
    <t>Глобализация, трансформация, кризис - что дальше? / Г.В.Колодко - М.:Магистр,2020.-176 с.(П)</t>
  </si>
  <si>
    <t>ГЛОБАЛИЗАЦИЯ, ТРАНСФОРМАЦИЯ, КРИЗИС - ЧТО ДАЛЬШЕ?, ИЗД.1</t>
  </si>
  <si>
    <t>Колодко Г. В., Гринберг Р. С.</t>
  </si>
  <si>
    <t>978-5-9776-0171-9</t>
  </si>
  <si>
    <t>Общественные науки в целом</t>
  </si>
  <si>
    <t>Научное издание</t>
  </si>
  <si>
    <t>38.03.01, 38.03.02, 38.03.04, 38.04.01, 38.04.02, 38.04.04, 38.04.08, 38.05.01, 38.05.02, 38.06.01, 38.07.02, 41.03.05, 44.03.05, 47.04.02</t>
  </si>
  <si>
    <t>Университета Козьминского</t>
  </si>
  <si>
    <t>745952.03.01</t>
  </si>
  <si>
    <t>Глобализм и экофилософия будущего: Моногр. / Н.М.Исмаилов - М.:НИЦ ИНФРА-М,2024 - 253 с.(Науч.мысль)(О)</t>
  </si>
  <si>
    <t>ГЛОБАЛИЗМ И ЭКОФИЛОСОФИЯ БУДУЩЕГО, ИЗД.1</t>
  </si>
  <si>
    <t>978-5-16-016670-4</t>
  </si>
  <si>
    <t>05.04.06, 05.06.01, 20.04.01, 20.04.02, 20.06.01, 47.04.01, 47.06.01</t>
  </si>
  <si>
    <t>763770.05.01</t>
  </si>
  <si>
    <t>Глобальная среда бизнеса: Уч. / Под ред. Клочко О.А. - М.:НИЦ ИНФРА-М,2026 - 438 с.(ВО)(П)</t>
  </si>
  <si>
    <t>ГЛОБАЛЬНАЯ СРЕДА БИЗНЕСА, ИЗД.1</t>
  </si>
  <si>
    <t>Бирюкова О.В., Бондаренко К.А., Гальченко Е.А. и др.</t>
  </si>
  <si>
    <t>978-5-16-021666-9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</si>
  <si>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9 от 17.11.2021)</t>
  </si>
  <si>
    <t>668061.05.01</t>
  </si>
  <si>
    <t>Глобальная экология - экономика и финансы: Моногр. / В.М.Пищулов - 2 изд. - М.:НИЦ ИНФРА-М,2023.-325 с.(П)</t>
  </si>
  <si>
    <t>ГЛОБАЛЬНАЯ ЭКОЛОГИЯ - ЭКОНОМИКА И ФИНАНСЫ, ИЗД.2</t>
  </si>
  <si>
    <t>Пищулов В.М.</t>
  </si>
  <si>
    <t>978-5-16-016616-2</t>
  </si>
  <si>
    <t>Уральский государственный лесотехнический университет</t>
  </si>
  <si>
    <t>668061.02.01</t>
  </si>
  <si>
    <t>Глобальная экология − экономика и финансы: Моногр./ В.М.Пищулов-М.:НИЦ ИНФРА-М,2020-310с(Науч.мысль)</t>
  </si>
  <si>
    <t>ГЛОБАЛЬНАЯ ЭКОЛОГИЯ − ЭКОНОМИКА И ФИНАНСЫ, ИЗД.1</t>
  </si>
  <si>
    <t>978-5-16-013306-5</t>
  </si>
  <si>
    <t>805690.01.01</t>
  </si>
  <si>
    <t>Глобальная энергетич. пробл. и мир. энерг. комплекс...: Уч.пос. / А.Н.Захаров-М.:НИЦ ИНФРА-М,2024.-387 с.(ВО)(п)</t>
  </si>
  <si>
    <t>ГЛОБАЛЬНАЯ ЭНЕРГЕТИЧЕСКАЯ ПРОБЛЕМА И МИРОВОЙ ЭНЕРГЕТИЧЕСКИЙ КОМПЛЕКС (РОССИЯ, США, ЕВРОПА, КИТАЙ), ИЗД.1</t>
  </si>
  <si>
    <t>Захаров А.Н., Аникина Е.М., Захаров А.Н.</t>
  </si>
  <si>
    <t>978-5-16-018944-4</t>
  </si>
  <si>
    <t>38.03.01, 38.04.01, 38.05.01, 41.03.01, 41.04.01, 41.04.05</t>
  </si>
  <si>
    <t>818789.02.01</t>
  </si>
  <si>
    <t>Глобальные зависимости и нац. особ. образоват. яз. политики... / М.А.Марусенко - М.:НИЦ ИНФРА-М,2026 - 227 с.(п)</t>
  </si>
  <si>
    <t>ГЛОБАЛЬНЫЕ ЗАВИСИМОСТИ И НАЦИОНАЛЬНЫЕ ОСОБЕННОСТИ ОБРАЗОВАТЕЛЬНОЙ ЯЗЫКОВОЙ ПОЛИТИКИ В РАЗВИВАЮЩИХСЯ СТРАНАХ, ИЗД.1</t>
  </si>
  <si>
    <t>Марусенко М.А., Марусенко Н.М.</t>
  </si>
  <si>
    <t>978-5-16-019620-6</t>
  </si>
  <si>
    <t>45.03.02, 45.04.02, 45.04.03</t>
  </si>
  <si>
    <t>АКАДЕМУС-2023, Победитель, III место
АИСТ'ИЯ-2025, Победитель</t>
  </si>
  <si>
    <t>632105.04.01</t>
  </si>
  <si>
    <t>Глобальные институты регулирования: Уч. / Под ред. Зуева В.Н.-М.:Магистр, НИЦ ИНФРА-М,2023.-576с.(П)</t>
  </si>
  <si>
    <t>ГЛОБАЛЬНЫЕ ИНСТИТУТЫ РЕГУЛИРОВАНИЯ, ИЗД.1</t>
  </si>
  <si>
    <t>Зуев В.Н.</t>
  </si>
  <si>
    <t>978-5-9776-0423-9</t>
  </si>
  <si>
    <t>320500.09.01</t>
  </si>
  <si>
    <t>Глобальные модели развития человечества: Уч.пос. / Г.В.Осипов. - М.:Юр.Норма,НИЦ ИНФРА-М,2026 - 256 с.(п)</t>
  </si>
  <si>
    <t>ГЛОБАЛЬНЫЕ МОДЕЛИ РАЗВИТИЯ ЧЕЛОВЕЧЕСТВА, ИЗД.1</t>
  </si>
  <si>
    <t>Осипов Г.В., Лисичкин В.А., Садовничий В.А.</t>
  </si>
  <si>
    <t>Социальные науки и математика</t>
  </si>
  <si>
    <t>978-5-91768-557-1</t>
  </si>
  <si>
    <t>06.04.01, 38.03.01, 41.04.05, 47.04.02</t>
  </si>
  <si>
    <t>633935.13.01</t>
  </si>
  <si>
    <t>Глоссарий юр. терминов по антикоррупц. темат.: Сл. / Н.А.Власенко. - М.:НИЦ ИНФРА-М,2026 - 168 с.(О)</t>
  </si>
  <si>
    <t>ГЛОССАРИЙ ЮРИДИЧЕСКИХ ТЕРМИНОВ ПО АНТИКОРРУПЦИОННОЙ ТЕМАТИКЕ, ИЗД.1</t>
  </si>
  <si>
    <t>Власенко Н.А., Цирин А.М., Спектор Е.И. и др.</t>
  </si>
  <si>
    <t>978-5-16-012084-3</t>
  </si>
  <si>
    <t>38.03.01, 40.02.04, 40.03.01, 40.04.01, 40.05.01, 40.05.02, 40.05.03</t>
  </si>
  <si>
    <t>707061.02.01</t>
  </si>
  <si>
    <t>Гносеологические аспекты процес. самоорганизации...: Моногр. / М.Ю. Куссый. - М.:ИНФРА-М, 2022-179с(О)</t>
  </si>
  <si>
    <t>ГНОСЕОЛОГИЧЕСКИЕ АСПЕКТЫ ПРОЦЕССОВ САМООРГАНИЗАЦИИ В СОЦИАЛЬНО-ЭКОНОМИЧЕСКИХ СИСТЕМАХ С ПОЗИЦИЙ ЭКОНОМИКО-МАТЕМАТИЧЕСКОГО МОДЕЛИРОВАНИЯ, ИЗД.1</t>
  </si>
  <si>
    <t>Куссый М.Ю.</t>
  </si>
  <si>
    <t>978-5-16-017450-1</t>
  </si>
  <si>
    <t>38.03.05, 38.04.01, 38.04.02, 38.04.05</t>
  </si>
  <si>
    <t>445600.13.01</t>
  </si>
  <si>
    <t>Говорите языком схем: Краткий справ ./ В.Б.Исаков - 2 изд. - М.:Юр.Норма, НИЦ ИНФРА-М,2026 - 216 с.(О)</t>
  </si>
  <si>
    <t>ГОВОРИТЕ ЯЗЫКОМ СХЕМ, ИЗД.2</t>
  </si>
  <si>
    <t>Исаков В.Б.</t>
  </si>
  <si>
    <t>978-5-00156-230-6</t>
  </si>
  <si>
    <t>445600.07.01</t>
  </si>
  <si>
    <t>Говорите языком схем: Краткий справочник / В.Б.Исаков - М.:Юр.Норма, НИЦ ИНФРА-М,2021.-144 с.(О)</t>
  </si>
  <si>
    <t>ГОВОРИТЕ ЯЗЫКОМ СХЕМ, ИЗД.1</t>
  </si>
  <si>
    <t>978-5-91768-665-3</t>
  </si>
  <si>
    <t>334100.13.01</t>
  </si>
  <si>
    <t>Годы решений: Моногр. / О.Шпенглер - М.:НИЦ ИНФРА-М,2027 - 117 с.(Науч.мысль)(О)</t>
  </si>
  <si>
    <t>ГОДЫ РЕШЕНИЙ, ИЗД.1</t>
  </si>
  <si>
    <t>Шпенглер О., Афанасьев В.В.</t>
  </si>
  <si>
    <t>978-5-16-010649-6</t>
  </si>
  <si>
    <t>254500.07.01</t>
  </si>
  <si>
    <t>Горение органического топлива: Уч.пос. / А.А.Кудинов-М.:НИЦ ИНФРА-М,2023.-390 с.(ВО: Бакалавр.)(П)</t>
  </si>
  <si>
    <t>ГОРЕНИЕ ОРГАНИЧЕСКОГО ТОПЛИВА, ИЗД.1</t>
  </si>
  <si>
    <t>978-5-16-009439-7</t>
  </si>
  <si>
    <t>13.03.01, 13.03.03, 13.04.01, 13.04.03</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</si>
  <si>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бакалавров 13.03.01 «Теплоэнергетика и теплотехника»</t>
  </si>
  <si>
    <t>645911.07.01</t>
  </si>
  <si>
    <t>Горное право: Уч. / А.В.Лагуткин - М.:НИЦ ИНФРА-М,2023 - 268 с.-(ВО)(П)</t>
  </si>
  <si>
    <t>ГОРНОЕ ПРАВО, ИЗД.1</t>
  </si>
  <si>
    <t>Лагуткин А.В.</t>
  </si>
  <si>
    <t>978-5-16-018448-7</t>
  </si>
  <si>
    <t>672148.06.01</t>
  </si>
  <si>
    <t>Горные машины карьеров: Уч.пос. /И.И.Демченко - М.:НИЦ ИНФРА-М, СФУ,2025 - 250 с(ВО (СФУ))(П)</t>
  </si>
  <si>
    <t>ГОРНЫЕ МАШИНЫ КАРЬЕРОВ, ИЗД.1</t>
  </si>
  <si>
    <t>Демченко И.И., Плотников И.С.</t>
  </si>
  <si>
    <t>978-5-16-021060-5</t>
  </si>
  <si>
    <t>21.05.04, 21.05.06</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</si>
  <si>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направлениям подготовки (специальностям) «Горное дело» и «Физические процессы горного или нефтегазового производства»</t>
  </si>
  <si>
    <t>758583.01.01</t>
  </si>
  <si>
    <t>Городище Артезиан в эпоху Средневековья: Моногр. / Н.И.Винокуров-М.:НИЦ ИНФРА-М,2022.-343 с.(Науч.мысль)(О)</t>
  </si>
  <si>
    <t>ГОРОДИЩЕ АРТЕЗИАН В ЭПОХУ СРЕДНЕВЕКОВЬЯ, ИЗД.1</t>
  </si>
  <si>
    <t>Винокуров Н.И., Пономарев Л.Ю.</t>
  </si>
  <si>
    <t>978-5-16-017103-6</t>
  </si>
  <si>
    <t>46.03.01, 46.04.01, 46.06.01, 50.03.03, 50.06.01, 51.03.04, 51.04.04, 51.06.01</t>
  </si>
  <si>
    <t>094690.09.01</t>
  </si>
  <si>
    <t>Господство: Очерки политической философии: Моногр. / И.А.Исаев - М.:Юр.Норма,НИЦ ИНФРА-М,2026 - 352 с.(О)</t>
  </si>
  <si>
    <t>ГОСПОДСТВО: ОЧЕРКИ ПОЛИТИЧЕСКОЙ ФИЛОСОФИИ, ИЗД.1</t>
  </si>
  <si>
    <t>Исаев И.А.</t>
  </si>
  <si>
    <t>978-5-00156-019-7</t>
  </si>
  <si>
    <t>41.04.04, 47.03.01, 47.04.01</t>
  </si>
  <si>
    <t>735065.06.01</t>
  </si>
  <si>
    <t>Гостеприимство и сервис в индустрии пит.: Уч.пос. / Л.Н.Рождественская - М.:НИЦ ИНФРА-М,2027 -179с(СПО)(п)</t>
  </si>
  <si>
    <t>ГОСТЕПРИИМСТВО И СЕРВИС В ИНДУСТРИИ ПИТАНИЯ, ИЗД.1</t>
  </si>
  <si>
    <t>Рождественская Л.Н., Главчева С.И., Чередниченко Л.Е.</t>
  </si>
  <si>
    <t>978-5-16-016163-1</t>
  </si>
  <si>
    <t>19.02.10, 43.02.01, 43.02.11, 43.02.15, 43.02.16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</si>
  <si>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19.02.10 «Технология продукции общественного питания»,  43.02.11 «Гостиничный сервис», 43.02.01 «Организация обслуживания в общественном питании» (протокол № 6 от 06.04.2020)</t>
  </si>
  <si>
    <t>721073.04.01</t>
  </si>
  <si>
    <t>Гостеприимство и сервис в индустрии питания: Уч.пос. / Л.Н.Рождественская - М.:НИЦ ИНФРА-М,2025 - 183 с.(ВО)(П)</t>
  </si>
  <si>
    <t>978-5-16-015814-3</t>
  </si>
  <si>
    <t>19.03.04, 38.03.02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</si>
  <si>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19.03.04 «Технология продукции и организация общественного питания», 38.03.02 «Менеджмент» (квалификация (степень) «бакалавр») (протокол № 15 от 14.10.2019)</t>
  </si>
  <si>
    <t>238100.17.01</t>
  </si>
  <si>
    <t>Гости из прошлого: Словарь редких слов: В 3 т.Т 2: К-П / Е.В.Гаева - М.:НИЦ ИНФРА-М,2027-652 с.(о)</t>
  </si>
  <si>
    <t>ГОСТИ ИЗ ПРОШЛОГО: СЛОВАРЬ РЕДКИХ СЛОВ., ИЗД.1</t>
  </si>
  <si>
    <t>Гаева Е.В.</t>
  </si>
  <si>
    <t>978-5-16-011397-5</t>
  </si>
  <si>
    <t>45.03.01, 45.03.04, 45.04.01, 45.04.04, 45.05.01</t>
  </si>
  <si>
    <t>Курганский государственный университет</t>
  </si>
  <si>
    <t>237900.17.01</t>
  </si>
  <si>
    <t>Гости из прошлого: Словарь редких слов: В 3 т.Т.1: А-Й / Е.В.Гаева - М.:НИЦ ИНФРА-М,2027 - 631 с.(о)[12+]</t>
  </si>
  <si>
    <t>ГОСТИ ИЗ ПРОШЛОГО: СЛОВАРЬ РЕДКИХ СЛОВ., Т.1</t>
  </si>
  <si>
    <t>978-5-16-011396-8</t>
  </si>
  <si>
    <t>238200.17.01</t>
  </si>
  <si>
    <t>Гости из прошлого: Словарь редких слов: В 3 т.Т.3: П-Я / Е.В.Гаева - М.:НИЦ ИНФРА-М,2027 - 621 с.(о)[12+]</t>
  </si>
  <si>
    <t>ГОСТИ ИЗ ПРОШЛОГО: СЛОВАРЬ РЕДКИХ СЛОВ, Т.3</t>
  </si>
  <si>
    <t>978-5-16-011399-9</t>
  </si>
  <si>
    <t>817385.01.01</t>
  </si>
  <si>
    <t>Гостиничное дело: англ. яз. в проф сфере.: Уч.пос. / Д.А.Миронова - М.:НИЦ ИНФРА-М,2025. - 199 с.(ВО)(п)</t>
  </si>
  <si>
    <t>ГОСТИНИЧНОЕ ДЕЛО: АНГЛИЙСКИЙ ЯЗЫК В ПРОФЕССИОНАЛЬНОЙ СФЕРЕ. PROFESSIONAL ENGLISH IN HOSPITALITY INDUSTRY, ИЗД.1</t>
  </si>
  <si>
    <t>Миронова Д.А., Калашникова Н.А., Малыхина И.А. и др.</t>
  </si>
  <si>
    <t>978-5-16-019472-1</t>
  </si>
  <si>
    <t>43.03.03</t>
  </si>
  <si>
    <t>654596.05.01</t>
  </si>
  <si>
    <t>Гостиничное дело: Сл. / Под ред. Морозовой Н.С. - М.:НИЦ ИНФРА-М,2023 - 247 с.(Б-ка сл. ИНФРА-М)(П)</t>
  </si>
  <si>
    <t>ГОСТИНИЧНОЕ ДЕЛО, ИЗД.1</t>
  </si>
  <si>
    <t>Морозова Н.С., Морозов М.М., Маврина Н.Ф. и др.</t>
  </si>
  <si>
    <t>978-5-16-014764-2</t>
  </si>
  <si>
    <t>43.03.03, 43.04.02, 43.04.03</t>
  </si>
  <si>
    <t>682855.02.01</t>
  </si>
  <si>
    <t>Гостиничный менеджмент: Уч. пос. / Н.В.Дмитриева, - 2 изд. - М.:НИЦ ИНФРА-М,2026. - 326 с.(СПО)(п)</t>
  </si>
  <si>
    <t>ГОСТИНИЧНЫЙ МЕНЕДЖМЕНТ, ИЗД.2</t>
  </si>
  <si>
    <t>Дмитриева Н.В., Зайцева Н.А., Огнева С.В. и др.</t>
  </si>
  <si>
    <t>978-5-16-015905-8</t>
  </si>
  <si>
    <t>300400.13.01</t>
  </si>
  <si>
    <t>Гостиничный менеджмент: Уч.пос. / Под ред. Зайцевой Н.А. - 2 изд. - М.:НИЦ ИНФРА-М,2027. - 326 с.(ВО)(П)</t>
  </si>
  <si>
    <t>Дмитриева Н.В., Зайцева Н.А., Огнева Е.А. и др.</t>
  </si>
  <si>
    <t>978-5-16-014389-7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</si>
  <si>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 (протокол № 5 от 16.03.2020)</t>
  </si>
  <si>
    <t>300400.08.01</t>
  </si>
  <si>
    <t>Гостиничный менеджмент: Уч.пос. / Под ред. Зайцевой Н.А. - М.:НИЦ ИНФРА-М,2022 - 352 с.(П)</t>
  </si>
  <si>
    <t>ГОСТИНИЧНЫЙ МЕНЕДЖМЕНТ, ИЗД.1</t>
  </si>
  <si>
    <t>978-5-16-016041-2</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</si>
  <si>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 (регистрационный номер рецензии 329 от 02.07.2014 (ФГАУ ФИРО))</t>
  </si>
  <si>
    <t>219600.11.01</t>
  </si>
  <si>
    <t>Гостиничный сервис: Уч. / Н.Г.Можаева - 2 изд.- М.:НИЦ ИНФРА-М,2026 - 242 с.(СПО)(П)</t>
  </si>
  <si>
    <t>ГОСТИНИЧНЫЙ СЕРВИС, ИЗД.2</t>
  </si>
  <si>
    <t>Можаева Н.Г., Рыбачек Г.В.</t>
  </si>
  <si>
    <t>978-5-16-015561-6</t>
  </si>
  <si>
    <t>Рекомендовано федеральным государственным бюджетным образовательным учреждением высшего образования «Государственный университет управления» в качестве учебника для студентов средних профессиональных учебных заведений, обучающихся по специальности 43.02.11 «Гостиничный сервис»</t>
  </si>
  <si>
    <t>219600.04.01</t>
  </si>
  <si>
    <t>Гостиничный сервис: Уч. / Н.Г.Можаева - М.:Альфа-М, НИЦ ИНФРА-М,2018-240с.(ПРОФИль)(п)</t>
  </si>
  <si>
    <t>ГОСТИНИЧНЫЙ СЕРВИС, ИЗД.1</t>
  </si>
  <si>
    <t>Можаева Н. Г., Рыбачек Г. В.</t>
  </si>
  <si>
    <t>978-5-98281-357-2</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</si>
  <si>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студентов средних учебных заведений, обучающихся по специальности 101101 "Гостиничный сервис"</t>
  </si>
  <si>
    <t>651768.11.01</t>
  </si>
  <si>
    <t>Государственная антикоррупц.политика: Уч. / Под ред. Абрамова Р.А. - М.:НИЦ ИНФРА-М,2025 - 429 с.(ВО)(П)</t>
  </si>
  <si>
    <t>ГОСУДАРСТВЕННАЯ АНТИКОРРУПЦИОННАЯ ПОЛИТИКА, ИЗД.1</t>
  </si>
  <si>
    <t>Абрамов Р.А., Мухаев Р.Т., Жигун Л.А. и др.</t>
  </si>
  <si>
    <t>978-5-16-018435-7</t>
  </si>
  <si>
    <t>38.03.01, 38.03.04, 38.04.09, 41.03.04, 41.03.06</t>
  </si>
  <si>
    <t>Рекомендовано в качестве учебника для студентов высших учебных заведений, обучающихся по направлениям подготовки 38.03.04 «Государственное и муниципальное управление» (квалификация (степень) «бакалавр»)</t>
  </si>
  <si>
    <t>745647.03.01</t>
  </si>
  <si>
    <t>Государственная антикоррупционная политика: Уч. / Под ред. Абрамов Р.А.-М.:НИЦ ИНФРА-М,2021.-429 с..-(П)</t>
  </si>
  <si>
    <t>978-5-16-016539-4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</si>
  <si>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38.05.00 «Экономика и управление», 40.05.00 «Юриспруденция»  (протокол № 8 от 22.06.2020)</t>
  </si>
  <si>
    <t>675026.03.01</t>
  </si>
  <si>
    <t>Государственная власть в соц. орг.совр.общ.: Моногр./ А.Ю.Мамычев-М:ИЦ РИОР,НИЦ ИНФРА-М,2025-290с(П)</t>
  </si>
  <si>
    <t>ГОСУДАРСТВЕННАЯ ВЛАСТЬ В СОЦИОКУЛЬТУРНОЙ ОРГАНИЗАЦИИ СОВРЕМЕННОГО ОБЩЕСТВА, ИЗД.1</t>
  </si>
  <si>
    <t>Мамычев А.Ю.</t>
  </si>
  <si>
    <t>978-5-369-01737-1</t>
  </si>
  <si>
    <t>00.03.07, 38.03.04, 38.04.04, 39.04.02, 40.03.01, 41.03.06, 41.04.04, 44.03.05</t>
  </si>
  <si>
    <t>768723.01.01</t>
  </si>
  <si>
    <t>Государственная деят. и эконом. функция права: Моногр. / А.Г.Чернявский - М.:НИЦ ИНФРА-М,2022-176 с.(О)</t>
  </si>
  <si>
    <t>ГОСУДАРСТВЕННАЯ ДЕЯТЕЛЬНОСТЬ И ЭКОНОМИЧЕСКАЯ ФУНКЦИЯ ПРАВА: ФИЛОСОФСКО-ПРАВОВОЕ ИССЛЕДОВАНИЕ, ИЗД.1</t>
  </si>
  <si>
    <t>978-5-16-017333-7</t>
  </si>
  <si>
    <t>38.03.01, 38.04.01, 38.06.01, 40.03.01, 40.04.01, 40.06.01</t>
  </si>
  <si>
    <t>645327.05.01</t>
  </si>
  <si>
    <t>Государственная и муниципальная служба: Уч. / Ю.П.Кузякин - М.:НИЦ ИНФРА-М,2023 - 284 с.(ВО)(П)</t>
  </si>
  <si>
    <t>ГОСУДАРСТВЕННАЯ И МУНИЦИПАЛЬНАЯ СЛУЖБА, ИЗД.1</t>
  </si>
  <si>
    <t>Кузякин Ю.П., Ермоленко А.А.</t>
  </si>
  <si>
    <t>978-5-16-018444-9</t>
  </si>
  <si>
    <t>38.03.04, 38.04.04, 40.03.01, 40.04.01, 40.05.02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</si>
  <si>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38.03.04 «Государственное и муниципальное управление», 40.03.01 «Юриспруденция» (квалификация (степень) бакалавр») (протокол  № 12 от 24.06.2019)</t>
  </si>
  <si>
    <t>657348.05.01</t>
  </si>
  <si>
    <t>Государственная кадровая полит. в Сов. Союзе и совр. России...: Моногр./ С.Н.Федорченко-М.:НИЦ ИНФРА-М,2027-154с.(П)</t>
  </si>
  <si>
    <t>ГОСУДАРСТВЕННАЯ КАДРОВАЯ ПОЛИТИКА В СОВЕТСКОМ СОЮЗЕ И СОВРЕМЕННОЙ РОССИИ: ПОЛИТИКО-ФИЛОСОФСКИЙ АНАЛИЗ, ИЗД.1</t>
  </si>
  <si>
    <t>Федорченко С.Н.</t>
  </si>
  <si>
    <t>978-5-16-012854-2</t>
  </si>
  <si>
    <t>38.03.01, 38.03.03, 38.04.03, 38.04.04, 41.03.06</t>
  </si>
  <si>
    <t>670456.02.01</t>
  </si>
  <si>
    <t>Государственная культурная полит. в Сибирск. федер. округе...: Моногр./Н.П.Копцева-М.:НИЦ ИНФРА-М,СФУ,2020-160с</t>
  </si>
  <si>
    <t>ГОСУДАРСТВЕННАЯ КУЛЬТУРНАЯ ПОЛИТИКА В СИБИРСКОМ ФЕДЕРАЛЬНОМ ОКРУГЕ: КОНЦЕПЦИИ, ПРОБЛЕМЫ, ИССЛЕДОВАНИЯ, ИЗД.1</t>
  </si>
  <si>
    <t>Копцева Н.П., Лузан В.С.</t>
  </si>
  <si>
    <t>978-5-16-013356-0</t>
  </si>
  <si>
    <t>458050.09.01</t>
  </si>
  <si>
    <t>Государственная орг. общественной жизнедеят..: Моногр. /А.Д.Керимов -М.: Юр.Норма, НИЦ ИНФРА-М, 2024.-192 с.(п)</t>
  </si>
  <si>
    <t>ГОСУДАРСТВЕННАЯ ОРГАНИЗАЦИЯ ОБЩЕСТВЕННОЙ ЖИЗНЕДЕЯТЕЛЬНОСТИ: ВОПРОСЫ ТЕОРИИ, ИЗД.1</t>
  </si>
  <si>
    <t>Керимов А. Д.</t>
  </si>
  <si>
    <t>978-5-91768-448-2</t>
  </si>
  <si>
    <t>740305.01.01</t>
  </si>
  <si>
    <t>Государственная полит. в отнош. городов и регионов с...: Моногр. / С.Н.Крекотнев-М.:НИЦ ИНФРА-М,2021.-260 с(О)</t>
  </si>
  <si>
    <t>ГОСУДАРСТВЕННАЯ ПОЛИТИКА В ОТНОШЕНИИ ГОРОДОВ И РЕГИОНОВ С МОНОСПЕЦИАЛИЗАЦИЕЙ: ОПЫТ И ПРИОРИТЕТЫ, ИЗД.1</t>
  </si>
  <si>
    <t>Крекотнев С.Н.</t>
  </si>
  <si>
    <t>978-5-16-016332-1</t>
  </si>
  <si>
    <t>740305.02.01</t>
  </si>
  <si>
    <t>Государственная полит. в отнош. городов и регионов с...: Моногр. / С.Н.Крекотнев-М.:НИЦ ИНФРА-М,2021.-260 с(П)</t>
  </si>
  <si>
    <t>978-5-16-017049-7</t>
  </si>
  <si>
    <t>714041.02.01</t>
  </si>
  <si>
    <t>Государственная регламентация образоват. деят.:Моногр./ А.Г.Чернявский -М.:НИЦ ИНФРА-М,2023.-200 с(П)</t>
  </si>
  <si>
    <t>ГОСУДАРСТВЕННАЯ РЕГЛАМЕНТАЦИЯ ОБРАЗОВАТЕЛЬНОЙ ДЕЯТЕЛЬНОСТИ, ИЗД.1</t>
  </si>
  <si>
    <t>Чернявский А.Г., Пашенцев Д.А., Ладнушкина Н.М. и др.</t>
  </si>
  <si>
    <t>978-5-16-015463-3</t>
  </si>
  <si>
    <t>44.03.01, 44.03.05, 44.04.01, 44.04.02, 44.04.04</t>
  </si>
  <si>
    <t>457900.03.01</t>
  </si>
  <si>
    <t>Государственная служба в учр..: Моногр. / А.В.Каляшин, - 2-изд.-М.:ИЦ РИОР, НИЦ ИНФРА-М,2018-99с.(О)</t>
  </si>
  <si>
    <t>ГОСУДАРСТВЕННАЯ СЛУЖБА В УЧРЕЖДЕНИЯХ И ОРГАНАХ УГОЛОВНО-ИСПОЛНИТЕЛЬНОЙ СИСТЕМЫ РФ: ТЕОРИЯ И ПРАКТИКА РАЗВИТИЯ, ИЗД.2</t>
  </si>
  <si>
    <t>Каляшин А.В.</t>
  </si>
  <si>
    <t>978-5-369-01588-9</t>
  </si>
  <si>
    <t>38.03.04, 40.03.01, 40.04.01</t>
  </si>
  <si>
    <t>Владимирский юридический институт Федеральной службы исполнения наказаний</t>
  </si>
  <si>
    <t>457900.04.01</t>
  </si>
  <si>
    <t>Государственная служба в учр..: Моногр. / А.В.Каляшин, - 3 изд. - М.:ИЦ РИОР, НИЦ ИНФРА-М,2026 - 121 с.(О)</t>
  </si>
  <si>
    <t>ГОСУДАРСТВЕННАЯ СЛУЖБА В УЧРЕЖДЕНИЯХ И ОРГАНАХ УГОЛОВНО-ИСПОЛНИТЕЛЬНОЙ СИСТЕМЫ РФ: ТЕОРИЯ И ПРАКТИКА РАЗВИТИЯ, ИЗД.3</t>
  </si>
  <si>
    <t>978-5-369-01998-6</t>
  </si>
  <si>
    <t>332100.10.01</t>
  </si>
  <si>
    <t>Государственная служба и служеб. право: Уч.пос. / Ю.Н.Старилов - 2 изд. - М.:Юр.НОРМА, НИЦ ИНФРА-М,2026 - 448 с.(п)</t>
  </si>
  <si>
    <t>ГОСУДАРСТВЕННАЯ СЛУЖБА И СЛУЖЕБНОЕ ПРАВО, ИЗД.2</t>
  </si>
  <si>
    <t>Старилов Ю. Н.</t>
  </si>
  <si>
    <t>978-5-00156-285-6</t>
  </si>
  <si>
    <t>38.03.04, 40.03.01, 40.05.01, 40.05.02, 40.05.03, 40.05.04, 44.03.05, 46.03.02</t>
  </si>
  <si>
    <t>332100.06.01</t>
  </si>
  <si>
    <t>Государственная служба и служеб.право: Уч.пос. /Ю.Н.Старилов -М.:Юр.Норма,НИЦ ИНФРА-М,2018-240с(о)</t>
  </si>
  <si>
    <t>ГОСУДАРСТВЕННАЯ СЛУЖБА И СЛУЖЕБНОЕ ПРАВО, ИЗД.1</t>
  </si>
  <si>
    <t>978-5-91768-701-8</t>
  </si>
  <si>
    <t>684043.05.01</t>
  </si>
  <si>
    <t>Государственная служба РФ в правоохранит. сфере...: Моногр. / Р.В.Нагорных - М.:НИЦ ИНФРА-М,2025 - 190 с.(П)</t>
  </si>
  <si>
    <t>ГОСУДАРСТВЕННАЯ СЛУЖБА РОССИЙСКОЙ ФЕДЕРАЦИИ В ПРАВООХРАНИТЕЛЬНОЙ СФЕРЕ: ПРОБЛЕМЫ ТЕОРИИ И ПРАКТИКИ АДМИНИСТРАТИВНО-ПРАВОВОГО РЕГУЛИРОВАНИЯ, ИЗД.1</t>
  </si>
  <si>
    <t>978-5-16-014080-3</t>
  </si>
  <si>
    <t>817781.02.01</t>
  </si>
  <si>
    <t>Государственная служба РФ: Уч. / Ю.Н.Овсянников - М.:НИЦ ИНФРА-М,2026. - 284 с.(ВО)(п)</t>
  </si>
  <si>
    <t>ГОСУДАРСТВЕННАЯ СЛУЖБА РОССИЙСКОЙ ФЕДЕРАЦИИ, ИЗД.1</t>
  </si>
  <si>
    <t>Овсянников Ю.Н.</t>
  </si>
  <si>
    <t>978-5-16-019502-5</t>
  </si>
  <si>
    <t>10.05.04, 38.03.04, 40.03.01, 40.04.01, 40.05.01, 40.05.02, 40.05.04, 41.03.06, 44.04.04</t>
  </si>
  <si>
    <t>419950.08.01</t>
  </si>
  <si>
    <t>Государственная служба:основные этапы развития как..: Уч.пос. / С.Ю.Кабашов - М.:НИЦ ИНФРА-М,2027 - 286 с .(п)</t>
  </si>
  <si>
    <t>ГОСУДАРСТВЕННАЯ СЛУЖБА: ОСНОВНЫЕ ЭТАПЫ РАЗВИТИЯ КАК НАУКИ И ПРОФЕССИИ ОТ ДРЕВНЕГО МИРА ДО НАЧАЛА XX ВЕКА, ИЗД.1</t>
  </si>
  <si>
    <t>Кабашов С. Ю.</t>
  </si>
  <si>
    <t>978-5-16-019161-4</t>
  </si>
  <si>
    <t>38.03.04, 38.04.04</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</si>
  <si>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38.03.04 «Государственное и муниципальное управление» (квалификация «бакалавр»)</t>
  </si>
  <si>
    <t>337000.03.01</t>
  </si>
  <si>
    <t>Государственная фин.поддержка АПК..: Моногр. / М.Р.Пинская-М.:НИЦ ИНФРА-М,2018-178с.(Науч.мысль)(о)</t>
  </si>
  <si>
    <t>ГОСУДАРСТВЕННАЯ ФИНАНСОВАЯ ПОДДЕРЖКА АПК: НАЛОГОВЫЕ И БЮДЖЕТНЫЕ ИНСТРУМЕНТЫ, ИЗД.1</t>
  </si>
  <si>
    <t>Пинская М.Р., Тихонова А.В.</t>
  </si>
  <si>
    <t>978-5-16-011856-7</t>
  </si>
  <si>
    <t>35.03.04, 35.03.05, 35.03.07, 35.04.04, 35.04.05, 35.06.01, 38.04.01, 38.04.02, 38.04.04, 38.04.08, 38.06.01</t>
  </si>
  <si>
    <t>747875.05.01</t>
  </si>
  <si>
    <t>Государственное и муниципальное упр.: Уч. / Р.Т.Мухаев - М.:НИЦ ИНФРА-М,2024 - 468 с.(ВО: Бакалавр.)(П)</t>
  </si>
  <si>
    <t>ГОСУДАРСТВЕННОЕ И МУНИЦИПАЛЬНОЕ УПРАВЛЕНИЕ, ИЗД.1</t>
  </si>
  <si>
    <t>Мухаев Р.Т., Абрамов Р.А.</t>
  </si>
  <si>
    <t>978-5-16-016727-5</t>
  </si>
  <si>
    <t>38.03.02, 38.03.04, 38.04.04, 44.03.05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</si>
  <si>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38.03.04 «Государственное и муниципальное управление», 41.03.04 «Политология», 38.03.02 «Менеджмент» (квалификация (степень) «бакалавр») (протокол № 3 от 17.03.2021)</t>
  </si>
  <si>
    <t>АКАДЕМУС-2020, Победитель
Учебник года-2025, Лауреат</t>
  </si>
  <si>
    <t>747875.06.01</t>
  </si>
  <si>
    <t>Государственное и муниципальное управ.: Уч. / Р.Т.Мухаев, - 2 изд.-М.:НИЦ ИНФРА-М,2024.-477 с.(ВО (РЭУ))(п)</t>
  </si>
  <si>
    <t>ГОСУДАРСТВЕННОЕ И МУНИЦИПАЛЬНОЕ УПРАВЛЕНИЕ, ИЗД.2</t>
  </si>
  <si>
    <t>978-5-16-019518-6</t>
  </si>
  <si>
    <t>237800.06.01</t>
  </si>
  <si>
    <t>Государственное и муниципальное управление: Уч. / Под ред. Захарова Н.И.-М.:НИЦ ИНФРА-М,2024-289 с.(ВО)(п)</t>
  </si>
  <si>
    <t>Попов В.Д., Есин В.А., Шитова Ю.Ю. и др.</t>
  </si>
  <si>
    <t>978-5-16-019479-0</t>
  </si>
  <si>
    <t>38.03.04, 38.04.04, 44.03.05</t>
  </si>
  <si>
    <t>Допущено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t>
  </si>
  <si>
    <t>186400.13.01</t>
  </si>
  <si>
    <t>Государственное регулир. нац. экономики: Уч.пос. /Д.С.Петросян - М.:НИЦ ИНФРА-М, 2025 - 300 с.(ВО:Магистр.)</t>
  </si>
  <si>
    <t>ГОСУДАРСТВЕННОЕ РЕГУЛИРОВАНИЕ НАЦИОНАЛЬНОЙ ЭКОНОМИКИ.НОВЫЕ НАПРАВЛЕНИЯ ТЕОРИИ: ГУМАНИСТИЧЕСКИЙ ПОДХОД, ИЗД.1</t>
  </si>
  <si>
    <t>Петросян Д.С.</t>
  </si>
  <si>
    <t>978-5-16-012790-3</t>
  </si>
  <si>
    <t>38.03.01, 38.04.01, 38.04.08, 44.03.01</t>
  </si>
  <si>
    <t>Рекомендовано в качестве учебного пособия для студентов высших учебных заведений, обучающихся по направлениям подготовки 38.03.01 «Экономика» и 38.03.02 «Менеджмент» (квалификация (степень) «магистр»)</t>
  </si>
  <si>
    <t>Институт региональных экономических исследований</t>
  </si>
  <si>
    <t>804001.01.01</t>
  </si>
  <si>
    <t>Государственное регулир. предприним. деят-ти в услов... / М.В.Шатохин-М.:НИЦ ИНФРА-М,2023.-222 с(о)</t>
  </si>
  <si>
    <t>ГОСУДАРСТВЕННОЕ РЕГУЛИРОВАНИЕ ПРЕДПРИНИМАТЕЛЬСКОЙ ДЕЯТЕЛЬНОСТИ В УСЛОВИЯХ ГЕОПОЛИТИЧЕСКОЙ НЕСТАБИЛЬНОСТИ, ИЗД.1</t>
  </si>
  <si>
    <t>Шатохин М.В., Васильева О.Н., Жахов Н.В. и др.</t>
  </si>
  <si>
    <t>978-5-16-018595-8</t>
  </si>
  <si>
    <t>38.03.01, 38.04.04</t>
  </si>
  <si>
    <t>651700.06.01</t>
  </si>
  <si>
    <t>Государственное регулир. рыночной эконом..: Моногр. / Е.П.Губин - М.:Юр.Норма,НИЦ ИНФРА-М,2025 - 316 c.(П)</t>
  </si>
  <si>
    <t>ГОСУДАРСТВЕННОЕ РЕГУЛИРОВАНИЕ РЫНОЧНОЙ ЭКОНОМИКИ И ПРЕДПРИНИМАТЕЛЬСТВА: ПРАВОВЫЕ ПРОБЛЕМЫ, ИЗД.1</t>
  </si>
  <si>
    <t>Губин Е.П.</t>
  </si>
  <si>
    <t>978-5-91768-836-7</t>
  </si>
  <si>
    <t>38.03.01, 38.03.04, 40.03.01, 40.04.01, 44.03.01, 44.03.05</t>
  </si>
  <si>
    <t>833162.01.01</t>
  </si>
  <si>
    <t>Государственное регулир. торговой деят.: Уч.пос. / Л.И.Дмитриченко - М.:НИЦ ИНФРА-М,2025. - 174 с.(ВО)(п)</t>
  </si>
  <si>
    <t>ГОСУДАРСТВЕННОЕ РЕГУЛИРОВАНИЕ ТОРГОВОЙ ДЕЯТЕЛЬНОСТИ, ИЗД.1</t>
  </si>
  <si>
    <t>Дмитриченко Л.И., Дмитриченко Л.А., Головинов О.Н.</t>
  </si>
  <si>
    <t>978-5-16-020107-8</t>
  </si>
  <si>
    <t>38.04.06, 38.04.07</t>
  </si>
  <si>
    <t>Донецкий Государственный Университет</t>
  </si>
  <si>
    <t>212400.09.01</t>
  </si>
  <si>
    <t>Государственное регулир. экономики: Уч. / И.С.Цыпин - М.:НИЦ ИНФРА-М,2025 - 296 с.(ВО)(П)</t>
  </si>
  <si>
    <t>ГОСУДАРСТВЕННОЕ РЕГУЛИРОВАНИЕ ЭКОНОМИКИ, ИЗД.1</t>
  </si>
  <si>
    <t>Цыпин И.С., Веснин В.Р.</t>
  </si>
  <si>
    <t>978-5-16-018816-4</t>
  </si>
  <si>
    <t>Рекомендовано Советом Учебно-методического объединения по образованию в области менеджмента в качестве учебника для обучающихся по программам высшего образования направлений подготовки 38.03.02 «Менеджмент», 38.03.04 «Государственное и муниципальное управление» (квалификация (степень) «бакалавр»)</t>
  </si>
  <si>
    <t>682905.05.01</t>
  </si>
  <si>
    <t>Государственное регулир.нефтегаз. комплекса...: Моногр./ С.Е.Трофимов - М.:НИЦ ИНФРА-М,2025 - 156 с.(O)</t>
  </si>
  <si>
    <t>ГОСУДАРСТВЕННОЕ РЕГУЛИРОВАНИЕ НЕФТЕГАЗОВОГО КОМПЛЕКСА: СОСТОЯНИЕ, ПРОБЛЕМЫ И ПЕРСПЕКТИВЫ, ИЗД.1</t>
  </si>
  <si>
    <t>Трофимов С.Е.</t>
  </si>
  <si>
    <t>978-5-16-015914-0</t>
  </si>
  <si>
    <t>38.03.01, 38.04.01, 44.03.01</t>
  </si>
  <si>
    <t>Байкальский государственный университет</t>
  </si>
  <si>
    <t>682905.02.01</t>
  </si>
  <si>
    <t>Государственное регулир.нефтегаз. комплекса...: Моногр./ С.Е.Трофимов-М.:НИЦ ИНФРА-М,2019-156с(П)</t>
  </si>
  <si>
    <t>978-5-16-014021-6</t>
  </si>
  <si>
    <t>645564.05.01</t>
  </si>
  <si>
    <t>Государственное регулир.основных факт.производ. в АПК: Моногр. / А.В.Тихонова - М.:НИЦ ИНФРА-М,2027-122с(О)</t>
  </si>
  <si>
    <t>ГОСУДАРСТВЕННОЕ РЕГУЛИРОВАНИЕ ОСНОВНЫХ ФАКТОРОВ ПРОИЗВОДСТВА В АПК, ИЗД.1</t>
  </si>
  <si>
    <t>Тихонова А.В.</t>
  </si>
  <si>
    <t>978-5-16-012439-1</t>
  </si>
  <si>
    <t>684233.07.01</t>
  </si>
  <si>
    <t>Государственное регулирование деят. соц. ориентир..: Моногр. / А.В.Барков - М.:НИЦ ИНФРА-М,2023 - 181с.(О)</t>
  </si>
  <si>
    <t>ГОСУДАРСТВЕННОЕ РЕГУЛИРОВАНИЕ ДЕЯТЕЛЬНОСТИ СОЦИАЛЬНО ОРИЕНТИРОВАННЫХ НЕКОММЕРЧЕСКИХ ОРГАНИЗАЦИЙ, ИЗД.1</t>
  </si>
  <si>
    <t>Барков А.В., Ручкина Г.Ф., Демченко М.В. и др.</t>
  </si>
  <si>
    <t>978-5-16-016706-0</t>
  </si>
  <si>
    <t>39.03.02, 40.03.01, 44.03.05, 46.03.02</t>
  </si>
  <si>
    <t>670831.04.01</t>
  </si>
  <si>
    <t>Государственное регулирование цен (тарифов) в РФ: Уч.пос. / С.Н.Зайкова -М.:НИЦ ИНФРА-М,2024-247с(П)</t>
  </si>
  <si>
    <t>ГОСУДАРСТВЕННОЕ РЕГУЛИРОВАНИЕ ЦЕН (ТАРИФОВ) В РОССИЙСКОЙ ФЕДЕРАЦИИ: АДМИНИСТРАТИВНО-ПРАВОВОЙ АСПЕКТ, ИЗД.1</t>
  </si>
  <si>
    <t>978-5-16-014046-9</t>
  </si>
  <si>
    <t>38.03.01, 38.03.04, 40.03.01, 40.04.01, 44.03.01, 44.03.05, 46.03.02</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</si>
  <si>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t>
  </si>
  <si>
    <t>060550.15.01</t>
  </si>
  <si>
    <t>Государственное упр. эконом.и соц. процес.: Уч.пос. / Б.А.Райзберг - НИЦ ИНФРА-М,2025 - 384 с.(ВО)(п)</t>
  </si>
  <si>
    <t>ГОСУДАРСТВЕННОЕ УПРАВЛЕНИЕ ЭКОНОМИЧЕСКИМИ И СОЦИАЛЬНЫМИ ПРОЦЕССАМИ, ИЗД.1</t>
  </si>
  <si>
    <t>Райзберг Б. А.</t>
  </si>
  <si>
    <t>978-5-16-018766-2</t>
  </si>
  <si>
    <t>38.03.01, 38.03.02, 38.03.04, 38.04.01, 38.04.02, 38.04.04</t>
  </si>
  <si>
    <t>Рекомендовано в качестве учебного пособия для студентов высших учебных заведений обучающихся по направлению подготовки 38.03.01 «Экономика»,(квалификация (степень) «бакалавр»)</t>
  </si>
  <si>
    <t>Московская Школа Экономики</t>
  </si>
  <si>
    <t>729518.03.01</t>
  </si>
  <si>
    <t>Государственное управ. и гос. служба в совр. России: Моногр./ В.П.Уманская-М.:Юр.Норма,2023.-176 с.(П)</t>
  </si>
  <si>
    <t>ГОСУДАРСТВЕННОЕ УПРАВЛЕНИЕ И ГОСУДАРСТВЕННАЯ СЛУЖБА В СОВРЕМЕННОЙ РОССИИ, ИЗД.1</t>
  </si>
  <si>
    <t>Уманская В.П., Малеванова Ю.В.</t>
  </si>
  <si>
    <t>978-5-00156-047-0</t>
  </si>
  <si>
    <t>40.03.01, 40.04.01, 40.06.01</t>
  </si>
  <si>
    <t>293700.08.01</t>
  </si>
  <si>
    <t>Государственное управление: англ. для акад. целей: Уч. пос. /Л.В. Бондарева -2 изд-НИЦ ИНФРА-М, 2027-230с (ВО)(п)</t>
  </si>
  <si>
    <t>ГОСУДАРСТВЕННОЕ УПРАВЛЕНИЕ: АНГЛИЙСКИЙ ДЛЯ АКАДЕМИЧЕСКИХ ЦЕЛЕЙ = PUBLIC ADMINISTRATION: ENGLISH FOR ACADEMIC PURPOSES, ИЗД.2</t>
  </si>
  <si>
    <t>Бондарева Л.В., Валентей Т.В., Зимина С.В.</t>
  </si>
  <si>
    <t>978-5-16-010077-7</t>
  </si>
  <si>
    <t>154400.09.01</t>
  </si>
  <si>
    <t>Государственное устр-во федераций в сост. Европ. союза: Уч. пос. / И.В.Лексин - ИД ФОРУМ, 2027 - 272 с.(п)</t>
  </si>
  <si>
    <t>ГОСУДАРСТВЕННОЕ УСТРОЙСТВО ФЕДЕРАЦИЙ В СОСТАВЕ ЕВРОПЕЙСКОГО СОЮЗА, ИЗД.1</t>
  </si>
  <si>
    <t>Лексин И. В.</t>
  </si>
  <si>
    <t>978-5-8199-0476-3</t>
  </si>
  <si>
    <t>Рекомендовано Ученым советом факультета государственного управления МГУ им. М. В. Ломоносова в качестве учебного пособия для студентов управленческих специальностей вузов</t>
  </si>
  <si>
    <t>796009.02.01</t>
  </si>
  <si>
    <t>Государственно-территориальное устройство России: Моногр. / И.А.Иванников-М.:НИЦ ИНФРА-М,2024.-157 с.(о)</t>
  </si>
  <si>
    <t>ГОСУДАРСТВЕННО-ТЕРРИТОРИАЛЬНОЕ УСТРОЙСТВО РОССИИ: ПОИСК ИДЕАЛЬНОЙ ФОРМЫ, ИЗД.1</t>
  </si>
  <si>
    <t>Иванников И.А.</t>
  </si>
  <si>
    <t>978-5-16-018173-8</t>
  </si>
  <si>
    <t>Всероссийский государственный университет юстиции (РПА Минюста России), ф-л Сочинский ф-л</t>
  </si>
  <si>
    <t>114500.11.01</t>
  </si>
  <si>
    <t>Государственно-частное партнерство в науч...: Моногр. / Под ред. А.К.Казанцева - М.:ИНФРА-М,2027 - 331 с.(О)</t>
  </si>
  <si>
    <t>ГОСУДАРСТВЕННО-ЧАСТНОЕ ПАРТНЕРСТВО В НАУЧНО-ИННОВАЦИОННОЙ СФЕРЕ, ИЗД.1</t>
  </si>
  <si>
    <t>Казанцев А. К., Рубвальтер Д. А.</t>
  </si>
  <si>
    <t>978-5-16-016572-1</t>
  </si>
  <si>
    <t>114500.08.01</t>
  </si>
  <si>
    <t>Государственно-частное партнерство в научно-инновационной сфере: монография / Под ред. Казанцев А.К.-М.:ИНФРА-М Издательский Дом,2017.-330 с..-(Научна</t>
  </si>
  <si>
    <t>978-5-16-003669-4</t>
  </si>
  <si>
    <t>042350.28.01</t>
  </si>
  <si>
    <t>Государственные и муниц. финансы: Уч. / И.Н.Мысляева, - 5 изд. - М.:НИЦ ИНФРА-М,2027. - 445 с.(ВО)(п)</t>
  </si>
  <si>
    <t>ГОСУДАРСТВЕННЫЕ И МУНИЦИПАЛЬНЫЕ ФИНАНСЫ, ИЗД.5</t>
  </si>
  <si>
    <t>Мысляева И.Н.</t>
  </si>
  <si>
    <t>978-5-16-014140-4</t>
  </si>
  <si>
    <t>23.03.01, 25.04.03, 38.03.01, 38.03.04, 38.04.01, 38.04.04, 38.04.08, 38.04.09, 44.03.05</t>
  </si>
  <si>
    <t>Допущено Министерством образования Российской Федерации в качестве учебника образовательных организаций высшего образования по направлению подготовки 38.03.04 «Государственное и муниципальное управление» (квалификация (степень) «бакалавр»)</t>
  </si>
  <si>
    <t>732719.02.01</t>
  </si>
  <si>
    <t>Государственные и муниц. финансы: Уч. / Н.Н.Семенова - 2 изд.-М.:ИЦ РИОР, НИЦ ИНФРА-М,2024.-344 с.(ВО)(п)</t>
  </si>
  <si>
    <t>ГОСУДАРСТВЕННЫЕ И МУНИЦИПАЛЬНЫЕ ФИНАНСЫ, ИЗД.2</t>
  </si>
  <si>
    <t>Семенова Н.Н., Артемьева С.С., Бусалова С.Г. и др.</t>
  </si>
  <si>
    <t>978-5-369-01962-7</t>
  </si>
  <si>
    <t>38.03.01, 38.03.02, 38.04.01, 38.04.02, 38.04.06, 38.04.08, 44.03.05</t>
  </si>
  <si>
    <t>732719.01.01</t>
  </si>
  <si>
    <t>Государственные и муниц. финансы: Уч. / Н.Н.Семенова.-М.:ИЦ РИОР, НИЦ ИНФРА-М,2020.-345 с.(ВО)(П)</t>
  </si>
  <si>
    <t>ГОСУДАРСТВЕННЫЕ И МУНИЦИПАЛЬНЫЕ ФИНАНСЫ, ИЗД.1</t>
  </si>
  <si>
    <t>978-5-369-01853-8</t>
  </si>
  <si>
    <t>657954.08.01</t>
  </si>
  <si>
    <t>Государственные и муниципальные закупки: Уч.пос.: В 2 ч.Ч.1 / В.В.Мельников - М.:НИЦ ИНФРА-М,2026 - 165 с.(П)</t>
  </si>
  <si>
    <t>ГОСУДАРСТВЕННЫЕ И МУНИЦИПАЛЬНЫЕ ЗАКУПКИ, Т.1</t>
  </si>
  <si>
    <t>Мельников В.В.</t>
  </si>
  <si>
    <t>978-5-16-022035-2</t>
  </si>
  <si>
    <t>38.04.01, 38.04.04, 38.04.09, 40.04.01, 40.05.01, 40.05.02, 40.05.03, 40.05.04, 44.03.01</t>
  </si>
  <si>
    <t>Рекомендовано в качестве учебного пособия для студентов высших учебных заведений, обучающихся по направлениям подготовки 38.04.01 «Экономика», 38.04.04 «Государственное и муниципальное управление», 38.04.09 «Государственный аудит», 40.04.01 «Юриспруденция» (квалификация (степень) «магистр»)</t>
  </si>
  <si>
    <t>668487.02.01</t>
  </si>
  <si>
    <t>Государственные и муниципальные закупки: Уч.пос.: В 2 ч.Ч.2 / В.В.Мельников - М.:НИЦ ИНФРА-М,2026 - 169 с.(П)</t>
  </si>
  <si>
    <t>ГОСУДАРСТВЕННЫЕ И МУНИЦИПАЛЬНЫЕ ЗАКУПКИ: В 2 ЧАСТЯХ, Т.2</t>
  </si>
  <si>
    <t>978-5-16-021662-1</t>
  </si>
  <si>
    <t>38.04.01, 38.04.02, 38.04.04, 38.04.06, 56.05.01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</si>
  <si>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38.04.04 «Государственное и муниципальное управление», 38.04.09 «Государственный аудит», 40.04.01 «Юриспруденция» (квалификация (степень) «магистр») (протокол № 1 от 12.01.2022)</t>
  </si>
  <si>
    <t>042350.21.01</t>
  </si>
  <si>
    <t>Государственные и муниципальные финансы: Уч. / И.Н.Мысляева - 4 изд. - М.:НИЦ ИНФРА-М,2018-444с.(ВО)</t>
  </si>
  <si>
    <t>ГОСУДАРСТВЕННЫЕ И МУНИЦИПАЛЬНЫЕ ФИНАНСЫ, ИЗД.4</t>
  </si>
  <si>
    <t>978-5-16-010681-6</t>
  </si>
  <si>
    <t>0417</t>
  </si>
  <si>
    <t>712992.03.01</t>
  </si>
  <si>
    <t>Государственные и муниципальные финансы: Уч. / И.Н.Мысляева - 5 изд. - М.:НИЦ ИНФРА-М,2024 - 445 с.(СПО)(п)</t>
  </si>
  <si>
    <t>978-5-16-015383-4</t>
  </si>
  <si>
    <t>21.02.19, 38.02.01, 38.02.02, 38.02.03, 38.02.06, 38.02.07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</si>
  <si>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38.02.06 «Финансы» (протокол № 17 от 11.11.2019)</t>
  </si>
  <si>
    <t>0520</t>
  </si>
  <si>
    <t>694399.06.01</t>
  </si>
  <si>
    <t>Государственные кадастры и кадастр. оценка земель: Уч.пос. / В.В.Слезко - М.:НИЦ ИНФРА-М,2026 - 297 с.(СПО)(П)</t>
  </si>
  <si>
    <t>ГОСУДАРСТВЕННЫЕ КАДАСТРЫ И КАДАСТРОВАЯ ОЦЕНКА ЗЕМЕЛЬ, ИЗД.1</t>
  </si>
  <si>
    <t>Слезко В.В., Слезко Е.В., Слезко Л.В.</t>
  </si>
  <si>
    <t>978-5-16-015494-7</t>
  </si>
  <si>
    <t>21.02.19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</si>
  <si>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21.02.04 «Землеустройство» , 21.02.05 «Земельно-имущественные отношения» (протокол № 10 от 12.10.2020)</t>
  </si>
  <si>
    <t>343300.05.01</t>
  </si>
  <si>
    <t>Государственные финансы Ренессанса...: Уч.пос. / М.П.Афанасьев -М.:Магистр,НИЦ ИНФРА-М,2023-144с.(П)</t>
  </si>
  <si>
    <t>ГОСУДАРСТВЕННЫЕ ФИНАНСЫ РЕНЕССАНСА: КАРАФА - ОРТИС - БОДЕН, ИЗД.1</t>
  </si>
  <si>
    <t>Кудрин А.Л., Афанасьев М.П.</t>
  </si>
  <si>
    <t>978-5-9776-0354-6</t>
  </si>
  <si>
    <t>Европейский университет в Санкт-Петербурге</t>
  </si>
  <si>
    <t>641116.04.01</t>
  </si>
  <si>
    <t>Государственный аппарат России. Дружинно-княж.период:Моногр./ С.Ю.Кабашов-М.:НИЦ ИНФРА-М,2023-304с.(п)</t>
  </si>
  <si>
    <t>ГОСУДАРСТВЕННЫЙ АППАРАТ РОССИИ. ДРУЖИННО-КНЯЖЕСКИЙ ПЕРИОД, ИЗД.1</t>
  </si>
  <si>
    <t>Кабашов С.Ю.</t>
  </si>
  <si>
    <t>978-5-16-012312-7</t>
  </si>
  <si>
    <t>670273.02.01</t>
  </si>
  <si>
    <t>Государственный долг России в сист. финанс. права: Моногр. / Ю.К.Цареградская - М:ИНФРА-М,2022-166с(О)</t>
  </si>
  <si>
    <t>ГОСУДАРСТВЕННЫЙ ДОЛГ РОССИИ В СИСТЕМЕ ФИНАНСОВОГО ПРАВА, ИЗД.1</t>
  </si>
  <si>
    <t>Цареградская Ю.К.</t>
  </si>
  <si>
    <t>978-5-16-013838-1</t>
  </si>
  <si>
    <t>38.04.08, 38.04.09, 40.03.01, 40.04.01, 44.03.05</t>
  </si>
  <si>
    <t>282700.06.01</t>
  </si>
  <si>
    <t>Государственный и муниципальный долг: Уч.пос. / Л.Б.Мохнаткина - М.:НИЦ ИНФРА-М,2023 - 151с.(ВО:Бакалавр)(о)</t>
  </si>
  <si>
    <t>ГОСУДАРСТВЕННЫЙ И МУНИЦИПАЛЬНЫЙ ДОЛГ, ИЗД.1</t>
  </si>
  <si>
    <t>Мохнаткина Л. Б.</t>
  </si>
  <si>
    <t>978-5-16-009889-0</t>
  </si>
  <si>
    <t>Рекомендовано Федеральным государственным образовательным бюджетным учреждением высшего профессионального образования «Финансовый университет при Правительстве Российской Федерации» к использованию в образовательных учреждениях</t>
  </si>
  <si>
    <t>636298.06.01</t>
  </si>
  <si>
    <t>Государственный и общ. контроль в мех. обесп.без. РФ: Моногр./ Ю.Г.Федотова-М.:НИЦ ИНФРА-М,2022-220с</t>
  </si>
  <si>
    <t>ГОСУДАРСТВЕННЫЙ И ОБЩЕСТВЕННЫЙ КОНТРОЛЬ В МЕХАНИЗМЕ ОБЕСПЕЧЕНИЯ БЕЗОПАСНОСТИ РОССИЙСКОЙ ФЕДЕРАЦИИ, ИЗД.1</t>
  </si>
  <si>
    <t>978-5-16-012157-4</t>
  </si>
  <si>
    <t>797734.01.01</t>
  </si>
  <si>
    <t>Государственный финансовый контроль...: Уч.пос. / А.Н.Козырин.-М.:Юр. НОРМА, НИЦ ИНФРА-М,2023.-216 с.(п)</t>
  </si>
  <si>
    <t>ГОСУДАРСТВЕННЫЙ ФИНАНСОВЫЙ КОНТРОЛЬ: ФЕДЕРАЛЬНЫЕ ИНСТИТУТЫ, ИЗД.1</t>
  </si>
  <si>
    <t>Козырин А.Н., Ялбулганов А.А., Артюхин Р.Е.</t>
  </si>
  <si>
    <t>978-5-00156-283-2</t>
  </si>
  <si>
    <t>38.04.09, 40.04.01</t>
  </si>
  <si>
    <t>481050.06.01</t>
  </si>
  <si>
    <t>Государство и бизнес в системе правовых координат: Моногр. / А.В.Габов - М.:НИЦ ИНФРА-М,2022 - 320 с.(п)</t>
  </si>
  <si>
    <t>ГОСУДАРСТВО И БИЗНЕС В СИСТЕМЕ ПРАВОВЫХ КООРДИНАТ, ИЗД.1</t>
  </si>
  <si>
    <t>Габов А.В., Литовкин В.Н., Гутников О.В. и др.</t>
  </si>
  <si>
    <t>978-5-16-010400-3</t>
  </si>
  <si>
    <t>38.03.01, 38.03.02, 38.03.04, 38.04.01, 38.04.02, 38.04.04, 38.04.09, 40.03.01, 40.04.01</t>
  </si>
  <si>
    <t>446250.08.01</t>
  </si>
  <si>
    <t>Государство и обществ. объед. России в XX-нач.XXI: Уч.пос. / Л.Д.Шаповалова - М:НИЦ ИНФРА-М,2025 - 156 с.(П)</t>
  </si>
  <si>
    <t>ГОСУДАРСТВО И ОБЩЕСТВЕННЫЕ ОБЪЕДИНЕНИЯ РОССИИ В XX - НАЧАЛЕ XXI ВВ., ИЗД.1</t>
  </si>
  <si>
    <t>Шаповалова Л. Д.</t>
  </si>
  <si>
    <t>978-5-16-008988-1</t>
  </si>
  <si>
    <t>40.03.01, 44.03.05, 46.03.01, 46.03.02, 46.04.01, 46.04.02</t>
  </si>
  <si>
    <t>Рекомендовано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46.03.02 «Документоведение и архивоведение»</t>
  </si>
  <si>
    <t>760105.01.01</t>
  </si>
  <si>
    <t>Государство и право как феномены религиозного сознания чел. / А.Л.Панищев-М.:НИЦ ИНФРА-М,2022.-314 с.(П)</t>
  </si>
  <si>
    <t>ГОСУДАРСТВО И ПРАВО КАК ФЕНОМЕНЫ РЕЛИГИОЗНОГО СОЗНАНИЯ ЧЕЛОВЕКА, ИЗД.1</t>
  </si>
  <si>
    <t>978-5-16-017074-9</t>
  </si>
  <si>
    <t>40.04.01, 40.06.01, 47.04.03, 47.06.01</t>
  </si>
  <si>
    <t>645363.04.01</t>
  </si>
  <si>
    <t>Государство.Гражданское общество.Право: Моногр./Под ред.Чернявского А.Г.-М.:НИЦ ИНФРА-М,2023-343с(п)</t>
  </si>
  <si>
    <t>ГОСУДАРСТВО. ГРАЖДАНСКОЕ ОБЩЕСТВО. ПРАВО, ИЗД.1</t>
  </si>
  <si>
    <t>Чернявский А.Г., Грудцына Л.Ю., Пашенцев Д.А. и др.</t>
  </si>
  <si>
    <t>978-5-16-012388-2</t>
  </si>
  <si>
    <t>436750.09.01</t>
  </si>
  <si>
    <t>Государство: Монография / Ю.А.Тихомиров - М.: Юр.Норма, НИЦ ИНФРА-М, 2025 - 328 с.(П)</t>
  </si>
  <si>
    <t>ГОСУДАРСТВО, ИЗД.1</t>
  </si>
  <si>
    <t>Тихомиров Ю. А.</t>
  </si>
  <si>
    <t>978-5-91768-379-9</t>
  </si>
  <si>
    <t>40.03.01, 40.04.01, 40.05.01, 40.05.02, 40.05.03, 40.06.01</t>
  </si>
  <si>
    <t>235500.10.01</t>
  </si>
  <si>
    <t>Градостроительство. Теория и прак.: Уч. пос. / Г.А.Потаев - М.: Форум:  НИЦ ИНФРА-М, 2023-432, [32]с.:цв.ил.(ВО) (П)</t>
  </si>
  <si>
    <t>ГРАДОСТРОИТЕЛЬСТВО. ТЕОРИЯ И ПРАКТИКА, ИЗД.1</t>
  </si>
  <si>
    <t>Потаев Г. А.</t>
  </si>
  <si>
    <t>978-5-91134-808-3</t>
  </si>
  <si>
    <t>07.03.01, 07.03.04</t>
  </si>
  <si>
    <t>Рекомендовано в качестве учебного пособия для студентов высших учебных заведений, обучающихся по специальностям «Градостроительство», «Архитектура», «Городское строительство», «Городское и региональное планирование», «Государственное и муниципальное</t>
  </si>
  <si>
    <t>235500.12.01</t>
  </si>
  <si>
    <t>Градостроительство: Уч.пос. / Г.А.Потаев, - 2 изд. - М.:НИЦ ИНФРА-М,2026. - 478, [32] с.:цв.ил.(ВО)(п)</t>
  </si>
  <si>
    <t>ГРАДОСТРОИТЕЛЬСТВО, ИЗД.2</t>
  </si>
  <si>
    <t>Потаев Г.А.</t>
  </si>
  <si>
    <t>978-5-16-016730-5</t>
  </si>
  <si>
    <t>Рекомендовано в качестве учебного пособия для студентов, обучающихся по специальностям «Градостроительство», «Архитектура», «Городское строительство», «Городское и региональное планирование», «Государственное и муниципальное управление»</t>
  </si>
  <si>
    <t>870882.02.01</t>
  </si>
  <si>
    <t>Граждане в сис. обеспеч. обороны и безопас. РФ: Моногр. / Ю.Г.Федотова - М.:НИЦ ИНФРА-М,2026 - 396 с.(п)</t>
  </si>
  <si>
    <t>ГРАЖДАНЕ В СИСТЕМЕ ОБЕСПЕЧЕНИЯ ОБОРОНЫ И БЕЗОПАСНОСТИ РОССИЙСКОЙ ФЕДЕРАЦИИ, ИЗД.1</t>
  </si>
  <si>
    <t>978-5-16-021853-3</t>
  </si>
  <si>
    <t>40.03.01, 40.04.01, 40.05.01, 40.05.02, 40.05.03, 40.05.04, 40.06.01, 40.03.02</t>
  </si>
  <si>
    <t>682537.06.01</t>
  </si>
  <si>
    <t>Граждане как субъекты механизма адм.-прав. обесп.обороны и безоп.РФ: Моногр. / Ю.Г.Федотова-М.:НИЦ ИНФРА-М,2025-221с (о)</t>
  </si>
  <si>
    <t>ГРАЖДАНЕ КАК СУБЪЕКТЫ МЕХАНИЗМА АДМИНИСТРАТИВНО-ПРАВОВОГО ОБЕСПЕЧЕНИЯ ОБОРОНЫ И БЕЗОПАСНОСТИ РОССИЙСКОЙ ФЕДЕРАЦИИ, ИЗД.1</t>
  </si>
  <si>
    <t>978-5-16-014278-4</t>
  </si>
  <si>
    <t>38.03.04, 40.03.01, 40.04.01, 40.05.01, 40.05.02, 44.03.05</t>
  </si>
  <si>
    <t>800965.01.01</t>
  </si>
  <si>
    <t>Гражданин как субъект экономич. деят. по законодат. Рос./ М.Д.Шапсугова-М.:НИЦ ИНФРА-М,2024.-344 с.(п)</t>
  </si>
  <si>
    <t>ГРАЖДАНИН КАК СУБЪЕКТ ЭКОНОМИЧЕСКОЙ ДЕЯТЕЛЬНОСТИ ПО ЗАКОНОДАТЕЛЬСТВУ РОССИИ, ИЗД.1</t>
  </si>
  <si>
    <t>Шапсугова М.Д.</t>
  </si>
  <si>
    <t>978-5-16-018422-7</t>
  </si>
  <si>
    <t>38.04.01, 38.06.01, 40.05.01, 40.05.02, 40.05.04, 40.06.01</t>
  </si>
  <si>
    <t>295800.07.01</t>
  </si>
  <si>
    <t>Гражданская служба РФ: воп. прав. регулир. в схем. и ком.: Уч. пос. / С.Ю.Кабашов - М:ИНФРА-М,2025 - 156 с.(О)</t>
  </si>
  <si>
    <t>ГРАЖДАНСКАЯ СЛУЖБА РОССИЙСКОЙ ФЕДЕРАЦИИ: ВОПРОСЫ ПРАВОВОГО РЕГУЛИРОВАНИЯ В СХЕМАХ И КОММЕНТАРИЯХ, ИЗД.1</t>
  </si>
  <si>
    <t>978-5-16-010095-1</t>
  </si>
  <si>
    <t>682304.03.01</t>
  </si>
  <si>
    <t>Гражданский проц. и римск. право в России XIX-нач.ХХ вв.: Моногр. / Е.А.Апольский - М:ИЦ РИОР,-М,2026 - 195 с.(о)</t>
  </si>
  <si>
    <t>ГРАЖДАНСКИЙ ПРОЦЕСС И РИМСКОЕ ПРАВО В РОССИИ XIX - НАЧАЛА ХХ ВВ.: ОПЫТ ДИСКУРСИВНОГО ОСМЫСЛЕНИЯ, ИЗД.1</t>
  </si>
  <si>
    <t>Апольский Е.А., Мордовцев А.Ю.</t>
  </si>
  <si>
    <t>978-5-369-01793-7</t>
  </si>
  <si>
    <t>024222.22.01</t>
  </si>
  <si>
    <t>Гражданский процесс / И.В.Решетникова - 8 изд, - М.:Юр.Норма, НИЦ ИНФРА-М,2025 - 272 с.(О)</t>
  </si>
  <si>
    <t>ГРАЖДАНСКИЙ ПРОЦЕСС, ИЗД.8</t>
  </si>
  <si>
    <t>Решетникова И.В., Ярков В.В.</t>
  </si>
  <si>
    <t>Краткие учебные курсы юридических наук</t>
  </si>
  <si>
    <t>978-5-00156-061-6</t>
  </si>
  <si>
    <t>0820</t>
  </si>
  <si>
    <t>024222.23.01</t>
  </si>
  <si>
    <t>Гражданский процесс / И.В.Решетникова - 9 изд, - М.:Юр.Норма, НИЦ ИНФРА-М,2026 - 296 с.(О)</t>
  </si>
  <si>
    <t>ГРАЖДАНСКИЙ ПРОЦЕСС, ИЗД.9</t>
  </si>
  <si>
    <t>978-5-00156-449-2</t>
  </si>
  <si>
    <t>0926</t>
  </si>
  <si>
    <t>024222.14.01</t>
  </si>
  <si>
    <t>Гражданский процесс / И.В.Решетникова, - 7-е изд., перераб.-М.:Юр.Норма, НИЦ ИНФРА-М,2019.-304 с..-(Краткие учебные курсы юридических наук)(О. К</t>
  </si>
  <si>
    <t>ГРАЖДАНСКИЙ ПРОЦЕСС, ИЗД.7</t>
  </si>
  <si>
    <t>978-5-91768-730-8</t>
  </si>
  <si>
    <t>0716</t>
  </si>
  <si>
    <t>645269.09.01</t>
  </si>
  <si>
    <t>Гражданский процесс: Уч. / Д.Н.Алябьев - 6 изд. - М.:НИЦ ИНФРА-М,2026. - 489 с.(ВО)(п)</t>
  </si>
  <si>
    <t>ГРАЖДАНСКИЙ ПРОЦЕСС, ИЗД.6</t>
  </si>
  <si>
    <t>Алябьев Д.Н., Батурина Н.И., Белоножкин А.Ю. и др.</t>
  </si>
  <si>
    <t>978-5-16-019700-5</t>
  </si>
  <si>
    <t>Волгоградский областной суд</t>
  </si>
  <si>
    <t>0625</t>
  </si>
  <si>
    <t>683235.11.01</t>
  </si>
  <si>
    <t>Гражданский процесс: Уч. / И.В.Решетникова - 2 изд. - М.:Юр.Норма, НИЦ ИНФРА-М,2025 - 272 с.(СПО)(П)</t>
  </si>
  <si>
    <t>ГРАЖДАНСКИЙ ПРОЦЕСС, ИЗД.2</t>
  </si>
  <si>
    <t>978-5-00156-145-3</t>
  </si>
  <si>
    <t>683235.02.01</t>
  </si>
  <si>
    <t>Гражданский процесс: Уч. / И.В.Решетникова - М.:Юр.Норма, НИЦ ИНФРА-М,2019 - 304 с.-(СПО)(П)</t>
  </si>
  <si>
    <t>ГРАЖДАНСКИЙ ПРОЦЕСС, ИЗД.1</t>
  </si>
  <si>
    <t>978-5-91768-924-1</t>
  </si>
  <si>
    <t>683235.13.01</t>
  </si>
  <si>
    <t>Гражданский процесс: Уч. / И.В.Решетникова, - 3 изд. - М.:Юр. НОРМА, НИЦ ИНФРА-М,2026. - 296 с.(СПО)(п)</t>
  </si>
  <si>
    <t>ГРАЖДАНСКИЙ ПРОЦЕСС, ИЗД.3</t>
  </si>
  <si>
    <t>978-5-00156-470-6</t>
  </si>
  <si>
    <t>707008.06.01</t>
  </si>
  <si>
    <t>Гражданский процесс: Уч. / Под ред. Демичева А.А. - М.:НИЦ ИНФРА-М,2027 - 404 с.(ВО)</t>
  </si>
  <si>
    <t>Демичев А.А., Грачева О.С., Ильин И.В. и др.</t>
  </si>
  <si>
    <t>978-5-16-015461-9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</si>
  <si>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подготовки 40.00.00 «Юриспруденция» (квалификация и степень «юрист» и «бакалавр») протокол № 18 от 25.11.2019)</t>
  </si>
  <si>
    <t>747818.01.01</t>
  </si>
  <si>
    <t>Гражданский процесс: Уч. / Под ред. Демичева А.А.-М.:НИЦ ИНФРА-М,2021.-404 с.(СПО)(П)</t>
  </si>
  <si>
    <t>978-5-16-016640-7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</si>
  <si>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8 от 22.06.2020)</t>
  </si>
  <si>
    <t>645269.07.01</t>
  </si>
  <si>
    <t>Гражданский процесс: Уч. / Под ред. Филиппова П.М.- 5 изд.-М.:НИЦ ИНФРА-М,2023-479с(ВО:Бакалавр.)(П)</t>
  </si>
  <si>
    <t>ГРАЖДАНСКИЙ ПРОЦЕСС, ИЗД.5</t>
  </si>
  <si>
    <t>978-5-16-012654-8</t>
  </si>
  <si>
    <t>0517</t>
  </si>
  <si>
    <t>450550.08.01</t>
  </si>
  <si>
    <t>Гражданское право Германии: хрестоматия избр. произв...  / Сост.Р.С.Куракин - РИОР:ИНФРА-М,2024-320с(О)</t>
  </si>
  <si>
    <t>ГРАЖДАНСКОЕ ПРАВО ГЕРМАНИИ, ИЗД.1</t>
  </si>
  <si>
    <t>Куракин Р.С., Семенова Е.В., Нечаев В.М.</t>
  </si>
  <si>
    <t>978-5-369-01277-2</t>
  </si>
  <si>
    <t>Хрестоматия</t>
  </si>
  <si>
    <t>40.02.04, 40.03.01, 40.04.01, 44.03.05</t>
  </si>
  <si>
    <t>Национальный исследовательский университет "Высшая школа экономики", ф-л Нижний Новгород</t>
  </si>
  <si>
    <t>862825.01.01</t>
  </si>
  <si>
    <t>Гражданское право России (общая часть): Уч.пос. / Д.С.Дерхо - М.:НИЦ ИНФРА-М,2026. - 350 с..-(ВО)(п)</t>
  </si>
  <si>
    <t>ГРАЖДАНСКОЕ ПРАВО РОССИИ (ОБЩАЯ ЧАСТЬ), ИЗД.1</t>
  </si>
  <si>
    <t>Дерхо Д.С.</t>
  </si>
  <si>
    <t>978-5-16-021414-6</t>
  </si>
  <si>
    <t>40.03.01, 40.05.01, 40.05.02, 40.05.03, 40.05.04, 40.03.02</t>
  </si>
  <si>
    <t>Сибирский юридический университет</t>
  </si>
  <si>
    <t>727751.10.01</t>
  </si>
  <si>
    <t>Гражданское право. Общая часть: Уч. / Под ред. Болтановой Е.С. - М.:НИЦ ИНФРА-М,2026 - 515 с.(ВО)(П)</t>
  </si>
  <si>
    <t>ГРАЖДАНСКОЕ ПРАВО. ОБЩАЯ ЧАСТЬ, ИЗД.1</t>
  </si>
  <si>
    <t>Болтанова Е.С., Багрова Н.В., Баришпольская Т.Ю. и др.</t>
  </si>
  <si>
    <t>978-5-16-018457-9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</si>
  <si>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8 от 22.06.2020)</t>
  </si>
  <si>
    <t>845562.01.01</t>
  </si>
  <si>
    <t>Гражданское право. Общая часть: Уч.пос. / З.А.Ахметьянова - М.:НИЦ ИНФРА-М, КазФУ,2025. - 314 с.(ВО (КазФУ))(п)</t>
  </si>
  <si>
    <t>Ахметьянова З.А., Низамиева О.Н., Опыхтина Е.Г. и др.</t>
  </si>
  <si>
    <t>978-5-16-020600-4</t>
  </si>
  <si>
    <t>38.03.04, 38.04.01, 38.05.01, 38.05.02, 40.03.01, 40.05.01, 40.05.02, 40.05.03, 40.05.04, 44.03.05, 44.05.01, 46.03.02</t>
  </si>
  <si>
    <t>747879.07.01</t>
  </si>
  <si>
    <t>Гражданское право. Особенная часть: Уч. / Н.В.Багрова - М.:НИЦ ИНФРА-М,2025. - 583 с.(ВО)(П)</t>
  </si>
  <si>
    <t>ГРАЖДАНСКОЕ ПРАВО. ОСОБЕННАЯ ЧАСТЬ, ИЗД.1</t>
  </si>
  <si>
    <t>Багрова Н.В., Баришпольская Т.Ю., Бевзенко Р.С. и др.</t>
  </si>
  <si>
    <t>978-5-16-018454-8</t>
  </si>
  <si>
    <t>40.03.01, 46.03.02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</si>
  <si>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5 от 11.05.2022)</t>
  </si>
  <si>
    <t>012559.23.01</t>
  </si>
  <si>
    <t>Гражданское право: Уч. / Отв.ред. С.П. Гришаев - 4 изд. - Норма:ИНФРА-М,2021 - 688с(п)-(СПО)</t>
  </si>
  <si>
    <t>ГРАЖДАНСКОЕ ПРАВО, ИЗД.4</t>
  </si>
  <si>
    <t>Гришаев С. П.</t>
  </si>
  <si>
    <t>Ab ovo</t>
  </si>
  <si>
    <t>978-5-91768-904-3</t>
  </si>
  <si>
    <t>Допущено Мин. обр. и науки РФ в качестве учебника для студентов образовательных учреждений среднего пофессионального образования, обучающихся по специальности "Юриспруденция"</t>
  </si>
  <si>
    <t>012559.28.01</t>
  </si>
  <si>
    <t>Гражданское право: Уч. / Отв.ред. С.П. Гришаев - 5 изд. - М.:Норма:ИНФРА-М,2026 - 680 с.(п)(СПО)</t>
  </si>
  <si>
    <t>ГРАЖДАНСКОЕ ПРАВО, ИЗД.5</t>
  </si>
  <si>
    <t>Гришаев С.П., Гришаев С.П.</t>
  </si>
  <si>
    <t>978-5-00156-271-9</t>
  </si>
  <si>
    <t>0523</t>
  </si>
  <si>
    <t>239000.16.01</t>
  </si>
  <si>
    <t>Гражданское право: Уч.: В 2 т.Т.1 / И.В.Ильин - 2 изд. - М.:НИЦ ИНФРА-М,2027 - 447 с.(ВО: Спец.)(П)</t>
  </si>
  <si>
    <t>ГРАЖДАНСКОЕ ПРАВО: В 2 ТОМАХ. ТОМ 1, Т.1</t>
  </si>
  <si>
    <t>Ильин И.В., Карпычев М.В., Малютина О.А. и др.</t>
  </si>
  <si>
    <t>978-5-16-022531-9</t>
  </si>
  <si>
    <t>40.03.01, 40.05.01, 40.05.02, 40.05.03, 40.05.04, 41.03.06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</si>
  <si>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специальностям (протокол № 9 от 17.11.2021)</t>
  </si>
  <si>
    <t>239000.08.01</t>
  </si>
  <si>
    <t>Гражданское право: Уч.: В 2 т.Т.1 / М.В.Карпычев - М.:ИД ФОРУМ, НИЦ ИНФРА-М,2020 - 400 с.-(ВО)(П)</t>
  </si>
  <si>
    <t>ГРАЖДАНСКОЕ ПРАВО, ИЗД.1</t>
  </si>
  <si>
    <t>Карпычев М.В., Хужин А.М.</t>
  </si>
  <si>
    <t>978-5-8199-0857-0</t>
  </si>
  <si>
    <t>Рекомендовано УМС НИУ ВШЭ — Нижний Новгород в качестве учебника для студентов высших учебных заведений, обучающихся по направлению 40.03.01 «Юриспруденция»</t>
  </si>
  <si>
    <t>490400.14.01</t>
  </si>
  <si>
    <t>Гражданское право: Уч.: В 2 т.Т.2 / А.А.Демичев - 2 изд. - М.:НИЦ ИНФРА-М,2027. -  602 с.(ВО.Спец.)(п)</t>
  </si>
  <si>
    <t>ГРАЖДАНСКОЕ ПРАВО, Т.2</t>
  </si>
  <si>
    <t>Демичев А.А., Ершов Н.Н., Ильин И.В. и др.</t>
  </si>
  <si>
    <t>978-5-16-016574-5</t>
  </si>
  <si>
    <t>40.03.01, 40.05.01, 40.05.02, 40.05.03, 40.05.04, 41.03.06, 44.03.05</t>
  </si>
  <si>
    <t>490400.10.01</t>
  </si>
  <si>
    <t>Гражданское право: Уч.: В 2 т.Т.2 / Под общ.ред. М.В.Карпычева-М.:ИД ФОРУМ,НИЦ ИНФРА-М,2023-560с(ВО)(П)</t>
  </si>
  <si>
    <t>978-5-8199-0749-8</t>
  </si>
  <si>
    <t>662176.07.01</t>
  </si>
  <si>
    <t>Гражданское право: Уч.: Ч.2 / Под ред. Ивановой С.А. - 2 изд.-Москва:НИЦ ИНФРА-М,2023.-626 с.(ВО)(п)</t>
  </si>
  <si>
    <t>ГРАЖДАНСКОЕ ПРАВО, ИЗД.2</t>
  </si>
  <si>
    <t>Алпатов Ю.М., Белов В.Е., Беседкина Н.И. и др.</t>
  </si>
  <si>
    <t>978-5-16-018543-9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</si>
  <si>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12 от 24.06.2019)</t>
  </si>
  <si>
    <t>145850.07.01</t>
  </si>
  <si>
    <t>Гражданское право: Уч.пос. / Я.А.Юкша - 4 изд. - М.:ИЦ РИОР, НИЦ ИНФРА-М,2018 - 400 с.-(ВО)(П)</t>
  </si>
  <si>
    <t>Юкша Я.А.</t>
  </si>
  <si>
    <t>978-5-369-01583-4</t>
  </si>
  <si>
    <t>38.03.04, 40.03.01, 40.05.01, 40.05.02, 40.05.03, 40.05.04, 44.03.05</t>
  </si>
  <si>
    <t>Рекомендовано Мин. обр. и науки РФ в качестве учебного пособия для студентов вузов, обучающихся по специальности "Юриспруденция"</t>
  </si>
  <si>
    <t>145850.09.01</t>
  </si>
  <si>
    <t>Гражданское право: Уч.пос. / Я.А.Юкша, - 5 изд.-М.:ИЦ РИОР, НИЦ ИНФРА-М,2023.-404 с.(ВО)(п)</t>
  </si>
  <si>
    <t>978-5-369-01835-4</t>
  </si>
  <si>
    <t>810528.01.01</t>
  </si>
  <si>
    <t>Гражданско-правовое обеспеч. смарт-контрактов: Моногр. / Е.А.Кириллова-М.:НИЦ ИНФРА-М,2024.-124 с.(о)</t>
  </si>
  <si>
    <t>ГРАЖДАНСКО-ПРАВОВОЕ ОБЕСПЕЧЕНИЕ СМАРТ-КОНТРАКТОВ, ИЗД.1</t>
  </si>
  <si>
    <t>Кириллова Е.А., Зульфугарзаде Т.Э.</t>
  </si>
  <si>
    <t>978-5-16-019005-1</t>
  </si>
  <si>
    <t>211400.09.01</t>
  </si>
  <si>
    <t>Гражданско-правовое регулирование: публич. интер..: Моногр./Л.В.Щенникова - Норма:ИНФРА-М, 2025-144с (о)</t>
  </si>
  <si>
    <t>ГРАЖДАНСКО-ПРАВОВОЕ РЕГУЛИРОВАНИЕ: ПУБЛИЧНЫЕ ИНТЕРЕСЫ, ОБЩИЕ ПОЛЬЗЫ, ДОБРЫЕ НРАВЫ, ИЗД.1</t>
  </si>
  <si>
    <t>Щенникова Л. В.</t>
  </si>
  <si>
    <t>978-5-91768-392-8</t>
  </si>
  <si>
    <t>635944.06.01</t>
  </si>
  <si>
    <t>Грамматика англ. яз. = 5D English Grammar in Charts... / Л.М.Гальчук - М.:Вуз.уч.,НИЦ ИНФРА-М,2026 - 439 с.(О)</t>
  </si>
  <si>
    <t>ГРАММАТИКА АНГЛИЙСКОГО ЯЗЫКА: КОММУНИКАТИВНЫЙ КУРС = 5D ENGLISH GRAMMAR IN CHARTS, EXERCISES, FILM-BASED TASKS,TEXTS AND TESTS, ИЗД.1</t>
  </si>
  <si>
    <t>978-5-9558-0520-7</t>
  </si>
  <si>
    <t>412300.10.01</t>
  </si>
  <si>
    <t>Грамматика для делового общ.на англ.яз: Уч.пос. / З.В.Маньковская - М.:НИЦ ИНФРА-М,2027 - 140 с.(ВО)(о)</t>
  </si>
  <si>
    <t>ГРАММАТИКА ДЛЯ ДЕЛОВОГО ОБЩЕНИЯ НА АНГЛИЙСКОМ ЯЗЫКЕ (МОДУЛЬНО-КОМПЕТЕНТНОСТНЫЙ ПОДХОД), ИЗД.1</t>
  </si>
  <si>
    <t>978-5-16-005484-1</t>
  </si>
  <si>
    <t>00.03.02, 00.05.02, 38.03.01, 38.03.02, 38.03.03, 38.03.04, 38.03.05, 38.03.06, 38.03.07, 38.04.01, 38.04.02, 38.04.03, 38.04.04, 38.04.05, 38.04.06, 38.04.07, 38.04.08, 38.04.09, 38.05.01, 38.05.02, 44.03.01, 45.05.01</t>
  </si>
  <si>
    <t>835706.01.01</t>
  </si>
  <si>
    <t>Грамматика рус. яз. для начинающих..: Уч.пос. / Е.А.Булькова. - М.:НИЦ ИНФРА-М, ГомГМУ,2025. - 178 с.(ВО)(п)</t>
  </si>
  <si>
    <t>ГРАММАТИКА РУССКОГО ЯЗЫКА ДЛЯ НАЧИНАЮЩИХ: ПОСОБИЕ ДЛЯ СТУДЕНТОВ-ИНОСТРАНЦЕВ, ИЗД.1</t>
  </si>
  <si>
    <t>Булькова Е.А., Морозова О.Е., Спектор О.М.</t>
  </si>
  <si>
    <t>978-5-16-020171-9</t>
  </si>
  <si>
    <t>808353.01.01</t>
  </si>
  <si>
    <t>Грамматический параллелизм в текстах...: Моногр./ К.А.Калинин-М.:НИЦ ИНФРА-М,2025.-187 с.(Науч.мысль)(о)</t>
  </si>
  <si>
    <t>ГРАММАТИЧЕСКИЙ ПАРАЛЛЕЛИЗМ В ТЕКСТАХ ДРЕВНЕРУССКОЙ ОРАТОРСКОЙ ПРОЗЫ, ИЗД.1</t>
  </si>
  <si>
    <t>Калинин К.А.</t>
  </si>
  <si>
    <t>978-5-16-018877-5</t>
  </si>
  <si>
    <t>Набережночелнинский государственный педагогический университет</t>
  </si>
  <si>
    <t>Всероссийский (с международным участием) конкурс учебно-методических, учебных и научных работ "Добросвет"-2025, Победитель, I место</t>
  </si>
  <si>
    <t>397900.14.01</t>
  </si>
  <si>
    <t>Графический дизайн: стилевая эволюция: Моногр. / И.Г.Пендикова - М,НИЦ ИНФРА-М,2026 - 160 с.(О)</t>
  </si>
  <si>
    <t>ГРАФИЧЕСКИЙ ДИЗАЙН: СТИЛЕВАЯ ЭВОЛЮЦИЯ, ИЗД.1</t>
  </si>
  <si>
    <t>Пендикова И.Г.</t>
  </si>
  <si>
    <t>978-5-16-011269-5</t>
  </si>
  <si>
    <t>42.04.01, 43.01.11, 54.01.01, 54.01.06, 54.01.12, 54.01.20, 54.02.01, 54.04.01</t>
  </si>
  <si>
    <t>760584.03.01</t>
  </si>
  <si>
    <t>Гребные электрические установки: обзор...: Моногр. / А.Ф.Бурков - М.:НИЦ ИНФРА-М,2026 - 199 с.(О)</t>
  </si>
  <si>
    <t>ГРЕБНЫЕ ЭЛЕКТРИЧЕСКИЕ УСТАНОВКИ: ОБЗОР, АНАЛИЗ, ПЕРСПЕКТИВЫ РАЗВИТИЯ, ИЗД.1</t>
  </si>
  <si>
    <t>Бурков А.Ф., Миханошин В.В.</t>
  </si>
  <si>
    <t>978-5-16-017236-1</t>
  </si>
  <si>
    <t>26.04.02, 26.05.01, 26.05.02, 26.05.06, 26.05.07, 26.06.01</t>
  </si>
  <si>
    <t>377600.09.01</t>
  </si>
  <si>
    <t>Грыжи живота: Совр.аспекты этиологии, патог..: Уч.пос. / В.И.Белоконев - Форум,НИЦ ИНФРА-М,2026  - 184 с(ВО)</t>
  </si>
  <si>
    <t>ГРЫЖИ ЖИВОТА: СОВРЕМЕННЫЕ АСПЕКТЫ ЭТИОЛОГИИ, ПАТОГЕНЕЗА, ДИАГНОСТИКИ И ЛЕЧЕНИЯ, ИЗД.1</t>
  </si>
  <si>
    <t>Белоконев В.И., Пушкин С.Ю., Ковалева З.В. и др.</t>
  </si>
  <si>
    <t>978-5-00091-097-9</t>
  </si>
  <si>
    <t>31.05.01, 31.08.67</t>
  </si>
  <si>
    <t>729932.05.01</t>
  </si>
  <si>
    <t>Грязелечение в Республике Крым: Моногр. / Т.Ф.Голубова - М.:НИЦ ИНФРА-М,2026. - 315 с.(Науч.мысль)(О)</t>
  </si>
  <si>
    <t>ГРЯЗЕЛЕЧЕНИЕ В РЕСПУБЛИКЕ КРЫМ, ИЗД.1</t>
  </si>
  <si>
    <t>Голубова Т.Ф., Любчик В.Н.</t>
  </si>
  <si>
    <t>978-5-16-016025-2</t>
  </si>
  <si>
    <t>31.05.01, 31.05.02, 31.06.01</t>
  </si>
  <si>
    <t>Национальный медицинский исследовательский центр реабилитации и курортологии</t>
  </si>
  <si>
    <t>218800.08.01</t>
  </si>
  <si>
    <t>Губернаторство России: ист. и современ.: Моногр. / О.В.Ерохина - М.: Вуз. уч.: ИНФРА-М, 2027 - 160 с.(п)</t>
  </si>
  <si>
    <t>ГУБЕРНАТОРСТВО РОССИИ: ИСТОРИЯ И СОВРЕМЕННОСТЬ, ИЗД.1</t>
  </si>
  <si>
    <t>Ерохина О. В.</t>
  </si>
  <si>
    <t>978-5-9558-0320-3</t>
  </si>
  <si>
    <t>37.03.02, 37.04.02, 38.03.02, 38.03.04, 38.04.02, 38.04.04, 40.03.01, 41.03.04, 41.03.06, 41.04.04, 42.03.02, 42.04.02, 44.03.05, 46.03.01, 46.04.01</t>
  </si>
  <si>
    <t>443900.03.01</t>
  </si>
  <si>
    <t>Гуманизация современного уголовного законодательства: монография / Под ред. Кашепов В.П.-М.:НИЦ ИНФРА-М,2018.-336 с..-(ИЗиСП)(П 7БЦ)</t>
  </si>
  <si>
    <t>ГУМАНИЗАЦИЯ СОВРЕМЕННОГО УГОЛОВНОГО ЗАКОНОДАТЕЛЬСТВА, ИЗД.1</t>
  </si>
  <si>
    <t>Кашепов В.П.,Гравина А.А.,Кошаева Т.О.и др.</t>
  </si>
  <si>
    <t>978-5-16-011384-5</t>
  </si>
  <si>
    <t>40.03.01, 40.04.01, 40.05.02, 44.03.05</t>
  </si>
  <si>
    <t>854170.01.01</t>
  </si>
  <si>
    <t>Гуманитарная экономика...: Моногр. / Ю.С.Бегма - М.:НИЦ ИНФРА-М,2026 - 300 с..(Науч.мысль)(п)</t>
  </si>
  <si>
    <t>ГУМАНИТАРНАЯ ЭКОНОМИКА: ДОЛГИЙ ПУТЬ СТАНОВЛЕНИЯ ПАРАДИГМЫ, ИЗД.1</t>
  </si>
  <si>
    <t>Бегма Ю.С., Зенкина Е.В.</t>
  </si>
  <si>
    <t>978-5-16-021488-7</t>
  </si>
  <si>
    <t>149300.08.01</t>
  </si>
  <si>
    <t>Дактилоскопическая экспертиза: совр. сост. и... /В.Е.Корноухов - М.:Юр.Норма,ИНФРА-М,2024-320с.(п)</t>
  </si>
  <si>
    <t>ДАКТИЛОСКОПИЧЕСКАЯ ЭКСПЕРТИЗА: СОВРЕМЕННОЕ СОСТОЯНИЕ И ПЕРСПЕКТИВЫ РАЗВИТИЯ, ИЗД.1</t>
  </si>
  <si>
    <t>Корноухов В. Е., Ярослав Ю. Ю., Яровенко Т. В.</t>
  </si>
  <si>
    <t>978-5-91768-171-9</t>
  </si>
  <si>
    <t>680652.08.01</t>
  </si>
  <si>
    <t>Данные: хранение и обработка: Уч. / Э.Г.Дадян - М.:НИЦ ИНФРА-М,2025. - 205 с.(ВО)(п)</t>
  </si>
  <si>
    <t>ДАННЫЕ: ХРАНЕНИЕ И ОБРАБОТКА, ИЗД.1</t>
  </si>
  <si>
    <t>978-5-16-021135-0</t>
  </si>
  <si>
    <t>01.03.02, 01.03.04, 02.03.02, 09.03.01, 09.03.03, 09.03.04, 22.03.01, 38.03.05, 38.04.05</t>
  </si>
  <si>
    <t>Рекомендовано Межрегиональным учебно-методическим советом профессионального образования в качестве учебника для реализации образовательных программ высшего образования по направлениям подготовки бакалавриата (протокол № 9 от 13.05.2019)</t>
  </si>
  <si>
    <t>719946.04.01</t>
  </si>
  <si>
    <t>Данные: хранение и обработка: Уч. / Э.Г.Дадян - М.:НИЦ ИНФРА-М,2026. - 205 с.(СПО)(П)</t>
  </si>
  <si>
    <t>978-5-16-015663-7</t>
  </si>
  <si>
    <t>09.02.01, 10.02.03, 51.02.03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</si>
  <si>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12 от 24.06.2019)</t>
  </si>
  <si>
    <t>187350.05.01</t>
  </si>
  <si>
    <t>Дао и телос в смысловом измерении культур...: Моногр. / С.Е.Ячин - М.:НИЦ ИНФРА-М,2027 - 324 с.(о)</t>
  </si>
  <si>
    <t>ДАО И ТЕЛОС В СМЫСЛОВОМ ИЗМЕРЕНИИ КУЛЬТУР ВОСТОЧНОГО И ЗАПАДНОГО ТИПА, ИЗД.1</t>
  </si>
  <si>
    <t>Ячин С. Е., Конончук Д. В., Поповкин А. В., Буланенко М. Е.</t>
  </si>
  <si>
    <t>978-5-16-006010-1</t>
  </si>
  <si>
    <t>41.03.06, 44.03.05, 47.03.01, 47.04.01, 51.03.01, 51.04.01</t>
  </si>
  <si>
    <t>433600.10.01</t>
  </si>
  <si>
    <t>Датчики автомоб. электрон. систем...: Уч.пос. / В.А.Набоких - М.:НИЦ ИНФРА-М,2027 - 239 с.(ВО)(о)</t>
  </si>
  <si>
    <t>ДАТЧИКИ АВТОМОБИЛЬНЫХ ЭЛЕКТРОННЫХ СИСТЕМ УПРАВЛЕНИЯ И ДИАГНОСТИЧЕСКОГО ОБОРУДОВАНИЯ, ИЗД.1</t>
  </si>
  <si>
    <t>Набоких В.А.</t>
  </si>
  <si>
    <t>978-5-16-020288-4</t>
  </si>
  <si>
    <t>23.03.01, 23.03.02, 23.03.03, 23.04.03, 23.05.01</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</si>
  <si>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высших учебных заведений, обучающихся по направлению подготовки 23.03.02 «Наземные транспортно-технологические комплексы» (квалификация (степень) «бакалавр»)</t>
  </si>
  <si>
    <t>684863.12.01</t>
  </si>
  <si>
    <t>Датчики автомоб. электронных сис. упр. и диагност. оборуд.: Уч.пос. / В.А.Набоких - М.:НИЦ ИНФРА-М,2026.-239с(П)</t>
  </si>
  <si>
    <t>978-5-16-019181-2</t>
  </si>
  <si>
    <t>23.01.03, 23.01.17, 23.02.03, 23.02.05, 23.02.07</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</si>
  <si>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23.02.03 «Техническое обслуживание и ремонт автомобильного транспорта»,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t>
  </si>
  <si>
    <t>213500.09.01</t>
  </si>
  <si>
    <t>Дебиторская задолж.:учет,анализ,оценка и.: Уч.пос. / В.Ю.Сутягин - НИЦ ИНФРА-М,2027 - 216 с.(ВО:Бакалавр.) (п)</t>
  </si>
  <si>
    <t>ДЕБИТОРСКАЯ ЗАДОЛЖЕННОСТЬ: УЧЕТ, АНАЛИЗ, ОЦЕНКА И УПРАВЛЕНИЕ, ИЗД.1</t>
  </si>
  <si>
    <t>Сутягин В.Ю., Беспалов М.В.</t>
  </si>
  <si>
    <t>978-5-16-006878-7</t>
  </si>
  <si>
    <t>38.03.01, 38.03.02, 38.04.01, 38.04.02, 38.04.08, 38.04.09</t>
  </si>
  <si>
    <t>774992.04.01</t>
  </si>
  <si>
    <t>Девиантология - социология и психология зла: Моногр. / Т.А.Хагуров - М.:НИЦ ИНФРА-М,2026. - 412 с.(О)</t>
  </si>
  <si>
    <t>ДЕВИАНТОЛОГИЯ - СОЦИОЛОГИЯ И ПСИХОЛОГИЯ ЗЛА, ИЗД.1</t>
  </si>
  <si>
    <t>Хагуров Т.А.</t>
  </si>
  <si>
    <t>978-5-16-017699-4</t>
  </si>
  <si>
    <t>37.03.01, 37.04.01, 37.05.01, 37.06.01, 39.03.01, 39.04.01, 39.04.02, 40.04.01, 40.06.01, 44.04.02, 44.05.01, 44.06.01, 44.07.02, 47.04.02, 47.06.01, 47.07.01</t>
  </si>
  <si>
    <t>Книжная социологическая премия имени Б. А. Грушина-2023, Лауреат</t>
  </si>
  <si>
    <t>694913.04.01</t>
  </si>
  <si>
    <t>Девиантология гос. управления: Уч. / И.В.Понкин - М.:НИЦ ИНФРА-М,2023 - 301с.-(ВО: Магистр.)(П)</t>
  </si>
  <si>
    <t>ДЕВИАНТОЛОГИЯ ГОСУДАРСТВЕННОГО УПРАВЛЕНИЯ, ИЗД.1</t>
  </si>
  <si>
    <t>978-5-16-014740-6</t>
  </si>
  <si>
    <t>38.04.04, 40.04.01, 40.05.01, 40.05.02, 40.06.01</t>
  </si>
  <si>
    <t>Рекомендовано кафедрой государственного и муниципального управления факультета государственного и муниципального управления Института государственной службы и управления Российской академии народного хозяйства и государственной службы при Президенте Российской Федерации</t>
  </si>
  <si>
    <t>694913.06.01</t>
  </si>
  <si>
    <t>Девиантология гос. управления: Уч. / И.В.Понкин, - 2 изд. - М.:НИЦ ИНФРА-М,2025. - 324 с.(ВО)(п)</t>
  </si>
  <si>
    <t>ДЕВИАНТОЛОГИЯ ГОСУДАРСТВЕННОГО УПРАВЛЕНИЯ, ИЗД.2</t>
  </si>
  <si>
    <t>978-5-16-020610-3</t>
  </si>
  <si>
    <t>759864.02.01</t>
  </si>
  <si>
    <t>Деглобализация: кризис неолиберализма...: Моногр. / Р.Э.Абдулов. - М.:НИЦ ИНФРА-М,2026 - 240 с.(п)</t>
  </si>
  <si>
    <t>ДЕГЛОБАЛИЗАЦИЯ: КРИЗИС НЕОЛИБЕРАЛИЗМА И ДВИЖЕНИЕ К НОВОМУ МИРОПОРЯДКУ, ИЗД.1</t>
  </si>
  <si>
    <t>Абдулов Р.Э., Джабборов Д.Б., Комолов О.О. и др.</t>
  </si>
  <si>
    <t>978-5-16-020047-7</t>
  </si>
  <si>
    <t>38.04.01, 38.05.01, 38.06.01, 40.04.01, 40.05.01, 40.06.01, 41.04.01, 41.04.04, 41.04.05, 41.06.01</t>
  </si>
  <si>
    <t>416650.05.01</t>
  </si>
  <si>
    <t>Деканы России: социологический портрет, технол..: Моногр./ С.Д.Резник-3 изд.- ИНФРА-М,2018-204с(п+Z)</t>
  </si>
  <si>
    <t>ДЕКАНЫ РОССИИ: СОЦИОЛОГИЧЕСКИЙ ПОРТРЕТ, ТЕХНОЛОГИИ И ОРГАНИЗАЦИЯ ДЕЯТЕЛЬНОСТИ, ИЗД.3</t>
  </si>
  <si>
    <t>Резник С.Д., Сазыкина О.А., Фомин Г.Б. и др.</t>
  </si>
  <si>
    <t>978-5-16-011768-3</t>
  </si>
  <si>
    <t>38.03.01, 38.03.03, 38.03.04, 38.04.03, 38.04.04, 41.03.06</t>
  </si>
  <si>
    <t>416650.06.01</t>
  </si>
  <si>
    <t>Деканы России: социологический портрет, технол..: Моногр./ С.Д.Резник-3 изд.- ИНФРА-М,2023-204с(П)</t>
  </si>
  <si>
    <t>978-5-16-018688-7</t>
  </si>
  <si>
    <t>053150.15.01</t>
  </si>
  <si>
    <t>Декларация прав и свобод человека и гражданина. - М.: ИД РИОР: ИНФРА-М, 2026. - 11 с. (О)</t>
  </si>
  <si>
    <t>ДЕКЛАРАЦИЯ ПРАВ И СВОБОД ЧЕЛОВЕКА И ГРАЖДАНИНА, ИЗД.1</t>
  </si>
  <si>
    <t>978-5-369-00626-9</t>
  </si>
  <si>
    <t>38.03.04, 40.02.02, 40.02.04, 40.03.01, 40.04.01, 44.03.05</t>
  </si>
  <si>
    <t>322300.14.01</t>
  </si>
  <si>
    <t>Декоративное садовод. с осн. ландш. проектир.: Уч. /А.В.Исачкин - М.: НИЦ ИНФРА-М, 2026 -522с (ВО)(П)</t>
  </si>
  <si>
    <t>ДЕКОРАТИВНОЕ САДОВОДСТВО С ОСНОВАМИ ЛАНДШАФТНОГО ПРОЕКТИРОВАНИЯ, ИЗД.1</t>
  </si>
  <si>
    <t>Исачкин А.В., Крючкова В.А., Скакова А.Г. и др.</t>
  </si>
  <si>
    <t>978-5-16-019176-8</t>
  </si>
  <si>
    <t>35.03.05</t>
  </si>
  <si>
    <t>Допущено Министерством сельского хозяйства Российской Федерации в качестве учебника для бакалавров высших учебных заведений по направлению 35.03.05 «Садоводство»</t>
  </si>
  <si>
    <t>682857.10.01</t>
  </si>
  <si>
    <t>Декоративное садовод. с осн. ландшафт. проект.: Уч. / Под ред. Исачкина А.В. - М.:НИЦ ИНФРА-М,2026. - 522 с.(П)</t>
  </si>
  <si>
    <t>978-5-16-013910-4</t>
  </si>
  <si>
    <t>35.02.12</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</si>
  <si>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35.02.12 «Садово-парковое и ландшафтное строительство»</t>
  </si>
  <si>
    <t>845070.01.01</t>
  </si>
  <si>
    <t>Декоративное садоводство с основами ландшафтного проектирования -М.:НИЦ ИНФРА-М,2026.-514 с..-(Интересно знать) [16+](п)</t>
  </si>
  <si>
    <t>978-5-16-020475-8</t>
  </si>
  <si>
    <t>086170.18.01</t>
  </si>
  <si>
    <t>Декоративно-приклад. искусство: Уч.пос. / В.Н.Молотова - 3 изд.- М.:Форум,НИЦ ИНФРА-М,2027 - 288 с.(СПО)(п)</t>
  </si>
  <si>
    <t>ДЕКОРАТИВНО-ПРИКЛАДНОЕ ИСКУССТВО, ИЗД.3</t>
  </si>
  <si>
    <t>Молотова В. Н.</t>
  </si>
  <si>
    <t>978-5-00091-402-1</t>
  </si>
  <si>
    <t>29.01.04, 29.01.09, 35.01.28, 38.02.02, 42.02.01, 43.02.02, 51.02.03, 52.02.03, 52.02.04, 52.02.05, 54.01.01, 54.01.02, 54.01.05, 54.01.06, 54.01.13, 54.01.20, 54.02.01, 54.02.02, 54.02.04, 54.02.06, 54.02.08</t>
  </si>
  <si>
    <t>846611.07.01</t>
  </si>
  <si>
    <t>Декоративно-прикладное искусство / В.Н.Молотова - М, НИЦ ИНФРА-М,2027. - 288 с.:цв. ил.[16+](п)</t>
  </si>
  <si>
    <t>Молотова В.Н.</t>
  </si>
  <si>
    <t>978-5-16-021717-8</t>
  </si>
  <si>
    <t>54.01.20</t>
  </si>
  <si>
    <t>872314.01.01</t>
  </si>
  <si>
    <t>Дело жизни. Воспоминания и размышления: Моногр. / В.В.Коссов - М.:НИЦ ИНФРА-М,2026. - 240 с.(п)</t>
  </si>
  <si>
    <t>ДЕЛО ЖИЗНИ. ВОСПОМИНАНИЯ И РАЗМЫШЛЕНИЯ, ИЗД.1</t>
  </si>
  <si>
    <t>Коссов В.В.</t>
  </si>
  <si>
    <t>978-5-16-022243-1</t>
  </si>
  <si>
    <t>842047.03.01</t>
  </si>
  <si>
    <t>Деловая культура (культура, управ...): Уч.пос. / А.Д.Барышева - М.:НИЦ ИНФРА-М,2026. - 173 с.(СПО)(п)</t>
  </si>
  <si>
    <t>ДЕЛОВАЯ КУЛЬТУРА (КУЛЬТУРА, УПРАВЛЕНИЕ, ЭТИКЕТ), ИЗД.1</t>
  </si>
  <si>
    <t>Барышева А.Д.</t>
  </si>
  <si>
    <t>978-5-16-020528-1</t>
  </si>
  <si>
    <t>38.02.02, 38.02.08, 40.02.02, 40.02.04, 43.02.06, 43.02.09, 43.02.11, 43.02.16, 44.02.01, 44.02.02, 44.02.03, 44.02.04</t>
  </si>
  <si>
    <t>Саратовский политехнический колледж</t>
  </si>
  <si>
    <t>028480.21.01</t>
  </si>
  <si>
    <t>Деловая переписка: Уч.пос. / М.В.Кирсанова, - 4 изд. - М.:НИЦ ИНФРА-М,2026 -153 с.(ВО)(п)</t>
  </si>
  <si>
    <t>ДЕЛОВАЯ ПЕРЕПИСКА, ИЗД.4</t>
  </si>
  <si>
    <t>Кирсанова М.В., Аксенов Ю.М.</t>
  </si>
  <si>
    <t>978-5-16-017841-7</t>
  </si>
  <si>
    <t>38.03.01, 38.03.02, 38.03.03, 38.03.04, 38.04.01, 38.04.02, 38.04.04, 41.03.06, 46.03.02, 46.04.02</t>
  </si>
  <si>
    <t>Новосибирский колледж транспортных технологий им. Н.А. Лунина</t>
  </si>
  <si>
    <t>0424</t>
  </si>
  <si>
    <t>028480.18.01</t>
  </si>
  <si>
    <t>Деловая переписка: Уч.практ.пос. / М.В.Кирсанова  - 3 изд. - М.:НИЦ ИНФРА-М,2022 -136 с.-(ВО)(О)</t>
  </si>
  <si>
    <t>ДЕЛОВАЯ ПЕРЕПИСКА, ИЗД.3</t>
  </si>
  <si>
    <t>Кирсанова М.В., Анодина Н.Н., Аксенов Ю.М.</t>
  </si>
  <si>
    <t>978-5-16-009918-7</t>
  </si>
  <si>
    <t>Рекомендовано в качестве учебного пособия для студентов высших учебных заведений, обучающихся по направлениям подготовки 38.03.01 «Экономика» и 38.03.02 «Менеджмент» (квалификация (степень) «бакалавр»)</t>
  </si>
  <si>
    <t>0306</t>
  </si>
  <si>
    <t>695337.05.01</t>
  </si>
  <si>
    <t>Деловая переписка: Уч.практ.пос. / М.В.Кирсанова - 3 изд.-М.:НИЦ ИНФРА-М,2023 - 136 с.(СПО)(О)</t>
  </si>
  <si>
    <t>978-5-16-014547-1</t>
  </si>
  <si>
    <t>38.01.01, 38.01.02, 38.01.03, 38.02.01, 38.02.02, 38.02.03, 38.02.06, 38.02.07, 38.02.08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</si>
  <si>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38.02.00 «Экономика и управление»</t>
  </si>
  <si>
    <t>695337.08.01</t>
  </si>
  <si>
    <t>Деловая переписка: Уч.практ.пос. / М.В.Кирсанова - 4 изд. - М.:НИЦ ИНФРА-М,2026 - 153 с.(СПО)(п)</t>
  </si>
  <si>
    <t>978-5-16-020013-2</t>
  </si>
  <si>
    <t>762161.07.01</t>
  </si>
  <si>
    <t>Деловое общение и кросс-культур. коммуникации: Уч. / Т.В.Суворова - М.:НИЦ ИНФРА-М,2026. - 323 с.(ВО)(П)</t>
  </si>
  <si>
    <t>ДЕЛОВОЕ ОБЩЕНИЕ И КРОСС-КУЛЬТУРНЫЕ КОММУНИКАЦИИ, ИЗД.1</t>
  </si>
  <si>
    <t>Жукова Е.Е., Суворова Т.В.</t>
  </si>
  <si>
    <t>978-5-16-018501-9</t>
  </si>
  <si>
    <t>12.03.03, 12.03.04, 15.03.06, 27.04.03, 27.04.05, 38.03.01, 38.03.02, 38.03.05, 38.03.06, 38.03.07, 38.04.01, 38.04.02, 38.04.03, 38.04.04, 38.04.05, 38.04.06, 38.04.07, 38.05.02, 41.04.04, 41.04.05, 42.04.04, 43.03.03</t>
  </si>
  <si>
    <t>Рекомендовано Ученым советом Университета «Синергия» для использования в образовательном процессе при изучении дисциплин «Деловые коммуникации», «Деловое общение», «Кросскультурные коммуникации», «Деловое общение и кросскультурные коммуникации» студентами бакалавриата направлений подготовки 38.03.01 «Экономика»; 38.03.02 «Менеджмент»; 38.03.03 «Управление персоналом»; 38.03.04 «Государственное и муниципальное управление»; 38.03.05 «Бизнес-информатика»; 38.03.06 «Торговое дело»; 38.03.07 «Товароведение»; 38.03.10 «Жилищное хозяйство и коммунальная инфраструктур</t>
  </si>
  <si>
    <t>764913.02.01</t>
  </si>
  <si>
    <t>Деловое общение и кросскультурные коммуникации: Прак. / Е.Е.Жукова-М.:НИЦ ИНФРА-М,2023.-320 с.(ВО)(п)</t>
  </si>
  <si>
    <t>978-5-16-017497-6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</si>
  <si>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9 от 17.11.2022)</t>
  </si>
  <si>
    <t>252800.09.01</t>
  </si>
  <si>
    <t>Деловой англ. яз.: ускоренный курс: Уч.пос. / З.В.Маньковская - М.:НИЦ ИНФРА-М,2026. - 160 с.(ВО)(п)</t>
  </si>
  <si>
    <t>ДЕЛОВОЙ АНГЛИЙСКИЙ ЯЗЫК: УСКОРЕННЫЙ КУРС, ИЗД.1</t>
  </si>
  <si>
    <t>978-5-16-019169-0</t>
  </si>
  <si>
    <t>286500.10.01</t>
  </si>
  <si>
    <t>Деловой китайский: Уч. пос. / Ю.Г.Романова - М.:НИЦ ИНФРА-М,2026. - 165 с.(ВО)(о)</t>
  </si>
  <si>
    <t>ДЕЛОВОЙ КИТАЙСКИЙ, ИЗД.1</t>
  </si>
  <si>
    <t>Романова Ю.Г.</t>
  </si>
  <si>
    <t>978-5-16-018592-7</t>
  </si>
  <si>
    <t>38.03.01, 38.04.01, 45.03.02, 45.04.02</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</si>
  <si>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38.03.01 «Экономика» (уровень бакалавриата)</t>
  </si>
  <si>
    <t>845814.05.01</t>
  </si>
  <si>
    <t>Деловой этикет / И.Н.Кузнецов - М.:НИЦ ИНФРА-М,2027. - 348 с.(Интересно знать)(п)</t>
  </si>
  <si>
    <t>ДЕЛОВОЙ ЭТИКЕТ, ИЗД.1</t>
  </si>
  <si>
    <t>Кузнецов И.Н.</t>
  </si>
  <si>
    <t>978-5-16-020485-7</t>
  </si>
  <si>
    <t>38.03.03, 38.03.05, 43.03.01</t>
  </si>
  <si>
    <t>139500.15.01</t>
  </si>
  <si>
    <t>Деловой этикет: Уч.пос. / И.Н.Кузнецов - М.:НИЦ ИНФРА-М,2026 - 348 с.-(ВО)(п)</t>
  </si>
  <si>
    <t>Кузнецов И. Н.</t>
  </si>
  <si>
    <t>978-5-16-018532-3</t>
  </si>
  <si>
    <t>38.03.01, 38.03.02, 38.03.03, 38.03.04, 38.03.05, 38.03.06, 38.03.07, 43.03.01, 51.03.02</t>
  </si>
  <si>
    <t>Рекомендуется  в качестве учебного пособия для студентов высших учебных заведений, обучающихся по направлению 38.03.02 «Менеджмент» и 38.03.04 «Государственное и муниципальное управление»</t>
  </si>
  <si>
    <t>858345.01.01</t>
  </si>
  <si>
    <t>Деловые и проф. коммуникации (индустрия красоты): Уч.пос. / В.Н.Шитов - М.:НИЦ ИНФРА-М,2026. - 192 с.(СПО)(п)</t>
  </si>
  <si>
    <t>ДЕЛОВЫЕ И ПРОФЕССИОНАЛЬНЫЕ КОММУНИКАЦИИ (ИНДУСТРИЯ КРАСОТЫ), ИЗД.1</t>
  </si>
  <si>
    <t>Шитов В.Н.</t>
  </si>
  <si>
    <t>978-5-16-021050-6</t>
  </si>
  <si>
    <t>43.02.17</t>
  </si>
  <si>
    <t>СПО-2025, Победитель, I место</t>
  </si>
  <si>
    <t>153200.07.01</t>
  </si>
  <si>
    <t>Деловые игры по формир. экон. компетенций: Уч.пос. / В.О.Евсеев-М.:Вуз. уч., ИНФРА-М,2021.-254 с.(ВО-Бак.)(П)</t>
  </si>
  <si>
    <t>ДЕЛОВЫЕ ИГРЫ ПО ФОРМИРОВАНИЮ ЭКОНОМИЧЕСКИХ КОМПЕТЕНЦИЙ, ИЗД.1</t>
  </si>
  <si>
    <t>Евсеев В. О.</t>
  </si>
  <si>
    <t>978-5-9558-0650-1</t>
  </si>
  <si>
    <t>38.03.01, 38.03.04, 38.04.01, 38.04.04, 38.04.08, 39.03.01, 39.03.02, 39.03.03, 39.04.01, 39.04.02, 39.04.03, 44.03.01, 44.03.05, 44.04.01</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</si>
  <si>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и специальности «Социальная работа»</t>
  </si>
  <si>
    <t>153200.10.01</t>
  </si>
  <si>
    <t>Деловые игры по формир. эконом. компетенций: Уч.пос. / В.О.Евсеев - 2 изд. - М.:НИЦ ИНФРА-М,2027 - 288 с.(п)</t>
  </si>
  <si>
    <t>ДЕЛОВЫЕ ИГРЫ ПО ФОРМИРОВАНИЮ ЭКОНОМИЧЕСКИХ КОМПЕТЕНЦИЙ, ИЗД.2</t>
  </si>
  <si>
    <t>Евсеев В.О.</t>
  </si>
  <si>
    <t>978-5-16-019836-1</t>
  </si>
  <si>
    <t>665060.08.01</t>
  </si>
  <si>
    <t>Деловые игры: теория и организация: Уч.мет.пос. / Г.С.Абрамова - 2 изд. - М.:НИЦ ИНФРА-М,2025 - 189 с.(ВО)</t>
  </si>
  <si>
    <t>ДЕЛОВЫЕ ИГРЫ: ТЕОРИЯ И ОРГАНИЗАЦИЯ, ИЗД.2</t>
  </si>
  <si>
    <t>Абрамова Г.С., Степанович В.А.</t>
  </si>
  <si>
    <t>978-5-16-013580-9</t>
  </si>
  <si>
    <t>37.03.01, 37.03.02, 37.05.02, 44.03.01, 44.03.02, 44.03.03, 44.03.04, 44.03.05, 44.04.01, 44.04.02, 44.05.01</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</si>
  <si>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44.03.04 «Профессиональное обучение» (квалификация (степень) «бакалавр»)</t>
  </si>
  <si>
    <t>Брестский государственный университет имени А.С.Пушкина</t>
  </si>
  <si>
    <t>642428.01.01</t>
  </si>
  <si>
    <t>Деловые коммуникации: соц.-психолог.аспекты: Уч.пос./ А.М.Пивоваров-М.:ИЦ РИОР,НИЦ ИНФРА-М,2017-146с</t>
  </si>
  <si>
    <t>ДЕЛОВЫЕ КОММУНИКАЦИИ: СОЦИАЛЬНО-ПСИХОЛОГИЧЕСКИЕ АСПЕКТЫ, ИЗД.1</t>
  </si>
  <si>
    <t>Пивоваров А.М.</t>
  </si>
  <si>
    <t>978-5-369-01641-1</t>
  </si>
  <si>
    <t>38.03.01, 38.04.01, 38.04.02, 38.04.03, 38.04.04, 38.04.05, 38.04.06, 38.04.07, 39.03.01, 39.04.01</t>
  </si>
  <si>
    <t>642428.07.01</t>
  </si>
  <si>
    <t>Деловые коммуникации: теория..: Уч.пос. / А.М.Пивоваров, - 2 изд. - М.:ИЦ РИОР, НИЦ ИНФРА-М,2026. - 162 с.(О)</t>
  </si>
  <si>
    <t>ДЕЛОВЫЕ КОММУНИКАЦИИ: ТЕОРИЯ И ПРАКТИКА, ИЗД.2</t>
  </si>
  <si>
    <t>978-5-369-01913-9</t>
  </si>
  <si>
    <t>420950.10.01</t>
  </si>
  <si>
    <t>Деловые коммуникации: Уч. / О.В.Папкова - М.:Вуз.уч., НИЦ ИНФРА-М,2026 - 160 с.(ВО:Бакалавриат)(П)</t>
  </si>
  <si>
    <t>ДЕЛОВЫЕ КОММУНИКАЦИИ, ИЗД.1</t>
  </si>
  <si>
    <t>Папкова О.В.</t>
  </si>
  <si>
    <t>978-5-9558-0301-2</t>
  </si>
  <si>
    <t>38.03.01, 38.03.02, 38.03.03, 38.03.04, 38.03.05, 38.03.06, 38.03.07, 38.04.01, 38.04.02, 38.04.03, 38.04.04, 38.04.05, 38.04.06, 38.04.07, 41.03.06, 42.03.01, 42.03.02, 42.04.01, 42.04.02, 46.03.02, 46.04.02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</si>
  <si>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38.03.02 «Менеджмент» (квалификация (степень) «бакалавр»)</t>
  </si>
  <si>
    <t>134600.18.01</t>
  </si>
  <si>
    <t>Деловые коммуникации: Уч.пос. / Е.И.Кривокора - М.:НИЦ ИНФРА-М,2027 - 190 с.-(ВО)(П)</t>
  </si>
  <si>
    <t>Кривокора Е. И.</t>
  </si>
  <si>
    <t>978-5-16-020858-9</t>
  </si>
  <si>
    <t>38.03.01, 38.03.02, 43.03.01, 43.03.02</t>
  </si>
  <si>
    <t>Допущено УМО по образованию в области производственного менеджмента¶в качестве учебного пособия для студентов, обучающихся¶по направлению подготовки 38.03.02 «Менеджмент» (профиль «Производственный менеджмент)</t>
  </si>
  <si>
    <t>842290.02.01</t>
  </si>
  <si>
    <t>Деловые коммуникации: Уч.пос. / Е.И.Кривокора - М.:НИЦ ИНФРА-М,2027 - 190 с.(СПО)(п)</t>
  </si>
  <si>
    <t>978-5-16-020321-8</t>
  </si>
  <si>
    <t>08.02.03, 11.02.12, 19.02.10, 21.02.19, 29.02.10, 32.02.01, 34.01.01, 38.01.01, 39.02.02, 43.02.17</t>
  </si>
  <si>
    <t>400157.13.01</t>
  </si>
  <si>
    <t>Деловые комплименты: Уч.пос. / М.Л.Асмолова - 2 изд. - М.:ИЦ РИОР,НИЦ ИНФРА-М,2026 - 161 с.(О)</t>
  </si>
  <si>
    <t>ДЕЛОВЫЕ КОМПЛИМЕНТЫ: УПРАВЛЕНИЕ ЛЮДЬМИ ПРИ ВНЕДРЕНИИ ИННОВАЦИЙ, ИЗД.2</t>
  </si>
  <si>
    <t>Асмолова М. Л.</t>
  </si>
  <si>
    <t>Президентская программа подготовки управленческих кадров</t>
  </si>
  <si>
    <t>978-5-369-01513-1</t>
  </si>
  <si>
    <t>08.02.01, 08.02.04, 15.02.07, 35.02.12, 37.03.01, 37.04.01, 38.02.01, 38.02.03, 38.02.07, 38.03.02, 38.03.03, 38.03.04, 38.04.02, 38.04.03, 38.04.04, 40.02.04, 43.02.16, 43.02.17, 44.03.01, 44.03.05</t>
  </si>
  <si>
    <t>752920.01.01</t>
  </si>
  <si>
    <t>Делопроизводство и архивное дело: Уч.пос. / Е.В.Зайцева - М.:НИЦ ИНФРА-М,2025. - 258 с.(ВО)(п)</t>
  </si>
  <si>
    <t>ДЕЛОПРОИЗВОДСТВО И АРХИВНОЕ ДЕЛО, ИЗД.1</t>
  </si>
  <si>
    <t>Зайцева Е.В., Гончарова Н.В.</t>
  </si>
  <si>
    <t>978-5-16-017777-9</t>
  </si>
  <si>
    <t>37.03.02, 38.03.02, 38.03.04, 38.04.02, 41.03.02, 46.04.02</t>
  </si>
  <si>
    <t>838968.03.01</t>
  </si>
  <si>
    <t>Делопроизводство и архивное дело: Уч.пос. / Е.В.Зайцева - М.:НИЦ ИНФРА-М,2026. - 258 с.(СПО)(п)</t>
  </si>
  <si>
    <t>978-5-16-020233-4</t>
  </si>
  <si>
    <t>31.02.02, 39.02.03, 46.01.02, 46.01.03</t>
  </si>
  <si>
    <t>845219.03.01</t>
  </si>
  <si>
    <t>Делопроизводство: Уч. / Под общ. ред. Т.А.Быкова - 5 изд. - М.:НИЦ ИНФРА-М,2026 - 403 с.(СПО)(п)</t>
  </si>
  <si>
    <t>ДЕЛОПРОИЗВОДСТВО, ИЗД.5</t>
  </si>
  <si>
    <t>Быкова Т.А., Вялова Л.М., Кукарина Ю.М. и др.</t>
  </si>
  <si>
    <t>978-5-16-020456-7</t>
  </si>
  <si>
    <t>12.02.05, 23.02.07, 24.02.01, 25.02.06, 38.01.01, 39.02.03, 46.01.02, 46.01.03</t>
  </si>
  <si>
    <t>159200.09.01</t>
  </si>
  <si>
    <t>Делопроизводство: Уч. / Под ред. Быковой Т.А. - 4 изд. - М.:НИЦ ИНФРА-М,2021.-393 с.(ВО: Бакалавр.)(П)</t>
  </si>
  <si>
    <t>ДЕЛОПРОИЗВОДСТВО, ИЗД.4</t>
  </si>
  <si>
    <t>978-5-16-014992-9</t>
  </si>
  <si>
    <t>38.03.04, 46.02.01, 46.02.02, 46.03.02, 46.04.02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</si>
  <si>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46.03.02 «Документоведение и архивоведение»  ¶(квалификация (степень) «бакалавр») (протокол №9 от 28.09.2020)</t>
  </si>
  <si>
    <t>159200.07.01</t>
  </si>
  <si>
    <t>Делопроизводство: уч. / Под ред. Кузнецова Т.В., - 3-е изд., перераб. и доп-М.:НИЦ ИНФРА-М,2019.-364 с..-(ВО: Бакалавриат)(П 7Б</t>
  </si>
  <si>
    <t>ДЕЛОПРОИЗВОДСТВО, ИЗД.3</t>
  </si>
  <si>
    <t>Быкова Т. А., Вялова Л. М., Санкина Л. В., Кузнецова Т. В.</t>
  </si>
  <si>
    <t>978-5-16-004923-6</t>
  </si>
  <si>
    <t>Допущено Учебно-методическим объединением вузов РФ по образованию в области историко-архивоведения в качестве учебника для студентов высших учебных заведений, обучающихся по направлению 037700 «Документоведение и архивоведение» и специальности 032001</t>
  </si>
  <si>
    <t>159200.14.01</t>
  </si>
  <si>
    <t>Делопроизводство: Уч. / Т.А.Быкова - 5 изд. - М.:НИЦ ИНФРА-М,2026 - 403 с.(ВО)(п)</t>
  </si>
  <si>
    <t>978-5-16-018052-6</t>
  </si>
  <si>
    <t>042250.15.01</t>
  </si>
  <si>
    <t>Демография: Уч. / В.М.Медков, - 2 изд. - М.:НИЦ ИНФРА-М,2025. - 332 с.(ВО: Бакалавр.)(п)</t>
  </si>
  <si>
    <t>ДЕМОГРАФИЯ, ИЗД.2</t>
  </si>
  <si>
    <t>Медков В.М.</t>
  </si>
  <si>
    <t>978-5-16-020608-0</t>
  </si>
  <si>
    <t>38.03.04, 38.04.04, 39.03.01</t>
  </si>
  <si>
    <t>Рекомендовано в качестве учебника для студентов высших учебных заведений, обучающихся по направлениям подготовки 39.03.01 «Социология», 38.03.01 «Экономика», 39.03.02 «Социальная работа» (квалификация (степень) «бакалавр»)</t>
  </si>
  <si>
    <t>638071.05.01</t>
  </si>
  <si>
    <t>Демография: Уч.пос. / А.И.Щербаков и др. - М.:НИЦ ИНФРА-М,2025 - 216 с.(ВО:Бакалавриат) (П)</t>
  </si>
  <si>
    <t>ДЕМОГРАФИЯ, ИЗД.1</t>
  </si>
  <si>
    <t>Щербаков А.И., Мдинарадзе М.Г., Назаров А.Д. и др.</t>
  </si>
  <si>
    <t>978-5-16-012222-9</t>
  </si>
  <si>
    <t>38.03.01, 38.03.04, 38.04.01, 38.04.04, 39.03.01, 39.04.01</t>
  </si>
  <si>
    <t>Рекомендовано в качестве учебного пособия для студентов высших учебных заведений, обучающихся по направлениям подготовки 38.03.04 «Государственное и муниципальное управление», 38.03.01 «Экономика» (квалификация (степень) «бакалавр»)</t>
  </si>
  <si>
    <t>677025.04.01</t>
  </si>
  <si>
    <t>Демография: Уч.пос. / В.Л.Юлинов и др. - М.:НИЦ ИНФРА-М,2026. - 169 с.(ВО: Бакалавриат)(П)</t>
  </si>
  <si>
    <t>Юлинов В.Л., Патрушева Н.А., Кочуров Б.И.</t>
  </si>
  <si>
    <t>978-5-16-015240-0</t>
  </si>
  <si>
    <t>38.03.01, 38.03.04, 38.04.01, 38.04.04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</si>
  <si>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 (протокол №10 от 12.10.2020)</t>
  </si>
  <si>
    <t>Северный (Арктический) федеральный университет им. М.В. Ломоносова</t>
  </si>
  <si>
    <t>133070.10.01</t>
  </si>
  <si>
    <t>Демография: Уч.-прак. пос. / Лысенко С. Н. - М.: Вуз. уч., НИЦ ИНФРА-М, 2026 - 112 с.(о)</t>
  </si>
  <si>
    <t>Лысенко С. Н.</t>
  </si>
  <si>
    <t>978-5-9558-0153-7</t>
  </si>
  <si>
    <t>38.03.01, 38.03.04, 38.04.01, 38.04.04, 41.03.06</t>
  </si>
  <si>
    <t>Московский городской университет управления Правительства Москвы</t>
  </si>
  <si>
    <t>714112.06.01</t>
  </si>
  <si>
    <t>Демократия: опыт критического анализа: Монография - М.:Юр.Норма,2025. - 184 с.(П)</t>
  </si>
  <si>
    <t>ДЕМОКРАТИЯ: ОПЫТ КРИТИЧЕСКОГО АНАЛИЗА, ИЗД.1</t>
  </si>
  <si>
    <t>978-5-00156-005-0</t>
  </si>
  <si>
    <t>40.04.01, 41.03.04, 41.03.06, 41.04.04, 41.04.05</t>
  </si>
  <si>
    <t>847435.03.01</t>
  </si>
  <si>
    <t>Демонстрационный экзамен по спец. 38.02.01..: Уч.пос. / Л.В.Пермитина - М.:НИЦ ИНФРА-М,2027 - 207 с.(СПО)(п)</t>
  </si>
  <si>
    <t>ДЕМОНСТРАЦИОННЫЙ ЭКЗАМЕН ПО СПЕЦИАЛЬНОСТИ 38.02.01 ЭКОНОМИКА И БУХГАЛТЕРСКИЙ УЧЕТ (ПО ОТРАСЛЯМ), ИЗД.1</t>
  </si>
  <si>
    <t>Пермитина Л.В.</t>
  </si>
  <si>
    <t>978-5-16-020626-4</t>
  </si>
  <si>
    <t>640457.04.01</t>
  </si>
  <si>
    <t>Деньги, кредит, банки: Уч. / А.А.Казимагомедов - 2 изд. - М.:НИЦ ИНФРА-М,2023 - 483 с.(ВО: Бак.)(П)</t>
  </si>
  <si>
    <t>ДЕНЬГИ, КРЕДИТ, БАНКИ, ИЗД.2</t>
  </si>
  <si>
    <t>978-5-16-012522-0</t>
  </si>
  <si>
    <t>38.03.01, 38.04.01, 44.03.05</t>
  </si>
  <si>
    <t>Рекомендовано УМО по образованию в области финансов, учета и мировой экономики в качестве учебника для студентов, обучающихся по специальностям «Финансы и кредит», «Бухгалтерский учет, анализ и аудит», «Мировая экономика», «Налоги и налогообложение»</t>
  </si>
  <si>
    <t>163000.10.01</t>
  </si>
  <si>
    <t>Деньги, кредит, банки: Уч. / Е.А.Звонова и др. - М.:НИЦ ИНФРА-М,2026. - 592 с.(ВО:Бакалавр.)(п)</t>
  </si>
  <si>
    <t>ДЕНЬГИ, КРЕДИТ, БАНКИ, ИЗД.1</t>
  </si>
  <si>
    <t>Звонова Е. А., Богачева М. Ю., Болвачев А. И.</t>
  </si>
  <si>
    <t>978-5-16-005114-7</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</si>
  <si>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"Экономика", профиль "Банковское дело"</t>
  </si>
  <si>
    <t>467950.08.01</t>
  </si>
  <si>
    <t>Деньги, кредит, банки: Уч. пос. / Н.А.Агеева - М.:ИЦ РИОР, НИЦ ИНФРА-М,2026. - 155 с.(ВО: Бакалавр.)(п)</t>
  </si>
  <si>
    <t>Агеева Н. А.</t>
  </si>
  <si>
    <t>978-5-369-01348-9</t>
  </si>
  <si>
    <t>38.03.01, 38.03.02, 38.03.04, 38.03.05, 38.03.06, 38.03.07</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</si>
  <si>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</si>
  <si>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256200.11.01</t>
  </si>
  <si>
    <t>Деньги, кредит, банки: Уч. пос./ Б.Х. Алиев - М.:  ИНФРА-М, 2026. - 288 с. (п)</t>
  </si>
  <si>
    <t>Алиев Б. Х., Идрисова С. К., Рабаданова Д. А.</t>
  </si>
  <si>
    <t>978-5-16-021911-0</t>
  </si>
  <si>
    <t>38.03.01, 38.04.08, 44.03.05</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</si>
  <si>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38.03.01 (080100) «Экономика» (уровень бакалавриата)</t>
  </si>
  <si>
    <t>116200.12.01</t>
  </si>
  <si>
    <t>Деньги, кредит, банки: Уч.пос. / С.А.Чернецов - М.:Магистр, НИЦ ИНФРА-М,2025 - 496 с.(П)</t>
  </si>
  <si>
    <t>Чернецов С. А.</t>
  </si>
  <si>
    <t>978-5-9776-0108-5</t>
  </si>
  <si>
    <t>38.03.01, 38.03.02, 38.03.04, 38.03.05, 38.04.01, 38.04.02, 38.04.04, 38.04.05, 38.04.08, 38.04.09, 41.03.06, 44.03.01, 44.03.05</t>
  </si>
  <si>
    <t>654779.02.01</t>
  </si>
  <si>
    <t>Деньги. Кредит. Банки: Уч. / Б.И.Соколов - М.:НИЦ ИНФРА-М,2026. - 323 с.(ВО)(п)</t>
  </si>
  <si>
    <t>ДЕНЬГИ. КРЕДИТ. БАНКИ, ИЗД.1</t>
  </si>
  <si>
    <t>Соколов Б.И., Соколова С.В.</t>
  </si>
  <si>
    <t>978-5-16-015232-5</t>
  </si>
  <si>
    <t>38.03.01, 38.03.06, 38.04.08, 38.05.01, 41.03.05</t>
  </si>
  <si>
    <t>822140.01.01</t>
  </si>
  <si>
    <t>Деонтология: Уч.пос. / И.В.Гавриленкова - М.:НИЦ ИНФРА-М,2025. - 235 с.(ВО (КрГАУ))(п)</t>
  </si>
  <si>
    <t>ДЕОНТОЛОГИЯ, ИЗД.1</t>
  </si>
  <si>
    <t>Гавриленко И.В.</t>
  </si>
  <si>
    <t>978-5-16-020284-6</t>
  </si>
  <si>
    <t>36.05.01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</si>
  <si>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по направлению подготовки 36.03.01 «Ветеринарно-санитарная экспертиза» и специальности 36.05.01 «Ветеринария»</t>
  </si>
  <si>
    <t>656171.05.01</t>
  </si>
  <si>
    <t>Депоощрение по российскому праву...: Моногр. / В.М.Баранов - М.:НИЦ ИНФРА-М,2025 - 448 с.(П)</t>
  </si>
  <si>
    <t>ДЕПООЩРЕНИЕ ПО РОССИЙСКОМУ ПРАВУ (ДОКТРИНА, ПРАКТИКА, ТЕХНИКА), ИЗД.1</t>
  </si>
  <si>
    <t>Баранов В.М., Чернявский А.Г., Девяшин И.В. и др.</t>
  </si>
  <si>
    <t>978-5-16-012869-6</t>
  </si>
  <si>
    <t>420400.12.01</t>
  </si>
  <si>
    <t>Депрессии и резистентность: Практ. рук. / Ю.В.Быков - М.:ИЦ РИОР, НИЦ ИНФРА-М,2026 - 370 с.(О)</t>
  </si>
  <si>
    <t>ДЕПРЕССИИ И РЕЗИСТЕНТНОСТЬ, ИЗД.1</t>
  </si>
  <si>
    <t>Быков Ю.В., Беккер Р.А., Резников М.К.</t>
  </si>
  <si>
    <t>978-5-369-01096-9</t>
  </si>
  <si>
    <t>31.05.01, 32.05.01, 37.03.01, 37.04.01, 37.05.01</t>
  </si>
  <si>
    <t>Ставропольский государственный медицинский университет Министерства здравоохранения Российской Федерации</t>
  </si>
  <si>
    <t>645589.11.01</t>
  </si>
  <si>
    <t>Деревообработка: технологии и оборуд.: Уч.пос. / С.В.Фокин - 2 изд. - М:НИЦ ИНФРА-М,2026 - 203 с.(СПО)</t>
  </si>
  <si>
    <t>ДЕРЕВООБРАБОТКА: ТЕХНОЛОГИИ И ОБОРУДОВАНИЕ, ИЗД.2</t>
  </si>
  <si>
    <t>Фокин С.В., Шпортько О.Н.</t>
  </si>
  <si>
    <t>978-5-16-012433-9</t>
  </si>
  <si>
    <t>08.01.24, 08.02.01, 35.01.05, 35.01.28, 35.02.18</t>
  </si>
  <si>
    <t>Рекомендовано  в качестве учебного пособия для учебных заведений, реализующих программу професионального образования по специальности 35.02.03 «Технология деревообработки»</t>
  </si>
  <si>
    <t>Саратовский государственный технический университет им. Гагарина Ю.А.</t>
  </si>
  <si>
    <t>682721.06.01</t>
  </si>
  <si>
    <t>Дерматология и венерология: Уч.пос. / О.А.Притуло. - М.:НИЦ ИНФРА-М,2026. - 204 с.(ВО: Спец. (КрымФУ))(П)</t>
  </si>
  <si>
    <t>ДЕРМАТОЛОГИЯ И ВЕНЕРОЛОГИЯ, ИЗД.1</t>
  </si>
  <si>
    <t>Притуло О.А., Винцерская Г.А., Прохоров Д.В. и др.</t>
  </si>
  <si>
    <t>978-5-16-021102-2</t>
  </si>
  <si>
    <t>31.05.02, 31.05.03, 32.05.01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</si>
  <si>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31.05.01 «Лечебное дело» (квалификация «врач общей практики») (протокол № 2 от 28.01.2019)</t>
  </si>
  <si>
    <t>724344.03.01</t>
  </si>
  <si>
    <t>Дерптский Проф. институт - науч.-педагог. шк. России / Н.В.Карнаух - М.:НИЦ ИНФРА-М,2026. - 331 с.(О)</t>
  </si>
  <si>
    <t>ДЕРПТСКИЙ ПРОФЕССОРСКИЙ ИНСТИТУТ - НАУЧНО-ПЕДАГОГИЧЕСКАЯ ШКОЛА РОССИИ, ИЗД.1</t>
  </si>
  <si>
    <t>Карнаух Н.В.</t>
  </si>
  <si>
    <t>978-5-16-015888-4</t>
  </si>
  <si>
    <t>Благовещенский государственный педагогический университет</t>
  </si>
  <si>
    <t>785112.03.01</t>
  </si>
  <si>
    <t>Деструктивное воздействие на несовершеннолетних: Моногр. / С.М.Воробьев. - М.:НИЦ ИНФРА-М,2027. - 179 с.(П)</t>
  </si>
  <si>
    <t>ДЕСТРУКТИВНОЕ ВОЗДЕЙСТВИЕ НА НЕСОВЕРШЕННОЛЕТНИХ: ТЕОРИЯ И ПРАКТИКА ПРОТИВОДЕЙСТВИЯ, ИЗД.1</t>
  </si>
  <si>
    <t>Воробьев С.М., Бычкова А.М., Курилкин К.А. и др.</t>
  </si>
  <si>
    <t>978-5-16-017880-6</t>
  </si>
  <si>
    <t>39.04.02, 40.04.01, 40.05.02</t>
  </si>
  <si>
    <t>753302.06.01</t>
  </si>
  <si>
    <t>Десять лекций о праве: Моногр. / В.Д.Зорькин - М.:Юр.Норма,ИНФРА-М,2026 - 400 с.(П)</t>
  </si>
  <si>
    <t>ДЕСЯТЬ ЛЕКЦИЙ О ПРАВЕ, ИЗД.1</t>
  </si>
  <si>
    <t>978-5-00156-152-1</t>
  </si>
  <si>
    <t>40.03.01, 40.04.01, 40.05.04, 40.06.01</t>
  </si>
  <si>
    <t>342100.14.01</t>
  </si>
  <si>
    <t>Детали машин и основы констр...: Уч.пос. / В.А.Жуков - 2 изд. - М.:НИЦ ИНФРА-М,2025 - 416 с.(ВО)(П)</t>
  </si>
  <si>
    <t>ДЕТАЛИ МАШИН И ОСНОВЫ КОНСТРУИРОВАНИЯ: ОСНОВЫ РАСЧЕТА И ПРОЕКТИРОВАНИЯ СОЕДИНЕНИЙ И ПЕРЕДАЧ, ИЗД.2</t>
  </si>
  <si>
    <t>Жуков В.А.</t>
  </si>
  <si>
    <t>978-5-16-018844-7</t>
  </si>
  <si>
    <t>13.03.03, 15.03.01, 15.03.03, 15.03.05, 16.03.03, 23.03.02, 23.03.03, 24.03.03, 24.03.04, 24.03.05</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</si>
  <si>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15.03.02 «Технологические машины и оборудование» (квалификация (степень) «бакалавр»)</t>
  </si>
  <si>
    <t>719237.02.01</t>
  </si>
  <si>
    <t>Детали машин и основы конструирования...: Уч.пос. / В.А.Жуков, - 2 изд.-М.:НИЦ ИНФРА-М,2023-416с(П)</t>
  </si>
  <si>
    <t>978-5-16-015609-5</t>
  </si>
  <si>
    <t>15.02.01, 15.02.04, 15.02.16, 23.02.02, 24.02.01, 24.02.02, 25.02.02, 25.02.06, 26.02.02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</si>
  <si>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12 от 24.06.2019)</t>
  </si>
  <si>
    <t>860639.01.01</t>
  </si>
  <si>
    <t>Детали машин и основы конструирования: Уч.пос. / М.В.Брунгардт. - М.:НИЦ ИНФРА-М, СФУ,2026. - 182 с.(ВО)(п)</t>
  </si>
  <si>
    <t>ДЕТАЛИ МАШИН И ОСНОВЫ КОНСТРУИРОВАНИЯ, ИЗД.1</t>
  </si>
  <si>
    <t>Брунгардт М.В., Брюховецкая Е.В., Щепин А.Н. и др.</t>
  </si>
  <si>
    <t>978-5-16-021344-6</t>
  </si>
  <si>
    <t>15.03.02</t>
  </si>
  <si>
    <t>072290.27.01</t>
  </si>
  <si>
    <t>Детали машин. Краткий курс,прак.занятия: Уч.пос. / В.П.Олофинская - 4 изд. - М,НИЦ ИНФРА-М,2026 - 232 с.(П)</t>
  </si>
  <si>
    <t>ДЕТАЛИ МАШИН. КРАТКИЙ КУРС, ПРАКТИЧЕСКИЕ ЗАНЯТИЯ И ТЕСТОВЫЕ ЗАДАНИЯ, ИЗД.4</t>
  </si>
  <si>
    <t>Олофинская В.П.</t>
  </si>
  <si>
    <t>978-5-16-022297-4</t>
  </si>
  <si>
    <t>13.02.12, 13.02.13, 15.01.26, 15.01.27, 15.01.35, 15.01.36, 15.01.38, 15.02.01, 15.02.16, 15.02.17, 23.02.07, 25.02.02, 26.02.03, 26.02.04</t>
  </si>
  <si>
    <t>Колледж московского транспорта</t>
  </si>
  <si>
    <t>072290.18.01</t>
  </si>
  <si>
    <t>Детали машин. Краткий курс,практ.занятия:Уч.пос./В.П.Олофинская-3изд-Форум,НИЦ ИНФРА-М,2021-240с(ПО)</t>
  </si>
  <si>
    <t>ДЕТАЛИ МАШИН. КРАТКИЙ КУРС, ПРАКТИЧЕСКИЕ ЗАНЯТИЯ И ТЕСТОВЫЕ ЗАДАНИЯ, ИЗД.3</t>
  </si>
  <si>
    <t>Олофинская В. П.</t>
  </si>
  <si>
    <t>978-5-00091-457-1</t>
  </si>
  <si>
    <t>733132.10.01</t>
  </si>
  <si>
    <t>Детали машин. Краткий курс..: Уч.пос. / В.П.Олофинская - 4 изд. - М.:Форум, НИЦ ИНФРА-М,2027 - 232 с.(П)</t>
  </si>
  <si>
    <t>978-5-00091-726-8</t>
  </si>
  <si>
    <t>15.03.02, 15.03.03, 15.03.05, 15.05.01, 16.03.02, 22.03.01, 24.03.01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</si>
  <si>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немашиностроительным направлениям подготовки (квалификация (степень) «бакалавр») (протокол № 17 от 11.11.2019)</t>
  </si>
  <si>
    <t>735911.04.01</t>
  </si>
  <si>
    <t>Детали машин. Курсовое проектир.: Уч.пос. / В.А.Овтов - М.:НИЦ ИНФРА-М,2027-323 с.(ВО: Бакалавр.)(П)</t>
  </si>
  <si>
    <t>ДЕТАЛИ МАШИН. КУРСОВОЕ ПРОЕКТИРОВАНИЕ, ИЗД.1</t>
  </si>
  <si>
    <t>Овтов В.А.</t>
  </si>
  <si>
    <t>978-5-16-016509-7</t>
  </si>
  <si>
    <t>13.03.03, 15.03.01, 15.03.02, 15.03.03, 15.03.05, 15.04.02, 15.04.03, 15.04.05, 15.04.06, 15.05.01, 16.03.02, 16.03.03, 22.03.01, 23.03.02, 23.03.03, 24.03.01, 24.03.03, 24.03.04, 24.03.05, 55.02.01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</si>
  <si>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6 от 16.06.2021)</t>
  </si>
  <si>
    <t>682858.08.01</t>
  </si>
  <si>
    <t>Детали машин. Основы теории, расчета и...: Уч.пос. / В.П.Олофинская - М.:НИЦ ИНФРА-М,2026. - 72 с.(СПО)(о)</t>
  </si>
  <si>
    <t>ДЕТАЛИ МАШИН. ОСНОВЫ ТЕОРИИ, РАСЧЕТА И КОНСТРУИРОВАНИЯ, ИЗД.1</t>
  </si>
  <si>
    <t>978-5-16-021147-3</t>
  </si>
  <si>
    <t>13.02.12, 13.02.13, 15.02.01, 15.02.17, 23.02.02, 23.02.03, 23.02.07, 25.02.02, 26.02.04</t>
  </si>
  <si>
    <t>Рекомендовано Учебно-методическим советом среднего профессионального образования в качестве учебного пособия для студентов, обучающихся по направлениям подготовки 15.02.08 «Технология машиностроения» и 15.02.07 «Автоматизация технологических процессов и производств (по отраслям)»</t>
  </si>
  <si>
    <t>290900.09.01</t>
  </si>
  <si>
    <t>Детали машин. Основы теории, расчета и..: Уч.пос. / В.П.Олофинская - М.:Форум,НИЦ ИНФРА-М,2026 - 72с(ВО)(о)</t>
  </si>
  <si>
    <t>978-5-00091-641-4</t>
  </si>
  <si>
    <t>13.03.03, 15.03.03, 15.03.05, 23.03.02, 23.03.03</t>
  </si>
  <si>
    <t>Рекомендовано в качестве учебного пособия для студентов высших учебных заведений, обучающихся по направлениям подготовки 15.03.01 «Машиностроение», 15.03.03 «Прикладная механика», 15.03.05 «Конструкторско-технологическое обеспечение машиностроительных производств»(квалификация (степень) «бакалавр»)</t>
  </si>
  <si>
    <t>079000.15.01</t>
  </si>
  <si>
    <t>Детали машин: тип. расчеты на прочность: Уч.пос. / Т.В.Хруничева - М.:ИД ФОРУМ, НИЦ ИНФРА-М,2026. - 224 с.(П)</t>
  </si>
  <si>
    <t>ДЕТАЛИ МАШИН: ТИПОВЫЕ РАСЧЕТЫ НА ПРОЧНОСТЬ, ИЗД.1</t>
  </si>
  <si>
    <t>Хруничева Т. В.</t>
  </si>
  <si>
    <t>978-5-8199-0846-4</t>
  </si>
  <si>
    <t>07.02.01, 08.02.01, 08.02.02, 08.02.03, 08.02.04, 08.02.08, 08.02.09, 08.02.12, 08.02.13, 08.02.14, 11.02.06, 12.02.01, 12.02.03, 12.02.04, 12.02.05, 12.02.07, 12.02.08, 12.02.09, 13.02.01, 13.02.02, 13.02.04, 13.02.05, 13.02.07, 13.02.08, 13.02.09, 13.02.12, 13.02.13, 14.02.01, 14.02.02, 15.01.26, 15.01.27, 15.01.35, 15.01.36, 15.01.38, 15.02.01, 15.02.03, 15.02.04, 15.02.06, 15.02.07, 15.02.09, 15.02.10, 15.02.16, 15.02.17, 15.02.18, 15.02.19, 18.02.10, 18.02.13, 19.02.11, 19.02.12, 20.02.02, 20.02.04, 20.02.06, 21.01.08, 21.01.17, 21.02.01, 21.02.02, 21.02.03, 21.02.09, 21.02.12, 21.02.14, 21.02.15, 21.02.16, 21.02.17, 21.02.18, 22.02.08, 23.01.02, 23.02.01, 23.02.02, 23.02.03, 23.02.04, 23.02.05, 23.02.06, 23.02.07, 23.02.08, 24.02.01, 24.02.02, 24.02.04, 25.02.01, 25.02.02, 25.02.03, 25.02.04, 25.02.05, 25.02.06, 25.02.07, 25.02.08, 26.02.04, 27.02.01, 27.02.02, 27.02.04, 27.02.07, 29.02.05, 29.02.08, 29.02.11, 35.02.02, 35.02.07, 35.02.08, 35.02.11, 35.02.16, 35.02.18, 44.02.06</t>
  </si>
  <si>
    <t>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«Машиностроение»</t>
  </si>
  <si>
    <t>Колледж автомобильного транспорта №9</t>
  </si>
  <si>
    <t>300800.14.01</t>
  </si>
  <si>
    <t>Дети и телевидение: история психол.исслед...: Моногр. / О.И.Маховская - М.:НИЦ ИНФРА-М,2026. - 172 с.(О)</t>
  </si>
  <si>
    <t>ДЕТИ И ТЕЛЕВИДЕНИЕ: ИСТОРИЯ ПСИХОЛОГИЧЕСКИХ ИССЛЕДОВАНИЙ И ЭКСПЕРТИЗЫ ТЕЛЕПРОГРАММ ДЛЯ ДЕТЕЙ, ИЗД.1</t>
  </si>
  <si>
    <t>Маховская О.И., Марченко Ф.О.</t>
  </si>
  <si>
    <t>978-5-16-010167-5</t>
  </si>
  <si>
    <t>Институт психологии Российской академии наук</t>
  </si>
  <si>
    <t>757836.05.01</t>
  </si>
  <si>
    <t>Детская литература: теория и прак...: Уч.пос. / О.В.Пилясова - М.:НИЦ ИНФРА-М,2026 - 207 с.(СПО)(п)</t>
  </si>
  <si>
    <t>ДЕТСКАЯ ЛИТЕРАТУРА: ТЕОРИЯ И ПРАКТИКА ВЫРАЗИТЕЛЬНОГО ЧТЕНИЯ, ИЗД.1</t>
  </si>
  <si>
    <t>Пилясова О.В., Смирнова Ю.В.</t>
  </si>
  <si>
    <t>978-5-16-017641-3</t>
  </si>
  <si>
    <t>44.02.01, 44.02.02, 44.02.05, 51.02.03</t>
  </si>
  <si>
    <t>733351.07.01</t>
  </si>
  <si>
    <t>Детская литература: Уч. / Г.М.Первова - М.:НИЦ ИНФРА-М,2026 - 190 с.-(СПО)(П)</t>
  </si>
  <si>
    <t>ДЕТСКАЯ ЛИТЕРАТУРА, ИЗД.1</t>
  </si>
  <si>
    <t>Первова Г.М.</t>
  </si>
  <si>
    <t>978-5-16-016136-5</t>
  </si>
  <si>
    <t>44.02.01, 44.02.02, 44.02.04, 44.02.05, 51.02.03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</si>
  <si>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8 от 22.06.2020)</t>
  </si>
  <si>
    <t>056800.14.01</t>
  </si>
  <si>
    <t>Детская психология с элементами психофиз.: Уч.пос. / В.Г.Каменская - 2 изд. - М.:НИЦ ИНФРА-М,2027. - 288 с.(о)</t>
  </si>
  <si>
    <t>ДЕТСКАЯ ПСИХОЛОГИЯ С ЭЛЕМЕНТАМИ ПСИХОФИЗИОЛОГИИ, ИЗД.2</t>
  </si>
  <si>
    <t>Каменская В.Г.</t>
  </si>
  <si>
    <t>978-5-16-022385-8</t>
  </si>
  <si>
    <t>37.03.01, 44.03.01, 44.03.02, 44.03.03, 44.03.04, 44.03.05</t>
  </si>
  <si>
    <t>Допущено УМО по направления педагогического образования Министерства образования и науки РФ в качестве учебного пособия для студентов высших педагогических учебных заведений, обучающихся по направлению 540600 (050600) педагогика</t>
  </si>
  <si>
    <t>669692.07.01</t>
  </si>
  <si>
    <t>Детская психология: Уч. / Г.А.Урунтаева - 11 изд. - М.:НИЦ ИНФРА-М,2026 - 372 с.(СПО)(П)</t>
  </si>
  <si>
    <t>ДЕТСКАЯ ПСИХОЛОГИЯ, ИЗД.11</t>
  </si>
  <si>
    <t>Урунтаева Г.А.</t>
  </si>
  <si>
    <t>978-5-16-015972-0</t>
  </si>
  <si>
    <t>39.02.01, 44.02.01, 44.02.02, 44.02.03, 44.02.04, 44.02.05, 44.02.06, 49.02.02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</si>
  <si>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педагогическим и психологическим специальностям (протокол № 10 от 12.10.2020)</t>
  </si>
  <si>
    <t>Институт изучения детства, семьи и воспитания Российской академии образования</t>
  </si>
  <si>
    <t>1121</t>
  </si>
  <si>
    <t>669686.05.01</t>
  </si>
  <si>
    <t>Детская психология: Уч. / Г.А.Урунтаева - 4 изд. - М.:НИЦ ИНФРА-М,2025 - 384 с.(ВО)(п)</t>
  </si>
  <si>
    <t>ДЕТСКАЯ ПСИХОЛОГИЯ, ИЗД.4</t>
  </si>
  <si>
    <t>978-5-16-019115-7</t>
  </si>
  <si>
    <t>44.03.01, 44.03.05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</si>
  <si>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6 от 06.04.2020)</t>
  </si>
  <si>
    <t>832132.02.01</t>
  </si>
  <si>
    <t>Детские инфекционные болезни: Уч. / И. О. Стома - М.:НИЦ ИНФРА-М, ГомГМУ,2026.-413, [24] с.:цв.илл.(ВО)(п)</t>
  </si>
  <si>
    <t>ДЕТСКИЕ ИНФЕКЦИОННЫЕ БОЛЕЗНИ, ИЗД.1</t>
  </si>
  <si>
    <t>Стома И.О., Красавцев Е.Л., Демчило А.П. и др.</t>
  </si>
  <si>
    <t>978-5-16-019997-9</t>
  </si>
  <si>
    <t>31.05.01, 31.08.35, 32.04.01</t>
  </si>
  <si>
    <t>Утверждено Министерством образования Республики Беларусь в качестве учебника для студентов учреждений высшего образования по специальностям «Лечебное дело», «Медико-профилактическое дело»</t>
  </si>
  <si>
    <t>255300.12.01</t>
  </si>
  <si>
    <t>Дефекты прав.регулиров.охраны окруж.среды: Моногр. / Н.И.Хлуденева - М.:НИЦ ИНФРА-М, 2025 - 172 с.(о)</t>
  </si>
  <si>
    <t>ДЕФЕКТЫ ПРАВОВОГО РЕГУЛИРОВАНИЯ ОХРАНЫ ОКРУЖАЮЩЕЙ СРЕДЫ, ИЗД.1</t>
  </si>
  <si>
    <t>Хлуденева Н. И.</t>
  </si>
  <si>
    <t>978-5-16-016446-5</t>
  </si>
  <si>
    <t>255300.07.01</t>
  </si>
  <si>
    <t>Дефекты прав.регулиров.охраны окруж.среды: Моногр. / Н.И.Хлуденева-М.:НИЦ ИНФРА-М, 2019-172 с.(П)</t>
  </si>
  <si>
    <t>978-5-16-010094-4</t>
  </si>
  <si>
    <t>681532.04.01</t>
  </si>
  <si>
    <t>Децентрализованные органы и учр.в сис.исполнит.власти... /А.Н.Пилипенко - М.:Юр.Норма, НИЦ ИНФРА-М,2026 - 208 с.(П)</t>
  </si>
  <si>
    <t>ДЕЦЕНТРАЛИЗОВАННЫЕ ОРГАНЫ И УЧРЕЖДЕНИЯ В СИСТЕМЕ ИСПОЛНИТЕЛЬНОЙ ВЛАСТИ ЗАРУБЕЖНЫХ ГОСУДАРСТВ, ИЗД.1</t>
  </si>
  <si>
    <t>Пилипенко А.Н., Касаткина Н.М., Лещенков Ф.А. и др.</t>
  </si>
  <si>
    <t>978-5-91768-907-4</t>
  </si>
  <si>
    <t>871277.01.01</t>
  </si>
  <si>
    <t>Деятельность войск НКВД СССР по обеспечению чрезвычайных... / А.А.Дерюгин-М.:НИЦ ИНФРА-М,2026.-124 с.(о)</t>
  </si>
  <si>
    <t>ДЕЯТЕЛЬНОСТЬ ВОЙСК НКВД СССР ПО ОБЕСПЕЧЕНИЮ ЧРЕЗВЫЧАЙНЫХ РЕЖИМОВ ВОЕННОГО ВРЕМЕНИ В ПЕРИОД БЛОКАДЫ ЛЕНИНГРАДА, ИЗД.1</t>
  </si>
  <si>
    <t>Дерюгин А.А., Миняйленко Н.Н.</t>
  </si>
  <si>
    <t>978-5-16-022008-6</t>
  </si>
  <si>
    <t>40.05.01, 56.04.01</t>
  </si>
  <si>
    <t>Май, 2026</t>
  </si>
  <si>
    <t>862568.01.01</t>
  </si>
  <si>
    <t>Деятельность негосударств. судебно-экспертных орг.: Моногр. / В.А.Эпштейн - М.:НИЦ ИНФРА-М,2026. - 265 с.(п)</t>
  </si>
  <si>
    <t>ДЕЯТЕЛЬНОСТЬ НЕГОСУДАРСТВЕННЫХ СУДЕБНО-ЭКСПЕРТНЫХ ОРГАНИЗАЦИЙ, ИЗД.1</t>
  </si>
  <si>
    <t>Эпштейн В.А.</t>
  </si>
  <si>
    <t>978-5-16-021349-1</t>
  </si>
  <si>
    <t>40.05.03, 40.06.01</t>
  </si>
  <si>
    <t>ГУСЭ (ЧЭУ)</t>
  </si>
  <si>
    <t>827191.03.01</t>
  </si>
  <si>
    <t>Деятельность орг. внутр. дел в условиях спец. правовых..: Уч. / В.А.Мельничук - М.:НИЦ ИНФРА-М,2026 - 489 с.(п)</t>
  </si>
  <si>
    <t>ДЕЯТЕЛЬНОСТЬ ОРГАНОВ ВНУТРЕННИХ ДЕЛ В УСЛОВИЯХ СПЕЦИАЛЬНЫХ ПРАВОВЫХ РЕЖИМОВ, ИЗД.1</t>
  </si>
  <si>
    <t>Мельничук В.А.</t>
  </si>
  <si>
    <t>978-5-16-019927-6</t>
  </si>
  <si>
    <t>873960.01.01</t>
  </si>
  <si>
    <t>Деятельность орг. внутр. дел в условиях спец. правовых..: Уч./ В.А.Мельничук - М.:НИЦ ИНФРА-М,2026 - 489 с.(СПО)(п)</t>
  </si>
  <si>
    <t>978-5-16-021913-4</t>
  </si>
  <si>
    <t>833509.02.01</t>
  </si>
  <si>
    <t>Деятельность органов внутр. дел при выполнении...: Уч.пос./ Р.Н.Самойлюк. - М.:НИЦ ИНФРА-М,2026 - 171 с.(ВО)(п)</t>
  </si>
  <si>
    <t>ДЕЯТЕЛЬНОСТЬ ОРГАНОВ ВНУТРЕННИХ ДЕЛ ПРИ ВЫПОЛНЕНИИ ОПЕРАТИВНО-СЛУЖЕБНЫХ ЗАДАЧ В ОСОБЫХ УСЛОВИЯХ НЕСЕНИЯ СЛУЖБЫ, ИЗД.1</t>
  </si>
  <si>
    <t>Самойлюк Р.Н., Гричанов А.С., Золотова И.В. и др.</t>
  </si>
  <si>
    <t>978-5-16-020133-7</t>
  </si>
  <si>
    <t>873961.01.01</t>
  </si>
  <si>
    <t>Деятельность органов внутр. дел при выполнении...: Уч.пос./ Р.Н.Самойлюк. - М.:НИЦ ИНФРА-М,2026 - 171 с.(СПО)(п)</t>
  </si>
  <si>
    <t>978-5-16-021915-8</t>
  </si>
  <si>
    <t>786377.07.01</t>
  </si>
  <si>
    <t>Деятельность уголовно-исполнит. инспекций по..,: Уч.пос. / Е. А. Антонян - М.:НИЦ ИНФРА-М,2026. - 255 с.(ВО)(п)</t>
  </si>
  <si>
    <t>ДЕЯТЕЛЬНОСТЬ УГОЛОВНО-ИСПОЛНИТЕЛЬНЫХ ИНСПЕКЦИЙ ПО ИСПОЛНЕНИЮ НАКАЗАНИЙ, ИНЫХ МЕР УГОЛОВНО-ПРАВОВОГО ХАРАКТЕРА И МЕР ПРЕСЕЧЕНИЯ, ИЗД.1</t>
  </si>
  <si>
    <t>Антонян Е.А., Бабкина Е.В., Бякина С.И. и др.</t>
  </si>
  <si>
    <t>978-5-16-022273-8</t>
  </si>
  <si>
    <t>37.05.02, 40.05.01, 40.05.02, 40.05.04, 56.05.01</t>
  </si>
  <si>
    <t>819231.02.01</t>
  </si>
  <si>
    <t>Диагностика и коррекция фонетико-фонематич. недоразвития у дош.: Уч. / Г.Р.Шашкина - М.:НИЦ ИНФРА-М,2027 - 530 с.(п)</t>
  </si>
  <si>
    <t>ДИАГНОСТИКА И КОРРЕКЦИЯ ФОНЕТИКО-ФОНЕМАТИЧЕСКОГО НЕДОРАЗВИТИЯ У ДОШКОЛЬНИКОВ, ИЗД.1</t>
  </si>
  <si>
    <t>Шашкина Г.Р., Уварова Т.Б., Агаева В.Е. и др.</t>
  </si>
  <si>
    <t>978-5-16-019727-2</t>
  </si>
  <si>
    <t>44.03.03, 44.04.03</t>
  </si>
  <si>
    <t>756469.06.01</t>
  </si>
  <si>
    <t>Диагностика и коррекция фонетико-фонематич...: Уч.мет.пос. / Шашкина Г.Р. - М.:НИЦ ИНФРА-М,2027. - 299 с.(ВО)(п)</t>
  </si>
  <si>
    <t>978-5-16-019818-7</t>
  </si>
  <si>
    <t>44.03.03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</si>
  <si>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9 от 17.11.2021)</t>
  </si>
  <si>
    <t>832394.02.01</t>
  </si>
  <si>
    <t>Диагностика и лечение нарушений гемостаза: Уч.мет.пос. / И.А.Новикова - М.:НИЦ ИНФРА-М, ГомГМУ,2026. - 161 с.(п)</t>
  </si>
  <si>
    <t>ДИАГНОСТИКА И ЛЕЧЕНИЕ НАРУШЕНИЙ ГЕМОСТАЗА, ИЗД.1</t>
  </si>
  <si>
    <t>Новикова И.А., Ходулева С.А.</t>
  </si>
  <si>
    <t>978-5-16-020100-9</t>
  </si>
  <si>
    <t>838969.01.01</t>
  </si>
  <si>
    <t>Диагностика и тех. обслуж. электроустановок..: Уч.пос. / Ю.Д.Сибикин-2изд.-М.:НИЦ ИНФРА-М,2025-391с(СПО)(п)</t>
  </si>
  <si>
    <t>ДИАГНОСТИКА И ТЕХНИЧЕСКОЕ ОБСЛУЖИВАНИЕ ЭЛЕКТРОУСТАНОВОК ПОТРЕБИТЕЛЕЙ, ИЗД.2</t>
  </si>
  <si>
    <t>978-5-16-020235-8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</si>
  <si>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4 от 13.04.2022)</t>
  </si>
  <si>
    <t>766759.04.01</t>
  </si>
  <si>
    <t>Диагностика и технич. обслуж. электроустановок..: Уч.пос. / Ю.Д.Сибикин-2 изд.-М.:НИЦ ИНФРА-М,2025-391 с.(П)</t>
  </si>
  <si>
    <t>978-5-16-020422-2</t>
  </si>
  <si>
    <t>13.03.02</t>
  </si>
  <si>
    <t>864929.02.01</t>
  </si>
  <si>
    <t>Диагностика повреждений плечевого сустава: Моногр. / Д.О.Ильин  - М.:НИЦ ИНФРА-М,2026. - 213 с.:цв.ил.(п)</t>
  </si>
  <si>
    <t>ДИАГНОСТИКА ПОВРЕЖДЕНИЙ ПЛЕЧЕВОГО СУСТАВА, ИЗД.1</t>
  </si>
  <si>
    <t>Ильин Д.О., Королев А.В., Загородний Н.В. и др.</t>
  </si>
  <si>
    <t>978-5-16-021702-4</t>
  </si>
  <si>
    <t>31.05.01, 31.05.02, 31.06.01, 31.08.66, 31.08.67, 32.05.01</t>
  </si>
  <si>
    <t>АКАДЕМУС-2000, Победитель, II место
АКАДЕМУС-2025, Победитель, II место</t>
  </si>
  <si>
    <t>724806.08.01</t>
  </si>
  <si>
    <t>Диагностика современных автомобилей: Уч.пос. / Н.А.Кузьмин - М.:НИЦ ИНФРА-М,2027. - 229 с.(ВО)(п)</t>
  </si>
  <si>
    <t>ДИАГНОСТИКА СОВРЕМЕННЫХ АВТОМОБИЛЕЙ, ИЗД.1</t>
  </si>
  <si>
    <t>Кузьмин Н.А., Кустиков А.Д.</t>
  </si>
  <si>
    <t>978-5-16-020682-0</t>
  </si>
  <si>
    <t>23.03.03, 23.04.03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</si>
  <si>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23.04.03 «Эксплуатация транспортно-технологических машин и комплексов» (квалификация (степень) «магистр») (протокол № 10 от 12.10.2020)</t>
  </si>
  <si>
    <t>721253.06.01</t>
  </si>
  <si>
    <t>Диагностика тех. сост. автотрансп.сред.: Уч.пос. / Ю.А.Смирнов - М.:ИЦ РИОР, НИЦ ИНФРА-М,2026 - 180 с.(ВО)(П)</t>
  </si>
  <si>
    <t>ДИАГНОСТИКА ТЕХНИЧЕСКОГО СОСТОЯНИЯ АВТОТРАНСПОРТНЫХ СРЕДСТВ, ИЗД.1</t>
  </si>
  <si>
    <t>Смирнов Ю.А.</t>
  </si>
  <si>
    <t>978-5-369-01837-8</t>
  </si>
  <si>
    <t>15.03.03, 15.03.05, 23.03.03, 23.04.03, 23.05.01</t>
  </si>
  <si>
    <t>733217.08.01</t>
  </si>
  <si>
    <t>Диагностика техн. состояния автотранспортных средств: Уч.пос. / Ю.А.Смирнов - М.:ИЦ РИОР, НИЦ ИНФРА-М,2026 - 180 с.(П)</t>
  </si>
  <si>
    <t>978-5-369-01839-2</t>
  </si>
  <si>
    <t>23.02.05</t>
  </si>
  <si>
    <t>212600.06.01</t>
  </si>
  <si>
    <t>Диагностика финансово-экономич. сост. орг.: Уч. пос. / Е.В.Бережная - ИНФРА-М, 2022-304с.(ВО) (п)</t>
  </si>
  <si>
    <t>ДИАГНОСТИКА ФИНАНСОВО-ЭКОНОМИЧЕСКОГО СОСТОЯНИЯ ОРГАНИЗАЦИИ, ИЗД.1</t>
  </si>
  <si>
    <t>Бережная Е. В., Бережная О. В., Косьмина О. И.</t>
  </si>
  <si>
    <t>978-5-16-006868-8</t>
  </si>
  <si>
    <t>684809.11.01</t>
  </si>
  <si>
    <t>Диагностика электрооборуд. автомоб...: Уч.пос. / В.А.Набоких - 2 изд. - М.,НИЦ ИНФРА-М,2026 - 287 с.(П)</t>
  </si>
  <si>
    <t>ДИАГНОСТИКА ЭЛЕКТРООБОРУДОВАНИЯ АВТОМОБИЛЕЙ И  ТРАКТОРОВ, ИЗД.2</t>
  </si>
  <si>
    <t>978-5-16-021640-9</t>
  </si>
  <si>
    <t>11.02.16, 23.02.02, 23.02.03, 23.02.07, 35.01.01, 35.01.15, 36.01.04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</si>
  <si>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t>
  </si>
  <si>
    <t>403900.11.01</t>
  </si>
  <si>
    <t>Диагностика электрооборудования автомоб...: Уч.пос. / В.А.Набоких - 2 изд. - М.:Форум:ИНФРА-М,2025 - 287 с. (П)</t>
  </si>
  <si>
    <t>978-5-00091-789-3</t>
  </si>
  <si>
    <t>23.03.02, 23.03.03, 23.04.03, 23.05.01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</si>
  <si>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23.03.00 «Техника и технологии наземного транспорта» (протокол № 7 от 15.04.2019)</t>
  </si>
  <si>
    <t>148100.11.01</t>
  </si>
  <si>
    <t>Диагностирование автомоб. Практ: Уч.пос. / Под ред. Карташевича А.Н.-М.:НИЦ ИНФРА-М, Нов. знание,2021-208 с.(ВО)(П)</t>
  </si>
  <si>
    <t>ДИАГНОСТИРОВАНИЕ АВТОМОБИЛЕЙ. ПРАКТИКУМ, ИЗД.1</t>
  </si>
  <si>
    <t>Карташевич А. Н., Белоусов В. А., Рудашко А. А., Новиков А. В., Карташевич А. Н.</t>
  </si>
  <si>
    <t>978-5-16-004864-2</t>
  </si>
  <si>
    <t>23.03.02, 23.03.03, 23.04.02, 23.04.03, 35.03.06, 35.04.06</t>
  </si>
  <si>
    <t>Допущено Министерством образования Республики Беларусь в качестве учебного пособия для студентов высших учебных заведений по специальностям «Техническое обеспечение процессов сельскохозяйственного производства», «Ремонтно-обслуживающее производство в сельском хозяйстве», «Автосервис», «Техническое обслуживание автомобилей»</t>
  </si>
  <si>
    <t>Белорусская государственная сельскохозяйственная академия</t>
  </si>
  <si>
    <t>658928.07.01</t>
  </si>
  <si>
    <t>Диалектика отечественного военного прогресса: Моногр. / С.В.Максимов - М.:НИЦ ИНФРА-М,СФУ,2026 - 355 с.(П)</t>
  </si>
  <si>
    <t>ДИАЛЕКТИКА ОТЕЧЕСТВЕННОГО ВОЕННОГО ПРОГРЕССА, ИЗД.1</t>
  </si>
  <si>
    <t>978-5-16-016296-6</t>
  </si>
  <si>
    <t>56.04.01, 56.04.10, 56.05.01</t>
  </si>
  <si>
    <t>814125.01.01</t>
  </si>
  <si>
    <t>Диалектическая методология построения теории в совр/// / В.И.Столяров-М.:НИЦ ИНФРА-М,2024.-482 с.(п)</t>
  </si>
  <si>
    <t>ДИАЛЕКТИЧЕСКАЯ МЕТОДОЛОГИЯ ПОСТРОЕНИЯ ТЕОРИИ В СОВРЕМЕННОМ НАУЧНОМ ПОЗНАНИИ, ИЗД.1</t>
  </si>
  <si>
    <t>Столяров В.И.</t>
  </si>
  <si>
    <t>978-5-16-019233-8</t>
  </si>
  <si>
    <t>00.04.16, 00.05.16, 47.04.01, 47.06.01</t>
  </si>
  <si>
    <t>Российский университет спорта «ГЦОЛИФК»</t>
  </si>
  <si>
    <t>735076.01.01</t>
  </si>
  <si>
    <t>Диалектический материализм: взаимосвязь категорий...: Моногр. / А.Т.Свергузов-М.:НИЦ ИНФРА-М,2022.-204 с.(О)</t>
  </si>
  <si>
    <t>ДИАЛЕКТИЧЕСКИЙ МАТЕРИАЛИЗМ: ВЗАИМОСВЯЗЬ КАТЕГОРИЙ «МАТЕРИЯ» И «НЕБЫТИЕ», ИЗД.1</t>
  </si>
  <si>
    <t>Свергузов А.Т.</t>
  </si>
  <si>
    <t>978-5-16-016306-2</t>
  </si>
  <si>
    <t>00.03.11, 00.05.11, 47.04.01, 47.06.01</t>
  </si>
  <si>
    <t>182050.06.01</t>
  </si>
  <si>
    <t>Диалектология словацкого языка: Уч.пос. / К.В.Лифанов - М.:НИЦ ИНФРА-М,2026 - 86с.(ВО)(о)</t>
  </si>
  <si>
    <t>ДИАЛЕКТОЛОГИЯ СЛОВАЦКОГО ЯЗЫКА, ИЗД.1</t>
  </si>
  <si>
    <t>Лифанов К.В.</t>
  </si>
  <si>
    <t>978-5-16-009884-5</t>
  </si>
  <si>
    <t>45.03.01, 45.03.02, 45.03.03</t>
  </si>
  <si>
    <t>715671.04.01</t>
  </si>
  <si>
    <t>Дидактика начального образования: Уч.пос. / Под ред. Воронцова А.В. - М.:НИЦ ИНФРА-М,2026. - 343 с.(ВО)(П)</t>
  </si>
  <si>
    <t>ДИДАКТИКА НАЧАЛЬНОГО ОБРАЗОВАНИЯ, ИЗД.1</t>
  </si>
  <si>
    <t>Воронцова А.В., Сутягина Т.В., Павлова О.А. и др.</t>
  </si>
  <si>
    <t>978-5-16-016627-8</t>
  </si>
  <si>
    <t>Начальная школа</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</si>
  <si>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44.03.05 «Педагогическое образование (с двумя профилями подготовки)» (квалификация (степень) «бакалавр») (протокол № 6 от 16.06.2021)</t>
  </si>
  <si>
    <t>Костромской государственный университет</t>
  </si>
  <si>
    <t>678173.07.01</t>
  </si>
  <si>
    <t>Дидактика практико-ориентир. образования: Моногр. / В.А.Беликов - 2 изд. - М.:НИЦ ИНФРА-М,2026 - 323 с.(П)</t>
  </si>
  <si>
    <t>ДИДАКТИКА ПРАКТИКО-ОРИЕНТИРОВАННОГО ОБРАЗОВАНИЯ, ИЗД.2</t>
  </si>
  <si>
    <t>Беликов В.А., Романов П.Ю., Валеев А.С. и др.</t>
  </si>
  <si>
    <t>978-5-16-015686-6</t>
  </si>
  <si>
    <t>37.03.01, 44.03.01, 44.03.02, 44.03.04, 44.03.05, 44.04.01</t>
  </si>
  <si>
    <t>678173.02.01</t>
  </si>
  <si>
    <t>Дидактика практико-ориентир. образования: Моногр. / В.А.Беликов.-М.:НИЦ ИНФРА-М,2019.-267с(П)</t>
  </si>
  <si>
    <t>ДИДАКТИКА ПРАКТИКО-ОРИЕНТИРОВАННОГО ОБРАЗОВАНИЯ, ИЗД.1</t>
  </si>
  <si>
    <t>Беликов В.А., Романов П.Ю., Валеев А.С.</t>
  </si>
  <si>
    <t>978-5-16-014073-5</t>
  </si>
  <si>
    <t>660285.07.01</t>
  </si>
  <si>
    <t>Дизайн в культурном пространстве: Уч.пос. / Л.М.Дмитриева - М.:Магистр, НИЦ ИНФРА-М,2026. - 152 с.(О)</t>
  </si>
  <si>
    <t>ДИЗАЙН В КУЛЬТУРНОМ ПРОСТРАНСТВЕ, ИЗД.1</t>
  </si>
  <si>
    <t>Дмитриева Л.М., Балюта П.А.</t>
  </si>
  <si>
    <t>978-5-16-012941-9</t>
  </si>
  <si>
    <t>07.03.03, 54.03.01, 54.03.03</t>
  </si>
  <si>
    <t>769694.01.01</t>
  </si>
  <si>
    <t>Дизайн в культурном пространстве: Уч.пос. / Л.М.Дмитриева - М.:Магистр, НИЦ ИНФРА-М,2026. - 152 с.(СПО)(о)</t>
  </si>
  <si>
    <t>978-5-9776-0545-8</t>
  </si>
  <si>
    <t>43.01.11, 54.01.01, 54.01.06, 54.01.12, 54.01.20, 54.02.01</t>
  </si>
  <si>
    <t>851910.01.01</t>
  </si>
  <si>
    <t>Дизайн и рекламные технологии: Уч.пос. /О.Н.Ткаченко - М.:Магистр, НИЦ ИНФРА-М,2025 -176 с.(СПО)(о)</t>
  </si>
  <si>
    <t>ДИЗАЙН И РЕКЛАМНЫЕ ТЕХНОЛОГИИ, ИЗД.1</t>
  </si>
  <si>
    <t>Ткаченко О.Н., Дмитриева Л.М.</t>
  </si>
  <si>
    <t>978-5-9776-0583-0</t>
  </si>
  <si>
    <t>42.02.01, 54.02.01</t>
  </si>
  <si>
    <t>242600.13.01</t>
  </si>
  <si>
    <t>Дизайн и рекламные технологии: Уч.пос. /О.Н.Ткаченко - М.:Магистр, НИЦ ИНФРА-М,2026 - 176 с.(Бакалавр.)(О)</t>
  </si>
  <si>
    <t>978-5-16-009262-1</t>
  </si>
  <si>
    <t>41.03.06, 42.03.01, 42.04.01</t>
  </si>
  <si>
    <t>Допущено УМО вузов Российской Федерации по образованию в области международных отношений в качестве учебного пособия для студентов высших учебных заведений, обучающихся по направлению подготовки (специальности) «Реклама и связи с общественностью»</t>
  </si>
  <si>
    <t>439700.03.01</t>
  </si>
  <si>
    <t>Диктат иллюзий: Монография / С.В.Борзых - М.: НИЦ ИНФРА-М, 2023 - 119 с. -(Научная мысль) (О)</t>
  </si>
  <si>
    <t>ДИКТАТ ИЛЛЮЗИЙ, ИЗД.1</t>
  </si>
  <si>
    <t>978-5-16-011363-0</t>
  </si>
  <si>
    <t>47.03.01, 47.04.01</t>
  </si>
  <si>
    <t>407150.05.01</t>
  </si>
  <si>
    <t>Динамика гидросистем: Моногр. / Е.А.Мандраков - М.:НИЦ ИНФРА-М, СФУ,2023 - 128 с.(Науч.мысль)(О)</t>
  </si>
  <si>
    <t>ДИНАМИКА ГИДРОСИСТЕМ, ИЗД.1</t>
  </si>
  <si>
    <t>Мандраков Е. А., Никитин А. А.</t>
  </si>
  <si>
    <t>978-5-16-006374-4</t>
  </si>
  <si>
    <t>15.03.01, 15.03.02, 15.04.01</t>
  </si>
  <si>
    <t>228500.03.01</t>
  </si>
  <si>
    <t>Динамика двигателей. Курс.проектир.: Уч.пос. /А.Н.Гоц -2 изд. -Форум, НИЦ ИНФРА-М, 2016 -160с (ВО:Бакалавр.)(о)</t>
  </si>
  <si>
    <t>ДИНАМИКА ДВИГАТЕЛЕЙ. КУРСОВОЕ ПРОЕКТИРОВАНИЕ, ИЗД.2</t>
  </si>
  <si>
    <t>Гоц А. Н.</t>
  </si>
  <si>
    <t>978-5-91134-790-1</t>
  </si>
  <si>
    <t>13.03.03</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</si>
  <si>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специальности 140501 «Двигатели внутреннего сгорания» и направлению подготовки 140500 «Энергетическре машиностроение»</t>
  </si>
  <si>
    <t>Владимирский государственный университет им. А.Г. и Н.Г. Столетовых</t>
  </si>
  <si>
    <t>228500.08.01</t>
  </si>
  <si>
    <t>Динамика двигателей. Курсовое проектирование: Уч.пос. / А.Н.Гоц, - 3 изд. - М.:НИЦ ИНФРА-М,2026. - 175 с.(П)</t>
  </si>
  <si>
    <t>ДИНАМИКА ДВИГАТЕЛЕЙ. КУРСОВОЕ ПРОЕКТИРОВАНИЕ, ИЗД.3</t>
  </si>
  <si>
    <t>Гоц А.Н.</t>
  </si>
  <si>
    <t>978-5-16-015774-0</t>
  </si>
  <si>
    <t>Допущено ФУМО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13.03.03 «Энергетическое машиностроение», профиль «Двигатели внутреннего сгорания»</t>
  </si>
  <si>
    <t>347300.06.01</t>
  </si>
  <si>
    <t>Динамика трудового правоотношения: Моногр. / Э.Н.Бондаренко - М.:Юр. НОРМА, НИЦ ИНФРА-М,2026. - 192 с.(о)</t>
  </si>
  <si>
    <t>ДИНАМИКА ТРУДОВОГО ПРАВООТНОШЕНИЯ, ИЗД.1</t>
  </si>
  <si>
    <t>Бондаренко Э.Н.</t>
  </si>
  <si>
    <t>978-5-91768-602-8</t>
  </si>
  <si>
    <t>40.03.01, 44.03.05</t>
  </si>
  <si>
    <t>800775.03.01</t>
  </si>
  <si>
    <t>Динамика численности волка и крупных копытных в нек. регионах Зап. Сибири: Моногр. / В.М.Переясловец - М.:НИЦ ИНФРА-М,2026 - 176 с.(о)</t>
  </si>
  <si>
    <t>ДИНАМИКА ЧИСЛЕННОСТИ ВОЛКА И КРУПНЫХ КОПЫТНЫХ В НЕКОТОРЫХ РЕГИОНАХ ЗАПАДНОЙ СИБИРИ, ИЗД.1</t>
  </si>
  <si>
    <t>Переясловец В.М., Ердаков Л.Н.</t>
  </si>
  <si>
    <t>978-5-16-018357-2</t>
  </si>
  <si>
    <t>06.04.01, 06.06.01</t>
  </si>
  <si>
    <t>Институт систематики и экологии животных Сибирского отделения Российской Академии Наук</t>
  </si>
  <si>
    <t>702438.06.01</t>
  </si>
  <si>
    <t>Динамика электрического подвижного состава: Уч.пос. / А.С.Мазнев - М.:НИЦ ИНФРА-М,2026. - 214 с.(ВО)(п)</t>
  </si>
  <si>
    <t>ДИНАМИКА ЭЛЕКТРИЧЕСКОГО ПОДВИЖНОГО СОСТАВА, ИЗД.1</t>
  </si>
  <si>
    <t>Мазнев А.С., Изварин М.Ю., Евстафьев А.М.</t>
  </si>
  <si>
    <t>978-5-16-021914-1</t>
  </si>
  <si>
    <t>23.05.03, 23.05.04</t>
  </si>
  <si>
    <t>Рекомендовано Учебно-методическим объединением по образованию в области железнодорожного транспорта и транспортного строительства в качестве учебного пособия для студентов вузов железнодорожного транспорта</t>
  </si>
  <si>
    <t>Петербургский государственный университет путей сообщения Императора Александра I</t>
  </si>
  <si>
    <t>705790.05.01</t>
  </si>
  <si>
    <t>Динамическая оптимизация: поиск абсолют. экстремума: Моногр. / Е.Н.Орёл-2 изд.-М.:НИЦ ИНФРА-М,2024.-192 с.(о)</t>
  </si>
  <si>
    <t>ДИНАМИЧЕСКАЯ ОПТИМИЗАЦИЯ: ПОИСК АБСОЛЮТНОГО ЭКСТРЕМУМА, ИЗД.2</t>
  </si>
  <si>
    <t>Орёл Е.Н., Орёл О.Е.</t>
  </si>
  <si>
    <t>978-5-16-018768-6</t>
  </si>
  <si>
    <t>01.03.01, 01.03.02, 01.03.04, 01.04.01, 01.04.02, 01.04.04, 01.05.01</t>
  </si>
  <si>
    <t>705790.04.01</t>
  </si>
  <si>
    <t>Динамическая оптимизация: поиск абсолютного экстремума: Моногр. / Е.Н.Орёл-М.:НИЦ ИНФРА-М,2023-163 с(О)</t>
  </si>
  <si>
    <t>ДИНАМИЧЕСКАЯ ОПТИМИЗАЦИЯ: ПОИСК АБСОЛЮТНОГО ЭКСТРЕМУМА, ИЗД.1</t>
  </si>
  <si>
    <t>978-5-16-016233-1</t>
  </si>
  <si>
    <t>741372.01.01</t>
  </si>
  <si>
    <t>Динамическая устойчивость холдингов: Моногр. / М.Г.Лазарева-М.:НИЦ ИНФРА-М,2021.-251 с.(Науч.мысль)(О)</t>
  </si>
  <si>
    <t>ДИНАМИЧЕСКАЯ УСТОЙЧИВОСТЬ ХОЛДИНГОВ, ИЗД.1</t>
  </si>
  <si>
    <t>Лазарева М.Г.</t>
  </si>
  <si>
    <t>978-5-16-016461-8</t>
  </si>
  <si>
    <t>776614.01.01</t>
  </si>
  <si>
    <t>Динамические аспекты управ. культуры орг. внутр. дел Рос. / Д.Г.Передня-М.:НИЦ ИНФРА-М,2022.-135 с.(О)</t>
  </si>
  <si>
    <t>ДИНАМИЧЕСКИЕ АСПЕКТЫ УПРАВЛЕНЧЕСКОЙ КУЛЬТУРЫ ОРГАНОВ ВНУТРЕННИХ ДЕЛ РОССИИ, ИЗД.1</t>
  </si>
  <si>
    <t>Передня Д.Г.</t>
  </si>
  <si>
    <t>978-5-16-017761-8</t>
  </si>
  <si>
    <t>40.03.01, 40.05.02, 40.06.01</t>
  </si>
  <si>
    <t>Академия управления Министерства внутренних дел Российской Федерации</t>
  </si>
  <si>
    <t>750180.04.01</t>
  </si>
  <si>
    <t>Династия купцов Сибиряковых и ее роль в развитии... / А.С.Дикун - М.:НИЦ ИНФРА-М,2026 - 165 с.(О)</t>
  </si>
  <si>
    <t>ДИНАСТИЯ КУПЦОВ СИБИРЯКОВЫХ И ЕЕ РОЛЬ В РАЗВИТИИ ВОСТОЧНОЙ СИБИРИ В XVIII - НАЧАЛЕ XX ВЕКА, ИЗД.1</t>
  </si>
  <si>
    <t>Дикун А.С.</t>
  </si>
  <si>
    <t>978-5-16-016750-3</t>
  </si>
  <si>
    <t>Иркутский государственный университет</t>
  </si>
  <si>
    <t>124100.12.01</t>
  </si>
  <si>
    <t>Дипломатическая служба: Уч. пос. / В.В.Самойленко, - 2 изд. - М.:Юр. НОРМА, НИЦ ИНФРА-М,2026. - 336 с.(п)</t>
  </si>
  <si>
    <t>ДИПЛОМАТИЧЕСКАЯ СЛУЖБА, ИЗД.2</t>
  </si>
  <si>
    <t>Самойленко В.В.</t>
  </si>
  <si>
    <t>978-5-91768-531-1</t>
  </si>
  <si>
    <t>Дипломатическая академия Министерства иностранных дел Российской Федерации</t>
  </si>
  <si>
    <t>825539.02.01</t>
  </si>
  <si>
    <t>Дипломатические архивы России в дореволюц. период: Уч.пос. / О.Г.Санин - М.:НИЦ ИНФРА-М,2026 - 341 с.(ВО)(п)</t>
  </si>
  <si>
    <t>ДИПЛОМАТИЧЕСКИЕ АРХИВЫ РОССИИ В ДОРЕВОЛЮЦИОННЫЙ ПЕРИОД, ИЗД.1</t>
  </si>
  <si>
    <t>Санин О.Г.</t>
  </si>
  <si>
    <t>978-5-16-019893-4</t>
  </si>
  <si>
    <t>41.03.05, 46.03.01, 46.03.02</t>
  </si>
  <si>
    <t>077650.27.01</t>
  </si>
  <si>
    <t>Дипломное проектир. автотрансп. предпр.: Уч.пос. / И.С.Туревский - М.:ИД ,НИЦ ИНФРА-М,2026 - 240 с.(СПО)(П)</t>
  </si>
  <si>
    <t>ДИПЛОМНОЕ ПРОЕКТИРОВАНИЕ АВТОТРАНСПОРТНЫХ ПРЕДПРИЯТИЙ, ИЗД.1</t>
  </si>
  <si>
    <t>978-5-16-021749-9</t>
  </si>
  <si>
    <t>23.01.03, 23.01.17, 23.02.02, 23.02.03, 23.02.07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</si>
  <si>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«Техническое обслуживание и ремонт автомобильного транспорта»</t>
  </si>
  <si>
    <t>085890.11.01</t>
  </si>
  <si>
    <t>Дипломное проектир. станций тех. обслуж.: Уч.пос. / И.С.Туревский - М.:ИД ФОРУМ, ИНФРА-М,2025 - 240 с.(п)</t>
  </si>
  <si>
    <t>ДИПЛОМНОЕ ПРОЕКТИРОВАНИЕ СТАНЦИЙ ТЕХНИЧЕСКОГО ОБСЛУЖИВАНИЯ АВТОМОБИЛЕЙ, ИЗД.1</t>
  </si>
  <si>
    <t>Туревский И.С., Колубаев Б.Д.</t>
  </si>
  <si>
    <t>978-5-8199-0750-4</t>
  </si>
  <si>
    <t>23.01.03, 23.01.17, 23.02.03, 23.02.07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</si>
  <si>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23.02.03 «Техническое обслуживание и ремонт автомобильного транспорта»</t>
  </si>
  <si>
    <t>720207.04.01</t>
  </si>
  <si>
    <t>Дискретная математика. Задачи и упр. с реш.: Уч.мет.пос. / А.А.Вороненко - 2 изд. - М.:ИНФРА-М,2026-105с(О)</t>
  </si>
  <si>
    <t>ДИСКРЕТНАЯ МАТЕМАТИКА. ЗАДАЧИ И УПРАЖНЕНИЯ С РЕШЕНИЯМИ, ИЗД.2</t>
  </si>
  <si>
    <t>Вороненко А.А., Федорова В.С.</t>
  </si>
  <si>
    <t>978-5-16-015671-2</t>
  </si>
  <si>
    <t>09.02.01, 09.02.05, 09.02.06, 09.02.07, 09.02.08, 09.02.09, 09.02.10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</si>
  <si>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17 от 11.11.2019)</t>
  </si>
  <si>
    <t>431450.11.01</t>
  </si>
  <si>
    <t>Дискретная математика. Задачи...: Уч.мет.пос. / А.А.Вороненко, - 2 изд., -М.:ИНФРА-М,2024-105с(ВО)(о)</t>
  </si>
  <si>
    <t>978-5-16-019192-8</t>
  </si>
  <si>
    <t>01.03.02, 02.03.02</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</si>
  <si>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направлениям подготовки 01.03.02 «Прикладная математика и информатика» и 02.03.02 «Фундаментальная информатика и информационные технологии»</t>
  </si>
  <si>
    <t>431450.10.01</t>
  </si>
  <si>
    <t>Дискретная математика. Задачи...: Уч.-метод. пос./А.А.Вороненко - М.: НИЦ ИНФРА-М, 2022-104с.(ВО) (О)</t>
  </si>
  <si>
    <t>ДИСКРЕТНАЯ МАТЕМАТИКА. ЗАДАЧИ И УПРАЖНЕНИЯ С РЕШЕНИЯМИ, ИЗД.1</t>
  </si>
  <si>
    <t>Вороненко А. А., Федорова В. С.</t>
  </si>
  <si>
    <t>978-5-16-006601-1</t>
  </si>
  <si>
    <t>Допущено У МО по классическому университетскому образованию в качестве учебного пособия для студентов высших учебных заведении, обучающихся по направлениям В ПО 010400 «Прикладная математика и информатика» и 010300 «Фундаментальная информатика и инфо</t>
  </si>
  <si>
    <t>646565.06.01</t>
  </si>
  <si>
    <t>Дискретная математика. Сборник задач: Уч.пос. / А.И.Гусева и др. - М.:КУРС, НИЦ ИНФРА-М,2026 - 224 с.(П)</t>
  </si>
  <si>
    <t>ДИСКРЕТНАЯ МАТЕМАТИКА. СБОРНИК ЗАДАЧ, ИЗД.1</t>
  </si>
  <si>
    <t>Гусева А.И., Киреев В.С., Тихомирова А.Н.</t>
  </si>
  <si>
    <t>978-5-906818-72-0</t>
  </si>
  <si>
    <t>438200.11.01</t>
  </si>
  <si>
    <t>Дискретная математика. Углуб. курс: Уч. / Под ред. Чечкина А.В. - М.:КУРС, НИЦ ИНФРА-М,2026 - 278 с.(П)</t>
  </si>
  <si>
    <t>ДИСКРЕТНАЯ МАТЕМАТИКА. УГЛУБЛЕННЫЙ КУРС, ИЗД.1</t>
  </si>
  <si>
    <t>Соболева Т.С., Чечкин А.В.</t>
  </si>
  <si>
    <t>978-5-906818-11-9</t>
  </si>
  <si>
    <t>01.03.04, 09.03.01, 09.03.03, 10.03.01, 11.03.02</t>
  </si>
  <si>
    <t>690569.03.01</t>
  </si>
  <si>
    <t>Дискретная математика: прикладные методы..: Уч.пос. / Н.И.Гданский-М.:НИЦ ИНФРА-М,2025.-466 с.(ВО)(П)</t>
  </si>
  <si>
    <t>ДИСКРЕТНАЯ МАТЕМАТИКА: ПРИКЛАДНЫЕ МЕТОДЫ ТЕОРИИ МНОЖЕСТВ, ПОДСЧЕТА И ПРЕДСТАВЛЕНИЯ ИНФОРМАЦИИ И МАТЕМАТИЧЕСКОЙ ЛОГИКИ, ИЗД.1</t>
  </si>
  <si>
    <t>Гданский Н.И.</t>
  </si>
  <si>
    <t>978-5-16-016956-9</t>
  </si>
  <si>
    <t>01.03.01, 01.03.02, 01.05.01, 02.03.02, 02.03.03, 03.03.02, 04.03.02, 06.05.01, 09.03.03, 09.03.04, 10.05.01, 10.05.02, 10.05.03, 10.05.04, 10.05.05, 11.03.02, 11.05.01, 12.03.03, 12.03.04, 14.05.02, 14.05.04, 15.03.06, 21.05.04, 24.05.06, 27.05.01, 45.03.04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</si>
  <si>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подготовки 09.03.00 «Информатика и вычислительная техника» (квалификация (степень) «бакалавр») (протокол № 5 от 11.05.2022)</t>
  </si>
  <si>
    <t>646563.08.01</t>
  </si>
  <si>
    <t>Дискретная математика: Уч. / А.И.Гусева - М.:КУРС, НИЦ ИНФРА-М,2026 - 208 с.-(СПО)(П)</t>
  </si>
  <si>
    <t>ДИСКРЕТНАЯ МАТЕМАТИКА, ИЗД.1</t>
  </si>
  <si>
    <t>978-5-906818-21-8</t>
  </si>
  <si>
    <t>179850.14.01</t>
  </si>
  <si>
    <t>Дискретная математика: Уч. / В.Б.Алексеев - М.:НИЦ ИНФРА-М,2026 - 133 с.(ВО)(П)</t>
  </si>
  <si>
    <t>Алексеев В.Б.</t>
  </si>
  <si>
    <t>978-5-16-018503-3</t>
  </si>
  <si>
    <t>01.03.01, 01.03.02, 01.03.03, 01.04.01, 01.04.02, 01.04.03, 02.03.01, 02.03.02, 02.03.03, 02.04.01, 02.04.02, 02.04.03, 03.03.01, 03.03.02, 03.03.03, 03.04.01, 03.04.02, 03.04.03, 04.03.02, 04.04.01, 04.04.02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</si>
  <si>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01.00.00 «Математика и механика» (квалификация (степень) «бакалавр») (протокол № 9 от 28.09.2020)</t>
  </si>
  <si>
    <t>720240.03.01</t>
  </si>
  <si>
    <t>Дискретная математика: Уч.пос. / В.В.Куликов - М.:ИЦ РИОР, НИЦ ИНФРА-М,2026 - 174 с.-(СПО)(П)</t>
  </si>
  <si>
    <t>Куликов В.В.</t>
  </si>
  <si>
    <t>978-5-369-01826-2</t>
  </si>
  <si>
    <t>084180.11.01</t>
  </si>
  <si>
    <t>Дискретная математика: Уч.пос. / В.В.Куликов - М.:ИЦ РИОР, НИЦ ИНФРА-М,2026. - 174 с.(ВО)(п)</t>
  </si>
  <si>
    <t>Куликов В. В.</t>
  </si>
  <si>
    <t>978-5-369-00205-6</t>
  </si>
  <si>
    <t>01.03.01, 01.03.02, 01.03.04, 02.03.01, 02.03.02, 02.03.03, 02.04.03, 03.03.02, 04.03.02, 09.03.03, 09.03.04, 11.03.02, 45.03.04</t>
  </si>
  <si>
    <t>Рек. УМО по обр. в обл. телекоммун.  в кач-ве уч. пос. для студ. вузов, обуч. по спец. Физика и техн. оптич. связи, 201000 Многокан. телеком. сист., 201100 Радиосвязь, радиовещ. и телев., 201200 Ср-ва связи с подвиж. объект., 201300 Защищ. сист. связ</t>
  </si>
  <si>
    <t>652698.03.01</t>
  </si>
  <si>
    <t>Дискретная математика: Уч.пос. / В.Е.Ходаков-М.:НИЦ ИНФРА-М,2024.-542 с..-(ВО)(п)</t>
  </si>
  <si>
    <t>Ходаков В.Е., Соколова Н.А.</t>
  </si>
  <si>
    <t>978-5-16-019532-2</t>
  </si>
  <si>
    <t>01.03.02, 02.03.02, 02.03.03, 02.04.03, 03.03.02, 04.03.02, 09.03.03, 09.03.04, 11.03.02, 21.05.04, 45.03.04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</si>
  <si>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9 от 13.05.2019)</t>
  </si>
  <si>
    <t>079850.19.01</t>
  </si>
  <si>
    <t>Дискретная математика: Уч.пос. / С.А.Канцедал - М.:НИЦ ИНФРА-М,2026. - 222 с.(СПО)(п)</t>
  </si>
  <si>
    <t>Канцедал С. А.</t>
  </si>
  <si>
    <t>978-5-16-021149-7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</si>
  <si>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t>
  </si>
  <si>
    <t>705497.03.01</t>
  </si>
  <si>
    <t>Дискурсивное исслед. православ. религиозной идентич.: Моногр./ И.А.Юрасов-М.:НИЦ ИНФРА-М,2024-195с.(о)</t>
  </si>
  <si>
    <t>ДИСКУРСИВНОЕ ИССЛЕДОВАНИЕ ПРАВОСЛАВНОЙ РЕЛИГИОЗНОЙ ИДЕНТИЧНОСТИ, ИЗД.1</t>
  </si>
  <si>
    <t>Юрасов И.А., Павлова О.А.</t>
  </si>
  <si>
    <t>978-5-16-015265-3</t>
  </si>
  <si>
    <t>Религия. Теология</t>
  </si>
  <si>
    <t>47.03.01, 47.04.03, 47.06.01, 48.03.01, 48.04.01, 48.06.01</t>
  </si>
  <si>
    <t>Финансовый университет при Правительстве Российской Федерации, Пензенский ф-л</t>
  </si>
  <si>
    <t>777502.01.01</t>
  </si>
  <si>
    <t>Дискуссии вокруг процента. Есть ли альтернатива?: :моногр. / М.Г.Мингатин-М.:НИЦ ИНФРА-М,2023.-181 с.(О)</t>
  </si>
  <si>
    <t>ДИСКУССИИ ВОКРУГ ПРОЦЕНТА. ЕСТЬ ЛИ АЛЬТЕРНАТИВА?, ИЗД.1</t>
  </si>
  <si>
    <t>Мингатин М.Г.</t>
  </si>
  <si>
    <t>978-5-16-017854-7</t>
  </si>
  <si>
    <t>38.04.01, 38.04.04, 38.04.08, 38.06.01</t>
  </si>
  <si>
    <t>Российский исламский институт</t>
  </si>
  <si>
    <t>672782.09.01</t>
  </si>
  <si>
    <t>Диспетчерское упр. орг. вагонопотоков и перевозок: Моногр. / Д.Ю.Левин - М.:НИЦ ИНФРА-М,2026 - 301с.(П)</t>
  </si>
  <si>
    <t>ДИСПЕТЧЕРСКОЕ УПРАВЛЕНИЕ ОРГАНИЗАЦИЕЙ ВАГОНОПОТОКОВ И ПЕРЕВОЗОК, ИЗД.1</t>
  </si>
  <si>
    <t>978-5-16-013482-6</t>
  </si>
  <si>
    <t>23.05.03, 23.05.04, 23.06.01</t>
  </si>
  <si>
    <t>791615.04.01</t>
  </si>
  <si>
    <t>Диссертанту о диссертации: семантический аспект: Уч.пос. / В.М.Аникин - М.:НИЦ ИНФРА-М,2026. - 225 с.(ВО)(п)</t>
  </si>
  <si>
    <t>ДИССЕРТАНТУ О ДИССЕРТАЦИИ: СЕМАНТИЧЕСКИЙ АСПЕКТ, ИЗД.1</t>
  </si>
  <si>
    <t>Аникин В.М., Пойзнер Б.Н.</t>
  </si>
  <si>
    <t>Высшее образование: Аспирантура</t>
  </si>
  <si>
    <t>978-5-16-018074-8</t>
  </si>
  <si>
    <t>00.05.16</t>
  </si>
  <si>
    <t>437250.12.01</t>
  </si>
  <si>
    <t>Диссертация в зеркале автореферата: Метод. пос. для... / В.М.Аникин - 3 изд. - М.:НИЦ ИНФРА-М,2027 - 128 с.(о)</t>
  </si>
  <si>
    <t>ДИССЕРТАЦИЯ В ЗЕРКАЛЕ АВТОРЕФЕРАТА, ИЗД.3</t>
  </si>
  <si>
    <t>Аникин В. М., Усанов Д. А.</t>
  </si>
  <si>
    <t>978-5-16-006722-3</t>
  </si>
  <si>
    <t>Методическое пособие</t>
  </si>
  <si>
    <t>01.04.01, 01.04.02, 01.04.03, 01.04.04, 01.06.01, 03.04.01, 03.04.02, 03.04.03, 03.06.01, 04.04.01, 04.04.02, 04.06.01, 04.07.01, 05.04.01, 05.04.02, 05.04.03, 05.04.04, 05.04.05, 05.04.06, 05.06.01, 06.04.01, 06.04.02, 06.06.01, 06.07.01, 12.06.01</t>
  </si>
  <si>
    <t>026850.26.01</t>
  </si>
  <si>
    <t>Диссертация и ученая степень: Науч.-прак. пос. / Б.А.Райзберг - 11 изд. - М.:НИЦ ИНФРА-М,2026 - 253 с.(П)</t>
  </si>
  <si>
    <t>ДИССЕРТАЦИЯ И УЧЕНАЯ СТЕПЕНЬ, ИЗД.11</t>
  </si>
  <si>
    <t>978-5-16-017457-0</t>
  </si>
  <si>
    <t>01.06.01, 02.06.01, 02.07.01, 03.06.01, 04.06.01, 04.07.01, 05.06.01, 06.06.01, 06.07.01, 07.06.01, 07.07.01, 07.09.01, 07.09.02, 07.09.03, 07.09.04, 08.06.01, 09.06.01, 10.06.01, 11.06.01, 12.06.01, 13.06.01, 14.06.01, 15.06.01, 16.06.01, 17.06.01, 20.06.01, 20.07.01, 21.06.01, 21.06.02, 22.04.02, 22.06.01, 23.06.01, 24.06.01, 25.06.01, 26.06.01, 27.06.01, 28.06.01, 29.06.01, 30.06.01, 30.07.01, 31.06.01, 31.07.01, 31.08.01, 31.08.02, 31.08.03, 31.08.04, 31.08.05, 31.08.06, 31.08.07, 31.08.08, 31.08.09, 31.08.10, 31.08.11, 31.08.12, 31.08.13, 31.08.14, 31.08.15, 31.08.16, 31.08.17, 31.08.18, 31.08.19, 31.08.20, 31.08.21, 31.08.22, 31.08.23, 31.08.24, 31.08.25, 31.08.26, 31.08.27,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 32.06.01, 32.07.01, 32.08.01, 32.08.02, 32.08.03, 32.08.04, 32.08.05, 32.08.06, 32.08.07, 32.08.08, 32.08.09, 32.08.10, 32.08.11, 32.08.12, 32.08.13, 32.08.14, 33.06.01, 33.07.01, 33.08.01, 33.08.02, 33.08.03, 35.06.01, 35.06.02, 35.06.03, 35.06.04, 36.06.01, 37.06.01, 38.06.01, 38.07.02, 39.06.01, 39.07.01, 40.06.01, 41.06.01, 41.07.01, 42.06.01, 44.06.01, 44.07.01, 44.07.02, 45.06.01, 45.07.01, 46.06.01, 47.06.01, 47.07.01, 48.06.01, 49.06.01, 49.07.01, 50.06.01, 50.07.01, 51.06.01, 52.09.01, 52.09.02, 52.09.03, 52.09.04, 52.09.05, 52.09.06, 52.09.07, 52.09.08, 53.09.01, 53.09.02, 53.09.03, 53.09.04, 53.09.05, 54.09.01, 54.09.02, 54.09.03, 54.09.04, 54.09.05, 54.09.06, 54.09.07, 55.09.01, 55.09.02, 55.09.03</t>
  </si>
  <si>
    <t>1112</t>
  </si>
  <si>
    <t>413100.10.01</t>
  </si>
  <si>
    <t>Диссидентство в СССР: ист.-прав. аспекты...: Уч.пос. / Л.А.Королева - М.:НИЦ ИНФРА-М,2026. - 276 с.(О)</t>
  </si>
  <si>
    <t>ДИССИДЕНТСТВО В СССР: ИСТОРИКО-ПРАВОВЫЕ АСПЕКТЫ (1950-1980-Е ГГ.), ИЗД.1</t>
  </si>
  <si>
    <t>Королева Л.А., Королев А.А.</t>
  </si>
  <si>
    <t>978-5-16-016030-6</t>
  </si>
  <si>
    <t>40.03.01, 44.03.01, 44.03.05, 46.03.01, 46.04.01</t>
  </si>
  <si>
    <t>Рекомендовано в качестве учебного пособия для студентов высших учебных заведений, обучающихся по направлению подготовки 46.04.01 «История» (квалификация (степень) «магистр»)</t>
  </si>
  <si>
    <t>413100.06.01</t>
  </si>
  <si>
    <t>Диссидентство в СССР: историко-прав. аспекты...: Уч. пос./Л.А.Королева-М.:НИЦ ИНФРА-М,2017-276с.(П)</t>
  </si>
  <si>
    <t>978-5-16-011651-8</t>
  </si>
  <si>
    <t>670752.02.01</t>
  </si>
  <si>
    <t>Диссипативные структуры в тонких нанокристал..: Моногр./Л.И.Квеглис-М.:НИЦ ИНФРА-М, СФУ,2020.-203 с..-(Науч.мысль (СФУ))(П)</t>
  </si>
  <si>
    <t>ДИССИПАТИВНЫЕ СТРУКТУРЫ В ТОНКИХ НАНОКРИСТАЛЛИЧЕСКИХ ПЛЕНКАХ, ИЗД.1</t>
  </si>
  <si>
    <t>Квеглис Л.И., Кашкин В.Б., Шабанов В.Ф.</t>
  </si>
  <si>
    <t>978-5-16-013405-5</t>
  </si>
  <si>
    <t>03.04.02, 03.06.01, 22.04.01, 22.06.01</t>
  </si>
  <si>
    <t>670752.04.01</t>
  </si>
  <si>
    <t>Диссипативные структуры в тонких нанокристал..: Моногр./Л.И.Квеглис-М.:НИЦ ИНФРА-М,СФУ,2024-203с(о)</t>
  </si>
  <si>
    <t>978-5-16-018188-2</t>
  </si>
  <si>
    <t>658917.08.01</t>
  </si>
  <si>
    <t>Дистанционное зондирование Земли: Уч.пос. / В.М.Владимиров - М.:НИЦ ИНФРА-М, СФУ,2026 - 196 с.(П)</t>
  </si>
  <si>
    <t>ДИСТАНЦИОННОЕ ЗОНДИРОВАНИЕ ЗЕМЛИ, ИЗД.1</t>
  </si>
  <si>
    <t>Владимиров В.М., Дмитриев Д.Д., Дубровская О.А. и др.</t>
  </si>
  <si>
    <t>978-5-16-016372-7</t>
  </si>
  <si>
    <t>Допущено Министерством обороны Российской Федерации в качестве учебного пособия для студентов, обучающихся по специальности «Радиоэлектронные системы и комплексы» (per. № 492 от 11.12.2013)</t>
  </si>
  <si>
    <t>674989.03.01</t>
  </si>
  <si>
    <t>Дистилляционные электропечи: Моногр./ В.С.Чередниченко-М.:НИЦ ИНФРА-М,2023.-394с(Науч.мысль)(П)</t>
  </si>
  <si>
    <t>ДИСТИЛЛЯЦИОННЫЕ ЭЛЕКТРОПЕЧИ, ИЗД.1</t>
  </si>
  <si>
    <t>Чередниченко В.С.</t>
  </si>
  <si>
    <t>978-5-16-013626-4</t>
  </si>
  <si>
    <t>22.03.01, 22.04.02</t>
  </si>
  <si>
    <t>851139.01.01</t>
  </si>
  <si>
    <t>Дисциплинарная ответств. в сис. гос. службы РФ: Моногр. / Э.Л.Лещина - М.:НИЦ ИНФРА-М,2026 - 211 с.(п)</t>
  </si>
  <si>
    <t>ДИСЦИПЛИНАРНАЯ ОТВЕТСТВЕННОСТЬ В СИСТЕМЕ ГОСУДАРСТВЕННОЙ СЛУЖБЫ РОССИЙСКОЙ ФЕДЕРАЦИИ, ИЗД.1</t>
  </si>
  <si>
    <t>Лещина Э.Л.</t>
  </si>
  <si>
    <t>978-5-16-020925-8</t>
  </si>
  <si>
    <t>38.04.04, 38.06.01, 38.07.02, 40.04.01, 40.05.01, 40.05.02, 40.05.04, 40.06.01</t>
  </si>
  <si>
    <t>801662.01.01</t>
  </si>
  <si>
    <t>Дисциплинарная ответственность: правовые механизмы..: Моногр// М.Б.Добробаба-М.:Юр. НОРМА,2023.-352 с.(п)</t>
  </si>
  <si>
    <t>ДИСЦИПЛИНАРНАЯ ОТВЕТСТВЕННОСТЬ: ПРАВОВЫЕ МЕХАНИЗМЫ  ОБЕСПЕЧЕНИЯ ЭФФЕКТИВНОСТИ В СИСТЕМЕ ГОСУДАРСТВЕННОЙ СЛУЖБЫ: ПРОБЛЕМЫ ФОРМИРОВАНИЯ, ИЗД.1</t>
  </si>
  <si>
    <t>Добробаба М.Б.</t>
  </si>
  <si>
    <t>978-5-00156-297-9</t>
  </si>
  <si>
    <t>38.03.04, 38.04.04, 40.04.01, 40.06.01</t>
  </si>
  <si>
    <t>803690.05.01</t>
  </si>
  <si>
    <t>Дисциплинарный устав Вооруженных Сил РФ - 2-е изд. - М.:НИЦ ИНФРА-М,2024. - 66 с.(о)</t>
  </si>
  <si>
    <t>ДИСЦИПЛИНАРНЫЙ УСТАВ ВООРУЖЕННЫХ СИЛ РОССИЙСКОЙ ФЕДЕРАЦИИ, ИЗД.2</t>
  </si>
  <si>
    <t>978-5-16-020059-0</t>
  </si>
  <si>
    <t>Устав</t>
  </si>
  <si>
    <t>56.05.01, 56.05.05</t>
  </si>
  <si>
    <t>803690.03.01</t>
  </si>
  <si>
    <t>Дисциплинарный устав Вооруженных Сил РФ - М.:НИЦ ИНФРА-М,2024.-65 с.(о)</t>
  </si>
  <si>
    <t>ДИСЦИПЛИНАРНЫЙ УСТАВ ВООРУЖЕННЫХ СИЛ РОССИЙСКОЙ ФЕДЕРАЦИИ, ИЗД.1</t>
  </si>
  <si>
    <t>978-5-16-018487-6</t>
  </si>
  <si>
    <t>803690.08.01</t>
  </si>
  <si>
    <t>Дисциплинарный устав Вооруженных Сил РФ: устав - 3 изд. - М.:НИЦ ИНФРА-М,2026. - 67 с.(о)</t>
  </si>
  <si>
    <t>ДИСЦИПЛИНАРНЫЙ УСТАВ ВООРУЖЕННЫХ СИЛ РОССИЙСКОЙ ФЕДЕРАЦИИ, ИЗД.3</t>
  </si>
  <si>
    <t>978-5-16-021601-0</t>
  </si>
  <si>
    <t>479200.04.01</t>
  </si>
  <si>
    <t>Дифракционный анализ деформир.металлов: Моногр./ Ф.Ф.Сатдарова-М: ИЦ РИОР,НИЦ ИНФРА-М, 2023-204с (о)</t>
  </si>
  <si>
    <t>ДИФРАКЦИОННЫЙ АНАЛИЗ ДЕФОРМИРОВАННЫХ МЕТАЛЛОВ: ТЕОРИЯ, МЕТОДИКА, ПРОГРАММНОЕ ОБЕСПЕЧЕНИЕ, ИЗД.1</t>
  </si>
  <si>
    <t>Сатдарова Ф.Ф.</t>
  </si>
  <si>
    <t>978-5-369-01527-8</t>
  </si>
  <si>
    <t>04.03.02, 22.03.02</t>
  </si>
  <si>
    <t>328300.12.01</t>
  </si>
  <si>
    <t>Дифференциальная диагн. наруш. реч. разв.: Уч.мет.пос. / О.В.Елецкая - М.:НИЦ ИНФРА-М,2026 - 160 с.(ВО)(п)</t>
  </si>
  <si>
    <t>ДИФФЕРЕНЦИАЛЬНАЯ ДИАГНОСТИКА НАРУШЕНИЙ РЕЧЕВОГО РАЗВИТИЯ, ИЗД.1</t>
  </si>
  <si>
    <t>Елецкая О.В., Тараканова А.А.</t>
  </si>
  <si>
    <t>978-5-16-018857-7</t>
  </si>
  <si>
    <t>Рекомендовано кафедрой логопедии ЛГУ им. А.С. Пушкина для студентов высших учебных заведений, обучающихся по направлениям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</si>
  <si>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Ленинградский государственный университет им. А.С. Пушкина</t>
  </si>
  <si>
    <t>159350.10.01</t>
  </si>
  <si>
    <t>Дифференциальная психология. Модул. курс: Уч.пос. / Б.Р.Мандель -М.: Вуз.уч., НИЦ ИНФРА-М, 2027 -315с (п)</t>
  </si>
  <si>
    <t>ДИФФЕРЕНЦИАЛЬНАЯ ПСИХОЛОГИЯ. МОДУЛЬНЫЙ КУРС, ИЗД.1</t>
  </si>
  <si>
    <t>978-5-9558-0205-3</t>
  </si>
  <si>
    <t>253100.11.01</t>
  </si>
  <si>
    <t>Дифференциальная психология: Уч. / Т.Ф.Базылевич - М.:НИЦ ИНФРА-М,2027.-224 с.(ВО: Бакалавриат)</t>
  </si>
  <si>
    <t>ДИФФЕРЕНЦИАЛЬНАЯ ПСИХОЛОГИЯ, ИЗД.1</t>
  </si>
  <si>
    <t>Базылевич Т.Ф.</t>
  </si>
  <si>
    <t>978-5-16-009399-4</t>
  </si>
  <si>
    <t>424500.07.01</t>
  </si>
  <si>
    <t>Дифференциальная психофизиология и психология: Моногр./Т.Ф.Базылевич - НИЦ ИНФРА-М,2022-340(Науч.мысль)</t>
  </si>
  <si>
    <t>ДИФФЕРЕНЦИАЛЬНАЯ ПСИХОФИЗИОЛОГИЯ И ПСИХОЛОГИЯ: КЛЮЧЕВЫЕ ИДЕИ, ИЗД.1</t>
  </si>
  <si>
    <t>Базылевич Т. Ф.</t>
  </si>
  <si>
    <t>978-5-16-010332-7</t>
  </si>
  <si>
    <t>37.03.01, 37.04.01, 44.03.01, 44.03.05</t>
  </si>
  <si>
    <t>726281.06.01</t>
  </si>
  <si>
    <t>Дифференциальные урав. в примерах и задачах: Уч.пос. / Г.С.Жукова-М.:НИЦ ИНФРА-М,2027.-348 с.(ВО)(П)</t>
  </si>
  <si>
    <t>ДИФФЕРЕНЦИАЛЬНЫЕ УРАВНЕНИЯ В ПРИМЕРАХ И ЗАДАЧАХ, ИЗД.1</t>
  </si>
  <si>
    <t>Жукова Г.С.</t>
  </si>
  <si>
    <t>978-5-16-015971-3</t>
  </si>
  <si>
    <t>01.03.01, 01.03.02, 01.03.03, 01.03.04, 02.03.01, 02.03.02, 02.03.03, 03.03.02, 03.03.03</t>
  </si>
  <si>
    <t>Рекомендовано Учебно-методическим объединением по образованию в области химической технологии и биотехнологии в качестве учебного пособия для студентов высших учебных заведений, обучающихся по химико-технологическим направлениям и биотехнологии</t>
  </si>
  <si>
    <t>728009.01.01</t>
  </si>
  <si>
    <t>Дифференциальные уравнения: Уч. / Г.С.Жукова - М.:НИЦ ИНФРА-М,2020 - 504 с.(ВО: Бакалавриат)(П)</t>
  </si>
  <si>
    <t>ДИФФЕРЕНЦИАЛЬНЫЕ УРАВНЕНИЯ, ИЗД.1</t>
  </si>
  <si>
    <t>978-5-16-015970-6</t>
  </si>
  <si>
    <t>04.03.02</t>
  </si>
  <si>
    <t>Рекомендовано Учебно-методическим объединением вузов России по образованию в области химической технологии и биотехнологии в качестве учебного пособия для студентов высших учебных заведений, обучающихся по химико-технологическим направлениям и биотехнологии</t>
  </si>
  <si>
    <t>479450.04.01</t>
  </si>
  <si>
    <t>Диффундирование маркетинга в производ.промышл.: Моногр./В.Д.Сыров-М.:ИЦ РИОР,НИЦ ИНФРА-М,2023-100(о)</t>
  </si>
  <si>
    <t>ДИФФУНДИРОВАНИЕ МАРКЕТИНГА В ПРОИЗВОДСТВО ПРОМЫШЛЕННОГО ПРЕДПРИЯТИЯ, ИЗД.1</t>
  </si>
  <si>
    <t>Сыров В.Д.</t>
  </si>
  <si>
    <t>978-5-369-01392-2</t>
  </si>
  <si>
    <t>03.03.02, 38.03.01, 38.03.02, 38.04.01, 38.04.02, 38.06.01, 44.03.01, 44.03.05</t>
  </si>
  <si>
    <t>829404.02.01</t>
  </si>
  <si>
    <t>Добро, доверие, справедливость, свобода в философ... / В.П.Сальников - 2 изд. - М.:НИЦ ИНФРА-М,2026 - 459 с.(п)</t>
  </si>
  <si>
    <t>ДОБРО, ДОВЕРИЕ, СПРАВЕДЛИВОСТЬ, СВОБОДА В ФИЛОСОФСКО-ПРАВОВОЙ МЫСЛИ:, ИЗД.2</t>
  </si>
  <si>
    <t>Сальников В.П., Виноградова Е.В., Воробьев А.О. и др.</t>
  </si>
  <si>
    <t>978-5-16-020015-6</t>
  </si>
  <si>
    <t>40.04.01, 40.06.01, 47.04.01</t>
  </si>
  <si>
    <t>332300.03.01</t>
  </si>
  <si>
    <t>Доверие в саморегул.соц.взаимоотношений..:Моногр. / В.И.Чупров-М.:Юр.Норма,НИЦ ИНФРА-М,2023-160с.(о)</t>
  </si>
  <si>
    <t>ДОВЕРИЕ В САМОРЕГУЛЯЦИИ СОЦИАЛЬНЫХ ВЗАИМООТНОШЕНИЙ В УСЛОВИЯХ НЕОПРЕДЕЛЕННОСТИ. ПОЧЕМУ НЕТ МИРА В УКРАИНЕ?, ИЗД.1</t>
  </si>
  <si>
    <t>Чупров В. И., Михеева В. В.</t>
  </si>
  <si>
    <t>978-5-91768-587-8</t>
  </si>
  <si>
    <t>38.03.04, 38.04.04, 39.03.01, 39.03.02, 39.04.01, 40.03.01, 40.04.01, 40.05.01, 41.03.01, 41.03.04, 41.03.05, 41.04.01, 41.04.04, 41.04.05, 44.03.01, 44.03.05</t>
  </si>
  <si>
    <t>Институт социально-политических исследований Российской академии наук</t>
  </si>
  <si>
    <t>725344.08.01</t>
  </si>
  <si>
    <t>Доверие. Недоверие. Право: Моногр. / А.Н.Кокотов - М.:Юр.Норма, НИЦ ИНФРА-М,2026 - 192 с.(П)</t>
  </si>
  <si>
    <t>ДОВЕРИЕ. НЕДОВЕРИЕ. ПРАВО, ИЗД.1</t>
  </si>
  <si>
    <t>Кокотов А.Н.</t>
  </si>
  <si>
    <t>978-5-00156-038-8</t>
  </si>
  <si>
    <t>40.03.01, 40.04.01, 40.05.01, 40.05.02, 40.06.01</t>
  </si>
  <si>
    <t>467150.06.01</t>
  </si>
  <si>
    <t>Доверительное управ. финанс. активами: Уч. пос. / Н.М.Ребельский-М.:Вуз. уч., НИЦ ИНФРА-М,2022.-224 с.(П)</t>
  </si>
  <si>
    <t>ДОВЕРИТЕЛЬНОЕ УПРАВЛЕНИЕ ФИНАНСОВЫМИ АКТИВАМИ, ИЗД.1</t>
  </si>
  <si>
    <t>Ребельский Н.М.</t>
  </si>
  <si>
    <t>978-5-9558-0369-2</t>
  </si>
  <si>
    <t>236100.12.01</t>
  </si>
  <si>
    <t>Доврачебная мед. помощь при неот.сост. у детей: Уч.пос. / Д.И.Зелинская - М.:НИЦ ИНФРА-М,2026 - 74 с.(О)</t>
  </si>
  <si>
    <t>ДОВРАЧЕБНАЯ МЕДИЦИНСКАЯ ПОМОЩЬ ПРИ НЕОТЛОЖНЫХ СОСТОЯНИЯХ У ДЕТЕЙ, ИЗД.1</t>
  </si>
  <si>
    <t>Зелинская Д.И., Терлецкая Р.Н.</t>
  </si>
  <si>
    <t>Дополнительное образование медсестер</t>
  </si>
  <si>
    <t>978-5-16-009153-2</t>
  </si>
  <si>
    <t>31.02.01, 31.02.02, 31.05.02, 34.01.01, 34.02.01, 34.02.02, 34.03.01</t>
  </si>
  <si>
    <t>Рекомендовано в качестве учебного пособия для студентов высших учебных заведений, обучающихся по направлению подготовки 34.03.01 «Сестринское дело» (квалификация (степень) «академическая медицинская сестра»)</t>
  </si>
  <si>
    <t>Российская медицинская академия непрерывного профессионального образования</t>
  </si>
  <si>
    <t>682859.09.01</t>
  </si>
  <si>
    <t>Доврачебная мед. помощь при неотложных сост. у детей: Уч.пос. / Д.И.Зелинская - М.:НИЦ ИНФРА-М,2026. - 74 с.(О)</t>
  </si>
  <si>
    <t>978-5-16-013912-8</t>
  </si>
  <si>
    <t>34.02.01</t>
  </si>
  <si>
    <t>Рекомендовано в качестве учебного пособия для студентов средних профессиональных учебных заведений, обучающихся по специальности 34.02.01 «Сестринское дело»</t>
  </si>
  <si>
    <t>656014.07.01</t>
  </si>
  <si>
    <t>Договор в гражд.праве России: сравн.-прав.исслед./ Ю.Н.Андреев-М.:Юр.Норма,НИЦ ИНФРА-М,2023-272с.(П)</t>
  </si>
  <si>
    <t>ДОГОВОР В ГРАЖДАНСКОМ ПРАВЕ РОССИИ: СРАВНИТЕЛЬНО-ПРАВОВОЕ ИССЛЕДОВАНИЕ, ИЗД.1</t>
  </si>
  <si>
    <t>Андреев Ю.Н.</t>
  </si>
  <si>
    <t>978-5-91768-833-6</t>
  </si>
  <si>
    <t>665728.05.01</t>
  </si>
  <si>
    <t>Договор найма жилого помещ. и подоб.ему договоры: Моногр. / Д.А.Формакидов-М.:НИЦ ИНФРА-М,2024-189с.(о)</t>
  </si>
  <si>
    <t>ДОГОВОР НАЙМА ЖИЛОГО ПОМЕЩЕНИЯ И ПОДОБНЫЕ ЕМУ ДОГОВОРЫ, ИЗД.1</t>
  </si>
  <si>
    <t>978-5-16-013612-7</t>
  </si>
  <si>
    <t>435650.05.01</t>
  </si>
  <si>
    <t>Договор репо: цивилистич. исслед.: Моногр. / П.В.Хлюстов - М.:НИЦ ИНФРА-М,2022 - 198 с.(Науч.мысль)(О)</t>
  </si>
  <si>
    <t>ДОГОВОР РЕПО: ЦИВИЛИСТИЧЕСКОЕ ИССЛЕДОВАНИЕ, ИЗД.1</t>
  </si>
  <si>
    <t>Хлюстов П.В.</t>
  </si>
  <si>
    <t>978-5-16-006698-1</t>
  </si>
  <si>
    <t>Институт развития современных образовательных технологий</t>
  </si>
  <si>
    <t>682682.05.01</t>
  </si>
  <si>
    <t>Договоры в гражданском праве заруб.стран: Моногр. / С.В.Соловьева - М.:Юр.Норма,НИЦ ИНФРА-М,2024-336с(П)</t>
  </si>
  <si>
    <t>ДОГОВОРЫ В ГРАЖДАНСКОМ ПРАВЕ ЗАРУБЕЖНЫХ СТРАН, ИЗД.1</t>
  </si>
  <si>
    <t>Соловьева С.В., Гайдаенко-Шер Н.И., Грачев Д.О. и др.</t>
  </si>
  <si>
    <t>978-5-91768-911-1</t>
  </si>
  <si>
    <t>253500.06.01</t>
  </si>
  <si>
    <t>Договоры в пользу третьего лица..: Моногр. /Ю.Б.Фогельсон -М.: Юр.Норма, НИЦ ИНФРА-М, 2024. -192 с.(О)</t>
  </si>
  <si>
    <t>ДОГОВОРЫ В ПОЛЬЗУ ТРЕТЬЕГО ЛИЦА. ОПЫТ НЕДОГМАТИЧЕСКОГО ИССЛЕДОВАНИЯ, ИЗД.1</t>
  </si>
  <si>
    <t>Фогельсон Ю. Б., Ефремова М. Д.</t>
  </si>
  <si>
    <t>978-5-91768-452-9</t>
  </si>
  <si>
    <t>40.03.01, 40.06.01, 44.03.05</t>
  </si>
  <si>
    <t>845008.01.01</t>
  </si>
  <si>
    <t>Договоры в сфере орг. снаб. электрич. энергией в РФ / Е.О.Крассов-М.:Юр. НОРМА, НИЦ ИНФРА-М,2025.-296 с.(п)</t>
  </si>
  <si>
    <t>ДОГОВОРЫ В СФЕРЕ ОРГАНИЗАЦИИ СНАБЖЕНИЯ ЭЛЕКТРИЧЕСКОЙ ЭНЕРГИЕЙ В РФ, ИЗД.1</t>
  </si>
  <si>
    <t>Крассов Е.О.</t>
  </si>
  <si>
    <t>978-5-00156-399-0</t>
  </si>
  <si>
    <t>362700.08.01</t>
  </si>
  <si>
    <t>Договоры коммерческой деятельности: Практ. пос. / А.М.Петров - М.:КУРС, НИЦ ИНФРА-М,2025. - 396 с.(о)</t>
  </si>
  <si>
    <t>ДОГОВОРЫ КОММЕРЧЕСКОЙ ДЕЯТЕЛЬНОСТИ, ИЗД.1</t>
  </si>
  <si>
    <t>Петров А.М.</t>
  </si>
  <si>
    <t>978-5-905554-97-1</t>
  </si>
  <si>
    <t>38.02.01, 38.02.03, 38.02.07, 38.02.08, 38.03.01, 38.03.02, 38.04.01, 38.04.02, 38.04.08, 38.06.01, 40.02.04, 44.03.01, 44.03.05</t>
  </si>
  <si>
    <t>215200.09.01</t>
  </si>
  <si>
    <t>Дознание в органах внутренних дел:  ист.-правовой аспект: Уч. пос. / М.А.Маков - ИНФРА-М,2025 -126 с.(о)</t>
  </si>
  <si>
    <t>ДОЗНАНИЕ В ОРГАНАХ ВНУТРЕННИХ ДЕЛ:  ИСТОРИКО-ПРАВОВОЙ АСПЕКТ, ИЗД.1</t>
  </si>
  <si>
    <t>Маков М. А., Борисов А. В., Рыжова Ю. В., Яковлев К. Л., Мулукаев Р. С.</t>
  </si>
  <si>
    <t>978-5-16-006901-2</t>
  </si>
  <si>
    <t>Министерство внутренних дел Российской Федерации</t>
  </si>
  <si>
    <t>095810.18.01</t>
  </si>
  <si>
    <t>Доказательства и доказывание по угол. делам: Моногр. / С.А.Шейфер - 2 изд. - Норма: ИНФРА-М, 2026 - 240 с.(п)</t>
  </si>
  <si>
    <t>ДОКАЗАТЕЛЬСТВА И ДОКАЗЫВАНИЕ ПО УГОЛОВНЫМ ДЕЛАМ: ПРОБЛЕМЫ ТЕОРИИ И ПРАВОВОГО РЕГУЛИРОВАНИЯ, ИЗД.2</t>
  </si>
  <si>
    <t>Шейфер С. А.</t>
  </si>
  <si>
    <t>978-5-91768-442-0</t>
  </si>
  <si>
    <t>Самарский национальный исследовательский университет им. академика С.П. Королева</t>
  </si>
  <si>
    <t>754530.02.01</t>
  </si>
  <si>
    <t>Доказывание в уголовном процессе РФ: Уч.пос. / М.В.Слифиш - М.:НИЦ ИНФРА-М,2025. - 255 с.(ВО.)(п)</t>
  </si>
  <si>
    <t>ДОКАЗЫВАНИЕ В УГОЛОВНОМ ПРОЦЕССЕ РОССИЙСКОЙ ФЕДЕРАЦИИ, ИЗД.1</t>
  </si>
  <si>
    <t>Слифиш М.В.</t>
  </si>
  <si>
    <t>978-5-16-020883-1</t>
  </si>
  <si>
    <t>10.05.04, 38.05.01, 38.05.02, 40.03.01, 40.05.01, 40.05.02, 40.05.03, 40.05.04</t>
  </si>
  <si>
    <t>842884.01.01</t>
  </si>
  <si>
    <t>Доказывание и доказательства по экономич. спорам... / О.С.Смолина-М.:Юр. НОРМА, НИЦ ИНФРА-М,2025.-284 с.(п)</t>
  </si>
  <si>
    <t>ДОКАЗЫВАНИЕ И ДОКАЗАТЕЛЬСТВА ПО ЭКОНОМИЧЕСКИМ СПОРАМ В, ИЗД.1</t>
  </si>
  <si>
    <t>Смолина О.С.</t>
  </si>
  <si>
    <t>978-5-00156-394-5</t>
  </si>
  <si>
    <t>640621.10.01</t>
  </si>
  <si>
    <t>Доказывание и принятие реш. в состяз. уголов. судопроизвод./ Л.Н.Масленникова, - 2 изд.-М.:Юр.Норма, НИЦ ИНФРА-М,2024.-448с(П)</t>
  </si>
  <si>
    <t>ДОКАЗЫВАНИЕ И ПРИНЯТИЕ РЕШЕНИЙ В СОСТЯЗАТЕЛЬНОМ УГОЛОВНОМ СУДОПРОИЗВОДСТВЕ, ИЗД.2</t>
  </si>
  <si>
    <t>Масленникова Л.Н.</t>
  </si>
  <si>
    <t>978-5-00156-153-8</t>
  </si>
  <si>
    <t>640621.12.01</t>
  </si>
  <si>
    <t>Доказывание и принятие реш. в состяз. уголов... / Л.Н.Масленникова - 3изд. - М.:Юр.Норма, НИЦ ИНФРА-М,2026 - 556 с.(П)</t>
  </si>
  <si>
    <t>ДОКАЗЫВАНИЕ И ПРИНЯТИЕ РЕШЕНИЙ В СОСТЯЗАТЕЛЬНОМ УГОЛОВНОМ СУДОПРОИЗВОДСТВЕ, ИЗД.3</t>
  </si>
  <si>
    <t>978-5-00156-464-5</t>
  </si>
  <si>
    <t>640621.04.01</t>
  </si>
  <si>
    <t>Доказывание и принятие реш.в состязат.уголов.судопр.:Моногр./Л.Н.Масленникова -М:Юр.Норма,НИЦ ИНФРА-М,2019-384с(П)</t>
  </si>
  <si>
    <t>ДОКАЗЫВАНИЕ И ПРИНЯТИЕ РЕШЕНИЙ В СОСТЯЗАТЕЛЬНОМ УГОЛОВНОМ СУДОПРОИЗВОДСТВЕ, ИЗД.1</t>
  </si>
  <si>
    <t>978-5-91768-768-1</t>
  </si>
  <si>
    <t>206500.09.01</t>
  </si>
  <si>
    <t>Докторант вуза: диссертация, подгот. к защите..: Практ. пос. / С.Д.Резник - 3 изд. - М.: ИНФРА-М, 2026 - 282 с.(П)</t>
  </si>
  <si>
    <t>ДОКТОРАНТ ВУЗА: ДИССЕРТАЦИЯ, ПОДГОТОВКА К ЗАЩИТЕ, ЛИЧНАЯ ОРГАНИЗАЦИЯ, ИЗД.3</t>
  </si>
  <si>
    <t>978-5-16-017303-0</t>
  </si>
  <si>
    <t>37.06.01, 38.06.01, 38.07.02, 39.06.01, 39.07.01, 40.06.01, 41.06.01, 41.07.01, 44.06.01, 44.07.01</t>
  </si>
  <si>
    <t>Рекомендовано Советом учебно-методического объединения вузов России по образованию в области менеджмента в качестве практического пособия для системы послевузовского профессионального образования — докторантуры высших учебных заведений</t>
  </si>
  <si>
    <t>206500.04.01</t>
  </si>
  <si>
    <t>Докторант вуза: диссертация, подготовка к защите, личная организация: пособие / С.Д.Резник, - 2-е изд.-М.:НИЦ ИНФРА-М,2019.-299 с..-(</t>
  </si>
  <si>
    <t>ДОКТОРАНТ ВУЗА: ДИССЕРТАЦИЯ, ПОДГОТОВКА К ЗАЩИТЕ, ЛИЧНАЯ ОРГАНИЗАЦИЯ, ИЗД.2</t>
  </si>
  <si>
    <t>Резник С. Д.</t>
  </si>
  <si>
    <t>978-5-16-006783-4</t>
  </si>
  <si>
    <t>Рекомендовано Советом учебно-методического объединения вузов России по образованию в области менеджмента в качестве практического пособия для системы послевузовского профессионального образования - докторантуры высших учебных заведений</t>
  </si>
  <si>
    <t>313700.10.01</t>
  </si>
  <si>
    <t>Докторская диссертация: успешно, эффект.и с удовольств. / С.Влади - М.,НИЦ ИНФРА-М,2026 - 128 с.(О)</t>
  </si>
  <si>
    <t>ДОКТОРСКАЯ ДИССЕРТАЦИЯ: УСПЕШНО, ЭФФЕКТИВНО И С УДОВОЛЬСТВИЕМ, ИЗД.1</t>
  </si>
  <si>
    <t>Влади С.</t>
  </si>
  <si>
    <t>978-5-16-021574-7</t>
  </si>
  <si>
    <t>37.06.01, 38.06.01, 39.06.01, 40.06.01</t>
  </si>
  <si>
    <t>Мельбурнский университет</t>
  </si>
  <si>
    <t>764165.01.01</t>
  </si>
  <si>
    <t>Доктрина финанс.-правового статуса муниципал. образ. в РФ и его реализация / Покачалова Е.В.-М.:НИЦ ИНФРА-М,2022-480с(П)</t>
  </si>
  <si>
    <t>ДОКТРИНА ФИНАНСОВО-ПРАВОВОГО СТАТУСА МУНИЦИПАЛЬНЫХ ОБРАЗОВАНИЙ В РОССИЙСКОЙ ФЕДЕРАЦИИ И ЕГО РЕАЛИЗАЦИЯ, ИЗД.1</t>
  </si>
  <si>
    <t>Миронова С.М., Покачалова Е.В.</t>
  </si>
  <si>
    <t>978-5-16-017197-5</t>
  </si>
  <si>
    <t>38.04.04, 38.06.01, 40.04.01, 40.06.01</t>
  </si>
  <si>
    <t>664349.06.01</t>
  </si>
  <si>
    <t>Доктрина, законотворчество, судебная практика: вопр...: Моногр. / Т.Э.Шуберт - М.:НИЦ ИНФРА-М,2026 - 119 с.(о)</t>
  </si>
  <si>
    <t>ДОКТРИНА, ЗАКОНОТВОРЧЕСТВО, СУДЕБНАЯ ПРАКТИКА: ВОПРОСЫ ВЗАИМОВЛИЯНИЯ, ИЗД.1</t>
  </si>
  <si>
    <t>Шуберт Т.Э.</t>
  </si>
  <si>
    <t>978-5-16-013111-5</t>
  </si>
  <si>
    <t>810032.04.01</t>
  </si>
  <si>
    <t>Доктринальные основы прак. Верхов. Суда РФ / Т.Я.Хабриева - 2 изд. - М.:Юр. НОРМА, НИЦ ИНФРА-М,2025 - 452 с.(п)</t>
  </si>
  <si>
    <t>ДОКТРИНАЛЬНЫЕ ОСНОВЫ ПРАКТИКИ ВЕРХОВНОГО СУДА РОССИЙСКОЙ ФЕДЕРАЦИИ, ИЗД.2</t>
  </si>
  <si>
    <t>Хабриева Т.Я.</t>
  </si>
  <si>
    <t>978-5-00156-434-8</t>
  </si>
  <si>
    <t>810032.03.01</t>
  </si>
  <si>
    <t>Доктринальные основы практики Верховного Суда РФ / Т.Я.Хабриева-М.:Юр. НОРМА, НИЦ ИНФРА-М,2024.-384 с.(п)</t>
  </si>
  <si>
    <t>ДОКТРИНАЛЬНЫЕ ОСНОВЫ ПРАКТИКИ ВЕРХОВНОГО СУДА РОССИЙСКОЙ ФЕДЕРАЦИИ, ИЗД.1</t>
  </si>
  <si>
    <t>978-5-00156-322-8</t>
  </si>
  <si>
    <t>393000.02.01</t>
  </si>
  <si>
    <t>Документационное обесп.кадровой деят...: Уч.пос. / Лаврентьева М.Г. - М.:НИЦ ИНФРА-М,2022 - 99 с.(О)</t>
  </si>
  <si>
    <t>ДОКУМЕНТАЦИОННОЕ ОБЕСПЕЧЕНИЕ КАДРОВОЙ ДЕЯТЕЛЬНОСТИ В СФЕРЕ ИНДУСТРИИ ГОСТЕПРИИМСТВА, ИЗД.1</t>
  </si>
  <si>
    <t>Лаврентьева М.Г., Можаев А.В., Можаева Н.Г.</t>
  </si>
  <si>
    <t>978-5-16-011901-4</t>
  </si>
  <si>
    <t>43.03.01, 43.03.02, 43.03.03, 43.04.03</t>
  </si>
  <si>
    <t>Рекомендовано в качестве учебного пособия для студентов высших учебных заведений, обучающихся по направлениям подготовки 43.03.02 «Туризм», 43.03.03 «Гостиничное дело» (квалификация (степень) «бакалавр»)</t>
  </si>
  <si>
    <t>Московский колледж бизнес-технологий</t>
  </si>
  <si>
    <t>440200.04.01</t>
  </si>
  <si>
    <t>Документационное обеспеч. внутривуз. менед.: Моногр. / И.А.Панов - М.:НИЦ ИНФРА-М,2026. - 110 с.(Науч.мысль)(о)</t>
  </si>
  <si>
    <t>ДОКУМЕНТАЦИОННОЕ ОБЕСПЕЧЕНИЕ ВНУТРИВУЗОВСКОГО МЕНЕДЖМЕНТА, ИЗД.1</t>
  </si>
  <si>
    <t>ПановИ.А., РезникС.Д.</t>
  </si>
  <si>
    <t>978-5-16-011366-1</t>
  </si>
  <si>
    <t>703746.09.01</t>
  </si>
  <si>
    <t>Документационное обеспеч. кадровой деят. в..: Уч.пос. / Можаева Н.Г. - М.:НИЦ ИНФРА-М,2026 - 99 с.(СПО)(О)</t>
  </si>
  <si>
    <t>978-5-16-014893-9</t>
  </si>
  <si>
    <t>43.02.16, 46.01.03, 46.02.01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</si>
  <si>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43.02.10 «Туризм», 43.02.11 «Гостиничный сервис», 43.02.14 «Гостиничное дело»</t>
  </si>
  <si>
    <t>160750.09.01</t>
  </si>
  <si>
    <t>Документационное обеспечение управл.: Уч.пос. / Т.А.Быкова - 2 изд. - М.:НИЦ ИНФРА-М,2020 - 304с(П)</t>
  </si>
  <si>
    <t>ДОКУМЕНТАЦИОННОЕ ОБЕСПЕЧЕНИЕ УПРАВЛЕНИЯ (ДЕЛОПРОИЗВОДСТВО), ИЗД.2</t>
  </si>
  <si>
    <t>Быкова Т.А., Кузнецова Т.В., Санкина Л.В. и др.</t>
  </si>
  <si>
    <t>978-5-16-004805-5</t>
  </si>
  <si>
    <t>38.03.01, 38.03.02, 38.03.03, 38.03.04, 38.04.02, 38.04.03, 38.04.04, 40.02.04, 41.03.06, 46.03.02</t>
  </si>
  <si>
    <t>Допущено Учебно-методическим объединением вузов России по образованию в области историко-архивоведения в качестве учебного пособия для студентов высших учебных заведений, обучающихся по направлению подготовки 46.03.02 «Документоведение и архивоведение» и специальности 03.20.01 «Документоведение и документационное обеспечение управления»</t>
  </si>
  <si>
    <t>729086.05.01</t>
  </si>
  <si>
    <t>Документирование хоз. операц. и ведение бух. учета имущ. орг.: Уч. / М.Д.Акатьева - М.:НИЦ ИНФРА-М,2026. - 242 с.(П)</t>
  </si>
  <si>
    <t>ДОКУМЕНТИРОВАНИЕ ХОЗЯЙСТВЕННЫХ ОПЕРАЦИЙ И ВЕДЕНИЕ БУХГАЛТЕРСКОГО УЧЕТА ИМУЩЕСТВА ОРГАНИЗАЦИИ, ИЗД.1</t>
  </si>
  <si>
    <t>978-5-16-015928-7</t>
  </si>
  <si>
    <t>38.01.01, 38.02.01, 38.02.03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</si>
  <si>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«Экономика и бухгалтерский учет (по отраслям)» (протокол № 8 от 22.06.2020)</t>
  </si>
  <si>
    <t>771935.02.01</t>
  </si>
  <si>
    <t>Документирование хоз.операций и ведение бух. учета..: Уч. / Г.И.Алексеева-М.:НИЦ ИНФРА-М,2027.-459 с.(п)</t>
  </si>
  <si>
    <t>978-5-16-018032-8</t>
  </si>
  <si>
    <t>747959.02.01</t>
  </si>
  <si>
    <t>Документы и сведения, необходимые для совер. тамож...: Уч.пос. / Под ред. Елфимовой О.С.-М.:НИЦ ИНФРА-М,2026.-188 с.(П)</t>
  </si>
  <si>
    <t>ДОКУМЕНТЫ И СВЕДЕНИЯ, НЕОБХОДИМЫЕ ДЛЯ СОВЕРШЕНИЯ ТАМОЖЕННЫХ ОПЕРАЦИЙ, ИЗД.1</t>
  </si>
  <si>
    <t>Елфимова О.С., Лузина Т.В., Вакорина Е.А. и др.</t>
  </si>
  <si>
    <t>978-5-16-022201-1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</si>
  <si>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38.05.02 «Таможенное дело» (квалификация «специалист таможенного дела») (протокол № 8 от 20.10.2021)</t>
  </si>
  <si>
    <t>801606.02.01</t>
  </si>
  <si>
    <t>Долговечность конструкцион. бетона при морозных...: Моногр. / В.В.Малюк - М.:НИЦ ИНФРА-М,2025. - 226 с.(о)</t>
  </si>
  <si>
    <t>ДОЛГОВЕЧНОСТЬ КОНСТРУКЦИОННОГО БЕТОНА ПРИ МОРОЗНЫХ И СОЛЕВЫХ  ВОЗДЕЙСТВИЯХ: МОНИТОРИНГ, ИСПЫТАНИЯ, РЕКОМЕНДАЦИИ, ИЗД.1</t>
  </si>
  <si>
    <t>Малюк В.В., Малюк В.Д., Леонович С.Н.</t>
  </si>
  <si>
    <t>978-5-16-018625-2</t>
  </si>
  <si>
    <t>Сахалинский государственный университет</t>
  </si>
  <si>
    <t>750224.01.01</t>
  </si>
  <si>
    <t>Долговечность портовых железобетонных конструкций: Моногр. / С.Н.Леонович-М.:НИЦ ИНФРА-М,2022.-315 с.(О)</t>
  </si>
  <si>
    <t>ДОЛГОВЕЧНОСТЬ ПОРТОВЫХ ЖЕЛЕЗОБЕТОННЫХ КОНСТРУКЦИЙ (ДАЛЬНИЙ ВОСТОК И САХАЛИН), ИЗД.1</t>
  </si>
  <si>
    <t>Леонович С.Н., Шалый Е.Е., Полонина Е.Н. и др.</t>
  </si>
  <si>
    <t>978-5-16-017154-8</t>
  </si>
  <si>
    <t>08.03.01, 08.04.01, 08.05.01, 08.06.01</t>
  </si>
  <si>
    <t>290300.08.01</t>
  </si>
  <si>
    <t>Долгосрочная финанс. политика орг.: Уч.пос. / Е.Н.Карпова - 2 изд. - М.:НИЦ ИНФРА-М,2025 - 193 с.(ВО)(П)</t>
  </si>
  <si>
    <t>ДОЛГОСРОЧНАЯ ФИНАНСОВАЯ ПОЛИТИКА ОРГАНИЗАЦИИ, ИЗД.2</t>
  </si>
  <si>
    <t>Карпова Е.Н., Кочановская О.М., Усенко А.М. и др.</t>
  </si>
  <si>
    <t>978-5-16-014376-7</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</si>
  <si>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Регистрационный номер рецензии 128 от 18.04.2014 (ФГАУ ФИРО)</t>
  </si>
  <si>
    <t>290300.05.01</t>
  </si>
  <si>
    <t>Долгосрочная финанс. политика организации: Уч.пос. / Е.Н.Карпова - М.:Альфа-М, НИЦ ИНФРА-М,2019-208с</t>
  </si>
  <si>
    <t>ДОЛГОСРОЧНАЯ ФИНАНСОВАЯ ПОЛИТИКА ОРГАНИЗАЦИИ, ИЗД.1</t>
  </si>
  <si>
    <t>Карпова Е. Н., Кочановская О. М., Усенко А. М., Коновалов А. А.</t>
  </si>
  <si>
    <t>978-5-98281-404-3</t>
  </si>
  <si>
    <t>797735.04.01</t>
  </si>
  <si>
    <t>Должностные преступл. (гл.30 УК РФ). Понятие... / А.В.Галахова - М.:Юр. НОРМА, НИЦ ИНФРА-М,2026. - 180 с.(п)</t>
  </si>
  <si>
    <t>ДОЛЖНОСТНЫЕ ПРЕСТУПЛЕНИЯ (ГЛ.30 УК РФ). ПОНЯТИЕ. КВАЛИФИКАЦИЯ, ИЗД.1</t>
  </si>
  <si>
    <t>Галахова А.В.</t>
  </si>
  <si>
    <t>978-5-00156-282-5</t>
  </si>
  <si>
    <t>706523.13.01</t>
  </si>
  <si>
    <t>Допуски, посадки и технич. измерения: Уч.пос. / В.Э.Завистовский - М.:НИЦ ИНФРА-М,2027 - 278 с.(СПО)(П)</t>
  </si>
  <si>
    <t>ДОПУСКИ, ПОСАДКИ И ТЕХНИЧЕСКИЕ ИЗМЕРЕНИЯ, ИЗД.1</t>
  </si>
  <si>
    <t>Завистовский В.Э., Завистовский С.Э.</t>
  </si>
  <si>
    <t>978-5-16-015152-6</t>
  </si>
  <si>
    <t>15.01.35, 15.01.37, 15.02.01, 15.02.04, 15.02.07, 15.02.10, 15.02.16, 15.02.17, 15.02.18, 22.01.04, 23.01.10, 24.01.01, 26.02.02, 35.01.05, 35.01.30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</si>
  <si>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программы среднего профессионального образования по техническим специальностям (протокол № 5 от 11.03.2019)</t>
  </si>
  <si>
    <t>Полоцкий государственный университет, научная библиотека</t>
  </si>
  <si>
    <t>773947.03.01</t>
  </si>
  <si>
    <t>Допустимые пределы ограничения авторских прав...: Моногр. / Е.В.Балабанова - М.:НИЦ ИНФРА-М,2026. - 205 с.(П)</t>
  </si>
  <si>
    <t>ДОПУСТИМЫЕ ПРЕДЕЛЫ ОГРАНИЧЕНИЯ АВТОРСКИХ ПРАВ В КОНТЕКСТЕ ОТЕЧЕСТВЕННОГО, ЗАРУБЕЖНОГО И МЕЖДУНАРОДНОГО ПРАВА, ИЗД.1</t>
  </si>
  <si>
    <t>Балабанова Е.В.</t>
  </si>
  <si>
    <t>978-5-16-017509-6</t>
  </si>
  <si>
    <t>38.04.02, 40.03.01, 40.04.01</t>
  </si>
  <si>
    <t>261200.06.01</t>
  </si>
  <si>
    <t>Дороги к менеджменту: о себе и окруж. меня людях, о ../С.Д.Резник -5 изд.-М:НИЦ ИНФРА-М,2021-526с(п)</t>
  </si>
  <si>
    <t>ДОРОГИ К МЕНЕДЖМЕНТУ: О СЕБЕ И ОКРУЖАВШИХ МЕНЯ ЛЮДЯХ, О ВРЕМЕНИ И СОБЫТИЯХ, ИЗД.5</t>
  </si>
  <si>
    <t>978-5-16-016480-9</t>
  </si>
  <si>
    <t>Художественная литература</t>
  </si>
  <si>
    <t>38.03.02, 44.03.01, 45.03.01, 45.04.01</t>
  </si>
  <si>
    <t>0521</t>
  </si>
  <si>
    <t>434650.11.01</t>
  </si>
  <si>
    <t>Дорожное грунтоведение и механика...: Уч.пос. / Ю.Г.Бабаскин - М.:НИЦ ИНФРА-М, Нов.знание,2025 - 462 с.(П)</t>
  </si>
  <si>
    <t>ДОРОЖНОЕ ГРУНТОВЕДЕНИЕ И МЕХАНИКА ЗЕМЛЯНОГО ПОЛОТНА, ИЗД.1</t>
  </si>
  <si>
    <t>Бабаскин Ю. Г.</t>
  </si>
  <si>
    <t>978-5-16-006694-3</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</si>
  <si>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«Автомобильные дороги», «Мосты, транспортные тоннели и метрополитены»</t>
  </si>
  <si>
    <t>430300.16.01</t>
  </si>
  <si>
    <t>Дорожно-строительные матер. и изделия: Уч.мет.пос. / Я.Н.Ковалев - М.:НИЦ ИНФРА-М,2025 - 630 с.(ВО)(П)</t>
  </si>
  <si>
    <t>ДОРОЖНО-СТРОИТЕЛЬНЫЕ МАТЕРИАЛЫ И ИЗДЕЛИЯ, ИЗД.1</t>
  </si>
  <si>
    <t>Ковалев Я.Н., Кравченко С.Е., Шумчик В.К.</t>
  </si>
  <si>
    <t>978-5-16-006403-1</t>
  </si>
  <si>
    <t>Рекомендовано Учебно-методическим объединением по образованию в области строительства и архитектуры в качестве учебно-методического пособия для студентов специальности 1-70 03 01 «Автомобильные дороги»</t>
  </si>
  <si>
    <t>670024.06.01</t>
  </si>
  <si>
    <t>Дорожно-строительные машины. Систем.проект...: Уч.пос./В.П.Павлов - М.:НИЦ ИНФРА-М,СФУ,2023 - 237с(ВО)(П)</t>
  </si>
  <si>
    <t>ДОРОЖНО-СТРОИТЕЛЬНЫЕ МАШИНЫ. СИСТЕМНОЕ ПРОЕКТИРОВАНИЕ, МОДЕЛИРОВАНИЕ, ОПТИМИЗАЦИЯ, ИЗД.1</t>
  </si>
  <si>
    <t>Павлов В.П., Карасев Г.Н.</t>
  </si>
  <si>
    <t>Высшее образование: Магистратура (СФУ)</t>
  </si>
  <si>
    <t>978-5-16-015979-9</t>
  </si>
  <si>
    <t>23.04.02, 23.04.03</t>
  </si>
  <si>
    <t>Допущено УМО вузов Российской Федерации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магистров «Наземные транспортные системы»</t>
  </si>
  <si>
    <t>286600.08.01</t>
  </si>
  <si>
    <t>Дорожные переходы через водотоки: Уч.пос. / Г.А.Федотов - М.:НИЦ ИНФРА-М,2026 - 400 с.(ВО)(п)</t>
  </si>
  <si>
    <t>ДОРОЖНЫЕ ПЕРЕХОДЫ ЧЕРЕЗ ВОДОТОКИ, ИЗД.1</t>
  </si>
  <si>
    <t>Федотов Г. А., Наумов Г. Г.</t>
  </si>
  <si>
    <t>978-5-16-006074-3</t>
  </si>
  <si>
    <t>Допущено Учебно-методическим объединением вузов Российской Федерации по автотранспортному и дорожному образованию в качестве учебного пособия для студентов вузов, обучающихся по направлениям обучения 08.03.01 «Строительство» и специальностям «Автомобильные дороги и аэродромы», «Мосты и транспортные тоннели»</t>
  </si>
  <si>
    <t>857395.01.01</t>
  </si>
  <si>
    <t>Достоевский - Ницше: Пробл. человека: Моногр. / В.В.Дудкин, - 2 изд. - М.:НИЦ ИНФРА-М,2025. - 213 с.(п)</t>
  </si>
  <si>
    <t>ДОСТОЕВСКИЙ - НИЦШЕ: ПРОБЛЕМА ЧЕЛОВЕКА, ИЗД.2</t>
  </si>
  <si>
    <t>Дудкин В.В.</t>
  </si>
  <si>
    <t>978-5-16-021042-1</t>
  </si>
  <si>
    <t>44.03.01, 44.03.05, 45.03.01, 47.03.01, 47.04.01, 47.06.01, 48.03.01, 52.05.04</t>
  </si>
  <si>
    <t>806243.02.01</t>
  </si>
  <si>
    <t>Доступ к цифровой инф.: правовое регулир.: Уч.пос./ А.П.Вершинин - М.:НИЦ ИНФРА-М,2025 - 241 с.(ВО)(п)</t>
  </si>
  <si>
    <t>ДОСТУП К ЦИФРОВОЙ ИНФОРМАЦИИ: ПРАВОВОЕ РЕГУЛИРОВАНИЕ, ИЗД.1</t>
  </si>
  <si>
    <t>Вершинин А.П.</t>
  </si>
  <si>
    <t>978-5-16-019230-7</t>
  </si>
  <si>
    <t>40.05.02, 40.05.04</t>
  </si>
  <si>
    <t>806243.03.01</t>
  </si>
  <si>
    <t>Доступ к цифровой информации...: Уч.пос. / А.П.Вершинин, - 2 изд. - М.:НИЦ ИНФРА-М,2026. - 265 с.(п)</t>
  </si>
  <si>
    <t>ДОСТУП К ЦИФРОВОЙ ИНФОРМАЦИИ: ПРАВОВОЕ РЕГУЛИРОВАНИЕ, ИЗД.2</t>
  </si>
  <si>
    <t>978-5-16-022015-4</t>
  </si>
  <si>
    <t>166650.08.01</t>
  </si>
  <si>
    <t>Доступная юрид.помощь по гражд.делам:Моногр./А.С.Красногорова-М:НИЦ ИНФРА-М,2023-100с(Науч.мысль)(о)</t>
  </si>
  <si>
    <t>ДОСТУПНАЯ ЮРИДИЧЕСКАЯ ПОМОЩЬ ПО ГРАЖДАНСКИМ ДЕЛАМ, ИЗД.1</t>
  </si>
  <si>
    <t>Красногорова А.С.</t>
  </si>
  <si>
    <t>978-5-16-005239-7</t>
  </si>
  <si>
    <t>436450.09.01</t>
  </si>
  <si>
    <t>Досудебное производство в России: этапы разв...: Моногр. / С.А.Шейфер - М.:Юр.Норма, НИЦ ИНФРА-М, 2026 - 192 с.(п)</t>
  </si>
  <si>
    <t>ДОСУДЕБНОЕ ПРОИЗВОДСТВО В РОССИИ: ЭТАПЫ РАЗВИТИЯ СЛЕДСТВЕННОЙ, СУДЕБНОЙ И ПРОКУРОРСКОЙ ВЛАСТИ, ИЗД.1</t>
  </si>
  <si>
    <t>978-5-91768-380-5</t>
  </si>
  <si>
    <t>760199.05.01</t>
  </si>
  <si>
    <t>Досудебное производство по уголов. делу: Уч. / С.Б.Россинский - М.:Юр.Норма, НИЦ ИНФРА-М,2025 - 232 с.(П)</t>
  </si>
  <si>
    <t>ДОСУДЕБНОЕ ПРОИЗВОДСТВО ПО УГОЛОВНОМУ ДЕЛУ, ИЗД.1</t>
  </si>
  <si>
    <t>Россинский С.Б.</t>
  </si>
  <si>
    <t>978-5-00156-185-9</t>
  </si>
  <si>
    <t>Конкурс на лучшее издание, посвященное деятельности следственных органов РФ-2025, Победитель, I место</t>
  </si>
  <si>
    <t>754143.04.01</t>
  </si>
  <si>
    <t>Досудебное производство по уголовному делу...: Моногр. / С.Б.Россинский - М.:Юр.Норма,2026. - 408 с.(П)</t>
  </si>
  <si>
    <t>ДОСУДЕБНОЕ ПРОИЗВОДСТВО ПО УГОЛОВНОМУ ДЕЛУ: СУЩНОСТЬ И СПОСОБЫ СОБИРАНИЯ ДОКАЗАТЕЛЬСТВ, ИЗД.1</t>
  </si>
  <si>
    <t>978-5-00156-161-3</t>
  </si>
  <si>
    <t>665978.03.01</t>
  </si>
  <si>
    <t>Досудебное согл. о сотруд.: уголов.-процес.и криминал. аспекты: Уч.пос. / Е.И.Попова - М.:НИЦ ИНФРА-М,2025 - 168 с.(П)</t>
  </si>
  <si>
    <t>ДОСУДЕБНОЕ СОГЛАШЕНИЕ О СОТРУДНИЧЕСТВЕ: УГОЛОВНО-ПРОЦЕССУАЛЬНЫЙ И КРИМИНАЛИСТИЧЕСКИЙ АСПЕКТЫ, ИЗД.1</t>
  </si>
  <si>
    <t>Попова Е.И.</t>
  </si>
  <si>
    <t>978-5-16-014760-4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</si>
  <si>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17 от 11.11.2019)</t>
  </si>
  <si>
    <t>Восточно-Сибирский государственный университет технологий и управления</t>
  </si>
  <si>
    <t>446850.07.01</t>
  </si>
  <si>
    <t>Досудебное соглашение о сотрудничестве: Моногр. / О.Я.Баев - М.:Юр. НОРМА, НИЦ ИНФРА-М,2025. - 208 с.(о)</t>
  </si>
  <si>
    <t>ДОСУДЕБНОЕ СОГЛАШЕНИЕ О СОТРУДНИЧЕСТВЕ: ПРАВОВЫЕ И КРИМИНАЛИСТИЧЕСКИЕ ПРОБЛЕМЫ, ВОЗМОЖНЫЕ НАПРАВЛЕНИЯ ИХ РАЗРЕШЕНИЯ, ИЗД.1</t>
  </si>
  <si>
    <t>Баев О. Я.</t>
  </si>
  <si>
    <t>978-5-91768-412-3</t>
  </si>
  <si>
    <t>818356.04.01</t>
  </si>
  <si>
    <t>Дошкольная педагогика: Уч.пос. / С.Д.Кириенко - М.:НИЦ ИНФРА-М,2026. - 272 с. (СПО)(п)</t>
  </si>
  <si>
    <t>ДОШКОЛЬНАЯ ПЕДАГОГИКА, ИЗД.1</t>
  </si>
  <si>
    <t>Кириенко С.Д., Проняева С.В.</t>
  </si>
  <si>
    <t>978-5-16-019438-7</t>
  </si>
  <si>
    <t>44.02.01, 44.02.03, 44.02.04, 44.02.05</t>
  </si>
  <si>
    <t>Южно-Уральский государственный гуманитарно-педагогический университет</t>
  </si>
  <si>
    <t>733186.02.01</t>
  </si>
  <si>
    <t>Дошкольная педагогика: Уч.пос. / С.Д.Кириенко - М.:НИЦ ИНФРА-М,2026. - 272 с.(ВО)(п)</t>
  </si>
  <si>
    <t>978-5-16-016167-9</t>
  </si>
  <si>
    <t>44.03.01, 44.04.01</t>
  </si>
  <si>
    <t>682646.06.01</t>
  </si>
  <si>
    <t>Дошкольное образование: Уч.пос. / И.С.Тундалева - М.:НИЦ ИНФРА-М,2026 - 223 с.(СПО)(П)</t>
  </si>
  <si>
    <t>ДОШКОЛЬНОЕ ОБРАЗОВАНИЕ, ИЗД.1</t>
  </si>
  <si>
    <t>Тундалева И.С.</t>
  </si>
  <si>
    <t>978-5-16-015540-1</t>
  </si>
  <si>
    <t>44.02.01, 44.02.04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</si>
  <si>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8 от 20.10.2021)</t>
  </si>
  <si>
    <t>632783.05.01</t>
  </si>
  <si>
    <t>Древнегреческая драма классич. периода: Уч.пос. / Б.А.Гиленсон - 2 изд. - М.:НИЦ ИНФРА-М,2025 - 208 с.(ВО)(п)</t>
  </si>
  <si>
    <t>ДРЕВНЕГРЕЧЕСКАЯ ДРАМА КЛАССИЧЕСКОГО ПЕРИОДА, ИЗД.2</t>
  </si>
  <si>
    <t>978-5-16-012027-0</t>
  </si>
  <si>
    <t>41.03.06, 42.03.02, 42.03.03, 42.03.04, 44.03.01, 44.03.02, 44.03.04, 44.03.05, 45.03.01, 52.03.04, 52.03.05</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</si>
  <si>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44.03.05 «Педагогическое образование (с двумя профилями подготовки)» (квалификация (степень) «бакалавр»)</t>
  </si>
  <si>
    <t>433250.06.01</t>
  </si>
  <si>
    <t>Древнегреческая метафизика: генезис...: Моногр. / С.А.Нижников-М.:НИЦ ИНФРА-М,2022.-216 с.(Науч.мысль)(О)</t>
  </si>
  <si>
    <t>ДРЕВНЕГРЕЧЕСКАЯ МЕТАФИЗИКА: ГЕНЕЗИС И КЛАССИКА, ИЗД.1</t>
  </si>
  <si>
    <t>Нижников С.А., Семушкин А.В.</t>
  </si>
  <si>
    <t>978-5-16-006679-0</t>
  </si>
  <si>
    <t>40.03.01, 44.03.01, 44.03.05, 47.03.01, 47.03.02, 47.03.03, 47.04.01, 47.04.02, 47.04.03</t>
  </si>
  <si>
    <t>660659.07.01</t>
  </si>
  <si>
    <t>Древнерусское искусство: Уч. / В.Д.Черный - М.: НИЦ ИНФРА-М,2026 - 656 с.(ВО)(П)</t>
  </si>
  <si>
    <t>ДРЕВНЕРУССКОЕ ИСКУССТВО, ИЗД.1</t>
  </si>
  <si>
    <t>Черный В.Д.</t>
  </si>
  <si>
    <t>978-5-16-021639-3</t>
  </si>
  <si>
    <t>50.03.01, 50.03.02, 50.03.03, 50.03.04, 54.03.01, 54.03.02, 54.03.03</t>
  </si>
  <si>
    <t>Рекомендовано в качестве учебника для студентов высших учебных заведений, обучающихся по направлениям подготовки 51.03.01 «Культурология», 50.03.01 «Искусства и гуманитарные науки», 50.03.03 «История искусств» (квалификация (степень) «бакалавр»)</t>
  </si>
  <si>
    <t>694850.07.01</t>
  </si>
  <si>
    <t>Древнерусское искусство: Уч. / В.Д.Черный - М.:Вуз. уч., НИЦ ИНФРА-М,2027 - 661 с.-(СПО)(П)</t>
  </si>
  <si>
    <t>978-5-9558-0629-7</t>
  </si>
  <si>
    <t>29.01.04, 29.01.09, 38.02.02, 42.02.01, 43.02.02, 50.02.01, 51.02.01, 51.02.02, 51.02.03, 52.02.03, 52.02.04, 52.02.05, 54.01.02, 54.01.05, 54.01.06, 54.01.13, 54.02.01, 54.02.02, 54.02.04, 54.02.06, 54.02.08</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</si>
  <si>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50.02.01 «Мировая художественная культура», 51.02.01 «Народное художественное творчество (по видам)», 51.02.02 «Социально-культурная деятельность (по видам)», 51.02.03 «Библиотековедение»</t>
  </si>
  <si>
    <t>648388.09.01</t>
  </si>
  <si>
    <t>Духовная жизнь рос. общества и формир..: Моногр. / В.Н.Ксенофонтов - М:Норма,НИЦ ИНФРА-М,2026 - 176 с(О)</t>
  </si>
  <si>
    <t>ДУХОВНАЯ ЖИЗНЬ РОССИЙСКОГО ОБЩЕСТВА И ФОРМИРОВАНИЕ ЛИЧНОСТИ ЮРИСТА, ИЗД.1</t>
  </si>
  <si>
    <t>Гунибский М.Ш., Ксенофонтов В.Н.</t>
  </si>
  <si>
    <t>978-5-91768-797-1</t>
  </si>
  <si>
    <t>644181.05.01</t>
  </si>
  <si>
    <t>Духовная культура горняков Европы и России..: Моногр. / А.А.Мурзин - М.:НИЦ ИНФРА-М,2024 - 100 с.(О)</t>
  </si>
  <si>
    <t>ДУХОВНАЯ КУЛЬТУРА ГОРНЯКОВ ЕВРОПЫ И РОССИИ: ВЕРОВАНИЯ  И ПРАЗДНИЧНО-ОБРЯДОВЫЕ ПРАКТИКИ (СРАВНИТЕЛЬНЫЙ АНАЛИЗ), ИЗД.1</t>
  </si>
  <si>
    <t>Мурзин А.А.</t>
  </si>
  <si>
    <t>978-5-16-013863-3</t>
  </si>
  <si>
    <t>38.03.01, 44.03.05, 50.04.04, 51.03.01, 51.03.02, 51.04.04, 54.03.04</t>
  </si>
  <si>
    <t>Дачный эксперт</t>
  </si>
  <si>
    <t>813785.03.01</t>
  </si>
  <si>
    <t>Духовная сила рос. имперской государств.: Моногр. / А.Ю.Саломатин - М.:ИЦ РИОР, НИЦ ИНФРА-М,2026. - 173 с.(п)</t>
  </si>
  <si>
    <t>ДУХОВНАЯ СИЛА РОССИЙСКОЙ ИМПЕРСКОЙ ГОСУДАРСТВЕННОСТИ, ИЗД.1</t>
  </si>
  <si>
    <t>978-5-369-01938-2</t>
  </si>
  <si>
    <t>433150.06.01</t>
  </si>
  <si>
    <t>Духовное познание и архетипы философ.культур Востока..: Моногр. / А.В.Семушкин - М.:НИЦ ИНФРА-М,2026 - 231 с.(п)</t>
  </si>
  <si>
    <t>ДУХОВНОЕ ПОЗНАНИЕ И АРХЕТИПЫ ФИЛОСОФСКИХ КУЛЬТУР ВОСТОКА И ЗАПАДА, ИЗД.1</t>
  </si>
  <si>
    <t>Семушкин А. В., Нижников С. А.</t>
  </si>
  <si>
    <t>978-5-16-006678-3</t>
  </si>
  <si>
    <t>683165.07.01</t>
  </si>
  <si>
    <t>Духовно-нравственное воспитание: Уч.пос. / В.Д.Ширшов - М.:НИЦ ИНФРА-М,2026. - 182 с.(ВО)(п)</t>
  </si>
  <si>
    <t>ДУХОВНО-НРАВСТВЕННОЕ ВОСПИТАНИЕ, ИЗД.1</t>
  </si>
  <si>
    <t>Ширшов В.Д.</t>
  </si>
  <si>
    <t>978-5-16-021165-7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</si>
  <si>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44.04.01 «Педагогическое образование» (квалификация (степень) «магистр») (протокол № 2 от 03.02.2020)</t>
  </si>
  <si>
    <t>Уральский государственный педагогический университет</t>
  </si>
  <si>
    <t>704204.05.01</t>
  </si>
  <si>
    <t>Душа как реальность: Моногр. / Е.Ф.Казаков - М.:НИЦ ИНФРА-М,2026. - 207 с.(Науч.мысль)(О)</t>
  </si>
  <si>
    <t>ДУША КАК РЕАЛЬНОСТЬ, ИЗД.1</t>
  </si>
  <si>
    <t>978-5-16-014987-5</t>
  </si>
  <si>
    <t>47.04.01</t>
  </si>
  <si>
    <t>747701.05.01</t>
  </si>
  <si>
    <t>Душа русской культуры: Монография / Е.Ф.Казаков - М.:НИЦ ИНФРА-М,2025 - 167 с.-(Науч.мысль)(О)</t>
  </si>
  <si>
    <t>ДУША РУССКОЙ КУЛЬТУРЫ, ИЗД.1</t>
  </si>
  <si>
    <t>978-5-16-016729-9</t>
  </si>
  <si>
    <t>45.04.01, 45.04.04, 45.06.01</t>
  </si>
  <si>
    <t>306300.10.01</t>
  </si>
  <si>
    <t>Евразийство: избранное: Моногр. / Н.С.Трубецкой - М.:НИЦ ИНФРА-М,2026 - 358 с.(Евразийский путь)(П)</t>
  </si>
  <si>
    <t>ЕВРАЗИЙСТВО: ИЗБРАННОЕ, ИЗД.1</t>
  </si>
  <si>
    <t>Трубецкой Н.С.</t>
  </si>
  <si>
    <t>Евразийский путь</t>
  </si>
  <si>
    <t>978-5-16-010258-0</t>
  </si>
  <si>
    <t>40.03.01, 41.03.04, 41.03.05, 41.03.06, 41.04.04, 41.04.05, 44.03.01, 44.03.05</t>
  </si>
  <si>
    <t>Венский университет</t>
  </si>
  <si>
    <t>861525.01.01</t>
  </si>
  <si>
    <t>Еврейская философия Древности и Средневековья: Уч.пос. / В.Ю.Васечко - М.:НИЦ ИНФРА-М,2026. - 156 с.(ВО)(п)</t>
  </si>
  <si>
    <t>ЕВРЕЙСКАЯ ФИЛОСОФИЯ ДРЕВНОСТИ И СРЕДНЕВЕКОВЬЯ, ИЗД.1</t>
  </si>
  <si>
    <t>Васечко В.Ю.</t>
  </si>
  <si>
    <t>978-5-16-021312-5</t>
  </si>
  <si>
    <t>47.03.01, 47.04.01, 50.03.01</t>
  </si>
  <si>
    <t>Институт философии и права Уральского отделения Российской академии наук</t>
  </si>
  <si>
    <t>699271.05.01</t>
  </si>
  <si>
    <t>Европейская конвенция: проблемы толк..: Моногр.: В 2 т.Т.2 / А.И.Ковлер - М.:Юр.Норма, НИЦ ИНФРА-М,2022 - 400 с.(П)</t>
  </si>
  <si>
    <t>ЕВРОПЕЙСКАЯ КОНВЕНЦИЯ: ПРОБЛЕМЫ ТОЛКОВАНИЯ И ИМПЛЕМЕНТАЦИИ, ИЗД.1</t>
  </si>
  <si>
    <t>978-5-91768-987-6</t>
  </si>
  <si>
    <t>700578.02.01</t>
  </si>
  <si>
    <t>Европейский опыт госуд. регулир.инновац. деят.: Уч.пос. / В.М.Распопов - М.:Магистр, НИЦ ИНФРА-М,2022-264с(О)</t>
  </si>
  <si>
    <t>ЕВРОПЕЙСКИЙ ОПЫТ ГОСУДАРСТВЕННОГО РЕГУЛИРОВАНИЯ ИННОВАЦИОННОЙ ДЕЯТЕЛЬНОСТИ, ИЗД.1</t>
  </si>
  <si>
    <t>Распопов В.М., Распопов В.В., Ахмадулина Т.В.</t>
  </si>
  <si>
    <t>978-5-9776-0496-3</t>
  </si>
  <si>
    <t>344900.05.01</t>
  </si>
  <si>
    <t>Европейский парламент: политико-прав.исслед.:Моногр./А.Ю.Саломатин-М.:ИЦ РИОР,НИЦ ИНФРА-М,2023-91с(О)</t>
  </si>
  <si>
    <t>ЕВРОПЕЙСКИЙ ПАРЛАМЕНТ: ПОЛИТИКО-ПРАВОВОЕ ИССЛЕДОВАНИЕ, ИЗД.1</t>
  </si>
  <si>
    <t>Саломатин А.Ю., Меликов А.В.</t>
  </si>
  <si>
    <t>978-5-369-01443-1</t>
  </si>
  <si>
    <t>38.03.04, 40.03.01, 40.04.01, 41.03.04, 41.03.05, 41.03.06, 41.04.04, 41.04.05, 44.03.01, 44.03.05</t>
  </si>
  <si>
    <t>094880.12.01</t>
  </si>
  <si>
    <t>Европейский Союз: Основополагающие акты в редакц... / С.Ю.Кашкин -2изд. -М.:НИЦ ИНФРА-М,2024-650с(П)</t>
  </si>
  <si>
    <t>ЕВРОПЕЙСКИЙ СОЮЗ: ОСНОВОПОЛАГАЮЩИЕ АКТЫ В РЕДАКЦИИ ЛИССАБОНСКОГО ДОГОВОРА С КОММЕНТАРИЯМИ, ИЗД.2</t>
  </si>
  <si>
    <t>Кашкин С.Ю., Четвериков А.О., Кашкин С.Ю.</t>
  </si>
  <si>
    <t>978-5-16-012161-1</t>
  </si>
  <si>
    <t>40.03.01, 40.04.01, 40.05.01, 41.03.05, 41.04.05</t>
  </si>
  <si>
    <t>689991.07.01</t>
  </si>
  <si>
    <t>Европейское право. Основы интеграц. права ЕС ...: Уч. / Л.М.Энтин - М.:Юр.Норма, НИЦ ИНФРА-М,2026 - 528 с.(П)</t>
  </si>
  <si>
    <t>ЕВРОПЕЙСКОЕ ПРАВО. ОСНОВЫ ИНТЕГРАЦИОННОГО ПРАВА ЕВРОПЕЙСКОГО СОЮЗА И ЕВРАЗИЙСКОГО ЭКОНОМИЧЕСКОГО СОЮЗА, ИЗД.1</t>
  </si>
  <si>
    <t>Энтин Л.М., Энтин М.Л.</t>
  </si>
  <si>
    <t>978-5-91768-956-2</t>
  </si>
  <si>
    <t>689992.08.01</t>
  </si>
  <si>
    <t>Европейское право. Отрасли права ЕС и ЕврАзЭС: Уч. / Л.М.Энтин - М.:Юр.Норма, НИЦ ИНФРА-М,2026 - 416 с.(П)</t>
  </si>
  <si>
    <t>ЕВРОПЕЙСКОЕ ПРАВО. ОТРАСЛИ ПРАВА ЕС И ЕВРАЗЭС, ИЗД.1</t>
  </si>
  <si>
    <t>978-5-91768-957-9</t>
  </si>
  <si>
    <t>679377.06.01</t>
  </si>
  <si>
    <t>Европейское право: Уч.пос. / И.С.Иксанов - М.:НИЦ ИНФРА-М,2024-182с-(ВО:Бакалавриат(Финунивер.)(П)</t>
  </si>
  <si>
    <t>ЕВРОПЕЙСКОЕ ПРАВО, ИЗД.1</t>
  </si>
  <si>
    <t>Иксанов И.С.</t>
  </si>
  <si>
    <t>978-5-16-014648-5</t>
  </si>
  <si>
    <t>38.03.01, 38.04.01, 40.03.01, 40.04.01, 40.05.01, 40.05.02, 40.05.03, 40.05.04, 41.03.05, 41.04.05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</si>
  <si>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38.03.01 «Экономика»,44.03.01 «Юриспруденция», 41.03.05 «Международные отношения» (квалификация (степень) «бакалавр»)</t>
  </si>
  <si>
    <t>674695.06.01</t>
  </si>
  <si>
    <t>ЕГЭ по обществознанию на 100 баллов...: Уч.мет.пос. / В.В.Еремин - М.:НИЦ ИНФРА-М,2026 - 173 с.(П)</t>
  </si>
  <si>
    <t>ЕГЭ ПО ОБЩЕСТВОЗНАНИЮ НА 100 БАЛЛОВ. РЕАЛЬНО И ИНТЕРЕСНО, ИЗД.1</t>
  </si>
  <si>
    <t>Еремин В.В.</t>
  </si>
  <si>
    <t>978-5-16-021188-6</t>
  </si>
  <si>
    <t>Общественные дисциплины (школа)</t>
  </si>
  <si>
    <t>00.02.21</t>
  </si>
  <si>
    <t>657368.04.01</t>
  </si>
  <si>
    <t>Единство преступ.: эволюц.угол.-прав. понятия: Моногр. / А.М.Ораздурдыев - М.:Юр.Норма,2026 - 320 с.(П)</t>
  </si>
  <si>
    <t>ЕДИНСТВО ПРЕСТУПЛЕНИЙ: ЭВОЛЮЦИЯ УГОЛОВНО-ПРАВОВОГО ПОНЯТИЯ, ИЗД.1</t>
  </si>
  <si>
    <t>Ораздурдыев А.М.</t>
  </si>
  <si>
    <t>978-5-91768-838-1</t>
  </si>
  <si>
    <t>185650.14.01</t>
  </si>
  <si>
    <t>Если подростку трудно учиться в школе... / Е.В.Свистунова - М.:Форум,2026 - 144 с.(О)</t>
  </si>
  <si>
    <t>ЕСЛИ ПОДРОСТКУ ТРУДНО УЧИТЬСЯ В ШКОЛЕ: ПЕДАГОГАМ И ЗАИНТЕРЕСОВАННЫМ РОДИТЕЛЯМ, ИЗД.1</t>
  </si>
  <si>
    <t>Свистунова Е. В., Демьянская М. Н., Мильке Е. А.</t>
  </si>
  <si>
    <t>978-5-91134-660-7</t>
  </si>
  <si>
    <t>44.03.01, 44.04.01, 44.06.01</t>
  </si>
  <si>
    <t>150750.10.01</t>
  </si>
  <si>
    <t>Если ситуация кажется неразрешимой... / В.К. Зарецкий. - 2 изд. - М.: Форум, 2026 - 64 с. (о)</t>
  </si>
  <si>
    <t>ЕСЛИ СИТУАЦИЯ КАЖЕТСЯ НЕРАЗРЕШИМОЙ..., ИЗД.2</t>
  </si>
  <si>
    <t>Зарецкий В. К.</t>
  </si>
  <si>
    <t>978-5-91134-502-0</t>
  </si>
  <si>
    <t>37.03.01, 37.03.02, 37.04.01, 37.04.02</t>
  </si>
  <si>
    <t>Московский государственный психолого-педагогический университет</t>
  </si>
  <si>
    <t>324200.11.01</t>
  </si>
  <si>
    <t>Естественно-науч. методы судебно-эксперт. исслед.: Уч. / Е.Р.Россинская - М:Норма:ИНФРА-М,2025 - 304с(П)</t>
  </si>
  <si>
    <t>ЕСТЕСТВЕННО-НАУЧНЫЕ МЕТОДЫ СУДЕБНО-ЭКСПЕРТНЫХ ИССЛЕДОВАНИЙ, ИЗД.1</t>
  </si>
  <si>
    <t>Россинская Е.Р., Россинская Е.Р.</t>
  </si>
  <si>
    <t>978-5-91768-573-1</t>
  </si>
  <si>
    <t>Рекомендовано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40.05.03 "Судебная экспертиза»</t>
  </si>
  <si>
    <t>731838.04.01</t>
  </si>
  <si>
    <t>Жанры спортивного дискурса...: Моногр. / Н.Н.Кислицына - М.:НИЦ ИНФРА-М,2026 - 205 с.(О)</t>
  </si>
  <si>
    <t>ЖАНРЫ СПОРТИВНОГО ДИСКУРСА: ЛИНГВОКОГНИТИВНЫЙ АСПЕКТ, ИЗД.1</t>
  </si>
  <si>
    <t>Кислицына Н.Н., Новикова Е.А.</t>
  </si>
  <si>
    <t>978-5-16-016017-7</t>
  </si>
  <si>
    <t>45.03.02, 45.04.02, 45.04.03, 45.04.04, 45.06.01</t>
  </si>
  <si>
    <t>154350.15.01</t>
  </si>
  <si>
    <t>Железобетонные конструкции: Уч.пос. / Т.А.Журавская - 2 изд. - М.:НИЦ ИНФРА-М,2026 - 153 с.(СПО)(П)</t>
  </si>
  <si>
    <t>ЖЕЛЕЗОБЕТОННЫЕ КОНСТРУКЦИИ, ИЗД.2</t>
  </si>
  <si>
    <t>Журавская Т.А.</t>
  </si>
  <si>
    <t>978-5-16-013653-0</t>
  </si>
  <si>
    <t>08.02.01, 08.02.03</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</si>
  <si>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 по дисциплине «Строительные конструкции» по специальности 08.02.01 «Строительство и эксплуатация зданий и сооружений»</t>
  </si>
  <si>
    <t>154350.05.01</t>
  </si>
  <si>
    <t>Железобетонные конструкции: Уч.пос. / Т.А.Журавская - М.:НИЦ ИНФРА-М,2018 - 152 с.-(СПО)(О)</t>
  </si>
  <si>
    <t>ЖЕЛЕЗОБЕТОННЫЕ КОНСТРУКЦИИ, ИЗД.1</t>
  </si>
  <si>
    <t>978-5-16-013467-3</t>
  </si>
  <si>
    <t>685726.05.01</t>
  </si>
  <si>
    <t>Женщины и армия: уч. модуль для девушек: Уч.пос. / Под ред. Алексеева С.В. - М.:НИЦ ИНФРА-М,2027. - 208 с.(СПО)(п)</t>
  </si>
  <si>
    <t>ЖЕНЩИНЫ И АРМИЯ: УЧЕБНЫЙ МОДУЛЬ ДЛЯ ДЕВУШЕК, ИЗД.1</t>
  </si>
  <si>
    <t>Алексеев С.В., Данченко С.П., Костецкая Г.А. и др.</t>
  </si>
  <si>
    <t>978-5-16-015506-7</t>
  </si>
  <si>
    <t>00.01.01, 00.02.01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</si>
  <si>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14 от 30.09.2019)</t>
  </si>
  <si>
    <t>805487.04.01</t>
  </si>
  <si>
    <t>Женщины и армия: уч. модуль для..: Уч.пос. / Под ред. Алексеева С.В. - М.:НИЦ ИНФРА-М,2026 - 208с(ВО)(п)</t>
  </si>
  <si>
    <t>978-5-16-018599-6</t>
  </si>
  <si>
    <t>693141.03.01</t>
  </si>
  <si>
    <t>Живая машина: Моногр. / С.В.Борзых - М.:НИЦ ИНФРА-М,2025  - 157 с.(Науч.мысль)(О)</t>
  </si>
  <si>
    <t>ЖИВАЯ МАШИНА, ИЗД.1</t>
  </si>
  <si>
    <t>978-5-16-014513-6</t>
  </si>
  <si>
    <t>354800.06.01</t>
  </si>
  <si>
    <t>Жизненный путь и цикл разв.организации: Практ.пос  / М.М.Панов - НИЦ ИНФРА-М,2025 - 98 с.(о)</t>
  </si>
  <si>
    <t>ЖИЗНЕННЫЙ ПУТЬ И ЦИКЛ РАЗВИТИЯ ОРГАНИЗАЦИИ, ИЗД.1</t>
  </si>
  <si>
    <t>М.М.Панов</t>
  </si>
  <si>
    <t>978-5-16-010903-9</t>
  </si>
  <si>
    <t>38.03.01, 38.03.02, 38.04.01, 38.04.02, 44.03.05</t>
  </si>
  <si>
    <t>795602.03.01</t>
  </si>
  <si>
    <t>Жизнь современных поколений: Моногр. / А.В.Микляева. - М.:НИЦ ИНФРА-М,2026. - 218 с.(о)</t>
  </si>
  <si>
    <t>ЖИЗНЬ СОВРЕМЕННЫХ ПОКОЛЕНИЙ: СОЦИАЛЬНО-ПСИХОЛОГИЧЕСКИЕ ТЕНДЕНЦИИ, ИЗД.1</t>
  </si>
  <si>
    <t>Микляева А.В., Пищик В.И., Постникова М.И. и др.</t>
  </si>
  <si>
    <t>978-5-16-018118-9</t>
  </si>
  <si>
    <t>39.04.01, 39.04.03, 39.06.01, 47.04.01</t>
  </si>
  <si>
    <t>436300.10.01</t>
  </si>
  <si>
    <t>Жирные кислоты, триглицериды...: Моногр. / В.Н. Титов - М.: НИЦ ИНФРА-М, 2026 -197 с. (Науч.мысль)(о)</t>
  </si>
  <si>
    <t>ЖИРНЫЕ КИСЛОТЫ, ТРИГЛИЦЕРИДЫ, ГИПЕРТРИГЛИЦЕРИДЕМИЯ, ГИПЕРГЛЕКЕМИЯ И ИНСУЛИН, ИЗД.1</t>
  </si>
  <si>
    <t>Титов В.Н., Рожкова Т.А., Амелюшкина В.А.</t>
  </si>
  <si>
    <t>978-5-16-011325-8</t>
  </si>
  <si>
    <t>Российский кардиологический научно-производственный комплекс</t>
  </si>
  <si>
    <t>638287.0062.01</t>
  </si>
  <si>
    <t>Журнал зарубежного законодательства и сравнительного правоведения, 2024, № 4</t>
  </si>
  <si>
    <t>ЖУРНАЛ ЗАРУБЕЖНОГО ЗАКОНОДАТЕЛЬСТВА И СРАВНИТЕЛЬНОГО ПРАВОВЕДЕНИЯ, 2024, № 4, ИЗД.</t>
  </si>
  <si>
    <t>638287.0073.01</t>
  </si>
  <si>
    <t>Журнал зарубежного законодательства и сравнительного правоведения, 2026, № 3</t>
  </si>
  <si>
    <t>ЖУРНАЛ ЗАРУБЕЖНОГО ЗАКОНОДАТЕЛЬСТВА И СРАВНИТЕЛЬНОГО ПРАВОВЕДЕНИЯ, 2026, № 3, ИЗД.1</t>
  </si>
  <si>
    <t>640614.0359.01</t>
  </si>
  <si>
    <t>Журнал Российского права, 2024, № 8</t>
  </si>
  <si>
    <t>ЖУРНАЛ РОССИЙСКОГО ПРАВА, 2024, № 8, ИЗД.</t>
  </si>
  <si>
    <t>640614.0384.01</t>
  </si>
  <si>
    <t>Журнал Российского права, 2026, № 8</t>
  </si>
  <si>
    <t>ЖУРНАЛ РОССИЙСКОГО ПРАВА, 2026, № 8, ИЗД.1</t>
  </si>
  <si>
    <t>0197</t>
  </si>
  <si>
    <t>408350.14.01</t>
  </si>
  <si>
    <t>Журналистика и редактирование: Уч.пос. / Т.В.Гордиенко - М.: НИЦ ИНФРА-М,2027. - 176 с.(ВО)(п)</t>
  </si>
  <si>
    <t>ЖУРНАЛИСТИКА И РЕДАКТИРОВАНИЕ, ИЗД.1</t>
  </si>
  <si>
    <t>Гордиенко Т.В.</t>
  </si>
  <si>
    <t>978-5-16-021222-7</t>
  </si>
  <si>
    <t>41.03.06, 42.03.02, 42.03.03, 42.04.03, 43.03.01, 43.03.02, 43.04.01, 43.04.02</t>
  </si>
  <si>
    <t>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 обучающихся по направлению подготовки 43.03.01 «Сервис»</t>
  </si>
  <si>
    <t>852163.01.01</t>
  </si>
  <si>
    <t>Журналистское образ. в условиях трансформир. медиасреды: Моногр. / С.А.Базикян - М.:НИЦ ИНФРА-М,2025. - 161 с(о)</t>
  </si>
  <si>
    <t>ЖУРНАЛИСТСКОЕ ОБРАЗОВАНИЕ В УСЛОВИЯХ ТРАНСФОРМИРУЮЩЕЙСЯ МЕДИАСРЕДЫ: ПОТЕНЦИАЛ ПРОЕКТНОГО ОБУЧЕНИЯ, ИЗД.1</t>
  </si>
  <si>
    <t>Базикян С.А.</t>
  </si>
  <si>
    <t>978-5-16-020912-8</t>
  </si>
  <si>
    <t>42.04.01, 42.04.02, 42.04.04, 42.04.05, 42.06.01</t>
  </si>
  <si>
    <t>420250.07.01</t>
  </si>
  <si>
    <t>Заболевания внутр. органов при манифестных..: Моногр. / Б.Н.Кривошеев - 2 изд. - ИНФРА-М, 2026 - 296 с.(о)</t>
  </si>
  <si>
    <t>ЗАБОЛЕВАНИЯ ВНУТРЕННИХ ОРГАНОВ ПРИ МАНИФЕСТНЫХ И ЛАТЕНТНЫХ НАРУШЕНИЯХ ПОРФИРИНОВОГО ОБМЕНА, ИЗД.2</t>
  </si>
  <si>
    <t>Кривошеев Б. Н., Куимов А. Д., Кривошеев А. Б.</t>
  </si>
  <si>
    <t>978-5-16-006542-7</t>
  </si>
  <si>
    <t>Новосибирский государственный медицинский университет</t>
  </si>
  <si>
    <t>489300.06.01</t>
  </si>
  <si>
    <t>Заведующие кафедрами университетов России: Моногр. / О.А.Сазыкина - М.:НИЦ ИНФРА-М,2022-193с.(П)</t>
  </si>
  <si>
    <t>ЗАВЕДУЮЩИЕ КАФЕДРАМИ УНИВЕРСИТЕТОВ РОССИИ: СТУПЕНИ РОСТА, ИЗД.1</t>
  </si>
  <si>
    <t>Резник С.Д., Сазыкина О.А., Резник С.Д.</t>
  </si>
  <si>
    <t>978-5-16-011755-3</t>
  </si>
  <si>
    <t>38.03.01, 38.03.03, 38.04.02</t>
  </si>
  <si>
    <t>787444.01.01</t>
  </si>
  <si>
    <t>Завоевание Земли: Моногр. / С.В.Борзых-М.:НИЦ ИНФРА-М,2023.-347 с.(Науч.мысль)(П)</t>
  </si>
  <si>
    <t>ЗАВОЕВАНИЕ ЗЕМЛИ, ИЗД.1</t>
  </si>
  <si>
    <t>978-5-16-017933-9</t>
  </si>
  <si>
    <t>47.04.01, 47.06.01</t>
  </si>
  <si>
    <t>659191.07.01</t>
  </si>
  <si>
    <t>Загадки страны «Ок». Романские церкви Окситании X-XIII в.: Моногр. / И.И.Орлов - М:НИЦ ИНФРА-М,2026 - 216 с.(о)</t>
  </si>
  <si>
    <t>ЗАГАДКИ СТРАНЫ «ОК». РОМАНСКИЕ ЦЕРКВИ ОКСИТАНИИ X - XIII ВЕКОВ, ИЗД.1</t>
  </si>
  <si>
    <t>Орлов И.И.</t>
  </si>
  <si>
    <t>978-5-16-018155-4</t>
  </si>
  <si>
    <t>07.03.01, 50.03.03, 51.03.01</t>
  </si>
  <si>
    <t>Липецкий Государственный Технический Университет</t>
  </si>
  <si>
    <t>659191.06.01</t>
  </si>
  <si>
    <t>Загадки страны «Ок». Романские церкви Окситании X-XIII в.:Моногр. / И.И.Орлов-М:НИЦ ИНФРА-М,2025-216с</t>
  </si>
  <si>
    <t>409850.08.01</t>
  </si>
  <si>
    <t>Задачи по теории функций и функц. анализу с реш.: Уч.пос. / Т.А.Леонтьева - М:НИЦ ИНФРА-М,2027 - 164 с.(ВО) (о)</t>
  </si>
  <si>
    <t>ЗАДАЧИ ПО ТЕОРИИ ФУНКЦИЙ И ФУНКЦИОНАЛЬНОМУ АНАЛИЗУ С РЕШЕНИЯМИ, ИЗД.1</t>
  </si>
  <si>
    <t>Леонтьева Т.А., Домрина А.В.</t>
  </si>
  <si>
    <t>978-5-16-021339-2</t>
  </si>
  <si>
    <t>01.03.01, 01.03.02, 01.03.03, 01.03.04, 01.04.01, 01.04.02, 01.04.03, 01.04.04, 01.05.01, 02.03.01, 02.03.02, 02.03.03, 02.04.01, 02.04.02, 02.04.03, 03.03.01, 03.03.02, 03.03.03, 03.04.01, 03.04.02, 03.04.03, 03.05.01, 04.03.02, 09.03.01, 09.03.02, 09.03.03, 09.03.04, 09.04.01, 09.04.02, 09.04.03, 11.03.01, 11.03.04, 11.04.01, 11.04.02, 11.04.03, 11.04.04, 11.05.01, 11.05.02, 11.05.04, 12.03.01, 12.03.02, 12.03.03, 12.03.04, 12.03.05, 12.04.01, 12.04.02, 12.04.03, 12.04.04, 12.04.05, 12.05.01, 13.03.01, 13.03.02, 13.03.03, 13.04.01, 13.04.02, 13.04.03, 13.05.01, 13.05.02, 14.03.01, 14.03.02, 14.04.01, 14.04.02, 14.05.01, 14.05.02, 14.05.03, 14.05.04, 16.03.01, 16.03.02, 16.03.03, 16.04.01, 16.04.02</t>
  </si>
  <si>
    <t>Рекомендовано в качестве учебного пособия для студентов высших учебных заведений, обучающихся по направлению подготовки "Физико-математические науки», а также технических и педагогических вузов</t>
  </si>
  <si>
    <t>053330.13.01</t>
  </si>
  <si>
    <t>Задачи уголовной политики...: Моногр. / Ф.Лист - М.:НИЦ ИНФРА-М, 2026 - 104 с.(Б-ка криминолога)(О)</t>
  </si>
  <si>
    <t>ЗАДАЧИ УГОЛОВНОЙ ПОЛИТИКИ. ПРЕСТУПЛЕНИЕ КАК СОЦИАЛЬНО-ПАТОЛОГИЧЕСКОЕ ЯВЛЕНИЕ, ИЗД.1</t>
  </si>
  <si>
    <t>Лист Ф., Овчинский В. С.</t>
  </si>
  <si>
    <t>Библиотека криминолога</t>
  </si>
  <si>
    <t>978-5-16-016795-4</t>
  </si>
  <si>
    <t>472450.18.01</t>
  </si>
  <si>
    <t>Задачник по высшей математике: Уч.пос. / В.С.Шипачев - 10 изд. - М.:НИЦ ИНФРА-М,2027 - 304 с.(ВО)(П)</t>
  </si>
  <si>
    <t>ЗАДАЧНИК ПО ВЫСШЕЙ МАТЕМАТИКЕ, ИЗД.10</t>
  </si>
  <si>
    <t>Шипачев В. С.</t>
  </si>
  <si>
    <t>978-5-16-010071-5</t>
  </si>
  <si>
    <t>Допущено Министерством образования и науки Российской Федерации в качестве учебного пособия для студентов высших учебных заведений</t>
  </si>
  <si>
    <t>1015</t>
  </si>
  <si>
    <t>780417.02.01</t>
  </si>
  <si>
    <t>Заимствованные слова в рус. яз.: Сл. / В.Г.Маслов - М.:НИЦ ИНФРА-М,2026 - 198 с.(Б-ка сл. ИНФРА-М)(п)</t>
  </si>
  <si>
    <t>ЗАИМСТВОВАННЫЕ СЛОВА В РУССКОМ ЯЗЫКЕ, ИЗД.1</t>
  </si>
  <si>
    <t>Маслов В.Г., Маслов Д.Я.</t>
  </si>
  <si>
    <t>978-5-16-017863-9</t>
  </si>
  <si>
    <t>00.02.09, 00.02.34, 00.03.09, 00.05.09, 44.03.01, 44.03.05, 44.04.01, 45.03.01, 45.03.99, 45.04.01, 45.04.03, 45.05.01</t>
  </si>
  <si>
    <t>Ивановский государственный университет, Шуйский ф-л</t>
  </si>
  <si>
    <t>682295.03.01</t>
  </si>
  <si>
    <t>Заключение  энергосервисных контрактов  в сфере закупок...:Моногр. / Е.Ю.Матвеева-М.:НИЦ ИНФРА-М,2023-158с(О)</t>
  </si>
  <si>
    <t>ЗАКЛЮЧЕНИЕ  ЭНЕРГОСЕРВИСНЫХ КОНТРАКТОВ  В СФЕРЕ ЗАКУПОК ДЛЯ ОБЕСПЕЧЕНИЯ ГОСУДАРСТВЕННЫХ И МУНИЦИПАЛЬНЫХ НУЖД, ИЗД.1</t>
  </si>
  <si>
    <t>Матвеева Е.Ю.</t>
  </si>
  <si>
    <t>978-5-16-014266-1</t>
  </si>
  <si>
    <t>640171.06.01</t>
  </si>
  <si>
    <t>Закон - ресурс промышленности: Моногр. / Отв. ред. Ю.А.Тихомиров - М.:НИЦ ИНФРА-М,2024 - 96 с.(ИЗиСП)(О)</t>
  </si>
  <si>
    <t>ЗАКОН - РЕСУРС ПРОМЫШЛЕННОСТИ, ИЗД.1</t>
  </si>
  <si>
    <t>Тихомиров Ю.А.</t>
  </si>
  <si>
    <t>978-5-16-012271-7</t>
  </si>
  <si>
    <t>38.03.01, 38.04.01, 40.03.01, 44.03.05</t>
  </si>
  <si>
    <t>642079.08.01</t>
  </si>
  <si>
    <t>Закон, поступок, ответственность: Моногр. / В.Н.Кудрявцев - М.:Юр.Норма, НИЦ ИНФРА-М,2027. - 452 с.(П)</t>
  </si>
  <si>
    <t>ЗАКОН, ПОСТУПОК, ОТВЕТСТВЕННОСТЬ, ИЗД.1</t>
  </si>
  <si>
    <t>978-5-91768-771-1</t>
  </si>
  <si>
    <t>098400.10.01</t>
  </si>
  <si>
    <t>Законодательная власть: Моногр. / В.Е.Чиркин - М.:Юр.Норма, НИЦ ИНФРА-М,2025 - 336 с.(П)</t>
  </si>
  <si>
    <t>ЗАКОНОДАТЕЛЬНАЯ ВЛАСТЬ, ИЗД.1</t>
  </si>
  <si>
    <t>978-5-91768-693-6</t>
  </si>
  <si>
    <t>693942.07.01</t>
  </si>
  <si>
    <t>Законодательная техника: Уч.пос. / Д.А.Керимов - М.:Юр.Норма, НИЦ ИНФРА-М,2025 - 127 с.(П)</t>
  </si>
  <si>
    <t>ЗАКОНОДАТЕЛЬНАЯ ТЕХНИКА, ИЗД.1</t>
  </si>
  <si>
    <t>Керимов Д.А.</t>
  </si>
  <si>
    <t>978-5-91768-968-5</t>
  </si>
  <si>
    <t>717901.05.01</t>
  </si>
  <si>
    <t>Законодательное регулир. землеустройства и кадастровых...: Моногр. / С.А.Липски - М.:НИЦ ИНФРА-М,2025 - 216 с.(О)</t>
  </si>
  <si>
    <t>ЗАКОНОДАТЕЛЬНОЕ РЕГУЛИРОВАНИЕ ЗЕМЛЕУСТРОЙСТВА И КАДАСТРОВЫХ ОТНОШЕНИЙ В ПОСТСОВЕТСКОЙ РОССИИ, ИЗД.1</t>
  </si>
  <si>
    <t>Липски С.А.</t>
  </si>
  <si>
    <t>978-5-16-015647-7</t>
  </si>
  <si>
    <t>21.03.02, 21.04.02, 40.03.01, 40.04.01</t>
  </si>
  <si>
    <t>Московский государственный университет геодезии и картографии</t>
  </si>
  <si>
    <t>814146.03.01</t>
  </si>
  <si>
    <t>Законодательство в обустройстве рос. жизни... / В.В.Лазарев - М.:Юр. НОРМА, НИЦ ИНФРА-М,2026. - 280 с.(п)</t>
  </si>
  <si>
    <t>ЗАКОНОДАТЕЛЬСТВО В ОБУСТРОЙСТВЕ РОССИЙСКОЙ ЖИЗНИ: ИСТОРИЯ И СОВРЕМЕННОСТЬ. К 250-ЛЕТИЮ СО ДНЯ РОЖДЕНИЯ М.М.СПЕРАНСКОГО, ИЗД.1</t>
  </si>
  <si>
    <t>Лазарев В.В., Хабриева Т.Я., Крашенинников П.В. и др.</t>
  </si>
  <si>
    <t>978-5-00156-334-1</t>
  </si>
  <si>
    <t>851427.01.01</t>
  </si>
  <si>
    <t>Законодательство о противодействии коррупции... / Ю.В.Трунцевский - М.:Юр. НОРМА, НИЦ ИНФРА-М,2025. - 184 с.(п)</t>
  </si>
  <si>
    <t>ЗАКОНОДАТЕЛЬСТВО О ПРОТИВОДЕЙСТВИИ КОРРУПЦИИ: ТЕНДЕНЦИИ И ПЕРСПЕКТИВЫ РАЗВИТИЯ, ИЗД.1</t>
  </si>
  <si>
    <t>Трунцевский Ю.В., Цирин А.М., Севальнев В.В.</t>
  </si>
  <si>
    <t>978-5-00156-421-8</t>
  </si>
  <si>
    <t>815652.04.01</t>
  </si>
  <si>
    <t>Законодательство о противодействии терроризму: Уч.пос. / В.Н.Исаенко - М.:НИЦ ИНФРА-М,2026 - 175 с.(ВО)(п)</t>
  </si>
  <si>
    <t>ЗАКОНОДАТЕЛЬСТВО О ПРОТИВОДЕЙСТВИИ ТЕРРОРИЗМУ, ИЗД.1</t>
  </si>
  <si>
    <t>Исаенко В.Н., Мишакова Н.В.</t>
  </si>
  <si>
    <t>978-5-16-019730-2</t>
  </si>
  <si>
    <t>10.05.05, 40.03.01, 40.04.01, 40.05.01, 40.05.02, 40.05.04</t>
  </si>
  <si>
    <t>Рекомендовано Редакционно-издательским советом Университета имени О.Е. Кутафина (МГЮА) для обучающихся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t>
  </si>
  <si>
    <t>777421.01.01</t>
  </si>
  <si>
    <t>Закономерности роста, метаболизма куриных эмбрионов..: Моногр. / М.И.Челнокова.-М.:НИЦ ИНФРА-М,2022.-184 с.(О)</t>
  </si>
  <si>
    <t>ЗАКОНОМЕРНОСТИ РОСТА, МЕТАБОЛИЗМА КУРИНЫХ ЭМБРИОНОВ ЯИЧНЫХ КРОССОВ И РАЗВИТИЕ ИХ ВИСЦЕРАЛЬНЫХ ОРГАНОВ ПРИ ВОЗДЕЙСТВИИ ПЕРЕМЕННЫХ ТЕМПЕРАТУР ИНКУБАЦИИ, ИЗД.1</t>
  </si>
  <si>
    <t>Челнокова М.И., Сулейманов Ф.И., Челноков А.А. и др.</t>
  </si>
  <si>
    <t>978-5-16-017732-8</t>
  </si>
  <si>
    <t>Великолукская государственная сельскохозяйственная академия</t>
  </si>
  <si>
    <t>714390.03.01</t>
  </si>
  <si>
    <t>Закономерности формир. спинального тормож...: Моногр. / А.А.Челноков-М.:НИЦ ИНФРА-М,2023.-192с(О)</t>
  </si>
  <si>
    <t>ЗАКОНОМЕРНОСТИ ФОРМИРОВАНИЯ СПИНАЛЬНОГО ТОРМОЖЕНИЯ У ЧЕЛОВЕКА, ИЗД.1</t>
  </si>
  <si>
    <t>Челноков А.А., Городничев Р.М.</t>
  </si>
  <si>
    <t>978-5-16-015521-0</t>
  </si>
  <si>
    <t>Великолукская государственная академия физической культуры и спорта</t>
  </si>
  <si>
    <t>642421.05.01</t>
  </si>
  <si>
    <t>Законы из-за границы: политико-прав. аспекты клас.: Моногр. / Б.В.Назмутдинов-М.:Юр.Норма, НИЦ ИНФРА-М,2023-272с.(П)</t>
  </si>
  <si>
    <t>ЗАКОНЫ ИЗ-ЗА ГРАНИЦЫ: ПОЛИТИКО-ПРАВОВЫЕ АСПЕКТЫ КЛАССИЧЕСКОГО ЕВРАЗИЙСТВА, ИЗД.1</t>
  </si>
  <si>
    <t>Назмутдинов Б.В.</t>
  </si>
  <si>
    <t>978-5-91768-776-6</t>
  </si>
  <si>
    <t>654524.06.01</t>
  </si>
  <si>
    <t>Замкнутые сис.охлаж.судовых энергетич.уст.: Моногр. / К.Ю.Федоровский - М.:Вуз.уч., НИЦ ИНФРА-М,2025 - 160 с.(о)</t>
  </si>
  <si>
    <t>ЗАМКНУТЫЕ СИСТЕМЫ ОХЛАЖДЕНИЯ СУДОВЫХ ЭНЕРГЕТИЧЕСКИХ УСТАНОВОК, ИЗД.1</t>
  </si>
  <si>
    <t>Федоровский К.Ю., Федоровская Н.К.</t>
  </si>
  <si>
    <t>978-5-9558-0558-0</t>
  </si>
  <si>
    <t>17.03.01, 26.02.04, 26.03.02</t>
  </si>
  <si>
    <t>817933.01.01</t>
  </si>
  <si>
    <t>Занимательная география Омской области: Уч.пос. / П.В.Большаник-Краснод.:Традиция,2024.-78 с.:ил.(о)</t>
  </si>
  <si>
    <t>ЗАНИМАТЕЛЬНАЯ ГЕОГРАФИЯ ОМСКОЙ ОБЛАСТИ, ИЗД.1</t>
  </si>
  <si>
    <t>978-5-91883-552-4</t>
  </si>
  <si>
    <t>44.03.01, 44.03.04, 44.04.01, 44.04.04</t>
  </si>
  <si>
    <t>Утверждено к печати Ученым советом Омского государственного педагогического университета</t>
  </si>
  <si>
    <t>829782.02.01</t>
  </si>
  <si>
    <t>Занимательная техника безопас. при химич. раб. в шк..: Уч.пос. / В.Н.Давыдов - М.:НИЦ ИНФРА-М,2026 -192с(п)</t>
  </si>
  <si>
    <t>ЗАНИМАТЕЛЬНАЯ ТЕХНИКА БЕЗОПАСНОСТИ ПРИ ХИМИЧЕСКИХ РАБОТАХ В ШКОЛЕ И ЖИЗНИ, ИЗД.1</t>
  </si>
  <si>
    <t>Давыдов В.Н.</t>
  </si>
  <si>
    <t>978-5-16-020001-9</t>
  </si>
  <si>
    <t>804886.03.01</t>
  </si>
  <si>
    <t>Занятие высшего положения в преступ. иерархии (статья 210.1 УК РФ) / А.М.Багмет. - М.:НИЦ ИНФРА-М,2026. - 205 с(о)</t>
  </si>
  <si>
    <t>ЗАНЯТИЕ ВЫСШЕГО ПОЛОЖЕНИЯ В ПРЕСТУПНОЙ ИЕРАРХИИ (СТАТЬЯ 210.1 УК РФ): КВАЛИФИКАЦИЯ И РАССЛЕДОВАНИЕ, ИЗД.1</t>
  </si>
  <si>
    <t>Багмет А.М., Бычков В.В., Харченко С.В. и др.</t>
  </si>
  <si>
    <t>978-5-16-018594-1</t>
  </si>
  <si>
    <t>40.05.02</t>
  </si>
  <si>
    <t>Следственный Комитет Российской Федерации</t>
  </si>
  <si>
    <t>333600.08.01</t>
  </si>
  <si>
    <t>Западная социология XX в.: Уч.пос. / В.В.Афанасьев - М.:НИЦ ИНФРА-М,2026. - 285 с.(ВО)(о)</t>
  </si>
  <si>
    <t>ЗАПАДНАЯ СОЦИОЛОГИЯ XX ВЕКА, ИЗД.1</t>
  </si>
  <si>
    <t>Афанасьев В.В.</t>
  </si>
  <si>
    <t>978-5-16-022032-1</t>
  </si>
  <si>
    <t>08.05.01, 39.03.01, 39.04.01, 41.03.06, 44.03.01, 44.03.05</t>
  </si>
  <si>
    <t>Рекомендовано в качестве учебного пособия для студентов высших учебных заведений, обучающихся по направлению подготовки 39.03.01 «Социология» (квалификация (степень) «бакалавр»)</t>
  </si>
  <si>
    <t>676188.03.01</t>
  </si>
  <si>
    <t>Запреты в праве и правовой политике: Моногр. / А.А.Малько-М.:ИЦ РИОР, НИЦ ИНФРА-М,2024.-377 с.(п)</t>
  </si>
  <si>
    <t>ЗАПРЕТЫ В ПРАВЕ И ПРАВОВОЙ ПОЛИТИКЕ: ОБЩЕТЕОРЕТИЧЕСКИЙ И ОТРАСЛЕВОЙ АСПЕКТЫ, ИЗД.1</t>
  </si>
  <si>
    <t>Малько А.В.</t>
  </si>
  <si>
    <t>Advances in Law Studies</t>
  </si>
  <si>
    <t>978-5-369-01751-7</t>
  </si>
  <si>
    <t>750134.03.01</t>
  </si>
  <si>
    <t>Зарождение и развитие межд. част. права (XII-XX вв.): Моногр. / А.И.Кривенький - М.:НИЦ ИНФРА-М,2027. - 178 с.(Науч.мысль)(О)</t>
  </si>
  <si>
    <t>ЗАРОЖДЕНИЕ И РАЗВИТИЕ МЕЖДУНАРОДНОГО ЧАСТНОГО ПРАВА (XII-XX ВВ.), ИЗД.1</t>
  </si>
  <si>
    <t>Кривенький А.И.</t>
  </si>
  <si>
    <t>978-5-16-017001-5</t>
  </si>
  <si>
    <t>40.03.01, 40.04.01, 40.05.01, 40.05.02, 40.05.04, 40.06.01</t>
  </si>
  <si>
    <t>127050.15.01</t>
  </si>
  <si>
    <t>Зарубежная практ. антикриз. упр.: Уч.пос. / Под ред. Ряховской А.Н.-2 изд.-М.:Магистр, ИНФРА-М,2025-336с(П)</t>
  </si>
  <si>
    <t>ЗАРУБЕЖНАЯ ПРАКТИКА АНТИКРИЗИСНОГО УПРАВЛЕНИЯ, ИЗД.2</t>
  </si>
  <si>
    <t>Арсенова Е.В., Крюкова О.Г., Ряховская А.Н.</t>
  </si>
  <si>
    <t>978-5-9776-0508-3</t>
  </si>
  <si>
    <t>08.02.01, 08.02.04, 15.02.07, 38.02.01, 38.02.03, 38.02.07, 38.03.01, 38.03.02, 38.03.03, 38.03.04, 38.03.06, 38.04.01, 38.04.02, 38.04.03, 38.04.04, 38.04.06, 40.02.04, 41.03.06, 44.03.01, 44.03.05</t>
  </si>
  <si>
    <t>Одобрено Федеральной регистрационной службой (Росрегистрацией) Министерства экономического развития Российской Федерации</t>
  </si>
  <si>
    <t>127050.10.01</t>
  </si>
  <si>
    <t>Зарубежная практ. антикриз. упр.: Уч.пос. / Под ред. Ряховской А.Н.-М.:Магистр, ИНФРА-М,2019-272с(о)</t>
  </si>
  <si>
    <t>ЗАРУБЕЖНАЯ ПРАКТИКА АНТИКРИЗИСНОГО УПРАВЛЕНИЯ, ИЗД.1</t>
  </si>
  <si>
    <t>978-5-9776-0132-0</t>
  </si>
  <si>
    <t>713175.06.01</t>
  </si>
  <si>
    <t>Зарубежное экологическое право..: Уч.пос. / Л.И.Брославский - М.:НИЦ ИНФРА-М,2025 - 300 с.(П)</t>
  </si>
  <si>
    <t>ЗАРУБЕЖНОЕ ЭКОЛОГИЧЕСКОЕ ПРАВО: ПРИРОДООХРАННОЕ ЗАКОНОДАТЕЛЬСТВО США, ИЗД.1</t>
  </si>
  <si>
    <t>Брославский Л.И.</t>
  </si>
  <si>
    <t>978-5-16-015781-8</t>
  </si>
  <si>
    <t>20.03.02, 40.03.01, 40.05.01, 40.05.02, 40.05.03, 40.05.04</t>
  </si>
  <si>
    <t>666449.08.01</t>
  </si>
  <si>
    <t>Зарубежные СМИ сегодня: крупнейшие корпорации...: Уч.пос. / Ю.В.Маркина - М.:НИЦ ИНФРА-М,2027 - 263 с.(ВО)(п)</t>
  </si>
  <si>
    <t>ЗАРУБЕЖНЫЕ СМИ СЕГОДНЯ: КРУПНЕЙШИЕ КОРПОРАЦИИ И МОНОПОЛИСТИЧЕСКИЕ ОБЪЕДИНЕНИЯ, ИЗД.1</t>
  </si>
  <si>
    <t>Маркина Ю.В., Хорольский В.В.</t>
  </si>
  <si>
    <t>978-5-16-019924-5</t>
  </si>
  <si>
    <t>41.03.04, 42.03.01, 42.03.02, 42.03.04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</si>
  <si>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42.03.02 «Журналистика», 41.03.04 «Политология», 42.03.01 «Реклама и связи с общественностью» (квалификация (степень) «бакалавр») (протокол №14 от 30.09.2019)</t>
  </si>
  <si>
    <t>715619.03.01</t>
  </si>
  <si>
    <t>Зарубежный опыт прав. регулир. адм. и судеб. процедур...: Моногр. / А.А.Соловьёв - М.: ИНФРА-М, 2025 - 216 с.(О)</t>
  </si>
  <si>
    <t>ЗАРУБЕЖНЫЙ ОПЫТ ПРАВОВОГО РЕГУЛИРОВАНИЯ АДМИНИСТРАТИВНЫХ И СУДЕБНЫХ ПРОЦЕДУР, СВЯЗАННЫХ С ПРИНУДИТЕЛЬНЫМ МЕДИЦИНСКИМ ВМЕШАТЕЛЬСТВОМ, ИЗД.1</t>
  </si>
  <si>
    <t>Соловьёв А.А.</t>
  </si>
  <si>
    <t>978-5-16-015523-4</t>
  </si>
  <si>
    <t>478650.08.01</t>
  </si>
  <si>
    <t>Захватные устройства промыш. роботов и манипулятор.: Уч.пос. / А.А.Москвичев. - М.:Форум, НИЦ ИНФРА-М,2026 - 176 с.(о)</t>
  </si>
  <si>
    <t>ЗАХВАТНЫЕ УСТРОЙСТВА ПРОМЫШЛЕННЫХ РОБОТОВ И МАНИПУЛЯТОРОВ, ИЗД.1</t>
  </si>
  <si>
    <t>Москвичев А.А., Кварталов А.Р., Устинов Б.В.</t>
  </si>
  <si>
    <t>978-5-91134-969-1</t>
  </si>
  <si>
    <t>15.03.04, 15.03.06</t>
  </si>
  <si>
    <t>670763.02.01</t>
  </si>
  <si>
    <t>Защита гос. суверенитета РФ в информ. простр.: Моногр. / А.А.Ефремов-М.:Юр.Норма,НИЦ ИНФРА-М,2020-128с(О)</t>
  </si>
  <si>
    <t>ЗАЩИТА ГОСУДАРСТВЕННОГО СУВЕРЕНИТЕТА РФ В ИНФОРМАЦИОННОМ ПРОСТРАНСТВЕ, ИЗД.1</t>
  </si>
  <si>
    <t>Ефремов А.А.</t>
  </si>
  <si>
    <t>978-5-91768-872-5</t>
  </si>
  <si>
    <t>653028.07.01</t>
  </si>
  <si>
    <t>Защита государственного суверенитета: Моногр. / В.В.Красинский - М.:Юр.Норма, НИЦ ИНФРА-М,2025-608с(П)</t>
  </si>
  <si>
    <t>ЗАЩИТА ГОСУДАРСТВЕННОГО СУВЕРЕНИТЕТА, ИЗД.1</t>
  </si>
  <si>
    <t>Красинский В.В.</t>
  </si>
  <si>
    <t>978-5-91768-821-3</t>
  </si>
  <si>
    <t>40.03.01, 44.03.05, 56.04.01</t>
  </si>
  <si>
    <t>Нижегородский государственный технический университет им. Р.Е. Алексеева, ф-л Дзержинский политехнический институт</t>
  </si>
  <si>
    <t>712570.05.01</t>
  </si>
  <si>
    <t>Защита древесины и деревянных конструкций: Уч.пос. / Е.И.Стенина - М.:НИЦ ИНФРА-М,2027. - 219 с.(СПО)(П)</t>
  </si>
  <si>
    <t>ЗАЩИТА ДРЕВЕСИНЫ И ДЕРЕВЯННЫХ КОНСТРУКЦИЙ, ИЗД.1</t>
  </si>
  <si>
    <t>Стенина Е.И.</t>
  </si>
  <si>
    <t>978-5-16-015565-4</t>
  </si>
  <si>
    <t>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</si>
  <si>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35.02.03 «Технология деревообработки» (протокол № 12 от 24.06.2019)</t>
  </si>
  <si>
    <t>871537.02.01</t>
  </si>
  <si>
    <t>Защита жилищных прав несовершеннолетних: Моногр. / А.В.Васильева - М.:НИЦ ИНФРА-М,2026 - 156 с.(п)</t>
  </si>
  <si>
    <t>ЗАЩИТА ЖИЛИЩНЫХ ПРАВ НЕСОВЕРШЕННОЛЕТНИХ: МЕЖДИСЦИПЛИНАРНЫЙ ПОДХОД, ИЗД.1</t>
  </si>
  <si>
    <t>Васильева А.В.</t>
  </si>
  <si>
    <t>978-5-16-021857-1</t>
  </si>
  <si>
    <t>38.03.04, 40.03.01, 40.04.01, 40.05.01, 40.05.02, 40.05.04, 40.06.01, 44.03.05, 40.03.02</t>
  </si>
  <si>
    <t>427900.14.01</t>
  </si>
  <si>
    <t>Защита и безопасность в чрезвыч. ситуац.: Уч.пос. / В.И.Жуков - М.:НИЦ ИНФРА-М, СФУ,2027  - 392 с.(ВО)(П)</t>
  </si>
  <si>
    <t>ЗАЩИТА И БЕЗОПАСНОСТЬ В ЧРЕЗВЫЧАЙНЫХ СИТУАЦИЯХ, ИЗД.1</t>
  </si>
  <si>
    <t>Жуков В. И., Горбунова Л. Н.</t>
  </si>
  <si>
    <t>978-5-16-018091-5</t>
  </si>
  <si>
    <t>08.05.02, 08.05.03, 15.03.02, 15.03.03, 15.03.04, 15.03.05, 23.03.01, 23.03.02, 23.03.03, 23.05.04, 23.05.05, 23.05.06, 25.03.04</t>
  </si>
  <si>
    <t>Допущено УМО вузов РФ по образованию в области железнодорожного транспорта и транспортного строительства в качестве учебного пособия для студентов вузов, обучающихся по специальности «Автомобильные дороги и аэродромы» направления подготовки «Транспортное строительство» и направлению подготовки бакалавров «Строительство» с профилем подготовки «Автомобильные дороги и аэродромы»</t>
  </si>
  <si>
    <t>838456.02.01</t>
  </si>
  <si>
    <t>Защита и безопасность в чрезвыч. ситуац.: Уч.пос. / В.И.Жуков - М.:НИЦ ИНФРА-М,2026 - 392 с.(СПО)(п)</t>
  </si>
  <si>
    <t>Среднее профессиональное образование (СФУ)</t>
  </si>
  <si>
    <t>978-5-16-020204-4</t>
  </si>
  <si>
    <t>08.02.12, 23.02.01, 23.02.03</t>
  </si>
  <si>
    <t>109100.16.01</t>
  </si>
  <si>
    <t>Защита информации в персонал. компьютере: Уч.пос. / Н.З.Емельянова - 2 изд. - М.: НИЦ ИНФРА-М,2026 - 368 с.(П)</t>
  </si>
  <si>
    <t>ЗАЩИТА ИНФОРМАЦИИ В ПЕРСОНАЛЬНОМ КОМПЬЮТЕРЕ, ИЗД.2</t>
  </si>
  <si>
    <t>Емельянова Н. З., Партыка Т. Л., Попов И. И.</t>
  </si>
  <si>
    <t>978-5-16-022226-4</t>
  </si>
  <si>
    <t>09.02.01, 09.02.02, 09.02.03, 09.02.04, 09.02.05, 09.02.06, 09.02.07, 10.02.01, 10.02.02, 10.02.03, 10.02.04, 10.02.05, 11.02.15, 43.02.06</t>
  </si>
  <si>
    <t>429250.10.01</t>
  </si>
  <si>
    <t>Защита информации: Уч.пос. / А.П.Жук- 3 изд.-М.:ИЦ РИОР, НИЦ ИНФРА-М,2024.-400 с.(ВО)(п)</t>
  </si>
  <si>
    <t>ЗАЩИТА ИНФОРМАЦИИ, ИЗД.3</t>
  </si>
  <si>
    <t>Жук А.П., Жук Е.П., Лепешкин О.М. и др.</t>
  </si>
  <si>
    <t>978-5-369-01759-3</t>
  </si>
  <si>
    <t>01.03.02, 01.04.02, 01.04.04, 02.03.02, 03.03.02, 04.03.02, 09.03.01, 10.03.01, 10.04.01, 27.03.02, 27.04.03, 46.03.02</t>
  </si>
  <si>
    <t>429250.05.01</t>
  </si>
  <si>
    <t>Защита информации: Уч.пос. / А.П.Жук и др. - 2 изд. - М.:ИЦ РИОР, НИЦ ИНФРА-М,2018 - 392 с.(ВО)(П)</t>
  </si>
  <si>
    <t>ЗАЩИТА ИНФОРМАЦИИ, ИЗД.2</t>
  </si>
  <si>
    <t>Жук А. П., Жук Е. П., Лепешкин О. М., Тимошкин А. И.</t>
  </si>
  <si>
    <t>Высшее образование: Бакалавриат и магистратура</t>
  </si>
  <si>
    <t>978-5-369-01378-6</t>
  </si>
  <si>
    <t>Рекомендовано УМО по образованию в области информационных технологий и систем связи в качестве учебного пособия для студентов высших учебных заведений, обучающихся по направлению подготовки 210700 — Инфокоммуникационные технологии и системы связи ква</t>
  </si>
  <si>
    <t>429250.11.01</t>
  </si>
  <si>
    <t>Защита информации: Уч.пос. / А.П.Жук и др., - 4 изд. - М.:ИЦ РИОР, НИЦ ИНФРА-М,2026. - 398 с.(ВО)(п)</t>
  </si>
  <si>
    <t>ЗАЩИТА ИНФОРМАЦИИ, ИЗД.4</t>
  </si>
  <si>
    <t>978-5-369-03014-1</t>
  </si>
  <si>
    <t>436500.10.01</t>
  </si>
  <si>
    <t>Защита окр.среды от пром.газ.выбросов: Уч.пос. / М.И.Клюшенкова-М.:НИЦ ИНФРА-М,2023.-142с(ВО)(о)</t>
  </si>
  <si>
    <t>ЗАЩИТА ОКРУЖАЮЩЕЙ СРЕДЫ ОТ ПРОМЫШЛЕННЫХ ГАЗОВЫХ ВЫБРОСОВ, ИЗД.1</t>
  </si>
  <si>
    <t>Клюшенкова М.И., Луканин А.В.</t>
  </si>
  <si>
    <t>978-5-16-011331-9</t>
  </si>
  <si>
    <t>20.03.01, 20.04.01, 20.06.01, 44.03.05</t>
  </si>
  <si>
    <t>Рекомендовано в качестве учебного пособия для студентов высших учебных заведений, обучающихся по направлению подготовки 20.03.01 «Техносферная безопасность» (квалификация (степень) «бакалавр»)</t>
  </si>
  <si>
    <t>757841.05.01</t>
  </si>
  <si>
    <t>Защита окружающей среды от промыш. газ. выбр.: Уч.пос. / М.И.Клюшенкова - М.:НИЦ ИНФРА-М,2027. - 142 с.(П)</t>
  </si>
  <si>
    <t>978-5-16-016927-9</t>
  </si>
  <si>
    <t>15.01.29, 19.01.02, 20.02.01, 20.02.02, 35.01.01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</si>
  <si>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20.02.00 «Техносферная безопасность и природообустройство» (протокол № 11 от 09.11.2020)</t>
  </si>
  <si>
    <t>824817.01.01</t>
  </si>
  <si>
    <t>Защита полит. сис. России угол.-прав. и криминологич. методами / А.А.Дегтерев-М.:НИЦ ИНФРА-М,2024.-375 с.(п)</t>
  </si>
  <si>
    <t>ЗАЩИТА ПОЛИТИЧЕСКОЙ СИСТЕМЫ РОССИИ УГОЛОВНО-ПРАВОВЫМИ И КРИМИНОЛОГИЧЕСКИМИ МЕТОДАМИ, ИЗД.1</t>
  </si>
  <si>
    <t>Дегтерев А.А.</t>
  </si>
  <si>
    <t>978-5-16-019852-1</t>
  </si>
  <si>
    <t>40.04.01, 40.05.01, 40.05.02, 40.05.04, 40.06.01, 41.04.04</t>
  </si>
  <si>
    <t>392800.11.01</t>
  </si>
  <si>
    <t>Защита почв от эрозии и дефляции, воспроизвод. их плод.: Уч. / А.И.Беленков - М.:НИЦ ИНФРА-М,2027-252с(П)</t>
  </si>
  <si>
    <t>ЗАЩИТА ПОЧВ ОТ ЭРОЗИИ И ДЕФЛЯЦИИ, ВОСПРОИЗВОДСТВО ИХ ПЛОДОРОДИЯ, ИЗД.1</t>
  </si>
  <si>
    <t>Беленков А.И., Плескачев Ю.Н., Николаев В.А. и др.</t>
  </si>
  <si>
    <t>978-5-16-011188-9</t>
  </si>
  <si>
    <t>19.02.11, 19.02.12, 20.02.01, 35.01.26, 35.01.27, 35.02.01, 35.02.05, 35.02.07, 35.02.16, 43.01.11</t>
  </si>
  <si>
    <t>Рекомендовано в качестве учебника для учебных заведений, реализующих программу среднего профессионального образования по специальности 35.02.05 «Агрономия»</t>
  </si>
  <si>
    <t>654631.07.01</t>
  </si>
  <si>
    <t>Защита прав автомобилистов: Науч.-прак.пос. / И.А.Шувалова - М.:НИЦ ИНФРА-М,2026. - 178 с.(Юрид. конс.)(П)</t>
  </si>
  <si>
    <t>ЗАЩИТА ПРАВ АВТОМОБИЛИСТОВ, ИЗД.1</t>
  </si>
  <si>
    <t>Шувалова И.А.</t>
  </si>
  <si>
    <t>Юридическая консультация</t>
  </si>
  <si>
    <t>978-5-16-013081-1</t>
  </si>
  <si>
    <t>Академия труда и социальных отношений</t>
  </si>
  <si>
    <t>384600.05.01</t>
  </si>
  <si>
    <t>Защита прав и интересов орг. и граждан: Моног. / Л.А.Воскобитова - Юр.Норма, НИЦ ИНФРА-М,2025 - 144 с.(о)</t>
  </si>
  <si>
    <t>ЗАЩИТА ПРАВ И ИНТЕРЕСОВ ОРГАНИЗАЦИЙ И ГРАЖДАН: УГОЛОВНО-ПРАВОВОЙ, УГОЛОВНО-ПРОЦЕССУАЛЬНЫЙ И КРИМИНОЛОГИЧЕСКИЙ АСПЕКТ (СОСТОЯНИЕ, ПРОБЛЕМЫ, ПУТИ СОВЕРШЕНСТВОВАНИЯ). ОБЩЕЕ СОСТОЯНИЕ И РЕГИОНАЛЬНАЯ СПЕЦИФИКА, ИЗД.1</t>
  </si>
  <si>
    <t>Л.А.Воскобитова</t>
  </si>
  <si>
    <t>978-5-91768-646-2</t>
  </si>
  <si>
    <t>664357.01.01</t>
  </si>
  <si>
    <t>Защита прав инвалидов: Уч.пос. / И.А.Шувалова - М.:НИЦ ИНФРА-М,2019 - 193 с.-(Юр. консультация)(П)</t>
  </si>
  <si>
    <t>ЗАЩИТА ПРАВ ИНВАЛИДОВ, ИЗД.1</t>
  </si>
  <si>
    <t>978-5-16-014688-1</t>
  </si>
  <si>
    <t>39.04.02, 39.06.01, 40.04.01, 40.06.01</t>
  </si>
  <si>
    <t>664357.07.01</t>
  </si>
  <si>
    <t>Защита прав инвалидов: Уч.пос. / И.А.Шувалова, - 2 изд. - М.:НИЦ ИНФРА-М,2026. - 193 с.(Юр. консультация)(П)</t>
  </si>
  <si>
    <t>ЗАЩИТА ПРАВ ИНВАЛИДОВ, ИЗД.2</t>
  </si>
  <si>
    <t>978-5-16-016262-1</t>
  </si>
  <si>
    <t>843031.01.01</t>
  </si>
  <si>
    <t>Защита прав налогоплательщиков при проведении налог. контроля / А.В.Соколов - М.:НИЦ ИНФРА-М,2026. - 133 с.(о)</t>
  </si>
  <si>
    <t>ЗАЩИТА ПРАВ НАЛОГОПЛАТЕЛЬЩИКОВ ПРИ ПРОВЕДЕНИИ НАЛОГОВОГО КОНТРОЛЯ, ИЗД.1</t>
  </si>
  <si>
    <t>Соколов А.В.</t>
  </si>
  <si>
    <t>978-5-16-021784-0</t>
  </si>
  <si>
    <t>38.04.01, 38.04.09, 38.05.01, 38.06.01, 40.04.01, 40.05.01, 40.05.02, 40.05.03, 40.05.04, 40.06.01</t>
  </si>
  <si>
    <t>ВЕРДИКТЪ МКА</t>
  </si>
  <si>
    <t>645380.03.01</t>
  </si>
  <si>
    <t>Защита прав потребителей: Пособие / И.А.Шувалова-М.:НИЦ ИНФРА-М,2021.-166 с..-(Юр. консультация)(О)</t>
  </si>
  <si>
    <t>ЗАЩИТА ПРАВ ПОТРЕБИТЕЛЕЙ, ИЗД.1</t>
  </si>
  <si>
    <t>978-5-16-014994-3</t>
  </si>
  <si>
    <t>645380.09.01</t>
  </si>
  <si>
    <t>Защита прав потребителей: Уч.пос. / И.А.Шувалова - 2 изд. - М.:НИЦ ИНФРА-М,2026 - 181 с.(П)</t>
  </si>
  <si>
    <t>ЗАЩИТА ПРАВ ПОТРЕБИТЕЛЕЙ, ИЗД.2</t>
  </si>
  <si>
    <t>978-5-16-016995-8</t>
  </si>
  <si>
    <t>682534.05.01</t>
  </si>
  <si>
    <t>Защита прав родителей: Науч.-прак. пос. / И.А.Шувалова - М.:НИЦ ИНФРА-М,2026. - 219 с.(П)</t>
  </si>
  <si>
    <t>ЗАЩИТА ПРАВ РОДИТЕЛЕЙ, ИЗД.1</t>
  </si>
  <si>
    <t>978-5-16-016744-2</t>
  </si>
  <si>
    <t>40.02.02, 40.02.04, 40.03.01, 44.03.05</t>
  </si>
  <si>
    <t>646245.04.01</t>
  </si>
  <si>
    <t>Защита прав человека в политике гос.: срав..: Уч.пос. / В.М.Капицын -М.:НИЦ ИНФРА-М,2024-398с(ВО)(п)</t>
  </si>
  <si>
    <t>ЗАЩИТА ПРАВ ЧЕЛОВЕКА В ПОЛИТИКЕ ГОСУДАРСТВ: СРАВНИТЕЛЬНЫЙ АНАЛИЗ, ИЗД.1</t>
  </si>
  <si>
    <t>Капицын В.М.</t>
  </si>
  <si>
    <t>978-5-16-019461-5</t>
  </si>
  <si>
    <t>41.03.04, 41.03.06, 44.03.05</t>
  </si>
  <si>
    <t>Рекомендовано в качестве учебного пособия для студентов высших учебных заведений, обучающихся по направлениям подготовки 40.03.01 «Юриспруденция», 41.03.04 «Политология», 41.03.05 «Международные отношения» (квалификация (степень) «бакалавр»)</t>
  </si>
  <si>
    <t>186450.09.01</t>
  </si>
  <si>
    <t>Защита проф. деят. инженеров: Уч. пос. / С.А.Дружилов - М.: Вуз.уч.: Инфра-М, 2024 - 176 с. (п)</t>
  </si>
  <si>
    <t>ЗАЩИТА ПРОФЕССИОНАЛЬНОЙ ДЕЯТЕЛЬНОСТИ ИНЖЕНЕРОВ, ИЗД.1</t>
  </si>
  <si>
    <t>Дружилов С. А.</t>
  </si>
  <si>
    <t>978-5-9558-0251-0</t>
  </si>
  <si>
    <t>27.03.01, 27.03.03, 27.03.04, 27.04.01, 27.04.03, 27.04.04, 27.04.06, 27.04.07, 27.04.08, 27.05.01</t>
  </si>
  <si>
    <t>Научно-исследовательский институт комплексных проблем гигиены и профессиональных заболеваний</t>
  </si>
  <si>
    <t>430750.08.01</t>
  </si>
  <si>
    <t>Защита социал.прав граждан:теор.и практ.: Моногр./О.А.Снежко-М.:НИЦ ИНФРА-М,2020-274с(Науч.мысль)(о)</t>
  </si>
  <si>
    <t>ЗАЩИТА СОЦИАЛЬНЫХ ПРАВ ГРАЖДАН: ТЕОРИЯ И ПРАКТИКА, ИЗД.1</t>
  </si>
  <si>
    <t>Снежко О.А.</t>
  </si>
  <si>
    <t>978-5-16-006655-4</t>
  </si>
  <si>
    <t>728770.09.01</t>
  </si>
  <si>
    <t>Здоровый человек и его окружение: Уч. / С.Р.Волков - М.:НИЦ ИНФРА-М,2025 - 641 с.-(СПО)(П)</t>
  </si>
  <si>
    <t>ЗДОРОВЫЙ ЧЕЛОВЕК И ЕГО ОКРУЖЕНИЕ, ИЗД.1</t>
  </si>
  <si>
    <t>Волков С.Р., Волкова М.М.</t>
  </si>
  <si>
    <t>978-5-16-016062-7</t>
  </si>
  <si>
    <t>31.02.01, 31.02.02, 31.02.05, 31.02.06, 32.02.01, 34.02.01, 34.02.02</t>
  </si>
  <si>
    <t>Рекомендовано ГОУ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специальностям «Лечебное дело» и «Сестринское дело»</t>
  </si>
  <si>
    <t>Московский областной медицинский колледж № 1</t>
  </si>
  <si>
    <t>338100.08.01</t>
  </si>
  <si>
    <t>Здоровье ребенка в совр. информ. среде: Уч.мет.пос. / Т.Н.Ле-ван - М.:Форум, НИЦ ИНФРА-М,2027. - 224 с.(о)</t>
  </si>
  <si>
    <t>ЗДОРОВЬЕ РЕБЕНКА В СОВРЕМЕННОЙ ИНФОРМАЦИОННОЙ СРЕДЕ, ИЗД.1</t>
  </si>
  <si>
    <t>Ле-ван Т.Н.</t>
  </si>
  <si>
    <t>978-5-00091-040-5</t>
  </si>
  <si>
    <t>44.03.01, 44.03.02, 44.03.05, 44.04.01, 44.04.02, 44.05.01</t>
  </si>
  <si>
    <t>682861.09.01</t>
  </si>
  <si>
    <t>Здоровье ребенка в совр. информ. среде: Уч.мет.пос. /Т.Н.Ле-ван - М.:Форум,НИЦ ИНФРА-М,2027 - 224 с.(СПО)(П)</t>
  </si>
  <si>
    <t>978-5-16-021213-5</t>
  </si>
  <si>
    <t>00.01.04, 00.02.15, 44.02.01, 44.02.02, 44.02.03, 44.02.04, 44.02.05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</si>
  <si>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</si>
  <si>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785530.04.01</t>
  </si>
  <si>
    <t>Зеленая экономика в парадигме устойчивого развития / И.Н.Альхимович. - М.:НИЦ ИНФРА-М,2026. - 248 с.(о)</t>
  </si>
  <si>
    <t>ЗЕЛЕНАЯ ЭКОНОМИКА В ПАРАДИГМЕ УСТОЙЧИВОГО РАЗВИТИЯ, ИЗД.1</t>
  </si>
  <si>
    <t>Альхимович И.Н., Амирова Н.Р., Бурденко Е.В. и др.</t>
  </si>
  <si>
    <t>978-5-16-017936-0</t>
  </si>
  <si>
    <t>05.04.06, 05.06.01, 38.04.01, 38.04.02, 38.06.01, 41.03.02, 41.06.01</t>
  </si>
  <si>
    <t>320300.08.01</t>
  </si>
  <si>
    <t>Земельное и имуществ. право в странах общ.права: Моногр. / О.И.Крассов - М.:Норма:ИНФРА-М,2026 - 416 с.(п)</t>
  </si>
  <si>
    <t>ЗЕМЕЛЬНОЕ И ИМУЩЕСТВЕННОЕ ПРАВО В СТРАНАХ ОБЩЕГО ПРАВА, ИЗД.1</t>
  </si>
  <si>
    <t>Крассов О.И.</t>
  </si>
  <si>
    <t>978-5-91768-556-4</t>
  </si>
  <si>
    <t>682765.07.01</t>
  </si>
  <si>
    <t>Земельное право в странах Азии: Моногр. / О.И.Крассов - М.:Юр.Норма,НИЦ ИНФРА-М,2026 - 416 с.(П)</t>
  </si>
  <si>
    <t>ЗЕМЕЛЬНОЕ ПРАВО В СТРАНАХ АЗИИ, ИЗД.1</t>
  </si>
  <si>
    <t>978-5-00156-448-5</t>
  </si>
  <si>
    <t>633320.10.01</t>
  </si>
  <si>
    <t>Земельное право в странах Африки: Моногр. / О.И.Крассов - М.:Юр.Норма, НИЦ ИНФРА-М,2026 - 416 с.(П)</t>
  </si>
  <si>
    <t>ЗЕМЕЛЬНОЕ ПРАВО В СТРАНАХ АФРИКИ, ИЗД.1</t>
  </si>
  <si>
    <t>978-5-91768-743-8</t>
  </si>
  <si>
    <t>40.00.00, 40.06.01</t>
  </si>
  <si>
    <t>654633.09.01</t>
  </si>
  <si>
    <t>Земельное право в странах Ближнего Востока: Моногр. / О.И.Крассов - М.:Норма, НИЦ ИНФРА-М,2025 - 384 с.(П)</t>
  </si>
  <si>
    <t>ЗЕМЕЛЬНОЕ ПРАВО В СТРАНАХ БЛИЖНЕГО ВОСТОКА, ИЗД.1</t>
  </si>
  <si>
    <t>978-5-91768-825-1</t>
  </si>
  <si>
    <t>104500.11.01</t>
  </si>
  <si>
    <t>Земельное право: Уч. / Е.С.Болтанова - 3 изд. - М.:ИЦ РИОР, НИЦ ИНФРА-М,2021 - 387 с.(П)</t>
  </si>
  <si>
    <t>ЗЕМЕЛЬНОЕ ПРАВО, ИЗД.3</t>
  </si>
  <si>
    <t>Болтанова Е.С.</t>
  </si>
  <si>
    <t>978-5-369-01781-4</t>
  </si>
  <si>
    <t>06.03.02, 20.03.02, 40.03.01, 40.04.01, 40.05.01, 40.05.02, 40.05.03, 40.05.04</t>
  </si>
  <si>
    <t>104500.13.01</t>
  </si>
  <si>
    <t>Земельное право: Уч. / Е.С.Болтанова, - 4 изд.-М.:ИЦ РИОР, НИЦ ИНФРА-М,2023.-388 с.(П)</t>
  </si>
  <si>
    <t>ЗЕМЕЛЬНОЕ ПРАВО, ИЗД.4</t>
  </si>
  <si>
    <t>978-5-369-01908-5</t>
  </si>
  <si>
    <t>104500.16.01</t>
  </si>
  <si>
    <t>Земельное право: Уч. / Е.С.Болтанова, - 5 изд. - М.:ИЦ РИОР, НИЦ ИНФРА-М,2024. - 395 с.(ВО)(п)</t>
  </si>
  <si>
    <t>ЗЕМЕЛЬНОЕ ПРАВО, ИЗД.5</t>
  </si>
  <si>
    <t>978-5-369-01951-1</t>
  </si>
  <si>
    <t>0524</t>
  </si>
  <si>
    <t>104500.15.01</t>
  </si>
  <si>
    <t>Земельное право: Уч. / Е.С.Болтанова, - 6 изд. - М.:ИЦ РИОР, НИЦ ИНФРА-М,2025 - 396 с.(ВО)(п)</t>
  </si>
  <si>
    <t>ЗЕМЕЛЬНОЕ ПРАВО, ИЗД.6</t>
  </si>
  <si>
    <t>978-5-369-01986-3</t>
  </si>
  <si>
    <t>104500.18.01</t>
  </si>
  <si>
    <t>Земельное право: Уч. / Е.С.Болтанова, - 7 изд. - М.:ИЦ РИОР, НИЦ ИНФРА-М,2026. - 399 с.(ВО)(п)</t>
  </si>
  <si>
    <t>ЗЕМЕЛЬНОЕ ПРАВО, ИЗД.7</t>
  </si>
  <si>
    <t>978-5-369-03005-9</t>
  </si>
  <si>
    <t>0726</t>
  </si>
  <si>
    <t>104500.08.01</t>
  </si>
  <si>
    <t>Земельное право: Уч. / Е.С.Болтанова-М.:ИЦ РИОР, НИЦ ИНФРА-М,2015.-443 с.-(ВО:Бакалавриат)</t>
  </si>
  <si>
    <t>ЗЕМЕЛЬНОЕ ПРАВО, ИЗД.2</t>
  </si>
  <si>
    <t>Болтанова Е. С.</t>
  </si>
  <si>
    <t>978-5-369-01202-4</t>
  </si>
  <si>
    <t>Рекомендовано Московской государственной юридической Академии в качестве учебника для использования в учеб. процессе образ. учрежд., реализ. образоват. программы ВПО (доп. проф. обр.) по напр. Юриспруденция и спец. Юриспруденция и Правоохран. деят.</t>
  </si>
  <si>
    <t>029983.26.01</t>
  </si>
  <si>
    <t>Земельное право: Уч. / О.И.Крассов - 5 изд. - М.:Юр.Норма, НИЦ ИНФРА-М,2026 - 560 с.(П)</t>
  </si>
  <si>
    <t>Для юридических вузов и факультетов</t>
  </si>
  <si>
    <t>978-5-91768-631-8</t>
  </si>
  <si>
    <t>06.03.02, 40.03.01, 40.04.01, 40.05.01, 40.05.02, 40.05.03, 40.05.04</t>
  </si>
  <si>
    <t>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t>
  </si>
  <si>
    <t>823422.03.01</t>
  </si>
  <si>
    <t>Земельное право: Уч./ С.А.Боголюбов - М.:НИЦ ИНФРА-М,2026. - 448 с.(ИЗиСП)(п)</t>
  </si>
  <si>
    <t>ЗЕМЕЛЬНОЕ ПРАВО, ИЗД.1</t>
  </si>
  <si>
    <t>Боголюбов С.А., Галиновская Е.А., Кичигин Н.В. и др.</t>
  </si>
  <si>
    <t>978-5-16-019734-0</t>
  </si>
  <si>
    <t>06.03.02, 21.03.02, 21.03.03, 21.04.02, 35.03.03, 40.03.01, 40.05.01, 40.05.02, 40.05.04, 41.03.02</t>
  </si>
  <si>
    <t>358800.07.01</t>
  </si>
  <si>
    <t>Земельное правоотношение как соц.-прав. явление: Моногр. / Е.А.Галиновская - М.:НИЦ ИНФРА-М,2025. - 272 с.(П)</t>
  </si>
  <si>
    <t>ЗЕМЕЛЬНОЕ ПРАВООТНОШЕНИЕ КАК СОЦИАЛЬНО-ПРАВОВОЕ ЯВЛЕНИЕ, ИЗД.1</t>
  </si>
  <si>
    <t>Галиновская Е.А.</t>
  </si>
  <si>
    <t>978-5-16-010948-0</t>
  </si>
  <si>
    <t>06.03.02, 40.03.01</t>
  </si>
  <si>
    <t>768638.07.01</t>
  </si>
  <si>
    <t>Земельные правоотношения: Уч.пос. / С.А.Липски - М.:НИЦ ИНФРА-М,2026. - 194 с.(СПО)(П)</t>
  </si>
  <si>
    <t>ЗЕМЕЛЬНЫЕ ПРАВООТНОШЕНИЯ, ИЗД.1</t>
  </si>
  <si>
    <t>978-5-16-017337-5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</si>
  <si>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21.02.04 «Землеустройство» (протокол № 1 от 12.01.2022)</t>
  </si>
  <si>
    <t>682863.08.01</t>
  </si>
  <si>
    <t>Земледелие. Практикум: Уч.пос. / И.П.Васильев. - М.:НИЦ ИНФРА-М,2026. - 424 с.(СПО)(П)</t>
  </si>
  <si>
    <t>ЗЕМЛЕДЕЛИЕ. ПРАКТИКУМ, ИЗД.1</t>
  </si>
  <si>
    <t>Васильев И.П., Баздырев Г.И., Туликов А.М. и др.</t>
  </si>
  <si>
    <t>978-5-16-013915-9</t>
  </si>
  <si>
    <t>19.02.11, 19.02.12, 20.02.01, 21.02.19, 35.01.26, 35.01.27, 35.02.01, 35.02.05, 35.02.07, 35.02.12, 35.02.16, 43.01.11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</si>
  <si>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35.02.05 «Агрономия», 35.02.06 «Технология производства и переработки сельскохозяйственной продукции», 35.02.07 «Механизация сельского хозяйства»</t>
  </si>
  <si>
    <t>422500.09.01</t>
  </si>
  <si>
    <t>Земледелие: практикум: Уч.пос. / Г.И.Баздырев. - М.:НИЦ ИНФРА-М,2026. - 424 с.(ВО: Бакалавр.)(П)</t>
  </si>
  <si>
    <t>ЗЕМЛЕДЕЛИЕ: ПРАКТИКУМ, ИЗД.1</t>
  </si>
  <si>
    <t>Баздырев Г. И., Васильев И. П., Туликов А. М., Захаренко А. В., Сафонов А. Ф.</t>
  </si>
  <si>
    <t>978-5-16-006299-0</t>
  </si>
  <si>
    <t>06.03.02, 35.03.03, 35.03.04, 35.04.03</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</si>
  <si>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агрономическим специальностям</t>
  </si>
  <si>
    <t>422400.15.01</t>
  </si>
  <si>
    <t>Земледелие: Уч. / Под ред. Баздырева Г.И. - М.:НИЦ ИНФРА-М,2026 - 608 с.-(ВО)(П)</t>
  </si>
  <si>
    <t>ЗЕМЛЕДЕЛИЕ, ИЗД.1</t>
  </si>
  <si>
    <t>Баздырев Г.И., Захаренко А.В., Лошаков В.Г. и др.</t>
  </si>
  <si>
    <t>978-5-16-020262-4</t>
  </si>
  <si>
    <t>06.03.02, 35.03.03, 35.03.04, 35.03.05, 35.03.07, 35.04.03</t>
  </si>
  <si>
    <t>Рекомендовано Министерством сельского хозяйства Российской Федерации в качестве учебника для студентов высших учебных заведений, обучающихся по направлениям и специальностям агрономического образования</t>
  </si>
  <si>
    <t>682862.10.01</t>
  </si>
  <si>
    <t>Земледелие: Уч.пос. / А.И.Беленков и др. - М.:НИЦ ИНФРА-М,2026 - 237 с.(СПО)(П)</t>
  </si>
  <si>
    <t>978-5-16-013914-2</t>
  </si>
  <si>
    <t>392600.09.01</t>
  </si>
  <si>
    <t>Земледелие: Уч.пос. / А.И.Беленков и др. - М.:НИЦ ИНФРА-М,2027 - 237 с.-(ВО)(П)</t>
  </si>
  <si>
    <t>978-5-16-018773-0</t>
  </si>
  <si>
    <t>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направлению 35.03.04 «Агрономия»</t>
  </si>
  <si>
    <t>315000.10.01</t>
  </si>
  <si>
    <t>Землетрясения. Причины, последст. и обесп.безоп.: Уч.пос. /А.Д.Потапов - М.:НИЦ ИНФРА-М,2026 - 343 с.(ВО)</t>
  </si>
  <si>
    <t>ЗЕМЛЕТРЯСЕНИЯ. ПРИЧИНЫ, ПОСЛЕДСТВИЯ И ОБЕСПЕЧЕНИЕ БЕЗОПАСНОСТИ, ИЗД.1</t>
  </si>
  <si>
    <t>Потапов А.Д., Ревелис И.Л., Чернышев С.Н. и др.</t>
  </si>
  <si>
    <t>978-5-16-021112-1</t>
  </si>
  <si>
    <t>05.03.01, 08.03.01, 20.03.01, 21.05.02, 21.05.03</t>
  </si>
  <si>
    <t>Рекомендовано в качестве учебного пособия для студентов высших учебных заведений, обучающихся по направлениям подготовки 08.03.01 «Строительство», 20.03.01 «Техносферная безопасность» (квалификация (степень) «бакалавр»)</t>
  </si>
  <si>
    <t>849436.04.01</t>
  </si>
  <si>
    <t>Землеустроительное обеспеч.сохр. в обороте земель.../ С.А.Липски - М.:НИЦ ИНФРА-М,2026. - 222с.:цв.ил.(п)</t>
  </si>
  <si>
    <t>ЗЕМЛЕУСТРОИТЕЛЬНОЕ ОБЕСПЕЧЕНИЕ СОХРАНЕНИЯ В ОБОРОТЕ ЗЕМЕЛЬ СЕЛЬСКОХОЗЯЙСТВЕННОГО НАЗНАЧЕНИЯ И РЕОСВОЕНИЯ ЗАБРОШЕННЫХ УГОДИЙ, ИЗД.1</t>
  </si>
  <si>
    <t>Папаскири Т.В., Липски С.А., Ананичева Е.П. и др.</t>
  </si>
  <si>
    <t>978-5-16-020644-8</t>
  </si>
  <si>
    <t>21.03.02</t>
  </si>
  <si>
    <t>426850.06.01</t>
  </si>
  <si>
    <t>Землеустройство и упр. землепользованием: Уч.пос. / В .В.Слезко - М.:НИЦ ИНФРА-М,2018 - 203с.(ВО)(П)</t>
  </si>
  <si>
    <t>ЗЕМЛЕУСТРОЙСТВО И УПРАВЛЕНИЕ ЗЕМЛЕПОЛЬЗОВАНИЕМ, ИЗД.1</t>
  </si>
  <si>
    <t>978-5-16-006618-9</t>
  </si>
  <si>
    <t>21.03.02, 38.03.01, 38.03.02, 38.04.01, 38.04.02, 41.03.06</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</si>
  <si>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</si>
  <si>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682864.09.01</t>
  </si>
  <si>
    <t>Землеустройство и управ. землепользованием: Уч.пос. / В.В.Слезко - 2 изд. - М.:НИЦ ИНФРА-М,2026 - 221 с.(п)</t>
  </si>
  <si>
    <t>ЗЕМЛЕУСТРОЙСТВО И УПРАВЛЕНИЕ ЗЕМЛЕПОЛЬЗОВАНИЕМ, ИЗД.2</t>
  </si>
  <si>
    <t>978-5-16-019376-2</t>
  </si>
  <si>
    <t>426850.13.01</t>
  </si>
  <si>
    <t>Землеустройство и управ. землепользованием: Уч.пос. / В.В.Слезко - 2 изд. - М.:НИЦ ИНФРА-М,2027 - 221 с.(П)</t>
  </si>
  <si>
    <t>978-5-16-019259-8</t>
  </si>
  <si>
    <t>682864.05.01</t>
  </si>
  <si>
    <t>Землеустройство и управление землепользованием: Уч.пос. / В.В.Слезко.-М.:НИЦ ИНФРА-М,2022.-221с(СПО)(П)</t>
  </si>
  <si>
    <t>978-5-16-013916-6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</si>
  <si>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21.02.04 «Землеустройство», 21.02.05 «Земельно-имущественные отношения»,  21.02.06 «Информационные системы обеспечения градостроительной деятельности»</t>
  </si>
  <si>
    <t>319000.08.01</t>
  </si>
  <si>
    <t>Зернобобовые культуры: систем. подход к анализу..: Моногр. / Г.Г.Гатаулина - М.:НИЦ ИНФРА-М,2025 - 242 с.(о)</t>
  </si>
  <si>
    <t>ЗЕРНОБОБОВЫЕ КУЛЬТУРЫ: СИСТЕМНЫЙ ПОДХОД К АНАЛИЗУ РОСТА, РАЗВИТИЯ И ФОРМИРОВАНИЯ УРОЖАЯ, ИЗД.1</t>
  </si>
  <si>
    <t>Гатаулина Г.Г., Никитина С.С.</t>
  </si>
  <si>
    <t>978-5-16-019849-1</t>
  </si>
  <si>
    <t>319000.10.01</t>
  </si>
  <si>
    <t>Зернобобовые культуры: систем. подход к анализу..: Моногр. / Г.Г.Гатаулина - М.:НИЦ ИНФРА-М,2026 - 242 с.(П)</t>
  </si>
  <si>
    <t>757770.03.01</t>
  </si>
  <si>
    <t>Зло: опыт философского исслед.: Моногр. / П.А.Горохов - М.:НИЦ ИНФРА-М,2026 - 240 с.(Науч.мысль)(О)</t>
  </si>
  <si>
    <t>ЗЛО: ОПЫТ ФИЛОСОФСКОГО ИССЛЕДОВАНИЯ, ИЗД.1</t>
  </si>
  <si>
    <t>978-5-16-017198-2</t>
  </si>
  <si>
    <t>803178.02.01</t>
  </si>
  <si>
    <t>Злостный наруш. режима отбыван.наказан.в виде.../ А.Н.Гордополов - М.:НИЦ ИНФРА-М,2027. - 225 с.(п)</t>
  </si>
  <si>
    <t>ЗЛОСТНЫЙ НАРУШИТЕЛЬ РЕЖИМА ОТБЫВАНИЯ НАКАЗАНИЯ В ВИДЕ ЛИШЕНИЯ СВОБОДЫ И ЕГО ОТВЕТСТВЕННОСТЬ В УГОЛОВНО-ИСПОЛНИТЕЛЬНОМ ЗАКОНОДАТЕЛЬСТВЕ, ИЗД.1</t>
  </si>
  <si>
    <t>Гордополов А.Н., Головастова Ю.А.</t>
  </si>
  <si>
    <t>978-5-16-018536-1</t>
  </si>
  <si>
    <t>864526.01.01</t>
  </si>
  <si>
    <t>Злоупотребление доминир. положением с использ. цифр...: Моногр./ Л.А.Ханчукаева - М.:НИЦ ИНФРА-М,2027. - 246 с.(п)</t>
  </si>
  <si>
    <t>ЗЛОУПОТРЕБЛЕНИЕ ДОМИНИРУЮЩИМ ПОЛОЖЕНИЕМ С ИСПОЛЬЗОВАНИЕМ ЦИФРОВЫХ ПЛАТФОРМ: ПРАВОВЫЕ АСПЕКТЫ, ИЗД.1</t>
  </si>
  <si>
    <t>Ханчукаева Л.А.</t>
  </si>
  <si>
    <t>978-5-16-021516-7</t>
  </si>
  <si>
    <t>38.04.01, 40.03.01, 40.04.01, 40.05.01, 40.05.02, 40.05.04</t>
  </si>
  <si>
    <t>848617.01.01</t>
  </si>
  <si>
    <t>Злоупотребление правом со стороны потребителя: Моногр. / Е.Ю.Усольцев - М.:НИЦ ИНФРА-М,2025. - 141 с.(о)</t>
  </si>
  <si>
    <t>ЗЛОУПОТРЕБЛЕНИЕ ПРАВОМ СО СТОРОНЫ ПОТРЕБИТЕЛЯ, ИЗД.1</t>
  </si>
  <si>
    <t>Усольцев Е.Ю.</t>
  </si>
  <si>
    <t>978-5-16-020703-2</t>
  </si>
  <si>
    <t>00.03.40, 40.04.01, 40.05.02, 40.05.04, 40.06.01</t>
  </si>
  <si>
    <t>Управление Судебного Департамента в Новосибирской области (УСД)</t>
  </si>
  <si>
    <t>126670.10.01</t>
  </si>
  <si>
    <t>Злоупотребление правом: Уч.пос. / В.И.Крусс - М.:Юр.Норма, НИЦ ИНФРА-М, 2027 - 176 с.(О)</t>
  </si>
  <si>
    <t>ЗЛОУПОТРЕБЛЕНИЕ ПРАВОМ, ИЗД.1</t>
  </si>
  <si>
    <t>Крусс В.И.</t>
  </si>
  <si>
    <t>978-5-91768-643-1</t>
  </si>
  <si>
    <t>40.03.01, 40.04.01, 40.05.01, 40.05.02, 40.05.03, 40.05.04, 41.03.01, 41.03.06, 44.03.05</t>
  </si>
  <si>
    <t>Рекомендовано УМО по юридическому образованию в качестве учебного пособия для студентов вузов, обучающихся по направлению "Юриспруденция" и специальности Юриспруденция"</t>
  </si>
  <si>
    <t>Тверской государственный университет</t>
  </si>
  <si>
    <t>143500.09.01</t>
  </si>
  <si>
    <t>Знакомьтесь: М.Е. Салтыков-Щедрин / Авт.-сост. П.П.Барашев - М.:ИНФРА-М Изд.Дом,2027 - 378 с.(П)</t>
  </si>
  <si>
    <t>ЗНАКОМЬТЕСЬ: М.Е. САЛТЫКОВ-ЩЕДРИН, ИЗД.1</t>
  </si>
  <si>
    <t>Барашев П. П., Демина Е. П., Прончев Г. Б.</t>
  </si>
  <si>
    <t>978-5-16-004202-2</t>
  </si>
  <si>
    <t>44.03.01, 45.03.01, 45.04.01, 46.03.01</t>
  </si>
  <si>
    <t>777630.01.01</t>
  </si>
  <si>
    <t>Золотой век американской журналистики: Моногр. / Т.В.Алентьева-М.:НИЦ ИНФРА-М,2023.-358 с.(Науч.мысль)(О)</t>
  </si>
  <si>
    <t>ЗОЛОТОЙ ВЕК АМЕРИКАНСКОЙ ЖУРНАЛИСТИКИ, ИЗД.1</t>
  </si>
  <si>
    <t>Алентьева Т.В.</t>
  </si>
  <si>
    <t>978-5-16-017701-4</t>
  </si>
  <si>
    <t>39.04.01, 39.06.01, 41.04.02, 41.06.01, 41.07.01, 42.04.02, 42.06.01, 45.04.01, 45.06.01, 46.04.01, 46.06.01, 56.05.05</t>
  </si>
  <si>
    <t>Курский государственный университет</t>
  </si>
  <si>
    <t>704232.02.01</t>
  </si>
  <si>
    <t>Зона свободной торговли ЕАЭС-Вьетнам...: Моногр. / Под ред. Перской В.В. - М.:НИЦ ИНФРА-М,2020-209 с.(П)</t>
  </si>
  <si>
    <t>ЗОНА СВОБОДНОЙ ТОРГОВЛИ ЕАЭС-ВЬЕТНАМ: ПЕРВИЧНЫЙ АНАЛИЗ ЭФФЕКТОВ ТОРГОВОЙ ИНТЕГРАЦИИ, ИЗД.1</t>
  </si>
  <si>
    <t>Джагитян Э.П., Перская В.В., Ревенко Н.С. и др.</t>
  </si>
  <si>
    <t>978-5-16-016133-4</t>
  </si>
  <si>
    <t>38.03.01, 38.03.02, 38.03.06, 38.04.01, 38.04.02, 38.04.06, 38.05.01</t>
  </si>
  <si>
    <t>733605.06.01</t>
  </si>
  <si>
    <t>Зоны с особыми усл. использ. территорий...: Научно-практ. пос. / Е.А.Галиновская - М.:НИЦ ИНФРА-М,2026 - 304 с.(П)</t>
  </si>
  <si>
    <t>ЗОНЫ С ОСОБЫМИ УСЛОВИЯМИ ИСПОЛЬЗОВАНИЯ ТЕРРИТОРИЙ  (ПРОБЛЕМЫ УСТАНОВЛЕНИЯ И СОБЛЮДЕНИЯ ПРАВОВОГО РЕЖИМА), ИЗД.1</t>
  </si>
  <si>
    <t>Галиновская Е.А., Болтанова Е.С., Волков Г.А. и др.</t>
  </si>
  <si>
    <t>978-5-16-016078-8</t>
  </si>
  <si>
    <t>661453.04.01</t>
  </si>
  <si>
    <t>Зоогигиена: Уч. / А.И.Чикалев - 2 изд. - М.:КУРС, НИЦ ИНФРА-М,2024 - 248 с.(П)</t>
  </si>
  <si>
    <t>ЗООГИГИЕНА, ИЗД.2</t>
  </si>
  <si>
    <t>Чикалев А.И., Юлдашбаев Ю.А.</t>
  </si>
  <si>
    <t>978-5-906923-48-6</t>
  </si>
  <si>
    <t>416700.09.01</t>
  </si>
  <si>
    <t>Зоология с основами экологии: Уч. пос. / Л.Н.Ердаков - М.:НИЦ ИНФРА-М,2025. - 223 с.(ВО.Бакалавр.)(п)</t>
  </si>
  <si>
    <t>ЗООЛОГИЯ С ОСНОВАМИ ЭКОЛОГИИ, ИЗД.1</t>
  </si>
  <si>
    <t>Ердаков Л.Н.</t>
  </si>
  <si>
    <t>978-5-16-006246-4</t>
  </si>
  <si>
    <t>35.03.08, 36.03.02, 44.03.01, 44.03.04, 44.03.05</t>
  </si>
  <si>
    <t>682865.03.01</t>
  </si>
  <si>
    <t>Зоология с основами экологии: Уч.пос. / Л.Н.Ердаков - М.:НИЦ ИНФРА-М,2024 - 223 с.-(СПО)(П)</t>
  </si>
  <si>
    <t>978-5-16-013917-3</t>
  </si>
  <si>
    <t>44.02.01, 44.02.02, 44.02.03, 44.02.05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</si>
  <si>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44.02.06 «Профессиональное обучение (по отраслям)»</t>
  </si>
  <si>
    <t>633908.08.01</t>
  </si>
  <si>
    <t>Зоопсихология и сравнит.психология...: Уч.пос. / С.Н.Козловская - 2 изд. - М.:НИЦ ИНФРА-М,2026 - 154 с.(О)</t>
  </si>
  <si>
    <t>ЗООПСИХОЛОГИЯ И СРАВНИТЕЛЬНАЯ ПСИХОЛОГИЯ. ПРАКТИКУМ, ИЗД.2</t>
  </si>
  <si>
    <t>Козловская С.Н.</t>
  </si>
  <si>
    <t>978-5-16-020716-2</t>
  </si>
  <si>
    <t>Рекомендовано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t>
  </si>
  <si>
    <t>Российский государственный социальный университет</t>
  </si>
  <si>
    <t>801904.01.01</t>
  </si>
  <si>
    <t>Иван Куратов: жизнь и творчество...: Моногр. / П.Ф.Лимеров - М.:НИЦ ИНФРА-М,2025. - 302 с.(Науч.мысль)(п)</t>
  </si>
  <si>
    <t>ИВАН КУРАТОВ: ЖИЗНЬ И ТВОРЧЕСТВО ОСНОВОПОЛОЖНИКА ЛИТЕРАТУРЫ  КОМИ, ИЗД.1</t>
  </si>
  <si>
    <t>Лимеров П.Ф.</t>
  </si>
  <si>
    <t>978-5-16-020112-2</t>
  </si>
  <si>
    <t>45.03.01</t>
  </si>
  <si>
    <t>Коми научный центр Уральского отделения Российской академии наук</t>
  </si>
  <si>
    <t>АКАДЕМУС-2024, Победитель, III место
Всероссийский (с международным участием) конкурс учебно-методических, учебных и научных работ "Добросвет"-2025, Победитель, II место
АИСТ'ИЯ-2025, Победитель</t>
  </si>
  <si>
    <t>091000.02.01</t>
  </si>
  <si>
    <t>Иван Федоров и его эпоха: Энциклопедия / Е.Л. Немировский. - М.: Энциклопедия. 2010. - 912 с. (п) ISBN:978-5-94802-018-1</t>
  </si>
  <si>
    <t>ИВАН ФЕДОРОВ И ЕГО ЭПОХА, ИЗД.1</t>
  </si>
  <si>
    <t>Немировский Е. Л.</t>
  </si>
  <si>
    <t>Энциклопедия</t>
  </si>
  <si>
    <t>978-5-94802-018-1</t>
  </si>
  <si>
    <t>Универсальная справочная литература</t>
  </si>
  <si>
    <t>Российская Книжная Палата</t>
  </si>
  <si>
    <t>091050.17.01</t>
  </si>
  <si>
    <t>Игра - ключ к душе ребенка. В чьих руках..: Метод.пос. / Г.И.Репринцева - 2 изд. - М.:Форум,ИНФРА-М,2026 - 319 с.(О)</t>
  </si>
  <si>
    <t>ИГРА - КЛЮЧ К ДУШЕ РЕБЕНКА. В ЧЬИХ РУКАХ ОКАЖЕТСЯ ЭТО ВОЛШЕБНОЕ СРЕДСТВО?, ИЗД.2</t>
  </si>
  <si>
    <t>Репринцева Г.И.</t>
  </si>
  <si>
    <t>978-5-00091-608-7</t>
  </si>
  <si>
    <t>37.03.01, 37.04.01, 44.02.01, 44.03.01, 44.03.02, 44.04.02</t>
  </si>
  <si>
    <t>108950.13.01</t>
  </si>
  <si>
    <t>Игра: дидактическая, ролевая, деловая реш. учеб. и проф. пробл. / Л.И.Федорова - М.:НИЦ ИНФРА-М,2026 -174 с.(о)</t>
  </si>
  <si>
    <t>ИГРА: ДИДАКТИЧЕСКАЯ, РОЛЕВАЯ, ДЕЛОВАЯ, ИЗД.1</t>
  </si>
  <si>
    <t>Федорова Л.И.</t>
  </si>
  <si>
    <t>978-5-16-021194-7</t>
  </si>
  <si>
    <t>664712.07.01</t>
  </si>
  <si>
    <t>Играем вместе: воспит. самостоятельности: Уч.мет.пос. / Т.Ю.Бутусова - М.:НИЦ ИНФРА-М,2026. - 148 с.(П)</t>
  </si>
  <si>
    <t>ИГРАЕМ ВМЕСТЕ: ВОСПИТАНИЕ САМОСТОЯТЕЛЬНОСТИ, ИЗД.1</t>
  </si>
  <si>
    <t>Бутусова Т.Ю.</t>
  </si>
  <si>
    <t>978-5-16-014445-0</t>
  </si>
  <si>
    <t>44.02.01, 44.02.04, 44.03.01, 44.03.05, 54.02.06</t>
  </si>
  <si>
    <t>808535.02.01</t>
  </si>
  <si>
    <t>Игра-не-игра обучающая (опыт, анализ...): Моногр. / В.Н.Кругликов - М.:НИЦ ИНФРА-М,2027. - 203 с.(Науч.мысль)(п)</t>
  </si>
  <si>
    <t>ИГРА-НЕ-ИГРА ОБУЧАЮЩАЯ (ОПЫТ, АНАЛИЗ, РАЗМЫШЛЕНИЯ ПЕДАГОГА-ИГРОТЕХНИКА), ИЗД.1</t>
  </si>
  <si>
    <t>Кругликов В.Н.</t>
  </si>
  <si>
    <t>978-5-16-018936-9</t>
  </si>
  <si>
    <t>44.03.01</t>
  </si>
  <si>
    <t>713677.07.01</t>
  </si>
  <si>
    <t>Игровые коммуникатив. техн. в усл. инклюзив. обр.: Уч.пос. / С.В.Гайченко - М.:НИЦ ИНФРА-М,2027 - 83 с.(ВО) (о)</t>
  </si>
  <si>
    <t>ИГРОВЫЕ КОММУНИКАТИВНЫЕ ТЕХНОЛОГИИ В УСЛОВИЯХ ИНКЛЮЗИВНОГО ОБРАЗОВАНИЯ, ИЗД.1</t>
  </si>
  <si>
    <t>Гайченко С.В.</t>
  </si>
  <si>
    <t>978-5-16-019175-1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</si>
  <si>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(протокол № 12 от 24.06.2019)</t>
  </si>
  <si>
    <t>730657.07.01</t>
  </si>
  <si>
    <t>Игровые коммуникатив. технологии в услов. инклюзив. обр.: Уч.пос. / С.В.Гайченко - М.:НИЦ ИНФРА-М,2026 - 83 с.(О)</t>
  </si>
  <si>
    <t>978-5-16-015951-5</t>
  </si>
  <si>
    <t>44.02.01, 44.02.02, 44.02.03, 44.02.04, 44.02.05, 44.02.06, 49.02.01, 49.02.02, 51.02.01, 53.02.01, 54.02.06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</si>
  <si>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44.02.04 «Специальное дошкольное образование», 44.02.05 «Коррекционная педагогика в начальном образовании» (протокол № 8 от 22.06.2020)</t>
  </si>
  <si>
    <t>684717.03.01</t>
  </si>
  <si>
    <t>Игровые модели для экономических задач: Уч.пос. / В.П.Невежин - М.:НИЦ ИНФРА-М,2026 - 195 с.(ВО)(П)</t>
  </si>
  <si>
    <t>ИГРОВЫЕ МОДЕЛИ ДЛЯ ЭКОНОМИЧЕСКИХ ЗАДАЧ, ИЗД.1</t>
  </si>
  <si>
    <t>Невежин В.П., Богомолов А.И.</t>
  </si>
  <si>
    <t>978-5-16-015007-9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</si>
  <si>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5 от 11.03.2019)</t>
  </si>
  <si>
    <t>867169.01.01</t>
  </si>
  <si>
    <t>Игровые технологии: теория и практика: Уч.пос. / О.О.Андронникова - М.:НИЦ ИНФРА-М,2026. - 249 с.(ВО)(п)</t>
  </si>
  <si>
    <t>ИГРОВЫЕ ТЕХНОЛОГИИ: ТЕОРИЯ И ПРАКТИКА, ИЗД.1</t>
  </si>
  <si>
    <t>978-5-16-021558-7</t>
  </si>
  <si>
    <t>37.03.01, 37.04.01, 39.03.03, 39.04.02, 39.04.03, 43.04.01, 44.03.01, 44.03.02, 44.03.05, 44.04.02, 44.05.01, 51.03.03, 51.03.05, 51.04.03, 51.04.05</t>
  </si>
  <si>
    <t>305400.09.01</t>
  </si>
  <si>
    <t>Игропрактикум: опыт препод. основ права: Метод.пос. / В.Б.Исаков - М.:Юр.Норма, НИЦ ИНФРА-М, 2025 - 304 с.(п)</t>
  </si>
  <si>
    <t>ИГРОПРАКТИКУМ: ОПЫТ ПРЕПОДАВАНИЯ ОСНОВ ПРАВА, ИЗД.1</t>
  </si>
  <si>
    <t>Исаков В.Б., Исаков В.Б.</t>
  </si>
  <si>
    <t>978-5-91768-545-8</t>
  </si>
  <si>
    <t>682866.11.01</t>
  </si>
  <si>
    <t>Игры и занятия с детьми раннего возр...: Уч.мет.пос. / Стребелева Е.А. - 3 изд. - М.:ИНФРА-М,2026 - 160 с.(СПО)(п)</t>
  </si>
  <si>
    <t>ИГРЫ И ЗАНЯТИЯ С ДЕТЬМИ РАННЕГО ВОЗРАСТА С ПСИХОФИЗИЧЕСКИМИ НАРУШЕНИЯМИ, ИЗД.3</t>
  </si>
  <si>
    <t>Браткова М.В., Выродова И.А., Закрепина А.В. и др.</t>
  </si>
  <si>
    <t>978-5-16-013918-0</t>
  </si>
  <si>
    <t>298000.13.01</t>
  </si>
  <si>
    <t>Игры и занятия с детьми раннего возраста.. / Под ред Е.А.Стребелевой - 3 изд  - М:НИЦ ИНФРА-М,2026 -160c(П)</t>
  </si>
  <si>
    <t>978-5-16-011825-3</t>
  </si>
  <si>
    <t>44.02.01, 44.02.04, 44.02.05, 44.03.01, 44.03.02, 44.03.05, 44.04.01, 44.04.02, 44.05.01</t>
  </si>
  <si>
    <t>682867.15.01</t>
  </si>
  <si>
    <t>Игры и игр. задания для детей раннего..: Прак. пос. / Стребелева Е.А. - 4 изд. - М.:НИЦ ИНФРА-М,2027 - 148 с.(О)</t>
  </si>
  <si>
    <t>ИГРЫ И ИГРОВЫЕ ЗАДАНИЯ ДЛЯ ДЕТЕЙ РАННЕГО ВОЗРАСТА С ОГРАНИЧЕННЫМИ ВОЗМОЖНОСТЯМИ ЗДОРОВЬЯ, ИЗД.4</t>
  </si>
  <si>
    <t>Стребелева Е.А., Закрепина А.В., Кинаш Е.А. и др.</t>
  </si>
  <si>
    <t>978-5-16-015808-2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</si>
  <si>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44.02.03 «Педагогика дополнительного образования», 44.02.04 «Специальное дошкольное образование», 44.02.05 «Коррекционная педагогика в начальном образовании» (протокол № 12 от 24.06.2019)</t>
  </si>
  <si>
    <t>682867.04.01</t>
  </si>
  <si>
    <t>Игры и игровые задания для детей раннего возраста..:Практ.пос./Стребелева Е.А.-М.:НИЦ ИНФРА-М,2020-109с(О)</t>
  </si>
  <si>
    <t>ИГРЫ И ИГРОВЫЕ ЗАДАНИЯ ДЛЯ ДЕТЕЙ РАННЕГО ВОЗРАСТА С ОГРАНИЧЕННЫМИ ВОЗМОЖНОСТЯМИ ЗДОРОВЬЯ, ИЗД.1</t>
  </si>
  <si>
    <t>978-5-16-014086-5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</si>
  <si>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t>
  </si>
  <si>
    <t>305000.12.01</t>
  </si>
  <si>
    <t>Игры и игровые задания для детей.. / Под ред. Стребелевой Е.А. - 4 изд. - М.:НИЦ ИНФРА-М,2027. - 148 с.(О)</t>
  </si>
  <si>
    <t>978-5-16-015082-6</t>
  </si>
  <si>
    <t>44.03.01, 44.03.02, 44.03.03, 44.03.05, 44.04.01, 44.04.02, 44.04.03</t>
  </si>
  <si>
    <t>305000.04.01</t>
  </si>
  <si>
    <t>Игры и игровые задания для детей.. / Под ред. Стребелевой Е.А. - М.:НИЦ ИНФРА-М,2019.-109 с.(О)</t>
  </si>
  <si>
    <t>978-5-16-011835-2</t>
  </si>
  <si>
    <t>655237.05.01</t>
  </si>
  <si>
    <t>Идеалы политически орган.общ.и права: Моногр. / С.А.Дробышевский - М.:Юр.Норма,НИЦ ИНФРА-М,2026 - 192 с.(П)</t>
  </si>
  <si>
    <t>ИДЕАЛЫ ПОЛИТИЧЕСКИ ОРГАНИЗОВАННОГО ОБЩЕСТВА И ПРАВА, ИЗД.1</t>
  </si>
  <si>
    <t>978-5-91768-832-9</t>
  </si>
  <si>
    <t>40.03.01, 40.04.01, 41.03.04, 41.04.04</t>
  </si>
  <si>
    <t>096450.12.01</t>
  </si>
  <si>
    <t>Идентификация и обнаруж. фальсиф. продов..: Уч.пос. /М.А.Николаева - НИЦ ИНФРА-М, 2025 - 464 с.(ВО)(П)</t>
  </si>
  <si>
    <t>ИДЕНТИФИКАЦИЯ И ОБНАРУЖЕНИЕ ФАЛЬСИФИКАЦИИ ПРОДОВОЛЬСТВЕННЫХ ТОВАРОВ, ИЗД.1</t>
  </si>
  <si>
    <t>Николаева М.А., Положишникова М.А.</t>
  </si>
  <si>
    <t>978-5-16-015307-0</t>
  </si>
  <si>
    <t>19.03.04, 38.03.06, 38.03.07, 38.04.06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</si>
  <si>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38.03.06 «Торговое дело», 38.03.07 «Товароведение» (квалификация (степень) «бакалавр») (протокол № 15 от 14.10.2019)</t>
  </si>
  <si>
    <t>732566.02.01</t>
  </si>
  <si>
    <t>Идентификация и обнаружение фальсификации прод. товаров: Уч./ М.А.Николаева-М.:НИЦ ИНФРА-М,2023.-461 с.(СПО)(П)</t>
  </si>
  <si>
    <t>978-5-16-016019-1</t>
  </si>
  <si>
    <t>19.01.18, 19.01.19, 19.02.10, 19.02.13, 35.01.23, 38.02.08, 43.01.09, 43.02.15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</si>
  <si>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 (протокол № 15 от 14.10.2019)</t>
  </si>
  <si>
    <t>642097.05.01</t>
  </si>
  <si>
    <t>Идеология старообряд. предпр. XVIII — нач. XX вв.: Моногр. / Е.Н.Титова - М.:НИЦ ИНФРА-М,2020-238(П)</t>
  </si>
  <si>
    <t>ИДЕОЛОГИЯ СТАРООБРЯДЧЕСКОГО ПРЕДПРИНИМАТЕЛЬСТВА XVIII — НАЧАЛА XX ВВ., ИЗД.1</t>
  </si>
  <si>
    <t>Титова Е.Н.</t>
  </si>
  <si>
    <t>978-5-16-012348-6</t>
  </si>
  <si>
    <t>642097.07.01</t>
  </si>
  <si>
    <t>Идеология старообряд. предпр. XVIII — нач. XX вв.: Моногр. / Е.Н.Титова - М.:НИЦ ИНФРА-М,2024-238(О)</t>
  </si>
  <si>
    <t>978-5-16-017477-8</t>
  </si>
  <si>
    <t>238700.07.01</t>
  </si>
  <si>
    <t>Идея мышления: Моногр./ С.В. Борзых - М.: НИЦ ИНФРА-М, 2022 - 118 с. (Научная мысль)(О)</t>
  </si>
  <si>
    <t>ИДЕЯ МЫШЛЕНИЯ, ИЗД.1</t>
  </si>
  <si>
    <t>Борзых С. В.</t>
  </si>
  <si>
    <t>978-5-16-009203-4</t>
  </si>
  <si>
    <t>37.04.01, 47.04.01, 47.06.01</t>
  </si>
  <si>
    <t>821498.01.01</t>
  </si>
  <si>
    <t>Идея света в русской культуре: Моногр. / О.В.Солдатенкова - М.:НИЦ ИНФРА-М,2025. - 172 с.(Науч.мысль)(о)</t>
  </si>
  <si>
    <t>ИДЕЯ СВЕТА В РУССКОЙ КУЛЬТУРЕ, ИЗД.1</t>
  </si>
  <si>
    <t>Солдатенкова О.В.</t>
  </si>
  <si>
    <t>978-5-16-019723-4</t>
  </si>
  <si>
    <t>47.03.01, 47.04.01, 48.03.01, 51.03.01, 51.04.01</t>
  </si>
  <si>
    <t>Санкт-Петербургский государственный институт культуры</t>
  </si>
  <si>
    <t>АКАДЕМУС-2025, Лауреат
Всероссийский (с международным участием) конкурс учебно-методических, учебных и научных работ "Добросвет"-2025, Победитель, II место</t>
  </si>
  <si>
    <t>686687.07.01</t>
  </si>
  <si>
    <t>Идея соборности и ее худ. вопл. в романе М.А. Шолохова.../ Н.В.Стюфляева - М.:НИЦ ИНФРА-М,2026 - 172 с.(О)</t>
  </si>
  <si>
    <t>ИДЕЯ СОБОРНОСТИ И ЕЕ ХУДОЖЕСТВЕННОЕ ВОПЛОЩЕНИЕ В РОМАНЕ М.А. ШОЛОХОВА "ТИХИЙ ДОН", ИЗД.1</t>
  </si>
  <si>
    <t>Стюфляева Н.В.</t>
  </si>
  <si>
    <t>978-5-16-014271-5</t>
  </si>
  <si>
    <t>44.03.05, 45.03.01, 45.04.01</t>
  </si>
  <si>
    <t>137800.10.01</t>
  </si>
  <si>
    <t>Идиомы и фразовые гл. в дел. общен. (англ. яз.): Уч. пос. / З.В.Маньковская - М.:ИНФРА-М, 2026 - 184 с.(п)</t>
  </si>
  <si>
    <t>ИДИОМЫ И ФРАЗОВЫЕ ГЛАГОЛЫ В ДЕЛОВОМ ОБЩЕНИИ (АНГЛИЙСКИЙ ЯЗЫК), ИЗД.1</t>
  </si>
  <si>
    <t>978-5-16-004460-6</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</si>
  <si>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031000 и специальности 031001 "Филология"</t>
  </si>
  <si>
    <t>807293.01.01</t>
  </si>
  <si>
    <t>Иерархия и координация источников права..: Моногр. / Под ред. Васильева А.А. - М.:НИЦ ИНФРА-М,2025. - 475 с.(п)</t>
  </si>
  <si>
    <t>ИЕРАРХИЯ И КООРДИНАЦИЯ ИСТОЧНИКОВ ПРАВА: ТЕОРЕТИЧЕСКИЕ И СРАВНИТЕЛЬНЫЕ АСПЕКТЫ, ИЗД.1</t>
  </si>
  <si>
    <t>Васильев А.А., Стоилов Я., Фролова Е.А. и др.</t>
  </si>
  <si>
    <t>978-5-16-020019-4</t>
  </si>
  <si>
    <t>40.03.01, 40.04.01, 41.03.05</t>
  </si>
  <si>
    <t>Алтайский государственный университет</t>
  </si>
  <si>
    <t>747819.03.01</t>
  </si>
  <si>
    <t>Из истории американской журналистики.: Моногр. / Т.В.Алентьева - М.:НИЦ ИНФРА-М,2027. - 296 с.(Науч.мысль)(о)</t>
  </si>
  <si>
    <t>ИЗ ИСТОРИИ АМЕРИКАНСКОЙ ЖУРНАЛИСТИКИ. ФЕНОМЕН «NEW YORK TRIBUNE» И ОБЩЕСТВЕННОЕ МНЕНИЕ В США (1841-1861 ГГ.), ИЗД.1</t>
  </si>
  <si>
    <t>978-5-16-016674-2</t>
  </si>
  <si>
    <t>41.03.06, 42.03.02, 42.04.02, 42.06.01</t>
  </si>
  <si>
    <t>246500.08.01</t>
  </si>
  <si>
    <t>Из классических учений о политике и праве XX в..: Моногр. /С.А.Дробышевский -М.:Норма:ИНФРА-М, 2023 -112с(о)</t>
  </si>
  <si>
    <t>ИЗ КЛАССИЧЕСКИХ УЧЕНИЙ О ПОЛИТИКЕ И ПРАВЕ XX ВЕКА: АКТУАЛЬНЫЕ ИДЕИ Г. ЕЛЛИНЕКА И Д. ИСТОНА, ИЗД.1</t>
  </si>
  <si>
    <t>Дробышевский С. А.</t>
  </si>
  <si>
    <t>978-5-91768-436-9</t>
  </si>
  <si>
    <t>685751.06.01</t>
  </si>
  <si>
    <t>Избирательная сис. как фактор становления и развития...: Моногр. / Р.А.Алексеев - М.:ИНФРА-М,2024-211с.(П)</t>
  </si>
  <si>
    <t>ИЗБИРАТЕЛЬНАЯ СИСТЕМА КАК ФАКТОР СТАНОВЛЕНИЯ И РАЗВИТИЯ РОССИЙСКОЙ ДЕМОКРАТИИ (СРАВНИТЕЛЬНОЕ ПОЛИТИКО-ПРАВОВОЕ ИССЛЕДОВАНИЕ), ИЗД.1</t>
  </si>
  <si>
    <t>Алексеев Р.А.</t>
  </si>
  <si>
    <t>978-5-16-014240-1</t>
  </si>
  <si>
    <t>38.03.04, 40.03.01, 40.04.01, 40.05.02, 44.03.05</t>
  </si>
  <si>
    <t>704856.03.01</t>
  </si>
  <si>
    <t>Избирательное право, избирательный процесс и техн.: Уч. / Р.А.Алексеев - М.:НИЦ ИНФРА-М,2026. - 175 с.(п)</t>
  </si>
  <si>
    <t>ИЗБИРАТЕЛЬНОЕ ПРАВО, ИЗБИРАТЕЛЬНЫЙ ПРОЦЕСС И ТЕХНОЛОГИИ, ИЗД.1</t>
  </si>
  <si>
    <t>978-5-16-019750-0</t>
  </si>
  <si>
    <t>40.03.01, 40.04.01, 40.05.02, 40.05.04, 41.04.04</t>
  </si>
  <si>
    <t>671375.05.01</t>
  </si>
  <si>
    <t>Избирательные сис. зарубеж. стран: Уч. / Ю.Г.Федотова, - 3 изд. - М.:НИЦ ИНФРА-М,2026. - 263 с.(ВО (РЭУ))(п)</t>
  </si>
  <si>
    <t>ИЗБИРАТЕЛЬНЫЕ СИСТЕМЫ ЗАРУБЕЖНЫХ СТРАН, ИЗД.3</t>
  </si>
  <si>
    <t>978-5-16-018381-7</t>
  </si>
  <si>
    <t>38.03.04, 40.03.01, 40.05.01, 40.05.02, 40.05.03, 40.05.04</t>
  </si>
  <si>
    <t>Рекомендовано в качестве учебника для студентов высших учебных заведений, обучающихся по направлениям подготовки 40.03.01 «Юриспруденция», 38.03.04 «Государственное и муниципальное управление» (квалификация (степень) «бакалавр»)</t>
  </si>
  <si>
    <t>671375.06.01</t>
  </si>
  <si>
    <t>Избирательные системы зарубеж. стран: Уч. / Ю.Г.Федотова, - 4 изд. - М.:НИЦ ИНФРА-М,2027. - 271 с.(ВО)(п)</t>
  </si>
  <si>
    <t>ИЗБИРАТЕЛЬНЫЕ СИСТЕМЫ ЗАРУБЕЖНЫХ СТРАН, ИЗД.4</t>
  </si>
  <si>
    <t>978-5-16-022215-8</t>
  </si>
  <si>
    <t>Рекомендовано в качестве учебника для студентов высших учебных заведений, обучающихся по направлению подготовки «Юриспруденция»</t>
  </si>
  <si>
    <t>0427</t>
  </si>
  <si>
    <t>671375.03.01</t>
  </si>
  <si>
    <t>Избирательные системы зарубежных стран: Уч.пос./Ю.Г.Федотова, - 2 изд.-М.:НИЦ ИНФРА-М,2022-239с(ВО)</t>
  </si>
  <si>
    <t>ИЗБИРАТЕЛЬНЫЕ СИСТЕМЫ ЗАРУБЕЖНЫХ СТРАН, ИЗД.2</t>
  </si>
  <si>
    <t>978-5-16-013600-4</t>
  </si>
  <si>
    <t>Рекомендовано в качестве учебного пособия для студентов высших учебных заведений, обучающихся по направлениям подготовки 40.03.01 «Юриспруденция», 38.03.04 «Государственное и муниципальное управление» (квалификация (степень) «бакалавр»)</t>
  </si>
  <si>
    <t>445400.03.01</t>
  </si>
  <si>
    <t>Избранное / Н.А.Власенко - М.:Юр.Норма, НИЦ ИНФРА-М,2019. - 688 с.(П)</t>
  </si>
  <si>
    <t>ИЗБРАННОЕ, ИЗД.1</t>
  </si>
  <si>
    <t>Н.А.Власенко</t>
  </si>
  <si>
    <t>978-5-91768-664-6</t>
  </si>
  <si>
    <t>40.03.01, 40.04.01, 40.05.01, 40.05.02, 40.05.03, 44.03.05</t>
  </si>
  <si>
    <t>726667.01.01</t>
  </si>
  <si>
    <t>Избранное: монография / Е.Р.Россинская-М.:Юр.Норма,2019.-712 с.(П)</t>
  </si>
  <si>
    <t>Россинская Е.Р.</t>
  </si>
  <si>
    <t>978-5-00156-041-8</t>
  </si>
  <si>
    <t>870951.01.01</t>
  </si>
  <si>
    <t>Избранное: Сб. науч. трудов / С.А.Боголюбов - М.:НИЦ ИНФРА-М,2026. - 249 с.(Науч.мысль)(п)</t>
  </si>
  <si>
    <t>Боголюбов С.А.</t>
  </si>
  <si>
    <t>978-5-16-021731-4</t>
  </si>
  <si>
    <t>765374.04.01</t>
  </si>
  <si>
    <t>Избранное: Сб. научных трудов / Г.Ф.Ручкина-М.:НИЦ ИНФРА-М,2024.-491 с.(Науч.мысль)(П)</t>
  </si>
  <si>
    <t>Ручкина Г.Ф.</t>
  </si>
  <si>
    <t>978-5-16-017222-4</t>
  </si>
  <si>
    <t>645471.06.01</t>
  </si>
  <si>
    <t>Избранные труды: Моногр. / П.А.Лупинская - М.:Юр.Норма, НИЦ ИНФРА-М,2025 - 608 с.(П)</t>
  </si>
  <si>
    <t>ИЗБРАННЫЕ ТРУДЫ, ИЗД.1</t>
  </si>
  <si>
    <t>Лупинская П.А.</t>
  </si>
  <si>
    <t>978-5-91768-783-4</t>
  </si>
  <si>
    <t>252200.16.01</t>
  </si>
  <si>
    <t>Изготовление санитарно-технических, вентиляц. систем..: Уч. / К.С.Орлов - ИНФРА-М, 2026. - 270 с.(СПО)(п)</t>
  </si>
  <si>
    <t>ИЗГОТОВЛЕНИЕ САНИТАРНО-ТЕХНИЧЕСКИХ, ВЕНТИЛЯЦИОННЫХ СИСТЕМ И ТЕХНОЛОГИЧЕСКИХ ТРУБОПРОВОДОВ, ИЗД.1</t>
  </si>
  <si>
    <t>Орлов К. С.</t>
  </si>
  <si>
    <t>978-5-16-006006-4</t>
  </si>
  <si>
    <t>08.01.15, 08.01.27, 08.02.08, 08.02.13, 15.01.30, 15.02.10, 18.01.27, 19.01.01, 21.01.17, 23.02.06</t>
  </si>
  <si>
    <t>Рекомендовано в качестве учебника для учебных заведений, реализующих программу начального профессионального образования по профессии 08.01.15 «Слесарь по изготовлению деталей и узлов технических систем в строительстве»</t>
  </si>
  <si>
    <t>805905.01.01</t>
  </si>
  <si>
    <t>Изменение института власти в постсоветской России: Моногр. / И.В.Ситнова-М.:НИЦ ИНФРА-М,2023.-122 с.(о)</t>
  </si>
  <si>
    <t>ИЗМЕНЕНИЕ ИНСТИТУТА ВЛАСТИ В ПОСТСОВЕТСКОЙ РОССИИ: АКТИВИСТСКО-ДЕЯТЕЛЬНОСТНЫЙ ПОДХОД, ИЗД.1</t>
  </si>
  <si>
    <t>Ситнова И.В.</t>
  </si>
  <si>
    <t>978-5-16-018742-6</t>
  </si>
  <si>
    <t>41.04.04, 41.04.06, 41.06.01</t>
  </si>
  <si>
    <t>Мариупольский Государственный Университет имени А.И. Куинджи</t>
  </si>
  <si>
    <t>681852.07.01</t>
  </si>
  <si>
    <t>Изменение сост. и структуры компонентов ландшаф... / В.С.Груздев, - 2 изд. - М.:НИЦ ИНФРА-М,2026. - 180 с.(о)</t>
  </si>
  <si>
    <t>ИЗМЕНЕНИЕ СОСТАВА И СТРУКТУРЫ КОМПОНЕНТОВ ЛАНДШАФТОВ ЛЕСНОЙ ЗОНЫ В УСЛОВИЯХ ТЕХНОГЕНЕЗА, ИЗД.2</t>
  </si>
  <si>
    <t>Груздев В.С., Суслов С.В.</t>
  </si>
  <si>
    <t>978-5-16-017382-5</t>
  </si>
  <si>
    <t>05.03.03, 05.03.04, 05.03.06, 05.04.03, 05.04.04, 05.04.06, 35.03.03, 35.03.05, 35.04.03</t>
  </si>
  <si>
    <t>681852.04.01</t>
  </si>
  <si>
    <t>Изменение сост.и структуры компонентов ландшаф...: Моногр. / В.С.Груздев - М.:НИЦ ИНФРА-М,2022-177с(О)</t>
  </si>
  <si>
    <t>ИЗМЕНЕНИЕ СОСТАВА И СТРУКТУРЫ КОМПОНЕНТОВ ЛАНДШАФТОВ ЛЕСНОЙ ЗОНЫ В УСЛОВИЯХ ТЕХНОГЕНЕЗА, ИЗД.1</t>
  </si>
  <si>
    <t>Груздев В.С., Груздева Л.П., Суслов С.В.</t>
  </si>
  <si>
    <t>978-5-16-014022-3</t>
  </si>
  <si>
    <t>689643.05.01</t>
  </si>
  <si>
    <t>Изменения кожи у терапевтич. пациента: Уч.пос. / Е.В.Хазова - М.:НИЦ ИНФРА-М,2027. - 296 с.[цв].-(ВО)(п)</t>
  </si>
  <si>
    <t>ИЗМЕНЕНИЯ КОЖИ У ТЕРАПЕВТИЧЕСКОГО ПАЦИЕНТА, ИЗД.1</t>
  </si>
  <si>
    <t>Хазова Е.В., Ослопов В.Н., Ослопова Ю.В. и др.</t>
  </si>
  <si>
    <t>978-5-16-014756-7</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</si>
  <si>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 (регистрационный номер рецензии: 891 ЭКУ от 17 октября 2019 г.)</t>
  </si>
  <si>
    <t>804937.01.01</t>
  </si>
  <si>
    <t>Измерительные преобразователи и приборы: теория... / А.П.Васютенко. - М.:НИЦ ИНФРА-М,2025. - 333 с.(ВО)(п)</t>
  </si>
  <si>
    <t>ИЗМЕРИТЕЛЬНЫЕ ПРЕОБРАЗОВАТЕЛИ И ПРИБОРЫ: ТЕОРИЯ, ИССЛЕДОВАНИЕ, РАСЧЕТ, ИЗД.1</t>
  </si>
  <si>
    <t>Васютенко А.П., Заморёнова Д.В., Балакина Н.А. и др.</t>
  </si>
  <si>
    <t>978-5-16-018738-9</t>
  </si>
  <si>
    <t>12.03.01, 12.03.02, 12.03.03, 12.03.04, 12.03.05, 15.03.01, 15.03.02, 15.03.03, 15.03.04, 15.03.05, 15.03.06</t>
  </si>
  <si>
    <t>851586.02.01</t>
  </si>
  <si>
    <t>Изучение преступ. деят. с использ. искусств. интеллекта / А.А.Бессонов - М.:НИЦ ИНФРА-М,2026 - 432 с.:цв.ил.(п)</t>
  </si>
  <si>
    <t>ИЗУЧЕНИЕ ПРЕСТУПНОЙ ДЕЯТЕЛЬНОСТИ С ИСПОЛЬЗОВАНИЕМ ИСКУССТВЕННОГО ИНТЕЛЛЕКТА, ИЗД.1</t>
  </si>
  <si>
    <t>Бессонов А.А.</t>
  </si>
  <si>
    <t>978-5-16-020805-3</t>
  </si>
  <si>
    <t>40.04.01, 40.05.02, 40.05.03, 40.06.01</t>
  </si>
  <si>
    <t>Московская академия Следственного комитета Российской Федерации имени А.Я. Сухарева</t>
  </si>
  <si>
    <t>451500.04.01</t>
  </si>
  <si>
    <t>Изыскания и проект.автомоб.дорог.: В 2ч.Ч.1 /П.В.Шведовский -М.:НИЦ ИНФРА-М,Нов.зн.,2024-445с.(ВО)(п)</t>
  </si>
  <si>
    <t>ИЗЫСКАНИЯ И ПРОЕКТИРОВАНИЕ АВТОМОБИЛЬНЫХ ДОРОГ, Т.1</t>
  </si>
  <si>
    <t>Шведовский П.В., Лукша В.В., Чумичева Н.В.</t>
  </si>
  <si>
    <t>978-5-16-011448-4</t>
  </si>
  <si>
    <t>08.05.03</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</si>
  <si>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«Автомобильные дороги»</t>
  </si>
  <si>
    <t>653075.06.01</t>
  </si>
  <si>
    <t>Изыскания и проектир. автомобильных дорог: Уч.пос.: В 2 ч.Ч. 2 / П.В.Шведовский - М.:НИЦ ИНФРА-М.,2023-340с.(П)</t>
  </si>
  <si>
    <t>ИЗЫСКАНИЯ И ПРОЕКТИРОВАНИЕ АВТОМОБИЛЬНЫХ ДОРОГ, ИЗД.1</t>
  </si>
  <si>
    <t>978-5-16-012613-5</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</si>
  <si>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«Автомобильные дороги»</t>
  </si>
  <si>
    <t>750426.01.01</t>
  </si>
  <si>
    <t>Имена массовой культуры Великобритании и США: Лингвокультур. сл./ С.И.Гарагуля-М.:НИЦ ИНФРА-М,2024-381с(п)</t>
  </si>
  <si>
    <t>ИМЕНА МАССОВОЙ КУЛЬТУРЫ ВЕЛИКОБРИТАНИИ И США: ЛИНГВОКУЛЬТУРОЛОГИЧЕСКИЙ СЛОВАРЬ., ИЗД.1</t>
  </si>
  <si>
    <t>978-5-16-016960-6</t>
  </si>
  <si>
    <t>706521.04.01</t>
  </si>
  <si>
    <t>Именные симптомы и синдромы в акуш. и гинекологии: Уч.пос. / Стрижаков А.Н. - М.:НИЦ ИНФРА-М,2024.-267с(П)</t>
  </si>
  <si>
    <t>ИМЕННЫЕ СИМПТОМЫ И СИНДРОМЫ В АКУШЕРСТВЕ И ГИНЕКОЛОГИИ, ИЗД.1</t>
  </si>
  <si>
    <t>Стрижаков А.Н., Тезиков Ю.В., Липатов И.С. и др.</t>
  </si>
  <si>
    <t>978-5-16-015472-5</t>
  </si>
  <si>
    <t>Рекомендовано Координационным советом по области образования «Здравоохранение и медицинские науки» федерального государственного автономного образовательного учреждения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(Сеченовский Университет)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</si>
  <si>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688493.05.01</t>
  </si>
  <si>
    <t>Имитационное моделир. в экономике и упр.: Уч. / Под ред. Емельянова А.А.-М.:НИЦ ИНФРА-М,2024.-592 с.(ВО)(П)</t>
  </si>
  <si>
    <t>ИМИТАЦИОННОЕ МОДЕЛИРОВАНИЕ В ЭКОНОМИКЕ И УПРАВЛЕНИИ, ИЗД.1</t>
  </si>
  <si>
    <t>Булыгина О.В., Емельянов А.А., Емельянова Н.З. и др.</t>
  </si>
  <si>
    <t>978-5-16-014523-5</t>
  </si>
  <si>
    <t>02.03.01, 02.03.02, 02.03.03, 09.03.01, 09.03.02, 09.03.03, 09.03.04</t>
  </si>
  <si>
    <t>Рекомендовано Учебно-методическим советом по направлению подготовки «Прикладная информатика» Федерального учебно-методического объединения в области информатики и вычислительной техники для студентов направления «Прикладная информатика» с профилем «Экономика и управление»</t>
  </si>
  <si>
    <t>772004.03.01</t>
  </si>
  <si>
    <t>Имитационное моделир. социотехнических сис...: Уч.пос. / К.В.Пителинский - М.:НИЦ ИНФРА-М,2026. - 175 с.(ВО)(п)</t>
  </si>
  <si>
    <t>ИМИТАЦИОННОЕ МОДЕЛИРОВАНИЕ СОЦИОТЕХНИЧЕСКИХ СИСТЕМ: ОСНОВЫ ТЕОРИИ МАССОВОГО ОБСЛУЖИВАНИЯ, ИЗД.1</t>
  </si>
  <si>
    <t>Пителинский К.В., Бородин А.В.</t>
  </si>
  <si>
    <t>978-5-16-017475-4</t>
  </si>
  <si>
    <t>157350.09.01</t>
  </si>
  <si>
    <t>Имитационное моделир. экономич. процессов: Уч.пос. / Н.Н.Лычкина-М.:НИЦ ИНФРА-М,2024.-254 с.(ВО)(п)</t>
  </si>
  <si>
    <t>ИМИТАЦИОННОЕ МОДЕЛИРОВАНИЕ ЭКОНОМИЧЕСКИХ ПРОЦЕССОВ, ИЗД.1</t>
  </si>
  <si>
    <t>Лычкина Н. Н.</t>
  </si>
  <si>
    <t>978-5-16-018933-8</t>
  </si>
  <si>
    <t>09.03.03, 09.04.03, 38.03.01, 38.03.02, 38.03.04, 38.04.01, 38.04.02, 38.04.04, 38.04.08, 38.05.01</t>
  </si>
  <si>
    <t>Рекомендуется Государственным образовательным учреждением высшего профессионального образования Национальным исследовательским университетом «Высшая школа экономики» в качестве учебного пособия для студентов высших учебных заведений, обучающихся по направлению подготовки «Прикладная информатика» (регистрационный номер рецензии 1340 от 01.04.2011 МГУП)</t>
  </si>
  <si>
    <t>666391.07.01</t>
  </si>
  <si>
    <t>Имитационные исслед.в среде моделир.GPSS STUDIO: Уч.пос. / В.В.Девятков - М.:Вуз.уч., НИЦ ИНФРА-М,2024 - 283с.(П)</t>
  </si>
  <si>
    <t>ИМИТАЦИОННЫЕ ИССЛЕДОВАНИЯ В СРЕДЕ МОДЕЛИРОВАНИЯ GPSS STUDIO, ИЗД.1</t>
  </si>
  <si>
    <t>Девятков В.В., Девятков Т.В., Федотов М.В. и др.</t>
  </si>
  <si>
    <t>978-5-9558-0595-5</t>
  </si>
  <si>
    <t>01.03.04, 02.03.03, 09.04.02, 09.04.03, 09.04.04, 11.04.02, 27.03.04, 27.04.03</t>
  </si>
  <si>
    <t>ЭЛИНА - КОМПЬЮТЕР ООО</t>
  </si>
  <si>
    <t>684822.02.01</t>
  </si>
  <si>
    <t>Имитационные модели принятия решений: Уч.пос. / И.В.Трегуб - М.:НИЦ ИНФРА-М,2022 - 193 с.-(ВО)(П)</t>
  </si>
  <si>
    <t>ИМИТАЦИОННЫЕ МОДЕЛИ ПРИНЯТИЯ РЕШЕНИЙ, ИЗД.1</t>
  </si>
  <si>
    <t>Трегуб И.В., Горошникова Т.А.</t>
  </si>
  <si>
    <t>978-5-16-015393-3</t>
  </si>
  <si>
    <t>01.04.02, 02.03.01, 02.03.02, 02.03.03, 09.03.01, 09.03.02, 09.03.03, 09.03.04, 09.04.02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</si>
  <si>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09.04.03 «Прикладная информатика», 01.04.02 «Прикладная математика и информатика» (квалификация (степень) «магистр») (протокол № 18 от 25.11.2019)</t>
  </si>
  <si>
    <t>732496.05.01</t>
  </si>
  <si>
    <t>Иммунопатогенез острого панкреатита: Моногр. / Е.Е.Ачкасов - М.:НИЦ ИНФРА-М,2023 - 168 с.(Науч.мысль)(О)</t>
  </si>
  <si>
    <t>ИММУНОПАТОГЕНЕЗ ОСТРОГО ПАНКРЕАТИТА, ИЗД.1</t>
  </si>
  <si>
    <t>Ачкасов Е.Е., Винник Ю.С., Дунаевская С.С.</t>
  </si>
  <si>
    <t>978-5-16-016246-1</t>
  </si>
  <si>
    <t>31.05.01, 31.08.28</t>
  </si>
  <si>
    <t>715720.03.01</t>
  </si>
  <si>
    <t>Иммунотропные эффекты лечебных факторов: Моногр. / А.М.Земсков и др. - М.:НИЦ ИНФРА-М,2026. - 186 с.(О)</t>
  </si>
  <si>
    <t>ИММУНОТРОПНЫЕ ЭФФЕКТЫ ЛЕЧЕБНЫХ ФАКТОРОВ, ИЗД.1</t>
  </si>
  <si>
    <t>Земсков А.М., Земскова В.А., Земсков В.М.</t>
  </si>
  <si>
    <t>978-5-16-015526-5</t>
  </si>
  <si>
    <t>Воронежский государственный медицинский университет им. Н.Н. Бурденко</t>
  </si>
  <si>
    <t>879235.01.01</t>
  </si>
  <si>
    <t>Имперская идея - духовная сила России: Моногр. / Я.В.Матвеева - М.:НИЦ ИНФРА-М,2027. - 195 с.(Науч.мысль)(п)</t>
  </si>
  <si>
    <t>ИМПЕРСКАЯ ИДЕЯ - ДУХОВНАЯ СИЛА РОССИИ, ИЗД.1</t>
  </si>
  <si>
    <t>Матвеева Я.В.</t>
  </si>
  <si>
    <t>978-5-16-022150-2</t>
  </si>
  <si>
    <t>46.04.01, 46.04.03, 46.06.01, 47.04.01, 47.06.01</t>
  </si>
  <si>
    <t>699268.04.01</t>
  </si>
  <si>
    <t>Имплементация решений Европейского Суда по .. / Т.Я.Хабриева - М.:Юр.Норма, НИЦ ИНФРА-М,2022 - 416с(П)</t>
  </si>
  <si>
    <t>ИМПЛЕМЕНТАЦИЯ РЕШЕНИЙ ЕВРОПЕЙСКОГО СУДА ПО ПРАВАМ ЧЕЛОВЕКА В РОССИЙСКОЙ СИСТЕМЕ: КОНЦЕПЦИИ, ПРАВОВЫЕ ПОДХОДЫ И ПРАКТИКА ОБЕСПЕЧЕНИЯ, ИЗД.1</t>
  </si>
  <si>
    <t>Хабриева Т.Я., Капустин А.Я.</t>
  </si>
  <si>
    <t>978-5-91768-988-3</t>
  </si>
  <si>
    <t>850784.01.01</t>
  </si>
  <si>
    <t>Импульсные устройства на основе меандра: Уч.пос. / Л.П.Гаврилов - М.:НИЦ ИНФРА-М,2026. - 227 с.(ВО)(п)</t>
  </si>
  <si>
    <t>ИМПУЛЬСНЫЕ УСТРОЙСТВА НА ОСНОВЕ МЕАНДРА, ИЗД.1</t>
  </si>
  <si>
    <t>Гаврилов Л.П.</t>
  </si>
  <si>
    <t>978-5-16-021020-9</t>
  </si>
  <si>
    <t>11.03.04, 11.05.01, 13.03.02</t>
  </si>
  <si>
    <t>Военная академия Ракетных войск стратегического назначения им. Петра Великого</t>
  </si>
  <si>
    <t>818413.03.01</t>
  </si>
  <si>
    <t>Импульсные цепи и устройства: Уч.пос. / Л.П.Гаврилов - М.:НИЦ ИНФРА-М,2025. - 363 с.(ВО)(п)</t>
  </si>
  <si>
    <t>ИМПУЛЬСНЫЕ ЦЕПИ И УСТРОЙСТВА, ИЗД.1</t>
  </si>
  <si>
    <t>978-5-16-019503-2</t>
  </si>
  <si>
    <t>11.03.04, 12.03.03, 12.03.04, 13.03.02, 13.05.01, 14.05.02, 23.05.05, 24.05.03, 26.05.02, 26.05.06, 26.05.07, 28.03.01</t>
  </si>
  <si>
    <t>634061.08.01</t>
  </si>
  <si>
    <t>Имя прилагательное в яз. рус. поэзии ХХ в.: Моногр./ А.Ф.Пантелеев, -2 изд.-М.:ИЦ РИОР, НИЦ ИНФРА-М,2025-134 с.(О)</t>
  </si>
  <si>
    <t>ИМЯ ПРИЛАГАТЕЛЬНОЕ В ЯЗЫКЕ РУССКОЙ ПОЭЗИИ ХХ ВЕКА, ИЗД.2</t>
  </si>
  <si>
    <t>Пантелеев А.Ф., Долматова А.С.</t>
  </si>
  <si>
    <t>978-5-369-01841-5</t>
  </si>
  <si>
    <t>44.04.01, 45.04.01, 45.04.02</t>
  </si>
  <si>
    <t>634061.04.01</t>
  </si>
  <si>
    <t>Имя прилагательное в языке рус.поэзии ХХ в.: Моногр. /А.Ф.Пантелеев-М.:ИЦ РИОР,НИЦ ИНФРА-М,2019-112с</t>
  </si>
  <si>
    <t>ИМЯ ПРИЛАГАТЕЛЬНОЕ В ЯЗЫКЕ РУССКОЙ ПОЭЗИИ ХХ ВЕКА, ИЗД.1</t>
  </si>
  <si>
    <t>978-5-369-01615-2</t>
  </si>
  <si>
    <t>474050.14.01</t>
  </si>
  <si>
    <t>Инвалидность и туризм: потреб. и дост..: Моногр. / Е.А.Сигида - М.:НИЦ ИНФРА-М,2026 - 106 с.(Науч.мысль)(о)</t>
  </si>
  <si>
    <t>ИНВАЛИДНОСТЬ И ТУРИЗМ: ПОТРЕБНОСТЬ И ДОСТУПНОСТЬ, ИЗД.1</t>
  </si>
  <si>
    <t>Сигида Е.А., Лукьянова И.Е.</t>
  </si>
  <si>
    <t>978-5-16-010152-1</t>
  </si>
  <si>
    <t>39.03.02, 39.04.02, 43.03.02, 43.04.02</t>
  </si>
  <si>
    <t>642204.05.01</t>
  </si>
  <si>
    <t>Инвестирование инновац. деят. наукоемких..: Моногр. / Д.А.Плотников - М.:НИЦ ИНФРА-М,2023-289с.(П)</t>
  </si>
  <si>
    <t>ИНВЕСТИРОВАНИЕ ИННОВАЦИОННОЙ ДЕЯТЕЛЬНОСТИ НАУКОЕМКИХ ВЫСОКОТЕХНОЛОГИЧНЫХ ПРЕДПРИЯТИЙ, ИЗД.1</t>
  </si>
  <si>
    <t>Плотников Д.А., Плотников А.Н.</t>
  </si>
  <si>
    <t>978-5-16-012429-2</t>
  </si>
  <si>
    <t>22.04.02, 23.04.03, 27.03.05, 27.04.05, 27.04.07, 38.03.01, 51.04.02</t>
  </si>
  <si>
    <t>148250.12.01</t>
  </si>
  <si>
    <t>Инвестиции в человеческий капитал предприятия: Уч. пос./Е.Н.Голованова - ИНФРА-М, 2026 - 88 с.(ВО) (о)</t>
  </si>
  <si>
    <t>ИНВЕСТИЦИИ В ЧЕЛОВЕЧЕСКИЙ КАПИТАЛ ПРЕДПРИЯТИЯ, ИЗД.1</t>
  </si>
  <si>
    <t>Голованова Е. Н., Лочан С. А., Хавин Д. В., Асалиев А. М.</t>
  </si>
  <si>
    <t>978-5-16-004754-6</t>
  </si>
  <si>
    <t>38.03.01, 38.03.02, 38.03.03, 38.03.04, 38.04.01, 38.04.02, 38.04.03, 38.04.04, 41.03.06, 44.03.01</t>
  </si>
  <si>
    <t>081150.13.01</t>
  </si>
  <si>
    <t>Инвестиции: матем. методы: Уч. пос. / В.Ю.Попов, - 2 изд. - М.:Форум, ИНФРА-М Изд. Дом,2026. - 144 с.(О)</t>
  </si>
  <si>
    <t>ИНВЕСТИЦИИ: МАТЕМАТИЧЕСКИЕ МЕТОДЫ, ИЗД.2</t>
  </si>
  <si>
    <t>Попов В. Ю., Шаповал А. Б.</t>
  </si>
  <si>
    <t>978-5-91134-224-1</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</si>
  <si>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060400 "Финансы и кредит"</t>
  </si>
  <si>
    <t>134900.16.01</t>
  </si>
  <si>
    <t>Инвестиции: Уч. / И.Я.Лукасевич - М.:Вуз. уч., НИЦ ИНФРА-М,2027 - 413 с.(П)</t>
  </si>
  <si>
    <t>ИНВЕСТИЦИИ, ИЗД.1</t>
  </si>
  <si>
    <t>Лукасевич И. Я.</t>
  </si>
  <si>
    <t>978-5-9558-0129-2</t>
  </si>
  <si>
    <t>Рекомендовано в качестве учебника для студентов высших учебных заведений, обучающихся по направлению подготовки «Экономика» и специальностям «Финансы и кредит» и «Бухгалтерский учет, анализ и аудит»</t>
  </si>
  <si>
    <t>097400.10.01</t>
  </si>
  <si>
    <t>Инвестиции: Уч. / Л.Л. Игонина. - 2 изд. - М.: Магистр:  НИЦ Инфра-М, 2021. - 752с. (п)</t>
  </si>
  <si>
    <t>ИНВЕСТИЦИИ, ИЗД.2</t>
  </si>
  <si>
    <t>Игонина Л. Л.</t>
  </si>
  <si>
    <t>978-5-9776-0071-2</t>
  </si>
  <si>
    <t>38.03.01, 38.03.02, 38.03.03, 38.03.04, 38.03.05, 38.03.06, 38.03.07, 38.04.01, 38.04.02, 38.04.03, 38.04.04, 38.04.05, 38.04.06, 38.04.07, 38.04.08, 38.04.09, 38.05.01, 38.05.02, 44.03.01</t>
  </si>
  <si>
    <t>Финансовый университет при Правительстве Российской Федерации, Краснодарский ф-л</t>
  </si>
  <si>
    <t>727870.04.01</t>
  </si>
  <si>
    <t>Инвестиции: Уч. / М.И.Ермилова и др. - М.:НИЦ ИНФРА-М,2024 - 287 с.-(ВО: Бакалавриат)(П)</t>
  </si>
  <si>
    <t>Ермилова М.И., Алтухова Е.В., Грызунова Н.В. и др.</t>
  </si>
  <si>
    <t>978-5-16-016047-4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</si>
  <si>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38.03.04 «Государственное и муниципальное управление» (квалификация (степень) «бакалавр») (протокол № 10 от 12.10.2020)</t>
  </si>
  <si>
    <t>003643.21.01</t>
  </si>
  <si>
    <t>Инвестиции: Уч. / У.Ф.Шарп и др. - М.:НИЦ ИНФРА-М,2022 - 1028 с.(Универ. учебник. Бакалавриат)(П)</t>
  </si>
  <si>
    <t>Шарп У.Ф., Александер Г.Д., Бэйли Д.В.</t>
  </si>
  <si>
    <t>Университетский учебник. Бакалавриат</t>
  </si>
  <si>
    <t>978-5-16-016789-3</t>
  </si>
  <si>
    <t>Рекомендовано Министерством общего и профессионального образования Российской Федерации для использования в учебном процессе студентами высших учебных заведений, обучающимися по экономическим специальностям</t>
  </si>
  <si>
    <t>768231.02.01</t>
  </si>
  <si>
    <t>Инвестиции: Уч. пос. / Т.Г.Бондаренко - М.:НИЦ ИНФРА-М,2026. - 157 с.(ВО (РЭУ))(п)</t>
  </si>
  <si>
    <t>Бондаренко Т.Г., Проданова Н.А.</t>
  </si>
  <si>
    <t>978-5-16-017420-4</t>
  </si>
  <si>
    <t>00.03.13, 38.03.02</t>
  </si>
  <si>
    <t>260500.06.01</t>
  </si>
  <si>
    <t>Инвестиционная политика в области науч.-технич. инновац..: моногр./Н.Н.Жаркова - ИНФРА-М, 2024-95с. (о)</t>
  </si>
  <si>
    <t>ИНВЕСТИЦИОННАЯ ПОЛИТИКА В ОБЛАСТИ НАУЧНО-ТЕХНИЧЕСКОЙ ИННОВАЦИОННОЙ ДЕЯТЕЛЬНОСТИ ПРЕДПРИЯТИЙ ТЕКСТИЛЬНОГО И ШВЕЙНОГО ПРОИЗВОДСТВА, ИЗД.1</t>
  </si>
  <si>
    <t>Жаркова Н. Н.</t>
  </si>
  <si>
    <t>978-5-16-018347-3</t>
  </si>
  <si>
    <t>653845.05.01</t>
  </si>
  <si>
    <t>Инвестиционная стратегия региона: Уч.пос. / Н.Н.Новоселова - М.:НИЦ ИНФРА-М,2021 - 162 с.-(ВО)(П)</t>
  </si>
  <si>
    <t>ИНВЕСТИЦИОННАЯ СТРАТЕГИЯ РЕГИОНА, ИЗД.1</t>
  </si>
  <si>
    <t>Новоселова Н.Н., Хубулова В.В.</t>
  </si>
  <si>
    <t>978-5-16-013117-7</t>
  </si>
  <si>
    <t>Рекомендовано в качестве учебного пособия для студентов высших учебных заведений, обучающихся по направлениям подготовки 38.04.01 «Экономика», 38.04.04 «Государственное и муниципальное управление» (квалификация (степень) «магистр»)</t>
  </si>
  <si>
    <t>Северо-Кавказский институт искусств</t>
  </si>
  <si>
    <t>653845.07.01</t>
  </si>
  <si>
    <t>Инвестиционная стратегия региона: Уч.пос. / Н.Н.Новоселова-М.:НИЦ ИНФРА-М,2023.-162 с.(ВО)(О)</t>
  </si>
  <si>
    <t>978-5-16-017269-9</t>
  </si>
  <si>
    <t>694944.02.01</t>
  </si>
  <si>
    <t>Инвестиционная стратегия: Уч.пос. / М.В.Чараева-М.:НИЦ ИНФРА-М,2027.-256 с.(ВО)(п)</t>
  </si>
  <si>
    <t>ИНВЕСТИЦИОННАЯ СТРАТЕГИЯ, ИЗД.1</t>
  </si>
  <si>
    <t>Чараева М.В.</t>
  </si>
  <si>
    <t>978-5-16-015648-4</t>
  </si>
  <si>
    <t>38.03.01, 38.03.02, 38.04.02, 38.04.09</t>
  </si>
  <si>
    <t>241500.10.01</t>
  </si>
  <si>
    <t>Инвестиционное бизнес-планир.: Уч. пос. / М.В.Чараева - М.:Альфа-М:ИНФРА-М, 2025 - 176 с.(Бакалавр.) (П)</t>
  </si>
  <si>
    <t>ИНВЕСТИЦИОННОЕ БИЗНЕС-ПЛАНИРОВАНИЕ, ИЗД.1</t>
  </si>
  <si>
    <t>Чараева М. В., Лапицкая Г. М., Крашенникова Н. В.</t>
  </si>
  <si>
    <t>978-5-98281-370-1</t>
  </si>
  <si>
    <t>38.03.02, 38.04.01, 38.04.02, 38.04.08, 41.03.06, 44.03.01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</si>
  <si>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080100.62 «Экономика» (квалификация (степень)«бакала</t>
  </si>
  <si>
    <t>431550.08.01</t>
  </si>
  <si>
    <t>Инвестиционное проектирование: Уч. пос. / А.П.Гарнов - М.: НИЦ ИНФРА-М, 2024 - 254 с.(ВО: Бакалавр.) (П)</t>
  </si>
  <si>
    <t>ИНВЕСТИЦИОННОЕ ПРОЕКТИРОВАНИЕ, ИЗД.1</t>
  </si>
  <si>
    <t>978-5-16-019304-5</t>
  </si>
  <si>
    <t>Рекомендовано Учебно-методическим объединением по образованию в области экономики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</si>
  <si>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861045.01.01</t>
  </si>
  <si>
    <t>Инвестиционно-финанс. и инновац.-промыш. аспекты экономич... / И.Л.Беилин - М.:НИЦ ИНФРА-М,2026. - 178 с.(о)</t>
  </si>
  <si>
    <t>ИНВЕСТИЦИОННО-ФИНАНСОВЫЕ И ИННОВАЦИОННО-ПРОМЫШЛЕННЫЕ АСПЕКТЫ ЭКОНОМИЧЕСКОЙ БЕЗОПАСНОСТИ НЕФТЕГАЗОВОГО РЕГИОНА, ИЗД.1</t>
  </si>
  <si>
    <t>Беилин И.Л.</t>
  </si>
  <si>
    <t>978-5-16-021365-1</t>
  </si>
  <si>
    <t>21.04.01, 21.05.06, 38.04.01, 38.05.01</t>
  </si>
  <si>
    <t>Российский государственный университет правосудия, Казанский ф-л</t>
  </si>
  <si>
    <t>451050.05.01</t>
  </si>
  <si>
    <t>Инвестиционные риски в маркетинге: Уч. пос./Т.И.Урясьева - М.: Вуз. учеб.: НИЦ ИНФРА-М, 2023-128с. (о)</t>
  </si>
  <si>
    <t>ИНВЕСТИЦИОННЫЕ РИСКИ В МАРКЕТИНГЕ, ИЗД.1</t>
  </si>
  <si>
    <t>Урясьева Т. И.</t>
  </si>
  <si>
    <t>978-5-9558-0335-7</t>
  </si>
  <si>
    <t>38.03.02, 38.03.05, 38.03.06, 38.04.02, 38.04.06, 38.04.08, 41.03.06</t>
  </si>
  <si>
    <t>Допущено Учебно-методическим объединением по образованию в области маркетинга в качестве учебного пособия для студентов высших учебных заведений, обучающихся по специальности 100700.68 Торговое дело, по магистерской программе «Стратегии и инновации в</t>
  </si>
  <si>
    <t>655234.05.01</t>
  </si>
  <si>
    <t>Инвестиционный анализ: Уч. / В.М.Серов и др. - М.:НИЦ ИНФРА-М,2024 - 248 с.-(ВО: Бакалавриат)(П)</t>
  </si>
  <si>
    <t>ИНВЕСТИЦИОННЫЙ АНАЛИЗ, ИЗД.1</t>
  </si>
  <si>
    <t>Серов В.М., Богомолова Е.А., Моисеенко Н.А. и др.</t>
  </si>
  <si>
    <t>978-5-16-013104-7</t>
  </si>
  <si>
    <t>260900.07.01</t>
  </si>
  <si>
    <t>Инвестиционный анализ: Уч. пос. / Я.С.Мелкумов - 3 изд. - М.: ИНФРА-М, 2025 - 176 с.(ВО: Бакалавр.) (о)</t>
  </si>
  <si>
    <t>ИНВЕСТИЦИОННЫЙ АНАЛИЗ, ИЗД.3</t>
  </si>
  <si>
    <t>Мелкумов Я. С.</t>
  </si>
  <si>
    <t>978-5-16-009514-1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</si>
  <si>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38.03.02.62 "Менеджмент» (квалификация (степень) «ба</t>
  </si>
  <si>
    <t>102500.14.01</t>
  </si>
  <si>
    <t>Инвестиционный анализ: Уч.пос. / Т.С.Колмыкова, - 2-е изд.-М.:НИЦ ИНФРА-М,2023.-208 с.(ВО)(п)</t>
  </si>
  <si>
    <t>ИНВЕСТИЦИОННЫЙ АНАЛИЗ, ИЗД.2</t>
  </si>
  <si>
    <t>Колмыкова Т. С.</t>
  </si>
  <si>
    <t>978-5-16-018660-3</t>
  </si>
  <si>
    <t>38.03.01, 38.03.02, 38.03.04, 38.03.05, 38.04.01, 38.04.04, 38.04.05, 38.04.08, 41.03.06</t>
  </si>
  <si>
    <t>214500.12.01</t>
  </si>
  <si>
    <t>Инвестиционный менеджмент: Уч. / П.Н.Брусов - М.:НИЦ ИНФРА-М,2026 - 333 с. (ВО:Бакалавр.)(п)</t>
  </si>
  <si>
    <t>ИНВЕСТИЦИОННЫЙ МЕНЕДЖМЕНТ, ИЗД.1</t>
  </si>
  <si>
    <t>Брусов П. Н., Филатова Т. В., Лахметкина Н. И.</t>
  </si>
  <si>
    <t>978-5-16-005020-1</t>
  </si>
  <si>
    <t>38.03.01, 38.03.02, 38.03.03, 38.03.04, 41.03.06</t>
  </si>
  <si>
    <t>Рекомендовано ФГБОУ ВПО «Государственный университет управления» в качестве учебника для студентов высших учебных заведений, обучающихся по направлению подготовки 38.03.02 «Менеджмент» (квалификация (степень) - «бакалавр»)</t>
  </si>
  <si>
    <t>374800.07.01</t>
  </si>
  <si>
    <t>Инвестиционный менеджмент: Уч. /С.Е.Метелев.-М.:Форум, НИЦ ИНФРА-М,2024.-288 с.(ВО:Бакалавр.)(О)</t>
  </si>
  <si>
    <t>С.Е.Метелев, В.П.Чижик, С.Е.Елкин</t>
  </si>
  <si>
    <t>978-5-00091-092-4</t>
  </si>
  <si>
    <t>Рекомендовано ФГБОУ ВПО «Государственный университет управления» в качестве учебника для студентов высших учебных заведений, обучающихся по направлению подготовки 080100 «Экономика» (квалификация (степень) «бакалавр»)</t>
  </si>
  <si>
    <t>446150.06.01</t>
  </si>
  <si>
    <t>Инвестиционный менеджмент: Уч.пос. / В.В.Мыльник - М.: ИЦ РИОР:НИЦ ИНФРА-М,2022-229 с.(ВО:Бакалавр.) (п)</t>
  </si>
  <si>
    <t>Мыльник В.В., Мыльник А.В., Зубеева Е.В.</t>
  </si>
  <si>
    <t>978-5-369-01241-3</t>
  </si>
  <si>
    <t>Допущено Советом Учебно-методического объединения вузов России по образованию в области менеджмента в качестве учебного пособия по дисциплине специализации специальности «Менеджмент организации»</t>
  </si>
  <si>
    <t>363700.10.01</t>
  </si>
  <si>
    <t>Индивидуальное психолог.консульт.:основы теории.: Уч.пос. / Р.М.Айсина - М.:ИЦ РИОР,НИЦ ИНФРА-М,2026 - 148 с.(ВО)</t>
  </si>
  <si>
    <t>ИНДИВИДУАЛЬНОЕ ПСИХОЛОГИЧЕСКОЕ КОНСУЛЬТИРОВАНИЕ: ОСНОВЫ ТЕОРИИ И ПРАКТИКИ, ИЗД.1</t>
  </si>
  <si>
    <t>Айсина Р.М.</t>
  </si>
  <si>
    <t>978-5-369-01467-7</t>
  </si>
  <si>
    <t>37.03.01, 37.04.01, 37.05.01</t>
  </si>
  <si>
    <t>292100.06.01</t>
  </si>
  <si>
    <t>Индукторные машины. Проектир. и вычислит. анализ: Уч.пос. / А.Ю.Смирнов - М.:НИЦ ИНФРА-М,2026. - 192 с.(о)</t>
  </si>
  <si>
    <t>ИНДУКТОРНЫЕ МАШИНЫ. ПРОЕКТИРОВАНИЕ И ВЫЧИСЛИТЕЛЬНЫЙ АНАЛИЗ (СПЕЦИАЛЬНЫЙ КУРС), ИЗД.1</t>
  </si>
  <si>
    <t>Смирнов А.Ю.</t>
  </si>
  <si>
    <t>978-5-16-021754-3</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</si>
  <si>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13.03.02 «Электроэнергетика и электротехника»</t>
  </si>
  <si>
    <t>392000.09.01</t>
  </si>
  <si>
    <t>Индустрия гостеприимства. Прак.: Уч.мет.пос. / Н.Г.Можаева, - 2 изд. - М.:НИЦ ИНФРА-М,2026. - 113 с.(О)</t>
  </si>
  <si>
    <t>ИНДУСТРИЯ ГОСТЕПРИИМСТВА. ПРАКТИКУМ, ИЗД.2</t>
  </si>
  <si>
    <t>Можаева Н.Г., Камшечко М.В.</t>
  </si>
  <si>
    <t>978-5-16-016990-3</t>
  </si>
  <si>
    <t>43.03.01, 43.03.02, 43.03.03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</si>
  <si>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43.03.03 «Гостиничное дело», 43.03.01 «Сервис», 43.03.02 «Туризм» (квалификация (степень) «бакалавр») (протокол № 5 от 11.05.2022)</t>
  </si>
  <si>
    <t>682869.08.01</t>
  </si>
  <si>
    <t>Индустрия гостеприимства. Практ.: Уч.мет.пос. / Н.Г.Можаева - 2 изд. - М.:НИЦ ИНФРА-М,2026 - 113 с.(СПО)(о)</t>
  </si>
  <si>
    <t>ИНДУСТРИЯ ГОСТЕПРИИМСТВА, ИЗД.2</t>
  </si>
  <si>
    <t>978-5-16-019338-0</t>
  </si>
  <si>
    <t>392000.06.01</t>
  </si>
  <si>
    <t>Индустрия гостеприимства. Практ.: Уч.пос. / Н.Г.Можаева-М.:Форум, НИЦ ИНФРА-М,2020.-120 с.(ВО)(О)</t>
  </si>
  <si>
    <t>ИНДУСТРИЯ ГОСТЕПРИИМСТВА. ПРАКТИКУМ, ИЗД.1</t>
  </si>
  <si>
    <t>978-5-00091-602-5</t>
  </si>
  <si>
    <t>Рекомендовано в качестве учебного пособия для студентов высших учебных заведений, обучающихся по направлениям подготовки 43.03.03 «Гостиничное дело», 43.03.01 «Сервис», 43.03.02 «Туризм» (квалификация (степень) «бакалавр»)</t>
  </si>
  <si>
    <t>682868.03.01</t>
  </si>
  <si>
    <t>Индустрия гостеприимства...: Уч.пос. / А.Д.Чудновский - М.:ИД ФОРУМ,НИЦ ИНФРА-М, 2024 - 400с.(СПО)(П)</t>
  </si>
  <si>
    <t>ИНДУСТРИЯ ГОСТЕПРИИМСТВА: ОСНОВЫ ОРГАНИЗАЦИИ И УПРАВЛЕНИЯ, ИЗД.1</t>
  </si>
  <si>
    <t>Чудновский А.Д., Жукова М.А., Белозерова Ю.М. и др.</t>
  </si>
  <si>
    <t>978-5-8199-0787-0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</si>
  <si>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43.02.11 «Гостиничный сервис»</t>
  </si>
  <si>
    <t>144350.10.01</t>
  </si>
  <si>
    <t>Индустрия гостеприимства: основы орг...: Уч.пос. / А.Д.Чудновский. - М.:ИД Форум, ИНФРА-М,2026. - 400 с.(П)</t>
  </si>
  <si>
    <t>Чудновский А. Д., Жукова М. А., Белозерова Ю. М., Кнышова Е. Н.</t>
  </si>
  <si>
    <t>978-5-8199-0945-4</t>
  </si>
  <si>
    <t>38.03.02, 43.03.03</t>
  </si>
  <si>
    <t>Допущено Советом Учебно-методического объединения по образованию в области менеджмента в качестве учебного пособия по  направлению «Менеджмент организации»</t>
  </si>
  <si>
    <t>682869.05.01</t>
  </si>
  <si>
    <t>Индустрия гостеприимства: Практикум / Н.Г.Можаева-М.:Форум, НИЦ ИНФРА-М,2023-120с(СПО)(О)</t>
  </si>
  <si>
    <t>ИНДУСТРИЯ ГОСТЕПРИИМСТВА, ИЗД.1</t>
  </si>
  <si>
    <t>978-5-00091-567-7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</si>
  <si>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43.02.11 «Гостиничный сервис» (протокол № 2 от 28.01.2019)</t>
  </si>
  <si>
    <t>742687.06.01</t>
  </si>
  <si>
    <t>Индустрия культуры и креатива: Моногр. / Н.А.Мальшина - М.:НИЦ ИНФРА-М,2026 - 160 с.(Науч.мысль)(О)</t>
  </si>
  <si>
    <t>ИНДУСТРИЯ КУЛЬТУРЫ И КРЕАТИВА: УПРАВЛЕНИЕ ПОТОКОВЫМИ ПРОЦЕССАМИ, ИЗД.1</t>
  </si>
  <si>
    <t>Мальшина Н.А., Гарнов А.П.</t>
  </si>
  <si>
    <t>978-5-16-016470-0</t>
  </si>
  <si>
    <t>38.03.02, 38.04.02, 50.04.04, 51.04.04</t>
  </si>
  <si>
    <t>Саратовская государственная консерватория имени Л.В. Собинова</t>
  </si>
  <si>
    <t>866742.01.01</t>
  </si>
  <si>
    <t>Инженерия контактной прочности зубчатых колес: Моногр. / Е.В.Шеховцева - М.:НИЦ ИНФРА-М,2026. - 118 с.(п)</t>
  </si>
  <si>
    <t>ИНЖЕНЕРИЯ КОНТАКТНОЙ ПРОЧНОСТИ ЗУБЧАТЫХ КОЛЕС, ИЗД.1</t>
  </si>
  <si>
    <t>Шеховцева Е.В.</t>
  </si>
  <si>
    <t>978-5-16-021519-8</t>
  </si>
  <si>
    <t>13.04.03, 15.02.16, 15.03.02, 15.03.05, 15.04.05</t>
  </si>
  <si>
    <t>712426.03.01</t>
  </si>
  <si>
    <t>Инженерия поверхности упрочненных деталей: Моногр. / О.А.Шарая - М.:НИЦ ИНФРА-М,2025 - 124 с.(О)</t>
  </si>
  <si>
    <t>ИНЖЕНЕРИЯ ПОВЕРХНОСТИ УПРОЧНЕННЫХ ДЕТАЛЕЙ, ИЗД.1</t>
  </si>
  <si>
    <t>Шарая О.А., Пастухов А.Г., Кравченко И.Н.</t>
  </si>
  <si>
    <t>978-5-16-015424-4</t>
  </si>
  <si>
    <t>22.04.01, 22.06.01, 35.04.06, 35.06.04</t>
  </si>
  <si>
    <t>757842.05.01</t>
  </si>
  <si>
    <t>Инженерная биотехнология...: Уч.пос. / А.В.Луканин - М.:НИЦ ИНФРА-М,2027 - 304 с.(СПО)(п)</t>
  </si>
  <si>
    <t>ИНЖЕНЕРНАЯ БИОТЕХНОЛОГИЯ: ОСНОВЫ ТЕХНОЛОГИИ МИКРОБИОЛОГИЧЕСКИХ ПРОИЗВОДСТВ, ИЗД.1</t>
  </si>
  <si>
    <t>Луканин А.В.</t>
  </si>
  <si>
    <t>978-5-16-016928-6</t>
  </si>
  <si>
    <t>15.02.01, 18.01.34, 18.02.01, 18.02.15, 19.01.01, 19.02.15, 33.02.01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</si>
  <si>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19.00.00 «Промышленная экология и биотехнологии» (протокол № 11 от 09.11.2020)</t>
  </si>
  <si>
    <t>456900.11.01</t>
  </si>
  <si>
    <t>Инженерная биотехнология: основы тех. микробиолог...: Уч.пос. / А.В.Луканин - М.:НИЦ ИНФРА-М,2026 - 304 с.(ВО)(п)</t>
  </si>
  <si>
    <t>978-5-16-019554-4</t>
  </si>
  <si>
    <t>19.03.01</t>
  </si>
  <si>
    <t>Рекомендовано в качестве учебного пособия для студентов высших учебных заведений, обучающихся по направлению подготовки 19.03.01 «Биотехнология» (квалификация (степень) «бакалавр»)</t>
  </si>
  <si>
    <t>457200.08.01</t>
  </si>
  <si>
    <t>Инженерная биотехнология: Уч.пос. / А.В.Луканин - М.:НИЦ ИНФРА-М,2026 - 451 с.(ВО)(п)</t>
  </si>
  <si>
    <t>ИНЖЕНЕРНАЯ БИОТЕХНОЛОГИЯ: ПРОЦЕССЫ И АППАРАТЫ МИКРОБИОЛОГИЧЕСКИХ ПРОИЗВОДСТВ, ИЗД.1</t>
  </si>
  <si>
    <t>978-5-16-019814-9</t>
  </si>
  <si>
    <t>311600.13.01</t>
  </si>
  <si>
    <t>Инженерная геодезия: Уч. / Г.А.Федотов - 6 изд. - М.:НИЦ ИНФРА-М,2027 - 479 с.(ВО)(п)</t>
  </si>
  <si>
    <t>ИНЖЕНЕРНАЯ ГЕОДЕЗИЯ, ИЗД.6</t>
  </si>
  <si>
    <t>Федотов Г.А.</t>
  </si>
  <si>
    <t>978-5-16-020407-9</t>
  </si>
  <si>
    <t>08.03.01, 08.04.01, 21.02.20, 35.02.12</t>
  </si>
  <si>
    <t>Рекомендовано УМО вузов Российской Федерации по образованию в области железнодорожного транспорта и транспортного строительства в качестве учебника для студентов вузов, обучающихся по специальности «Автомобильные дороги и аэродромы» направления подготовки «Транспортное строительство»</t>
  </si>
  <si>
    <t>0616</t>
  </si>
  <si>
    <t>682870.11.01</t>
  </si>
  <si>
    <t>Инженерная геодезия: Уч./ Г.А.Федотов - 6 изд. - М.:НИЦ ИНФРА-М,2026 - 479 с.(СПО)(П)</t>
  </si>
  <si>
    <t>978-5-16-013920-3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</si>
  <si>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08.02.02 «Строительство и эксплуатация инженерных сооружений», 08.02.05 «Строительство и эксплуатация автомобильных дорог и аэродромов», 08.02.06 «Строительство и эксплуатация городских путей сообщения»</t>
  </si>
  <si>
    <t>667634.08.01</t>
  </si>
  <si>
    <t>Инженерная графика. Геометр. и проекц...: Уч.пос. / И.Г.Борисенко - 5 изд. - М.:НИЦ ИНФРА-М, СФУ,2026 - 199 с.(П)</t>
  </si>
  <si>
    <t>ИНЖЕНЕРНАЯ ГРАФИКА. ГЕОМЕТРИЧЕСКОЕ И ПРОЕКЦИОННОЕ ЧЕРЧЕНИЕ, ИЗД.5</t>
  </si>
  <si>
    <t>Борисенко И.Г.</t>
  </si>
  <si>
    <t>978-5-16-013241-9</t>
  </si>
  <si>
    <t>15.03.01, 15.03.02, 15.03.03, 15.03.04, 15.03.05, 15.03.06</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</si>
  <si>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технологический университет «СТАНКИН» в качестве учебного пособия для студентов высших учебных заведений, обучающихся по направлениям подготовки в области техники и технологии</t>
  </si>
  <si>
    <t>0518</t>
  </si>
  <si>
    <t>736723.11.01</t>
  </si>
  <si>
    <t>Инженерная графика. Машиностроит. черчение: Уч. / А.А.Чекмарев - М.:НИЦ ИНФРА-М,2026 - 396 с.(СПО)(п)</t>
  </si>
  <si>
    <t>ИНЖЕНЕРНАЯ ГРАФИКА. МАШИНОСТРОИТЕЛЬНОЕ ЧЕРЧЕНИЕ, ИЗД.1</t>
  </si>
  <si>
    <t>Чекмарев А.А.</t>
  </si>
  <si>
    <t>978-5-16-016231-7</t>
  </si>
  <si>
    <t>12.01.09, 15.01.22, 15.02.03, 15.02.04, 15.02.06, 15.02.09, 15.02.16, 15.02.17, 15.02.18, 15.02.19, 23.02.07, 24.01.01, 24.02.01, 35.02.16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</si>
  <si>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машиностроительным специальностям (протокол № 6 от 06.04.2020)</t>
  </si>
  <si>
    <t>104000.21.01</t>
  </si>
  <si>
    <t>Инженерная графика. Машиностроит.черчение: Уч. / А.А.Чекмарев - М.:НИЦ ИНФРА-М,2026 - 396 с.(ВО)(п)</t>
  </si>
  <si>
    <t>978-5-16-013447-5</t>
  </si>
  <si>
    <t>Допущено Научно-методическим советом по начертательной геометрии, инженерной и компьютерной графике Министерства образования и науки Российской Федерации в качестве учебника для студентов высших учебных заведений, обучающихся по направлению подготовки дипломированных специалистов  высшего образования в машиностроении</t>
  </si>
  <si>
    <t>667630.04.01</t>
  </si>
  <si>
    <t>Инженерная графика..: Уч.пос./ И.Г.Борисенко - 3 изд. - М.:НИЦ ИНФРА-М, СФУ,2024 - 156 с.(ВО)(п)</t>
  </si>
  <si>
    <t>ИНЖЕНЕРНАЯ ГРАФИКА. ЭСКИЗИРОВАНИЕ ДЕТАЛЕЙ МАШИН, ИЗД.3</t>
  </si>
  <si>
    <t>978-5-16-018572-9</t>
  </si>
  <si>
    <t>15.03.01, 15.03.05, 15.04.01, 15.04.05</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</si>
  <si>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технологический университет «СТАНКИН» в качестве учебного пособия для студентов высших учебных заведений, обучающихся по направлениям подготовки в области техники и технологии</t>
  </si>
  <si>
    <t>660182.05.01</t>
  </si>
  <si>
    <t>Инженерная графика: Атлас сборочных единиц..: Уч.пос. / Л.Р.Юренкова. - М.:НИЦ ИНФРА-М,2026 - 125 с.(О)</t>
  </si>
  <si>
    <t>ИНЖЕНЕРНАЯ ГРАФИКА: АТЛАС СБОРОЧНЫХ ЕДИНИЦ С РАЗЛИЧНЫМИ ВИДАМИ СОЕДИНЕНИЙ ДЕТАЛЕЙ, ИЗД.1</t>
  </si>
  <si>
    <t>Юренкова Л.Р., Бурлай В.В., Федоренко В.И. и др.</t>
  </si>
  <si>
    <t>978-5-16-013770-4</t>
  </si>
  <si>
    <t>15.03.01, 15.03.05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</si>
  <si>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15.00.00 «Машиностроение» (квалификация (степень) «бакалавр») (протокол № 11 от 09.11.2020)</t>
  </si>
  <si>
    <t>454800.08.01</t>
  </si>
  <si>
    <t>Инженерная графика: аудиторные задачи и..: Уч.пос. / А.А.Чекмарев- 2изд.-М.: НИЦ ИНФРА-М,2023 - 78с.(ВО)(о)</t>
  </si>
  <si>
    <t>ИНЖЕНЕРНАЯ ГРАФИКА: АУДИТОРНЫЕ ЗАДАЧИ И ЗАДАНИЯ, ИЗД.2</t>
  </si>
  <si>
    <t>978-5-16-018633-7</t>
  </si>
  <si>
    <t>08.03.01, 13.03.03, 15.03.01, 16.03.02, 18.03.01, 18.03.02, 19.03.01, 20.03.01, 20.03.02, 24.03.01, 26.02.04, 26.02.05, 26.02.06, 26.03.02, 27.03.05, 29.03.03, 29.03.05</t>
  </si>
  <si>
    <t>Рекомендовано в качестве учебного пособия для студентов высших учебных заведений, обучающихся по техническим направлениям подготовки (квалификация (степень) «бакалавр»)</t>
  </si>
  <si>
    <t>344300.10.01</t>
  </si>
  <si>
    <t>Инженерная графика: Проецирование геометр. тел / Г.В.Буланже - 3 изд  - М.:КУРС, НИЦ ИНФРА-М,2026 - 184 с.(j)</t>
  </si>
  <si>
    <t>ИНЖЕНЕРНАЯ ГРАФИКА: ПРОЕЦИРОВАНИЕ ГЕОМЕТРИЧЕСКИХ ТЕЛ, ИЗД.3</t>
  </si>
  <si>
    <t>Г.В.Буланже, И.А.Гущин, В.А.Гончарова</t>
  </si>
  <si>
    <t>978-5-905554-86-5</t>
  </si>
  <si>
    <t>15.03.02, 15.03.04, 15.03.05, 26.02.04</t>
  </si>
  <si>
    <t>Рекомендовано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направлениям подготовки 15.03.02 (151000) «Технологические машины и оборудование",  15.03.05 (151900) "Конструкторско-технологическое обеспечение машиностроительных производств", 15.03.04 (220700) "Автоматизация технологических процессов и производств"</t>
  </si>
  <si>
    <t>039010.19.01</t>
  </si>
  <si>
    <t>Инженерная графика: Раб. тетр.: Ч.1 / И.А.Исаев - 3 изд. - М.:Форум: НИЦ ИНФРА-М, 2026 - 81 с.(ПО)(О)</t>
  </si>
  <si>
    <t>ИНЖЕНЕРНАЯ ГРАФИКА, ИЗД.3</t>
  </si>
  <si>
    <t>978-5-00091-542-4</t>
  </si>
  <si>
    <t>Рабочая тетрадь к учебнику</t>
  </si>
  <si>
    <t>00.02.31, 08.02.01, 15.01.22, 15.02.04, 15.02.06, 15.02.09, 15.02.16, 23.02.02, 24.02.01, 24.02.02</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</si>
  <si>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специальностям технического профиля</t>
  </si>
  <si>
    <t>052720.16.01</t>
  </si>
  <si>
    <t>Инженерная графика: Раб. тетр.: Ч.2 / И.А.Исаев - 3 изд. - М.:Форум, НИЦ ИНФРА-М,2025.-58с.(СПО)(О)</t>
  </si>
  <si>
    <t>978-5-00091-477-9</t>
  </si>
  <si>
    <t>00.02.31, 08.02.01, 15.01.22, 15.02.10, 15.02.16, 23.02.02, 24.02.01, 24.02.02, 27.02.06</t>
  </si>
  <si>
    <t>0311</t>
  </si>
  <si>
    <t>702075.11.01</t>
  </si>
  <si>
    <t>Инженерная графика: Уч. / Г.В.Буланже и др. - М.:НИЦ ИНФРА-М,2027 - 381 с.(СПО)(П)</t>
  </si>
  <si>
    <t>ИНЖЕНЕРНАЯ ГРАФИКА, ИЗД.1</t>
  </si>
  <si>
    <t>Буланже Г.В., Гончарова В.А., Гущин И.А. и др.</t>
  </si>
  <si>
    <t>978-5-16-014817-5</t>
  </si>
  <si>
    <t>00.02.31, 08.02.01, 09.02.01, 12.01.09, 12.02.09, 15.01.22, 15.02.16, 24.02.01, 24.02.02, 25.02.06, 26.02.02, 26.02.04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</si>
  <si>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специальностям (протокол № 5 от 11.03.2019)</t>
  </si>
  <si>
    <t>712353.10.01</t>
  </si>
  <si>
    <t>Инженерная графика: Уч. / Г.В.Серга и др. - М.:НИЦ ИНФРА-М,2026. - 383 с.(СПО)(п)</t>
  </si>
  <si>
    <t>Серга Г.В., Табачук И.И., Кузнецова Н.Н.</t>
  </si>
  <si>
    <t>978-5-16-015545-6</t>
  </si>
  <si>
    <t>00.02.31, 08.02.01, 09.02.01, 15.01.22, 15.02.04, 15.02.10, 15.02.16, 23.02.02, 24.02.01, 24.02.02, 26.02.04, 27.02.06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</si>
  <si>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специальностям (протокол № 12 от 24.06.2019)</t>
  </si>
  <si>
    <t>708219.07.01</t>
  </si>
  <si>
    <t>Инженерная графика: Уч. / Под ред. Раклова В.П., - 2 изд. - М.:НИЦ ИНФРА-М,2026 - 305 с.(СПО)(П)</t>
  </si>
  <si>
    <t>ИНЖЕНЕРНАЯ ГРАФИКА, ИЗД.2</t>
  </si>
  <si>
    <t>Раклов В.П., Яковлева Т.Я., Раклов В.П.</t>
  </si>
  <si>
    <t>978-5-16-015343-8</t>
  </si>
  <si>
    <t>09.02.01, 21.02.19</t>
  </si>
  <si>
    <t>Допущено Министерством сельского хозяйства Российской Федерации в качестве учебника для студентов средних профессиональных учебных заведений по специальности 21.02.04 «Землеустройство»</t>
  </si>
  <si>
    <t>668735.05.01</t>
  </si>
  <si>
    <t>Инженерная графика: Уч.пос. / Л.Н.Головина-М.:НИЦ ИНФРА-М, СФУ,2023.-199 с.(ВО: Бакалавриат (СФУ))(п)</t>
  </si>
  <si>
    <t>Головина Л.Н., Кузнецова М.Н.</t>
  </si>
  <si>
    <t>978-5-16-017453-2</t>
  </si>
  <si>
    <t>00.03.32, 44.03.04</t>
  </si>
  <si>
    <t>Допущено Учебно-методическим объединением по профессио-нально-педагогическому образованию в качестве учебного пособия для студентов высших учебных заведений, обучающихся по направлению подготовки 44.03.04 «Профессиональное обучение (по отраслям)»</t>
  </si>
  <si>
    <t>860594.02.01</t>
  </si>
  <si>
    <t>Инженерная и компьютерная графика..: Уч.пос. / И.Г.Борисенко. - М.:НИЦ ИНФРА-М, СФУ,2026. - 201 с.(ВО)(п)</t>
  </si>
  <si>
    <t>ИНЖЕНЕРНАЯ И КОМПЬЮТЕРНАЯ ГРАФИКА. СОЕДИНЕНИЯ ДЕТАЛЕЙ МАШИН, ИЗД.1</t>
  </si>
  <si>
    <t>Борисенко И.Г., Докшанин С.Г., Колотов А.В. и др.</t>
  </si>
  <si>
    <t>978-5-16-021343-9</t>
  </si>
  <si>
    <t>13.03.01, 13.03.02, 15.03.06, 22.03.01, 27.03.01, 27.03.02, 29.03.04</t>
  </si>
  <si>
    <t>239500.07.01</t>
  </si>
  <si>
    <t>Инженерная педагогика. Проблемы, опыт, предлож.: Уч.пос. / В.А.Жуков-М.:НИЦ ИНФРА-М,2023.-197 с.(ВО)(о)</t>
  </si>
  <si>
    <t>ИНЖЕНЕРНАЯ ПЕДАГОГИКА. ПРОБЛЕМЫ, ОПЫТ, ПРЕДЛОЖЕНИЯ, ИЗД.1</t>
  </si>
  <si>
    <t>Жуков В. А.</t>
  </si>
  <si>
    <t>978-5-16-009221-8</t>
  </si>
  <si>
    <t>44.03.01, 44.03.04, 44.03.05, 44.04.01, 44.04.04</t>
  </si>
  <si>
    <t>Рекомендовано Учебно-методическим объединением по университетскому политехническому образованию в качестве учебно-методического пособия для организаторов образовательного процесса и преподавателей высших учебных заведений технического профиля</t>
  </si>
  <si>
    <t>411450.09.01</t>
  </si>
  <si>
    <t>Инженерная педагогика: Науч.-мет. пос. / Л.А. Найниш - М.: НИЦ Инфра-М, 2026. - 88 с.(ВО) (о)</t>
  </si>
  <si>
    <t>ИНЖЕНЕРНАЯ ПЕДАГОГИКА, ИЗД.1</t>
  </si>
  <si>
    <t>Найниш Л. А., Люсев В. Н.</t>
  </si>
  <si>
    <t>978-5-16-006002-6</t>
  </si>
  <si>
    <t>44.03.01, 44.03.04, 44.03.05, 44.04.01, 44.04.02, 44.04.04, 44.06.01, 44.07.01</t>
  </si>
  <si>
    <t>Допущено Учебно-методическим объединением по профессионально- педагогическому образованию в качестве учебного пособия для слушателей институтов и факультетов повышения квалификации, преподавателей, аспирантов и других профессионально-педагогических р</t>
  </si>
  <si>
    <t>843133.01.01</t>
  </si>
  <si>
    <t>Инженерная педагогика: Уч. / Л.О.Терновая - М.:НИЦ ИНФРА-М,2025. - 347 с.(ВО)(п)</t>
  </si>
  <si>
    <t>978-5-16-020431-4</t>
  </si>
  <si>
    <t>44.04.01</t>
  </si>
  <si>
    <t>757843.06.01</t>
  </si>
  <si>
    <t>Инженерная экология...: Уч.пос. / А.В.Луканин - М.:НИЦ ИНФРА-М,2026 - 605 с.(П)</t>
  </si>
  <si>
    <t>ИНЖЕНЕРНАЯ ЭКОЛОГИЯ: ПРОЦЕССЫ И АППАРАТЫ ОЧИСТКИ СТОЧНЫХ ВОД И ПЕРЕРАБОТКИ ОСАДКОВ, ИЗД.1</t>
  </si>
  <si>
    <t>978-5-16-016929-3</t>
  </si>
  <si>
    <t>08.02.04, 14.02.01, 18.02.15, 20.02.01, 20.02.03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</si>
  <si>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19.02.01 «Биохимическое производство», 20.02.01 «Рациональное использование природохозяйственных комплексов», 20.02.03 «Природоохранное обустройство территорий» (протокол № 11 от 09.11.2020)</t>
  </si>
  <si>
    <t>653104.06.01</t>
  </si>
  <si>
    <t>Инженерная экология: защита литосферы от..: Уч.пос. / А.В.Луканин-М.:НИЦ ИНФРА-М,2023-556с(ВО)(П)</t>
  </si>
  <si>
    <t>ИНЖЕНЕРНАЯ ЭКОЛОГИЯ: ЗАЩИТА ЛИТОСФЕРЫ ОТ ТВЕРДЫХ ПРОМЫШЛЕННЫХ И БЫТОВЫХ ОТХОДОВ, ИЗД.1</t>
  </si>
  <si>
    <t>978-5-16-012760-6</t>
  </si>
  <si>
    <t>05.03.06, 05.04.06, 20.03.01, 20.03.02, 20.04.01, 20.04.02</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</si>
  <si>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05.03.06 «Экология и природопользование» (квалификация (степень) «бакалавр»)</t>
  </si>
  <si>
    <t>АКАДЕМУС-2089, Победитель</t>
  </si>
  <si>
    <t>640795.06.01</t>
  </si>
  <si>
    <t>Инженерная экология: процес. и аппараты очистки...: Уч.пос. / А.В.Луканин - М.:НИЦ ИНФРА-М,2024 - 523 с.(ВО)(П)</t>
  </si>
  <si>
    <t>ИНЖЕНЕРНАЯ ЭКОЛОГИЯ: ПРОЦЕССЫ И АППАРАТЫ ОЧИСТКИ ГАЗОВОЗДУШНЫХ ВЫБРОСОВ, ИЗД.1</t>
  </si>
  <si>
    <t>978-5-16-019644-2</t>
  </si>
  <si>
    <t>05.03.06, 05.04.06, 13.04.01, 18.03.02, 20.03.01, 20.04.01</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</si>
  <si>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(квалификация (степень) «бакалавр»)</t>
  </si>
  <si>
    <t>635885.06.01</t>
  </si>
  <si>
    <t>Инженерная экология: процессы...: Уч.пос. / А.В.Луканин - М.:НИЦ ИНФРА-М,2027 - 605 с.-(ВО)(П)</t>
  </si>
  <si>
    <t>978-5-16-022380-3</t>
  </si>
  <si>
    <t>05.03.06, 05.04.06, 20.03.01, 20.04.01</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</si>
  <si>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05.03.06 «Экология и природопользование», 19.03.01 «Биотехнология» (квалификация (степень) «бакалавр»)</t>
  </si>
  <si>
    <t>488550.10.01</t>
  </si>
  <si>
    <t>Инженерно-геологический словарь / А.Д.Потапов - М.:НИЦ ИНФРА-М,2026 - 336 с.(Б-ка сл. ИНФРА-М)(п)</t>
  </si>
  <si>
    <t>ИНЖЕНЕРНО-ГЕОЛОГИЧЕСКИЙ СЛОВАРЬ, ИЗД.1</t>
  </si>
  <si>
    <t>Потапов А.Д., Ревелис И.Л., Чернышев С.Н.</t>
  </si>
  <si>
    <t>978-5-16-010692-2</t>
  </si>
  <si>
    <t>05.03.01, 05.04.01, 08.03.01, 08.04.01, 21.05.02, 21.05.03</t>
  </si>
  <si>
    <t>654481.07.01</t>
  </si>
  <si>
    <t>Инженерные конструкции. Железобет...: Уч. / Т.К.Ксенофонтова. - М.:НИЦ ИНФРА-М,2026 - 386 с.(ВО)(п)</t>
  </si>
  <si>
    <t>ИНЖЕНЕРНЫЕ КОНСТРУКЦИИ. ЖЕЛЕЗОБЕТОННЫЕ И КАМЕННЫЕ КОНСТРУКЦИИ, ИЗД.1</t>
  </si>
  <si>
    <t>Ксенофонтова Т.К., Чумичева М.М., Ксенофонтова Т.К.</t>
  </si>
  <si>
    <t>978-5-16-018525-5</t>
  </si>
  <si>
    <t>08.03.01, 08.05.01, 08.05.02, 08.05.03, 20.03.01, 20.03.02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</si>
  <si>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08.03.01 «Строительство», 20.03.01 «Техносферная безопасность», 20.03.02 «Природообустройство и водопользование» (квалификация (степень) «бакалавр») (протокол № 11 от 10.06.2019)</t>
  </si>
  <si>
    <t>642185.06.01</t>
  </si>
  <si>
    <t>Инженерные конструкции. Метал.конструкции....: Уч. / Ю.М.Дукарский - 4 изд. - М.:НИЦ ИНФРА-М,2026 - 262 с.(П)</t>
  </si>
  <si>
    <t>ИНЖЕНЕРНЫЕ КОНСТРУКЦИИ. МЕТАЛЛИЧЕСКИЕ КОНСТРУКЦИИ И КОНСТРУКЦИИ ИЗ ДРЕВЕСИНЫ И ПЛАСТМАСС, ИЗД.4</t>
  </si>
  <si>
    <t>Дукарский Ю.М., Расс Ф.В., Мареева О.В.</t>
  </si>
  <si>
    <t>978-5-16-021456-6</t>
  </si>
  <si>
    <t>08.03.01, 20.03.02</t>
  </si>
  <si>
    <t>Рекомендовано в качестве учебника для студентов высших учебных заведений, обучающихся по направлениям подготовки 08.03.01 «Строительство», 20.03.02 «Природообустройство и водопользование» (квалификация (степень) «бакалавр»)</t>
  </si>
  <si>
    <t>667549.03.01</t>
  </si>
  <si>
    <t>Инженерные методы расчета задач..: Моногр./ Ю.В.Видин и др.-М.:НИЦ ИНФРА-М, СФУ,2020-168 с.(Науч.мысль)(П)</t>
  </si>
  <si>
    <t>ИНЖЕНЕРНЫЕ МЕТОДЫ РАСЧЕТА ЗАДАЧ ТЕПЛООБМЕНА, ИЗД.1</t>
  </si>
  <si>
    <t>Видин Ю.В., Иванов В.В., Казаков Р.В.</t>
  </si>
  <si>
    <t>978-5-16-013229-7</t>
  </si>
  <si>
    <t>13.04.01, 13.05.01, 13.06.01</t>
  </si>
  <si>
    <t>648926.04.01</t>
  </si>
  <si>
    <t>Инжиниринг труда: проект.трудовых процес..: Уч.пос. /Е.А.Савельева-М.:Вуз.уч.,НИЦ ИНФРА-М,2023-236с.</t>
  </si>
  <si>
    <t>ИНЖИНИРИНГ ТРУДА: ПРОЕКТИРОВАНИЕ ТРУДОВЫХ ПРОЦЕССОВ И СИСТЕМ, ИЗД.1</t>
  </si>
  <si>
    <t>Савельева Е.А.</t>
  </si>
  <si>
    <t>978-5-9558-0536-8</t>
  </si>
  <si>
    <t>38.03.01, 38.03.03, 38.04.01, 38.04.03, 39.04.01, 41.03.06</t>
  </si>
  <si>
    <t>765456.02.01</t>
  </si>
  <si>
    <t>Инициативное бюджетирование: эволюция теор. и прак.: Моногр. / В.В.Вагин - М.:НИЦ ИНФРА-М,2026 - 270 с.(О)</t>
  </si>
  <si>
    <t>ИНИЦИАТИВНОЕ БЮДЖЕТИРОВАНИЕ: ЭВОЛЮЦИЯ ТЕОРИИ И ПРАКТИКИ, ИЗД.1</t>
  </si>
  <si>
    <t>Вагин В.В., Шугрина Е.С., Пинская М.Р. и др.</t>
  </si>
  <si>
    <t>978-5-16-017247-7</t>
  </si>
  <si>
    <t>38.04.01, 38.04.04, 38.04.08, 38.06.01, 40.04.01, 56.04.10</t>
  </si>
  <si>
    <t>Научно-исследовательский финансовый институт Минфина России</t>
  </si>
  <si>
    <t>714122.07.01</t>
  </si>
  <si>
    <t>Инклюзивное обуч. детей с огранич. возмож...: Уч.мет.пос. / Л.И.Плаксина -  М.:НИЦ ИНФРА-М,2026 - 192 с.(ВО)(П)</t>
  </si>
  <si>
    <t>ИНКЛЮЗИВНОЕ ОБУЧЕНИЕ ДЕТЕЙ С ОГРАНИЧЕННЫМИ ВОЗМОЖНОСТЯМИ ЗДОРОВЬЯ ПСИХОЛОГО-ПЕДАГОГИЧЕСКОЕ СОПРОВОЖДЕНИЕ ДОШКОЛЬНИКОВ С НАРУШЕНИЯМИ ЗРЕНИЯ, ИЗД.1</t>
  </si>
  <si>
    <t>Плаксина Л.И., Дружинина Л.А., Осипова Л.Б.</t>
  </si>
  <si>
    <t>978-5-16-018496-8</t>
  </si>
  <si>
    <t>44.03.01, 44.03.02, 44.03.03, 44.04.01, 44.04.02, 44.04.03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</si>
  <si>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44.03.01 «Педагогическое образование» (квалификация (степень) «бакалавр») (протокол № 10 от 12.10.2020)</t>
  </si>
  <si>
    <t>763713.07.01</t>
  </si>
  <si>
    <t>Инклюзивное обуч. детей с огранич. возмож...: Уч.мет.пос. / Л.И.Плаксина - М.:НИЦ ИНФРА-М,2026 - 192 с.(СПО)(п)</t>
  </si>
  <si>
    <t>978-5-16-017120-3</t>
  </si>
  <si>
    <t>39.02.01, 44.02.01, 44.02.02, 44.02.03, 44.02.04, 44.02.05, 44.02.06, 49.02.01, 49.02.02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</si>
  <si>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3 от 17.03.2021)</t>
  </si>
  <si>
    <t>804517.02.01</t>
  </si>
  <si>
    <t>Инновации в проф. образовании: пробл., подходы..: Моногр. / Р.Р.Байгутлин - М.:НИЦ ИНФРА-М,2026. - 336 с.(п)</t>
  </si>
  <si>
    <t>ИННОВАЦИИ В ПРОФЕССИОНАЛЬНОМ ОБРАЗОВАНИИ: ПРОБЛЕМЫ, ПОДХОДЫ, ПЕДАГОГИЧЕСКИЕ ТЕХНОЛОГИИ, ИЗД.1</t>
  </si>
  <si>
    <t>978-5-16-018875-1</t>
  </si>
  <si>
    <t>44.04.01, 44.04.02, 44.06.01</t>
  </si>
  <si>
    <t>732499.02.01</t>
  </si>
  <si>
    <t>Инновации в социальных и образовательных системах: Моногр./ Н.Н.Каргин-М.:НИЦ ИНФРА-М,2022-299с.(О)</t>
  </si>
  <si>
    <t>ИННОВАЦИИ В СОЦИАЛЬНЫХ И ОБРАЗОВАТЕЛЬНЫХ СИСТЕМАХ  (НА ПРИМЕРЕ СПОРТИВНО-ОЗДОРОВИТЕЛЬНОЙ ДЕЯТЕЛЬНОСТИ), ИЗД.1</t>
  </si>
  <si>
    <t>Каргин Н.Н., Лаамарти Ю.А.</t>
  </si>
  <si>
    <t>978-5-16-016194-5</t>
  </si>
  <si>
    <t>39.03.01, 39.04.01, 39.04.03, 39.06.01</t>
  </si>
  <si>
    <t>765296.06.01</t>
  </si>
  <si>
    <t>Инновации и современные модели бизнеса: Уч. / Т.Г.Попадюк и др. - М.:НИЦ ИНФРА-М,2027. - 334 с.(ВО)</t>
  </si>
  <si>
    <t>ИННОВАЦИИ И СОВРЕМЕННЫЕ МОДЕЛИ БИЗНЕСА, ИЗД.1</t>
  </si>
  <si>
    <t>Попадюк Т.Г., Линдер Н.В., Трачук А.В. и др.</t>
  </si>
  <si>
    <t>978-5-16-019078-5</t>
  </si>
  <si>
    <t>27.03.05, 38.03.01, 38.03.02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</si>
  <si>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6 от 08.06.2022)</t>
  </si>
  <si>
    <t>766448.07.01</t>
  </si>
  <si>
    <t>Инновационная деят. на автомоб. транспорте: Уч.пос. / Бычков В.П. - 2 изд.-М.:НИЦ ИНФРА-М,2024-404с(П)</t>
  </si>
  <si>
    <t>ИННОВАЦИОННАЯ ДЕЯТЕЛЬНОСТЬ НА АВТОМОБИЛЬНОМ ТРАНСПОРТЕ, ИЗД.2</t>
  </si>
  <si>
    <t>Анисимов Ю.П., Бычков В.П., Куксова И.В. и др.</t>
  </si>
  <si>
    <t>978-5-16-015480-0</t>
  </si>
  <si>
    <t>23.03.01, 23.03.02, 23.03.03, 23.04.03, 23.05.01, 38.03.01, 38.03.02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</si>
  <si>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23.03.00 «Техника и технологии наземного транспорта» и направлению подготовки 38.03.02 «Менеджмент» (квалификация (степень) «бакалавр») (протокол № 5 от 16.03.2020)</t>
  </si>
  <si>
    <t>Воронежский государственный технический университет</t>
  </si>
  <si>
    <t>261600.09.01</t>
  </si>
  <si>
    <t>Инновационная деят. предприятия: Уч. / А.Ф.Наумов - М.:НИЦ ИНФРА-М,2025 - 256 с.(ВО: Бакалавр.) (п)</t>
  </si>
  <si>
    <t>ИННОВАЦИОННАЯ ДЕЯТЕЛЬНОСТЬ ПРЕДПРИЯТИЯ, ИЗД.1</t>
  </si>
  <si>
    <t>Наумов А.Ф., Захарова А.А.</t>
  </si>
  <si>
    <t>978-5-16-009521-9</t>
  </si>
  <si>
    <t>657679.04.01</t>
  </si>
  <si>
    <t>Инновационная модель развития экономики региона: Моногр. / П.А.Левчаев-М.:НИЦ ИНФРА-М,2023.-92 с.(О)</t>
  </si>
  <si>
    <t>ИННОВАЦИОННАЯ МОДЕЛЬ РАЗВИТИЯ ЭКОНОМИКИ РЕГИОНА, ИЗД.1</t>
  </si>
  <si>
    <t>978-5-16-012894-8</t>
  </si>
  <si>
    <t>27.03.05, 27.04.05, 27.04.07, 38.03.01, 38.03.02, 38.04.01, 38.04.02</t>
  </si>
  <si>
    <t>640373.12.01</t>
  </si>
  <si>
    <t>Инновационная педагогика: Уч.пос. / О.П.Околелов - М.:НИЦ ИНФРА-М,2026. - 167 с.(ВО)(п)</t>
  </si>
  <si>
    <t>ИННОВАЦИОННАЯ ПЕДАГОГИКА, ИЗД.1</t>
  </si>
  <si>
    <t>Околелов О.П.</t>
  </si>
  <si>
    <t>978-5-16-021162-6</t>
  </si>
  <si>
    <t>44.04.01, 44.04.02, 44.04.03, 44.04.04, 51.04.03</t>
  </si>
  <si>
    <t>Рекомендовано в качестве учебного пособия для студентов высших учебных заведений, обучающихся по направлениям подготовки  44.04.01 «Педагогическое образование», 44.04.02 «Психолого-педагогическое образование», 44.04.03 «Специальное (дефектологическое) образование» (квалификация (степень) «магистр»)</t>
  </si>
  <si>
    <t>687648.08.01</t>
  </si>
  <si>
    <t>Инновационная среда крупных рос.компаний..:Моногр. / Н.Н.Веселитская - М.:НИЦ ИНФРА-М,2026 - 118 с.(О)</t>
  </si>
  <si>
    <t>ИННОВАЦИОННАЯ СРЕДА КРУПНЫХ РОССИЙСКИХ КОМПАНИЙ: ПОИСК МЕХАНИЗМОВ ВЗАИМОДЕЙСТВИЯ, ИЗД.1</t>
  </si>
  <si>
    <t>Веселитская Н.Н.</t>
  </si>
  <si>
    <t>978-5-16-014269-2</t>
  </si>
  <si>
    <t>27.04.05, 27.04.07, 38.03.01, 38.03.02, 38.04.01, 38.04.02</t>
  </si>
  <si>
    <t>348500.05.01</t>
  </si>
  <si>
    <t>Инновационная технол.иммобил.радиоактив.отход..: Моногр. / В.А.Лебедев - М.:ИЦ РИОР,НИЦ ИНФРА-М,2026 - 88 с.(о)</t>
  </si>
  <si>
    <t>ИННОВАЦИОННАЯ ТЕХНОЛОГИЯ ИММОБИЛИЗАЦИИ РАДИОАКТИВНЫХ ОТХОДОВ НА ОСНОВЕ МАГНЕЗИАЛЬНЫХ МАТРИЦ, ИЗД.1</t>
  </si>
  <si>
    <t>Лебедев В.А., Пискунов В.М.</t>
  </si>
  <si>
    <t>978-5-369-01429-5</t>
  </si>
  <si>
    <t>18.03.01, 18.04.01, 18.05.01, 18.05.02</t>
  </si>
  <si>
    <t>Санкт-Петербургский горный университет</t>
  </si>
  <si>
    <t>149400.11.01</t>
  </si>
  <si>
    <t>Инновационная экономика молодеж. среды: Уч. пос. / В.О.Евсеев - М.: Вуз. уч., 2025 - 342 с. (п)</t>
  </si>
  <si>
    <t>ИННОВАЦИОННАЯ ЭКОНОМИКА МОЛОДЕЖНОЙ СРЕДЫ, ИЗД.1</t>
  </si>
  <si>
    <t>978-5-9558-0187-2</t>
  </si>
  <si>
    <t>39.03.02, 39.03.03, 39.04.02, 39.04.03</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</si>
  <si>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и специальности "Социальная работа"</t>
  </si>
  <si>
    <t>282100.07.01</t>
  </si>
  <si>
    <t>Инновационная экономика: Научно-метод. пос./ М.В. Кудина - М.: ФОРУМ: ИНФРА-М, 2023 - 304 с. (П)</t>
  </si>
  <si>
    <t>ИННОВАЦИОННАЯ ЭКОНОМИКА, ИЗД.1</t>
  </si>
  <si>
    <t>Кудина М.В., Кудина М.В., Сажина М.А.</t>
  </si>
  <si>
    <t>978-5-8199-0595-1</t>
  </si>
  <si>
    <t>27.04.07, 38.03.01, 38.03.02, 38.03.04, 38.04.01, 38.04.02, 38.04.04</t>
  </si>
  <si>
    <t>Рекомендовано Ученым советом факультета государственного управления Московского государственного университета имени М.В. Ломоносова в качестве научно-методического пособия для аспирантов высших учебных заведений, обучающихся по экономическим и управл</t>
  </si>
  <si>
    <t>290200.09.01</t>
  </si>
  <si>
    <t>Инновационная экономика: стратегия...: Уч.пос. / О.И.Донцова-М.: Альфа-М,НИЦ ИНФРА-М,2023-208с(П)</t>
  </si>
  <si>
    <t>ИННОВАЦИОННАЯ ЭКОНОМИКА: СТРАТЕГИЯ И ИНСТРУМЕНТЫ ФОРМИРОВАНИЯ, ИЗД.1</t>
  </si>
  <si>
    <t>Донцова О. И., Логвинов С. А.</t>
  </si>
  <si>
    <t>978-5-98281-403-6</t>
  </si>
  <si>
    <t>Рекомендовано федеральным государственным бюджетным образовательным учреждением высшего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38.04.01 «Экономика» (квалификация (степень) «магистр»)</t>
  </si>
  <si>
    <t>681309.06.01</t>
  </si>
  <si>
    <t>Инновационная экономика: Уч. / О.И.Донцова - М.:НИЦ ИНФРА-М,2025 - 217 с.(ВО: Магистратура)(П)</t>
  </si>
  <si>
    <t>Донцова О.И.</t>
  </si>
  <si>
    <t>978-5-16-016895-1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</si>
  <si>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38.04.02 «Менеджмент» (квалификация (степень) «магистр») (протокол № 7 от 15.04.2019)</t>
  </si>
  <si>
    <t>728880.02.01</t>
  </si>
  <si>
    <t>Инновационное предпринимательство: Уч. / А.Г.Дементьева.-М.:Магистр, НИЦ ИНФРА-М,2023.-568 с.(П)</t>
  </si>
  <si>
    <t>ИННОВАЦИОННОЕ ПРЕДПРИНИМАТЕЛЬСТВО, ИЗД.1</t>
  </si>
  <si>
    <t>Дементьева А.Г., Соколова М.И., Хотяшева О.М.</t>
  </si>
  <si>
    <t>978-5-9776-0504-5</t>
  </si>
  <si>
    <t>38.04.02, 39.04.01, 44.04.02</t>
  </si>
  <si>
    <t>446350.07.01</t>
  </si>
  <si>
    <t>Инновационное развитие рос. компаний на основе.: Моногр. / В.В.Уваров - М:Магистр:НИЦ ИНФРА-М,2026 - 224 с. (о)</t>
  </si>
  <si>
    <t>ИННОВАЦИОННОЕ РАЗВИТИЕ РОССИЙСКИХ КОМПАНИЙ НА ОСНОВЕ МЕЖДУНАРОДНОЙ ИНТЕГРАЦИИ, ИЗД.1</t>
  </si>
  <si>
    <t>Уваров В. В.</t>
  </si>
  <si>
    <t>978-5-9776-0279-2</t>
  </si>
  <si>
    <t>27.03.05, 38.03.01, 38.03.02, 38.04.01, 38.04.02, 41.03.06</t>
  </si>
  <si>
    <t>112900.20.01</t>
  </si>
  <si>
    <t>Инновационное развитие: эконом.,интеллект.ресурс... / Б.З.Мильнер - М:НИЦ ИНФРА-М,2026 - 624 с.(Науч.мысль)(П)</t>
  </si>
  <si>
    <t>ИННОВАЦИОННОЕ РАЗВИТИЕ: ЭКОНОМИКА, ИНТЕЛЛЕКТУАЛЬНЫЕ РЕСУРСЫ, УПРАВЛЕНИЕ ЗНАНИЯМИ, ИЗД.1</t>
  </si>
  <si>
    <t>Мильнер Б.З.</t>
  </si>
  <si>
    <t>978-5-16-003649-6</t>
  </si>
  <si>
    <t>02.04.03, 38.03.03, 38.03.06, 38.06.01, 38.07.02, 41.03.06</t>
  </si>
  <si>
    <t>112900.18.01</t>
  </si>
  <si>
    <t>Инновационное развитие: экономика, интеллектуальные ресурсы, управление знаниями: мон. / Б.З.Мильнер-М.:НИЦ ИНФРА-М,2025.-624 с..-(Науч.мысль)(о)</t>
  </si>
  <si>
    <t>978-5-16-020889-3</t>
  </si>
  <si>
    <t>684141.07.01</t>
  </si>
  <si>
    <t>Инновационно-тех. пути обесп. нац. безоп. России: Моногр. /А.В.Леонов-М.:НИЦ ИНФРА-М,2024-268с(О)</t>
  </si>
  <si>
    <t>ИННОВАЦИОННО-ТЕХНОЛОГИЧЕСКИЕ ПУТИ ОБЕСПЕЧЕНИЯ НАЦИОНАЛЬНОЙ БЕЗОПАСНОСТИ РОССИИ, ИЗД.1</t>
  </si>
  <si>
    <t>Леонов А.В., Пронин А.Ю.</t>
  </si>
  <si>
    <t>978-5-16-016345-1</t>
  </si>
  <si>
    <t>56.04.01, 57.05.03</t>
  </si>
  <si>
    <t>Центральный научно-исследовательский институт Военно-воздушных сил Министерства обороны Российской Ф</t>
  </si>
  <si>
    <t>684141.01.01</t>
  </si>
  <si>
    <t>Инновационно-тех. пути обесп. национал.безоп.России: Моногр. /А.В.Леонов-М.:НИЦ ИНФРА-М,2018-268с(П)</t>
  </si>
  <si>
    <t>978-5-16-014076-6</t>
  </si>
  <si>
    <t>307300.06.01</t>
  </si>
  <si>
    <t>Инновационные модели проф. гуманитар. подготовки в вузе / Е.А.Соколков - М.:НИЦ ИНФРА-М,2026. - 189 с.(ВО)(п)</t>
  </si>
  <si>
    <t>ИННОВАЦИОННЫЕ МОДЕЛИ ПРОФЕССИОНАЛЬНОЙ ГУМАНИТАРНОЙ ПОДГОТОВКИ В ВУЗЕ, ИЗД.1</t>
  </si>
  <si>
    <t>Соколков Е. А.</t>
  </si>
  <si>
    <t>978-5-16-021187-9</t>
  </si>
  <si>
    <t>37.03.01, 37.04.01, 44.03.01, 44.03.02, 44.03.03, 44.03.04, 44.03.05, 44.04.01, 44.04.02, 44.04.03, 44.04.04, 45.03.01, 45.03.04, 45.04.01, 45.04.04, 51.03.01, 51.04.01</t>
  </si>
  <si>
    <t>649556.09.01</t>
  </si>
  <si>
    <t>Инновационные модели проф. деят. педагог.: Моногр. / Под ред. Сергеевой В.П. - М.:НИЦ ИНФРА-М,2026 - 165с.(П)</t>
  </si>
  <si>
    <t>ИННОВАЦИОННЫЕ МОДЕЛИ ПРОФЕССИОНАЛЬНОЙ ДЕЯТЕЛЬНОСТИ ПЕДАГОГОВ В ОБРАЗОВАТЕЛЬНЫХ ОРГАНИЗАЦИЯХ В ЦЕЛЯХ СОЦИАЛИЗАЦИИ ДЕТЕЙ И МОЛОДЕЖИ, ИЗД.1</t>
  </si>
  <si>
    <t>Подымова Л.С., Сергеева В.П., Гайнуллова Ф.С. и др.</t>
  </si>
  <si>
    <t>978-5-16-012696-8</t>
  </si>
  <si>
    <t>44.03.01, 44.03.02, 44.03.05, 44.04.01, 44.04.02</t>
  </si>
  <si>
    <t>813672.01.01</t>
  </si>
  <si>
    <t>Инновационные подходы к развитию гостеприимства: Уч. / Т.П.Розанова. - М.:НИЦ ИНФРА-М,2026. - 230 с.(ВО)(п)</t>
  </si>
  <si>
    <t>ИННОВАЦИОННЫЕ ПОДХОДЫ К РАЗВИТИЮ ГОСТЕПРИИМСТВА, ИЗД.1</t>
  </si>
  <si>
    <t>Розанова Т.П., Швец И.Ю., Швец Ю.Ю. и др.</t>
  </si>
  <si>
    <t>978-5-16-021168-8</t>
  </si>
  <si>
    <t>43.03.02, 43.03.03, 43.04.01, 43.04.03</t>
  </si>
  <si>
    <t>АКАДЕМУС-2025, Победитель, III место</t>
  </si>
  <si>
    <t>487050.05.01</t>
  </si>
  <si>
    <t>Инновационные процессы в упр. объектами. сельск.: Уч.пос. /А.Л.Эйдис -М.: НИЦ ИНФРА-М, 2022 -192с. (ВО:Бакалавр.)(п)</t>
  </si>
  <si>
    <t>ИННОВАЦИОННЫЕ ПРОЦЕССЫ В УПРАВЛЕНИИ ОБЪЕКТАМИ СЕЛЬСКОХОЗЯЙСТВЕННОГО НАЗНАЧЕНИЯ, ИЗД.1</t>
  </si>
  <si>
    <t>ЭйдисА.Л., ТиняковаВ.И., ПолешкинаИ.О. и др.</t>
  </si>
  <si>
    <t>978-5-16-010658-8</t>
  </si>
  <si>
    <t>35.03.04, 35.03.05, 35.03.08, 38.03.02</t>
  </si>
  <si>
    <t>Рекомендовано Учебно-методическим объединением вузов Российской Федерации по аграрному образованию в качестве учебного пособия для студентов, осваивающих образовательные программы бакалавриата по направлению подготовки «Агроинженерия»</t>
  </si>
  <si>
    <t>847974.01.01</t>
  </si>
  <si>
    <t>Инновационные средства фиксации информации в..: Моногр. / А.В.Кружалова - М.:НИЦ ИНФРА-М,2025. - 216 с.(п)</t>
  </si>
  <si>
    <t>ИННОВАЦИОННЫЕ СРЕДСТВА ФИКСАЦИИ ИНФОРМАЦИИ В АРБИТРАЖНОМ СУДОПРОИЗВОДСТВЕ, ИЗД.1</t>
  </si>
  <si>
    <t>Кружалова А.В.</t>
  </si>
  <si>
    <t>978-5-16-020636-3</t>
  </si>
  <si>
    <t>865364.01.01</t>
  </si>
  <si>
    <t>Инновационные технологии в хлебопечении: Моногр. / А.С.Петрова - М.:НИЦ ИНФРА-М,2027. - 177 с.(о)</t>
  </si>
  <si>
    <t>ИННОВАЦИОННЫЕ ТЕХНОЛОГИИ В ХЛЕБОПЕЧЕНИИ: ИСПОЛЬЗОВАНИЕ КОЛЛОИДНЫХ ИОНОВ СЕРЕБРА ДЛЯ УЛУЧШЕНИЯ КАЧЕСТВА ДРОЖЖЕЙ И ХЛЕБА, ИЗД.1</t>
  </si>
  <si>
    <t>Петрова А.С.</t>
  </si>
  <si>
    <t>978-5-16-021514-3</t>
  </si>
  <si>
    <t>19.03.02, 19.04.01, 19.04.02, 19.06.01, 35.03.07</t>
  </si>
  <si>
    <t>670494.04.01</t>
  </si>
  <si>
    <t>Инновационные характерист.субъектов рынка труда..: Моногр. / А.А.Рабцевич - М.:НИЦ ИНФРА-М,2022-152с(П)</t>
  </si>
  <si>
    <t>ИННОВАЦИОННЫЕ ХАРАКТЕРИСТИКИ СУБЪЕКТОВ РЫНКА ТРУДА: АНАЛИЗ И ОСНОВНЫЕ НАПРАВЛЕНИЯ ФОРМИРОВАНИЯ, ИЗД.1</t>
  </si>
  <si>
    <t>Рабцевич А.А.</t>
  </si>
  <si>
    <t>978-5-16-013483-3</t>
  </si>
  <si>
    <t>38.03.01, 38.03.03, 41.03.06</t>
  </si>
  <si>
    <t>156500.10.01</t>
  </si>
  <si>
    <t>Инновационный маркетинг: Уч. / В.Д.Секерин-М.:НИЦ ИНФРА-М,2024.-237 с..-(ВО)(п)</t>
  </si>
  <si>
    <t>ИННОВАЦИОННЫЙ МАРКЕТИНГ, ИЗД.1</t>
  </si>
  <si>
    <t>Секерин В. Д.</t>
  </si>
  <si>
    <t>978-5-16-018932-1</t>
  </si>
  <si>
    <t>38.03.01, 38.03.02, 38.03.06, 38.04.06, 41.03.06, 44.03.01, 44.03.05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</si>
  <si>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38.03.02 «Менеджмент»</t>
  </si>
  <si>
    <t>439300.07.01</t>
  </si>
  <si>
    <t>Инновационный менеджмент в АПК: Уч. / В.В.Козлов - М.:КУРС,НИЦ ИНФРА-М,2024-364с.(п)</t>
  </si>
  <si>
    <t>ИННОВАЦИОННЫЙ МЕНЕДЖМЕНТ В АПК, ИЗД.1</t>
  </si>
  <si>
    <t>Козлов В.В., Козлова Е.Ю.</t>
  </si>
  <si>
    <t>978-5-905554-27-8</t>
  </si>
  <si>
    <t>38.03.01, 38.03.02, 38.03.03, 38.04.01, 38.04.02, 38.04.03</t>
  </si>
  <si>
    <t>Допущено УМО по образованию в области производственного менеджемента в качестве учебника для студентов высших учебных заведений, обучающихся по направлению подготовки 38.03.02 «Менеджемент» (профиль «Производственный менеджемнт»)</t>
  </si>
  <si>
    <t>754644.01.01</t>
  </si>
  <si>
    <t>Инновационный менеджмент в образовании: Уч. / Н.А.Патутина.-М.:НИЦ ИНФРА-М,2024.-263 с.(ВО:Магистр)(п)</t>
  </si>
  <si>
    <t>ИННОВАЦИОННЫЙ МЕНЕДЖМЕНТ В ОБРАЗОВАНИИ, ИЗД.1</t>
  </si>
  <si>
    <t>Патутина Н.А., Гуськов Ю.В., Киселёва О.О.</t>
  </si>
  <si>
    <t>978-5-16-017518-8</t>
  </si>
  <si>
    <t>38.03.01, 38.04.02, 38.04.04, 44.04.01</t>
  </si>
  <si>
    <t>632115.02.01</t>
  </si>
  <si>
    <t>Инновационный менеджмент: Уч. / Под ред. Джухи В.М. - 2 изд.-М.:ИЦ РИОР, НИЦ ИНФРА-М,2017-380с.(ВО)</t>
  </si>
  <si>
    <t>ИННОВАЦИОННЫЙ МЕНЕДЖМЕНТ, ИЗД.2</t>
  </si>
  <si>
    <t>Джуха В.М., Кузьминов А.Н., Погосян Р.Р. и др.</t>
  </si>
  <si>
    <t>978-5-369-01570-4</t>
  </si>
  <si>
    <t>694643.08.01</t>
  </si>
  <si>
    <t>Инновационный менеджмент: Уч. / Т.В.Погодина и др. - М.:НИЦ ИНФРА-М,2026 - 343 с.-(ВО))(П)</t>
  </si>
  <si>
    <t>ИННОВАЦИОННЫЙ МЕНЕДЖМЕНТ, ИЗД.1</t>
  </si>
  <si>
    <t>Погодина Т.В., Попадюк Т.Г., Удальцова Н.Л.</t>
  </si>
  <si>
    <t>978-5-16-018724-2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</si>
  <si>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(протокол № 8 от 29.04.2019)</t>
  </si>
  <si>
    <t>051540.16.01</t>
  </si>
  <si>
    <t>Инновационный менеджмент: Уч.пос. / А.М.Мухамедьяров, - 3 изд.-М.:НИЦ ИНФРА-М,2024.-191 с.(ВО)(о)</t>
  </si>
  <si>
    <t>ИННОВАЦИОННЫЙ МЕНЕДЖМЕНТ, ИЗД.3</t>
  </si>
  <si>
    <t>Мухамедьяров А. М.</t>
  </si>
  <si>
    <t>978-5-16-006730-8</t>
  </si>
  <si>
    <t>38.03.01, 38.03.02, 38.03.04, 41.03.06</t>
  </si>
  <si>
    <t>Допущено Министерством образования РФ в качестве учебного пособия для студентов высших учебных заведений, обучающихся по специальности 061100 "Менеджмент организации"</t>
  </si>
  <si>
    <t>162100.09.01</t>
  </si>
  <si>
    <t>Инновационный менеджмент: Уч.пос. / В.Д.Грибов - М.:НИЦ ИНФРА-М,2025. - 311 с.(ВО: Бакалавриат)(П)</t>
  </si>
  <si>
    <t>Грибов В. Д., Никитина Л. П.</t>
  </si>
  <si>
    <t>978-5-16-004870-3</t>
  </si>
  <si>
    <t>38.03.02, 38.03.04, 38.04.02, 38.04.04, 41.03.06</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</si>
  <si>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080200 "Менеджмент" и 080507 "Менеджмент организации"</t>
  </si>
  <si>
    <t>441050.10.01</t>
  </si>
  <si>
    <t>Инновационный менеджмент: Уч.пос. / Е.П.Голубков - М.:НИЦ ИНФРА-М,2025 - 184 с.(ВО: Бакалавр.)(П)</t>
  </si>
  <si>
    <t>Голубков Е. П.</t>
  </si>
  <si>
    <t>978-5-16-006791-9</t>
  </si>
  <si>
    <t>Рекомендовано Советом Учебно-методического объединения вузов по образованию в области менеджмента в качестве учебного пособия для студентов высших учебных заведений, обучающихся по направлению 080200.65 «Менеджмент» (степень (квалификация) - «бакалав</t>
  </si>
  <si>
    <t>808357.01.01</t>
  </si>
  <si>
    <t>Инновационный механизм развития управ. промыш. орг.: Моногр. / И.И.Мельничук-М.:НИЦ ИНФРА-М,2024.-168 с(о)</t>
  </si>
  <si>
    <t>ИННОВАЦИОННЫЙ МЕХАНИЗМ РАЗВИТИЯ УПРАВЛЕНИЯ ПРОМЫШЛЕННОЙ ОРГАНИЗАЦИЕЙ, ИЗД.1</t>
  </si>
  <si>
    <t>Скубрий Е.В., Мельничук И.И., Желтенков А.В. и др.</t>
  </si>
  <si>
    <t>978-5-16-019044-0</t>
  </si>
  <si>
    <t>Академия гражданской защиты МЧС России</t>
  </si>
  <si>
    <t>859323.02.01</t>
  </si>
  <si>
    <t>Инновационный правопорядок..: Уч.пос. / В.Н.Синюков.-М.:Юр. НОРМА, НИЦ ИНФРА-М,2026.-252 с.(п)</t>
  </si>
  <si>
    <t>ИННОВАЦИОННЫЙ ПРАВОПОРЯДОК. ТЕОРИЯ ПРАВОПОРЯДКА В. В. БОРИСОВА В СОВРЕМЕННОМ РОССИЙСКОМ КОНТЕКСТЕ, ИЗД.1</t>
  </si>
  <si>
    <t>Синюков В.Н., Синюков С.В.</t>
  </si>
  <si>
    <t>978-5-00156-445-4</t>
  </si>
  <si>
    <t>437450.07.01</t>
  </si>
  <si>
    <t>Инновационный ритейл. Организ. лидерство и..: Моногр. /В.П.Чеглов -2 изд. -ФОРУМ: ИНФРА-М, 2023 -272с (о)</t>
  </si>
  <si>
    <t>ИННОВАЦИОННЫЙ РИТЕЙЛ. ОРГАНИЗАЦИОННОЕ ЛИДЕРСТВО И ЭФФЕКТИВНЫЕ ТЕХНОЛОГИИ, ИЗД.2</t>
  </si>
  <si>
    <t>Чеглов В.П.</t>
  </si>
  <si>
    <t>978-5-8199-0606-4</t>
  </si>
  <si>
    <t>38.03.01, 38.03.02, 38.03.05, 38.03.06, 38.03.07, 38.04.01, 38.04.02, 38.04.05, 38.04.06, 38.04.07, 41.03.06</t>
  </si>
  <si>
    <t>421150.12.01</t>
  </si>
  <si>
    <t>Иностранные языки: психология усвоения: Уч.пос. / Н.Т.Ерчак - М.:НИЦ ИНФРА-М,2026. - 336 с.(ВО)(п)</t>
  </si>
  <si>
    <t>ИНОСТРАННЫЕ ЯЗЫКИ: ПСИХОЛОГИЯ УСВОЕНИЯ, ИЗД.1</t>
  </si>
  <si>
    <t>Ерчак Н. Т.</t>
  </si>
  <si>
    <t>978-5-16-019258-1</t>
  </si>
  <si>
    <t>37.03.01, 37.04.01, 44.03.02, 44.04.02, 45.03.02, 45.04.02</t>
  </si>
  <si>
    <t>Допущено Министерством образования Республики Беларусь в качестве учебного пособия для магистрантов учреждений высшего образования по специальностям «Теория и методика обучения и воспитания (иностранные языки)», «Общая педагогика, история педагогики и образования», «Психология»</t>
  </si>
  <si>
    <t>818513.02.01</t>
  </si>
  <si>
    <t>Иностранный яз. в проф. деят. (англ.)...: Прак.: Уч.пос. / Н.А.Федосеева - М.:НИЦ ИНФРА-М,2026 - 267 с.(п)</t>
  </si>
  <si>
    <t>ИНОСТРАННЫЙ ЯЗЫК В ПРОФЕССИОНАЛЬНОЙ ДЕЯТЕЛЬНОСТИ (АНГЛИЙСКИЙ): ЭКСПЛУАТАЦИЯ БЕСПИЛОТНЫХ АВИАЦИОННЫХ СИСТЕМ. ПРАКТИКУМ, ИЗД.1</t>
  </si>
  <si>
    <t>Федосеева Н.А.</t>
  </si>
  <si>
    <t>978-5-16-020443-7</t>
  </si>
  <si>
    <t>25.02.01, 25.02.04, 25.02.06, 25.02.08</t>
  </si>
  <si>
    <t>Ульяновский авиационный колледж</t>
  </si>
  <si>
    <t>861038.01.01</t>
  </si>
  <si>
    <t>Иностранный язык. Английский...: Уч.пос. / Н.А.Грищенко. - М.:НИЦ ИНФРА-М, СФУ,2026. - 239 с.(ВО (СФУ))(п)</t>
  </si>
  <si>
    <t>ИНОСТРАННЫЙ ЯЗЫК. АНГЛИЙСКИЙ. АКАДЕМИЧЕСКАЯ И ДЕЛОВАЯ СФЕРЫ КОММУНИКАЦИИ, ИЗД.1</t>
  </si>
  <si>
    <t>978-5-16-021392-7</t>
  </si>
  <si>
    <t>38.03.01, 38.05.01</t>
  </si>
  <si>
    <t>750023.06.01</t>
  </si>
  <si>
    <t>Институт административ. отв. несовершеннол. в России: Моногр. / Е.А.Кириллова - М.:НИЦ ИНФРА-М,2027. - 183 с.(О)</t>
  </si>
  <si>
    <t>ИНСТИТУТ АДМИНИСТРАТИВНОЙ ОТВЕТСТВЕННОСТИ НЕСОВЕРШЕННОЛЕТНИХ В РОССИИ, ИЗД.1</t>
  </si>
  <si>
    <t>978-5-16-016924-8</t>
  </si>
  <si>
    <t>39.03.02, 39.04.02, 40.02.02, 40.02.04, 40.03.01, 40.04.01, 40.05.02, 40.05.04, 40.06.01, 44.03.05</t>
  </si>
  <si>
    <t>472800.05.01</t>
  </si>
  <si>
    <t>Институт гос. и муниц. услуг в совр.праве РФ: Моногр. / В.И.Фадеев - М.:Юр.Норма,НИЦ ИНФРА-М,2025 - 208 с.(о)</t>
  </si>
  <si>
    <t>ИНСТИТУТ ГОСУДАРСТВЕННЫХ И МУНИЦИПАЛЬНЫХ УСЛУГ В СОВРЕМЕННОМ ПРАВЕ РФ, ИЗД.1</t>
  </si>
  <si>
    <t>Фадеев В.И.</t>
  </si>
  <si>
    <t>978-5-91768-698-1</t>
  </si>
  <si>
    <t>Белгородский университет кооперации, экономики и права, Курский институт кооперации ф-л</t>
  </si>
  <si>
    <t>821092.01.01</t>
  </si>
  <si>
    <t>Институт гражданства в зарубежных странах...: Моногр. / И.С.Иксанов - М.:НИЦ ИНФРА-М,2026. - 190 с.(о)</t>
  </si>
  <si>
    <t>ИНСТИТУТ ГРАЖДАНСТВА В ЗАРУБЕЖНЫХ СТРАНАХ: ТРАДИЦИОННЫЕ И СОВРЕМЕННЫЕ ПОДХОДЫ, ИЗД.1</t>
  </si>
  <si>
    <t>978-5-16-020535-9</t>
  </si>
  <si>
    <t>701894.03.01</t>
  </si>
  <si>
    <t>Институт юридич. ответств.: Моногр. / Под ред. Липинского Д.А.-М.:ИЦ РИОР, НИЦ ИНФРА-М,2024.-230 с(О)</t>
  </si>
  <si>
    <t>ИНСТИТУТ ЮРИДИЧЕСКОЙ ОТВЕТСТВЕННОСТИ, ИЗД.1</t>
  </si>
  <si>
    <t>Липинский Д.А., Савельев Ю.М., Чуклова Е.В. и др.</t>
  </si>
  <si>
    <t>978-5-369-01801-9</t>
  </si>
  <si>
    <t>667387.04.01</t>
  </si>
  <si>
    <t>Институты в качестве факторов..: Моногр. / А.А.Медведь - М.:НИЦ ИНФРА-М,2024 - 114 с.(Науч.мысль)(О)</t>
  </si>
  <si>
    <t>ИНСТИТУТЫ В КАЧЕСТВЕ ФАКТОРОВ ИНВЕСТИЦИОННОГО ПРОЦЕССА В ЭКОНОМИКЕ РФ, ИЗД.1</t>
  </si>
  <si>
    <t>Медведь А.А.</t>
  </si>
  <si>
    <t>978-5-16-013460-4</t>
  </si>
  <si>
    <t>720342.08.01</t>
  </si>
  <si>
    <t>Институты публ. власти в усл. глобализации: Моногр. / Т.А.Васильева - М.:Юр.Норма, НИЦ ИНФРА-М,2024. - 272 с.(П)</t>
  </si>
  <si>
    <t>ИНСТИТУТЫ ПУБЛИЧНОЙ ВЛАСТИ В УСЛОВИЯХ ГЛОБАЛИЗАЦИИ, ИЗД.1</t>
  </si>
  <si>
    <t>Васильева Т.А., Некрасов С.И., Курюкин А.Н. и др.</t>
  </si>
  <si>
    <t>978-5-00156-026-5</t>
  </si>
  <si>
    <t>38.03.04, 40.03.01, 40.05.01, 40.05.02, 40.05.03</t>
  </si>
  <si>
    <t>681271.07.01</t>
  </si>
  <si>
    <t>Институты финансовой безопасности: Монография / И.И.Кучеров - М.:НИЦ ИНФРА-М, 2022-246с (ИЗиСП)(П)</t>
  </si>
  <si>
    <t>ИНСТИТУТЫ ФИНАНСОВОЙ БЕЗОПАСНОСТИ, ИЗД.1</t>
  </si>
  <si>
    <t>Кучеров И.И., Поветкина Н.А., Акопян О.А. и др.</t>
  </si>
  <si>
    <t>978-5-16-013740-7</t>
  </si>
  <si>
    <t>38.03.01, 38.04.01, 38.04.08, 38.05.01, 40.03.01, 40.04.01, 40.05.01</t>
  </si>
  <si>
    <t>206300.09.01</t>
  </si>
  <si>
    <t>Институциональная  экономика: управ. формир...: Уч.пос. / Д.С.Петросян - М.:НИЦ ИНФРА-М,2026 - 279 с.(П)</t>
  </si>
  <si>
    <t>ИНСТИТУЦИОНАЛЬНАЯ  ЭКОНОМИКА: УПРАВЛЕНИЕ ФОРМИРОВАНИЕМ И РАЗВИТИЕМ СОЦИАЛЬНО-ЭКОНОМИЧЕСКИХ ИНСТИТУТОВ, ИЗД.1</t>
  </si>
  <si>
    <t>Петросян Д. С.</t>
  </si>
  <si>
    <t>978-5-16-006778-0</t>
  </si>
  <si>
    <t>690666.06.01</t>
  </si>
  <si>
    <t>Институциональная экономика. Теория и практика: Уч. / И.А.Назарова. - М.:НИЦ ИНФРА-М,2025 - 302 с.(ВО)(п)</t>
  </si>
  <si>
    <t>ИНСТИТУЦИОНАЛЬНАЯ ЭКОНОМИКА. ТЕОРИЯ И ПРАКТИКА, ИЗД.1</t>
  </si>
  <si>
    <t>Назарова И.А., Тумин В.М., Тумин В.В.</t>
  </si>
  <si>
    <t>978-5-16-020523-6</t>
  </si>
  <si>
    <t>38.03.01, 38.03.02, 38.03.03, 38.03.04, 38.03.05, 38.03.06, 38.03.07, 38.04.01, 38.04.02, 38.04.03, 38.04.04, 38.04.05, 38.04.06, 38.04.07, 38.04.08, 38.04.09, 38.05.01, 38.05.02, 41.03.06, 44.03.01</t>
  </si>
  <si>
    <t>Рекомендовано Учебно-методическим советом высшего образования в качестве учебника для студентов высших учебных заведений, обучающихся по укрупненной группе направлений и специальностей подготовки 38.00.00 «Экономика и управление»</t>
  </si>
  <si>
    <t>АКАДЕМУС-2024, Победитель, I место</t>
  </si>
  <si>
    <t>089202.12.01</t>
  </si>
  <si>
    <t>Институциональная экономика: Уч. пос. / И.И. Агапова. - М.: Магистр: НИЦ ИНФРА-М, 2027. - 272 с. (п)</t>
  </si>
  <si>
    <t>ИНСТИТУЦИОНАЛЬНАЯ ЭКОНОМИКА, ИЗД.1</t>
  </si>
  <si>
    <t>Агапова И. И.</t>
  </si>
  <si>
    <t>978-5-9776-0118-4</t>
  </si>
  <si>
    <t>38.03.01, 38.03.02, 38.04.01, 38.04.02, 41.03.06, 44.03.01</t>
  </si>
  <si>
    <t>411900.10.01</t>
  </si>
  <si>
    <t>Институциональная экономика: Уч. пос./ Н.В. Манохина - М.: НИЦ ИНФРА-М, 2027 - 240 с.(ВО) (п)</t>
  </si>
  <si>
    <t>Манохина Н. В., Русановский В. А., Жадан И. Э., Бабайцева И. К., Гвоздева Н. И.</t>
  </si>
  <si>
    <t>978-5-16-005493-3</t>
  </si>
  <si>
    <t>38.03.01, 38.03.02, 38.03.03, 38.03.04, 38.03.05, 38.04.01, 38.04.02, 38.04.03, 38.04.04, 38.04.05, 38.04.08, 38.04.09, 41.03.06, 44.03.01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</si>
  <si>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080200.62 «Менеджмент», 080100.62 «Экономика»</t>
  </si>
  <si>
    <t>024550.19.01</t>
  </si>
  <si>
    <t>Институциональная экономика: Уч.пос. / А.Н.Олейник - М.:НИЦ ИНФРА-М,2025. - 416 с.(ВО: Бакалавриат)(П)</t>
  </si>
  <si>
    <t>Олейник А. Н.</t>
  </si>
  <si>
    <t>978-5-16-004316-6</t>
  </si>
  <si>
    <t>38.03.01, 38.03.02, 38.03.03, 38.03.04, 38.03.05, 38.03.06, 38.03.07, 38.05.01, 38.05.02, 41.03.06</t>
  </si>
  <si>
    <t>Рекомендовано Министерством образования РФ в качестве учебного пособия для студентов высших учебных заведений, обучающихся по экономическим и управленческим специальностям</t>
  </si>
  <si>
    <t>Центральный экономико-математический институт Российской академии наук</t>
  </si>
  <si>
    <t>0100</t>
  </si>
  <si>
    <t>373100.07.01</t>
  </si>
  <si>
    <t>Институциональная экономика: Уч.пос. / В.М.Пищулов, - 2 изд., испр. и доп.-М.:НИЦ ИНФРА-М,2023.-204 с.(ВО)(П)</t>
  </si>
  <si>
    <t>ИНСТИТУЦИОНАЛЬНАЯ ЭКОНОМИКА, ИЗД.2</t>
  </si>
  <si>
    <t>978-5-16-018497-5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</si>
  <si>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5 от 19.05.2021)</t>
  </si>
  <si>
    <t>373100.04.01</t>
  </si>
  <si>
    <t>Институциональная экономика: Уч.пос. / В.М.Пищулов-М.:НИЦ ИНФРА-М,2021.-160 с..-(ВО: Бакалавриат)(О)</t>
  </si>
  <si>
    <t>978-5-16-011049-3</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</si>
  <si>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 (направление подготовки 38.03.01 «Экономика»)</t>
  </si>
  <si>
    <t>466750.05.01</t>
  </si>
  <si>
    <t>Институциональная экономика: Уч.пос. / Н.В.Василенко-М.:НИЦ ИНФРА-М,2023-272с.(ВО:Бакалавр.)(П)</t>
  </si>
  <si>
    <t>Василенко Н. В.</t>
  </si>
  <si>
    <t>978-5-16-009786-2</t>
  </si>
  <si>
    <t>38.03.01, 38.03.02, 41.03.06, 44.03.01, 44.03.05</t>
  </si>
  <si>
    <t>Допущено Учебно-методическим объединением по направлениям педагогического образования в качестве учебного пособия для студентов высших учебных заведений, обучающихся по направлению 44.03.01 (050100) «Педагогическое образование»</t>
  </si>
  <si>
    <t>702814.01.01</t>
  </si>
  <si>
    <t>Институциональная экономика: Уч.пос. / Р.М.Нуреев и др.-М.:Юр.Норма, НИЦ ИНФРА-М,2019.-472 с.(П)</t>
  </si>
  <si>
    <t>Нуреев Р.М., Буевич А.П., Будкевич Г.В. и др.</t>
  </si>
  <si>
    <t>978-5-91768-998-2</t>
  </si>
  <si>
    <t>266400.07.01</t>
  </si>
  <si>
    <t>Институциональное обесп. модернизации экономики..: Моногр. / Е.А.Григорьева - М.:НИЦ ИНФРА-М,2027 - 156 с.(О)</t>
  </si>
  <si>
    <t>ИНСТИТУЦИОНАЛЬНОЕ ОБЕСПЕЧЕНИЕ МОДЕРНИЗАЦИИ ЭКОНОМИКИ КАК УСЛОВИЕ ЭКОНОМИЧЕСКОЙ БЕЗОПАСНОСТИ, ИЗД.1</t>
  </si>
  <si>
    <t>Григорьева Е.А.</t>
  </si>
  <si>
    <t>978-5-16-009586-8</t>
  </si>
  <si>
    <t>266400.01.01</t>
  </si>
  <si>
    <t>Институциональное обеспеч.модернизации экономики как усл. экон./Е.А.Григорьева-НИЦ ИНФРА-М,2015-155c</t>
  </si>
  <si>
    <t>715119.03.01</t>
  </si>
  <si>
    <t>Институционально-правовые преобразования...: Моногр. / Г.Ф. Ручкиной, - М.: ИНФРА-М, 2027 - 265 с.(О)</t>
  </si>
  <si>
    <t>ИНСТИТУЦИОНАЛЬНО-ПРАВОВЫЕ ПРЕОБРАЗОВАНИЯ, НАПРАВЛЕННЫЕ НА ПОВЫШЕНИЕ ЭКСПОРТНОЙ КОНКУРЕНТОСПОСОБНОСТИ РОССИЙСКИХ ТОВАРОВ И ПРЕОДОЛЕНИЕ СДЕРЖИВАЮЩИХ ОГРАНИЧЕНИЙ, ИЗД.1</t>
  </si>
  <si>
    <t>Ручкина Г.Ф., Демченко М.В., Дахненко С.С. и др.</t>
  </si>
  <si>
    <t>978-5-16-015520-3</t>
  </si>
  <si>
    <t>38.04.01, 38.06.01, 40.04.01, 40.06.01</t>
  </si>
  <si>
    <t>346200.06.01</t>
  </si>
  <si>
    <t>Институционально-экон.основы оценки качества упр... /О.В.Кожевина-НИЦ ИНФРА-М,2022-131с.(Науч.мысль)</t>
  </si>
  <si>
    <t>ИНСТИТУЦИОНАЛЬНО-ЭКОНОМИЧЕСКИЕ ОСНОВЫ ОЦЕНКИ КАЧЕСТВА УПРАВЛЕНИЯ В ОРГАНИЗАЦИЯХ ГОСУДАРСТВЕННОГО СЕКТОРА, ИЗД.1</t>
  </si>
  <si>
    <t>О.В.Кожевина, Н.В.Балунова, А.Н.Бойко</t>
  </si>
  <si>
    <t>978-5-16-010814-8</t>
  </si>
  <si>
    <t>38.04.02, 38.04.04, 38.06.01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</si>
  <si>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38.04.02 «Менеджмент» и 38.04.04 «Государственное и муниципальное управление» (квалификация (степень) «магистр»)</t>
  </si>
  <si>
    <t>774880.01.01</t>
  </si>
  <si>
    <t>Институциональные изменения в совр. Рос.: монография / И.В.Ситнова-М.:НИЦ ИНФРА-М,2023.-179 с.(О)</t>
  </si>
  <si>
    <t>ИНСТИТУЦИОНАЛЬНЫЕ ИЗМЕНЕНИЯ В СОВРЕМЕННОЙ РОССИИ: АКТИВИСТСКО-ДЕЯТЕЛЬНОСТНЫЙ ПОДХОД, ИЗД.1</t>
  </si>
  <si>
    <t>978-5-16-017742-7</t>
  </si>
  <si>
    <t>321400.06.01</t>
  </si>
  <si>
    <t>Институциональные основы теории финансов.: Моногр. / Р.М.Нижегородцев - М.:НИЦ ИНФРА-М,2023 - 220 с.(о)</t>
  </si>
  <si>
    <t>ИНСТИТУЦИОНАЛЬНЫЕ ОСНОВЫ ТЕОРИИ ФИНАНСОВ: СОВРЕМЕННЫЕ ПОДХОДЫ, ИЗД.1</t>
  </si>
  <si>
    <t>Нижегородцев Р.М., Горидько Н.П., Шкодина И.В.</t>
  </si>
  <si>
    <t>978-5-16-010455-3</t>
  </si>
  <si>
    <t>Институт проблем управления им. В.А. Трапезникова Российской академии наук</t>
  </si>
  <si>
    <t>651873.03.01</t>
  </si>
  <si>
    <t>Институциональный анализ дисфункций гос.упр..:Моногр./ В.С.Осипов-М.:Вуз. уч.,НИЦ ИНФРА-М,2020-208с.</t>
  </si>
  <si>
    <t>ИНСТИТУЦИОНАЛЬНЫЙ АНАЛИЗ ДИСФУНКЦИЙ ГОСУДАРСТВЕННОГО УПРАВЛЕНИЯ ЭКОНОМИКОЙ, ИЗД.1</t>
  </si>
  <si>
    <t>Осипов В.С.</t>
  </si>
  <si>
    <t>978-5-9558-0542-9</t>
  </si>
  <si>
    <t>06.04.01, 27.03.02, 27.04.07, 38.04.01, 38.04.02, 38.04.04, 38.04.05, 38.04.08, 38.04.09, 40.03.01, 44.03.05</t>
  </si>
  <si>
    <t>664265.12.01</t>
  </si>
  <si>
    <t>Инструкция по движ. поездов и маневровой работе на Ж/Д транспорте РФ - 2 изд. - М.:НИЦ ИНФРА-М,2026 - 337 с.(П)</t>
  </si>
  <si>
    <t>ИНСТРУКЦИЯ ПО ДВИЖЕНИЮ ПОЕЗДОВ И МАНЕВРОВОЙ РАБОТЕ НА ЖЕЛЕЗНОДОРОЖНОМ ТРАНСПОРТЕ РОССИЙСКОЙ ФЕДЕРАЦИИ, ИЗД.2</t>
  </si>
  <si>
    <t>978-5-16-018187-5</t>
  </si>
  <si>
    <t>Инструкция</t>
  </si>
  <si>
    <t>23.02.01, 23.05.04</t>
  </si>
  <si>
    <t>664265.07.01</t>
  </si>
  <si>
    <t>Инструкция по движению поездов и маневровой работе на Ж/Д транспорте РФ - М.:НИЦ ИНФРА-М,2022-271 с.(О)</t>
  </si>
  <si>
    <t>ИНСТРУКЦИЯ ПО ДВИЖЕНИЮ ПОЕЗДОВ И МАНЕВРОВОЙ РАБОТЕ НА ЖЕЛЕЗНОДОРОЖНОМ ТРАНСПОРТЕ РОССИЙСКОЙ ФЕДЕРАЦИИ, ИЗД.1</t>
  </si>
  <si>
    <t>978-5-16-013057-6</t>
  </si>
  <si>
    <t>662908.11.01</t>
  </si>
  <si>
    <t>Инструкция по ремонту и обслуж. автосцепного устр. подвижн. состава  Ж/Д - М.:НИЦ ИНФРА-М,2026 - 96 с.(О)</t>
  </si>
  <si>
    <t>ИНСТРУКЦИЯ ПО РЕМОНТУ И ОБСЛУЖИВАНИЮ АВТОСЦЕПНОГО УСТРОЙСТВА ПОДВИЖНОГО СОСТАВА ЖЕЛЕЗНЫХ ДОРОГ, ИЗД.1</t>
  </si>
  <si>
    <t>978-5-16-013042-2</t>
  </si>
  <si>
    <t>23.05.03, 23.05.04, 23.05.05, 23.05.06</t>
  </si>
  <si>
    <t>795899.05.01</t>
  </si>
  <si>
    <t>Инструкция по сигнализации на ж/д транспорте РФ - М.:НИЦ ИНФРА-М,2026 - 130 с.:цв.ил.(п)</t>
  </si>
  <si>
    <t>ИНСТРУКЦИЯ ПО СИГНАЛИЗАЦИИ НА ЖЕЛЕЗНОДОРОЖНОМ ТРАНСПОРТЕ РФ, ИЗД.1</t>
  </si>
  <si>
    <t>978-5-16-018110-3</t>
  </si>
  <si>
    <t>662372.05.01</t>
  </si>
  <si>
    <t>Инструкция по текущему содержанию железнодорожного пути - 2 изд. - М.:НИЦ ИНФРА-М,2022 - 287 с.(П)</t>
  </si>
  <si>
    <t>ИНСТРУКЦИЯ ПО ТЕКУЩЕМУ СОДЕРЖАНИЮ ЖЕЛЕЗНОДОРОЖНОГО ПУТИ, ИЗД.2</t>
  </si>
  <si>
    <t>978-5-16-101625-1</t>
  </si>
  <si>
    <t>23.05.04</t>
  </si>
  <si>
    <t>662372.09.01</t>
  </si>
  <si>
    <t>Инструкция по текущему содержанию железнодорожного пути - 3 изд. - М.:НИЦ ИНФРА-М,2025. - 270 с.(п)</t>
  </si>
  <si>
    <t>ИНСТРУКЦИЯ ПО ТЕКУЩЕМУ СОДЕРЖАНИЮ ЖЕЛЕЗНОДОРОЖНОГО ПУТИ, ИЗД.3</t>
  </si>
  <si>
    <t>978-5-16-020586-1</t>
  </si>
  <si>
    <t>662372.03.01</t>
  </si>
  <si>
    <t>Инструкция по текущему содержанию железнодорожного пути -М.:НИЦ ИНФРА-М,2019.-287 с.(П) [12+]</t>
  </si>
  <si>
    <t>ИНСТРУКЦИЯ ПО ТЕКУЩЕМУ СОДЕРЖАНИЮ ЖЕЛЕЗНОДОРОЖНОГО ПУТИ, ИЗД.1</t>
  </si>
  <si>
    <t>978-5-16-013003-3</t>
  </si>
  <si>
    <t>749728.01.01</t>
  </si>
  <si>
    <t>Инструментально-методич. подход к адаптации модели... / Под ред. Пахомовой Е.А.-М.:НИЦ ИНФРА-М,2021.-278 с.(О)</t>
  </si>
  <si>
    <t>ИНСТРУМЕНТАЛЬНО-МЕТОДИЧЕСКИЙ ПОДХОД К АДАПТАЦИИ МОДЕЛИ ТРОЙНОЙ СПИРАЛИ ДЛЯ УСЛОВИЙ РОССИИ С УЧЕТОМ ИСТОРИЧЕСКОЙ РЕТРОСПЕКТИВЫ, ИЗД.1</t>
  </si>
  <si>
    <t>Пахомова Е.А., Пахомов А.В., Лычагина Т.А. и др.</t>
  </si>
  <si>
    <t>978-5-16-016912-5</t>
  </si>
  <si>
    <t>359900.05.01</t>
  </si>
  <si>
    <t>Инструментальные материалы в машиностроении: Уч. / А.М. Адаскин-М.:Форум,НИЦ ИНФРА-М,2022-320с-(ВО)</t>
  </si>
  <si>
    <t>ИНСТРУМЕНТАЛЬНЫЕ МАТЕРИАЛЫ В МАШИНОСТРОЕНИИ, ИЗД.1</t>
  </si>
  <si>
    <t>Адаскин А.М.</t>
  </si>
  <si>
    <t>978-5-00091-073-3</t>
  </si>
  <si>
    <t>359900.06.01</t>
  </si>
  <si>
    <t>Инструментальные материалы в машиностроении: Уч. / А.М.Адаскин, - 2 изд.-М.:НИЦ ИНФРА-М,2024.-391 с.(ВО)(п)</t>
  </si>
  <si>
    <t>ИНСТРУМЕНТАЛЬНЫЕ МАТЕРИАЛЫ В МАШИНОСТРОЕНИИ, ИЗД.2</t>
  </si>
  <si>
    <t>978-5-16-017722-9</t>
  </si>
  <si>
    <t>681122.06.01</t>
  </si>
  <si>
    <t>Инструментарий логистики: Моногр. / А.П.Гарнов - 2 изд. - М.:НИЦ ИНФРА-М,2023 - 142 с.-(Науч.мысль)(О)</t>
  </si>
  <si>
    <t>ИНСТРУМЕНТАРИЙ ЛОГИСТИКИ, ИЗД.2</t>
  </si>
  <si>
    <t>Гарнов А.П., Киреева Н.С.</t>
  </si>
  <si>
    <t>978-5-16-013813-8</t>
  </si>
  <si>
    <t>15.04.04, 23.03.01, 29.04.02, 38.03.01, 42.03.03, 56.05.01</t>
  </si>
  <si>
    <t>393100.07.01</t>
  </si>
  <si>
    <t>Инструменты внутреннего контроля: Моногр. / В.Я.Вилисов - М.:ИЦ РИОР,НИЦ ИНФРА-М,2026 - 262 с.(Науч.мысль)(о)</t>
  </si>
  <si>
    <t>ИНСТРУМЕНТЫ ВНУТРЕННЕГО КОНТРОЛЯ, ИЗД.1</t>
  </si>
  <si>
    <t>Вилисов В.Я., Суков И.Е.</t>
  </si>
  <si>
    <t>978-5-369-01472-1</t>
  </si>
  <si>
    <t>38.03.01, 38.03.02, 38.03.04, 38.03.05, 38.04.01, 38.04.02, 38.04.04, 38.04.09, 44.03.05</t>
  </si>
  <si>
    <t>Компания Телекоммуникаций и обработки сообщений</t>
  </si>
  <si>
    <t>751892.03.01</t>
  </si>
  <si>
    <t>Инструменты и методы антикриз. упр.: Уч. / Под ред. Ряховской А.Н.-М.:Магистр, НИЦ ИНФРА-М,2024.-624 с.(П)</t>
  </si>
  <si>
    <t>ИНСТРУМЕНТЫ И МЕТОДЫ АНТИКРИЗИСНОГО УПРАВЛЕНИЯ, ИЗД.1</t>
  </si>
  <si>
    <t>Ряховская А.Н., Волков Л.В.</t>
  </si>
  <si>
    <t>978-5-9776-0532-8</t>
  </si>
  <si>
    <t>656556.08.01</t>
  </si>
  <si>
    <t>Инструменты оценки и обесп устойч.разв.отраслей рос.эконом.: Моногр. / Кожевина О.В. - М.:НИЦ ИНФРА-М,2026 - 174 с.(о)</t>
  </si>
  <si>
    <t>ИНСТРУМЕНТЫ ОЦЕНКИ И ОБЕСПЕЧЕНИЯ УСТОЙЧИВОГО РАЗВИТИЯ ОТРАСЛЕЙ РОССИЙСКОЙ ЭКОНОМИКИ, ИЗД.1</t>
  </si>
  <si>
    <t>Кожевина О.В., Батаева Б.С., Богачев Ю.С. и др.</t>
  </si>
  <si>
    <t>978-5-16-014228-9</t>
  </si>
  <si>
    <t>38.03.01, 38.03.02, 38.04.01, 44.03.01</t>
  </si>
  <si>
    <t>656556.01.01</t>
  </si>
  <si>
    <t>Инструменты оценки и обеспечения устойчивого развития отраслей российской экономики:Монография / Под ред. Кожевина О.В.-М.:НИЦ ИНФРА-М,2018.-174 с..-(</t>
  </si>
  <si>
    <t>978-5-16-013073-6</t>
  </si>
  <si>
    <t>864553.01.01</t>
  </si>
  <si>
    <t>Инструменты повышения ценности бизнеса для стейкхолдеров компании / Н.А.Казакова - М.:НИЦ ИНФРА-М,2027 - 173 с.(п)</t>
  </si>
  <si>
    <t>ИНСТРУМЕНТЫ ПОВЫШЕНИЯ ЦЕННОСТИ БИЗНЕСА ДЛЯ СТЕЙКХОЛДЕРОВ КОМПАНИИ, ИЗД.1</t>
  </si>
  <si>
    <t>Казакова Н.А., Протасов М.В.</t>
  </si>
  <si>
    <t>978-5-16-021679-9</t>
  </si>
  <si>
    <t>38.03.01, 38.03.02, 38.04.01, 38.04.02, 38.04.08, 38.05.01, 38.06.01</t>
  </si>
  <si>
    <t>791871.02.01</t>
  </si>
  <si>
    <t>Инструменты поддержки экспорт. проек. ESG на основе... / В.В.Перская.-М.:НИЦ ИНФРА-М,2024.-166 с.(О)</t>
  </si>
  <si>
    <t>ИНСТРУМЕНТЫ ПОДДЕРЖКИ ЭКСПОРТНЫХ ПРОЕКТОВ ESG НА ОСНОВЕ МЕЖДУНАРОДНОГО ОПЫТА, ИЗД.1</t>
  </si>
  <si>
    <t>Перская В.В., Стародубцева Е.Б., Хомякова Л.И. и др.</t>
  </si>
  <si>
    <t>978-5-16-018034-2</t>
  </si>
  <si>
    <t>665903.04.01</t>
  </si>
  <si>
    <t>Инструменты управления реал. муницип.функций...:Моногр./ А.И.Абдряшитова-М.:НИЦ ИНФРА-М,2024-251с(П)</t>
  </si>
  <si>
    <t>ИНСТРУМЕНТЫ УПРАВЛЕНИЯ РЕАЛИЗАЦИЕЙ МУНИЦИПАЛЬНЫХ ФУНКЦИЙ В ЭЛЕКТРОННОМ ВИДЕ, ИЗД.1</t>
  </si>
  <si>
    <t>Абдряшитова А.И., Грачева Е.В., Казаков М.Ю. и др.</t>
  </si>
  <si>
    <t>978-5-16-013276-1</t>
  </si>
  <si>
    <t>38.03.04, 38.04.04, 40.03.01, 44.03.05</t>
  </si>
  <si>
    <t>Российская академия народного хозяйства и государственной службы при Президенте РФ, Владимирский ф-л</t>
  </si>
  <si>
    <t>846635.01.01</t>
  </si>
  <si>
    <t>Инструменты цифровой экономики: Моногр. / Е.В.Попов. - М.:НИЦ ИНФРА-М,2025. - 254 с.(Науч.мысль)(п)</t>
  </si>
  <si>
    <t>ИНСТРУМЕНТЫ ЦИФРОВОЙ ЭКОНОМИКИ, ИЗД.1</t>
  </si>
  <si>
    <t>Попов Е.В., Веретенникова А.Ю., Семячков К.А. и др.</t>
  </si>
  <si>
    <t>978-5-16-020702-5</t>
  </si>
  <si>
    <t>38.04.01, 38.04.02, 38.04.05, 38.04.08, 38.05.01, 38.06.01</t>
  </si>
  <si>
    <t>Российская академия народного хозяйства и государственной службы при Президенте РФ, ф-л Уральский институт управления</t>
  </si>
  <si>
    <t>741791.05.01</t>
  </si>
  <si>
    <t>Интеграционный конституционализм: Монография / С.Н.Бабурин - М.:Юр.Норма, НИЦ ИНФРА-М,2025 - 264 с.(П)</t>
  </si>
  <si>
    <t>ИНТЕГРАЦИОННЫЙ КОНСТИТУЦИОНАЛИЗМ, ИЗД.1</t>
  </si>
  <si>
    <t>Бабурин С.Н.</t>
  </si>
  <si>
    <t>978-5-00156-092-0</t>
  </si>
  <si>
    <t>40.03.01, 40.05.01, 40.05.02, 40.05.03, 40.06.01</t>
  </si>
  <si>
    <t>411700.08.01</t>
  </si>
  <si>
    <t>Интеграция, сотруд. и разв. на постсовет..: Моногр. / Е.Д.Халевинская - М.:Магистр,НИЦ ИНФРА-М,2026-200с(О)</t>
  </si>
  <si>
    <t>ИНТЕГРАЦИЯ, СОТРУДНИЧЕСТВО И РАЗВИТИЕ НА ПОСТСОВЕТСКОМ ПРОСТРАНСТВЕ, ИЗД.1</t>
  </si>
  <si>
    <t>Халевинская Е. Д.</t>
  </si>
  <si>
    <t>978-5-9776-0248-8</t>
  </si>
  <si>
    <t>413250.10.01</t>
  </si>
  <si>
    <t>Интегрированная защита растений от вред. орг.: Уч.пос. / Г.И.Баздырев - М.:НИЦ ИНФРА-М,2026 - 302 с.(ВО)(П)</t>
  </si>
  <si>
    <t>ИНТЕГРИРОВАННАЯ ЗАЩИТА РАСТЕНИЙ ОТ ВРЕДНЫХ ОРГАНИЗМОВ, ИЗД.1</t>
  </si>
  <si>
    <t>Баздырев Г.И., Третьяков Н.Н., Белошапкина О.О.</t>
  </si>
  <si>
    <t>978-5-16-006469-7</t>
  </si>
  <si>
    <t>35.03.04, 35.04.03, 35.04.04</t>
  </si>
  <si>
    <t>Допущено Учебно-методическим объединением вузов Российской Федерации по агрономическому образованию в качестве учебного пособия для магистров, обучающихся по направлению «Агрономия»</t>
  </si>
  <si>
    <t>729533.03.01</t>
  </si>
  <si>
    <t>Интегрированная система упр. качеством на предпр...: Моногр. / Е.С.Григорян - М.:НИЦ ИНФРА-М,2026 - 162 с.(О)</t>
  </si>
  <si>
    <t>ИНТЕГРИРОВАННАЯ СИСТЕМА УПРАВЛЕНИЯ КАЧЕСТВОМ НА ПРЕДПРИЯТИЯХ ОБОРОННО-ПРОМЫШЛЕННОГО КОМПЛЕКСА, ИЗД.1</t>
  </si>
  <si>
    <t>Григорян Е.С.</t>
  </si>
  <si>
    <t>978-5-16-016304-8</t>
  </si>
  <si>
    <t>27.04.01, 27.04.02, 27.04.03, 27.04.04, 27.04.05, 27.04.06, 27.04.07, 27.06.01, 38.04.01, 38.04.02, 38.06.01</t>
  </si>
  <si>
    <t>Военная академия материально-технического обеспечения им. генерала армии А.В. Хрулёва, ф-л г. Пенза</t>
  </si>
  <si>
    <t>792147.04.01</t>
  </si>
  <si>
    <t>Интегрированные информ. сис. управ. объектами...: Уч.пос. / Григорьев А.А. - М.:НИЦ ИНФРА-М,2026. - 273 с.(П)</t>
  </si>
  <si>
    <t>ИНТЕГРИРОВАННЫЕ ИНФОРМАЦИОННЫЕ СИСТЕМЫ УПРАВЛЕНИЯ ОБЪЕКТАМИ. КОРПОРАТИВНЫЕ ИНФОРМАЦИОННЫЕ СИСТЕМЫ, ИЗД.1</t>
  </si>
  <si>
    <t>Григорьев А.А., Исаев Е.А., Корнилов В.В. и др.</t>
  </si>
  <si>
    <t>978-5-16-018103-5</t>
  </si>
  <si>
    <t>09.03.01, 09.03.02, 09.03.03, 38.03.02, 38.03.05</t>
  </si>
  <si>
    <t>393400.04.01</t>
  </si>
  <si>
    <t>Интегрированные маркет.коммун. / И.Б.Архангельская - М.:ИЦ РИОР,НИЦ ИНФРА-М,2022 - 171с(ВО:Бакалавр.)(п)</t>
  </si>
  <si>
    <t>ИНТЕГРИРОВАННЫЕ МАРКЕТИНГОВЫЕ КОММУНИКАЦИИ, ИЗД.1</t>
  </si>
  <si>
    <t>Архангельская И.Б., Мезина Л.Г., Архангельская А.С.</t>
  </si>
  <si>
    <t>978-5-369-01485-1</t>
  </si>
  <si>
    <t>38.03.02, 38.03.06, 42.03.01</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</si>
  <si>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«Менеджмент» (квалификация (степень) «бакалавр»)</t>
  </si>
  <si>
    <t>668893.05.01</t>
  </si>
  <si>
    <t>Интегрированные маркет.коммуникации...: Уч.пос. / О.Г.Кузьмина-М.:ИЦ РИОР, НИЦ ИНФРА-М,2023-187с(П)</t>
  </si>
  <si>
    <t>ИНТЕГРИРОВАННЫЕ МАРКЕТИНГОВЫЕ КОММУНИКАЦИИ: ТЕОРИЯ И ПРАКТИКА РЕКЛАМЫ, ИЗД.1</t>
  </si>
  <si>
    <t>Кузьмина О.Г., Посухова О.Ю.</t>
  </si>
  <si>
    <t>978-5-369-01756-2</t>
  </si>
  <si>
    <t>38.03.06, 41.03.06, 42.03.01, 42.03.02, 51.03.03</t>
  </si>
  <si>
    <t>870723.01.01</t>
  </si>
  <si>
    <t>Интегрированные маркетинговые коммуникации в цифровую эпоху: теория, инструменты, практика: уч.пос. / И.Ю.Мельникова-М.:НИЦ ИНФРА-М,2027.-373 с..-(ВО)</t>
  </si>
  <si>
    <t>ИНТЕГРИРОВАННЫЕ МАРКЕТИНГОВЫЕ КОММУНИКАЦИИ В ЦИФРОВУЮ ЭПОХУ: ТЕОРИЯ, ИНСТРУМЕНТЫ, ПРАКТИКА, ИЗД.1</t>
  </si>
  <si>
    <t>Мельникова И.Ю.</t>
  </si>
  <si>
    <t>978-5-16-021780-2</t>
  </si>
  <si>
    <t>38.03.02, 38.04.01, 38.04.02, 42.04.01, 42.04.05</t>
  </si>
  <si>
    <t>735531.03.01</t>
  </si>
  <si>
    <t>Интегрированные сис. упр. объектами...: Уч.пос. / Под ред. Григорьева А.А. - М.:НИЦ ИНФРА-М,2023 - 222 с.(П)</t>
  </si>
  <si>
    <t>ИНТЕГРИРОВАННЫЕ СИСТЕМЫ УПРАВЛЕНИЯ ОБЪЕКТАМИ. ВСТРОЕННЫЕ ИНФОРМАЦИОННЫЕ СИСТЕМЫ., ИЗД.1</t>
  </si>
  <si>
    <t>Григорьев А.А., Исаев Е.А., Моргунов А.Ф. и др.</t>
  </si>
  <si>
    <t>978-5-16-016511-0</t>
  </si>
  <si>
    <t>01.03.02, 09.03.01, 09.04.01, 09.04.03, 38.03.05, 38.04.05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</si>
  <si>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и направлению подготовки 09.03.02 «Информационные системы и технологии» (квалификация (степень) «бакалавр») (протокол № 4 от 21.04.2021)</t>
  </si>
  <si>
    <t>873530.01.01</t>
  </si>
  <si>
    <t>Интегрированный аудит и управ. рисками предпр. сферы услуг...: Уч.пос. -  М.:НИЦ ИНФРА-М,2026. - 440 с.(п)</t>
  </si>
  <si>
    <t>ИНТЕГРИРОВАННЫЙ АУДИТ И УПРАВЛЕНИЕ РИСКАМИ ПРЕДПРИЯТИЙ СФЕРЫ УСЛУГ ПОСТИНДУСТРИАЛЬНОЙ ЭКОНОМИКИ, ИЗД.1</t>
  </si>
  <si>
    <t>978-5-16-022272-1</t>
  </si>
  <si>
    <t>38.03.01, 38.03.02, 38.04.01, 38.04.02, 43.03.01, 43.03.02, 43.03.03</t>
  </si>
  <si>
    <t>681923.04.01</t>
  </si>
  <si>
    <t>Интегрированный учет в сис. управ. предпр.: Моногр. / В.Б.Ивашкевич-М.:Магистр, НИЦ ИНФРА-М,2023.-124с(О)</t>
  </si>
  <si>
    <t>ИНТЕГРИРОВАННЫЙ УЧЕТ В СИСТЕМЕ УПРАВЛЕНИЯ ПРЕДПРИЯТИЕМ, ИЗД.1</t>
  </si>
  <si>
    <t>978-5-9776-0476-5</t>
  </si>
  <si>
    <t>38.03.01, 38.03.02, 38.03.06, 38.03.07, 38.04.01, 38.04.02, 38.04.03, 38.04.06, 38.04.07, 38.04.08, 38.04.09, 38.05.01, 38.05.02</t>
  </si>
  <si>
    <t>742795.06.01</t>
  </si>
  <si>
    <t>Интеллектуальная собств. в совр. экономике...: Моногр. / В.И.Мухопад - М.: НИЦ ИНФРА-М,2026 - 624 с.(П)</t>
  </si>
  <si>
    <t>ИНТЕЛЛЕКТУАЛЬНАЯ СОБСТВЕННОСТЬ В СОВРЕМЕННОЙ ЭКОНОМИКЕ: СИСТЕМА И ЕЕ СИНЕРГЕТИКА, ИЗД.1</t>
  </si>
  <si>
    <t>Мухопад В.И.</t>
  </si>
  <si>
    <t>978-5-16-016459-5</t>
  </si>
  <si>
    <t>27.04.07, 38.03.01, 38.04.01, 38.06.01, 40.04.01, 40.06.01</t>
  </si>
  <si>
    <t>376700.09.01</t>
  </si>
  <si>
    <t>Интеллектуальная собств.: эскизы общей теории: Моногр. / А.М.Орехов - М.:НИЦ ИНФРА-М,2026 - 160 с.(О)</t>
  </si>
  <si>
    <t>ИНТЕЛЛЕКТУАЛЬНАЯ СОБСТВЕННОСТЬ: ЭСКИЗЫ ОБЩЕЙ ТЕОРИИ, ИЗД.1</t>
  </si>
  <si>
    <t>Орехов А.М.</t>
  </si>
  <si>
    <t>978-5-16-010904-6</t>
  </si>
  <si>
    <t>06.03.02, 39.03.01, 39.04.01, 40.03.01, 40.04.01, 47.03.01, 47.04.01</t>
  </si>
  <si>
    <t>689655.09.01</t>
  </si>
  <si>
    <t>Интеллектуальные информ. сис. и методы искусств...: Уч. / А.В.Андрейчиков - М.:НИЦ ИНФРА-М,2026 - 530 с.(П)</t>
  </si>
  <si>
    <t>ИНТЕЛЛЕКТУАЛЬНЫЕ ИНФОРМАЦИОННЫЕ СИСТЕМЫ И МЕТОДЫ ИСКУССТВЕННОГО ИНТЕЛЛЕКТА, ИЗД.1</t>
  </si>
  <si>
    <t>Андрейчиков А.В., Андрейчикова О.Н.</t>
  </si>
  <si>
    <t>978-5-16-020880-0</t>
  </si>
  <si>
    <t>00.00.00, 08.04.01, 09.03.02, 09.04.01, 09.04.02, 09.04.03, 15.04.04, 15.04.06, 23.04.01, 23.04.02, 23.04.03, 24.04.01, 24.04.02, 24.04.04, 24.04.05, 27.04.03, 27.04.04, 27.04.05, 27.04.06, 27.04.07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</si>
  <si>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инженерному делу, технологиям и техническим наукам по направлениям подготовки магистратуры (протокол № 10 от 12.10.2020)</t>
  </si>
  <si>
    <t>861040.01.01</t>
  </si>
  <si>
    <t>Интеллектуальные информац.-управ. сис.: Уч.пос. / Б.С.Добронец - М.:НИЦ ИНФРА-М, СФУ,2026. - 66 с.(ВО (СФУ))(о)</t>
  </si>
  <si>
    <t>ИНТЕЛЛЕКТУАЛЬНЫЕ ИНФОРМАЦИОННО-УПРАВЛЯЮЩИЕ СИСТЕМЫ, ИЗД.1</t>
  </si>
  <si>
    <t>Добронец Б.С., Попова О.А.</t>
  </si>
  <si>
    <t>978-5-16-021330-9</t>
  </si>
  <si>
    <t>09.04.02</t>
  </si>
  <si>
    <t>862938.01.01</t>
  </si>
  <si>
    <t>Интеллектуальные сис. поддержки принятия реш. для аналитич... / Р.А.Кочкаров - М.:НИЦ ИНФРА-М,2026. - 138 с.(п)</t>
  </si>
  <si>
    <t>ИНТЕЛЛЕКТУАЛЬНЫЕ СИСТЕМЫ ПОДДЕРЖКИ ПРИНЯТИЯ РЕШЕНИЙ ДЛЯ АНАЛИТИЧЕСКИХ И СИТУАЦИОННЫХ ЦЕНТРОВ, ИЗД.1</t>
  </si>
  <si>
    <t>Кочкаров Р.А., Тимошенко А.В., Мацеевич С.В. и др.</t>
  </si>
  <si>
    <t>978-5-16-021518-1</t>
  </si>
  <si>
    <t>01.03.04, 38.04.01, 38.04.02, 38.04.04, 38.05.01, 38.06.01, 38.07.02</t>
  </si>
  <si>
    <t>632555.08.01</t>
  </si>
  <si>
    <t>Интеллектуальные средства измерений: Уч. / Г.Г.Раннев - М.:КУРС, НИЦ ИНФРА-М,2026 - 280 с.(Бакалавр)(П)</t>
  </si>
  <si>
    <t>ИНТЕЛЛЕКТУАЛЬНЫЕ СРЕДСТВА ИЗМЕРЕНИЙ, ИЗД.1</t>
  </si>
  <si>
    <t>Раннев Г.Г., Тарасенко А.П.</t>
  </si>
  <si>
    <t>978-5-906818-66-9</t>
  </si>
  <si>
    <t>12.03.01, 27.03.01, 28.03.02</t>
  </si>
  <si>
    <t>Рекомендовано в качестве учебника для студентов высших учебных заведений, обучающихся по направлениям подготовки 12.03.01 «Приборостроение», 27.03.01 «Стандартизация и метрология», 28.03.02 «Наноинженерия», (Квалификация — Бакалавр)</t>
  </si>
  <si>
    <t>797184.08.01</t>
  </si>
  <si>
    <t>Интеллектуальные технологии в беспилот. сис.: Уч. / В.А.Гвоздева - 2 изд  - М.:НИЦ ИНФРА-М,2027 -197 с.(п)</t>
  </si>
  <si>
    <t>ИНТЕЛЛЕКТУАЛЬНЫЕ ТЕХНОЛОГИИ В БЕСПИЛОТНЫХ СИСТЕМАХ, ИЗД.2</t>
  </si>
  <si>
    <t>978-5-16-018162-2</t>
  </si>
  <si>
    <t>09.02.01, 09.02.02, 09.02.05, 09.02.07, 10.02.03, 10.02.05, 15.02.10, 23.02.03, 23.02.05, 24.02.01, 24.02.03, 25.02.08, 35.01.01, 35.02.01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</si>
  <si>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специальностям (протокол № 6 от 08.06.2022)</t>
  </si>
  <si>
    <t>732542.08.01</t>
  </si>
  <si>
    <t>Интеллектуальные технологии в беспилот. сис.: Уч. / В.А.Гвоздева - 2 изд. - М.:НИЦ ИНФРА-М,2026 -197с(ВО) (п)</t>
  </si>
  <si>
    <t>978-5-16-019615-2</t>
  </si>
  <si>
    <t>09.03.02, 15.03.06, 24.03.04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</si>
  <si>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09.03.02 «Информационные системы и технологии», 24.03.04 «Авиастроение» (квалификация (степень) «бакалавр») (протокол № 11 от 09.11.2020)</t>
  </si>
  <si>
    <t>732542.02.01</t>
  </si>
  <si>
    <t>Интеллектуальные технологии в беспилот. сис.: Уч. / В.А.Гвоздева - М.:НИЦ ИНФРА-М,2022-176 с.(ВО: Бакалавр.)(П)</t>
  </si>
  <si>
    <t>ИНТЕЛЛЕКТУАЛЬНЫЕ ТЕХНОЛОГИИ В БЕСПИЛОТНЫХ СИСТЕМАХ, ИЗД.1</t>
  </si>
  <si>
    <t>978-5-16-016143-3</t>
  </si>
  <si>
    <t>700759.04.01</t>
  </si>
  <si>
    <t>Интеллектуальные цифр. технологии концептуал. проектир.: Уч. / А.В.Андрейчиков - М.:НИЦ ИНФРА-М,2027. - 511с(п)</t>
  </si>
  <si>
    <t>ИНТЕЛЛЕКТУАЛЬНЫЕ ЦИФРОВЫЕ ТЕХНОЛОГИИ КОНЦЕПТУАЛЬНОГО ПРОЕКТИРОВАНИЯ ИНЖЕНЕРНЫХ РЕШЕНИЙ, ИЗД.1</t>
  </si>
  <si>
    <t>978-5-16-014884-7</t>
  </si>
  <si>
    <t>09.04.02, 09.04.03, 09.04.04, 15.04.01, 15.04.02, 15.04.04, 15.04.06, 15.05.01, 23.04.02, 27.04.03, 27.04.04, 27.04.05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</si>
  <si>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27.04.04 «Управление в технических системах», 09.04.01 «Информатика и вычислительная техника», 15.04.01 «Машиностроение» (квалификация (степень) «магистр») (протокол № 8 от 29.04.2019)</t>
  </si>
  <si>
    <t>737158.07.01</t>
  </si>
  <si>
    <t>Интеллектуальные электрические сети: Уч.пос. / Ю.Я.Любарский - М.:НИЦ ИНФРА-М,2027. - 160 с.(ВО)(П)</t>
  </si>
  <si>
    <t>ИНТЕЛЛЕКТУАЛЬНЫЕ ЭЛЕКТРИЧЕСКИЕ СЕТИ: КОМПЬЮТЕРНАЯ ПОДДЕРЖКА ДИСПЕТЧЕРСКИХ РЕШЕНИЙ, ИЗД.1</t>
  </si>
  <si>
    <t>Любарский Ю.Я., Хренников А.Ю.</t>
  </si>
  <si>
    <t>978-5-16-016395-6</t>
  </si>
  <si>
    <t>13.04.02, 13.04.03, 13.05.01, 13.05.02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</si>
  <si>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электроэнергетическим направлениям подготовки (квалификация (степень) «бакалавр») (протокол № 10 от 12.10.2020)</t>
  </si>
  <si>
    <t>168450.10.01</t>
  </si>
  <si>
    <t>Интеллектуальный анализ времен. рядов: Уч. пос. / Н.Г.Ярушкина - М.:ИД ФОРУМ: ИНФРА-М, 2025 - 160 с.(ВО) (п)</t>
  </si>
  <si>
    <t>ИНТЕЛЛЕКТУАЛЬНЫЙ АНАЛИЗ ВРЕМЕННЫХ РЯДОВ, ИЗД.1</t>
  </si>
  <si>
    <t>Ярушкина Н.Г., Афанасьева Т.В., Перфильева И.Г.</t>
  </si>
  <si>
    <t>978-5-8199-0496-1</t>
  </si>
  <si>
    <t>01.03.02, 01.04.02, 02.03.02, 03.03.02, 04.03.02, 09.03.02, 15.04.04, 45.04.04</t>
  </si>
  <si>
    <t>Рекомендовано Учебно-метод. объединением по образованию в области прикладной информатики в качестве уч. пос. студентов вузов, обучающихся по направлению "Прикладная информатика"</t>
  </si>
  <si>
    <t>Ульяновский государственный технический университет</t>
  </si>
  <si>
    <t>149950.11.01</t>
  </si>
  <si>
    <t>Интенсивный курс MBA: Уч.пос. / Под ред. Фальцмана В.К. - М.:НИЦ ИНФРА-М,2026 - 545 с.[цв.] (п)</t>
  </si>
  <si>
    <t>ИНТЕНСИВНЫЙ КУРС MBA, ИЗД.1</t>
  </si>
  <si>
    <t>Королев В. И., Хотяшева О. М., Герасименко В. В., Фальцман В. К., Крылатых Э. Н.</t>
  </si>
  <si>
    <t>978-5-16-004824-6</t>
  </si>
  <si>
    <t>38.04.01, 38.04.02, 38.04.03, 38.04.04, 38.04.06</t>
  </si>
  <si>
    <t>Рекомендовано Ученым советом Российско-немецкой высшей школы управления АНХ в качестве учебного пособия для слушателей программы MBA по направлению "Менеджмент"</t>
  </si>
  <si>
    <t>389700.06.01</t>
  </si>
  <si>
    <t>Интенсификация воспроизводства овец: Уч.пос. / А.И.Ерохин. - М.:КУРС, НИЦ ИНФРА-М,2026. - 240 с.(ВО)(П)</t>
  </si>
  <si>
    <t>ИНТЕНСИФИКАЦИЯ ВОСПРОИЗВОДСТВА ОВЕЦ, ИЗД.1</t>
  </si>
  <si>
    <t>ЕрохинА.И., КарасевЕ.А., ЕрохинС.А.</t>
  </si>
  <si>
    <t>978-5-905554-82-7</t>
  </si>
  <si>
    <t>Допущено Министерством сельского хозяйства Российской Федерации в качестве учебного пособия для студентов высших аграрных учебных заведений, обучающихся по направлению подготовки «Зоотехния»</t>
  </si>
  <si>
    <t>330400.06.01</t>
  </si>
  <si>
    <t>Интенсификация гидродинам. и тепловых..: Моногр. /Ю.В. Светлов -М.: НИЦ ИНФРА-М, 2024 -304с (о)</t>
  </si>
  <si>
    <t>ИНТЕНСИФИКАЦИЯ ГИДРОДИНАМИЧЕСКИХ И ТЕПЛОВЫХ ПРОЦЕССОВ В АППАРАТАХ С ТУРБУЛИЗАТОРАМИ ПОТОКА: ТЕОРИЯ, ЭКСПЕРИМЕНТ, МЕТОДЫ РАСЧЕТА, ИЗД.1</t>
  </si>
  <si>
    <t>Светлов Ю.В.</t>
  </si>
  <si>
    <t>978-5-16-010607-6</t>
  </si>
  <si>
    <t>13.03.01, 13.04.01, 13.05.01</t>
  </si>
  <si>
    <t>148400.10.01</t>
  </si>
  <si>
    <t>Интеркультурная педагогика младшего возраста: Уч. / Е.Ю. Протасова - М.: Форум, 2026 - 400 с.(п)</t>
  </si>
  <si>
    <t>ИНТЕРКУЛЬТУРНАЯ ПЕДАГОГИКА МЛАДШЕГО ВОЗРАСТА, ИЗД.1</t>
  </si>
  <si>
    <t>Протасова Е. Ю., Родина Н. М.</t>
  </si>
  <si>
    <t>978-5-91134-500-6</t>
  </si>
  <si>
    <t>682872.03.01</t>
  </si>
  <si>
    <t>Интеркультурная педагогика младшего возраста: Уч. / Е.Ю.Протасова - М.:Форум, НИЦ ИНФРА-М,2026 - 400 с.(П)</t>
  </si>
  <si>
    <t>Протасова Е.Ю., Родина Н.М.</t>
  </si>
  <si>
    <t>978-5-00091-543-1</t>
  </si>
  <si>
    <t>44.02.01, 44.02.02, 44.02.03, 44.02.04, 44.02.05, 44.02.06</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</si>
  <si>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</si>
  <si>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670731.04.01</t>
  </si>
  <si>
    <t>Интермодальные и мультимодальные перевозки: Уч.пос. / Л.Э.Еремеева - 2 изд. - М.:НИЦ ИНФРА-М,2026 - 223 с.(П)</t>
  </si>
  <si>
    <t>ИНТЕРМОДАЛЬНЫЕ И МУЛЬТИМОДАЛЬНЫЕ ПЕРЕВОЗКИ, ИЗД.2</t>
  </si>
  <si>
    <t>Еремеева Л.Э.</t>
  </si>
  <si>
    <t>978-5-16-019629-9</t>
  </si>
  <si>
    <t>23.03.01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</si>
  <si>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23.03.01 «Технология транспортных процессов» (квалификация (степень) «бакалавр») (протокол № 6 от 16.06.2021)</t>
  </si>
  <si>
    <t>Санкт-Петербургский государственный лесотехнический университет, ф-л Сыктывкарский лесной институт</t>
  </si>
  <si>
    <t>732549.05.01</t>
  </si>
  <si>
    <t>Интернациональное и национальное в лингвокультурах: Уч.пос. / Н.Г.Склярова-М.:НИЦ ИНФРА-М,2023.-194 с.(П)</t>
  </si>
  <si>
    <t>ИНТЕРНАЦИОНАЛЬНОЕ И НАЦИОНАЛЬНОЕ В ЛИНГВОКУЛЬТУРАХ (НА МАТЕРИАЛЕ РУССКОЙ И АНГЛИЙСКОЙ ФРАЗЕОЛОГИИ), ИЗД.1</t>
  </si>
  <si>
    <t>Склярова Н.Г.</t>
  </si>
  <si>
    <t>978-5-16-016071-9</t>
  </si>
  <si>
    <t>44.03.01, 44.03.05, 44.04.01, 44.04.04, 45.03.01, 45.03.02, 45.04.01, 45.04.02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</si>
  <si>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44.04.01 «Педагогическое образование» (квалификация (степень) «бакалавр») (протокол № 6 от 16.06.2021)</t>
  </si>
  <si>
    <t>455100.16.01</t>
  </si>
  <si>
    <t>Интернет вещей. Исслед.и область применения: Моногр. /Е.П.Зараменских - М.:НИЦ ИНФРА-М,2026 - 188 с.(о)</t>
  </si>
  <si>
    <t>ИНТЕРНЕТ ВЕЩЕЙ. ИССЛЕДОВАНИЯ И ОБЛАСТЬ ПРИМЕНЕНИЯ, ИЗД.1</t>
  </si>
  <si>
    <t>Зараменских Е.П., Артемьев И.Е.</t>
  </si>
  <si>
    <t>978-5-16-019914-6</t>
  </si>
  <si>
    <t>09.03.01, 08.02.16</t>
  </si>
  <si>
    <t>455100.12.01</t>
  </si>
  <si>
    <t>Интернет вещей. Исслед.и область применения: Моногр. /Е.П.Зараменских -М.:НИЦ ИНФРА-М,2024-188с.(П)</t>
  </si>
  <si>
    <t>978-5-16-011476-7</t>
  </si>
  <si>
    <t>820928.01.01</t>
  </si>
  <si>
    <t>Интернет-коммуникац. и жанры рус. электронного...: Уч.пос. / И.В.Евсеева-М.:НИЦ ИНФРА-М, СФУ,2024-184с(ВО)(п)</t>
  </si>
  <si>
    <t>ИНТЕРНЕТ-КОММУНИКАЦИЯ И ЖАНРЫ РУССКОГО ЭЛЕКТРОННОГО ЭПИСТОЛЯРИЯ, ИЗД.1</t>
  </si>
  <si>
    <t>Евсеева И.В., Кожеко А.В.</t>
  </si>
  <si>
    <t>978-5-16-019596-4</t>
  </si>
  <si>
    <t>42.03.05, 42.04.05, 45.04.02</t>
  </si>
  <si>
    <t>163850.09.01</t>
  </si>
  <si>
    <t>Интернет-психология / А.Е.Баранов - М.:ИЦ РИОР, НИЦ ИНФРА-М, 2026 - 264 с.(Практич. психология)(О)</t>
  </si>
  <si>
    <t>ИНТЕРНЕТ-ПСИХОЛОГИЯ, ИЗД.1</t>
  </si>
  <si>
    <t>Баранов А. Е.</t>
  </si>
  <si>
    <t>Практическая психология</t>
  </si>
  <si>
    <t>978-5-369-01000-6</t>
  </si>
  <si>
    <t>35.02.12, 37.04.01, 37.06.01, 38.02.03, 38.02.07, 42.04.01, 42.04.05, 42.06.01, 44.03.01, 44.03.05</t>
  </si>
  <si>
    <t>NBmarketing</t>
  </si>
  <si>
    <t>708389.02.01</t>
  </si>
  <si>
    <t>Интернет-технологии: Уч.пос. / С.Р.Гуриков - 2 изд. - М.:НИЦ ИНФРА-М,2023 - 174 с.(СПО)(о)</t>
  </si>
  <si>
    <t>ИНТЕРНЕТ-ТЕХНОЛОГИИ, ИЗД.2</t>
  </si>
  <si>
    <t>978-5-16-017117-3</t>
  </si>
  <si>
    <t>Рекомендовано Межрегиональным учебно-методическим советом профессионального образования в качестве учебного пособия для студентов средних профессиональных учебных заведений, обучающихся по основным образовательным программам среднего профессионального образования (протокол № 8 от 20.10.2021)</t>
  </si>
  <si>
    <t>319500.12.01</t>
  </si>
  <si>
    <t>Интернет-технологии: Уч.пос. / С.Р.Гуриков - 2 изд. - М.:НИЦ ИНФРА-М,2026 - 174 с.-(ВО)(п)</t>
  </si>
  <si>
    <t>978-5-16-019834-7</t>
  </si>
  <si>
    <t>09.03.01, 09.03.02, 09.03.03, 09.03.04, 09.04.01, 09.04.02, 09.04.03, 09.04.04, 09.05.01, 10.03.01, 10.04.01, 10.05.01, 10.05.02, 10.05.03, 10.05.04, 10.05.05, 10.05.07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</si>
  <si>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7 от 22.09.2021)</t>
  </si>
  <si>
    <t>319500.05.01</t>
  </si>
  <si>
    <t>Интернет-технологии: Уч.пос. / С.Р.Гуриков - М.:Форум,НИЦ ИНФРА-М,2019-184 с.-(ВО: Бакалавриат)(о)</t>
  </si>
  <si>
    <t>ИНТЕРНЕТ-ТЕХНОЛОГИИ, ИЗД.1</t>
  </si>
  <si>
    <t>978-5-00091-448-9</t>
  </si>
  <si>
    <t>Рекомендовано в качестве учебного пособия для студентов высших учебных заведений, обучающихся по направлению подготовки 09.03.01 «Информатика и вычислительная техника» (квалификация (степень) «бакалавр»)</t>
  </si>
  <si>
    <t>773687.03.01</t>
  </si>
  <si>
    <t>Интерпол в сис. международного сотрудничества по...: Моногр. / Ю.В.Пузырева - М.:НИЦ ИНФРА-М,2025. - 207 с.(О)</t>
  </si>
  <si>
    <t>ИНТЕРПОЛ В СИСТЕМЕ МЕЖДУНАРОДНОГО СОТРУДНИЧЕСТВА ПО ПРОТИВОДЕЙСТВИЮ ТРАНСНАЦИОНАЛЬНОЙ ОРГАНИЗОВАННОЙ ПРЕСТУПНОСТИ, ИЗД.1</t>
  </si>
  <si>
    <t>Пузырева Ю.В.</t>
  </si>
  <si>
    <t>978-5-16-017490-7</t>
  </si>
  <si>
    <t>40.04.01, 40.05.01</t>
  </si>
  <si>
    <t>853702.01.01</t>
  </si>
  <si>
    <t>Интерпол: институционные и угол.-процес. аспекты деят.: Моногр. / В.И.Самарин - М.:НИЦ ИНФРА-М,2026. - 367 с.(п)</t>
  </si>
  <si>
    <t>ИНТЕРПОЛ: ИНСТИТУЦИОННЫЕ И УГОЛОВНО-ПРОЦЕССУАЛЬНЫЕ АСПЕКТЫ ДЕЯТЕЛЬНОСТИ, ИЗД.1</t>
  </si>
  <si>
    <t>Самарин В.И.</t>
  </si>
  <si>
    <t>978-5-16-021218-0</t>
  </si>
  <si>
    <t>40.04.01, 40.05.01, 40.05.02, 40.06.01</t>
  </si>
  <si>
    <t>447050.08.01</t>
  </si>
  <si>
    <t>Интерпретация текста. Французская новелла.: Уч./А.А.Корниенко - М.: Вузов. уч.: ИНФРА-М, 2027 - 175 с. (о)</t>
  </si>
  <si>
    <t>ИНТЕРПРЕТАЦИЯ ТЕКСТА. ФРАНЦУЗСКАЯ НОВЕЛЛА., ИЗД.1</t>
  </si>
  <si>
    <t>Корниенко А. А.</t>
  </si>
  <si>
    <t>978-5-9558-0326-5</t>
  </si>
  <si>
    <t>45.03.01, 45.03.02, 45.04.01, 45.04.02, 45.05.01, 51.03.06</t>
  </si>
  <si>
    <t>Рекомендовано Московским государственным лингвистическим университетом для студентов 5 курса, обучающихся по специальностям направления «Лингвистика и межкультурная коммуникация», бакалавров 4 курса и магистров, обучающихся по направлению «Лингвистик</t>
  </si>
  <si>
    <t>674330.03.01</t>
  </si>
  <si>
    <t>Интерпретация худ.текста: русско-исп. диалог: Моногр./ О.С.Чеснокова - М.:НИЦ ИНФРА-М,2022 - 174с(О)</t>
  </si>
  <si>
    <t>ИНТЕРПРЕТАЦИЯ ХУДОЖЕСТВЕННОГО ТЕКСТА: РУССКО-ИСПАНСКИЙ ДИАЛОГ, ИЗД.1</t>
  </si>
  <si>
    <t>Чеснокова О.С.</t>
  </si>
  <si>
    <t>978-5-16-013840-4</t>
  </si>
  <si>
    <t>41.03.06, 42.03.02, 44.03.01, 44.03.05, 45.03.01, 45.04.01, 45.05.01</t>
  </si>
  <si>
    <t>420050.11.01</t>
  </si>
  <si>
    <t>Инфаркт миокарда у женщин: Моногр. / А.Д.Куимов - М.: НИЦ ИНФРА-М, 2027 - 126 с.(Науч. мысль) (о)</t>
  </si>
  <si>
    <t>ИНФАРКТ МИОКАРДА У ЖЕНЩИН, ИЗД.1</t>
  </si>
  <si>
    <t>Куимов А. Д.</t>
  </si>
  <si>
    <t>978-5-16-006540-3</t>
  </si>
  <si>
    <t>31.05.01, 31.06.01, 31.07.01, 31.08.36</t>
  </si>
  <si>
    <t>853012.02.01</t>
  </si>
  <si>
    <t>Инфекции, изменившие мир: чума...: Уч.пос. / И.О.Стома - М.:НИЦ ИНФРА-М, ГомГМУ,2027. - 414 с.[цв].(ВО)(п)</t>
  </si>
  <si>
    <t>ИНФЕКЦИИ, ИЗМЕНИВШИЕ МИР: ЧУМА, ОСПА, ХОЛЕРА, ИЗД.1</t>
  </si>
  <si>
    <t>Стома И.О., Сироткин А.А.</t>
  </si>
  <si>
    <t>978-5-16-020867-1</t>
  </si>
  <si>
    <t>30.05.03, 31.05.01, 31.05.02, 31.05.03, 32.05.01</t>
  </si>
  <si>
    <t>АКАДЕМУС-2000, Победитель, I место
АКАДЕМУС-2025, Победитель, I место</t>
  </si>
  <si>
    <t>682873.04.01</t>
  </si>
  <si>
    <t>Инфекционные  и  паразит.забол.у детей: рук.: Уч.пос. / Д.И.Зелинская - М.:НИЦ ИНФРА-М,2024-352(СПО)(П)</t>
  </si>
  <si>
    <t>ИНФЕКЦИОННЫЕ  И  ПАРАЗИТАРНЫЕ ЗАБОЛЕВАНИЯ У ДЕТЕЙ: РУКОВОДСТВО, ИЗД.1</t>
  </si>
  <si>
    <t>Зелинская Д.И., Исполатовская Э.О., Кешишян Е.С. и др.</t>
  </si>
  <si>
    <t>978-5-16-013923-4</t>
  </si>
  <si>
    <t>31.02.01, 31.02.02, 31.02.05, 31.02.06, 32.02.01, 34.02.01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</si>
  <si>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31.02.01 «Лечебное дело», 31.02.02 «Акушерское дело», 32.02.01 «Медико-профилактическое дело», 34.02.01 «Сестринское дело»</t>
  </si>
  <si>
    <t>274500.09.01</t>
  </si>
  <si>
    <t>Инфекционные  и  паразитарные  заболевания у детей: Уч. пос. / Д.И.Зелинская - М.: ИНФРА-М, 2025 - 352с.(П)</t>
  </si>
  <si>
    <t>ИНФЕКЦИОННЫЕ  И  ПАРАЗИТАРНЫЕ  ЗАБОЛЕВАНИЯ У ДЕТЕЙ, ИЗД.1</t>
  </si>
  <si>
    <t>Зелинская Д. И., Исполатовская Э. О., Кешишян Е. С., Кузнецов А. И.</t>
  </si>
  <si>
    <t>978-5-16-009702-2</t>
  </si>
  <si>
    <t>30.05.01, 30.05.02, 31.05.01, 31.05.02, 31.05.03, 31.08.19, 31.08.35, 33.05.01, 34.03.01</t>
  </si>
  <si>
    <t>319300.12.01</t>
  </si>
  <si>
    <t>Инфекционные болезни животных: Уч. / Под ред. Сидорчука А.А. - 2 изд. - М.:НИЦ ИНФРА-М,2026. - 954 с.(ВО)(П)</t>
  </si>
  <si>
    <t>ИНФЕКЦИОННЫЕ БОЛЕЗНИ ЖИВОТНЫХ, ИЗД.2</t>
  </si>
  <si>
    <t>Сидорчук А.А., Масимов Н.А., Крупальник В.Л. и др.</t>
  </si>
  <si>
    <t>978-5-16-020928-9</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</si>
  <si>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36.05.01 «Ветеринария» (квалификация «ветеринарный врач»)</t>
  </si>
  <si>
    <t>160300.12.01</t>
  </si>
  <si>
    <t>Инфляционные процессы и денеж.-кредит.регулир..: Уч.пос./М.Ю.Малкина-М.:НИЦ ИНФРА-М,2024-310с(ВО)(п)</t>
  </si>
  <si>
    <t>ИНФЛЯЦИОННЫЕ ПРОЦЕССЫ И ДЕНЕЖНО-КРЕДИТНОЕ РЕГУЛИРОВАНИЕ В РОССИИ И ЗА РУБЕЖОМ, ИЗД.1</t>
  </si>
  <si>
    <t>Малкина М. Ю.</t>
  </si>
  <si>
    <t>978-5-16-019586-5</t>
  </si>
  <si>
    <t>38.03.01, 44.03.05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</si>
  <si>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15 от 14.10.2019)</t>
  </si>
  <si>
    <t>069000.12.01</t>
  </si>
  <si>
    <t>Информатика для экономистов: Уч. / В.М.Матюшок -2 изд.-М.:НИЦ ИНФРА-М,2023-460 с.(ВО: Бакалавр.)(П)</t>
  </si>
  <si>
    <t>ИНФОРМАТИКА ДЛЯ ЭКОНОМИСТОВ, ИЗД.2</t>
  </si>
  <si>
    <t>Матюшок В. М.</t>
  </si>
  <si>
    <t>978-5-16-009152-5</t>
  </si>
  <si>
    <t>09.03.02, 38.03.01, 38.03.02</t>
  </si>
  <si>
    <t>Допущено Министерством образования и науки Российской Федерации в качестве учебника для студентов высших учебных заведений, обучающихся по направлению 38.03.01 (080100) "Экономика» и 38.03.02 (080200) «Менеджмент»</t>
  </si>
  <si>
    <t>075400.13.01</t>
  </si>
  <si>
    <t>Информатика для экономистов: Уч. / В.П.Агальцов - М.:ИД Форум, НИЦ ИНФРА-М,2026 - 448 с.(ВО)(П)</t>
  </si>
  <si>
    <t>ИНФОРМАТИКА ДЛЯ ЭКОНОМИСТОВ, ИЗД.1</t>
  </si>
  <si>
    <t>Агальцов В.П., Титов В.М.</t>
  </si>
  <si>
    <t>978-5-8199-0274-5</t>
  </si>
  <si>
    <t>01.03.02, 38.03.01, 38.03.02, 38.03.03, 38.03.05</t>
  </si>
  <si>
    <t>Допущено УМО по образованию в области прикладной информатики в качестве учебника для студентов высших учебных заведений, обучающихся по специальности "Прикладная информатика (по областям)" и другим экономическим специальностям</t>
  </si>
  <si>
    <t>455050.11.01</t>
  </si>
  <si>
    <t>Информатика и информ.-коммуникац. технол. (ИКТ): Уч.пос. / Н.Г.Плотникова - М.:РИОР, ИНФРА-М,2026 - 124 c.(п)</t>
  </si>
  <si>
    <t>ИНФОРМАТИКА И ИНФОРМАЦИОННО-КОММУНИКАЦИОННЫЕ ТЕХНОЛОГИИ (ИКТ), ИЗД.1</t>
  </si>
  <si>
    <t>Плотникова Н.Г.</t>
  </si>
  <si>
    <t>978-5-369-01308-3</t>
  </si>
  <si>
    <t>00.02.03, 08.02.08, 09.02.05, 46.02.01, 46.02.02</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</si>
  <si>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программы СПО</t>
  </si>
  <si>
    <t>Новочеркасский машиностроительный колледж Ростовской области</t>
  </si>
  <si>
    <t>694877.07.01</t>
  </si>
  <si>
    <t>Информатика и информ.-коммуникац. технологии в...: Уч.пос. / В.Н.Шитов - М.:НИЦ ИНФРА-М,2026. - 247 с.(П)</t>
  </si>
  <si>
    <t>ИНФОРМАТИКА И ИНФОРМАЦИОННО-КОММУНИКАЦИОННЫЕ ТЕХНОЛОГИИ В ПРОФЕССИОНАЛЬНОЙ ДЕЯТЕЛЬНОСТИ, ИЗД.1</t>
  </si>
  <si>
    <t>978-5-16-014647-8</t>
  </si>
  <si>
    <t>09.02.01, 09.02.02, 09.02.04, 09.02.05, 09.02.07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</si>
  <si>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программу среднего профессионального образования (протокол № 5 от 19.05.2021)</t>
  </si>
  <si>
    <t>363600.11.01</t>
  </si>
  <si>
    <t>Информатика и лингвистика: Уч.пос. / Т.М.Волосатова - М.:НИЦ ИНФРА-М,2026. - 196 с.(ВО)(П)</t>
  </si>
  <si>
    <t>ИНФОРМАТИКА И ЛИНГВИСТИКА, ИЗД.1</t>
  </si>
  <si>
    <t>Волосатова Т.М., Чичварин Н.В.</t>
  </si>
  <si>
    <t>978-5-16-022059-8</t>
  </si>
  <si>
    <t>09.03.01, 10.03.01</t>
  </si>
  <si>
    <t>Рекомендовано в качестве учебного пособия для студентов высших учебных заведений, обучающихся по направлениям подготовки 09.03.01 «Информатика и вычислительная техника», 10.03.01 «Информационная безопасность» (квалификация (степень) «бакалавр»)</t>
  </si>
  <si>
    <t>705965.10.01</t>
  </si>
  <si>
    <t>Информатика, автоматизир. информац. техн. и сис.: Уч. / В.А.Гвоздева - М.:ИД ФОРУМ, НИЦ ИНФРА-М,2025 - 542 с.(ВО)(П)</t>
  </si>
  <si>
    <t>ИНФОРМАТИКА, АВТОМАТИЗИРОВАННЫЕ ИНФОРМАЦИОННЫЕ ТЕХНОЛОГИИ И СИСТЕМЫ, ИЗД.1</t>
  </si>
  <si>
    <t>978-5-8199-0968-3</t>
  </si>
  <si>
    <t>01.03.02, 02.03.03, 08.03.01, 09.03.02, 12.03.01, 12.03.02, 12.03.03, 12.03.05, 13.03.02, 13.03.03, 15.03.05, 15.03.06, 17.03.01, 19.03.04, 20.03.01, 21.03.01, 21.03.02, 21.03.03, 23.03.01, 23.03.02, 23.03.03, 24.03.01, 24.03.04, 24.03.05, 25.03.01, 25.03.02, 25.03.03, 25.03.04, 25.05.03, 26.03.02, 27.03.01, 27.03.02, 28.03.02, 29.03.01, 29.03.02, 29.03.03, 29.03.04, 29.03.05, 35.03.03, 35.03.04, 35.03.05, 35.03.09, 38.03.01, 38.03.07, 43.03.01, 43.03.02, 43.03.03, 54.03.04</t>
  </si>
  <si>
    <t>Рекомендовано Учебно-методическим советом СПО в качестве учебника для студентов учебных заведений,¶реализующих программу среднего профессионального образования по техническим специальностям</t>
  </si>
  <si>
    <t>138800.21.01</t>
  </si>
  <si>
    <t>Информатика, автоматизированные информ. техн..: Уч. / В.А.Гвоздева - М.:ИНФРА-М,2026 - 542 с.(СПО)</t>
  </si>
  <si>
    <t>978-5-16-021611-9</t>
  </si>
  <si>
    <t>00.02.03, 08.02.15, 09.01.03, 09.01.04, 09.02.01, 09.02.03, 09.02.06, 09.02.07, 11.02.06, 11.02.13, 12.02.07, 12.02.09, 12.02.10, 15.01.06, 15.02.03, 15.02.04, 15.02.07, 15.02.09, 18.02.15, 19.02.14, 19.02.15, 21.02.12, 24.02.02, 25.02.01, 25.02.02, 25.02.03, 25.02.04, 25.02.06, 25.02.07, 26.02.02, 26.02.03, 26.02.05, 26.02.06, 27.02.03, 09.02.10</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</si>
  <si>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техническим специальностям</t>
  </si>
  <si>
    <t>136900.06.01</t>
  </si>
  <si>
    <t>Информатика. Курс лекций: Уч.пос./ Е.Л.Федотова-М.:ИД Форум, ИНФРА-М ИД.,2018.-480 с.(ВО)(п)</t>
  </si>
  <si>
    <t>ИНФОРМАТИКА, ИЗД.1</t>
  </si>
  <si>
    <t>Федотова Е. Л., Федотов А. А.</t>
  </si>
  <si>
    <t>978-5-8199-0448-0</t>
  </si>
  <si>
    <t>775954.01.01</t>
  </si>
  <si>
    <t>Информатика. Практикум: Уч.пос. / С.Г.Канакова-М.:НИЦ ИНФРА-М,2023.-363 с..(СПО)(п)</t>
  </si>
  <si>
    <t>ИНФОРМАТИКА. ПРАКТИКУМ, ИЗД.1</t>
  </si>
  <si>
    <t>Канакова С.Г.</t>
  </si>
  <si>
    <t>978-5-16-017682-6</t>
  </si>
  <si>
    <t>09.02.05, 09.02.07</t>
  </si>
  <si>
    <t>Прокопьевский горнотехнический техникум им. В.П. Романова</t>
  </si>
  <si>
    <t>718985.10.01</t>
  </si>
  <si>
    <t>Информатика: Уч. / В.Н.Яшин - М.:НИЦ ИНФРА-М,2026 - 522 с.-(ВО: Бакалавриат)(П)</t>
  </si>
  <si>
    <t>Яшин В.Н., Колоденкова А.Е.</t>
  </si>
  <si>
    <t>978-5-16-015924-9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</si>
  <si>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10 от 12.10.2020)</t>
  </si>
  <si>
    <t>682875.04.01</t>
  </si>
  <si>
    <t>Информатика: Уч. / С.Р.Гуриков - 2 изд. - М.:НИЦ ИНФРА-М,2024 - 566 с.-(СПО)(П)</t>
  </si>
  <si>
    <t>ИНФОРМАТИКА, ИЗД.2</t>
  </si>
  <si>
    <t>978-5-16-016575-2</t>
  </si>
  <si>
    <t>00.02.03, 09.02.05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</si>
  <si>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8 от 22.06.2020)</t>
  </si>
  <si>
    <t>231900.12.01</t>
  </si>
  <si>
    <t>Информатика: Уч. / С.Р.Гуриков - 2 изд. - М.:НИЦ ИНФРА-М,2027 - 566 с.-(ВО)(П)</t>
  </si>
  <si>
    <t>978-5-16-018692-4</t>
  </si>
  <si>
    <t>00.03.03, 00.05.03, 26.02.04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</si>
  <si>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программам бакалавриата  (протокол № 8 от 22.06.2020)</t>
  </si>
  <si>
    <t>231900.04.01</t>
  </si>
  <si>
    <t>Информатика: Уч. / С.Р.Гуриков - М.:Форум,НИЦ ИНФРА-М,2018 - 463 с.-(ВО: Бакалавриат)(П)</t>
  </si>
  <si>
    <t>978-5-00091-699-5</t>
  </si>
  <si>
    <t>Рекомендовано в качестве учебника для студентов образовательных учреждений высшего образования</t>
  </si>
  <si>
    <t>136900.09.01</t>
  </si>
  <si>
    <t>Информатика: Уч.пос. / Е.Л.Федотова - 2 изд. - М.:НИЦ ИНФРА-М,2024 - 453 с.(ВО)(п)</t>
  </si>
  <si>
    <t>Федотова Е.Л.</t>
  </si>
  <si>
    <t>978-5-16-020011-8</t>
  </si>
  <si>
    <t>Рекомендовано Учебно-методическим советом Национального исследовательского университета «МИЭТ» в качестве учебного пособия для студентов, обучающихся по направлению подготовки бакалавров</t>
  </si>
  <si>
    <t>209700.19.01</t>
  </si>
  <si>
    <t>Информационная безоп. и защита инфор.: Уч.пос. / Е.К.Баранова - 4 изд. - М.:ИЦ РИОР,Инфра-М,2025 - 336с(П)</t>
  </si>
  <si>
    <t>ИНФОРМАЦИОННАЯ БЕЗОПАСНОСТЬ И ЗАЩИТА ИНФОРМАЦИИ, ИЗД.4</t>
  </si>
  <si>
    <t>978-5-369-01761-6</t>
  </si>
  <si>
    <t>09.03.03, 10.03.01, 10.04.01, 10.05.02, 10.05.04, 27.04.03, 38.03.05, 38.04.05, 46.03.02</t>
  </si>
  <si>
    <t>Допущено Учебно-методическим объединением по образованию в области прикладной информатики в качестве учебного пособия для студентов, обучающихся по направлению «Прикладная информатика"</t>
  </si>
  <si>
    <t>706824.07.01</t>
  </si>
  <si>
    <t>Информационная безоп. и защита информации..: Моногр. / И.С.Клименко - М.:НИЦ ИНФРА-М,2026 - 180с.(О)</t>
  </si>
  <si>
    <t>ИНФОРМАЦИОННАЯ БЕЗОПАСНОСТЬ И ЗАЩИТА ИНФОРМАЦИИ: МОДЕЛИ И МЕТОДЫ УПРАВЛЕНИЯ, ИЗД.1</t>
  </si>
  <si>
    <t>Клименко И.С.</t>
  </si>
  <si>
    <t>978-5-16-015149-6</t>
  </si>
  <si>
    <t>10.04.01, 10.06.01, 27.04.03, 38.04.05</t>
  </si>
  <si>
    <t>Северо-Кавказский федеральный университет, ф-л в г. Пятигорске</t>
  </si>
  <si>
    <t>085430.25.01</t>
  </si>
  <si>
    <t>Информационная безоп. комп. сис. и сетей: Уч.пос. / В.Ф.Шаньгин - М.:ИД ФОРУМ, НИЦ ИНФРА-М,2026 - 416 с.(п)</t>
  </si>
  <si>
    <t>ИНФОРМАЦИОННАЯ БЕЗОПАСНОСТЬ КОМПЬЮТЕРНЫХ СИСТЕМ И СЕТЕЙ, ИЗД.1</t>
  </si>
  <si>
    <t>Шаньгин В. Ф.</t>
  </si>
  <si>
    <t>978-5-8199-0754-2</t>
  </si>
  <si>
    <t>09.01.03, 09.01.04, 09.02.01, 09.02.02, 09.02.03, 09.02.04, 09.02.05, 09.02.06, 09.02.07, 10.02.04, 10.02.05, 11.02.15, 11.02.18</t>
  </si>
  <si>
    <t>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09.00.00 «Информатика и вычислительная техника»</t>
  </si>
  <si>
    <t>745644.02.01</t>
  </si>
  <si>
    <t>Информационная безоп. конструкций ЭВМ и сис.: Уч.пос. / Е.В.Глинская - М.:НИЦ ИНФРА-М,2027. - 118 с.(ВО)(О)</t>
  </si>
  <si>
    <t>ИНФОРМАЦИОННАЯ БЕЗОПАСНОСТЬ КОНСТРУКЦИЙ ЭВМ И СИСТЕМ, ИЗД.1</t>
  </si>
  <si>
    <t>Глинская Е.В., Чичварин Н.В.</t>
  </si>
  <si>
    <t>978-5-16-016536-3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</si>
  <si>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10.05.00 «Информационная безопасность»  (протокол № 8 от 22.06.2020)</t>
  </si>
  <si>
    <t>209700.05.01</t>
  </si>
  <si>
    <t>Информационная безоп.и защита..: Уч.пос. /Е.К.Баранова -3изд. -М.:ИЦ РИОР,НИЦ ИНФРА-М,2017-322(ВО)(П)</t>
  </si>
  <si>
    <t>ИНФОРМАЦИОННАЯ БЕЗОПАСНОСТЬ И ЗАЩИТА ИНФОРМАЦИИ, ИЗД.3</t>
  </si>
  <si>
    <t>978-5-369-01450-9</t>
  </si>
  <si>
    <t>361300.08.01</t>
  </si>
  <si>
    <t>Информационная безоп.констр.ЭВМ...: Уч.пос. / Е.В.Глинская - М.:НИЦ ИНФРА-М,2027 - 118 с.(ВО:Бакалавр.)(о)</t>
  </si>
  <si>
    <t>ГлинскаяЕ.В., ЧичваринН.В.</t>
  </si>
  <si>
    <t>978-5-16-010961-9</t>
  </si>
  <si>
    <t>02.03.02, 09.03.03, 10.04.01, 10.05.01, 27.04.03, 46.03.02</t>
  </si>
  <si>
    <t>Рекомендовано в качестве учебного пособия для студентов высших учебных заведений, обучающихся по направлениям подготовки 09.03.03 «Прикладная информатика» и 10.03.01 «Информационная безопасность» (квалификация (степень) «бакалавр»)</t>
  </si>
  <si>
    <t>209700.21.01</t>
  </si>
  <si>
    <t>Информационная безопас. и защита информ.: Уч.пос. / Е.К.Баранова - 5 изд. - М.:ИЦ РИОР, НИЦ ИНФРА-М,2026 - 384 с.(п)</t>
  </si>
  <si>
    <t>ИНФОРМАЦИОННАЯ БЕЗОПАСНОСТЬ И ЗАЩИТА ИНФОРМАЦИИ, ИЗД.5</t>
  </si>
  <si>
    <t>978-5-369-02005-0</t>
  </si>
  <si>
    <t>116800.10.98</t>
  </si>
  <si>
    <t>Информационная безопасность предпр.: Уч.пос. / Н.В.Гришина, - 2 изд.-М.:Форум, НИЦ ИНФРА-М,2017-239с</t>
  </si>
  <si>
    <t>ИНФОРМАЦИОННАЯ БЕЗОПАСНОСТЬ ПРЕДПРИЯТИЯ, ИЗД.2</t>
  </si>
  <si>
    <t>Гришина Н.В.</t>
  </si>
  <si>
    <t>978-5-00091-007-8</t>
  </si>
  <si>
    <t>09.03.03, 46.03.02</t>
  </si>
  <si>
    <t>Рекомендовано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подготовки 10.03.01 «Информационная безопасность» (квалификация (степень) «бакалавр»)</t>
  </si>
  <si>
    <t>690120.04.01</t>
  </si>
  <si>
    <t>Информационная безопасность...: Уч.пос. / Е.К.Баранова -М.:ИЦ РИОР, НИЦ ИНФРА-М,2024.-236 с.(П)</t>
  </si>
  <si>
    <t>ИНФОРМАЦИОННАЯ БЕЗОПАСНОСТЬ. ИСТОРИЯ СПЕЦИАЛЬНЫХ МЕТОДОВ КРИПТОГРАФИЧЕСКОЙ ДЕЯТЕЛЬНОСТИ, ИЗД.1</t>
  </si>
  <si>
    <t>Баранова Е.К., Бабаш А.В., Ларин Д.А.</t>
  </si>
  <si>
    <t>978-5-369-01788-3</t>
  </si>
  <si>
    <t>09.03.03, 10.03.01, 10.04.01, 27.04.03, 38.03.05, 38.04.05</t>
  </si>
  <si>
    <t>039080.23.01</t>
  </si>
  <si>
    <t>Информационная безопасность: Уч.пос. / Т.Л.Партыка - 5 изд. - М.:Форум, НИЦ ИНФРА-М,2027 - 432с(П)</t>
  </si>
  <si>
    <t>ИНФОРМАЦИОННАЯ БЕЗОПАСНОСТЬ, ИЗД.5</t>
  </si>
  <si>
    <t>Партыка Т. Л., Попов И. И.</t>
  </si>
  <si>
    <t>978-5-00091-473-1</t>
  </si>
  <si>
    <t>09.02.01, 09.02.02, 09.02.03, 09.02.04, 09.02.05, 10.02.01, 10.02.02, 10.02.03, 10.02.04, 10.02.05, 11.02.18</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</si>
  <si>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специальностям информатики и вычислительной техники</t>
  </si>
  <si>
    <t>0512</t>
  </si>
  <si>
    <t>434150.03.01</t>
  </si>
  <si>
    <t>Информационная поддерж.принятия..: Науч.-практ.пос./А.В.Затонский-М.:ИЦ РИОР,НИЦ ИНФРА-М,2020-333(о)</t>
  </si>
  <si>
    <t>ИНФОРМАЦИОННАЯ ПОДДЕРЖКА ПРИНЯТИЯ РЕШЕНИЙ ПРИ УПРАВЛЕНИИ ФИЛИАЛОМ ВУЗА, ИЗД.1</t>
  </si>
  <si>
    <t>Затонский А. В., Варламова С. А., Измайлова Е. В.</t>
  </si>
  <si>
    <t>978-5-369-01201-7</t>
  </si>
  <si>
    <t>27.03.05</t>
  </si>
  <si>
    <t>Пермский национальный исследовательский политехнический университет, Березниковский ф-л</t>
  </si>
  <si>
    <t>121200.12.01</t>
  </si>
  <si>
    <t>Информационная система предприятия: Уч. пос. / Л.А.Вдовенко - 2 изд. - М.:Вуз. уч., НИЦ ИНФРА-М,2026. - 304 с.(П)</t>
  </si>
  <si>
    <t>ИНФОРМАЦИОННАЯ СИСТЕМА ПРЕДПРИЯТИЯ, ИЗД.2</t>
  </si>
  <si>
    <t>Вдовенко Л. А.</t>
  </si>
  <si>
    <t>978-5-9558-0329-6</t>
  </si>
  <si>
    <t>09.03.02, 09.04.02, 38.03.01, 38.03.02, 38.03.03, 38.03.04, 38.03.05, 38.03.06, 38.03.07, 38.04.01, 38.04.02, 38.04.03, 38.04.04, 38.04.05, 38.04.06, 38.04.07, 38.04.08, 38.04.09, 38.05.01, 38.05.02</t>
  </si>
  <si>
    <t>Рекомендовано в качестве учебного пособия для студентов вузов, обучающихся по экономическим направлениям подготовки</t>
  </si>
  <si>
    <t>672141.04.01</t>
  </si>
  <si>
    <t>Информационная структура предприятия: Уч.пос. / Д.В.Капулин - М.:НИЦ ИНФРА-М, СФУ,2027 - 186 с.(ВО)(П)</t>
  </si>
  <si>
    <t>ИНФОРМАЦИОННАЯ СТРУКТУРА ПРЕДПРИЯТИЯ, ИЗД.1</t>
  </si>
  <si>
    <t>Капулин Д.В., Кузнецов А.С., Носкова Е.Е.</t>
  </si>
  <si>
    <t>978-5-16-013433-8</t>
  </si>
  <si>
    <t>27.03.04, 27.04.04</t>
  </si>
  <si>
    <t>Рекомендовано федеральным государственным бюджетным образовательным учреждением высшего образования «Московский государственный технический университет имени Н.Э. Баумана» в качестве учебного пособия для студентов высших учебных заведений, обучающихся по направлению «Управление в технических системах»</t>
  </si>
  <si>
    <t>151250.16.01</t>
  </si>
  <si>
    <t>Информационно-аналит. работа..: Уч.пос. /  Полывянного Д.И. - 3 изд. - М.,НИЦ ИНФРА-М,2026 - 145 с.(О)</t>
  </si>
  <si>
    <t>ИНФОРМАЦИОННО-АНАЛИТИЧЕСКАЯ РАБОТА В ГОСУДАРСТВЕННОМ И МУНИЦИПАЛЬНОМ УПРАВЛЕНИИ, ИЗД.3</t>
  </si>
  <si>
    <t>Зобнин А.В.</t>
  </si>
  <si>
    <t>978-5-16-021123-7</t>
  </si>
  <si>
    <t>38.04.04, 41.03.04, 41.03.05, 41.03.06, 41.04.04, 41.04.05</t>
  </si>
  <si>
    <t>Допущено Научно-методическим советом по политологии Министерства образования и науки Российской Федерации в качестве учебного пособия для студентов вузов и факультетов гуманитарного и социально-экономического профиля</t>
  </si>
  <si>
    <t>151250.10.01</t>
  </si>
  <si>
    <t>Информационно-аналит. работа..: Уч.пос. /  Полывянного Д.И.-2 изд.М.:Вуз.уч.,НИЦ ИНФРА-М,2020-144с</t>
  </si>
  <si>
    <t>ИНФОРМАЦИОННО-АНАЛИТИЧЕСКАЯ РАБОТА В ГОСУДАРСТВЕННОМ И МУНИЦИПАЛЬНОМ УПРАВЛЕНИИ, ИЗД.2</t>
  </si>
  <si>
    <t>Зобнин А.В., Полывянный Д.И.</t>
  </si>
  <si>
    <t>978-5-9558-0405-7</t>
  </si>
  <si>
    <t>Допущено Научно-методическим советом по политологии Министерства образования РФ в качестве учебного пособия  для студентов вузов и факультетов гуманитарного и социально-экономического профиля</t>
  </si>
  <si>
    <t>818408.03.01</t>
  </si>
  <si>
    <t>Информационно-аналитич. деят. финанс. разведки: Уч. / Н.А.Буймов - М.:НИЦ ИНФРА-М, СФУ,2026. - 249 с.(ВО)(п)</t>
  </si>
  <si>
    <t>ИНФОРМАЦИОННО-АНАЛИТИЧЕСКАЯ ДЕЯТЕЛЬНОСТЬ ФИНАНСОВОЙ РАЗВЕДКИ, ИЗД.1</t>
  </si>
  <si>
    <t>Буймов Н.А., Голобоков В.А., Жирков С.Ф.</t>
  </si>
  <si>
    <t>978-5-16-019514-8</t>
  </si>
  <si>
    <t>10.05.04, 38.03.01, 38.03.05, 38.04.01, 38.04.05, 38.04.08</t>
  </si>
  <si>
    <t>Допущено Учебно-методическим советом Сибирского федерального университета в качестве учебника для студентов, обучающихся по направлениям подготовки 38.03.01 и 38.04.01 «Экономика», 38.03.05 и 38.04.05 «Бизнес-информатика», 10.05.04 «Аналитические системы безопасности»</t>
  </si>
  <si>
    <t>419200.14.01</t>
  </si>
  <si>
    <t>Информационно-аналитич. раб. в межд. отнош.: Уч.пос. / В.В.Демидов - 2 изд. - М.:НИЦ ИНФРА-М,2026. - 369 с.(П)</t>
  </si>
  <si>
    <t>ИНФОРМАЦИОННО-АНАЛИТИЧЕСКАЯ РАБОТА В МЕЖДУНАРОДНЫХ ОТНОШЕНИЯХ, ИЗД.2</t>
  </si>
  <si>
    <t>Демидов В.В.</t>
  </si>
  <si>
    <t>978-5-16-020738-4</t>
  </si>
  <si>
    <t>41.03.01, 41.03.04, 41.03.05, 41.03.06, 41.04.01, 41.04.05, 42.03.01, 42.04.01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</si>
  <si>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41.04.01 «Зарубежное регионоведение», 41.04.05 «Международные отношения» (квалификация (степень) «магистр») (протокол № 6 от 25.03.2019)</t>
  </si>
  <si>
    <t>Российская академия народного хозяйства и государственной службы при Президенте РФ, ф-л Сибирский институт управления</t>
  </si>
  <si>
    <t>838290.04.01</t>
  </si>
  <si>
    <t>Информационно-аналитич. сопровож. спец. и полиц..: Уч.пос. / И.В.Бочарников - М.:НИЦ ИНФРА-М,2026-267с(п)</t>
  </si>
  <si>
    <t>ИНФОРМАЦИОННО-АНАЛИТИЧЕСКОЕ СОПРОВОЖДЕНИЕ СПЕЦИАЛЬНЫХ И ПОЛИЦЕЙСКИХ ОПЕРАЦИЙ, ИЗД.1</t>
  </si>
  <si>
    <t>Бочарников И.В.</t>
  </si>
  <si>
    <t>978-5-16-020429-1</t>
  </si>
  <si>
    <t>10.05.04, 10.05.05, 40.05.02</t>
  </si>
  <si>
    <t>Рекомендовано Ученым советом Научно-исследовательского центра проблем национальной безопасности в качестве учебного пособия для студентов и аспирантов высших учебных заведений, специализирующихся по направлениям «Информационные и гибридные войны», «Конфликтология»</t>
  </si>
  <si>
    <t>419200.05.01</t>
  </si>
  <si>
    <t>Информационно-аналитическая работа в межд.отн.: Уч.пос./В.В.Демидов-М.:Вуз.уч.,НИЦ ИНФРА-М,2018-200с</t>
  </si>
  <si>
    <t>ИНФОРМАЦИОННО-АНАЛИТИЧЕСКАЯ РАБОТА В МЕЖДУНАРОДНЫХ ОТНОШЕНИЯХ, ИЗД.1</t>
  </si>
  <si>
    <t>978-5-9558-0269-5</t>
  </si>
  <si>
    <t>Рекомендовано Учебно-методическим объединением вузов Российской Федерации по образованию в области международных отношений в качестве учебного пособия для студентов вузов, обучающихся по направлениям подготовки и специальностям «Международные отношения», «Регионоведение» и «Связи с общественностью»</t>
  </si>
  <si>
    <t>673762.03.01</t>
  </si>
  <si>
    <t>Информационно-аналитическая работа: Уч.пос. / С.Е.Мишенин - М.:НИЦ ИНФРА-М,2026. - 384 с.(ВО)(п)</t>
  </si>
  <si>
    <t>ИНФОРМАЦИОННО-АНАЛИТИЧЕСКАЯ РАБОТА, ИЗД.1</t>
  </si>
  <si>
    <t>Мишенин С.Е.</t>
  </si>
  <si>
    <t>978-5-16-019361-8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</si>
  <si>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46.03.01 «История» (квалификация (степень) «бакалавр») (протокол № 17 от 11.11.2019)</t>
  </si>
  <si>
    <t>Кузбасский региональный институт развития профессионального образования</t>
  </si>
  <si>
    <t>824591.03.01</t>
  </si>
  <si>
    <t>Информационное право: Уч. / С.Е.Чаннов - М.:Юр. НОРМА, НИЦ ИНФРА-М,2027 - 448 с.(п)</t>
  </si>
  <si>
    <t>ИНФОРМАЦИОННОЕ ПРАВО, ИЗД.1</t>
  </si>
  <si>
    <t>Чаннов С.Е.</t>
  </si>
  <si>
    <t>978-5-00156-366-2</t>
  </si>
  <si>
    <t>810165.01.01</t>
  </si>
  <si>
    <t>Информационное противоборство: концепт. основы обеспеч...: Уч.пос. / Е.А.Дербин-М.:НИЦ ИНФРА-М,2024.-267(п)</t>
  </si>
  <si>
    <t>ИНФОРМАЦИОННОЕ ПРОТИВОБОРСТВО: КОНЦЕПТУАЛЬНЫЕ ОСНОВЫ ОБЕСПЕЧЕНИЯ ИНФОРМАЦИОННОЙ БЕЗОПАСНОСТИ, ИЗД.1</t>
  </si>
  <si>
    <t>Дербин Е.А., Царегородцев А.В.</t>
  </si>
  <si>
    <t>978-5-16-019050-1</t>
  </si>
  <si>
    <t>10.05.02, 41.04.05</t>
  </si>
  <si>
    <t>660198.05.01</t>
  </si>
  <si>
    <t>Информационно-измер. подходы для оценки качества тех.: Моногр./ В.Н.Яшин-М.:НИЦ ИНФРА-М,2024-120с(о)</t>
  </si>
  <si>
    <t>ИНФОРМАЦИОННО-ИЗМЕРИТЕЛЬНЫЕ ПОДХОДЫ ДЛЯ ОЦЕНКИ КАЧЕСТВА ТЕХНИЧЕСКИХ СРЕДСТВ  ХРОНОМЕТРИИ, ИЗД.1</t>
  </si>
  <si>
    <t>Яшин В.Н.</t>
  </si>
  <si>
    <t>978-5-16-013022-4</t>
  </si>
  <si>
    <t>733158.01.01</t>
  </si>
  <si>
    <t>Информационно-коммуникац. концепция теории бух. уч. / М.Д.Акатьева - М.:НИЦ ИНФРА-М,2020-162 с.(О)</t>
  </si>
  <si>
    <t>ИНФОРМАЦИОННО-КОММУНИКАЦИОННАЯ КОНЦЕПЦИЯ ТЕОРИИ БУХГАЛТЕРСКОГО УЧЕТА, ИЗД.1</t>
  </si>
  <si>
    <t>978-5-16-016080-1</t>
  </si>
  <si>
    <t>38.04.01, 38.04.08, 38.06.01</t>
  </si>
  <si>
    <t>646084.05.01</t>
  </si>
  <si>
    <t>Информационно-коммуникац. тех. в спец. обр.: Уч. / И.А.Никольская - 2 изд. - М.:НИЦ ИНФРА-М,2026. - 232 с.(ВО)(п)</t>
  </si>
  <si>
    <t>ИНФОРМАЦИОННО-КОММУНИКАЦИОННЫЕ ТЕХНОЛОГИИ В СПЕЦИАЛЬНОМ ОБРАЗОВАНИИ, ИЗД.2</t>
  </si>
  <si>
    <t>Никольская И.А.</t>
  </si>
  <si>
    <t>978-5-16-019267-3</t>
  </si>
  <si>
    <t>44.03.03, 44.05.01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</si>
  <si>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7 от 08.06.2020)</t>
  </si>
  <si>
    <t>742205.06.01</t>
  </si>
  <si>
    <t>Информационно-коммуникац.технологии в спец.образ.: Уч. / И.А.Никольская - 2 изд. - М.:НИЦ ИНФРА-М,2026. - 232 с.(П)</t>
  </si>
  <si>
    <t>978-5-16-016425-0</t>
  </si>
  <si>
    <t>44.02.01, 44.02.02, 44.02.03, 44.02.04, 44.02.05, 49.02.01, 49.02.02, 53.02.01, 54.02.06</t>
  </si>
  <si>
    <t>Рекомендовано Межрегиональным учебно-методическим советом профессионального образования в качестве учебника для студентов учреждений среднего профессионального образования, обучающихся по специальности  44.02.05 «Коррекционная педагогика в начальном образовании» (протокол № 7 от 08.06.2020)</t>
  </si>
  <si>
    <t>632251.13.01</t>
  </si>
  <si>
    <t>Информационно-коммуникационные тех.в образ.: Уч. / О.Ф.Брыксина - М.:НИЦ ИНФРА-М,2025 - 549 с.(ВО)(п)</t>
  </si>
  <si>
    <t>ИНФОРМАЦИОННО-КОММУНИКАЦИОННЫЕ ТЕХНОЛОГИИ В ОБРАЗОВАНИИ, ИЗД.1</t>
  </si>
  <si>
    <t>Брыксина О.Ф., Пономарева Е.А., Сонина М.Н.</t>
  </si>
  <si>
    <t>978-5-16-019848-4</t>
  </si>
  <si>
    <t>Самарский государственный социально-педагогический университет</t>
  </si>
  <si>
    <t>468150.05.01</t>
  </si>
  <si>
    <t>Информационно-предметное обеспеч. учеб. дисцип...: Уч.-метод. пос. /Н.А.Логинова -ИНФРА-М,2024-124(О)</t>
  </si>
  <si>
    <t>ИНФОРМАЦИОННО-ПРЕДМЕТНОЕ ОБЕСПЕЧЕНИЕ УЧЕБНЫХ ДИСЦИПЛИН БАКАЛАВРИАТА И МАГИСТРАТУРЫ, ИЗД.1</t>
  </si>
  <si>
    <t>Логинова Н.А.</t>
  </si>
  <si>
    <t>978-5-16-009859-3</t>
  </si>
  <si>
    <t>44.00.00</t>
  </si>
  <si>
    <t>706348.03.01</t>
  </si>
  <si>
    <t>Информационно-сетевая география: Моногр. / В.И.Блануца-М.:НИЦ ИНФРА-М,2023.-243 с..-(Науч.мысль)(П)</t>
  </si>
  <si>
    <t>ИНФОРМАЦИОННО-СЕТЕВАЯ ГЕОГРАФИЯ, ИЗД.1</t>
  </si>
  <si>
    <t>978-5-16-015138-0</t>
  </si>
  <si>
    <t>05.04.02</t>
  </si>
  <si>
    <t>670210.04.01</t>
  </si>
  <si>
    <t>Информационно-статистические методы решения эконометр...: Моногр. / С.В.Юдин-М:НИЦ ИНФРА-М,2022-199с</t>
  </si>
  <si>
    <t>ИНФОРМАЦИОННО-СТАТИСТИЧЕСКИЕ МЕТОДЫ РЕШЕНИЯ ЭКОНОМЕТРИЧЕСКИХ, СОЦИОЛОГИЧЕСКИХ И ПСИХОМЕТРИЧЕСКИХ ЗАДАЧ, ИЗД.1</t>
  </si>
  <si>
    <t>Юдин С.В., Юдин А.С.</t>
  </si>
  <si>
    <t>978-5-16-013475-8</t>
  </si>
  <si>
    <t>38.03.02, 38.03.05, 38.04.01, 38.04.05</t>
  </si>
  <si>
    <t>Российский экономический университет им. Г.В. Плеханова, Тульский ф-л</t>
  </si>
  <si>
    <t>682889.06.01</t>
  </si>
  <si>
    <t>Информационно-экскурс. деят. на предпр. туризма: Уч. / Под ред. Богданова Е.И. - М.:НИЦ ИНФРА-М,2026. - 383 с.(П)</t>
  </si>
  <si>
    <t>ИНФОРМАЦИОННО-ЭКСКУРСИОННАЯ ДЕЯТЕЛЬНОСТЬ НА ПРЕДПРИЯТИЯХ ТУРИЗМА, ИЗД.1</t>
  </si>
  <si>
    <t>Баранов А.С., Бисько И.А., Богданов Е.И.</t>
  </si>
  <si>
    <t>978-5-16-013931-9</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</si>
  <si>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специальности 43.02.10 «Туризм»</t>
  </si>
  <si>
    <t>158400.12.01</t>
  </si>
  <si>
    <t>Информационно-экскурсионная деят. на предпр. туризма: Уч. / А.С. Баранов - М.:НИЦ ИНФРА-М,2026 - 383 с.(ВО)(П)</t>
  </si>
  <si>
    <t>Баранов А. С., Бисько И. А., Богданов Е. И.</t>
  </si>
  <si>
    <t>978-5-16-011324-1</t>
  </si>
  <si>
    <t>43.03.02, 43.03.03, 43.04.03</t>
  </si>
  <si>
    <t>Рекомендовано Учебно-методическим объединением по образованию в области производственного менеджмента Минобрнауки РФ в качестве учебника для студентов высших учебных заведений, обуч. по спец. 080502 "Экономика и управление на предприятии туризма"</t>
  </si>
  <si>
    <t>869945.01.01</t>
  </si>
  <si>
    <t>Информационные правоотношения и их субъекты..: Моногр. / В.Д.Саттаров - М.:НИЦ ИНФРА-М,2027. - 192 с.(п)</t>
  </si>
  <si>
    <t>ИНФОРМАЦИОННЫЕ ПРАВООТНОШЕНИЯ И ИХ СУБЪЕКТЫ: ТЕОРИЯ, ПРАКТИКА, ТЕХНИКА, ИЗД.1</t>
  </si>
  <si>
    <t>Саттаров В.Д.</t>
  </si>
  <si>
    <t>978-5-16-021710-9</t>
  </si>
  <si>
    <t>Пермский институт Федеральной службы исполнения наказаний</t>
  </si>
  <si>
    <t>800520.03.01</t>
  </si>
  <si>
    <t>Информационные ресурсы и инструменты в работе исслед.: Уч. / В.Н.Гуреев - М.:НИЦ ИНФРА-М,2025. - 191 с.(ВО)(п)</t>
  </si>
  <si>
    <t>ИНФОРМАЦИОННЫЕ РЕСУРСЫ И ИНСТРУМЕНТЫ В РАБОТЕ ИССЛЕДОВАТЕЛЯ, ИЗД.1</t>
  </si>
  <si>
    <t>Гуреев В.Н., Мазов Н.А., Ельцов И.Н.</t>
  </si>
  <si>
    <t>978-5-16-018378-7</t>
  </si>
  <si>
    <t>00.03.16, 00.04.16, 00.05.16, 00.06.01</t>
  </si>
  <si>
    <t>103300.13.01</t>
  </si>
  <si>
    <t>Информационные сис. в экономике: Уч.пос. / Под ред. Чистова Д.В. - М.:НИЦ ИНФРА-М,2024 - 234 с.(ВО)(П)</t>
  </si>
  <si>
    <t>ИНФОРМАЦИОННЫЕ СИСТЕМЫ В ЭКОНОМИКЕ, ИЗД.1</t>
  </si>
  <si>
    <t>Чистов Д. В.</t>
  </si>
  <si>
    <t>978-5-16-003511-6</t>
  </si>
  <si>
    <t>09.03.02, 09.03.03, 38.03.01, 38.03.02, 38.03.03, 38.03.04, 38.03.05, 38.03.06, 38.03.07, 38.03.10</t>
  </si>
  <si>
    <t>684810.11.01</t>
  </si>
  <si>
    <t>Информационные сис. и технологии: Уч.пос. / О.Л.Голицына. - М.:Форум, НИЦ ИНФРА-М,2026. - 400 с.(СПО)(П)</t>
  </si>
  <si>
    <t>ИНФОРМАЦИОННЫЕ СИСТЕМЫ И ТЕХНОЛОГИИ, ИЗД.1</t>
  </si>
  <si>
    <t>978-5-00091-592-9</t>
  </si>
  <si>
    <t>09.02.03, 09.02.04, 09.02.05, 09.02.07, 18.02.07, 27.02.06, 55.02.01</t>
  </si>
  <si>
    <t>719927.04.01</t>
  </si>
  <si>
    <t>Информационные сис. упр. качеством в автоматизир...: Уч.пос. / Галиновский А.Л. - М.:НИЦ ИНФРА-М,2026 - 284 с.(СПО)(П)</t>
  </si>
  <si>
    <t>ИНФОРМАЦИОННЫЕ СИСТЕМЫ УПРАВЛЕНИЯ КАЧЕСТВОМ В АВТОМАТИЗИРОВАННЫХ И АВТОМАТИЧЕСКИХ ПРОИЗВОДСТВАХ, ИЗД.1</t>
  </si>
  <si>
    <t>Галиновский А.Л., Бочкарев С.В., Кравченко И.Н. и др.</t>
  </si>
  <si>
    <t>978-5-16-015662-0</t>
  </si>
  <si>
    <t>08.02.09, 13.02.13, 15.02.03, 15.02.07, 15.02.16, 15.02.17, 15.02.18, 35.01.05, 35.01.06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</si>
  <si>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12 от 24.06.2019)</t>
  </si>
  <si>
    <t>665198.05.01</t>
  </si>
  <si>
    <t>Информационные сис. управ. качеством в...: Уч.пос. / Под ред. Галиновский А.Л.-М.:НИЦ ИНФРА-М,2023-284с(П)</t>
  </si>
  <si>
    <t>978-5-16-013582-3</t>
  </si>
  <si>
    <t>09.03.02, 09.04.02, 15.04.04, 24.03.01, 24.03.02, 24.03.03, 24.03.04, 24.03.05, 24.04.01, 24.04.02, 24.04.03, 24.04.04, 24.04.05, 24.05.01, 24.05.02, 24.05.03, 24.05.04, 24.05.05, 24.05.06, 24.05.07, 27.03.02, 27.04.02</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</si>
  <si>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24.00.00 «Авиационная и ракетно-космическая техника» в качестве учебного пособия для студентов и аспирантов, обучающихся по основным образовательным программам высшего образования по направлению подготовки бакалавриата / магистратуры / специалитета</t>
  </si>
  <si>
    <t>169500.13.01</t>
  </si>
  <si>
    <t>Информационные системы в экономике: Уч.пос. / К.В.Балдин - М.:НИЦ ИНФРА-М,2024-218с.(ВО)(п)</t>
  </si>
  <si>
    <t>Балдин К. В.</t>
  </si>
  <si>
    <t>978-5-16-019321-2</t>
  </si>
  <si>
    <t>09.03.03, 38.03.01, 38.03.02, 38.03.03, 38.03.04, 38.03.05, 38.03.06, 38.03.07</t>
  </si>
  <si>
    <t>Рекомендовано в качестве учебного пособия студентам высших учебных заведений, обучающихся по направлению 38.03.01 «Экономика»</t>
  </si>
  <si>
    <t>Российская таможенная академия</t>
  </si>
  <si>
    <t>726004.09.01</t>
  </si>
  <si>
    <t>Информационные системы и програм...: Уч. / М.С.Логачев - М.:НИЦ ИНФРА-М,2026 - 576 с.(СПО)(П)</t>
  </si>
  <si>
    <t>ИНФОРМАЦИОННЫЕ СИСТЕМЫ И ПРОГРАММИРОВАНИЕ. СПЕЦИАЛИСТ ПО ИНФОРМАЦИОННЫМ СИСТЕМАМ. ВЫПУСКНАЯ КВАЛИФИКАЦИОННАЯ РАБОТА, ИЗД.1</t>
  </si>
  <si>
    <t>Логачев М.С.</t>
  </si>
  <si>
    <t>978-5-16-015919-5</t>
  </si>
  <si>
    <t>09.02.07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</si>
  <si>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17 от 11.11.2019)</t>
  </si>
  <si>
    <t>701990.05.01</t>
  </si>
  <si>
    <t>Информационные системы и программирование...: Уч. / М.С.Логачев - М.:НИЦ ИНФРА-М,2024 - 439 с.(П)</t>
  </si>
  <si>
    <t>ИНФОРМАЦИОННЫЕ СИСТЕМЫ И ПРОГРАММИРОВАНИЕ. АДМИНИСТРАТОР БАЗ ДАННЫХ. ВЫПУСКНАЯ КВАЛИФИКАЦИОННАЯ РАБОТА, ИЗД.1</t>
  </si>
  <si>
    <t>978-5-16-014985-1</t>
  </si>
  <si>
    <t>09.01.03, 09.02.01, 09.02.07, 10.02.01, 10.02.03, 11.02.12, 51.02.03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</si>
  <si>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16 от 28.10.2019)</t>
  </si>
  <si>
    <t>713030.03.01</t>
  </si>
  <si>
    <t>Информационные системы и программирование...: Уч. / М.С.Логачев - М.:НИЦ ИНФРА-М,2024. - 551 с(П)</t>
  </si>
  <si>
    <t>ИНФОРМАЦИОННЫЕ СИСТЕМЫ И ПРОГРАММИРОВАНИЕ. ТЕХНИЧЕСКИЙ ПИСАТЕЛЬ. ВЫПУСКНАЯ КВАЛИФИКАЦИОННАЯ РАБОТА, ИЗД.1</t>
  </si>
  <si>
    <t>Логачев М.С., Семенова О.В.</t>
  </si>
  <si>
    <t>978-5-16-015544-9</t>
  </si>
  <si>
    <t>09.02.03, 09.02.04, 09.02.05, 09.02.07</t>
  </si>
  <si>
    <t>267500.13.01</t>
  </si>
  <si>
    <t>Информационные системы и технологии: Уч.пос. / О.Л.Голицына - М.:Форум, НИЦ ИНФРА-М,2026 - 400 с.(ВО)(п)</t>
  </si>
  <si>
    <t>Голицына О. Л., Максимов Н. В., Попов И. И.</t>
  </si>
  <si>
    <t>978-5-00091-776-3</t>
  </si>
  <si>
    <t>09.03.01, 09.03.02, 09.03.03, 09.03.04, 09.05.01</t>
  </si>
  <si>
    <t>Рекомендовано Учебно-методическим объединением вузов Российской Федерации по образованию в области прикладной информатики в качестве учебного пособия для студентов высших учебных заведений, обучающихся по направлению «Прикладная информатика»</t>
  </si>
  <si>
    <t>700479.02.01</t>
  </si>
  <si>
    <t>Информационные системы предпр.: Уч.пос. / А.О.Варфоломеева- 2 изд.-М.:НИЦ ИНФРА-М,2023-330с(СПО)(П)</t>
  </si>
  <si>
    <t>ИНФОРМАЦИОННЫЕ СИСТЕМЫ ПРЕДПРИЯТИЯ, ИЗД.2</t>
  </si>
  <si>
    <t>Варфоломеева А.О., Коряковский А.В., Романов В.П.</t>
  </si>
  <si>
    <t>978-5-16-014729-1</t>
  </si>
  <si>
    <t>08.02.08, 09.01.03, 09.02.01, 09.02.02, 09.02.03, 09.02.04, 09.02.05, 10.02.01, 10.02.02, 10.02.03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</si>
  <si>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09.02.04 «Информационные системы (по отраслям)», 09.02.05 «Прикладная информатика (по отраслям)»</t>
  </si>
  <si>
    <t>211100.09.01</t>
  </si>
  <si>
    <t>Информационные системы предприятия: Уч.пос. / А.О.Варфоломеева - 2изд.-М.:НИЦ ИНФРА-М,2024-330с.(ВО)</t>
  </si>
  <si>
    <t>978-5-16-012274-8</t>
  </si>
  <si>
    <t>09.03.01, 09.03.02, 09.03.03, 09.04.01, 09.04.02, 09.04.03, 21.04.01, 38.03.01, 38.03.02, 38.03.05, 38.04.01, 38.04.02, 38.04.05, 41.03.06, 45.03.04, 46.04.02</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</si>
  <si>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направлению 09.03.03. «Прикладная информатика» и экономическим специальностям</t>
  </si>
  <si>
    <t>085640.12.01</t>
  </si>
  <si>
    <t>Информационные системы: Уч.пос. / О.Л.Голицына - 2-е изд.-М.:Форум, НИЦ ИНФРА-М,2024.-448 с.(ВО)(п)</t>
  </si>
  <si>
    <t>ИНФОРМАЦИОННЫЕ СИСТЕМЫ, ИЗД.2</t>
  </si>
  <si>
    <t>978-5-91134-833-5</t>
  </si>
  <si>
    <t>09.03.01, 09.03.02, 09.03.03, 09.03.04, 09.04.01, 09.04.02, 09.04.03, 09.04.04, 10.04.01, 11.03.01, 11.03.03, 11.03.04, 12.03.03, 12.03.04, 15.03.01, 15.03.03, 15.04.04, 16.03.01, 16.03.02, 16.03.03, 27.03.05, 28.03.01, 45.03.04, 46.03.02</t>
  </si>
  <si>
    <t>Рекомендовано Учебно-методическим объединением вузов РФ по образованию в области прикладной информатики в качестве учебного пособия для студентов высших учебных заведений, обучающихся по специальности  510200 "Прикладная  математика и информатика"</t>
  </si>
  <si>
    <t>684812.01.01</t>
  </si>
  <si>
    <t>Информационные системы: Уч.пос. / О.Л.Голицына и др. - 2 изд.-М.:Форум, НИЦ ИНФРА-М,2025-445 с.-(СПО)(п)</t>
  </si>
  <si>
    <t>978-5-00091-594-3</t>
  </si>
  <si>
    <t>08.02.01, 09.02.05, 09.02.10</t>
  </si>
  <si>
    <t>842185.01.01</t>
  </si>
  <si>
    <t>Информационные тех. упр. в условиях цифр. трансформ.: Уч. / М.Н.Орешина - М.:НИЦ ИНФРА-М,2025 - 192 с.(ВО)(п)</t>
  </si>
  <si>
    <t>ИНФОРМАЦИОННЫЕ ТЕХНОЛОГИИ УПРАВЛЕНИЯ В УСЛОВИЯХ ЦИФРОВОЙ ТРАНСФОРМАЦИИ, ИЗД.1</t>
  </si>
  <si>
    <t>Орешина М.Н., Гарнов А.П.</t>
  </si>
  <si>
    <t>978-5-16-020625-7</t>
  </si>
  <si>
    <t>01.04.05, 09.03.02, 09.03.03, 10.03.01</t>
  </si>
  <si>
    <t>664768.05.01</t>
  </si>
  <si>
    <t>Информационные техн.в моделир.быстропротек.нелинейных проц.../ Гусев А.И.-М.:ИНФРА-М,2023-132с(О)</t>
  </si>
  <si>
    <t>ИНФОРМАЦИОННЫЕ ТЕХНОЛОГИИ В МОДЕЛИРОВАНИИ БЫСТРОПРОТЕКАЮЩИХ НЕЛИНЕЙНЫХ ПРОЦЕССОВ (НА ПРИМЕРЕ ВЗАИМОДЕЙСТВИЯ ПОРАЖАЮЩИХ ЭЛЕМЕНТОВ С БИОТКАНЬЮ), ИЗД.1</t>
  </si>
  <si>
    <t>Гусев А.В., Шабанов Г.И., Родионов М.А.</t>
  </si>
  <si>
    <t>978-5-16-013251-8</t>
  </si>
  <si>
    <t>15.02.04, 15.05.01, 17.05.02</t>
  </si>
  <si>
    <t>133150.20.01</t>
  </si>
  <si>
    <t>Информационные технол. в науке и образ.: Уч.пос. / Е.Л.Федотова - М.:ИД ФОРУМ, НИЦ ИНФРА-М,2026 - 335 с.(П)</t>
  </si>
  <si>
    <t>ИНФОРМАЦИОННЫЕ ТЕХНОЛОГИИ В НАУКЕ И ОБРАЗОВАНИИ, ИЗД.1</t>
  </si>
  <si>
    <t>978-5-8199-0884-6</t>
  </si>
  <si>
    <t>09.04.01, 09.04.02, 09.04.03, 09.04.04, 44.04.01, 44.04.02, 44.04.03, 44.04.04</t>
  </si>
  <si>
    <t>Рекомендовано Учебно-методическим советом ВО в качестве учебного пособия для студентов высших учебных заведений, обучающихся по УГСН 44.03.00 «Образование и педагогические науки» (квалификация (степень) «бакалавр»)</t>
  </si>
  <si>
    <t>130450.13.01</t>
  </si>
  <si>
    <t>Информационные технологии в коммерции: Уч.пос. / Л.П.Гаврилов, - 2 изд. - М.:НИЦ ИНФРА-М,2027. - 369 с.(ВО)(П)</t>
  </si>
  <si>
    <t>ИНФОРМАЦИОННЫЕ ТЕХНОЛОГИИ В КОММЕРЦИИ, ИЗД.2</t>
  </si>
  <si>
    <t>978-5-16-016187-7</t>
  </si>
  <si>
    <t>38.03.06, 38.04.06</t>
  </si>
  <si>
    <t>Допущено Учебно-методическим объединением по образованию в области коммерции и маркетинга вкачестве учебного пособия для студентов вузов</t>
  </si>
  <si>
    <t>130450.09.01</t>
  </si>
  <si>
    <t>Информационные технологии в коммерции: Уч.пос./ Л.П.Гаврилов-М.:НИЦ ИНФРА-М,2020-238с(ВО:Бакалавр.)(П)</t>
  </si>
  <si>
    <t>ИНФОРМАЦИОННЫЕ ТЕХНОЛОГИИ В КОММЕРЦИИ, ИЗД.1</t>
  </si>
  <si>
    <t>Гаврилов Л. П.</t>
  </si>
  <si>
    <t>978-5-16-004100-1</t>
  </si>
  <si>
    <t>Допущено Учебно-методическим объединением по образованию в области коммерции и маркетинга в качестве учебного пособия для студентов высших учебных заведений, обучающихся по специальности 080301 "Коммерция" (торговое дело) и 080111 "Маркетинг"</t>
  </si>
  <si>
    <t>442550.06.01</t>
  </si>
  <si>
    <t>Информационные технологии в менедж.: Уч. пос./В.И.Карпузова - 2 изд. -М.: Вуз. уч.: ИНФРА-М, 2023-301с. (п)</t>
  </si>
  <si>
    <t>ИНФОРМАЦИОННЫЕ ТЕХНОЛОГИИ В МЕНЕДЖМЕНТЕ, ИЗД.2</t>
  </si>
  <si>
    <t>Карпузова В. И., Скрипченко Э. Н., Чернышева К. В., Карпузова Н. В.</t>
  </si>
  <si>
    <t>978-5-9558-0315-9</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</si>
  <si>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080200 «Менеджмент» (профиль «Производственный менеджмент»)</t>
  </si>
  <si>
    <t>753869.04.01</t>
  </si>
  <si>
    <t>Информационные технологии в проф. деят. социологов: Уч. / Л.С.Онокой - М.:НИЦ ИНФРА-М,2026. - 344 с.(ВО: Бакалавр.)(П)</t>
  </si>
  <si>
    <t>ИНФОРМАЦИОННЫЕ ТЕХНОЛОГИИ В ПРОФЕССИОНАЛЬНОЙ ДЕЯТЕЛЬНОСТИ СОЦИОЛОГОВ, ИЗД.1</t>
  </si>
  <si>
    <t>Онокой Л.С., Титов В.М.</t>
  </si>
  <si>
    <t>978-5-16-016959-0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</si>
  <si>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социологическим направлениям подготовки (квалификация (степень) «бакалавр») (протокол № 3 от 17.03.2021)</t>
  </si>
  <si>
    <t>798042.01.01</t>
  </si>
  <si>
    <t>Информационные технологии в проф. деят...: Уч.пос. / Д.М.Назаров-М.:НИЦ ИНФРА-М,2025.-326 с.(СПО)(п)</t>
  </si>
  <si>
    <t>ИНФОРМАЦИОННЫЕ ТЕХНОЛОГИИ В ПРОФЕССИОНАЛЬНОЙ ДЕЯТЕЛЬНОСТИ: ИНТЕЛЛЕКТУАЛЬНЫЙ АНАЛИЗ ДАННЫХ И БИЗНЕС-АНАЛИТИКА, ИЗД.1</t>
  </si>
  <si>
    <t>Назаров Д.М., Копнин А.А.</t>
  </si>
  <si>
    <t>978-5-16-019356-4</t>
  </si>
  <si>
    <t>00.02.03, 09.02.05, 09.02.07, 09.02.08</t>
  </si>
  <si>
    <t>Уральский государственный экономический университет</t>
  </si>
  <si>
    <t>693970.06.01</t>
  </si>
  <si>
    <t>Информационные технологии в проф. деят.: Уч. / М.М.Ниматулаев - М.:НИЦ ИНФРА-М,2026. - 250 с.(ВО)(П)</t>
  </si>
  <si>
    <t>ИНФОРМАЦИОННЫЕ ТЕХНОЛОГИИ В ПРОФЕССИОНАЛЬНОЙ ДЕЯТЕЛЬНОСТИ, ИЗД.1</t>
  </si>
  <si>
    <t>Ниматулаев М.М.</t>
  </si>
  <si>
    <t>978-5-16-015399-5</t>
  </si>
  <si>
    <t>38.03.02, 39.02.03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</si>
  <si>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38.03.02 «Менеджмент» (квалификация (степень) «бакалавр») (протокол № 5 от 26.03.2020)</t>
  </si>
  <si>
    <t>745695.06.01</t>
  </si>
  <si>
    <t>Информационные технологии в проф. деят.: Уч. / М.М.Ниматулаев - М.:НИЦ ИНФРА-М,2026. - 250 с.(ВО: Спец.)(П)</t>
  </si>
  <si>
    <t>978-5-16-016545-5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</si>
  <si>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38.05.00 «Экономика и менеджмент» (протокол № 8 от 22.06.2020)</t>
  </si>
  <si>
    <t>089200.21.01</t>
  </si>
  <si>
    <t>Информационные технологии в проф. деят.: Уч. пос. / Е.Л. Федотова - М.:ФОРУМ:ИНФРА-М, 2026 - 367 с.(СПО) (п)</t>
  </si>
  <si>
    <t>978-5-8199-0752-8</t>
  </si>
  <si>
    <t>00.02.03, 09.01.05, 09.02.01, 09.02.02, 09.02.03, 09.02.04, 09.02.05, 09.02.06, 09.02.07, 09.02.08, 09.02.09, 13.02.05, 21.02.12, 40.02.04, 46.02.01, 46.02.02, 09.02.10</t>
  </si>
  <si>
    <t>731817.01.01</t>
  </si>
  <si>
    <t>Информационные технологии в проф. деят.: Уч.пос. / О.В.Исаченко - М.:НИЦ ИНФРА-М,2025. - 186 с.(СПО)(п)</t>
  </si>
  <si>
    <t>978-5-16-016505-9</t>
  </si>
  <si>
    <t>704239.07.01</t>
  </si>
  <si>
    <t>Информационные технологии в проф. деят.: Уч.пос. / С.В.Синаторов, - М.:НИЦ ИНФРА-М,2027 - 277 с.(СПО)(П)</t>
  </si>
  <si>
    <t>Синаторов С.В., Пикулик О.В.</t>
  </si>
  <si>
    <t>978-5-16-016278-2</t>
  </si>
  <si>
    <t>09.02.01, 09.02.03, 09.02.06, 09.02.07, 23.02.07, 44.02.01, 44.02.02, 44.02.03, 44.02.04, 44.02.05, 44.02.06, 54.02.03, 54.02.06, 54.02.07, 54.02.08, 09.02.10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</si>
  <si>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6 от 16.06.2021)</t>
  </si>
  <si>
    <t>Саратовский областной институт развития образования</t>
  </si>
  <si>
    <t>746606.06.01</t>
  </si>
  <si>
    <t>Информационные технологии в сис. гос. и муниц. упр. / М.А.Данилькевич - М.:Магистр, НИЦ ИНФРА-М,2024-152 с.(П)</t>
  </si>
  <si>
    <t>ИНФОРМАЦИОННЫЕ ТЕХНОЛОГИИ В СИСТЕМЕ ГОСУДАРСТВЕННОГО И МУНИЦИПАЛЬНОГО УПРАВЛЕНИЯ, ИЗД.1</t>
  </si>
  <si>
    <t>Данилькевич М.А., Сибиряев А.С.</t>
  </si>
  <si>
    <t>978-5-9776-0519-9</t>
  </si>
  <si>
    <t>38.03.04, 38.04.04, 38.06.01</t>
  </si>
  <si>
    <t>822693.01.01</t>
  </si>
  <si>
    <t>Информационные технологии в юридич. деят.: Уч.пос. / Р.Г.Драпезо. - М.:НИЦ ИНФРА-М,2026 - 204 с.(ВО)(п)</t>
  </si>
  <si>
    <t>ИНФОРМАЦИОННЫЕ ТЕХНОЛОГИИ В ЮРИДИЧЕСКОЙ ДЕЯТЕЛЬНОСТИ, ИЗД.1</t>
  </si>
  <si>
    <t>Волгин Ю.Г., Драпезо Р.Г., Калашников В.С. и др.</t>
  </si>
  <si>
    <t>978-5-16-021041-4</t>
  </si>
  <si>
    <t>852230.02.01</t>
  </si>
  <si>
    <t>Информационные технологии в юриспруденции: Уч. / С.Е.Чаннов - М.:Юр. НОРМА, НИЦ ИНФРА-М,2026 - 436 с.(п)</t>
  </si>
  <si>
    <t>ИНФОРМАЦИОННЫЕ ТЕХНОЛОГИИ В ЮРИСПРУДЕНЦИИ, ИЗД.1</t>
  </si>
  <si>
    <t>Чаннов С.Е., Архангельская Е.В., Блинкова О.В. и др.</t>
  </si>
  <si>
    <t>978-5-00156-425-6</t>
  </si>
  <si>
    <t>40.03.01, 40.05.01, 40.05.02, 40.05.04</t>
  </si>
  <si>
    <t>849926.03.01</t>
  </si>
  <si>
    <t>Информационные технологии в юриспруденции: Уч. / С.Е.Чаннов - М.:Юр. НОРМА, НИЦ ИНФРА-М,2026 - 436 с.(СПО)(п)</t>
  </si>
  <si>
    <t>978-5-00156-415-7</t>
  </si>
  <si>
    <t>719228.03.01</t>
  </si>
  <si>
    <t>Информационные технологии и сис.: Уч.пос. / Е.Л.Федотова-М.:ИД ФОРУМ, НИЦ ИНФРА-М,2023.-352 с.(СПО)(П)</t>
  </si>
  <si>
    <t>ИНФОРМАЦИОННЫЕ ТЕХНОЛОГИИ И СИСТЕМЫ, ИЗД.1</t>
  </si>
  <si>
    <t>Федотова Е. Л.</t>
  </si>
  <si>
    <t>978-5-8199-0899-0</t>
  </si>
  <si>
    <t>09.02.01, 09.02.02, 09.02.03, 09.02.04, 09.02.05, 09.02.06, 09.02.07, 09.02.08, 09.02.09, 38.02.01, 38.02.02, 38.02.03, 38.02.06, 38.02.07, 38.02.08, 09.02.10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</si>
  <si>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38.02.00 «Экономика и управление» (протокол № 11 от 10.06.2019)</t>
  </si>
  <si>
    <t>731824.01.01</t>
  </si>
  <si>
    <t>Информационные технологии и системы: Уч. / О.В.Исаченко - М.:НИЦ ИНФРА-М,2025. - 234 с.(СПО)(п)</t>
  </si>
  <si>
    <t>978-5-16-016507-3</t>
  </si>
  <si>
    <t>00.02.03</t>
  </si>
  <si>
    <t>099200.15.01</t>
  </si>
  <si>
    <t>Информационные технологии и системы: Уч.пос. / Е.Л.Федотова - М.:ИД Форум, НИЦ ИНФРА-М,2027. - 352 с.(ВО)(П)</t>
  </si>
  <si>
    <t>978-5-8199-0927-0</t>
  </si>
  <si>
    <t>09.03.02</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</si>
  <si>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специальности «Прикладная информатика» и другим экономическим специальностям</t>
  </si>
  <si>
    <t>089750.16.01</t>
  </si>
  <si>
    <t>Информационные технологии упр.: Уч. / Б.В.Черников - 2 изд. - М:ИД ФОРУМ,НИЦ ИНФРА-М,2027 - 368 с.(ВО)(П)</t>
  </si>
  <si>
    <t>ИНФОРМАЦИОННЫЕ ТЕХНОЛОГИИ УПРАВЛЕНИЯ, ИЗД.2</t>
  </si>
  <si>
    <t>Черников Б.В.</t>
  </si>
  <si>
    <t>978-5-8199-0782-5</t>
  </si>
  <si>
    <t>38.03.02, 38.03.04</t>
  </si>
  <si>
    <t>Рекомендовано УМО в области экономики, менеджмента, логистики и бизнес-информатики в качестве учебника для студентов высших учебных заведений, обучающихся по направлениям подготовки 38.03.02 «Менеджмент» и 38.03.04 «Государственное и муниципальное управление»</t>
  </si>
  <si>
    <t>427250.08.01</t>
  </si>
  <si>
    <t>Информационные технологии: разраб. информ. модел..: Уч.пос. /А.В.Затонский-РИОР:ИНФРА-М,2020-344с(о)</t>
  </si>
  <si>
    <t>ИНФОРМАЦИОННЫЕ ТЕХНОЛОГИИ: РАЗРАБОТКА ИНФОРМАЦИОННЫХ МОДЕЛЕЙ И СИСТЕМ, ИЗД.1</t>
  </si>
  <si>
    <t>Затонский А. В.</t>
  </si>
  <si>
    <t>978-5-369-01183-6</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</si>
  <si>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230100 «Информатика и вычислительная техника»</t>
  </si>
  <si>
    <t>719227.01.01</t>
  </si>
  <si>
    <t>Информационные технологии: разраб. информ. моделей и систем: Уч.пос./ А.В.Затонский-М.:ИЦ РИОР, НИЦ ИНФРА-М,2020-344с.(П)</t>
  </si>
  <si>
    <t>978-5-369-01823-1</t>
  </si>
  <si>
    <t>00.02.03, 09.01.03, 09.01.04, 09.01.05, 09.02.01, 09.02.02, 09.02.03, 09.02.04, 09.02.05, 09.02.06, 09.02.07, 09.02.08, 09.02.09, 09.02.10</t>
  </si>
  <si>
    <t>819029.01.01</t>
  </si>
  <si>
    <t>Информационные технологии: Уч.пос. / Т.И.Челядинова - М.:НИЦ ИНФРА-М,2025. - 293 с.(СПО)(п)</t>
  </si>
  <si>
    <t>ИНФОРМАЦИОННЫЕ ТЕХНОЛОГИИ, ИЗД.1</t>
  </si>
  <si>
    <t>Челядинова Т.И.</t>
  </si>
  <si>
    <t>978-5-16-019646-6</t>
  </si>
  <si>
    <t>Липецкий металлургический колледж</t>
  </si>
  <si>
    <t>700154.01.01</t>
  </si>
  <si>
    <t>Информация и коммуникация в гос. упр.: Моногр. / А.Г.Киселев-М.:НИЦ ИНФРА-М,2019-268с(Науч.мысль)(П)</t>
  </si>
  <si>
    <t>ИНФОРМАЦИЯ И КОММУНИКАЦИЯ В ГОСУДАРСТВЕННОМ УПРАВЛЕНИИ, ИЗД.1</t>
  </si>
  <si>
    <t>Киселев А.Г., Киричёк П.Н.</t>
  </si>
  <si>
    <t>978-5-16-014753-6</t>
  </si>
  <si>
    <t>311500.05.01</t>
  </si>
  <si>
    <t>Инфраструктура инноваций и малые предпр..: Моногр. / В.Я.Вилисов - М.:ИЦ РИОР,НИЦ ИНФРА-М,2026 - 228с(о)</t>
  </si>
  <si>
    <t>ИНФРАСТРУКТУРА ИННОВАЦИЙ И МАЛЫЕ ПРЕДПРИЯТИЯ: СОСТОЯНИЕ, ОЦЕНКИ, МОДЕЛИРОВАНИЕ, ИЗД.1</t>
  </si>
  <si>
    <t>Вилисов В.Я, Вилисова А.В.</t>
  </si>
  <si>
    <t>978-5-369-01395-3</t>
  </si>
  <si>
    <t>38.03.01, 38.03.02, 38.04.01, 38.04.02, 38.06.01</t>
  </si>
  <si>
    <t>779237.02.01</t>
  </si>
  <si>
    <t>Иные мы: Монография / С.В.Борзых-М.:НИЦ ИНФРА-М,2024.-219 с.(Науч.мысль)(О)</t>
  </si>
  <si>
    <t>ИНЫЕ МЫ, ИЗД.1</t>
  </si>
  <si>
    <t>978-5-16-017741-0</t>
  </si>
  <si>
    <t>402450.04.01</t>
  </si>
  <si>
    <t>Ионизирующее излучение в гидросфере...: Уч.пос. / В.Н.Кулепанов-М:Форум:НИЦ Инфра-М,2019-88с(ВО)(о)</t>
  </si>
  <si>
    <t>ИОНИЗИРУЮЩЕЕ ИЗЛУЧЕНИЕ В ГИДРОСФЕРЕ. ВВЕДЕНИЕ В РАДИОБИОЛОГИЮ И РАДИОЭКОЛОГИЮ ГИДРОБИОНТОВ, ИЗД.1</t>
  </si>
  <si>
    <t>Кулепанов В. Н.</t>
  </si>
  <si>
    <t>978-5-91134-690-4</t>
  </si>
  <si>
    <t>05.03.06, 05.04.06, 20.03.01, 20.04.01, 21.03.01</t>
  </si>
  <si>
    <t>Морской государственный университет им. адм. Г.И. Невельского</t>
  </si>
  <si>
    <t>402450.08.01</t>
  </si>
  <si>
    <t>Ионизирующее излучение в гидросфере.: Уч.пос. / В.Н.Кулепанов, - 2 изд. - М.:Форум, НИЦ ИНФРА-М,2025. - 127 с.(ВО)(О)</t>
  </si>
  <si>
    <t>ИОНИЗИРУЮЩЕЕ ИЗЛУЧЕНИЕ В ГИДРОСФЕРЕ. ВВЕДЕНИЕ В РАДИОБИОЛОГИЮ И РАДИОЭКОЛОГИЮ ГИДРОБИОНТОВ, ИЗД.2</t>
  </si>
  <si>
    <t>Кулепанов В.Н.</t>
  </si>
  <si>
    <t>978-5-00091-673-5</t>
  </si>
  <si>
    <t>Рекомендовано Дальневосточным региональным учебно-методическим центром в качестве учебного пособия для студентов направления подготовки «бакалавр» специальности «Техносферная безопасность» и «Нефтегазовое дело»</t>
  </si>
  <si>
    <t>442150.07.01</t>
  </si>
  <si>
    <t>Ипотечное кредитование жилищного стр-ва: Уч. пос./С.А.Баронин - М.: НИЦ ИНФРА-М, 2023-189с.(ВО) (П)</t>
  </si>
  <si>
    <t>ИПОТЕЧНОЕ КРЕДИТОВАНИЕ ЖИЛИЩНОГО СТРОИТЕЛЬСТВА, ИЗД.1</t>
  </si>
  <si>
    <t>Баронин С. А., Бочкарев В. В., Николаева Е. Л., Баронин С. А., Казейкин В. С.</t>
  </si>
  <si>
    <t>978-5-16-006823-7</t>
  </si>
  <si>
    <t>08.03.01, 38.03.01, 38.04.01, 38.04.08</t>
  </si>
  <si>
    <t>Рекомендовано в качестве учебного пособия для студентов высших учебных заведений, обучающихся по направлению 270800 «Строительство» (профиль "Экспертиза и управление недвижимостью»)</t>
  </si>
  <si>
    <t>404250.07.01</t>
  </si>
  <si>
    <t>Ипотечно-инвестиционный анализ: Уч.пос. / С.А.Баронин. - М.:НИЦ ИНФРА-М,2026. - 176 с.(ВО: Бакалавр.)(П)</t>
  </si>
  <si>
    <t>ИПОТЕЧНО-ИНВЕСТИЦИОННЫЙ АНАЛИЗ, ИЗД.1</t>
  </si>
  <si>
    <t>Баронин С. А., Казейкин В. С., Попова И. В., Бочкарев В. В., Баронин С. А.</t>
  </si>
  <si>
    <t>978-5-16-006283-9</t>
  </si>
  <si>
    <t>07.03.04, 08.03.01, 08.04.01, 38.03.01, 38.03.02, 38.04.01, 38.04.08, 41.03.06</t>
  </si>
  <si>
    <t>Рекомендовано Учебно-методическим объединением вузов РФ по образованию в области строительства в качестве учебного пособия для студентов, обучающихся по специальности 270115 «Экспертиза и управление недвижимостью», направления 270100 «Строительство»</t>
  </si>
  <si>
    <t>756456.05.01</t>
  </si>
  <si>
    <t>Исключительное право в гражд. обороте: Уч.пос. / Е.А.Моргунова - М.:Юр.Норма, НИЦ ИНФРА-М,2026 - 496 с.(П)</t>
  </si>
  <si>
    <t>ИСКЛЮЧИТЕЛЬНОЕ ПРАВО В ГРАЖДАНСКОМ ОБОРОТЕ, ИЗД.1</t>
  </si>
  <si>
    <t>Моргунова Е.А., Фролова Н.М.</t>
  </si>
  <si>
    <t>978-5-00156-170-5</t>
  </si>
  <si>
    <t>857605.01.01</t>
  </si>
  <si>
    <t>Исключительный случай в российском праве...: Моногр. / Н.А.Плахтий - М.:НИЦ ИНФРА-М,2026. - 216 с.(п)</t>
  </si>
  <si>
    <t>ИСКЛЮЧИТЕЛЬНЫЙ СЛУЧАЙ В РОССИЙСКОМ ПРАВЕ: БУКВА ЗАКОНА ИЛИ ДУХ КАЗУСА?, ИЗД.1</t>
  </si>
  <si>
    <t>Плахтий Н.А.,</t>
  </si>
  <si>
    <t>978-5-16-021124-4</t>
  </si>
  <si>
    <t>841395.03.01</t>
  </si>
  <si>
    <t>Искусственный интеллект в образ..: Уч.практ.пос. / С.О.Крамаров - М.:ИЦ РИОР, НИЦ ИНФРА-М,2026 - 99 с.(о)</t>
  </si>
  <si>
    <t>ИСКУССТВЕННЫЙ ИНТЕЛЛЕКТ В ОБРАЗОВАНИИ: ВОЗМОЖНОСТИ, МЕТОДЫ И РЕКОМЕНДАЦИИ ДЛЯ ПЕДАГОГОВ, ИЗД.1</t>
  </si>
  <si>
    <t>Крамаров С.О., Гребенюк Е.В., Даниелян С.С. и др.</t>
  </si>
  <si>
    <t>978-5-369-01968-9</t>
  </si>
  <si>
    <t>Сургутский государственный университет</t>
  </si>
  <si>
    <t>864516.01.01</t>
  </si>
  <si>
    <t>Искусственный интеллект в управлении отелем..: Моногр. / И.С.Ключевская - М.:НИЦ ИНФРА-М,2026. - 199 с.(о)</t>
  </si>
  <si>
    <t>ИСКУССТВЕННЫЙ ИНТЕЛЛЕКТ В УПРАВЛЕНИИ ОТЕЛЕМ: ЦИФРОВАЯ ТРАНСФОРМАЦИЯ СЕРВИСА И ПЕРСОНАЛА, ИЗД.1</t>
  </si>
  <si>
    <t>978-5-16-021366-8</t>
  </si>
  <si>
    <t>43.04.03</t>
  </si>
  <si>
    <t>874866.01.01</t>
  </si>
  <si>
    <t>Искусственный интеллект для роста эффектив. орг. и каждого сотрудника / С.Е.Вотяков - М.:НИЦ ИНФРА-М,2026. - 240 с.(п)</t>
  </si>
  <si>
    <t>ИСКУССТВЕННЫЙ ИНТЕЛЛЕКТ ДЛЯ РОСТА ЭФФЕКТИВНОСТИ ОРГАНИЗАЦИИ И КАЖДОГО СОТРУДНИКА, ИЗД.1</t>
  </si>
  <si>
    <t>Вотяков С.Е., Исаев Р.А.</t>
  </si>
  <si>
    <t>978-5-16-021986-8</t>
  </si>
  <si>
    <t>724876.07.01</t>
  </si>
  <si>
    <t>Искусственный разум, правовая сис. и функции гос.: Моногр. / А.Г.Братко - М.:НИЦ ИНФРА-М,2026 - 282 с.(О)</t>
  </si>
  <si>
    <t>ИСКУССТВЕННЫЙ РАЗУМ, ПРАВОВАЯ СИСТЕМА И ФУНКЦИИ ГОСУДАРСТВА, ИЗД.1</t>
  </si>
  <si>
    <t>Братко А.Г.</t>
  </si>
  <si>
    <t>978-5-16-015890-7</t>
  </si>
  <si>
    <t>700952.03.01</t>
  </si>
  <si>
    <t>Искусство гостеприимства: Уч.пос. / В.Н.Шитов - М.:НИЦ ИНФРА-М,2026 - 227 с.(СПО)(П)</t>
  </si>
  <si>
    <t>ИСКУССТВО ГОСТЕПРИИМСТВА, ИЗД.1</t>
  </si>
  <si>
    <t>978-5-16-015080-2</t>
  </si>
  <si>
    <t>08.02.14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</si>
  <si>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43.02.08 «Сервис домашнего и коммунального хозяйства» (протокол № 5 от 19.05.2021)</t>
  </si>
  <si>
    <t>648375.07.01</t>
  </si>
  <si>
    <t>Искусство и методол. соц.-гуман. познания: Моногр. / Н.Ф.Бучило - М.:Юр.Норма,НИЦ ИНФРА-М,2025 - 240 с.(П)</t>
  </si>
  <si>
    <t>ИСКУССТВО И МЕТОДОЛОГИЯ СОЦИАЛЬНО-ГУМАНИТАРНОГО ПОЗНАНИЯ, ИЗД.1</t>
  </si>
  <si>
    <t>Бучило Н.Ф.</t>
  </si>
  <si>
    <t>978-5-91768-802-2</t>
  </si>
  <si>
    <t>46.04.03, 47.04.02, 50.03.01</t>
  </si>
  <si>
    <t>753865.07.01</t>
  </si>
  <si>
    <t>Искусство ландшафтной архитектуры и дизайна: Уч.пос. / Г.А.Потаев - М.:НИЦ ИНФРА-М,2027. - 429 с.:цв.ил.(ВО)(п)</t>
  </si>
  <si>
    <t>ИСКУССТВО ЛАНДШАФТНОЙ АРХИТЕКТУРЫ И ДИЗАЙНА, ИЗД.1</t>
  </si>
  <si>
    <t>978-5-16-020193-1</t>
  </si>
  <si>
    <t>05.03.02, 05.04.02, 07.03.01, 07.03.02, 07.03.04, 07.04.01, 35.03.10, 35.04.03, 35.04.09, 54.05.05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</si>
  <si>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35.03.10 «Ландшафтная архитектура», 07.03.03 «Дизайн архитектурной среды», 54.03.01 «Дизайн» (квалификация (степень) «бакалавр») (протокол № 1 от 12.01.2022)</t>
  </si>
  <si>
    <t>121600.15.01</t>
  </si>
  <si>
    <t>Искусство презентаций и ведения..: Уч.пос. / М.Л.Асмолова, - 3изд.-М.:ИЦ РИОР,НИЦ ИНФРА-М,2024-248с.(О)</t>
  </si>
  <si>
    <t>ИСКУССТВО ПРЕЗЕНТАЦИЙ И ВЕДЕНИЯ ПЕРЕГОВОРОВ, ИЗД.3</t>
  </si>
  <si>
    <t>Асмолова М.Л.</t>
  </si>
  <si>
    <t>978-5-369-01543-8</t>
  </si>
  <si>
    <t>38.03.02, 38.03.04, 38.04.02, 38.04.04, 42.03.01, 42.04.01</t>
  </si>
  <si>
    <t>801687.03.01</t>
  </si>
  <si>
    <t>Искушение «большой цифрой»...: Моногр.  / М.Л.Альпидовская - М.:НИЦ ИНФРА-М,2025. - 184 с.(п)</t>
  </si>
  <si>
    <t>ИСКУШЕНИЕ «БОЛЬШОЙ ЦИФРОЙ»: «ИНКЛЮЗИВНЫЙ КАПИТАЛИЗМ», ИЛИ ОБЩЕСТВО ПОСТМОДЕРНА, ИЗД.1</t>
  </si>
  <si>
    <t>Альпидовская М.Л., Корнилов А.М.</t>
  </si>
  <si>
    <t>978-5-16-018470-8</t>
  </si>
  <si>
    <t>38.03.01, 38.04.01, 38.04.02, 38.04.04, 38.06.01, 39.04.01</t>
  </si>
  <si>
    <t>169800.07.01</t>
  </si>
  <si>
    <t>Искушение Европы. Исторические профили / Т.Д.Валовая - 2 изд. - М.: Магистр:  ИНФРА-М, 2024-576с. (п)</t>
  </si>
  <si>
    <t>ИСКУШЕНИЕ ЕВРОПЫ. ИСТОРИЧЕСКИЕ ПРОФИЛИ, ИЗД.2</t>
  </si>
  <si>
    <t>Валовая Т. Д.</t>
  </si>
  <si>
    <t>978-5-9776-0214-3</t>
  </si>
  <si>
    <t>41.03.01, 46.03.01, 46.04.01</t>
  </si>
  <si>
    <t>742679.03.01</t>
  </si>
  <si>
    <t>Исламские финансы в странах СНГ: Моногр. / А.З.Нагимова - М.:НИЦ ИНФРА-М,2026. - 219 с.(Науч.мысль)(О)</t>
  </si>
  <si>
    <t>ИСЛАМСКИЕ ФИНАНСЫ В СТРАНАХ СНГ, ИЗД.1</t>
  </si>
  <si>
    <t>978-5-16-016564-6</t>
  </si>
  <si>
    <t>38.03.01, 38.03.02, 38.04.01, 38.04.08, 38.05.01, 38.06.01, 41.03.06</t>
  </si>
  <si>
    <t>765952.04.01</t>
  </si>
  <si>
    <t>Исламские финансы в странах СНГ: Моногр./ А.З.Нагимова - М.:НИЦ ИНФРА-М,2026 - 221 с.(Науч.мысль)(О)</t>
  </si>
  <si>
    <t>ИСЛАМСКИЕ ФИНАНСЫ В СТРАНАХ СНГ: ПРОШЛОЕ И БУДУЩЕЕ, ИЗД.1</t>
  </si>
  <si>
    <t>978-5-16-017240-8</t>
  </si>
  <si>
    <t>38.04.08, 41.03.05</t>
  </si>
  <si>
    <t>793849.02.01</t>
  </si>
  <si>
    <t>Исламские финансы: история и совр.: Моногр. / А.З.Нагимова - М.:НИЦ ИНФРА-М,2025. - 218 с.(Науч.мысль)(п)</t>
  </si>
  <si>
    <t>ИСЛАМСКИЕ ФИНАНСЫ: ИСТОРИЯ И СОВРЕМЕННОСТЬ, ИЗД.1</t>
  </si>
  <si>
    <t>978-5-16-018196-7</t>
  </si>
  <si>
    <t>38.04.01, 38.06.01, 38.07.02</t>
  </si>
  <si>
    <t>663311.10.01</t>
  </si>
  <si>
    <t>Исламский терроризм: радикализация...: Моногр. / В.В.Желтов, - 2 изд. - М.:НИЦ ИНФРА-М,2026 - 110 с.(о)</t>
  </si>
  <si>
    <t>ИСЛАМСКИЙ ТЕРРОРИЗМ: РАДИКАЛИЗАЦИЯ, РЕКРУТИРОВАНИЕ, ИНДОКТРИНАЦИЯ, ИЗД.2</t>
  </si>
  <si>
    <t>978-5-16-019840-8</t>
  </si>
  <si>
    <t>37.03.01, 38.03.01, 38.03.03, 38.03.04, 39.03.01, 39.03.03, 39.04.01, 40.03.01, 41.03.05, 41.03.06, 41.04.04, 42.03.02, 44.03.01, 44.03.05, 47.03.01, 51.03.01, 51.03.03</t>
  </si>
  <si>
    <t>682615.05.01</t>
  </si>
  <si>
    <t>Испанский яз. Интенсивный курс. Синтаксис: Уч.пос. / Л.Р.Маилян - М.:ИЦ РИОР,2027 - 218 с.(ВО)(П)</t>
  </si>
  <si>
    <t>ИСПАНСКИЙ ЯЗЫК.ИНТЕНСИВНЫЙ КУРС.СИНТАКСИС, ИЗД.1</t>
  </si>
  <si>
    <t>Маилян Л.Р., Эмилия А.Р.</t>
  </si>
  <si>
    <t>978-5-369-01776-0</t>
  </si>
  <si>
    <t>640647.04.01</t>
  </si>
  <si>
    <t>Испанский язык: интенсивный курс: Уч.пос. / А.Р.Эмилия - М.:ИЦ РИОР, НИЦ ИНФРА-М,2025. - 241 с.(СПО)(П)</t>
  </si>
  <si>
    <t>ИСПАНСКИЙ ЯЗЫК: ИНТЕНСИВНЫЙ КУРС, ИЗД.1</t>
  </si>
  <si>
    <t>Родригес Алмейда Э., Маилян Л.Р.</t>
  </si>
  <si>
    <t>978-5-369-01646-6</t>
  </si>
  <si>
    <t>00.03.02, 00.05.02, 45.03.01, 45.03.02, 45.03.03, 45.03.04, 45.05.01</t>
  </si>
  <si>
    <t>801663.04.01</t>
  </si>
  <si>
    <t>Исполнительная власть в сис. гос. управ.: Моногр. / Б.В.Россинский - М.:Юр. НОРМА, НИЦ ИНФРА-М,2027. - 376 с.(п)</t>
  </si>
  <si>
    <t>ИСПОЛНИТЕЛЬНАЯ ВЛАСТЬ В СИСТЕМЕ ГОСУДАРСТВЕННОГО УПРАВЛЕНИЯ, ИЗД.1</t>
  </si>
  <si>
    <t>978-5-00156-298-6</t>
  </si>
  <si>
    <t>38.03.04, 38.04.04, 38.05.02, 38.06.01, 40.03.01, 40.05.01, 40.05.02, 40.05.03, 40.05.04, 40.06.01, 41.03.04, 41.04.04, 41.06.01</t>
  </si>
  <si>
    <t>862868.01.01</t>
  </si>
  <si>
    <t>Использование искусств. интеллекта в образоват..: Уч.мет.пос. / С.О.Крамаров - М.:ИЦ РИОР, НИЦ ИНФРА-М,2026 - 106 с.(о)</t>
  </si>
  <si>
    <t>ИСПОЛЬЗОВАНИЕ ИСКУССТВЕННОГО ИНТЕЛЛЕКТА В ОБРАЗОВАТЕЛЬНОМ ПРОЦЕССЕ, ИЗД.1</t>
  </si>
  <si>
    <t>Крамаров С.О.</t>
  </si>
  <si>
    <t>978-5-369-01995-5</t>
  </si>
  <si>
    <t>796191.04.01</t>
  </si>
  <si>
    <t>Использование спец. знаний при доказывании по делам  о преступл... / А.А.Максуров - М.:НИЦ ИНФРА-М,2026 - 280 с.(П)</t>
  </si>
  <si>
    <t>ИСПОЛЬЗОВАНИЕ СПЕЦИАЛЬНЫХ ЗНАНИЙ ПРИ ДОКАЗЫВАНИИ ПО ДЕЛАМ  О ПРЕСТУПЛЕНИЯХ И ПРАВОНАРУШЕНИЯХ В СЕТИ ИНТЕРНЕТ, ИЗД.1</t>
  </si>
  <si>
    <t>978-5-16-018181-3</t>
  </si>
  <si>
    <t>10.05.03, 10.05.04, 10.05.05, 10.06.01, 38.04.05, 38.05.02, 40.04.01, 40.05.02, 40.05.04, 40.06.01, 56.04.01</t>
  </si>
  <si>
    <t>678008.07.01</t>
  </si>
  <si>
    <t>Испытание материалов: Уч.пос. / С.Ю.Быков - М.:КУРС, НИЦ ИНФРА-М,2026 - 120 с.(П)</t>
  </si>
  <si>
    <t>ИСПЫТАНИЕ МАТЕРИАЛОВ, ИЗД.1</t>
  </si>
  <si>
    <t>Быков С.Ю., Схиртладзе А.Г.</t>
  </si>
  <si>
    <t>978-5-906923-84-4</t>
  </si>
  <si>
    <t>636253.05.01</t>
  </si>
  <si>
    <t>Испытания автомобильной электроники: Уч. / В.А.Набоких - М.:НИЦ ИНФРА-М,2024. - 296 с.(ВО)(п)</t>
  </si>
  <si>
    <t>ИСПЫТАНИЯ АВТОМОБИЛЬНОЙ ЭЛЕКТРОНИКИ, ИЗД.1</t>
  </si>
  <si>
    <t>978-5-16-018432-6</t>
  </si>
  <si>
    <t>23.03.02, 23.03.03, 23.04.02, 23.05.01</t>
  </si>
  <si>
    <t>Допущено УМО вузов РФ по образованию в области транспортных машин и транспортно-технологических комплексов в качестве учебника для студентов вузов, обучающихся по специальности 23.03.02 «Наземные транспортно-технологические средства»</t>
  </si>
  <si>
    <t>682937.04.01</t>
  </si>
  <si>
    <t>Испытания автомобильной электроники: Уч. / В.А.Набоких - М.:НИЦ ИНФРА-М,2026 - 296 с.-(СПО)(П)</t>
  </si>
  <si>
    <t>978-5-16-013942-5</t>
  </si>
  <si>
    <t>23.01.03, 23.01.17, 23.02.02, 23.02.03, 23.02.04, 23.02.05, 23.02.07</t>
  </si>
  <si>
    <t>682938.05.01</t>
  </si>
  <si>
    <t>Испытания автомобиля: Уч.пос. / В.А.Набоких - 2 изд. - М.:Форум, НИЦ ИНФРА-М,2025 - 224 с.(СПО)(П)</t>
  </si>
  <si>
    <t>ИСПЫТАНИЯ АВТОМОБИЛЯ, ИЗД.2</t>
  </si>
  <si>
    <t>978-5-00091-547-9</t>
  </si>
  <si>
    <t>23.01.03, 23.01.17, 23.02.02, 23.02.03, 23.02.07, 35.01.01</t>
  </si>
  <si>
    <t>475250.10.01</t>
  </si>
  <si>
    <t>Испытания автомобиля: Уч.пос. / В.А.Набоких - М.:Форум,НИЦ ИНФРА-М,2025 - 224 с.(ВО)(П)</t>
  </si>
  <si>
    <t>ИСПЫТАНИЯ АВТОМОБИЛЯ, ИЗД.1</t>
  </si>
  <si>
    <t>Набоких В. А.</t>
  </si>
  <si>
    <t>978-5-91134-957-8</t>
  </si>
  <si>
    <t>15.03.01, 15.04.01, 23.03.03</t>
  </si>
  <si>
    <t>Допущено учебно-методическим объединением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 550100 "Автомобиле- и тракторостроение"</t>
  </si>
  <si>
    <t>461800.07.01</t>
  </si>
  <si>
    <t>Исследование аэродинамики автомобиля: Моногр. / В.В.Бернацкий - М.:НИЦ ИНФРА-М,2026 - 256 с.(Науч.мысль)(П)</t>
  </si>
  <si>
    <t>ИССЛЕДОВАНИЕ АЭРОДИНАМИКИ АВТОМОБИЛЯ, ИЗД.1</t>
  </si>
  <si>
    <t>Бернацкий В.В., Острецов А.В.</t>
  </si>
  <si>
    <t>978-5-16-016667-4</t>
  </si>
  <si>
    <t>23.03.03, 23.04.02, 23.04.03, 23.05.01, 23.06.01</t>
  </si>
  <si>
    <t>461800.03.01</t>
  </si>
  <si>
    <t>Исследование аэродинамики автомобиля: монография / В.В.Бернацкий-М.:НИЦ ИНФРА-М,2019.-256 с..-(Науч.мысль)(П 7БЦ)</t>
  </si>
  <si>
    <t>978-5-16-011509-2</t>
  </si>
  <si>
    <t>862094.01.01</t>
  </si>
  <si>
    <t>Исследование и обеспеч. надеж. сис. электроснаб.: Уч.пос. / В.А.Тремясов - М.:НИЦ ИНФРА-М, СФУ,2026. - 131 с.(п)</t>
  </si>
  <si>
    <t>ИССЛЕДОВАНИЕ И ОБЕСПЕЧЕНИЕ НАДЕЖНОСТИ СИСТЕМ ЭЛЕКТРОСНАБЖЕНИЯ, ИЗД.1</t>
  </si>
  <si>
    <t>Тремясов В.А., Кривенко Т.В.</t>
  </si>
  <si>
    <t>978-5-16-021387-3</t>
  </si>
  <si>
    <t>13.03.02, 13.04.02</t>
  </si>
  <si>
    <t>128290.07.01</t>
  </si>
  <si>
    <t>Исследование методол.оценки и анализ..: Моногр. / В.М.Аньшин-М.:НИЦ ИНФРА-М,2022-200с(Науч.мысль)(О)</t>
  </si>
  <si>
    <t>ИССЛЕДОВАНИЕ МЕТОДОЛОГИИ ОЦЕНКИ И АНАЛИЗ ЗРЕЛОСТИ УПРАВЛЕНИЯ ПОРТФЕЛЯМИ ПРОЕКТОВ В РОССИЙСКИХ КОМПАНИЯХ, ИЗД.1</t>
  </si>
  <si>
    <t>Аньшин В. М., Ильина О. Н.</t>
  </si>
  <si>
    <t>978-5-16-004146-9</t>
  </si>
  <si>
    <t>856181.01.01</t>
  </si>
  <si>
    <t>Исследование операций. Задачи, модели и алгоритмы: Моногр. / А.Н.Божко - М.:НИЦ ИНФРА-М,2026. - 297 с.(п)</t>
  </si>
  <si>
    <t>ИССЛЕДОВАНИЕ ОПЕРАЦИЙ. ЗАДАЧИ, МОДЕЛИ И АЛГОРИТМЫ, ИЗД.1</t>
  </si>
  <si>
    <t>Божко А.Н., Родионов С.В.</t>
  </si>
  <si>
    <t>978-5-16-021171-8</t>
  </si>
  <si>
    <t>01.03.02, 01.03.04, 01.04.04, 09.04.03, 09.06.01</t>
  </si>
  <si>
    <t>727992.01.01</t>
  </si>
  <si>
    <t>Исследование процесса забивки свай и штампов на моделях / И.И.Бекбасаров, - 2 изд.-М.:НИЦ ИНФРА-М,2021.-195 с..-(О)</t>
  </si>
  <si>
    <t>ИССЛЕДОВАНИЕ ПРОЦЕССА ЗАБИВКИ СВАЙ И ШТАМПОВ НА МОДЕЛЯХ, ИЗД.2</t>
  </si>
  <si>
    <t>Бекбасаров И.И.</t>
  </si>
  <si>
    <t>978-5-16-015990-4</t>
  </si>
  <si>
    <t>08.03.01, 08.04.01, 08.06.01</t>
  </si>
  <si>
    <t>Таразский государственный университет им. М.Х. Дулати</t>
  </si>
  <si>
    <t>263800.05.01</t>
  </si>
  <si>
    <t>Исследование систем управления: Уч.пос. / В.В.Мыльник, - 2 изд.-М.:ИЦ РИОР, НИЦ ИНФРА-М,2024.-238 с.(ВО)(п)</t>
  </si>
  <si>
    <t>ИССЛЕДОВАНИЕ СИСТЕМ УПРАВЛЕНИЯ, ИЗД.2</t>
  </si>
  <si>
    <t>Мыльник В.В., Титаренко Б.П.</t>
  </si>
  <si>
    <t>978-5-369-01330-4</t>
  </si>
  <si>
    <t>27.03.03, 27.03.04, 27.04.03, 27.04.04, 38.03.02, 38.04.02</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</si>
  <si>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«Менеджмент организации»</t>
  </si>
  <si>
    <t>084880.12.01</t>
  </si>
  <si>
    <t>Исследование соц.-эконом. и полит. процессов: Уч.пос. / Е.П.Тавокин - 3 изд. - М.:НИЦ ИНФРА-М,2025 - 342 с.(П)</t>
  </si>
  <si>
    <t>ИССЛЕДОВАНИЕ СОЦИАЛЬНО-ЭКОНОМИЧЕСКИХ И ПОЛИТИЧЕСКИХ ПРОЦЕССОВ, ИЗД.3</t>
  </si>
  <si>
    <t>Тавокин Е.П.</t>
  </si>
  <si>
    <t>978-5-16-016463-2</t>
  </si>
  <si>
    <t>Рекомендовано Советом УМО вузов России по образованию в области менеджмента в качестве учебного пособия по направлению «Государственное и муниципальное управление»</t>
  </si>
  <si>
    <t>084880.10.01</t>
  </si>
  <si>
    <t>Исследование социально-экономических и политических процессов: уч.пос. / Е.П.Тавокин, - 2-е изд., перер. и доп.-М.:НИЦ ИНФРА-М,2019.-216 с..-(Высшее о</t>
  </si>
  <si>
    <t>ИССЛЕДОВАНИЕ СОЦИАЛЬНО-ЭКОНОМИЧЕСКИХ И ПОЛИТИЧЕСКИХ ПРОЦЕССОВ, ИЗД.2</t>
  </si>
  <si>
    <t>978-5-16-004199-5</t>
  </si>
  <si>
    <t>Рекомендовано Советом УМО вузов России по образованию в области менеджмента в качестве учебного пособия по специальности "Государственное и муниципальное управление"</t>
  </si>
  <si>
    <t>774792.01.01</t>
  </si>
  <si>
    <t>Исследование эконометрич. моделей: Сб. лаб. работ:: Уч.пос. / В.П.Невежин-М.:НИЦ ИНФРА-М,2023.-344 с.(ВО)</t>
  </si>
  <si>
    <t>ИССЛЕДОВАНИЕ ЭКОНОМЕТРИЧЕСКИХ МОДЕЛЕЙ: СБОРНИК ЛАБОРАТОРНЫХ РАБОТ, ИЗД.1</t>
  </si>
  <si>
    <t>Невежин В.П., Невежин Ю.В.</t>
  </si>
  <si>
    <t>978-5-16-017828-8</t>
  </si>
  <si>
    <t>422300.10.01</t>
  </si>
  <si>
    <t>Исследования в менедж.: пос. для магистр.: Уч.пос. / Т.Л.Короткова - М.:КУРС, НИЦ ИНФРА-М,2025. - 256 с.(П)</t>
  </si>
  <si>
    <t>ИССЛЕДОВАНИЯ В МЕНЕДЖМЕНТЕ: ПОСОБИЕ ДЛЯ МАГИСТРОВ, ИЗД.1</t>
  </si>
  <si>
    <t>Короткова Т. Л.</t>
  </si>
  <si>
    <t>978-5-905554-25-4</t>
  </si>
  <si>
    <t>38.03.02, 38.03.05, 38.04.02, 38.04.05, 41.03.06</t>
  </si>
  <si>
    <t>Рекомендовано УМК института экономики, управления и права Национального исследовательского университета «МИЭТ» в качестве учебного пособия для магистров по направлению «Менеджмент»</t>
  </si>
  <si>
    <t>798368.02.01</t>
  </si>
  <si>
    <t>Исследования и разработки (R&amp;D): анализ данных...: Уч. / Е.В.Орлова - М.:НИЦ ИНФРА-М,2026. - 282 с.(ВО)(п)</t>
  </si>
  <si>
    <t>ИССЛЕДОВАНИЯ И РАЗРАБОТКИ (R&amp;D): АНАЛИЗ ДАННЫХ И ЭКОНОМИЧЕСКАЯ ЭФФЕКТИВНОСТЬ, ИЗД.1</t>
  </si>
  <si>
    <t>Орлова Е.В.</t>
  </si>
  <si>
    <t>978-5-16-018291-9</t>
  </si>
  <si>
    <t>27.04.06, 27.04.07, 38.03.01, 38.03.02, 38.04.01, 38.04.02, 38.04.09</t>
  </si>
  <si>
    <t>Уфимский Университет Науки и Технологий</t>
  </si>
  <si>
    <t>737947.05.01</t>
  </si>
  <si>
    <t>Исследования характеристик каналов связи: Моногр. / И.Б.Широков - М.:НИЦ ИНФРА-М,2025 - 247 с.-(О)</t>
  </si>
  <si>
    <t>ИССЛЕДОВАНИЯ ХАРАКТЕРИСТИК КАНАЛОВ СВЯЗИ, ИЗД.1</t>
  </si>
  <si>
    <t>Широков И.Б., Гимпилевич Ю.Б., Сердюк И.В.</t>
  </si>
  <si>
    <t>978-5-16-016288-1</t>
  </si>
  <si>
    <t>11.03.01, 11.04.01, 11.04.02, 11.06.01</t>
  </si>
  <si>
    <t>117950.07.01</t>
  </si>
  <si>
    <t>Исследовательские университеты США / Под ред. В.Б. Супяна - М.: Магистр, 2023 - 399 с. (п)</t>
  </si>
  <si>
    <t>ИССЛЕДОВАТЕЛЬСКИЕ УНИВЕРСИТЕТЫ США, ИЗД.1</t>
  </si>
  <si>
    <t>Супян В. Б.</t>
  </si>
  <si>
    <t>978-5-9776-0120-7</t>
  </si>
  <si>
    <t>44.03.01, 44.03.02, 44.04.01, 44.04.02, 44.04.04</t>
  </si>
  <si>
    <t>ИСКРАН, ИНСТИТУТ США И КАНАДЫ ИМ. Г.А. АРБАТОВА</t>
  </si>
  <si>
    <t>734288.07.01</t>
  </si>
  <si>
    <t>Исследовательский интеллект, решающий педагогич. пробл. / А.В.Коржуев - М.:НИЦ ИНФРА-М,2026. - 193 с.(О)</t>
  </si>
  <si>
    <t>ИССЛЕДОВАТЕЛЬСКИЙ ИНТЕЛЛЕКТ, РЕШАЮЩИЙ ПЕДАГОГИЧЕСКИЕ ПРОБЛЕМЫ, ИЗД.1</t>
  </si>
  <si>
    <t>Коржуев А.В., Никитина Э.К.</t>
  </si>
  <si>
    <t>978-5-16-016196-9</t>
  </si>
  <si>
    <t>778278.05.01</t>
  </si>
  <si>
    <t>Истоки и основы философии: Курс лекций / Ф.А.Тригубенко - М.:НИЦ ИНФРА-М,2026. - 144 с.(ВО.)(О)</t>
  </si>
  <si>
    <t>ИСТОКИ И ОСНОВЫ ФИЛОСОФИИ, ИЗД.1</t>
  </si>
  <si>
    <t>Тригубенко Ф.А.</t>
  </si>
  <si>
    <t>978-5-16-017691-8</t>
  </si>
  <si>
    <t>00.03.11</t>
  </si>
  <si>
    <t>706233.02.01</t>
  </si>
  <si>
    <t>Историко-географ. особ. традиц. природопол. в жизнеобеспечении...: Моногр./ С.А.Козлова -М.ИНФРА-М,2024-194с.(О)</t>
  </si>
  <si>
    <t>ИСТОРИКО-ГЕОГРАФИЧЕСКИЕ ОСОБЕННОСТИ ТРАДИЦИОННОГО ПРИРОДОПОЛЬЗОВАНИЯ В ЖИЗНЕОБЕСПЕЧЕНИИ СТАРООБРЯДЦЕВ ЗАПАДНОГО ЗАБАЙКАЛЬЯ, ИЗД.1</t>
  </si>
  <si>
    <t>Козлова С.А.</t>
  </si>
  <si>
    <t>978-5-16-015085-7</t>
  </si>
  <si>
    <t>05.04.06, 05.06.01, 46.06.01, 51.04.01, 51.06.01</t>
  </si>
  <si>
    <t>668312.06.01</t>
  </si>
  <si>
    <t>Историко-географ.особен.формир. этнокультур.ландш..:Моногр./Л.С.Цыдыпова-М.:НИЦ ИНФРА-М,2025-156с(О)</t>
  </si>
  <si>
    <t>ИСТОРИКО-ГЕОГРАФИЧЕСКИЕ ОСОБЕННОСТИ ФОРМИРОВАНИЯ ЭТНОКУЛЬТУРНОГО ЛАНДШАФТА БАРГУЗИНСКОГО ПРИБАЙКАЛЬЯ, ИЗД.1</t>
  </si>
  <si>
    <t>Цыдыпова Л.С.</t>
  </si>
  <si>
    <t>978-5-16-013282-2</t>
  </si>
  <si>
    <t>51.03.01, 51.03.02, 51.04.02</t>
  </si>
  <si>
    <t>872613.01.01</t>
  </si>
  <si>
    <t>Историко-правовая наука: поиск новой...: Моногр. / Д.А.Пашенцев - М.:НИЦ ИНФРА-М,2026. - 189 с.(Науч.мысль)(п)</t>
  </si>
  <si>
    <t>ИСТОРИКО-ПРАВОВАЯ НАУКА: ПОИСК НОВОЙ МЕТОДОЛОГИИ, ИЗД.1</t>
  </si>
  <si>
    <t>Пашенцев Д.А.</t>
  </si>
  <si>
    <t>978-5-16-021908-0</t>
  </si>
  <si>
    <t>40.03.01, 40.05.03, 40.05.04</t>
  </si>
  <si>
    <t>761185.01.01</t>
  </si>
  <si>
    <t>Историография всеобщей истории: Уч.пос. / Н.С.Креленко - М.:НИЦ ИНФРА-М,2024. - 238 с.(ВО)(п)</t>
  </si>
  <si>
    <t>ИСТОРИОГРАФИЯ ВСЕОБЩЕЙ ИСТОРИИ, ИЗД.1</t>
  </si>
  <si>
    <t>Креленко Н.С.</t>
  </si>
  <si>
    <t>978-5-16-017797-7</t>
  </si>
  <si>
    <t>00.03.04, 40.04.01</t>
  </si>
  <si>
    <t>657953.10.01</t>
  </si>
  <si>
    <t>Историческая грамматика рус. яз.: Уч.пос. / А.Ф.Пантелеев - 2 изд. - М.:ИЦ РИОР,НИЦ ИНФРА-М,2027 - 216 с.(П)</t>
  </si>
  <si>
    <t>ИСТОРИЧЕСКАЯ ГРАММАТИКА РУССКОГО ЯЗЫКА, ИЗД.2</t>
  </si>
  <si>
    <t>Пантелеев А.Ф., Шейко Е.В.</t>
  </si>
  <si>
    <t>978-5-369-01760-9</t>
  </si>
  <si>
    <t>45.03.01, 45.03.02</t>
  </si>
  <si>
    <t>657953.01.01</t>
  </si>
  <si>
    <t>Историческая грамматика русского яз.: Уч.пос. / Е.В.Шейко-М.:ИЦ РИОР,НИЦ ИНФРА-М,2017-216 с.-(ВО)(П)</t>
  </si>
  <si>
    <t>ИСТОРИЧЕСКАЯ ГРАММАТИКА РУССКОГО ЯЗЫКА, ИЗД.1</t>
  </si>
  <si>
    <t>Шейко Е.В., Пантелеев А.Ф.</t>
  </si>
  <si>
    <t>978-5-369-01688-6</t>
  </si>
  <si>
    <t>659175.02.01</t>
  </si>
  <si>
    <t>Историческая динамика соц. структуры рос. общества: Моногр. / А.И.Кравченко-М.:НИЦ ИНФРА-М,2020-376с</t>
  </si>
  <si>
    <t>ИСТОРИЧЕСКАЯ ДИНАМИКА СОЦИАЛЬНОЙ СТРУКТУРЫ РОССИЙСКОГО ОБЩЕСТВА, ИЗД.1</t>
  </si>
  <si>
    <t>Кравченко А.И.</t>
  </si>
  <si>
    <t>978-5-16-013766-7</t>
  </si>
  <si>
    <t>00.03.10, 44.03.01, 44.03.05</t>
  </si>
  <si>
    <t>748278.04.01</t>
  </si>
  <si>
    <t>Историческая политика: Уч. / В.Э.Багдасарян - М.:НИЦ ИНФРА-М,2026. - 336 с.(ВО:Магистр)(п)</t>
  </si>
  <si>
    <t>ИСТОРИЧЕСКАЯ ПОЛИТИКА, ИЗД.1</t>
  </si>
  <si>
    <t>Багдасарян В.Э., Бушуев В.В.</t>
  </si>
  <si>
    <t>978-5-16-021863-2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</si>
  <si>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41.04.04 «Политология» (квалификация (степень) «магистр») (протокол № 8 от 19.10.2022)</t>
  </si>
  <si>
    <t>334300.06.01</t>
  </si>
  <si>
    <t>Историческая социология: Уч.пос. / В.В.Афанасьев - М.:НИЦ ИНФРА-М,2025 -181с.(ВО:Бакалавр.)(о)</t>
  </si>
  <si>
    <t>ИСТОРИЧЕСКАЯ СОЦИОЛОГИЯ, ИЗД.1</t>
  </si>
  <si>
    <t>978-5-16-010652-6</t>
  </si>
  <si>
    <t>38.03.04, 39.03.01, 41.03.06, 42.03.01, 44.03.01, 44.03.05, 45.03.04, 51.03.01</t>
  </si>
  <si>
    <t>Допущено Учебно-методическим объединением по классическому университетскому образованию к изданию в качестве учебного пособия для студентов высших учебных заведений, обучающихся по направлению 39.03.01 (040200) «Социология»</t>
  </si>
  <si>
    <t>657960.10.01</t>
  </si>
  <si>
    <t>Исторические основы геополит.потенциала...: Моногр. / Л.О.Терновая - М.:НИЦ ИНФРА-М,2026-195с(Науч.мысль)(п)</t>
  </si>
  <si>
    <t>ИСТОРИЧЕСКИЕ ОСНОВЫ ГЕОПОЛИТИЧЕСКОГО ПОТЕНЦИАЛА РОССИЙСКОГО КАЗАЧЕСТВА, ИЗД.1</t>
  </si>
  <si>
    <t>978-5-16-012889-4</t>
  </si>
  <si>
    <t>41.04.02, 46.03.02, 46.04.01</t>
  </si>
  <si>
    <t>776802.01.01</t>
  </si>
  <si>
    <t>Исторические портреты эпохи Американской революции XVIII в. / М.А.Филимонова-М.:НИЦ ИНФРА-М,2023.-291 с.(О)</t>
  </si>
  <si>
    <t>ИСТОРИЧЕСКИЕ ПОРТРЕТЫ ЭПОХИ АМЕРИКАНСКОЙ РЕВОЛЮЦИИ XVIII ВЕКА, ИЗД.1</t>
  </si>
  <si>
    <t>Филимонова М.А.</t>
  </si>
  <si>
    <t>978-5-16-017686-4</t>
  </si>
  <si>
    <t>41.03.01, 41.03.05, 41.06.01</t>
  </si>
  <si>
    <t>817794.03.01</t>
  </si>
  <si>
    <t>Историческое архивоведение России: Уч.пос. / Д.М.Володихин - М.:НИЦ ИНФРА-М,2026. - 155 с.(ВО)(п)</t>
  </si>
  <si>
    <t>ИСТОРИЧЕСКОЕ АРХИВОВЕДЕНИЕ РОССИИ, ИЗД.1</t>
  </si>
  <si>
    <t>Володихин Д.М.</t>
  </si>
  <si>
    <t>978-5-16-019864-4</t>
  </si>
  <si>
    <t>Московский государственный университет технологий и управления им. К. Г. Разумовского</t>
  </si>
  <si>
    <t>779603.01.01</t>
  </si>
  <si>
    <t>Историческое краеведение Крыма: Уч. / Л.О.Терновая - М.:НИЦ ИНФРА-М,2025. - 342 с.(ВО)(п)</t>
  </si>
  <si>
    <t>ИСТОРИЧЕСКОЕ КРАЕВЕДЕНИЕ КРЫМА, ИЗД.1</t>
  </si>
  <si>
    <t>978-5-16-019043-3</t>
  </si>
  <si>
    <t>44.04.01, 46.04.01</t>
  </si>
  <si>
    <t>263600.13.01</t>
  </si>
  <si>
    <t>Историческое краеведение: накопление...: Уч. пос. / А.М.Селиванов - М:Форум:НИЦ ИНФРА-М,2026 - 319 с.(п)</t>
  </si>
  <si>
    <t>ИСТОРИЧЕСКОЕ КРАЕВЕДЕНИЕ: НАКОПЛЕНИЕ И РАЗВИТИЕ КРАЕВЕДЧЕСКИХ ЗНАНИЙ В РОССИИ (XVIII - XX ВВ.), ИЗД.2</t>
  </si>
  <si>
    <t>Селиванов А.М.</t>
  </si>
  <si>
    <t>978-5-91134-850-2</t>
  </si>
  <si>
    <t>651840.03.01</t>
  </si>
  <si>
    <t>История  разв.форм  орг.уч.проц.в высш.шк.Китая(с н.ХХ в.до1960-х гг):/М.Ху-М.:НИЦ ИНФРА-М,2020-110с(П)</t>
  </si>
  <si>
    <t>ИСТОРИЯ  РАЗВИТИЯ  ФОРМ  ОРГАНИЗАЦИИ УЧЕБНОГО ПРОЦЕССА В ВЫСШЕЙ ШКОЛЕ  КИТАЯ  (С НАЧАЛА  ХХ В. ДО 1960-Х ГГ.), ИЗД.1</t>
  </si>
  <si>
    <t>Ху М., Карнаух Н.В.</t>
  </si>
  <si>
    <t>978-5-16-012752-1</t>
  </si>
  <si>
    <t>39.04.02, 44.03.01, 44.03.02, 44.03.05, 44.04.01, 44.04.02, 51.03.02, 51.04.02</t>
  </si>
  <si>
    <t>465600.09.01</t>
  </si>
  <si>
    <t>История  рекламы: Уч.пос. / Ю.А.Шестаков - М.:ИЦ РИОР,НИЦ ИНФРА-М,2026 - 259 с.(ВО:Бакалавр.)(П)</t>
  </si>
  <si>
    <t>ИСТОРИЯ РЕКЛАМЫ, ИЗД.1</t>
  </si>
  <si>
    <t>Шестаков Ю.А.</t>
  </si>
  <si>
    <t>978-5-369-01496-7</t>
  </si>
  <si>
    <t>38.03.01, 38.03.02, 42.03.01</t>
  </si>
  <si>
    <t>Донской государственный технический университет, ф-л Институт сферы обслуживания и предпринимательства</t>
  </si>
  <si>
    <t>768230.03.01</t>
  </si>
  <si>
    <t>История активной педагогики: Моногр. / В.Н.Кругликов. - М.:НИЦ ИНФРА-М,2026. -  612 с.(Науч.мысль)(П)</t>
  </si>
  <si>
    <t>ИСТОРИЯ АКТИВНОЙ ПЕДАГОГИКИ, ИЗД.1</t>
  </si>
  <si>
    <t>Кругликов В.Н., Гулк Е.Б., Захаров К.П.</t>
  </si>
  <si>
    <t>978-5-16-017508-9</t>
  </si>
  <si>
    <t>656364.03.01</t>
  </si>
  <si>
    <t>История архитектуры мировых конфессий: Уч. / С.В.Ильвицкая - М.:НИЦ ИНФРА-М,2027 - 206 с.(ВО)(п)</t>
  </si>
  <si>
    <t>ИСТОРИЯ АРХИТЕКТУРЫ МИРОВЫХ КОНФЕССИЙ, ИЗД.1</t>
  </si>
  <si>
    <t>978-5-16-016963-7</t>
  </si>
  <si>
    <t>058400.20.01</t>
  </si>
  <si>
    <t>История архитектуры: Уч.пос. / Н.В.Бирюкова - М.:НИЦ ИНФРА-М,2026 - 367 с.(СПО)(П)</t>
  </si>
  <si>
    <t>ИСТОРИЯ АРХИТЕКТУРЫ, ИЗД.1</t>
  </si>
  <si>
    <t>Бирюкова Н. В.</t>
  </si>
  <si>
    <t>978-5-16-006329-4</t>
  </si>
  <si>
    <t>07.02.01, 42.02.01, 43.02.02, 43.02.17, 52.02.03, 52.02.04, 52.02.05, 54.01.20, 54.02.01, 54.02.04, 54.02.06, 54.02.08</t>
  </si>
  <si>
    <t>Допущено Государственным комитетом Российской Федерации по строительству и жилищно-коммунальному комплексу в качестве учебного пособия для студентов средних специальных учебных заведений, обучающихся по специальности «Архитектура» (07.02.01)</t>
  </si>
  <si>
    <t>Пензенский колледж архитектуры и строительства</t>
  </si>
  <si>
    <t>206800.10.01</t>
  </si>
  <si>
    <t>История бухгалтерского учета: уч.пос. / Ю.И.Сигидов - М.:НИЦ ИНФРА-М,2026. - 161 с.-(ВО)(п)</t>
  </si>
  <si>
    <t>ИСТОРИЯ БУХГАЛТЕРСКОГО УЧЕТА, ИЗД.1</t>
  </si>
  <si>
    <t>Сигидов Ю. И., Рыбянцева М. С.</t>
  </si>
  <si>
    <t>978-5-16-022060-4</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</si>
  <si>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38.03.01 «Экономика» и специальности/профилю «Бухгалтерский учет, анализ и аудит»</t>
  </si>
  <si>
    <t>825533.01.01</t>
  </si>
  <si>
    <t>История ветеринарного законодат. России в XVIII - XX в.: Моногр./В.И.Колесников -М.:НИЦ ИНФРА-М,2024-295 с.(о)</t>
  </si>
  <si>
    <t>ИСТОРИЯ ВЕТЕРИНАРНОГО ЗАКОНОДАТЕЛЬСТВА РОССИИ В XVIII - НАЧАЛЕ XX В., ИЗД.1</t>
  </si>
  <si>
    <t>Колесников В.И., Свечникова Л.Г., Колесникова В.В.</t>
  </si>
  <si>
    <t>978-5-16-019859-0</t>
  </si>
  <si>
    <t>36.04.01, 36.04.02, 36.05.01, 36.06.01, 40.04.01, 40.06.01</t>
  </si>
  <si>
    <t>Ставропольский государственный аграрный университет</t>
  </si>
  <si>
    <t>708021.05.01</t>
  </si>
  <si>
    <t>История гос. и местного упр. в России IX-XXI в.: Уч.пос. / Н.Д.Борщик - М.:НИЦ ИНФРА-М,2026. - 218 с.(ВО)(П)</t>
  </si>
  <si>
    <t>ИСТОРИЯ ГОСУДАРСТВЕННОГО И МЕСТНОГО УПРАВЛЕНИЯ В РОССИИ IX-XXI ВЕКОВ, ИЗД.1</t>
  </si>
  <si>
    <t>Борщик Н.Д., Третьяков А.В.</t>
  </si>
  <si>
    <t>978-5-16-015562-3</t>
  </si>
  <si>
    <t>46.03.01, 46.03.02</t>
  </si>
  <si>
    <t>Рекомендовано к изданию Учебно-методическим советом Таврической академии (структурное подразделение) ФГАОУ ВО «Крымский федеральный университет им. В.И. Вернадского» (протокол № 4 от 19 ноября 2018 г.)¶Рекомендовано к изданию Учебно-методическим советом ФГАОУ ВО «Крымский федеральный университет им. В.И. Вернадского» (протокол № 1 от 11 января 2019 г.)</t>
  </si>
  <si>
    <t>646577.08.01</t>
  </si>
  <si>
    <t>История гос. и права заруб. стран...: Уч.пос. / Д.А.Пашенцев, - 2 изд. - М.:НИЦ ИНФРА-М,2026.-160 с(О)</t>
  </si>
  <si>
    <t>ИСТОРИЯ ГОСУДАРСТВА И ПРАВА ЗАРУБЕЖНЫХ СТРАН В СХЕМАХ, ИЗД.2</t>
  </si>
  <si>
    <t>978-5-16-018464-7</t>
  </si>
  <si>
    <t>Рекомендовано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t>
  </si>
  <si>
    <t>236300.09.01</t>
  </si>
  <si>
    <t>История гос. и права заруб. стран: Уч./ Е.В.Сафронова - М.: РИОР: ИНФРА-М, 2025. - 502 с. (п)</t>
  </si>
  <si>
    <t>ИСТОРИЯ ГОСУДАРСТВА И ПРАВА ЗАРУБЕЖНЫХ СТРАН, ИЗД.1</t>
  </si>
  <si>
    <t>Сафронова Е. В., Бельчук О. А., Евтушенко С. Г., Сафронова Е. В.</t>
  </si>
  <si>
    <t>978-5-369-01278-9</t>
  </si>
  <si>
    <t>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030900 «Юриспруденция», квалификация (степень) «бакалавр»</t>
  </si>
  <si>
    <t>040300.24.01</t>
  </si>
  <si>
    <t>История гос. и права заруб. стран: Уч.-метод.пос. / Отв.ред. Н.А.Крашенинникова - М.:НОРМА,ИНФРА-М,2026 - 320 с.(о)</t>
  </si>
  <si>
    <t>Гринько М.А., Кофанов Л.Л., Лысенко О.Л. и др.</t>
  </si>
  <si>
    <t>978-5-91768-237-2</t>
  </si>
  <si>
    <t>Допущено Министерством образования РФ в качестве учебного пособия для студентов высших учебных заведений, обучающихся по специальности 021100 "Юриспруденция"</t>
  </si>
  <si>
    <t>0103</t>
  </si>
  <si>
    <t>010987.34.01</t>
  </si>
  <si>
    <t>История гос. и права заруб.стран: Уч.: В 2 т.Т.2 / Отв.ред.Н.А. Крашенинникова - 3 изд. -  М:НОРМА:ИНФРА-М,2025-816с(п)</t>
  </si>
  <si>
    <t>ИСТОРИЯ ГОСУДАРСТВА И ПРАВА ЗАРУБЕЖНЫХ СТРАН: В 2 ТОМАХ, Т.2</t>
  </si>
  <si>
    <t>Крашенинникова Н.А., Гудошников Л.М., Жидков О.А. и др.</t>
  </si>
  <si>
    <t>978-5-91768-702-5</t>
  </si>
  <si>
    <t>0305</t>
  </si>
  <si>
    <t>040300.22.01</t>
  </si>
  <si>
    <t>История гос. и права зарубеж стран: Уч.-метод.пос. / Отв.ред.Н.А.Крашенинникова - М.:НОРМА,ИНФРА-М,2026 - 320 с.(п)</t>
  </si>
  <si>
    <t>177600.11.01</t>
  </si>
  <si>
    <t>История гос. и права зарубеж. стран: Уч. пос. / А.Ю.Саломатин - М.:ИЦ РИОР:НИЦ Инфра-М, 2025 - 344 с.(ВО) (п)</t>
  </si>
  <si>
    <t>978-5-369-00914-7</t>
  </si>
  <si>
    <t>Рекомендовано ФГБОУ ВПО "Московский педагогический государственный университет" в качестве учебного пособия для студентов вузов, обуч. по направлению 030900.62 - Юриспруденция</t>
  </si>
  <si>
    <t>107200.08.01</t>
  </si>
  <si>
    <t>История гос. и права зарубеж. стран: Уч.-методич. компл. / А.Ю.Саломатин-М.:НОРМА, НИЦ ИНФРА-М,2024.-496 с.(П)</t>
  </si>
  <si>
    <t>978-5-468-00289-6</t>
  </si>
  <si>
    <t>Учебно-методический комплекс</t>
  </si>
  <si>
    <t>320600.14.01</t>
  </si>
  <si>
    <t>История гос. и права зарубеж. стран: Уч.пос. /А.Крашенинникова - М.:Норма:НИЦ ИНФРА-М,2026 - 320 с.(п)</t>
  </si>
  <si>
    <t>ИСТОРИЯ ГОСУДАРСТВА И ПРАВА ЗАРУБЕЖНЫХ СТРАН: ИЗБРАННЫЕ ПАМЯТНИКИ ПРАВА. ДРЕВНОСТЬ И СРЕДНЕВЕКОВЬЕ, ИЗД.1</t>
  </si>
  <si>
    <t>Крашенинникова Н.А.</t>
  </si>
  <si>
    <t>978-5-91768-558-8</t>
  </si>
  <si>
    <t>002157.38.01</t>
  </si>
  <si>
    <t>История гос. и права зарубеж.стран: Уч.: Т.1 / Н.А.Крашенинникова - 3 изд. - М.:Юр.Норма,НИЦ ИНФРА-М,2026 - 720 с.(П)</t>
  </si>
  <si>
    <t>ИСТОРИЯ ГОСУДАРСТВА И ПРАВА ЗАРУБЕЖНЫХ СТРАН, Т.1</t>
  </si>
  <si>
    <t>Крашенинникова Н.А., Лысенко О.Л., Савельев В.А. и др.</t>
  </si>
  <si>
    <t>978-5-91768-354-6</t>
  </si>
  <si>
    <t>0304</t>
  </si>
  <si>
    <t>687933.01.01</t>
  </si>
  <si>
    <t>История гос. и права зарубежных стран: Уч. / А.В.Скоробогатов. - М.:НИЦ ИНФРА-М,2025. - 536 с.(ВО)(п)</t>
  </si>
  <si>
    <t>Скоробогатов А.В., Носаненко Г.Ю., Краснов А.В.</t>
  </si>
  <si>
    <t>978-5-16-019366-3</t>
  </si>
  <si>
    <t>Казанский инновационный университет им. В.Г. Тимирясова</t>
  </si>
  <si>
    <t>744598.08.01</t>
  </si>
  <si>
    <t>История гос. и права России: Хрест.: В 3 т.Т.1 / А.С.Смыкалин - М.:НИЦ ИНФРА-М,2026-292 с.(ВО)(П)</t>
  </si>
  <si>
    <t>ИСТОРИЯ ГОСУДАРСТВА И ПРАВА РОССИИ, Т.1</t>
  </si>
  <si>
    <t>Смыкалин А.С., Баженова Т.М., Бодрова Э.Э. и др.</t>
  </si>
  <si>
    <t>978-5-16-016557-8</t>
  </si>
  <si>
    <t>745627.10.01</t>
  </si>
  <si>
    <t>История гос. и права России: Хрестоматия: В 3 т.Т.2 / А.С.Смыкалин -  М.:НИЦ ИНФРА-М,2026 - 336 с.(ВО)(П)</t>
  </si>
  <si>
    <t>ИСТОРИЯ ГОСУДАРСТВА И ПРАВА РОССИИ, Т.2</t>
  </si>
  <si>
    <t>Смыкалин А.С., Баженова Т.М., Смыкалин А.С.</t>
  </si>
  <si>
    <t>978-5-16-016559-2</t>
  </si>
  <si>
    <t>745635.10.01</t>
  </si>
  <si>
    <t>История гос. и права России: Хрестоматия: В 3 т.Т.3 / А.С.Смыкалин - М.:НИЦ ИНФРА-М,2026 - 315 с.(ВО)(П)</t>
  </si>
  <si>
    <t>ИСТОРИЯ ГОСУДАРСТВА И ПРАВА РОССИИ, Т.3</t>
  </si>
  <si>
    <t>978-5-16-016560-8</t>
  </si>
  <si>
    <t>089570.10.01</t>
  </si>
  <si>
    <t>История гос. управ. в России: Уч.пос. / Ф.И.Биншток - М.:ИЦ РИОР, НИЦ ИНФРА-М,2026. - 125 с.(ВО)(о.к/ф)</t>
  </si>
  <si>
    <t>ИСТОРИЯ ГОСУДАРСТВЕННОГО УПРАВЛЕНИЯ В РОССИИ, ИЗД.1</t>
  </si>
  <si>
    <t>Биншток Ф. И.</t>
  </si>
  <si>
    <t>Высшее образование (карман. формат)</t>
  </si>
  <si>
    <t>978-5-369-00256-8</t>
  </si>
  <si>
    <t>764935.03.01</t>
  </si>
  <si>
    <t>История гос. управления в России: Уч. / П.В.Галкин-М.:НИЦ ИНФРА-М,2023.-322 с.(ВО: Бакалавр.)(П)</t>
  </si>
  <si>
    <t>Галкин П.В.</t>
  </si>
  <si>
    <t>978-5-16-017204-0</t>
  </si>
  <si>
    <t>38.03.04, 40.04.01, 41.03.06</t>
  </si>
  <si>
    <t>Конкурс Ассоциации книгоиздателей России "Лучшие книги года - 2023"-2023, Победитель</t>
  </si>
  <si>
    <t>113001.33.01</t>
  </si>
  <si>
    <t>История государства и права России: Уч. / И.А.Исаев - 4 изд. - М.:Юр.Норма,НИЦ ИНФРА-М,2026 - 800 с.(П)</t>
  </si>
  <si>
    <t>ИСТОРИЯ ГОСУДАРСТВА И ПРАВА РОССИИ, ИЗД.4</t>
  </si>
  <si>
    <t>Исаев И. А.</t>
  </si>
  <si>
    <t>978-5-91768-378-2</t>
  </si>
  <si>
    <t>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</si>
  <si>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0412</t>
  </si>
  <si>
    <t>236800.13.01</t>
  </si>
  <si>
    <t>История государства и права России: Уч.: В 2 т.Т.1 / В.В.Захаров - М.: Норма: НИЦ ИНФРА-М, 2026 - 448 с. (п)</t>
  </si>
  <si>
    <t>Захаров В.В., Сырых В.М.</t>
  </si>
  <si>
    <t>978-5-91768-428-4</t>
  </si>
  <si>
    <t>Арбитражный суд Курской области</t>
  </si>
  <si>
    <t>236900.12.01</t>
  </si>
  <si>
    <t>История государства и права России: Уч.: В 2 т.Т.2 / В.М.Сырых - М.: Норма: НИЦ ИНФРА-М, 2026 - 400с. (п)</t>
  </si>
  <si>
    <t>ИСТОРИЯ ГОСУДАРСТВА И ПРАВА РОССИИ, ИЗД.1</t>
  </si>
  <si>
    <t>Сырых В.М., Сырых В.М.</t>
  </si>
  <si>
    <t>978-5-91768-429-1</t>
  </si>
  <si>
    <t>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 ия »</t>
  </si>
  <si>
    <t>649239.10.01</t>
  </si>
  <si>
    <t>История государства и права России: Уч.пос. / Ю.А.Шестаков - М.:ИЦ РИОР, НИЦ ИНФРА-М,2026 - 310 с.(ВО)(П)</t>
  </si>
  <si>
    <t>978-5-369-01650-3</t>
  </si>
  <si>
    <t>738656.06.01</t>
  </si>
  <si>
    <t>История государства и права России: Ч.1:  Уч. / Исаев.И.А. - М.:Юр.Норма, НИЦ ИНФРА-М,2026. - 464 с.(П)</t>
  </si>
  <si>
    <t>978-5-00156-076-0</t>
  </si>
  <si>
    <t>40.03.01, 40.05.01, 40.05.02, 40.05.03</t>
  </si>
  <si>
    <t>820966.02.01</t>
  </si>
  <si>
    <t>История Дальнего Востока России в док. и матер.: Хрест. / О.П.Федирко. - М.:НИЦ ИНФРА-М,2026 - 287 с.(ВО)(п)</t>
  </si>
  <si>
    <t>ИСТОРИЯ ДАЛЬНЕГО ВОСТОКА РОССИИ В ДОКУМЕНТАХ И МАТЕРИАЛАХ, ИЗД.1</t>
  </si>
  <si>
    <t>Федирко О.П., Исаев А.А., Дударенок С.М. и др.</t>
  </si>
  <si>
    <t>978-5-16-019869-9</t>
  </si>
  <si>
    <t>00.03.04, 00.05.04, 46.03.01, 46.04.01</t>
  </si>
  <si>
    <t>Институт истории, археологии и этнографии народов Дальнего Востока ДВО РАН (Владивосток)</t>
  </si>
  <si>
    <t>820957.04.01</t>
  </si>
  <si>
    <t>История Дальнего Востока: Уч.пос. / О.П.Федирко - М.:НИЦ ИНФРА-М,2026 - 485 с.(ВО)(п)</t>
  </si>
  <si>
    <t>ИСТОРИЯ ДАЛЬНЕГО ВОСТОКА, ИЗД.1</t>
  </si>
  <si>
    <t>Дударенок С.М., Федирко О.П., Крупянко А.А. и др.</t>
  </si>
  <si>
    <t>978-5-16-019798-2</t>
  </si>
  <si>
    <t>00.03.04, 00.05.04</t>
  </si>
  <si>
    <t>636232.09.01</t>
  </si>
  <si>
    <t>История дознания полиции России: Моногр. / М.А.Маков - М.:НИЦ ИНФРА-М,2026 - 576 с.(Науч.мысль)(П)</t>
  </si>
  <si>
    <t>ИСТОРИЯ ДОЗНАНИЯ ПОЛИЦИИ РОССИИ, ИЗД.1</t>
  </si>
  <si>
    <t>Маков М.А.</t>
  </si>
  <si>
    <t>978-5-16-012152-9</t>
  </si>
  <si>
    <t>701951.06.01</t>
  </si>
  <si>
    <t>История западноевроп. философии: от Античности... Уч.пос. / А.Л.Панищев-М.:НИЦ ИНФРА-М,2023-175с(П)</t>
  </si>
  <si>
    <t>ИСТОРИЯ ЗАПАДНОЕВРОПЕЙСКОЙ ФИЛОСОФИИ: ОТ АНТИЧНОСТИ ДО РЕНЕССАНСА, ИЗД.1</t>
  </si>
  <si>
    <t>978-5-16-015142-7</t>
  </si>
  <si>
    <t>44.03.05, 47.03.01, 47.03.02, 47.03.03, 47.04.01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</si>
  <si>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бакалавриата (протокол № 12 от 24.06.2019)</t>
  </si>
  <si>
    <t>441950.06.01</t>
  </si>
  <si>
    <t>История защиты информ. в заруб. странах: Уч.пос. / А.В.Бабаш - ИЦ РИОР,НИЦ ИНФРА-М,2021 - 284 с.(ВО)(П)</t>
  </si>
  <si>
    <t>ИСТОРИЯ ЗАЩИТЫ ИНФОРМАЦИИ В ЗАРУБЕЖНЫХ СТРАНАХ, ИЗД.1</t>
  </si>
  <si>
    <t>Бабаш А. В., Ларин Д. А.</t>
  </si>
  <si>
    <t>978-5-369-01844-6</t>
  </si>
  <si>
    <t>01.04.04, 09.03.01, 10.03.01, 10.04.01, 27.04.03</t>
  </si>
  <si>
    <t>441950.04.01</t>
  </si>
  <si>
    <t>История защиты информ.в заруб.странах:Уч.пос./А.В.Бабаш-ИЦ РИОР,НИЦ ИНФРА-М,2018-283с(ВОБакалавр.(о)</t>
  </si>
  <si>
    <t>978-5-369-01214-7</t>
  </si>
  <si>
    <t>858467.01.01</t>
  </si>
  <si>
    <t>История и методология биологии: типология и...: Уч.пос. / В.В.Зуев - М.:НИЦ ИНФРА-М,2026. - 235 с.(ВО)(п)</t>
  </si>
  <si>
    <t>ИСТОРИЯ И МЕТОДОЛОГИЯ БИОЛОГИИ: ТИПОЛОГИЯ И ТАКСОНОМИЯ, ИЗД.1</t>
  </si>
  <si>
    <t>Зуев В.В., Диев В.С.</t>
  </si>
  <si>
    <t>978-5-16-021131-2</t>
  </si>
  <si>
    <t>06.06.01</t>
  </si>
  <si>
    <t>687888.03.01</t>
  </si>
  <si>
    <t>История и методология науки гос. и муниц. управления: Уч. / А.И.Балашов-М.:НИЦ ИНФРА-М,2023.-323с(П)</t>
  </si>
  <si>
    <t>ИСТОРИЯ И МЕТОДОЛОГИЯ НАУКИ ГОСУДАРСТВЕННОГО И МУНИЦИПАЛЬНОГО УПРАВЛЕНИЯ, ИЗД.1</t>
  </si>
  <si>
    <t>Балашов А.И., Ушаков Е.В.</t>
  </si>
  <si>
    <t>978-5-16-014438-2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</si>
  <si>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38.04.04 «Государственное и муниципальное управление» (квалификация (степень) «магистр») (протокол № 9 от 13.05.2019)</t>
  </si>
  <si>
    <t>144750.11.01</t>
  </si>
  <si>
    <t>История и методология эконом.науки: Уч.пос. / Л.Е.Басовский, - 2 изд., - М.:НИЦ ИНФРА-М,2026. - 212 с.(ВО)</t>
  </si>
  <si>
    <t>ИСТОРИЯ И МЕТОДОЛОГИЯ ЭКОНОМИЧЕСКОЙ НАУКИ, ИЗД.2</t>
  </si>
  <si>
    <t>Басовский Л. Е.</t>
  </si>
  <si>
    <t>978-5-16-012619-7</t>
  </si>
  <si>
    <t>Рекомендовано Учебно-методическим объединением вузов России по образованию в области экономики и экономической теории в качестве учебного пособия для студентов высших учебных заведений, обучающихся по направлению 38.04.01 «Экономика» (магистратура) и экономическим специальностям</t>
  </si>
  <si>
    <t>144750.05.01</t>
  </si>
  <si>
    <t>История и методология экономической науки: Уч.пос./Л.Е.Басовский-НИЦ ИНФРА-М,2017-231с(ВО:Бакалавр.)</t>
  </si>
  <si>
    <t>ИСТОРИЯ И МЕТОДОЛОГИЯ ЭКОНОМИЧЕСКОЙ НАУКИ, ИЗД.1</t>
  </si>
  <si>
    <t>978-5-16-004243-5</t>
  </si>
  <si>
    <t>Рекомендовано УМО по образованию в области экономики и экономической теории в качестве учебного пособия для студентов высших учебных заведений , обучающихся по направлению  080100 "Экономика" (магистратура) и другим экономическим специальностям</t>
  </si>
  <si>
    <t>454200.13.01</t>
  </si>
  <si>
    <t>История и методология юр.науки: Универ.курс / В.В.Лазарев - М.:Юр.Норма,НИЦ ИНФРА-М,2026 - 496 с.(п)</t>
  </si>
  <si>
    <t>ИСТОРИЯ И МЕТОДОЛОГИЯ ЮРИДИЧЕСКОЙ НАУКИ, ИЗД.1</t>
  </si>
  <si>
    <t>ЛазаревВ.В., Липень С.В., КорневА.В.</t>
  </si>
  <si>
    <t>978-5-91768-680-6</t>
  </si>
  <si>
    <t>189500.07.01</t>
  </si>
  <si>
    <t>История и методология юридической науки: Уч. / В.М.Сырых - М.:Юр.Норма,НИЦ ИНФРА-М,2018-464с.(П)</t>
  </si>
  <si>
    <t>Сырых В. М.</t>
  </si>
  <si>
    <t>978-5-91768-299-0</t>
  </si>
  <si>
    <t>844533.01.01</t>
  </si>
  <si>
    <t>История и методология юридической науки: Уч. / Г.С.Працко - М.:ИЦ РИОР, НИЦ ИНФРА-М,2025. - 425 с.(ВО)(п)</t>
  </si>
  <si>
    <t>978-5-369-01978-8</t>
  </si>
  <si>
    <t>649061.06.01</t>
  </si>
  <si>
    <t>История и методология юридической науки: Уч. / И.Л.Честнов - М.:НИЦ ИНФРА-М,2027.- 283 с.(ВО)(П)</t>
  </si>
  <si>
    <t>Честнов И.Л.</t>
  </si>
  <si>
    <t>978-5-16-022440-4</t>
  </si>
  <si>
    <t>Рекомендовано в качестве учебника для студентов высших учебных заведений, обучающихся по направлению подготовки 40.04.01 «Юриспруденция» (квалификация (степень) «магистр»)</t>
  </si>
  <si>
    <t>Университет прокуратуры Российской Федерации, ф-л Санкт-Петербургский юридический институт</t>
  </si>
  <si>
    <t>768790.05.01</t>
  </si>
  <si>
    <t>История и методология юридической науки: Уч. / Л.П.Рассказов - М.:ИЦ РИОР, НИЦ ИНФРА-М,2026 - 583 с.(ВО)(П)</t>
  </si>
  <si>
    <t>Рассказов Л.П.</t>
  </si>
  <si>
    <t>978-5-369-01888-0</t>
  </si>
  <si>
    <t>189500.18.01</t>
  </si>
  <si>
    <t>История и методология юридической науки: Уч./ В.М.Сырых - 2 изд. - М.:Юр.Норма,НИЦ ИНФРА-М,2026 - 512 с.(П)</t>
  </si>
  <si>
    <t>ИСТОРИЯ И МЕТОДОЛОГИЯ ЮРИДИЧЕСКОЙ НАУКИ, ИЗД.2</t>
  </si>
  <si>
    <t>Сырых В.М.</t>
  </si>
  <si>
    <t>978-5-91768-958-6</t>
  </si>
  <si>
    <t>678843.08.01</t>
  </si>
  <si>
    <t>История и методология юридической науки: Уч.пос. / И.А.Исаев - М.:Юр.Норма,НИЦ ИНФРА-М,2026 - 128 с.(П)</t>
  </si>
  <si>
    <t>Исаев И.А., Мележик И.Н., Филиппова Т.П.</t>
  </si>
  <si>
    <t>978-5-91768-895-4</t>
  </si>
  <si>
    <t>705850.02.01</t>
  </si>
  <si>
    <t>История и совр. сост. молодеж. политики за рубежом: Уч. / Е.Я.Орехова - М.:НИЦ ИНФРА-М,2026 - 394 с.(ВО)(П)</t>
  </si>
  <si>
    <t>ИСТОРИЯ И СОВРЕМЕННОЕ СОСТОЯНИЕ МОЛОДЕЖНОЙ ПОЛИТИКИ ЗА РУБЕЖОМ, ИЗД.1</t>
  </si>
  <si>
    <t>Орехова Е.Я., Полунина Л.Н.</t>
  </si>
  <si>
    <t>978-5-16-021317-0</t>
  </si>
  <si>
    <t>39.03.03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</si>
  <si>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39.03.03 «Организация работы с молодежью» (квалификация (степень) «бакалавр») (протокол № 8 от 20.10.2021)</t>
  </si>
  <si>
    <t>720673.08.01</t>
  </si>
  <si>
    <t>История и философия науки: Уч. / В.И.Пржиленский - М.:Юр.Норма, НИЦ ИНФРА-М,2027 - 296 с.(П)</t>
  </si>
  <si>
    <t>ИСТОРИЯ И ФИЛОСОФИЯ НАУКИ, ИЗД.1</t>
  </si>
  <si>
    <t>Пржиленский В.И.</t>
  </si>
  <si>
    <t>978-5-00156-030-2</t>
  </si>
  <si>
    <t>40.06.01</t>
  </si>
  <si>
    <t>636128.05.01</t>
  </si>
  <si>
    <t>История и философия науки: Уч.пос. / А.Б.Оришев и др. - М.:ИЦ РИОР,НИЦ ИНФРА-М,2026 - 206 с.(ВО)(О)</t>
  </si>
  <si>
    <t>Оришев А.Б., Ромашкин К.И., Мамедов А.А.</t>
  </si>
  <si>
    <t>978-5-369-01593-3</t>
  </si>
  <si>
    <t>47.00.00, 47.03.01</t>
  </si>
  <si>
    <t>Допущено в качестве учебного пособия для студентов, обучающихся по программам магистратуры, и аспирантов, обучающихся по гуманитарным и естественно-научным программам подготовки научно-педагогических кадров высшей квалификации</t>
  </si>
  <si>
    <t>778277.01.01</t>
  </si>
  <si>
    <t>История и философия науки: Уч.пос. / Б.И.Липский - М.:НИЦ ИНФРА-М,2024. - 301 с.(ВО: Аспирантура)(п)</t>
  </si>
  <si>
    <t>Липский Б.И.</t>
  </si>
  <si>
    <t>978-5-16-017952-0</t>
  </si>
  <si>
    <t>00.06.01, 01.04.01, 01.04.02, 03.04.02, 05.04.02, 36.04.02, 41.04.05, 44.04.01, 44.04.02, 44.04.04, 45.04.01, 45.04.02, 46.04.01, 46.04.02, 49.04.02, 49.04.03, 51.04.04</t>
  </si>
  <si>
    <t>418600.10.01</t>
  </si>
  <si>
    <t>История и философия науки: Уч.пос. / В.Э.Вечканов. - М.: ИЦ РИОР:НИЦ Инфра-М,2026 - 256 с.(ВО:Бакалавр.) (п)</t>
  </si>
  <si>
    <t>Вечканов В.Э.</t>
  </si>
  <si>
    <t>978-5-369-01114-0</t>
  </si>
  <si>
    <t>00.03.16, 00.04.17</t>
  </si>
  <si>
    <t>Учебно-методический центр по гражданской обороне, чрезвычайным ситуациям и пожарной безопасности Сар</t>
  </si>
  <si>
    <t>272000.07.01</t>
  </si>
  <si>
    <t>История и философия науки: Уч.пос. / С.И.Платонова - М.:ИЦ РИОР, НИЦ ИНФРА-М,2026. - 148 с.(ВО)(О)</t>
  </si>
  <si>
    <t>978-5-369-01547-6</t>
  </si>
  <si>
    <t>419100.10.01</t>
  </si>
  <si>
    <t>История и философия науки: Уч.пос. / Э.В.Островский - 2 изд. -М.:Вуз.уч., НИЦ ИНФРА-М,2024-323 с.(П)</t>
  </si>
  <si>
    <t>ИСТОРИЯ И ФИЛОСОФИЯ НАУКИ, ИЗД.2</t>
  </si>
  <si>
    <t>Островский Э. В.</t>
  </si>
  <si>
    <t>Высшее образование: Магистратура (ФУ)</t>
  </si>
  <si>
    <t>978-5-9558-0534-4</t>
  </si>
  <si>
    <t>46.03.01, 46.04.01, 46.04.02, 47.03.01, 47.04.01</t>
  </si>
  <si>
    <t>094380.13.01</t>
  </si>
  <si>
    <t>История и философия науки: Уч.пос. для аспирантов.../ С.К.Булдаков - М.:ИЦ РИОР, НИЦ ИНФРА-М,2025. - 141 с.(о)</t>
  </si>
  <si>
    <t>Булдаков С. К.</t>
  </si>
  <si>
    <t>978-5-369-00329-9</t>
  </si>
  <si>
    <t>01.06.01, 02.06.01, 03.06.01, 04.06.01, 05.06.01, 06.06.01, 07.06.01, 08.06.01, 09.06.01, 10.06.01, 11.06.01, 12.06.01, 13.06.01, 14.06.01, 15.06.01, 16.06.01, 17.06.01, 20.06.01, 21.06.01, 21.06.02, 22.06.01, 23.06.01, 24.06.01, 25.06.01, 26.06.01, 27.06.01, 28.06.01, 29.06.01, 30.06.01, 31.06.01, 33.06.01, 35.06.01, 35.06.02, 35.06.03, 35.06.04, 36.06.01, 37.06.01, 38.06.01, 39.06.01, 40.06.01, 42.06.01, 44.06.01, 46.06.01, 47.06.01, 48.06.01, 49.06.01, 50.06.01, 51.06.01</t>
  </si>
  <si>
    <t>095620.10.01</t>
  </si>
  <si>
    <t>История и философия эконом. науки: Пос. к кандидат. экз. / С.А.Бартенев - М.: НИЦ ИНФРА-М,2027 - 272 с.(п)</t>
  </si>
  <si>
    <t>ИСТОРИЯ И ФИЛОСОФИЯ ЭКОНОМИЧЕСКОЙ НАУКИ: ПОСОБИЕ К КАНДИДАТСКОМУ ЭКЗАМЕНУ, ИЗД.1</t>
  </si>
  <si>
    <t>Бартенев С.А.</t>
  </si>
  <si>
    <t>978-5-16-022426-8</t>
  </si>
  <si>
    <t>776954.02.01</t>
  </si>
  <si>
    <t>История изуч. старообрядческого духовного стиха: Моногр. / Н.С.Мурашова-М.:НИЦ ИНФРА-М,2024.-176 с.(О)</t>
  </si>
  <si>
    <t>ИСТОРИЯ ИЗУЧЕНИЯ СТАРООБРЯДЧЕСКОГО ДУХОВНОГО СТИХА В КОНТЕКСТЕ ИССЛЕДОВАНИЯ ХУДОЖЕСТВЕННОЙ СИСТЕМЫ ВНЕБОГОСЛУЖЕБНОГО ДУХОВНОГО ПЕНИЯ, ИЗД.1</t>
  </si>
  <si>
    <t>Мурашова Н.С.</t>
  </si>
  <si>
    <t>978-5-16-017690-1</t>
  </si>
  <si>
    <t>45.03.01, 45.04.01, 48.03.01, 48.04.01, 51.04.01, 53.04.06, 53.05.05</t>
  </si>
  <si>
    <t>714775.10.01</t>
  </si>
  <si>
    <t>История интерьера и мебели: Уч.пос. / А.А.Барташевич - М.:НИЦ ИНФРА-М,2026 - 231 с.(ВО)(п)</t>
  </si>
  <si>
    <t>ИСТОРИЯ ИНТЕРЬЕРА И МЕБЕЛИ, ИЗД.1</t>
  </si>
  <si>
    <t>Барташевич А.А.</t>
  </si>
  <si>
    <t>978-5-16-018590-3</t>
  </si>
  <si>
    <t>35.03.02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</si>
  <si>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35.03.02 «Технология лесозаготовительных и деревоперерабатывающих производств» (квалификация (степень) «бакалавр») (протокол № 18 от 25.11.2019)</t>
  </si>
  <si>
    <t>Белорусский государственный технологический университет</t>
  </si>
  <si>
    <t>741933.04.01</t>
  </si>
  <si>
    <t>История интерьера и мебели: Уч.пос. / А.А.Барташевич - М.:НИЦ ИНФРА-М,2026 - 231 с.-(СПО)(П)</t>
  </si>
  <si>
    <t>978-5-16-016803-6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</si>
  <si>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35.02.03 «Технология деревообработки», 54.02.01 «Дизайн (по отраслям)» (протокол № 10 от 12.10.2020)</t>
  </si>
  <si>
    <t>868849.01.01</t>
  </si>
  <si>
    <t>История интерьера и мебели: Уч.пос. / А.А.Барташевич - М.:НИЦ ИНФРА-М,2026. - 231 с.(Интересно знать)(п)</t>
  </si>
  <si>
    <t>978-5-16-021549-5</t>
  </si>
  <si>
    <t>741149.05.01</t>
  </si>
  <si>
    <t>История искусств: Уч.пос. / А.У.Самогаева - М.:НИЦ ИНФРА-М,2026. - 217 с.(СПО)(п)</t>
  </si>
  <si>
    <t>ИСТОРИЯ ИСКУССТВ, ИЗД.1</t>
  </si>
  <si>
    <t>Самогаева А.У.</t>
  </si>
  <si>
    <t>978-5-16-016566-0</t>
  </si>
  <si>
    <t>29.01.04, 29.01.09, 42.02.01, 43.02.02, 51.02.03, 52.02.03, 52.02.04, 52.02.05, 54.01.02, 54.01.05, 54.01.06, 54.01.13, 54.02.01, 54.02.02, 54.02.04, 54.02.06, 54.02.07, 54.02.08, 55.02.03</t>
  </si>
  <si>
    <t>758839.01.01</t>
  </si>
  <si>
    <t>История концепции социального рыноч. хоз. в Германии: Моногр. / Н.Гольдшмидт, -М.:НИЦ ИНФРА-М,2022-212 с.(Науч.мысль)(П)</t>
  </si>
  <si>
    <t>ИСТОРИЯ КОНЦЕПЦИИ СОЦИАЛЬНОГО РЫНОЧНОГО ХОЗЯЙСТВА В ГЕРМАНИИ, ИЗД.1</t>
  </si>
  <si>
    <t>Гольдшмидт Н., Невский С.И., Покидченко М.Г. и др.</t>
  </si>
  <si>
    <t>978-5-16-017090-9</t>
  </si>
  <si>
    <t>00.03.13, 00.05.13, 38.03.01, 38.04.01, 38.06.01</t>
  </si>
  <si>
    <t>845615.04.01</t>
  </si>
  <si>
    <t>История культуры: от Возрождения до модерна.../ Н.С.Креленко - М.:НИЦ ИНФРА-М,2027. - 320 с.[16+](п)</t>
  </si>
  <si>
    <t>ИСТОРИЯ КУЛЬТУРЫ: ОТ ВОЗРОЖДЕНИЯ ДО МОДЕРНА, ИЗД.1</t>
  </si>
  <si>
    <t>978-5-16-020481-9</t>
  </si>
  <si>
    <t>51.03.01, 51.03.04, 52.02.04, 54.01.20</t>
  </si>
  <si>
    <t>425650.09.01</t>
  </si>
  <si>
    <t>История культуры: от Возрождения до модерна: Уч. пос. / Н.С.Креленко - М.:НИЦ ИНФРА-М,2026 - 320 с.(ВО)(п)</t>
  </si>
  <si>
    <t>Креленко Н. С.</t>
  </si>
  <si>
    <t>978-5-16-021256-2</t>
  </si>
  <si>
    <t>51.03.01, 51.04.01</t>
  </si>
  <si>
    <t>682939.07.01</t>
  </si>
  <si>
    <t>История культуры: от Возрождения до модерна: Уч.пос. / Н.С.Креленко - М.:НИЦ ИНФРА-М,2026. - 320 с.(СПО)(П)</t>
  </si>
  <si>
    <t>978-5-16-013944-9</t>
  </si>
  <si>
    <t>29.01.04, 29.01.09, 42.02.01, 43.02.02, 43.02.17, 51.02.03, 52.02.01, 52.02.02, 52.02.03, 52.02.04, 52.02.05, 53.02.01, 53.02.02, 53.02.03, 53.02.04, 53.02.05, 53.02.06, 53.02.07, 53.02.08, 53.02.09, 54.01.01, 54.01.02, 54.01.05, 54.01.06, 54.01.08, 54.01.09, 54.01.12, 54.01.13, 54.01.14, 54.01.15, 54.01.16, 54.01.17, 54.01.18, 54.01.19, 54.01.20, 54.02.01, 54.02.02, 54.02.03, 54.02.04, 54.02.05, 54.02.06, 54.02.07, 54.02.08, 55.02.03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</si>
  <si>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гуманитарным специальностям</t>
  </si>
  <si>
    <t>640121.04.01</t>
  </si>
  <si>
    <t>История лесного дела: Уч. / А.С.Тихонов - М.:НИЦ ИНФРА-М,2023 - 357 с.(ВО: Магистратура)(П)</t>
  </si>
  <si>
    <t>ИСТОРИЯ ЛЕСНОГО ДЕЛА, ИЗД.1</t>
  </si>
  <si>
    <t>Тихонов А.С.</t>
  </si>
  <si>
    <t>978-5-16-012280-9</t>
  </si>
  <si>
    <t>35.03.01, 35.04.01</t>
  </si>
  <si>
    <t>Рекомендовано в качестве учебника для студентов высших учебных заведений, обучающихся по направлению подготовки 35.04.01 «Лесное дело» (квалификация (степень) «магистр»)</t>
  </si>
  <si>
    <t>Брянский государственный инженерно-технологический университет</t>
  </si>
  <si>
    <t>318500.06.01</t>
  </si>
  <si>
    <t>История межд. отношений и внеш. политики России в Новое..: Уч.пос. / М.Ю.Золотухин - М.:НИЦ ИНФРА-М,2027 - 272 с.(ВО)(п)</t>
  </si>
  <si>
    <t>ИСТОРИЯ МЕЖДУНАРОДНЫХ ОТНОШЕНИЙ И ВНЕШНЕЙ ПОЛИТИКИ РОССИИ В НОВОЕ ВРЕМЯ (XIX ВЕК), ИЗД.1</t>
  </si>
  <si>
    <t>Золотухин М.Ю., Георгиев В.А., Георгиева Н.Г.</t>
  </si>
  <si>
    <t>978-5-16-022369-8</t>
  </si>
  <si>
    <t>44.03.01, 46.03.01</t>
  </si>
  <si>
    <t>420750.07.01</t>
  </si>
  <si>
    <t>История международных отношений и внешняя...: Уч.пос. / М.Ю.Золотухин и др. - М.:НИЦ ИНФРА-М,2027. - 352 с.(п)</t>
  </si>
  <si>
    <t>ИСТОРИЯ МЕЖДУНАРОДНЫХ ОТНОШЕНИЙ И ВНЕШНЯЯ ПОЛИТИКА РОССИИ В НОВОЕ ВРЕМЯ. XVI - НАЧАЛО XIX ВЕКА, ИЗД.1</t>
  </si>
  <si>
    <t>М.Ю.Золотухин, В.А.Георгиев, Н.Г.Георгиева</t>
  </si>
  <si>
    <t>978-5-16-022368-1</t>
  </si>
  <si>
    <t>41.03.01, 41.03.04, 41.03.05, 41.03.06, 41.04.05, 46.03.01</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</si>
  <si>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44.03.01 «Педагогическое образование»</t>
  </si>
  <si>
    <t>126200.15.01</t>
  </si>
  <si>
    <t>История менеджмента: Уч.пос. / Под ред. Короткова Э.М. - М.:НИЦ ИНФРА-М,2025 - 240 с.(ВО)(П)</t>
  </si>
  <si>
    <t>ИСТОРИЯ МЕНЕДЖМЕНТА, ИЗД.1</t>
  </si>
  <si>
    <t>Коротков Э.М., Беляев А.А., Трененков Е.М. и др.</t>
  </si>
  <si>
    <t>978-5-16-003803-2</t>
  </si>
  <si>
    <t>38.03.02, 38.03.04, 38.04.02, 38.04.04, 41.03.06, 42.03.01, 44.03.01</t>
  </si>
  <si>
    <t>Допущено Советом Учебно-методического объединения вузов России по образованию в области менеджмента в качестве учебного пособия по направлению подготовки 38.03.02 «Менеджмент»</t>
  </si>
  <si>
    <t>394900.09.01</t>
  </si>
  <si>
    <t>История мировых цивилизаций: Уч. пос. / Г.В.Драч - 8 изд. - М.:ИЦ РИОР, НИЦ ИНФРА-М,2026 - 320 с(ВО)</t>
  </si>
  <si>
    <t>ИСТОРИЯ МИРОВЫХ ЦИВИЛИЗАЦИЙ, ИЗД.8</t>
  </si>
  <si>
    <t>Драч Г.В.</t>
  </si>
  <si>
    <t>978-5-369-01459-2</t>
  </si>
  <si>
    <t>44.03.01, 44.03.05, 46.03.01, 46.04.01, 47.03.01, 47.03.03, 50.03.01, 51.03.04</t>
  </si>
  <si>
    <t>Рекомендовано научно-методическим советом по культурологии Министерства образования и науки РФ в качестве учебного пособия для студентов высших учебных заведений</t>
  </si>
  <si>
    <t>0816</t>
  </si>
  <si>
    <t>682940.02.01</t>
  </si>
  <si>
    <t>История мировых цивилизаций: Уч.пос./ Под ред. Драч Г.В.-М.:ИЦ РИОР, НИЦ ИНФРА-М,2023-320 с.(СПО)(П)</t>
  </si>
  <si>
    <t>ИСТОРИЯ МИРОВЫХ ЦИВИЛИЗАЦИЙ, ИЗД.1</t>
  </si>
  <si>
    <t>978-5-369-01769-2</t>
  </si>
  <si>
    <t>51.00.00, 00.01.03, 00.02.04, 51.02.02</t>
  </si>
  <si>
    <t>421900.08.01</t>
  </si>
  <si>
    <t>История налогообложения: Уч. пос. / Н.И. Малис - М.: Магистр:  НИЦ Инфра-М, 2024-248с. (п)</t>
  </si>
  <si>
    <t>ИСТОРИЯ НАЛОГООБЛОЖЕНИЯ, ИЗД.1</t>
  </si>
  <si>
    <t>Малис Н. И., Анисимов С. А., Данилькевич М. А., Малис Н. И.</t>
  </si>
  <si>
    <t>978-5-9776-0256-3</t>
  </si>
  <si>
    <t>645375.09.01</t>
  </si>
  <si>
    <t>История научной психологии: Уч. / Г.М.Бреслав - М.:НИЦ ИНФРА-М,2026. -  539 с.(ВО)(п)</t>
  </si>
  <si>
    <t>ИСТОРИЯ НАУЧНОЙ ПСИХОЛОГИИ, ИЗД.1</t>
  </si>
  <si>
    <t>Бреслав Г.М.</t>
  </si>
  <si>
    <t>978-5-16-021214-2</t>
  </si>
  <si>
    <t>37.03.01, 37.05.01, 37.05.02, 44.05.01</t>
  </si>
  <si>
    <t>Рекомендовано в качестве учебника для студентов высших учебных заведений, обучающихся по направлениям подготовки 37.03.01 «Психология» (квалификация (степень) «бакалавр»); 37.05.01 «Клиническая психология» (квалификация «клинический психолог»); 44.05.01 «Педагогика и психология девиантного поведения» (квалификация «социальный педагог»)</t>
  </si>
  <si>
    <t>786390.01.01</t>
  </si>
  <si>
    <t>История нем. лит. рубежа XX-XXI в. Проза и...: Уч.пос. / Д.А.Чугунов-М.:НИЦ ИНФРА-М,2024.-263 с.(ВО)(п)</t>
  </si>
  <si>
    <t>ИСТОРИЯ НЕМЕЦКОЙ ЛИТЕРАТУРЫ РУБЕЖА XX-XXI ВЕКОВ. ПРОЗА И ПОЭЗИЯ, ИЗД.1</t>
  </si>
  <si>
    <t>978-5-16-017940-7</t>
  </si>
  <si>
    <t>654483.03.01</t>
  </si>
  <si>
    <t>История образования и педагог. мысли: В 3 т.Т.3..: Моногр. / А.Г Чернявский - НИЦ ИНФРА-М,2026-380с.(П)</t>
  </si>
  <si>
    <t>ИСТОРИЯ ОБРАЗОВАНИЯ И ПЕДАГОГИЧЕСКОЙ МЫСЛИ.ТОМ 3. ПРАВОВОЕ РЕГУЛИРОВАНИЕ ГОСУДАРСТВЕННОГО КОНТРОЛЯ КАЧЕСТВА ОБРАЗОВАНИЯ, Т.3</t>
  </si>
  <si>
    <t>978-5-16-015407-7</t>
  </si>
  <si>
    <t>652734.10.01</t>
  </si>
  <si>
    <t>История образования и педагогич. мысли: Моногр.: Т.1 / А.Г.Чернявский - М.:НИЦ ИНФРА-М,2027. - 264 с.(п)</t>
  </si>
  <si>
    <t>ИСТОРИЯ ОБРАЗОВАНИЯ И ПЕДАГОГИЧЕСКОЙ МЫСЛИ, Т.1</t>
  </si>
  <si>
    <t>Чернявский А.Г., Грудцына Л.Ю., Пашенцев Д.А.</t>
  </si>
  <si>
    <t>978-5-16-012649-4</t>
  </si>
  <si>
    <t>44.03.01, 44.03.02, 44.03.03, 44.03.04, 44.03.05, 44.04.01, 44.04.02, 44.04.03, 44.04.04, 44.05.01</t>
  </si>
  <si>
    <t>654482.05.01</t>
  </si>
  <si>
    <t>История образования и педагогической мысли: Т.2: Моногр. / А.Г.Чернявский - М.:НИЦ ИНФРА-М,2026. - 243 с.(П)</t>
  </si>
  <si>
    <t>ИСТОРИЯ ОБРАЗОВАНИЯ И ПЕДАГОГИЧЕСКОЙ МЫСЛИ: ТОМ 2: ТЕОРИЯ, Т.2</t>
  </si>
  <si>
    <t>Чернявский А.Г., Пашенцев Д.А., Грудцына Л.Ю.</t>
  </si>
  <si>
    <t>978-5-16-013179-5</t>
  </si>
  <si>
    <t>708850.04.01</t>
  </si>
  <si>
    <t>История общественно-полит. мысли России: Уч.пос. / В.Э.Багдасарян - М.:НИЦ ИНФРА-М,2024-247с(ВО)(п)</t>
  </si>
  <si>
    <t>ИСТОРИЯ ОБЩЕСТВЕННО-ПОЛИТИЧЕСКОЙ МЫСЛИ РОССИИ, ИЗД.1</t>
  </si>
  <si>
    <t>Багдасарян В.Э.</t>
  </si>
  <si>
    <t>978-5-16-018947-5</t>
  </si>
  <si>
    <t>41.03.04, 41.03.06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</si>
  <si>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41.03.04 «Политология», 46.03.01 «История», 44.03.01 «Педагогическое образование» (квалификация (степень) «бакалавр») (протокол № 13 от 16.09.2019)</t>
  </si>
  <si>
    <t>473100.12.01</t>
  </si>
  <si>
    <t>История отеч. гос. и права: Уч.пос.: Ч.1 / Давидян Г.М. - М.:Юр.Норма,НИЦ ИНФРА-М,2027 - 640 с.(п)</t>
  </si>
  <si>
    <t>ИСТОРИЯ ОТЕЧЕСТВЕННОГО ГОСУДАРСТВА И ПРАВА. ЧАСТЬ 1, ИЗД.1</t>
  </si>
  <si>
    <t>Давидян Г.М., Куприянова О.И., Полянский П.Л. и др.</t>
  </si>
  <si>
    <t>978-5-91768-699-8</t>
  </si>
  <si>
    <t>Рекомендовано Учебно-методическим объединением по юридическому образованию вузов Российской Федерации в качестве учебного пособия для студентов образовательных организаций, обучающихся по направлению подготовки «Юриспруденция», квалификация (степень) «бакалавр»</t>
  </si>
  <si>
    <t>653032.12.01</t>
  </si>
  <si>
    <t>История отеч. гос. и права: Уч.пос.: Ч.2 / Давидян Г.М. - М.:Юр.Норма,НИЦ ИНФРА-М,2026 - 736 с.(П)</t>
  </si>
  <si>
    <t>ИСТОРИЯ ОТЕЧЕСТВЕННОГО ГОСУДАРСТВА И ПРАВА. ЧАСТЬ 2, ИЗД.1</t>
  </si>
  <si>
    <t>Давидян Г.М., Полянский П.Л., Куприянова О.И. и др.</t>
  </si>
  <si>
    <t>978-5-91768-824-4</t>
  </si>
  <si>
    <t>682658.05.01</t>
  </si>
  <si>
    <t>История отеч. элитологической мысли: Энц. сл. / Под ред. Карабущенко П.Л. - М.:НИЦ ИНФРА-М,2026. - 676 с.(п)</t>
  </si>
  <si>
    <t>ИСТОРИЯ ОТЕЧЕСТВЕННОЙ ЭЛИТОЛОГИЧЕСКОЙ МЫСЛИ, ИЗД.1</t>
  </si>
  <si>
    <t>Баранов Н.А., Баранов А.В., Бобылев В.В. и др.</t>
  </si>
  <si>
    <t>978-5-16-014656-0</t>
  </si>
  <si>
    <t>00.03.07, 41.04.04, 41.06.01</t>
  </si>
  <si>
    <t>645331.05.01</t>
  </si>
  <si>
    <t>История отечественного гос. и права в схемах: Уч.пос. / Д.А.Пашенцев - М.:НИЦ ИНФРА-М,2026 - 143 с.(СПО)(о)</t>
  </si>
  <si>
    <t>ИСТОРИЯ ОТЕЧЕСТВЕННОГО ГОСУДАРСТВА И ПРАВА В СХЕМАХ, ИЗД.1</t>
  </si>
  <si>
    <t>978-5-16-012434-6</t>
  </si>
  <si>
    <t>40.02.04</t>
  </si>
  <si>
    <t>Рекомендовано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40.00.00 «Юриспруденция»</t>
  </si>
  <si>
    <t>481200.09.01</t>
  </si>
  <si>
    <t>История отечественного гос. и права: Уч.пос. / Д.А.Пашенцев, - 2 изд. - М.:НИЦ ИНФРА-М,2027. - 429 с.(ВО)(п)</t>
  </si>
  <si>
    <t>ИСТОРИЯ ОТЕЧЕСТВЕННОГО ГОСУДАРСТВА И ПРАВА, ИЗД.2</t>
  </si>
  <si>
    <t>Пашенцев Д.А., Чернявский А.Г.</t>
  </si>
  <si>
    <t>978-5-16-019201-7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</si>
  <si>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40.03.00 «Юриспруденция» (квалификация (степень) «бакалавр») (протокол № 9 от 13.04.2019)</t>
  </si>
  <si>
    <t>682941.03.01</t>
  </si>
  <si>
    <t>История отечественного гос. и права: Уч.пос. / Д.А.Пашенцев, - 2 изд. - М.:НИЦ ИНФРА-М,2027. - 429 с.(СПО)(п)</t>
  </si>
  <si>
    <t>978-5-16-022351-3</t>
  </si>
  <si>
    <t>0227</t>
  </si>
  <si>
    <t>682941.01.01</t>
  </si>
  <si>
    <t>История отечественного гос. и права: Уч.пос. / Д.А.Пашенцев-М.:НИЦ ИНФРА-М,2021.-429 с.(СПО)(П)</t>
  </si>
  <si>
    <t>ИСТОРИЯ ОТЕЧЕСТВЕННОГО ГОСУДАРСТВА И ПРАВА, ИЗД.1</t>
  </si>
  <si>
    <t>978-5-16-013945-6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</si>
  <si>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8 от 22.06.2020)</t>
  </si>
  <si>
    <t>481200.03.01</t>
  </si>
  <si>
    <t>История отечественного государства и права: Уч.пос. / Д.А.Пашенцев-М.:НИЦ ИНФРА-М,2019.-428с.(ВО)(П)</t>
  </si>
  <si>
    <t>978-5-16-011701-0</t>
  </si>
  <si>
    <t>Рекомендовано в качестве учебного пособия для студентов высших учебнь/х заведений, обучающихся по направлению подготовки 40.03.01 «Юриспруденция» (квалификация (степень) «бакалавр»)</t>
  </si>
  <si>
    <t>435950.14.01</t>
  </si>
  <si>
    <t>История педагогики в лицах: Уч.пос. / В.А.Капранова - М.:НИЦ ИНФРА-М, ,2026 -176 с.(ВО)(п)</t>
  </si>
  <si>
    <t>ИСТОРИЯ ПЕДАГОГИКИ В ЛИЦАХ, ИЗД.1</t>
  </si>
  <si>
    <t>Капранова В. А.</t>
  </si>
  <si>
    <t>978-5-16-019068-6</t>
  </si>
  <si>
    <t>Рекомендовано в качестве учебного пособия для студентов высших учебных заведений, обучающихся по УГС 44.00.00 «Образование и педагогические науки» (квалификация (степень) «бакалавр»)</t>
  </si>
  <si>
    <t>737773.02.01</t>
  </si>
  <si>
    <t>История педагогики и образования в России: Уч.пос. / А.М.Аллагулов - М.:НИЦ ИНФРА-М,2026. - 205 с.(ВО)(п)</t>
  </si>
  <si>
    <t>ИСТОРИЯ ПЕДАГОГИКИ И ОБРАЗОВАНИЯ В РОССИИ, ИЗД.1</t>
  </si>
  <si>
    <t>Аллагулов А.М., Рындак В.Г., Торшина А.В.</t>
  </si>
  <si>
    <t>978-5-16-017370-2</t>
  </si>
  <si>
    <t>Оренбургский государственный педагогический университет</t>
  </si>
  <si>
    <t>207200.09.01</t>
  </si>
  <si>
    <t>История полит. и прав. учений России: Уч. / И.А.Исаев. - 3 изд. - М.:Норма: НИЦ ИНФРА-М, 2026 - 432 с.(CD) (п)</t>
  </si>
  <si>
    <t>ИСТОРИЯ ПОЛИТИЧЕСКИХ И ПРАВОВЫХ УЧЕНИЙ РОССИИ, ИЗД.3</t>
  </si>
  <si>
    <t>Исаев И. А., Золотухина Н. М.</t>
  </si>
  <si>
    <t>978-5-91768-382-9</t>
  </si>
  <si>
    <t>40.03.01, 40.04.01, 40.05.01, 40.05.02, 41.03.04, 41.03.05, 41.03.06, 41.04.04, 41.04.05, 44.03.05</t>
  </si>
  <si>
    <t>025500.18.01</t>
  </si>
  <si>
    <t>История полит. и прав. учений: Краткий уч. курс / Под  ред. В.С. Нерсесянца. - НОРМА, 2026. - 352 с. (о)</t>
  </si>
  <si>
    <t>ИСТОРИЯ ПОЛИТИЧЕСКИХ И ПРАВОВЫХ УЧЕНИЙ, ИЗД.1</t>
  </si>
  <si>
    <t>Нерсесянц В. С.</t>
  </si>
  <si>
    <t>978-5-89123-442-0</t>
  </si>
  <si>
    <t>304700.07.01</t>
  </si>
  <si>
    <t>История полит. и правовых учений Др.мира..: Уч.пос. / О.А.Сухорукова - М.:ИД ФОРУМ,НИЦ ИНФРА-М,2026 - 128 с.(О)</t>
  </si>
  <si>
    <t>ИСТОРИЯ ПОЛИТИЧЕСКИХ И ПРАВОВЫХ УЧЕНИЙ ДРЕВНЕГО МИРА, СРЕДНЕВЕКОВЬЯ, ВОЗРОЖДЕНИЯ И НОВОГО ВРЕМЕНИ, ИЗД.1</t>
  </si>
  <si>
    <t>Сухорукова О.А.</t>
  </si>
  <si>
    <t>978-5-8199-0610-1</t>
  </si>
  <si>
    <t>073000.06.01</t>
  </si>
  <si>
    <t>История полит. и правовых учений: Уч. пос. / С.А. Дробышевский. - 2 изд. - М.: НОРМА, 2017.-592с(п)</t>
  </si>
  <si>
    <t>ИСТОРИЯ ПОЛИТИЧЕСКИХ И ПРАВОВЫХ УЧЕНИЙ: ОСНОВНЫЕ КЛАССИЧЕСКИЕ ИДЕИ, ИЗД.2</t>
  </si>
  <si>
    <t>978-5-468-00095-3</t>
  </si>
  <si>
    <t>682942.03.01</t>
  </si>
  <si>
    <t>История полит. и правовых учений: Уч.пос. / О.А.Сухорукова-М.:ИД Форум, НИЦ ИНФРА-М,2023-128 с.(О)</t>
  </si>
  <si>
    <t>978-5-8199-0854-9</t>
  </si>
  <si>
    <t>073000.09.01</t>
  </si>
  <si>
    <t>История политических и правов. учений..: Уч.пос. / С.А.Дробышевский - 3 изд. - М.:НОРМА,2022-592с. (п)</t>
  </si>
  <si>
    <t>ИСТОРИЯ ПОЛИТИЧЕСКИХ И ПРАВОВЫХ УЧЕНИЙ: ОСНОВНЫЕ КЛАССИЧЕСКИЕ ИДЕИ, ИЗД.3</t>
  </si>
  <si>
    <t>978-5-91768-831-2</t>
  </si>
  <si>
    <t>073000.11.01</t>
  </si>
  <si>
    <t>История политических и правов. учений..: Уч.пос. / С.А.Дробышевский - 4 изд. - М.:НОРМА,2024-792с. (п)</t>
  </si>
  <si>
    <t>ИСТОРИЯ ПОЛИТИЧЕСКИХ И ПРАВОВЫХ УЧЕНИЙ: ОСНОВНЫЕ КЛАССИЧЕСКИЕ ИДЕИ, ИЗД.4</t>
  </si>
  <si>
    <t>978-5-00156-365-5</t>
  </si>
  <si>
    <t>646041.04.01</t>
  </si>
  <si>
    <t>История политических и правовых учений: Уч. / А.А.Акмалова - М.:НИЦ ИНФРА-М,2026. - 482 с.(ВО.)(П)</t>
  </si>
  <si>
    <t>Акмалова А.А., Капицын В.М.</t>
  </si>
  <si>
    <t>978-5-16-022161-8</t>
  </si>
  <si>
    <t>060466.17.01</t>
  </si>
  <si>
    <t>История политических и правовых учений: Уч. / В.Г. Графский - 3 изд. - М.: Норма,2025 - 736 с. (п)</t>
  </si>
  <si>
    <t>ИСТОРИЯ ПОЛИТИЧЕСКИХ И ПРАВОВЫХ УЧЕНИЙ, ИЗД.3</t>
  </si>
  <si>
    <t>978-5-91768-037-8</t>
  </si>
  <si>
    <t>0309</t>
  </si>
  <si>
    <t>062000.23.01</t>
  </si>
  <si>
    <t>История политических и правовых учений: Уч. / В.С.Нерсесянц - М.:Юр.Норма, НИЦ ИНФРА-М,2025 - 704 с.(П)</t>
  </si>
  <si>
    <t>978-5-91768-262-4</t>
  </si>
  <si>
    <t>781589.03.01</t>
  </si>
  <si>
    <t>История политических и правовых учений: Уч. / Г.С.Працко - М.:ИЦ РИОР, НИЦ ИНФРА-М,2026. - 451 с.(ВО)(П)</t>
  </si>
  <si>
    <t>978-5-369-01910-8</t>
  </si>
  <si>
    <t>292000.05.01</t>
  </si>
  <si>
    <t>История политических и правовых учений: Уч. /В.В.Лазарев - 3 изд.-М.:Юр.Норма,НИЦ ИНФРА-М,2025-800с.(п)</t>
  </si>
  <si>
    <t>ЛазаревВ.В.</t>
  </si>
  <si>
    <t>978-5-91768-725-4</t>
  </si>
  <si>
    <t>078509.12.01</t>
  </si>
  <si>
    <t>История политических учений: Уч. / В.Д.Зотов - 3 изд. - М.:Юр. НОРМА, НИЦ ИНФРА-М,2026. - 672 с.(п)</t>
  </si>
  <si>
    <t>ИСТОРИЯ ПОЛИТИЧЕСКИХ УЧЕНИЙ, ИЗД.3</t>
  </si>
  <si>
    <t>Зотов В. Д., Зотова Л. В.</t>
  </si>
  <si>
    <t>978-5-91768-360-7</t>
  </si>
  <si>
    <t>40.03.01, 40.04.01, 40.05.01, 40.05.02, 40.05.03, 40.05.04, 41.03.04, 41.03.06, 44.03.05</t>
  </si>
  <si>
    <t>Рекомендовано Учебно-методическим объединением по классическому университетскому образованию РФ в качестве учебника для студентов высших учебных заведений, обучающихся по специальности "Политология"</t>
  </si>
  <si>
    <t>872614.01.01</t>
  </si>
  <si>
    <t>История политических учений: Уч. / Н.С.Козьякова - М.:НИЦ ИНФРА-М,2027. - 222 с.(ВО)(п)</t>
  </si>
  <si>
    <t>ИСТОРИЯ ПОЛИТИЧЕСКИХ УЧЕНИЙ, ИЗД.1</t>
  </si>
  <si>
    <t>Козьякова Н.С.</t>
  </si>
  <si>
    <t>978-5-16-021930-1</t>
  </si>
  <si>
    <t>41.03.04</t>
  </si>
  <si>
    <t>748427.01.01</t>
  </si>
  <si>
    <t>История политических учений: Уч. / П.Л.Карабущенко - М.:НИЦ ИНФРА-М,2025. - 725 с.(ВО)(п)</t>
  </si>
  <si>
    <t>978-5-16-016821-0</t>
  </si>
  <si>
    <t>41.03.04, 41.03.06, 46.03.01</t>
  </si>
  <si>
    <t>426300.10.01</t>
  </si>
  <si>
    <t>История политических учений: Уч.пос. / А.И.Демидов - М.:Юр.Норма,НИЦ ИНФРА-М,2027 - 432 с.(п)</t>
  </si>
  <si>
    <t>Демидов А. И., Бичехвост А. Ф., Алексеева Т. А., Демидов А. И.</t>
  </si>
  <si>
    <t>978-5-91768-342-3</t>
  </si>
  <si>
    <t>40.03.01, 40.04.01, 41.03.04, 41.03.06, 44.03.05</t>
  </si>
  <si>
    <t>155950.10.01</t>
  </si>
  <si>
    <t>История путешествий. Античная эпоха / И.Ю.Булкин - М.:Форум,2026 - 240 с.(П)</t>
  </si>
  <si>
    <t>ИСТОРИЯ ПУТЕШЕСТВИЙ. АНТИЧНАЯ ЭПОХА, ИЗД.1</t>
  </si>
  <si>
    <t>Булкин И. Ю.</t>
  </si>
  <si>
    <t>978-5-91134-528-0</t>
  </si>
  <si>
    <t>43.03.02, 43.04.02, 46.03.01, 46.04.01</t>
  </si>
  <si>
    <t>851378.01.01</t>
  </si>
  <si>
    <t>История развития бронир. техники и ее боевое прим.: Уч.пос. / В.А.Мельничук - М.:НИЦ ИНФРА-М,2026. - 159 с.(п)</t>
  </si>
  <si>
    <t>ИСТОРИЯ РАЗВИТИЯ БРОНИРОВАННОЙ ТЕХНИКИ И ЕЕ БОЕВОЕ ПРИМЕНЕНИЕ, ИЗД.1</t>
  </si>
  <si>
    <t>978-5-16-020842-8</t>
  </si>
  <si>
    <t>768881.03.01</t>
  </si>
  <si>
    <t>История развития инфокоммуникаций и радиотехнологий на...: Моногр. / П.П.Ермолов - М.:НИЦ ИНФРА-М,2027. - 392 с.(П)</t>
  </si>
  <si>
    <t>ИСТОРИЯ РАЗВИТИЯ ИНФОКОММУНИКАЦИЙ И РАДИОТЕХНОЛОГИЙ НА ЧЕРНОМОРСКОМ ФЛОТЕ И В КРЫМУ (1899-2014 ГГ.), ИЗД.1</t>
  </si>
  <si>
    <t>Ермолов П.П.</t>
  </si>
  <si>
    <t>978-5-16-017529-4</t>
  </si>
  <si>
    <t>11.04.01, 11.05.01, 11.06.01</t>
  </si>
  <si>
    <t>632275.04.01</t>
  </si>
  <si>
    <t>История развития теории бух. учета: Уч.пос. / М.Д.Акатьева - М.:НИЦ ИНФРА-М,2025 - 170 с.(ВО)(П)</t>
  </si>
  <si>
    <t>ИСТОРИЯ РАЗВИТИЯ ТЕОРИИ БУХГАЛТЕРСКОГО УЧЕТА, ИЗД.1</t>
  </si>
  <si>
    <t>978-5-16-013493-2</t>
  </si>
  <si>
    <t>Рекомендовано в качестве учебного пособия для студентов высших учебных заведений, обучающихся по направлению подготовки 38.04.01 «Экономика» (квалификация (степень) «магистр»)</t>
  </si>
  <si>
    <t>837235.01.01</t>
  </si>
  <si>
    <t>История развития транспортных средств: Уч.пос. / Ю.Ф.Кайзер - М.:НИЦ ИНФРА-М, СФУ,2025. - 250 с.(ВО)(п)</t>
  </si>
  <si>
    <t>ИСТОРИЯ РАЗВИТИЯ ТРАНСПОРТНЫХ СРЕДСТВ, ИЗД.1</t>
  </si>
  <si>
    <t>Кайзер Ю.Ф., Лысянников А.В., Желукевич Р.Б. и др.</t>
  </si>
  <si>
    <t>978-5-16-020177-1</t>
  </si>
  <si>
    <t>23.05.04, 23.05.06, 25.03.01, 25.03.02, 26.03.01, 26.05.05, 26.05.06, 38.04.02</t>
  </si>
  <si>
    <t>633722.09.01</t>
  </si>
  <si>
    <t>История религий мира: Уч. / Под общ.ред. И.Г.Палий - М.:ИЦ РИОР, НИЦ ИНФРА-М,2026 - 375 с.(ВО)(п)</t>
  </si>
  <si>
    <t>ИСТОРИЯ РЕЛИГИЙ МИРА, ИЗД.1</t>
  </si>
  <si>
    <t>Палий И.Г., Богданова О.А., Васечко В.Ю. и др.</t>
  </si>
  <si>
    <t>978-5-369-01586-5</t>
  </si>
  <si>
    <t>37.03.01, 39.03.02, 42.03.01, 42.03.02, 42.03.04, 44.03.05, 47.03.01, 47.03.03, 48.03.01, 50.04.04, 51.03.01, 51.03.03, 51.03.04, 51.04.04, 54.03.04</t>
  </si>
  <si>
    <t>846364.03.01</t>
  </si>
  <si>
    <t>История религий России: научно-поп. изд. / А.Л.Панищев - М.:НИЦ ИНФРА-М,2026. - 175 с.[16+](п)</t>
  </si>
  <si>
    <t>ИСТОРИЯ РЕЛИГИЙ РОССИИ, ИЗД.1</t>
  </si>
  <si>
    <t>978-5-16-020495-6</t>
  </si>
  <si>
    <t>00.03.04, 00.03.11, 00.05.04, 00.05.11, 46.03.01, 47.03.01, 47.03.03</t>
  </si>
  <si>
    <t>828635.02.01</t>
  </si>
  <si>
    <t>История религий России: Уч.пос. / А.Л.Панищев - М.:НИЦ ИНФРА-М,2026. - 188 с.(ВО)(п)</t>
  </si>
  <si>
    <t>978-5-16-020135-1</t>
  </si>
  <si>
    <t>00.00.00, 00.03.04, 00.03.11, 00.05.04, 00.05.11, 46.03.01, 47.03.01, 47.03.03</t>
  </si>
  <si>
    <t>868840.01.01</t>
  </si>
  <si>
    <t>История религий: Науч.- поп. изд. / К.А.Соловьев - М.:НИЦ ИНФРА-М,2026. -  470 с.(Интересно знать) [16+](п)</t>
  </si>
  <si>
    <t>ИСТОРИЯ РЕЛИГИЙ, ИЗД.1</t>
  </si>
  <si>
    <t>Соловьев К.А.</t>
  </si>
  <si>
    <t>978-5-16-021539-6</t>
  </si>
  <si>
    <t>Общее образование</t>
  </si>
  <si>
    <t>37.05.01, 46.03.02, 46.03.03, 46.04.01, 47.04.03, 48.03.01, 50.03.03, 50.03.04, 51.03.01, 54.03.04, 54.05.04, 58.03.01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</si>
  <si>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50.03.03 «История искусств», 50.03.04 «Теория и история искусств» (квалификация (степень) «бакалавр») (протокол № 14 от 30.09.2019)</t>
  </si>
  <si>
    <t>639536.09.01</t>
  </si>
  <si>
    <t>История религий: Уч. / К.А.Соловьев - М.:Вуз.уч.,НИЦ ИНФРА-М,2026 - 480 с.-(ВО)(п)</t>
  </si>
  <si>
    <t>978-5-9558-0532-0</t>
  </si>
  <si>
    <t>44.03.05, 47.03.03, 47.04.03, 48.03.01, 50.03.03, 50.03.04, 50.04.03, 50.04.04, 51.03.01</t>
  </si>
  <si>
    <t>141900.12.01</t>
  </si>
  <si>
    <t>История религий: Уч. пос. / Е.Б. Ерина. - М.: ИЦ РИОР:  ИНФРА-М, 2026 - 175 с. (ПО) (п)</t>
  </si>
  <si>
    <t>Ерина Е. Б.</t>
  </si>
  <si>
    <t>978-5-369-00570-5</t>
  </si>
  <si>
    <t>00.01.03, 00.02.04, 44.02.01, 44.02.03, 44.02.05</t>
  </si>
  <si>
    <t>Рекомендовано Федеральным государственным учреждением "Федеральный институт развития образования" в кач-ве учеб. пос. для использов. в учеб. проц. образоват. учреждений, реал. прогр. сред. проф. образов. по специальности 050401 "История"</t>
  </si>
  <si>
    <t>Государственный морской университет им. адмирала Ф.Ф. Ушакова</t>
  </si>
  <si>
    <t>476050.06.01</t>
  </si>
  <si>
    <t>История римской культуры: Уч.пос. / Ю.Б.Циркин - М.:НИЦ ИНФРА-М,2025. - 336 с.(ВО: Бакалавриат)(п)</t>
  </si>
  <si>
    <t>ИСТОРИЯ РИМСКОЙ КУЛЬТУРЫ, ИЗД.1</t>
  </si>
  <si>
    <t>Циркин Ю.Б.</t>
  </si>
  <si>
    <t>978-5-16-010216-0</t>
  </si>
  <si>
    <t>632475.05.01</t>
  </si>
  <si>
    <t>История рос. эконом.науки ХIХ-ХХ вв.: Моногр. / Ю.Н.Егоров - М .:НИЦ ИНФРА-М,2024 - 232с.(Науч.мысль)(П)</t>
  </si>
  <si>
    <t>ИСТОРИЯ РОССИЙСКОЙ ЭКОНОМИЧЕСКОЙ НАУКИ ХIХ-ХХ ВВ., ИЗД.1</t>
  </si>
  <si>
    <t>Егоров Ю.Н.</t>
  </si>
  <si>
    <t>978-5-16-011991-5</t>
  </si>
  <si>
    <t>38.03.01, 44.03.01, 44.03.05</t>
  </si>
  <si>
    <t>Московский региональный социально-экономический институт</t>
  </si>
  <si>
    <t>415700.09.01</t>
  </si>
  <si>
    <t>История России (1985 - 2008 г.): Уч.пос. / Г.И.Герасимов - М.:ИЦ РИОР, НИЦ ИНФРА-М,2025 - 313 с.(ВО)(п)</t>
  </si>
  <si>
    <t>ИСТОРИЯ РОССИИ (1985 - 2008 ГОДЫ), ИЗД.1</t>
  </si>
  <si>
    <t>Герасимов Г. И.</t>
  </si>
  <si>
    <t>978-5-369-00753-2</t>
  </si>
  <si>
    <t>00.03.04, 00.05.04, 46.03.01</t>
  </si>
  <si>
    <t>Институт общественного проектирования</t>
  </si>
  <si>
    <t>777031.04.01</t>
  </si>
  <si>
    <t>История России IX - нач. XXI в.: Уч.пос. / Е.В.Воейков - М.:НИЦ ИНФРА-М,2026 - 493 с.(ВО (Фин. университет))(п)</t>
  </si>
  <si>
    <t>ИСТОРИЯ РОССИИ IX - НАЧАЛА XXI ВЕКА, ИЗД.1</t>
  </si>
  <si>
    <t>Воейков Е.В.</t>
  </si>
  <si>
    <t>978-5-16-017712-0</t>
  </si>
  <si>
    <t>755942.02.01</t>
  </si>
  <si>
    <t>История России с древнейших времён до ХХ в.: Уч.пос. / Н.А.Неживых - М.:НИЦ ИНФРА-М,2026 - 264 с.)(п)</t>
  </si>
  <si>
    <t>ИСТОРИЯ РОССИИ С ДРЕВНЕЙШИХ ВРЕМЁН ДО ХХ ВЕКА, ИЗД.1</t>
  </si>
  <si>
    <t>Неживых Н.А.</t>
  </si>
  <si>
    <t>978-5-16-017978-0</t>
  </si>
  <si>
    <t>00.01.03</t>
  </si>
  <si>
    <t>646262.09.01</t>
  </si>
  <si>
    <t>История России. XVIII — нач. XX в.: Уч. / М.Ю.Лачаева и др. - М.:НИЦ ИНФРА-М,2026. - 648 с.(ВО:Бакалавр.)(п)</t>
  </si>
  <si>
    <t>ИСТОРИЯ РОССИИ. XVIII — НАЧАЛА XX ВЕКА, ИЗД.1</t>
  </si>
  <si>
    <t>Лачаева М.Ю., Ляшенко Л.М., Воронин В.Е. и др.</t>
  </si>
  <si>
    <t>978-5-16-012874-0</t>
  </si>
  <si>
    <t>00.03.04, 00.05.04, 46.03.01, 50.03.03</t>
  </si>
  <si>
    <t>Рекомендовано в качестве учебника для студентов высших учебных заведений, обучающихся по направлениям подготовки 46.03.01 «История», 50.03.03 «История искусств» (квалификация (степень) «бакалавр»)</t>
  </si>
  <si>
    <t>712207.11.01</t>
  </si>
  <si>
    <t>История России. Вызовы эпохи Романовых: Уч.пос. / М.В.Жеребкин - М.:НИЦ ИНФРА-М,2026. - 456 с.(ВО)(п)</t>
  </si>
  <si>
    <t>ИСТОРИЯ РОССИИ. ВЫЗОВЫ ЭПОХИ РОМАНОВЫХ, ИЗД.1</t>
  </si>
  <si>
    <t>Жеребкин М.В.</t>
  </si>
  <si>
    <t>Высшее образование (КрымФУ)</t>
  </si>
  <si>
    <t>978-5-16-022277-6</t>
  </si>
  <si>
    <t>00.03.04, 46.03.01</t>
  </si>
  <si>
    <t>Рекомендовано Ученым советом федерального государственного автономного образовательного учреждения высшего образования «Крымский федеральный университет имени В.И. Вернадского» в качестве учебного пособия для обучающихся по направлению подготовки 46.03.01 «История»</t>
  </si>
  <si>
    <t>667200.10.01</t>
  </si>
  <si>
    <t>История России. Вызовы эпохи Рюриковичей: Уч.пос. / М.В.Жеребкин - М.:Вуз.уч.,НИЦ ИНФРА-М,2026 - 356 с.(П)</t>
  </si>
  <si>
    <t>ИСТОРИЯ РОССИИ. ВЫЗОВЫ ЭПОХИ РЮРИКОВИЧЕЙ, ИЗД.1</t>
  </si>
  <si>
    <t>Крымский федеральный университет 100 лет</t>
  </si>
  <si>
    <t>978-5-9558-0601-3</t>
  </si>
  <si>
    <t>Рекомендовано в качестве учебного пособия для студентов высших учебных заведений, обучающихся по направлению подготовки 46.03.01«История» (квалификация (степень) «бакалавр»)</t>
  </si>
  <si>
    <t>658020.08.01</t>
  </si>
  <si>
    <t>История России: Уч. / Б.Н.Земцов - 2 изд. - М.:НИЦ ИНФРА-М,2026 - 584 с.(ВО)(п)</t>
  </si>
  <si>
    <t>ИСТОРИЯ РОССИИ, ИЗД.2</t>
  </si>
  <si>
    <t>Земцов Б.Н., Шубин А.В., Данилевский И.Н.</t>
  </si>
  <si>
    <t>978-5-16-018656-6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</si>
  <si>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6 от 16.06.2021)</t>
  </si>
  <si>
    <t>003347.32.01</t>
  </si>
  <si>
    <t>История России: Уч. / Ш.М. Мунчаев - 7 изд. - М.: Юр.Норма:НИЦ ИНФРА-М,2026 - 512 с. (п)</t>
  </si>
  <si>
    <t>ИСТОРИЯ РОССИИ, ИЗД.7</t>
  </si>
  <si>
    <t>Мунчаев Ш.М.</t>
  </si>
  <si>
    <t>978-5-91768-930-2</t>
  </si>
  <si>
    <t>00.03.04, 00.05.04, 05.03.06, 09.03.01, 18.03.01, 19.03.01, 23.03.02, 24.03.03, 35.03.08, 38.03.01, 40.03.01, 41.03.01, 41.03.04, 41.03.05, 41.03.06, 43.03.01, 43.03.02, 44.03.01, 44.03.05, 44.05.01, 45.05.01, 46.03.01, 46.03.03, 46.04.01, 50.03.03</t>
  </si>
  <si>
    <t>0718</t>
  </si>
  <si>
    <t>126550.13.01</t>
  </si>
  <si>
    <t>История России:Уч.практ.пос. / Е.И.Нестеренко - М.:НИЦ ИНФРА-М,2027. - 296 с.(ВО)(п)</t>
  </si>
  <si>
    <t>ИСТОРИЯ РОССИИ, ИЗД.1</t>
  </si>
  <si>
    <t>Нестеренко Е. И., Петухова Н. Е., Пляйс Я. А.</t>
  </si>
  <si>
    <t>978-5-16-021912-7</t>
  </si>
  <si>
    <t>Рекомендовано УМО по образованию в области финансов, учета и мировой экономики в качестве учебно-практического пособия для студентов, обучающихся по специальностям «Бухгалтерский учет, анализ и аудит», «Финансы и кредит», «Мировая экономика» и «Налоги и налогооблажение»</t>
  </si>
  <si>
    <t>846320.04.01</t>
  </si>
  <si>
    <t>История российского казачества: Научно-поп. изд. / Л.О.Терновая - М.:НИЦ ИНФРА-М,2026 - 333 с. [16+](п)</t>
  </si>
  <si>
    <t>ИСТОРИЯ РОССИЙСКОГО КАЗАЧЕСТВА, ИЗД.1</t>
  </si>
  <si>
    <t>978-5-16-020492-5</t>
  </si>
  <si>
    <t>41.03.02, 44.03.01, 44.03.05, 46.03.01, 46.04.01</t>
  </si>
  <si>
    <t>765470.02.01</t>
  </si>
  <si>
    <t>История российского казачества: Уч. / Л.О.Терновая - М.:НИЦ ИНФРА-М,2026. - 346 с.(ВО)(п)</t>
  </si>
  <si>
    <t>978-5-16-017202-6</t>
  </si>
  <si>
    <t>868845.01.01</t>
  </si>
  <si>
    <t>История российского туризма (IX-XX вв.): Науч.-популяр. изд. / А.А.Иванов - М.:НИЦ ИНФРА-М,2026. - 316 с. [16+](п)</t>
  </si>
  <si>
    <t>ИСТОРИЯ РОССИЙСКОГО ТУРИЗМА (IX-XX ВВ.), ИЗД.1</t>
  </si>
  <si>
    <t>978-5-16-021545-7</t>
  </si>
  <si>
    <t>148200.10.01</t>
  </si>
  <si>
    <t>История российского туризма (IX-XX вв.): Уч.пос. / А.А.Иванов - М.:Форум, НИЦ ИНФРА-М,2025 - 320 с.(ВО)(П)</t>
  </si>
  <si>
    <t>978-5-00091-760-2</t>
  </si>
  <si>
    <t>Рекомендовано в качестве учебного пособия для студентов высших учебных заведений, обучающихся по направлению подготовки 43.03.02 «Туризм» (квалификация (степень) «бакалавр»)</t>
  </si>
  <si>
    <t>682943.03.01</t>
  </si>
  <si>
    <t>История российского туризма (IX-XX вв.): Уч.пос. / А.А.Иванов - М.:Форум, НИЦ ИНФРА-М,2025 - 320 с.(СПО)(П)</t>
  </si>
  <si>
    <t>978-5-00091-548-6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</si>
  <si>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43.02.10 «Туризм», 43.02.11 «Гостиничный сервис» (протокол № 10 от 27.05.2019)</t>
  </si>
  <si>
    <t>682944.09.01</t>
  </si>
  <si>
    <t>История рус. культуры IX-нач.XXIв.: Уч.пос. / Под ред.Кошмана Л.В - 5 изд. - М.:НИЦ ИНФРА-М,2026 - 432 с.(СПО)</t>
  </si>
  <si>
    <t>ИСТОРИЯ РУССКОЙ КУЛЬТУРЫ IX - НАЧАЛА XXI ВЕКА, ИЗД.5</t>
  </si>
  <si>
    <t>Кошман Л.В., Сысоева Е.К., Зезина М.Р. и др.</t>
  </si>
  <si>
    <t>978-5-16-013948-7</t>
  </si>
  <si>
    <t>35.01.28, 42.02.01, 43.02.02, 44.02.01, 44.02.02, 44.02.03, 44.02.05, 44.02.06, 50.02.01, 51.02.01, 51.02.02, 51.02.03, 52.02.03, 52.02.04, 52.02.05, 54.02.01, 54.02.06, 54.02.08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</si>
  <si>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44.02.06 «Профессиональное обучение (по отраслям)», 50.02.01 «Мировая художественная культура», 51.02.01 «Народное художественное творчество (по видам)», 51.02.02 «Социально-культурная деятельность (по видам)», 51.02.03 «Библиотековедение»</t>
  </si>
  <si>
    <t>868841.01.01</t>
  </si>
  <si>
    <t>История рус. лит. XX в.: Науч.-популяр. изд. / О.Ю.Осьмухина. - М.:НИЦ ИНФРА-М,2026. - 542 с.[16+](п)</t>
  </si>
  <si>
    <t>ИСТОРИЯ РУССКОЙ ЛИТЕРАТУРЫ XX ВЕКА, ИЗД.1</t>
  </si>
  <si>
    <t>Осьмухина О.Ю., Гудкова С.П., Шаронова Е.А. и др.</t>
  </si>
  <si>
    <t>978-5-16-021540-2</t>
  </si>
  <si>
    <t>795605.03.01</t>
  </si>
  <si>
    <t>История рус. лит. XX в.: Уч. / О.Ю.Осьмухина - М.:НИЦ ИНФРА-М,2026. - 544 с.:доп.мат. (электр.рес.)(ВО)(п)</t>
  </si>
  <si>
    <t>978-5-16-019061-7</t>
  </si>
  <si>
    <t>44.03.01, 44.03.04, 44.03.05, 44.04.01, 44.04.04, 45.03.01</t>
  </si>
  <si>
    <t>764640.03.01</t>
  </si>
  <si>
    <t>История рус. лит. конца XIX - нач. ХХ в. Серебр. век.: Уч. / В.А.Мескин - М.:НИЦ ИНФРА-М,2026. - 410 с.(ВО)(п)</t>
  </si>
  <si>
    <t>ИСТОРИЯ РУССКОЙ ЛИТЕРАТУРЫ КОНЦА XIX - НАЧАЛА ХХ ВЕКА. СЕРЕБРЯНЫЙ ВЕК., ИЗД.1</t>
  </si>
  <si>
    <t>Мескин В.А.</t>
  </si>
  <si>
    <t>978-5-16-018045-8</t>
  </si>
  <si>
    <t>44.03.05, 45.03.01</t>
  </si>
  <si>
    <t>662719.08.01</t>
  </si>
  <si>
    <t>История рус. лит.: от Средневековья до эпохи..: Уч. / Под ред. Мескина В.А. - М.:НИЦ ИНФРА-М,2026. - 300 с.(П)</t>
  </si>
  <si>
    <t>ИСТОРИЯ РУССКОЙ ЛИТЕРАТУРЫ: ОТ СРЕДНЕВЕКОВЬЯ ДО ЭПОХИ МОДЕРНИЗМА (ПРОПЕДЕВТИЧЕСКИЙ КУРС), ИЗД.1</t>
  </si>
  <si>
    <t>Мескин В.А., Гаврильченко О.В., Городилова Н.И. и др.</t>
  </si>
  <si>
    <t>978-5-16-015805-1</t>
  </si>
  <si>
    <t>44.03.01, 44.03.02, 44.03.04, 44.03.05, 50.03.01, 51.03.01, 51.03.02, 51.03.03, 51.03.04, 51.03.05, 51.03.06, 52.03.04, 52.03.05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</si>
  <si>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нефилологическим направлениям подготовки (квалификация (степень) «бакалавр») (протокол № 8 от 22.06.2020)</t>
  </si>
  <si>
    <t>868846.01.01</t>
  </si>
  <si>
    <t>История рус. материальной культуры / Л.В.Беловинский, - 2 изд. - М.:НИЦ ИНФРА-М,2026. - 512 с.(п)</t>
  </si>
  <si>
    <t>ИСТОРИЯ РУССКОЙ МАТЕРИАЛЬНОЙ КУЛЬТУРЫ, ИЗД.2</t>
  </si>
  <si>
    <t>Беловинский Л.В.</t>
  </si>
  <si>
    <t>978-5-16-021546-4</t>
  </si>
  <si>
    <t>08.02.08, 46.03.03, 50.03.01, 51.03.01, 51.03.04, 51.04.01</t>
  </si>
  <si>
    <t>377700.10.01</t>
  </si>
  <si>
    <t>История рус. материальной культуры: Уч.пос. / Л.В.Беловинский - 2 изд. - М.:Форум, НИЦ ИНФРА-М,2026 - 512 с.(ВО)(П)</t>
  </si>
  <si>
    <t>978-5-00091-809-8</t>
  </si>
  <si>
    <t>00.03.05, 00.05.05, 44.03.05, 50.03.03, 50.04.03, 51.03.01, 51.03.02, 51.03.03, 51.03.04</t>
  </si>
  <si>
    <t>Учебное пособие для студентов высших учебных заведений, обучающихся по направлению подготовки «Музеология и охрана объектов культурного и природного наследия»</t>
  </si>
  <si>
    <t>868843.01.01</t>
  </si>
  <si>
    <t>История русского лит. яз.: Языковое существ. России X-XXI в.... / Н.В.Халина - М.:НИЦ ИНФРА-М,2026. - 362 с.(п)</t>
  </si>
  <si>
    <t>ИСТОРИЯ РУССКОГО ЛИТЕРАТУРНОГО ЯЗЫКА: ЯЗЫКОВОЕ СУЩЕСТВОВАНИЕ РОССИИ X—XXI ВЕКОВ, ИЗД.1</t>
  </si>
  <si>
    <t>Халина Н.В.</t>
  </si>
  <si>
    <t>978-5-16-021542-6</t>
  </si>
  <si>
    <t>45.04.01, 45.04.03, 45.06.01</t>
  </si>
  <si>
    <t>Всероссийский (с международным участием) конкурс учебно-методических, учебных и научных работ "Добросвет"-2025, Победитель, III место</t>
  </si>
  <si>
    <t>808629.02.01</t>
  </si>
  <si>
    <t>История русского литературного языка...: Моногр./ Н.В.Халина - М.:НИЦ ИНФРА-М,2026. - 362 с.(Науч.мысль)(п)</t>
  </si>
  <si>
    <t>ИСТОРИЯ РУССКОГО ЛИТЕРАТУРНОГО ЯЗЫКА: ЯЗЫКОВОЕ СУЩЕСТВОВАНИЕ РОССИИ X-XXI ВЕКОВ, ИЗД.1</t>
  </si>
  <si>
    <t>978-5-16-018878-2</t>
  </si>
  <si>
    <t>208600.12.01</t>
  </si>
  <si>
    <t>История русской культуры IX - начала XXI в.: Уч. пос. / Л.В.Кошман - 5 изд. - ИНФРА-М, 2026 - 432 с.(ВО)</t>
  </si>
  <si>
    <t>Кошман Л. В., Сысоева Е. К., Зезина М. Р., Шульгин В. С.</t>
  </si>
  <si>
    <t>978-5-16-006060-6</t>
  </si>
  <si>
    <t>42.03.04, 45.03.01, 46.03.01, 50.03.01, 50.03.03, 50.03.04, 51.03.01, 51.03.02, 51.03.03, 51.03.04, 51.04.01</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</si>
  <si>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030600 «История»</t>
  </si>
  <si>
    <t>0514</t>
  </si>
  <si>
    <t>345400.11.01</t>
  </si>
  <si>
    <t>История русской культуры: Уч.пос. / Н.В.Синявина - М.:НИЦ ИНФРА-М,2026. - 316 с.-(ВО)(П)</t>
  </si>
  <si>
    <t>ИСТОРИЯ РУССКОЙ КУЛЬТУРЫ, ИЗД.1</t>
  </si>
  <si>
    <t>Синявина Н.В.</t>
  </si>
  <si>
    <t>978-5-16-020587-8</t>
  </si>
  <si>
    <t>51.03.01, 51.03.02</t>
  </si>
  <si>
    <t>Рекомендовано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t>
  </si>
  <si>
    <t>868844.01.01</t>
  </si>
  <si>
    <t>История русской лит. XX--XXI вв. / В.Д.Серафимова, - 3 изд. - М.:НИЦ ИНФРА-М,2026. -  517 с.[16+](п)</t>
  </si>
  <si>
    <t>ИСТОРИЯ РУССКОЙ ЛИТЕРАТУРЫ XX--XXI ВЕКОВ, ИЗД.3</t>
  </si>
  <si>
    <t>Серафимова В.Д.</t>
  </si>
  <si>
    <t>978-5-16-021543-3</t>
  </si>
  <si>
    <t>42.03.04, 50.03.01, 52.03.06, 52.05.02, 55.05.01, 55.05.04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</si>
  <si>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гуманитарным направлениям подготовки (квалификация (степень) «бакалавр») (протокол № 6 от 08.06.2022)</t>
  </si>
  <si>
    <t>200900.07.01</t>
  </si>
  <si>
    <t>История русской литературы XX в.: Уч. / В.Д.Серафимова -М.:НИЦ ИНФРА-М,2021.-540 с(ВО: Бакалавр.)(П)</t>
  </si>
  <si>
    <t>Серафимова В. Д.</t>
  </si>
  <si>
    <t>978-5-16-005635-7</t>
  </si>
  <si>
    <t>200900.10.01</t>
  </si>
  <si>
    <t>История русской литературы XX--XXI в.: Уч. / В.Д.Серафимова - 2 изд. -М.:НИЦ ИНФРА-М,2022 - 547с.(ВО: Бакалавр.)(П)</t>
  </si>
  <si>
    <t>ИСТОРИЯ РУССКОЙ ЛИТЕРАТУРЫ XX--XXI ВЕКОВ, ИЗД.2</t>
  </si>
  <si>
    <t>978-5-16-016408-3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</si>
  <si>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гуманитарным направлениям подготовки (квалификация (степень) «бакалавр») (протокол № 9 от 28.09.2020)</t>
  </si>
  <si>
    <t>200900.18.01</t>
  </si>
  <si>
    <t>История русской литературы XX--XXI в.: Уч. / В.Д.Серафимова, - 3 изд. - М.:НИЦ ИНФРА-М,2026. - 547 с.(П)</t>
  </si>
  <si>
    <t>978-5-16-018639-9</t>
  </si>
  <si>
    <t>682945.05.01</t>
  </si>
  <si>
    <t>История русской материальной культуры: Уч.пос. / Л.В.Беловинский, - 2 изд. - М.:НИЦ ИНФРА-М,2026. - 512 с.(п)</t>
  </si>
  <si>
    <t>978-5-16-021431-3</t>
  </si>
  <si>
    <t>42.02.01, 43.02.02, 44.02.02, 44.02.03, 44.02.05, 44.02.06, 50.02.01, 51.02.01, 51.02.02, 51.02.03, 52.02.03, 52.02.04, 52.02.05, 54.02.01, 54.02.06, 54.02.08</t>
  </si>
  <si>
    <t>217600.08.01</t>
  </si>
  <si>
    <t>История русской философии: Уч. / Под общ. ред. М.А.Маслина - 3 изд. - М.:НИЦ ИНФРА-М, 2024-640с.(ВО) (п)</t>
  </si>
  <si>
    <t>ИСТОРИЯ РУССКОЙ ФИЛОСОФИИ, ИЗД.3</t>
  </si>
  <si>
    <t>Маслин М. А.</t>
  </si>
  <si>
    <t>978-5-16-006923-4</t>
  </si>
  <si>
    <t>Рекомендовано Учебно-методическим советом по философии, политологии и религиоведению Учебно-методического объединения по классическому университетскому образованию в качестве учебника для студентов высших учебных заведений</t>
  </si>
  <si>
    <t>450050.09.01</t>
  </si>
  <si>
    <t>История русской эконом.мысли в ХХ в.: Моногр. / К.А.Смирнов - М.:НИЦ ИНФРА-М,2024 - 263 с.(Науч.мысль)(о)</t>
  </si>
  <si>
    <t>ИСТОРИЯ РУССКОЙ ЭКОНОМИЧЕСКОЙ МЫСЛИ В ХХ ВЕКЕ, ИЗД.1</t>
  </si>
  <si>
    <t>Смирнов К.А., Братищев И.М., Братищева Р.В. и др.</t>
  </si>
  <si>
    <t>978-5-16-009796-1</t>
  </si>
  <si>
    <t>236500.13.01</t>
  </si>
  <si>
    <t>История семьи в истории Отечества: Уч.пос. / И.Н.Извеков - М.:НИЦ ИНФРА-М,2026 - 169 с.-(ВО.)(п)</t>
  </si>
  <si>
    <t>ИСТОРИЯ СЕМЬИ В ИСТОРИИ ОТЕЧЕСТВА: ГЕНЕАЛОГИЯ В УЧЕБНОМ ПРОЦЕССЕ ВЫСШЕЙ ШКОЛЫ, ИЗД.1</t>
  </si>
  <si>
    <t>Извеков И.Н.</t>
  </si>
  <si>
    <t>978-5-16-020897-8</t>
  </si>
  <si>
    <t>682946.04.01</t>
  </si>
  <si>
    <t>История сервиса: Уч.пос. / В.Э.Багдасарян и др. - 2 изд. - М.:НИЦ ИНФРА-М,2023 - 337 с.-(СПО</t>
  </si>
  <si>
    <t>ИСТОРИЯ СЕРВИСА, ИЗД.2</t>
  </si>
  <si>
    <t>Багдасарян В.Э., Орлов И.Б., Катагощина М.В. и др.</t>
  </si>
  <si>
    <t>978-5-16-013950-0</t>
  </si>
  <si>
    <t>08.02.14, 43.01.11, 43.02.01, 43.02.02, 43.02.04, 43.02.06, 43.02.07, 43.02.09, 43.02.11, 43.02.16, 43.02.17</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</si>
  <si>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43.02.06 «Сервис на транспорте (по видам транспорта)», 43.02.08 «Сервис домашнего и коммунального хозяйства», 43.02.09 «Ритуальный сервис», 43.02.10 «Туризм», 43.02.11 «Гостиничный сервис»</t>
  </si>
  <si>
    <t>651754.05.01</t>
  </si>
  <si>
    <t>История сервиса: Уч.пос. / В.Э.Багдасарян и др., - 2 изд.-М.:НИЦ ИНФРА-М,2024-337 с.(ВО: Бакалавриат)(п)</t>
  </si>
  <si>
    <t>978-5-16-012845-0</t>
  </si>
  <si>
    <t>43.03.01, 43.04.01</t>
  </si>
  <si>
    <t>Рекомендовано в качестве учебного пособия для студентов высших учебных заведений, обучающихся по направлениям подготовки 43.03.01«Сервис», 46.03.01 «История» (квалификация (степень) «бакалавр»)</t>
  </si>
  <si>
    <t>315500.07.01</t>
  </si>
  <si>
    <t>История Сов.государства: становление, развитие.../ Ш.М.Мунчаев - М.:Юр.Норма, НИЦ ИНФРА-М,2026 - 304 с.(П)</t>
  </si>
  <si>
    <t>ИСТОРИЯ СОВЕТСКОГО ГОСУДАРСТВА: СТАНОВЛЕНИЕ, РАЗВИТИЕ, ПАДЕНИЕ, ИЗД.1</t>
  </si>
  <si>
    <t>978-5-91768-849-7</t>
  </si>
  <si>
    <t>035600.11.01</t>
  </si>
  <si>
    <t>История Советского государства / Ш.М. Мунчаев, В.М. Устинов. - 2 изд. - М.: НОРМА, 2024-720с. (п)</t>
  </si>
  <si>
    <t>ИСТОРИЯ СОВЕТСКОГО ГОСУДАРСТВА, ИЗД.2</t>
  </si>
  <si>
    <t>Мунчаев Ш. М., Устинов В. М.</t>
  </si>
  <si>
    <t>821672.01.01</t>
  </si>
  <si>
    <t>История создания и развития национальных парков в США: Моногр./ Т.В.Алентьева-М.:НИЦ ИНФРА-М,2025-382 с.(п)</t>
  </si>
  <si>
    <t>ИСТОРИЯ СОЗДАНИЯ И РАЗВИТИЯ НАЦИОНАЛЬНЫХ ПАРКОВ В США, ИЗД.1</t>
  </si>
  <si>
    <t>Алентьева Т.В., Малина В.В.</t>
  </si>
  <si>
    <t>978-5-16-019678-7</t>
  </si>
  <si>
    <t>05.03.02, 05.04.06, 05.06.01, 06.04.01, 06.06.01, 35.04.09, 51.03.01, 51.04.04, 51.06.01</t>
  </si>
  <si>
    <t>175250.09.01</t>
  </si>
  <si>
    <t>История соц. философии. Курс лекций: Уч. пос. / Д.Э.Гаспарян - М.:НИЦ ИНФРА-М, 2027 - 166 с. (п)</t>
  </si>
  <si>
    <t>ИСТОРИЯ СОЦИАЛЬНОЙ ФИЛОСОФИИ. КУРС ЛЕКЦИЙ, ИЗД.1</t>
  </si>
  <si>
    <t>Гаспарян Д. Э.</t>
  </si>
  <si>
    <t>978-5-16-022339-1</t>
  </si>
  <si>
    <t>44.03.05, 46.03.01, 46.04.01, 47.03.01, 47.04.01</t>
  </si>
  <si>
    <t>683167.02.01</t>
  </si>
  <si>
    <t>История социальной работы: Уч.пос. / В.Д.Ширшов - М.:НИЦ ИНФРА-М,2023 - 269 с.-(ВО: Бакалавр.)(П)</t>
  </si>
  <si>
    <t>ИСТОРИЯ СОЦИАЛЬНОЙ РАБОТЫ, ИЗД.1</t>
  </si>
  <si>
    <t>978-5-16-014540-2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</si>
  <si>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39.03.02 «Социальная работа» (квалификация (степень) «бакалавр») (протокол № 18 от 25.11.2019)</t>
  </si>
  <si>
    <t>842050.01.01</t>
  </si>
  <si>
    <t>История социальной работы: Уч.пос. / В.Д.Ширшов - М.:НИЦ ИНФРА-М,2025. - 269 с.(СПО)(п)</t>
  </si>
  <si>
    <t>978-5-16-020304-1</t>
  </si>
  <si>
    <t>39.02.01</t>
  </si>
  <si>
    <t>475300.06.01</t>
  </si>
  <si>
    <t>История социальной работы: Уч.пос. / Ю.А.Шестаков - М.:ИЦ РИОР,НИЦ ИНФРА-М,2025 - 176 с.(ВО:Бакалавр.)(п)</t>
  </si>
  <si>
    <t>978-5-369-01510-0</t>
  </si>
  <si>
    <t>407100.10.01</t>
  </si>
  <si>
    <t>История социологии: Уч. / Е.И.Кукушкина - 2 изд. - М.: НИЦ Инфра-М, 2026 - 464с.(ВО: Бакалавриат) (п)</t>
  </si>
  <si>
    <t>ИСТОРИЯ СОЦИОЛОГИИ, ИЗД.2</t>
  </si>
  <si>
    <t>Кукушкина Е. И.</t>
  </si>
  <si>
    <t>978-5-16-005124-6</t>
  </si>
  <si>
    <t>39.03.01, 39.03.02, 39.03.03</t>
  </si>
  <si>
    <t>Рекомендовано УМО по классическому университетскому образованию в качестве учебника для студентов, обучающихся по направлению подготовки и специальности 020300 «Социология»</t>
  </si>
  <si>
    <t>120400.09.01</t>
  </si>
  <si>
    <t>История социологии: Уч. для вузов / Отв. ред. Г.В.Осипов - М.: Юр.Норма,НИЦ ИНФРА-М,2024.-1104 с.(П)</t>
  </si>
  <si>
    <t>ИСТОРИЯ СОЦИОЛОГИИ, ИЗД.1</t>
  </si>
  <si>
    <t>Осипов Г.В., Култыгин В.П.</t>
  </si>
  <si>
    <t>978-5-91768-007-1</t>
  </si>
  <si>
    <t>488950.06.01</t>
  </si>
  <si>
    <t>История социологии: Уч.пос. / В.В.Афанасьев - М.:НИЦ ИНФРА-М,2025 - 284 с.(ВО:Бакалавриат)(п)</t>
  </si>
  <si>
    <t>978-5-16-010699-1</t>
  </si>
  <si>
    <t>39.03.01, 44.03.01, 44.03.05</t>
  </si>
  <si>
    <t>231500.04.01</t>
  </si>
  <si>
    <t>История среднегерман. земель в док. XIV-XVI в.: Уч.пос. / В.А.Чиркин - М.:НИЦ ИНФРА-М,2027. - 269 с.(п)</t>
  </si>
  <si>
    <t>ИСТОРИЯ СРЕДНЕГЕРМАНСКИХ ЗЕМЕЛЬ В ДОКУМЕНТАХ XIV-XVI ВЕКОВ: ОТ СРЕДНЕВЕКОВЬЯ К РАННЕМУ НОВОМУ, ИЗД.1</t>
  </si>
  <si>
    <t>Чиркин В.А.</t>
  </si>
  <si>
    <t>978-5-16-009078-8</t>
  </si>
  <si>
    <t>Удмуртский государственный университет</t>
  </si>
  <si>
    <t>823416.02.01</t>
  </si>
  <si>
    <t>История становления российской криминалистики: Моногр. / А.А.Бессонов - М.:НИЦ ИНФРА-М,2026 - 393 с.(п)</t>
  </si>
  <si>
    <t>ИСТОРИЯ СТАНОВЛЕНИЯ РОССИЙСКОЙ КРИМИНАЛИСТИКИ, ИЗД.1</t>
  </si>
  <si>
    <t>Бессонов А.А., Трунцевский Ю.В., Шмонин А.В.</t>
  </si>
  <si>
    <t>978-5-16-019784-5</t>
  </si>
  <si>
    <t>460400.14.01</t>
  </si>
  <si>
    <t>История суда и правосудие: Моногр.: В 9 т.Т.1: Законод. / С.А.Колунтаев - М.:Юр.Норма,НИЦ ИНФРА-М,2026 - 640 с.(П)</t>
  </si>
  <si>
    <t>ИСТОРИЯ СУДА И ПРАВОСУДИЯ В РОССИИ. В 9 Т., ИЗД.1</t>
  </si>
  <si>
    <t>Колунтаев С.А., Сырых В.М., Ершов В.В.</t>
  </si>
  <si>
    <t>978-5-91768-688-2</t>
  </si>
  <si>
    <t>40.02.04, 40.03.01, 40.04.01, 40.05.02, 40.06.01</t>
  </si>
  <si>
    <t>708107.06.01</t>
  </si>
  <si>
    <t>История суда и правосудия в России. Т.4:Судоустройство../К.П.Краковский-М.:Юр.Норма, НИЦ ИНФРА-М,2026-672с(П)</t>
  </si>
  <si>
    <t>ИСТОРИЯ СУДА И ПРАВОСУДИЯ В РОССИИ. ТОМ 4. СУДОУСТРОЙСТВО И СУДОПРОИЗВОДСТВО В РОССИИ ПЕРИОДА СУДЕБНЫХ РЕФОРМ (1864-1881ГГ.), Т.4</t>
  </si>
  <si>
    <t>Краковский К.П.</t>
  </si>
  <si>
    <t>978-5-91768-734-6</t>
  </si>
  <si>
    <t>40.04.01, 40.05.01, 40.05.04, 40.06.01</t>
  </si>
  <si>
    <t>789531.03.01</t>
  </si>
  <si>
    <t>История суда и правосудия в России. Т.8 / Отв.ред.В.В.Ершов-М.:Юр. НОРМА, НИЦ ИНФРА-М,2026.-448 с.(П)</t>
  </si>
  <si>
    <t>ИСТОРИЯ СУДА И ПРАВОСУДИЯ В РОССИИ. Т.8, Т.8</t>
  </si>
  <si>
    <t>Ершов В.В., Аулов В.К., Бурдина Е.В. и др.</t>
  </si>
  <si>
    <t>978-5-00156-268-9</t>
  </si>
  <si>
    <t>40.03.01, 40.04.01, 40.05.03, 40.05.04</t>
  </si>
  <si>
    <t>665680.07.01</t>
  </si>
  <si>
    <t>История суда и правосудия в России: Т.2: Моногр. / В.М.Сырых - М.:Юр.Норма, НИЦ ИНФРА-М,2026. - 688 с.(П)</t>
  </si>
  <si>
    <t>ИСТОРИЯ СУДА И ПРАВОСУДИЯ В РОССИИ, ТОМ 2, Т.2</t>
  </si>
  <si>
    <t>978-5-91768-856-5</t>
  </si>
  <si>
    <t>693973.04.01</t>
  </si>
  <si>
    <t>История суда и правосудия в России: Т.3: Моногр. - М.: Юр. Норма, НИЦ ИНФРА-М,2024 - 672 с.(П)</t>
  </si>
  <si>
    <t>ИСТОРИЯ СУДА И ПРАВОСУДИЯ В РОССИИ. Т. 3, ИЗД.1</t>
  </si>
  <si>
    <t>978-5-91768-972-2</t>
  </si>
  <si>
    <t>741190.06.01</t>
  </si>
  <si>
    <t>История суда и правосудия в России: Т.6: Моногр./ В. М. Сырых - М.: Норма, 2024. - 664 с.(П)</t>
  </si>
  <si>
    <t>ИСТОРИЯ СУДА И ПРАВОСУДИЯ В РОССИИ: ТОМ 6, Т.6</t>
  </si>
  <si>
    <t>978-5-00156-086-9</t>
  </si>
  <si>
    <t>754144.05.01</t>
  </si>
  <si>
    <t>История суда и правосудия в России: Т.7: Моногр.  / Сырых В.М. - М.:Юр.Норма, НИЦ ИНФРА-М, 2025 - 688 с.(П)</t>
  </si>
  <si>
    <t>ИСТОРИЯ СУДА И ПРАВОСУДИЯ В РОССИИ, Т.7</t>
  </si>
  <si>
    <t>Сырых В.М., Ершов В.В.</t>
  </si>
  <si>
    <t>978-5-00156-162-0</t>
  </si>
  <si>
    <t>40.03.01, 40.04.01, 40.05.03, 40.05.04, 40.06.01</t>
  </si>
  <si>
    <t>786079.03.01</t>
  </si>
  <si>
    <t>История суда и правосудия в России: Т.9. История конст. прав..: Моногр.-М.:Юр. НОРМА, НИЦ ИНФРА-М,2025-632с.(П)</t>
  </si>
  <si>
    <t>ИСТОРИЯ СУДА И ПРАВОСУДИЯ В РОССИИ. Т.9, Т.9</t>
  </si>
  <si>
    <t>Ершов В., Сырых В.М.</t>
  </si>
  <si>
    <t>978-5-00156-258-0</t>
  </si>
  <si>
    <t>729515.06.01</t>
  </si>
  <si>
    <t>История суда и правосудия в России:Т.5: Моногр. /Отв. ред. В.В.Ершова - М.:Юр.Норма, НИЦ ИНФРА-М,2026.-696 с.(П)</t>
  </si>
  <si>
    <t>ИСТОРИЯ СУДА И ПРАВОСУДИЯ В РОССИИ. ТОМ 5, Т.5</t>
  </si>
  <si>
    <t>Ершов В.В., Сырых В.М., Краковский К.П. и др.</t>
  </si>
  <si>
    <t>978-5-00156-046-3</t>
  </si>
  <si>
    <t>40.02.02, 40.02.04, 40.03.01, 40.04.01</t>
  </si>
  <si>
    <t>871999.01.01</t>
  </si>
  <si>
    <t>История США: от колониальной эры до..: Уч.пос. / А.Ю.Саломатин - М.:ИЦ РИОР, НИЦ ИНФРА-М,2026. - 296 с.(ВО)(п)</t>
  </si>
  <si>
    <t>ИСТОРИЯ США: ОТ КОЛОНИАЛЬНОЙ ЭРЫ ДО СОВРЕМЕННОГО КУЛЬТУРНО-ЦИВИЛИЗАЦИОННОГО РАСКОЛА, ИЗД.1</t>
  </si>
  <si>
    <t>978-5-369-02003-6</t>
  </si>
  <si>
    <t>41.03.01, 41.03.05</t>
  </si>
  <si>
    <t>836215.01.01</t>
  </si>
  <si>
    <t>История таможенного тарифа: Уч. / Г.Г.Мокров - М.:НИЦ ИНФРА-М,2025. -  287 с.(ВО (РЭУ))(п)</t>
  </si>
  <si>
    <t>ИСТОРИЯ ТАМОЖЕННОГО ТАРИФА, ИЗД.1</t>
  </si>
  <si>
    <t>Мокров Г.Г.</t>
  </si>
  <si>
    <t>978-5-16-020221-1</t>
  </si>
  <si>
    <t>073200.10.01</t>
  </si>
  <si>
    <t>История торговли: Уч.пос. / Л.В.Орленко - М.:НИЦ ИНФРА-М,2024 - 351 с.(ВО: Бакалавриат)(П)</t>
  </si>
  <si>
    <t>ИСТОРИЯ ТОРГОВЛИ, ИЗД.1</t>
  </si>
  <si>
    <t>978-5-16-016899-9</t>
  </si>
  <si>
    <t>38.03.06, 38.03.07, 38.04.06, 38.04.07</t>
  </si>
  <si>
    <t>Рекомендовано чебно-методическим объединением по образованию в области товароведения и экспертизы товаров в качестве учебного пособия для студентов, обучающихся по направлению подготовки 38.03.07 «Товароведение»</t>
  </si>
  <si>
    <t>682948.03.01</t>
  </si>
  <si>
    <t>История торговли: Уч.пос. / Л.В.Орленко - М.:НИЦ ИНФРА-М,2024 - 351 с.-(СПО)(П)</t>
  </si>
  <si>
    <t>978-5-16-016900-2</t>
  </si>
  <si>
    <t>38.01.02, 38.02.08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</si>
  <si>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 (протокол № 11 от 09.11.2020)</t>
  </si>
  <si>
    <t>682949.03.01</t>
  </si>
  <si>
    <t>История туризма: Уч.пос. / В.Э.Багдасарян и др. - М.:НИЦ ИНФРА-М,2023 - 190 с.(СПО)(П)</t>
  </si>
  <si>
    <t>ИСТОРИЯ ТУРИЗМА, ИЗД.1</t>
  </si>
  <si>
    <t>Багдасарян В.Э., Орлов И.Б., Попов А.Д.</t>
  </si>
  <si>
    <t>978-5-16-013952-4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</si>
  <si>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43.02.10 «Туризм»</t>
  </si>
  <si>
    <t>648915.08.01</t>
  </si>
  <si>
    <t>История туризма: Уч.пос. / В.Э.Багдасарян и др. - М.:НИЦ ИНФРА-М,2025. - 190 с.-(ВО)(П)</t>
  </si>
  <si>
    <t>978-5-16-020689-9</t>
  </si>
  <si>
    <t>43.03.02, 43.04.02, 46.03.01</t>
  </si>
  <si>
    <t>Рекомендовано в качестве учебного пособия для студентов высших учебных заведений, обучающихся по направлениям подготовки 43.03.02 «Туризм», 46.03.01 «История» (квалификация (степень) «бакалавр»)</t>
  </si>
  <si>
    <t>487600.06.01</t>
  </si>
  <si>
    <t>История управленческой мысли: Уч.пос. / А.Я.Якобсон - М.:ИЦ РИОР, НИЦ ИНФРА-М,2026 - 100 с.-(ВО)(О)</t>
  </si>
  <si>
    <t>ИСТОРИЯ УПРАВЛЕНЧЕСКОЙ МЫСЛИ, ИЗД.1</t>
  </si>
  <si>
    <t>Якобсон А.Я., Бацюн Н.В.</t>
  </si>
  <si>
    <t>978-5-369-01558-2</t>
  </si>
  <si>
    <t>38.03.02, 38.03.03, 38.04.02, 38.04.03, 41.03.06, 44.03.01</t>
  </si>
  <si>
    <t>Рекомендовано УМО РАЕ по классическому университетскому и техническому образованию в качестве учебного пособия для студентов, обучающихся по направлениям подготовки «Менеджмент», «Управление персоналом»</t>
  </si>
  <si>
    <t>Иркутский государственный университет путей сообщения, ф-л Сибирский колледж транспорта и строительства</t>
  </si>
  <si>
    <t>850444.01.01</t>
  </si>
  <si>
    <t>История Урала и Зауралья ХII - нач. XX в. в дореволюц. отечеств... / В.И.Усанов - М.:НИЦ ИНФРА-М,2026.-  333 с.(п)</t>
  </si>
  <si>
    <t>ИСТОРИЯ УРАЛА И ЗАУРАЛЬЯ ХII - НАЧАЛА XX В. В ДОРЕВОЛЮЦИОННОЙ ОТЕЧЕСТВЕННОЙ ИСТОРИОГРАФИИ, ИЗД.1</t>
  </si>
  <si>
    <t>Усанов В.И., Коновалов С.С.</t>
  </si>
  <si>
    <t>978-5-16-020995-1</t>
  </si>
  <si>
    <t>46.04.01, 46.04.02, 46.06.01</t>
  </si>
  <si>
    <t>153700.11.01</t>
  </si>
  <si>
    <t>История философии XIX - нач. XXI в.: Уч. пос. / Г.И.Иконникова - М.: Вуз. уч., 2026 - 304 с.(п)</t>
  </si>
  <si>
    <t>ИСТОРИЯ ФИЛОСОФИИ XIX - НАЧАЛА XXI ВЕКА, ИЗД.1</t>
  </si>
  <si>
    <t>Иконникова Г. И., Иконникова Н. И.</t>
  </si>
  <si>
    <t>978-5-9558-0201-5</t>
  </si>
  <si>
    <t>Рекомендовано РФ Научно-методическим советом по заочному экономическому  образованию в качестве учебного пособия для студентов ВУЗ, обучающихся по нефилософским специальностям</t>
  </si>
  <si>
    <t>419350.06.01</t>
  </si>
  <si>
    <t>История философии второй половины XIX-нач. ХХ в. Избр. гл.: Уч. пос. / Е.В.Фалев - ИНФРА-М, 2025 - 217 с. (п)</t>
  </si>
  <si>
    <t>ИСТОРИЯ ФИЛОСОФИИ ВТОРОЙ ПОЛОВИНЫ XIX - НАЧАЛА ХХ ВЕКА. ИЗБРАННЫЕ ГЛАВЫ, ИЗД.1</t>
  </si>
  <si>
    <t>Фалев Е. В.</t>
  </si>
  <si>
    <t>978-5-16-006533-5</t>
  </si>
  <si>
    <t>40.03.01, 44.03.01, 44.03.05, 47.04.01</t>
  </si>
  <si>
    <t>162000.10.01</t>
  </si>
  <si>
    <t>История философии: Уч. / С.А. Нижников. - М.: ИНФРА-М, 2027. - 336 с.(ВО) (п)</t>
  </si>
  <si>
    <t>ИСТОРИЯ ФИЛОСОФИИ, ИЗД.1</t>
  </si>
  <si>
    <t>Нижников С. А.</t>
  </si>
  <si>
    <t>978-5-16-004929-8</t>
  </si>
  <si>
    <t>669443.05.01</t>
  </si>
  <si>
    <t>История философии: Уч.пос. / В.А.Канке, - 4 изд.-М.:НИЦ ИНФРА-М,2024.-379 с..-(ВО: Бакалавриат)(П)</t>
  </si>
  <si>
    <t>ИСТОРИЯ ФИЛОСОФИИ, ИЗД.4</t>
  </si>
  <si>
    <t>978-5-16-013393-5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</si>
  <si>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47.00.00 «Философия, этика и религиоведение» (квалификация (степень) «бакалавр») (протокол № 10 от 12.10.2020)</t>
  </si>
  <si>
    <t>264200.05.01</t>
  </si>
  <si>
    <t>История экономики зарубежных стран: Уч. пос./В.Н.Савельев-2 изд.-М.:НИЦ ИНФРА-М,2023.-311с.(ВО)(п)</t>
  </si>
  <si>
    <t>ИСТОРИЯ ЭКОНОМИКИ ЗАРУБЕЖНЫХ СТРАН, ИЗД.2</t>
  </si>
  <si>
    <t>В.Н.Савельев</t>
  </si>
  <si>
    <t>978-5-16-009555-4</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</si>
  <si>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38.03.01 "Экономика". профиль подготовки «Мировая эк</t>
  </si>
  <si>
    <t>022380.23.01</t>
  </si>
  <si>
    <t>История экономики: Уч. / Под общ. ред. О.Д.Кузнецовой - 2 изд. - М.: ИНФРА-М, 2027 - 416 с. (ВО) (п)</t>
  </si>
  <si>
    <t>ИСТОРИЯ ЭКОНОМИКИ, ИЗД.2</t>
  </si>
  <si>
    <t>Кузнецова О.Д., Шапкин И.Н., Квасов А.С. и др.</t>
  </si>
  <si>
    <t>978-5-16-003489-8</t>
  </si>
  <si>
    <t>38.03.01, 38.04.01, 38.05.01</t>
  </si>
  <si>
    <t>0204</t>
  </si>
  <si>
    <t>081350.11.01</t>
  </si>
  <si>
    <t>История экономики: Уч.пос. / И.И.Агапова-М.:Магистр, НИЦ ИНФРА-М,2024.-176 с.(О)</t>
  </si>
  <si>
    <t>ИСТОРИЯ ЭКОНОМИКИ, ИЗД.1</t>
  </si>
  <si>
    <t>978-5-9776-0005-7</t>
  </si>
  <si>
    <t>Допущено Министерством образования Российской Федерации</t>
  </si>
  <si>
    <t>080900.11.01</t>
  </si>
  <si>
    <t>История экономических учений: Уч. / С.А.Бартенев, - 2 изд.-М.:Магистр, НИЦ ИНФРА-М,2024.-480 с.(П)</t>
  </si>
  <si>
    <t>ИСТОРИЯ ЭКОНОМИЧЕСКИХ УЧЕНИЙ, ИЗД.2</t>
  </si>
  <si>
    <t>Бартенев С. А.</t>
  </si>
  <si>
    <t>978-5-9776-0001-9</t>
  </si>
  <si>
    <t>Рекомендовано Министерством общего и профессионального образования РФ в качестве учебника для студентов высших учебных заведений, обучающихся по экономическим специальностям и направлениям</t>
  </si>
  <si>
    <t>006143.27.01</t>
  </si>
  <si>
    <t>История экономических учений: Уч. / Я.С.Ядгаров - 4 изд.-М.:НИЦ ИНФРА-М, 2018.-480с(ВО:Бакалавр.)(П)</t>
  </si>
  <si>
    <t>ИСТОРИЯ ЭКОНОМИЧЕСКИХ УЧЕНИЙ, ИЗД.4</t>
  </si>
  <si>
    <t>Ядгаров Я.С.</t>
  </si>
  <si>
    <t>978-5-16-003559-8</t>
  </si>
  <si>
    <t>Рекомендовано Министерством общего и профессионального образования РФ в качестве учебника для студентов вузов, обучающихся по экономическим и управленческим специальностям</t>
  </si>
  <si>
    <t>0403</t>
  </si>
  <si>
    <t>006143.38.01</t>
  </si>
  <si>
    <t>История экономических учений: Уч. / Я.С.Ядгаров - 5 изд. - М.:НИЦ ИНФРА-М,2026 - 475 с.(ВО)(П)</t>
  </si>
  <si>
    <t>ИСТОРИЯ ЭКОНОМИЧЕСКИХ УЧЕНИЙ, ИЗД.5</t>
  </si>
  <si>
    <t>978-5-16-021321-7</t>
  </si>
  <si>
    <t>Рекомендовано Министерством общего  и профессионального образования Российской Федерации в качестве учебника для студентов высших учебных заведений, обучающихся  по экономическим и управленческим специальностям</t>
  </si>
  <si>
    <t>049956.12.01</t>
  </si>
  <si>
    <t>История экономических учений: Уч. пос. / И.И. Агапова. - М.: Магистр, 2023. - 304 с. (п)</t>
  </si>
  <si>
    <t>ИСТОРИЯ ЭКОНОМИЧЕСКИХ УЧЕНИЙ, ИЗД.1</t>
  </si>
  <si>
    <t>978-5-9776-0125-2</t>
  </si>
  <si>
    <t>662867.07.01</t>
  </si>
  <si>
    <t>История экономических учений: Уч.пос. / В.Н.Ковнир - 2 изд. - М.:НИЦ ИНФРА-М,2026 - 596 с.(ВО: Бакалавр.)(П)</t>
  </si>
  <si>
    <t>Ковнир В.Н., Погребинская Е.А., Чурзина И.В.</t>
  </si>
  <si>
    <t>978-5-16-018952-9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</si>
  <si>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5 от 11.05.2022)</t>
  </si>
  <si>
    <t>662867.03.01</t>
  </si>
  <si>
    <t>История экономических учений: Уч.пос. / В.Н.Ковнир -М.:НИЦ ИНФРА-М,2021-578 с.(ВО: Бакалавриат) (П)</t>
  </si>
  <si>
    <t>978-5-16-014404-7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</si>
  <si>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12 от 24.06.2019)</t>
  </si>
  <si>
    <t>057940.18.01</t>
  </si>
  <si>
    <t>История экономических учений: Уч.пос. / М.Г.Покидченко - М.:НИЦ ИНФРА-М,2026. - 271 с.-(ВО)(п)</t>
  </si>
  <si>
    <t>Покидченко М.Г., Чаплыгина И.Г.</t>
  </si>
  <si>
    <t>978-5-16-018661-0</t>
  </si>
  <si>
    <t>Рекомендовано Учебно-методическим объединением по классическому университетскому образованию в качестве учебного пособия для студентов вузов, обучающихся по направлению 38.03.01 «Экономика»</t>
  </si>
  <si>
    <t>768349.04.01</t>
  </si>
  <si>
    <t>История, философия и методология соц.-гуманитар. наук: Уч. / А.М.Орехов - М.:НИЦ ИНФРА-М,2025. - 692 с.(П)</t>
  </si>
  <si>
    <t>ИСТОРИЯ, ФИЛОСОФИЯ И МЕТОДОЛОГИЯ СОЦИАЛЬНО-ГУМАНИТАРНЫХ НАУК, ИЗД.1</t>
  </si>
  <si>
    <t>978-5-16-020708-7</t>
  </si>
  <si>
    <t>47.00.00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</si>
  <si>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социально-гуманитарным специальностям и направлениям подготовки (протокол № 5 от 11.05.2022)</t>
  </si>
  <si>
    <t>717626.07.01</t>
  </si>
  <si>
    <t>История: от древних цивилизаций до конца XX в.: Уч. / А.Б.Оришев - М.:ИЦ РИОР, НИЦ ИНФРА-М,2026 - 276с(П)</t>
  </si>
  <si>
    <t>ИСТОРИЯ: ОТ ДРЕВНИХ ЦИВИЛИЗАЦИЙ ДО КОНЦА XX В., ИЗД.1</t>
  </si>
  <si>
    <t>Оришев А.Б., Тарасенко В.Н.</t>
  </si>
  <si>
    <t>978-5-369-01828-6</t>
  </si>
  <si>
    <t>00.03.04, 00.05.04, 46.04.01</t>
  </si>
  <si>
    <t>724890.05.01</t>
  </si>
  <si>
    <t>История: Уч. / А.Б.Оришев - М.:ИЦ РИОР, НИЦ ИНФРА-М,2026. - 276 с.(СПО)(П)</t>
  </si>
  <si>
    <t>ИСТОРИЯ, ИЗД.1</t>
  </si>
  <si>
    <t>978-5-369-01833-0</t>
  </si>
  <si>
    <t>00.01.03, 00.02.04, 13.02.05</t>
  </si>
  <si>
    <t>162600.24.01</t>
  </si>
  <si>
    <t>История: Уч.пос. / В.В.Касьянов - 2 изд. - М.:НИЦ ИНФРА-М,2026. - 550 с.(СПО)(П)</t>
  </si>
  <si>
    <t>ИСТОРИЯ, ИЗД.2</t>
  </si>
  <si>
    <t>Касьянов В.В., Самыгин П.С., Самыгин С.И. и др.</t>
  </si>
  <si>
    <t>978-5-16-016200-3</t>
  </si>
  <si>
    <t>00.01.03, 00.02.04, 07.02.01, 09.01.03, 13.02.05, 20.02.05, 21.02.09, 24.01.01, 26.02.03, 35.02.09, 35.02.10, 38.02.02, 39.02.01, 40.02.04, 43.01.11, 43.02.15, 44.02.02, 46.02.02, 49.02.01, 49.02.03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</si>
  <si>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на базе основного общего образования (протокол № 9 от 28.09.2020)</t>
  </si>
  <si>
    <t>697189.07.01</t>
  </si>
  <si>
    <t>История: Уч.пос. / Г.А.Трифонова - М.:НИЦ ИНФРА-М,2025 - 649 с.(СПО)(П)</t>
  </si>
  <si>
    <t>Трифонова Г.А., Супрунова Е.П., Пай С.С. и др.</t>
  </si>
  <si>
    <t>978-5-16-014652-2</t>
  </si>
  <si>
    <t>00.01.03, 00.02.04, 27.02.06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</si>
  <si>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8 от 22.06.2020)</t>
  </si>
  <si>
    <t>Дальневосточный государственный технический рыбохозяйственный университет</t>
  </si>
  <si>
    <t>162600.16.01</t>
  </si>
  <si>
    <t>История: Уч.пос. / П.С.Самыгин и др. - М.:НИЦ ИНФРА-М,2020 - 528 с.-(СПО)(П)</t>
  </si>
  <si>
    <t>Самыгин П. С., Самыгин С. И., Шевелев В. Н., Шевелева Е. В.</t>
  </si>
  <si>
    <t>978-5-16-004507-8</t>
  </si>
  <si>
    <t>Рекомендовано в качестве учебного пособия для студентов образовательных учебных заведений, реализующих программы среднего профессионального образования</t>
  </si>
  <si>
    <t>656349.05.01</t>
  </si>
  <si>
    <t>История: Уч.пос./ Ю.А.Шестаков - М.:ИЦ РИОР, НИЦ ИНФРА-М,2025 - 248 с.(ВО)(П)</t>
  </si>
  <si>
    <t>978-5-369-01690-9</t>
  </si>
  <si>
    <t>785107.04.01</t>
  </si>
  <si>
    <t>Источники и формы права в совр. финанс.-правовой науке / Под ред. Пешкова Х.В. - М.:НИЦ ИНФРА-М,2026 - 380 с.(п)</t>
  </si>
  <si>
    <t>ИСТОЧНИКИ И ФОРМЫ ПРАВА В СОВРЕМЕННОЙ ФИНАНСОВО-ПРАВОВОЙ НАУКЕ, ИЗД.1</t>
  </si>
  <si>
    <t>Белогорцева Х.В., Мирошник С.В., Запольский С.В. и др.</t>
  </si>
  <si>
    <t>978-5-16-017935-3</t>
  </si>
  <si>
    <t>38.04.09, 40.04.01, 40.06.01</t>
  </si>
  <si>
    <t>767673.02.01</t>
  </si>
  <si>
    <t>Источники и формы совр. рос. права: Монография / А.Н.Чашин-М.:НИЦ ИНФРА-М,2023.-452 с(П)</t>
  </si>
  <si>
    <t>ИСТОЧНИКИ И ФОРМЫ СОВРЕМЕННОГО РОССИЙСКОГО ПРАВА, ИЗД.1</t>
  </si>
  <si>
    <t>Чашин А.Н.</t>
  </si>
  <si>
    <t>978-5-16-017467-9</t>
  </si>
  <si>
    <t>38.05.01, 40.03.01, 40.04.01, 40.05.01, 40.05.02, 40.05.03, 40.05.04, 40.06.01</t>
  </si>
  <si>
    <t>Северо-Восточный государственный университет</t>
  </si>
  <si>
    <t>693949.02.01</t>
  </si>
  <si>
    <t>Источники изучения международных отношений...: Моногр./ Л.О.Терновая-М.:НИЦ ИНФРА-М,2022-341с.(Науч.мысль)(П)</t>
  </si>
  <si>
    <t>ИСТОЧНИКИ ИЗУЧЕНИЯ МЕЖДУНАРОДНЫХ ОТНОШЕНИЙ: ПРОЕКЦИЯ  ВО ВРЕМЕНИ И ВЕЧНОСТИ, ИЗД.1</t>
  </si>
  <si>
    <t>978-5-16-014519-8</t>
  </si>
  <si>
    <t>266900.10.01</t>
  </si>
  <si>
    <t>Источники права: Уч. пос./ М.Н. Марченко. - 2 изд. - М.: Норма: ИНФРА-М, 2026. - 672 с. (п)</t>
  </si>
  <si>
    <t>ИСТОЧНИКИ ПРАВА, ИЗД.2</t>
  </si>
  <si>
    <t>Марченко М.Н.</t>
  </si>
  <si>
    <t>40.03.01, 40.04.01, 40.05.01, 40.05.02, 40.05.03, 40.05.04, 41.03.01, 41.03.06, 44.03.05, 40.03.02</t>
  </si>
  <si>
    <t>Рекомендовано Учебно-методическим объединением по юридическому образованию высших учебных заведений в качестве учебного пособия для студентов высших учебных заведений, обучающихся по направлению «Юриспруденция» и специальности «Юриспруденция»</t>
  </si>
  <si>
    <t>796506.05.01</t>
  </si>
  <si>
    <t>Источники экологического права: Моногр. / В.Б.Агафонов и др. - М.:НИЦ ИНФРА-М,2026. - 344 с.(ИЗиСП)(п)</t>
  </si>
  <si>
    <t>ИСТОЧНИКИ ЭКОЛОГИЧЕСКОГО ПРАВА, ИЗД.1</t>
  </si>
  <si>
    <t>Агафонов В.Б., Боголюбов С.А., Васильева Л.Н. и др.</t>
  </si>
  <si>
    <t>978-5-16-018141-7</t>
  </si>
  <si>
    <t>20.04.01, 20.04.02, 20.06.01, 40.04.01, 40.05.01, 40.05.02, 40.05.04, 40.06.01</t>
  </si>
  <si>
    <t>170300.12.01</t>
  </si>
  <si>
    <t>Источники электропитания: Уч.пос. / А.В.Васильков - М.:Форум,2026. - 400 с.(СПО)(П)</t>
  </si>
  <si>
    <t>ИСТОЧНИКИ ЭЛЕКТРОПИТАНИЯ, ИЗД.1</t>
  </si>
  <si>
    <t>Васильков А. В., Васильков И. А.</t>
  </si>
  <si>
    <t>978-5-91134-436-8</t>
  </si>
  <si>
    <t>10.02.02, 11.02.15, 13.02.07, 13.02.12, 13.02.13, 15.02.09, 15.02.10</t>
  </si>
  <si>
    <t>160050.13.01</t>
  </si>
  <si>
    <t>Источниковедение новой и новейшей истории...: Уч.пос. / И.В.Григорьева - М.:НИЦ ИНФРА-М,2026. - 287 с.(ВО)(П)</t>
  </si>
  <si>
    <t>ИСТОЧНИКОВЕДЕНИЕ НОВОЙ И НОВЕЙШЕЙ ИСТОРИИ СТРАН ЕВРОПЫ И АМЕРИКИ, ИЗД.1</t>
  </si>
  <si>
    <t>Григорьева И. В.</t>
  </si>
  <si>
    <t>978-5-16-018666-5</t>
  </si>
  <si>
    <t>46.03.01, 46.03.02, 46.04.01, 46.04.02</t>
  </si>
  <si>
    <t>Рекомендовано в качестве учебного пособия студентам высших учебных заведений, обучающихся по направлению 46.03.01 "История" (квалификация (степень) "бакалавр")</t>
  </si>
  <si>
    <t>640996.12.01</t>
  </si>
  <si>
    <t>Итоговое сочинение по литературе... / Ю.В.Вайрах - М.:НИЦ ИНФРА-М,2026 - 169 с.(Практ.педагогика)(О)</t>
  </si>
  <si>
    <t>ИТОГОВОЕ СОЧИНЕНИЕ ПО ЛИТЕРАТУРЕ: ПОДГОТОВКА И ТЕХНОЛОГИЯ НАПИСАНИЯ, ИЗД.1</t>
  </si>
  <si>
    <t>Вайрах Ю.В., Казорина А.В.</t>
  </si>
  <si>
    <t>978-5-16-012305-9</t>
  </si>
  <si>
    <t>Гуманитарные дисциплины (школа)</t>
  </si>
  <si>
    <t>44.03.01, 44.04.01, 45.03.01, 45.04.01</t>
  </si>
  <si>
    <t>Рекомендовано в качестве учебного пособия для студентов высших учебных заведений, обучающихся по направлениям подготовки 45.03.01 «Филология», 44.03.01 «Педагогическое образование» (квалификация (степень) «бакалавр»)</t>
  </si>
  <si>
    <t>674607.07.01</t>
  </si>
  <si>
    <t>Иудейское право без гос.: история и совр.: Уч.пос./ А.А.Каневский - М.:НИЦ ИНФРА-М,2026 - 195 с.(ВО)(П)</t>
  </si>
  <si>
    <t>ИУДЕЙСКОЕ ПРАВО БЕЗ ГОСУДАРСТВА: ИСТОРИЯ И СОВРЕМЕННОСТЬ, ИЗД.1</t>
  </si>
  <si>
    <t>Каневский А.А.</t>
  </si>
  <si>
    <t>978-5-16-022301-8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</si>
  <si>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40.00.00 «Юриспруденция» (протокол № 13 от 16.09.2019)</t>
  </si>
  <si>
    <t>289500.09.01</t>
  </si>
  <si>
    <t>К истории Русской Православной Церкви: Уч.пос. / Л.В.Беловинский - М.: Форум: ИНФРА-М, 2026 - 128 с.(о)</t>
  </si>
  <si>
    <t>К ИСТОРИИ РУССКОЙ ПРАВОСЛАВНОЙ ЦЕРКВИ, ИЗД.1</t>
  </si>
  <si>
    <t>978-5-91134-925-7</t>
  </si>
  <si>
    <t>44.03.05, 47.03.03, 47.04.03, 50.03.03, 50.03.04, 50.04.03, 50.04.04, 51.03.01, 51.04.01</t>
  </si>
  <si>
    <t>805698.05.01</t>
  </si>
  <si>
    <t>К новой парадигме мир. экономики: Моногр. / Е.В.Зенкина - М.:НИЦ ИНФРА-М,2026 - 279 с.(Науч.мысль (РГГУ))(п)</t>
  </si>
  <si>
    <t>К НОВОЙ ПАРАДИГМЕ МИРОВОЙ ЭКОНОМИКИ, ИЗД.1</t>
  </si>
  <si>
    <t>Зенкина Е.В., Бегма Ю.С.</t>
  </si>
  <si>
    <t>978-5-16-019046-4</t>
  </si>
  <si>
    <t>38.03.04, 38.04.04, 38.05.02, 38.06.01, 41.03.05, 41.04.05</t>
  </si>
  <si>
    <t>753606.04.01</t>
  </si>
  <si>
    <t>Кавказ в истории России: Моногр. / И.В.Бочарников - М.:НИЦ ИНФРА-М,2025 - 297 с.(Науч.мысль)(П)</t>
  </si>
  <si>
    <t>КАВКАЗ В ИСТОРИИ РОССИИ, ИЗД.1</t>
  </si>
  <si>
    <t>978-5-16-016898-2</t>
  </si>
  <si>
    <t>46.00.00, 46.04.01, 46.06.01</t>
  </si>
  <si>
    <t>747881.05.01</t>
  </si>
  <si>
    <t>Кавказская политика России: Моногр. / И.В.Бочарников - М.:НИЦ ИНФРА-М,2026 - 175 с.(Науч.мысль)(О)</t>
  </si>
  <si>
    <t>КАВКАЗСКАЯ ПОЛИТИКА РОССИИ, ИЗД.1</t>
  </si>
  <si>
    <t>978-5-16-016720-6</t>
  </si>
  <si>
    <t>41.03.01, 41.03.05, 41.04.01, 41.04.04, 41.04.05, 41.06.01</t>
  </si>
  <si>
    <t>682950.08.01</t>
  </si>
  <si>
    <t>Кадастровая деятельность: Уч. / А.А.Варламов - 2 изд.,- М.:Форум, НИЦ ИНФРА-М,2023.-280 с..-(СПО)(П)</t>
  </si>
  <si>
    <t>КАДАСТРОВАЯ ДЕЯТЕЛЬНОСТЬ, ИЗД.2</t>
  </si>
  <si>
    <t>Варламов А.А., Гальченко С.А., Аврунев Е.И. и др.</t>
  </si>
  <si>
    <t>978-5-00091-576-9</t>
  </si>
  <si>
    <t>05.02.01, 21.02.19</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</si>
  <si>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21.02.04 «Землеустройство», 21.02.05 «Земельно-имущественные отношения»</t>
  </si>
  <si>
    <t>336100.05.01</t>
  </si>
  <si>
    <t>Кадастровая деятельность: Уч. / А.А.Варламов и др. - 2 изд. - М.:Форум, НИЦ ИНФРА-М,2019-279с(ВО)</t>
  </si>
  <si>
    <t>Варламов А. А., Гальченко С. А., Аврунев Е. И., Варламов А. А.</t>
  </si>
  <si>
    <t>978-5-00091-165-5</t>
  </si>
  <si>
    <t>21.03.02, 21.04.02, 40.03.01, 40.05.03</t>
  </si>
  <si>
    <t>Допущено учебно-методическим объединением вузов Российской Федерации по образованию в области землеустройства и кадастров в качестве учебника для студентов высших учебных заведений, обучающихся по направлению подготовки 21.03.02 «Землеустройство и кадастры» (квалификация (степень) «бакалавр»)</t>
  </si>
  <si>
    <t>336100.09.01</t>
  </si>
  <si>
    <t>Кадастровая деятельность: Уч./ А.А.Варламов - 2 изд. - М.:Форум, НИЦ ИНФРА-М,2021 - 279 с.(ВО)(П)</t>
  </si>
  <si>
    <t>978-5-00091-460-1</t>
  </si>
  <si>
    <t>642346.06.01</t>
  </si>
  <si>
    <t>Кадровая безопасность компании: Уч.пос. / Т.О.Соломанидина, - 2 изд.-М.:НИЦ ИНФРА-М,2023.-559 с.(ВО)(п)</t>
  </si>
  <si>
    <t>КАДРОВАЯ БЕЗОПАСНОСТЬ КОМПАНИИ, ИЗД.2</t>
  </si>
  <si>
    <t>Соломанидина Т.О., Соломанидин В.Г.</t>
  </si>
  <si>
    <t>978-5-16-018727-3</t>
  </si>
  <si>
    <t>38.03.01, 38.03.02, 38.03.03, 38.04.02, 38.04.03, 38.04.04, 41.03.06</t>
  </si>
  <si>
    <t>Рекомендовано в качестве учебного пособия для студентов высших учебных заведений, обучающихся по направлениям подготовки 38.03.02 «Менеджмент», 38.03.03 «Управление персоналом», 38.03.01 «Экономика» (квалификация (степень) «бакалавр»)</t>
  </si>
  <si>
    <t>758977.01.01</t>
  </si>
  <si>
    <t>Кадровая безопасность: Уч. / Л.О.Терновая - М.:НИЦ ИНФРА-М,2025. - 354 с.(ВО)(п)</t>
  </si>
  <si>
    <t>КАДРОВАЯ БЕЗОПАСНОСТЬ, ИЗД.1</t>
  </si>
  <si>
    <t>978-5-16-017133-3</t>
  </si>
  <si>
    <t>38.03.03</t>
  </si>
  <si>
    <t>777083.01.01</t>
  </si>
  <si>
    <t>Кадровая безопасность: Уч.пос. / Н.Н.Карзаева-М.:НИЦ ИНФРА-М,2023.-210 с..-(ВО)(п)</t>
  </si>
  <si>
    <t>Карзаева Н.Н., Каранина Е.В.</t>
  </si>
  <si>
    <t>978-5-16-018051-9</t>
  </si>
  <si>
    <t>10.05.05, 38.03.01, 38.04.01, 38.04.03, 38.04.04, 38.05.01</t>
  </si>
  <si>
    <t>353600.08.01</t>
  </si>
  <si>
    <t>Кадровая политика корпорации: Моногр. / Н.М.Кузьмина - М.:НИЦ ИНФРА-М,2026 - 167 с.(Науч.мысль)(О)</t>
  </si>
  <si>
    <t>КАДРОВАЯ ПОЛИТИКА КОРПОРАЦИИ, ИЗД.1</t>
  </si>
  <si>
    <t>Кузьмина Н.М.</t>
  </si>
  <si>
    <t>978-5-16-010891-9</t>
  </si>
  <si>
    <t>38.03.03, 38.04.03, 44.03.01</t>
  </si>
  <si>
    <t>777383.01.01</t>
  </si>
  <si>
    <t>Кадровое обеспечение топл.-энергет. комплекса РФ в усл. Энергоперехода: Моногр. / А.А.Серегина-М.:НИЦ ИНФРА-М,2022-269с.(П)</t>
  </si>
  <si>
    <t>КАДРОВОЕ ОБЕСПЕЧЕНИЕ ТОПЛИВНО-ЭНЕРГЕТИЧЕСКОГО КОМПЛЕКСА РОССИЙСКОЙ ФЕДЕРАЦИИ В УСЛОВИЯХ ЭНЕРГОПЕРЕХОДА, ИЗД.1</t>
  </si>
  <si>
    <t>Жданеев О.В., Серегина А.А.</t>
  </si>
  <si>
    <t>978-5-16-017657-4</t>
  </si>
  <si>
    <t>715105.06.01</t>
  </si>
  <si>
    <t>Кадровые риски и их оценка: Уч.пос. / А.Е.Митрофанова - М.:НИЦ ИНФРА-М,2024 - 137 с.(ВО.)(П)</t>
  </si>
  <si>
    <t>КАДРОВЫЕ РИСКИ И ИХ ОЦЕНКА, ИЗД.1</t>
  </si>
  <si>
    <t>Митрофанова А.Е., Захаров Д.К., Ашурбеков Р.А.</t>
  </si>
  <si>
    <t>978-5-16-020098-9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</si>
  <si>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38.03.03 «Управление персоналом» (квалификация (степень) «бакалавр») (протокол № 18 от 25.11.2019)</t>
  </si>
  <si>
    <t>657951.06.01</t>
  </si>
  <si>
    <t>Кадровый консалтинг: Уч. / О.Л.Чуланова - М.:НИЦ ИНФРА-М,2023 - 358 с.-(ВО: Магистратура)(П)</t>
  </si>
  <si>
    <t>КАДРОВЫЙ КОНСАЛТИНГ, ИЗД.1</t>
  </si>
  <si>
    <t>Чуланова О.Л.</t>
  </si>
  <si>
    <t>978-5-16-012953-2</t>
  </si>
  <si>
    <t>Рекомендовано в качестве учебника для студентов высших учебных заведений, обучающихся по направлениям подготовки 38.04.03 «Управление персоналом», 38.04.02 «Менеджмент», 38.04.04 «Государственное и муниципальное управление» (квалификация (степень) «магистр»)</t>
  </si>
  <si>
    <t>796010.01.01</t>
  </si>
  <si>
    <t>Кадровый менеджмент в туристской фирме: Уч.пос./ А.Н.Полухина - М.:НИЦ ИНФРА-М,2025. - 231 с.-(ВО)(п)</t>
  </si>
  <si>
    <t>КАДРОВЫЙ МЕНЕДЖМЕНТ В ТУРИСТСКОЙ ФИРМЕ, ИЗД.1</t>
  </si>
  <si>
    <t>Полухина А.Н., Шерешева М.Ю.</t>
  </si>
  <si>
    <t>978-5-16-018399-2</t>
  </si>
  <si>
    <t>37.04.02, 38.03.03, 38.04.03, 43.03.02, 43.04.02</t>
  </si>
  <si>
    <t>Поволжский государственный технологический университет</t>
  </si>
  <si>
    <t>851492.02.01</t>
  </si>
  <si>
    <t>Казанская губерния в составе Рос. империи...: Моногр. / И.Р.Метшин-М.:Юр. НОРМА,2025.-68 с.(о)</t>
  </si>
  <si>
    <t>КАЗАНСКАЯ ГУБЕРНИЯ В СОСТАВЕ РОССИЙСКОЙ ИМПЕРИИ: ВОПРОСЫ СОХРАНЕНИЯ ГОСУДАРСТВЕННОГО ЕДИНСТВА, ИЗД.1</t>
  </si>
  <si>
    <t>Метшин И.Р.</t>
  </si>
  <si>
    <t>978-5-00156-423-2</t>
  </si>
  <si>
    <t>46.03.01</t>
  </si>
  <si>
    <t>801693.02.01</t>
  </si>
  <si>
    <t>Казенные учреждения: бюджетный учет и отчетность: Уч. / Т.Маслова-М.:Магистр, НИЦ ИНФРА-М,2024.-648 с.(п)</t>
  </si>
  <si>
    <t>КАЗЕННЫЕ УЧРЕЖДЕНИЯ: БЮДЖЕТНЫЙ УЧЕТ И ОТЧЕТНОСТЬ, ИЗД.1</t>
  </si>
  <si>
    <t>Маслова Т., Журавлева Т.А.</t>
  </si>
  <si>
    <t>978-5-9776-0552-6</t>
  </si>
  <si>
    <t>38.03.01, 38.03.04, 38.04.01, 38.04.04, 38.04.08</t>
  </si>
  <si>
    <t>076300.14.01</t>
  </si>
  <si>
    <t>Как защитить свою диссертацию: Практ. пос. / С.Д.Резник - 5 изд. - М.:НИЦ ИНФРА-М,2021 - 318 с.(П)</t>
  </si>
  <si>
    <t>КАК ЗАЩИТИТЬ СВОЮ ДИССЕРТАЦИЮ, ИЗД.5</t>
  </si>
  <si>
    <t>978-5-16-011105-6</t>
  </si>
  <si>
    <t>00.04.16, 00.06.01</t>
  </si>
  <si>
    <t>Рекомендовано к изданию Советом Учебно-методического объединения вузов России по образованию в области менеджмента</t>
  </si>
  <si>
    <t>076300.19.01</t>
  </si>
  <si>
    <t>Как защитить свою диссертацию: Практ. пос. / С.Д.Резник, - 6 изд. - М.:НИЦ ИНФРА-М,2026. - 245 с.(п)</t>
  </si>
  <si>
    <t>КАК ЗАЩИТИТЬ СВОЮ ДИССЕРТАЦИЮ, ИЗД.6</t>
  </si>
  <si>
    <t>978-5-16-017143-2</t>
  </si>
  <si>
    <t>0622</t>
  </si>
  <si>
    <t>813795.02.01</t>
  </si>
  <si>
    <t>Как можно учить физике в 7-8 кл.: Уч.пос. / С.А.Горбушин - М.:НИЦ ИНФРА-М,2026. - 264 с.-(ВО)(п)</t>
  </si>
  <si>
    <t>КАК МОЖНО УЧИТЬ ФИЗИКЕ В 7-8 КЛАССАХ, ИЗД.1</t>
  </si>
  <si>
    <t>Горбушин С.А.</t>
  </si>
  <si>
    <t>978-5-16-020477-2</t>
  </si>
  <si>
    <t>44.03.01, 44.03.05, 44.04.01, 44.04.04</t>
  </si>
  <si>
    <t>ГБОУ ШКОЛА № 1514</t>
  </si>
  <si>
    <t>364400.09.01</t>
  </si>
  <si>
    <t>Как можно учить физике: методика обуч. физике: Уч.пос. / С.А.Горбушин - М.:НИЦ ИНФРА-М,2026-484 с.(ВО)(п)</t>
  </si>
  <si>
    <t>КАК МОЖНО УЧИТЬ ФИЗИКЕ: МЕТОДИКА ОБУЧЕНИЯ ФИЗИКЕ, ИЗД.1</t>
  </si>
  <si>
    <t>978-5-16-019173-7</t>
  </si>
  <si>
    <t>Рекомендовано УМО по образованию в области подготовки педагогических кадров в качестве учебного пособия для осуществления образовательной деятельности по направлениям подготовки 44.03.01 «Педагогическое образование» и 44.03.05 «Педагогическое образование (с двумя профилями подготовки)»</t>
  </si>
  <si>
    <t>740836.02.01</t>
  </si>
  <si>
    <t>Как написать эссе по обществознанию на олимп.: готов. к ЕГЭ: Уч.пос. / Е.Н.Титова - М.:НИЦ ИНФРА-М,2027-63с(о)</t>
  </si>
  <si>
    <t>КАК НАПИСАТЬ ЭССЕ ПО ОБЩЕСТВОЗНАНИЮ НА ОЛИМПИАДЕ: ГОТОВИМСЯ К ЕГЭ, ИЗД.1</t>
  </si>
  <si>
    <t>978-5-16-016683-4</t>
  </si>
  <si>
    <t>189650.18.01</t>
  </si>
  <si>
    <t>Как написать, оформ. и защ. выпуск. квалиф. работу: Уч.пос. / В.П.Невежин - М.: НИЦ ИНФРА-М,2026 - 112 с.(о)</t>
  </si>
  <si>
    <t>КАК НАПИСАТЬ, ОФОРМИТЬ И ЗАЩИТИТЬ ВЫПУСКНУЮ КВАЛИФИКАЦИОННУЮ РАБОТУ, ИЗД.1</t>
  </si>
  <si>
    <t>Невежин В. П.</t>
  </si>
  <si>
    <t>978-5-16-112279-2</t>
  </si>
  <si>
    <t>00.03.16, 00.04.16, 00.05.16</t>
  </si>
  <si>
    <t>Рекомендовано Финансовым университетом при Правительстве Российской Федерации в качестве учебного пособия для студентов, обучающихся по направлению подготовки бакалавров, дипломированых специалистов и магистров</t>
  </si>
  <si>
    <t>374900.07.01</t>
  </si>
  <si>
    <t>Как подготовить выпуск. квалиф..: Уч.пос. / Под ред. Фокина В.А. - 2 изд. - М.:Форум, НИЦ ИНФРА-М,2026 - 142 с.(О)</t>
  </si>
  <si>
    <t>КАК ПОДГОТОВИТЬ ВЫПУСКНУЮ КВАЛИФИКАЦИОННУЮ РАБОТУ БАКАЛАВРАМ СОЦИАЛЬНОЙ РАБОТЫ, ИЗД.2</t>
  </si>
  <si>
    <t>Соломатова В.В., Фокин В.А., Фокин В.А.</t>
  </si>
  <si>
    <t>978-5-16-016781-7</t>
  </si>
  <si>
    <t>00.03.16, 00.04.16, 00.05.16, 39.03.02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</si>
  <si>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39.03.02 «Социальная работа» (квалификация (степень) «бакалавр») (протокол № 3 от 17.03.2021)</t>
  </si>
  <si>
    <t>374900.04.01</t>
  </si>
  <si>
    <t>Как подготовить выпуск. квалиф..: Уч.пос. / Под ред. Фокина В.А.-М.:Форум, НИЦ ИНФРА-М,2020-51с.(О)</t>
  </si>
  <si>
    <t>КАК ПОДГОТОВИТЬ ВЫПУСКНУЮ КВАЛИФИКАЦИОННУЮ РАБОТУ БАКАЛАВРАМ СОЦИАЛЬНОЙ РАБОТЫ, ИЗД.1</t>
  </si>
  <si>
    <t>В.А.Фокин, В.В.Соломатова, Л.М.Горячева</t>
  </si>
  <si>
    <t>978-5-00091-093-1</t>
  </si>
  <si>
    <t>806520.01.01</t>
  </si>
  <si>
    <t>Как стать банкиром: Худ. лит. / Г.П.Попов-М.:НИЦ ИНФРА-М,2023.-527 с.[16+](п)</t>
  </si>
  <si>
    <t>КАК СТАТЬ БАНКИРОМ, ИЗД.1</t>
  </si>
  <si>
    <t>Попов Г.П.</t>
  </si>
  <si>
    <t>978-5-16-018690-0</t>
  </si>
  <si>
    <t>309900.07.01</t>
  </si>
  <si>
    <t>Каменные работы: Уч.-метод. пос. / В.Н. Черноиван - М.: ИНФРА-М; 2026 - 156 с.(ВО)</t>
  </si>
  <si>
    <t>КАМЕННЫЕ РАБОТЫ, ИЗД.1</t>
  </si>
  <si>
    <t>Черноиван В.Н., Леонович С.Н.</t>
  </si>
  <si>
    <t>978-5-16-010310-5</t>
  </si>
  <si>
    <t>Брестский государственный технический университет</t>
  </si>
  <si>
    <t>477900.05.01</t>
  </si>
  <si>
    <t>Каракулеводство: Уч. пос. / Ш.Р.Херремов - М.:КУРС, НИЦ ИНФРА-М, 2020 - 144 с.(ВО: Бакалавриат)(о)</t>
  </si>
  <si>
    <t>КАРАКУЛЕВОДСТВО, ИЗД.1</t>
  </si>
  <si>
    <t>Херремов Ш.Р., Юлдашбаев Ю.А.</t>
  </si>
  <si>
    <t>978-5-906818-22-5</t>
  </si>
  <si>
    <t>Союз промышленников и предпринимателей Волгоградской области</t>
  </si>
  <si>
    <t>682951.04.01</t>
  </si>
  <si>
    <t>Карантинные болезни растений: Уч.пос. / С.И.Чебаненко - М.:НИЦ ИНФРА-М,2026 -112 с.[цв].-(СПО)(о)</t>
  </si>
  <si>
    <t>КАРАНТИННЫЕ БОЛЕЗНИ РАСТЕНИЙ, ИЗД.1</t>
  </si>
  <si>
    <t>Чебаненко C.И., Белошапкина О.О.</t>
  </si>
  <si>
    <t>978-5-16-013953-1</t>
  </si>
  <si>
    <t>19.02.11, 19.02.12, 35.01.23, 35.01.26, 35.01.27, 35.02.05, 35.02.07, 35.02.16, 43.01.11</t>
  </si>
  <si>
    <t>299900.10.01</t>
  </si>
  <si>
    <t>Карантинные болезни растений: Уч.пос. / С.И.Чебаненко - М.:НИЦ ИНФРА-М,2026. - 113 с.(ВО)(о)</t>
  </si>
  <si>
    <t>Чебаненко С.И., Белошапкина О.О.</t>
  </si>
  <si>
    <t>978-5-16-019024-2</t>
  </si>
  <si>
    <t>Допущено УМО вузов РФ по агрономическому образованию в качестве учебного пособия для подготовки бакалавров, обучающихся по направлению 35.03.04 «Агрономия»</t>
  </si>
  <si>
    <t>718648.04.01</t>
  </si>
  <si>
    <t>Картели: проблемы уголовной политики...: Моногр. / С.В.Максимов - М.:Юр. НОРМА, НИЦ ИНФРА-М,2025. - 96 с.(о)</t>
  </si>
  <si>
    <t>КАРТЕЛИ: ПРОБЛЕМЫ УГОЛОВНОЙ ПОЛИТИКИ, ЕВРАЗИЙСКИЙ ОПЫТ, ПЕРСПЕКТИВЫ, ИЗД.1</t>
  </si>
  <si>
    <t>Максимов С.В., Утаров К.А.</t>
  </si>
  <si>
    <t>978-5-00156-020-3</t>
  </si>
  <si>
    <t>40.03.01, 40.04.01, 40.05.02, 40.06.01</t>
  </si>
  <si>
    <t>708359.09.01</t>
  </si>
  <si>
    <t>Картография и ГИС: Уч.пос. / В.П.Раклов - 3 изд. - М.:НИЦ ИНФРА-М,2026 - 215 с.(ВО: Бакалавр.)(П)</t>
  </si>
  <si>
    <t>КАРТОГРАФИЯ И ГИС, ИЗД.3</t>
  </si>
  <si>
    <t>978-5-16-015289-9</t>
  </si>
  <si>
    <t>21.03.02, 44.03.05</t>
  </si>
  <si>
    <t>Рекомендовано УМО по образованию в области землеустройства и кадастров в качестве учебного пособия для студентов высших учебных заведений, обучающихся по направлению подготовки «Землеустройство и кадастры»</t>
  </si>
  <si>
    <t>742831.08.01</t>
  </si>
  <si>
    <t>Картография и ГИС: Уч.пос. / В.П.Раклов - 3 изд. - М.:НИЦ ИНФРА-М,2026 - 215 с.-(СПО)(П)</t>
  </si>
  <si>
    <t>978-5-16-016460-1</t>
  </si>
  <si>
    <t>08.02.08, 21.02.09, 21.02.10, 21.02.11, 21.02.12, 21.02.13, 21.02.14, 21.02.15, 21.02.16, 21.02.17, 21.02.18, 21.02.20, 35.01.01, 35.02.01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</si>
  <si>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"Землеустройство и кадастры" (протокол № 8 от 22.06.2020)</t>
  </si>
  <si>
    <t>765800.03.01</t>
  </si>
  <si>
    <t>Картография с основами топографии..: Уч.пос. / О.В.Шульгина, - 2 изд. - М.:НИЦ ИНФРА-М,2025. - 229 с.(П)</t>
  </si>
  <si>
    <t>КАРТОГРАФИЯ С ОСНОВАМИ ТОПОГРАФИИ. СЛОВАРЬ-СПРАВОЧНИК, ИЗД.2</t>
  </si>
  <si>
    <t>Шульгина О.В.</t>
  </si>
  <si>
    <t>978-5-16-020894-7</t>
  </si>
  <si>
    <t>05.03.02, 05.03.03</t>
  </si>
  <si>
    <t>694357.08.01</t>
  </si>
  <si>
    <t>Картофелеводство: Уч.пос. / А.И.Усков - М.:НИЦ ИНФРА-М,2026 - 173 с.(ВО)(П)</t>
  </si>
  <si>
    <t>КАРТОФЕЛЕВОДСТВО, ИЗД.1</t>
  </si>
  <si>
    <t>Усков А.И., Горяников Ю.В., Можаев Е.Е. и др.</t>
  </si>
  <si>
    <t>978-5-16-020982-1</t>
  </si>
  <si>
    <t>35.03.03, 35.03.04, 35.03.07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</si>
  <si>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35.03.04 «Агрономия» (квалификация (степень) «бакалавр») (протокол № 8 от 22.06.2020)</t>
  </si>
  <si>
    <t>Всероссийский научно-исследовательский институт картофельного хозяйства имени А.Г.Лорха</t>
  </si>
  <si>
    <t>255400.10.01</t>
  </si>
  <si>
    <t>Карьерный менеджмент: Уч. пос./ С.Д. Резник - 2 изд. - М.: ИНФРА-М, 2023 - 237 с. (ВО: Бакалавриат)</t>
  </si>
  <si>
    <t>КАРЬЕРНЫЙ МЕНЕДЖМЕНТ, ИЗД.3</t>
  </si>
  <si>
    <t>Резник С. Д., Игошина И. А.</t>
  </si>
  <si>
    <t>978-5-16-009452-6</t>
  </si>
  <si>
    <t>255400.11.01</t>
  </si>
  <si>
    <t>Карьерный менеджмент: Уч.пос. / С.Д.Резник - 4 изд. - М.:НИЦ ИНФРА-М,2025. - 196 с.(ВО: Бакалавр.)(п)</t>
  </si>
  <si>
    <t>КАРЬЕРНЫЙ МЕНЕДЖМЕНТ, ИЗД.4</t>
  </si>
  <si>
    <t>Резник С.Д., Игошина И.А., Черницов А.Е. и др.</t>
  </si>
  <si>
    <t>978-5-16-017943-8</t>
  </si>
  <si>
    <t>Рекомендовано Советом УМО по образованию в области менеджмента в качестве учебного пособия для студентов, обучающихся по направлениям подготовки «Менеджмент», «Управление персоналом», «Государственное и муниципальное управление»</t>
  </si>
  <si>
    <t>637700.06.01</t>
  </si>
  <si>
    <t>Категории и некоторые их приложения: Моногр./ Г.В.Кондратьев - М.:НИЦ ИНФРА-М,2026 - 175 с.(О)</t>
  </si>
  <si>
    <t>КАТЕГОРИИ И НЕКОТОРЫЕ ИХ ПРИЛОЖЕНИЯ, ИЗД.1</t>
  </si>
  <si>
    <t>978-5-16-015978-2</t>
  </si>
  <si>
    <t>01.03.01</t>
  </si>
  <si>
    <t>448850.09.01</t>
  </si>
  <si>
    <t>Категорийный менеджмент: Уч.пос. / В.М.Киселев - М.:Юр.Норма, НИЦ ИНФРА-М,2023 - 208 с.(О)</t>
  </si>
  <si>
    <t>КАТЕГОРИЙНЫЙ МЕНЕДЖМЕНТ, ИЗД.1</t>
  </si>
  <si>
    <t>Киселев В. М., Николаева М. А.</t>
  </si>
  <si>
    <t>978-5-91768-424-6</t>
  </si>
  <si>
    <t>38.03.07, 38.04.02, 44.03.05</t>
  </si>
  <si>
    <t>Допущено Учебно-методическим объединением по образованию в области коммерции и по образованию в области маркетинга в качестве учебного пособия для студентов вузов, обучающихся по направлению 100700.62 «Торговое дело»</t>
  </si>
  <si>
    <t>704935.03.01</t>
  </si>
  <si>
    <t>Качество аудиторских услуг: концепция, методика..: Моногр. / Н.В.Кобозева - М.:НИЦ ИНФРА-М,2025 - 198 с.(О)</t>
  </si>
  <si>
    <t>КАЧЕСТВО АУДИТОРСКИХ УСЛУГ: КОНЦЕПЦИЯ, МЕТОДИКА, ИНСТРУМЕНТЫ, ИЗД.1</t>
  </si>
  <si>
    <t>Кобозева Н.В., Дунаева В.И.</t>
  </si>
  <si>
    <t>978-5-16-015091-8</t>
  </si>
  <si>
    <t>757884.07.01</t>
  </si>
  <si>
    <t>Квалификация преступ. в сюжетах худ. лит.: Моногр. / Л.Р.Клебанов - М.:Юр.Норма,ИНФРА-М,2026. - 232 с.(П)</t>
  </si>
  <si>
    <t>КВАЛИФИКАЦИЯ ПРЕСТУПЛЕНИЙ В СЮЖЕТАХ ХУДОЖЕСТВЕННОЙ ЛИТЕРАТУРЫ, ИЗД.1</t>
  </si>
  <si>
    <t>978-5-00156-178-1</t>
  </si>
  <si>
    <t>40.03.01, 40.04.01, 40.05.02, 40.05.03, 40.05.04, 40.06.01</t>
  </si>
  <si>
    <t>Конкурс на лучшее издание, посвященное деятельности следственных органов РФ-2025, Победитель, II место</t>
  </si>
  <si>
    <t>401100.10.01</t>
  </si>
  <si>
    <t>Квалификация преступл..: Моногр. / В.К.Дуюнов - 5 изд. - М.:ИЦ РИОР, НИЦ ИНФРА-М,2020 - 431 с.(П)</t>
  </si>
  <si>
    <t>КВАЛИФИКАЦИЯ ПРЕСТУПЛЕНИЙ: ЗАКОНОДАТЕЛЬСТВО, ТЕОРИЯ, СУДЕБНАЯ ПРАКТИКА, ИЗД.5</t>
  </si>
  <si>
    <t>Дуюнов В.К., Хлебушкин А.Г.</t>
  </si>
  <si>
    <t>978-5-369-01849-1</t>
  </si>
  <si>
    <t>401100.09.01</t>
  </si>
  <si>
    <t>Квалификация преступл.: Моногр. / В.К.Дуюнов - 4 изд. - М.:ИЦ РИОР,НИЦ ИНФРА-М,2019 - 431 с.(П)</t>
  </si>
  <si>
    <t>КВАЛИФИКАЦИЯ ПРЕСТУПЛЕНИЙ: ЗАКОНОДАТЕЛЬСТВО, ТЕОРИЯ, СУДЕБНАЯ ПРАКТИКА, ИЗД.4</t>
  </si>
  <si>
    <t>978-5-369-01795-1</t>
  </si>
  <si>
    <t>401100.14.01</t>
  </si>
  <si>
    <t>Квалификация преступлений...: Моногр. / В.К.Дуюнов - 6 изд. - М.:ИЦ РИОР, НИЦ ИНФРА-М,2023-481 с.(П)</t>
  </si>
  <si>
    <t>КВАЛИФИКАЦИЯ ПРЕСТУПЛЕНИЙ: ЗАКОНОДАТЕЛЬСТВО, ТЕОРИЯ, СУДЕБНАЯ ПРАКТИКА, ИЗД.6</t>
  </si>
  <si>
    <t>978-5-369-01875-0</t>
  </si>
  <si>
    <t>0621</t>
  </si>
  <si>
    <t>401100.15.01</t>
  </si>
  <si>
    <t>Квалификация преступлений...: Моногр. / В.К.Дуюнов, - 7 изд.-М.:ИЦ РИОР, НИЦ ИНФРА-М,2024.-486 с.(п)</t>
  </si>
  <si>
    <t>КВАЛИФИКАЦИЯ ПРЕСТУПЛЕНИЙ: ЗАКОНОДАТЕЛЬСТВО, ТЕОРИЯ, СУДЕБНАЯ ПРАКТИКА, ИЗД.7</t>
  </si>
  <si>
    <t>978-5-369-01949-8</t>
  </si>
  <si>
    <t>0724</t>
  </si>
  <si>
    <t>401100.16.01</t>
  </si>
  <si>
    <t>Квалификация преступлений...: Моногр. / В.К.Дуюнов, - 8 изд. - М.:ИЦ РИОР, НИЦ ИНФРА-М,2026. - 500 с.(п)</t>
  </si>
  <si>
    <t>КВАЛИФИКАЦИЯ ПРЕСТУПЛЕНИЙ: ЗАКОНОДАТЕЛЬСТВО, ТЕОРИЯ, СУДЕБНАЯ ПРАКТИКА, ИЗД.8</t>
  </si>
  <si>
    <t>978-5-369-03002-8</t>
  </si>
  <si>
    <t>0826</t>
  </si>
  <si>
    <t>767032.07.01</t>
  </si>
  <si>
    <t>Квалификация преступлений: Уч.пос. / В.Ф.Антонов - М.:ИЦ РИОР, НИЦ ИНФРА-М,2026 - 72 с.-(ВО)(О)</t>
  </si>
  <si>
    <t>КВАЛИФИКАЦИЯ ПРЕСТУПЛЕНИЙ, ИЗД.1</t>
  </si>
  <si>
    <t>Антонов В.Ф.</t>
  </si>
  <si>
    <t>978-5-369-01895-8</t>
  </si>
  <si>
    <t>40.03.01, 40.04.01, 40.05.01</t>
  </si>
  <si>
    <t>230400.09.01</t>
  </si>
  <si>
    <t>Квалификация убийств при отягч. обстоят.: Моногр. / Н.А.Бабий-М.:НИЦ ИНФРА-М,2024.-287 с.(Науч.мысль)(О)</t>
  </si>
  <si>
    <t>КВАЛИФИКАЦИЯ УБИЙСТВ ПРИ ОТЯГЧАЮЩИХ ОБСТОЯТЕЛЬСТВАХ, ИЗД.1</t>
  </si>
  <si>
    <t>Бабий Н.А.</t>
  </si>
  <si>
    <t>978-5-16-009059-7</t>
  </si>
  <si>
    <t>640374.07.01</t>
  </si>
  <si>
    <t>Квалификация убийств: Науч.-практ. пос. / Д.Ю.Гончаров - М.:НИЦ ИНФРА-М,2025 - 131 с.(ВО)(О)</t>
  </si>
  <si>
    <t>КВАЛИФИКАЦИЯ УБИЙСТВ, ИЗД.1</t>
  </si>
  <si>
    <t>Гончаров Д.Ю.</t>
  </si>
  <si>
    <t>978-5-16-012601-2</t>
  </si>
  <si>
    <t>40.03.01, 40.04.01, 40.05.01, 40.05.02, 40.05.03, 40.05.04, 40.06.01, 44.03.05</t>
  </si>
  <si>
    <t>670746.05.01</t>
  </si>
  <si>
    <t>Квантовая экономика действий: Моногр. / В.А.Мельников - 2 изд. - М.:НИЦ ИНФРА-М,СФУ,2027 - 248 с.-(Науч.мысль (СФУ))(П)</t>
  </si>
  <si>
    <t>КВАНТОВАЯ ЭКОНОМИКА ДЕЙСТВИЙ, ИЗД.2</t>
  </si>
  <si>
    <t>Мельников В.А.</t>
  </si>
  <si>
    <t>978-5-16-013416-1</t>
  </si>
  <si>
    <t>752925.07.01</t>
  </si>
  <si>
    <t>Кейсбук библ. проектов нач. тысячелетия: Прак. / Под ред. Жадёнова О.М. - М.:НИЦ ИНФРА-М,2026. - 148 с.:цв.ил.(О) [16+]</t>
  </si>
  <si>
    <t>КЕЙСБУК БИБЛИОТЕЧНЫХ ПРОЕКТОВ НАЧАЛА ТЫСЯЧЕЛЕТИЯ, ИЗД.1</t>
  </si>
  <si>
    <t>Жадёнов О.М., Жадёнов О.М.</t>
  </si>
  <si>
    <t>978-5-16-016778-7</t>
  </si>
  <si>
    <t>343700.06.01</t>
  </si>
  <si>
    <t>Кейтеринг: Уч.пос. / Ю.Б.Башин - М.:Вузовский уч., НИЦ ИНФРА-М,2019 - 126 с.(О)</t>
  </si>
  <si>
    <t>КЕЙТЕРИНГ, ИЗД.1</t>
  </si>
  <si>
    <t>Башин Ю.Б., Телепченкова Н.В.</t>
  </si>
  <si>
    <t>978-5-9558-0424-8</t>
  </si>
  <si>
    <t>19.03.04, 43.03.02, 43.03.03</t>
  </si>
  <si>
    <t>МИРЭА - Российский технологический университет</t>
  </si>
  <si>
    <t>343700.11.01</t>
  </si>
  <si>
    <t>Кейтеринг: Уч.пос. / Ю.Б.Башин, - 2 изд. - М.:НИЦ ИНФРА-М,2026. - 155 с.-(ВО)(п)</t>
  </si>
  <si>
    <t>КЕЙТЕРИНГ, ИЗД.2</t>
  </si>
  <si>
    <t>Башин Ю.Б., Власова Н.В.</t>
  </si>
  <si>
    <t>978-5-16-021241-8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</si>
  <si>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43.03.02 «Туризм», 43.03.03 «Гостиничное дело» (квалификация (степень) «бакалавр») (протокол № 1 от 12.01.2022)</t>
  </si>
  <si>
    <t>777259.06.01</t>
  </si>
  <si>
    <t>Кибермафия: мировые тенденции и...: Моногр. / В.С.Овчинский - М.:Юр. НОРМА,2025 - 184 с.(п)</t>
  </si>
  <si>
    <t>КИБЕРМАФИЯ: МИРОВЫЕ ТЕНДЕНЦИИ И МЕЖДУНАРОДНОЕ ПРОТИВОДЕЙСТИЕ, ИЗД.1</t>
  </si>
  <si>
    <t>Овчинский В.С.</t>
  </si>
  <si>
    <t>978-5-00156-245-0</t>
  </si>
  <si>
    <t>10.04.01, 40.04.01, 40.05.01, 40.05.02, 40.06.01</t>
  </si>
  <si>
    <t>668070.02.01</t>
  </si>
  <si>
    <t>Кинематика и динамика автомобил. поршневых двигателей: Уч.пос./ М.П.Вальехо-М.:НИЦ ИНФРА-М,2023.-283с(П)</t>
  </si>
  <si>
    <t>КИНЕМАТИКА И ДИНАМИКА АВТОМОБИЛЬНЫХ ПОРШНЕВЫХ ДВИГАТЕЛЕЙ, ИЗД.1</t>
  </si>
  <si>
    <t>Вальехо М.П., Чайнов Н.Д.</t>
  </si>
  <si>
    <t>978-5-16-014528-0</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</si>
  <si>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направлению  подготовки 23.03.03 «Эксплуатация транспортно-технологических машин и комплексов» (уровень образования «бакалавриат»)</t>
  </si>
  <si>
    <t>301100.06.01</t>
  </si>
  <si>
    <t>Кинематика и динамика кривошипно-шатунного...: Уч.пос. / А.Н.Гоц - 3 изд. - М:Форум:ИНФРА-М,2025 - 384 с.(п)</t>
  </si>
  <si>
    <t>КИНЕМАТИКА И ДИНАМИКА КРИВОШИПНО-ШАТУННОГО МЕХАНИЗМА ПОРШНЕВЫХ ДВИГАТЕЛЕЙ, ИЗД.3</t>
  </si>
  <si>
    <t>978-5-91134-951-6</t>
  </si>
  <si>
    <t>15.03.01, 15.03.05, 15.04.01, 15.04.05, 23.03.03</t>
  </si>
  <si>
    <t>668104.01.01</t>
  </si>
  <si>
    <t>Кинематика и динамика многоряд. поршневых двиг.: Уч.пос. / М.П.Вальехо - М.:НИЦ ИНФРА-М,2026. - 378 с.(ВО)(п)</t>
  </si>
  <si>
    <t>КИНЕМАТИКА И ДИНАМИКА МНОГОРЯДНЫХ ПОРШНЕВЫХ ДВИГАТЕЛЕЙ, ИЗД.1</t>
  </si>
  <si>
    <t>978-5-16-020444-4</t>
  </si>
  <si>
    <t>24.05.02, 26.05.02</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</si>
  <si>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направлениям подготовки 23.03.03 «Эксплуатация транспортно-технологических машин и комплексов», уровень образования — «бакалавриат» и 23.03.02 «Наземные транспортно-технологический комплексы», уровень образования — «бакалавриат», по специальностям 23.05.01 - «Наземные транспортно-технологические средства», уровень образования — «специалитет» и 23.05.02 «Транспортные средства специального назначения», уровень образования — «специалитет».</t>
  </si>
  <si>
    <t>656163.11.01</t>
  </si>
  <si>
    <t>Киноискусство России: опыт позитивной антропологии: Моногр. / А.С.Брейтман - М.:НИЦ ИНФРА-М,2026. - 185 с.(о)</t>
  </si>
  <si>
    <t>КИНОИСКУССТВО РОССИИ: ОПЫТ ПОЗИТИВНОЙ АНТРОПОЛОГИИ, ИЗД.1</t>
  </si>
  <si>
    <t>Брейтман А.С.</t>
  </si>
  <si>
    <t>978-5-16-016748-0</t>
  </si>
  <si>
    <t>42.03.04, 51.03.05</t>
  </si>
  <si>
    <t>Дальневосточный государственный университет путей сообщения</t>
  </si>
  <si>
    <t>656163.04.01</t>
  </si>
  <si>
    <t>Киноискусство России: опыт позитивной антропологии: Моногр./ А.С.Брейтман-М.:НИЦ ИНФРА-М,2020-185 с.(Науч.мысль)(П)</t>
  </si>
  <si>
    <t>978-5-16-012866-5</t>
  </si>
  <si>
    <t>665129.02.01</t>
  </si>
  <si>
    <t>Китайский юань: на пути к глобальному статусу: Моногр./ А.С.Селищев-М.:НИЦ ИНФРА-М,2019.-352 с.(П)</t>
  </si>
  <si>
    <t>КИТАЙСКИЙ ЮАНЬ: НА ПУТИ К ГЛОБАЛЬНОМУ СТАТУСУ, ИЗД.1</t>
  </si>
  <si>
    <t>Селищев А.С., Селищев Н.А., Селищев А.А.</t>
  </si>
  <si>
    <t>978-5-16-013131-3</t>
  </si>
  <si>
    <t>Российский экономический университет им. Г.В. Плеханова, Минский ф-л</t>
  </si>
  <si>
    <t>665129.05.01</t>
  </si>
  <si>
    <t>Китайский юань: на пути к глобальному статусу: Моногр./ А.С.Селищев-М.:НИЦ ИНФРА-М,2024.-352 с.(О)</t>
  </si>
  <si>
    <t>978-5-16-017464-8</t>
  </si>
  <si>
    <t>763872.08.01</t>
  </si>
  <si>
    <t>Классики русской лит. в детском чтении: Уч.пос. / Г.М.Первова - М.:НИЦ ИНФРА-М,2026. - 205 с.(ВО)(П)</t>
  </si>
  <si>
    <t>КЛАССИКИ РУССКОЙ ЛИТЕРАТУРЫ В ДЕТСКОМ ЧТЕНИИ, ИЗД.1</t>
  </si>
  <si>
    <t>978-5-16-017190-6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</si>
  <si>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6 от 08.06.2022)</t>
  </si>
  <si>
    <t>746313.06.01</t>
  </si>
  <si>
    <t>Классификация сост. преступ. в уголов. праве: Моногр. / А.М.Ораздурдыев - М.:Юр.Норма,2027 - 408 с.(П)</t>
  </si>
  <si>
    <t>КЛАССИФИКАЦИЯ СОСТАВОВ ПРЕСТУПЛЕНИЙ В УГОЛОВНОМ ПРАВЕ, ИЗД.1</t>
  </si>
  <si>
    <t>978-5-00156-106-4</t>
  </si>
  <si>
    <t>729261.07.01</t>
  </si>
  <si>
    <t>Классификация, состав и общая характер.судовых...: Уч.пос. / С.И.Толстой - М.:НИЦ ИНФРА-М,2026 - 108 с.(П)</t>
  </si>
  <si>
    <t>КЛАССИФИКАЦИЯ, СОСТАВ И ОБЩАЯ ХАРАКТЕРИСТИКА СУДОВЫХ ДИЗЕЛЬНЫХ ЭНЕРГЕТИЧЕСКИХ УСТАНОВОК, ИЗД.1</t>
  </si>
  <si>
    <t>Толстой С.И.</t>
  </si>
  <si>
    <t>978-5-16-016007-8</t>
  </si>
  <si>
    <t>26.02.04, 26.05.06</t>
  </si>
  <si>
    <t>Рекомендовано экспертным советом ЧВВМУ имени П.С. Нахимова в качестве учебного пособия по дисциплине «Судовые пропульсивные комплексы» для студентов, обучающихся по специальности 26.05.06 «Эксплуатация судовых энергетических установок»</t>
  </si>
  <si>
    <t>489100.06.01</t>
  </si>
  <si>
    <t>Классическая философия искусства. И. Кант: Моногр. / Н.Н.Никитина - М.:НИЦ ИНФРА-М,2026 - 242 с.(П)</t>
  </si>
  <si>
    <t>КЛАССИЧЕСКАЯ ФИЛОСОФИЯ ИСКУССТВА. И. КАНТ, ИЗД.1</t>
  </si>
  <si>
    <t>Никитина Н.Н.</t>
  </si>
  <si>
    <t>978-5-16-011751-5</t>
  </si>
  <si>
    <t>50.03.04, 50.04.04, 51.04.04</t>
  </si>
  <si>
    <t>Российский институт театрального искусства - ГИТИС</t>
  </si>
  <si>
    <t>700672.02.01</t>
  </si>
  <si>
    <t>Классические и неклас. логики в истор.-философ. аспекте: Уч.пос./ А.В.Шевцов-М.:НИЦ ИНФРА-М,2020.-259 с.(П)</t>
  </si>
  <si>
    <t>КЛАССИЧЕСКИЕ И НЕКЛАССИЧЕСКИЕ ЛОГИКИ В ИСТОРИКО-ФИЛОСОФСКОМ АСПЕКТЕ: ОСНОВНЫЕ ПРИНЦИПЫ И ПОНЯТИЯ, ИЗД.1</t>
  </si>
  <si>
    <t>Шевцов А.В.</t>
  </si>
  <si>
    <t>978-5-16-015135-9</t>
  </si>
  <si>
    <t>Рекомендовано Редакционно-издательским советом Московского авиационного института (национального исследовательского университета) в качестве учебного пособия</t>
  </si>
  <si>
    <t>839520.01.01</t>
  </si>
  <si>
    <t>Кластерный анализ и MANOVA в маркат...: Моногр. / Ю.А.Зуенкова - М.:НИЦ ИНФРА-М,2025. - 202 с.(п)</t>
  </si>
  <si>
    <t>КЛАСТЕРНЫЙ АНАЛИЗ И MANOVA В МАРКЕТИНГОВЫХ И ЭКОНОМИЧЕСКИХ ИССЛЕДОВАНИЯХ, ИЗД.1</t>
  </si>
  <si>
    <t>Зуенкова Ю.А., Стаменкович М.Д.</t>
  </si>
  <si>
    <t>978-5-16-020629-5</t>
  </si>
  <si>
    <t>832518.02.01</t>
  </si>
  <si>
    <t>Клиентоориентированность как ключ. ценность...: Моногр. / Е.Е.Жукова - 2 изд. - М.:НИЦ ИНФРА-М,2025 - 287 с.(п)</t>
  </si>
  <si>
    <t>КЛИЕНТООРИЕНТИРОВАННОСТЬ КАК КЛЮЧЕВАЯ ЦЕННОСТЬ СОВРЕМЕННОГО КОНКУРЕНТОСПОСОБНОГО БИЗНЕСА, ИЗД.2</t>
  </si>
  <si>
    <t>Жукова Е.Е., Суворова Т.В., Бурлаков В.В. и др.</t>
  </si>
  <si>
    <t>978-5-16-020418-5</t>
  </si>
  <si>
    <t>689658.03.01</t>
  </si>
  <si>
    <t>Климатография Евпаторийского курорта: Моногр. / В.Н.Любчик-М.:НИЦ ИНФРА-М,2023.-135 с(Науч.мысль)(П)</t>
  </si>
  <si>
    <t>КЛИМАТОГРАФИЯ ЕВПАТОРИЙСКОГО КУРОРТА, ИЗД.1</t>
  </si>
  <si>
    <t>Любчик В.Н.</t>
  </si>
  <si>
    <t>978-5-16-014394-1</t>
  </si>
  <si>
    <t>31.05.01, 32.05.01, 34.03.01, 49.03.03</t>
  </si>
  <si>
    <t>479300.05.01</t>
  </si>
  <si>
    <t>Климатология: Уч. / А.В.Кислов - 3 изд. - М.:НИЦ ИНФРА-М,2020 - 324 с.-(ВО: Бакалавриат)(П)</t>
  </si>
  <si>
    <t>КЛИМАТОЛОГИЯ, ИЗД.3</t>
  </si>
  <si>
    <t>Кислов А.В., Суркова Г.В.</t>
  </si>
  <si>
    <t>978-5-16-011694-5</t>
  </si>
  <si>
    <t>05.02.03, 05.03.02, 05.03.04, 20.03.02</t>
  </si>
  <si>
    <t>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направлениям 05.03.02 «География»; 05.03.04 «Гидрометеорология» (квалификация (степень) «бакалавр»)</t>
  </si>
  <si>
    <t>Московский государственный университет им. М.В. Ломоносова, географический факультет</t>
  </si>
  <si>
    <t>682952.04.01</t>
  </si>
  <si>
    <t>Климатология: Уч. / А.В.Кислов - 3 изд., доп. - М.:НИЦ ИНФРА-М,2023 - 324 с.-(СПО)(П)</t>
  </si>
  <si>
    <t>978-5-16-013954-8</t>
  </si>
  <si>
    <t>05.02.02, 05.02.03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</si>
  <si>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УГС 05.02.00 «Науки о Земле»</t>
  </si>
  <si>
    <t>479300.11.01</t>
  </si>
  <si>
    <t>Климатология: Уч. / А.В.Кислов - 4 изд. - М.:НИЦ ИНФРА-М,2026 - 324 с.(ВО: Бакалавриат)(П)</t>
  </si>
  <si>
    <t>КЛИМАТОЛОГИЯ, ИЗД.4</t>
  </si>
  <si>
    <t>978-5-16-015194-6</t>
  </si>
  <si>
    <t>230200.07.01</t>
  </si>
  <si>
    <t>Клинико-морфолог. изменения у собак и кошек...: Моногр. / Д.И.Гильдиков - М.:НИЦ ИНФРА-М,2025.-149 с.(О)</t>
  </si>
  <si>
    <t>КЛИНИКО-МОРФОЛОГИЧЕСКИЕ ИЗМЕНЕНИЯ У СОБАК И КОШЕК ПРИ САХАРНОМ ДИАБЕТЕ, ИЗД.1</t>
  </si>
  <si>
    <t>Гильдиков Д. И., Байматов В. Н.</t>
  </si>
  <si>
    <t>978-5-16-009057-3</t>
  </si>
  <si>
    <t>35.02.15, 36.03.02, 36.04.02, 44.03.05</t>
  </si>
  <si>
    <t>832384.02.01</t>
  </si>
  <si>
    <t>Клиническая анатомия и заболевания гортани...: Уч.мет.пос. / И.Д.Шляга - М.:НИЦ ИНФРА-М,2026 - 114 с.(ВО)(о)</t>
  </si>
  <si>
    <t>КЛИНИЧЕСКАЯ АНАТОМИЯ И ЗАБОЛЕВАНИЯ ГОРТАНИ. СОВРЕМЕННЫЕ МЕТОДЫ ДИАГНОСТИКИ, ИЗД.1</t>
  </si>
  <si>
    <t>978-5-16-020379-9</t>
  </si>
  <si>
    <t>31.05.01, 31.05.02, 31.05.03, 32.05.01</t>
  </si>
  <si>
    <t>643070.11.01</t>
  </si>
  <si>
    <t>Клиническая биохимия:курс лекций / В.Н.Титов - М.:НИЦ ИНФРА-М,2026 - 441 с. (П)</t>
  </si>
  <si>
    <t>КЛИНИЧЕСКАЯ БИОХИМИЯ:КУРС ЛЕКЦИЙ, ИЗД.1</t>
  </si>
  <si>
    <t>Титов В.Н.</t>
  </si>
  <si>
    <t>978-5-16-012430-8</t>
  </si>
  <si>
    <t>30.06.01, 30.07.01, 31.06.01, 31.07.01</t>
  </si>
  <si>
    <t>716434.06.01</t>
  </si>
  <si>
    <t>Клиническая иммунология и аллергология: Уч. / А.М.Земсков. - М.:НИЦ ИНФРА-М,2026. - 420 с.(ВО.)(П)</t>
  </si>
  <si>
    <t>КЛИНИЧЕСКАЯ ИММУНОЛОГИЯ И АЛЛЕРГОЛОГИЯ, ИЗД.1</t>
  </si>
  <si>
    <t>Земсков А.М., Земсков В.М., Земскова В.А.</t>
  </si>
  <si>
    <t>978-5-16-020564-9</t>
  </si>
  <si>
    <t>658024.04.01</t>
  </si>
  <si>
    <t>Клиническая история хирургич. больного: Справ.пос. / В.И.Белоконев - М,НИЦ ИНФРА-М,2026 - 223 с.(ВО)(П)</t>
  </si>
  <si>
    <t>КЛИНИЧЕСКАЯ ИСТОРИЯ ХИРУРГИЧЕСКОГО БОЛЬНОГО, ИЗД.1</t>
  </si>
  <si>
    <t>Белоконев В.И., Мелентьева О.Н.</t>
  </si>
  <si>
    <t>978-5-16-021835-9</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</si>
  <si>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31.08.67 «Хирургия» (квалификация «врач-хирург»)</t>
  </si>
  <si>
    <t>420150.11.01</t>
  </si>
  <si>
    <t>Клиническая психиатрия. Избр. лекции: Уч.пос. / Л.М.Барденштейн - М.:НИЦ ИНФРА-М,2027 - 432 с.(ВО)(п)</t>
  </si>
  <si>
    <t>КЛИНИЧЕСКАЯ ПСИХИАТРИЯ. ИЗБРАННЫЕ ЛЕКЦИИ, ИЗД.1</t>
  </si>
  <si>
    <t>Барденштейн Л.М., Беглянкин Н.И., Казаковцев Б.А. и др.</t>
  </si>
  <si>
    <t>978-5-16-006541-0</t>
  </si>
  <si>
    <t>31.00.00, 31.05.03</t>
  </si>
  <si>
    <t>Рекомендуется 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 обучающихся по специальности 060105 — "Стоматология”</t>
  </si>
  <si>
    <t>176300.12.01</t>
  </si>
  <si>
    <t>Клиническая фармакология и рацион..: Уч. пос. / В.В.Косарев - М.:Вуз.уч.:НИЦ Инфра-М, 2027 - 237с. (п)(+CD)</t>
  </si>
  <si>
    <t>КЛИНИЧЕСКАЯ ФАРМАКОЛОГИЯ И РАЦИОНАЛЬНАЯ ФАРМАКОТЕРАПИЯ, ИЗД.1</t>
  </si>
  <si>
    <t>Косарев В. В., Бабанов С. А.</t>
  </si>
  <si>
    <t>978-5-9558-0258-9</t>
  </si>
  <si>
    <t>31.05.03, 32.05.01, 33.05.01, 34.03.01</t>
  </si>
  <si>
    <t>Рекомендовано Учебно-методическим объединением по медицинскому и фармацевтическому образованию вузов РФ в качестве учебного пособия для системы послевузовского профессионального образования врачей</t>
  </si>
  <si>
    <t>674053.12.01</t>
  </si>
  <si>
    <t>Клиническая эндокрин. детей и подростков: Уч. пос.: Ч.1 / Ю.Г.Самойлова - М.:НИЦ ИНФРА-М,2027 - 313 с.(ВО)(п)</t>
  </si>
  <si>
    <t>КЛИНИЧЕСКАЯ ЭНДОКРИНОЛОГИЯ ДЕТЕЙ И ПОДРОСТКОВ, Т.1</t>
  </si>
  <si>
    <t>Самойлова Ю.Г., Олейник О.А., Матвеева М.В. и др.</t>
  </si>
  <si>
    <t>978-5-16-022435-0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</si>
  <si>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31.05.02 «Педиатрия» (квалификация «врач-педиатр общей практики») (протокол № 12 от 24.06.2019)</t>
  </si>
  <si>
    <t>Сибирский государственный медицинский университет</t>
  </si>
  <si>
    <t>721508.08.01</t>
  </si>
  <si>
    <t>Клиническая эндокринология детей и подростков: Уч.пос.: В 2 ч.Ч.2 / Ю.Г.Самойлова - М.:НИЦ ИНФРА-М,2026 - 286 с.(П)</t>
  </si>
  <si>
    <t>КЛИНИЧЕСКАЯ ЭНДОКРИНОЛОГИЯ ДЕТЕЙ И ПОДРОСТКОВ: В 2 ЧАСТЯХ ЧАСТЬ 2, Т.2</t>
  </si>
  <si>
    <t>Самойлова Ю.Г., Олейник О.А., Ворожцова И.Н. и др.</t>
  </si>
  <si>
    <t>978-5-16-022141-0</t>
  </si>
  <si>
    <t>31.05.02, 32.05.01</t>
  </si>
  <si>
    <t>702285.05.01</t>
  </si>
  <si>
    <t>Клинические варианты повреждений пищевода...: Уч.пос. / В.И.Белоконев - М.:НИЦ ИНФРА-М,2026 - 162 с.(П)</t>
  </si>
  <si>
    <t>КЛИНИЧЕСКИЕ ВАРИАНТЫ ПОВРЕЖДЕНИЙ ПИЩЕВОДА, ДИАГНОСТИКА И СПОСОБЫ ЛЕЧЕНИЯ, ИЗД.1</t>
  </si>
  <si>
    <t>978-5-16-015024-6</t>
  </si>
  <si>
    <t>31.05.01, 31.05.02, 31.08.28</t>
  </si>
  <si>
    <t>808964.01.01</t>
  </si>
  <si>
    <t>КоАП РФ - М.:НИЦ ИНФРА-М,2025. - 716 с.(п)</t>
  </si>
  <si>
    <t>КОДЕКС РОССИЙСКОЙ ФЕДЕРАЦИИ ОБ АДМИНИСТРАТИВНЫХ ПРАВОНАРУШЕНИЯХ, ИЗД.1</t>
  </si>
  <si>
    <t>978-5-16-018820-1</t>
  </si>
  <si>
    <t>Федеральный закон</t>
  </si>
  <si>
    <t>10.05.04, 38.03.04, 38.05.01, 38.05.02, 40.02.02, 40.02.04, 40.03.01, 40.05.01, 40.05.02, 40.05.03, 40.05.04, 44.03.05, 46.03.02</t>
  </si>
  <si>
    <t>682678.05.01</t>
  </si>
  <si>
    <t>Когерентная оптика и оптич. обработка информ.: Уч.пос. / В.Ш.Берикашвили - М.:НИЦ ИНФРА-М,2025. - 306 с.(ВО)(П)</t>
  </si>
  <si>
    <t>КОГЕРЕНТНАЯ ОПТИКА И ОПТИЧЕСКАЯ ОБРАБОТКА ИНФОРМАЦИИ, ИЗД.1</t>
  </si>
  <si>
    <t>Берикашвили В.Ш.</t>
  </si>
  <si>
    <t>978-5-16-014695-9</t>
  </si>
  <si>
    <t>12.03.01, 12.03.02, 12.03.03, 12.03.05, 12.04.02, 12.04.03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</si>
  <si>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12.03.01 «Приборостроение», 12.03.02 «Оптотехника», 12.03.03 «Фотоника и оптоинформатика» (квалификация (степень) «бакалавр») (протокол № 5 от 16.03.2020)</t>
  </si>
  <si>
    <t>667389.04.01</t>
  </si>
  <si>
    <t>Когнитивная поэтика: предмет, терминол., методы: Моногр. / И.А.Тарасова - М.:НИЦ ИНФРА-М,2022-166 с.(Науч.мысль)(П)</t>
  </si>
  <si>
    <t>КОГНИТИВНАЯ ПОЭТИКА: ПРЕДМЕТ, ТЕРМИНОЛОГИЯ, МЕТОДЫ, ИЗД.1</t>
  </si>
  <si>
    <t>Тарасова И.А.</t>
  </si>
  <si>
    <t>978-5-16-013472-7</t>
  </si>
  <si>
    <t>667389.05.01</t>
  </si>
  <si>
    <t>Когнитивная поэтика: предмет, терминол., методы: Моногр. / И.А.Тарасова - М.:НИЦ ИНФРА-М,2024-166 с.(Науч.мысль)(о)</t>
  </si>
  <si>
    <t>978-5-16-018910-9</t>
  </si>
  <si>
    <t>106987.12.01</t>
  </si>
  <si>
    <t>Когнитивная психология: Уч.пос. / А.П.Лобанов - 2 изд. - М.:НИЦ ИНФРА-М,2026 - 376 с.(ВО)(П)</t>
  </si>
  <si>
    <t>КОГНИТИВНАЯ ПСИХОЛОГИЯ, ИЗД.2</t>
  </si>
  <si>
    <t>Лобанов А. П.</t>
  </si>
  <si>
    <t>978-5-16-006030-9</t>
  </si>
  <si>
    <t>37.03.01, 37.03.02, 37.05.01, 37.05.02, 39.03.01, 39.03.02, 39.03.03, 44.03.01, 44.03.02, 44.03.03, 44.03.04, 44.03.05</t>
  </si>
  <si>
    <t>Допущено Мин. обр. РБ в качестве учебного пособия для студентов учреждеений высшего образования по психологическим и педагогическим специальностям</t>
  </si>
  <si>
    <t>732746.08.01</t>
  </si>
  <si>
    <t>Кодекс законов о браке, семье и опеке РСФСР 1926 г..: Моногр. / П.Л.Полянский - М.:Юр.Норма,2026 - 240 с.(П)</t>
  </si>
  <si>
    <t>КОДЕКС ЗАКОНОВ О БРАКЕ, СЕМЬЕ И ОПЕКЕ РСФСР 1926 ГОДА, ИЗД.1</t>
  </si>
  <si>
    <t>Полянский П.Л.</t>
  </si>
  <si>
    <t>978-5-00156-056-2</t>
  </si>
  <si>
    <t>661454.08.01</t>
  </si>
  <si>
    <t>Козоводство: Уч. / А.И.Чикалев - 2 изд. - М.:КУРС, НИЦ ИНФРА-М,2026 - 240 с.(П)</t>
  </si>
  <si>
    <t>КОЗОВОДСТВО, ИЗД.2</t>
  </si>
  <si>
    <t>978-5-906923-49-3</t>
  </si>
  <si>
    <t>753439.03.01</t>
  </si>
  <si>
    <t>Колебания твердых тел, жидкостей и газов с...: Моногр. / И.В.Кудинов - М.:НИЦ ИНФРА-М,2027 - 162 с.(О)</t>
  </si>
  <si>
    <t>КОЛЕБАНИЯ ТВЕРДЫХ ТЕЛ, ЖИДКОСТЕЙ И ГАЗОВ С УЧЕТОМ ЛОКАЛЬНОЙ НЕРАВНОВЕСНОСТИ, ИЗД.1</t>
  </si>
  <si>
    <t>Кудинов И.В., Еремин А.В., Жуков В.В. и др.</t>
  </si>
  <si>
    <t>978-5-16-017515-7</t>
  </si>
  <si>
    <t>01.03.03, 01.04.03</t>
  </si>
  <si>
    <t>818394.01.01</t>
  </si>
  <si>
    <t>Количественные методы анализа логистич. сис.: Моногр. / А.В.Мищенко. - М.:НИЦ ИНФРА-М,2026. - 293 с.(п)</t>
  </si>
  <si>
    <t>КОЛИЧЕСТВЕННЫЕ МЕТОДЫ АНАЛИЗА ЛОГИСТИЧЕСКИХ СИСТЕМ, ИЗД.1</t>
  </si>
  <si>
    <t>Мищенко А.В., Косоруков О.А., Пилюгина А.В.</t>
  </si>
  <si>
    <t>978-5-16-021057-5</t>
  </si>
  <si>
    <t>01.03.03, 01.04.02, 01.04.03, 01.04.04, 01.06.01, 23.04.01, 38.03.02, 38.04.02, 38.06.01</t>
  </si>
  <si>
    <t>425150.09.01</t>
  </si>
  <si>
    <t>Количественные методы в ист. исслед.: Уч.пос. / Под ред. Селунской Н.Б.-М.:НИЦ ИНФРА-М,2024.-255 с.(ВО)(П)</t>
  </si>
  <si>
    <t>КОЛИЧЕСТВЕННЫЕ МЕТОДЫ В ИСТОРИЧЕСКИХ ИССЛЕДОВАНИЯХ, ИЗД.1</t>
  </si>
  <si>
    <t>Селунская Н. Б., Петрова О. С., Карагодин А. В., Селунская Н. Б.</t>
  </si>
  <si>
    <t>978-5-16-006586-1</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</si>
  <si>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«История»</t>
  </si>
  <si>
    <t>824323.01.01</t>
  </si>
  <si>
    <t>Количественный финанс. и инвестиц. анализ: Прак.: Уч.пос. / Т.Б.Иззука. - М.:НИЦ ИНФРА-М,2025. - 213 с.(ВО)(п)</t>
  </si>
  <si>
    <t>КОЛИЧЕСТВЕННЫЙ ФИНАНСОВЫЙ И ИНВЕСТИЦИОННЫЙ АНАЛИЗ: ПРАКТИКУМ, ИЗД.1</t>
  </si>
  <si>
    <t>Иззука Т.Б., Герасимова Е.Б., Миловидова С.Н.</t>
  </si>
  <si>
    <t>978-5-16-020717-9</t>
  </si>
  <si>
    <t>824322.01.01</t>
  </si>
  <si>
    <t>Количественный финансовый и инвестиц. анализ: Уч. / Т.Б.Иззука. - М.:НИЦ ИНФРА-М,2025. - 223 с.(ВО)(п)</t>
  </si>
  <si>
    <t>КОЛИЧЕСТВЕННЫЙ ФИНАНСОВЫЙ И ИНВЕСТИЦИОННЫЙ АНАЛИЗ, ИЗД.1</t>
  </si>
  <si>
    <t>Иззука Т.Б., Герасимова Е.Б., Миловидова С.Н. и др.</t>
  </si>
  <si>
    <t>978-5-16-020514-4</t>
  </si>
  <si>
    <t>38.03.02, 38.04.01, 38.04.02, 38.04.08</t>
  </si>
  <si>
    <t>661931.11.01</t>
  </si>
  <si>
    <t>Коллизионные нормы в советском праве: Моногр. / Н.А.Власенко - М.:Юр.Норма, НИЦ ИНФРА-М,2026 - 100 с.(О)</t>
  </si>
  <si>
    <t>КОЛЛИЗИОННЫЕ НОРМЫ В СОВЕТСКОМ ПРАВЕ, ИЗД.1</t>
  </si>
  <si>
    <t>Власенко Н.А.</t>
  </si>
  <si>
    <t>978-5-91768-861-9</t>
  </si>
  <si>
    <t>779141.01.01</t>
  </si>
  <si>
    <t>Колониальный период истории США. Золотой век Виргинии / П.В.Востриков-М.:НИЦ ИНФРА-М,2022.-292 с.(О)</t>
  </si>
  <si>
    <t>КОЛОНИАЛЬНЫЙ ПЕРИОД ИСТОРИИ США. «ЗОЛОТОЙ ВЕК ВИРГИНИИ» (1680-1776), ИЗД.1</t>
  </si>
  <si>
    <t>Востриков П.В.</t>
  </si>
  <si>
    <t>978-5-16-017793-9</t>
  </si>
  <si>
    <t>41.04.01, 41.04.04, 41.04.05, 41.06.01</t>
  </si>
  <si>
    <t>814594.01.01</t>
  </si>
  <si>
    <t>Комбинированная техника в экобиотехн. и эколог. технологиях: Моногр. / Б.С.Ксенофонтов-М.:ИНФРА-М,2024-193с.(п)</t>
  </si>
  <si>
    <t>КОМБИНИРОВАННАЯ ТЕХНИКА В ЭКОБИОТЕХНОЛОГИЧЕСКИХ И ЭКОЛОГИЧЕСКИХ ТЕХНОЛОГИЯХ, ИЗД.1</t>
  </si>
  <si>
    <t>978-5-16-019245-1</t>
  </si>
  <si>
    <t>20.04.01, 20.06.01</t>
  </si>
  <si>
    <t>639825.08.01</t>
  </si>
  <si>
    <t>Коммент. к ГК РФ: В 2 т.Т.2 / Л.А.Трахтенгерц - 2 изд. - М.:НИЦ ИНФРА-М,2018-524с.(П)</t>
  </si>
  <si>
    <t>КОММЕНТАРИЙ К ГРАЖДАНСКОМУ КОДЕКСУ РОССИЙСКОЙ ФЕДЕРАЦИИ (ЧАСТИ ЧЕТВЕРТОЙ) (ПОСТАТЕЙНЫЙ), Т.1</t>
  </si>
  <si>
    <t>Трахтенгерц Л.А.</t>
  </si>
  <si>
    <t>978-5-16-012262-5</t>
  </si>
  <si>
    <t>Федеральный институт промышленной собственности</t>
  </si>
  <si>
    <t>733604.03.01</t>
  </si>
  <si>
    <t>Коммент. к главе 8 Кодекса РФ об адм. правонаруш. от 30.12.2001 г. / А.Ф. Ноздрачев - М.: НИЦ ИНФРА-М,2021-472с(П)</t>
  </si>
  <si>
    <t>КОММЕНТАРИЙ К ГЛАВЕ 8 КОДЕКСА РОССИЙСКОЙ ФЕДЕРАЦИИ ОБ АДМИНИСТРАТИВНЫХ ПРАВОНАРУШЕНИЯХ ОТ 30 ДЕКАБРЯ 2001 ГОДА № 195-ФЗ «АДМИНИСТРАТИВНЫЕ ПРАВОНАРУШЕНИЯ В СФЕРЕ ОХРАНЫ ОКРУЖАЮЩЕЙ СРЕДЫ И ПРИРОДОПОЛЬЗОВАНИЯ» (ПОСТАТЕЙНЫЙ), ИЗД.1</t>
  </si>
  <si>
    <t>Ноздрачев А.Ф., Васильева М.И., Галиновская Е.А. и др.</t>
  </si>
  <si>
    <t>978-5-16-016077-1</t>
  </si>
  <si>
    <t>095800.09.01</t>
  </si>
  <si>
    <t>Коммент. к ГПК РФ / В.В.Ярков,  - 5 изд. - М.:Юр.Норма, НИЦ ИНФРА-М,2026. -  928 с.(П)</t>
  </si>
  <si>
    <t>КОММЕНТАРИЙ К ГРАЖДАНСКОМУ ПРОЦЕССУАЛЬНОМУ КОДЕКСУ РОССИЙСКОЙ ФЕДЕРАЦИИ, ИЗД.5</t>
  </si>
  <si>
    <t>Ярков В.В.</t>
  </si>
  <si>
    <t>Комментарии "Нормы"</t>
  </si>
  <si>
    <t>978-5-00156-135-4</t>
  </si>
  <si>
    <t>40.02.04, 40.03.01, 40.04.01, 40.05.01, 40.05.02, 40.05.03, 40.05.04, 40.06.01</t>
  </si>
  <si>
    <t>095800.03.01</t>
  </si>
  <si>
    <t>Коммент. к ГПК РФ / В.И. Нечаев и др. - 4 изд., перераб. и доп. - М.: Юр.Норма,НИЦ ИНФРА-М, 2014-816</t>
  </si>
  <si>
    <t>КОММЕНТАРИЙ К ГРАЖДАНСКОМУ ПРОЦЕССУАЛЬНОМУ КОДЕКСУ РОССИЙСКОЙ ФЕДЕРАЦИИ, ИЗД.4</t>
  </si>
  <si>
    <t>Нечаев В.И., Ярков В.В., Нечаев В.И.</t>
  </si>
  <si>
    <t>978-5-91768-418-5</t>
  </si>
  <si>
    <t>Московский государственный университет им. М.В. Ломоносова, высшая школа государственного аудита (факультет)</t>
  </si>
  <si>
    <t>0413</t>
  </si>
  <si>
    <t>121850.12.01</t>
  </si>
  <si>
    <t>Коммент. к Земельному кодексу РФ (пост.) / Е.С.Болтанова - 6 изд. -  М.:ИЦ РИОР, НИЦ ИНФРА-М,2025 - 510 с.(о)</t>
  </si>
  <si>
    <t>КОММЕНТАРИЙ К ЗЕМЕЛЬНОМУ КОДЕКСУ РОССИЙСКОЙ ФЕДЕРАЦИИ (ПОСТАТЕЙНЫЙ), ИЗД.6</t>
  </si>
  <si>
    <t>978-5-369-01988-7</t>
  </si>
  <si>
    <t>06.03.02, 40.03.01, 40.04.01</t>
  </si>
  <si>
    <t>121850.13.01</t>
  </si>
  <si>
    <t>Коммент. к Земельному кодексу РФ (пост.) / Е.С.Болтанова - 7 изд. - М.:ИЦ РИОР, НИЦ ИНФРА-М,2026. - 534 с.(о)</t>
  </si>
  <si>
    <t>КОММЕНТАРИЙ К ЗЕМЕЛЬНОМУ КОДЕКСУ РОССИЙСКОЙ ФЕДЕРАЦИИ (ПОСТАТЕЙНЫЙ), ИЗД.7</t>
  </si>
  <si>
    <t>978-5-369-03003-5</t>
  </si>
  <si>
    <t>121850.02.01</t>
  </si>
  <si>
    <t>Коммент. к Земельному кодексу РФ (постат.) /Е.С.Болтанова - 2 изд. - РИОР: ИНФРА-М,2014-440с.(о) к/ф</t>
  </si>
  <si>
    <t>КОММЕНТАРИЙ К ЗЕМЕЛЬНОМУ КОДЕКСУ РОССИЙСКОЙ ФЕДЕРАЦИИ (ПОСТАТЕЙНЫЙ), ИЗД.2</t>
  </si>
  <si>
    <t>Болтанова Е.С.Женетль С. З.</t>
  </si>
  <si>
    <t>978-5-369-01274-1</t>
  </si>
  <si>
    <t>121850.10.01</t>
  </si>
  <si>
    <t>Коммент. к Земельному кодексу РФ (постат.)/ Е.С.Болтанова - 5 изд.-М.:ИЦ РИОР, НИЦ ИНФРА-М,2024.-487 с.(о)</t>
  </si>
  <si>
    <t>КОММЕНТАРИЙ К ЗЕМЕЛЬНОМУ КОДЕКСУ РОССИЙСКОЙ ФЕДЕРАЦИИ (ПОСТАТЕЙНЫЙ), ИЗД.5</t>
  </si>
  <si>
    <t>978-5-369-01947-4</t>
  </si>
  <si>
    <t>121850.09.01</t>
  </si>
  <si>
    <t>Коммент. к Земельному кодексу РФ(постат.) /Е.С.Болтанова - 4 изд. - М.:ИЦ РИОР,НИЦ ИНФРА-М,2023-477с(О)</t>
  </si>
  <si>
    <t>КОММЕНТАРИЙ К ЗЕМЕЛЬНОМУ КОДЕКСУ РОССИЙСКОЙ ФЕДЕРАЦИИ (ПОСТАТЕЙНЫЙ), ИЗД.4</t>
  </si>
  <si>
    <t>978-5-369-01882-8</t>
  </si>
  <si>
    <t>121850.06.01</t>
  </si>
  <si>
    <t>Коммент. к Земельному кодексу РФ(постат.) /Е.С.Болтанова- 3 изд.-М.:ИЦ РИОР,НИЦ ИНФРА-М,2019-412с(О)</t>
  </si>
  <si>
    <t>КОММЕНТАРИЙ К ЗЕМЕЛЬНОМУ КОДЕКСУ РОССИЙСКОЙ ФЕДЕРАЦИИ (ПОСТАТЕЙНЫЙ), ИЗД.3</t>
  </si>
  <si>
    <t>978-5-369-01691-6</t>
  </si>
  <si>
    <t>632528.04.01</t>
  </si>
  <si>
    <t>Коммент. к Конституции РФ для студент... / М.Б.Смоленский -М.:ИЦ РИОР,НИЦ ИНФРА-М,2019-230с.(О,к/ф)</t>
  </si>
  <si>
    <t>КОММЕНТАРИЙ К КОНСТИТУЦИИ РОССИЙСКОЙ ФЕДЕРАЦИИ ДЛЯ СТУДЕНТОВ И ШКОЛЬНИКОВ (ПОСТАТЕЙНЫЙ), ИЗД.1</t>
  </si>
  <si>
    <t>Смоленский М.Б.</t>
  </si>
  <si>
    <t>978-5-369-01561-2</t>
  </si>
  <si>
    <t>40.02.04, 44.02.03</t>
  </si>
  <si>
    <t>078300.15.01</t>
  </si>
  <si>
    <t>Коммент. к Трудовому кодексу РФ (пост.) / Г.С.Скачкова, - 12 изд.-М.:ИЦ РИОР, НИЦ ИНФРА-М,2022.-686 с.(О)</t>
  </si>
  <si>
    <t>КОММЕНТАРИЙ К ТРУДОВОМУ КОДЕКСУ РОССИЙСКОЙ ФЕДЕРАЦИИ (ПОСТАТЕЙНЫЙ), ИЗД.12</t>
  </si>
  <si>
    <t>Скачкова Г.С.</t>
  </si>
  <si>
    <t>978-5-369-01911-5</t>
  </si>
  <si>
    <t>38.03.01, 38.03.03, 38.03.04, 40.02.02, 40.02.04, 40.03.01, 40.04.01, 41.03.06, 44.03.05, 46.03.02</t>
  </si>
  <si>
    <t>1222</t>
  </si>
  <si>
    <t>078300.18.01</t>
  </si>
  <si>
    <t>Коммент. к Трудовому кодексу РФ (пост.)/ Г.С.Скачкова, - 13 изд.-М.:ИЦ РИОР, НИЦ ИНФРА-М,2023.-749 с.(о)</t>
  </si>
  <si>
    <t>КОММЕНТАРИЙ К ТРУДОВОМУ КОДЕКСУ РОССИЙСКОЙ ФЕДЕРАЦИИ (ПОСТАТЕЙНЫЙ), ИЗД.13</t>
  </si>
  <si>
    <t>978-5-369-01930-6</t>
  </si>
  <si>
    <t>1323</t>
  </si>
  <si>
    <t>078300.13.01</t>
  </si>
  <si>
    <t>Коммент. к Трудовому кодексу РФ (пост.): коммент. / Г.С.Скачкова, - 10 изд.-М.:ИЦ РИОР, НИЦ ИНФРА-М,2020.-580 с.(О)</t>
  </si>
  <si>
    <t>КОММЕНТАРИЙ К ТРУДОВОМУ КОДЕКСУ РОССИЙСКОЙ ФЕДЕРАЦИИ (ПОСТАТЕЙНЫЙ), ИЗД.10</t>
  </si>
  <si>
    <t>978-5-369-01847-7</t>
  </si>
  <si>
    <t>1020</t>
  </si>
  <si>
    <t>078300.14.01</t>
  </si>
  <si>
    <t>Коммент. к Трудовому кодексу РФ (пост.): коммент. / Г.С.Скачкова, - 11 изд.-М.:ИЦ РИОР, НИЦ ИНФРА-М,2021.-605 с.(О)</t>
  </si>
  <si>
    <t>КОММЕНТАРИЙ К ТРУДОВОМУ КОДЕКСУ РОССИЙСКОЙ ФЕДЕРАЦИИ (ПОСТАТЕЙНЫЙ), ИЗД.11</t>
  </si>
  <si>
    <t>978-5-369-01866-8</t>
  </si>
  <si>
    <t>078300.11.01</t>
  </si>
  <si>
    <t>Коммент. к Трудовому кодексу РФ (постат.) / Г.С.Скачкова - 9 изд.-М.:ИЦ РИОР, НИЦ ИНФРА-М,2019-566с(О)</t>
  </si>
  <si>
    <t>КОММЕНТАРИЙ К ТРУДОВОМУ КОДЕКСУ РОССИЙСКОЙ ФЕДЕРАЦИИ (ПОСТАТЕЙНЫЙ), ИЗД.9</t>
  </si>
  <si>
    <t>978-5-369-01799-9</t>
  </si>
  <si>
    <t>0919</t>
  </si>
  <si>
    <t>078300.19.01</t>
  </si>
  <si>
    <t>Коммент. к Трудовому кодексу РФ(пост.) / Г.С.Скачкова, - 14 изд. - М.:ИЦ РИОР, НИЦ ИНФРА-М,2024 - 776 с.(о)</t>
  </si>
  <si>
    <t>КОММЕНТАРИЙ К ТРУДОВОМУ КОДЕКСУ РОССИЙСКОЙ ФЕДЕРАЦИИ (ПОСТАТЕЙНЫЙ), ИЗД.14</t>
  </si>
  <si>
    <t>978-5-369-01964-1</t>
  </si>
  <si>
    <t>1424</t>
  </si>
  <si>
    <t>078300.08.01</t>
  </si>
  <si>
    <t>Коммент. к Трудовому кодексу РФ(постат.) /Г.С.Скачкова -7 изд. - М.:ИЦ РИОР,НИЦ ИНФРА-М,2017-538с(О)</t>
  </si>
  <si>
    <t>КОММЕНТАРИЙ К ТРУДОВОМУ КОДЕКСУ РОССИЙСКОЙ ФЕДЕРАЦИИ (ПОСТАТЕЙНЫЙ), ИЗД.7</t>
  </si>
  <si>
    <t>978-5-369-01633-6</t>
  </si>
  <si>
    <t>0717</t>
  </si>
  <si>
    <t>078300.09.01</t>
  </si>
  <si>
    <t>Коммент. к Трудовому кодексу РФ(постат.) /Г.С.Скачкова -8 изд. - М.:ИЦ РИОР,НИЦ ИНФРА-М,2018-538с(О)</t>
  </si>
  <si>
    <t>КОММЕНТАРИЙ К ТРУДОВОМУ КОДЕКСУ РОССИЙСКОЙ ФЕДЕРАЦИИ (ПОСТАТЕЙНЫЙ), ИЗД.8</t>
  </si>
  <si>
    <t>978-5-369-01777-7</t>
  </si>
  <si>
    <t>0818</t>
  </si>
  <si>
    <t>104450.02.01</t>
  </si>
  <si>
    <t>Коммент. к ФЗ "Об исполнительном производстве" / Под ред. В.В. Яркова. - НОРМА, 2014. - 656 с.</t>
  </si>
  <si>
    <t>КОММЕНТАРИЙ К ФЕДЕРАЛЬНОМУ ЗАКОНУ "ОБ ИСПОЛНИТЕЛЬНОМ ПРОИЗВОДСТВЕ", ИЗД.2</t>
  </si>
  <si>
    <t>978-5-91768-501-4</t>
  </si>
  <si>
    <t>37.05.02, 40.02.02, 40.02.04, 40.03.01, 40.04.01, 40.05.01, 40.05.02, 40.05.04</t>
  </si>
  <si>
    <t>104450.07.01</t>
  </si>
  <si>
    <t>Коммент. к ФЗ "Об исполнительном производстве" / Под ред. В.В. Яркова.- 3 изд. - М.:НОРМА, 2026. - 760 с.(П)</t>
  </si>
  <si>
    <t>КОММЕНТАРИЙ К ФЕДЕРАЛЬНОМУ ЗАКОНУ "ОБ ИСПОЛНИТЕЛЬНОМ ПРОИЗВОДСТВЕ", ИЗД.3</t>
  </si>
  <si>
    <t>Абушенко Д.Б., Зипунникова Ю.Н., Загайнова С.К. и др.</t>
  </si>
  <si>
    <t>978-5-00156-241-2</t>
  </si>
  <si>
    <t>130200.06.01</t>
  </si>
  <si>
    <t>Коммент. к ФЗ "Об общих принципах орг... / Под ред.Бабичева И.В.- 3 изд - Юр.Норма,НИЦ ИНФРА-М,2024-752с(П)</t>
  </si>
  <si>
    <t>КОММЕНТАРИЙ К ФЕДЕРАЛЬНОМУ ЗАКОНУ "ОБ ОБЩИХ ПРИНЦИПАХ ОРГАНИЗАЦИИ МЕСТНОГО САМОУПРАВЛЕНИЯ В РОССИЙСКОЙ ФЕДЕРАЦИИ", ИЗД.3</t>
  </si>
  <si>
    <t>Бабичев И. В., Шугрина Е. С.</t>
  </si>
  <si>
    <t>978-5-00156-166-8</t>
  </si>
  <si>
    <t>130200.03.01</t>
  </si>
  <si>
    <t>Коммент. к ФЗ "Об общих принципах орг... / Под ред.Бабичева И.В.-2изд-Юр.Норма,НИЦ ИНФРА-М,2015-672с</t>
  </si>
  <si>
    <t>КОММЕНТАРИЙ К ФЕДЕРАЛЬНОМУ ЗАКОНУ "ОБ ОБЩИХ ПРИНЦИПАХ ОРГАНИЗАЦИИ МЕСТНОГО САМОУПРАВЛЕНИЯ В РОССИЙСКОЙ ФЕДЕРАЦИИ", ИЗД.2</t>
  </si>
  <si>
    <t>978-5-91768-633-2</t>
  </si>
  <si>
    <t>768618.09.01</t>
  </si>
  <si>
    <t>Коммент. к ФЗ "Об оперативно-розыск. деят." / Овчинский В.С. - М.:Юр.Норма, НИЦ ИНФРА-М,2026. - 488 с.(П)</t>
  </si>
  <si>
    <t>КОММЕНТАРИЙ К ФЕДЕРАЛЬНОМУ ЗАКОНУ "ОБ ОПЕРАТИВНО-РОЗЫСКНОЙ ДЕЯТЕЛЬНОСТИ", ИЗД.1</t>
  </si>
  <si>
    <t>Овчинский В.С., Вагин О.А., Гаврилов Б.Я. и др.</t>
  </si>
  <si>
    <t>978-5-00156-213-9</t>
  </si>
  <si>
    <t>40.02.02, 40.03.01, 40.04.01, 40.05.01, 40.05.02, 40.05.03</t>
  </si>
  <si>
    <t>679405.02.01</t>
  </si>
  <si>
    <t>Коммент. к ФЗ от 01.05.2016 № 119-ФЗ «Об особ.. / Е.А.Галиновская-М.:НИЦ ИНФРА-М, ИЗиСП,2019-120с(О)</t>
  </si>
  <si>
    <t>КОММЕНТАРИЙ К ФЕДЕРАЛЬНОМУ ЗАКОНУ ОТ 01.05.2016 № 119-ФЗ «ОБ ОСОБЕННОСТЯХ ПРЕДОСТАВЛЕНИЯ ГРАЖДАНАМ ЗЕМЕЛЬНЫХ УЧАСТКОВ,НАХОДЯЩИХСЯ В ГОСУДАРСТВЕННОЙ ИЛИ МУНИЦИПАЛЬНОЙ СОБСТВЕННОСТИ И РАСПОЛОЖЕННЫХ НА ТЕРРИТОРИЯХ СУБЪЕКТОВ РОССИЙСКОЙ ФЕДЕРАЦИИ,ВХОДЯЩИХ В СОСТАВ ДАЛЬНЕВОСТОЧНОГО ФЕДЕРАЛЬНОГО ОКРУГА,, И</t>
  </si>
  <si>
    <t>Галиновская Е.А., Жариков Ю.Г., Ковалева Е.Л. и др.</t>
  </si>
  <si>
    <t>978-5-16-013701-8</t>
  </si>
  <si>
    <t>632528.10.01</t>
  </si>
  <si>
    <t>Комментарий к Конституции РФ для студ... / М.Б.Смоленский - 2 изд. - М.:ИЦ РИОР,НИЦ ИНФРА-М,2026 - 254 с.(О,к/ф)</t>
  </si>
  <si>
    <t>КОММЕНТАРИЙ К КОНСТИТУЦИИ РОССИЙСКОЙ ФЕДЕРАЦИИ ДЛЯ СТУДЕНТОВ И ШКОЛЬНИКОВ (ПОСТАТЕЙНЫЙ), ИЗД.2</t>
  </si>
  <si>
    <t>978-5-369-01897-2</t>
  </si>
  <si>
    <t>136800.09.01</t>
  </si>
  <si>
    <t>Коммерциализация интеллектуальной собств.: Моногр. /В.И.Мухопад -М.:Магистр,НИЦ ИНФРА-М,2025-512с(П)</t>
  </si>
  <si>
    <t>КОММЕРЦИАЛИЗАЦИЯ ИНТЕЛЛЕКТУАЛЬНОЙ СОБСТВЕННОСТИ, ИЗД.1</t>
  </si>
  <si>
    <t>Мухопад В. И.</t>
  </si>
  <si>
    <t>978-5-9776-0169-6</t>
  </si>
  <si>
    <t>15.04.01, 15.04.04, 23.04.01, 23.04.03, 26.04.01, 29.04.01, 29.04.02, 29.04.03, 38.03.06, 38.04.06, 40.03.01, 40.04.01</t>
  </si>
  <si>
    <t>469750.07.01</t>
  </si>
  <si>
    <t>Коммерция (по отраслям). Уч.мет.пос. / С.И.Жулидов - М.:ИД ФОРУМ, НИЦ ИНФРА-М,2020 -96с.(О)</t>
  </si>
  <si>
    <t>КОММЕРЦИЯ (ПО ОТРАСЛЯМ) : УЧЕБНО-МЕТОДИЧЕСКОЕ ПОСОБИЕ ПО ПОДГОТОВКЕ И ЗАЩИТЕ ВЫПУСКНОЙ КВАЛИФИКАЦИОННОЙ РАБОТЫ, ИЗД.1</t>
  </si>
  <si>
    <t>Жулидов С. И., Матырская Н. В., Земцова Н. Ф., Дуравина М. Ю.</t>
  </si>
  <si>
    <t>978-5-8199-0751-1</t>
  </si>
  <si>
    <t>38.02.03, 38.02.08</t>
  </si>
  <si>
    <t>Рекомендовано УМК в качестве учебного пособия для студентов средних специальных учебных заведений, обучающихся по специальности 38.02.04 «Коммерция»</t>
  </si>
  <si>
    <t>Многоотраслевой колледж г. Моршанск</t>
  </si>
  <si>
    <t>469750.08.01</t>
  </si>
  <si>
    <t>Коммерция (по отраслям): Уч.мет.пос. / С.И.Жулидов - 2 изд.-М.:НИЦ ИНФРА-М,2023.-209 с.(П)</t>
  </si>
  <si>
    <t>КОММЕРЦИЯ (ПО ОТРАСЛЯМ), ИЗД.2</t>
  </si>
  <si>
    <t>Жулидов С.И., Матырская Н.В., Катюхина Г.А. и др.</t>
  </si>
  <si>
    <t>978-5-16-016628-5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</si>
  <si>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38.02.04 «Коммерция (по отраслям)» (протокол № 6 от 08.06.2022)</t>
  </si>
  <si>
    <t>143550.06.01</t>
  </si>
  <si>
    <t>Коммерция в средствах массовой информации: уч.пос. / Г.А.Яковлев-М.:НИЦ ИНФРА-М,2024.-143 с..-(ВО)(о)</t>
  </si>
  <si>
    <t>КОММЕРЦИЯ В СРЕДСТВАХ МАССОВОЙ ИНФОРМАЦИИ, ИЗД.1</t>
  </si>
  <si>
    <t>Яковлев Г. А.</t>
  </si>
  <si>
    <t>978-5-16-019132-4</t>
  </si>
  <si>
    <t>42.03.01, 42.03.02, 42.03.03, 42.03.04, 42.03.05</t>
  </si>
  <si>
    <t>Рекомендовано в качестве учебного пособия для студентов высших учебных заведений, обучающихся по направлениям подготовки 42.03.01 «Реклама и связи с общественностью», 42.03.03 «Издательское дело», 42.03.04 «Телевидение» (квалификация (степень) «бакалавр»)</t>
  </si>
  <si>
    <t>214800.07.01</t>
  </si>
  <si>
    <t>Коммерция: Уч. пос. / Г.Г. Иванов, С.Л. Орлов. - М.: ИД ФОРУМ:  НИЦ ИНФРА-М, 2024. - 160 с.(ВО) (о)</t>
  </si>
  <si>
    <t>КОММЕРЦИЯ, ИЗД.1</t>
  </si>
  <si>
    <t>Иванов Г. Г., Орлов С. Л.</t>
  </si>
  <si>
    <t>978-5-8199-0555-5</t>
  </si>
  <si>
    <t>38.03.01, 38.03.02, 38.03.06, 38.03.07</t>
  </si>
  <si>
    <t>Рекомендовано кафедрой торговой политики РЭУ им. Г.В. Плеханова в качестве учебного пособия для студентов высших учебных заведений, обучающихя по направлениям «Торговое дело» (бакалвриат), «Экономика» (бакалавриат), «Менеджмент» (бакалавриат)</t>
  </si>
  <si>
    <t>684814.03.01</t>
  </si>
  <si>
    <t>Коммерция: Уч.пос. / Г.Г.Иванов - М.:ИД ФОРУМ, НИЦ ИНФРА-М,2023 - 160 с.-(СПО)(П)</t>
  </si>
  <si>
    <t>Иванов Г.Г., Орлов С.Л.</t>
  </si>
  <si>
    <t>978-5-8199-0807-5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</si>
  <si>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38.02.04 «Коммерция (по отраслям)»</t>
  </si>
  <si>
    <t>167100.08.01</t>
  </si>
  <si>
    <t>Коммерческая деят. предприятий торговли: Уч. пос. / Н.И.Денисова - М.: Магистр:  ИНФРА-М, 2027 - 480 с.(п)</t>
  </si>
  <si>
    <t>КОММЕРЧЕСКАЯ ДЕЯТЕЛЬНОСТЬ ПРЕДПРИЯТИЙ ТОРГОВЛИ, ИЗД.1</t>
  </si>
  <si>
    <t>Денисова Н. И.</t>
  </si>
  <si>
    <t>978-5-9776-0206-8</t>
  </si>
  <si>
    <t>Допущено УМО по образованию в области коммерции в качестве учебного пособия для студентов высших учебных заведений, обучающихся по специальности "Коммерция (торговое дело)"</t>
  </si>
  <si>
    <t>171600.12.01</t>
  </si>
  <si>
    <t>Коммерческая деятельность: Уч. / Г.Г.Иванов - М.:ИД ФОРУМ, ИНФРА-М,2024 - 384 с.(ВО)(П)</t>
  </si>
  <si>
    <t>КОММЕРЧЕСКАЯ ДЕЯТЕЛЬНОСТЬ, ИЗД.1</t>
  </si>
  <si>
    <t>Иванов Г. Г., Холин Е. С.</t>
  </si>
  <si>
    <t>978-5-8199-0939-3</t>
  </si>
  <si>
    <t>38.03.06, 38.03.07, 38.04.06</t>
  </si>
  <si>
    <t>Рекомендовано Советом ФЭТТ РЭУ им. Г.В. Плеханова в качестве учебника для студентов вузов, обучающихся по направлению 100700.52 "Торговое дело" (бакалавриат)</t>
  </si>
  <si>
    <t>422150.10.01</t>
  </si>
  <si>
    <t>Коммерческая логистика: Уч.пос. / Н.А.Нагапетьянц - 2 изд  - М.:НИЦ ИНФРА-М,2026 - 259 с.-(П)</t>
  </si>
  <si>
    <t>КОММЕРЧЕСКАЯ ЛОГИСТИКА, ИЗД.2</t>
  </si>
  <si>
    <t>Нагапетьянц Н.А., Каменева Н.Г., Поляков В.А. и др.</t>
  </si>
  <si>
    <t>978-5-16-015875-4</t>
  </si>
  <si>
    <t>29.04.02, 38.03.01, 38.03.02, 38.03.06, 41.03.06, 42.03.01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</si>
  <si>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8 от 22.06.2020)</t>
  </si>
  <si>
    <t>422150.06.01</t>
  </si>
  <si>
    <t>Коммерческая логистика: Уч.пос. / Н.А.Нагапетьянц -М.:Вуз. уч., НИЦ ИНФРА-М,2020.-253 с.(П)</t>
  </si>
  <si>
    <t>КОММЕРЧЕСКАЯ ЛОГИСТИКА, ИЗД.1</t>
  </si>
  <si>
    <t>978-5-9558-0303-6</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</si>
  <si>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38.04.02 «Менеджмент», 38.04.01 «Экономика» (квалификация (степень) «магистр»)</t>
  </si>
  <si>
    <t>719421.07.01</t>
  </si>
  <si>
    <t>Коммерческая логистика: Уч.пос. / Под ред. Нагапетьянца Н.А. - 2 изд. - М.:НИЦ ИНФРА-М,2026-259 с.(П)</t>
  </si>
  <si>
    <t>978-5-16-015895-2</t>
  </si>
  <si>
    <t>23.02.01, 38.02.03, 38.02.08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</si>
  <si>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3 от 17.03.2021)</t>
  </si>
  <si>
    <t>098200.05.01</t>
  </si>
  <si>
    <t>Коммерческое (предприним.) право: Уч. / В.Ф.Попондопуло,-4 изд.-М.:Юр.Норма,НИЦ ИНФРА-М,2017-608с(п)</t>
  </si>
  <si>
    <t>КОММЕРЧЕСКОЕ (ПРЕДПРИНИМАТЕЛЬСКОЕ) ПРАВО, ИЗД.4</t>
  </si>
  <si>
    <t>Попондопуло В. Ф.</t>
  </si>
  <si>
    <t>978-5-91768-568-7</t>
  </si>
  <si>
    <t>869280.01.01</t>
  </si>
  <si>
    <t>Коммуникативная философия права...: Моногр. / А.В.Поляков-М.:Юр. НОРМА,2026.-356 с.(п)</t>
  </si>
  <si>
    <t>КОММУНИКАТИВНАЯ ФИЛОСОФИЯ ПРАВА: ВВЕДЕНИЕ В ФИЛОСОФСКУЮ АНТРОПОЛОГИЮ ПРАВА И МОРАЛИ, ИЗД.1</t>
  </si>
  <si>
    <t>Поляков А.В.</t>
  </si>
  <si>
    <t>978-5-00156-467-6</t>
  </si>
  <si>
    <t>40.03.01, 40.04.01, 40.05.01, 40.06.01, 41.04.04, 47.04.01, 40.03.02</t>
  </si>
  <si>
    <t>432800.06.01</t>
  </si>
  <si>
    <t>Коммуникативная эффективность дел.: Моногр. / Л.Г.Павлова-2изд-ИЦ РИОР,НИЦ ИНФРА-М,2023-169(Науч.мысль)</t>
  </si>
  <si>
    <t>КОММУНИКАТИВНАЯ ЭФФЕКТИВНОСТЬ ДЕЛОВОГО ОБЩЕНИЯ, ИЗД.2</t>
  </si>
  <si>
    <t>Павлова Л.Г., Кашаева Е.Ю.</t>
  </si>
  <si>
    <t>978-5-369-01461-5</t>
  </si>
  <si>
    <t>08.02.14, 38.03.01, 38.03.03, 41.03.06</t>
  </si>
  <si>
    <t>278000.05.01</t>
  </si>
  <si>
    <t>Коммуникативный менеджмент: Уч.пос. / А.А.Шунейко - М.:Вуз.уч.,НИЦ ИНФРА-М,2024 - 176 с.(О)</t>
  </si>
  <si>
    <t>КОММУНИКАТИВНЫЙ МЕНЕДЖМЕНТ, ИЗД.1</t>
  </si>
  <si>
    <t>Шунейко А.А., Авдеенко И.А.</t>
  </si>
  <si>
    <t>978-5-9558-0488-0</t>
  </si>
  <si>
    <t>38.03.02, 38.04.02, 41.03.06, 42.03.02, 42.03.05, 42.04.02, 42.04.05</t>
  </si>
  <si>
    <t>Комсомольский-на-Амуре государственный университет</t>
  </si>
  <si>
    <t>273000.09.01</t>
  </si>
  <si>
    <t>Коммуникационный  маркетинг: креативные средства и инструменты: уч.пос. / А.М.Пономарева - М.:ИЦ РИОР, НИЦ ИНФРА-М,2026. - 247 с.-(ВО: Магистр.)(п)</t>
  </si>
  <si>
    <t>КОММУНИКАЦИОННЫЙ  МАРКЕТИНГ: КРЕАТИВНЫЕ СРЕДСТВА И ИНСТРУМЕНТЫ, ИЗД.1</t>
  </si>
  <si>
    <t>Пономарева А.М.</t>
  </si>
  <si>
    <t>978-5-369-01531-5</t>
  </si>
  <si>
    <t>27.03.02, 27.03.05, 38.03.02, 38.03.06, 38.04.02, 38.04.06, 42.03.01, 42.04.01, 43.03.01, 43.03.02, 43.03.03, 44.03.01, 44.03.05</t>
  </si>
  <si>
    <t>Рекомендовано Учебно-методическим объединением вузов России по образованию в области торгового дела в качестве учебного пособия для студентов высших учебных заведений, обучающихся по направлению «Торговое дело» (квалификакия(степень) «магистр»)</t>
  </si>
  <si>
    <t>Ростовский государственный экономический университет (РИНХ), ф-л в г. Миллерово</t>
  </si>
  <si>
    <t>668804.07.01</t>
  </si>
  <si>
    <t>Коммуникация. Стиль. Интеркультура: Уч.пос. / Л.В.Куликова - М.:НИЦ ИНФРА-М, СФУ,2026 - 268 с.(ВО)(П)</t>
  </si>
  <si>
    <t>КОММУНИКАЦИЯ. СТИЛЬ. ИНТЕРКУЛЬТУРА: ПРАГМАЛИНГВИСТИЧЕСКИЕ И КУЛЬТУРНО-АНТРОПОЛОГИЧЕСКИЕ ПОДХОДЫ К МЕЖКУЛЬТУРНОМУ ОБЩЕНИЮ, ИЗД.1</t>
  </si>
  <si>
    <t>Куликова Л.В.</t>
  </si>
  <si>
    <t>978-5-16-021616-4</t>
  </si>
  <si>
    <t>45.04.02</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</si>
  <si>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для студентов, обучающихся по направлению 45.04.02 «Лингвистика» (квалификация (степень) «магистр»)</t>
  </si>
  <si>
    <t>338900.09.01</t>
  </si>
  <si>
    <t>Компетентностный подход в управ. персоналом...: Уч.пос. / О.Л.Чуланова - 2 изд. - М.:ИНФРА-М,2027 - 116 с.(ВО)(о)</t>
  </si>
  <si>
    <t>КОМПЕТЕНТНОСТНЫЙ ПОДХОД В УПРАВЛЕНИИ ПЕРСОНАЛОМ: СХЕМЫ, ТАБЛИЦЫ, ПРАКТИКА ПРИМЕНЕНИЯ, ИЗД.2</t>
  </si>
  <si>
    <t>978-5-16-018840-9</t>
  </si>
  <si>
    <t>23.03.01, 38.03.01, 38.03.02, 38.03.03, 38.04.02, 38.04.03, 38.06.01, 41.03.06, 44.03.01, 51.03.02</t>
  </si>
  <si>
    <t>Рекомендовано в качестве учебного пособия для студентов образовательных организаций высшего образования, обучающихся по направлениям подготовки 38.03.03 «Управление персоналом» (уровень бакалавриата), 38.04.03 «Управление персоналом» (уровень магистратуры) и 38.06.01 «Экономика» (уровень подготовки кадров высшей квалификации)</t>
  </si>
  <si>
    <t>701559.04.01</t>
  </si>
  <si>
    <t>Компетентностный подход в управ. персоналом: Уч. / О.Л.Чуланова - М.:НИЦ ИНФРА-М,2026 - 368 с.(ВО)(П)</t>
  </si>
  <si>
    <t>КОМПЕТЕНТНОСТНЫЙ ПОДХОД В УПРАВЛЕНИИ ПЕРСОНАЛОМ, ИЗД.1</t>
  </si>
  <si>
    <t>978-5-16-014886-1</t>
  </si>
  <si>
    <t>Рекомендовано к публикации и использованию в учебном процессе Редакционно-издательским советом бюджетного учреждения высшего образования Ханты-Мансийского автономного округа — Югры «Сургутский государственный университет»</t>
  </si>
  <si>
    <t>338900.02.98</t>
  </si>
  <si>
    <t>Компетентностный подход в управл. персоналом:: Уч.пос. /О.Л.Чуланова -М.:НИЦ ИНФРА-М,2017-73с(ВО)(О)</t>
  </si>
  <si>
    <t>КОМПЕТЕНТНОСТНЫЙ ПОДХОД В УПРАВЛЕНИИ ПЕРСОНАЛОМ: СХЕМЫ, ТАБЛИЦЫ, ПРАКТИКА ПРИМЕНЕНИЯ, ИЗД.1</t>
  </si>
  <si>
    <t>978-5-16-010724-0</t>
  </si>
  <si>
    <t>Рекомендовано в качестве учебного пособия для студентов высших учебных заведений, обучающихся по направлению подготовки 38.03.03 «Управление персоналом» (квалификация (степень) «бакалавр»)</t>
  </si>
  <si>
    <t>645296.07.01</t>
  </si>
  <si>
    <t>Комплаенс-програм.организации: Практ. пос. /В.А.Черепанова,- 3изд.-М.:Вуз.уч., НИЦ ИНФРА-М,2018-288с</t>
  </si>
  <si>
    <t>КОМПЛАЕНС-ПРОГРАММА ОРГАНИЗАЦИИ, ИЗД.3</t>
  </si>
  <si>
    <t>Черепанова В.А.</t>
  </si>
  <si>
    <t>Переплет 7БЦ+каптал</t>
  </si>
  <si>
    <t>978-5-9558-0600-6</t>
  </si>
  <si>
    <t>38.03.01, 38.03.02, 38.03.03, 38.03.04, 38.04.02, 41.03.06</t>
  </si>
  <si>
    <t>645296.16.01</t>
  </si>
  <si>
    <t>Комплаенс-программа организации: Прак. рук. / В.А.Черепанова - 5 изд. - М.:НИЦ ИНФРА-М,2026 - 285 с.(ВО)(П)</t>
  </si>
  <si>
    <t>КОМПЛАЕНС-ПРОГРАММА ОРГАНИЗАЦИИ, ИЗД.5</t>
  </si>
  <si>
    <t>978-5-16-016722-0</t>
  </si>
  <si>
    <t>632305.08.01</t>
  </si>
  <si>
    <t>Комплексная автоматизация в энергосбережении: Уч.пос. / Р.С.Голов. - М.:НИЦ ИНФРА-М,2027 - 312 с.(ВО)(П)</t>
  </si>
  <si>
    <t>КОМПЛЕКСНАЯ АВТОМАТИЗАЦИЯ В ЭНЕРГОСБЕРЕЖЕНИИ, ИЗД.1</t>
  </si>
  <si>
    <t>Голов Р.С., Теплышев В.Ю., Сорокин А.Е. и др.</t>
  </si>
  <si>
    <t>978-5-16-011982-3</t>
  </si>
  <si>
    <t>09.05.01, 13.03.02, 13.04.01, 15.03.04</t>
  </si>
  <si>
    <t>Рекомендовано в качестве учебного пособия для студентов высших учебных заведений, обучающихся по направлениям подготовки 13.03.02 «Электроэнергетика и электротехника»,15.03.04 «Автоматизация технологических процессов и производств» (квалификация (степень) «бакалавр»)</t>
  </si>
  <si>
    <t>118450.18.01</t>
  </si>
  <si>
    <t>Комплексная защита информ.в корпорат сис..: Уч.пос. / В.Ф.Шаньгин - М.,НИЦ ИНФРА-М,2026 - 592 с.(ВО)(п)</t>
  </si>
  <si>
    <t>КОМПЛЕКСНАЯ ЗАЩИТА ИНФОРМАЦИИ В КОРПОРАТИВНЫХ СИСТЕМАХ, ИЗД.1</t>
  </si>
  <si>
    <t>978-5-16-022294-3</t>
  </si>
  <si>
    <t>09.03.03, 09.04.03, 27.04.03, 46.03.02</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</si>
  <si>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09.03.01 «Информатика и вычислительная техника»</t>
  </si>
  <si>
    <t>765616.05.01</t>
  </si>
  <si>
    <t>Комплексная защита картофеля: Моногр. / Под ред. Зейрука В.Н. - М.:НИЦ ИНФРА-М,2026. - 149 с.(п)</t>
  </si>
  <si>
    <t>КОМПЛЕКСНАЯ ЗАЩИТА КАРТОФЕЛЯ, ИЗД.1</t>
  </si>
  <si>
    <t>Блохин Ю.И., Зейрук В.Н., Васильева С.В. и др.</t>
  </si>
  <si>
    <t>978-5-16-020054-5</t>
  </si>
  <si>
    <t>35.03.04, 35.04.04, 35.06.01</t>
  </si>
  <si>
    <t>694929.04.01</t>
  </si>
  <si>
    <t>Комплексная методика автоматизир.обнаружения..:Моногр. / А.А.Рихтер-М.:НИЦ ИНФРА-М,2023-205с(Науч.мысль)(О)</t>
  </si>
  <si>
    <t>КОМПЛЕКСНАЯ МЕТОДИКА АВТОМАТИЗИРОВАННОГО ОБНАРУЖЕНИЯ И ОЦЕНКИ ПАРАМЕТРОВ ОБЪЕКТОВ ЗАХОРОНЕНИЯ ОТХОДОВ ПО ДАННЫМ КОСМИЧЕСКОЙ СЪЕМКИ, ИЗД.1</t>
  </si>
  <si>
    <t>Рихтер А.А.</t>
  </si>
  <si>
    <t>978-5-16-014562-4</t>
  </si>
  <si>
    <t>20.04.01, 20.04.02, 20.06.01</t>
  </si>
  <si>
    <t>Научно-исследовательский институт аэрокосмического мониторинга "АЭРОКОСМОС"</t>
  </si>
  <si>
    <t>758410.02.01</t>
  </si>
  <si>
    <t>Комплексная нелекарств. коррек. климактерич. расстройств.../ Р.Р.Бериханова - М.:НИЦ ИНФРА-М,2027 - 251 с.(П)</t>
  </si>
  <si>
    <t>КОМПЛЕКСНАЯ НЕЛЕКАРСТВЕННАЯ КОРРЕКЦИЯ КЛИМАКТЕРИЧЕСКИХ РАССТРОЙСТВ У ПАЦИЕНТОК С МЕТАБОЛИЧЕСКИМ СИНДРОМОМ, ИЗД.1</t>
  </si>
  <si>
    <t>Бериханова Р.Р., Миненко И.А.</t>
  </si>
  <si>
    <t>978-5-16-017061-9</t>
  </si>
  <si>
    <t>164550.10.01</t>
  </si>
  <si>
    <t>Комплексное восстановл. речи у взрослых пациентов... / В.А.Тинин - М.:ИЦ РИОР, НИЦ ИНФРА-М,2026 - 111 с.(О)</t>
  </si>
  <si>
    <t>КОМПЛЕКСНОЕ ВОССТАНОВЛЕНИЕ РЕЧИ У ВЗРОСЛЫХ ПАЦИЕНТОВ, ИЗД.1</t>
  </si>
  <si>
    <t>Тинин В.А.</t>
  </si>
  <si>
    <t>978-5-369-00995-6</t>
  </si>
  <si>
    <t>31.05.01, 31.05.02, 31.08.42, 44.04.03</t>
  </si>
  <si>
    <t>ГБУЗ «ГП№69 ДЗМ»</t>
  </si>
  <si>
    <t>672162.06.01</t>
  </si>
  <si>
    <t>Комплексное медико-псих.-педаг. сопров.лиц...: Моногр. / В.Г.Гончарова - М.:НИЦ ИНФРА-М,СФУ,2026 - 248 с.(о)</t>
  </si>
  <si>
    <t>КОМПЛЕКСНОЕ МЕДИКО-ПСИХОЛОГО-ПЕДАГОГИЧЕСКОЕ СОПРОВОЖДЕНИЕ ЛИЦ С ОГРАНИЧЕННЫМИ ВОЗМОЖНОСТЯМИ ЗДОРОВЬЯ В УСЛОВИЯХ НЕПРЕРЫВНОГО ИНКЛЮЗИВНОГО ОБРАЗОВАНИЯ, ИЗД.1</t>
  </si>
  <si>
    <t>Гончарова В.Г., Подопригора В.Г., Гончарова С.И.</t>
  </si>
  <si>
    <t>978-5-16-018908-6</t>
  </si>
  <si>
    <t>44.04.02, 44.04.03, 44.06.01</t>
  </si>
  <si>
    <t>672162.04.01</t>
  </si>
  <si>
    <t>Комплексное медико-псих.-педаг. сопров.лиц...: Моногр./В.Г.Гончарова-М.:НИЦ ИНФРА-М,СФУ,2023-248с(П)</t>
  </si>
  <si>
    <t>978-5-16-018184-4</t>
  </si>
  <si>
    <t>729722.07.01</t>
  </si>
  <si>
    <t>Комплексный анализ и аудит интегрир. отчетности...: Моногр. / В.П.Суйц - М.:НИЦ ИНФРА-М,2026 - 184с(П)</t>
  </si>
  <si>
    <t>КОМПЛЕКСНЫЙ АНАЛИЗ И АУДИТ ИНТЕГРИРОВАННОЙ ОТЧЕТНОСТИ ПО УСТОЙЧИВОМУ РАЗВИТИЮ КОМПАНИЙ, ИЗД.1</t>
  </si>
  <si>
    <t>Суйц В.П., Хорин А.Н., Шеремет А.Д. и др.</t>
  </si>
  <si>
    <t>978-5-16-015982-9</t>
  </si>
  <si>
    <t>033020.25.01</t>
  </si>
  <si>
    <t>Комплексный анализ хоз. деят. предпр.: Уч. / Г.В.Савицкая, - 7 изд. - М.:НИЦ ИНФРА-М,2025. - 608 с.(ВО)(П)</t>
  </si>
  <si>
    <t>КОМПЛЕКСНЫЙ АНАЛИЗ ХОЗЯЙСТВЕННОЙ ДЕЯТЕЛЬНОСТИ ПРЕДПРИЯТИЯ, ИЗД.7</t>
  </si>
  <si>
    <t>978-5-16-018752-5</t>
  </si>
  <si>
    <t>Рекомендовано в качестве учебника для студентов, обучающихся по направлению подготовки 38.03.01«Экономика» (квалификация (степень) «бакалавр»)</t>
  </si>
  <si>
    <t>033020.27.01</t>
  </si>
  <si>
    <t>Комплексный анализ хоз. деят. предпр.: Уч. / Г.В.Савицкая, - 8 изд. - М.:НИЦ ИНФРА-М,2027. - 541 с.(ВО)(п)</t>
  </si>
  <si>
    <t>КОМПЛЕКСНЫЙ АНАЛИЗ ХОЗЯЙСТВЕННОЙ ДЕЯТЕЛЬНОСТИ ПРЕДПРИЯТИЯ, ИЗД.8</t>
  </si>
  <si>
    <t>978-5-16-021525-9</t>
  </si>
  <si>
    <t>0827</t>
  </si>
  <si>
    <t>774778.03.01</t>
  </si>
  <si>
    <t>Комплексный анализ хоз. деятельности: Уч. / Е.В.Никифорова - М.:НИЦ ИНФРА-М,2026. - 248 с.(ВО)(п)</t>
  </si>
  <si>
    <t>КОМПЛЕКСНЫЙ АНАЛИЗ ХОЗЯЙСТВЕННОЙ ДЕЯТЕЛЬНОСТИ, ИЗД.1</t>
  </si>
  <si>
    <t>Никифорова Е.В., Ушанов И.Г., Шнайдер О.В.</t>
  </si>
  <si>
    <t>978-5-16-018780-8</t>
  </si>
  <si>
    <t>38.03.01, 38.03.02, 38.04.01, 38.04.02, 38.05.01</t>
  </si>
  <si>
    <t>818415.01.01</t>
  </si>
  <si>
    <t>Комплексный аудит экономич. безоп. хоз. субъект.: Уч.пос. / В.Д.Андреев-М.:Магистр, НИЦ ИНФРА-М,2024-392 с.(п)</t>
  </si>
  <si>
    <t>КОМПЛЕКСНЫЙ АУДИТ ЭКОНОМИЧЕСКОЙ БЕЗОПАСНОСТИ ХОЗЯЙСТВУЮЩИХ СУБЪЕКТОВ, ИЗД.1</t>
  </si>
  <si>
    <t>978-5-9776-0560-1</t>
  </si>
  <si>
    <t>38.05.01</t>
  </si>
  <si>
    <t>777573.01.01</t>
  </si>
  <si>
    <t>Комплексный подход к изучению природы и целей гос.: Моногр. / А.Г.Чернявский-М.:НИЦ ИНФРА-М,2022.-409 с.(П)</t>
  </si>
  <si>
    <t>КОМПЛЕКСНЫЙ ПОДХОД К ИЗУЧЕНИЮ ПРИРОДЫ И ЦЕЛЕЙ ГОСУДАРСТВА: ПОЛИТИКО-ПРАВОВОЕ ИССЛЕДОВАНИЕ, ИЗД.1</t>
  </si>
  <si>
    <t>978-5-16-017687-1</t>
  </si>
  <si>
    <t>38.05.01, 40.03.01, 40.04.01, 40.05.01, 40.05.02, 40.05.03, 40.05.04, 40.06.01, 41.03.04</t>
  </si>
  <si>
    <t>641517.03.01</t>
  </si>
  <si>
    <t>Комплексный риск-ориентир.аудит коммерч.орг.:Уч.пос. /В.Д.Андреев-М.:Магистр,НИЦ ИНФРА-М,2019-248(О)</t>
  </si>
  <si>
    <t>КОМПЛЕКСНЫЙ РИСК-ОРИЕНТИРОВАННЫЙ АУДИТ КОММЕРЧЕСКИХ ОРГАНИЗАЦИЙ, ИЗД.1</t>
  </si>
  <si>
    <t>978-5-9776-0439-0</t>
  </si>
  <si>
    <t>433500.07.01</t>
  </si>
  <si>
    <t>Комплексный фин. анализ в упр. предпр.: Уч.пос./ С.А.Бороненкова - 2 изд. - М.:НИЦ ИНФРА-М,2024 - 509 с.(ВО)(п)</t>
  </si>
  <si>
    <t>КОМПЛЕКСНЫЙ ФИНАНСОВЫЙ АНАЛИЗ В УПРАВЛЕНИИ ПРЕДПРИЯТИЕМ, ИЗД.2</t>
  </si>
  <si>
    <t>Бороненкова С.А., Мельник М.В., Чепулянис А.В.</t>
  </si>
  <si>
    <t>978-5-16-019744-9</t>
  </si>
  <si>
    <t>38.03.02, 38.04.01, 38.04.02, 38.04.08, 41.03.06</t>
  </si>
  <si>
    <t>433500.06.01</t>
  </si>
  <si>
    <t>Комплексный фин.анализ в упр.предпр.: Уч.пос. / С.А.Бороненкова - М.:Форум,НИЦ ИНФРА-М,2021-336с.(п)</t>
  </si>
  <si>
    <t>КОМПЛЕКСНЫЙ ФИНАНСОВЫЙ АНАЛИЗ В УПРАВЛЕНИИ ПРЕДПРИЯТИЕМ, ИЗД.1</t>
  </si>
  <si>
    <t>Бороненкова С.А., Мельник М.В.</t>
  </si>
  <si>
    <t>978-5-00091-581-3</t>
  </si>
  <si>
    <t>Рекомендовано Учебно-методическим объединением по образованию в области финансов, учета и мировой экономики в качестве учебного пособия для бакалавров и магистров, обучающихся по направлениям подготовки 38.03.01, 38.04.01 «Экономика» и 38.03.02, 38.04.02 «Менеджмент»</t>
  </si>
  <si>
    <t>433400.04.01</t>
  </si>
  <si>
    <t>Комплексный эконом. анализ в упр.предпр.: Уч.пос. / С.А.Бороненкова-М.:Форум, НИЦ ИНФРА-М,2021-352с(ВО)(G)</t>
  </si>
  <si>
    <t>КОМПЛЕКСНЫЙ ЭКОНОМИЧЕСКИЙ АНАЛИЗ В УПРАВЛЕНИИ ПРЕДПРИЯТИЕМ, ИЗД.1</t>
  </si>
  <si>
    <t>978-5-16-016455-7</t>
  </si>
  <si>
    <t>Рекомендовано Учебно-методическим объединением по образованию в области финансов, учета и мировой экономики в качестве учебного пособия для бакалавров и магистров, обучающихся по направлению подготовки «Экономика»</t>
  </si>
  <si>
    <t>433400.05.01</t>
  </si>
  <si>
    <t>Комплексный эконом. анализ в управ. предпр.: Уч.пос. / С.А.Бороненкова - 2изд.-М.:НИЦ ИНФРА-М,2024-352с(П)</t>
  </si>
  <si>
    <t>КОМПЛЕКСНЫЙ ЭКОНОМИЧЕСКИЙ АНАЛИЗ В УПРАВЛЕНИИ ПРЕДПРИЯТИЕМ, ИЗД.2</t>
  </si>
  <si>
    <t>978-5-16-017109-8</t>
  </si>
  <si>
    <t>051700.15.01</t>
  </si>
  <si>
    <t>Комплексный экономический анализ хоз. деят.: Уч. пос./Л.Е.Басовский - ИНФРА-М, 2025 - 336 с.(ВО) (П)</t>
  </si>
  <si>
    <t>КОМПЛЕКСНЫЙ ЭКОНОМИЧЕСКИЙ АНАЛИЗ ХОЗЯЙСТВЕННОЙ ДЕЯТЕЛЬНОСТИ, ИЗД.1</t>
  </si>
  <si>
    <t>Басовский Л. Е., Басовская Е. Н.</t>
  </si>
  <si>
    <t>978-5-16-006617-2</t>
  </si>
  <si>
    <t>Рекомендовано УМО по образованию в области финансов, учета и мировой экономики в качестве учебного пособия для студентов вузов, обучающихся по специальности  "Бухгалтерский учет, анализ и аудит"</t>
  </si>
  <si>
    <t>243300.04.01</t>
  </si>
  <si>
    <t>Комплексный экономический анализ: Уч. пос. / М.В. Мельник - М.: Форум:  НИЦ ИНФРА-М, 2020.-368 с.(о)</t>
  </si>
  <si>
    <t>КОМПЛЕКСНЫЙ ЭКОНОМИЧЕСКИЙ АНАЛИЗ, ИЗД.1</t>
  </si>
  <si>
    <t>Мельник М. В., Кривцов А. И., Горлова О. В.</t>
  </si>
  <si>
    <t>978-5-91134-822-9</t>
  </si>
  <si>
    <t>38.03.01, 38.03.02, 38.03.04, 38.03.05, 38.03.06, 38.03.10</t>
  </si>
  <si>
    <t>Рекомендовано УМО по образованию в области финансов, учета и мировой экономики в качестве учебного пособия для бакалавров и магистров по направлениям «Экономика» и «Менеджмент»</t>
  </si>
  <si>
    <t>243300.08.01</t>
  </si>
  <si>
    <t>Комплексный экономический анализ: Уч.пос. / М.В.Мельник - 2 изд.-М.:НИЦ ИНФРА-М,2025.-368 с..-(ВО)(П)</t>
  </si>
  <si>
    <t>КОМПЛЕКСНЫЙ ЭКОНОМИЧЕСКИЙ АНАЛИЗ, ИЗД.2</t>
  </si>
  <si>
    <t>Мельник М.В., Кривцов А.И., Лихтарова О.В.</t>
  </si>
  <si>
    <t>978-5-16-016385-7</t>
  </si>
  <si>
    <t>757945.01.01</t>
  </si>
  <si>
    <t>Комплексный экономический анализ: Уч.пос. / М.В.Мельник - М.:НИЦ ИНФРА-М,2021 - 316 с.(СПО)(П)</t>
  </si>
  <si>
    <t>978-5-16-016962-0</t>
  </si>
  <si>
    <t>776799.01.01</t>
  </si>
  <si>
    <t>Комплексный экономический анализ: Уч.пос. / М.В.Мельник - М.:НИЦ ИНФРА-М,2022 - 352 с.(СПО)(П)</t>
  </si>
  <si>
    <t>978-5-16-017635-2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</si>
  <si>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10 от 15.12.2021)</t>
  </si>
  <si>
    <t>462800.05.01</t>
  </si>
  <si>
    <t>Комплексный экономический анализ: Уч.пос. / М.В.Мельник.-М.:Форум, НИЦ ИНФРА-М,2024.-352 с.(ВО)(П)</t>
  </si>
  <si>
    <t>978-5-00091-736-7</t>
  </si>
  <si>
    <t>38.03.01, 38.03.02, 38.03.03, 38.03.04, 38.03.05, 38.03.06, 38.03.07, 38.05.01, 38.05.02</t>
  </si>
  <si>
    <t>702865.09.01</t>
  </si>
  <si>
    <t>Комплексы технич. диагностики мех. оборуд....: Уч.пос. / А.С.Мазнев - М.:НИЦ ИНФРА-М,2026 - 119 с.(О)</t>
  </si>
  <si>
    <t>КОМПЛЕКСЫ ТЕХНИЧЕСКОЙ ДИАГНОСТИКИ МЕХАНИЧЕСКОГО ОБОРУДОВАНИЯ ЭЛЕКТРИЧЕСКОГО ПОДВИЖНОГО СОСТАВА, ИЗД.1</t>
  </si>
  <si>
    <t>Мазнев А.С., Федоров Д.В.</t>
  </si>
  <si>
    <t>978-5-16-020688-2</t>
  </si>
  <si>
    <t>23.05.03</t>
  </si>
  <si>
    <t>Рекомендовано Экспертным советом по рецензированию Московского государственного университета путей сообщения, уполномоченным приказом Минобрнауки России от 15 января 2007 г. № 10, к использованию в качестве учебного пособия для студентов, обучающихся по специальности «Подвижной состав железных дорог» ВПО (регистрационный номер рецензии 434 от 24 октября 2013 г. базового учреждения ФГАУ «Федеральный институт развития образования»)</t>
  </si>
  <si>
    <t>304600.09.01</t>
  </si>
  <si>
    <t>Композиция в архитектуре и градостроит.: Уч. пос./Г.А.Потаев - Форум: ИНФРА-М, 2025. - 304 с.(ВО)(п)</t>
  </si>
  <si>
    <t>КОМПОЗИЦИЯ В АРХИТЕКТУРЕ И ГРАДОСТРОИТЕЛЬСТВЕ, ИЗД.1</t>
  </si>
  <si>
    <t>978-5-91134-966-0</t>
  </si>
  <si>
    <t>07.03.01, 07.03.03, 07.03.04, 07.04.01, 07.04.03, 07.04.04, 35.03.10, 35.04.09</t>
  </si>
  <si>
    <t>682953.09.01</t>
  </si>
  <si>
    <t>Композиция в архитектуре и градостроит.: Уч.пос. / Г.А.Потаев - М, НИЦ ИНФРА-М,2026 - 304 с.(СПО)(П)</t>
  </si>
  <si>
    <t>978-5-16-021747-5</t>
  </si>
  <si>
    <t>07.02.01, 29.01.09, 42.02.01, 43.01.11, 43.02.17, 53.02.09, 54.01.01, 54.01.06, 54.01.12, 54.01.20, 54.02.01, 54.02.02, 54.02.04, 54.02.06, 54.02.07, 54.02.08, 55.02.02, 55.02.03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</si>
  <si>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07.02.00 «Архитектура» (протокол № 9 от 13.05.2019)</t>
  </si>
  <si>
    <t>708894.05.01</t>
  </si>
  <si>
    <t>Композиция и дизайн мебели: Уч. / А.А.Барташевич - 2 изд. - М.:НИЦ ИНФРА-М,2026 - 178 с.-(ВО)(п)</t>
  </si>
  <si>
    <t>КОМПОЗИЦИЯ И ДИЗАЙН МЕБЕЛИ, ИЗД.2</t>
  </si>
  <si>
    <t>978-5-16-020214-3</t>
  </si>
  <si>
    <t>35.03.02, 54.03.01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</si>
  <si>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35.03.02 «Технология лесозаготовительных и деревоперерабатывающих производств», 54.03.03 «Дизайн» (квалификация (степень) «бакалавр») (протокол № 2 от 03.02.2020)</t>
  </si>
  <si>
    <t>741928.06.01</t>
  </si>
  <si>
    <t>Композиция и дизайн мебели: Уч. / А.А.Барташевич, - 2 изд. - М.:НИЦ ИНФРА-М,2026. - 178 с.(СПО)(П)</t>
  </si>
  <si>
    <t>978-5-16-016802-9</t>
  </si>
  <si>
    <t>29.01.09, 35.02.18, 42.02.01, 43.02.17, 53.02.09, 54.02.01, 54.02.02, 54.02.04, 54.02.06, 54.02.07, 54.02.08, 55.02.03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</si>
  <si>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35.02.03 «Технология деревообработки», 54.02.01 «Дизайн (по отраслям)» (протокол № 10 от 12.10.2020)</t>
  </si>
  <si>
    <t>837137.01.01</t>
  </si>
  <si>
    <t>Компоненты микросистемной техники...: Уч.пос. / П.С.Маринушкин - М.:НИЦ ИНФРА-М, СФУ,2025.-132 с.(ВО(СФУ))(п)</t>
  </si>
  <si>
    <t>КОМПОНЕНТЫ МИКРОСИСТЕМНОЙ ТЕХНИКИ. ОСНОВЫ КОНЕЧНО-ЭЛЕМЕНТНОГО АНАЛИЗА РАДИОЧАСТОТНЫХ МИКРОЭЛЕКТРОМЕХАНИЧЕСКИХ СИСТЕМ, ИЗД.1</t>
  </si>
  <si>
    <t>Маринушкин П.С., Левицкий А.А.</t>
  </si>
  <si>
    <t>978-5-16-020175-7</t>
  </si>
  <si>
    <t>11.04.04, 11.05.01</t>
  </si>
  <si>
    <t>806260.02.01</t>
  </si>
  <si>
    <t>Компьютер и Основы Программирования: Уч. / М.В.Мельничук - М.:НИЦ ИНФРА-М,2024. - 460 с.(ВО)(п)</t>
  </si>
  <si>
    <t>COMPUTER AND COMPUTER PROGRAMMING (КОМПЬЮТЕР И ОСНОВЫ ПРОГРАММИРОВАНИЯ), ИЗД.1</t>
  </si>
  <si>
    <t>978-5-16-018710-5</t>
  </si>
  <si>
    <t>682954.14.01</t>
  </si>
  <si>
    <t>Компьютерная графика и web-дизайн: Уч.пос. / Гагарина Л.Г. - М.:ИД ФОРУМ, НИЦ ИНФРА-М,2027 - 400 с.(П)</t>
  </si>
  <si>
    <t>КОМПЬЮТЕРНАЯ ГРАФИКА И WEB-ДИЗАЙН, ИЗД.1</t>
  </si>
  <si>
    <t>Немцова Т.И., Казанкова Т.В., Шнякин А.В. и др.</t>
  </si>
  <si>
    <t>978-5-8199-0790-0</t>
  </si>
  <si>
    <t>05.02.01, 09.02.01, 09.02.02, 09.02.03, 09.02.04, 09.02.05, 09.02.06, 09.02.07, 09.02.08, 21.02.19, 24.02.02, 54.02.01</t>
  </si>
  <si>
    <t>Рекомендовано Учебно-методическим советом по среднему профессиональному образованию в качестве учебного пособия для студентов, обучающихся по УГС 09.02.00 «Информатика и вычислительная техника»</t>
  </si>
  <si>
    <t>ООО "ИННОВАЦИЯ" структурное подразделение "Центр Компьютерного Обучения и Дополнительного Образовани</t>
  </si>
  <si>
    <t>467550.13.01</t>
  </si>
  <si>
    <t>Компьютерная графика и web-дизайн: Уч.пос. / Под ред. Гагариной Л.Г. - М.:НИЦ ИНФРА-М,2026. - 400 с.(ВО)(п)</t>
  </si>
  <si>
    <t>978-5-16-021098-8</t>
  </si>
  <si>
    <t>07.03.03, 09.03.01, 09.03.03</t>
  </si>
  <si>
    <t>Рекомендовано Научно-методическим советом федерального государственного автономного образовательного учреждения высшего профессионального образования «Национальный исследовательский университет «МИЭТ» в качестве учебного пособия для студентов, обучающихся по направлению подготовки 09.03.04 «Программная инженерия»</t>
  </si>
  <si>
    <t>799997.01.01</t>
  </si>
  <si>
    <t>Компьютерная графика: Компас-3 v22: Уч.пос. / В.Н.Шитов - М.:НИЦ ИНФРА-М,2026. - 258 с.(СПО)(п)</t>
  </si>
  <si>
    <t>КОМПЬЮТЕРНАЯ ГРАФИКА: КОМПАС-3 V22, ИЗД.1</t>
  </si>
  <si>
    <t>978-5-16-020516-8</t>
  </si>
  <si>
    <t>15.02.16</t>
  </si>
  <si>
    <t>447400.03.01</t>
  </si>
  <si>
    <t>Компьютерная математика: Уч.пос. / К.В.Титов-М.:ИЦ РИОР, НИЦ ИНФРА-М,2023.-261 с.(ВО)(П)</t>
  </si>
  <si>
    <t>КОМПЬЮТЕРНАЯ МАТЕМАТИКА, ИЗД.1</t>
  </si>
  <si>
    <t>К.В.Титов</t>
  </si>
  <si>
    <t>978-5-369-01470-7</t>
  </si>
  <si>
    <t>01.03.01, 01.03.02, 01.03.04, 01.04.01, 01.04.02, 01.04.04, 02.03.01, 02.04.01</t>
  </si>
  <si>
    <t>122850.13.01</t>
  </si>
  <si>
    <t>Компьютерная оценка воздейств.на...: Уч.пос. / В.П.Мешалкин - М.:НИЦ ИНФРА-М, 2025 - 449 с.(ВО)(о)</t>
  </si>
  <si>
    <t>КОМПЬЮТЕРНАЯ ОЦЕНКА ВОЗДЕЙСТВИЯ НА ОКРУЖАЮЩУЮ СРЕДУ МАГИСТРАЛЬНЫХ ТРУБОПРОВОДОВ, ИЗД.1</t>
  </si>
  <si>
    <t>Мешалкин В.П., Бутусов О.Б.</t>
  </si>
  <si>
    <t>978-5-16-018615-3</t>
  </si>
  <si>
    <t>05.03.06, 44.03.05</t>
  </si>
  <si>
    <t>Допущено учебно-методическим объединением вузов Российской Федерации по образованию в области химической технологии и биотехнологии в качестве учебного пособия для студентов, обучающихся по направлению подготовки 18.03.02 «Энерго- и ресурсосберегающие процессы химической технологии, нефтехимии и биотехнологии»</t>
  </si>
  <si>
    <t>084450.13.01</t>
  </si>
  <si>
    <t>Компьютерная электрофизиол. и функцион. диагн.: Уч.пос. / А.П. Кулаичев - 5 изд. - М.:Форум,2025 - 470 с.(П)</t>
  </si>
  <si>
    <t>КОМПЬЮТЕРНАЯ ЭЛЕКТРОФИЗИОЛОГИЯ И ФУНКЦИОНАЛЬНАЯ ДИАГНОСТИКА, ИЗД.5</t>
  </si>
  <si>
    <t>Кулаичев А.</t>
  </si>
  <si>
    <t>978-5-16-021018-6</t>
  </si>
  <si>
    <t>30.05.02, 30.05.03, 31.05.01, 31.05.02</t>
  </si>
  <si>
    <t>Допущено Учебно-методическим объединением по классическому университетскому образованию в качестве учебного пособия для вузов по дисциплинам «Физиология», «Психология»</t>
  </si>
  <si>
    <t>Московский государственный университет им. М.В. Ломоносова, биологический факультет</t>
  </si>
  <si>
    <t>683088.05.01</t>
  </si>
  <si>
    <t>Компьютерное моделирование многофазных течений при...: Уч.пос./Е.Ю.Шарай-М.:НИЦ ИНФРА-М,2024-128с(П)</t>
  </si>
  <si>
    <t>КОМПЬЮТЕРНОЕ МОДЕЛИРОВАНИЕ МНОГОФАЗНЫХ ТЕЧЕНИЙ ПРИ РЕШЕНИИ ЗАДАЧ ТЕХНОСФЕРНОЙ БЕЗОПАСНОСТИ, ИЗД.1</t>
  </si>
  <si>
    <t>Шарай Е.Ю., Девисилов В.А.</t>
  </si>
  <si>
    <t>978-5-16-014257-9</t>
  </si>
  <si>
    <t>20.04.01, 20.04.02, 20.05.01</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</si>
  <si>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20.00.00 «Техносферная безопасность и природообустройство» в качестве учебного пособия для студентов, обучающихся по основным образовательным программам высшего образования по направлению подготовки магистров 20.04.01 «Техносферная безопасность»</t>
  </si>
  <si>
    <t>488850.11.01</t>
  </si>
  <si>
    <t>Компьютерное моделирование..: Уч. пос. / Г.К. Сосновиков - М.: Форум: М.: НИЦ ИНФРА-М, 2027 -112 с.(О)</t>
  </si>
  <si>
    <t>КОМПЬЮТЕРНОЕ МОДЕЛИРОВАНИЕ. ПРАКТИКУМ ПО ИМИТАЦИОННОМУ МОДЕЛИРОВАНИЮ В СРЕДЕ GPSS WORLD, ИЗД.1</t>
  </si>
  <si>
    <t>Сосновиков Г.К., Воробейчиков Л.А.</t>
  </si>
  <si>
    <t>978-5-00091-826-5</t>
  </si>
  <si>
    <t>02.03.02, 02.04.02, 09.03.02, 09.04.02, 11.03.02, 11.04.02</t>
  </si>
  <si>
    <t>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 обучающихся по направлению подготовки 11.03.02 «Инфокоммуникационные технологии и системы св</t>
  </si>
  <si>
    <t>638282.12.01</t>
  </si>
  <si>
    <t>Компьютерное моделирование: Уч. / В.М.Градов и др. - М.:КУРС, НИЦ ИНФРА-М,2026 - 264 с.(ВО)(П)</t>
  </si>
  <si>
    <t>КОМПЬЮТЕРНОЕ МОДЕЛИРОВАНИЕ, ИЗД.1</t>
  </si>
  <si>
    <t>Градов В.М., Овечкин Г.В., Овечкин П.В. и др.</t>
  </si>
  <si>
    <t>978-5-906818-79-9</t>
  </si>
  <si>
    <t>02.03.03, 02.04.03</t>
  </si>
  <si>
    <t>Рекомендовано Научно-методическим советом «РГРТУ» в качестве учебника для студентов высших учебных заведений. обучающихся по направлению подготовки 02.03.03 — математическое обеспечение и администрирование информационных систем (квалификация «бакалавр»)</t>
  </si>
  <si>
    <t>474850.10.01</t>
  </si>
  <si>
    <t>Компьютерное формообразование в дизайне: Уч.пос. / Л.Б.Каршакова - НИЦ ИНФРА-М, 2026 - 240 с.(ВО: Бак.) (п)</t>
  </si>
  <si>
    <t>КОМПЬЮТЕРНОЕ ФОРМООБРАЗОВАНИЕ В ДИЗАЙНЕ, ИЗД.1</t>
  </si>
  <si>
    <t>Каршакова Л.Б., Яковлева Н.Б., Бесчастнов П.Н.</t>
  </si>
  <si>
    <t>978-5-16-010191-0</t>
  </si>
  <si>
    <t>09.03.02, 54.03.01, 54.03.03</t>
  </si>
  <si>
    <t>Допущено УМО по образованию в области технологии, конструирования изделий легкой промышленности в качестве учебного пособия для бакалавров и магистров, обучающихся в высших учебных заведениях по направлению подготовки "Информационные системы и технологии», профиль «Информационные технологии в дизайне"</t>
  </si>
  <si>
    <t>788245.04.01</t>
  </si>
  <si>
    <t>Компьютерно-ориентир. методы динамич. сис.: Уч.пос. / Г.С.Осипенко - М.:НИЦ ИНФРА-М,2026. - 295 с(ВО)(п)</t>
  </si>
  <si>
    <t>КОМПЬЮТЕРНО-ОРИЕНТИРОВАННЫЕ МЕТОДЫ ДИНАМИЧЕСКИХ СИСТЕМ, ИЗД.1</t>
  </si>
  <si>
    <t>Осипенко Г.С.</t>
  </si>
  <si>
    <t>978-5-16-018137-0</t>
  </si>
  <si>
    <t>01.03.02, 01.04.04, 02.03.03</t>
  </si>
  <si>
    <t>Московский государственный университет им. М.В. Ломоносова, ф-л в г. Севастополь</t>
  </si>
  <si>
    <t>690241.03.01</t>
  </si>
  <si>
    <t>Компьютерные програм. в электроэнергетике: Прак.: Уч.пос. / А.М.Башкатов. - М.:НИЦ ИНФРА-М,2027 - 455 с.(СПО)(П)</t>
  </si>
  <si>
    <t>КОМПЬЮТЕРНЫЕ ПРОГРАММЫ В ЭЛЕКТРОЭНЕРГЕТИКЕ. ПРАКТИКУМ, ИЗД.1</t>
  </si>
  <si>
    <t>Башкатов А.М., Сумеркин Е.А., Заседателев Р.С.</t>
  </si>
  <si>
    <t>978-5-16-015738-2</t>
  </si>
  <si>
    <t>13.02.07, 08.02.16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</si>
  <si>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10 от 12.10.2020)</t>
  </si>
  <si>
    <t>Приднестровский Государственный университет им. Т. Г. Шевченко</t>
  </si>
  <si>
    <t>064700.20.01</t>
  </si>
  <si>
    <t>Компьютерные сети: Уч.пос. / А.В.Кузин, - 4 изд. - М.:НИЦ ИНФРА-М,2026. - 190 с.-(СПО)(п)</t>
  </si>
  <si>
    <t>КОМПЬЮТЕРНЫЕ СЕТИ, ИЗД.4</t>
  </si>
  <si>
    <t>Кузин А.В., Кузин Д.А.</t>
  </si>
  <si>
    <t>978-5-16-021609-6</t>
  </si>
  <si>
    <t>09.02.01, 09.02.02, 09.02.03, 09.02.04, 09.02.05, 09.02.06, 09.02.07, 09.02.08, 09.02.09, 10.02.01, 10.02.02, 10.02.03, 10.02.04, 10.02.05, 11.02.15</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</si>
  <si>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направлениям подготовки 09.02.02 «Компьютерные сети», 09.02.01 «Компьютерные системы и комплексы» и 09.02.05 «Прикладная информатика (по отраслям)»</t>
  </si>
  <si>
    <t>0416</t>
  </si>
  <si>
    <t>040100.31.01</t>
  </si>
  <si>
    <t>Компьютерные сети: Уч.пос. / Н.В.Максимов - 6 изд. - М.:Форум,НИЦ ИНФРА-М,2026 - 464 с.(СПО)(П)</t>
  </si>
  <si>
    <t>КОМПЬЮТЕРНЫЕ СЕТИ, ИЗД.6</t>
  </si>
  <si>
    <t>Максимов Н. В., Попов И. И.</t>
  </si>
  <si>
    <t>978-5-00091-454-0</t>
  </si>
  <si>
    <t>09.01.03, 09.01.04, 09.02.01, 09.02.02, 09.02.03, 09.02.04, 09.02.05, 09.02.06, 09.02.07, 09.02.08, 09.02.09, 10.02.01, 10.02.02, 10.02.03, 11.02.15, 11.02.18</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</si>
  <si>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специальностям информатики и вычислительной техники</t>
  </si>
  <si>
    <t>765368.01.01</t>
  </si>
  <si>
    <t>Компьютерные технологии в проф. деят.: Уч. / Н.В.Кузнецова-М.:НИЦ ИНФРА-М,2023.-280 с.(ВО:Магистр)(п)</t>
  </si>
  <si>
    <t>КОМПЬЮТЕРНЫЕ ТЕХНОЛОГИИ В ПРОФЕССИОНАЛЬНОЙ ДЕЯТЕЛЬНОСТИ, ИЗД.1</t>
  </si>
  <si>
    <t>Кузнецова Н.В., Морозкина С.С.</t>
  </si>
  <si>
    <t>978-5-16-017539-3</t>
  </si>
  <si>
    <t>178750.09.01</t>
  </si>
  <si>
    <t>Компьютерный видеомонтаж: Уч.пос. / Л.И.Алешин - М.:Форум,2026 - 176 с.(О)</t>
  </si>
  <si>
    <t>КОМПЬЮТЕРНЫЙ ВИДЕОМОНТАЖ, ИЗД.1</t>
  </si>
  <si>
    <t>978-5-91134-634-8</t>
  </si>
  <si>
    <t>09.02.05</t>
  </si>
  <si>
    <t>085870.12.01</t>
  </si>
  <si>
    <t>Компьютерный практикум по информатике. Офис. техн.: Уч.пос. / Г.В.Калабухова-М.:ИД Форум, НИЦ ИНФРА-М,2022.-336с.(ВО)(П)</t>
  </si>
  <si>
    <t>КОМПЬЮТЕРНЫЙ ПРАКТИКУМ ПО ИНФОРМАТИКЕ. ОФИСНЫЕ ТЕХНОЛОГИИ, ИЗД.1</t>
  </si>
  <si>
    <t>Калабухова Г. В., Титов В. М.</t>
  </si>
  <si>
    <t>978-5-8199-0916-4</t>
  </si>
  <si>
    <t>Рекомендовано Учебно-методическим объединением по образованию в области социальной работы в качестве учебного пособия для студентов высших учебных заведений, обучающихся по направлению и специальности «Социальная работа»</t>
  </si>
  <si>
    <t>654171.06.01</t>
  </si>
  <si>
    <t>Конвенционные требования к безопас. судоходства / Л.Е.Курочкин. - М. НИЦ ИНФРА-М,2026. - 136 с.(О)</t>
  </si>
  <si>
    <t>КОНВЕНЦИОННЫЕ ТРЕБОВАНИЯ К БЕЗОПАСНОСТИ СУДОХОДСТВА, ИЗД.1</t>
  </si>
  <si>
    <t>Курочкин Л.Е., Истомин В.И., Тверская С.Е.</t>
  </si>
  <si>
    <t>978-5-16-021328-6</t>
  </si>
  <si>
    <t>26.03.01, 26.03.02, 26.04.01, 26.04.02, 35.03.09</t>
  </si>
  <si>
    <t>682956.01.01</t>
  </si>
  <si>
    <t>Конвенционные требования к безопасности судоходства:Уч.пос. / В.И.Истомин и др.-М.:Вузовский учебник, НИЦ ИНФРА-М,2019.-136 с..-(Среднее профе</t>
  </si>
  <si>
    <t>Истомин В.И., Курочкин Л.Е., Тверская С.Е.</t>
  </si>
  <si>
    <t>978-5-9558-0623-5</t>
  </si>
  <si>
    <t>26.02.01, 26.02.03, 26.02.05, 26.02.06, 43.01.04</t>
  </si>
  <si>
    <t>153250.08.01</t>
  </si>
  <si>
    <t>Конвергенция частного и публич. права: пробл. теории и..: Моногр. / Н.М.Коршунов - М.:Юр. НОРМА, ИНФРА-М,2025 - 240 с.(п)</t>
  </si>
  <si>
    <t>КОНВЕРГЕНЦИЯ ЧАСТНОГО И ПУБЛИЧНОГО ПРАВА: ПРОБЛЕМЫ ТЕОРИИ И ПРАКТИКИ, ИЗД.1</t>
  </si>
  <si>
    <t>Коршунов Н. М.</t>
  </si>
  <si>
    <t>978-5-91768-177-1</t>
  </si>
  <si>
    <t>459350.09.01</t>
  </si>
  <si>
    <t>Конечные поля в телекоммуникац. прил..: Практ. пос. / Е.Г.Власов - 2 изд. - М.:НИЦ ИНФРА-М,2025 - 437 с.(п)</t>
  </si>
  <si>
    <t>КОНЕЧНЫЕ ПОЛЯ В ТЕЛЕКОММУНИКАЦИОННЫХ ПРИЛОЖЕНИЯХ. ТЕОРИЯ И ПРИМЕНЕНИЕ FEC, CRC, M-ПОСЛЕДОВАТЕЛЬНОСТЕЙ, ИЗД.2</t>
  </si>
  <si>
    <t>Власов Е.Г.</t>
  </si>
  <si>
    <t>978-5-16-020147-4</t>
  </si>
  <si>
    <t>11.03.02, 11.04.02</t>
  </si>
  <si>
    <t>Мобильные ТелеСистемы</t>
  </si>
  <si>
    <t>459350.08.01</t>
  </si>
  <si>
    <t>Конечные поля в телекоммуникац...:Практ.пос./Е.Г.Власов - М.:НИЦ ИНФРА-М, 2024-285с(Наука и практ)(о)</t>
  </si>
  <si>
    <t>КОНЕЧНЫЕ ПОЛЯ В ТЕЛЕКОММУНИКАЦИОННЫХ ПРИЛОЖЕНИЯХ. ТЕОРИЯ И ПРИМЕНЕНИЕ FEC, CRC, M-ПОСЛЕДОВАТЕЛЬНОСТЕЙ, ИЗД.1</t>
  </si>
  <si>
    <t>978-5-16-009437-3</t>
  </si>
  <si>
    <t>670769.01.01</t>
  </si>
  <si>
    <t>Конкурентное право: глоссарий понятий / П.В.Самолысов-М.:Юр.Норма, НИЦ ИНФРА-М,2017.-144 с.(П)</t>
  </si>
  <si>
    <t>КОНКУРЕНТНОЕ ПРАВО: ГЛОССАРИЙ ПОНЯТИЙ, ИЗД.1</t>
  </si>
  <si>
    <t>Самолысов П.В.</t>
  </si>
  <si>
    <t>978-5-91768-875-6</t>
  </si>
  <si>
    <t>670769.07.01</t>
  </si>
  <si>
    <t>Конкурентное право: глоссарий понятий / П.В.Самолысов-М.:Юр.Норма, НИЦ ИНФРА-М,2024.-144 с.(О)</t>
  </si>
  <si>
    <t>727650.06.01</t>
  </si>
  <si>
    <t>Конкурентные закупки. Методология и норматив. регулир. / Д.А.Казанцев - М.:НИЦ ИНФРА-М,2026. - 324 с.(О)</t>
  </si>
  <si>
    <t>КОНКУРЕНТНЫЕ ЗАКУПКИ. МЕТОДОЛОГИЯ И НОРМАТИВНОЕ РЕГУЛИРОВАНИЕ, ИЗД.1</t>
  </si>
  <si>
    <t>978-5-16-015912-6</t>
  </si>
  <si>
    <t>38.03.01, 38.04.01, 38.06.01, 40.04.01, 40.06.01</t>
  </si>
  <si>
    <t>209300.08.01</t>
  </si>
  <si>
    <t>Конкурентные рынки оптовой и розн.электр.в России: Моногр. / В.А.Андреев - М.:НИЦ ИНФРА-М,2025 - 261 с.(О)</t>
  </si>
  <si>
    <t>КОНКУРЕНТНЫЕ РЫНКИ ОПТОВОЙ И РОЗНИЧНОЙ ЭЛЕКТРОЭНЕРГИИ В РОССИИ, ИЗД.1</t>
  </si>
  <si>
    <t>Андреев В.А., Баронин С.А., Савинов И.О. и др.</t>
  </si>
  <si>
    <t>978-5-16-006824-4</t>
  </si>
  <si>
    <t>38.03.01, 38.04.01, 40.03.01, 40.04.01, 40.05.02</t>
  </si>
  <si>
    <t>415200.08.01</t>
  </si>
  <si>
    <t>Конкурентоориентированность и конкуренто..: Моногр. /С.Д.Резник -2 изд.-М.:НИЦ ИНФРА-М, 2024 -292с(п)</t>
  </si>
  <si>
    <t>КОНКУРЕНТООРИЕНТИРОВАННОСТЬ И КОНКУРЕНТОСПОСОБНОСТЬ СТУДЕНЧЕСКОЙ МОЛОДЕЖИ РОССИИ: ОПЫТ, ПРОБЛЕМЫ, ПЕРСПЕКТИВЫ, ИЗД.2</t>
  </si>
  <si>
    <t>Резник С.Д., Коновалова Е.С., Сочилова А.А. и др.</t>
  </si>
  <si>
    <t>978-5-16-011770-6</t>
  </si>
  <si>
    <t>38.03.01, 38.03.03, 38.04.03, 39.03.01, 39.04.01, 41.03.06</t>
  </si>
  <si>
    <t>700953.05.01</t>
  </si>
  <si>
    <t>Конкурентоспособность и агрострахование: Моногр. / А.А.Брылев-М.:НИЦ ИНФРА-М,2024.-232 с.(Науч.мысль)(О)</t>
  </si>
  <si>
    <t>КОНКУРЕНТОСПОСОБНОСТЬ И АГРОСТРАХОВАНИЕ, ИЗД.1</t>
  </si>
  <si>
    <t>Брылев А.А., Турчаева И.Н.</t>
  </si>
  <si>
    <t>978-5-16-015148-9</t>
  </si>
  <si>
    <t>Российский государственный аграрный университет - МСХА им. К.А. Тимирязева, Калужский ф-л</t>
  </si>
  <si>
    <t>775313.03.01</t>
  </si>
  <si>
    <t>Конкурентоспособность и инвестиц. привлекат. регионов: Уч.пос. / Н.К.Попадюк - М.:НИЦ ИНФРА-М,2024.-147 с.(ВО)</t>
  </si>
  <si>
    <t>КОНКУРЕНТОСПОСОБНОСТЬ И ИНВЕСТИЦИОННАЯ ПРИВЛЕКАТЕЛЬНОСТЬ РЕГИОНОВ, ИЗД.1</t>
  </si>
  <si>
    <t>Попадюк Н.К., Рождественская И.А.</t>
  </si>
  <si>
    <t>978-5-16-017865-3</t>
  </si>
  <si>
    <t>38.04.01, 38.04.02, 38.04.04, 38.04.09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</si>
  <si>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38.04.04 «Государственное и муниципальное управление» (квалификация (степень) «бакалавр») (протокол № 10 от 21.12.2022)</t>
  </si>
  <si>
    <t>771269.07.01</t>
  </si>
  <si>
    <t>Конкурентоспособность орг. и территорий: Уч. / Г.Д.Антонов - М.:НИЦ ИНФРА-М,2026 - 375 с.(ВО: Бакалавр.)(П)</t>
  </si>
  <si>
    <t>КОНКУРЕНТОСПОСОБНОСТЬ ОРГАНИЗАЦИЙ И ТЕРРИТОРИЙ, ИЗД.1</t>
  </si>
  <si>
    <t>Антонов Г.Д., Иванова О.П., Тумин В.М. и др.</t>
  </si>
  <si>
    <t>978-5-16-017416-7</t>
  </si>
  <si>
    <t>27.03.02, 38.04.09, 43.04.01</t>
  </si>
  <si>
    <t>Допущено Учебно-методическим объединением вузов России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экономико-организационной подготовки студентов технологических направлений и специальностей по дисциплинам экономико-организационного и управленческого циклов</t>
  </si>
  <si>
    <t>435850.06.01</t>
  </si>
  <si>
    <t>Конкурентоспособность предприятия (фирмы): Уч.пос. / А.К.Александров-М.:НИЦ ИНФРА-М,2024.-285 с.(ВО)(п)</t>
  </si>
  <si>
    <t>КОНКУРЕНТОСПОСОБНОСТЬ ПРЕДПРИЯТИЯ (ФИРМЫ), ИЗД.1</t>
  </si>
  <si>
    <t>Александров А.К., Круглик В.М., Неделькин А.Н. и др.</t>
  </si>
  <si>
    <t>978-5-16-006704-9</t>
  </si>
  <si>
    <t>38.03.01, 38.03.02, 38.03.03, 38.03.06</t>
  </si>
  <si>
    <t>321900.06.01</t>
  </si>
  <si>
    <t>Конкуренция как основа экономики: Моногр. / Л.С. Архипова. - М.:ИНФРА-М,2023-104с.-(Научн.мысль)(о)</t>
  </si>
  <si>
    <t>КОНКУРЕНЦИЯ КАК ОСНОВА ЭКОНОМИКИ: КОНЦЕПТУАЛЬНЫЕ ПОДХОДЫ К ИССЛЕДОВАНИЮ РОЛИ КОНКУРЕНЦИИ, ИЗД.1</t>
  </si>
  <si>
    <t>Архипова Л.С., Гагарина Г.Ю., Архипов А.М.</t>
  </si>
  <si>
    <t>978-5-16-010478-2</t>
  </si>
  <si>
    <t>771349.01.01</t>
  </si>
  <si>
    <t>Конкуренция юрисдикций международных судебных орг...: Моногр. / Е.С.Орлова-М.:НИЦ ИНФРА-М,2022.-175с</t>
  </si>
  <si>
    <t>КОНКУРЕНЦИЯ ЮРИСДИКЦИЙ МЕЖДУНАРОДНЫХ СУДЕБНЫХ ОРГАНОВ ПРИ РАССМОТРЕНИИ МЕЖДУНАРОДНЫХ МОРСКИХ СПОРОВ, ИЗД.1</t>
  </si>
  <si>
    <t>Орлова Е.С.</t>
  </si>
  <si>
    <t>978-5-16-017548-5</t>
  </si>
  <si>
    <t>26.05.05, 40.03.01, 40.04.01, 40.06.01</t>
  </si>
  <si>
    <t>339100.10.01</t>
  </si>
  <si>
    <t>Консалтинг персонала: Уч.пос. / О.Л.Чуланова - 2 изд. - М.:НИЦ ИНФРА-М,2026 - 196 с.(ВО:Магистр.)(П)</t>
  </si>
  <si>
    <t>КОНСАЛТИНГ ПЕРСОНАЛА, ИЗД.2</t>
  </si>
  <si>
    <t>978-5-16-012742-2</t>
  </si>
  <si>
    <t>23.03.01, 38.03.01, 38.03.03, 38.03.04, 38.04.03, 41.03.06, 43.04.03, 44.03.01, 51.03.02</t>
  </si>
  <si>
    <t>Допущено Советом Учебно-методического объединения по образованию в области менеджмента в качестве учебного пособия по направлению «Менеджмент»</t>
  </si>
  <si>
    <t>339100.08.01</t>
  </si>
  <si>
    <t>Консалтинг персонала: Уч.пос. / О.Л.Чуланова-М.:НИЦ ИНФРА-М,2023-163с.(ВО:Магистр.)(П)</t>
  </si>
  <si>
    <t>КОНСАЛТИНГ ПЕРСОНАЛА, ИЗД.1</t>
  </si>
  <si>
    <t>978-5-16-010725-7</t>
  </si>
  <si>
    <t>Допущено Советом Учебно-методического объединения по образованию в области менеджмента в качестве учебного пособия по направлению подготовки 38.03.02 «Менеджмент» (уровень подготовки «Магистратура»)</t>
  </si>
  <si>
    <t>701891.07.01</t>
  </si>
  <si>
    <t>Консервация железных археологич. предметов / И.Ю.Буравлев- 2 изд.-М.:ИЦ РИОР, НИЦ ИНФРА-М,2024.-168 с.(о)</t>
  </si>
  <si>
    <t>КОНСЕРВАЦИЯ ЖЕЛЕЗНЫХ АРХЕОЛОГИЧЕСКИХ ПРЕДМЕТОВ, ИЗД.2</t>
  </si>
  <si>
    <t>Буравлев И.Ю., Цыбульская О.Н., Ярусова С.Б. и др.</t>
  </si>
  <si>
    <t>978-5-369-01802-6</t>
  </si>
  <si>
    <t>46.04.01, 54.02.04</t>
  </si>
  <si>
    <t>Институт химии Дальневосточного отделения Российской академии наук</t>
  </si>
  <si>
    <t>701891.03.01</t>
  </si>
  <si>
    <t>Консервация железных археологических предметов / И.Ю.Буравлев-М.:ИЦ РИОР, НИЦ ИНФРА-М,2021.-168c(О)</t>
  </si>
  <si>
    <t>КОНСЕРВАЦИЯ ЖЕЛЕЗНЫХ АРХЕОЛОГИЧЕСКИХ ПРЕДМЕТОВ, ИЗД.1</t>
  </si>
  <si>
    <t>454300.07.01</t>
  </si>
  <si>
    <t>Конституционализация права: основы теории: Моногр. / В.И.Крусс - М.:Юр.Норма, НИЦ ИНФРА-М,2025-240с(О)</t>
  </si>
  <si>
    <t>КОНСТИТУЦИОНАЛИЗАЦИЯ ПРАВА: ОСНОВЫ ТЕОРИИ, ИЗД.1</t>
  </si>
  <si>
    <t>978-5-91768-681-3</t>
  </si>
  <si>
    <t>795336.02.01</t>
  </si>
  <si>
    <t>Конституционализация рос. права в учении... / В.В.Комарова - М.:Юр. НОРМА, НИЦ ИНФРА-М,2026. - 368 с.(п)</t>
  </si>
  <si>
    <t>КОНСТИТУЦИОНАЛИЗАЦИЯ РОССИЙСКОГО ПРАВА В УЧЕНИИ АКАДЕМИКА О. Е. КУТАФИНА, ИЗД.1</t>
  </si>
  <si>
    <t>Комарова В.В., Садовникова Г.Д., Нарутто С.В. и др.</t>
  </si>
  <si>
    <t>978-5-00156-281-8</t>
  </si>
  <si>
    <t>38.05.01, 40.04.01, 40.05.01, 40.05.02, 40.05.03, 40.05.04, 40.06.01, 44.05.01</t>
  </si>
  <si>
    <t>647233.08.01</t>
  </si>
  <si>
    <t>Конституционная реформа в современном мире: Моногр. / Т.Я.Хабриева-М.:НИЦ ИНФРА-М,2023-308с.(П)</t>
  </si>
  <si>
    <t>КОНСТИТУЦИОННАЯ РЕФОРМА В СОВРЕМЕННОМ МИРЕ, ИЗД.1</t>
  </si>
  <si>
    <t>978-5-16-012044-7</t>
  </si>
  <si>
    <t>246900.10.01</t>
  </si>
  <si>
    <t>Конституционная терминология: Моногр. / В.Е.Чиркин - М.:Юр.Норма,НИЦ ИНФРА-М,2026 - 272 с.(п)</t>
  </si>
  <si>
    <t>КОНСТИТУЦИОННАЯ ТЕРМИНОЛОГИЯ, ИЗД.1</t>
  </si>
  <si>
    <t>978-5-91768-439-0</t>
  </si>
  <si>
    <t>720670.03.01</t>
  </si>
  <si>
    <t>Конституционная юстиция в странах Восточной Европы...: Моногр. / Я.Залесны-М.:Юр.Норма,2024.-672 с.(П)</t>
  </si>
  <si>
    <t>КОНСТИТУЦИОННАЯ ЮСТИЦИЯ В СТРАНАХ ВОСТОЧНОЙ ЕВРОПЫ: ПРОБЛЕМЫ ТЕОРИИ И ПРАКТИКИ, ИЗД.1</t>
  </si>
  <si>
    <t>Залесны Я.</t>
  </si>
  <si>
    <t>978-5-00156-029-6</t>
  </si>
  <si>
    <t>40.03.01, 40.05.01, 40.05.02, 40.06.01</t>
  </si>
  <si>
    <t>764236.04.01</t>
  </si>
  <si>
    <t>Конституционное (гос.) право зарубеж. стран: Уч. / А.М.Осавелюк - М.:Юр.Норма, НИЦ ИНФРА-М,2025 - 432 с.(П)</t>
  </si>
  <si>
    <t>КОНСТИТУЦИОННОЕ (ГОСУДАРСТВЕННОЕ) ПРАВО ЗАРУБЕЖНЫХ СТРАН, ИЗД.1</t>
  </si>
  <si>
    <t>Осавелюк А.М., Невинский В.В., Кононов К.А. и др.</t>
  </si>
  <si>
    <t>978-5-00156-197-2</t>
  </si>
  <si>
    <t>864107.01.01</t>
  </si>
  <si>
    <t>Конституционное обустройство России: концептуально-историч. вехи.: Моногр.- М.:Юр. НОРМА,2026.-432 с.(п)</t>
  </si>
  <si>
    <t>КОНСТИТУЦИОННОЕ ОБУСТРОЙСТВО РОССИИ: КОНЦЕПТУАЛЬНО-ИСТОРИЧЕСКИЕ ВЕХИ., ИЗД.1</t>
  </si>
  <si>
    <t>Лазарев В.В., Грачева С.А.</t>
  </si>
  <si>
    <t>978-5-00156-458-4</t>
  </si>
  <si>
    <t>005503.29.01</t>
  </si>
  <si>
    <t>Конституционное право заруб. стран: Уч. / В.Е.Чиркин - 9 изд. - М.:Юр.Норма,НИЦ ИНФРА-М,2026 - 528 с.(П)</t>
  </si>
  <si>
    <t>КОНСТИТУЦИОННОЕ ПРАВО ЗАРУБЕЖНЫХ СТРАН, ИЗД.9</t>
  </si>
  <si>
    <t>978-5-91768-640-0</t>
  </si>
  <si>
    <t>Рекомендовано УМО по юридическому образованию высших учебных заведений в качестве учебника для студентов вузов, обучающихся по направлению "Юриспруденция" и специальности "Юриспруденция"</t>
  </si>
  <si>
    <t>053261.17.01</t>
  </si>
  <si>
    <t>Конституционное право зарубеж. стран: Уч.пос. / А.М.Арбузкин - 3 изд. - М.:НОРМА, НИЦ ИНФРА-М,2026 - 560 с.(п)</t>
  </si>
  <si>
    <t>КОНСТИТУЦИОННОЕ ПРАВО ЗАРУБЕЖНЫХ СТРАН, ИЗД.3</t>
  </si>
  <si>
    <t>Арбузкин А.М.</t>
  </si>
  <si>
    <t>978-5-00156-347-1</t>
  </si>
  <si>
    <t>055380.12.01</t>
  </si>
  <si>
    <t>Конституционное право зарубеж. стран: Уч.пос. / К.Д.Шестакова - 2 изд. - ИЦ РИОР:Инфра-М,2024 - 191с.(О)</t>
  </si>
  <si>
    <t>КОНСТИТУЦИОННОЕ ПРАВО ЗАРУБЕЖНЫХ СТРАН, ИЗД.2</t>
  </si>
  <si>
    <t>Шестакова К. Д.</t>
  </si>
  <si>
    <t>ВПО: Бакалавриат</t>
  </si>
  <si>
    <t>978-5-369-00644-3</t>
  </si>
  <si>
    <t>38.03.04, 40.03.01, 40.04.01, 40.05.01, 40.05.02, 40.05.03, 44.03.05</t>
  </si>
  <si>
    <t>809557.04.01</t>
  </si>
  <si>
    <t>Конституционное право зарубежных стран: Прак. / В.В.Комарова - М.:Юр. НОРМА, НИЦ ИНФРА-М,2026. - 216 с.(п)</t>
  </si>
  <si>
    <t>КОНСТИТУЦИОННОЕ ПРАВО ЗАРУБЕЖНЫХ СТРАН, ИЗД.1</t>
  </si>
  <si>
    <t>Комарова В.В., Громова А.А., Джавакян Г.З. и др.</t>
  </si>
  <si>
    <t>978-5-00156-321-1</t>
  </si>
  <si>
    <t>40.03.01, 40.05.01, 40.05.02, 40.05.03, 40.05.04, 41.04.04</t>
  </si>
  <si>
    <t>019255.20.01</t>
  </si>
  <si>
    <t>Конституционное право зарубежных стран: Уч. / М.В.Баглай-4изд.-М.:Юр.Норма,НИЦ ИНФРА-М,2020-976с(П)</t>
  </si>
  <si>
    <t>КОНСТИТУЦИОННОЕ ПРАВО ЗАРУБЕЖНЫХ СТРАН, ИЗД.4</t>
  </si>
  <si>
    <t>Баглай М.В., Лейбо Ю.И., Энтин Л.М.</t>
  </si>
  <si>
    <t>978-5-91768-726-1</t>
  </si>
  <si>
    <t>418250.08.01</t>
  </si>
  <si>
    <t>Конституционное право зарубежных стран: Уч. / М.Н.Прудников - М.:ИЦ РИОР:НИЦ ИНФРА-М, 2025 - 374 с.(ВО) (п)</t>
  </si>
  <si>
    <t>Прудников М. Н.</t>
  </si>
  <si>
    <t>978-5-369-01172-0</t>
  </si>
  <si>
    <t>Рекомендовано в качестве учебника для студентов высших учебных заведений, обучающихся по направлению •'Юриспруденция» (квалификация (степень) — бакалавр)</t>
  </si>
  <si>
    <t>019255.29.01</t>
  </si>
  <si>
    <t>Конституционное право зарубежных стран: Уч. /М.В.Баглай - 5 изд. - М.:Юр.Норма,НИЦ ИНФРА-М, 2026 - 864с(П)</t>
  </si>
  <si>
    <t>КОНСТИТУЦИОННОЕ ПРАВО ЗАРУБЕЖНЫХ СТРАН, ИЗД.5</t>
  </si>
  <si>
    <t>978-5-00156-182-8</t>
  </si>
  <si>
    <t>0522</t>
  </si>
  <si>
    <t>483450.03.01</t>
  </si>
  <si>
    <t>Конституционное право зарубежных стран: Уч. пос. / А.А. Тимошенкова-М.:ИЦ РИОР,НИЦ ИНФРА-М,2019-135с</t>
  </si>
  <si>
    <t>Тимошенкова А.А.</t>
  </si>
  <si>
    <t>978-5-369-01402-8</t>
  </si>
  <si>
    <t>Международный институт экономики и права</t>
  </si>
  <si>
    <t>069758.25.01</t>
  </si>
  <si>
    <t>Конституционное право Роcсии. Уч. курс: Уч. пос.: В 2 т.Т.2 / С.А.Авакьян - 7 изд. - Юр.Норма:ИНФРА-М,2027 - 936 с.(П)</t>
  </si>
  <si>
    <t>КОНСТИТУЦИОННОЕ ПРАВО РОССИИ. УЧЕБНЫЙ КУРС : В 2 ТОМАХ., Т.2</t>
  </si>
  <si>
    <t>Авакьян С. А.</t>
  </si>
  <si>
    <t>978-5-00156-175-0</t>
  </si>
  <si>
    <t>38.03.04, 40.03.01, 40.04.01, 40.05.01, 40.05.02, 40.05.03, 40.05.04</t>
  </si>
  <si>
    <t>Рекомендовано Учебно-методическим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521400 Юриспруденция и спец. 021100 Юриспруденция</t>
  </si>
  <si>
    <t>0721</t>
  </si>
  <si>
    <t>069759.26.01</t>
  </si>
  <si>
    <t>Конституционное право России. Уч. курс: Уч. пос.: Т.1 / С.А.Авакьян - 7 изд. - Юр.Норма:ИНФРА-М,2026 - 864 с.(п)</t>
  </si>
  <si>
    <t>КОНСТИТУЦИОННОЕ ПРАВО РОССИИ. УЧЕБНЫЙ КУРС : В 2 ТОМАХ., Т.1</t>
  </si>
  <si>
    <t>978-5-00156-165-1</t>
  </si>
  <si>
    <t>38.03.04, 40.03.01, 40.04.01, 40.05.01, 40.05.02, 40.05.03, 40.05.04, 44.03.05</t>
  </si>
  <si>
    <t>Рекомендовано 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и спец. "Юриспруденция"</t>
  </si>
  <si>
    <t>069759.10.01</t>
  </si>
  <si>
    <t>Конституционное право России. Уч.курс: Уч.пос.: В 2 т.Т.1 /С.А.Авакьян -5изд.-Норма:ИНФРА-М,2017-864с.</t>
  </si>
  <si>
    <t>КОНСТИТУЦИОННОЕ ПРАВО РОССИИ. УЧЕБНЫЙ КУРС, Т.1</t>
  </si>
  <si>
    <t>Авакьян С.А.</t>
  </si>
  <si>
    <t>978-5-91768-484-0</t>
  </si>
  <si>
    <t>Рекомендовано Учебно-методическим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и спец. "Юриспруденция"</t>
  </si>
  <si>
    <t>069759.14.01</t>
  </si>
  <si>
    <t>Конституционное право России. Уч.курс: Уч.пос.: Т.1 /С.А.Авакьян-6 изд.-Юр.Норма:ИНФРА-М,2020-864с(П)</t>
  </si>
  <si>
    <t>978-5-91768-902-9</t>
  </si>
  <si>
    <t>823231.03.01</t>
  </si>
  <si>
    <t>Конституционное право России: Практикум / В.В.Комарова - М.:Юр. НОРМА, НИЦ ИНФРА-М,2026. - 328 с.(п)</t>
  </si>
  <si>
    <t>КОНСТИТУЦИОННОЕ ПРАВО РОССИИ, ИЗД.1</t>
  </si>
  <si>
    <t>Комарова В.В.</t>
  </si>
  <si>
    <t>978-5-00156-361-7</t>
  </si>
  <si>
    <t>40.03.01, 40.04.01, 40.05.01, 40.05.02, 40.05.04</t>
  </si>
  <si>
    <t>453700.07.01</t>
  </si>
  <si>
    <t>Конституционное право России: Уч. / В.А.Черепанов - 2 изд. - М.:Юр.Норма, НИЦ ИНФРА-М,2027. - 424 с.(П)</t>
  </si>
  <si>
    <t>КОНСТИТУЦИОННОЕ ПРАВО РОССИИ, ИЗД.2</t>
  </si>
  <si>
    <t>Черепанов В.А.</t>
  </si>
  <si>
    <t>978-5-00156-062-3</t>
  </si>
  <si>
    <t>38.03.04, 40.03.01, 40.05.01, 40.05.02, 40.05.03, 44.03.05</t>
  </si>
  <si>
    <t>Рекомендовано Учебно-методическим объединением по юридическому образованию вузов Российской Федерации в качестве учебника по дисциплине «Конституционное право России» для студентов образовательных организаций, обучающихся по направлению подготовки «Государственное и муниципальное управление», квалификация (степень) «бакалавр»</t>
  </si>
  <si>
    <t>345500.05.01</t>
  </si>
  <si>
    <t>Конституционное право России: Уч. / П.А.Астафичев, - 2-е изд.-М.:ИЦ РИОР, НИЦ ИНФРА-М,2023.-443 с.(ВО)(п)</t>
  </si>
  <si>
    <t>Астафичев П.А.</t>
  </si>
  <si>
    <t>978-5-369-01923-8</t>
  </si>
  <si>
    <t>40.03.01, 40.05.01, 40.05.02, 40.05.03, 44.03.05</t>
  </si>
  <si>
    <t>288900.10.01</t>
  </si>
  <si>
    <t>Конституционное право России: Уч. / С.В.Бендюрина - 2 изд. - М.:Юр.Норма, НИЦ ИНФРА-М,2024-496 с.(П)</t>
  </si>
  <si>
    <t>Бендюрина С. В., Гончаров М. В., Евстифеев Д. М., Кокотов А. Н., Саликов М. С.</t>
  </si>
  <si>
    <t>978-5-00156-198-9</t>
  </si>
  <si>
    <t>Допущено Учебно-методическим объединением по юридическому образованию вузов Российской Федерации в качестве учебника длястудентов высших учебных заведений, обучающихсяпо направлению подготовки 030900 «Юриспруденция», квалификация«бакалавр»</t>
  </si>
  <si>
    <t>288900.11.01</t>
  </si>
  <si>
    <t>Конституционное право России: Уч. / С.В.Бендюрина - 3 изд. - М.:Юр.Норма, НИЦ ИНФРА-М,2025 - 528 с.(П)</t>
  </si>
  <si>
    <t>КОНСТИТУЦИОННОЕ ПРАВО РОССИИ, ИЗД.3</t>
  </si>
  <si>
    <t>Саликов М.С., Кокотов А.Н., Бендюрина С.В. и др.</t>
  </si>
  <si>
    <t>978-5-00156-418-8</t>
  </si>
  <si>
    <t>757948.02.01</t>
  </si>
  <si>
    <t>Конституционное право России: Уч. / С.В.Нарутто - М.:ИЦ РИОР, НИЦ ИНФРА-М,2022 - 487 с.-(ВО)(П)</t>
  </si>
  <si>
    <t>Нарутто С.В., Таева Н.Е.</t>
  </si>
  <si>
    <t>978-5-369-01873-6</t>
  </si>
  <si>
    <t>757948.04.01</t>
  </si>
  <si>
    <t>Конституционное право России: Уч. / С.В.Нарутто, - 2 изд.-М.:ИЦ РИОР, НИЦ ИНФРА-М,2023.-491 с.(ВО)</t>
  </si>
  <si>
    <t>978-5-369-01921-4</t>
  </si>
  <si>
    <t>757948.05.01</t>
  </si>
  <si>
    <t>Конституционное право России: Уч. / С.В.Нарутто, - 3 изд. - М.:ИЦ РИОР, НИЦ ИНФРА-М,2026. - 504 с.(ВО)(п)</t>
  </si>
  <si>
    <t>978-5-369-01994-8</t>
  </si>
  <si>
    <t>775474.06.01</t>
  </si>
  <si>
    <t>Конституционное право России: Уч. для СПО / М.С.Саликов - 2 изд. - М.:Юр. НОРМА, НИЦ ИНФРА-М,2026. - 524 с.(п)</t>
  </si>
  <si>
    <t>Саликов М.С., Кокотов А.Н., Несмеянова С.Э. и др.</t>
  </si>
  <si>
    <t>978-5-00156-431-7</t>
  </si>
  <si>
    <t>775474.04.01</t>
  </si>
  <si>
    <t>Конституционное право России: Уч. для СПО / М.С.Саликов - М.:Юр. НОРМА, НИЦ ИНФРА-М,2025 - 496 с.(П)</t>
  </si>
  <si>
    <t>978-5-00156-238-2</t>
  </si>
  <si>
    <t>288900.04.01</t>
  </si>
  <si>
    <t>Конституционное право России: Уч./Отв.ред.А.Н.Кокотов,М.С.Саликов-М.:Юр.Норма,НИЦ ИНФРА-М,2018-448с(п)</t>
  </si>
  <si>
    <t>978-5-91768-510-6</t>
  </si>
  <si>
    <t>453700.02.01</t>
  </si>
  <si>
    <t>Конституционное право России: Уч.для бакалавров /В.А.Черепанов-М.:Юр.Норма,НИЦ ИНФРА-М,2016-368с.(п)</t>
  </si>
  <si>
    <t>978-5-91768-676-9</t>
  </si>
  <si>
    <t>345500.03.01</t>
  </si>
  <si>
    <t>Конституционное право России:Уч./П.А.Астафичев- М.:ИЦ РИОР, НИЦ ИНФРА-М, 2020-390с(ВО: Бакалавр.)(п)</t>
  </si>
  <si>
    <t>978-5-369-01449-3</t>
  </si>
  <si>
    <t>667426.03.01</t>
  </si>
  <si>
    <t>Конституционное право РФ: Прак.: Уч.пос. / Д.Н.Лукоянов - 2 изд.-М.:ИЦ РИОР, НИЦ ИНФРА-М,2024-112с(ВО)(о)</t>
  </si>
  <si>
    <t>КОНСТИТУЦИОННОЕ ПРАВО РОССИЙСКОЙ ФЕДЕРАЦИИ, ИЗД.2</t>
  </si>
  <si>
    <t>Лукоянов Д.Н.</t>
  </si>
  <si>
    <t>978-5-369-01959-7</t>
  </si>
  <si>
    <t>667426.02.01</t>
  </si>
  <si>
    <t>Конституционное право РФ: Практикум / Д.Н.Лукоянов - М.:ИЦ РИОР,НИЦ ИНФРА-М,2019 - 84 с.(О)</t>
  </si>
  <si>
    <t>КОНСТИТУЦИОННОЕ ПРАВО РОССИЙСКОЙ ФЕДЕРАЦИИ, ИЗД.1</t>
  </si>
  <si>
    <t>978-5-369-01735-7</t>
  </si>
  <si>
    <t>001074.39.01</t>
  </si>
  <si>
    <t>Конституционное право РФ: Уч. / М.В.Баглай - 14 изд. - М.:Юр.Норма, НИЦ ИНФРА-М,2027 - 704 с .(П)</t>
  </si>
  <si>
    <t>КОНСТИТУЦИОННОЕ ПРАВО РОССИЙСКОЙ ФЕДЕРАЦИИ, ИЗД.14</t>
  </si>
  <si>
    <t>Баглай М.В.</t>
  </si>
  <si>
    <t>978-5-00156-272-6</t>
  </si>
  <si>
    <t>1422</t>
  </si>
  <si>
    <t>848915.01.01</t>
  </si>
  <si>
    <t>Конституционное право РФ: Уч.пос. / Д.Н.Лукоянов - М.:ИЦ РИОР, НИЦ ИНФРА-М,2025. - 115 с.(СПО)(о)</t>
  </si>
  <si>
    <t>978-5-369-01991-7</t>
  </si>
  <si>
    <t>404200.07.01</t>
  </si>
  <si>
    <t>Конституционное право. Общая теор. гос.: Моногр./ Л. Дюги. - М.: НИЦ ИНФРА-М,2023-427с.(Науч. мысль) (п)</t>
  </si>
  <si>
    <t>КОНСТИТУЦИОННОЕ ПРАВО. ОБЩАЯ ТЕОРИЯ ГОСУДАРСТВА, ИЗД.1</t>
  </si>
  <si>
    <t>Дюги Л.</t>
  </si>
  <si>
    <t>978-5-16-006120-7</t>
  </si>
  <si>
    <t>770521.01.01</t>
  </si>
  <si>
    <t>Конституционное право: Уч. / С.В.Нарутто - М.:ИЦ РИОР, НИЦ ИНФРА-М,2022 - 398 с.-(СПО)(П)</t>
  </si>
  <si>
    <t>КОНСТИТУЦИОННОЕ ПРАВО, ИЗД.1</t>
  </si>
  <si>
    <t>978-5-369-01890-3</t>
  </si>
  <si>
    <t>00.02.08, 40.02.04</t>
  </si>
  <si>
    <t>770521.03.01</t>
  </si>
  <si>
    <t>Конституционное право: Уч. / С.В.Нарутто, - 2 изд. - М.:ИЦ РИОР, НИЦ ИНФРА-М,2024. - 402 с.(СПО)(п)</t>
  </si>
  <si>
    <t>КОНСТИТУЦИОННОЕ ПРАВО, ИЗД.2</t>
  </si>
  <si>
    <t>978-5-369-01941-2</t>
  </si>
  <si>
    <t>770521.06.01</t>
  </si>
  <si>
    <t>Конституционное право: Уч. / С.В.Нарутто, - 3 изд. - М.:ИЦ РИОР, НИЦ ИНФРА-М,2026. - 405 с.(СПО)(п)</t>
  </si>
  <si>
    <t>КОНСТИТУЦИОННОЕ ПРАВО, ИЗД.3</t>
  </si>
  <si>
    <t>978-5-369-01981-8</t>
  </si>
  <si>
    <t>771234.01.01</t>
  </si>
  <si>
    <t>Конституционное правообразование в РФ: Моногр. / Д.С.Дерхо-М.:НИЦ ИНФРА-М,2022.-197 с.(Науч.мысль)(П)</t>
  </si>
  <si>
    <t>КОНСТИТУЦИОННОЕ ПРАВООБРАЗОВАНИЕ В РОССИЙСКОЙ ФЕДЕРАЦИИ, ИЗД.1</t>
  </si>
  <si>
    <t>978-5-16-017516-4</t>
  </si>
  <si>
    <t>38.05.01, 40.03.01, 40.05.01, 40.05.02, 40.05.03, 40.05.04, 40.06.01</t>
  </si>
  <si>
    <t>084150.10.01</t>
  </si>
  <si>
    <t>Конституционное развит.в совр. мире. Осн. тенденции: Моногр. /Р.В.Енгибарян - М.:НОРМА, 2024-496с(п)</t>
  </si>
  <si>
    <t>КОНСТИТУЦИОННОЕ РАЗВИТИЕ В СОВРЕМЕННОМ МИРЕ. ОСНОВНЫЕ ТЕНДЕНЦИИ, ИЗД.1</t>
  </si>
  <si>
    <t>Енгибарян Р.В.</t>
  </si>
  <si>
    <t>978-5-91768-748-3</t>
  </si>
  <si>
    <t>444300.06.01</t>
  </si>
  <si>
    <t>Конституционно-прав. основы взаим. общ. объед....: Моногр./Васильев С.А.-2изд.-М.: Вуз.уч.,НИЦ ИНФРА-М,2024-116с.(о)</t>
  </si>
  <si>
    <t>КОНСТИТУЦИОННО-ПРАВОВЫЕ ОСНОВЫ ВЗАИМОДЕЙСТВИЯ ОБЩЕСТВЕННЫХ ОБЪЕДИНЕНИЙ С ПРАВООХРАНИТЕЛЬНЫМИ ОРГАНАМИ РОССИИ В СФЕРЕ ЗАЩИТЫ ПРАВ И СВОБОД ЧЕЛОВЕКА И ГРАЖДАНИНА, ИЗД.2</t>
  </si>
  <si>
    <t>Васильев С.А.</t>
  </si>
  <si>
    <t>978-5-9558-0469-9</t>
  </si>
  <si>
    <t>692966.06.01</t>
  </si>
  <si>
    <t>Конституционно-прав. статус общ. объед. в совр. России: Уч.пос. / В.В.Комарова  - 2 изд. - М.:Юр.Норма,НИЦ ИНФРА-М,2026 - 256 с.(П)</t>
  </si>
  <si>
    <t>КОНСТИТУЦИОННО-ПРАВОВОЙ СТАТУС ОБЩЕСТВЕННЫХ ОБЪЕДИНЕНИЙ В СОВРЕМЕННОЙ РОССИИ, ИЗД.2</t>
  </si>
  <si>
    <t>Комарова В.В., Нарутто С.В., Осавелюк А.М. и др.</t>
  </si>
  <si>
    <t>978-5-00156-303-7</t>
  </si>
  <si>
    <t>38.03.04, 38.04.04, 40.03.01, 40.04.01, 40.05.01, 40.05.02, 40.05.03, 40.05.04, 44.03.04, 44.03.05, 44.04.04</t>
  </si>
  <si>
    <t>446800.06.01</t>
  </si>
  <si>
    <t>Конституционно-прав. статус орг.законод...: Уч./Г.Д.Садовников-М.:Юр.Норма,НИЦ ИНФРА-М,2021-128с.(о)</t>
  </si>
  <si>
    <t>КОНСТИТУЦИОННО-ПРАВОВОЙ СТАТУС ОРГАНОВ ЗАКОНОДАТЕЛЬНОЙ И ИСПОЛНИТЕЛЬНОЙ ВЛАСТИ СУБЪЕКТОВ РФ, ИЗД.1</t>
  </si>
  <si>
    <t>Садовникова Г.Д., Заболотских Е.М., Михайлова М.В. и др.</t>
  </si>
  <si>
    <t>978-5-91768-671-4</t>
  </si>
  <si>
    <t>38.04.04, 40.03.01, 40.04.01, 40.05.01, 40.05.02, 40.05.03, 40.05.04, 40.06.01, 44.03.05</t>
  </si>
  <si>
    <t>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«магистр»</t>
  </si>
  <si>
    <t>682536.08.01</t>
  </si>
  <si>
    <t>Конституционно-правовое обеспеч. нац. без. РФ: Уч. / Ю.Г.Федотова, - 2 изд.-М.:НИЦ ИНФРА-М,2025.- 396с.(П)</t>
  </si>
  <si>
    <t>КОНСТИТУЦИОННО-ПРАВОВОЕ ОБЕСПЕЧЕНИЕ НАЦИОНАЛЬНОЙ БЕЗОПАСНОСТИ РОССИЙСКОЙ ФЕДЕРАЦИИ, ИЗД.2</t>
  </si>
  <si>
    <t>978-5-16-017664-2</t>
  </si>
  <si>
    <t>38.05.01, 40.05.01, 40.05.02, 40.05.03, 40.05.04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</si>
  <si>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40.05.01 «Правовое обеспечение национальной безопасности» (квалификация «юрист») (протокол № 2 от 09.02.2022)</t>
  </si>
  <si>
    <t>682536.02.01</t>
  </si>
  <si>
    <t>Конституционно-правовое обеспеч. нац. безопас. РФ: Уч.пос. / Ю.Г.Федотова-М.:НИЦ ИНФРА-М,2021.-363с(П)</t>
  </si>
  <si>
    <t>КОНСТИТУЦИОННО-ПРАВОВОЕ ОБЕСПЕЧЕНИЕ НАЦИОНАЛЬНОЙ БЕЗОПАСНОСТИ РОССИЙСКОЙ ФЕДЕРАЦИИ, ИЗД.1</t>
  </si>
  <si>
    <t>978-5-16-014465-8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</si>
  <si>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40.05.01 «Правовое обеспечение национальной безопасности» (квалификация «юрист») (протокол № 18 от 25.11.2019)</t>
  </si>
  <si>
    <t>148000.02.01</t>
  </si>
  <si>
    <t>Конституционно-правовое развитие России / В.Д.Зорькин, - 2-е изд.-М.:Юр.Норма,2019.-448 с.(П)</t>
  </si>
  <si>
    <t>КОНСТИТУЦИОННО-ПРАВОВОЕ РАЗВИТИЕ РОССИИ, ИЗД.2</t>
  </si>
  <si>
    <t>Зорькин В. Д.</t>
  </si>
  <si>
    <t>978-5-91768-993-7</t>
  </si>
  <si>
    <t>38.03.04, 40.02.02, 40.02.04, 40.03.01, 40.04.01, 40.05.01, 40.05.02, 40.05.03, 44.03.05</t>
  </si>
  <si>
    <t>692966.03.01</t>
  </si>
  <si>
    <t>Конституционно-правовой статус общ. объед. в совр. России: Уч.пос. /В.В.Комарова-М.:Юр.Норма, НИЦ ИНФРА-М,2020-224с.(П)</t>
  </si>
  <si>
    <t>КОНСТИТУЦИОННО-ПРАВОВОЙ СТАТУС ОБЩЕСТВЕННЫХ ОБЪЕДИНЕНИЙ В СОВРЕМЕННОЙ РОССИИ, ИЗД.1</t>
  </si>
  <si>
    <t>978-5-91768-963-0</t>
  </si>
  <si>
    <t>706844.02.01</t>
  </si>
  <si>
    <t>Конституционно-правовые основы институц.гражд.общ.в РФ:Моногр./Е.Е.Никитина-М.:НИЦ ИНФРА-М,2023-280с</t>
  </si>
  <si>
    <t>КОНСТИТУЦИОННО-ПРАВОВЫЕ ОСНОВЫ ИНСТИТУЦИОНАЛИЗАЦИИ ГРАЖДАНСКОГО ОБЩЕСТВА В РОССИЙСКОЙ ФЕДЕРАЦИИ, ИЗД.1</t>
  </si>
  <si>
    <t>Никитина Е.Е.</t>
  </si>
  <si>
    <t>978-5-16-015124-3</t>
  </si>
  <si>
    <t>38.03.04, 40.02.02, 40.02.04, 40.03.01, 40.05.01, 40.05.02, 40.05.03, 44.03.05</t>
  </si>
  <si>
    <t>773477.05.01</t>
  </si>
  <si>
    <t>Конституционные основы гос. эколог. политики: Моногр. / И.О.Краснова - М.:Юр. НОРМА,2026 - 92 с.(О)</t>
  </si>
  <si>
    <t>КОНСТИТУЦИОННЫЕ ОСНОВЫ ГОСУДАРСТВЕННОЙ ЭКОЛОГИЧЕСКОЙ ПОЛИТИКИ, ИЗД.1</t>
  </si>
  <si>
    <t>Краснова И.О.</t>
  </si>
  <si>
    <t>978-5-00156-226-9</t>
  </si>
  <si>
    <t>766879.05.01</t>
  </si>
  <si>
    <t>Конституционные основы порядка формир. и деят...: Уч.пос. / Варлен  -  М.ВМ.:Юр.Норма, НИЦ ИНФРА-М,2026. - 184 с.(П)</t>
  </si>
  <si>
    <t>КОНСТИТУЦИОННЫЕ ОСНОВЫ ПОРЯДКА ФОРМИРОВАНИЯ И ДЕЯТЕЛЬНОСТИ ПРЕДСТАВИТЕЛЬНЫХ ОРГАНОВ В РОССИЙСКОЙ ФЕДЕРАЦИИ, ИЗД.1</t>
  </si>
  <si>
    <t>Варлен М.В., Мазуревский К.С.</t>
  </si>
  <si>
    <t>978-5-00156-204-7</t>
  </si>
  <si>
    <t>461600.05.01</t>
  </si>
  <si>
    <t>Конституционные основы разграничения...: Моногр. /А.Е.Постников -М.: НИЦ ИНФРА-М, 2020- 237с( ИЗиСП)</t>
  </si>
  <si>
    <t>КОНСТИТУЦИОННЫЕ ОСНОВЫ РАЗГРАНИЧЕНИЯ ПОЛНОМОЧИЙ МЕЖДУ ОРГАНАМИ ПУБЛИЧНОЙ ВЛАСТИ, ИЗД.1</t>
  </si>
  <si>
    <t>Постников А.Е., Андриченко Л.В., Помазанский А.Е. и др.</t>
  </si>
  <si>
    <t>978-5-16-011507-8</t>
  </si>
  <si>
    <t>Одобрено секцией «Публичное право» Ученого совета Федерального государственного научно-исследовательского учреждения «Институт законодательства и сравнительного правоведения при Правительстве Российской Федерации»</t>
  </si>
  <si>
    <t>883237.01.01</t>
  </si>
  <si>
    <t>Конституционные основы современной интеграции: Моногр. / А.И.Ковлер - М.:Юр. НОРМА, НИЦ ИНФРА-М,2027. - 288 с.(п)</t>
  </si>
  <si>
    <t>КОНСТИТУЦИОННЫЕ ОСНОВЫ СОВРЕМЕННОЙ ИНТЕГРАЦИИ, ИЗД.1</t>
  </si>
  <si>
    <t>Ковлер А.И., Чиркин С.В., Семилютина Н.Г. и др.</t>
  </si>
  <si>
    <t>978-5-00156-497-3</t>
  </si>
  <si>
    <t>704208.05.01</t>
  </si>
  <si>
    <t>Конституционные стандарты суд. защиты прав чел. в России: Моногр. / Е.М.Переплеснина - М.:Юр.Норма,2024. - 368с</t>
  </si>
  <si>
    <t>КОНСТИТУЦИОННЫЕ СТАНДАРТЫ СУДЕБНОЙ ЗАЩИТЫ ПРАВ ЧЕЛОВЕКА В РОССИИ, ИЗД.1</t>
  </si>
  <si>
    <t>Переплеснина Е.М.</t>
  </si>
  <si>
    <t>978-5-91768-609-7</t>
  </si>
  <si>
    <t>Верховный Суд Республики Карелия</t>
  </si>
  <si>
    <t>760130.01.01</t>
  </si>
  <si>
    <t>Конституционный Суд РФ. Решения. 2020: Сб. док./ Отв.ред. Маврин С.П.-М.:Юр.Норма, НИЦ ИНФРА-М,2021.-1120 с.(П)</t>
  </si>
  <si>
    <t>КОНСТИТУЦИОННЫЙ СУД РОССИЙСКОЙ ФЕДЕРАЦИИ. РЕШЕНИЯ. 2020, ИЗД.1</t>
  </si>
  <si>
    <t>Маврин С.П.</t>
  </si>
  <si>
    <t>Переплет 7</t>
  </si>
  <si>
    <t>978-5-00156-184-2</t>
  </si>
  <si>
    <t>781248.01.01</t>
  </si>
  <si>
    <t>Конституционный Суд РФ. Решения. 2021: Сб. документов-М.:Юр. НОРМА,2022.-1168 с.(П)</t>
  </si>
  <si>
    <t>КОНСТИТУЦИОННЫЙ СУД РФ. РЕШЕНИЯ. 2021, ИЗД.1</t>
  </si>
  <si>
    <t>978-5-00156-233-7</t>
  </si>
  <si>
    <t>806115.01.01</t>
  </si>
  <si>
    <t>Конституционный Суд РФ. Решения. 2022: Сб. документов - М.:Юр. НОРМА,2023.-1216 с.(п)</t>
  </si>
  <si>
    <t>КОНСТИТУЦИОННЫЙ СУД РОССИЙСКОЙ ФЕДЕРАЦИИ. РЕШЕНИЯ. 2022, ИЗД.1</t>
  </si>
  <si>
    <t>978-5-00156-307-5</t>
  </si>
  <si>
    <t>38.05.01, 40.05.01, 40.05.02, 40.05.03, 40.05.04, 40.06.01</t>
  </si>
  <si>
    <t>682617.04.01</t>
  </si>
  <si>
    <t>Конституционный Суд РФ: реализ. правозащ. функции: Моногр./Добрынин Н.М.-М.:НИЦ ИНФРА-М,2023-184с(о)</t>
  </si>
  <si>
    <t>КОНСТИТУЦИОННЫЙ СУД РОССИЙСКОЙ ФЕДЕРАЦИИ: РЕАЛИЗАЦИЯ ПРАВОЗАЩИТНОЙ ФУНКЦИИ, ИЗД.1</t>
  </si>
  <si>
    <t>Карасев Р.Е., Авакьян С.А., Добрынин Н.М.</t>
  </si>
  <si>
    <t>978-5-16-018033-5</t>
  </si>
  <si>
    <t>682617.03.01</t>
  </si>
  <si>
    <t>Конституционный Суд РФ: реализация правозащит. функции: Моногр. / Добрынин Н.М. - М.:НИЦ ИНФРА-М,2022-184С(П)</t>
  </si>
  <si>
    <t>Карасев Р.Е.</t>
  </si>
  <si>
    <t>978-5-16-014518-1</t>
  </si>
  <si>
    <t>648391.06.01</t>
  </si>
  <si>
    <t>Конституционный судебный процесс: Прак./ Отв. ред. В.В.Комарова -2 изд.- М.:Юр.Норма, НИЦ ИНФРА-М,2026-176 с.(п)</t>
  </si>
  <si>
    <t>КОНСТИТУЦИОННЫЙ СУДЕБНЫЙ ПРОЦЕСС, ИЗД.1</t>
  </si>
  <si>
    <t>978-5-00156-329-7</t>
  </si>
  <si>
    <t>648391.04.01</t>
  </si>
  <si>
    <t>Конституционный судебный процесс: Практикум / В.В.Комарова - М.:Юр.Норма, НИЦ ИНФРА-М,2022-160 с.(О)</t>
  </si>
  <si>
    <t>978-5-91768-800-8</t>
  </si>
  <si>
    <t>648391.05.01</t>
  </si>
  <si>
    <t>Конституционный судебный процесс: Практикум/ В.В.Комарова -2 изд.- М.:Юр.Норма, НИЦ ИНФРА-М,2024-176 с.(п)</t>
  </si>
  <si>
    <t>КОНСТИТУЦИОННЫЙ СУДЕБНЫЙ ПРОЦЕСС, ИЗД.2</t>
  </si>
  <si>
    <t>Комарова В.В., Будаев А.М., Нарутто С.В. и др.</t>
  </si>
  <si>
    <t>645477.06.01</t>
  </si>
  <si>
    <t>Конституционный судебный процесс: Уч. / М.А.Митюков, - 3 изд. - М.:Юр.Норма, НИЦ ИНФРА-М,2026 - 336 с.(П)</t>
  </si>
  <si>
    <t>КОНСТИТУЦИОННЫЙ СУДЕБНЫЙ ПРОЦЕСС, ИЗД.3</t>
  </si>
  <si>
    <t>Комарова В.В., Нарутто С.В., Тороп Ю.В. и др.</t>
  </si>
  <si>
    <t>978-5-00156-338-9</t>
  </si>
  <si>
    <t>303400.05.01</t>
  </si>
  <si>
    <t>Конституционный судебный процесс: Уч. / М.С.Саликов - 3 изд.-М.:Юр.Норма,НИЦ ИНФРА-М,2020-352 с.(П)</t>
  </si>
  <si>
    <t>Александрова З. К., Кряжков В. А., Несмеянова С. Э., Саликов М. С.</t>
  </si>
  <si>
    <t>978-5-00156-044-9</t>
  </si>
  <si>
    <t>38.03.04, 38.04.04, 40.03.01, 40.04.01, 40.05.01, 40.05.02, 40.05.03, 40.05.04, 44.03.05</t>
  </si>
  <si>
    <t>303400.09.01</t>
  </si>
  <si>
    <t>Конституционный судебный процесс: Уч. / М.С.Саликов - 4 изд. - М.:Юр.Норма,НИЦ ИНФРА-М,2026 - 392 с.(П)</t>
  </si>
  <si>
    <t>КОНСТИТУЦИОННЫЙ СУДЕБНЫЙ ПРОЦЕСС, ИЗД.4</t>
  </si>
  <si>
    <t>978-5-00156-267-2</t>
  </si>
  <si>
    <t>178050.04.01</t>
  </si>
  <si>
    <t>Конституционный судебный процесс: Уч.пос. / С.Э.Несмеянова, - 2 изд.-М.:ИЦ РИОР, НИЦ ИНФРА-М,2020.-200с(ВО)(П)</t>
  </si>
  <si>
    <t>Несмеянова С.Э.</t>
  </si>
  <si>
    <t>978-5-369-01757-9</t>
  </si>
  <si>
    <t>036540.31.01</t>
  </si>
  <si>
    <t>Конституция РФ - М.:НИЦ ИНФРА-М,2026 - 70 с.(о)</t>
  </si>
  <si>
    <t>КОНСТИТУЦИЯ РОССИЙСКОЙ ФЕДЕРАЦИИ, ИЗД.1</t>
  </si>
  <si>
    <t>978-5-16-016390-1</t>
  </si>
  <si>
    <t>0102</t>
  </si>
  <si>
    <t>024981.22.01</t>
  </si>
  <si>
    <t>Конституция РФ с коммент. Конституционного Суда РФ - 10 изд. - М.:НИЦ ИНФРА-М,2020 - 206 с.(О)</t>
  </si>
  <si>
    <t>КОНСТИТУЦИЯ РОССИЙСКОЙ ФЕДЕРАЦИИ С КОММЕНТАРИЯМИ КОНСТИТУЦИОННОГО СУДА РФ, ИЗД.10</t>
  </si>
  <si>
    <t>978-5-16-011212-1</t>
  </si>
  <si>
    <t>1016</t>
  </si>
  <si>
    <t>024981.24.01</t>
  </si>
  <si>
    <t>Конституция РФ с коммент. Конституционного Суда РФ - 11 изд. - М.:НИЦ ИНФРА-М,2022 - 256 с.(О)</t>
  </si>
  <si>
    <t>КОНСТИТУЦИЯ РОССИЙСКОЙ ФЕДЕРАЦИИ С КОММЕНТАРИЯМИ КОНСТИТУЦИОННОГО СУДА РФ, ИЗД.11</t>
  </si>
  <si>
    <t>978-5-16-016391-8</t>
  </si>
  <si>
    <t>024981.28.01</t>
  </si>
  <si>
    <t>Конституция РФ с коммент. Конституционного Суда РФ - 12 изд. - М.:НИЦ ИНФРА-М,2025 - 256 с.(О)</t>
  </si>
  <si>
    <t>КОНСТИТУЦИЯ РОССИЙСКОЙ ФЕДЕРАЦИИ С КОММЕНТАРИЯМИ КОНСТИТУЦИОННОГО СУДА РФ, ИЗД.12</t>
  </si>
  <si>
    <t>978-5-16-018169-1</t>
  </si>
  <si>
    <t>1223</t>
  </si>
  <si>
    <t>753345.07.01</t>
  </si>
  <si>
    <t>Конституция РФ. Офиц. текст / Вступ. статья Т.Я.Хабриевой - М.:Юр.Норма, НИЦ ИНФРА-М,2026 - 136 с.(П.к/ф)</t>
  </si>
  <si>
    <t>КОНСТИТУЦИЯ РОССИЙСКОЙ ФЕДЕРАЦИИ. ОФИЦИАЛЬНЫЙ ТЕКСТ.ВСТУПИТЕЛЬНАЯ СТАТЬЯ Т.Я.ХАБРИЕВОЙ, ИЗД.1</t>
  </si>
  <si>
    <t>978-5-00156-160-6</t>
  </si>
  <si>
    <t>00.02.08, 00.03.08, 00.05.08, 40.03.01</t>
  </si>
  <si>
    <t>823053.03.01</t>
  </si>
  <si>
    <t>Конституция РФ. ФКС "О Государственном флаге РФ - М.:Юр. НОРМА, НИЦ ИНФРА-М,2027. - 160 с.(п.к/ф)</t>
  </si>
  <si>
    <t>КОНСТИТУЦИЯ РОССИЙСКОЙ ФЕДЕРАЦИИ.ОФИЦИАЛЬНЫЙ ТЕКСТ С ИЗМЕНЕНИЯМИ. ФЕДЕРАЛЬНЫЕ КОНСТИТУЦИОННЫЕ ЗАКОНЫ "О ГОСУДАРСТВЕННОМ ФЛАГЕ РОССИЙСКОЙ ФЕДЕРАЦИИ", ", ИЗД.1</t>
  </si>
  <si>
    <t>978-5-00156-358-7</t>
  </si>
  <si>
    <t>40.02.02, 40.03.01, 40.05.01, 40.05.02, 40.05.03, 40.05.04, 44.03.05</t>
  </si>
  <si>
    <t>742031.07.01</t>
  </si>
  <si>
    <t>Конституция РФ: Официальный текст - М.:Юр.Норма, НИЦ ИНФРА-М,2023 - 120 с.(О)</t>
  </si>
  <si>
    <t>КОНСТИТУЦИЯ РФ: ОФИЦИАЛЬНЫЙ ТЕКСТ, ИЗД.1</t>
  </si>
  <si>
    <t>978-5-00156-095-1</t>
  </si>
  <si>
    <t>38.03.04, 40.02.02, 40.02.04, 40.03.01, 40.04.01, 40.05.01, 40.05.02, 40.05.03, 40.05.04</t>
  </si>
  <si>
    <t>761004.01.01</t>
  </si>
  <si>
    <t>Конструирование и расчет коленчатого вала...: Уч.пос. / М.П.Вальехо.-М.:НИЦ ИНФРА-М,2023.-134 с.(ВО)(п)</t>
  </si>
  <si>
    <t>КОНСТРУИРОВАНИЕ И РАСЧЕТ КОЛЕНЧАТОГО ВАЛА ПОРШНЕВОГО ДВИГАТЕЛЯ, ИЗД.1</t>
  </si>
  <si>
    <t>Вальехо М.П., Чайнов Н.Д., Краснокутский А.Н.</t>
  </si>
  <si>
    <t>978-5-16-017619-2</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</si>
  <si>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направлению подготовки 23.03.03 «Эксплуатация транспортно-технологических машин и комплексов», уровень образования — бакалавриат</t>
  </si>
  <si>
    <t>787564.01.01</t>
  </si>
  <si>
    <t>Конструирование и расчет коленчатых валов на вынос.: Уч.пос. / М.П.Вальехо-М.:НИЦ ИНФРА-М,2025.-254 с.(ВО)(п)</t>
  </si>
  <si>
    <t>КОНСТРУИРОВАНИЕ И РАСЧЕТ КОЛЕНЧАТЫХ ВАЛОВ НА ВЫНОСЛИВОСТЬ, ИЗД.1</t>
  </si>
  <si>
    <t>978-5-16-018393-0</t>
  </si>
  <si>
    <t>15.03.01, 23.03.02</t>
  </si>
  <si>
    <t>798527.01.01</t>
  </si>
  <si>
    <t>Конструирование и расчет наземных транспортно-технологич..: Уч.пос./А.А.Жиздюк-М.:НИЦ ИНФРА-М,2024-288с(п)</t>
  </si>
  <si>
    <t>КОНСТРУИРОВАНИЕ И РАСЧЕТ НАЗЕМНЫХ ТРАНСПОРТНО-ТЕХНОЛОГИЧЕСКИХ МАШИН, ИЗД.1</t>
  </si>
  <si>
    <t>Жиздюк А.А., Журавлева Л.А., Карпов М.В.</t>
  </si>
  <si>
    <t>978-5-16-018326-8</t>
  </si>
  <si>
    <t>20.03.01, 20.03.02, 20.04.01, 20.04.02, 23.03.02, 23.04.02</t>
  </si>
  <si>
    <t>682957.09.01</t>
  </si>
  <si>
    <t>Конструирование изд. легкой пром.: конструир...: Уч. / Л.Ю.Махоткина - М.:НИЦ ИНФРА-М,2026 - 295 с(СПО)(П)</t>
  </si>
  <si>
    <t>КОНСТРУИРОВАНИЕ ИЗДЕЛИЙ ЛЕГКОЙ ПРОМЫШЛЕННОСТИ: КОНСТРУИРОВАНИЕ ИЗДЕЛИЙ ИЗ КОЖИ, ИЗД.1</t>
  </si>
  <si>
    <t>Махоткина Л.Ю., Никитина Л.Л., Гаврилова О.Е.</t>
  </si>
  <si>
    <t>978-5-16-013956-2</t>
  </si>
  <si>
    <t>29.01.31, 29.01.33, 29.02.10</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</si>
  <si>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29.02.01 «Конструирование, моделирование и технология изделий из кожи», 29.02.02 «Технология кожи и меха»</t>
  </si>
  <si>
    <t>666417.08.01</t>
  </si>
  <si>
    <t>Конструирование изд.легкой промыш.: констр. шв.изд.: Уч. / Л.Ю.Махоткина - М.:НИЦ ИНФРА-М,2026 - 324 с.(П)</t>
  </si>
  <si>
    <t>КОНСТРУИРОВАНИЕ ИЗДЕЛИЙ ЛЕГКОЙ ПРОМЫШЛЕННОСТИ: КОНСТРУИРОВАНИЕ ШВЕЙНЫХ ИЗДЕЛИЙ, ИЗД.1</t>
  </si>
  <si>
    <t>978-5-16-018524-8</t>
  </si>
  <si>
    <t>29.03.01, 29.03.05</t>
  </si>
  <si>
    <t>Рекомендовано ФГБОУ ВО «Санкт-Петербургский государственный университет промышленных технологий и дизайна» в качестве учебника для студентов образовательных учреждений высшего образования, обучающихся по направлению 29.03.05 «Конструирование изделий легкой промышленности»</t>
  </si>
  <si>
    <t>708891.05.01</t>
  </si>
  <si>
    <t>Конструирование изделий из древесины..: Уч.мет.пос. / А.А.Барташевич - 2 изд. - М.:НИЦ ИНФРА-М,2026 - 146 с.(П)</t>
  </si>
  <si>
    <t>КОНСТРУИРОВАНИЕ ИЗДЕЛИЙ ИЗ ДРЕВЕСИНЫ. КУРСОВОЕ И ДИПЛОМНОЕ ПРОЕКТИРОВАНИЕ, ИЗД.2</t>
  </si>
  <si>
    <t>Барташевич А.А., Гайдук С.С.</t>
  </si>
  <si>
    <t>978-5-16-022202-8</t>
  </si>
  <si>
    <t>Рекомендовано учебно-методическим объединением по образованию в области природопользования и лесного хозяйства в качестве учебно-методического пособия для студентов учреждений высшего образования по специальностям 1-46 01 02 «Технология деревообрабатывающих производств», 1-08 01 01 «Профессиональное обучение (деревообработка)»</t>
  </si>
  <si>
    <t>724856.04.01</t>
  </si>
  <si>
    <t>Конструирование изделий из кожи: Уч. / В.В.Костылева - М.:НИЦ ИНФРА-М,2026. - 353 с.(ВО: Бакалавр.)(П)</t>
  </si>
  <si>
    <t>КОНСТРУИРОВАНИЕ ИЗДЕЛИЙ ИЗ КОЖИ, ИЗД.1</t>
  </si>
  <si>
    <t>Костылева В.В., Ключникова В.М.</t>
  </si>
  <si>
    <t>978-5-16-016411-3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</si>
  <si>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29.03.01 «Технология изделий легкой промышленности», 29.03.05 «Конструирование изделий легкой промышленности» (квалификация (степень) «бакалавр») (протокол № 4 от 13.04.2022)</t>
  </si>
  <si>
    <t>704320.07.01</t>
  </si>
  <si>
    <t>Конструирование изделий легкой промыш...: Уч. / Л.Ю.Махоткина - М.:НИЦ ИНФРА-М,2026 - 324 с.(СПО)(П)</t>
  </si>
  <si>
    <t>978-5-16-014930-1</t>
  </si>
  <si>
    <t>29.01.04, 29.02.10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</si>
  <si>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29.02.04 «Конструирование, моделирование и технология швейных изделий» (протокол № 13 от 16.09.2019)</t>
  </si>
  <si>
    <t>646707.07.01</t>
  </si>
  <si>
    <t>Конструирование изделий легкой промышленности....: Уч. / Л.Ю.Махоткина - М.:НИЦ ИНФРА-М,2024-295с(ВО)(п)</t>
  </si>
  <si>
    <t>978-5-16-018970-3</t>
  </si>
  <si>
    <t>Рекомендовано ФГБОУ ВО «Санкт-Петербургский государственный университет промышленных технологий и дизайна» в качестве учебника для студентов образовательных учреждений высшего образования, обучающихся по направлению 29.03.05 «Конструирование изделий легкой промышленности» (квалификация (степень) «бакалавр»)</t>
  </si>
  <si>
    <t>635064.07.01</t>
  </si>
  <si>
    <t>Конструирование изделий легкой промышленности..: Уч. / Л.Ю.Махоткина - М.:НИЦ ИНФРА-М,2026 - 274 с.(ВО)(П)</t>
  </si>
  <si>
    <t>КОНСТРУИРОВАНИЕ ИЗДЕЛИЙ ЛЕГКОЙ ПРОМЫШЛЕННОСТИ: ТЕОРЕТИЧЕСКИЕ ОСНОВЫ ПРОЕКТИРОВАНИЯ, ИЗД.1</t>
  </si>
  <si>
    <t>Махоткина Л.Ю., Никитина Л.Л., Гаврилова О.Е. и др.</t>
  </si>
  <si>
    <t>978-5-16-012120-8</t>
  </si>
  <si>
    <t>29.03.05, 29.04.05</t>
  </si>
  <si>
    <t>Рекомендовано ФГБОУ ВО «Санкт-Петербургский государственный университет промышленных технологий и дизайна» в качестве учебника для студентов образовательных учреждений высшего образования, обучающихся по направлению подготовки 29.03.05 «Конструирование изделий легкой промышленности» (квалификация (степень) «бакалавр»)</t>
  </si>
  <si>
    <t>704373.05.01</t>
  </si>
  <si>
    <t>Конструирование изделий легкой...: Уч.  / Под ред. Абуталиповой Л.Н. - М.:НИЦ ИНФРА-М,2026. -  274 с.(СПО)</t>
  </si>
  <si>
    <t>978-5-16-014935-6</t>
  </si>
  <si>
    <t>27.02.04, 29.01.04, 29.01.31, 29.01.33, 29.02.05, 29.02.10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</si>
  <si>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29.02.00 «Технологии легкой промышленности» (протокол № 5 от 16.03.2020)</t>
  </si>
  <si>
    <t>708896.09.01</t>
  </si>
  <si>
    <t>Конструирование мебели: Уч. / А.А.Барташевич и др., - 2 изд. - М.:НИЦ ИНФРА-М,2026. - 342 с.-(ВО)(п)</t>
  </si>
  <si>
    <t>КОНСТРУИРОВАНИЕ МЕБЕЛИ, ИЗД.2</t>
  </si>
  <si>
    <t>Барташевич А.А., Онегин В.И., Трофимов С.П. и др.</t>
  </si>
  <si>
    <t>978-5-16-019177-5</t>
  </si>
  <si>
    <t>Утверждено Министерством образования Республики Беларусь в качестве учебника для студентов специализации «Технология и дизайн мебели» учреждений, обеспечивающих получение высшего образования</t>
  </si>
  <si>
    <t>682958.13.01</t>
  </si>
  <si>
    <t>Конструирование одежды: Теория и практ.: Уч.пос. / Л.П.Шершнева - М.,НИЦ ИНФРА-М,2027 - 288 с.(СПО)</t>
  </si>
  <si>
    <t>КОНСТРУИРОВАНИЕ ОДЕЖДЫ: ТЕОРИЯ И ПРАКТИКА, ИЗД.1</t>
  </si>
  <si>
    <t>Шершнева Л.П., Ларькина Л.В.</t>
  </si>
  <si>
    <t>978-5-16-021686-7</t>
  </si>
  <si>
    <t>27.02.04, 29.01.04, 29.01.31, 29.01.33, 29.02.10, 54.02.06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</si>
  <si>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29.02.01 «Конструирование, моделирование и технология изделий из кожи», 29.02.03 «Конструирование, моделирование и технология изделий из меха», 29.02.04 «Конструирование, моделирование и технология швейных изделий», 29.02.05 «Технология текстильных изделий (по видам)»</t>
  </si>
  <si>
    <t>071770.18.01</t>
  </si>
  <si>
    <t>Конструирование одежды: теория и практ.: Уч.пос. / Л.П.Шершнева - М.:,НИЦ ИНФРА-М,2026 - 288 с.(ВО)(п)</t>
  </si>
  <si>
    <t>Шершнева Л. П., Ларькина Л. В.</t>
  </si>
  <si>
    <t>978-5-16-021369-9</t>
  </si>
  <si>
    <t>29.03.02, 29.03.05, 29.04.02</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</si>
  <si>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и 29.03.05 «Конструирование изделий легкой промышленности»</t>
  </si>
  <si>
    <t>682644.03.01</t>
  </si>
  <si>
    <t>Конструирование программного обеспеч.: Уч.пос. / Под ред. Гагариной Л.Г. - М.:НИЦ ИНФРА-М,2026. - 319 с.(ВО)(п)</t>
  </si>
  <si>
    <t>КОНСТРУИРОВАНИЕ ПРОГРАММНОГО ОБЕСПЕЧЕНИЯ, ИЗД.1</t>
  </si>
  <si>
    <t>Гагарина Л.Г., Гаращенко А.В., Акимова Е.Н. и др.</t>
  </si>
  <si>
    <t>978-5-16-017861-5</t>
  </si>
  <si>
    <t>09.03.03, 09.03.04, 09.04.03, 09.04.04</t>
  </si>
  <si>
    <t>472850.11.01</t>
  </si>
  <si>
    <t>Конструирование швейных изделий. Проектир: Уч.пос. / Л.В.Кочесова - 2 изд. - М.: НИЦ ИНФРА-М,2026 - 391 с.(П)</t>
  </si>
  <si>
    <t>КОНСТРУИРОВАНИЕ ШВЕЙНЫХ ИЗДЕЛИЙ. ПРОЕКТИРОВАНИЕ СОВРЕМЕННЫХ ШВЕЙНЫХ ИЗДЕЛИЙ НА ИНДИВИДУАЛЬНУЮ ФИГУРУ, ИЗД.2</t>
  </si>
  <si>
    <t>Кочесова Л.В., Коваленко Е.В.</t>
  </si>
  <si>
    <t>978-5-16-021306-4</t>
  </si>
  <si>
    <t>27.02.04, 29.01.33, 29.02.10</t>
  </si>
  <si>
    <t>Рекомендовано в качестве учебного пособия для учебных заведений, реализующих программу среднего профессионального образования по специальности 29.02.04 «Конструирование, моделирование и технология швейных изделий»</t>
  </si>
  <si>
    <t>Колледж Петербургской моды</t>
  </si>
  <si>
    <t>706826.10.01</t>
  </si>
  <si>
    <t>Конструирование швейных изделий...: Уч.пос. / Л.В.Кочесова - 2 изд.— М : ИНФРА-М, 2027 - 391 с.(П)</t>
  </si>
  <si>
    <t>978-5-16-021499-3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</si>
  <si>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29.03.05 «Конструирование изделий легкой промышленности» (протокол № 9 от 13.05.2019)</t>
  </si>
  <si>
    <t>652139.05.01</t>
  </si>
  <si>
    <t>Конструктивная прочность.Конструкц. стали и сплавы:Уч.пос./В.А.Жуков-М.:НИЦ ИНФРА-М,2023-264с(ВО)(П)</t>
  </si>
  <si>
    <t>КОНСТРУКТИВНАЯ ПРОЧНОСТЬ. КОНСТРУКЦИОННЫЕ СТАЛИ И СПЛАВЫ, ИЗД.1</t>
  </si>
  <si>
    <t>978-5-16-012956-3</t>
  </si>
  <si>
    <t>15.04.01, 15.04.03, 15.04.05, 15.05.01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</si>
  <si>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15.04.03 «Прикладная механика», 15.04.01 «Машиностроение», 15.04.05 «Конструкторско-технологическое обеспечение машиностроительных производств» (квалификация (степень) «магистр»)</t>
  </si>
  <si>
    <t>682959.11.01</t>
  </si>
  <si>
    <t>Конструктивное модел.одежды в терминах..: Уч.пос. / Л.П.Шершнева - М.:НИЦ ИНФРА-М,2026 - 271 с.(СПО)(П)</t>
  </si>
  <si>
    <t>КОНСТРУКТИВНОЕ МОДЕЛИРОВАНИЕ ОДЕЖДЫ В ТЕРМИНАХ, ЭСКИЗАХ И ЧЕРТЕЖАХ, ИЗД.1</t>
  </si>
  <si>
    <t>Шершнева Л.П., Дубоносова Е.А., Сунаева С.Г. и др.</t>
  </si>
  <si>
    <t>978-5-16-022109-0</t>
  </si>
  <si>
    <t>29.01.04, 29.01.31, 29.01.33, 29.02.05, 29.02.10, 43.01.11, 54.01.01, 54.01.05, 54.01.06, 54.01.12, 54.01.20, 54.02.01, 54.02.03, 54.02.06</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</si>
  <si>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направлению подготовки 29.03.05 «Конструирование изделий легкой промышленности»</t>
  </si>
  <si>
    <t>276600.13.01</t>
  </si>
  <si>
    <t>Конструктивное моделир. одежды в терминах...: Уч.пос. / Л.П.Шершнева. - М.:НИЦ ИНФРА-М,2026. - 271 с.(ВО)(п)</t>
  </si>
  <si>
    <t>978-5-16-021685-0</t>
  </si>
  <si>
    <t>29.03.01, 29.03.05, 29.04.01, 29.04.05, 54.03.03, 54.04.03</t>
  </si>
  <si>
    <t>110200.09.01</t>
  </si>
  <si>
    <t>Конструкторско-тех. обеспеч. пред. индустрии моды.../ Н.И.Смирнова. - М.:НИЦ ИНФРА-М,2027. - 272 с.(ВО)(п)</t>
  </si>
  <si>
    <t>КОНСТРУКТОРСКО-ТЕХНОЛОГИЧЕСКОЕ ОБЕСПЕЧЕНИЕ ПРЕДПРИЯТИЙ ИНДУСТРИИ МОДЫ, ИЗД.1</t>
  </si>
  <si>
    <t>Смирнова Н. И., Воронкова Т. Ю., Конопальцева Н. М.</t>
  </si>
  <si>
    <t>978-5-16-018785-3</t>
  </si>
  <si>
    <t>Лабораторный практикум</t>
  </si>
  <si>
    <t>29.03.01, 29.03.02, 29.03.05, 43.03.01, 43.04.01</t>
  </si>
  <si>
    <t>Рекомендовано УМО учебных заведений РФ по образованию в области сервиса и туризма Министерства образования и науки в качестве учебного пособия для студентов высших учебных заведений, обучающихся по направлению подготовки 43.03.01 «Сервис», специализации «Сервис на предприятиях индустрии моды»</t>
  </si>
  <si>
    <t>682960.04.01</t>
  </si>
  <si>
    <t>Конструкторско-технолог.обесп.предпр.индустр.моды / Н.И.Смирнова - М.:Форум,НИЦ ИНФРА-М,2026 - 272 с.(СПО)(П)</t>
  </si>
  <si>
    <t>Смирнова Н.И., Воронкова Т.Ю., Конопальцева Н.М.</t>
  </si>
  <si>
    <t>978-5-16-015867-9</t>
  </si>
  <si>
    <t>27.02.04, 29.01.33, 29.02.05, 29.02.10</t>
  </si>
  <si>
    <t>704544.01.01</t>
  </si>
  <si>
    <t>Конструкторско-технологич. обеспеч. качества машиностроит. продукции: Уч.пос. / А.С.Мельников.-М.:НИЦ ИНФРА-М,2022.-363с(П)</t>
  </si>
  <si>
    <t>КОНСТРУКТОРСКО-ТЕХНОЛОГИЧЕСКОЕ ОБЕСПЕЧЕНИЕ КАЧЕСТВА МАШИНОСТРОИТЕЛЬНОЙ ПРОДУКЦИИ, ИЗД.1</t>
  </si>
  <si>
    <t>Мельников А.С., Тамаркин М.А., Тищенко Э.Э. и др.</t>
  </si>
  <si>
    <t>978-5-16-015236-3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</si>
  <si>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 (протокол № 6 от 16.06.2021)</t>
  </si>
  <si>
    <t>240300.11.01</t>
  </si>
  <si>
    <t>Конструкции деревянных зданий: Уч. / В.И. Запруднов - М.: НИЦ ИНФРА-М, 2027 - 304 с.(ВО: Бакалавр.) (п)</t>
  </si>
  <si>
    <t>КОНСТРУКЦИИ ДЕРЕВЯННЫХ ЗДАНИЙ, ИЗД.1</t>
  </si>
  <si>
    <t>Запруднов В. И., Стриженко В. В.</t>
  </si>
  <si>
    <t>978-5-16-009229-4</t>
  </si>
  <si>
    <t>35.03.02, 35.04.02</t>
  </si>
  <si>
    <t>Допущено УМО по образованию в области лесного дела в качестве учебника для студентов вузов, обучающихся по направлению подготовки бакалавров и магистров 250400 «Технология лесозаготовительных и деревоперерабатывающих производств»</t>
  </si>
  <si>
    <t>682961.09.01</t>
  </si>
  <si>
    <t>Конструкции деревянных зданий: Уч. / В.И.Запруднов - М.:НИЦ ИНФРА-М,2026 - 304 с.-(СПО)(П)</t>
  </si>
  <si>
    <t>Запруднов В.И., Стриженко В.В.</t>
  </si>
  <si>
    <t>978-5-16-014632-4</t>
  </si>
  <si>
    <t>07.02.01, 08.02.01, 35.02.12, 35.02.18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</si>
  <si>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35.02.03 «Технология деревообработки» (протокол № 4 от 25.02.2019)</t>
  </si>
  <si>
    <t>103400.20.01</t>
  </si>
  <si>
    <t>Конструкции зданий и сооружений с элемент. статики / Под ред. Л.Р. Маиляна. - М.: ИНФРА-М,2026. - 687 с.(СПО) (п)</t>
  </si>
  <si>
    <t>КОНСТРУКЦИИ ЗДАНИЙ И СООРУЖЕНИЙ С ЭЛЕМЕНТАМИ СТАТИКИ, ИЗД.1</t>
  </si>
  <si>
    <t>Маилян Л. Р.</t>
  </si>
  <si>
    <t>978-5-16-003508-6</t>
  </si>
  <si>
    <t>08.02.15</t>
  </si>
  <si>
    <t>Допущено Федеральным агентством по строительству и ЖКХ в качестве учебника для студентов сред. спец. учеб. зав., обуч. по спец. 270301 Архитектура</t>
  </si>
  <si>
    <t>682962.09.01</t>
  </si>
  <si>
    <t>Конструкции и наладка токарных станков: Уч.пос. / Л.И.Вереина и др. - М.:НИЦ ИНФРА-М,2026 - 480 с.(СПО)(П)</t>
  </si>
  <si>
    <t>КОНСТРУКЦИИ И НАЛАДКА ТОКАРНЫХ СТАНКОВ, ИЗД.1</t>
  </si>
  <si>
    <t>Вереина Л.И., Краснов М.М., Вереина Л.И.</t>
  </si>
  <si>
    <t>978-5-16-013960-9</t>
  </si>
  <si>
    <t>15.01.38, 15.02.01, 15.02.04, 15.02.16, 15.02.17</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</si>
  <si>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15.02.01 «Монтаж и техническая эксплуатация промышленного оборудования (по отраслям)», 15.02.05 «Техническая эксплуатация оборудования в торговле и общественном питании», 15.02.08 «Технология машиностроения»</t>
  </si>
  <si>
    <t>641492.07.01</t>
  </si>
  <si>
    <t>Конструкции и наладка токарных станков: Уч.пос. / Л.И.Вереина. - М.:НИЦ ИНФРА-М,2026 - 480 с.(ВО)(П)</t>
  </si>
  <si>
    <t>978-5-16-012503-9</t>
  </si>
  <si>
    <t>15.03.01, 15.03.02, 15.03.05</t>
  </si>
  <si>
    <t>Рекомендовано в качестве учебного пособия для студентов высших учебных заведений, 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t>
  </si>
  <si>
    <t>702445.05.01</t>
  </si>
  <si>
    <t>Конструкции и электрооборуд. высокоскор. назем. трансп.: Уч.пос. / Д.В.Пегов, - М.:НИЦ ИНФРА-М,2026. - 267 с.(ВО)(П)</t>
  </si>
  <si>
    <t>КОНСТРУКЦИИ И ЭЛЕКТРООБОРУДОВАНИЕ ВЫСОКОСКОРОСТНОГО НАЗЕМНОГО ТРАНСПОРТА, ИЗД.1</t>
  </si>
  <si>
    <t>Пегов Д.В., Евстафьев А.М., Мазнев А.С. и др.</t>
  </si>
  <si>
    <t>978-5-16-014940-0</t>
  </si>
  <si>
    <t>23.05.03, 23.05.04, 23.05.05</t>
  </si>
  <si>
    <t>Рекомендовано Экспертным советом по рецензированию Московского государственного университета путей сообщения, уполномоченным приказом Минобрнауки России от 15 января 2007 г. № 10, к использованию в качестве учебного пособия для студентов, обучающихся по специальности «Подвижной состав железных дорог»</t>
  </si>
  <si>
    <t>348200.14.01</t>
  </si>
  <si>
    <t>Конструкции малоэтажных зданий: Уч.пос. / Л.А.Мунчак - 2 изд. - М.:КУРС, НИЦ ИНФРА-М,2023-464с.(П)</t>
  </si>
  <si>
    <t>КОНСТРУКЦИИ МАЛОЭТАЖНЫХ ЗДАНИЙ, ИЗД.2</t>
  </si>
  <si>
    <t>Мунчак Л.А.</t>
  </si>
  <si>
    <t>978-5-906818-84-3</t>
  </si>
  <si>
    <t>797807.01.01</t>
  </si>
  <si>
    <t>Конструкционный бетон с комплекс. доб. гидротерм. нанокремнезема..: Моногр. / С.Н.Леонович-М.:НИЦ ИНФРА-М,2023-242с.(о)</t>
  </si>
  <si>
    <t>КОНСТРУКЦИОННЫЙ БЕТОН С КОМПЛЕКСНОЙ ДОБАВКОЙ ГИДРОТЕРМАЛЬНОГО НАНОКРЕМНЕЗЕМА И УГЛЕРОДНЫХ НАНОТРУБОК, ИЗД.1</t>
  </si>
  <si>
    <t>Полонина Е.Н., Леонович С.Н.</t>
  </si>
  <si>
    <t>978-5-16-018340-4</t>
  </si>
  <si>
    <t>08.03.01, 08.05.01, 08.06.01, 20.03.01, 21.03.02, 23.03.02, 23.05.06, 27.03.02</t>
  </si>
  <si>
    <t>438250.15.01</t>
  </si>
  <si>
    <t>Конструкция автомобильных трансмиссий: Уч.пос. / В.И.Песков - М.:НИЦ ИНФРА-М,2026 - 146 с.(О)</t>
  </si>
  <si>
    <t>КОНСТРУКЦИЯ АВТОМОБИЛЬНЫХ ТРАНСМИССИЙ, ИЗД.1</t>
  </si>
  <si>
    <t>Песков В.И.</t>
  </si>
  <si>
    <t>978-5-16-016247-8</t>
  </si>
  <si>
    <t>15.03.03, 15.03.05, 15.04.05</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</si>
  <si>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«Автомобиле- и тракторостроение»</t>
  </si>
  <si>
    <t>682963.05.01</t>
  </si>
  <si>
    <t>Конструкция автомобильных трансмиссий: Уч.пос. / В.И.Песков - М.:НИЦ ИНФРА-М,2026 - 146 с.(СПО)(П)</t>
  </si>
  <si>
    <t>978-5-16-016145-7</t>
  </si>
  <si>
    <t>15.02.01, 15.02.16, 23.02.02</t>
  </si>
  <si>
    <t>682963.01.01</t>
  </si>
  <si>
    <t>Конструкция автомобильных трансмиссий: Уч.пос. / В.И.Песков-М.:Форум, НИЦ ИНФРА-М,2019.-144с(СПО)(О)</t>
  </si>
  <si>
    <t>Песков В. И.</t>
  </si>
  <si>
    <t>978-5-00091-578-3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</si>
  <si>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t>
  </si>
  <si>
    <t>791515.08.01</t>
  </si>
  <si>
    <t>Конструкция воен. колесных машин. Авто. Урал-4320-10...: Уч.пос. / К.В.Костин - М.:НИЦ ИНФРА-М,2027-291с(п)</t>
  </si>
  <si>
    <t>КОНСТРУКЦИЯ ВОЕННЫХ КОЛЕСНЫХ МАШИН. АВТОМОБИЛИ УРАЛ-4320-10, УРАЛ-4320-31, ИЗД.1</t>
  </si>
  <si>
    <t>Костин К.В., Галкин А.Н., Брикса С.Л. и др.</t>
  </si>
  <si>
    <t>978-5-16-017998-8</t>
  </si>
  <si>
    <t>23.03.02, 23.03.03, 23.04.02, 23.04.03, 56.04.04</t>
  </si>
  <si>
    <t>702443.06.01</t>
  </si>
  <si>
    <t>Конструкция и динамика электрич. подвиж. сост.: Моногр. / А.С.Мазнев - М.:НИЦ ИНФРА-М,2027 - 248 с.(П)</t>
  </si>
  <si>
    <t>КОНСТРУКЦИЯ И ДИНАМИКА ЭЛЕКТРИЧЕСКОГО ПОДВИЖНОГО СОСТАВА, ИЗД.1</t>
  </si>
  <si>
    <t>Мазнев А.С., Евстафьев А.М.</t>
  </si>
  <si>
    <t>978-5-16-015026-0</t>
  </si>
  <si>
    <t>23.05.03, 23.06.01</t>
  </si>
  <si>
    <t>777251.02.01</t>
  </si>
  <si>
    <t>Конструкция судовых турбомашин: Уч.пос. / В.В.Кузнецов. - М.:НИЦ ИНФРА-М,2026. - 154 с.(ВО)(о)</t>
  </si>
  <si>
    <t>КОНСТРУКЦИЯ СУДОВЫХ ТУРБОМАШИН, ИЗД.1</t>
  </si>
  <si>
    <t>Кузнецов В.В., Польский Е.В., ЧВВМУ имени П.С Нахимова</t>
  </si>
  <si>
    <t>978-5-16-017931-5</t>
  </si>
  <si>
    <t>18.01.28, 19.01.01, 26.01.03, 26.01.05, 26.02.01, 26.02.02, 26.02.04, 26.02.05, 26.02.06, 26.03.02, 26.05.02, 26.05.05, 26.05.06</t>
  </si>
  <si>
    <t>Рекомендовано экспертным советом ЧВВМУ имени П.С. Нахимова в качестве учебного пособия по дисциплине «Судовые турбомашины» для студентов специальности 26.05.06 «Эксплуатация судовых энергетических установок»</t>
  </si>
  <si>
    <t>701972.06.01</t>
  </si>
  <si>
    <t>Конструкция электроспецоборуд. бронетанк. вооруж..: Уч.: Ч.2 / И.Ю.Лепешинский - М.:НИЦ ИНФРА-М,2026. - 419 с.(П)</t>
  </si>
  <si>
    <t>КОНСТРУКЦИЯ ЭЛЕКТРОСПЕЦОБОРУДОВАНИЯ БРОНЕТАНКОВОГО ВООРУЖЕНИЯ И ТЕХНИКИ, Т.2</t>
  </si>
  <si>
    <t>978-5-16-015032-1</t>
  </si>
  <si>
    <t>23.04.02, 23.04.03, 23.05.01, 23.05.02, 56.04.04, 57.04.01</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</si>
  <si>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учебника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</si>
  <si>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701971.06.01</t>
  </si>
  <si>
    <t>Конструкция электроспецоборуд. бронетанк. вооруж.: Уч.: Ч.1 / И.Ю.Лепешинский - М.:НИЦ ИНФРА-М,2026 - 392 с.(П)</t>
  </si>
  <si>
    <t>КОНСТРУКЦИЯ ЭЛЕКТРОСПЕЦОБОРУДОВАНИЯ БРОНЕТАНКОВОГО ВООРУЖЕНИЯ И ТЕХНИКИ, Т.1</t>
  </si>
  <si>
    <t>Лепешинский И.Ю., Чикирев О.И., Мунин В.А. и др.</t>
  </si>
  <si>
    <t>978-5-16-015063-5</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</si>
  <si>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учебника для студентов высших учебных заведений, обучающихся по направлению подготовки «Транспортные машины  и транспортно-технологические комплексы»</t>
  </si>
  <si>
    <t>657343.10.01</t>
  </si>
  <si>
    <t>Консультативная психология: Уч.пос. / Е.Е.Сапогова - 2 изд. - М.:НИЦ ИНФРА-М,2026 - 427с(ВО)(п)</t>
  </si>
  <si>
    <t>КОНСУЛЬТАТИВНАЯ ПСИХОЛОГИЯ, ИЗД.2</t>
  </si>
  <si>
    <t>Сапогова Е.Е.</t>
  </si>
  <si>
    <t>978-5-16-019844-6</t>
  </si>
  <si>
    <t>37.03.01, 37.05.01, 44.03.02, 44.04.02, 44.05.01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</si>
  <si>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37.03.01 «Психология», 44.03.02 «Психолого-педагогическое образование» (квалификация (степень) «бакалавр»)</t>
  </si>
  <si>
    <t>128750.06.01</t>
  </si>
  <si>
    <t>Консультирование в упр.человеч.ресурс.: Уч.пос./Н.И.Шаталова-НИЦ ИНФРА-М,2019-221с.(ВО:Бакалавр.)(п)</t>
  </si>
  <si>
    <t>КОНСУЛЬТИРОВАНИЕ В УПРАВЛЕНИИ ЧЕЛОВЕЧЕСКИМИ РЕСУРСАМИ, ИЗД.1</t>
  </si>
  <si>
    <t>Шаталова Н. И., Александрова Н. А., Брюхова О. Ю., Гилева О. Б., Шаталова Н. И.</t>
  </si>
  <si>
    <t>978-5-16-003824-7</t>
  </si>
  <si>
    <t>38.03.02, 38.03.04, 38.04.04, 41.03.06</t>
  </si>
  <si>
    <t>Допущено Советом Учебно-методического объединения по образованию в области менеджмента в качестве учебного пособия по дисциплине региональной составляющей специальности «Управление персоналом»</t>
  </si>
  <si>
    <t>Уральский государственный университет путей сообщения</t>
  </si>
  <si>
    <t>848698.01.01</t>
  </si>
  <si>
    <t>Контакты иных степеней: Моногр. / С.В.Борзых - М.:НИЦ ИНФРА-М,2025. - 166 с.-(Науч.мысль)(о)</t>
  </si>
  <si>
    <t>КОНТАКТЫ ИНЫХ СТЕПЕНЕЙ, ИЗД.1</t>
  </si>
  <si>
    <t>978-5-16-020637-0</t>
  </si>
  <si>
    <t>214900.06.01</t>
  </si>
  <si>
    <t>Контроллинг в банке: Уч.пос. / А.М.Карминский - М.: ИД ФОРУМ:НИЦ ИНФРА-М, 2022 - 288 с.(ВО) (п)</t>
  </si>
  <si>
    <t>КОНТРОЛЛИНГ В БАНКЕ, ИЗД.1</t>
  </si>
  <si>
    <t>Фалько С.Г., Жевага А.А., Зубов С.А. и др.</t>
  </si>
  <si>
    <t>978-5-8199-0556-2</t>
  </si>
  <si>
    <t>Рекомендовано Учебно-методическим объединением по образованию в области финансов, учета и мировой экономики в качестве учебного пособия для студентов высших учебных заведении, обучающихся по направлению «Экономика» (бакалавриат и магистратура), по пр</t>
  </si>
  <si>
    <t>214900.08.01</t>
  </si>
  <si>
    <t>Контроллинг в банке: Уч.пос. / Под ред. Карминского А.М., - 2 изд. - М.:НИЦ ИНФРА-М,2027 - 284 с.(ВО)(п)</t>
  </si>
  <si>
    <t>КОНТРОЛЛИНГ В БАНКЕ, ИЗД.2</t>
  </si>
  <si>
    <t>Карминский А.М., Фалько С.Г., Жевага А.А. и др.</t>
  </si>
  <si>
    <t>978-5-16-018131-8</t>
  </si>
  <si>
    <t>205200.07.01</t>
  </si>
  <si>
    <t>Контроллинг на промышленном предпр.: Уч. / А.М.Карминский - М.: ИД ФОРУМ: ИНФРА-М, 2022-304с.(ВО) (п)</t>
  </si>
  <si>
    <t>КОНТРОЛЛИНГ НА ПРОМЫШЛЕННОМ ПРЕДПРИЯТИИ, ИЗД.1</t>
  </si>
  <si>
    <t>Карминский А. М., Фалько С. Г., Грачев И. Д., Иванова Н. Ю., Маликова С. Г., Карминский А. М.</t>
  </si>
  <si>
    <t>978-5-8199-0549-4</t>
  </si>
  <si>
    <t>27.04.06, 27.04.07, 38.03.01, 38.03.02, 38.04.02, 41.03.06</t>
  </si>
  <si>
    <t>Рекомендовано Учебно-методическим объединением вузов по университетскому политехническому образованию в качестве учебника для студентов вузов, обучающихся по направлению 220700 «Организация и управление наукоемкими производствами» специальности 22070</t>
  </si>
  <si>
    <t>205200.08.01</t>
  </si>
  <si>
    <t>Контроллинг на промышленном предприятии: Уч. / А.М.Карминский - 2 изд.-М.:НИЦ ИНФРА-М,2024.-295 с.(ВО)(п)</t>
  </si>
  <si>
    <t>КОНТРОЛЛИНГ НА ПРОМЫШЛЕННОМ ПРЕДПРИЯТИИ, ИЗД.2</t>
  </si>
  <si>
    <t>Иванова Н.Ю., Карминский А.М., Маликова С.Г. и др.</t>
  </si>
  <si>
    <t>978-5-16-017878-3</t>
  </si>
  <si>
    <t>Рекомендовано Учебно-методическим объединением вузов по университетскому политехническому образованию в качестве учебника для студентов вузов, обучающихся по направлению «Организация и управление наукоемкими производствами» специальности «Менеджмент высоких технологий»</t>
  </si>
  <si>
    <t>825890.01.01</t>
  </si>
  <si>
    <t>Контроллинг эффективности бизнеса: Уч. / Н.А.Никифорова - М.:НИЦ ИНФРА-М,2025. - 284 с.(ВО)(п)</t>
  </si>
  <si>
    <t>КОНТРОЛЛИНГ ЭФФЕКТИВНОСТИ БИЗНЕСА, ИЗД.1</t>
  </si>
  <si>
    <t>Никифорова Н.А., Миловидова С.Н., Иззука Т.Б. и др.</t>
  </si>
  <si>
    <t>978-5-16-020203-7</t>
  </si>
  <si>
    <t>080990.14.01</t>
  </si>
  <si>
    <t>Контроллинг: Уч. / Под ред. Карминского А.М. - 3 изд. -М.:ИД ФОРУМ,НИЦ ИНФРА-М,2023-336с.(ВО)(П)</t>
  </si>
  <si>
    <t>КОНТРОЛЛИНГ, ИЗД.3</t>
  </si>
  <si>
    <t>978-5-8199-0825-9</t>
  </si>
  <si>
    <t>38.03.01, 38.03.02, 38.03.03, 38.03.04, 38.03.06, 38.04.01, 38.04.02, 38.04.03, 38.04.04, 38.04.06, 41.03.06</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</si>
  <si>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подготовки 27.04.06 «Организация и управление наукоемкими производствами»</t>
  </si>
  <si>
    <t>080990.15.01</t>
  </si>
  <si>
    <t>Контроллинг: Уч. / Под ред. Карминского А.М., - 4 изд., - М.:НИЦ ИНФРА-М,2026. - 252 с.(ВО:Магистр)(п)</t>
  </si>
  <si>
    <t>КОНТРОЛЛИНГ, ИЗД.4</t>
  </si>
  <si>
    <t>978-5-16-017877-6</t>
  </si>
  <si>
    <t>739817.02.01</t>
  </si>
  <si>
    <t>Контроль и аудит деят. коммерческой орг...: Уч.пос. / В.И.Осипов - М.:НИЦ ИНФРА-М,2024. - 221 с.(ВО)(П)</t>
  </si>
  <si>
    <t>КОНТРОЛЬ И АУДИТ ДЕЯТЕЛЬНОСТИ КОММЕРЧЕСКОЙ ОРГАНИЗАЦИИ: ВНЕШНИЙ И ВНУТРЕННИЙ, ИЗД.1</t>
  </si>
  <si>
    <t>Осипов В.И.</t>
  </si>
  <si>
    <t>978-5-16-019994-8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</si>
  <si>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11 от 09.11.2020)</t>
  </si>
  <si>
    <t>800428.01.01</t>
  </si>
  <si>
    <t>Контроль и аудит орг. управ. бизнес-процессами: Уч.пос. / В.В.Дворецкая - М.:НИЦ ИНФРА-М,2026 - 192 с.(ВО)(п)</t>
  </si>
  <si>
    <t>КОНТРОЛЬ И АУДИТ ОРГАНИЗАЦИИ УПРАВЛЕНИЯ БИЗНЕС-ПРОЦЕССАМИ, ИЗД.1</t>
  </si>
  <si>
    <t>Дворецкая В.В., Мельник М.В.</t>
  </si>
  <si>
    <t>978-5-16-020906-7</t>
  </si>
  <si>
    <t>764287.02.01</t>
  </si>
  <si>
    <t>Контроль и надзор как гарантии законности: теор..: Моногр. / С.Г.Нистратов-М.:НИЦ ИНФРА-М,2022.-186 с.(Науч.мысль)(П)</t>
  </si>
  <si>
    <t>КОНТРОЛЬ И НАДЗОР КАК ГАРАНТИИ ЗАКОННОСТИ: ТЕОРЕТИКО-ПРАВОВОЙ АСПЕКТ, ИЗД.1</t>
  </si>
  <si>
    <t>Нистратов С.Г., Редько А.А.</t>
  </si>
  <si>
    <t>978-5-16-017176-0</t>
  </si>
  <si>
    <t>150700.14.01</t>
  </si>
  <si>
    <t>Контроль и ревизия в бюджет. учреж.: Уч.пос. / Маслова Т.С. - 2 изд. - М.:Магистр,НИЦ ИНФРА-М,2026 - 336 с.(О)</t>
  </si>
  <si>
    <t>КОНТРОЛЬ И РЕВИЗИЯ В БЮДЖЕТНЫХ УЧРЕЖДЕНИЯХ, ИЗД.2</t>
  </si>
  <si>
    <t>Маслова Т. С.</t>
  </si>
  <si>
    <t>978-5-9776-0446-8</t>
  </si>
  <si>
    <t>23.03.01, 38.02.06, 38.03.01</t>
  </si>
  <si>
    <t>821278.01.01</t>
  </si>
  <si>
    <t>Контроль и ревизия в гос/ учреждениях: Eч. / Т.С.Маслова-М.:Магистр, НИЦ ИНФРА-М,2024.-432 с.(п)</t>
  </si>
  <si>
    <t>КОНТРОЛЬ И РЕВИЗИЯ В ГОСУДАРСТВЕННЫХ УЧРЕЖДЕНИЯХ, ИЗД.1</t>
  </si>
  <si>
    <t>978-5-9776-0561-8</t>
  </si>
  <si>
    <t>38.03.01, 38.03.02, 38.03.04, 38.04.01, 38.04.02, 38.04.04, 38.04.06, 38.04.08, 38.04.09, 38.05.01</t>
  </si>
  <si>
    <t>720208.05.01</t>
  </si>
  <si>
    <t>Контроль и ревизия. Практикум: Уч.пос. / Н.Г.Гаджиев и др. - М.:НИЦ ИНФРА-М,2026. - 321 с.(ВО)(П)</t>
  </si>
  <si>
    <t>КОНТРОЛЬ И РЕВИЗИЯ. ПРАКТИКУМ, ИЗД.1</t>
  </si>
  <si>
    <t>Гаджиев Н.Г., Коноваленко С.А., Корнилович Р.А. и др.</t>
  </si>
  <si>
    <t>978-5-16-015731-3</t>
  </si>
  <si>
    <t>38.03.02, 38.03.03, 38.03.06, 38.04.02, 38.04.03, 38.04.06, 38.05.01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</si>
  <si>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10 от 12.10.2020)</t>
  </si>
  <si>
    <t>813857.02.01</t>
  </si>
  <si>
    <t>Контроль и ревизия: Уч. / Е.А.Мизиковский.-М.:Магистр, НИЦ ИНФРА-М,2024.-352 с.(п)</t>
  </si>
  <si>
    <t>КОНТРОЛЬ И РЕВИЗИЯ, ИЗД.1</t>
  </si>
  <si>
    <t>Мизиковский Е.А., Мизиковский И.Е., Игонина Е.С. и др.</t>
  </si>
  <si>
    <t>978-5-9776-0573-1</t>
  </si>
  <si>
    <t>38.03.01, 38.03.02, 38.03.03, 38.03.06, 38.04.01, 38.04.02, 38.04.03, 38.04.06, 38.05.01</t>
  </si>
  <si>
    <t>749667.06.01</t>
  </si>
  <si>
    <t>Контроль и ревизия: Уч. / Н.Г.Гаджиев и др. - М.:НИЦ ИНФРА-М,2026. - 607 с.(ВО: Специалитет)(П)</t>
  </si>
  <si>
    <t>Гаджиев Н.Г., Коноваленко С.А., Киселева О.В. и др.</t>
  </si>
  <si>
    <t>978-5-16-016757-2</t>
  </si>
  <si>
    <t>38.03.01, 38.03.02, 38.03.06, 38.04.02, 38.04.06, 38.05.01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</si>
  <si>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38.05.01 «Экономическая безопасность» (квалификация «экономист») (протокол № 6 от 08.06.2022)</t>
  </si>
  <si>
    <t>055150.20.01</t>
  </si>
  <si>
    <t>Контроль качества воды: Уч. / Л.С. Алексеев - 4 изд. - М.: НИЦ ИНФРА-М, 2026 - 159 с.(СПО) (п)</t>
  </si>
  <si>
    <t>КОНТРОЛЬ КАЧЕСТВА ВОДЫ, ИЗД.4</t>
  </si>
  <si>
    <t>Алексеев Л. С.</t>
  </si>
  <si>
    <t>978-5-16-010316-7</t>
  </si>
  <si>
    <t>08.01.29, 08.02.01, 08.02.02, 08.02.04, 08.02.13, 08.02.14, 13.02.02, 13.02.05, 18.02.12, 35.01.33</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</si>
  <si>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08.02.04 «Водоснабжение и водоотведение»</t>
  </si>
  <si>
    <t>0409</t>
  </si>
  <si>
    <t>789951.01.01</t>
  </si>
  <si>
    <t>Контрольно-надзорная деят. таможенных орг... / С.А.Агамагомедова-М.:НИЦ ИНФРА-М,2023 -178 с.(О)</t>
  </si>
  <si>
    <t>КОНТРОЛЬНО-НАДЗОРНАЯ ДЕЯТЕЛЬНОСТЬ ТАМОЖЕННЫХ ОРГАНОВ В УСЛОВИЯХ ЦИФРОВИЗАЦИИ И ИНТЕГРАЦИИ ЭКОНОМИКИ, ИЗД.1</t>
  </si>
  <si>
    <t>Агамагомедова С.А.</t>
  </si>
  <si>
    <t>978-5-16-018043-4</t>
  </si>
  <si>
    <t>38.05.02, 38.06.01, 40.04.01, 40.06.01</t>
  </si>
  <si>
    <t>766070.01.01</t>
  </si>
  <si>
    <t>Контуры и профили культуры США в XIX столетии: Моногр. / Т.В.Алентьева - М.:НИЦ ИНФРА-М,2022 - 436 с.(П)</t>
  </si>
  <si>
    <t>КОНТУРЫ И ПРОФИЛИ КУЛЬТУРЫ США В XIX СТОЛЕТИИ, ИЗД.1</t>
  </si>
  <si>
    <t>978-5-16-017255-2</t>
  </si>
  <si>
    <t>46.03.01, 50.03.03, 50.03.04, 50.04.03, 50.04.04, 51.04.01</t>
  </si>
  <si>
    <t>823850.01.01</t>
  </si>
  <si>
    <t>Конфедерации прошлого и настоящего...: Моногр. / А.В.Макутчев - М.:НИЦ ИНФРА-М,2025. - 419 с.(п)</t>
  </si>
  <si>
    <t>КОНФЕДЕРАЦИИ ПРОШЛОГО И НАСТОЯЩЕГО: ИСТОРИКО-ПРАВОВОЙ АНАЛИЗ, ИЗД.1</t>
  </si>
  <si>
    <t>Макутчев А.В.</t>
  </si>
  <si>
    <t>978-5-16-019810-1</t>
  </si>
  <si>
    <t>40.03.01, 40.04.01, 40.06.01, 41.04.05, 41.06.01</t>
  </si>
  <si>
    <t>684352.09.01</t>
  </si>
  <si>
    <t>Конфекционирование матер. для одежды: Уч.пос. / Л.В.Орленко - М.:ИД ФОРУМ, НИЦ ИНФРА-М,2027. - 287 с.(П)</t>
  </si>
  <si>
    <t>КОНФЕКЦИОНИРОВАНИЕ МАТЕРИАЛОВ ДЛЯ ОДЕЖДЫ, ИЗД.1</t>
  </si>
  <si>
    <t>Орленко Л.В., Гаврилова Н.И.</t>
  </si>
  <si>
    <t>978-5-8199-0788-7</t>
  </si>
  <si>
    <t>29.01.04, 29.01.31, 29.01.33, 29.02.05, 29.02.10, 54.01.05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</si>
  <si>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 (протокол № 13 от 16.09.2019)</t>
  </si>
  <si>
    <t>069100.11.01</t>
  </si>
  <si>
    <t>Конфекционирование материалов для одежды: Уч.пос. / Л.В.Орленко - М.:НИЦ ИНФРА-М,2027. - 287 с.(ВО)(п)</t>
  </si>
  <si>
    <t>Орленко Л. В., Гаврилова Н. И.</t>
  </si>
  <si>
    <t>978-5-16-022386-5</t>
  </si>
  <si>
    <t>29.03.05</t>
  </si>
  <si>
    <t>Рекомендовано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29.03.05 «Конструирование изделий легкой промышленности» (квалификация (степень) «бакалавр»)</t>
  </si>
  <si>
    <t>664178.10.01</t>
  </si>
  <si>
    <t>Конфигурирование и моделир. в сис. «1С: Предприятие»: Уч. / Э.Г.Дадян - М.:НИЦ ИНФРА-М,2026. - 417 с.(ВО)(п)</t>
  </si>
  <si>
    <t>КОНФИГУРИРОВАНИЕ И МОДЕЛИРОВАНИЕ В СИСТЕМЕ «1С: ПРЕДПРИЯТИЕ», ИЗД.1</t>
  </si>
  <si>
    <t>978-5-16-021071-1</t>
  </si>
  <si>
    <t>01.03.04, 01.04.04, 02.03.02, 03.03.02, 09.03.01, 09.03.03, 09.03.04</t>
  </si>
  <si>
    <t>179350.09.01</t>
  </si>
  <si>
    <t>Конфиденциальное делопроизводство: Уч.пос. / Т.А.Гугуева - 2 изд. - М.:НИЦ ИНФРА-М,2021-199с.(ВО)(П)</t>
  </si>
  <si>
    <t>КОНФИДЕНЦИАЛЬНОЕ ДЕЛОПРОИЗВОДСТВО, ИЗД.2</t>
  </si>
  <si>
    <t>Гугуева Т.А.</t>
  </si>
  <si>
    <t>978-5-16-012525-1</t>
  </si>
  <si>
    <t>23.03.01, 38.03.02, 38.03.04, 46.03.02, 46.04.02</t>
  </si>
  <si>
    <t>Рекомендовано в качестве учебного пособия для студентов высших учебных заведений, обучающихся по направлениям подготовки 46.03.02 «Документоведение и архивоведение», 38.03.02 «Менеджмент» (квалификация (степень) «бакалавр»)</t>
  </si>
  <si>
    <t>Газпром, ф-л Служба корпоративной защиты ПАО "Газпром" в г. Москве</t>
  </si>
  <si>
    <t>747208.02.01</t>
  </si>
  <si>
    <t>Конфиденциальное делопроизводство: Уч.пос. / Т.А.Гугуева - 2 изд.-М.:НИЦ ИНФРА-М,2021-199 с.-(СПО)(П)</t>
  </si>
  <si>
    <t>978-5-16-016585-1</t>
  </si>
  <si>
    <t>09.01.03, 10.02.01, 11.02.12, 18.02.01, 19.02.11, 21.02.19, 29.02.05, 38.02.01, 38.02.02, 38.02.03, 38.02.06, 38.02.07, 38.02.08, 39.02.01, 40.02.02, 40.02.04, 43.02.01, 46.02.01, 46.02.02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</si>
  <si>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10.02.00 «Информационная безопасность», 38.02.00 «Экономика и менеджмент», 40.02.00» Юриспруденция», 46.02.00» История и археология»  (протокол № 8 от 22.06.2020)</t>
  </si>
  <si>
    <t>634165.07.01</t>
  </si>
  <si>
    <t>Конфликт интересов на государственной службе... / Т.С.Глазырин и др. - М.:НИЦ ИНФРА-М,2023.-224 с(П)</t>
  </si>
  <si>
    <t>КОНФЛИКТ ИНТЕРЕСОВ НА ГОСУДАРСТВЕННОЙ СЛУЖБЕ, В ДЕЯТЕЛЬНОСТИ ОРГАНИЗАЦИЙ: ПРИЧИНЫ, ПРЕДОТВРАЩЕНИЕ, УРЕГУЛИРОВАНИЕ, ИЗД.1</t>
  </si>
  <si>
    <t>Глазырин Т.С., Козлов Т.Л., Колосова Н.М. и др.</t>
  </si>
  <si>
    <t>978-5-16-012101-7</t>
  </si>
  <si>
    <t>38.03.01, 38.03.04, 40.02.04, 40.03.01, 40.04.01</t>
  </si>
  <si>
    <t>795913.01.01</t>
  </si>
  <si>
    <t>Конфликтно-активное управление проектами разв. систем..: Моногр. / Новосельцев В.И.-М.:НИЦ ИНФРА-М,2023-235с.(п)</t>
  </si>
  <si>
    <t>КОНФЛИКТНО-АКТИВНОЕ УПРАВЛЕНИЕ ПРОЕКТАМИ РАЗВИТИЯ СИСТЕМ ОБЕСПЕЧЕНИЯ ИНФОРМАЦИОННОЙ БЕЗОПАСНОСТИ ИНФОКОММУНИКАЦИОННЫХ СЕТЕЙ, ИЗД.1</t>
  </si>
  <si>
    <t>Новосельцев В.И., Кочедыков С.С., Орлова Д.Е. и др.</t>
  </si>
  <si>
    <t>978-5-16-018194-3</t>
  </si>
  <si>
    <t>10.04.01, 10.05.02, 10.06.01</t>
  </si>
  <si>
    <t>023598.19.01</t>
  </si>
  <si>
    <t>Конфликтология: Уч. / А.В. Дмитриев. - 4 изд. - М.: Альфа-М: НИЦ ИНФРА-М, 2026. - 336 с.(п)</t>
  </si>
  <si>
    <t>КОНФЛИКТОЛОГИЯ, ИЗД.4</t>
  </si>
  <si>
    <t>Дмитриев А. В.</t>
  </si>
  <si>
    <t>978-5-98281-350-3</t>
  </si>
  <si>
    <t>23.03.01, 26.03.01, 37.03.01, 37.03.02, 37.04.01, 37.04.02, 38.03.01, 38.03.03, 38.03.04, 38.04.03, 38.04.04, 39.03.01, 39.03.02, 39.04.01, 41.03.04, 41.03.06, 41.04.01, 41.04.04, 41.04.05, 43.04.03, 44.03.01, 44.03.05, 51.03.02</t>
  </si>
  <si>
    <t>Рекомендовано УМО по образованию в области инновационных  междисциплинарных образовательных программ в качестве учебника по направлению "Конфликтология"</t>
  </si>
  <si>
    <t>Федеральный научно-исследовательский социологический центр Российской академии наук</t>
  </si>
  <si>
    <t>123750.14.01</t>
  </si>
  <si>
    <t>Конфликтология: Уч. / Г.И.Козырев - 3 изд. - М.:НИЦ ИНФРА-М,2026 - 289 с.(ВО)(П)</t>
  </si>
  <si>
    <t>КОНФЛИКТОЛОГИЯ, ИЗД.3</t>
  </si>
  <si>
    <t>Козырев Г.И.</t>
  </si>
  <si>
    <t>978-5-16-018512-5</t>
  </si>
  <si>
    <t>37.03.02, 37.04.02, 37.05.02, 38.03.01, 38.03.03, 39.03.02, 41.03.06, 44.03.05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</si>
  <si>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38.03.03 «Управление персоналом», 41.03.06 «Публичная политика и социальные науки» (квалификация (степень) «бакалавр») (протокол № 10 от 27.05.2019)</t>
  </si>
  <si>
    <t>123750.05.01</t>
  </si>
  <si>
    <t>Конфликтология: Уч. / Г.И.Козырев - М.:ИД ФОРУМ, НИЦ ИНФРА-М,2018 - 304 с.-(ВО)(П)</t>
  </si>
  <si>
    <t>КОНФЛИКТОЛОГИЯ, ИЗД.1</t>
  </si>
  <si>
    <t>978-5-8199-0738-2</t>
  </si>
  <si>
    <t>Допущено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направлению 39.03.01 «Социология»</t>
  </si>
  <si>
    <t>024307.27.01</t>
  </si>
  <si>
    <t>Конфликтология: Уч. / Под ред. Кибанова А.Я. - 2 изд. - М.:НИЦ ИНФРА-М,2021 - 301 с.-(ВО)(П)</t>
  </si>
  <si>
    <t>КОНФЛИКТОЛОГИЯ, ИЗД.2</t>
  </si>
  <si>
    <t>Кибанов А. Я., Ворожейкин И. Е., Захаров Д. К., Коновалова В. Г., Кибанов А. Я.</t>
  </si>
  <si>
    <t>978-5-16-005724-8</t>
  </si>
  <si>
    <t>23.03.01, 37.03.01, 37.03.02, 37.04.01, 37.04.02, 38.03.01, 38.03.02, 38.03.03, 38.04.01, 38.04.02, 38.04.03, 39.03.01, 39.03.02, 39.04.01, 41.03.04, 41.03.06, 41.04.01, 41.04.04, 41.04.05, 43.04.03, 44.03.01, 44.03.05, 51.03.02</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</si>
  <si>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направлениям подготовки 38.03.02 «Менеджмент»,  39.03.03 «Управление персоналом»</t>
  </si>
  <si>
    <t>838317.01.01</t>
  </si>
  <si>
    <t>Конфликтология: Уч. / Под ред. Кибанова А.Я. - 2 изд. - М.:НИЦ ИНФРА-М,2025 - 301 с.(СПО)(п)</t>
  </si>
  <si>
    <t>978-5-16-020210-5</t>
  </si>
  <si>
    <t>20.02.05, 31.02.04, 32.02.01, 38.02.03, 38.02.07, 38.02.08, 43.02.06, 43.02.16</t>
  </si>
  <si>
    <t>821275.02.01</t>
  </si>
  <si>
    <t>Конфликты среди подростков и медиативные..: Уч.пос. / С.С.Савельева - М.:НИЦ ИНФРА-М,2026. - 235 с.(ВО)(п)</t>
  </si>
  <si>
    <t>КОНФЛИКТЫ СРЕДИ ПОДРОСТКОВ И МЕДИАТИВНЫЕ ТЕХНИКИ ИХ РЕШЕНИЯ, ИЗД.1</t>
  </si>
  <si>
    <t>Савельева С.С., Белоус Е.Н., Филиппов М.Н.</t>
  </si>
  <si>
    <t>978-5-16-019863-7</t>
  </si>
  <si>
    <t>37.05.02, 44.03.01, 44.03.02, 44.03.05, 44.04.01, 44.04.02, 44.05.01</t>
  </si>
  <si>
    <t>Государственный социально-гуманитарный университет</t>
  </si>
  <si>
    <t>646394.04.01</t>
  </si>
  <si>
    <t>Концептуализации общ. в соц. философской..: Моногр. / К.Х.Момджян и др. -М.:НИЦ ИНФРА-М,2022-350с(П)</t>
  </si>
  <si>
    <t>КОНЦЕПТУАЛИЗАЦИИ ОБЩЕСТВА В СОЦИАЛЬНОЙ ФИЛОСОФСКОЙ И ФИЛОСОФСКО-ИСТОРИЧЕСКОЙ РЕФЛЕКСИИ, ИЗД.1</t>
  </si>
  <si>
    <t>Момджян К.Х., Антоновский А.Ю., Семенов Ю.И. и др.</t>
  </si>
  <si>
    <t>978-5-16-013800-8</t>
  </si>
  <si>
    <t>39.04.01, 47.03.01</t>
  </si>
  <si>
    <t>Московский государственный университет им. М.В. Ломоносова, философский факультет</t>
  </si>
  <si>
    <t>646394.05.01</t>
  </si>
  <si>
    <t>Концептуализации общ. в соц. философской..: Моногр. / К.Х.Момджян. - М.:НИЦ ИНФРА-М,2025 - 350 с.(П)</t>
  </si>
  <si>
    <t>978-5-16-020588-5</t>
  </si>
  <si>
    <t>815243.01.01</t>
  </si>
  <si>
    <t>Концептуально-теоретический анализ...: Моногр. / Д.А.Кощеев-М.:НИЦ ИНФРА-М,2024.-450 с.(Науч.мысль)(п)</t>
  </si>
  <si>
    <t>КОНЦЕПТУАЛЬНО-ТЕОРЕТИЧЕСКИЙ АНАЛИЗ: ИСТОРИЯ, ПОДХОДЫ, МЕТОДИКИ, ИЗД.1</t>
  </si>
  <si>
    <t>Кощеев Д.А., Исопескуль О.Ю.</t>
  </si>
  <si>
    <t>978-5-16-019326-7</t>
  </si>
  <si>
    <t>00.04.16, 00.05.16, 00.06.01</t>
  </si>
  <si>
    <t>Национальный исследовательский университет "Высшая школа экономики", Пермский ф-л</t>
  </si>
  <si>
    <t>384700.06.01</t>
  </si>
  <si>
    <t>Концептуальные основы конкуренции угол..: Моногр. /Л.В.Иногамова-Хегай - М.: Юр.Норма,НИЦ ИНФРА-М,2026 - 288 с.(о)</t>
  </si>
  <si>
    <t>КОНЦЕПТУАЛЬНЫЕ ОСНОВЫ КОНКУРЕНЦИИ УГОЛОВНО-ПРАВОВЫХ НОРМ, ИЗД.1</t>
  </si>
  <si>
    <t>Л.В.Иногамова-Хегай</t>
  </si>
  <si>
    <t>978-5-91768-647-9</t>
  </si>
  <si>
    <t>646254.04.01</t>
  </si>
  <si>
    <t>Концептуальные основы совр. соц. гос. и соц. право: Уч. / А.А.Акмалова - М.:НИЦ ИНФРА-М,2025 - 316 с.(ВО)(П)</t>
  </si>
  <si>
    <t>КОНЦЕПТУАЛЬНЫЕ ОСНОВЫ СОВРЕМЕННОГО СОЦИАЛЬНОГО ГОСУДАРСТВА И СОЦИАЛЬНОЕ ПРАВО, ИЗД.1</t>
  </si>
  <si>
    <t>978-5-16-013694-3</t>
  </si>
  <si>
    <t>38.04.04, 39.04.02, 40.04.01, 40.05.04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</si>
  <si>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39.04.02 «Социальная работа» (квалификация (степень) «магистр») (протокол № 8 от 22.06.2020)</t>
  </si>
  <si>
    <t>704969.02.01</t>
  </si>
  <si>
    <t>Концептуальные теоретико-методологич. аспекты бух. учета / М.Д.Акатьева-М.:НИЦ ИНФРА-М,2023.-172с(О)</t>
  </si>
  <si>
    <t>КОНЦЕПТУАЛЬНЫЕ ТЕОРЕТИКО-МЕТОДОЛОГИЧЕСКИЕ АСПЕКТЫ БУХГАЛТЕРСКОГО УЧЕТА, ИЗД.1</t>
  </si>
  <si>
    <t>978-5-16-015072-7</t>
  </si>
  <si>
    <t>088550.11.01</t>
  </si>
  <si>
    <t>Концепции совр. естествознания: Практ. / В.П. Романов - 3 изд. - М.:Вуз.уч.,НИЦ ИНФРА-М,2026 - 128 с.(О)</t>
  </si>
  <si>
    <t>КОНЦЕПЦИИ СОВРЕМЕННОГО ЕСТЕСТВОЗНАНИЯ, ИЗД.3</t>
  </si>
  <si>
    <t>Романов В.П.</t>
  </si>
  <si>
    <t>978-5-9558-0397-5</t>
  </si>
  <si>
    <t>37.03.02, 38.03.01, 38.03.03, 38.03.04, 39.03.03, 41.03.03, 41.03.04, 41.03.06, 42.03.02, 42.03.03, 44.03.01, 44.03.03, 44.03.05, 45.03.04, 46.03.02, 47.03.01, 47.03.02, 47.03.03, 48.03.01, 50.03.01, 51.03.01, 51.03.04</t>
  </si>
  <si>
    <t>Допущено Мин. обр. и науки РФ  в качестве учебного пособия по теоретической механике для студентов высших учебных заведений</t>
  </si>
  <si>
    <t>0308</t>
  </si>
  <si>
    <t>664423.03.01</t>
  </si>
  <si>
    <t>Концепции совр. естествознания: Уч.пос. / Э.В.Островский - М.:Вуз. уч., НИЦ ИНФРА-М,2026. - 141 с.(ВО)(п)</t>
  </si>
  <si>
    <t>КОНЦЕПЦИИ СОВРЕМЕННОГО ЕСТЕСТВОЗНАНИЯ., ИЗД.1</t>
  </si>
  <si>
    <t>Островский Э.В.</t>
  </si>
  <si>
    <t>978-5-9558-0593-1</t>
  </si>
  <si>
    <t>37.03.01, 37.03.02, 38.03.01, 38.03.03, 38.03.04, 39.03.03, 41.03.03, 41.03.04, 41.03.06, 42.03.02, 42.03.03, 44.03.01, 44.03.03, 44.03.05, 45.03.04, 46.03.02, 47.03.01, 47.03.02, 47.03.03, 48.03.01, 50.03.01, 51.03.01, 51.03.04</t>
  </si>
  <si>
    <t>Рекомендовано Учебно-методическим советом ВО в качестве учебного пособия для студентов высших учебных заведений, обучающихся по экономическим и гуманитарным направлениям подготовки (квалификация (степень) «бакалавр»)</t>
  </si>
  <si>
    <t>079340.09.01</t>
  </si>
  <si>
    <t>Концепции современного естествознания.: Уч. пос./В.П.Романов - 4 изд.- М.: Вуз.учеб., 2024-286с. (п)</t>
  </si>
  <si>
    <t>КОНЦЕПЦИИ СОВРЕМЕННОГО ЕСТЕСТВОЗНАНИЯ, ИЗД.4</t>
  </si>
  <si>
    <t>Романов В. П.</t>
  </si>
  <si>
    <t>978-5-9558-0189-6</t>
  </si>
  <si>
    <t>Допущено Мин. обр. и науки РФ в качестве УчПос для студ. ВУЗ., обущ. по напр. подг. "Менеджм." и спец. "Менеджм. организ.", "Маркетинг", "Прикл. инф. в эконом.","Компл. защ. объектов информат.", Юриспруд", "Перевод и переводовед.", "Управл. качеств."</t>
  </si>
  <si>
    <t>0411</t>
  </si>
  <si>
    <t>156400.08.01</t>
  </si>
  <si>
    <t>Концепции современного естествознания: Уч. / Г.И.Рузавин - 3 изд. - М.:НИЦ ИНФРА-М,2023-271с(ВО)(п)</t>
  </si>
  <si>
    <t>Рузавин Г.И.</t>
  </si>
  <si>
    <t>978-5-16-018670-2</t>
  </si>
  <si>
    <t>37.03.02, 38.03.01, 38.03.03, 38.03.04, 41.03.04, 41.03.06, 42.03.02, 44.03.01, 44.03.05, 46.03.02, 47.03.01, 47.03.02, 47.03.03, 50.03.01, 51.03.01</t>
  </si>
  <si>
    <t>Рекомендовано Министерством образования РФ в качестве учебника для студентов высших учебных заведений</t>
  </si>
  <si>
    <t>266300.06.01</t>
  </si>
  <si>
    <t>Концепции современного естествознания: Уч. пос. / В.А.Разумов - М.: НИЦ ИНФРА-М, 2024-352с.(ВО) (п)</t>
  </si>
  <si>
    <t>КОНЦЕПЦИИ СОВРЕМЕННОГО ЕСТЕСТВОЗНАНИЯ, ИЗД.1</t>
  </si>
  <si>
    <t>Разумов В.А.</t>
  </si>
  <si>
    <t>978-5-16-009585-1</t>
  </si>
  <si>
    <t>700865.03.01</t>
  </si>
  <si>
    <t>Концепции теории бухгалтерского учета: Уч.пос. / Плотников В.С. - М.:НИЦ ИНФРА-М,2024. - 384 с.(ВО)(П)</t>
  </si>
  <si>
    <t>КОНЦЕПЦИИ ТЕОРИИ БУХГАЛТЕРСКОГО УЧЕТА, ИЗД.1</t>
  </si>
  <si>
    <t>Плотников В.С., Плотникова О.В., Плотников В.С.</t>
  </si>
  <si>
    <t>978-5-16-014881-6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</si>
  <si>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38.04.00 «Экономика и управление» (квалификация (степень) «магистр») (протокол № 3 от 17.02.2020)</t>
  </si>
  <si>
    <t>315400.11.01</t>
  </si>
  <si>
    <t>Концепция борьбы с организованной и коррупц. преступ..: Моногр. / В.Е.Эминов - Норма: ИНФРА-М,2025-80с(О)</t>
  </si>
  <si>
    <t>КОНЦЕПЦИЯ БОРЬБЫ С ОРГАНИЗОВАННОЙ И КОРРУПЦИОННОЙ ПРЕСТУПНОСТЬЮ В РОССИИ, ИЗД.1</t>
  </si>
  <si>
    <t>Эминов В. Е., Максимов С. В.</t>
  </si>
  <si>
    <t>978-5-91768-550-2</t>
  </si>
  <si>
    <t>331600.03.01</t>
  </si>
  <si>
    <t>Концепция внутреннего контроля эффект..: Моногр. / Под ред. Казаковой Н.А.-М.:НИЦ ИНФРА-М,2018-234с</t>
  </si>
  <si>
    <t>КОНЦЕПЦИЯ ВНУТРЕННЕГО КОНТРОЛЯ ЭФФЕКТИВНОСТИ ОРГАНИЗАЦИИ, ИЗД.1</t>
  </si>
  <si>
    <t>978-5-16-010626-7</t>
  </si>
  <si>
    <t>221400.11.01</t>
  </si>
  <si>
    <t>Концепция глобализации: Моногр. / С.В.Борзых - М.:НИЦ ИНФРА-М,2026  - 128 с.(Науч.мысль)(о)</t>
  </si>
  <si>
    <t>КОНЦЕПЦИЯ ГЛОБАЛИЗАЦИИ, ИЗД.1</t>
  </si>
  <si>
    <t>978-5-16-008971-3</t>
  </si>
  <si>
    <t>244600.09.01</t>
  </si>
  <si>
    <t>Концепция компетентностного подхода в упр. персоналом: Моногр./ А.Я.Кибанов -М.:НИЦ ИНФРА-М,2024-156 с(О)</t>
  </si>
  <si>
    <t>КОНЦЕПЦИЯ КОМПЕТЕНТНОСТНОГО ПОДХОДА В УПРАВЛЕНИИ ПЕРСОНАЛОМ, ИЗД.1</t>
  </si>
  <si>
    <t>Кибанов А.Я., Митрофанова Е.А., Коновалова В.Г. и др.</t>
  </si>
  <si>
    <t>978-5-16-009530-1</t>
  </si>
  <si>
    <t>820835.01.01</t>
  </si>
  <si>
    <t>Концепция обеспеч. качества чел. ресурс..: Моногр. / Ю.А.Масалова - М.:НИЦ ИНФРА-М,2024. - 229 с.(п)</t>
  </si>
  <si>
    <t>КОНЦЕПЦИЯ ОБЕСПЕЧЕНИЯ КАЧЕСТВА ЧЕЛОВЕЧЕСКИХ РЕСУРСОВ НАУЧНО-ОБРАЗОВАТЕЛЬНОЙ ЭКОСИСТЕМЫ, ИЗД.1</t>
  </si>
  <si>
    <t>Масалова Ю.А.</t>
  </si>
  <si>
    <t>978-5-16-019874-3</t>
  </si>
  <si>
    <t>707282.02.01</t>
  </si>
  <si>
    <t>Концепция опережающего развития экспорта продукции...: Моногр. / В.И.Брутер-М.:НИЦ ИНФРА-М,2023.-213с(О)</t>
  </si>
  <si>
    <t>КОНЦЕПЦИЯ ОПЕРЕЖАЮЩЕГО РАЗВИТИЯ ЭКСПОРТА ПРОДУКЦИИ АГРОПРОМЫШЛЕННОГО КОМПЛЕКСА РОССИИ ДО 2024 ГОДА, ИЗД.1</t>
  </si>
  <si>
    <t>Брутер В.И., Елина О.А.</t>
  </si>
  <si>
    <t>978-5-16-015310-0</t>
  </si>
  <si>
    <t>35.06.01, 38.04.01, 38.04.02, 38.06.01</t>
  </si>
  <si>
    <t>670051.03.01</t>
  </si>
  <si>
    <t>Концепция повышения эффект.универ.малогабар.погрузч.:Моногр./ В.В.Минин-М.:НИЦ ИНФРА-М,СФУ,2023-303с</t>
  </si>
  <si>
    <t>КОНЦЕПЦИЯ ПОВЫШЕНИЯ ЭФФЕКТИВНОСТИ УНИВЕРСАЛЬНЫХ МАЛОГАБАРИТНЫХ ПОГРУЗЧИКОВ, ИЗД.1</t>
  </si>
  <si>
    <t>Минин В.В.</t>
  </si>
  <si>
    <t>978-5-16-013359-1</t>
  </si>
  <si>
    <t>23.04.01, 23.04.02, 23.04.03, 23.06.01</t>
  </si>
  <si>
    <t>776630.05.01</t>
  </si>
  <si>
    <t>Концепция построения уголов. судопроизводства... / Л.Н.Масленникова - М.:Юр. НОРМА, НИЦ ИНФРА-М,2025 - 664 с.(П)</t>
  </si>
  <si>
    <t>КОНЦЕПЦИЯ ПОСТРОЕНИЯ УГОЛОВНОГО СУДОПРОИЗВОДСТВА, ОБЕСПЕЧИВАЮЩЕГО ДОСТУП К ПРАВОСУДИЮ В УСЛОВИЯХ РАЗВИТИЯ ЦИФРОВЫХ ТЕХНОЛОГИЙ, ИЗД.1</t>
  </si>
  <si>
    <t>Масленникова Л.Н., Вилкова Т.Ю., Собенин А.А. и др.</t>
  </si>
  <si>
    <t>978-5-00156-242-9</t>
  </si>
  <si>
    <t>40.02.02, 40.05.01, 40.05.02, 40.05.03, 40.05.04, 40.06.01</t>
  </si>
  <si>
    <t>754805.01.01</t>
  </si>
  <si>
    <t>Концепция развития стратегич. активов фондоемких компаний / Н.А.Казакова-М.:НИЦ ИНФРА-М,2021.-183 с.(О)</t>
  </si>
  <si>
    <t>КОНЦЕПЦИЯ РАЗВИТИЯ СТРАТЕГИЧЕСКИХ АКТИВОВ ФОНДОЕМКИХ КОМПАНИЙ, ИЗД.1</t>
  </si>
  <si>
    <t>978-5-16-016910-1</t>
  </si>
  <si>
    <t>777628.04.01</t>
  </si>
  <si>
    <t>Концепция семьи в творчестве И.С.Тургенева..: Моногр. / М.А.Курбакова - М.:НИЦ ИНФРА-М,2025. - 217 с.(о)</t>
  </si>
  <si>
    <t>КОНЦЕПЦИЯ СЕМЬИ В ТВОРЧЕСТВЕ И.С.ТУРГЕНЕВА . СЕМЬЯНИН ИЛИ СТРАННИК?, ИЗД.1</t>
  </si>
  <si>
    <t>Курбакова М.А.</t>
  </si>
  <si>
    <t>978-5-16-017745-8</t>
  </si>
  <si>
    <t>44.03.05, 44.04.01, 45.04.01, 45.06.01</t>
  </si>
  <si>
    <t>678946.04.01</t>
  </si>
  <si>
    <t>Концепция создания продукции и достиж.мир.уровня: Моногр./ Б.А.Аникин-М.:НИЦ ИНФРА-М,2023-178с(О)</t>
  </si>
  <si>
    <t>КОНЦЕПЦИЯ СОЗДАНИЯ ПРОДУКЦИИ И ДОСТИЖЕНИЙ МИРОВОГО УРОВНЯ, ИЗД.1</t>
  </si>
  <si>
    <t>Аникин Б.А., Аникин О.Б., Гришин В.Н.</t>
  </si>
  <si>
    <t>978-5-16-013715-5</t>
  </si>
  <si>
    <t>27.03.05, 27.04.07, 38.03.01</t>
  </si>
  <si>
    <t>786671.01.01</t>
  </si>
  <si>
    <t>Концепция формирования soft skills выпуск. вузов: Моногр. / О.Л.Чуланова-М.:НИЦ ИНФРА-М,2023.-147 с.(о)</t>
  </si>
  <si>
    <t>КОНЦЕПЦИЯ ФОРМИРОВАНИЯ SOFT SKILLS ВЫПУСКНИКОВ ВУЗОВ, ИЗД.1</t>
  </si>
  <si>
    <t>Богдан Е.С., Чуланова О.Л.</t>
  </si>
  <si>
    <t>978-5-16-018178-3</t>
  </si>
  <si>
    <t>756174.09.01</t>
  </si>
  <si>
    <t>Концепция цифр. гос. и цифр. правовой среды: Моногр. / Д.А.Пашенцев - М.:Юр.Норма, НИЦ ИНФРА-М,2027 - 244 с.(П)</t>
  </si>
  <si>
    <t>КОНЦЕПЦИЯ ЦИФРОВОГО ГОСУДАРСТВА И ЦИФРОВОЙ ПРАВОВОЙ СРЕДЫ, ИЗД.1</t>
  </si>
  <si>
    <t>Пашенцев Д.А., Дорская А.А., Залоило М.В.</t>
  </si>
  <si>
    <t>978-5-00156-164-4</t>
  </si>
  <si>
    <t>288700.04.01</t>
  </si>
  <si>
    <t>Кооперативное предпринимат. как институт соц. развития/В.В.Трошихин-М.:ИЦ РИОР, НИЦ ИНФРА-М,2024.-512 с.(О)</t>
  </si>
  <si>
    <t>КООПЕРАТИВНОЕ ПРЕДПРИНИМАТЕЛЬСТВО КАК ИНСТИТУТ СОЦИАЛЬНОГО РАЗВИТИЯ, ИЗД.1</t>
  </si>
  <si>
    <t>Трошихин В.В., Матузенко Е.В., Нестерова Л.И.</t>
  </si>
  <si>
    <t>978-5-369-01365-6</t>
  </si>
  <si>
    <t>38.03.01, 38.03.02, 38.04.01, 38.04.02, 43.03.01</t>
  </si>
  <si>
    <t>698859.03.01</t>
  </si>
  <si>
    <t>Кооперационно-сетевые  взаимодействия как ресурс: Моногр./ Куимов В.В.-М.:НИЦ ИНФРА-М,2023-225с)(О)</t>
  </si>
  <si>
    <t>КООПЕРАЦИОННО-СЕТЕВЫЕ  ВЗАИМОДЕЙСТВИЯ КАК РЕСУРС САМООРГАНИЗАЦИИ И ДОСТИЖЕНИЯ КАЧЕСТВЕННЫХ РЕЗУЛЬТАТОВ, ИЗД.1</t>
  </si>
  <si>
    <t>Куимов В.В., Суслова Ю.Ю., Щербенко Е.В. и др.</t>
  </si>
  <si>
    <t>978-5-16-018490-6</t>
  </si>
  <si>
    <t>858605.01.01</t>
  </si>
  <si>
    <t>Кооперация в сис. обеспеч. продовольств. безоп. России: Моногр. / А.И.Алтухов - М.:НИЦ ИНФРА-М,2025. - 363 с.(п)</t>
  </si>
  <si>
    <t>КООПЕРАЦИЯ В СИСТЕМЕ ОБЕСПЕЧЕНИЯ ПРОДОВОЛЬСТВЕННОЙ БЕЗОПАСНОСТИ РОССИИ, ИЗД.1</t>
  </si>
  <si>
    <t>Алтухов А.И., Малолетко А.Н., Каурова О.В. и др.</t>
  </si>
  <si>
    <t>978-5-16-021101-5</t>
  </si>
  <si>
    <t>38.05.01, 38.06.01</t>
  </si>
  <si>
    <t>Федеральный научный центр аграрной экономики и социального развития сельских территорий - ВНИИ эконо</t>
  </si>
  <si>
    <t>682162.03.01</t>
  </si>
  <si>
    <t>Координационные юрид. тех. в странах Европы:Моногр. / А.А.Максуров-М.:НИЦ ИНФРА-М,2023-569с(П)</t>
  </si>
  <si>
    <t>КООРДИНАЦИОННЫЕ ЮРИДИЧЕСКИЕ ТЕХНОЛОГИИ В СТРАНАХ ЕВРОПЫ, ИЗД.1</t>
  </si>
  <si>
    <t>978-5-16-014028-5</t>
  </si>
  <si>
    <t>763281.01.01</t>
  </si>
  <si>
    <t>Координация деят. субъектов права  в услов. кризиса: Моногр. / А.А.Максуров-М.:НИЦ ИНФРА-М,2022.-260 с.(Науч.мысль)(П)</t>
  </si>
  <si>
    <t>КООРДИНАЦИЯ ДЕЯТЕЛЬНОСТИ СУБЪЕКТОВ ПРАВА  В УСЛОВИЯХ КРИЗИСА, ИЗД.1</t>
  </si>
  <si>
    <t>978-5-16-017245-3</t>
  </si>
  <si>
    <t>38.04.04, 40.04.01, 40.06.01</t>
  </si>
  <si>
    <t>844588.02.01</t>
  </si>
  <si>
    <t>Координация раб. служб предпр. туризма и...: Уч.пос. / Н.В.Шалаева - М.:НИЦ ИНФРА-М,2026. - 254 с.(СПО)(п)</t>
  </si>
  <si>
    <t>КООРДИНАЦИЯ РАБОТЫ СЛУЖБ ПРЕДПРИЯТИЙ ТУРИЗМА И ГОСТЕПРИИМСТВА, ИЗД.1</t>
  </si>
  <si>
    <t>Шалаева Н.В.</t>
  </si>
  <si>
    <t>978-5-16-020556-4</t>
  </si>
  <si>
    <t>Апшеронский лесхоз-техникум</t>
  </si>
  <si>
    <t>756095.05.01</t>
  </si>
  <si>
    <t>Корабельные системы и устройства : Уч.пос. / А.Н.Пинчук - М.:НИЦ ИНФРА-М,2026. - 308 с.:цв.ил.(ВО)(п)</t>
  </si>
  <si>
    <t>КОРАБЕЛЬНЫЕ СИСТЕМЫ И УСТРОЙСТВА. УСТРОЙСТВО И ЭКСПЛУАТАЦИЯ КОРАБЕЛЬНЫХ И СУДОВЫХ СИСТЕМ, ИЗД.1</t>
  </si>
  <si>
    <t>Пинчук А.Н.</t>
  </si>
  <si>
    <t>978-5-16-017675-8</t>
  </si>
  <si>
    <t>26.03.02, 26.05.03</t>
  </si>
  <si>
    <t>Рекомендовано экспертным советом ЧВВМУ имени П.С. Нахимова в качестве учебного пособия по дисциплинам «Корабельные системы и устройства», «Конструкция корпуса корабля» для курсантов и студентов высшего образования, преподавателей, адъюнктов, а также для факультета иностранных военнослужащих ЧВВМУ имени П.С. Нахимова</t>
  </si>
  <si>
    <t>656872.09.01</t>
  </si>
  <si>
    <t>Корабельный устав Военно-Морского Флота РФ - 2 изд. - М.:НИЦ ИНФРА-М,2025. - 271 с.(П)</t>
  </si>
  <si>
    <t>КОРАБЕЛЬНЫЙ УСТАВ ВОЕННО-МОРСКОГО ФЛОТА РФ, ИЗД.2</t>
  </si>
  <si>
    <t>978-5-16-017985-8</t>
  </si>
  <si>
    <t>26.02.03, 26.02.04, 26.02.05, 26.02.06, 26.03.01, 26.05.05, 26.05.06, 26.05.07, 56.05.04</t>
  </si>
  <si>
    <t>Утвержден Указом Президента Российской Федерации от 31 июля 2022 года № 511</t>
  </si>
  <si>
    <t>656872.04.01</t>
  </si>
  <si>
    <t>Корабельный устав Военно-Морского Флота РФ - М.:НИЦ ИНФРА-М,2021 - 462 с.(П)</t>
  </si>
  <si>
    <t>КОРАБЕЛЬНЫЙ УСТАВ ВОЕННО-МОРСКОГО ФЛОТА РФ, ИЗД.1</t>
  </si>
  <si>
    <t>978-5-16-012795-8</t>
  </si>
  <si>
    <t>Введен в действие приказом Главнокомандующего Военно-Морским Флотом от 1 сентября 2001 года № 350</t>
  </si>
  <si>
    <t>704237.02.01</t>
  </si>
  <si>
    <t>Кораблевождение: Уч. / Г.В. Худяков - М.:НИЦ ИНФРА-М,2026.-774 с.:цв.ил.(ВО (ЧВВМУ им. Нахимова))(п)</t>
  </si>
  <si>
    <t>КОРАБЛЕВОЖДЕНИЕ, ИЗД.1</t>
  </si>
  <si>
    <t>Худяков Г.В., Головко А.В., Больших А.В. и др.</t>
  </si>
  <si>
    <t>978-5-16-015497-8</t>
  </si>
  <si>
    <t>11.02.03, 20.02.06, 26.01.01, 26.01.02, 26.01.03, 26.01.07, 26.01.09, 26.01.12, 26.01.13, 26.02.01, 26.02.02, 26.02.03, 26.02.04, 26.02.05, 26.02.06, 26.05.04, 26.05.05, 35.01.31, 35.01.32, 35.02.11, 43.01.04</t>
  </si>
  <si>
    <t>Рекомендовано заместителем Главнокомандующего ВМФ РФ для использования в военно-морских учебных заведениях в качестве базового учебника при подготовке специалистов нештурманской специальности к самостоятельному несению штурманской и ходовой вахты</t>
  </si>
  <si>
    <t>Книга года: Сибирь–Евразия – 2024-2025, Призер</t>
  </si>
  <si>
    <t>391100.08.01</t>
  </si>
  <si>
    <t>Кормление животных с основами..: Уч. пос. / В.С.Токарев -М.:НИЦ ИНФРА-М,2024-592с.(ВО: Бакалавр.)(п)</t>
  </si>
  <si>
    <t>КОРМЛЕНИЕ ЖИВОТНЫХ С ОСНОВАМИ КОРМОПРОИЗВОДСТВА, ИЗД.1</t>
  </si>
  <si>
    <t>Токарев В.С.</t>
  </si>
  <si>
    <t>978-5-16-011198-8</t>
  </si>
  <si>
    <t>Рекомендовано в качестве учебного пособия для студентов высших учебных заведений, обучающихся по направлениям подготовки 36.03.02 «Зоотехния» (квалификация (степень) «бакалавр») и 36.05.01 «Ветеринария» (квалификация (степень) «ветеринарный врач»)</t>
  </si>
  <si>
    <t>Витебская ордена «Знак Почета» государственная академия ветеринарной медицины</t>
  </si>
  <si>
    <t>303900.03.01</t>
  </si>
  <si>
    <t>Кормопроизводство с основами земледелия: Уч. / С.С. Михалев - М.: НИЦ ИНФРА-М, 2018-352с.(СПО)</t>
  </si>
  <si>
    <t>КОРМОПРОИЗВОДСТВО С ОСНОВАМИ ЗЕМЛЕДЕЛИЯ, ИЗД.1</t>
  </si>
  <si>
    <t>Михалев С. С., Хохлов Н. Ф., Лазарев Н. Н.</t>
  </si>
  <si>
    <t>978-5-16-010232-0</t>
  </si>
  <si>
    <t>36.02.03</t>
  </si>
  <si>
    <t>303900.10.01</t>
  </si>
  <si>
    <t>Кормопроизводство с основами земледелия: Уч. / С.С.Михалев- 2 изд.-М.:НИЦ ИНФРА-М,2024-352с(СПО)(п)</t>
  </si>
  <si>
    <t>КОРМОПРОИЗВОДСТВО С ОСНОВАМИ ЗЕМЛЕДЕЛИЯ, ИЗД.2</t>
  </si>
  <si>
    <t>Михалев С.С., Хохлов Н.Ф., Лазарев Н.Н.</t>
  </si>
  <si>
    <t>Допущено Министерством сельского хозяйства Российской Федерации в качестве учебника для студентов средних специальных учебных заведений по специальности «Зоотехния»</t>
  </si>
  <si>
    <t>489350.09.01</t>
  </si>
  <si>
    <t>Кормопроизводство: Уч.пос. / С.С.Михалев - М.:НИЦ ИНФРА-М,2024 - 288 с.-(ВО)(п)</t>
  </si>
  <si>
    <t>КОРМОПРОИЗВОДСТВО, ИЗД.1</t>
  </si>
  <si>
    <t>Михалев С.С., Лазарев Н.Н.</t>
  </si>
  <si>
    <t>978-5-16-019722-7</t>
  </si>
  <si>
    <t>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обучающихся по направлению 35.03.04 (110400) "Агрономия"</t>
  </si>
  <si>
    <t>832011.01.01</t>
  </si>
  <si>
    <t>Корпоративная безопасность: Уч.пос. / А.В.Вавилина - М.:НИЦ ИНФРА-М,2025. - 233 с.-(ВО)(п)</t>
  </si>
  <si>
    <t>КОРПОРАТИВНАЯ БЕЗОПАСНОСТЬ, ИЗД.1</t>
  </si>
  <si>
    <t>Вавилина А.В., Леванова Л.Н.</t>
  </si>
  <si>
    <t>978-5-16-020365-2</t>
  </si>
  <si>
    <t>38.04.01, 38.04.02, 38.04.03, 38.04.04, 38.04.06, 38.04.08, 38.04.09, 38.04.10, 38.05.01</t>
  </si>
  <si>
    <t>048500.19.01</t>
  </si>
  <si>
    <t>Корпоративная логистика в воп. и отв.: Моногр. / В.И.Сергеев - 2 изд. - М.:НИЦ ИНФРА-М,2026. - 634 с.[цв](п)</t>
  </si>
  <si>
    <t>КОРПОРАТИВНАЯ ЛОГИСТИКА В ВОПРОСАХ И ОТВЕТАХ, ИЗД.2</t>
  </si>
  <si>
    <t>Сергеев В.И., Будрина Е.В., Домнина С.В. и др.</t>
  </si>
  <si>
    <t>978-5-16-004556-6</t>
  </si>
  <si>
    <t>23.03.01, 38.03.01</t>
  </si>
  <si>
    <t>344500.08.01</t>
  </si>
  <si>
    <t>Корпоративная память как управленч.ресурс: Моногр. / З.В.Брагина - М.:НИЦ ИНФРА-М,2027 - 112 с.(о)</t>
  </si>
  <si>
    <t>КОРПОРАТИВНАЯ ПАМЯТЬ КАК УПРАВЛЕНЧЕСКИЙ РЕСУРС. КОЛЛЕКТИВНОЕ БЕССОЗНАТЕЛЬНОЕ ПРЕДПРИЯТИЯ: ПОЧЕМУ ЧЕЛОВЕЧЕСКОЙ ПАМЯТИ НЕДОСТАТОЧНО, ИЗД.1</t>
  </si>
  <si>
    <t>З.В.Брагина, А.А.Ражева</t>
  </si>
  <si>
    <t>978-5-16-010786-8</t>
  </si>
  <si>
    <t>758249.01.01</t>
  </si>
  <si>
    <t>Корпоративная соц. отв. торговых орг.: Уч.пос. / Е.А.Майорова-М.:НИЦ ИНФРА-М,2022.-223 с.(ВО: Бакалавр.)(П)</t>
  </si>
  <si>
    <t>КОРПОРАТИВНАЯ СОЦИАЛЬНАЯ ОТВЕТСТВЕННОСТЬ ТОРГОВЫХ ОРГАНИЗАЦИЙ, ИЗД.1</t>
  </si>
  <si>
    <t>Майорова Е.А.</t>
  </si>
  <si>
    <t>978-5-16-017058-9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</si>
  <si>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38.03.06 «Торговое дело», 38.03.02 «Менеджмент», 38.03.01 «Экономика» (квалификация (степень) «бакалавр») (протокол № 5 от 11.05.2022)</t>
  </si>
  <si>
    <t>476950.09.01</t>
  </si>
  <si>
    <t>Корпоративная соц.ответственность: Уч.пос. / В.В.Бондаренко - М.:НИЦ ИНФРА-М,2025. - 304 с.(ВО:Бакалавр.)(п)</t>
  </si>
  <si>
    <t>КОРПОРАТИВНАЯ СОЦИАЛЬНАЯ ОТВЕТСТВЕННОСТЬ, ИЗД.1</t>
  </si>
  <si>
    <t>Бондаренко В.В., Кузнецова Е.В., Танина М.А. и др.</t>
  </si>
  <si>
    <t>978-5-16-010231-3</t>
  </si>
  <si>
    <t>700162.08.01</t>
  </si>
  <si>
    <t>Корпоративное право: Уч.пос. / Под ред. Ручкиной Г.Ф. - М.:НИЦ ИНФРА-М,2026 - 160 с.(ВО)(п)</t>
  </si>
  <si>
    <t>КОРПОРАТИВНОЕ ПРАВО, ИЗД.1</t>
  </si>
  <si>
    <t>Ручкина Г.Ф., Васильева О.Н., Ромашкова И.И. и др.</t>
  </si>
  <si>
    <t>978-5-16-018544-6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</si>
  <si>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10 от 27.05.2019)</t>
  </si>
  <si>
    <t>833330.03.01</t>
  </si>
  <si>
    <t>Корпоративное право: Уч.пос. / Под ред. Ручкиной Г.Ф. - М.:НИЦ ИНФРА-М,2026 - 160 с.(СПО)(п)</t>
  </si>
  <si>
    <t>978-5-16-020710-0</t>
  </si>
  <si>
    <t>677493.03.01</t>
  </si>
  <si>
    <t>Корпоративное управление в банках: Уч.пос. / А.Ю.Рыманов-М.:НИЦ ИНФРА-М,2024.-111 с.(ВО:Магистр.)(О)</t>
  </si>
  <si>
    <t>КОРПОРАТИВНОЕ УПРАВЛЕНИЕ В БАНКАХ, ИЗД.1</t>
  </si>
  <si>
    <t>Рыманов А.Ю.</t>
  </si>
  <si>
    <t>978-5-16-013675-2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</si>
  <si>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38.04.01 «Экономика», 38.04.08 «Финансы и кредит» (квалификация (степень) «магистр»)</t>
  </si>
  <si>
    <t>693115.03.01</t>
  </si>
  <si>
    <t>Корпоративное управление. Методол. инструментарий: Уч. / А.Е.Тюлин-М.:НИЦ ИНФРА-М,2023-216с.(ВО)(П)</t>
  </si>
  <si>
    <t>КОРПОРАТИВНОЕ УПРАВЛЕНИЕ. МЕТОДОЛОГИЧЕСКИЙ ИНСТРУМЕНТАРИЙ, ИЗД.1</t>
  </si>
  <si>
    <t>Тюлин А.Е.</t>
  </si>
  <si>
    <t>978-5-16-014581-5</t>
  </si>
  <si>
    <t>27.04.07, 38.03.01, 38.03.02</t>
  </si>
  <si>
    <t>693115.04.01</t>
  </si>
  <si>
    <t>Корпоративное управление. Методологический...: Уч. / А.Е.Тюлин- 2 изд.-М.:НИЦ ИНФРА-М,2024.-291 с.(ВО)(п)</t>
  </si>
  <si>
    <t>КОРПОРАТИВНОЕ УПРАВЛЕНИЕ. МЕТОДОЛОГИЧЕСКИЙ ИНСТРУМЕНТАРИЙ, ИЗД.2</t>
  </si>
  <si>
    <t>Тюлин А.Е., Чурсин А.А., Островская А.А.</t>
  </si>
  <si>
    <t>978-5-16-019504-9</t>
  </si>
  <si>
    <t>634096.09.01</t>
  </si>
  <si>
    <t>Корпоративное управление: Уч. / А.Г.Дементьева - М.:Магистр, НИЦ ИНФРА-М,2025 - 496с.-(Магистратура)(П)</t>
  </si>
  <si>
    <t>КОРПОРАТИВНОЕ УПРАВЛЕНИЕ, ИЗД.1</t>
  </si>
  <si>
    <t>Дементьева А.Г.</t>
  </si>
  <si>
    <t>978-5-9776-0431-4</t>
  </si>
  <si>
    <t>35.03.02, 38.03.02, 38.03.03, 38.04.02, 38.04.03, 41.03.06</t>
  </si>
  <si>
    <t>203200.11.01</t>
  </si>
  <si>
    <t>Корпоративное управление: Уч. / В.Р.Веснин - М.:НИЦ ИНФРА-М,2025. - 272 с.-(ВО)(п)</t>
  </si>
  <si>
    <t>Веснин В.Р., Кафидов В.В.</t>
  </si>
  <si>
    <t>978-5-16-020758-2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</si>
  <si>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38.04.02 «Менеджмент» (квалификация (степень) «магистр»)</t>
  </si>
  <si>
    <t>158300.11.01</t>
  </si>
  <si>
    <t>Корпоративное управление: Уч. / И.Ю.Бочарова - 2 изд. - М.:НИЦ ИНФРА-М,2027  - 395 с.(ВО)(п)</t>
  </si>
  <si>
    <t>КОРПОРАТИВНОЕ УПРАВЛЕНИЕ, ИЗД.2</t>
  </si>
  <si>
    <t>Рыманов А.Ю., Бочарова И.Ю.</t>
  </si>
  <si>
    <t>978-5-16-019588-9</t>
  </si>
  <si>
    <t>27.04.05, 38.03.01, 38.03.02, 38.03.04, 38.04.02, 38.04.04, 40.03.01, 41.03.06</t>
  </si>
  <si>
    <t>Рекомендовано Советом Учебно-методического объединения по образованию в области менеджмента в качестве учебника по направлению подготовки 38.03.02 «Менеджмент»</t>
  </si>
  <si>
    <t>158300.05.98</t>
  </si>
  <si>
    <t>Корпоративное управление: Уч. / И.Ю.Бочарова - М.:НИЦ ИНФРА-М,2017-368с.(ВО: Бакалавриат)(П)</t>
  </si>
  <si>
    <t>Бочарова И.Ю.</t>
  </si>
  <si>
    <t>978-5-16-004827-7</t>
  </si>
  <si>
    <t>Рекомендовано Советом Учебно-методического объединения по образованию в области менеджмента в качестве учебника по направлению подготовки 38.03.02 "Менеджмент"</t>
  </si>
  <si>
    <t>Институт менеджмента, экономики и инноваций</t>
  </si>
  <si>
    <t>683269.02.01</t>
  </si>
  <si>
    <t>Корпоративное управление: Уч. / С.В.Рассказов и др.-М.:НИЦ ИНФРА-М,2023.-338 с.-(ВО: Бакалавриат)(П)</t>
  </si>
  <si>
    <t>Рассказов С.В., Рассказова А.Н., Дерюгин П.П.</t>
  </si>
  <si>
    <t>978-5-16-015290-5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</si>
  <si>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и направлений 38.03.00 «Экономика и управление», 39.00.00 «Социология» (квалификация (степень) «бакалавр») (протокол № 14 от 30.09.2019)</t>
  </si>
  <si>
    <t>075200.10.01</t>
  </si>
  <si>
    <t>Корпоративное управление: Уч. пос. / В.Г. Антонов - 2 изд. - М.: ИД ФОРУМ:  ИНФРА-М, 2025 - 288 с.(ВО) (п)</t>
  </si>
  <si>
    <t>Антонов В. Г., Крылов В. К., Кузьмичев А. Ю., Масленников В. В., Панфилова Е. Е., Серебрякова Г. В., Антонов В. Г.</t>
  </si>
  <si>
    <t>978-5-8199-0412-1</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</si>
  <si>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"Менеджмент организации"</t>
  </si>
  <si>
    <t>298600.08.01</t>
  </si>
  <si>
    <t>Корпоративное управление: Уч./ В.М. Распопов - М.: Магистр: ИНФРА-М, 2026. - 352 с. (Бакалавр.)(п)</t>
  </si>
  <si>
    <t>Распопов В. М., Распопов В. В.</t>
  </si>
  <si>
    <t>978-5-9776-0328-7</t>
  </si>
  <si>
    <t>38.03.01, 38.03.02, 38.03.03, 38.03.04, 38.04.01, 38.04.02, 38.04.03, 38.04.04</t>
  </si>
  <si>
    <t>773534.02.01</t>
  </si>
  <si>
    <t>Корпоративное финанс. планир. и бюджетирование: Уч. / Т.В.Шубина. - М.:НИЦ ИНФРА-М,2027. - 266 с.(ВО)(п)</t>
  </si>
  <si>
    <t>КОРПОРАТИВНОЕ ФИНАНСОВОЕ ПЛАНИРОВАНИЕ И БЮДЖЕТИРОВАНИЕ, ИЗД.1</t>
  </si>
  <si>
    <t>Шубина Т.В., Иванова Я.Я., Романченко О.В. и др.</t>
  </si>
  <si>
    <t>978-5-16-022203-5</t>
  </si>
  <si>
    <t>26.03.01, 27.04.06, 27.04.07, 38.04.01, 38.04.02, 38.04.06, 38.04.08</t>
  </si>
  <si>
    <t>668860.05.01</t>
  </si>
  <si>
    <t>Корпоративные финансы: стоимост. оценка: Уч.пос. / С.Ю.Богатырев - 2 изд. - М.:ИЦ РИОР, НИЦ ИНФРА-М,2024.-164 с.(О)</t>
  </si>
  <si>
    <t>КОРПОРАТИВНЫЕ ФИНАНСЫ: СТОИМОСТНАЯ ОЦЕНКА, ИЗД.2</t>
  </si>
  <si>
    <t>Богатырев С.Ю.</t>
  </si>
  <si>
    <t>978-5-369-01749-4</t>
  </si>
  <si>
    <t>38.03.01, 38.03.02, 38.04.02, 44.03.05</t>
  </si>
  <si>
    <t>668860.08.01</t>
  </si>
  <si>
    <t>Корпоративные финансы: стоимост..: Уч.пос. / С.Ю.Богатырев - 2 изд. - М.:ИЦ РИОР, НИЦ ИНФРА-М,2026.-164 с.(О)</t>
  </si>
  <si>
    <t>КОРПОРАТИВНЫЕ ФИНАНСЫ: СТОИМОСТНАЯ ОЦЕНКА, ИЗД.1</t>
  </si>
  <si>
    <t>222900.08.01</t>
  </si>
  <si>
    <t>Корпоративные финансы: Уч. / А.И.Самылин - М.:НИЦ ИНФРА-М,2025. - 472 с.-(ВО: Бакалавриат)</t>
  </si>
  <si>
    <t>КОРПОРАТИВНЫЕ ФИНАНСЫ, ИЗД.1</t>
  </si>
  <si>
    <t>Самылин А. И.</t>
  </si>
  <si>
    <t>978-5-16-008995-9</t>
  </si>
  <si>
    <t>38.03.01, 38.03.02, 38.04.01, 38.04.02, 41.03.06, 44.03.05</t>
  </si>
  <si>
    <t>Допущено Министерством образования и науки Российской Федерации в качестве учебника для студентов высших учебных заведений, обучающихся по направлениям: 080100.62 «Экономика» и 080200.62 «Менеджмент» (программы подготовки бакалавров), по направлениям</t>
  </si>
  <si>
    <t>682540.07.01</t>
  </si>
  <si>
    <t>Корпоративные финансы: Уч. / И.В.Балынин - 2 изд. - М.:НИЦ ИНФРА-М,2026. - 386 с.(ВО (Финанс. универ.))(п)</t>
  </si>
  <si>
    <t>КОРПОРАТИВНЫЕ ФИНАНСЫ, ИЗД.2</t>
  </si>
  <si>
    <t>Балынин И.В., Власова Н.В., Губернаторов А.М. и др.</t>
  </si>
  <si>
    <t>978-5-16-021173-2</t>
  </si>
  <si>
    <t>682540.06.01</t>
  </si>
  <si>
    <t>Корпоративные финансы: Уч. / И.В.Балынин - М.:НИЦ ИНФРА-М,2024 - 399 с.(ВО)(П)</t>
  </si>
  <si>
    <t>978-5-16-014961-5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</si>
  <si>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17 от 11.11.2019)</t>
  </si>
  <si>
    <t>445300.03.01</t>
  </si>
  <si>
    <t>Корпоративные финансы: Уч.пос. / А.С.Кокин - М.:ИЦ РИОР,НИЦ ИНФРА-М,2020 - 369с.(ВО:Бакалавр.)(п)</t>
  </si>
  <si>
    <t>Кокин А.С., Яшин Н.И., Яшин С.Н. и др.</t>
  </si>
  <si>
    <t>978-5-369-01524-7</t>
  </si>
  <si>
    <t>38.03.01, 38.03.02, 38.04.02, 41.03.06, 44.03.05</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</si>
  <si>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«Менеджмент»</t>
  </si>
  <si>
    <t>660870.02.01</t>
  </si>
  <si>
    <t>Корпоративные финансы: Уч.пос. / И.Г.Кукукина, - 2 изд. - М.:НИЦ ИНФРА-М,2026. - 422 с.(ВО: Магистр.)(П)</t>
  </si>
  <si>
    <t>Кукукина И.Г., Макарова А.В., Кукукина И.Г.</t>
  </si>
  <si>
    <t>978-5-16-013819-0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</si>
  <si>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 (протокол № 9 от 17.11.2022)</t>
  </si>
  <si>
    <t>Ивановский государственный энергетический университет им. В.И. Ленина</t>
  </si>
  <si>
    <t>647675.04.01</t>
  </si>
  <si>
    <t>Корпоративные финансы: Уч.пос. / М.В.Чараева - М.:НИЦ ИНФРА-М,2023.-286 с.-(ВО: Бакалавриат)(П)</t>
  </si>
  <si>
    <t>978-5-16-011081-3</t>
  </si>
  <si>
    <t>38.03.01, 38.03.02, 38.04.08, 44.03.05</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</si>
  <si>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</si>
  <si>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647675.05.01</t>
  </si>
  <si>
    <t>Корпоративные финансы: Уч.пос. / М.В.Чараева, - 2 изд. - М.:НИЦ ИНФРА-М,2025. - 294 с.-(ВО)(п)</t>
  </si>
  <si>
    <t>978-5-16-019425-7</t>
  </si>
  <si>
    <t>353400.05.01</t>
  </si>
  <si>
    <t>Корпоративные финансы: Финансовые расчеты: Уч. / А.И.Самылин-М.:НИЦ ИНФРА-М,2024.-472 с..-(ВО)(п)</t>
  </si>
  <si>
    <t>КОРПОРАТИВНЫЕ ФИНАНСЫ: ФИНАНСОВЫЕ РАСЧЕТЫ, ИЗД.1</t>
  </si>
  <si>
    <t>Самылин А.И.</t>
  </si>
  <si>
    <t>978-5-16-018870-6</t>
  </si>
  <si>
    <t>38.03.01, 38.03.02, 41.03.06, 44.03.05</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</si>
  <si>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обучающихся по программам высшего образования направлений подготовки 38.03.02 «Менеджмент», 38.03.01 «Экономика» (квалификация (степень) «бакалавр») Регистрационный номер рецензии 335 от 17 июня 2015 г. (ФГАУ ФИРО)</t>
  </si>
  <si>
    <t>176250.10.01</t>
  </si>
  <si>
    <t>Корпоративный рост: модели и методы: Моногр. / С.С.Кузьмин - М.:НИЦ ИНФРА-М,2027 - 184 с.(Науч.мысль)(О)</t>
  </si>
  <si>
    <t>КОРПОРАТИВНЫЙ РОСТ: МОДЕЛИ И МЕТОДЫ, ИЗД.1</t>
  </si>
  <si>
    <t>Кузьмин С. С.</t>
  </si>
  <si>
    <t>978-5-16-005367-7</t>
  </si>
  <si>
    <t>38.03.01, 38.03.02, 38.04.01, 38.04.02, 38.06.01, 38.07.02</t>
  </si>
  <si>
    <t>814864.01.01</t>
  </si>
  <si>
    <t>Корпоративный финансовый аудит: Уч. / А.А.Бакулина. - М.:НИЦ ИНФРА-М,2025 - 339 с.(ВО)(п)</t>
  </si>
  <si>
    <t>КОРПОРАТИВНЫЙ ФИНАНСОВЫЙ АУДИТ, ИЗД.1</t>
  </si>
  <si>
    <t>Бакулина А.А., Чараева М.В., Кандаурова Д.Ю.</t>
  </si>
  <si>
    <t>978-5-16-020108-5</t>
  </si>
  <si>
    <t>Финансовый университет при Правительстве Российской Федерации Сургутский ф-л</t>
  </si>
  <si>
    <t>704842.10.01</t>
  </si>
  <si>
    <t>Коррекционная помощь детям раннего возраста.../ Е.А. Стребелева. - 4 изд. - М.ИНФРА-М,2026 - 128 с.(О)</t>
  </si>
  <si>
    <t>КОРРЕКЦИОННАЯ ПОМОЩЬ ДЕТЯМ РАННЕГО ВОЗРАСТА С ОРГАНИЧЕСКИМ ПОРАЖЕНИЕМ ЦЕНТРАЛЬНОЙ НЕРВНОЙ СИСТЕМЫ В ГРУППАХ КРАТКОВРЕМЕННОГО ПРЕБЫВАНИЯ, ИЗД.4</t>
  </si>
  <si>
    <t>Стребелева Е.А., Белякова Ю.Ю., Браткова М.В. и др.</t>
  </si>
  <si>
    <t>978-5-16-014963-9</t>
  </si>
  <si>
    <t>299000.12.01</t>
  </si>
  <si>
    <t>Коррекционная помощь детям раннего...: Пос. / Под ред.Стребелевой Е.А. - 4 изд. - М:НИЦ ИНФРА-М,2026 - 128 с.(О)</t>
  </si>
  <si>
    <t>978-5-16-011827-7</t>
  </si>
  <si>
    <t>44.03.02, 44.03.03, 44.04.02, 44.04.03</t>
  </si>
  <si>
    <t>849437.01.01</t>
  </si>
  <si>
    <t>Коррекционная ритмика в образов. пространстве: Уч. /  Шашкина Г.Р. - М.:НИЦ ИНФРА-М,2026. - 567 с.(ВО)(п)</t>
  </si>
  <si>
    <t>КОРРЕКЦИОННАЯ РИТМИКА В ОБРАЗОВАТЕЛЬНОМ ПРОСТРАНСТВЕ, ИЗД.1</t>
  </si>
  <si>
    <t>Шашкина Г.Р., Рау Е.Ю., Мигицко Е.С. и др.</t>
  </si>
  <si>
    <t>978-5-16-020668-4</t>
  </si>
  <si>
    <t>44.04.03</t>
  </si>
  <si>
    <t>825894.01.01</t>
  </si>
  <si>
    <t>Коррекционная ритмика в образоват. пространстве: Уч. / Г.Р.Шашкина. - М.:НИЦ ИНФРА-М,2025. - 491 с.(ВО)(п)</t>
  </si>
  <si>
    <t>978-5-16-020090-3</t>
  </si>
  <si>
    <t>763137.07.01</t>
  </si>
  <si>
    <t>Коррекционно-восп. раб с детьми дош. возраста с...: Уч.пос. / Т.Г.Неретина - М.:НИЦ ИНФРА-М,2027 - 308 с.(П)</t>
  </si>
  <si>
    <t>КОРРЕКЦИОННО-ВОСПИТАТЕЛЬНАЯ РАБОТА С ДЕТЬМИ ДОШКОЛЬНОГО ВОЗРАСТА С ЗАДЕРЖКОЙ ПСИХИЧЕСКОГО РАЗВИТИЯ, ИЗД.1</t>
  </si>
  <si>
    <t>Неретина Т.Г.</t>
  </si>
  <si>
    <t>978-5-16-017099-2</t>
  </si>
  <si>
    <t>44.02.04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</si>
  <si>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44.02.04 «Специальное дошкольное образование» (протокол № 2 от 17.02.2021)</t>
  </si>
  <si>
    <t>Магнитогорский государственный технический университет им. Г.И. Носова</t>
  </si>
  <si>
    <t>758858.09.01</t>
  </si>
  <si>
    <t>Коррекционно-восп. раб. с детьми дош. возраста...: Уч.пос. / Т.Г.Неретина - М.:НИЦ ИНФРА-М,2026 - 308 с.(П)</t>
  </si>
  <si>
    <t>978-5-16-018955-0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</si>
  <si>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44.03.03 «Специальное (дефектологическое) образование» (квалификация (степень) «бакалавр») (протокол № 1 от 20.01.2021)</t>
  </si>
  <si>
    <t>ПОПО</t>
  </si>
  <si>
    <t>657113.06.01</t>
  </si>
  <si>
    <t>Коррекционно-воспитат. работа с детьми дош. возраста...: Уч.пос. / Т.Г.Неретина - М.:НИЦ ИНФРА-М,2026 - 308 с.(П)</t>
  </si>
  <si>
    <t>978-5-16-015411-4</t>
  </si>
  <si>
    <t>39.02.01, 44.02.01, 44.02.02, 44.02.03, 44.02.04, 44.02.05, 44.02.06, 44.03.03, 44.04.03, 49.02.01, 49.02.02</t>
  </si>
  <si>
    <t>820861.02.01</t>
  </si>
  <si>
    <t>Коррекция наруш. слоговой структуры слова у детей старшего... / А.Г.Биба - М.:НИЦ ИНФРА-М,2026 - 168 с.(П)</t>
  </si>
  <si>
    <t>КОРРЕКЦИЯ НАРУШЕНИЯ СЛОГОВОЙ СТРУКТУРЫ СЛОВА У ДЕТЕЙ СТАРШЕГО ДОШКОЛЬНОГО ВОЗРАСТА С ДИЗАРТРИЕЙ, ИЗД.1</t>
  </si>
  <si>
    <t>Биба А.Г., Иванович Е.И.</t>
  </si>
  <si>
    <t>978-5-16-019706-7</t>
  </si>
  <si>
    <t>403100.12.01</t>
  </si>
  <si>
    <t>Коррекция развития детей с особ. обр. потреб.: Уч.-метод.пос. / Т.В.Варенова - М.:Форум,НИЦ ИНФРА-М,2026 - 272 с.(п)</t>
  </si>
  <si>
    <t>КОРРЕКЦИЯ РАЗВИТИЯ ДЕТЕЙ С ОСОБЫМИ ОБРАЗОВАТЕЛЬНЫМИ ПОТРЕБНОСТЯМИ, ИЗД.1</t>
  </si>
  <si>
    <t>Варенова Т. В.</t>
  </si>
  <si>
    <t>978-5-91134-677-5</t>
  </si>
  <si>
    <t>44.03.03, 44.04.03, 44.05.01</t>
  </si>
  <si>
    <t>633952.07.01</t>
  </si>
  <si>
    <t>Корреляция мер по противодействию..: Науч.-мет.пос / Под ред.Южакова В.Н. - М.:НИЦ ИНФРА-М,2026 - 156 с.(о)</t>
  </si>
  <si>
    <t>КОРРЕЛЯЦИЯ МЕР ПО ПРОТИВОДЕЙСТВИЮ КОРРУПЦИИ С ПРИЧИНАМИ И УСЛОВИЯМИ ЕЕ ВОЗНИКНОВЕНИЯ, ИЗД.1</t>
  </si>
  <si>
    <t>Добролюбова Е.И., Павлушкин А.В., Сидоренко Э.Л. и др.</t>
  </si>
  <si>
    <t>978-5-16-012086-7</t>
  </si>
  <si>
    <t>38.03.01, 38.03.04, 40.02.02, 40.02.04, 40.03.01, 44.03.05</t>
  </si>
  <si>
    <t>295000.13.01</t>
  </si>
  <si>
    <t>Коррозия металлов и средства защиты от коррозии: Уч.пос. / Н.М.Хохлачева - М:НИЦ ИНФРА-М,2026  - 118 с.(ВО)(о)</t>
  </si>
  <si>
    <t>КОРРОЗИЯ МЕТАЛЛОВ И СРЕДСТВА ЗАЩИТЫ ОТ КОРРОЗИИ, ИЗД.1</t>
  </si>
  <si>
    <t>Хохлачева Н.М., Ряховская  Е.В., Романова Т.Г.</t>
  </si>
  <si>
    <t>978-5-16-011822-2</t>
  </si>
  <si>
    <t>20.03.01, 20.04.01, 22.03.01, 22.03.02, 22.04.01, 22.04.02</t>
  </si>
  <si>
    <t>Рекомендовано УМО высших учебных заведений Российской Федерации по образованию в области материаловедения, технологии новых материалов и покрытий в качестве учебного пособия для студентов высших учебных заведений, обучающихся по направлению подготовки бакалавров и магистров по укрупненной группе направлений подготовки (специальностей): 22.00.00 «Технологии материалов» и 20.00.00 «Техносферная безопасность и природообустройство»</t>
  </si>
  <si>
    <t>834521.02.01</t>
  </si>
  <si>
    <t>Коррозия, эрозия и абразия морских железобетонных сооруж.: Моногр. / Л.В.Ким. - М.:НИЦ ИНФРА-М,2025. - 255 с.(п)</t>
  </si>
  <si>
    <t>КОРРОЗИЯ, ЭРОЗИЯ И АБРАЗИЯ МОРСКИХ ЖЕЛЕЗОБЕТОННЫХ СООРУЖЕНИЙ, ИЗД.1</t>
  </si>
  <si>
    <t>Ким Л.В., Леонович С.Н., Беккер А.Т.</t>
  </si>
  <si>
    <t>978-5-16-020627-1</t>
  </si>
  <si>
    <t>660683.07.01</t>
  </si>
  <si>
    <t>Коррозия. Способы борьбы с корроз. в нефтяной промышл.: Моногр. / Ю.А.Нишкевич - М:НИЦ ИНФРА-М,2025 - 88 с.(о)</t>
  </si>
  <si>
    <t>КОРРОЗИЯ. СПОСОБЫ БОРЬБЫ С КОРРОЗИЕЙ В НЕФТЯНОЙ ПРОМЫШЛЕННОСТИ, ИЗД.1</t>
  </si>
  <si>
    <t>Нишкевич Ю.А., Козлов И.А.</t>
  </si>
  <si>
    <t>978-5-16-013049-1</t>
  </si>
  <si>
    <t>708109.08.01</t>
  </si>
  <si>
    <t>Коррупция в России XXI в.: неформальные термины.../ П.А.Скобликов - М.:Юр.Норма, НИЦ ИНФРА-М,2026 - 168 с.(п)</t>
  </si>
  <si>
    <t>КОРРУПЦИЯ В РОССИИ XXI ВЕКА: НЕФОРМАЛЬНЫЕ ТЕРМИНЫ И ПОНЯТИЯ, ИЗД.1</t>
  </si>
  <si>
    <t>978-5-91768-795-7</t>
  </si>
  <si>
    <t>812757.01.01</t>
  </si>
  <si>
    <t>Косвенные методы в сенситивных исслед.: Моногр. / А.Ю.Мягков-М.:НИЦ ИНФРА-М,2024.-245 с.(Науч.мысль)(п)</t>
  </si>
  <si>
    <t>КОСВЕННЫЕ МЕТОДЫ В СЕНСИТИВНЫХ ИССЛЕДОВАНИЯХ, ИЗД.1</t>
  </si>
  <si>
    <t>Мягков А.Ю.</t>
  </si>
  <si>
    <t>978-5-16-019344-1</t>
  </si>
  <si>
    <t>39.04.01, 39.06.01, 41.04.04, 42.04.01</t>
  </si>
  <si>
    <t>690551.07.01</t>
  </si>
  <si>
    <t>Космический мониторинг объектов захоронения...: Моногр. / Казарян М.Л. -  М.:ИНФРА-М, 2026. - 278 с.(О)</t>
  </si>
  <si>
    <t>КОСМИЧЕСКИЙ МОНИТОРИНГ ОБЪЕКТОВ ЗАХОРОНЕНИЯ ТВЕРДЫХ БЫТОВЫХ ОТХОДОВ И ПРОМЫШЛЕННЫХ ОТХОДОВ (ТБО И ПО): ТЕОРЕТИКО-МЕТОДИЧЕСКИЕ И СОЦИАЛЬНО-ЭКОНОМИЧЕСКИЕ АСПЕКТЫ, ИЗД.1</t>
  </si>
  <si>
    <t>Казарян М.Л., Рихтер А.А., Шахраманьян М.А. и др.</t>
  </si>
  <si>
    <t>978-5-16-014435-1</t>
  </si>
  <si>
    <t>20.03.01, 20.03.02, 20.04.01, 20.04.02, 38.03.01, 38.04.01</t>
  </si>
  <si>
    <t>Северо-осетинская государственная медицинская академия</t>
  </si>
  <si>
    <t>726963.08.01</t>
  </si>
  <si>
    <t>Костюм мордовского народа в обычаях и обрядах: Моногр. / Т.А.Шигурова - М.:НИЦ ИНФРА-М,2026-171с(О)</t>
  </si>
  <si>
    <t>КОСТЮМ МОРДОВСКОГО НАРОДА В ОБЫЧАЯХ И ОБРЯДАХ, ИЗД.1</t>
  </si>
  <si>
    <t>Шигурова Т.А., Макаркин Н.П.</t>
  </si>
  <si>
    <t>978-5-16-015938-6</t>
  </si>
  <si>
    <t>51.03.02, 51.03.04, 51.03.05, 51.04.01, 51.04.02, 51.06.01, 54.04.01, 54.04.02</t>
  </si>
  <si>
    <t>021917.20.01</t>
  </si>
  <si>
    <t>Краткий словарь по социологии / П.Д.Павленок - 2 изд. - М.:НИЦ ИНФРА-М,2026 - 254 с.(О)</t>
  </si>
  <si>
    <t>КРАТКИЙ СЛОВАРЬ ПО СОЦИОЛОГИИ, ИЗД.2</t>
  </si>
  <si>
    <t>Павленок П.Д.</t>
  </si>
  <si>
    <t>Библиотека малых словарей "ИНФРА-М"</t>
  </si>
  <si>
    <t>978-5-16-009912-5</t>
  </si>
  <si>
    <t>00.03.10, 00.05.10, 39.03.01, 39.03.02, 39.03.03, 39.04.01, 39.04.02, 39.04.03</t>
  </si>
  <si>
    <t>641138.15.01</t>
  </si>
  <si>
    <t>Краткий словарь русского жестового языка: Сл. / С.Г.Ватага - М.:НИЦ ИНФРА-М,2026 - 206 с.(О)</t>
  </si>
  <si>
    <t>КРАТКИЙ СЛОВАРЬ РУССКОГО ЖЕСТОВОГО ЯЗЫКА, ИЗД.1</t>
  </si>
  <si>
    <t>Ватага С.Г.</t>
  </si>
  <si>
    <t>978-5-16-012330-1</t>
  </si>
  <si>
    <t>44.02.04, 44.03.01, 44.03.02, 44.03.03, 44.04.01, 44.04.02, 44.04.03, 44.04.04, 44.05.01</t>
  </si>
  <si>
    <t>Всероссийское общество глухих</t>
  </si>
  <si>
    <t>022550.22.01</t>
  </si>
  <si>
    <t>Краткий словарь экономиста: Сл. / Н.Л.Зайцев - 4 изд. - М.:НИЦ ИНФРА-М,2026 - 224 с.(о)</t>
  </si>
  <si>
    <t>КРАТКИЙ СЛОВАРЬ ЭКОНОМИСТА, ИЗД.4</t>
  </si>
  <si>
    <t>Зайцев Н. Л.</t>
  </si>
  <si>
    <t>978-5-16-002779-1</t>
  </si>
  <si>
    <t>38.03.01, 38.03.02, 38.04.01, 38.05.01, 38.06.01</t>
  </si>
  <si>
    <t>0407</t>
  </si>
  <si>
    <t>428250.07.01</t>
  </si>
  <si>
    <t>Креативная педагогика на примере дисциплины..: Уч.-метод.пос. / Д.В.Лоренц - М:НИЦ ИНФРА-М,2026 - 112 с.(ВО) (о)</t>
  </si>
  <si>
    <t>КРЕАТИВНАЯ ПЕДАГОГИКА НА ПРИМЕРЕ ДИСЦИПЛИНЫ "РИМСКОЕ ЧАСТНОЕ ПРАВО", ИЗД.1</t>
  </si>
  <si>
    <t>Лоренц Д. В.</t>
  </si>
  <si>
    <t>978-5-16-006633-2</t>
  </si>
  <si>
    <t>848892.01.01</t>
  </si>
  <si>
    <t>Креативные игры с малыми фольклор. формами в детском саду / Е.В.Рыбак - М.:НИЦ ИНФРА-М,2026. - 230 с.(п)</t>
  </si>
  <si>
    <t>КРЕАТИВНЫЕ ИГРЫ С МАЛЫМИ ФОЛЬКЛОРНЫМИ ФОРМАМИ В ДЕТСКОМ САДУ, ИЗД.1</t>
  </si>
  <si>
    <t>Рыбак Е.В.</t>
  </si>
  <si>
    <t>978-5-16-020907-4</t>
  </si>
  <si>
    <t>44.02.01, 44.02.03, 44.02.04</t>
  </si>
  <si>
    <t>Институт развития образования г. Севастополь</t>
  </si>
  <si>
    <t>398600.08.01</t>
  </si>
  <si>
    <t>Кредитный анализ в коммерч. банке: Уч.пос. / С.Ю.Хасянова - М.:НИЦ ИНФРА-М,2023 - 196 с.(ВО)(О)</t>
  </si>
  <si>
    <t>КРЕДИТНЫЙ АНАЛИЗ В КОММЕРЧЕСКОМ БАНКЕ, ИЗД.1</t>
  </si>
  <si>
    <t>Хасянова С.Ю.</t>
  </si>
  <si>
    <t>978-5-16-011277-0</t>
  </si>
  <si>
    <t>38.00.00, 38.04.08</t>
  </si>
  <si>
    <t>Рекомендовано учебно-методическим советом секции «Экономика» Нижегородского филиала НИУ — ВШЭ от 14 мая 2012 г. в качестве учебного пособия для студентов бакалавриата направления 38.03.01 «Экономика» и магистратуры направления 38.04.08 «Финансы и кредит»</t>
  </si>
  <si>
    <t>348400.10.01</t>
  </si>
  <si>
    <t>Кредитование малого бизнеса: Практ.пос. / А.Н.Мордвинкин - 2изд.-М.:ИЦ РИОР,НИЦ ИНФРА-М,2024-318с(П)</t>
  </si>
  <si>
    <t>КРЕДИТОВАНИЕ МАЛОГО БИЗНЕСА, ИЗД.2</t>
  </si>
  <si>
    <t>Мордвинкин А.Н.</t>
  </si>
  <si>
    <t>978-5-369-01673-2</t>
  </si>
  <si>
    <t>38.02.01, 38.02.03, 38.02.07, 38.03.01, 38.04.01, 38.04.08, 38.06.01</t>
  </si>
  <si>
    <t>754365.04.01</t>
  </si>
  <si>
    <t>Кризис нравств. сознания в России и рус.-япон. война 1904-1905 гг./ А.Л.Панищев-М.:НИЦ ИНФРА-М,2024.-200 с.(О)</t>
  </si>
  <si>
    <t>КРИЗИС НРАВСТВЕННОГО СОЗНАНИЯ В РОССИИ И РУССКО-ЯПОНСКАЯ ВОЙНА 1904-1905 ГОДОВ., ИЗД.1</t>
  </si>
  <si>
    <t>978-5-16-016881-4</t>
  </si>
  <si>
    <t>00.03.04, 00.05.04, 46.03.01, 46.04.01, 46.06.01</t>
  </si>
  <si>
    <t>411850.05.01</t>
  </si>
  <si>
    <t>Кризис совр. рос. правосознания: Моногр. / Ю.К.Погребная - М.:НИЦ ИНФРА-М,2024. - 192 с.(Науч.мысль)(п)</t>
  </si>
  <si>
    <t>КРИЗИС СОВРЕМЕННОГО РОССИЙСКОГО ПРАВОСОЗНАНИЯ, ИЗД.1</t>
  </si>
  <si>
    <t>Погребная Ю. К.</t>
  </si>
  <si>
    <t>978-5-16-011693-8</t>
  </si>
  <si>
    <t>411850.06.01</t>
  </si>
  <si>
    <t>Кризис современного рос. правосознания: Моногр. / Ю.К.Погребная - М.:НИЦ ИНФРА-М,2025. - 192 с.(о)</t>
  </si>
  <si>
    <t>Погребная Ю.К.</t>
  </si>
  <si>
    <t>978-5-16-020099-6</t>
  </si>
  <si>
    <t>668595.03.01</t>
  </si>
  <si>
    <t>Кризисное сознание в контексте глобал.процес.: Моногр./Л.Д.Рассказов-М.:НИЦ ИНФРА-М,СФУ,2023-179с(П)</t>
  </si>
  <si>
    <t>КРИЗИСНОЕ СОЗНАНИЕ В КОНТЕКСТЕ ГЛОБАЛИЗАЦИОННЫХ ПРОЦЕССОВ, ИЗД.1</t>
  </si>
  <si>
    <t>Рассказов Л.Д.</t>
  </si>
  <si>
    <t>978-5-16-013299-0</t>
  </si>
  <si>
    <t>023395.14.01</t>
  </si>
  <si>
    <t>Криминалистика в вопр. и отв.: Уч. пос. / Н.П.Яблоков - 3 изд. - М.: Норма, 2026  - 288 с.(Повтор. курс) (о)</t>
  </si>
  <si>
    <t>КРИМИНАЛИСТИКА В ВОПРОСАХ И ОТВЕТАХ, ИЗД.3</t>
  </si>
  <si>
    <t>Яблоков Н.П.</t>
  </si>
  <si>
    <t>978-5-91768-145-0</t>
  </si>
  <si>
    <t>110923.08.01</t>
  </si>
  <si>
    <t>Криминалистика: природа, система, метод.: Моног. / Н.П.Яблоков - 2 изд. - М.:Юр.Норма,2024 - 288 с.(О)</t>
  </si>
  <si>
    <t>КРИМИНАЛИСТИКА: ПРИРОДА, СИСТЕМА, МЕТОДОЛОГИЧЕСКИЕ ОСНОВЫ, ИЗД.2</t>
  </si>
  <si>
    <t>Яблоков Н.П., Головин А.Ю.</t>
  </si>
  <si>
    <t>978-5-91768-040-8</t>
  </si>
  <si>
    <t>852347.01.01</t>
  </si>
  <si>
    <t>Криминалистика: Уч. / В.Н.Карагодин - М.:НИЦ ИНФРА-М,2026. - 598 с.(ВО)(п)</t>
  </si>
  <si>
    <t>КРИМИНАЛИСТИКА, ИЗД.1</t>
  </si>
  <si>
    <t>Карагодин В.Н.</t>
  </si>
  <si>
    <t>978-5-16-020836-7</t>
  </si>
  <si>
    <t>768884.07.01</t>
  </si>
  <si>
    <t>Криминалистика: Уч. / Д.Н.Балашов и др. - 3 изд. - М.:НИЦ ИНФРА-М,2026 - 449 с.-(СПО)(П)</t>
  </si>
  <si>
    <t>КРИМИНАЛИСТИКА, ИЗД.3</t>
  </si>
  <si>
    <t>Балашов Д.Н., Балашов Н.М., Маликов С.В.</t>
  </si>
  <si>
    <t>978-5-16-017344-3</t>
  </si>
  <si>
    <t>40.02.02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</si>
  <si>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5 от 19.05.2021)</t>
  </si>
  <si>
    <t>065600.13.01</t>
  </si>
  <si>
    <t>Криминалистика: Уч. / Д.Н.Балашов, - 3 изд. - М.:НИЦ ИНФРА-М,2027 - 448 с.(ВО: Бакалавр.)(п)</t>
  </si>
  <si>
    <t>Балашов Д. Н., Балашов Н. М., Маликов С. В.</t>
  </si>
  <si>
    <t>978-5-16-009361-1</t>
  </si>
  <si>
    <t>Допущено Учебно-методическим объединением по юридическому образованию вузов РФ в качестве учебника для студентов высших учебных заведений, обучающихся по специальностям и направлению юридического профиля</t>
  </si>
  <si>
    <t>173100.14.01</t>
  </si>
  <si>
    <t>Криминалистика: Уч. / Е.Р.Россинская - М.:Юр.Норма, НИЦ ИНФРА-М,2024 - 464 с.(П)</t>
  </si>
  <si>
    <t>Россинская Е. Р.</t>
  </si>
  <si>
    <t>978-5-91768-231-0</t>
  </si>
  <si>
    <t>Допущено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</si>
  <si>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683423.09.01</t>
  </si>
  <si>
    <t>Криминалистика: Уч. / Е.Р.Россинская - М.:Юр.Норма, НИЦ ИНФРА-М,2024 - 464 с.-(СПО)(П)</t>
  </si>
  <si>
    <t>978-5-91768-929-6</t>
  </si>
  <si>
    <t>683423.10.01</t>
  </si>
  <si>
    <t>Криминалистика: Уч. / Е.Р.Россинская, - 2 изд. - М.:Юр. НОРМА, НИЦ ИНФРА-М,2025. - 608 с.-(СПО)(п)</t>
  </si>
  <si>
    <t>КРИМИНАЛИСТИКА, ИЗД.2</t>
  </si>
  <si>
    <t>978-5-00156-409-6</t>
  </si>
  <si>
    <t>173100.17.01</t>
  </si>
  <si>
    <t>Криминалистика: Уч. / Е.Р.Россинская, - 2 изд. - М.:Юр. НОРМА, НИЦ ИНФРА-М,2026 - 608 с.(п)</t>
  </si>
  <si>
    <t>978-5-00156-408-9</t>
  </si>
  <si>
    <t>020724.25.01</t>
  </si>
  <si>
    <t>Криминалистика: Уч. / Н.П. Яблоков - 2 изд. - М.: Юр.Норма, НИЦ ИНФРА-М, 2026 - 400 с.(п)</t>
  </si>
  <si>
    <t>Яблоков Н. П.</t>
  </si>
  <si>
    <t>978-5-91768-317-1</t>
  </si>
  <si>
    <t>Рекомендовано Учебно-методическим Советом по юридическому образованию Учебно-методического объединения по классическому университетскому образованию в качестве учебника для студентов высших учебных заведений, обучающихся по спец."Юриспруденция"</t>
  </si>
  <si>
    <t>019667.26.01</t>
  </si>
  <si>
    <t>Криминалистика: Уч. / Под ред. Н.П.Яблокова - 5 изд. - М.: Юр.Норма, НИЦ ИНФРА-М, 2026. - 752 с. (п)</t>
  </si>
  <si>
    <t>КРИМИНАЛИСТИКА, ИЗД.5</t>
  </si>
  <si>
    <t>978-5-91768-830-5</t>
  </si>
  <si>
    <t>016775.31.01</t>
  </si>
  <si>
    <t>Криминалистика: Уч. / Т.В. Аверьянова - 4 изд. - М.: Норма:НИЦ Инфра-М,2026 - 928 с. (п)</t>
  </si>
  <si>
    <t>КРИМИНАЛИСТИКА, ИЗД.4</t>
  </si>
  <si>
    <t>Аверьянова Т. В., Россинская Е. Р., Белкин Р. С., Корухов Ю. Г.</t>
  </si>
  <si>
    <t>978-5-91768-334-8</t>
  </si>
  <si>
    <t>Допущено Министерством образования РФ в качестве учебника для студентов вузов, обучающихся по специальности "Юриспруденция"</t>
  </si>
  <si>
    <t>459900.09.01</t>
  </si>
  <si>
    <t>Криминалистическая метод. расследования...: Моногр. / Н.П.Яблоков - М.:Юр.Норма, НИЦ ИНФРА-М, 2027 - 192 с..(П)</t>
  </si>
  <si>
    <t>КРИМИНАЛИСТИЧЕСКАЯ МЕТОДИКА РАССЛЕДОВАНИЯ, ИЗД.1</t>
  </si>
  <si>
    <t>978-5-91768-687-5</t>
  </si>
  <si>
    <t>081700.15.01</t>
  </si>
  <si>
    <t>Криминальная психология / С.В.Познышев и др. - М.:НИЦ ИНФРА-М, 2026 - 311 с.(Б-ка криминолога)(П)</t>
  </si>
  <si>
    <t>КРИМИНАЛЬНАЯ ПСИХОЛОГИЯ. ПРЕСТУПНЫЕ ТИПЫ., ИЗД.1</t>
  </si>
  <si>
    <t>Познышев С.В., Овчинский В.С., Федоров А.В.</t>
  </si>
  <si>
    <t>978-5-16-013196-2</t>
  </si>
  <si>
    <t>020720.25.01</t>
  </si>
  <si>
    <t>Криминология / А.И.Долгова - 4 изд. - М.: Юр.Норма, НИЦ ИНФРА-М, 2027  - 368 с. (О)</t>
  </si>
  <si>
    <t>КРИМИНОЛОГИЯ, ИЗД.4</t>
  </si>
  <si>
    <t>Долгова А.И.</t>
  </si>
  <si>
    <t>978-5-91768-729-2</t>
  </si>
  <si>
    <t>Российская криминологическая ассоциация</t>
  </si>
  <si>
    <t>757869.06.01</t>
  </si>
  <si>
    <t>Криминология в схемах и опред.: Уч.пос. / Под ред.Эминова В.Е. - М.:Юр.Норма,НИЦ ИНФРА-М,2026 - 128 с.(П)</t>
  </si>
  <si>
    <t>КРИМИНОЛОГИЯ В СХЕМАХ И ОПРЕДЕЛЕНИЯХ, ИЗД.1</t>
  </si>
  <si>
    <t>Эминов В.Е.</t>
  </si>
  <si>
    <t>978-5-00156-176-7</t>
  </si>
  <si>
    <t>648392.11.01</t>
  </si>
  <si>
    <t>Криминология в схемах и опред.: Уч.пос. / Под ред.Эминова В.Е. -М.:Юр.Норма,НИЦ ИНФРА-М,2024-128с(О)</t>
  </si>
  <si>
    <t>978-5-91768-804-6</t>
  </si>
  <si>
    <t>061380.10.01</t>
  </si>
  <si>
    <t>Криминология и биотехнологии: Моногр. / В.С.Овчинский - М.:НОРМА, НИЦ ИНФРА-М,2026. - 192 с.(о)</t>
  </si>
  <si>
    <t>КРИМИНОЛОГИЯ И БИОТЕХНОЛОГИИ, ИЗД.1</t>
  </si>
  <si>
    <t>Овчинский В. С.</t>
  </si>
  <si>
    <t>978-5-89123-907-4</t>
  </si>
  <si>
    <t>786380.02.01</t>
  </si>
  <si>
    <t>Криминология и предупреждение преступлений: Уч. / Н.В.Кузьмина - М.:НИЦ ИНФРА-М,2027. - 222 с.(СПО)(п)</t>
  </si>
  <si>
    <t>КРИМИНОЛОГИЯ И ПРЕДУПРЕЖДЕНИЕ ПРЕСТУПЛЕНИЙ, ИЗД.1</t>
  </si>
  <si>
    <t>Кузьмина Н.В.</t>
  </si>
  <si>
    <t>978-5-16-017970-4</t>
  </si>
  <si>
    <t>СПО-2022, Победитель, III место</t>
  </si>
  <si>
    <t>678844.11.01</t>
  </si>
  <si>
    <t>Криминология цифрового мира: Уч. / В.С.Овчинский - М.:Юр.Норма, НИЦ ИНФРА-М,2026 - 352 с.(П)</t>
  </si>
  <si>
    <t>КРИМИНОЛОГИЯ ЦИФРОВОГО МИРА, ИЗД.1</t>
  </si>
  <si>
    <t>978-5-91768-896-1</t>
  </si>
  <si>
    <t>678844.12.01</t>
  </si>
  <si>
    <t>Криминология цифрового мира: Уч. / В.С.Овчинский, - 2 изд. - М.:Юр. НОРМА, НИЦ ИНФРА-М,2026. - 348 с.(п)</t>
  </si>
  <si>
    <t>КРИМИНОЛОГИЯ ЦИФРОВОГО МИРА, ИЗД.2</t>
  </si>
  <si>
    <t>978-5-00156-476-8</t>
  </si>
  <si>
    <t>785658.04.01</t>
  </si>
  <si>
    <t>Криминология. Общая и Особенная части: Уч. / Н.А.Горшкова. - М.:НИЦ ИНФРА-М,2027. - 390 с.(ВО.Сп)(п)</t>
  </si>
  <si>
    <t>КРИМИНОЛОГИЯ: ОБЩАЯ И ОСОБЕННАЯ ЧАСТИ, ИЗД.1</t>
  </si>
  <si>
    <t>Горшенков Г.Н., Пикин И.В., Михайлов А.Е. и др.</t>
  </si>
  <si>
    <t>978-5-16-017956-8</t>
  </si>
  <si>
    <t>872013.01.01</t>
  </si>
  <si>
    <t>Криминология: Науч. изд. / Р.Гарофало - М.:НИЦ ИНФРА-М,2026 - 296 с.(Б-ка криминолога)(п)</t>
  </si>
  <si>
    <t>КРИМИНОЛОГИЯ, ИЗД.1</t>
  </si>
  <si>
    <t>Гарофало Р., Овчинский В.С.</t>
  </si>
  <si>
    <t>978-5-16-021823-6</t>
  </si>
  <si>
    <t>10.05.05, 40.03.01, 40.05.01, 40.05.02, 40.05.03, 40.05.04, 40.06.01, 44.05.01</t>
  </si>
  <si>
    <t>098100.18.01</t>
  </si>
  <si>
    <t>Криминология: Уч. / М.П.Клейменов - 3 изд. - М.:Юр.Норма, НИЦ ИНФРА-М,2023 - 400 с.(П)</t>
  </si>
  <si>
    <t>КРИМИНОЛОГИЯ, ИЗД.3</t>
  </si>
  <si>
    <t>Клейменов М. П.</t>
  </si>
  <si>
    <t>978-5-91768-857-2</t>
  </si>
  <si>
    <t>Допущено УМО по юрид. образованию вузов РФ в качестве учебника для студентов высших учебных заведений, обучающихся по напр. 030500 "Юриспруденция", и по специальностям: 030501 "Юриспруденция", 030505 "Правоохранительная деятельность"</t>
  </si>
  <si>
    <t>098100.24.01</t>
  </si>
  <si>
    <t>Криминология: Уч. / М.П.Клейменов - 4 изд. - М.:Юр.Норма, НИЦ ИНФРА-М,2026 - 416 с.(П)</t>
  </si>
  <si>
    <t>978-5-00156-369-3</t>
  </si>
  <si>
    <t>683422.05.01</t>
  </si>
  <si>
    <t>Криминология: Уч. / М.П.Клейменов - М.:Юр.Норма, НИЦ ИНФРА-М,2024 - 400 с.-(СПО)(П)</t>
  </si>
  <si>
    <t>Клейменов М.П.</t>
  </si>
  <si>
    <t>978-5-91768-928-9</t>
  </si>
  <si>
    <t>683422.07.01</t>
  </si>
  <si>
    <t>Криминология: Уч. / М.П.Клейменов, - 2 изд  - М.:Юр.Норма, НИЦ ИНФРА-М,2025 - 400 с.-(СПО)(П)</t>
  </si>
  <si>
    <t>КРИМИНОЛОГИЯ, ИЗД.2</t>
  </si>
  <si>
    <t>978-5-00156-424-9</t>
  </si>
  <si>
    <t>001450.26.01</t>
  </si>
  <si>
    <t>Криминология: Уч. / Под ред. Кудрявцев В.Н., - 5 изд. - М.:Юр.Норма, НИЦ ИНФРА-М,2026. - 800 с.(п)</t>
  </si>
  <si>
    <t>КРИМИНОЛОГИЯ, ИЗД.5</t>
  </si>
  <si>
    <t>Кудрявцев В. Н., Эминов В. Е.</t>
  </si>
  <si>
    <t>978-5-91768-394-2</t>
  </si>
  <si>
    <t>10.05.05, 40.03.01, 40.04.01, 40.05.01, 40.05.02, 40.05.03, 40.05.04, 44.05.01</t>
  </si>
  <si>
    <t>Допущено Мин. обр. и науки РФ в качестве учебника для студентов, обучающихся по специальностям  "Юриспруденция", "Правоохранительная деятельность" и по направлению "Юриспруденция"</t>
  </si>
  <si>
    <t>653026.03.01</t>
  </si>
  <si>
    <t>Криминология: Уч. для аспирантов / И.М.Мацкевич и др. - М.:Юр.Норма,НИЦ ИНФРА-М,2022 - 368 с.(П)</t>
  </si>
  <si>
    <t>Мацкевич И.М., Аминов И.И., Антонян Е.А. и др.</t>
  </si>
  <si>
    <t>978-5-91768-819-0</t>
  </si>
  <si>
    <t>Университет прокуратуры Российской Федерации, ф-л Иркутский юридический институт</t>
  </si>
  <si>
    <t>003506.22.01</t>
  </si>
  <si>
    <t>Криминология: Уч. для вузов / А.И.Долгова - М.:Юр.Норма, НИЦ ИНФРА-М,2025. - 1008 с.(П)</t>
  </si>
  <si>
    <t>Долгова А. И.</t>
  </si>
  <si>
    <t>978-5-91768-038-5</t>
  </si>
  <si>
    <t>Рекомендовано Мин. обр. и науки РФ в качестве учебника для студентов ВУЗов, обучающихся по специальности "Юриспруденция"</t>
  </si>
  <si>
    <t>0410</t>
  </si>
  <si>
    <t>837233.01.01</t>
  </si>
  <si>
    <t>Криогенные наземные транспортные средства: Уч. / В.И.Ерохов - М.:НИЦ ИНФРА-М,2026. - 604 с.(ВО)(п)</t>
  </si>
  <si>
    <t>КРИОГЕННЫЕ НАЗЕМНЫЕ ТРАНСПОРТНЫЕ СРЕДСТВА, ИЗД.1</t>
  </si>
  <si>
    <t>Ерохов В.И.</t>
  </si>
  <si>
    <t>978-5-16-020779-7</t>
  </si>
  <si>
    <t>16.04.03, 16.05.01</t>
  </si>
  <si>
    <t>306200.07.01</t>
  </si>
  <si>
    <t>Криптографическая деят. в России от Полтавы до.../ Д.А.Ларин - М.:ИЦ РИОР, НИЦ ИНФРА-М,2023 - 281 с.(О)</t>
  </si>
  <si>
    <t>КРИПТОГРАФИЧЕСКАЯ ДЕЯТЕЛЬНОСТЬ В РОССИИ ОТ ПОЛТАВЫ ДО БОРОДИНА, ИЗД.1</t>
  </si>
  <si>
    <t>Ларин Д. А.</t>
  </si>
  <si>
    <t>978-5-369-01384-7</t>
  </si>
  <si>
    <t>10.03.01, 10.04.01</t>
  </si>
  <si>
    <t>654164.13.01</t>
  </si>
  <si>
    <t>Криптографическая защита информации: Уч.пос. / С.О.Крамаров - М.:ИЦ РИОР, НИЦ ИНФРА-М,2026 - 321с.(П)</t>
  </si>
  <si>
    <t>КРИПТОГРАФИЧЕСКАЯ ЗАЩИТА ИНФОРМАЦИИ, ИЗД.1</t>
  </si>
  <si>
    <t>Крамаров С.О., Тищенко Е.Н., Соколов С.В. и др.</t>
  </si>
  <si>
    <t>978-5-369-01716-6</t>
  </si>
  <si>
    <t>10.03.01, 10.04.01, 11.03.02, 11.04.02, 11.05.04, 38.03.05, 38.04.05</t>
  </si>
  <si>
    <t>717877.03.01</t>
  </si>
  <si>
    <t>Криптографические конструкции на основе функций...: Моногр. / А.В.Соколов - М.:НИЦ ИНФРА-М,2025 - 192 с.(О)</t>
  </si>
  <si>
    <t>КРИПТОГРАФИЧЕСКИЕ КОНСТРУКЦИИ НА ОСНОВЕ ФУНКЦИЙ МНОГОЗНАЧНОЙ ЛОГИКИ, ИЗД.1</t>
  </si>
  <si>
    <t>Соколов А.В., Жданов О.Н.</t>
  </si>
  <si>
    <t>978-5-16-015667-5</t>
  </si>
  <si>
    <t>01.03.04, 01.04.01, 02.03.01, 02.04.02, 10.03.01, 10.04.01, 10.05.01, 10.05.02, 15.02.07</t>
  </si>
  <si>
    <t>Одесский национальний политехнический университет</t>
  </si>
  <si>
    <t>447550.06.01</t>
  </si>
  <si>
    <t>Криптографические методы защиты информ.:Уч.пос.:Т.1/А.В.Бабаш-2изд.-ИЦ РИОР,НИЦ ИНФРА-М,2021-413с(о)</t>
  </si>
  <si>
    <t>КРИПТОГРАФИЧЕСКИЕ МЕТОДЫ ЗАЩИТЫ ИНФОРМАЦИИ, Т.1</t>
  </si>
  <si>
    <t>Бабаш А. В.</t>
  </si>
  <si>
    <t>978-5-369-01267-3</t>
  </si>
  <si>
    <t>01.03.02, 01.04.02, 02.03.02, 02.04.02, 09.03.02, 09.03.03, 09.04.02, 09.04.03, 10.03.01, 10.04.01, 10.05.04</t>
  </si>
  <si>
    <t>Рекомендовано Учебно-методическим объединением по образованию в области прикладной информатики в качестве учебно-методического пособия для студентов высших учебных заведений, обучающихся по специальности «Прикладная информатика» и другим междисциплинарным специальностям</t>
  </si>
  <si>
    <t>668600.07.01</t>
  </si>
  <si>
    <t>Кристаллография, минерал. и обогащ...: Уч.пос. / В.И.Брагина - М.:НИЦ ИНФРА-М, СФУ,2026-152 с.(ВО)(П)</t>
  </si>
  <si>
    <t>КРИСТАЛЛОГРАФИЯ, МИНЕРАЛОГИЯ И ОБОГАЩЕНИЕ ПОЛЕЗНЫХ ИСКОПАЕМЫХ, ИЗД.1</t>
  </si>
  <si>
    <t>Брагина В.И.</t>
  </si>
  <si>
    <t>978-5-16-020935-7</t>
  </si>
  <si>
    <t>22.03.02, 22.04.02</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</si>
  <si>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«Металлургия»</t>
  </si>
  <si>
    <t>693082.02.01</t>
  </si>
  <si>
    <t>Критерии истины: Монография / С.В.Борзых - М.:НИЦ ИНФРА-М,2023.-193 с..-(Науч.мысль)(О)</t>
  </si>
  <si>
    <t>КРИТЕРИИ ИСТИНЫ, ИЗД.1</t>
  </si>
  <si>
    <t>978-5-16-014512-9</t>
  </si>
  <si>
    <t>645799.03.01</t>
  </si>
  <si>
    <t>Критерии проверки гипотез об однородности. Руководство по применению:Монография / Б.Ю.Лемешко-М.:НИЦ ИНФРА-М,2018.-207 с..-(Науч.мысль)(О. КБ</t>
  </si>
  <si>
    <t>КРИТЕРИИ ПРОВЕРКИ ГИПОТЕЗ ОБ ОДНОРОДНОСТИ. РУКОВОДСТВО ПО ПРИМЕНЕНИЮ, ИЗД.1</t>
  </si>
  <si>
    <t>Лемешко Б.Ю.</t>
  </si>
  <si>
    <t>978-5-16-012557-2</t>
  </si>
  <si>
    <t>645799.06.01</t>
  </si>
  <si>
    <t>Критерии проверки гипотез об однородности: Моногр. / Б.Ю.Лемешко, - 2 изд. - М.:НИЦ ИНФРА-М,2026. - 248 с(О)</t>
  </si>
  <si>
    <t>КРИТЕРИИ ПРОВЕРКИ ГИПОТЕЗ ОБ ОДНОРОДНОСТИ. РУКОВОДСТВО ПО ПРИМЕНЕНИЮ, ИЗД.2</t>
  </si>
  <si>
    <t>978-5-16-016336-9</t>
  </si>
  <si>
    <t>737176.02.01</t>
  </si>
  <si>
    <t>Критерии проверки отклонения от экспоненциального закона / Б.Ю.Лемешко - М.:НИЦ ИНФРА-М,2027. - 352 с.(О)</t>
  </si>
  <si>
    <t>КРИТЕРИИ ПРОВЕРКИ ОТКЛОНЕНИЯ ОТ ЭКСПОНЕНЦИАЛЬНОГО ЗАКОНА. РУКОВОДСТВО ПО ПРИМЕНЕНИЮ, ИЗД.1</t>
  </si>
  <si>
    <t>Лемешко Б.Ю., Блинов П.Ю.</t>
  </si>
  <si>
    <t>978-5-16-016328-4</t>
  </si>
  <si>
    <t>479650.07.01</t>
  </si>
  <si>
    <t>Критерии проверки отклонения распред. от норм. закона / Б.Ю.Лемешко - 2 изд. - ИНФРА-М, 2026-353 с. (О)</t>
  </si>
  <si>
    <t>КРИТЕРИИ ПРОВЕРКИ ОТКЛОНЕНИЯ РАСПРЕДЕЛЕНИЯ ОТ НОРМАЛЬНОГО ЗАКОНА. РУКОВОДСТВО ПО ПРИМЕНЕНИЮ, ИЗД.2</t>
  </si>
  <si>
    <t>978-5-16-017901-8</t>
  </si>
  <si>
    <t>01.03.01, 01.03.04, 01.04.01, 01.04.04, 01.06.01</t>
  </si>
  <si>
    <t>479650.05.01</t>
  </si>
  <si>
    <t>Критерии проверки отклонения распред. от норм. закона: Рук.. / Б.Ю.Лемешко - ИНФРА-М, 2021-160с. (о)</t>
  </si>
  <si>
    <t>КРИТЕРИИ ПРОВЕРКИ ОТКЛОНЕНИЯ РАСПРЕДЕЛЕНИЯ ОТ НОРМАЛЬНОГО ЗАКОНА. РУКОВОДСТВО ПО ПРИМЕНЕНИЮ, ИЗД.1</t>
  </si>
  <si>
    <t>978-5-16-010314-3</t>
  </si>
  <si>
    <t>369600.05.01</t>
  </si>
  <si>
    <t>Критерии проверки отклонения распред. от равн.закона: Моногр. / Б.Ю.Лемешко - М.:НИЦ ИНФРА-М,2026 - 183 с.(О)</t>
  </si>
  <si>
    <t>КРИТЕРИИ ПРОВЕРКИ ОТКЛОНЕНИЯ РАСПРЕДЕЛЕНИЯ ОТ РАВНОМЕРНОГО ЗАКОНА. РУКОВОДСТВО ПО ПРИМЕНЕНИЮ, ИЗД.1</t>
  </si>
  <si>
    <t>978-5-16-011011-0</t>
  </si>
  <si>
    <t>06.03.01, 06.04.01, 38.03.01, 38.04.01, 39.03.01, 39.04.01</t>
  </si>
  <si>
    <t>681311.03.01</t>
  </si>
  <si>
    <t>Критика аксиологического разума: Монография / С.Е.Ячин - М.:НИЦ ИНФРА-М,2022 - 137 с.(Науч.мысль)(О)</t>
  </si>
  <si>
    <t>КРИТИКА АКСИОЛОГИЧЕСКОГО РАЗУМА, ИЗД.1</t>
  </si>
  <si>
    <t>978-5-16-013814-5</t>
  </si>
  <si>
    <t>40.03.01, 44.03.01, 44.03.05, 47.03.01</t>
  </si>
  <si>
    <t>295700.06.01</t>
  </si>
  <si>
    <t>Критика знания: Моногр. / С.В. Борзых. - М.: НИЦ ИНФРА-М, 2024-118с.(Научная мысль; Философия) (о)</t>
  </si>
  <si>
    <t>КРИТИКА ЗНАНИЯ, ИЗД.1</t>
  </si>
  <si>
    <t>978-5-16-010093-7</t>
  </si>
  <si>
    <t>773688.07.01</t>
  </si>
  <si>
    <t>Критика медиаречи: Уч.пос. / Под ред. Дускаевой Л.Р. - М.:НИЦ ИНФРА-М,2026 - 241 с.(ВО)(п)</t>
  </si>
  <si>
    <t>КРИТИКА МЕДИАРЕЧИ, ИЗД.1</t>
  </si>
  <si>
    <t>Васильева В.В., Дускаева Л.Р., Иванова Л.Ю. и др.</t>
  </si>
  <si>
    <t>978-5-16-018863-8</t>
  </si>
  <si>
    <t>42.03.05, 42.04.01, 42.04.04, 45.04.01</t>
  </si>
  <si>
    <t>397700.04.01</t>
  </si>
  <si>
    <t>Крутильные колебания коленчатых валов автомоб. и тракт. двиг.: Уч.пос./А.Н.Гоц, 2 изд.-М.:Форум,НИЦ ИНФРА-М,2023-208с(О)</t>
  </si>
  <si>
    <t>КРУТИЛЬНЫЕ КОЛЕБАНИЯ КОЛЕНЧАТЫХ ВАЛОВ АВТОМОБИЛЬНЫХ И ТРАКТОРНЫХ ДВИГАТЕЛЕЙ, ИЗД.2</t>
  </si>
  <si>
    <t>978-5-00091-120-4</t>
  </si>
  <si>
    <t>13.03.02, 13.03.03, 15.03.01</t>
  </si>
  <si>
    <t>Допущено УМО по образованию в области электро- и теплоэнергетики в качестве учебного пособия для студентов высших учебных заведений, обучающихся по направлению подготовки 13.03.03 и 141100 «Энергетическое машиностроение»</t>
  </si>
  <si>
    <t>650137.09.01</t>
  </si>
  <si>
    <t>Крым: новый вектор разв.туризма в России: Моногр. / Под ред.Шарафутдинова В.Н. - М.:НИЦ ИНФРА-М,2026 - 364 с.(П)</t>
  </si>
  <si>
    <t>КРЫМ: НОВЫЙ ВЕКТОР РАЗВИТИЯ ТУРИЗМА В РОССИИ, ИЗД.1</t>
  </si>
  <si>
    <t>Шарафутдинов В.Н., Яковенко И.М., Позаченюк Е.А. и др.</t>
  </si>
  <si>
    <t>978-5-16-012590-9</t>
  </si>
  <si>
    <t>Российская академия наук</t>
  </si>
  <si>
    <t>420650.11.01</t>
  </si>
  <si>
    <t>Крыши и кровли гражданских и производ. здан.: Уч. пос. / Н.А.Бузало - РИОР: ИНФРА-М, 2026 - 152 с.(ВО) (п)</t>
  </si>
  <si>
    <t>КРЫШИ И КРОВЛИ ГРАЖДАНСКИХ И ПРОИЗВОДСТВЕННЫХ ЗДАНИЙ, ИЗД.1</t>
  </si>
  <si>
    <t>Бузало Н. А., Платонова И. Д., Царитова Н. Г.</t>
  </si>
  <si>
    <t>978-5-369-01175-1</t>
  </si>
  <si>
    <t>Рекомендуется федеральным государственным бюджетным образовательным учреждением высшего профессионального образования «Московский государственный строительный университет» (МГСУ) в качестве учебного пособия для студентов ВПО, обучающихся по программе</t>
  </si>
  <si>
    <t>684086.10.01</t>
  </si>
  <si>
    <t>Кто есть кто в международном терроризме: Справ. / В.В.Красинский - М.:НИЦ ИНФРА-М,2026. - 137 с.(о)</t>
  </si>
  <si>
    <t>КТО ЕСТЬ КТО В МЕЖДУНАРОДНОМ ТЕРРОРИЗМЕ, ИЗД.1</t>
  </si>
  <si>
    <t>Красинский В.В., Машко В.В.</t>
  </si>
  <si>
    <t>978-5-16-020840-4</t>
  </si>
  <si>
    <t>255600.12.01</t>
  </si>
  <si>
    <t>Кузнечно-штамповочное производ.: Уч. / И.Л.Константинов, - 2 изд. - М.:НИЦ ИНФРА-М,СФУ,2027 - 464 с.(ВО)(П)</t>
  </si>
  <si>
    <t>КУЗНЕЧНО-ШТАМПОВОЧНОЕ ПРОИЗВОДСТВО, ИЗД.2</t>
  </si>
  <si>
    <t>Константинов И. Л., Сидельников С. Б.</t>
  </si>
  <si>
    <t>978-5-16-022347-6</t>
  </si>
  <si>
    <t>15.03.01, 22.03.02</t>
  </si>
  <si>
    <t>Рекомендовано Национальным исследовательским технологическим университетом «МИСиС» (НИТУ «МИСиС») в качестве учебникадля студентов высших образовательных учебных заведений, реализующих программы ВПО, ДПО, профессиональной переподготовки и повышения к</t>
  </si>
  <si>
    <t>185600.11.01</t>
  </si>
  <si>
    <t>Культ личности в России: попытка осмысл.: Моногр. / В.В.Викторов - М: Вуз. уч.: НИЦ Инфра-М, 2026 - 207 с. (п)</t>
  </si>
  <si>
    <t>КУЛЬТ ЛИЧНОСТИ В РОССИИ: ПОПЫТКА ОСМЫСЛЕНИЯ, ИЗД.1</t>
  </si>
  <si>
    <t>Викторов В. В.</t>
  </si>
  <si>
    <t>978-5-9558-0248-0</t>
  </si>
  <si>
    <t>39.04.01, 41.03.06, 41.04.04, 46.04.01</t>
  </si>
  <si>
    <t>868848.01.01</t>
  </si>
  <si>
    <t>Культура Древнего Китая: Науч.-популяр. изд. / Д.Л.Обидин - М.:НИЦ ИНФРА-М,2026. - 160 с.(п)</t>
  </si>
  <si>
    <t>КУЛЬТУРА ДРЕВНЕГО КИТАЯ, ИЗД.1</t>
  </si>
  <si>
    <t>Обидин Д.Л.</t>
  </si>
  <si>
    <t>978-5-16-021548-8</t>
  </si>
  <si>
    <t>44.03.05, 45.03.01, 48.03.01, 50.03.01</t>
  </si>
  <si>
    <t>665277.10.01</t>
  </si>
  <si>
    <t>Культура Древнего Китая: Уч.пос. / Д.Л.Обидин - М.:НИЦ ИНФРА-М,2026 - 163 с.(ВО)(п)</t>
  </si>
  <si>
    <t>978-5-16-019067-9</t>
  </si>
  <si>
    <t>00.03.05, 45.03.01, 50.03.01, 51.03.01</t>
  </si>
  <si>
    <t>Рекомендовано в качестве учебного пособия для студентов высших учебных заведени, обучающихся по направлениям подготовки 51.03.01 «Культурология», 50.03.01 «Искусства и гуманитарные науки» (квалификация (степень) «бакалавр»)</t>
  </si>
  <si>
    <t>395200.08.01</t>
  </si>
  <si>
    <t>Культура Древней Индии: Уч.пос. / Д.Л.Обидин - М.:НИЦ ИНФРА-М,2026 - 95 с.-(ВО:(МАТИ-МАИ))(О)</t>
  </si>
  <si>
    <t>КУЛЬТУРА ДРЕВНЕЙ ИНДИИ, ИЗД.1</t>
  </si>
  <si>
    <t>978-5-16-011224-4</t>
  </si>
  <si>
    <t>47.03.01, 47.03.03, 51.03.01</t>
  </si>
  <si>
    <t>Рекомендовано в качестве учебного пособия для студентов высших учебных заведений, обучающихся по направлениям подготовки 51.03.01 «Культурология», 47.03.01 «Философия», 47.03.03 «Религиоведение» (квалификация (степень) «бакалавр»)</t>
  </si>
  <si>
    <t>872002.02.01</t>
  </si>
  <si>
    <t>Культура и международно-правовое сотрудничество / Л.Н.Галенская - М.:Юр. НОРМА, НИЦ ИНФРА-М,2027 - 184 с.(п)</t>
  </si>
  <si>
    <t>КУЛЬТУРА И МЕЖДУНАРОДНО-ПРАВОВОЕ СОТРУДНИЧЕСТВО, ИЗД.1</t>
  </si>
  <si>
    <t>Галенская Л.Н.</t>
  </si>
  <si>
    <t>978-5-00156-479-9</t>
  </si>
  <si>
    <t>40.05.01, 40.05.02, 40.05.04, 40.06.01</t>
  </si>
  <si>
    <t>668591.04.01</t>
  </si>
  <si>
    <t>Культура и образование: принципы взаимодействия: Моногр. / М.В.Тарасова-М.:НИЦ ИНФРА-М, СФУ,2024.-360 с..-(П)</t>
  </si>
  <si>
    <t>КУЛЬТУРА И ОБРАЗОВАНИЕ: ПРИНЦИПЫ ВЗАИМОДЕЙСТВИЯ, ИЗД.1</t>
  </si>
  <si>
    <t>Тарасова М.В.</t>
  </si>
  <si>
    <t>978-5-16-017868-4</t>
  </si>
  <si>
    <t>00.03.05, 51.04.01</t>
  </si>
  <si>
    <t>851436.01.01</t>
  </si>
  <si>
    <t>Культура интеллект. собств. в лич. и социокульт.м измер. / А.А.Токарева - М.:НИЦ ИНФРА-М,2026. - 207 с.(о)</t>
  </si>
  <si>
    <t>КУЛЬТУРА ИНТЕЛЛЕКТУАЛЬНОЙ СОБСТВЕННОСТИ В ЛИЧНОСТНОМ И СОЦИОКУЛЬТУРНОМ ИЗМЕРЕНИИ, ИЗД.1</t>
  </si>
  <si>
    <t>Токарева А.А.</t>
  </si>
  <si>
    <t>978-5-16-021058-2</t>
  </si>
  <si>
    <t>39.03.03, 40.04.01, 40.06.01, 46.04.01, 51.06.01</t>
  </si>
  <si>
    <t>173350.06.01</t>
  </si>
  <si>
    <t>Культура маркетинга: Уч.пос. / В.Е.Новаторов - М.:Форум,ИНФРА-М,2023 - 224 с.(ВО)(о)</t>
  </si>
  <si>
    <t>КУЛЬТУРА МАРКЕТИНГА, ИЗД.1</t>
  </si>
  <si>
    <t>Новаторов В.Е.</t>
  </si>
  <si>
    <t>978-5-91134-589-1</t>
  </si>
  <si>
    <t>38.03.01, 38.03.02, 42.03.01, 44.03.01, 44.03.05</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</si>
  <si>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42.03.01 «Реклама и связи с общественностью» (квалификация (степень) «бакалавр»)</t>
  </si>
  <si>
    <t>Санкт-Петербургский государственный институт кино и телевидения</t>
  </si>
  <si>
    <t>721351.03.01</t>
  </si>
  <si>
    <t>Культура письменной и устной рус. речи..: Практ. пос. / Л.Я.Ковадло - М.:Форум, НИЦ ИНФРА-М,2026 - 401 с.(СПО)(П)</t>
  </si>
  <si>
    <t>КУЛЬТУРА ПИСЬМЕННОЙ И УСТНОЙ РУССКОЙ РЕЧИ. ДЕЛОВОЕ ПИСЬМО, ИЗД.1</t>
  </si>
  <si>
    <t>Ковадло Л. Я.</t>
  </si>
  <si>
    <t>978-5-00091-722-0</t>
  </si>
  <si>
    <t>00.01.04, 00.02.15, 11.02.12, 25.02.09, 26.02.03, 38.02.01, 38.02.06, 38.02.07, 38.02.08, 39.02.01, 39.02.03, 42.02.01, 43.02.01, 43.02.06, 43.02.16, 44.02.06, 46.02.01, 51.02.02, 51.02.03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</si>
  <si>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образовательную программу среднего профессионального образования (протокол № 12 от 24.06.2019)</t>
  </si>
  <si>
    <t>178100.12.01</t>
  </si>
  <si>
    <t>Культура письменной и устной русской речи...: Прак. / Л.Я.Ковадло - М.:НИЦ ИНФРА-М,2026. - 401 с.(ВО)(п)</t>
  </si>
  <si>
    <t>978-5-16-021998-1</t>
  </si>
  <si>
    <t>674742.05.01</t>
  </si>
  <si>
    <t>Культура речи и деловое общение: Уч.пос. / Н.Ю.Паудяль и др. - М.:НИЦ ИНФРА-М,2026. - 526 с.(ВО)(п)</t>
  </si>
  <si>
    <t>КУЛЬТУРА РЕЧИ И ДЕЛОВОЕ ОБЩЕНИЕ, ИЗД.1</t>
  </si>
  <si>
    <t>Паудяль Н.Ю., Филиндаш Л.В.</t>
  </si>
  <si>
    <t>978-5-16-021949-3</t>
  </si>
  <si>
    <t>21.05.01, 26.05.05, 35.03.07, 35.03.10, 38.03.01, 38.03.03, 38.05.02, 41.03.06, 43.04.01, 45.03.01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</si>
  <si>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основным образовательным программам по направлениям подготовки бакалавриата (протокол № 1 от 12.01.2022)</t>
  </si>
  <si>
    <t>780316.07.01</t>
  </si>
  <si>
    <t>Культура речи и деловое общение: Уч.пос. / Н.Ю.Паудяль. - М.:НИЦ ИНФРА-М,2027. - 526 с.(СПО)(П)</t>
  </si>
  <si>
    <t>978-5-16-017750-2</t>
  </si>
  <si>
    <t>11.02.12, 32.02.01, 38.02.02, 38.02.07, 39.02.02, 40.02.02, 40.02.04, 42.02.01, 43.02.01, 51.02.03, 52.02.03, 52.02.04, 52.02.05</t>
  </si>
  <si>
    <t>Рекомендовано Межрегиональным учебно-методическим советом профессионального образования в качестве учебного пособия для студентов учреждений среднего профессионального образования, обучающихся по основным образовательным программам среднего профессионального образования  (протокол № 4 от 13.04.2022)</t>
  </si>
  <si>
    <t>009584.18.01</t>
  </si>
  <si>
    <t>Культура русской речи: Уч. для вузов / Граудина Л. К. - М.: Юр.Норма, НИЦ ИНФРА-М, 2020. - 560 с.(П)</t>
  </si>
  <si>
    <t>КУЛЬТУРА РУССКОЙ РЕЧИ, ИЗД.1</t>
  </si>
  <si>
    <t>Граудина Л. К., Виноградов С. И., Даниленко В. П., Карпинская Е. В.</t>
  </si>
  <si>
    <t>978-5-91768-547-2</t>
  </si>
  <si>
    <t>00.03.09, 00.05.09, 45.03.01, 45.03.02, 45.03.03, 45.03.04, 45.03.99, 46.03.01, 46.03.02, 46.03.03, 46.03.04, 47.03.01, 47.03.02, 47.03.03, 48.03.01, 49.03.01, 49.03.02, 49.03.03, 49.03.04</t>
  </si>
  <si>
    <t>Допущено Министерством образования и науки РФ в качестве учебника для студентов высших учебных заведений</t>
  </si>
  <si>
    <t>163550.05.01</t>
  </si>
  <si>
    <t>Культура управления соц.-полит. и эконом. процессами: Моногр. /В.В.Трошихин -М.:ИЦ РИОР, ИНФРА-М,2024-248с.(о)</t>
  </si>
  <si>
    <t>КУЛЬТУРА УПРАВЛЕНИЯ СОЦИАЛЬНО-ПОЛИТИЧЕСКИМИ И ЭКОНОМИЧЕСКИМИ ПРОЦЕССАМИ, ИЗД.1</t>
  </si>
  <si>
    <t>Трошихин В. В.</t>
  </si>
  <si>
    <t>978-5-369-00987-1</t>
  </si>
  <si>
    <t>789566.01.01</t>
  </si>
  <si>
    <t>Культура, конкуренция, прибыль: Моногр. / А.В.Ковров-М.:Магистр, НИЦ ИНФРА-М,2023.-296 с.(П)</t>
  </si>
  <si>
    <t>КУЛЬТУРА, КОНКУРЕНЦИЯ, ПРИБЫЛЬ, ИЗД.1</t>
  </si>
  <si>
    <t>Ковров А.В.</t>
  </si>
  <si>
    <t>978-5-9776-0548-9</t>
  </si>
  <si>
    <t>438600.13.01</t>
  </si>
  <si>
    <t>Культура. Религия. Толерантность..: Уч.пос. / О.Н.Сенюткина - 2 изд. - М.:НИЦ ИНФРА-М,2026 - 247 с.(ВО)(п)</t>
  </si>
  <si>
    <t>КУЛЬТУРА. РЕЛИГИЯ. ТОЛЕРАНТНОСТЬ. КУЛЬТУРОЛОГИЯ, ИЗД.2</t>
  </si>
  <si>
    <t>Сенюткина О.Н., Шиманская О.К., Паршаков А.С. и др.</t>
  </si>
  <si>
    <t>978-5-16-019846-0</t>
  </si>
  <si>
    <t>44.03.05, 51.03.01</t>
  </si>
  <si>
    <t>Допущено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51.03.01 «Культурология»</t>
  </si>
  <si>
    <t>862880.01.01</t>
  </si>
  <si>
    <t>Культурно-развлекат. и ивент-мероприятия в гостиницах... / И.С.Ключевская - М.:НИЦ ИНФРА-М,2026. - 195 с.(п)</t>
  </si>
  <si>
    <t>КУЛЬТУРНО-РАЗВЛЕКАТЕЛЬНЫЕ И ИВЕНТ-МЕРОПРИЯТИЯ В ГОСТИНИЦАХ: СОВРЕМЕННЫЙ ТРЕНД РАЗВИТИЯ СФЕРЫ ГОСТЕПРИИМСТВА, ИЗД.1</t>
  </si>
  <si>
    <t>978-5-16-021314-9</t>
  </si>
  <si>
    <t>43.03.02, 43.04.01, 43.04.03, 49.03.03</t>
  </si>
  <si>
    <t>232700.11.01</t>
  </si>
  <si>
    <t>Культурные традиции права: Моногр. / Г.В.Мальцев - М.:Юр.Норма, НИЦ ИНФРА-М,2026. - 608 с.(п)</t>
  </si>
  <si>
    <t>КУЛЬТУРНЫЕ ТРАДИЦИИ ПРАВА, ИЗД.1</t>
  </si>
  <si>
    <t>Мальцев Г. В.</t>
  </si>
  <si>
    <t>978-5-91768-423-9</t>
  </si>
  <si>
    <t>40.04.01, 46.04.01, 51.04.01</t>
  </si>
  <si>
    <t>669908.04.01</t>
  </si>
  <si>
    <t>Культурологическая маркиров. аллюзий в рамках худ..: Моногр. / А.М.Гарифуллина - 2 изд. - М.:НИЦ ИНФРА-М,2025 - 120 с.(о)</t>
  </si>
  <si>
    <t>КУЛЬТУРОЛОГИЧЕСКАЯ МАРКИРОВАННОСТЬ АЛЛЮЗИЙ В РАМКАХ ХУДОЖЕСТВЕННОГО ДИСКУРСА Д. ФАУЛЗА, ИЗД.2</t>
  </si>
  <si>
    <t>Гарифуллина А.М.</t>
  </si>
  <si>
    <t>978-5-16-014143-5</t>
  </si>
  <si>
    <t>45.03.01, 51.03.01</t>
  </si>
  <si>
    <t>651245.09.01</t>
  </si>
  <si>
    <t>Культурология: Уч. / А.М.Руденко - М.:ИЦ РИОР, НИЦ ИНФРА-М,2026 - 336 с.-(ВО)(П)</t>
  </si>
  <si>
    <t>КУЛЬТУРОЛОГИЯ, ИЗД.1</t>
  </si>
  <si>
    <t>Руденко А.М.</t>
  </si>
  <si>
    <t>978-5-369-01703-6</t>
  </si>
  <si>
    <t>00.03.05, 00.05.05</t>
  </si>
  <si>
    <t>082990.18.01</t>
  </si>
  <si>
    <t>Культурология: Уч. / В.В.Викторов - 2 изд. - М.:Вуз.уч.,НИЦ ИНФРА-М,2026 - 435 с.(ВО)(П)</t>
  </si>
  <si>
    <t>КУЛЬТУРОЛОГИЯ, ИЗД.2</t>
  </si>
  <si>
    <t>Викторов В.В.</t>
  </si>
  <si>
    <t>978-5-9558-0633-4</t>
  </si>
  <si>
    <t>Рекомендовано Научно-методическим советом по культурологии Министерства образования и науки РФ для высших учебных заведений в качестве учебника по дисциплине «Культурология»</t>
  </si>
  <si>
    <t>082990.11.01</t>
  </si>
  <si>
    <t>Культурология: Уч. / В.В.Викторов - М.:Вуз.уч.,НИЦ ИНФРА-М,2019 - 411 с.(Вузовский учебник)(П)</t>
  </si>
  <si>
    <t>978-5-9558-0459-0</t>
  </si>
  <si>
    <t>Рекомендовано Научно-методическим советом по культурологии Министерства образования и науки РФ для высших учебных заведений в качестве учебника по дисциплине «Культурология" блока ГСЭ Государственного образовательного стандарта</t>
  </si>
  <si>
    <t>206200.11.01</t>
  </si>
  <si>
    <t>Культурология: Уч. / О.Г.Данильян - 2 изд. - М.:НИЦ ИНФРА-М,2024 - 239 с.-(ВО)(п)</t>
  </si>
  <si>
    <t>Данильян О. Г., Тараненко В. М.</t>
  </si>
  <si>
    <t>978-5-16-019871-2</t>
  </si>
  <si>
    <t>Юридическая академия Украины им. Ярослава Мудрого</t>
  </si>
  <si>
    <t>144600.09.01</t>
  </si>
  <si>
    <t>Культурология: Уч. пос. / Д.А.Силичев - 5 изд. - М.:Вуз. уч., НИЦ ИНФРА-М,2024. - 393 с.(П)</t>
  </si>
  <si>
    <t>КУЛЬТУРОЛОГИЯ, ИЗД.5</t>
  </si>
  <si>
    <t>Силичев Д. А.</t>
  </si>
  <si>
    <t>978-5-9558-0460-6</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</si>
  <si>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(бакалавриат)»</t>
  </si>
  <si>
    <t>0511</t>
  </si>
  <si>
    <t>471650.07.01</t>
  </si>
  <si>
    <t>Культурология: Уч. пос. / Т.В.Попова - М.:, НИЦ ИНФРА-М,2026 - 256 с.(ВО)(П)</t>
  </si>
  <si>
    <t>Попова Т.В.</t>
  </si>
  <si>
    <t>978-5-16-021225-8</t>
  </si>
  <si>
    <t>010000.24.01</t>
  </si>
  <si>
    <t>Культурология: Уч.пос. / Ю.Я.Малюга - 2 изд. - М.:ИНФРА-М,2026 - 333с.(ВО)(п)</t>
  </si>
  <si>
    <t>Малюга Ю. Я.</t>
  </si>
  <si>
    <t>978-5-16-004270-1</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</si>
  <si>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38.03.03 «Управление персоналом», 40.03.01 «Юриспруденция» (квалификация (степень) «бакалавр»)</t>
  </si>
  <si>
    <t>0203</t>
  </si>
  <si>
    <t>696948.02.01</t>
  </si>
  <si>
    <t>Культурфилософская мысль в России ХХ - нач. XXI в.:Уч.пос. / Т.С.Злотникова-М.:НИЦ ИНФРА-М,2023-204с</t>
  </si>
  <si>
    <t>КУЛЬТУРФИЛОСОФСКАЯ МЫСЛЬ В РОССИИ ХХ - НАЧАЛА XXI ВЕКА: ЛИЦА,ШКОЛЫ, ИДЕИ, ИЗД.1</t>
  </si>
  <si>
    <t>Злотникова Т.С.</t>
  </si>
  <si>
    <t>978-5-16-014734-5</t>
  </si>
  <si>
    <t>Рекомендовано Учебно-методическим советом ВО в качестве учебного пособия для студентов высших учебных заведений, обучающихся по гуманитарным направлениям подготовки (квалификация (степень) «магистр»)</t>
  </si>
  <si>
    <t>Ярославский государственный педагогический университет им. К.Д. Ушинского</t>
  </si>
  <si>
    <t>802571.04.01</t>
  </si>
  <si>
    <t>Кумиры: от подражания к творчеству: Моногр. / В.К.Харченко - М.:НИЦ ИНФРА-М,2026. - 181 с.(Науч.мысль)(п)</t>
  </si>
  <si>
    <t>КУМИРЫ: ОТ ПОДРАЖАНИЯ К ТВОРЧЕСТВУ, ИЗД.1</t>
  </si>
  <si>
    <t>978-5-16-018482-1</t>
  </si>
  <si>
    <t>00.03.09, 00.05.09, 38.03.03, 38.04.03, 39.03.03, 39.04.03, 39.06.01</t>
  </si>
  <si>
    <t>376200.06.01</t>
  </si>
  <si>
    <t>Курс высшей матем. для экономистов: Уч. / под ред. Сагитова Р.В.-М.:НИЦ ИНФРА-М,2024.-647 с.(ВО)(п)</t>
  </si>
  <si>
    <t>КУРС ВЫСШЕЙ МАТЕМАТИКИ ДЛЯ ЭКОНОМИСТОВ, ИЗД.1</t>
  </si>
  <si>
    <t>Рудык Б.М., Бобрик Г.И., Гринцевичюс Р.К. и др.</t>
  </si>
  <si>
    <t>978-5-16-019153-9</t>
  </si>
  <si>
    <t>38.03.01, 38.03.02, 38.03.03, 38.03.04, 38.03.07</t>
  </si>
  <si>
    <t>Рекомендовано в качестве учебника для студентов высших учебных заведений, обучающихся по направлениям подготовки 38.03.01 «Экономика», 38.03.02 «Менеджмент», 38.03.03 «Управление персоналом», 38.03.04 «Государственное и муниципальное управление», 38.03.07 «Товароведение» (квалификация (степень) «бакалавр»)</t>
  </si>
  <si>
    <t>462150.08.01</t>
  </si>
  <si>
    <t>Курс инженерной геодезии: Уч. / Н.А.Буденков - 2 изд. - М.:Форум, НИЦ ИНФРА-М,2023 - 272 с.-(ВО)(П)</t>
  </si>
  <si>
    <t>КУРС ИНЖЕНЕРНОЙ ГЕОДЕЗИИ, ИЗД.2</t>
  </si>
  <si>
    <t>Буденков Н. А., Нехорошков П. А., Щекова О. Г.,</t>
  </si>
  <si>
    <t>978-5-91134-851-9</t>
  </si>
  <si>
    <t>07.03.01, 07.03.02, 07.03.03, 07.03.04, 08.03.01, 08.05.01, 08.05.02, 08.05.03, 21.03.02, 21.03.03, 21.04.02, 21.05.01</t>
  </si>
  <si>
    <t>682964.02.01</t>
  </si>
  <si>
    <t>Курс инженерной геодезии: Уч. / Н.А.Буденков - 2 изд. - М.:Форум,НИЦ ИНФРА-М,2023 - 272 с.(СПО)(П)</t>
  </si>
  <si>
    <t>Буденков Н.А., Нехорошков П.А., Щекова О.Г.</t>
  </si>
  <si>
    <t>978-5-00091-614-8</t>
  </si>
  <si>
    <t>07.02.01, 08.02.01, 08.02.02, 08.02.03, 08.02.04, 08.02.08, 08.02.09, 08.02.12, 08.02.13, 08.02.14, 13.02.04, 21.02.03, 21.02.11, 21.02.19, 23.02.08, 26.02.01, 35.01.19</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</si>
  <si>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35.02.01 «Лесное и лесопарковое хозяйство», 35.02.02 «Технология лесозаготовок»</t>
  </si>
  <si>
    <t>682964.07.01</t>
  </si>
  <si>
    <t>Курс инженерной геодезии: Уч. / Н.А.Буденков - 3 изд. - М.:Форум, НИЦ ИНФРА-М,2026. - 244 с.(СПО)(п)</t>
  </si>
  <si>
    <t>КУРС ИНЖЕНЕРНОЙ ГЕОДЕЗИИ, ИЗД.3</t>
  </si>
  <si>
    <t>978-5-00091-804-3</t>
  </si>
  <si>
    <t>462150.09.01</t>
  </si>
  <si>
    <t>Курс инженерной геодезии: Уч. / Н.А.Буденков - 3 изд. - М.:Форум, НИЦ ИНФРА-М,2027. - 244 с.(ВО)(п)</t>
  </si>
  <si>
    <t>Буденков Н.А., Нехорошков П.А., Щекова О.Г. и др.</t>
  </si>
  <si>
    <t>978-5-00091-732-9</t>
  </si>
  <si>
    <t>673677.02.01</t>
  </si>
  <si>
    <t>Курс мат. анализа для студентов-бакалавров...: Уч.пос. / Т.В.Волкова - М.:НИЦ ИНФРА-М,2023 - 268 с.(ВО)(П)</t>
  </si>
  <si>
    <t>КУРС МАТЕМАТИЧЕСКОГО АНАЛИЗА ДЛЯ СТУДЕНТОВ-БАКАЛАВРОВ ИНЖЕНЕРНЫХ ФАКУЛЬТЕТОВ, ИЗД.1</t>
  </si>
  <si>
    <t>Волкова Т.В.</t>
  </si>
  <si>
    <t>978-5-16-014950-9</t>
  </si>
  <si>
    <t>09.03.01, 09.03.02, 09.03.04, 11.03.02, 21.05.04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</si>
  <si>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инженерно-техническим направлениям подготовки (квалификация (степень) «бакалавр») (протокол № 11 от 09.11.2020)</t>
  </si>
  <si>
    <t>012761.32.01</t>
  </si>
  <si>
    <t>Курс микроэкономики: Уч. / Р.М.Нуреев - 3 изд. - М.:Юр.Норма, НИЦ ИНФРА-М,2027 - 624 с.(П)</t>
  </si>
  <si>
    <t>КУРС МИКРОЭКОНОМИКИ, ИЗД.3</t>
  </si>
  <si>
    <t>Нуреев Р. М.</t>
  </si>
  <si>
    <t>978-5-91768-450-5</t>
  </si>
  <si>
    <t>21.03.03, 21.05.01, 27.04.07, 38.03.01, 38.04.01, 38.05.01, 38.05.02, 40.03.01, 40.04.01, 41.03.01, 41.03.02, 41.03.05, 43.03.02, 44.03.01, 44.03.05</t>
  </si>
  <si>
    <t>256300.13.01</t>
  </si>
  <si>
    <t>Курс общей физики: Уч. / К.Б.Канн - М.:КУРС, НИЦ ИНФРА-М,2025 - 360 с.(П)</t>
  </si>
  <si>
    <t>КУРС ОБЩЕЙ ФИЗИКИ, ИЗД.1</t>
  </si>
  <si>
    <t>Канн К. Б.</t>
  </si>
  <si>
    <t>978-5-905554-47-6</t>
  </si>
  <si>
    <t>01.03.01, 01.03.02, 01.03.03, 01.03.04, 02.03.01, 02.03.02, 02.03.03, 03.03.02, 03.03.03, 04.03.01, 04.04.01, 05.03.01, 05.03.02, 05.03.03, 05.03.04, 05.03.05, 05.03.06, 06.03.01, 06.03.02</t>
  </si>
  <si>
    <t>Допущено Научно-методическим советом Министерства образования и науки Российской Федерации в качестве учебного пособия для студентов высших учебных заведений, обучающихся по естественным специальностям, для которых физика не является профилирующим пр</t>
  </si>
  <si>
    <t>085960.23.01</t>
  </si>
  <si>
    <t>Курс римского частного права: Уч. / Ч.Санфилиппо - М.: Юр.Норма, НИЦ ИНФРА-М, 2026 - 464 с.(П)</t>
  </si>
  <si>
    <t>КУРС РИМСКОГО ЧАСТНОГО ПРАВА, ИЗД.1</t>
  </si>
  <si>
    <t>Санфилиппо Ч., Дождев Д. В., Маханьков И. И.</t>
  </si>
  <si>
    <t>978-5-91768-994-4</t>
  </si>
  <si>
    <t>Московская высшая школа социальных и экономических наук</t>
  </si>
  <si>
    <t>383300.10.01</t>
  </si>
  <si>
    <t>Курс русской риторики: Уч.пос. / А.А.Волков - М.:НИЦ ИНФРА-М,2026. - 544 с.(ВО)(п)</t>
  </si>
  <si>
    <t>КУРС РУССКОЙ РИТОРИКИ, ИЗД.1</t>
  </si>
  <si>
    <t>Волков А.А.</t>
  </si>
  <si>
    <t>978-5-16-021623-2</t>
  </si>
  <si>
    <t>40.03.01, 42.03.01, 44.03.05, 45.03.01</t>
  </si>
  <si>
    <t>102850.11.01</t>
  </si>
  <si>
    <t>Курс уголовной политики в связи с уголовной социологией / С.К. Гогель. - М.: ИНФРА-М, 2026 - 386 с. (п)</t>
  </si>
  <si>
    <t>КУРС УГОЛОВНОЙ ПОЛИТИКИ В СВЯЗИ С УГОЛОВНОЙ СОЦИОЛОГИЕЙ, ИЗД.1</t>
  </si>
  <si>
    <t>Гогель С. К., Овчинский В. С., Федоров А. В.</t>
  </si>
  <si>
    <t>978-5-16-003500-0</t>
  </si>
  <si>
    <t>429800.09.01</t>
  </si>
  <si>
    <t>Курс физики: Уч. / В.Г.Хавруняк - М.:НИЦ ИНФРА-М,2025. - 400 с.(ВО: Бакалавриат)(п)</t>
  </si>
  <si>
    <t>КУРС ФИЗИКИ, ИЗД.1</t>
  </si>
  <si>
    <t>Хавруняк В. Г.</t>
  </si>
  <si>
    <t>978-5-16-006395-9</t>
  </si>
  <si>
    <t>09.03.01, 09.03.02, 09.03.03, 09.03.04, 10.03.01, 11.03.01, 11.03.02, 11.03.03, 11.03.04, 12.03.01, 12.03.02, 12.03.03, 12.03.04, 13.03.01, 13.03.02, 13.03.03, 14.03.01, 14.03.02, 16.03.01, 16.03.02, 16.03.03</t>
  </si>
  <si>
    <t>Допущено научно-методическим советом по физике Министерства образования и науки РФ в качестве учебного пособия для студентов высших учебных заведений, обучающихся по техническим направлениям подготовки и специальностям</t>
  </si>
  <si>
    <t>002938.23.01</t>
  </si>
  <si>
    <t>Курс экономики: Уч. / Под ред. Райзберга Б.А. - 5 изд. - М.:НИЦ ИНФРА-М,2026 - 686 с.(ВО)(п)</t>
  </si>
  <si>
    <t>КУРС ЭКОНОМИКИ, ИЗД.5</t>
  </si>
  <si>
    <t>Райзберг Б. А., Стародубцева Е. Б.</t>
  </si>
  <si>
    <t>978-5-16-019211-6</t>
  </si>
  <si>
    <t>00.03.13, 00.05.13, 38.03.01, 38.03.02, 38.03.03, 38.03.04, 38.03.05, 38.03.06, 38.03.07, 38.03.10, 38.04.01, 38.05.01, 38.05.02, 44.03.01, 44.03.04</t>
  </si>
  <si>
    <t>Рекомендуется в качестве учебника для студентов высших учебных заведений, обучающихся по экономическим и неэкономическим специальностям</t>
  </si>
  <si>
    <t>0508</t>
  </si>
  <si>
    <t>487650.07.01</t>
  </si>
  <si>
    <t>Курс эффект. грамматики англ. яз.: Уч.пос. / А.В. Афанасьев - М.: Форум: НИЦ ИНФРА-М, 2025 - 88 с.(о)</t>
  </si>
  <si>
    <t>КУРС ЭФФЕКТИВНОЙ ГРАММАТИКИ АНГЛИЙСКОГО ЯЗЫКА, ИЗД.1</t>
  </si>
  <si>
    <t>Афанасьев А.В.</t>
  </si>
  <si>
    <t>978-5-00091-030-6</t>
  </si>
  <si>
    <t>674273.04.01</t>
  </si>
  <si>
    <t>Курсовая работа в проф. образ. орг. СПО: Уч.мет.пос. / С.Н.Рыжиков - М.:НИЦ ИНФРА-М,2025. - 345 с.(П)</t>
  </si>
  <si>
    <t>КУРСОВАЯ РАБОТА В ПРОФЕССИОНАЛЬНОЙ ОБРАЗОВАТЕЛЬНОЙ ОРГАНИЗАЦИИ СПО, ИЗД.1</t>
  </si>
  <si>
    <t>978-5-16-014172-5</t>
  </si>
  <si>
    <t>38.02.01, 38.02.02, 38.02.03, 38.02.06, 38.02.07, 38.02.08, 43.02.11, 43.02.16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</si>
  <si>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38.02.00 «Экономика и управление, 43.02.00 «Сервис и туризм» (протокол № 5 от 16.03.2020)</t>
  </si>
  <si>
    <t>154360.15.01</t>
  </si>
  <si>
    <t>Курсовое и дипломное проектирование: Уч.пос. / Н.П.Молоканова - М.:Форум, НИЦ ИНФРА-М,2026. - 88 с.(СПО)(О)</t>
  </si>
  <si>
    <t>КУРСОВОЕ И ДИПЛОМНОЕ ПРОЕКТИРОВАНИЕ, ИЗД.1</t>
  </si>
  <si>
    <t>Молоканова Н.П.</t>
  </si>
  <si>
    <t>978-5-00091-606-3</t>
  </si>
  <si>
    <t>08.02.03, 15.01.26, 15.01.27, 15.01.35, 15.01.36, 15.01.38, 15.02.07, 15.02.16, 15.02.18, 39.02.01, 44.02.01, 44.02.02, 44.02.03, 44.02.04, 44.02.05, 44.02.06, 49.02.01, 49.02.02</t>
  </si>
  <si>
    <t>Допущено методическим советом Обнинского политехнического техникума в качестве учебного пособия для студентов образовательных учреждений среднего профессионального образования, обучающихся по специальности 15.02.07 «Автоматизация технологических процессов и производств»</t>
  </si>
  <si>
    <t>709046.05.01</t>
  </si>
  <si>
    <t>Курсовое проектир. деталей машин: Уч.пос. / С.А.Чернавский - 3 изд. - М.:НИЦ ИНФРА-М,2025. - 414 с/(ВО)(П)</t>
  </si>
  <si>
    <t>КУРСОВОЕ ПРОЕКТИРОВАНИЕ ДЕТАЛЕЙ МАШИН, ИЗД.3</t>
  </si>
  <si>
    <t>Чернавский С.А., Боков К.Н., Чернин И.М. и др.</t>
  </si>
  <si>
    <t>978-5-16-020740-7</t>
  </si>
  <si>
    <t>15.03.01, 15.03.02, 15.03.03, 15.03.04, 15.03.05, 15.03.06, 22.03.01, 22.03.02, 23.03.01, 23.03.02, 23.03.03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</si>
  <si>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специальностей и направлений 15.03.00 «Машиностроение», 22.03.00 «Технологии материалов», 23.03.00 «Техника и технологии наземного транспорта» (квалификация (степень) «бакалавр») (протокол № 5 от 11.03.2019)</t>
  </si>
  <si>
    <t>657059.04.01</t>
  </si>
  <si>
    <t>Курсовое проектир.по технологии машиностр.: Уч.пос. / И.В.Шрубченко - 3 изд. - М.:НИЦ ИНФРА-М,2025 - 244 с.(п)</t>
  </si>
  <si>
    <t>КУРСОВОЕ ПРОЕКТИРОВАНИЕ ПО ТЕХНОЛОГИИ МАШИНОСТРОЕНИЯ, ИЗД.3</t>
  </si>
  <si>
    <t>Шрубченко И.В., Погонин А.А., Афанасьев А.А.</t>
  </si>
  <si>
    <t>978-5-16-013617-2</t>
  </si>
  <si>
    <t>Допущено Министерством образования и науки Российской Федерации в качестве учебного пособия для студентов высших учебных заведений, обучающихся по специальности «Технология машиностроения» направления подготовки «Конструкторско-технологическое обеспечение машиностроительных производств»</t>
  </si>
  <si>
    <t>144550.13.01</t>
  </si>
  <si>
    <t>Курсовое проектирование деталей машин: Уч.пос. / С.А.Чернавский - 3 изд. - М.:НИЦ ИНФРА-М,2025 - 414 с.(П)</t>
  </si>
  <si>
    <t>Чернавский С.А., Боков К.Н., Чернин Е.И. и др.</t>
  </si>
  <si>
    <t>978-5-16-004336-4</t>
  </si>
  <si>
    <t>15.01.26, 15.01.27, 15.01.35, 15.01.36, 15.01.38, 55.02.01</t>
  </si>
  <si>
    <t>Допущено Министерством образования в качестве учебного пособия для учащихся машиностроительных специальностей средних технических учебных заведений</t>
  </si>
  <si>
    <t>809269.02.01</t>
  </si>
  <si>
    <t>Лабораторный прак. по агрономич. химии: Уч.пос. / Е.Н.Белоусова - М.:НИЦ ИНФРА-М,2027. - 259 с.(ВО (КрГАУ))(п)</t>
  </si>
  <si>
    <t>ЛАБОРАТОРНЫЙ ПРАКТИКУМ ПО АГРОНОМИЧЕСКОЙ ХИМИИ, ИЗД.1</t>
  </si>
  <si>
    <t>978-5-16-019397-7</t>
  </si>
  <si>
    <t>35.03.04, 44.03.04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</si>
  <si>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межвузовского использования в качестве учебного пособия для студентов, обучающихся по направлению 44.03.04 «Профессиональное обучение (по отраслям)», направленность «Агрономия»</t>
  </si>
  <si>
    <t>049530.16.01</t>
  </si>
  <si>
    <t>Лабораторный прак. по бух. учету: Уч.пос. / Л.В.Пономарева, - 5 изд.-М.:Вуз. уч., НИЦ ИНФРА-М,2022-228с(П)</t>
  </si>
  <si>
    <t>ЛАБОРАТОРНЫЙ ПРАКТИКУМ ПО БУХГАЛТЕРСКОМУ УЧЕТУ (СКВОЗНАЯ ЗАДАЧА), ИЗД.5</t>
  </si>
  <si>
    <t>978-5-9558-0407-1</t>
  </si>
  <si>
    <t>Рекомендуется в качестве учебного пособия для студентов высших учебных заведений, обучающихся по направлению подготовки 38.03.01 «Экономика» (уровень подготовки — бакалавр)</t>
  </si>
  <si>
    <t>648905.03.01</t>
  </si>
  <si>
    <t>Лабораторный прак.по инженер.дисцип...: Уч.пос. / А.А.Дорофеев-М.:ИЦ РИОР, НИЦ ИНФРА-М,2024-302с.(ВО) (П)</t>
  </si>
  <si>
    <t>ЛАБОРАТОРНЫЙ ПРАКТИКУМ ПО ИНЖЕНЕРНЫМ ДИСЦИПЛИНАМ: ДИДАКТИКА И МЕТОДИКА, ИЗД.1</t>
  </si>
  <si>
    <t>Дорофеев А.А.</t>
  </si>
  <si>
    <t>978-5-369-01668-8</t>
  </si>
  <si>
    <t>37.03.01, 44.04.01, 44.04.02</t>
  </si>
  <si>
    <t>337400.04.01</t>
  </si>
  <si>
    <t>Лабораторный практ. по бух. учету и фин.анализу: Уч.пос. /Л.В.Пономарева - М.:Вуз.уч., НИЦ ИНФРА-М, 2022-287с(П)</t>
  </si>
  <si>
    <t>ЛАБОРАТОРНЫЙ ПРАКТИКУМ  ПО БУХГАЛТЕРСКОМУ УЧЕТУ И ФИНАНСОВОМУ АНАЛИЗУ (СКВОЗНАЯ ЗАДАЧА), ИЗД.1</t>
  </si>
  <si>
    <t>978-5-9558-0420-0</t>
  </si>
  <si>
    <t>049530.18.01</t>
  </si>
  <si>
    <t>Лабораторный практ. по бух. учету..: Уч.пос. / Л.В.Пономарева, - 5 изд. - М.:НИЦ ИНФРА-М,2026. - 228 с.(ВО)(о)</t>
  </si>
  <si>
    <t>978-5-16-021315-6</t>
  </si>
  <si>
    <t>039720.14.01</t>
  </si>
  <si>
    <t>Лабораторный практикум по экологии: Уч. пос. / Н.А.Голубкина, - 4 изд. - М.:Форум, НИЦ ИНФРА-М,2025. - 97 с.(О)</t>
  </si>
  <si>
    <t>ЛАБОРАТОРНЫЙ ПРАКТИКУМ ПО ЭКОЛОГИИ, ИЗД.4</t>
  </si>
  <si>
    <t>Голубкина Н. А., Лосева Т. А.</t>
  </si>
  <si>
    <t>978-5-00091-411-3</t>
  </si>
  <si>
    <t>00.02.37, 27.02.03</t>
  </si>
  <si>
    <t>Допущено Министерством образования РФ в качестве учебного пособия для студентов учреждений среднего профессионального образования</t>
  </si>
  <si>
    <t>831740.01.01</t>
  </si>
  <si>
    <t>Лагонакское нагорье: Моногр. / Ю.В.Ефремов и др. - М.:НИЦ ИНФРА-М,2024 - 181 с.(Науч.мысль)(о)</t>
  </si>
  <si>
    <t>ЛАГОНАКСКОЕ НАГОРЬЕ, ИЗД.1</t>
  </si>
  <si>
    <t>Ефремов Ю.В., Остапенко А.А., Крицкая О.Ю.</t>
  </si>
  <si>
    <t>978-5-16-020244-0</t>
  </si>
  <si>
    <t>05.02.02, 05.03.01</t>
  </si>
  <si>
    <t>684813.07.01</t>
  </si>
  <si>
    <t>Ландшафтная архитектура и дизайн...: Уч.пос. / Г.А.Потаев - М, НИЦ ИНФРА-М,2026 - 368 с.(П)</t>
  </si>
  <si>
    <t>ЛАНДШАФТНАЯ АРХИТЕКТУРА И ДИЗАЙН: ТРАДИЦИИ И ИННОВАЦИИ, ИЗД.1</t>
  </si>
  <si>
    <t>978-5-16-021441-2</t>
  </si>
  <si>
    <t>35.02.12, 43.01.11, 54.01.01, 54.01.06, 54.01.12, 54.01.20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</si>
  <si>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35.02.12 «Садово-парковое и ландшафтное строительство»</t>
  </si>
  <si>
    <t>137550.12.01</t>
  </si>
  <si>
    <t>Ландшафтная архитектура с осн.проектир.: Уч.пос./В.С.Теодоронский-2изд.-Форум,НИЦ ИНФРА-М,2022-304с.</t>
  </si>
  <si>
    <t>ЛАНДШАФТНАЯ АРХИТЕКТУРА С ОСНОВАМИ ПРОЕКТИРОВАНИЯ, ИЗД.2</t>
  </si>
  <si>
    <t>Теодоронский В.С., Боговая И.О.</t>
  </si>
  <si>
    <t>978-5-00091-463-2</t>
  </si>
  <si>
    <t>35.02.12, 35.03.10, 35.04.09</t>
  </si>
  <si>
    <t>Рекомендовано в качестве учебного пособия для студентов высших учебных заведений, обучающихся по направлению подготовки «Ландшафтная архитектура» (35.03.10 — бакалавриат и 35.04.09 — магистратура)</t>
  </si>
  <si>
    <t>682965.03.01</t>
  </si>
  <si>
    <t>Ландшафтная архитектура с основами проектир.: Уч.пос. / В.С.Теодоронский - 2 изд.-М.:Форум, НИЦ ИНФРА-М,2022-304с(П)</t>
  </si>
  <si>
    <t>978-5-00091-579-0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</si>
  <si>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35.02.12 "Садово-парковое и ландшафтное строительство" (протокол № 6 от 06.04.2020)</t>
  </si>
  <si>
    <t>682965.07.01</t>
  </si>
  <si>
    <t>Ландшафтная архитектура с основами проектир.: Уч.пос. / В.С.Теодоронский - 3 изд. - М.:НИЦ ИНФРА-М,2026 - 389 с.(СПО)(п)</t>
  </si>
  <si>
    <t>ЛАНДШАФТНАЯ АРХИТЕКТУРА С ОСНОВАМИ ПРОЕКТИРОВАНИЯ, ИЗД.3</t>
  </si>
  <si>
    <t>978-5-16-019018-1</t>
  </si>
  <si>
    <t>137550.17.01</t>
  </si>
  <si>
    <t>Ландшафтная архитектура: теор.и прак.: Уч.пос. / В.С.Теодоронский - 3 изд. - М.:НИЦ ИНФРА-М,2026 - 389 с.(ВО)(п)</t>
  </si>
  <si>
    <t>ЛАНДШАФТНАЯ АРХИТЕКТУРА: ТЕОРИЯ И ПРАКТИКА, ИЗД.3</t>
  </si>
  <si>
    <t>Теодоронский В.С., Боговая И.О., Теодоронский В.С.</t>
  </si>
  <si>
    <t>978-5-16-019986-3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</si>
  <si>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35.03.10 «Ландшафтная архитектура» (квалификация (степень) «бакалавр») (протокол № 6 от 16.06.2021)</t>
  </si>
  <si>
    <t>682966.11.01</t>
  </si>
  <si>
    <t>Ландшафтное проектирование: Уч.пос. / Ю.В.Разумовский - 2 изд. - М.:НИЦ ИНФРА-М,2026. - 140 с.(СПО)(П)</t>
  </si>
  <si>
    <t>ЛАНДШАФТНОЕ ПРОЕКТИРОВАНИЕ, ИЗД.2</t>
  </si>
  <si>
    <t>Разумовский Ю.В., Фурсова Л.М., Теодоронский В.С.</t>
  </si>
  <si>
    <t>978-5-16-016772-5</t>
  </si>
  <si>
    <t>180600.13.01</t>
  </si>
  <si>
    <t>Ландшафтное проектирование: Уч.пос. / Ю.В.Разумовский - 2 изд. - М.:НИЦ ИНФРА-М,2026. - 140 с.:цв.ил.(ВО)(п)</t>
  </si>
  <si>
    <t>978-5-16-018549-1</t>
  </si>
  <si>
    <t>35.03.10, 35.04.09</t>
  </si>
  <si>
    <t>Рекомендовано Учебно-методическим объединением по образованию в области лесного дела в качестве учебного пособия для студентов вузов, обучающихся по направлению подготовки «Ландшафтная архитектура»</t>
  </si>
  <si>
    <t>813399.02.01</t>
  </si>
  <si>
    <t>Ландшафтные конструкции: Уч.пос. / И.А.Шадрин - М.:НИЦ ИНФРА-М,2027. - 156 с.(ВО (КрГАУ))(п)</t>
  </si>
  <si>
    <t>ЛАНДШАФТНЫЕ КОНСТРУКЦИИ, ИЗД.1</t>
  </si>
  <si>
    <t>Шадрин И.А., Фомина Н.В.</t>
  </si>
  <si>
    <t>978-5-16-019758-6</t>
  </si>
  <si>
    <t>35.03.10</t>
  </si>
  <si>
    <t>416100.14.01</t>
  </si>
  <si>
    <t>Ландшафтоведение: Уч. / Н.Ф.Ганжара - 2 изд. - М.:НИЦ ИНФРА-М,2026 - 240 с.(ВО)(П)</t>
  </si>
  <si>
    <t>ЛАНДШАФТОВЕДЕНИЕ, ИЗД.2</t>
  </si>
  <si>
    <t>Ганжара Н.Ф., Борисов Б.А., Байбеков Р.Ф.</t>
  </si>
  <si>
    <t>978-5-16-020856-5</t>
  </si>
  <si>
    <t>35.03.03, 35.03.05, 35.03.10</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</si>
  <si>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направлениям 110100 «Агрохимия и агропочвоведение», 110400 «Агрономия», 110500 «Садоводство»</t>
  </si>
  <si>
    <t>733187.02.01</t>
  </si>
  <si>
    <t>Латиноамериканские модели орг. и функционир. органов... / А.А. Соловьёв - М.: ИНФРА-М, 2022 - 187 с(О)</t>
  </si>
  <si>
    <t>ЛАТИНОАМЕРИКАНСКИЕ МОДЕЛИ ОРГАНИЗАЦИИ И ФУНКЦИОНИРОВАНИЯ ОРГАНОВ СУДЕЙСКОГО СООБЩЕСТВА. АРГЕНТИНСКАЯ РЕСПУБЛИКА И МЕКСИКАНСКИЕ СОЕДИНЕННЫЕ ШТАТЫ, ИЗД.1</t>
  </si>
  <si>
    <t>978-5-16-016083-2</t>
  </si>
  <si>
    <t>842430.01.01</t>
  </si>
  <si>
    <t>Латинский язык и основы проф. терминологии: Уч.пос. / Е.А.Грудева - М.:НИЦ ИНФРА-М,2025. - 194 с.(СПО)(п)</t>
  </si>
  <si>
    <t>ЛАТИНСКИЙ ЯЗЫК И ОСНОВЫ ПРОФЕССИОНАЛЬНОЙ ТЕРМИНОЛОГИИ, ИЗД.1</t>
  </si>
  <si>
    <t>Грудева Е.А.</t>
  </si>
  <si>
    <t>978-5-16-020387-4</t>
  </si>
  <si>
    <t>36.02.01</t>
  </si>
  <si>
    <t>813148.02.01</t>
  </si>
  <si>
    <t>Латинский язык и основы проф. терминологии: Уч.пос. / Е.А.Грудева-М.:НИЦ ИНФРА-М,2024.-223 с.(ВО)(п)</t>
  </si>
  <si>
    <t>978-5-16-019364-9</t>
  </si>
  <si>
    <t>143400.12.01</t>
  </si>
  <si>
    <t>Латинский язык: Уч. / Н.А. Гончарова - 5 изд. - М.: ИНФРА-М, 2026 - 408 с. (ВО) (п)</t>
  </si>
  <si>
    <t>ЛАТИНСКИЙ ЯЗЫК, ИЗД.5</t>
  </si>
  <si>
    <t>Гончарова Н. А.</t>
  </si>
  <si>
    <t>978-5-16-018669-6</t>
  </si>
  <si>
    <t>40.03.01, 40.04.01, 44.03.01, 44.03.05</t>
  </si>
  <si>
    <t>Утверждено Министерстовм образования Республики Беларусь в качестве учебника для студентов гуманитарных специальностей высших учебных заведений</t>
  </si>
  <si>
    <t>692963.07.01</t>
  </si>
  <si>
    <t>Латинский язык: Уч. для бакалавр. / Л.А.Брусенская. - М.:Юр.Норма, НИЦ ИНФРА-М,2025. - 288 с.(П)</t>
  </si>
  <si>
    <t>ЛАТИНСКИЙ ЯЗЫК, ИЗД.1</t>
  </si>
  <si>
    <t>Брусенская Л.А., Куликова Э.Г., Беляева И.В.</t>
  </si>
  <si>
    <t>978-5-91768-961-6</t>
  </si>
  <si>
    <t>234700.06.01</t>
  </si>
  <si>
    <t>Латуни: от фазового строения к структуре и свойствам: Моногр. / Б.Н.Ефремов - М.: ИНФРА-М, 2026 - 314 с.(П)</t>
  </si>
  <si>
    <t>ЛАТУНИ: ОТ ФАЗОВОГО СТРОЕНИЯ К СТРУКТУРЕ И СВОЙСТВАМ, ИЗД.1</t>
  </si>
  <si>
    <t>Ефремов Б. Н.</t>
  </si>
  <si>
    <t>978-5-16-009138-9</t>
  </si>
  <si>
    <t>714990.04.01</t>
  </si>
  <si>
    <t>Лев Толстой и его современники: Энц. Вып.4 / Г.В.Алексеева. - М.:НИЦ ИНФРА-М,2026. - 726 с.(п)</t>
  </si>
  <si>
    <t>ЛЕВ ТОЛСТОЙ И ЕГО СОВРЕМЕННИКИ, ИЗД.1</t>
  </si>
  <si>
    <t>Алексеева Г.В., Алексеева О.В., Аленина А.А. и др.</t>
  </si>
  <si>
    <t>978-5-16-016106-8</t>
  </si>
  <si>
    <t>45.03.01, 45.04.01, 45.06.01</t>
  </si>
  <si>
    <t>360100.13.01</t>
  </si>
  <si>
    <t>Лекарственные и эфирномасличные растения: Уч. / Е.Л.Маланкина - М.:НИЦ ИНФРА-М,2026. - 368 с.(ВО)(п)</t>
  </si>
  <si>
    <t>ЛЕКАРСТВЕННЫЕ И ЭФИРНОМАСЛИЧНЫЕ РАСТЕНИЯ, ИЗД.1</t>
  </si>
  <si>
    <t>МаланкинаЕ.Л., ЦицилинА.Н.</t>
  </si>
  <si>
    <t>978-5-16-018929-1</t>
  </si>
  <si>
    <t>Допущено УМО вузов РФ по агрономическому образованию в качестве учебника для подготовки бакалавров, обучающихся по направлению подготовки 35.03.05 «Садоводство»</t>
  </si>
  <si>
    <t>482250.12.01</t>
  </si>
  <si>
    <t>Лекарственные растения в декор. садоводстве: Уч.пос. / Е.Л.Маланкина - М.:НИЦ ИНФРА-М,2026 - 240 с.(ВО)(П)</t>
  </si>
  <si>
    <t>ЛЕКАРСТВЕННЫЕ РАСТЕНИЯ В ДЕКОРАТИВНОМ САДОВОДСТВЕ, ИЗД.1</t>
  </si>
  <si>
    <t>Маланкина Е.Л.</t>
  </si>
  <si>
    <t>978-5-16-010449-2</t>
  </si>
  <si>
    <t>Допущено УМО вузов РФ по  агрономическому образованию в качестве учебного пособия для подготовки бакалавров, обучающихся по направлению 35.03.05 «Садоводство» (квалификация (степень) «бакалавр»)</t>
  </si>
  <si>
    <t>685010.07.01</t>
  </si>
  <si>
    <t>Лекарственные растения в декор. садоводстве: Уч.пос. / Е.Л.Маланкина - М.:НИЦ ИНФРА-М,2026-240 с.(СПО)(П)</t>
  </si>
  <si>
    <t>978-5-16-014163-3</t>
  </si>
  <si>
    <t>35.01.19, 35.02.12</t>
  </si>
  <si>
    <t>846327.04.01</t>
  </si>
  <si>
    <t>Лекарственные растения в декоративном садоводстве / Е.Л.Маланкина - М.:НИЦ ИНФРА-М,2025. - 240 с.(п)</t>
  </si>
  <si>
    <t>978-5-16-020493-2</t>
  </si>
  <si>
    <t>35.01.19, 35.02.05, 35.02.12</t>
  </si>
  <si>
    <t>656314.04.01</t>
  </si>
  <si>
    <t>Лексикологический синтез докум.в комп.информ.сист.: Моногр. / Б.В.Черников-М.:ИД ФОРУМ,2023-336с(П)</t>
  </si>
  <si>
    <t>ЛЕКСИКОЛОГИЧЕСКИЙ СИНТЕЗ ДОКУМЕНТОВ В КОМПЛЕКСАХ ИНФОРМАЦИОННЫХ СИСТЕМ, ИЗД.1</t>
  </si>
  <si>
    <t>978-5-8199-0682-8</t>
  </si>
  <si>
    <t>10.02.01, 10.05.05, 26.04.01, 29.03.02, 38.04.02, 46.04.02</t>
  </si>
  <si>
    <t>861394.01.01</t>
  </si>
  <si>
    <t>Лексикология (англ. яз.): Уч.мет.пос. / Н.О.Кузнецова - М.:НИЦ ИНФРА-М, СФУ,2026  - 129 с.(ВО (СФУ))(п)</t>
  </si>
  <si>
    <t>ЛЕКСИКОЛОГИЯ (АНГЛИЙСКИЙ ЯЗЫК), ИЗД.1</t>
  </si>
  <si>
    <t>Кузнецова Н.О.</t>
  </si>
  <si>
    <t>978-5-16-021395-8</t>
  </si>
  <si>
    <t>44.03.05, 45.05.01, 52.05.04</t>
  </si>
  <si>
    <t>221500.06.01</t>
  </si>
  <si>
    <t>Лексическая репрезент. фрейма "внимание": Моногр. / О.Н.Прохорова - М.:НИЦ ИНФРА-М,2023-108с(о)</t>
  </si>
  <si>
    <t>ЛЕКСИЧЕСКАЯ РЕПРЕЗЕНТАЦИЯ ФРЕЙМА "ВНИМАНИЕ": СЕМАНТИЧЕСКИЙ АСПЕКТ, ИЗД.1</t>
  </si>
  <si>
    <t>Прохорова О.Н., Чекулай И.В., Багана Ж. и др.</t>
  </si>
  <si>
    <t>978-5-16-008973-7</t>
  </si>
  <si>
    <t>40.03.01, 44.03.01, 44.03.05, 45.03.01, 45.04.01</t>
  </si>
  <si>
    <t>653170.11.01</t>
  </si>
  <si>
    <t>Лекторское мастерство: Уч.пос. / А.К.Михальская - М.:НИЦ ИНФРА-М,2026 - 172 с.(ВО)(П)</t>
  </si>
  <si>
    <t>ЛЕКТОРСКОЕ МАСТЕРСТВО, ИЗД.1</t>
  </si>
  <si>
    <t>Михальская А.К.</t>
  </si>
  <si>
    <t>978-5-16-021569-3</t>
  </si>
  <si>
    <t>37.03.01, 39.04.02, 41.03.06, 44.03.01, 44.03.05, 44.04.01, 45.04.02</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</si>
  <si>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44.03.04 «Профессиональное обучение (по отраслям)» (квалификация (степень) «магистр»)</t>
  </si>
  <si>
    <t>Школа профессора Михальской</t>
  </si>
  <si>
    <t>795900.03.01</t>
  </si>
  <si>
    <t>Лекции о почвоведении. Избранные труды: Моногр. / В.В.Докучаев - М.:НИЦ ИНФРА-М,2026. - 495 с.(п)</t>
  </si>
  <si>
    <t>ЛЕКЦИИ О ПОЧВОВЕДЕНИИ. ИЗБРАННЫЕ ТРУДЫ, ИЗД.1</t>
  </si>
  <si>
    <t>Докучаев В.В.</t>
  </si>
  <si>
    <t>978-5-16-018145-5</t>
  </si>
  <si>
    <t>05.03.04, 05.03.06, 06.03.01, 06.03.02, 20.03.02, 21.03.02, 35.03.01, 35.03.05, 35.03.10, 35.06.01</t>
  </si>
  <si>
    <t>179850.07.01</t>
  </si>
  <si>
    <t>Лекции по дискретной матем.: Уч.пос. / В.Б.Алексеев - М.:НИЦ ИНФРА-М,2020 - 90с.(ВО: Бакалавр.)(О)</t>
  </si>
  <si>
    <t>ЛЕКЦИИ ПО ДИСКРЕТНОЙ МАТЕМАТИКЕ, ИЗД.1</t>
  </si>
  <si>
    <t>Алексеев В. Б.</t>
  </si>
  <si>
    <t>978-5-16-005559-6</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</si>
  <si>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направлениям ВО 01.03.02 «Прикладная математика и информатика» и 02.03.02 «Фундаментальная информатика и информационные технологии»</t>
  </si>
  <si>
    <t>475600.08.01</t>
  </si>
  <si>
    <t>Лекции по криминологии: Уч.пос. / В.Н.Кудрявцев - М.:Юр.Норма,НИЦ ИНФРА-М,2026 - 188 с.(П)</t>
  </si>
  <si>
    <t>ЛЕКЦИИ ПО КРИМИНОЛОГИИ, ИЗД.1</t>
  </si>
  <si>
    <t>978-5-91768-706-3</t>
  </si>
  <si>
    <t>798670.02.01</t>
  </si>
  <si>
    <t>Лекции по социальной философии: лекции - М.:Юр. НОРМА, НИЦ ИНФРА-М,2026. - 392 с.(п)</t>
  </si>
  <si>
    <t>ЛЕКЦИИ ПО СОЦИАЛЬНОЙ ФИЛОСОФИИ, ИЗД.1</t>
  </si>
  <si>
    <t>978-5-00156-288-7</t>
  </si>
  <si>
    <t>Лекции</t>
  </si>
  <si>
    <t>39.03.01, 47.03.01</t>
  </si>
  <si>
    <t>222200.09.01</t>
  </si>
  <si>
    <t>Лекции по численным методам матем. физики: Уч. пос./М.В. Абакумов - М.: НИЦ ИНФРА-М, 2024-158с.(ВО) (о)</t>
  </si>
  <si>
    <t>ЛЕКЦИИ ПО ЧИСЛЕННЫМ МЕТОДАМ МАТЕМАТИЧЕСКОЙ ФИЗИКИ, ИЗД.1</t>
  </si>
  <si>
    <t>Абакумов М. В., Гулин А. В.</t>
  </si>
  <si>
    <t>978-5-16-006108-5</t>
  </si>
  <si>
    <t>01.03.01, 01.03.02, 01.03.04, 02.03.03, 03.03.01, 03.03.02, 03.04.01, 04.03.02, 04.04.01</t>
  </si>
  <si>
    <t>797759.03.01</t>
  </si>
  <si>
    <t>Лесные культуры: Уч.пос. / Н.В.Фомина - М.:НИЦ ИНФРА-М,2026 - 277 с.(ВО (КрГАУ))(п)</t>
  </si>
  <si>
    <t>ЛЕСНЫЕ КУЛЬТУРЫ, ИЗД.1</t>
  </si>
  <si>
    <t>Фомина Н.В.</t>
  </si>
  <si>
    <t>978-5-16-018415-9</t>
  </si>
  <si>
    <t>35.03.01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</si>
  <si>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35.03.10 «Ландшафтная архитектура»</t>
  </si>
  <si>
    <t>635706.10.01</t>
  </si>
  <si>
    <t>Лесоведение: Уч. / А.С.Тихонов - М.:НИЦ ИНФРА-М,2026 - 348 с.(ВО)(П)</t>
  </si>
  <si>
    <t>ЛЕСОВЕДЕНИЕ, ИЗД.1</t>
  </si>
  <si>
    <t>978-5-16-012125-3</t>
  </si>
  <si>
    <t>20.03.02, 20.04.02, 35.03.01, 35.04.01</t>
  </si>
  <si>
    <t>Рекомендовано в качестве учебника для студентов высших учебных заведений, обучающихся по направлениям подготовки 35.03.01 «Лесное дело» (квалификация (степень) «бакалавр»); 35.04.01 «Лесное дело» (квалификация (степень) «магистр»)</t>
  </si>
  <si>
    <t>728700.04.01</t>
  </si>
  <si>
    <t>Лесоведение: Уч. / А.С.Тихонов - М.:НИЦ ИНФРА-М,2026 - 348 с.(СПО)(П)</t>
  </si>
  <si>
    <t>978-5-16-015897-6</t>
  </si>
  <si>
    <t>15.01.08, 35.01.01, 35.01.05, 35.01.25, 35.01.30, 35.02.01, 35.02.02, 35.02.14, 35.02.18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</si>
  <si>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35.02.01 «Лесное и лесопарковое хозяйство», 35.02.02 «Технология лесозаготовок» (протокол № 13 от 16.09.2019)</t>
  </si>
  <si>
    <t>705307.02.01</t>
  </si>
  <si>
    <t>Лесозаготовительное производство...: Уч.пос. / С.В.Фокин-М.:НИЦ ИНФРА-М,2022.-280 с.(ВО)(П)</t>
  </si>
  <si>
    <t>ЛЕСОЗАГОТОВИТЕЛЬНОЕ ПРОИЗВОДСТВО: ТЕХНОЛОГИИ И ОБОРУДОВАНИЕ, ИЗД.1</t>
  </si>
  <si>
    <t>978-5-16-015827-3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</si>
  <si>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35.03.01 «Лесное дело» (квалификация (степень) «бакалавр») (протокол № 6 от 16.06.2021)</t>
  </si>
  <si>
    <t>770564.05.01</t>
  </si>
  <si>
    <t>Лесозаготовительное производство: технологии...: Уч.пос. / С.В.Фокин - М.:НИЦ ИНФРА-М,2026 - 280 с.(СПО)(П)</t>
  </si>
  <si>
    <t>978-5-16-017389-4</t>
  </si>
  <si>
    <t>15.01.08, 35.01.01, 35.01.05, 35.01.25, 35.01.28, 35.01.30, 35.02.01, 35.02.02, 35.02.18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</si>
  <si>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35.02.02 «Технология лесозаготовок» (протокол № 5 от 19.05.2021)</t>
  </si>
  <si>
    <t>757077.02.01</t>
  </si>
  <si>
    <t>Лесопильно-деревообрабат.производ. лесозаготовит..: Уч.пос. / В.А.Азаренок - 2 изд. - М.:НИЦ ИНФРА-М,2026 - 601 с.(П)</t>
  </si>
  <si>
    <t>ЛЕСОПИЛЬНО-ДЕРЕВООБРАБАТЫВАЮЩИЕ ПРОИЗВОДСТВА ЛЕСОЗАГОТОВИТЕЛЬНЫХ ПРЕДПРИЯТИЙ, ИЗД.2</t>
  </si>
  <si>
    <t>Азаренок В.А., Кошелева Н.А., Меньшиков Б.Е.</t>
  </si>
  <si>
    <t>978-5-16-017400-6</t>
  </si>
  <si>
    <t>Рекомендовано УМО по образованию в области лесного дела в качестве учебного пособия для студентов высших учебных заведений, обучающихся по направлениям подготовки бакалавров и магистров 35.03.02, 35.04.02 «Технология лесозаготовительных и деревоперерабатывающих производств»</t>
  </si>
  <si>
    <t>717628.08.01</t>
  </si>
  <si>
    <t>Лечебная физ. культ. при заболев. людей пожилого..: Уч.пос. / Т.В.Карасева - М.:НИЦ ИНФРА-М,2026. - 219 с.(ВО)(П)</t>
  </si>
  <si>
    <t>ЛЕЧЕБНАЯ ФИЗИЧЕСКАЯ КУЛЬТУРА ПРИ ЗАБОЛЕВАНИЯХ ЛЮДЕЙ ПОЖИЛОГО ВОЗРАСТА, ИЗД.1</t>
  </si>
  <si>
    <t>Карасева Т.В., Махов А.С., Замогильнов А.И. и др.</t>
  </si>
  <si>
    <t>978-5-16-018569-9</t>
  </si>
  <si>
    <t>49.03.01, 49.03.02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</si>
  <si>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49.03.01 «Физическая культура», 49.03.02 «Физическая культура для лиц с отклонениями в состоянии здоровья (адаптивная физическая культура)» (квалификация (степень) «бакалавр») (протокол № 8 от 22.06.2020)</t>
  </si>
  <si>
    <t>717627.08.01</t>
  </si>
  <si>
    <t>Лечебная физ. культ. при заболеваниях дет. возраста: Уч.пос. / Т.В.Карасева. - М.:НИЦ ИНФРА-М,2027 - 223 с.(П)</t>
  </si>
  <si>
    <t>ЛЕЧЕБНАЯ ФИЗИЧЕСКАЯ КУЛЬТУРА ПРИ ЗАБОЛЕВАНИЯХ ДЕТСКОГО ВОЗРАСТА, ИЗД.1</t>
  </si>
  <si>
    <t>978-5-16-019328-1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</si>
  <si>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49.03.02 «Физическая культура для лиц с отклонениями в состоянии здоровья (адаптивная физическая культура)» (квалификация (степень) «бакалавр») (протокол № 8 от 22.06.2020)</t>
  </si>
  <si>
    <t>758397.08.01</t>
  </si>
  <si>
    <t>Лечебная физ. культ. при заболеваниях людей...: Уч.пос. / Т.В.Карасева. - М.:НИЦ ИНФРА-М,2027. - 219 с(П)</t>
  </si>
  <si>
    <t>978-5-16-016983-5</t>
  </si>
  <si>
    <t>31.02.01, 49.02.01, 49.02.02, 49.02.03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</si>
  <si>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49.02.01 «Физическая культура», 49.02.02 «Адаптивная физическая культура», 31.02.01 «Лечебное дело» (протокол № 12 от 14.12.2020)</t>
  </si>
  <si>
    <t>717630.07.01</t>
  </si>
  <si>
    <t>Лечебная физ. культ. при заболеваниях нерв. сис.: Уч.пос. / Т.В.Карасева. - М.:НИЦ ИНФРА-М,2027. - 164 с.(П)</t>
  </si>
  <si>
    <t>ЛЕЧЕБНАЯ ФИЗИЧЕСКАЯ КУЛЬТУРА ПРИ ЗАБОЛЕВАНИЯХ НЕРВНОЙ СИСТЕМЫ, ИЗД.1</t>
  </si>
  <si>
    <t>Карасева Т.В., Махов А.С., Толстова С.Ю.</t>
  </si>
  <si>
    <t>978-5-16-015591-3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</si>
  <si>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49.03.01 «Физическая культура», 49.03.02 «Физическая культура для лиц с отклонениями в состоянии здоровья (адаптивная физическая культура)» (квалификация (степень) «бакалавр») (протокол №9 от 28.09.2020)</t>
  </si>
  <si>
    <t>758402.06.01</t>
  </si>
  <si>
    <t>Лечебная физ. культ. при заболеваниях нервной сис.: Уч.пос. / Т.В.Карасева - М.:НИЦ ИНФРА-М,2025 - 164 с.(П)</t>
  </si>
  <si>
    <t>978-5-16-016984-2</t>
  </si>
  <si>
    <t>31.02.01, 34.02.02, 49.02.01, 49.02.02, 49.02.03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</si>
  <si>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49.02.01 «Физическая культура», 49.02.02 «Адаптивная физическая культура» (протокол № 12 от 14.12.2020)</t>
  </si>
  <si>
    <t>758404.05.01</t>
  </si>
  <si>
    <t>Лечебная физ. культура при заболеваниях дет. возраста: Уч.пос. / Т.В.Карасева. - М.:НИЦ ИНФРА-М,2026. - 223 с.(П)</t>
  </si>
  <si>
    <t>978-5-16-016986-6</t>
  </si>
  <si>
    <t>31.02.01, 44.02.01, 49.02.01, 49.02.02, 49.02.03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</si>
  <si>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49.02.01 «Физическая культура», 49.02.02 «Адаптивная физическая культура» (протокол № 11 от 09.11.2020)</t>
  </si>
  <si>
    <t>758403.06.01</t>
  </si>
  <si>
    <t>Лечебная физ. культура при терапевт. заболеваниях: Уч.пос. / Т.В.Карасева. - М.:НИЦ ИНФРА-М,2026 -158 с.(П)</t>
  </si>
  <si>
    <t>ЛЕЧЕБНАЯ ФИЗИЧЕСКАЯ КУЛЬТУРА ПРИ ТЕРАПЕВТИЧЕСКИХ ЗАБОЛЕВАНИЯХ, ИЗД.1</t>
  </si>
  <si>
    <t>978-5-16-016985-9</t>
  </si>
  <si>
    <t>717631.05.01</t>
  </si>
  <si>
    <t>Лечебная физич. культура при терапевтич..: Уч.пос. / Т.В.Карасева - М.:НИЦ ИНФРА-М,2026 - 158 с.(ВО)(п)</t>
  </si>
  <si>
    <t>978-5-16-018979-6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</si>
  <si>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49.03.01 «Физическая культура» и 49.03.02 «Физическая культура для лиц с отклонениями в состоянии здоровья (адаптивная физическая культура)» (квалификация (степень) «бакалавр») (протокол № 8 от 22.06.2020)</t>
  </si>
  <si>
    <t>757844.08.01</t>
  </si>
  <si>
    <t>Лечебная физическая культура при травмах: Уч.пос. / Т.В.Карасева - М.:НИЦ ИНФРА-М,2026 - 140 с.(СПО)(П)</t>
  </si>
  <si>
    <t>ЛЕЧЕБНАЯ ФИЗИЧЕСКАЯ КУЛЬТУРА ПРИ ТРАВМАХ, ИЗД.1</t>
  </si>
  <si>
    <t>978-5-16-016938-5</t>
  </si>
  <si>
    <t>717629.06.01</t>
  </si>
  <si>
    <t>Лечебная физическая культура при травмах: Уч.пос. / Т.В.Карасева. - М.:НИЦ ИНФРА-М,2026. - 140 с.(ВО)(О)</t>
  </si>
  <si>
    <t>978-5-16-019891-0</t>
  </si>
  <si>
    <t>705675.06.01</t>
  </si>
  <si>
    <t>Лечебные грязи Крыма: Моногр. / В.Н.Любчик - М.:НИЦ ИНФРА-М,2026 - 144 с.(Науч.мысль)(О)</t>
  </si>
  <si>
    <t>ЛЕЧЕБНЫЕ ГРЯЗИ КРЫМА, ИЗД.1</t>
  </si>
  <si>
    <t>Любчик В.Н., Ежов В.В.</t>
  </si>
  <si>
    <t>978-5-16-016334-5</t>
  </si>
  <si>
    <t>771335.05.01</t>
  </si>
  <si>
    <t>Лечение пациентов с вентральной грыжей и ожирением / В.И.Белоконев. - М.:НИЦ ИНФРА-М,2026. - 187 с.(П)</t>
  </si>
  <si>
    <t>ЛЕЧЕНИЕ ПАЦИЕНТОВ С ВЕНТРАЛЬНОЙ ГРЫЖЕЙ И ОЖИРЕНИЕМ, ИЗД.1</t>
  </si>
  <si>
    <t>Белоконев В.И., Пушкин С.Ю., Захаров В.П. и др.</t>
  </si>
  <si>
    <t>978-5-16-017766-3</t>
  </si>
  <si>
    <t>339900.07.01</t>
  </si>
  <si>
    <t>Лечение пациентов терапевтич. профиля: Уч.пос. / В.Г.Лычев - М.:Форум, НИЦ ИНФРА-М,2025 - 400 с.(СПО)(П)</t>
  </si>
  <si>
    <t>ЛЕЧЕНИЕ ПАЦИЕНТОВ ТЕРАПЕВТИЧЕСКОГО ПРОФИЛЯ, ИЗД.1</t>
  </si>
  <si>
    <t>Лычев В.Г., Карманов В.К.</t>
  </si>
  <si>
    <t>978-5-00091-618-6</t>
  </si>
  <si>
    <t>31.02.01, 34.02.01</t>
  </si>
  <si>
    <t>Рекомендовано в качестве учебного пособия для студентов учреждений среднего профессионального образования, обучающихся по специальности 31.02.01 «Лечебное дело»</t>
  </si>
  <si>
    <t>425950.11.01</t>
  </si>
  <si>
    <t>Лечение психич. забол. в период беремен. и...: Уч.пос. / Е.А.Ушкалова - М:НИЦ ИНФРА-М,2026 - 284 с.(ВО) (п)</t>
  </si>
  <si>
    <t>ЛЕЧЕНИЕ ПСИХИЧЕСКИХ ЗАБОЛЕВАНИЙ В ПЕРИОД БЕРЕМЕННОСТИ И ЛАКТАЦИИ, ИЗД.1</t>
  </si>
  <si>
    <t>Ушкалова Е. А., Ушкалова А. В., Шифман Е. М.</t>
  </si>
  <si>
    <t>978-5-16-006600-4</t>
  </si>
  <si>
    <t>796101.01.01</t>
  </si>
  <si>
    <t>Лидерство и возвышение великих держав</t>
  </si>
  <si>
    <t>ЛИДЕРСТВО И ВОЗВЫШЕНИЕ ВЕЛИКИХ ДЕРЖАВ, ИЗД.1</t>
  </si>
  <si>
    <t>Янь С.</t>
  </si>
  <si>
    <t>978-5-9776-0546-5</t>
  </si>
  <si>
    <t>725225.07.01</t>
  </si>
  <si>
    <t>Лидерство: Уч. / В.Э.Багдасарян - М.:НИЦ ИНФРА-М,2026. - 339 с.(ВО)(п)</t>
  </si>
  <si>
    <t>ЛИДЕРСТВО, ИЗД.1</t>
  </si>
  <si>
    <t>978-5-16-020238-9</t>
  </si>
  <si>
    <t>00.03.07, 38.03.02, 41.03.06, 44.03.01, 44.03.02, 44.03.03, 44.03.04, 44.03.05, 44.04.01, 44.04.02, 44.04.03, 44.04.04, 44.05.01, 46.03.01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</si>
  <si>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педагогическим направлениям подготовки (квалификация (степень) «бакалавр») (протокол № 10 от 12.10.2020)</t>
  </si>
  <si>
    <t>871137.01.01</t>
  </si>
  <si>
    <t>Лимфатическая система глаза: Моногр. / В.Кумар - М.:НИЦ ИНФРА-М,2027. - 398 с.[цв].-(Науч.мысль)(п)</t>
  </si>
  <si>
    <t>ЛИМФАТИЧЕСКАЯ СИСТЕМА ГЛАЗА, ИЗД.1</t>
  </si>
  <si>
    <t>Кумар В.</t>
  </si>
  <si>
    <t>978-5-16-021814-4</t>
  </si>
  <si>
    <t>, 31.05.01, 31.06.01, 31.08.59, 32.05.01</t>
  </si>
  <si>
    <t>653243.10.01</t>
  </si>
  <si>
    <t>Лимфедема нижних конечностей: диагност..: Уч.пос. / С.Е.Каторкин - 2 изд. - М.:НИЦ ИНФРА-М,2027 - 110 с.(ВО)(о)</t>
  </si>
  <si>
    <t>ЛИМФЕДЕМА НИЖНИХ КОНЕЧНОСТЕЙ: ДИАГНОСТИКА И ЛЕЧЕНИЕ, ИЗД.2</t>
  </si>
  <si>
    <t>Каторкин С.Е., Мышенцев П.Н., Мельников М.А.</t>
  </si>
  <si>
    <t>978-5-16-018213-1</t>
  </si>
  <si>
    <t>31.05.01, 32.05.01</t>
  </si>
  <si>
    <t>Рекомендовано Центральным координационно-методическим советом федерального государственного бюджетного образовательного учреждения высшего образования «Самарский государственный медицинский университет» Министерства здравоохранения Российской Федерации</t>
  </si>
  <si>
    <t>653243.06.01</t>
  </si>
  <si>
    <t>Лимфедема нижних конечностей: диагност..: Уч.пос. / С.Е.Каторкин -М.:Форум, НИЦ ИНФРА-М,2022-103с(О)</t>
  </si>
  <si>
    <t>ЛИМФЕДЕМА НИЖНИХ КОНЕЧНОСТЕЙ: ДИАГНОСТИКА И ЛЕЧЕНИЕ, ИЗД.1</t>
  </si>
  <si>
    <t>Каторкин С.Е., Сушков С.А., Мышенцев П.Н. и др.</t>
  </si>
  <si>
    <t>978-5-00091-438-0</t>
  </si>
  <si>
    <t>699570.05.01</t>
  </si>
  <si>
    <t>Лингвистические основы деловой коммуникации: Уч. / В.И.Коньков - 2 изд. - М.:НИЦ ИНФРА-М,2027. - 381 с.(п)</t>
  </si>
  <si>
    <t>ЛИНГВИСТИЧЕСКИЕ ОСНОВЫ ДЕЛОВОЙ КОММУНИКАЦИИ, ИЗД.2</t>
  </si>
  <si>
    <t>Коньков В.И., Сурикова Т.И.</t>
  </si>
  <si>
    <t>978-5-16-021464-1</t>
  </si>
  <si>
    <t>699570.04.01</t>
  </si>
  <si>
    <t>Лингвистические основы деловой коммуникации: Уч. / Т.И.Сурикова - М.:НИЦ ИНФРА-М,2026 - 248 с.(ВО)(П)</t>
  </si>
  <si>
    <t>ЛИНГВИСТИЧЕСКИЕ ОСНОВЫ ДЕЛОВОЙ КОММУНИКАЦИИ, ИЗД.1</t>
  </si>
  <si>
    <t>Сурикова Т.И., Коньков В.И.</t>
  </si>
  <si>
    <t>978-5-16-015853-2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</si>
  <si>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управленческим направлениям подготовки (квалификация (степень) «бакалавр») (протокол № 11 от 09.11.2020)</t>
  </si>
  <si>
    <t>Московский государственный университет им. М.В. Ломоносова, факультет журналистики</t>
  </si>
  <si>
    <t>818243.01.01</t>
  </si>
  <si>
    <t>Лингвокультурные доминанты дискурсивных прак...: Моногр. / Д.В.Атанова. - М.:НИЦ ИНФРА-М,2025. - 169 с.(о)</t>
  </si>
  <si>
    <t>ЛИНГВОКУЛЬТУРНЫЕ ДОМИНАНТЫ ДИСКУРСИВНЫХ ПРАКТИК ПРАВОСЛАВИЯ И ПРОТЕСТАНИЗМА, ИЗД.1</t>
  </si>
  <si>
    <t>Атанова Д.В., Боженкова Н.А., Боженкова Р.К.</t>
  </si>
  <si>
    <t>978-5-16-020633-2</t>
  </si>
  <si>
    <t>45.04.01, 45.04.02, 45.06.01, 51.04.01, 51.06.01</t>
  </si>
  <si>
    <t>СКАЕНГ ОАНО ДПО</t>
  </si>
  <si>
    <t>680155.05.01</t>
  </si>
  <si>
    <t>Лингвокультурологический сл.географ.назв.Великобритании и США / С.И.Гарагуля-М.:НИЦ ИНФРА-М,2023-257с.(П)</t>
  </si>
  <si>
    <t>ЛИНГВОКУЛЬТУРОЛОГИЧЕСКИЙ СЛОВАРЬ ГЕОГРАФИЧЕСКИХ НАЗВАНИЙ ВЕЛИКОБРИТАНИИ И США., ИЗД.1</t>
  </si>
  <si>
    <t>978-5-16-014103-9</t>
  </si>
  <si>
    <t>45.03.02, 45.03.03, 45.03.04, 45.05.01</t>
  </si>
  <si>
    <t>833101.02.01</t>
  </si>
  <si>
    <t>Лингвопрагматика языковой личности педагога: Моногр. / М.Р.Желтухина - М.:НИЦ ИНФРА-М,2026. - 162 с.(о)</t>
  </si>
  <si>
    <t>ЛИНГВОПРАГМАТИКА ЯЗЫКОВОЙ ЛИЧНОСТИ ПЕДАГОГА, ИЗД.1</t>
  </si>
  <si>
    <t>Сергеева О.В., Желтухина М.Р.</t>
  </si>
  <si>
    <t>978-5-16-020558-8</t>
  </si>
  <si>
    <t>45.04.01, 45.04.02, 45.04.03, 45.06.01</t>
  </si>
  <si>
    <t>Учебник года-2026, Лауреат</t>
  </si>
  <si>
    <t>684989.06.01</t>
  </si>
  <si>
    <t>Лингвосемиотика милитарно-медийного дискурса: Моногр. / Н.Г.Склярова-М.:НИЦ ИНФРА-М,2023.-88 с.(О)</t>
  </si>
  <si>
    <t>ЛИНГВОСЕМИОТИКА МИЛИТАРНО-МЕДИЙНОГО ДИСКУРСА (НА МАТЕРИАЛЕ СОВРЕМЕННЫХ ПУБЛИКАЦИЙ АНГЛОЯЗЫЧНЫХ СМИ), ИЗД.1</t>
  </si>
  <si>
    <t>978-5-16-014176-3</t>
  </si>
  <si>
    <t>45.03.03, 51.03.01</t>
  </si>
  <si>
    <t>164850.10.01</t>
  </si>
  <si>
    <t>Лингвосинергетика поэтического текста: Моногр. / Е.Ю.Муратова - М.:НИЦ ИНФРА-М,2025 - 219 с(Науч.мысль)(О)</t>
  </si>
  <si>
    <t>ЛИНГВОСИНЕРГЕТИКА ПОЭТИЧЕСКОГО ТЕКСТА, ИЗД.1</t>
  </si>
  <si>
    <t>Муратова Е.Ю.</t>
  </si>
  <si>
    <t>978-5-16-005168-0</t>
  </si>
  <si>
    <t>44.03.01, 44.03.05, 44.04.01, 45.03.01, 45.03.02, 45.04.01, 45.04.02</t>
  </si>
  <si>
    <t>485450.09.01</t>
  </si>
  <si>
    <t>Линейная алгебра в прим. и задачах: Уч пос. / А.С. Бортаковский - 3 изд. - М.: НИЦ ИНФРА-М,2026 - 592 с.(п)</t>
  </si>
  <si>
    <t>ЛИНЕЙНАЯ АЛГЕБРА В ПРИМЕРАХ И ЗАДАЧАХ, ИЗД.3</t>
  </si>
  <si>
    <t>978-5-16-010586-4</t>
  </si>
  <si>
    <t>01.03.02, 01.03.04, 01.04.02, 01.04.04, 01.05.01, 02.03.02, 03.03.02, 04.03.02, 11.03.01, 11.03.02, 11.03.03, 11.03.04, 12.03.01, 12.03.02, 12.03.03, 12.03.04, 12.03.05, 13.03.01, 13.03.02, 13.03.03, 14.03.01, 14.03.02, 15.03.01, 15.03.02, 15.03.03, 15.03.04, 15.03.05, 15.03.06, 16.03.01, 16.03.02, 16.03.03, 24.03.01, 38.03.01</t>
  </si>
  <si>
    <t>475450.06.01</t>
  </si>
  <si>
    <t>Линейная алгебра и аналитическая геометрия. Прак.: Уч. пос. / А.С.Бортаковский - ИНФРА-М,2026 - 352 с.(ВО)</t>
  </si>
  <si>
    <t>ЛИНЕЙНАЯ АЛГЕБРА И АНАЛИТИЧЕСКАЯ ГЕОМЕТРИЯ. ПРАКТИКУМ, ИЗД.1</t>
  </si>
  <si>
    <t>Бортаковский А. С., Пантелеев А. В.</t>
  </si>
  <si>
    <t>978-5-16-010206-1</t>
  </si>
  <si>
    <t>01.03.02, 01.03.04, 01.04.02, 01.04.04, 03.03.01, 03.03.02, 03.03.03, 03.04.01, 04.03.01, 04.03.02, 05.03.01, 05.03.02, 05.03.03, 05.03.04, 05.03.05, 05.03.06, 06.03.01, 06.03.02, 08.03.01, 09.03.01, 09.03.02, 09.03.03, 09.03.04, 10.03.01, 10.05.01, 10.05.02, 10.05.03, 10.05.04, 10.05.05, 10.05.07, 11.03.01, 11.03.02, 11.03.03, 11.03.04, 13.03.01, 13.03.02, 13.03.03, 15.03.01, 15.03.02, 15.03.03, 15.03.04, 15.03.05, 15.03.06, 38.03.01, 38.03.02, 38.03.03, 38.03.04, 38.03.05, 38.03.06, 38.03.07, 38.03.10</t>
  </si>
  <si>
    <t>136550.12.01</t>
  </si>
  <si>
    <t>Линейная алгебра: теория и приклад. аспек.: Уч. пос. / Г.С.Шевцов - 3 изд. - Магистр: ИНФРА-М, 2026 - 544 с.(п)</t>
  </si>
  <si>
    <t>ЛИНЕЙНАЯ АЛГЕБРА: ТЕОРИЯ И ПРИКЛАДНЫЕ АСПЕКТЫ, ИЗД.3</t>
  </si>
  <si>
    <t>Шевцов Г. С.</t>
  </si>
  <si>
    <t>978-5-9776-0258-7</t>
  </si>
  <si>
    <t>01.03.02, 01.04.02</t>
  </si>
  <si>
    <t>Рекомендованно Научно-методическим советом по математике и механике Учебно-методического объединения по классическому университетскому образованию в качестве учебного пособия для математических направлений и специальностей</t>
  </si>
  <si>
    <t>411750.07.01</t>
  </si>
  <si>
    <t>Линейная алгебра: Уч. пос./ Б.М. Рудык. - М.: НИЦ ИНФРА-М, 2026. - 318 с. (ВО: Бакалавр.) (п)</t>
  </si>
  <si>
    <t>ЛИНЕЙНАЯ АЛГЕБРА, ИЗД.1</t>
  </si>
  <si>
    <t>Рудык Б. М.</t>
  </si>
  <si>
    <t>978-5-16-004533-7</t>
  </si>
  <si>
    <t>01.03.01, 01.03.02, 01.03.04, 02.03.01, 03.03.01, 03.03.02</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</si>
  <si>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38.03.01 (080100) «Экономика», квалификация (степень) — «бакалавр» Регистрацион</t>
  </si>
  <si>
    <t>820929.02.01</t>
  </si>
  <si>
    <t>Линейная алгебра: Уч.пос. / А.В.Литаврин - М.:НИЦ ИНФРА-М, СФУ,2026. - 241 с.(ВО (СФУ))(п)</t>
  </si>
  <si>
    <t>Литаврин А.В., Моисеенкова Т.В.</t>
  </si>
  <si>
    <t>978-5-16-019597-1</t>
  </si>
  <si>
    <t>38.03.01, 38.03.02, 38.03.05, 38.05.01</t>
  </si>
  <si>
    <t>786287.01.01</t>
  </si>
  <si>
    <t>Линейное программирование: Уч.пос. / А.С.Шевченко-М.:НИЦ ИНФРА-М,2024.-253 с.(СПО)(п)</t>
  </si>
  <si>
    <t>ЛИНЕЙНОЕ ПРОГРАММИРОВАНИЕ, ИЗД.1</t>
  </si>
  <si>
    <t>Шевченко А.С.</t>
  </si>
  <si>
    <t>978-5-16-017949-0</t>
  </si>
  <si>
    <t>00.02.06, 09.02.01, 09.02.02, 09.02.03, 09.02.04, 09.02.05, 09.02.06, 09.02.07, 15.01.18, 35.02.10, 35.02.16, 38.02.03</t>
  </si>
  <si>
    <t>Югорский государственный университет</t>
  </si>
  <si>
    <t>СПО-2022, Победитель, II место</t>
  </si>
  <si>
    <t>381100.04.01</t>
  </si>
  <si>
    <t>Линейные целочисленные задачи оптимизации: Уч.пос. /Г.А.Соколов -М.:НИЦ ИНФРА-М,2024-132с.(ВО)(о)</t>
  </si>
  <si>
    <t>ЛИНЕЙНЫЕ ЦЕЛОЧИСЛЕННЫЕ ЗАДАЧИ ОПТИМИЗАЦИИ, ИЗД.1</t>
  </si>
  <si>
    <t>Соколов Г.А.</t>
  </si>
  <si>
    <t>978-5-16-019450-9</t>
  </si>
  <si>
    <t>01.03.01, 01.03.03, 02.03.01, 02.03.03, 03.03.02, 03.03.03, 24.03.01, 45.03.04</t>
  </si>
  <si>
    <t>Рекомендовано в качестве учебного пособия для студентов высших учебных заведений, обучающихся по специальности 38.03.01 «Экономика», 38.03.02 «Менеджмент» (квалификация (степень) «бакалавр»)</t>
  </si>
  <si>
    <t>798333.02.01</t>
  </si>
  <si>
    <t>Липосомальные формы ноотропных лекарств. средств: Моногр. / Ю.А.Полковникова - М.:НИЦ ИНФРА-М,2026. - 193 с.(о)</t>
  </si>
  <si>
    <t>ЛИПОСОМАЛЬНЫЕ ФОРМЫ НООТРОПНЫХ ЛЕКАРСТВЕННЫХ СРЕДСТВ, ИЗД.1</t>
  </si>
  <si>
    <t>Полковникова Ю.А.</t>
  </si>
  <si>
    <t>978-5-16-018288-9</t>
  </si>
  <si>
    <t>33.05.01, 33.06.01, 33.08.01, 33.08.02, 33.08.03</t>
  </si>
  <si>
    <t>133110.12.01</t>
  </si>
  <si>
    <t>Лиризм рус. прозы 30-х г. XIX в.: Моногр. / В.Н.Остапцева - М.:НИЦ ИНФРА-М,2027. - 128 с.(Науч.мысль)(о)</t>
  </si>
  <si>
    <t>ЛИРИЗМ РУССКОЙ ПРОЗЫ 30-Х ГОДОВ XIX ВЕКА, ИЗД.1</t>
  </si>
  <si>
    <t>Остапцева В.Н.</t>
  </si>
  <si>
    <t>978-5-16-009749-7</t>
  </si>
  <si>
    <t>Гуманитарно - социальный институт</t>
  </si>
  <si>
    <t>648192.06.01</t>
  </si>
  <si>
    <t>Литература и культура Древнего мира: Уч.пос. / Б.А.Гиленсон - 2 изд. - М.:НИЦ ИНФРА-М,2026 - 315 с.(ВО)(П)</t>
  </si>
  <si>
    <t>ЛИТЕРАТУРА И КУЛЬТУРА ДРЕВНЕГО МИРА, ИЗД.2</t>
  </si>
  <si>
    <t>978-5-16-014253-1</t>
  </si>
  <si>
    <t>45.03.01, 45.04.01, 45.06.01, 45.07.01, 51.04.01, 51.06.01</t>
  </si>
  <si>
    <t>Допущено Учебно-методическим объединением по направлениям педагогического образования в качестве учебного пособия для студентов высших учебных заведений, обучающихся по направлению 45.03.01 «Филология»</t>
  </si>
  <si>
    <t>820926.02.01</t>
  </si>
  <si>
    <t>Литература Испании: Уч.пос. / О.Е.Гевель - М.:НИЦ ИНФРА-М, СФУ,2027. - 110 с.(ВО (СФУ))(о)</t>
  </si>
  <si>
    <t>ЛИТЕРАТУРА ИСПАНИИ, ИЗД.1</t>
  </si>
  <si>
    <t>Гевель О.Е.</t>
  </si>
  <si>
    <t>978-5-16-019594-0</t>
  </si>
  <si>
    <t>45.03.01, 45.03.03, 45.05.01</t>
  </si>
  <si>
    <t>701998.02.01</t>
  </si>
  <si>
    <t>Литература народов России: Уч.пос. / Под ред. Хайруллина Р.З. - М.:НИЦ ИНФРА-М,2022 - 395 с.(СПО)(П)</t>
  </si>
  <si>
    <t>ЛИТЕРАТУРА НАРОДОВ РОССИИ, ИЗД.1</t>
  </si>
  <si>
    <t>Хайруллин Р.З., Зайцева Т.И., Алибаев З.А. и др.</t>
  </si>
  <si>
    <t>978-5-16-014814-4</t>
  </si>
  <si>
    <t>00.02.09, 51.02.02, 51.02.03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</si>
  <si>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группе гуманитарных специальностей (протокол № 8 от 29.04.2019)</t>
  </si>
  <si>
    <t>381200.08.01</t>
  </si>
  <si>
    <t>Литература народов России: Уч.пос. / Под ред. Хайруллина Р.З. - М.:НИЦ ИНФРА-М,2023 - 396 с.(ВО)(П)</t>
  </si>
  <si>
    <t>978-5-16-011145-2</t>
  </si>
  <si>
    <t>763313.07.01</t>
  </si>
  <si>
    <t>Литература финно-угорских народов России: Уч.пос. / Р.З.Хайруллин. - М.:НИЦ ИНФРА-М,2026. - 384 с.(ВО)(п)</t>
  </si>
  <si>
    <t>ЛИТЕРАТУРА ФИННО-УГОРСКИХ НАРОДОВ РОССИИ, ИЗД.1</t>
  </si>
  <si>
    <t>Хайруллин Р.З., Зайцева Т.И., Кузнецова Т.Л. и др.</t>
  </si>
  <si>
    <t>978-5-16-019377-9</t>
  </si>
  <si>
    <t>41.03.01, 44.03.01, 45.04.01, 45.06.01</t>
  </si>
  <si>
    <t>Югорская книга – 2024-2024, Победитель, I место</t>
  </si>
  <si>
    <t>675231.09.01</t>
  </si>
  <si>
    <t>Литературное мастерство: Creative Writing: Уч. / А.К.Михальская - М.:НИЦ ИНФРА-М,2026 - 347 с.(ВО)(П)</t>
  </si>
  <si>
    <t>ЛИТЕРАТУРНОЕ МАСТЕРСТВО: CREATIVE WRITING, ИЗД.1</t>
  </si>
  <si>
    <t>978-5-16-020882-4</t>
  </si>
  <si>
    <t>52.05.04</t>
  </si>
  <si>
    <t>642408.10.01</t>
  </si>
  <si>
    <t>Литературное редакт. текстов средств мас. информ.: Уч.пос. / Т.И.Сурикова - М.:НИЦ ИНФРА-М,2026 - 152 с.(ВО)(П)</t>
  </si>
  <si>
    <t>ЛИТЕРАТУРНОЕ РЕДАКТИРОВАНИЕ ТЕКСТОВ СРЕДСТВ МАССОВОЙ ИНФОРМАЦИИ, ИЗД.1</t>
  </si>
  <si>
    <t>Сурикова Т.И.</t>
  </si>
  <si>
    <t>978-5-16-019206-2</t>
  </si>
  <si>
    <t>Рекомендовано Учебно-методическим советом по направлению подготовки «Журналистика» в качестве учебного пособия для студентов образовательных организаций высшего образования, обучающихся по направлению подготовки 42.03.02 «Журналистика» (квалификация (степень) «бакалавр»)</t>
  </si>
  <si>
    <t>753313.03.01</t>
  </si>
  <si>
    <t>Литературный английский язык: Уч.пос. / З.В.Маньковская-М.:НИЦ ИНФРА-М,2023.-295 с.(ВО: Бакалавр.)(П)</t>
  </si>
  <si>
    <t>ЛИТЕРАТУРНЫЙ АНГЛИЙСКИЙ ЯЗЫК, ИЗД.1</t>
  </si>
  <si>
    <t>978-5-16-016855-5</t>
  </si>
  <si>
    <t>00.03.02, 00.05.02, 45.03.02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</si>
  <si>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45.03.02 «Лингвистика» (квалификация (степень) «бакалавр») (протокол № 2 от 09.02.2022)</t>
  </si>
  <si>
    <t>681873.02.01</t>
  </si>
  <si>
    <t>Литология нефти и газа: Уч. / О.И.Серебряков. - М.:НИЦ ИНФРА-М,2026. - 284 с.(ВО.)(П)</t>
  </si>
  <si>
    <t>ЛИТОЛОГИЯ НЕФТИ И ГАЗА, ИЗД.1</t>
  </si>
  <si>
    <t>Серебряков О.И., Смирнова Т.С., Быстрова И.В. и др.</t>
  </si>
  <si>
    <t>978-5-16-021439-9</t>
  </si>
  <si>
    <t>05.03.01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</si>
  <si>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05.03.01 «Геология» (квалификация (степень) «бакалавр») (протокол № 2 от 09.02.2022)</t>
  </si>
  <si>
    <t>255000.03.01</t>
  </si>
  <si>
    <t>Литология осадочных терригенных формаций тектонич..:Моногр./О.В.Япаскурт-М.:НИЦ ИНФРА-М,2021-227с(о)</t>
  </si>
  <si>
    <t>ЛИТОЛОГИЯ ОСАДОЧНЫХ ТЕРРИГЕННЫХ ФОРМАЦИЙ ТЕКТОНИЧЕСКИ ПОДВИЖНОЙ ОБЛАСТИ (МЕЗОЗОИДЫ ВЕРХОЯНЬЯ И ПРИВЕРХОЯНЬЯ ПЕРЕДОВОГО ПЕРЕГИБА), ИЗД.1</t>
  </si>
  <si>
    <t>ЯпаскуртО.В.</t>
  </si>
  <si>
    <t>978-5-16-011773-7</t>
  </si>
  <si>
    <t>373700.05.01</t>
  </si>
  <si>
    <t>Литология: Уч. / О.В.Япаскурт - 2 изд. - М.:НИЦ ИНФРА-М,2023 - 359 с.-(ВО: Бакалавриат)(П)</t>
  </si>
  <si>
    <t>ЛИТОЛОГИЯ, ИЗД.2</t>
  </si>
  <si>
    <t>978-5-16-011054-7</t>
  </si>
  <si>
    <t>Рекомендовано УМО по классическому университетскому образованию в качестве учебника для студентов, обучающихся по программам бакалавриата (05.03.01) и магистратуры (05.04.01) по направлению подготовки «Геология»</t>
  </si>
  <si>
    <t>794018.01.01</t>
  </si>
  <si>
    <t>Личная финансовая безопасность: Уч.пос. / Н.Н.Карзаева.-М.:НИЦ ИНФРА-М,2024.-194 с.(ВО)(п)</t>
  </si>
  <si>
    <t>ЛИЧНАЯ ФИНАНСОВАЯ БЕЗОПАСНОСТЬ, ИЗД.1</t>
  </si>
  <si>
    <t>Карзаева Н.Н., Каранина Е.В., Карзаева Е.А.</t>
  </si>
  <si>
    <t>978-5-16-018480-7</t>
  </si>
  <si>
    <t>768779.04.01</t>
  </si>
  <si>
    <t>Личностная компетентность спец. правоохранит. сферы...: Моногр. / О.А.Ульянина-М.:ИЦ РИОР, НИЦ ИНФРА-М,2026.-220 с.(П)</t>
  </si>
  <si>
    <t>ЛИЧНОСТНАЯ КОМПЕТЕНТНОСТЬ СПЕЦИАЛИСТОВ ПРАВООХРАНИТЕЛЬНОЙ СФЕРЫ: ПСИХОТЕХНОЛОГИИ ФОРМИРОВАНИЯ В ОБРАЗОВАТЕЛЬНЫХ ОРГАНИЗАЦИЯХ ВЫСШЕГО ОБРАЗОВАНИЯ, ИЗД.1</t>
  </si>
  <si>
    <t>Ульянина О.А.</t>
  </si>
  <si>
    <t>978-5-369-01884-2</t>
  </si>
  <si>
    <t>40.05.02, 40.05.04, 40.06.01</t>
  </si>
  <si>
    <t>767666.03.01</t>
  </si>
  <si>
    <t>Личность в рос. социальной философии: Моногр. / К.К.Оганян - М.:НИЦ ИНФРА-М,2025. - 292 с.(Науч.мысль)(О)</t>
  </si>
  <si>
    <t>ЛИЧНОСТЬ В РОССИЙСКОЙ СОЦИАЛЬНОЙ ФИЛОСОФИИ: ГЕНЕЗИС УПРАВЛЕНЧЕСКОЙ МЫСЛИ, ИЗД.1</t>
  </si>
  <si>
    <t>978-5-16-017480-8</t>
  </si>
  <si>
    <t>39.04.01, 47.04.01</t>
  </si>
  <si>
    <t>085590.08.01</t>
  </si>
  <si>
    <t>Личность и государство в России / Б.С. Эбзеев - М.: НОРМА, 2024 - 384 с. (П)</t>
  </si>
  <si>
    <t>ЛИЧНОСТЬ И ГОСУДАРСТВО В РОССИИ: ВЗАИМНАЯ ОТВЕТСТВЕННОСТЬ И КОНСТИТУЦИОННЫЕ ОБЯЗАННОСТИ, ИЗД.1</t>
  </si>
  <si>
    <t>978-5-468-00119-6</t>
  </si>
  <si>
    <t>423500.05.01</t>
  </si>
  <si>
    <t>Личность организов.преступника:: Моногр. / Под ред. Долговой А.И. - М.:Юр.Норма,НИЦ ИНФРА-М,2022-368с.(п)</t>
  </si>
  <si>
    <t>ЛИЧНОСТЬ ОРГАНИЗОВАННОГО ПРЕСТУПНИКА: КРИМИНОЛОГИЧЕСКОЕ ИССЛЕДОВАНИЕ, ИЗД.1</t>
  </si>
  <si>
    <t>Долгова А. И., Белоцерковский С. Д., Васнецова А. С., Соколов Д. А., Долгова А. И.</t>
  </si>
  <si>
    <t>978-5-91768-325-6</t>
  </si>
  <si>
    <t>057463.15.01</t>
  </si>
  <si>
    <t>Личность преступника. Кримин.-психол. исследов.: Моногр. / Ю.М.Антонян - М.:Юр.Норма,-М,2026-368с(О)</t>
  </si>
  <si>
    <t>ЛИЧНОСТЬ ПРЕСТУПНИКА. КРИМИНОЛОГО-ПСИХОЛОГИЧЕСКОЕ ИССЛЕДОВАНИЕ, ИЗД.1</t>
  </si>
  <si>
    <t>Антонян Ю. М., Эминов В. Е.</t>
  </si>
  <si>
    <t>978-5-91768-077-4</t>
  </si>
  <si>
    <t>37.03.01, 40.03.01, 40.04.01</t>
  </si>
  <si>
    <t>Всероссийский научно-исследовательский институт Министерства внутренних дел Российской Федерации</t>
  </si>
  <si>
    <t>649613.06.01</t>
  </si>
  <si>
    <t>Логика в химии: Моногр. / С.В.Евдокимов - М.:НИЦ ИНФРА-М,2026. - 319 с.(Науч.мысль)(о)</t>
  </si>
  <si>
    <t>ЛОГИКА В ХИМИИ, ИЗД.1</t>
  </si>
  <si>
    <t>Евдокимов С.В.</t>
  </si>
  <si>
    <t>978-5-16-019444-8</t>
  </si>
  <si>
    <t>04.03.01, 04.03.02, 04.05.01, 18.03.01, 18.03.02, 18.05.01, 18.05.02, 30.05.01, 31.05.01, 31.05.02, 31.05.03, 33.05.01, 44.03.05</t>
  </si>
  <si>
    <t>649613.04.01</t>
  </si>
  <si>
    <t>Логика в химии: Монография / С.В.Евдокимов - М.:НИЦ ИНФРА-М,2022 - 319 с.-(Науч.мысль)(П)</t>
  </si>
  <si>
    <t>978-5-16-012549-7</t>
  </si>
  <si>
    <t>423600.11.01</t>
  </si>
  <si>
    <t>Логика диссертации: Уч.пос. / Г.Ч.Синченко, - 4 изд.-М.:НИЦ ИНФРА-М,2025.-312 с.(ВО: Аспирантура)(п)</t>
  </si>
  <si>
    <t>ЛОГИКА ДИССЕРТАЦИИ, ИЗД.4</t>
  </si>
  <si>
    <t>Синченко Г.Ч.</t>
  </si>
  <si>
    <t>978-5-16-019348-9</t>
  </si>
  <si>
    <t>00.03.16, 00.04.16, 00.04.17, 00.05.16, 00.06.01, 47.04.01</t>
  </si>
  <si>
    <t>Омская академия Министерства внутренних дел Российской Федерации</t>
  </si>
  <si>
    <t>423600.13.01</t>
  </si>
  <si>
    <t>Логика диссертации: Уч.пос. / Г.Ч.Синченко, - 5 изд. - М.:НИЦ ИНФРА-М,2026. - 304 с.-(ВО)(п)</t>
  </si>
  <si>
    <t>ЛОГИКА ДИССЕРТАЦИИ, ИЗД.5</t>
  </si>
  <si>
    <t>978-5-16-020428-4</t>
  </si>
  <si>
    <t>392200.08.01</t>
  </si>
  <si>
    <t>Логика для бакалавров: Уч.пос. / С.М.Марков - М.:ИЦ РИОР,НИЦ ИНФРА-М,2023 - 159с.(ВО:Бакалавр.)(о)</t>
  </si>
  <si>
    <t>ЛОГИКА ДЛЯ БАКАЛАВРОВ, ИЗД.1</t>
  </si>
  <si>
    <t>Марков С.М.</t>
  </si>
  <si>
    <t>978-5-369-01507-0</t>
  </si>
  <si>
    <t>37.03.01, 38.03.01, 40.03.01, 41.03.06, 42.03.02, 42.03.03, 44.03.05, 47.03.01, 47.03.02, 49.04.01, 49.04.02</t>
  </si>
  <si>
    <t>732045.03.01</t>
  </si>
  <si>
    <t>Логика для юристов: Уч. / Е.А.Кротков - М.:НИЦ ИНФРА-М,2025 - 210 с.(СПО)(П)</t>
  </si>
  <si>
    <t>ЛОГИКА ДЛЯ ЮРИСТОВ, ИЗД.1</t>
  </si>
  <si>
    <t>Кротков Е.А.</t>
  </si>
  <si>
    <t>978-5-16-015997-3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</si>
  <si>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18 от 25.11.2019)</t>
  </si>
  <si>
    <t>652792.08.01</t>
  </si>
  <si>
    <t>Логика для юристов: Уч. / Е.А.Кротков - М.:НИЦ ИНФРА-М,2026. - 210 с.-(ВО)(п)</t>
  </si>
  <si>
    <t>978-5-16-020105-4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</si>
  <si>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12  от 24.06.2019)</t>
  </si>
  <si>
    <t>642082.08.01</t>
  </si>
  <si>
    <t>Логика для юристов: Уч.пос. / С.В.Корнакова - 2 изд. - М.:НИЦ ИНФРА-М,2026 - 179 с.(ВО)(П)</t>
  </si>
  <si>
    <t>ЛОГИКА ДЛЯ ЮРИСТОВ, ИЗД.2</t>
  </si>
  <si>
    <t>Корнакова С.В., Сергеева О.С.</t>
  </si>
  <si>
    <t>978-5-16-019318-2</t>
  </si>
  <si>
    <t>40.05.01, 40.05.02, 40.05.03, 40.05.04, 44.03.05</t>
  </si>
  <si>
    <t>845257.03.01</t>
  </si>
  <si>
    <t>Логика для юристов: Уч.пос. / С.В.Корнакова - 2 изд. - М.:НИЦ ИНФРА-М,2026 - 179 с.(СПО)(п)</t>
  </si>
  <si>
    <t>978-5-16-020459-8</t>
  </si>
  <si>
    <t>667548.07.01</t>
  </si>
  <si>
    <t>Логика и методология науч. исслед.: Уч.пос. / Е.Д.Кравцова - М.:НИЦ ИНФРА-М, СФУ,2027 - 168 с.(П)</t>
  </si>
  <si>
    <t>ЛОГИКА И МЕТОДОЛОГИЯ НАУЧНЫХ ИССЛЕДОВАНИЙ, ИЗД.1</t>
  </si>
  <si>
    <t>Кравцова Е.Д., Городищева А.Н.</t>
  </si>
  <si>
    <t>978-5-16-022524-1</t>
  </si>
  <si>
    <t>22.04.01</t>
  </si>
  <si>
    <t>Рекомендовано ФГБОУ ВО «Санкт-Петербургский государственный университет» в качестве учебного пособия по дисциплине «Логика и методология научных исследований» для студентов высших учебных заведений, обучающихся по направлению подготовки 22.04.01 «Материаловедение и технологии материалов» (квалификация (степень) «магистр»)</t>
  </si>
  <si>
    <t>767386.03.01</t>
  </si>
  <si>
    <t>Логика с элементами матем. логики: Уч. / В.И.Игошин - М.:НИЦ ИНФРА-М,2025. - 418 с.(ВО: Бакалавр.)(П)</t>
  </si>
  <si>
    <t>ЛОГИКА С ЭЛЕМЕНТАМИ МАТЕМАТИЧЕСКОЙ ЛОГИКИ, ИЗД.1</t>
  </si>
  <si>
    <t>Игошин В.И.</t>
  </si>
  <si>
    <t>978-5-16-017468-6</t>
  </si>
  <si>
    <t>01.00.00</t>
  </si>
  <si>
    <t>648930.08.01</t>
  </si>
  <si>
    <t>Логика уголовно-процессуального доказывания: Уч.пос./ С.В.Корнакова-М.:НИЦ ИНФРА-М,2024-142 с.(ВО)(П)</t>
  </si>
  <si>
    <t>ЛОГИКА УГОЛОВНО-ПРОЦЕССУАЛЬНОГО ДОКАЗЫВАНИЯ, ИЗД.1</t>
  </si>
  <si>
    <t>Корнакова С.В.</t>
  </si>
  <si>
    <t>978-5-16-012576-3</t>
  </si>
  <si>
    <t>Рекомендовано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t>
  </si>
  <si>
    <t>838517.02.01</t>
  </si>
  <si>
    <t>Логика, пропозиция и типология текстов на англ. яз...: Уч. / М.Э.Конурбаев - М.:НИЦ ИНФРА-М,2025 - 521 с.(п)</t>
  </si>
  <si>
    <t>ЛОГИКА, ПРОПОЗИЦИЯ И ТИПОЛОГИЯ ТЕКСТОВ НА АНГЛИЙСКОМ ЯЗЫКЕ.CRITICAL ARISTOTLE. POLITICS., ИЗД.1</t>
  </si>
  <si>
    <t>Конурбаев М.Э.</t>
  </si>
  <si>
    <t>978-5-16-020306-5</t>
  </si>
  <si>
    <t>45.03.02</t>
  </si>
  <si>
    <t>732014.07.01</t>
  </si>
  <si>
    <t>Логика. Теория аргументации: Уч.пос. / В.В.Дягилев - М.:НИЦ ИНФРА-М,2026. - 192 с.(ВО: Бакалавр.)(П)</t>
  </si>
  <si>
    <t>ЛОГИКА. ТЕОРИЯ АРГУМЕНТАЦИИ, ИЗД.1</t>
  </si>
  <si>
    <t>Дягилев В.В., Разов П.В.</t>
  </si>
  <si>
    <t>978-5-16-016183-9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</si>
  <si>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 (протокол № 6 от 16.06.2021)</t>
  </si>
  <si>
    <t>664375.10.01</t>
  </si>
  <si>
    <t>Логика: основы рассуждения и науч.анализа: Уч.пос. / В.Г.Кузнецов - М.:НИЦ ИНФРА-М,2027 - 290с(ВО)(п)</t>
  </si>
  <si>
    <t>ЛОГИКА: ОСНОВЫ РАССУЖДЕНИЯ И НАУЧНОГО АНАЛИЗА, ИЗД.1</t>
  </si>
  <si>
    <t>Кузнецов В.Г., Егоров Ю.Д.</t>
  </si>
  <si>
    <t>978-5-16-019281-9</t>
  </si>
  <si>
    <t>37.03.01, 37.03.02, 37.04.01, 37.04.02, 37.05.01, 38.03.01, 38.03.02, 38.03.03, 39.03.01, 40.03.01, 40.04.01, 40.05.01, 40.05.02, 40.05.03, 41.03.04, 41.03.06, 42.03.02, 42.03.03, 44.03.05, 47.03.01, 47.03.02, 49.04.01, 49.04.02</t>
  </si>
  <si>
    <t>Рекомендовано Учебно-методическим советом ВО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t>
  </si>
  <si>
    <t>647270.15.01</t>
  </si>
  <si>
    <t>Логика: Уч. / В.И.Кириллов - 3 изд. - М.:Юр.Норма, НИЦ ИНФРА-М,2026 - 240 с.(П)</t>
  </si>
  <si>
    <t>ЛОГИКА, ИЗД.3</t>
  </si>
  <si>
    <t>Кириллов В.И.</t>
  </si>
  <si>
    <t>978-5-91768-860-2</t>
  </si>
  <si>
    <t>688077.02.01</t>
  </si>
  <si>
    <t>Логика: Уч. / В.И.Кириллов, - 3 изд. - М.:Юр.Норма, НИЦ ИНФРА-М,2026. - 240 с.(СПО)(п)</t>
  </si>
  <si>
    <t>978-5-00156-379-2</t>
  </si>
  <si>
    <t>392200.09.01</t>
  </si>
  <si>
    <t>Логика: Уч. / С.М.Марков, - 2 изд. - М.:ИЦ РИОР, НИЦ ИНФРА-М,2025. - 178 с.(ВО)(о)</t>
  </si>
  <si>
    <t>ЛОГИКА, ИЗД.2</t>
  </si>
  <si>
    <t>978-5-369-01957-3</t>
  </si>
  <si>
    <t>706544.09.01</t>
  </si>
  <si>
    <t>Логика: Уч. для бакалавриата / Л.А.Демина и др. - М.:Юр.Норма, НИЦ ИНФРА-М,2026 - 224 с.(П)</t>
  </si>
  <si>
    <t>ЛОГИКА, ИЗД.1</t>
  </si>
  <si>
    <t>Демина Л.А., Гунибский М.Ш., Пржиленский В.И. и др.</t>
  </si>
  <si>
    <t>978-5-91768-644-8</t>
  </si>
  <si>
    <t>37.03.01, 37.05.01, 38.03.01, 40.03.01, 40.05.01, 40.05.02, 40.05.03, 41.03.06, 42.03.02, 42.03.03, 44.03.05, 47.03.01, 47.03.02, 49.04.01, 49.04.02</t>
  </si>
  <si>
    <t>177150.14.01</t>
  </si>
  <si>
    <t>Логика: Уч.пос. / В.К.Батурин - М.:КУРС,НИЦ ИНФРА-М,2026 - 96с.(ВО:Бакалавриат)(о)</t>
  </si>
  <si>
    <t>Батурин В. К.</t>
  </si>
  <si>
    <t>978-5-905554-06-3</t>
  </si>
  <si>
    <t>37.03.01, 38.03.01, 38.03.02, 38.04.01, 38.04.02, 40.03.01, 41.03.06, 44.03.05</t>
  </si>
  <si>
    <t>Российская академия народного хозяйства и государственной службы при Президенте РФ, ф-л Дальневосточный институт управления</t>
  </si>
  <si>
    <t>704066.03.01</t>
  </si>
  <si>
    <t>Логика: Уч.пос. / Е.А.Воронцов - М.:НИЦ ИНФРА-М,2026 - 134 с.-(СПО)(О)</t>
  </si>
  <si>
    <t>978-5-16-014907-3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</si>
  <si>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2 от 28.01.2019)</t>
  </si>
  <si>
    <t>3?</t>
  </si>
  <si>
    <t>697022.05.01</t>
  </si>
  <si>
    <t>Логика: Уч.пос. / Е.А.Воронцов - М.:НИЦ ИНФРА-М,2027 - 134 с.-(ВО: Бакалавр.)(О)</t>
  </si>
  <si>
    <t>978-5-16-014904-2</t>
  </si>
  <si>
    <t>37.03.01, 37.05.01, 38.03.01, 40.03.01, 40.05.01, 40.05.02, 40.05.03, 41.03.06, 42.03.02, 42.03.03, 44.03.05, 47.03.01, 47.03.02</t>
  </si>
  <si>
    <t>Рекомендовано Межрегиональным учебно-методическим советом профессионального образования в качестве учебного пособия для реализации образовательных программ высшего образования по гуманитарным направлениям подготовки бакалавриата (протокол № 10 от 27.05.2019)</t>
  </si>
  <si>
    <t>866465.02.01</t>
  </si>
  <si>
    <t>Логико-гносеологич. единство в философии Н. О. Лосского: Моногр. / А.В.Шевцов - М.:НИЦ ИНФРА-М,2026. - 333 с.(п)</t>
  </si>
  <si>
    <t>ЛОГИКО-ГНОСЕОЛОГИЧЕСКОЕ ЕДИНСТВО В ФИЛОСОФИИ Н. О. ЛОССКОГО, ИЗД.1</t>
  </si>
  <si>
    <t>978-5-16-021452-8</t>
  </si>
  <si>
    <t>174400.10.01</t>
  </si>
  <si>
    <t>Логико-языковые феномены в юриспруденции: Моногр. / А.Ф.Черданцев - М.:Юр.Норма,НИЦ ИНФРА-М,2026 - 320 с.(П)</t>
  </si>
  <si>
    <t>ЛОГИКО-ЯЗЫКОВЫЕ ФЕНОМЕНЫ В ЮРИСПРУДЕНЦИИ, ИЗД.1</t>
  </si>
  <si>
    <t>Черданцев А. Ф.</t>
  </si>
  <si>
    <t>978-5-91768-257-0</t>
  </si>
  <si>
    <t>371400.05.01</t>
  </si>
  <si>
    <t>Логистика  для бакалавров: Уч. / С.В.Карпова - М.:Вуз. уч.,НИЦ ИНФРА-М,2023 - 323с.(п)</t>
  </si>
  <si>
    <t>ЛОГИСТИКА  ДЛЯ БАКАЛАВРОВ, ИЗД.1</t>
  </si>
  <si>
    <t>КарповаС.В.</t>
  </si>
  <si>
    <t>978-5-9558-0442-2</t>
  </si>
  <si>
    <t>750869.04.01</t>
  </si>
  <si>
    <t>Логистика в системе совокупного знания: Моногр. / И.Д.Афанасенко - М.:НИЦ ИНФРА-М,2024 - 169 с.(О)</t>
  </si>
  <si>
    <t>ЛОГИСТИКА В СИСТЕМЕ СОВОКУПНОГО ЗНАНИЯ, ИЗД.1</t>
  </si>
  <si>
    <t>Афанасенко И.Д., Борисова В.В.</t>
  </si>
  <si>
    <t>978-5-16-017020-6</t>
  </si>
  <si>
    <t>799193.06.01</t>
  </si>
  <si>
    <t>Логистика новой городской мобильности: Моногр. / Под ред. Шульженко Т.Г. - М.:НИЦ ИНФРА-М,2026 - 546 с.(п)</t>
  </si>
  <si>
    <t>ЛОГИСТИКА НОВОЙ ГОРОДСКОЙ МОБИЛЬНОСТИ: ЦЕННОСТНО ОРИЕНТИРОВАННЫЙ ПОДХОД, ИЗД.1</t>
  </si>
  <si>
    <t>Шульженко Т.Г., Жук А.Е., Иванова Д.П. и др.</t>
  </si>
  <si>
    <t>978-5-16-018306-0</t>
  </si>
  <si>
    <t>07.04.04, 07.06.01, 07.07.01, 07.09.04, 23.04.01, 23.04.02, 23.06.01, 38.04.02, 38.04.04, 38.06.01</t>
  </si>
  <si>
    <t>174550.10.01</t>
  </si>
  <si>
    <t>Логистика производства: Уч.пос. / В.И.Степанов - М.:НИЦ ИНФРА-М,2026. - 200 с.-(ВО: Бакалавриат)(П)</t>
  </si>
  <si>
    <t>ЛОГИСТИКА ПРОИЗВОДСТВА, ИЗД.1</t>
  </si>
  <si>
    <t>Степанов В.И.</t>
  </si>
  <si>
    <t>978-5-16-004973-1</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</si>
  <si>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"Экономика"</t>
  </si>
  <si>
    <t>842426.04.01</t>
  </si>
  <si>
    <t>Логистика производства: Уч.пос. / В.И.Степанов - М.:НИЦ ИНФРА-М,2026. - 200 с.(СПО)(п)</t>
  </si>
  <si>
    <t>978-5-16-020340-9</t>
  </si>
  <si>
    <t>08.02.01, 08.02.08, 23.02.02, 38.02.08</t>
  </si>
  <si>
    <t>145500.16.01</t>
  </si>
  <si>
    <t>Логистика складирования: Уч. / В.В.Дыбская - М.:НИЦ ИНФРА-М,2026. - 559 с.(ВО)(п)</t>
  </si>
  <si>
    <t>ЛОГИСТИКА СКЛАДИРОВАНИЯ, ИЗД.1</t>
  </si>
  <si>
    <t>Дыбская В.В.</t>
  </si>
  <si>
    <t>978-5-16-020399-7</t>
  </si>
  <si>
    <t>23.03.01, 29.04.02, 38.03.01, 38.03.02, 38.03.04, 38.04.02, 38.04.04, 41.03.06, 42.03.03</t>
  </si>
  <si>
    <t>Допущено УМО по образованию в области логистики в качестве учебника для студентов высших учебных заведений, обучающихся по специальности «Логистика и управление цепями поставок»</t>
  </si>
  <si>
    <t>642427.04.01</t>
  </si>
  <si>
    <t>Логистика: модели и методы: Уч.пос. / П.В.Попов - М.:НИЦ ИНФРА-М,2023 - 272 с.(ВО: Магистратура)(П)</t>
  </si>
  <si>
    <t>ЛОГИСТИКА: МОДЕЛИ И МЕТОДЫ, ИЗД.1</t>
  </si>
  <si>
    <t>Попов П.В., Мирецкий И.Ю., Ивуть Р.Б. и др.</t>
  </si>
  <si>
    <t>978-5-16-012704-0</t>
  </si>
  <si>
    <t>Рекомендовано к изданию учебно-методическим объединением Республики Беларусь по образованию в области экономики и организации производства. Рекомендовано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t>
  </si>
  <si>
    <t>Волгоградский государственный университет, Волжский ф-л</t>
  </si>
  <si>
    <t>651651.05.01</t>
  </si>
  <si>
    <t>Логистика: практикум  для бакалавров: Уч.пос. / С.В.Карпова.-М.:Вуз. уч., НИЦ ИНФРА-М,2023.-139с.(О)</t>
  </si>
  <si>
    <t>ЛОГИСТИКА: ПРАКТИКУМ  ДЛЯ БАКАЛАВРОВ, ИЗД.1</t>
  </si>
  <si>
    <t>Карпова С.В., Арский А.А., Борщ В.В. и др.</t>
  </si>
  <si>
    <t>978-5-9558-0545-0</t>
  </si>
  <si>
    <t>13.04.01, 19.04.04, 23.04.02, 23.05.04, 27.03.02, 29.04.02, 35.03.05, 38.03.01, 38.03.02, 38.04.02, 38.04.06, 38.04.09, 42.03.03</t>
  </si>
  <si>
    <t>833629.01.01</t>
  </si>
  <si>
    <t>Логистика: Уч. / М.В.Чараева и др. - М.:НИЦ ИНФРА-М,2025. - 461 с.(ВО)(п)</t>
  </si>
  <si>
    <t>ЛОГИСТИКА, ИЗД.1</t>
  </si>
  <si>
    <t>Чараева М.В., Муромец Н.Е., Ляпунцова Е.В. и др.</t>
  </si>
  <si>
    <t>978-5-16-020222-8</t>
  </si>
  <si>
    <t>38.03.01, 38.04.01, 38.04.02, 38.04.06</t>
  </si>
  <si>
    <t>АКАДЕМУС-2024, Лауреат</t>
  </si>
  <si>
    <t>632118.02.01</t>
  </si>
  <si>
    <t>Логистика: Уч. / Под ред. Альбекова А.У.-М.:ИЦ РИОР, НИЦ ИНФРА-М,2017.-404 с..-(ВО)(П)</t>
  </si>
  <si>
    <t>Альбеков А.У., Пархоменко Т.В., Лопаткин Г.А. и др.</t>
  </si>
  <si>
    <t>978-5-369-01578-0</t>
  </si>
  <si>
    <t>38.03.01, 38.03.06</t>
  </si>
  <si>
    <t>004166.26.01</t>
  </si>
  <si>
    <t>Логистика: Уч. / Под ред. Б.А.Аникина - 4 изд. - М.:НИЦ ИНФРА-М,2026 - 320 с.(ВО)(П)</t>
  </si>
  <si>
    <t>ЛОГИСТИКА, ИЗД.4</t>
  </si>
  <si>
    <t>Аникин Б. А.</t>
  </si>
  <si>
    <t>978-5-16-021292-0</t>
  </si>
  <si>
    <t>Рекомендовано Министерством образования Российской Федерации в качестве учебника для студентов высших учебных заведений, обучающихся по направлению и специальности «Менеджмент»</t>
  </si>
  <si>
    <t>371400.06.01</t>
  </si>
  <si>
    <t>Логистика: Уч. / С.В.Карпова - 2 изд. - М.:НИЦ ИНФРА-М,2025. - 292 с.(ВО (Финанс. универ.))(п)</t>
  </si>
  <si>
    <t>ЛОГИСТИКА, ИЗД.2</t>
  </si>
  <si>
    <t>Карпова С.В., Захаренко И.К., Комаров В.М. и др.</t>
  </si>
  <si>
    <t>978-5-16-019811-8</t>
  </si>
  <si>
    <t>084500.14.01</t>
  </si>
  <si>
    <t>Логистика: Уч. /В.А.Галанов - 2 изд. - М.:Форум, НИЦ ИНФРА-М,2026. - 272 с.(о) (Проф. образ.)</t>
  </si>
  <si>
    <t>Галанов В. А.</t>
  </si>
  <si>
    <t>978-5-91134-906-6</t>
  </si>
  <si>
    <t>08.02.01, 08.02.08, 38.02.03, 38.02.08</t>
  </si>
  <si>
    <t>Допущено Мин. обр. и науки РФ в качестве учебника для студентов учреждений среднего профессионального образования</t>
  </si>
  <si>
    <t>288300.05.01</t>
  </si>
  <si>
    <t>Логистика: Уч. пос. / О.А. Александров - М.: НИЦ ИНФРА-М, 2022 - 217 с. (ВО: Бакалавриат) (п)</t>
  </si>
  <si>
    <t>Александров О. А.</t>
  </si>
  <si>
    <t>978-5-16-010001-2</t>
  </si>
  <si>
    <t>Рекомендовано Советом Учебно-методического объединения по образованию в области менеджмента в качестве учебного пособия для студентов высшего профессионального образования, обучающихся по направлению подготовки 38.03.02  (080200.62)  «Менеджмент" (кв</t>
  </si>
  <si>
    <t>275100.07.01</t>
  </si>
  <si>
    <t>Логистика: Уч. пос./ А.Л. Носов - М.:Магистр:НИЦ ИНФРА-М, 2025 - 184 с. (Бакалавриат). (О)</t>
  </si>
  <si>
    <t>Носов А. Л.</t>
  </si>
  <si>
    <t>978-5-9776-0315-7</t>
  </si>
  <si>
    <t>062900.19.01</t>
  </si>
  <si>
    <t>Логистика: Уч.пос. / А.А.Канке - 2 изд. - М.:ИД Форум, НИЦ ИНФРА-М,2024 - 384 с.-(СПО)(П)</t>
  </si>
  <si>
    <t>Канке А. А., Кошевая И. П.</t>
  </si>
  <si>
    <t>978-5-8199-0930-0</t>
  </si>
  <si>
    <t>08.02.01, 08.02.08, 38.02.01, 38.02.03, 38.02.08</t>
  </si>
  <si>
    <t>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специальностям «Менеджмент (по отраслям)», «Маркетинг (по отраслям)», «Коммерция (по отраслям)»</t>
  </si>
  <si>
    <t>062900.20.01</t>
  </si>
  <si>
    <t>Логистика: Уч.пос. / А.А.Канке, - 3 изд. - М.:НИЦ ИНФРА-М,2026. - 493 с. (СПО)(п)</t>
  </si>
  <si>
    <t>ЛОГИСТИКА, ИЗД.3</t>
  </si>
  <si>
    <t>Канке А.А., Ковалева И.А.</t>
  </si>
  <si>
    <t>978-5-16-018261-2</t>
  </si>
  <si>
    <t>707355.03.01</t>
  </si>
  <si>
    <t>Логистика: Уч.пос. / О.А.Александров - М.:НИЦ ИНФРА-М,2023 - 217 с.-(СПО)(п)</t>
  </si>
  <si>
    <t>Александров О.А.</t>
  </si>
  <si>
    <t>978-5-16-015154-0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</si>
  <si>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6 от 25.03.2019)</t>
  </si>
  <si>
    <t>362100.07.01</t>
  </si>
  <si>
    <t>Логистика: Уч.пос. / Ю.Н.Егоров - М.:НИЦ ИНФРА-М,2024 - 256 с.(ВО)(п)</t>
  </si>
  <si>
    <t>978-5-16-018905-5</t>
  </si>
  <si>
    <t>Рекомендовано АНО ВПО «Московский региональный социально-экономический институт» в качестве учебного пособия для студентов высших учебных заведений, обучающихся по направлениям подготовки 38.03.01 «Экономика» и 38.03.02 «Менеджмент»</t>
  </si>
  <si>
    <t>145350.07.01</t>
  </si>
  <si>
    <t>Логистическая система упр.фин.корпорат.структур: Моногр. / С.Е.Барыкин -М.:НИЦ ИНФРА-М,2021-172с.(О)</t>
  </si>
  <si>
    <t>ЛОГИСТИЧЕСКАЯ СИСТЕМА УПРАВЛЕНИЯ ФИНАНСАМИ КОРПОРАТИВНЫХ СТРУКТУР, ИЗД.1</t>
  </si>
  <si>
    <t>Барыкин С.Е.</t>
  </si>
  <si>
    <t>978-5-16-009797-8</t>
  </si>
  <si>
    <t>38.03.01, 38.03.02, 38.03.06, 38.04.01, 38.04.02, 38.04.06, 38.04.08, 44.03.05</t>
  </si>
  <si>
    <t>688040.03.01</t>
  </si>
  <si>
    <t>Логистический менеджмент: Уч. / Н.Б.Куршакова - М.:НИЦ ИНФРА-М,2024 - 399 с.(ВО: Бакалавр.)(П)</t>
  </si>
  <si>
    <t>ЛОГИСТИЧЕСКИЙ МЕНЕДЖМЕНТ, ИЗД.1</t>
  </si>
  <si>
    <t>Куршакова Н.Б., Левкин Г.Г.</t>
  </si>
  <si>
    <t>978-5-16-018817-1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</si>
  <si>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23.03.01 «Технология транспортных процессов», 27.03.02 «Управление качеством», 38.03.02 «Менеджмент» (квалификация (степень) «бакалавр») (протокол № 11 от 26.10.2020 )</t>
  </si>
  <si>
    <t>Омский государственный университет путей сообщения</t>
  </si>
  <si>
    <t>798978.01.01</t>
  </si>
  <si>
    <t>Логическое программирование: Уч. / А.А.Петренко - М.:НИЦ ИНФРА-М,2025. - 221 с.-(ВО)(п)</t>
  </si>
  <si>
    <t>ЛОГИЧЕСКОЕ ПРОГРАММИРОВАНИЕ, ИЗД.1</t>
  </si>
  <si>
    <t>Петренко А.А., Суворов А.О.</t>
  </si>
  <si>
    <t>978-5-16-018782-2</t>
  </si>
  <si>
    <t>01.04.02, 02.03.02, 09.03.01, 09.03.02, 09.03.03, 09.03.04, 09.04.01, 09.04.02, 09.04.03, 09.04.04, 09.05.01, 45.03.04</t>
  </si>
  <si>
    <t>Пермский Национальный Исследовательский Политехнический Университет</t>
  </si>
  <si>
    <t>730178.08.01</t>
  </si>
  <si>
    <t>Логопедическая раб. с детьми с задержкой психич. развит.: Уч.мет.пос. / В.В.Морозова - М.:НИЦ ИНФРА-М,2027. - 48 с.(О)</t>
  </si>
  <si>
    <t>ЛОГОПЕДИЧЕСКАЯ РАБОТА С ДЕТЬМИ С ЗАДЕРЖКОЙ ПСИХИЧЕСКОГО РАЗВИТИЯ, ИЗД.1</t>
  </si>
  <si>
    <t>Морозова В.В.</t>
  </si>
  <si>
    <t>978-5-16-015934-8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</si>
  <si>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44.02.04 «Специальное дошкольное образование», 44.02.05 «Коррекционная педагогика в начальном образовании» (протокол № 14 от 30.09.2019)</t>
  </si>
  <si>
    <t>838401.01.01</t>
  </si>
  <si>
    <t>Логопедическая работа с детьми, имеющими задержку..: Уч.мет.пос. / В.В.Морозова - М.:НИЦ ИНФРА-М,2025  - 102с(о)</t>
  </si>
  <si>
    <t>ЛОГОПЕДИЧЕСКАЯ РАБОТА С ДЕТЬМИ, ИМЕЮЩИМИ ЗАДЕРЖКУ ПСИХИЧЕСКОГО РАЗВИТИЯ, С УЧЕТОМ ДИФФЕРЕНЦИРОВАННОГО ПОДХОДА, ИЗД.1</t>
  </si>
  <si>
    <t>978-5-16-020268-6</t>
  </si>
  <si>
    <t>327900.11.01</t>
  </si>
  <si>
    <t>Логопедическая работа с детьми...: Уч.мет.пос. / В.В.Морозова - М.:НИЦ ИНФРА-М,2026 - 48 с.(ВО)(о)</t>
  </si>
  <si>
    <t>ЛОГОПЕДИЧЕСКАЯ РАБОТА С ДЕТЬМИ С ЗАДЕРЖКОЙ ПСИХОЛОГИЧЕСКОГО РАЗВИТИЯ, ИЗД.1</t>
  </si>
  <si>
    <t>Морозова В. В.</t>
  </si>
  <si>
    <t>978-5-16-019560-5</t>
  </si>
  <si>
    <t>Рекомендовано кафедрой логопедии ЛГУ имени А.С. Пушкина в качестве учебно-методического пособия для студентов высших учебных заведений, обучающихся по направлениям подготовки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</si>
  <si>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825964.01.01</t>
  </si>
  <si>
    <t>Логопедическая работа с дош. с общим недоразвит. речи: Уч. / Г.Р.Шашкина. - М.:НИЦ ИНФРА-М,2025. - 277 с.(п)</t>
  </si>
  <si>
    <t>ЛОГОПЕДИЧЕСКАЯ РАБОТА С ДОШКОЛЬНИКАМИ С ОБЩИМ НЕДОРАЗВИТИЕМ РЕЧИ (ТЕОРЕТИЧЕСКИЕ ОСНОВЫ И ПРАКТИКУМ), ИЗД.1</t>
  </si>
  <si>
    <t>Шашкина Г.Р., Гравицкая Е.Г., Звягинцева А.А. и др.</t>
  </si>
  <si>
    <t>978-5-16-019952-8</t>
  </si>
  <si>
    <t>828887.01.01</t>
  </si>
  <si>
    <t>Логопедическая работа с дош. с общим недоразвитием речи: Уч. / Г.Р.Шашкина - М.:НИЦ ИНФРА-М,2025. - 304 с.(п)</t>
  </si>
  <si>
    <t>978-5-16-019968-9</t>
  </si>
  <si>
    <t>765846.06.01</t>
  </si>
  <si>
    <t>Логопедические технологии диагност. реч. наруш. у дош.: Уч.пос. / Г.Р.Шашкина - М.:НИЦ ИНФРА-М,2027 - 219 с.(П)</t>
  </si>
  <si>
    <t>ЛОГОПЕДИЧЕСКИЕ ТЕХНОЛОГИИ ДИАГНОСТИКИ РЕЧЕВЫХ НАРУШЕНИЙ У ДОШКОЛЬНИКОВ, ИЗД.1</t>
  </si>
  <si>
    <t>978-5-16-018801-0</t>
  </si>
  <si>
    <t>44.03.01, 44.04.03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</si>
  <si>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 (протокол № 2 от 09.02.2022)</t>
  </si>
  <si>
    <t>768787.05.01</t>
  </si>
  <si>
    <t>Логопедические технологии диагностики реч. наруш. у дош.: Уч.пос. / Г.Р.Шашкина. - М.:НИЦ ИНФРА-М,2025 - 238 с.(П)</t>
  </si>
  <si>
    <t>978-5-16-017398-6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</si>
  <si>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44.04.01 «Педагогическое образование», 44.04.02 «Психолого-педагогическое образование», 44.04.03 «Специальное (дефектологическое) образование» (квалификация (степень) «магистр») (протокол № 2 от 09.02.2022)</t>
  </si>
  <si>
    <t>835109.02.01</t>
  </si>
  <si>
    <t>Логопедические технологии. Коррекция наруш. речи: Уч.пос. / О.И.Азова - М.:НИЦ ИНФРА-М,2027 - 328 с.(ВО)(п)</t>
  </si>
  <si>
    <t>ЛОГОПЕДИЧЕСКИЕ ТЕХНОЛОГИИ. КОРРЕКЦИЯ НАРУШЕНИЙ РЕЧИ, ИЗД.1</t>
  </si>
  <si>
    <t>Азова О.И., Дьякова Е.А., Антипова Ж.В. и др.</t>
  </si>
  <si>
    <t>978-5-16-021486-3</t>
  </si>
  <si>
    <t>МПСУ ОАНО ВО</t>
  </si>
  <si>
    <t>637924.11.01</t>
  </si>
  <si>
    <t>Логопедические технологии: Уч. / О.И.Азова и др. - М.:НИЦ ИНФРА-М,2027 - 243 с.-(ВО)(п)</t>
  </si>
  <si>
    <t>ЛОГОПЕДИЧЕСКИЕ ТЕХНОЛОГИИ, ИЗД.1</t>
  </si>
  <si>
    <t>978-5-16-018755-6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</si>
  <si>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9 от 28.09.2020)</t>
  </si>
  <si>
    <t>719889.07.01</t>
  </si>
  <si>
    <t>Логопедия. Дизорфография: Уч.пос. / О.И.Азова - М.:НИЦ ИНФРА-М,2026 - 180 с.-(СПО)(о)</t>
  </si>
  <si>
    <t>ЛОГОПЕДИЯ. ДИЗОРФОГРАФИЯ, ИЗД.1</t>
  </si>
  <si>
    <t>Азова О.И.</t>
  </si>
  <si>
    <t>978-5-16-015655-2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</si>
  <si>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44.02.05 «Коррекционная педагогика в начальном образовании» (протокол № 8 от 22.06.2020)</t>
  </si>
  <si>
    <t>458600.12.01</t>
  </si>
  <si>
    <t>Логопедия. Дизорфография: Уч.пос. / О.И.Азова - М.:НИЦ ИНФРА-М,2027 - 180 с.(ВО)(О)</t>
  </si>
  <si>
    <t>978-5-16-018859-1</t>
  </si>
  <si>
    <t>44.03.01, 44.03.02, 44.03.03</t>
  </si>
  <si>
    <t>Рекомендовано в качестве учебного пособия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44.03.01 «Педагогическое образование»(квалификация (степень) «бакалавр»)</t>
  </si>
  <si>
    <t>463900.12.01</t>
  </si>
  <si>
    <t>Логопедия: методика и технологии развития речи дош.: Уч. / Ж.В.Антипова - М:НИЦ ИНФРА-М,2026 - 313 с.(ВО)(п)</t>
  </si>
  <si>
    <t>ЛОГОПЕДИЯ: МЕТОДИКА И ТЕХНОЛОГИИ РАЗВИТИЯ РЕЧИ ДОШКОЛЬНИКОВ, ИЗД.1</t>
  </si>
  <si>
    <t>Антипова Ж.В., Давидович Л.Р., Дианова О.Н. и др.</t>
  </si>
  <si>
    <t>978-5-16-019305-2</t>
  </si>
  <si>
    <t>Рекомендовано в качестве учебника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(квалификация (степень) «бакалавр»)</t>
  </si>
  <si>
    <t>701130.02.01</t>
  </si>
  <si>
    <t>Логопедия: методика..: Уч. / Под ред. Микляевой Н.В. - М.:НИЦ ИНФРА-М,2026. - 313 с.(СПО)(п)</t>
  </si>
  <si>
    <t>978-5-16-014789-5</t>
  </si>
  <si>
    <t>Рекомендовано Учебно-методическим советом СПО в качестве учебника учебного пособия для студентов учебных заведений, реализующих программу среднего профессионального образования по  специальност (и) (ям) 44.02.01 Дошкольное образование,  44.02.03 Педагогика дополнительного образования, 44.02.04 Специальное дошкольное образование</t>
  </si>
  <si>
    <t>799194.03.01</t>
  </si>
  <si>
    <t>Логопедия: Сб. задач и упражнений: Уч.пос. / И.А.Горшенёва - М.:НИЦ ИНФРА-М,2027. - 228 с.(ВО)(п)</t>
  </si>
  <si>
    <t>ЛОГОПЕДИЯ: СБОРНИК ЗАДАЧ И УПРАЖНЕНИЙ, ИЗД.1</t>
  </si>
  <si>
    <t>Буковцова Н.И., Гордиевский А.Ю., Горшенёва И.А. и др.</t>
  </si>
  <si>
    <t>978-5-16-018413-5</t>
  </si>
  <si>
    <t>806424.04.01</t>
  </si>
  <si>
    <t>Логос права: Парменид-Гегель-Достоевский / С.И.Захарцев - 2 изд. - М.:Юр. НОРМА, НИЦ ИНФРА-М,2026. - 376 с.(п)</t>
  </si>
  <si>
    <t>ЛОГОС ПРАВА: ПАРМЕНИД-ГЕГЕЛЬ-ДОСТОЕВСКИЙ, ИЗД.2</t>
  </si>
  <si>
    <t>Захарцев С.И., Сальников В.П., Масленников Д.В.</t>
  </si>
  <si>
    <t>978-5-00156-360-0</t>
  </si>
  <si>
    <t>850473.01.01</t>
  </si>
  <si>
    <t>Локальные электрохимич. покрытия: Моногр. / А.А.Тихонов - М.:НИЦ ИНФРА-М,2025. - 382 с.(Науч.мысль)(п)</t>
  </si>
  <si>
    <t>ЛОКАЛЬНЫЕ ЭЛЕКТРОХИМИЧЕСКИЕ ПОКРЫТИЯ, ИЗД.1</t>
  </si>
  <si>
    <t>Тихонов А.А.</t>
  </si>
  <si>
    <t>978-5-16-020790-2</t>
  </si>
  <si>
    <t>03.04.02, 15.05.01, 15.06.01</t>
  </si>
  <si>
    <t>417950.07.01</t>
  </si>
  <si>
    <t>М. Горький и писатели Сибири: Моногр. / Л.В.Суматохина - М.:НИЦ ИНФРА-М,2024 - 237 с.(Науч.мысль)(О)</t>
  </si>
  <si>
    <t>М. ГОРЬКИЙ И ПИСАТЕЛИ СИБИРИ, ИЗД.1</t>
  </si>
  <si>
    <t>Суматохина Л. В.</t>
  </si>
  <si>
    <t>978-5-16-019055-6</t>
  </si>
  <si>
    <t>45.03.01, 45.04.01, 51.03.01, 51.03.06, 52.03.04, 52.03.05</t>
  </si>
  <si>
    <t>Институт мировой литературы им. А.М. Горького Российской академии наук</t>
  </si>
  <si>
    <t>741139.01.01</t>
  </si>
  <si>
    <t>Магистранты российского университета: упр. соц. поведением и проф подготовкой: Моногр / С.Н.Макарова.-М.:НИЦ ИНФРА-М,2021-233с(П)</t>
  </si>
  <si>
    <t>МАГИСТРАНТЫ РОССИЙСКОГО УНИВЕРСИТЕТА: УПРАВЛЕНИЕ СОЦИАЛЬНЫМ ПОВЕДЕНИЕМ И ПРОФЕССИОНАЛЬНОЙ ПОДГОТОВКОЙ, ИЗД.1</t>
  </si>
  <si>
    <t>Макарова С.Н., Резник С.Д., Резник С.Д.</t>
  </si>
  <si>
    <t>978-5-16-016402-1</t>
  </si>
  <si>
    <t>38.04.02, 38.06.01</t>
  </si>
  <si>
    <t>828708.03.01</t>
  </si>
  <si>
    <t>Магнитные компасы: Уч.пос. / К.Е.Яковлев  - М.:НИЦ ИНФРА-М,2027. - 211 с.(п)</t>
  </si>
  <si>
    <t>МАГНИТНЫЕ КОМПАСЫ, ИЗД.1</t>
  </si>
  <si>
    <t>Яковлев К.Е., Худяков Г.В., Палий Н.Н. и др.</t>
  </si>
  <si>
    <t>978-5-16-020022-4</t>
  </si>
  <si>
    <t>335400.06.01</t>
  </si>
  <si>
    <t>Макроквантовый термодинамич.метод...: Моногр. / Ю.В.Светлов - М.:НИЦ ИНФРА-М,2026 - 313 с.(Науч.мысль)(п)</t>
  </si>
  <si>
    <t>МАКРОКВАНТОВЫЙ ТЕРМОДИНАМИЧЕСКИЙ МЕТОД РАСЧЕТНОГО АНАЛИЗА ТЕРМОВЛАЖНОСТНЫХ ПРОЦЕССОВ В ПОРИСТЫХ МАТЕРИАЛАХ, ИЗД.1</t>
  </si>
  <si>
    <t>978-5-16-010673-1</t>
  </si>
  <si>
    <t>29.03.01, 29.03.05, 29.04.02</t>
  </si>
  <si>
    <t>179550.12.01</t>
  </si>
  <si>
    <t>Макроэкономика - I: Уч. пос. / А.Ю.Воронин, И.А.Киршин - М.: НИЦ Инфра-М, 2026 - 110 с.(ВО: Бакалавр.) (о)</t>
  </si>
  <si>
    <t>МАКРОЭКОНОМИКА - I, ИЗД.1</t>
  </si>
  <si>
    <t>Воронин А. Ю., Киршин И. А.</t>
  </si>
  <si>
    <t>978-5-16-005486-5</t>
  </si>
  <si>
    <t>38.03.01, 38.03.02, 38.03.03, 38.03.04, 38.03.05, 38.04.01, 38.04.02, 38.04.03, 38.04.04, 38.04.05, 38.04.08, 38.04.09, 41.03.06, 44.03.01, 44.03.05</t>
  </si>
  <si>
    <t>Рекомендовано Учебно-методическим объединением по образованию в области экономики в качестве учебного пособия для студентов вузов, обучающихся по направлению 080100 "Экономика" (квалиф. (степень) бакалавр")</t>
  </si>
  <si>
    <t>310200.06.01</t>
  </si>
  <si>
    <t>Макроэкономика / Н.С.Косов и др. - М.:НИЦ ИНФРА-М,2026.- 264 с.(ВО: Бакалавр.)(п)</t>
  </si>
  <si>
    <t>МАКРОЭКОНОМИКА, ИЗД.1</t>
  </si>
  <si>
    <t>Н.С.Косов, Н.И.Саталкина, Ю.О.Терехова</t>
  </si>
  <si>
    <t>978-5-16-010315-0</t>
  </si>
  <si>
    <t>805086.03.01</t>
  </si>
  <si>
    <t>Макроэкономика. Прак. странового анализа: Уч.пос. / Под ред. Бондаренко К.А. - М.:НИЦ ИНФРА-М,2026 - 552 с.(ВО)(п)</t>
  </si>
  <si>
    <t>МАКРОЭКОНОМИКА. ПРАКТИКУМ СТРАНОВОГО АНАЛИЗА, ИЗД.1</t>
  </si>
  <si>
    <t>Баженов Г.А., Беляков И.В., Бирюкова О.В. и др.</t>
  </si>
  <si>
    <t>978-5-16-019748-7</t>
  </si>
  <si>
    <t>38.03.01, 38.03.04, 50.03.01, 58.04.01</t>
  </si>
  <si>
    <t>645478.09.01</t>
  </si>
  <si>
    <t>Макроэкономика: Пос. для семинар. занятий /Под ред. Нуреева Р.М.-М:Юр.Норма,НИЦ ИНФРА-М,2024-384с(П)</t>
  </si>
  <si>
    <t>Нуреев Р.М.</t>
  </si>
  <si>
    <t>978-5-91768-788-9</t>
  </si>
  <si>
    <t>38.03.01, 38.03.04, 38.04.01, 44.03.01, 44.03.05</t>
  </si>
  <si>
    <t>324300.09.01</t>
  </si>
  <si>
    <t>Макроэкономика: Практикум / Р.М.Нуреев - М.:Юр.Норма, НИЦ ИНФРА-М,2026  - 400 с.(п)</t>
  </si>
  <si>
    <t>Нуреев Р. М.,  под ред.</t>
  </si>
  <si>
    <t>978-5-91768-574-8</t>
  </si>
  <si>
    <t>38.03.01, 38.04.01, 44.03.01, 44.03.05</t>
  </si>
  <si>
    <t>174500.10.01</t>
  </si>
  <si>
    <t>Макроэкономика: Продвинутый уровень: Курс лекций / Б.Е.Бродский - М.:НИЦ ИНФРА-М,2026. - 336 с.(п)</t>
  </si>
  <si>
    <t>МАКРОЭКОНОМИКА: ПРОДВИНУТЫЙ УРОВЕНЬ, ИЗД.1</t>
  </si>
  <si>
    <t>Бродский Б. Е.</t>
  </si>
  <si>
    <t>978-5-16-022281-3</t>
  </si>
  <si>
    <t>144500.14.01</t>
  </si>
  <si>
    <t>Макроэкономика: Уч. / В.В.Золотарчук - 2 изд. - М.:НИЦ ИНФРА-М,2025 - 537 с.(ВО)(п)</t>
  </si>
  <si>
    <t>МАКРОЭКОНОМИКА, ИЗД.2</t>
  </si>
  <si>
    <t>Золотарчук В.В.</t>
  </si>
  <si>
    <t>978-5-16-018608-5</t>
  </si>
  <si>
    <t>38.03.01, 38.03.02, 38.03.04, 38.03.05, 38.03.06, 38.03.07, 38.04.01, 38.04.02, 38.04.04, 38.04.05, 38.04.06, 38.04.07, 38.04.08, 38.04.09, 44.03.01, 44.03.05</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</si>
  <si>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экономическим и неэкономическим специальностям</t>
  </si>
  <si>
    <t>151800.11.01</t>
  </si>
  <si>
    <t>Макроэкономика: Уч. / Л.Е.Басовский - М.:НИЦ ИНФРА-М,2026 - 202 с.(ВО: Бакалавриат)(П)</t>
  </si>
  <si>
    <t>Басовский Л.Е., Басовская Е.Н.</t>
  </si>
  <si>
    <t>978-5-16-004928-1</t>
  </si>
  <si>
    <t>38.03.01, 38.03.04</t>
  </si>
  <si>
    <t>Рекомендовано Учебно-методическим объединением по образованию в области экономики в качестве учебного пособия для студентов вузов, обучающихся по направлению 080100 "Экономика"</t>
  </si>
  <si>
    <t>775337.01.01</t>
  </si>
  <si>
    <t>Макроэкономика: Уч. / Под ред. Чередниченко Л.Г. - 2 изд. - М.:НИЦ ИНФРА-М,2022 - 388 с.(115 лет РЭУ)(О)</t>
  </si>
  <si>
    <t>Чередниченко Л.Г., Батудаева Л.И., Бондаренко Н.Е. и др.</t>
  </si>
  <si>
    <t>Обложка. Шитьё нитками</t>
  </si>
  <si>
    <t>115 лет РЭУ им. Плеханова</t>
  </si>
  <si>
    <t>978-5-16-017542-3</t>
  </si>
  <si>
    <t>00.03.13, 00.05.13, 37.03.01, 38.03.01, 38.03.04, 38.04.01, 38.04.05, 38.05.01, 38.05.02, 41.03.02, 41.03.05, 43.03.02, 44.03.01, 44.03.05</t>
  </si>
  <si>
    <t>444400.02.01</t>
  </si>
  <si>
    <t>Макроэкономика: Уч. / Под ред. Чередниченко Л.Г. - М.:НИЦ ИНФРА-М,2017.-396 с..-(ВО: Бакалавриат)(П)</t>
  </si>
  <si>
    <t>Батудаева Л.И., Бурденко Е.В., Громыко В.В. и др.</t>
  </si>
  <si>
    <t>978-5-16-011387-6</t>
  </si>
  <si>
    <t>444400.09.01</t>
  </si>
  <si>
    <t>Макроэкономика: Уч. / Под ред. Чередниченко Л.Г., - 2 изд. - М.:НИЦ ИНФРА-М,2026. - 385 с.(ВО)(П)</t>
  </si>
  <si>
    <t>978-5-16-019299-4</t>
  </si>
  <si>
    <t>Рекомендовано в качестве учебника для студентов высших учебных заведений, обучающихся по направлению подготовки 38.03.01 -Экономика" (квалификация (степень) "бакалавр»)</t>
  </si>
  <si>
    <t>757717.01.01</t>
  </si>
  <si>
    <t>Макроэкономическая теория. Ист. и нереш. пробл.: Уч.пос. / В.С.Гродский-М.:ИЦ РИОР, НИЦ ИНФРА-М,2022.-304 с.(ВО)(П)</t>
  </si>
  <si>
    <t>МАКРОЭКОНОМИЧЕСКАЯ ТЕОРИЯ, ИЗД.1</t>
  </si>
  <si>
    <t>Гродский В.С.</t>
  </si>
  <si>
    <t>978-5-369-01879-8</t>
  </si>
  <si>
    <t>720622.08.01</t>
  </si>
  <si>
    <t>Макс Вебер: инвариантность господства: Моногр. / Э.Н.Ожиганов - М.:НИЦ ИНФРА-М,2027 - 179 с.(Науч.мысль)(о)</t>
  </si>
  <si>
    <t>МАКС ВЕБЕР: ИНВАРИАНТНОСТЬ ГОСПОДСТВА, ИЗД.1</t>
  </si>
  <si>
    <t>Ожиганов Э.Н.</t>
  </si>
  <si>
    <t>978-5-16-015720-7</t>
  </si>
  <si>
    <t>466350.12.01</t>
  </si>
  <si>
    <t>Малая хирургия: руководство: Практ. рук. / В.И.Маслов - М.:НИЦ ИНФРА-М,2027 - 248 с.(О)</t>
  </si>
  <si>
    <t>МАЛАЯ ХИРУРГИЯ: РУКОВОДСТВО, ИЗД.1</t>
  </si>
  <si>
    <t>Маслов В. И., Шапкин Ю. Г.</t>
  </si>
  <si>
    <t>978-5-16-009730-5</t>
  </si>
  <si>
    <t>31.02.01, 31.05.01, 31.05.02, 31.06.01, 31.07.01, 31.08.67</t>
  </si>
  <si>
    <t>Саратовский государственный медицинский университет им. В.И. Разумовского Минздрава России</t>
  </si>
  <si>
    <t>775278.01.01</t>
  </si>
  <si>
    <t>Малоинвазивная ургентная панкреатобилиарная хирургия...: Моногр. / Ю.С.Винник.-М.:НИЦ ИНФРА-М,2022.-276 с.(О)</t>
  </si>
  <si>
    <t>МАЛОИНВАЗИВНАЯ УРГЕНТНАЯ ПАНКРЕАТОБИЛИАРНАЯ ХИРУРГИЯ У ПАЦИЕНТОВ СТАРШИХ ВОЗРАСТНЫХ ГРУПП, ИЗД.1</t>
  </si>
  <si>
    <t>Винник Ю.С., Миллер С.В., Теплякова О.В.</t>
  </si>
  <si>
    <t>978-5-16-017611-6</t>
  </si>
  <si>
    <t>31.05.01, 31.06.01, 31.07.01, 31.08.67</t>
  </si>
  <si>
    <t>Красноярский государственный медицинский университет им. профессора В.Ф. Войно-Ясенецкого</t>
  </si>
  <si>
    <t>692615.07.01</t>
  </si>
  <si>
    <t>Малые мосты: Монография / Б.А.Дробышевский - М.:НИЦ ИНФРА-М,2025 - 228 с.(Науч.мысль)(О)</t>
  </si>
  <si>
    <t>МАЛЫЕ МОСТЫ, ИЗД.1</t>
  </si>
  <si>
    <t>Дробышевский Б.А.</t>
  </si>
  <si>
    <t>978-5-16-014556-3</t>
  </si>
  <si>
    <t>08.03.01, 08.04.01, 08.05.02, 08.06.01</t>
  </si>
  <si>
    <t>757824.05.01</t>
  </si>
  <si>
    <t>Маневрирование и управление судном: Уч.мет.пос.: В 2 ч.Ч.1 / В.И.Носенко - М.:НИЦ ИНФРА-М,2026 - 240 с.(П)</t>
  </si>
  <si>
    <t>МАНЕВРИРОВАНИЕ И УПРАВЛЕНИЕ СУДНОМ, Т.1</t>
  </si>
  <si>
    <t>Носенко В.И., Сухина М.И., Наумов М.В. и др.</t>
  </si>
  <si>
    <t>978-5-16-016918-7</t>
  </si>
  <si>
    <t>26.01.07, 26.01.09, 26.02.01, 26.02.03, 26.02.04, 26.02.05, 26.02.06, 35.01.32, 43.01.04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</si>
  <si>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26.02.03 «Судовождение» (протокол № 11 от 09.11.2020)</t>
  </si>
  <si>
    <t>707963.08.01</t>
  </si>
  <si>
    <t>Маневрирование и управление судном: Уч.мет.пос.: Ч.1 / В.И.Носенко - М.:НИЦ ИНФРА-М,2026 - 240 с.(П)</t>
  </si>
  <si>
    <t>978-5-16-015333-9</t>
  </si>
  <si>
    <t>26.05.03, 26.05.04, 26.05.05, 26.05.06, 26.05.07</t>
  </si>
  <si>
    <t>707962.06.01</t>
  </si>
  <si>
    <t>Маневрирование и управление судном: Уч.мет.пос.: Ч.2 / В.И.Носенко - М.:НИЦ ИНФРА-М,2026 - 304 с.(П)</t>
  </si>
  <si>
    <t>МАНЕВРИРОВАНИЕ И УПРАВЛЕНИЕ СУДНОМ, Т.2</t>
  </si>
  <si>
    <t>978-5-16-015334-6</t>
  </si>
  <si>
    <t>26.05.04, 26.05.05, 26.05.06, 26.05.07</t>
  </si>
  <si>
    <t>757827.04.01</t>
  </si>
  <si>
    <t>Маневрирование и управление судном: Ч 2: Уч.мет.пос. / В.И.Носенко - М.:НИЦ ИНФРА-М,2026 - 304 с.(СПО)(П)</t>
  </si>
  <si>
    <t>978-5-16-016920-0</t>
  </si>
  <si>
    <t>26.01.07, 26.01.09, 26.02.01, 26.02.03, 26.02.05, 26.02.06, 35.01.32, 43.01.04</t>
  </si>
  <si>
    <t>456850.05.01</t>
  </si>
  <si>
    <t>Маргарет Тэтчер и германский вопрос: Моногр./ И.И. Ковяко. - М.: НИЦ ИНФРА-М, 2024. - 142 с. (о)</t>
  </si>
  <si>
    <t>МАРГАРЕТ ТЭТЧЕР И ГЕРМАНСКИЙ ВОПРОС., ИЗД.1</t>
  </si>
  <si>
    <t>Ковяко И. И.</t>
  </si>
  <si>
    <t>978-5-16-009385-7</t>
  </si>
  <si>
    <t>632079.07.01</t>
  </si>
  <si>
    <t>Марк Твен: судьба "короля смеха": Моногр. / Б.А.Гиленсон - М.:НИЦ ИНФРА-М,2026 - 248 с.(Науч.мысль)(о)</t>
  </si>
  <si>
    <t>МАРК ТВЕН: СУДЬБА "КОРОЛЯ СМЕХА", ИЗД.1</t>
  </si>
  <si>
    <t>978-5-16-022134-2</t>
  </si>
  <si>
    <t>41.03.06, 42.03.02, 42.03.03, 42.03.04, 52.03.04, 52.03.05</t>
  </si>
  <si>
    <t>632079.06.01</t>
  </si>
  <si>
    <t>Марк Твен: судьба "короля смеха": Моногр. / Б.А.Гиленсон - М.:НИЦ ИНФРА-М,2026 - 248 с.(Науч.мысль)(п)</t>
  </si>
  <si>
    <t>978-5-16-012025-6</t>
  </si>
  <si>
    <t>684980.04.01</t>
  </si>
  <si>
    <t>Маркетинг в общественном питании: Уч. / Е.С.Григорян. - М.:НИЦ ИНФРА-М,2025. - 352 с.(ВО)(п)</t>
  </si>
  <si>
    <t>МАРКЕТИНГ В ОБЩЕСТВЕННОМ ПИТАНИИ, ИЗД.1</t>
  </si>
  <si>
    <t>Григорян Е.С., Пиканина Г.Т., Соколова Е.А.</t>
  </si>
  <si>
    <t>978-5-16-019220-8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</si>
  <si>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19.03.04 «Технология продукции и организация общественного питания», 38.03.02 «Менеджмент» (профиль «Маркетинг») (квалификация (степень) «бакалавр») (протокол № 11 от 26.10.2020)</t>
  </si>
  <si>
    <t>842369.01.01</t>
  </si>
  <si>
    <t>Маркетинг в общественном питании: Уч. / Е.С.Григорян. - М.:НИЦ ИНФРА-М,2025. - 352 с.(СПО)(п)</t>
  </si>
  <si>
    <t>978-5-16-020322-5</t>
  </si>
  <si>
    <t>19.02.10, 38.02.08, 43.02.01</t>
  </si>
  <si>
    <t>071100.14.01</t>
  </si>
  <si>
    <t>Маркетинг в отраслях и сферах деятел.: Уч.пос. / Н.А.Нагапетьянц - 2 изд. - М.:Вуз.уч.,ИНФРА-М,2026 - 282 с.(п)</t>
  </si>
  <si>
    <t>МАРКЕТИНГ В ОТРАСЛЯХ И СФЕРАХ ДЕЯТЕЛЬНОСТИ, ИЗД.2</t>
  </si>
  <si>
    <t>Нагапетьянц Н. А.</t>
  </si>
  <si>
    <t>978-5-9558-0163-6</t>
  </si>
  <si>
    <t>Допущено Мин. обр. и науки РФ в качестве учебного пособия для студентов высших учебных заведений, обучающихся по специальности 080111 "Маркетинг"</t>
  </si>
  <si>
    <t>697596.04.01</t>
  </si>
  <si>
    <t>Маркетинг в ракетно-космической сфере: Уч.пос. / Т.Н.Рыжикова - М.:НИЦ ИНФРА-М,2026 - 201 с.(ВО)(П)</t>
  </si>
  <si>
    <t>МАРКЕТИНГ В РАКЕТНО-КОСМИЧЕСКОЙ СФЕРЕ, ИЗД.1</t>
  </si>
  <si>
    <t>978-5-16-021134-3</t>
  </si>
  <si>
    <t>24.03.01, 24.04.01, 38.03.01, 38.03.02, 38.04.01, 38.04.02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</si>
  <si>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24.03.01 «Ракетные комплексы и космонавтика» (квалификация (степень) «бакалавр») (протокол № 2 от 03.02.2020)</t>
  </si>
  <si>
    <t>682968.08.01</t>
  </si>
  <si>
    <t>Маркетинг в туризме: Уч. / Под ред. Богданова Е.И. - М.:НИЦ ИНФРА-М,2026 - 214 с.(СПО)(П)</t>
  </si>
  <si>
    <t>МАРКЕТИНГ В ТУРИЗМЕ, ИЗД.1</t>
  </si>
  <si>
    <t>Абабков Ю.Н., Абабкова М.Ю., Филиппова И.Г. и др.</t>
  </si>
  <si>
    <t>978-5-16-013962-3</t>
  </si>
  <si>
    <t>Санкт-Петербургский государственный университет сервиса и экономики</t>
  </si>
  <si>
    <t>149700.13.01</t>
  </si>
  <si>
    <t>Маркетинг в туризме: Уч. / Под ред. Богданова Е.И. - М.:НИЦ ИНФРА-М,2026. - 214 с.(ВО)(п)</t>
  </si>
  <si>
    <t>978-5-16-019701-2</t>
  </si>
  <si>
    <t>126660.12.01</t>
  </si>
  <si>
    <t>Маркетинг в туризме: Уч. пос./ А.П. Дурович. - М.: НИЦ ИНФРА-М, 2025. - 316 с. (ВО: Бакалавр.) (п)</t>
  </si>
  <si>
    <t>Дурович А. П.</t>
  </si>
  <si>
    <t>978-5-16-009967-5</t>
  </si>
  <si>
    <t>Рекомендовано УМО по образованию в области сервиса и туризма в качестве учебного пособия для студентов вузов, обучающихся по специальности 100103 - Социально-культурный сервис и туризм</t>
  </si>
  <si>
    <t>763470.04.01</t>
  </si>
  <si>
    <t>Маркетинг В2В: Уч.пос. / Под ред. Бек Н.Н. - 2 изд. - М.:НИЦ ИНФРА-М,2024 - 392 с.(ВО: Магистратура)(П)</t>
  </si>
  <si>
    <t>МАРКЕТИНГ В2В, ИЗД.2</t>
  </si>
  <si>
    <t>Бек М.А., Бек Н.Н.</t>
  </si>
  <si>
    <t>978-5-16-017157-9</t>
  </si>
  <si>
    <t>38.04.01, 38.04.02, 38.04.08</t>
  </si>
  <si>
    <t>343800.07.01</t>
  </si>
  <si>
    <t>Маркетинг гостиничного предприятия. Практ. / Л.В.Баумгартен-М.:Вуз. уч., НИЦ ИНФРА-М,2024.-216 с.(П)</t>
  </si>
  <si>
    <t>МАРКЕТИНГ ГОСТИНИЧНОГО ПРЕДПРИЯТИЯ. ПРАКТИКУМ, ИЗД.1</t>
  </si>
  <si>
    <t>Баумгартен Л.В.</t>
  </si>
  <si>
    <t>978-5-9558-0425-5</t>
  </si>
  <si>
    <t>719420.02.01</t>
  </si>
  <si>
    <t>Маркетинг гостиничного предприятия: Уч.пос. / И.С.Ключевская - М.:НИЦ ИНФРА-М,2022 - 236 с.-(СПО)(П)</t>
  </si>
  <si>
    <t>МАРКЕТИНГ ГОСТИНИЧНОГО ПРЕДПРИЯТИЯ, ИЗД.1</t>
  </si>
  <si>
    <t>978-5-16-015631-6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</si>
  <si>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43.02.11 «Гостиничный сервис» (протокол № 12 от 24.06.2019)</t>
  </si>
  <si>
    <t>670850.03.01</t>
  </si>
  <si>
    <t>Маркетинг гостиничного предприятия: Уч.пос. / И.С.Ключевская - М.:НИЦ ИНФРА-М,2025 - 236 с.-(ВО)(П)</t>
  </si>
  <si>
    <t>978-5-16-014427-6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</si>
  <si>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43.03.03 «Гостиничное дело», 43.04.01 «Сервис», 43.04.02 «Туризм» (протокол № 9 от 13.05.2019)</t>
  </si>
  <si>
    <t>423950.08.01</t>
  </si>
  <si>
    <t>Маркетинг для инженеров: Уч. пос. / В.Д.Сыров - М.: ИЦ РИОР: НИЦ ИНФРА-М, 2026 - 133 с.(ВО: Бакалавр.)(П)</t>
  </si>
  <si>
    <t>МАРКЕТИНГ ДЛЯ ИНЖЕНЕРОВ, ИЗД.1</t>
  </si>
  <si>
    <t>Сыров В. Д.</t>
  </si>
  <si>
    <t>978-5-369-01180-5</t>
  </si>
  <si>
    <t>11.03.01, 11.03.02, 11.03.03, 11.03.04, 11.04.01, 11.04.02, 11.04.03, 11.04.04, 11.05.01, 11.05.02, 11.05.04, 44.03.01, 44.03.05</t>
  </si>
  <si>
    <t>337200.05.01</t>
  </si>
  <si>
    <t>Маркетинг для магистров: Уч. / Под общ. ред.И.М.Синяевой - М.:Вуз. уч., НИЦ ИНФРА-М,2024.-368 с.(П)</t>
  </si>
  <si>
    <t>МАРКЕТИНГ ДЛЯ МАГИСТРОВ, ИЗД.1</t>
  </si>
  <si>
    <t>978-5-9558-0419-4</t>
  </si>
  <si>
    <t>263500.07.01</t>
  </si>
  <si>
    <t>Маркетинг и современность: Моногр. / С.В.Карпова-М.:Вуз. уч., НИЦ ИНФРА-М,2024-267с.(Научная книга)(о)</t>
  </si>
  <si>
    <t>МАРКЕТИНГ И СОВРЕМЕННОСТЬ, ИЗД.1</t>
  </si>
  <si>
    <t>Карпова С. В., Азарова С. П., Арский А. А., Карпова С. В.</t>
  </si>
  <si>
    <t>978-5-9558-0361-6</t>
  </si>
  <si>
    <t>17.03.01, 19.03.04, 23.03.01, 23.03.03, 26.03.02, 27.03.02, 29.03.02, 35.03.03, 35.03.04, 38.03.02, 38.03.05, 38.04.02, 38.04.05, 41.03.06, 44.03.01, 44.03.05, 52.03.01</t>
  </si>
  <si>
    <t>805158.01.01</t>
  </si>
  <si>
    <t>Маркетинг инноваций: Уч. / В.Д.Маркова - М.:НИЦ ИНФРА-М,2025. - 181 с.(ВО:Магистр)(п)</t>
  </si>
  <si>
    <t>МАРКЕТИНГ ИННОВАЦИЙ, ИЗД.1</t>
  </si>
  <si>
    <t>Маркова В.Д.</t>
  </si>
  <si>
    <t>978-5-16-018716-7</t>
  </si>
  <si>
    <t>27.03.05, 27.04.05, 38.03.01, 38.03.02, 38.04.01, 38.04.02</t>
  </si>
  <si>
    <t>677785.06.01</t>
  </si>
  <si>
    <t>Маркетинг инновационно-технологических стартапов.../ Б.Е.Токарев - М.:Магистр, НИЦ ИНФРА-М,2025 - 264 с.(о)</t>
  </si>
  <si>
    <t>МАРКЕТИНГ ИННОВАЦИОННО-ТЕХНОЛОГИЧЕСКИХ СТАРТАПОВ: ОТ ТЕХНОЛОГИИ ДО КОММЕРЧЕСКОГО РЕЗУЛЬТАТА, ИЗД.1</t>
  </si>
  <si>
    <t>Токарев Б.Е.</t>
  </si>
  <si>
    <t>978-5-9776-0572-4</t>
  </si>
  <si>
    <t>38.03.06</t>
  </si>
  <si>
    <t>677785.05.01</t>
  </si>
  <si>
    <t>Маркетинг инновационно-технологических стартапов.../ Б.Е.Токарев-М.:Магистр, НИЦ ИНФРА-М,2024-264с(П</t>
  </si>
  <si>
    <t>978-5-9776-0472-7</t>
  </si>
  <si>
    <t>182150.06.01</t>
  </si>
  <si>
    <t>Маркетинг на предпр. и в корпорациях...: Моногр. / Под ред. Смирнова К.А. - М.:НИЦ ИНФРА-М,2022-166с(О)</t>
  </si>
  <si>
    <t>МАРКЕТИНГ НА ПРЕДПРИЯТИЯХ И В КОРПОРАЦИЯХ: ТЕОРИЯ И ПРАКТИКА, ИЗД.1</t>
  </si>
  <si>
    <t>Никитина Т.Е., Смирнов К.А., Смирнов К.А.</t>
  </si>
  <si>
    <t>978-5-16-005497-1</t>
  </si>
  <si>
    <t>407950.06.01</t>
  </si>
  <si>
    <t>Маркетинг на финансовом рынке:Уч.пос. / К.А.Смирнов-М.:НИЦ ИНФРА-М,2023.-207 с..-(ВО: Бакалавриат)(П)</t>
  </si>
  <si>
    <t>МАРКЕТИНГ НА ФИНАНСОВОМ РЫНКЕ, ИЗД.1</t>
  </si>
  <si>
    <t>Смирнов К.А., Никитина Т.Е.</t>
  </si>
  <si>
    <t>978-5-16-005579-4</t>
  </si>
  <si>
    <t>38.03.01, 38.03.02, 38.04.01, 38.04.02, 38.04.08, 41.03.06, 44.03.01, 44.03.05</t>
  </si>
  <si>
    <t>Рекомендовано ФБГОУ ВПО «государстеенный университет управления» в качестве учебного пособия для студентов высших учебных заведений, обучающихся по направлению подготовки 38.03.01 (080100) «Экономика» (квалификация (степень) "бакалавр»). Регистр, ном</t>
  </si>
  <si>
    <t>829952.01.01</t>
  </si>
  <si>
    <t>Маркетинг отношений с ключ. партнерами в сфере образ.: Моногр. / В.Д.Малыгина - М.:НИЦ ИНФРА-М,2025 - 197 с.(о)</t>
  </si>
  <si>
    <t>МАРКЕТИНГ ОТНОШЕНИЙ С КЛЮЧЕВЫМИ ПАРТНЕРАМИ В СФЕРЕ ОБРАЗОВАНИЯ, ИЗД.1</t>
  </si>
  <si>
    <t>Малыгина В.Д., Корчига Л.И.</t>
  </si>
  <si>
    <t>978-5-16-020042-2</t>
  </si>
  <si>
    <t>096300.15.01</t>
  </si>
  <si>
    <t>Маркетинг рекламы: Уч.пос. / М.А.Блюм и др., - 2 изд. - М.:Форум, НИЦ ИНФРА-М,2027. - 144 с.(СПО)(о)</t>
  </si>
  <si>
    <t>МАРКЕТИНГ РЕКЛАМЫ, ИЗД.2</t>
  </si>
  <si>
    <t>Блюм М.А., Герасимов Б.И., Молоткова Н.В.</t>
  </si>
  <si>
    <t>978-5-00091-692-6</t>
  </si>
  <si>
    <t>135150.11.01</t>
  </si>
  <si>
    <t>Маркетинг розничного торг. предпр.: Уч.пос. / Г.А.Васильев - М.:Вуз. уч., НИЦ ИНФРА-М,2026 -159 с.(ВО)(п)</t>
  </si>
  <si>
    <t>МАРКЕТИНГ РОЗНИЧНОГО ТОРГОВОГО ПРЕДПРИЯТИЯ, ИЗД.1</t>
  </si>
  <si>
    <t>Васильев Г. А., Романов А. А., Поляков В. А.</t>
  </si>
  <si>
    <t>978-5-9558-0152-0</t>
  </si>
  <si>
    <t>38.03.02, 38.03.06, 38.04.06</t>
  </si>
  <si>
    <t>684818.05.01</t>
  </si>
  <si>
    <t>Маркетинг розничного торгового предпр: Уч.пос. / Г.А.Васильев - М.:НИЦ ИНФРА-М,2026 - 159 с.(П)</t>
  </si>
  <si>
    <t>Васильев Г.А., Романов А.А., Поляков В.А.</t>
  </si>
  <si>
    <t>978-5-16-021750-5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</si>
  <si>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38.02.04 «Коммерция (по отраслям)» (протокол № 8 от 20.10.2021)</t>
  </si>
  <si>
    <t>804950.03.01</t>
  </si>
  <si>
    <t>Маркетинг рыночных ниш: Уч.пос. / Б.Е.Токарев - М.:Магистр, НИЦ ИНФРА-М,2025 - 124 с.(п)</t>
  </si>
  <si>
    <t>МАРКЕТИНГ РЫНОЧНЫХ НИШ, ИЗД.1</t>
  </si>
  <si>
    <t>978-5-9776-0553-3</t>
  </si>
  <si>
    <t>404050.06.01</t>
  </si>
  <si>
    <t>Маркетинг сферы услуг: Уч. пос. / С.Н. Диянова, - М.: Магистр:  НИЦ Инфра-М, 2023-192с. (о)</t>
  </si>
  <si>
    <t>МАРКЕТИНГ СФЕРЫ УСЛУГ, ИЗД.1</t>
  </si>
  <si>
    <t>Диянова С. Н., Штезель А. Э.</t>
  </si>
  <si>
    <t>978-5-9776-0240-2</t>
  </si>
  <si>
    <t>38.03.02, 38.03.06, 43.03.01, 43.03.02, 43.03.03</t>
  </si>
  <si>
    <t>095160.17.01</t>
  </si>
  <si>
    <t>Маркетинг товаров и услуг: Уч.пос. / А.В.Лукина, - 2 изд. - М., НИЦ ИНФРА-М,2027. - 239 с.(СПО)(П)</t>
  </si>
  <si>
    <t>МАРКЕТИНГ ТОВАРОВ И УСЛУГ, ИЗД.2</t>
  </si>
  <si>
    <t>Лукина А. В.</t>
  </si>
  <si>
    <t>978-5-16-022370-4</t>
  </si>
  <si>
    <t>38.02.01, 38.02.02, 38.02.03, 38.02.06, 38.02.07, 38.02.08, 51.02.03</t>
  </si>
  <si>
    <t>Допущено Министерством образования РФ в качестве учебного пособия для студентов учреждений среднего специального образования, обучающихся по группе специальностей «Экономика и управление»</t>
  </si>
  <si>
    <t>120050.13.01</t>
  </si>
  <si>
    <t>Маркетинг туризма: Уч.пос. / Е.Н.Кнышова - М.:НИЦ ИНФРА-М,2026. - 352 с.(СПО)(п)</t>
  </si>
  <si>
    <t>МАРКЕТИНГ ТУРИЗМА, ИЗД.1</t>
  </si>
  <si>
    <t>Кнышова Е. Н.</t>
  </si>
  <si>
    <t>978-5-16-022062-8</t>
  </si>
  <si>
    <t>Допущено Министерством образования Российской Федерации в качестве учебного пособия для студентов образовательных учреждений среднего профессионального образования</t>
  </si>
  <si>
    <t>176200.11.01</t>
  </si>
  <si>
    <t>Маркетинг услуг: Уч. / Т.А. Тультаев. - М.: НИЦ Инфра-М, 2025. - 208 с.(ВО) (п)</t>
  </si>
  <si>
    <t>МАРКЕТИНГ УСЛУГ, ИЗД.1</t>
  </si>
  <si>
    <t>Тультаев Т. А.</t>
  </si>
  <si>
    <t>978-5-16-005021-8</t>
  </si>
  <si>
    <t>08.02.14, 38.03.02, 38.03.06, 38.04.06, 38.04.08, 44.03.01, 44.03.05</t>
  </si>
  <si>
    <t>Рекомендовано ФГБОУ ВПО "Государственный университет управления" в качестве учебного пособия для студентов вузов, обучающихся по направлению 080111 "Маркетинг услуг"</t>
  </si>
  <si>
    <t>783850.01.01</t>
  </si>
  <si>
    <t>Маркетинг услуг: Уч.пос. / Е.Е.Жукова - М.:НИЦ ИНФРА-М,2025. - 364 с.(ВО)(п)</t>
  </si>
  <si>
    <t>978-5-16-019538-4</t>
  </si>
  <si>
    <t>38.03.01, 38.03.06, 38.04.01, 38.04.06, 38.04.07</t>
  </si>
  <si>
    <t>015496.24.01</t>
  </si>
  <si>
    <t>Маркетинг: курс лекций: Уч.пос. / Л.Е.Басовский - М.:НИЦ ИНФРА-М,2026.-219 с.(ВО)(о)</t>
  </si>
  <si>
    <t>МАРКЕТИНГ: КУРС ЛЕКЦИЙ, ИЗД.1</t>
  </si>
  <si>
    <t>Басовский Л.Е.</t>
  </si>
  <si>
    <t>978-5-16-019182-9</t>
  </si>
  <si>
    <t>17.03.01, 18.05.02, 19.03.03, 19.03.04, 23.03.01, 23.03.03, 23.05.01, 24.05.06, 26.03.02, 27.03.02, 27.05.01, 29.03.02, 35.03.03, 35.03.04, 35.03.07, 37.03.02, 38.03.01, 38.03.02, 38.03.03, 38.03.04, 38.03.05, 38.03.06, 38.03.07, 38.03.10, 38.05.01, 41.03.02, 41.03.06, 42.03.01, 42.03.04, 43.03.01, 43.03.02, 43.03.03, 44.03.01, 44.03.05, 52.03.01, 55.05.04, 56.05.01</t>
  </si>
  <si>
    <t>721141.05.01</t>
  </si>
  <si>
    <t>Маркетинг: ситуационные задачи и тесты: практикум / М.Б.Щепакин - М.:Магистр, НИЦ ИНФРА-М,2023-512 с.(П)</t>
  </si>
  <si>
    <t>МАРКЕТИНГ, ИЗД.1</t>
  </si>
  <si>
    <t>Щепакин М.Б., Михайлова В.М., Куренова Д.Г. и др.</t>
  </si>
  <si>
    <t>978-5-9776-0524-3</t>
  </si>
  <si>
    <t>Кубанский государственный технологический университет</t>
  </si>
  <si>
    <t>700041.06.01</t>
  </si>
  <si>
    <t>Маркетинг: создание и донесение потребит. ценности: Уч. / И.И.Скоробогатых - М.:НИЦ ИНФРА-М,2025 - 589 с.(п)</t>
  </si>
  <si>
    <t>МАРКЕТИНГ: СОЗДАНИЕ И ДОНЕСЕНИЕ ПОТРЕБИТЕЛЬСКОЙ ЦЕННОСТИ, ИЗД.1</t>
  </si>
  <si>
    <t>Скоробогатых И.И., Сидорчук Р.Р., Андреев С.Н. и др.</t>
  </si>
  <si>
    <t>978-5-16-019085-3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</si>
  <si>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13 от 16.09.2019)</t>
  </si>
  <si>
    <t>113900.15.01</t>
  </si>
  <si>
    <t>Маркетинг: Уч. / Б.А.Соловьев и др. - М.:НИЦ ИНФРА-М,2024 - 337 с.-(ВО)(п)</t>
  </si>
  <si>
    <t>Соловьев Б.А., Мешков А.А., Мусатов Б.В.</t>
  </si>
  <si>
    <t>978-5-16-019076-1</t>
  </si>
  <si>
    <t>Рекомендовано Учебно-методическим объединением по образованию в области экономики и экономической теории в качестве учебника для студентов высших учебных заведений, обучающихся по направлению 38.03.01 «Экономика» и экономическим специальностям</t>
  </si>
  <si>
    <t>060900.14.01</t>
  </si>
  <si>
    <t>Маркетинг: Уч. / Б.А.Соловьев-М.:ИНФРА-М Издательский Дом,2024.-383 с.(Уч.и для программы MBA)(п)</t>
  </si>
  <si>
    <t>Соловьев Б. А.</t>
  </si>
  <si>
    <t>978-5-16-002263-5</t>
  </si>
  <si>
    <t>168800.06.01</t>
  </si>
  <si>
    <t>Маркетинг: Уч. / В.В. Кислицына - М.: ИД ФОРМ: ИНФРА-М, 2024 - 464 с.(ВО) (п)</t>
  </si>
  <si>
    <t>Кислицына В.В.</t>
  </si>
  <si>
    <t>978-5-8199-0954-6</t>
  </si>
  <si>
    <t>38.03.01, 38.03.02, 38.03.06, 44.03.01, 44.03.05</t>
  </si>
  <si>
    <t>356600.03.01</t>
  </si>
  <si>
    <t>Маркетинг: Уч. / В.Н.Наумов - М.:НИЦ ИНФРА-М,2020 - 320с. (ВО:Бакалавриат)(п)</t>
  </si>
  <si>
    <t>Наумов В.Н.</t>
  </si>
  <si>
    <t>978-5-16-010921-3</t>
  </si>
  <si>
    <t>38.03.06, 44.03.01, 44.03.05</t>
  </si>
  <si>
    <t>Рекомендовано в качестве учебника для студентов высших учебных заведений, обучающихся по направлениям подготовки 38.03.06 «Торговое дело», 38.03.01 «Экономика» и 38.03.02 «Менеджмент» (квалификация (степень) «бакалавр»)</t>
  </si>
  <si>
    <t>356600.09.01</t>
  </si>
  <si>
    <t>Маркетинг: Уч. / В.Н.Наумов, - 2 изд. - М.:НИЦ ИНФРА-М,2024. - 410 с.(ВО)(П)</t>
  </si>
  <si>
    <t>МАРКЕТИНГ, ИЗД.2</t>
  </si>
  <si>
    <t>978-5-16-020076-7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</si>
  <si>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38.04.02 «Менеджмент», 38.04.06 «Торговое дело» (квалификация (степень) «бакалавр») (протокол № 1 от 12.01.2022)</t>
  </si>
  <si>
    <t>707549.03.01</t>
  </si>
  <si>
    <t>Маркетинг: Уч. / Н.В.Дмитриева - М.:ИЦ РИОР, НИЦ ИНФРА-М, 2023.-240 с.(СПО)(П)</t>
  </si>
  <si>
    <t>Дмитриева Н.В., Габинская О.С.</t>
  </si>
  <si>
    <t>978-5-369-01811-8</t>
  </si>
  <si>
    <t>00.02.38, 38.02.01, 38.02.08</t>
  </si>
  <si>
    <t>189700.09.01</t>
  </si>
  <si>
    <t>Маркетинг: Уч. / Под ред. В.П. Третьяка. - М.: Магистр:  НИЦ Инфра-М, 2024. - 368 с.(Бакалавр.) (п)</t>
  </si>
  <si>
    <t>Третьяк В. П.</t>
  </si>
  <si>
    <t>978-5-9776-0238-9</t>
  </si>
  <si>
    <t>17.03.01, 19.03.04, 23.03.01, 23.03.03, 26.03.02, 27.03.02, 29.03.02, 35.03.03, 35.03.04, 38.03.02, 38.03.05, 38.04.05, 41.03.06, 42.03.01, 44.03.01, 44.03.05, 52.03.01</t>
  </si>
  <si>
    <t>Допущено Учебно-метод. объед. по образ. в области коммерции и маркетингв в качестве учебника для студентов ВУЗов, обучающихся по специальностям 080301 "Коммерция (Торговое дело)", 032401 "Реклама", 080111 "Маркетинг" и напр. 100700.62 "Торговое дело"</t>
  </si>
  <si>
    <t>674467.05.01</t>
  </si>
  <si>
    <t>Маркетинг: Уч. / С.У.Нуралиев - М.:НИЦ ИНФРА-М,2024 - 305 с.-(ВО: Бакалавриат)(П)</t>
  </si>
  <si>
    <t>Нуралиев С.У.</t>
  </si>
  <si>
    <t>978-5-16-013783-4</t>
  </si>
  <si>
    <t>17.03.01, 19.03.04, 23.03.01, 23.03.03, 26.03.02, 27.03.02, 29.03.02, 35.03.03, 35.03.04, 38.03.02, 38.03.05, 41.03.06, 44.03.01, 44.03.05, 52.03.01, 56.05.01</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</si>
  <si>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t>
  </si>
  <si>
    <t>Союз рынков России</t>
  </si>
  <si>
    <t>145700.07.01</t>
  </si>
  <si>
    <t>Маркетинг: Уч. пос. / Под ред. проф. И.М. Синяевой. - М.: Вуз. уч.:  ИНФРА-М, 2026 - 384 с.(п)</t>
  </si>
  <si>
    <t>Синяева И. М.</t>
  </si>
  <si>
    <t>978-5-9558-0183-4</t>
  </si>
  <si>
    <t>38.03.01, 38.03.02, 38.03.06, 38.04.06, 44.03.01, 44.03.05</t>
  </si>
  <si>
    <t>Рекомендовано Научно-методическим советом по заочному экономическому образованию в качестве учебного пособия для магистров, аспирантов и специалистов, осуществляющих маркетинговую деятельность</t>
  </si>
  <si>
    <t>071450.18.01</t>
  </si>
  <si>
    <t>Маркетинг: Уч.пос. / А.В.Лукина - 3 изд. - М., НИЦ ИНФРА-М,2026 - 238 с.-(СПО)(П)</t>
  </si>
  <si>
    <t>МАРКЕТИНГ, ИЗД.3</t>
  </si>
  <si>
    <t>Лукина А.В.</t>
  </si>
  <si>
    <t>978-5-16-022221-9</t>
  </si>
  <si>
    <t>Допущено Министерством образования и науки РФ в качестве учебного пособия для студентов учреждений среднего профессионального образования, обучающихся по группе специальностей «Экономика и управление»</t>
  </si>
  <si>
    <t>071450.13.01</t>
  </si>
  <si>
    <t>Маркетинг: уч.пос. / А.В.Лукина, - 3-е изд., испр. и доп.-М.:Форум, НИЦ ИНФРА-М,2020.-238 с..-(СПО)(О)</t>
  </si>
  <si>
    <t>978-5-00091-731-2</t>
  </si>
  <si>
    <t>097750.08.01</t>
  </si>
  <si>
    <t>Маркетинг: Уч.пос. / Б.И.Герасимов - 2 изд. - М.:Форум,НИЦ ИНФРА-М,2021 - 320 с.(ПО)(о)</t>
  </si>
  <si>
    <t>Герасимов Б. И., Жариков В. В., Жарикова М. В.</t>
  </si>
  <si>
    <t>978-5-00091-180-8</t>
  </si>
  <si>
    <t>38.02.01, 38.02.03, 38.02.06, 38.02.08, 51.02.03</t>
  </si>
  <si>
    <t>Рекомендовано Методическим советом Учебно-метод. центра по проф. обр. Департамента обр. г. Москвы в качестве учебного пос. для студентов обр. учреждений среднего проф. образования</t>
  </si>
  <si>
    <t>097750.09.01</t>
  </si>
  <si>
    <t>Маркетинг: Уч.пос. / Б.И.Герасимов и др., - 2 изд.-М.:НИЦ ИНФРА-М,2024.-320 с.(СПО)(п)</t>
  </si>
  <si>
    <t>978-5-16-018783-9</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</si>
  <si>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t>
  </si>
  <si>
    <t>144200.06.01</t>
  </si>
  <si>
    <t>Маркетинг: Уч.пос. / В.А.Морошкин и др.-М.:Форум,2024.-352 с.(ПО) (П)</t>
  </si>
  <si>
    <t>Морошкин В.А., Контарева Н.А., Курганова Н.Ю.</t>
  </si>
  <si>
    <t>978-5-91134-432-0</t>
  </si>
  <si>
    <t>Рекомендовано методическим советом Учебно-методического центра по профессиональному образованию Департамента образования г. Москвы в качестве учебного пособия для студентов образовательных учреждений среднего профессионального образования.</t>
  </si>
  <si>
    <t>157600.13.01</t>
  </si>
  <si>
    <t>Маркетинг: Уч.пос. / Г.А.Резник - 4 изд. - М.:НИЦ ИНФРА-М,2027 - 199 с.-(ВО: Бакалавр.)(П)</t>
  </si>
  <si>
    <t>МАРКЕТИНГ, ИЗД.4</t>
  </si>
  <si>
    <t>Резник Г.А.</t>
  </si>
  <si>
    <t>978-5-16-016830-2</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</si>
  <si>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направлению 38.03.02 «Менеджмент»</t>
  </si>
  <si>
    <t>753715.03.01</t>
  </si>
  <si>
    <t>Маркетинг: Уч.пос. / Г.А.Резник - 4 изд. - М.:НИЦ ИНФРА-М,2027 - 199 с.-(СПО)(п)</t>
  </si>
  <si>
    <t>978-5-16-018914-7</t>
  </si>
  <si>
    <t>38.02.01, 38.02.03, 38.02.08, 51.02.03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</si>
  <si>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12 от 14.12.2020)</t>
  </si>
  <si>
    <t>753715.01.01</t>
  </si>
  <si>
    <t>Маркетинг: Уч.пос. / Г.А.Резник - М.:НИЦ ИНФРА-М,2021 - 199 с.(СПО)(П)</t>
  </si>
  <si>
    <t>978-5-16-016833-3</t>
  </si>
  <si>
    <t>114200.11.01</t>
  </si>
  <si>
    <t>Маркетинг: Уч.пос. / Л.Е.Басовский - 3 изд. - М.:НИЦ ИНФРА-М,2024 - 233 с.(ВО)(п)</t>
  </si>
  <si>
    <t>978-5-16-019248-2</t>
  </si>
  <si>
    <t>19.03.04, 23.03.01, 23.03.03, 27.03.02, 29.03.02, 35.03.03, 35.03.04, 38.03.01, 38.03.02, 38.04.01, 38.04.02, 41.03.06, 42.03.01, 44.03.01, 44.03.05</t>
  </si>
  <si>
    <t>Допущено Учебно-методическим объединением по образованию в области менеджмента в качестве учебного пособия для студентов  высших учебных заведений, обучающихся по направлению 38.03.02 «Менеджмент»</t>
  </si>
  <si>
    <t>844475.01.01</t>
  </si>
  <si>
    <t>Маркетинг: Уч.пос. / Л.Е.Басовский - 3 изд. - М.:НИЦ ИНФРА-М,2025 - 233 с.(СПО)(п)</t>
  </si>
  <si>
    <t>978-5-16-020419-2</t>
  </si>
  <si>
    <t>09.02.02, 11.02.12, 21.02.20, 27.02.02, 38.01.01, 38.02.01, 38.02.02, 38.02.03, 38.02.06, 38.02.07, 38.02.08, 43.02.04, 43.02.06, 51.02.02</t>
  </si>
  <si>
    <t>051250.08.01</t>
  </si>
  <si>
    <t>Маркетинг: Уч.пос. / М.И.Тимофеев - 3 изд. - М.:ИЦ РИОР, НИЦ ИНФРА-М,2018-223 с(ВПО: Бакалавр.)(О)</t>
  </si>
  <si>
    <t>Тимофеев М.И.</t>
  </si>
  <si>
    <t>978-5-369-00402-9</t>
  </si>
  <si>
    <t>Национальный институт бизнеса</t>
  </si>
  <si>
    <t>802167.02.01</t>
  </si>
  <si>
    <t>Маркетинг: Уч.пос. / Н.А.Диесперова - М.:НИЦ ИНФРА-М,2026. - 376 с.(ВО)(п)</t>
  </si>
  <si>
    <t>Диесперова Н.А.</t>
  </si>
  <si>
    <t>978-5-16-018654-2</t>
  </si>
  <si>
    <t>38.03.01, 38.03.02, 38.03.03, 38.03.04, 38.03.05, 38.03.06, 38.03.07, 38.03.10, 38.04.02</t>
  </si>
  <si>
    <t>634151.04.01</t>
  </si>
  <si>
    <t>Маркетинг: Уч.пос. / Н.В.Дмитриева - М.:ИЦ РИОР, НИЦ ИНФРА-М, 2025 - 234 с.(ВО)(П)</t>
  </si>
  <si>
    <t>978-5-369-01775-3</t>
  </si>
  <si>
    <t>17.03.01, 23.03.01, 23.03.03, 23.05.01, 23.05.04, 24.05.06, 26.03.02, 26.05.03, 27.03.02, 27.05.01, 29.03.02, 29.03.05, 35.03.03, 35.03.04, 35.03.07, 37.03.02, 38.03.02, 38.03.05, 38.04.02, 38.04.05, 38.05.01, 41.03.02, 41.03.06, 42.03.01, 42.03.04, 42.03.05, 42.04.01, 43.03.01, 43.03.02, 43.03.03, 44.03.01, 44.03.05, 51.03.03, 52.03.01, 55.05.04, 56.05.01</t>
  </si>
  <si>
    <t>647830.09.01</t>
  </si>
  <si>
    <t>Маркетинг: экономика, финансы, контроллинг: Уч.пос. / Т.Н.Рыжикова - М.:НИЦ ИНФРА-М,2026 - 225 с.(В.)</t>
  </si>
  <si>
    <t>МАРКЕТИНГ: ЭКОНОМИКА, ФИНАНСЫ, КОНТРОЛЛИНГ, ИЗД.1</t>
  </si>
  <si>
    <t>978-5-16-022140-3</t>
  </si>
  <si>
    <t>750225.01.01</t>
  </si>
  <si>
    <t>Маркетинговая  лингвистика: Уч. / Под ред. Гончаровой Л.М.-М.:НИЦ ИНФРА-М,2023.-290 с.(ВО:Магистр)(п)</t>
  </si>
  <si>
    <t>МАРКЕТИНГОВАЯ  ЛИНГВИСТИКА, ИЗД.1</t>
  </si>
  <si>
    <t>Гончарова Л.М., Ксензенко О.А., Марченко Е.П. и др.</t>
  </si>
  <si>
    <t>978-5-16-017598-0</t>
  </si>
  <si>
    <t>42.03.01, 42.04.01, 45.03.02, 51.03.01</t>
  </si>
  <si>
    <t>Государственный институт русского языка им. А.С. Пушкина</t>
  </si>
  <si>
    <t>670838.02.01</t>
  </si>
  <si>
    <t>Маркетинговое упр. взаимодействием субъектов...: Моногр. / Т.И.Шерстобитова-М.: ИНФРА-М,2023-282с(О)</t>
  </si>
  <si>
    <t>МАРКЕТИНГОВОЕ УПРАВЛЕНИЕ ВЗАИМОДЕЙСТВИЕМ СУБЪЕКТОВ ИННОВАЦИОННОЙ СФЕРЫ, ИЗД.1</t>
  </si>
  <si>
    <t>Шерстобитова Т.И., Семеркова Л.Н.</t>
  </si>
  <si>
    <t>978-5-16-014237-1</t>
  </si>
  <si>
    <t>27.03.05, 38.03.01</t>
  </si>
  <si>
    <t>431880.08.01</t>
  </si>
  <si>
    <t>Маркетинговые исслед. рыноч. ниш инновац. продуктов  / Б.Е. Токарев - М.: Магистр, НИЦ ИНФРА-М, 2026 - 272 с.(О)</t>
  </si>
  <si>
    <t>МАРКЕТИНГОВЫЕ ИССЛЕДОВАНИЯ РЫНОЧНЫХ НИШ ИННОВАЦИОННЫХ ПРОДУКТОВ, ИЗД.1</t>
  </si>
  <si>
    <t>Токарев Б. Е.</t>
  </si>
  <si>
    <t>978-5-9776-0270-9</t>
  </si>
  <si>
    <t>38.03.02, 38.04.01, 38.04.06, 44.03.01, 44.03.05</t>
  </si>
  <si>
    <t>077750.13.01</t>
  </si>
  <si>
    <t>Маркетинговые исслед. с SPSS: Уч.пос. / Г.Моосмюллер, - 2 изд.-М.:НИЦ ИНФРА-М,2024.-200 с.(ВО: Бакалавр.)(о)</t>
  </si>
  <si>
    <t>МАРКЕТИНГОВЫЕ ИССЛЕДОВАНИЯ С SPSS, ИЗД.2</t>
  </si>
  <si>
    <t>Моосмюллер Г., Ребик Н. Н.</t>
  </si>
  <si>
    <t>978-5-16-018759-4</t>
  </si>
  <si>
    <t>Допущено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обучающихся по специальности «Маркетинг»</t>
  </si>
  <si>
    <t>100850.11.01</t>
  </si>
  <si>
    <t>Маркетинговые исследования рынка: Уч. пос. / Б.И.Герасимов - 2 изд. - М.:Форум:ИНФРА-М, 2026 - 336 с.(ПО) (о)</t>
  </si>
  <si>
    <t>МАРКЕТИНГОВЫЕ ИССЛЕДОВАНИЯ РЫНКА, ИЗД.2</t>
  </si>
  <si>
    <t>Герасимов Б. И., Мозгов Н. Н.</t>
  </si>
  <si>
    <t>978-5-91134-811-3</t>
  </si>
  <si>
    <t>38.02.01, 38.02.02, 38.02.03, 38.02.08</t>
  </si>
  <si>
    <t>077750.15.01</t>
  </si>
  <si>
    <t>Маркетинговые исследования с SPSS: Уч.пос. / Н.Н.Ребик, - 3 изд. - М.:НИЦ ИНФРА-М,2026. - 218 с.(ВО)(п)</t>
  </si>
  <si>
    <t>МАРКЕТИНГОВЫЕ ИССЛЕДОВАНИЯ С SPSS, ИЗД.3</t>
  </si>
  <si>
    <t>Ребик Н.Н.</t>
  </si>
  <si>
    <t>978-5-16-020086-6</t>
  </si>
  <si>
    <t>251900.08.01</t>
  </si>
  <si>
    <t>Маркетинговые исследования: Практикум / В.Т. Гришина - М.: Вуз. уч.:  НИЦ ИНФРА-М, 2021. - 58 с.</t>
  </si>
  <si>
    <t>МАРКЕТИНГОВЫЕ ИССЛЕДОВАНИЯ: ПРАКТИКУМ, ИЗД.1</t>
  </si>
  <si>
    <t>Гришина В. Т.</t>
  </si>
  <si>
    <t>978-5-9558-0348-7</t>
  </si>
  <si>
    <t>072518.12.01</t>
  </si>
  <si>
    <t>Маркетинговые исследования: Уч. / Б.Е.Токарев, - 2 изд.-М.:Магистр, НИЦ ИНФРА-М,2024.-512 с.(П)</t>
  </si>
  <si>
    <t>МАРКЕТИНГОВЫЕ ИССЛЕДОВАНИЯ, ИЗД.2</t>
  </si>
  <si>
    <t>978-5-9776-0175-7</t>
  </si>
  <si>
    <t>Допущено Министерством образования и науки РФ в качестве учебника для студентов высших учебных заведений, обучающихся по специальности "Маркетинг"</t>
  </si>
  <si>
    <t>061660.14.01</t>
  </si>
  <si>
    <t>Маркетинговые исследования: Уч. пос. / Н.Г.Каменева - 2изд. - М: Вуз.уч.:НИЦ Инфра-М,2024 - 368 с. (П)</t>
  </si>
  <si>
    <t>Каменева Н. Г., Поляков В. А.</t>
  </si>
  <si>
    <t>978-5-9558-0233-6</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</si>
  <si>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Маркетинг</t>
  </si>
  <si>
    <t>336400.07.01</t>
  </si>
  <si>
    <t>Маркетинговые исследования: Уч.пос. / А.Г.Зайцев - М.:ИЦ РИОР, НИЦ ИНФРА-М,2026 - 88 с.(ВО)(о)</t>
  </si>
  <si>
    <t>МАРКЕТИНГОВЫЕ ИССЛЕДОВАНИЯ, ИЗД.1</t>
  </si>
  <si>
    <t>Зайцев А.Г., Такмакова Е.В.</t>
  </si>
  <si>
    <t>978-5-369-01444-8</t>
  </si>
  <si>
    <t>38.03.01, 38.03.02, 38.03.06, 38.04.01, 38.04.06, 42.03.01, 42.04.01</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</si>
  <si>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направлению подготовки «Торговое дело»</t>
  </si>
  <si>
    <t>152600.10.01</t>
  </si>
  <si>
    <t>Маркетинговые коммуникации: Уч. / А.А.Романов - М.: Вуз. уч.:  ИНФРА-М, 2025-384с. (п)</t>
  </si>
  <si>
    <t>МАРКЕТИНГОВЫЕ КОММУНИКАЦИИ, ИЗД.1</t>
  </si>
  <si>
    <t>Романов А. А., Синяева И. М., Поляков В. А.</t>
  </si>
  <si>
    <t>978-5-9558-0194-0</t>
  </si>
  <si>
    <t>38.03.02, 38.03.04, 38.03.06, 38.04.02, 38.04.04, 38.04.06, 41.03.06</t>
  </si>
  <si>
    <t>Рекомендовано Учебно-методического объединения по образованию в области маркетинга в качестве учебника для студентов вузов, обучающихся по специальности 080111 "Маркетинг"</t>
  </si>
  <si>
    <t>659069.03.01</t>
  </si>
  <si>
    <t>Маркетинговые коммуникации: Уч. / Е.С.Григорян - М.:НИЦ ИНФРА-М,2027 - 294 с.(ВО: Бакалавр.)(П)</t>
  </si>
  <si>
    <t>978-5-16-014741-3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</si>
  <si>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38.03.05 «Бизнес-информатика», 38.03.06 «Торговое дело» (квалификация (степень) «бакалавр») (протокол № 5 от 26.03.2020)</t>
  </si>
  <si>
    <t>741773.02.01</t>
  </si>
  <si>
    <t>Маркетинговые коммуникации: Уч. / Е.С.Григорян - М.:НИЦ ИНФРА-М,2027 - 294 с.-(СПО)(П)</t>
  </si>
  <si>
    <t>978-5-16-016384-0</t>
  </si>
  <si>
    <t>38.02.01, 38.02.08, 42.02.01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</si>
  <si>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38.02.04 "Коммерция (по отраслям)"  (протокол № 7 от 08.06.2020)</t>
  </si>
  <si>
    <t>180800.11.01</t>
  </si>
  <si>
    <t>Маркетинговый анализ: Уч. пос. / Н.А.Казакова - М.: НИЦ ИНФРА-М, 2025. - 240 с.(ВО: Бакалавриат) (п)</t>
  </si>
  <si>
    <t>МАРКЕТИНГОВЫЙ АНАЛИЗ, ИЗД.1</t>
  </si>
  <si>
    <t>Казакова Н. А.</t>
  </si>
  <si>
    <t>978-5-16-005220-5</t>
  </si>
  <si>
    <t>38.03.02, 38.03.06, 38.04.06, 38.04.08, 41.03.06, 42.03.01, 44.03.01, 44.03.05</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</si>
  <si>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(степень-бакалавр)" и спец./профилям "Бух. учет и аудит", "Финансы и кредит","Мировая экон</t>
  </si>
  <si>
    <t>186700.10.01</t>
  </si>
  <si>
    <t>Маркетинговый аудит: Уч. / Д.В. Тюрин. - 2 изд. - М.: НИЦ ИНФРА-М, 2026 - 285 с. (ВО: Бакалавр.) (п)</t>
  </si>
  <si>
    <t>МАРКЕТИНГОВЫЙ АУДИТ, ИЗД.2</t>
  </si>
  <si>
    <t>Тюрин Д. В.</t>
  </si>
  <si>
    <t>978-5-16-006440-6</t>
  </si>
  <si>
    <t>38.03.01, 38.03.02, 44.03.01, 44.03.05</t>
  </si>
  <si>
    <t>Рекомендовано ФГБОУ ВПО "Государственный университет управления" в качестве учебного пособия для студентов вузов, обучающихся по направлению 080200.68 "Менеджмент"</t>
  </si>
  <si>
    <t>798481.02.01</t>
  </si>
  <si>
    <t>Маркетология: онтологич. основы общей теор. рынков: Моногр. / А.И.Бельзецкий-М.:НИЦ ИНФРА-М,2024-248с.(п)</t>
  </si>
  <si>
    <t>МАРКЕТОЛОГИЯ: ОНТОЛОГИЧЕСКИЕ ОСНОВЫ ОБЩЕЙ ТЕОРИИ РЫНКОВ, ИЗД.1</t>
  </si>
  <si>
    <t>Бельзецкий А.И.</t>
  </si>
  <si>
    <t>978-5-16-018282-7</t>
  </si>
  <si>
    <t>821782.02.01</t>
  </si>
  <si>
    <t>Маркетология: теория, методы и модели...: Моногр. / А.И.Бельзецкий - М.:НИЦ ИНФРА-М,2025. - 372 с.(п)</t>
  </si>
  <si>
    <t>МАРКЕТОЛОГИЯ: ТЕОРИЯ, МЕТОДЫ И МОДЕЛИ РЫНКА КАК ЦЕЛОСТНОСТИ, ИЗД.1</t>
  </si>
  <si>
    <t>978-5-16-019711-1</t>
  </si>
  <si>
    <t>38.04.01, 38.04.02, 38.04.06, 38.06.01</t>
  </si>
  <si>
    <t>684808.08.01</t>
  </si>
  <si>
    <t>Маркетри и инкрустация (искус. и...): Уч.пос. / А.С.Хворостов - М.:Форум, НИЦ ИНФРА-М,2026. - 223 с.(СПО)(П)</t>
  </si>
  <si>
    <t>МАРКЕТРИ И ИНКРУСТАЦИЯ (ИСКУССТВО И ТЕХНОЛОГИЯ), ИЗД.1</t>
  </si>
  <si>
    <t>Хворостов А.С., Хворостов Д.А.</t>
  </si>
  <si>
    <t>978-5-00091-590-5</t>
  </si>
  <si>
    <t>35.01.28, 38.02.02, 42.02.01, 43.02.02, 52.02.03, 52.02.04, 52.02.05, 54.01.01, 54.01.05, 54.02.01, 54.02.02, 54.02.03, 54.02.04, 54.02.06, 54.02.08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</si>
  <si>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художественно-графическим специальностям (протокол № 12 от 24.06.2019)</t>
  </si>
  <si>
    <t>243400.09.01</t>
  </si>
  <si>
    <t>Маркетри и инкрустация (искусство...): Уч.пос. / А.С.Хворостов - М.:Форум: ИНФРА-М, 2027 - 224 с.(ВО) (о)</t>
  </si>
  <si>
    <t>978-5-91134-823-6</t>
  </si>
  <si>
    <t>54.03.01, 54.03.02, 54.03.03, 54.04.01, 54.04.02, 54.04.03</t>
  </si>
  <si>
    <t>142300.12.01</t>
  </si>
  <si>
    <t>Маркшейдерское дело. Подзем. гор. раб.: Уч.пос. / А.А.Кологривко - М.:НИЦ ИНФРА-М, 2026. -  412 с.(ВО)(П)</t>
  </si>
  <si>
    <t>МАРКШЕЙДЕРСКОЕ ДЕЛО. ПОДЗЕМНЫЕ ГОРНЫЕ РАБОТЫ, ИЗД.1</t>
  </si>
  <si>
    <t>Кологривко А. А.</t>
  </si>
  <si>
    <t>978-5-16-004758-4</t>
  </si>
  <si>
    <t>05.03.01, 05.04.01, 21.03.03, 21.04.03, 21.05.01, 21.05.02, 21.05.04</t>
  </si>
  <si>
    <t>Допущено Министерством образования Республики Беларусь в качестве учебного пособия для студентов высших учебных заведений по специальностям «Разработка месторождений полезных ископаемых», «Горные машины и оборудование»</t>
  </si>
  <si>
    <t>667547.05.01</t>
  </si>
  <si>
    <t>Маркшейдерско-топографич. черчение: Уч.пос. / П.С.Шпаков-М.:НИЦ ИНФРА-М, СФУ,2024.-287 с..-(ВО)(П)</t>
  </si>
  <si>
    <t>МАРКШЕЙДЕРСКО-ТОПОГРАФИЧЕСКОЕ ЧЕРЧЕНИЕ, ИЗД.1</t>
  </si>
  <si>
    <t>Шпаков П.С., Юнаков Ю.Л.</t>
  </si>
  <si>
    <t>978-5-16-016293-5</t>
  </si>
  <si>
    <t>21.03.02, 21.03.03, 21.05.04</t>
  </si>
  <si>
    <t>218300.09.01</t>
  </si>
  <si>
    <t>Массмедиа в социокультурном пространстве: Уч.пос. / В.А.Евдокимов-М.:НИЦ ИНФРА-М,2024.224с(ВО)(П)</t>
  </si>
  <si>
    <t>МАССМЕДИА В СОЦИОКУЛЬТУРНОМ ПРОСТРАНСТВЕ, ИЗД.1</t>
  </si>
  <si>
    <t>Евдокимов В. А.</t>
  </si>
  <si>
    <t>978-5-16-006932-6</t>
  </si>
  <si>
    <t>41.03.06, 42.03.02, 42.04.02</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</si>
  <si>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42.04.02 «Журналистика»</t>
  </si>
  <si>
    <t>Омская гуманитарная академия</t>
  </si>
  <si>
    <t>658763.15.01</t>
  </si>
  <si>
    <t>Массмедиа как сфера применения полит.технологий: Уч.пос. / В.А.Евдокимов - М.:НИЦ ИНФРА-М,2026 - 230 с.(ВО)(П)</t>
  </si>
  <si>
    <t>МАССМЕДИА КАК СФЕРА ПРИМЕНЕНИЯ ПОЛИТИЧЕСКИХ ТЕХНОЛОГИЙ, ИЗД.1</t>
  </si>
  <si>
    <t>Евдокимов В.А.</t>
  </si>
  <si>
    <t>978-5-16-012974-7</t>
  </si>
  <si>
    <t>41.03.04, 41.03.06, 41.04.04, 42.03.01, 42.03.02, 42.04.01, 42.04.02</t>
  </si>
  <si>
    <t>786286.02.01</t>
  </si>
  <si>
    <t>Массовая обработка данных...: Моногр. / В.И.Мунерман - М.:НИЦ ИНФРА-М,2026. - 263 с.(Науч.мысль)(О)</t>
  </si>
  <si>
    <t>МАССОВАЯ ОБРАБОТКА ДАННЫХ. АЛГЕБРАИЧЕСКИЕ МОДЕЛИ И МЕТОДЫ, ИЗД.1</t>
  </si>
  <si>
    <t>Мунерман В.И.</t>
  </si>
  <si>
    <t>978-5-16-018035-9</t>
  </si>
  <si>
    <t>01.04.02, 01.06.01, 27.04.03, 27.04.07, 45.04.04</t>
  </si>
  <si>
    <t>Смоленский государственный университет</t>
  </si>
  <si>
    <t>726494.08.01</t>
  </si>
  <si>
    <t>Математика в нач. школе: методика обуч.: Уч. / А.В.Белошистая - М .:НИЦ ИНФРА-М,2027 - 316 с.(СПО)(П)</t>
  </si>
  <si>
    <t>МАТЕМАТИКА В НАЧАЛЬНОЙ ШКОЛЕ: МЕТОДИКА ОБУЧЕНИЯ, ИЗД.1</t>
  </si>
  <si>
    <t>Белошистая А.В.</t>
  </si>
  <si>
    <t>978-5-16-015926-3</t>
  </si>
  <si>
    <t>15.02.16, 44.02.02, 44.02.04, 44.02.05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</si>
  <si>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44.02.02 «Преподавание в начальных классах» (протокол № 10 от 12.10.2020)</t>
  </si>
  <si>
    <t>Мурманский арктический университет</t>
  </si>
  <si>
    <t>102550.14.01</t>
  </si>
  <si>
    <t>Математика в примерах и задачах: Уч.пос. / Л.Н.Журбенко и др. - М.:НИЦ ИНФРА-М,2025 - 372 с.(ВО)(П)</t>
  </si>
  <si>
    <t>МАТЕМАТИКА В ПРИМЕРАХ И ЗАДАЧАХ, ИЗД.1</t>
  </si>
  <si>
    <t>Журбенко Л.Н., Никонова Г.А., Никонова Н.В. и др.</t>
  </si>
  <si>
    <t>978-5-16-011256-5</t>
  </si>
  <si>
    <t>Допущено Министерством образования и науки Российской Федерации в качестве учебного пособия для студентов высших учебных заведений, обучающихся по техническим специальностям</t>
  </si>
  <si>
    <t>773065.02.01</t>
  </si>
  <si>
    <t>Математика в профессиональном образовании...: Моногр. / В.М.Федосеев. - М.:НИЦ ИНФРА-М,2026. - 173 с.(О)</t>
  </si>
  <si>
    <t>МАТЕМАТИКА В ПРОФЕССИОНАЛЬНОМ ОБРАЗОВАНИИ: ОСНОВЫ МЕТОДИКИ ОБУЧЕНИЯ ИНЖЕНЕРНОЙ МАТЕМАТИКЕ, ИЗД.1</t>
  </si>
  <si>
    <t>Федосеев В.М., Родионов М.А., Шабанов Г.И.</t>
  </si>
  <si>
    <t>978-5-16-017511-9</t>
  </si>
  <si>
    <t>Пензенский государственный технологический университет</t>
  </si>
  <si>
    <t>086850.13.01</t>
  </si>
  <si>
    <t>Математика для воспитателей: Уч. / Н.И.Фрейлах, - 2 изд. - М.:НИЦ ИНФРА-М,2025. - 136 с.(О)</t>
  </si>
  <si>
    <t>МАТЕМАТИКА ДЛЯ ВОСПИТАТЕЛЕЙ, ИЗД.2</t>
  </si>
  <si>
    <t>Фрейлах Н. И.</t>
  </si>
  <si>
    <t>978-5-16-018090-8</t>
  </si>
  <si>
    <t>15.02.16, 43.02.06, 44.02.01, 44.02.02, 44.02.03, 44.02.04, 44.02.05, 49.02.02, 51.02.03</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</si>
  <si>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t>
  </si>
  <si>
    <t>373000.09.01</t>
  </si>
  <si>
    <t>Математика для экономистов: основы теории...: Уч.пос. / А.И.Песчанский-М.:Вуз. уч.,НИЦ ИНФРА-М,2024.-520с.(П)</t>
  </si>
  <si>
    <t>МАТЕМАТИКА ДЛЯ ЭКОНОМИСТОВ: ОСНОВЫ ТЕОРИИ, ПРИМЕРЫ И ЗАДАЧИ, ИЗД.1</t>
  </si>
  <si>
    <t>Песчанский А.И.</t>
  </si>
  <si>
    <t>978-5-9558-0493-4</t>
  </si>
  <si>
    <t>Допущено Научно-методическим советом по математике Министерства образования и науки Российской Федерации в качестве учебного пособия для студентов вузов, обучающихся по экономическим направлениям</t>
  </si>
  <si>
    <t>148500.13.01</t>
  </si>
  <si>
    <t>Математика для экономического бакалавриата: Уч. / М.С.Красс-М.:НИЦ ИНФРА-М,2024.-472 с.(ВО)(П)</t>
  </si>
  <si>
    <t>МАТЕМАТИКА ДЛЯ ЭКОНОМИЧЕСКОГО БАКАЛАВРИАТА, ИЗД.1</t>
  </si>
  <si>
    <t>Красс М.С., Чупрынов Б.П.</t>
  </si>
  <si>
    <t>978-5-16-018923-9</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</si>
  <si>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t>
  </si>
  <si>
    <t>233700.06.01</t>
  </si>
  <si>
    <t>Математика и загадочный генет. код: Моногр. / В.М.Гупал - 2 изд. - М.:ИЦ РИОР, НИЦ ИНФРА-М,2026 - 288 с.(О)</t>
  </si>
  <si>
    <t>МАТЕМАТИКА И ЗАГАДОЧНЫЙ ГЕНЕТИЧЕСКИЙ КОД, ИЗД.2</t>
  </si>
  <si>
    <t>Гупал В.М.</t>
  </si>
  <si>
    <t>978-5-369-01404-2</t>
  </si>
  <si>
    <t>01.03.01, 01.04.01, 02.03.01, 06.03.01, 19.03.01, 19.04.01, 44.03.05</t>
  </si>
  <si>
    <t>026800.19.01</t>
  </si>
  <si>
    <t>Математика и информатика: Уч. / В.Я.Турецкий, - 3 изд. - М.:ИНФРА-М Изд. Дом,2025. - 558 с.(ВО)(п)</t>
  </si>
  <si>
    <t>МАТЕМАТИКА И ИНФОРМАТИКА, ИЗД.3</t>
  </si>
  <si>
    <t>Турецкий В. Я.</t>
  </si>
  <si>
    <t>978-5-16-005296-0</t>
  </si>
  <si>
    <t>00.03.03, 00.03.06, 00.05.03, 00.05.06</t>
  </si>
  <si>
    <t>Допущено Министерством образования РФ в качестве учебного пособия для студентов высших учебных заведений, обучающихся по гуманитарным направлениям и специальностям</t>
  </si>
  <si>
    <t>0302</t>
  </si>
  <si>
    <t>323500.04.01</t>
  </si>
  <si>
    <t>Математика и экон.-матем. модели: Уч./С.В.Юдин-М.:ИЦ РИОР, НИЦ ИНФРА-М,2022.-374 с.(ВО: Бакалавриат)(п)</t>
  </si>
  <si>
    <t>МАТЕМАТИКА И ЭКОНОМИКО-МАТЕМАТИЧЕСКИЕ МОДЕЛИ, ИЗД.1</t>
  </si>
  <si>
    <t>Юдин С.В.</t>
  </si>
  <si>
    <t>978-5-369-01409-7</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</si>
  <si>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направлению подготовки: 080100 — «Экономика»</t>
  </si>
  <si>
    <t>726223.04.01</t>
  </si>
  <si>
    <t>Математика на 100 баллов: Уч.пос. / Г.С.Жукова - М.:НИЦ ИНФРА-М,2026 - 480 с.-(ЕГЭ (ФинУн))(П)</t>
  </si>
  <si>
    <t>МАТЕМАТИКА НА 100 БАЛЛОВ, ИЗД.1</t>
  </si>
  <si>
    <t>Жукова Г.С., Рушайло М.Ф.</t>
  </si>
  <si>
    <t>ЕГЭ (ФинУн)</t>
  </si>
  <si>
    <t>978-5-16-018922-2</t>
  </si>
  <si>
    <t>408050.07.01</t>
  </si>
  <si>
    <t>Математика. Линейная алгебра: Уч.пос. / Под ред. Расулова К.М. - М.:Форум, НИЦ ИНФРА-М,2026. - 144 с.(СПО)(О)</t>
  </si>
  <si>
    <t>МАТЕМАТИКА. ЛИНЕЙНАЯ АЛГЕБРА, ИЗД.1</t>
  </si>
  <si>
    <t>Расулов К.М., Гомонов С.А., Расулов К.М.</t>
  </si>
  <si>
    <t>978-5-91134-713-0</t>
  </si>
  <si>
    <t>09.02.01, 09.02.05, 09.02.06, 09.02.07, 09.02.08, 09.02.09, 11.02.11, 44.02.02, 44.02.05, 44.02.06, 09.02.10</t>
  </si>
  <si>
    <t>640311.11.01</t>
  </si>
  <si>
    <t>Математика. Элементы высшей матем.: Уч.: В 2 т.Т.1 /В.В.Бардушкин - М.:КУРС,НИЦ ИНФРА-М,2026 - 304 с.(СПО)(П)</t>
  </si>
  <si>
    <t>МАТЕМАТИКА. ЭЛЕМЕНТЫ ВЫСШЕЙ МАТЕМАТИКИ, Т.1</t>
  </si>
  <si>
    <t>Бардушкин В.В., Прокофьев А.А.</t>
  </si>
  <si>
    <t>978-5-907064-56-0</t>
  </si>
  <si>
    <t>00.02.06, 09.02.01, 09.02.05, 09.02.06, 09.02.07, 09.02.08, 09.02.09, 21.02.13, 26.02.04, 35.02.11, 09.02.10</t>
  </si>
  <si>
    <t>657352.11.01</t>
  </si>
  <si>
    <t>Математика. Элементы высшей матем.: Уч.: В 2 т.Т.2 / В.В.Бардушкин - М.:КУРС, НИЦ ИНФРА-М,2026 - 368 с.(СПО) (П)</t>
  </si>
  <si>
    <t>МАТЕМАТИКА. ЭЛЕМЕНТЫ ВЫСШЕЙ МАТЕМАТИКИ, Т.2</t>
  </si>
  <si>
    <t>978-5-906923-34-9</t>
  </si>
  <si>
    <t>00.02.06, 09.02.01, 09.02.02, 09.02.03, 09.02.04, 09.02.05, 09.02.07, 21.02.13, 26.02.04, 35.02.11</t>
  </si>
  <si>
    <t>043500.30.01</t>
  </si>
  <si>
    <t>Математика: Уч. / А.А.Дадаян - 3 изд. - М.:НИЦ ИНФРА-М,2026 - 544 с.(СПО)(П)</t>
  </si>
  <si>
    <t>МАТЕМАТИКА, ИЗД.3</t>
  </si>
  <si>
    <t>Дадаян А.А.</t>
  </si>
  <si>
    <t>978-5-16-012592-3</t>
  </si>
  <si>
    <t>00.02.06, 08.02.02, 08.02.03, 08.02.08, 08.02.09, 08.02.14, 08.02.15, 10.02.04, 10.02.05, 11.02.03, 11.02.06, 11.02.16, 12.02.04, 13.02.02, 13.02.07, 15.02.09, 15.02.10, 15.02.17, 15.02.18, 18.02.13, 18.02.15, 21.02.02, 21.02.09, 21.02.10, 21.02.13, 21.02.19, 21.02.20, 23.02.07, 23.02.08, 24.02.01, 24.02.04, 25.02.06, 25.02.07, 25.02.08, 26.02.04, 26.02.05, 27.02.03, 29.02.02, 29.02.05, 38.02.06, 43.02.06, 43.02.07, 49.02.02, 52.02.01, 52.02.02, 53.02.02, 54.02.01, 54.02.03, 49.02.03, 35.02.19</t>
  </si>
  <si>
    <t>Рекомендовано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t>
  </si>
  <si>
    <t>769299.05.01</t>
  </si>
  <si>
    <t>Математика: Уч. / В.П.Омельченко - М.:НИЦ ИНФРА-М,2026. - 349 с.(СПО)(П)</t>
  </si>
  <si>
    <t>МАТЕМАТИКА, ИЗД.1</t>
  </si>
  <si>
    <t>Омельченко В.П., Карасенко Н.В.</t>
  </si>
  <si>
    <t>978-5-16-017462-4</t>
  </si>
  <si>
    <t>00.02.06, 08.02.01, 09.02.07, 11.02.15, 13.02.02, 13.02.07, 15.02.16, 23.02.08, 26.02.02, 27.02.03, 29.02.05, 33.02.01, 38.02.01, 38.02.06, 38.02.07, 38.02.08, 43.02.02, 44.02.02, 51.02.03, 49.02.03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</si>
  <si>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программу среднего профессионального образования (протокол № 5 от 11.05.2022)</t>
  </si>
  <si>
    <t>690282.05.01</t>
  </si>
  <si>
    <t>Математика: Уч. / Н.С.Юхно - М.:НИЦ ИНФРА-М,2024 - 204 с.-(СПО)(П)</t>
  </si>
  <si>
    <t>Юхно Н.С.</t>
  </si>
  <si>
    <t>978-5-16-014744-4</t>
  </si>
  <si>
    <t>00.02.06, 13.02.13, 23.02.03, 27.02.06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</si>
  <si>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профессиональную программу среднего профессионального образования на базе основного общего образования (протокол № 10 от 12.10.2020)</t>
  </si>
  <si>
    <t>692926.04.01</t>
  </si>
  <si>
    <t>Математика: Уч.пос. / Л.И.Шипова - М.:НИЦ ИНФРА-М,2019 - 238 с.-(СПО)(П)</t>
  </si>
  <si>
    <t>Шипова Л.И., Шипов А.Е.</t>
  </si>
  <si>
    <t>978-5-16-014561-7</t>
  </si>
  <si>
    <t>07.02.01, 08.02.01, 08.02.03, 08.02.12, 35.02.12</t>
  </si>
  <si>
    <t>Допущено Региональным научно-методическим центром при Совете директоров средних специальных заведений Санкт-Петербурга и Ленинградской области в качестве учебного пособия для студентов второго курса среднего профессионального образования, обучающихся по специальностям: 08.02.01, 07.02.01, 08.02.03, 08.02.06, 35.02.12</t>
  </si>
  <si>
    <t>Академия управления городской средой, градостроительства и печати</t>
  </si>
  <si>
    <t>803722.02.01</t>
  </si>
  <si>
    <t>Математика: Уч.пос. / Под ред. Жуковой Г.С. - М.:НИЦ ИНФРА-М,2024. - 543 с.(ВО (Финанс. универ.))(п)</t>
  </si>
  <si>
    <t>Жукова Г.С., Борисова Л.Р., Жукова Г.С.</t>
  </si>
  <si>
    <t>978-5-16-019002-0</t>
  </si>
  <si>
    <t>00.03.06</t>
  </si>
  <si>
    <t>073850.14.01</t>
  </si>
  <si>
    <t>Математика: Уч.пос. / Ю.М.Данилов - М.:НИЦ ИНФРА-М,2026 - 496с.(ВО:Бакалавр.)(п)</t>
  </si>
  <si>
    <t>Данилов Ю.М., Журбенко Л.Н., Никонова Г.А. и др.</t>
  </si>
  <si>
    <t>978-5-16-010118-7</t>
  </si>
  <si>
    <t>636279.10.01</t>
  </si>
  <si>
    <t>Математическая логика и теор.алгорит.: Уч./ А.В.Пруцков - М.:КУРС,НИЦ ИНФРА-М,2026 - 152 с.(Бакалавр.)(п)</t>
  </si>
  <si>
    <t>МАТЕМАТИЧЕСКАЯ ЛОГИКА И ТЕОРИЯ АЛГОРИТМОВ, ИЗД.1</t>
  </si>
  <si>
    <t>Пруцков А.В., Волкова Л.Л.</t>
  </si>
  <si>
    <t>978-5-906818-74-4</t>
  </si>
  <si>
    <t>Рекомендовано Научно-методическим советом Федерального государственного бюджетного образовательного учреждения высшего образования «Рязанский государственный радиотехнический университет» в качестве учебника для студентов высших учебных заведений, обучающихся по направлению подготовки «Программная инженерия» (квалификация "Бакалавр")</t>
  </si>
  <si>
    <t>719223.02.01</t>
  </si>
  <si>
    <t>Математическая логика: Уч.пос. / В.И.Игошин - М.:НИЦ ИНФРА-М,2023 - 399 с.-(СПО)(П)</t>
  </si>
  <si>
    <t>МАТЕМАТИЧЕСКАЯ ЛОГИКА, ИЗД.1</t>
  </si>
  <si>
    <t>978-5-16-015595-1</t>
  </si>
  <si>
    <t>08.02.15, 09.02.02, 09.02.03, 09.02.04, 09.02.06, 09.02.07, 09.02.09, 11.02.03, 11.02.06, 13.02.07, 13.02.12, 15.02.10, 18.02.04, 18.02.10, 18.02.12, 18.02.14, 18.02.15, 20.02.01, 21.02.02, 21.02.09, 21.02.10, 21.02.19, 21.02.20, 24.02.01, 24.02.02, 35.02.09, 35.02.16, 35.02.17, 09.02.10, 35.02.19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</si>
  <si>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12 от 24.06.2019)</t>
  </si>
  <si>
    <t>163900.14.01</t>
  </si>
  <si>
    <t>Математическая логика: Уч.пос. / В.И.Игошин - М.:НИЦ ИНФРА-М,2026. - 399 с.-(ВО)(п)</t>
  </si>
  <si>
    <t>978-5-16-019779-1</t>
  </si>
  <si>
    <t>01.03.01, 01.03.04, 01.04.01, 02.03.01, 02.03.02, 02.03.03, 02.04.03, 09.03.04, 09.04.04, 44.03.01, 44.03.05, 44.04.01, 45.03.03, 45.03.04</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</si>
  <si>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подготовки 44.03.05 «Педагогическое образование» (квалификация (степень) «бакалавр»)</t>
  </si>
  <si>
    <t>672058.05.01</t>
  </si>
  <si>
    <t>Математическая обработка результ. измерений: Уч.пос. / П.С.Шпаков - М.:НИЦ ИНФРА-М, СФУ,2025 - 409 с.(ВО)</t>
  </si>
  <si>
    <t>МАТЕМАТИЧЕСКАЯ ОБРАБОТКА РЕЗУЛЬТАТОВ ИЗМЕРЕНИЙ, ИЗД.1</t>
  </si>
  <si>
    <t>978-5-16-020497-0</t>
  </si>
  <si>
    <t>01.04.01, 01.06.01</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</si>
  <si>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(специальности) «Горное дело» и «Физические процессы горного или нефтегазового производства»</t>
  </si>
  <si>
    <t>777801.06.01</t>
  </si>
  <si>
    <t>Математическая статистика: Прак. / Т.Г.Апалькова. - М.:НИЦ ИНФРА-М,2026. - 254 с.(ВО:(Финуниверситет))(п)</t>
  </si>
  <si>
    <t>МАТЕМАТИЧЕСКАЯ СТАТИСТИКА. ПРАКТИКУМ, ИЗД.1</t>
  </si>
  <si>
    <t>Апалькова Т.Г., Глебов В.И., Зададаев С.А. и др.</t>
  </si>
  <si>
    <t>978-5-16-017913-1</t>
  </si>
  <si>
    <t>461550.08.01</t>
  </si>
  <si>
    <t>Математическая статистика: Уч.пос. / Р.Ш. Хуснутдинов - М.: НИЦ ИНФРА-М, 2025. - 205 с. (ВО) (о)</t>
  </si>
  <si>
    <t>МАТЕМАТИЧЕСКАЯ СТАТИСТИКА, ИЗД.1</t>
  </si>
  <si>
    <t>Хуснутдинов Р.Ш.</t>
  </si>
  <si>
    <t>978-5-16-009520-2</t>
  </si>
  <si>
    <t>01.03.01, 01.03.02, 01.03.04, 01.04.01, 01.04.02, 01.04.04, 01.05.01, 02.03.01, 02.04.01, 02.04.03, 03.03.01, 03.03.02</t>
  </si>
  <si>
    <t>742799.03.01</t>
  </si>
  <si>
    <t>Математические задачи координатно-измерит. машин / Н.Г.Чикуров - М.:НИЦ ИНФРА-М,2027. - 150 с.(О)</t>
  </si>
  <si>
    <t>МАТЕМАТИЧЕСКИЕ ЗАДАЧИ КООРДИНАТНО-ИЗМЕРИТЕЛЬНЫХ МАШИН, ИЗД.1</t>
  </si>
  <si>
    <t>Чикуров Н.Г.</t>
  </si>
  <si>
    <t>978-5-16-016483-0</t>
  </si>
  <si>
    <t>15.03.03, 15.03.05, 15.03.06, 15.04.05, 15.06.01</t>
  </si>
  <si>
    <t>778790.01.01</t>
  </si>
  <si>
    <t>Математические задачи принятия реш...: Моногр. / А.Ф.Тараканов-М.:НИЦ ИНФРА-М,2022.-342 с.(О)</t>
  </si>
  <si>
    <t>МАТЕМАТИЧЕСКИЕ ЗАДАЧИ ПРИНЯТИЯ РЕШЕНИЙ В ДИНАМИЧЕСКИХ ОРГАНИЗАЦИОННЫХ СИСТЕМАХ, ИЗД.1</t>
  </si>
  <si>
    <t>Тараканов А.Ф.</t>
  </si>
  <si>
    <t>978-5-16-017744-1</t>
  </si>
  <si>
    <t>02.04.01, 02.06.01, 09.04.03, 09.06.01, 15.04.04, 15.06.01, 45.04.04</t>
  </si>
  <si>
    <t>Военно-воздушная академия им. профессора Н.Е. Жуковского и Ю.А. Гагарина (г. Воронеж), ф-л г.Челябин</t>
  </si>
  <si>
    <t>701115.02.01</t>
  </si>
  <si>
    <t>Математические задачи принятия реш.в орг.системах:Моногр./ А.Ф.Тараканов-М.:НИЦ ИНФРА-М,2023-246с(П)</t>
  </si>
  <si>
    <t>МАТЕМАТИЧЕСКИЕ ЗАДАЧИ ПРИНЯТИЯ РЕШЕНИЙ В ОРГАНИЗАЦИОННЫХ СИСТЕМАХ, ИЗД.1</t>
  </si>
  <si>
    <t>978-5-16-014807-6</t>
  </si>
  <si>
    <t>38.03.01, 38.04.02, 38.04.04, 38.04.05</t>
  </si>
  <si>
    <t>075550.19.01</t>
  </si>
  <si>
    <t>Математические методы в программир.: Уч. / В.П.Агальцов - 2 изд. - М.:ИД Форум, НИЦ ИНФРА-М,2027 - 240 с.(СПО)(П)</t>
  </si>
  <si>
    <t>МАТЕМАТИЧЕСКИЕ МЕТОДЫ В ПРОГРАММИРОВАНИИ, ИЗД.2</t>
  </si>
  <si>
    <t>978-5-8199-0410-7</t>
  </si>
  <si>
    <t>09.02.01, 10.02.04, 10.02.05, 38.02.03</t>
  </si>
  <si>
    <t>Рекомендовано Министерством образования Российской Федерации в качестве учебника для студентов учреждений среднего профессионального образования, обучающихся по группе специальностей «Информатика и вычислительная техника»</t>
  </si>
  <si>
    <t>871254.01.01</t>
  </si>
  <si>
    <t>Математические методы в проектном анализе: Уч.пос. / Д.А.Власов - М.:НИЦ ИНФРА-М,2026. - 256 с.(ВО)(п)</t>
  </si>
  <si>
    <t>МАТЕМАТИЧЕСКИЕ МЕТОДЫ В ПРОЕКТНОМ АНАЛИЗЕ, ИЗД.1</t>
  </si>
  <si>
    <t>978-5-16-021804-5</t>
  </si>
  <si>
    <t>646535.04.01</t>
  </si>
  <si>
    <t>Математические методы в психологии (логопедии): Уч.пос. / А.И.Новиков-М.:НИЦ ИНФРА-М,2023-376с.(ВО)(П)</t>
  </si>
  <si>
    <t>МАТЕМАТИЧЕСКИЕ МЕТОДЫ В ПСИХОЛОГИИ (ЛОГОПЕДИИ), ИЗД.1</t>
  </si>
  <si>
    <t>Новиков А.И., Новикова Н.В.</t>
  </si>
  <si>
    <t>978-5-16-018745-7</t>
  </si>
  <si>
    <t>37.03.01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</si>
  <si>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 (протокол № 17 от 11.11.2019)</t>
  </si>
  <si>
    <t>282800.10.01</t>
  </si>
  <si>
    <t>Математические методы в психологии: Уч.пос. / А.И.Новиков - 2 изд. - М.:НИЦ ИНФРА-М,2025 - 288 с.(ВО)(п)</t>
  </si>
  <si>
    <t>МАТЕМАТИЧЕСКИЕ МЕТОДЫ В ПСИХОЛОГИИ, ИЗД.2</t>
  </si>
  <si>
    <t>978-5-16-020408-6</t>
  </si>
  <si>
    <t>Рекомендовано федеральным государственным бюджетным образовательным учреждением высшего профессионального образования «Санкт-Петербургский государственный университет» в качестве учебного пособия по дисциплине «Математические методы в психологии" для</t>
  </si>
  <si>
    <t>267200.06.01</t>
  </si>
  <si>
    <t>Математические методы в совр. социал. науках: Уч. пос.  /Г.В.Осипов - М:Норма:ИНФРА-М,2026 - 384 с.(п)</t>
  </si>
  <si>
    <t>МАТЕМАТИЧЕСКИЕ МЕТОДЫ В СОВРЕМЕННЫХ СОЦИАЛЬНЫХ НАУКАХ, ИЗД.1</t>
  </si>
  <si>
    <t>Осипов Г. В., Лисичкин В. А., Садовничий В. А.</t>
  </si>
  <si>
    <t>978-5-91768-470-3</t>
  </si>
  <si>
    <t>163800.10.01</t>
  </si>
  <si>
    <t>Математические методы в упр.: Уч.пос. / А.Н.Гармаш - М.: Вуз. уч.: НИЦ Инфра - М, 2025 - 272 с. (п)</t>
  </si>
  <si>
    <t>МАТЕМАТИЧЕСКИЕ МЕТОДЫ В УПРАВЛЕНИИ, ИЗД.1</t>
  </si>
  <si>
    <t>Гармаш А. Н., Орлова И. В.</t>
  </si>
  <si>
    <t>978-5-9558-0200-8</t>
  </si>
  <si>
    <t>38.03.01, 38.03.02, 38.04.02</t>
  </si>
  <si>
    <t>Рекомендовано Учебно-методическим объединением вузов Российской Федерации по образованию в области прикладной информатики, математических методов в экономике, статистики и антикризисного управления в качестве учебного пособия для студентов высших уче</t>
  </si>
  <si>
    <t>679425.05.01</t>
  </si>
  <si>
    <t>Математические методы поддержки принятия реш.: Уч.пос. / В.А.Осипова - М.:НИЦ ИНФРА-М,2026 - 134 с.(ВО)(П)</t>
  </si>
  <si>
    <t>МАТЕМАТИЧЕСКИЕ МЕТОДЫ ПОДДЕРЖКИ ПРИНЯТИЯ РЕШЕНИЙ, ИЗД.1</t>
  </si>
  <si>
    <t>Осипова В.А., Алексеев Н.С.</t>
  </si>
  <si>
    <t>978-5-16-014248-7</t>
  </si>
  <si>
    <t>02.03.02, 38.03.04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</si>
  <si>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магистратуры</t>
  </si>
  <si>
    <t>728023.05.01</t>
  </si>
  <si>
    <t>Математические методы принятия управ. решений: Уч.пос. / Г.С.Жукова-М.:НИЦ ИНФРА-М,2023.-212 с.(ВО)(П)</t>
  </si>
  <si>
    <t>МАТЕМАТИЧЕСКИЕ МЕТОДЫ ПРИНЯТИЯ УПРАВЛЕНЧЕСКИХ РЕШЕНИЙ, ИЗД.1</t>
  </si>
  <si>
    <t>978-5-16-018725-9</t>
  </si>
  <si>
    <t>Рекомендовано Министерством образования и науки Российской Федерации в качестве учебного пособия для студентов высших учебных заведений, обучающихся по экономическим специальностям</t>
  </si>
  <si>
    <t>700727.02.01</t>
  </si>
  <si>
    <t>Математические модели в упр. производством меди: Моногр. / Н.В.Васильева - М.:НИЦ ИНФРА-М,2023-194 с.(О)</t>
  </si>
  <si>
    <t>МАТЕМАТИЧЕСКИЕ МОДЕЛИ В УПРАВЛЕНИИ ПРОИЗВОДСТВОМ МЕДИ: ИДЕИ, МЕТОДЫ, ПРИМЕРЫ, ИЗД.1</t>
  </si>
  <si>
    <t>Васильева Н.В.</t>
  </si>
  <si>
    <t>978-5-16-014986-8</t>
  </si>
  <si>
    <t>13.04.01, 22.04.01, 22.04.02, 22.06.01</t>
  </si>
  <si>
    <t>653221.10.01</t>
  </si>
  <si>
    <t>Математические модели упр. проектами: Уч. / И.Н.Царьков - М.:НИЦ ИНФРА-М,2026 - 514 с.(ВО:Магистр.)(П)</t>
  </si>
  <si>
    <t>МАТЕМАТИЧЕСКИЕ МОДЕЛИ УПРАВЛЕНИЯ ПРОЕКТАМИ, ИЗД.1</t>
  </si>
  <si>
    <t>Царьков И.Н.</t>
  </si>
  <si>
    <t>978-5-16-012831-3</t>
  </si>
  <si>
    <t>01.03.04, 01.04.04, 09.03.04, 09.04.04, 38.03.02, 38.04.02</t>
  </si>
  <si>
    <t>634193.07.01</t>
  </si>
  <si>
    <t>Математические олимпиады студентов технических вузов /М.И.Деркач-М.:Вуз.уч.,НИЦ ИНФРА-М,2024-112с(о)</t>
  </si>
  <si>
    <t>МАТЕМАТИЧЕСКИЕ ОЛИМПИАДЫ СТУДЕНТОВ ТЕХНИЧЕСКИХ ВУЗОВ, ИЗД.1</t>
  </si>
  <si>
    <t>Деркач М.И.</t>
  </si>
  <si>
    <t>978-5-9558-0521-4</t>
  </si>
  <si>
    <t>727955.02.01</t>
  </si>
  <si>
    <t>Математический анализ в примерах и задачах: Уч.пос.: Ч.1 / Г.С.Жукова - М.:НИЦ ИНФРА-М,2022 - 260 с.(ВО)(П)</t>
  </si>
  <si>
    <t>МАТЕМАТИЧЕСКИЙ АНАЛИЗ В ПРИМЕРАХ И ЗАДАЧАХ. ЧАСТЬ 1, Т.1</t>
  </si>
  <si>
    <t>978-5-16-015963-8</t>
  </si>
  <si>
    <t>02.03.02, 02.03.03, 03.03.02, 04.03.02, 09.03.04, 38.03.01, 38.03.02, 38.03.05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</si>
  <si>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естественно-научным и экономическим направлениям подготовки (квалификация (степень) «бакалавр») (протокол № 2 от 03.02.2020)</t>
  </si>
  <si>
    <t>727958.02.01</t>
  </si>
  <si>
    <t>Математический анализ в примерах и задачах: Уч.пос.: Ч.2 / Г.С.Жукова - М.:НИЦ ИНФРА-М,2022  -544 с.(ВО)(П)</t>
  </si>
  <si>
    <t>МАТЕМАТИЧЕСКИЙ АНАЛИЗ В ПРИМЕРАХ И ЗАДАЧАХ. ЧАСТЬ 2, Т.2</t>
  </si>
  <si>
    <t>978-5-16-015965-2</t>
  </si>
  <si>
    <t>01.03.04, 02.03.02, 02.03.03, 03.03.02, 04.03.02, 09.03.04, 11.03.02, 38.03.01, 38.03.02, 38.03.05</t>
  </si>
  <si>
    <t>316800.05.01</t>
  </si>
  <si>
    <t>Математический анализ для эконом.:практ.:Уч.пос./Т.И.Демина-М.:НИЦ ИНФРА-М,2024-365с(ВО:Бакалавриат)(п)</t>
  </si>
  <si>
    <t>МАТЕМАТИЧЕСКИЙ АНАЛИЗ ДЛЯ ЭКОНОМИСТОВ:ПРАКТИКУМ, ИЗД.1</t>
  </si>
  <si>
    <t>Демина Т.И., Шевякова О.П.</t>
  </si>
  <si>
    <t>978-5-16-010388-4</t>
  </si>
  <si>
    <t>Допущено УМО по образованию в области прикладной информатики, статистики, антикризисного управления и математических методов в качестве учебного пособия для студентов, обучающихся по направлению подготовки бакалавров 38.03.01 «Экономика»</t>
  </si>
  <si>
    <t>Майкопский государственный технологический университет</t>
  </si>
  <si>
    <t>734496.01.01</t>
  </si>
  <si>
    <t>Математический анализ. Сборник задач и решений с прим.системы Maple: Уч.пос. / О.С.Кузнецова-М.:НИЦ ИНФРА-М,2021.-375 с(П)</t>
  </si>
  <si>
    <t>МАТЕМАТИЧЕСКИЙ АНАЛИЗ. СБОРНИК ЗАДАЧ И РЕШЕНИЙ С ПРИМЕНЕНИЕМ СИСТЕМЫ MAPLE, ИЗД.1</t>
  </si>
  <si>
    <t>Кузнецова О.С., Кирсанов М.Н.</t>
  </si>
  <si>
    <t>978-5-16-016476-2</t>
  </si>
  <si>
    <t>01.03.01, 11.03.01, 11.03.02, 11.03.03, 11.03.04, 12.03.01, 12.03.02, 12.03.03, 12.03.04, 12.03.05, 13.03.01, 13.03.02, 13.03.03, 14.03.01, 14.03.02, 15.03.01, 15.03.02, 15.03.03, 15.03.04, 15.03.05, 15.03.06, 16.03.01, 16.03.02, 16.03.03, 18.03.01, 18.03.02, 22.03.01, 22.03.02, 24.03.01, 38.03.01, 38.03.02, 38.03.03, 38.03.04, 38.03.05, 38.03.06, 38.03.07, 38.03.10, 45.03.04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</si>
  <si>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и экономическим направлениям подготовки (квалификация (степень) «бакалавр») (протокол № 8 от 22.06.2020)</t>
  </si>
  <si>
    <t>293100.09.01</t>
  </si>
  <si>
    <t>Математический анализ. Теория и практика: Уч. пос. / В.С.Шипачев - 3 изд. - ИНФРА-М, 2026 - 351с.(ВО)</t>
  </si>
  <si>
    <t>МАТЕМАТИЧЕСКИЙ АНАЛИЗ. ТЕОРИЯ И ПРАКТИКА, ИЗД.3</t>
  </si>
  <si>
    <t>978-5-16-010073-9</t>
  </si>
  <si>
    <t>01.03.01, 01.04.01, 02.03.01</t>
  </si>
  <si>
    <t>301000.05.01</t>
  </si>
  <si>
    <t>Математический анализ: N-мерное пространство..: Уч. / В.Е.Барбаумов - М.:НИЦ ИНФРА-М,2024 - 341с.(ВО)</t>
  </si>
  <si>
    <t>МАТЕМАТИЧЕСКИЙ АНАЛИЗ: N-МЕРНОЕ ПРОСТРАНСТВО. ФУНКЦИИ. ЭКСТРЕМУМЫ, ИЗД.1</t>
  </si>
  <si>
    <t>Барбаумов В.Е., Попова Н.В.</t>
  </si>
  <si>
    <t>978-5-16-011829-1</t>
  </si>
  <si>
    <t>01.00.00, 01.03.01, 01.03.02, 01.03.03, 01.03.04, 02.03.01, 02.03.02, 02.03.03, 03.03.02, 03.03.03, 04.03.02, 09.03.04, 11.03.02, 24.03.01, 38.03.01, 38.04.01, 45.03.04</t>
  </si>
  <si>
    <t>Рекомендовано в качестве учебника для студентов высших учебных заведений, обучающихся по УГС 38.00.00 «Экономика и управление» (квалификация (степень) «бакалавр»)</t>
  </si>
  <si>
    <t>206600.10.01</t>
  </si>
  <si>
    <t>Математический анализ: Сб. задач с реш.: Уч.пос. / В.Г.Шершнев - М.:НИЦ ИНФРА-М,2027. - 164 с.(ВО)(о)</t>
  </si>
  <si>
    <t>МАТЕМАТИЧЕСКИЙ АНАЛИЗ: СБОРНИК ЗАДАЧ С РЕШЕНИЯМИ, ИЗД.1</t>
  </si>
  <si>
    <t>Шершнев В.Г.</t>
  </si>
  <si>
    <t>978-5-16-018502-6</t>
  </si>
  <si>
    <t>38.03.01, 38.03.02, 38.03.03, 38.03.04, 38.03.05, 38.04.01, 38.04.02, 38.04.03, 38.04.04, 38.04.05, 38.04.08, 38.04.09, 41.03.06</t>
  </si>
  <si>
    <t>Рекомендовано в качестве учебного пособия студентам высших учебных заведений, обучающимся по направлению подготовки 38.03.01 «Экономика» (квалификация (степень) «бакалавр»)</t>
  </si>
  <si>
    <t>214300.08.01</t>
  </si>
  <si>
    <t>Математический анализ: Уч. пос./ В.Г. Шершнев. - М.: НИЦ ИНФРА-М, 2025. - 288 с. (ВО: Бакалавр.)(П)</t>
  </si>
  <si>
    <t>МАТЕМАТИЧЕСКИЙ АНАЛИЗ, ИЗД.1</t>
  </si>
  <si>
    <t>Шершнев В. Г.</t>
  </si>
  <si>
    <t>978-5-16-005488-9</t>
  </si>
  <si>
    <t>Рекомендовано в качестве учебного пособия для студентов высших учебных заведений, обучающихся по направлению 38.03.01 «Экономика»</t>
  </si>
  <si>
    <t>727995.03.01</t>
  </si>
  <si>
    <t>Математический анализ: Уч.: Т.1 / Под ред. Жуковой Г.С. - М.:НИЦ ИНФРА-М,2024-388 с.(ВО)(п)</t>
  </si>
  <si>
    <t>МАТЕМАТИЧЕСКИЙ АНАЛИЗ. ТОМ 1, Т.1</t>
  </si>
  <si>
    <t>Жукова Г.С., Рушайло М.Ф., Жукова Г.С.</t>
  </si>
  <si>
    <t>978-5-16-019247-5</t>
  </si>
  <si>
    <t>02.03.01, 04.03.01, 04.03.02, 05.03.01, 38.03.01, 38.03.02, 38.03.05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</si>
  <si>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естественно-научным и экономическим направлениям подготовки (квалификация (степень) «бакалавр») (протокол № 2 от 03.02.2020)</t>
  </si>
  <si>
    <t>727999.02.01</t>
  </si>
  <si>
    <t>Математический анализ: Уч.: Т.2 / Под ред. Жуковой Г.С. - М.:НИЦ ИНФРА-М,2024-518 с..-(ВО)(п)</t>
  </si>
  <si>
    <t>МАТЕМАТИЧЕСКИЙ АНАЛИЗ. ТОМ 2, Т.2</t>
  </si>
  <si>
    <t>978-5-16-019221-5</t>
  </si>
  <si>
    <t>00.00.00, 01.03.02, 03.03.01, 03.03.02, 03.03.03, 04.03.01, 04.03.02, 38.03.01, 38.03.02, 38.03.05</t>
  </si>
  <si>
    <t>729532.05.01</t>
  </si>
  <si>
    <t>Математический анализ: Уч.пос. / А.В.Пантелеев. - М.:НИЦ ИНФРА-М,2024 - 502 с.(ВО: Бакалавр.)(П)</t>
  </si>
  <si>
    <t>Пантелеев А.В., Савостьянова Н.И., Федорова Н.М.</t>
  </si>
  <si>
    <t>978-5-16-016008-5</t>
  </si>
  <si>
    <t>01.03.01, 01.03.03, 01.03.04, 02.03.01, 02.03.03, 03.03.02, 03.03.03, 04.03.02, 09.03.04, 11.03.02, 21.05.04, 24.03.01, 38.03.01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</si>
  <si>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негуманитарным направлениям подготовки (квалификация (степень) «бакалавр») (протокол № 17 от 11.11.2019)</t>
  </si>
  <si>
    <t>642385.10.01</t>
  </si>
  <si>
    <t>Математическое и имитац. моделирование: Уч.пос. / А.И.Безруков - М.:НИЦ ИНФРА-М,2026 - 227 с.(ВО)(П)</t>
  </si>
  <si>
    <t>МАТЕМАТИЧЕСКОЕ И ИМИТАЦИОННОЕ МОДЕЛИРОВАНИЕ, ИЗД.1</t>
  </si>
  <si>
    <t>Безруков А.И., Алексенцева О.Н.</t>
  </si>
  <si>
    <t>978-5-16-012709-5</t>
  </si>
  <si>
    <t>01.03.04, 38.03.01, 38.03.05, 38.04.01, 38.04.05</t>
  </si>
  <si>
    <t>Рекомендовано в качестве учебного пособия для студентов высших учебных заведений, обучающихся по направлениям подготовки 01.03.04 «Прикладная математика», 38.03.05 «Бизнес-информатика» (квалификация (степень) «бакалавр»)</t>
  </si>
  <si>
    <t>719810.06.01</t>
  </si>
  <si>
    <t>Математическое моделир. и проектир.: Уч.пос. / Под ред. Коломейченко А.С. - М.:НИЦ ИНФРА-М,2026 - 181с.(СПО)(П)</t>
  </si>
  <si>
    <t>МАТЕМАТИЧЕСКОЕ МОДЕЛИРОВАНИЕ И ПРОЕКТИРОВАНИЕ, ИЗД.1</t>
  </si>
  <si>
    <t>Коломейченко А.С., Кравченко И.Н., Ставцев А.Н. и др.</t>
  </si>
  <si>
    <t>978-5-16-015651-4</t>
  </si>
  <si>
    <t>35.02.16, 38.02.01, 38.02.03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</si>
  <si>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35.02.05 «Агрономия» (протокол № 12 от 24.06.2019)</t>
  </si>
  <si>
    <t>655236.06.01</t>
  </si>
  <si>
    <t>Математическое моделиров. и проектир.: Уч.пос. / Под ред.Коломейченко А.С. - М:НИЦ ИНФРА-М,2026 -181 с.(ВО)</t>
  </si>
  <si>
    <t>978-5-16-012890-0</t>
  </si>
  <si>
    <t>06.04.02, 35.04.03, 35.04.04</t>
  </si>
  <si>
    <t>Рекомендовано Научно-методическим советом по сельскому хозяйству в качестве учебного пособия для подготовки магистров по направлениям 35.04.03 «Агрохимия и агропочвоведение», 35.04.04 «Агрономия»</t>
  </si>
  <si>
    <t>667236.06.01</t>
  </si>
  <si>
    <t>Математическое моделиров.и колич. методы...: Уч.пос. / М.Ю.Михалева - М.:Вуз.уч.,НИЦ ИНФРА-М,2026 - 296 с.(п)</t>
  </si>
  <si>
    <t>МАТЕМАТИЧЕСКОЕ МОДЕЛИРОВАНИЕ И КОЛИЧЕСТВЕННЫЕ МЕТОДЫ ИССЛЕДОВАНИЙ В МЕНЕДЖМЕНТЕ, ИЗД.1</t>
  </si>
  <si>
    <t>Михалева М.Ю., Орлова И.В.</t>
  </si>
  <si>
    <t>978-5-9558-0607-5</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</si>
  <si>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38.04.02 «Менеджмент» (квалификация (степень) «магистр»)</t>
  </si>
  <si>
    <t>632560.13.01</t>
  </si>
  <si>
    <t>Математическое моделирование технических систем: Уч. / В.П.Тарасик-М.:НИЦ ИНФРА-М,2023-592 с.(ВО)(П)</t>
  </si>
  <si>
    <t>МАТЕМАТИЧЕСКОЕ МОДЕЛИРОВАНИЕ ТЕХНИЧЕСКИХ СИСТЕМ, ИЗД.1</t>
  </si>
  <si>
    <t>Тарасик В.П.</t>
  </si>
  <si>
    <t>978-5-16-011996-0</t>
  </si>
  <si>
    <t>23.03.02, 23.04.02, 23.05.01</t>
  </si>
  <si>
    <t>Допущено УМО вузов РФ по образованию в области транспортных машин и транспортно-технологических комплексов в качестве учебника для студентов вузов, обучающихся по специальности 23.05.01 «Наземные транспортно-технологические средства». Утверждено Министерством образования Республики Беларусь в качестве учебника для студентов учреждений высшего образования по техническим специальностям</t>
  </si>
  <si>
    <t>887737.01.01</t>
  </si>
  <si>
    <t>Математическое моделирование: уч. / Е.В.Кучунова-М.:НИЦ ИНФРА-М, СФУ,2027.-182 с.-(ВО)(п)</t>
  </si>
  <si>
    <t>МАТЕМАТИЧЕСКОЕ МОДЕЛИРОВАНИЕ, ИЗД.1</t>
  </si>
  <si>
    <t>Кучунова Е.В.</t>
  </si>
  <si>
    <t>978-5-16-022506-7</t>
  </si>
  <si>
    <t>02.03.01</t>
  </si>
  <si>
    <t>878238.01.01</t>
  </si>
  <si>
    <t>Математическое программирование. Задачи..: Моногр. / А.Н.Божко - М.:НИЦ ИНФРА-М,2027. - 426 с.(п)</t>
  </si>
  <si>
    <t>МАТЕМАТИЧЕСКОЕ ПРОГРАММИРОВАНИЕ. ЗАДАЧИ, МОДЕЛИ И АЛГОРИТМЫ, ИЗД.1</t>
  </si>
  <si>
    <t>978-5-16-022129-8</t>
  </si>
  <si>
    <t>01.03.04, 01.04.04, 01.06.01, 03.06.01</t>
  </si>
  <si>
    <t>682969.09.01</t>
  </si>
  <si>
    <t>Материаловедение (дизайн костюма): Уч. / Е.А.Кирсанова - М. ,НИЦ ИНФРА-М,2026 - 395 с.(СПО)(П)</t>
  </si>
  <si>
    <t>МАТЕРИАЛОВЕДЕНИЕ (ДИЗАЙН КОСТЮМА), ИЗД.1</t>
  </si>
  <si>
    <t>Кирсанова Е.А., Шустов Ю.С., Куличенко А.В. и др.</t>
  </si>
  <si>
    <t>978-5-16-021848-9</t>
  </si>
  <si>
    <t>43.01.11, 54.01.06, 54.01.12, 54.02.01, 54.02.03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</si>
  <si>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54.02.01 «Дизайн (по отраслям)», 54.02.02 «Декоративно-прикладное искусство и народные промыслы (по видам)», 54.02.03 «Художественное оформление изделий текстильной и легкой промышленности»</t>
  </si>
  <si>
    <t>402900.14.01</t>
  </si>
  <si>
    <t>Материаловедение (Дизайн костюма): Уч. / Е.А.Кирсанова - М.:Вуз. уч., НИЦ ИНФРА-М,2026 - 395 с.(ВО)(П)</t>
  </si>
  <si>
    <t>978-5-9558-0665-5</t>
  </si>
  <si>
    <t>51.03.02, 51.04.02, 54.03.01, 54.03.03, 54.04.01, 54.04.03</t>
  </si>
  <si>
    <t>Рекомендовано Учебно-методическим объединением вузов по образованию в области дизайна, монументального и декоративного искусств в качестве учебника для студентов высших учебных заведений, обучающихся по направлениям бакалавриата и магистратуры и специальности «Дизайн»</t>
  </si>
  <si>
    <t>337700.06.01</t>
  </si>
  <si>
    <t>Материаловедение в машиностроении: Уч.пос. / В.П.Дмитренко - М.:НИЦ ИНФРА-М,2025 - 432 с.(ВО:Бакалавр.)(п)</t>
  </si>
  <si>
    <t>МАТЕРИАЛОВЕДЕНИЕ В МАШИНОСТРОЕНИИ, ИЗД.1</t>
  </si>
  <si>
    <t>ДмитренкоВ.П., МануйловаН.Б.</t>
  </si>
  <si>
    <t>Высшее образование: Бакалавриат (МАТИ-МАИ)</t>
  </si>
  <si>
    <t>978-5-16-010712-7</t>
  </si>
  <si>
    <t>15.03.01, 15.04.01, 20.03.01, 20.04.01</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</si>
  <si>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15.03.01 «Машиностроение» (квалификация (степень) «бакалавр»)</t>
  </si>
  <si>
    <t>682970.09.01</t>
  </si>
  <si>
    <t>Материаловедение в машиностроении: Уч.пос. / В.П.Дмитренко - М.:НИЦ ИНФРА-М,2026 - 432 с.-(СПО)(П)</t>
  </si>
  <si>
    <t>Дмитренко В.П., Мануйлова Н.Б.</t>
  </si>
  <si>
    <t>978-5-16-014356-9</t>
  </si>
  <si>
    <t>15.02.01, 15.02.03, 15.02.04, 15.02.06, 15.02.09, 15.02.16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</si>
  <si>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15.02.01 «Монтаж и техническая эксплуатация промышленного оборудования (по отраслям)», 15.02.02 «Техническая эксплуатация оборудования для производства электронной техники», 15.02.03 «Техническая эксплуатация гидравлических машин, гидроприводов и гидропневмоавтоматики», 15.02.04 «Специальные машины и устройства», 15.02.05 «Техническая эксплуатация оборудования в торговле и общественном питании», 15.02.06 «Монтаж и техническая эксплуатация холодильно-компрессорных машин и установок (по отраслям)», 15.02.08 «Технология машиностроения», 15.02.09 «Аддитивные технологии»</t>
  </si>
  <si>
    <t>665703.03.01</t>
  </si>
  <si>
    <t>Материаловедение в станкостроении: Уч. / А.М.Адаскин -М.:НИЦ ИНФРА-М,2023-320 с.-(ВО:Бакалавриат)(П)</t>
  </si>
  <si>
    <t>МАТЕРИАЛОВЕДЕНИЕ В СТАНКОСТРОЕНИИ, ИЗД.1</t>
  </si>
  <si>
    <t>978-5-16-014918-9</t>
  </si>
  <si>
    <t>15.03.01, 15.04.01</t>
  </si>
  <si>
    <t>Рекомендовано в качестве учебника для бакалавров, магистрантов и аспирантов, обучающихся по укрупненным группам специальностей 15.00.00 «Машиностроение» и 22.00.00 «Технологии материалов»</t>
  </si>
  <si>
    <t>796833.01.01</t>
  </si>
  <si>
    <t>Материаловедение и тех. конструк. матер.: Уч.пос. Ч.2 / Н.М.Романченко - М.:НИЦ ИНФРА-М,2025. - 263 с.(п)</t>
  </si>
  <si>
    <t>МАТЕРИАЛОВЕДЕНИЕ И ТЕХНОЛОГИЯ КОНСТРУКЦИОННЫХ МАТЕРИАЛОВ. ЧАСТЬ 2, ИЗД.1</t>
  </si>
  <si>
    <t>Романченко Н.М.</t>
  </si>
  <si>
    <t>978-5-16-018777-8</t>
  </si>
  <si>
    <t>15.03.02, 35.03.06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</si>
  <si>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15.03.02 «Технологические машины и оборудование», 35.03.06 «Агроинженерия» (квалификация (степень) «бакалавр») (протокол № 8 от 19.10.2022)</t>
  </si>
  <si>
    <t>799190.01.01</t>
  </si>
  <si>
    <t>Материаловедение и тех. конструк.матер.: Уч.пос.: Ч.1 / Н.М.Романченко-М.:НИЦ ИНФРА-М,2024.-309 с.(ВО)(п)</t>
  </si>
  <si>
    <t>МАТЕРИАЛОВЕДЕНИЕ И ТЕХНОЛОГИЯ КОНСТРУКЦИОННЫХ МАТЕРИАЛОВ. ЧАСТЬ 1, Т.1</t>
  </si>
  <si>
    <t>978-5-16-018417-3</t>
  </si>
  <si>
    <t>156250.19.01</t>
  </si>
  <si>
    <t>Материаловедение и тех. материалов: Уч.пос. /  Под ред.Батышева А.И. - М.:НИЦ ИНФРА-М,2026 - 288 с.(ВО)(П)</t>
  </si>
  <si>
    <t>МАТЕРИАЛОВЕДЕНИЕ И ТЕХНОЛОГИЯ МАТЕРИАЛОВ, ИЗД.1</t>
  </si>
  <si>
    <t>Батышев А.И., Смолькин А.А., Батышев К.А. и др.</t>
  </si>
  <si>
    <t>978-5-16-004821-5</t>
  </si>
  <si>
    <t>15.03.01, 15.03.02, 15.03.03, 15.03.04, 15.03.05, 15.05.01, 22.03.01</t>
  </si>
  <si>
    <t>Рекомендовано Научно-методическим советом «Материаловедение и технология конструкционных материалов» при Минобрнауки РФ в качестве учебного пособия для подготовки бакалавров технических направлений</t>
  </si>
  <si>
    <t>671518.07.01</t>
  </si>
  <si>
    <t>Материаловедение и тех.конструкц. материалов: Уч.пос. / О.А.Масанский - М.:НИЦ ИНФРА-М,СФУ,2027 - 268 с.(П)</t>
  </si>
  <si>
    <t>МАТЕРИАЛОВЕДЕНИЕ И ТЕХНОЛОГИИ КОНСТРУКЦИОННЫХ МАТЕРИАЛОВ, ИЗД.1</t>
  </si>
  <si>
    <t>Масанский О.А., Казаков В.С., Токмин А.М. и др.</t>
  </si>
  <si>
    <t>978-5-16-013435-2</t>
  </si>
  <si>
    <t>13.03.01</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</si>
  <si>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направлению подготовки 13.03.01 «Теплоэнергетика и теплотехника»</t>
  </si>
  <si>
    <t>220900.13.01</t>
  </si>
  <si>
    <t>Материаловедение и технологии электроники: Уч. пос. / В.И.Капустин - М.:ИНФРА-М,2026  - 427 с.(ВО)(П)</t>
  </si>
  <si>
    <t>МАТЕРИАЛОВЕДЕНИЕ И ТЕХНОЛОГИИ ЭЛЕКТРОНИКИ, ИЗД.1</t>
  </si>
  <si>
    <t>Капустин В. И., Сигов А. С.</t>
  </si>
  <si>
    <t>978-5-16-008966-9</t>
  </si>
  <si>
    <t>11.03.03, 11.03.04, 12.03.01, 12.03.02, 20.03.01, 27.03.01, 27.03.02, 28.03.01</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</si>
  <si>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учебныз заведений, обучающихся по направлениям подготовки 11.03.04(210100) «Электроника и наноэлектроника», 28.0</t>
  </si>
  <si>
    <t>215100.09.01</t>
  </si>
  <si>
    <t>Материаловедение и технология материалов: Уч. / Г.П.Фетисов - М.:НИЦ ИНФРА-М,2023 - 397 с.(ВО)(П)</t>
  </si>
  <si>
    <t>Фетисов Г.П., Гарифуллин Ф.А.</t>
  </si>
  <si>
    <t>978-5-16-006899-2</t>
  </si>
  <si>
    <t>22.03.01, 22.03.02, 23.01.17</t>
  </si>
  <si>
    <t>Рекомендовано Научно-методическим советом по материаловедению и технологии конструкционных материалов при Минобрнауки РФ в качестве учебника для бакалавров высших учебных заведений инженерно-технического профиля</t>
  </si>
  <si>
    <t>119150.22.01</t>
  </si>
  <si>
    <t>Материаловедение и технология материалов: Уч.пос. / А.М.Адаскин - 2 изд. - М.:НИЦ ИНФРА-М,2026. - 335 с.(СПО)(п)</t>
  </si>
  <si>
    <t>МАТЕРИАЛОВЕДЕНИЕ И ТЕХНОЛОГИЯ МАТЕРИАЛОВ, ИЗД.2</t>
  </si>
  <si>
    <t>Адаскин А. М., Зуев В. М.</t>
  </si>
  <si>
    <t>978-5-16-022136-6</t>
  </si>
  <si>
    <t>15.02.01, 15.02.03, 15.02.04, 15.02.06, 15.02.07, 15.02.09, 15.02.10, 15.02.16, 15.02.17, 15.02.18, 15.02.19, 22.02.08, 26.02.04</t>
  </si>
  <si>
    <t>705034.06.01</t>
  </si>
  <si>
    <t>Материаловедение и технология материалов: Уч.пос. / И.Т.Сухопяткина - 3 изд.-М.:НИЦ ИНФРА-М,2024-396 с.(П)</t>
  </si>
  <si>
    <t>МАТЕРИАЛОВЕДЕНИЕ И ТЕХНОЛОГИЯ МАТЕРИАЛОВ, ИЗД.3</t>
  </si>
  <si>
    <t>Сухопяткина И.Т.</t>
  </si>
  <si>
    <t>978-5-16-015292-9</t>
  </si>
  <si>
    <t>13.03.03, 15.03.01, 15.03.03, 15.03.05</t>
  </si>
  <si>
    <t>737467.05.01</t>
  </si>
  <si>
    <t>Материаловедение и технология металлич..: Уч.: Кн.2 / А.М.Адаскин - 2 изд. - М.:НИЦ ИНФРА-М,2026 - 241 с.(ВО)(п)</t>
  </si>
  <si>
    <t>МАТЕРИАЛОВЕДЕНИЕ И ТЕХНОЛОГИЯ МЕТАЛЛИЧЕСКИХ, НЕМЕТАЛЛИЧЕСКИХ И КОМПОЗИЦИОННЫХ МАТЕРИАЛОВ:ТЕХНОЛОГИЯ ИЗГОТОВЛЕНИЯ ЗАГОТОВОК И ДЕТАЛЕЙ. КНИГА 2, Т.2</t>
  </si>
  <si>
    <t>Адаскин А.М., Красновский А.Н., Тарасова Т.В.</t>
  </si>
  <si>
    <t>978-5-16-019533-9</t>
  </si>
  <si>
    <t>15.03.01, 15.03.02, 15.03.03, 15.03.04, 15.03.05, 15.03.06, 22.03.01, 22.03.02</t>
  </si>
  <si>
    <t>Рекомендовано Учебно-методическим советом ФГБОУ ВО «МГТУ "СТАНКИН”» в качестве учебника для бакалавров и магистрантов, обучающихся по направлениям подготовки 15.00.00 «Машиностроение» и 22.00.00 «Технологии материалов»</t>
  </si>
  <si>
    <t>342000.04.01</t>
  </si>
  <si>
    <t>Материаловедение и технология металлических,..: Уч. / А.М.Адаскин-М.:Форум,НИЦ ИНФРА-М,2017-400с(ВО)</t>
  </si>
  <si>
    <t>МАТЕРИАЛОВЕДЕНИЕ И ТЕХНОЛОГИЯ МЕТАЛЛИЧЕСКИХ, НЕМЕТАЛЛИЧЕСКИХ И КОМПОЗИЦИОННЫХ МАТЕРИАЛОВ, ИЗД.1</t>
  </si>
  <si>
    <t>Адаскин А.М., Красновский А.Н.</t>
  </si>
  <si>
    <t>978-5-00091-401-4</t>
  </si>
  <si>
    <t>22.03.01, 22.04.01, 22.04.02</t>
  </si>
  <si>
    <t>Рекомендовано Учебно-методическим Советом ФГБОУ ВО «МГТУ «СТАНКИН» в качестве учебника для бакалавров и магистров, обучающихся по направлениям подготовки 15.00.00 «Машиностроение» и 22.00.00 «Технологии материалов»</t>
  </si>
  <si>
    <t>342000.07.01</t>
  </si>
  <si>
    <t>Материаловедение и технология металлических,..: Уч. / А.М.Адаскин-М.:Форум,НИЦ ИНФРА-М,2020-400с(ВО)</t>
  </si>
  <si>
    <t>978-5-00091-431-1</t>
  </si>
  <si>
    <t>342000.13.01</t>
  </si>
  <si>
    <t>Материаловедение и технология металлических...: Уч.: Кн.1 / А.М.Адаскин - 2 изд. - М.:НИЦ ИНФРА-М,2026 - 250 с.(П)</t>
  </si>
  <si>
    <t>МАТЕРИАЛОВЕДЕНИЕ И ТЕХНОЛОГИЯ МЕТАЛЛИЧЕСКИХ, НЕМЕТАЛЛИЧЕСКИХ И КОМПОЗИЦИОННЫХ МАТЕРИАЛОВ, Т.1</t>
  </si>
  <si>
    <t>978-5-16-022208-0</t>
  </si>
  <si>
    <t>713375.01.01</t>
  </si>
  <si>
    <t>Материаловедение конструкцион. и инструментал. материал...: Уч. / А.М.Адаскин-М.:НИЦ ИНФРА-М,2019.-320с(П)</t>
  </si>
  <si>
    <t>МАТЕРИАЛОВЕДЕНИЕ КОНСТРУКЦИОННЫХ И ИНСТРУМЕНТАЛЬНЫХ МАТЕРИАЛОВ В СТАНКОСТРОЕНИИ, ИЗД.1</t>
  </si>
  <si>
    <t>978-5-16-015391-9</t>
  </si>
  <si>
    <t>15.02.01, 15.02.03, 15.02.04, 15.02.06, 15.02.07, 15.02.16, 15.02.17, 15.02.19, 22.02.08, 35.01.06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</si>
  <si>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15.02.00 «Машиностроение» и 22.02.00 «Технологии материалов» (протокол № 8 от 29.04.2019)</t>
  </si>
  <si>
    <t>775843.08.01</t>
  </si>
  <si>
    <t>Материаловедение: дизайн, архитектура: Уч.пос.: В 2 т.Т.1 / Е.Б.Володина - М.:НИЦ ИНФРА-М,2026 - 388 с.(СПО)(П)</t>
  </si>
  <si>
    <t>МАТЕРИАЛОВЕДЕНИЕ: ДИЗАЙН, АРХИТЕКТУРА, Т.1</t>
  </si>
  <si>
    <t>Володина Е.Б.</t>
  </si>
  <si>
    <t>978-5-16-017570-6</t>
  </si>
  <si>
    <t>07.02.01, 43.01.11, 54.01.06, 54.01.12, 54.02.01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</si>
  <si>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07.02.01 «Архитектура», 54.02.01 «Дизайн (по отраслям)» (протокол № 10 от 15.12.2021)</t>
  </si>
  <si>
    <t>704852.05.01</t>
  </si>
  <si>
    <t>Материаловедение: дизайн, архитектура: Уч.пос.: Т.1 / Е.Б.Володина - М.:НИЦ ИНФРА-М,2026 - 388 с.(ВО)(П.)</t>
  </si>
  <si>
    <t>978-5-16-021003-2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</si>
  <si>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07.03.01 «Архитектура», 07.03.03 «Дизайн архитектурной среды», 54.03.01 «Дизайн» (квалификация (степень) «бакалавр») (протокол № 8 от 20.10.2021)</t>
  </si>
  <si>
    <t>720210.06.01</t>
  </si>
  <si>
    <t>Материаловедение: дизайн, архитектура: Уч.пос.: Т.2 / Е.Б.Володина - М.:НИЦ ИНФРА-М,2026 - 432 с.(ВО)(п)</t>
  </si>
  <si>
    <t>МАТЕРИАЛОВЕДЕНИЕ: ДИЗАЙН, АРХИТЕКТУРА, Т.2</t>
  </si>
  <si>
    <t>978-5-16-021036-0</t>
  </si>
  <si>
    <t>07.03.01, 07.03.02, 07.03.04, 54.03.01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</si>
  <si>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07.03.01 «Архитектура», 07.03.03 «Дизайн архитектурной среды», 54.03.01 «Дизайн» (квалификация (степень) «бакалавр») (протокол № 8 от 15.12.2021)</t>
  </si>
  <si>
    <t>775844.08.01</t>
  </si>
  <si>
    <t>Материаловедение: дизайн...: Уч.пос.: В 2 т.Т.2 / Е.Б.Володина - М.:НИЦ ИНФРА-М,2027 - 432 с(СПО)(П)</t>
  </si>
  <si>
    <t>978-5-16-017571-3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</si>
  <si>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54.02.01 «Дизайн (по отраслям)» (протокол № 10 от 15.12.2021)</t>
  </si>
  <si>
    <t>683404.07.01</t>
  </si>
  <si>
    <t>Материаловедение: Раб. тетр.: Уч. пос. / М.А.Труевцева - М.:НИЦ ИНФРА-М,2027 - 316 с.(СПО)(О)</t>
  </si>
  <si>
    <t>МАТЕРИАЛОВЕДЕНИЕ: РАБОЧАЯ ТЕТРАДЬ, ИЗД.1</t>
  </si>
  <si>
    <t>Труевцева М.А., Краснова Е.Н.</t>
  </si>
  <si>
    <t>978-5-16-014411-5</t>
  </si>
  <si>
    <t>29.02.05, 29.02.10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</si>
  <si>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29.02.04 «Конструирование, моделирование и технология швейных изделий» (протокол № 6 от 16.06.2021)</t>
  </si>
  <si>
    <t>267700.10.01</t>
  </si>
  <si>
    <t>Материаловедение: Уч. / А.А.Воробьев - М.:АРГАМАК-МЕДИА, НИЦ ИНФРА-М,2026 - 304 с.-(Высшая школа)(П)</t>
  </si>
  <si>
    <t>МАТЕРИАЛОВЕДЕНИЕ, ИЗД.1</t>
  </si>
  <si>
    <t>Воробьев А.А., Жуков Д.А., Кононов Д.П. и др.</t>
  </si>
  <si>
    <t>АРГАМАК-МЕДИА</t>
  </si>
  <si>
    <t>Высшая школа</t>
  </si>
  <si>
    <t>978-5-00024-013-7</t>
  </si>
  <si>
    <t>Рекомендовано Научно-методическим советом «Материаловедение и технология конструкционных материалов» при Минобнауки РФ в качестве учебника для студентов высших учебных заведений, обучающихся по направлениям подготовки дипломированных специалистов 190</t>
  </si>
  <si>
    <t>654517.13.01</t>
  </si>
  <si>
    <t>Материаловедение: Уч. / А.А.Черепахин - М.:КУРС, НИЦ ИНФРА-М,2026 - 336 с.-(СПО)(п)</t>
  </si>
  <si>
    <t>Черепахин А.А.</t>
  </si>
  <si>
    <t>978-5-906923-18-9</t>
  </si>
  <si>
    <t>13.02.13, 15.02.07, 15.02.16, 22.02.08</t>
  </si>
  <si>
    <t>632553.05.01</t>
  </si>
  <si>
    <t>Материаловедение: Уч. / А.А.Черепахин-М.:КУРС, НИЦ ИНФРА-М,2019.-284 с..-(Бакалавриат)(П)</t>
  </si>
  <si>
    <t>Черепахин А.А., Смолькин А.А.</t>
  </si>
  <si>
    <t>978-5-906818-56-0</t>
  </si>
  <si>
    <t>13.03.03, 15.03.01, 15.03.03, 15.03.04, 15.03.05, 23.03.01, 23.03.03, 23.05.01, 27.03.01, 27.03.03</t>
  </si>
  <si>
    <t>Рекомендован в качестве учебника для студентов высших учебных заведений, обучающихся по направлениям подготовки: 13.03.03 «Энергетическое машиностроение»,15.03.01 «Машиностроение», 15.03.02 «Технологические машины и оборудование», 15.03.03 «Прикладная механика», 15.03.05 «Конструкторско-технологическое обеспечение машиностроительных производств»,23.03.03 «Эксплуатация транспортно-технологических машин и комплексов», 23.03.01 «Технология транспортных процессов», 27.03.03 «Системный анализ и управление», 15.03.04 «Автоматизация технологических процессов и производств», 27.03.01 «Стандартизация и метрология» (квалификация «Бакалавр»), 23.05.01 «Наземные транспортно-технологические средства» (квалификация «Специалист»)</t>
  </si>
  <si>
    <t>267800.10.01</t>
  </si>
  <si>
    <t>Материаловедение: Уч. / В.Н. Гадалов - М.: АРГАМАК-МЕДИА: НИЦ ИНФРА-М, 2026. - 272 с. (Высшая школа) (п)</t>
  </si>
  <si>
    <t>Гадалов В.Н., Сафонов С.В., Романенко Д.Н. и др.</t>
  </si>
  <si>
    <t>978-5-00024-017-5</t>
  </si>
  <si>
    <t>15.03.01, 15.03.02, 15.03.03, 15.03.04, 15.03.05, 15.03.06, 23.03.01, 23.03.02, 23.03.03</t>
  </si>
  <si>
    <t>Допущено Учебно-методическим объединением вузов «Материаловедение и технология конструкционных материалов» при Минобрнауки РФ в качестве учебника для студентов технических направлений</t>
  </si>
  <si>
    <t>062150.20.01</t>
  </si>
  <si>
    <t>Материаловедение: Уч. / Под ред. Батиенкова В.Т. - М.:НИЦ ИНФРА-М,2026 - 151 с.(СПО)(П)</t>
  </si>
  <si>
    <t>Сеферов Г.Г., Батиенков В.Т., Сеферов Г.Г. и др.</t>
  </si>
  <si>
    <t>978-5-16-016094-8</t>
  </si>
  <si>
    <t>08.01.29, 08.02.01, 08.02.08, 08.02.13, 18.02.13, 24.02.02, 27.02.06</t>
  </si>
  <si>
    <t>082740.07.01</t>
  </si>
  <si>
    <t>Материаловедение: Уч. пос. / Г.Г. Сеферов - М.: РИОР, 2025 - 158 с. (Проф. обр.) (о.к/ф)</t>
  </si>
  <si>
    <t>Сеферов Г. Г., Батиенков В. Т.</t>
  </si>
  <si>
    <t>Профессиональное образование [карм. формат]</t>
  </si>
  <si>
    <t>978-5-369-00137-0</t>
  </si>
  <si>
    <t>08.02.08</t>
  </si>
  <si>
    <t>173900.11.01</t>
  </si>
  <si>
    <t>Материаловедение: Уч. пос. / Л.В. Тарасенко - М.: НИЦ Инфра-М, 2026. - 475 с.(ВО) (п)</t>
  </si>
  <si>
    <t>Тарасенко Л. В., Пахомова С. А., Унчикова М. В., Герасимов С. А., Тарасенко Л. В.</t>
  </si>
  <si>
    <t>978-5-16-004868-0</t>
  </si>
  <si>
    <t>15.03.01, 15.03.02, 15.03.03, 15.03.04, 15.03.05, 15.03.06, 15.05.01, 22.03.01</t>
  </si>
  <si>
    <t>Допущено научно-методическим советом по материаловедению и технологии конструкционных материалов Министерства образования и науки РФ в качестве учебного пособия для студентов вузов, обуч. по машиностроительным направлениям</t>
  </si>
  <si>
    <t>095050.19.01</t>
  </si>
  <si>
    <t>Материаловедение: Уч.пос. / В.А.Стуканов - М.:ИД ФОРУМ, НИЦ ИНФРА-М,2024. - 368с.(ПО)</t>
  </si>
  <si>
    <t>978-5-8199-0352-0</t>
  </si>
  <si>
    <t>11.02.16, 13.02.05, 23.01.17, 23.02.03, 23.02.07, 24.01.01, 24.02.01, 26.02.04</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</si>
  <si>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специальности "Техническое обслуживание и ремонт автомобильного транспорта"</t>
  </si>
  <si>
    <t>071230.12.01</t>
  </si>
  <si>
    <t>Материаловедение: Уч.пос. / И.С.Давыдова - 2 изд. - М.:ИЦ РИОР,НИЦ ИНФРА-М,2027 - 228 с.(ВО:Бакалавр.)(о)</t>
  </si>
  <si>
    <t>МАТЕРИАЛОВЕДЕНИЕ, ИЗД.2</t>
  </si>
  <si>
    <t>Давыдова И. С., Максина Е. Л.</t>
  </si>
  <si>
    <t>978-5-369-01222-2</t>
  </si>
  <si>
    <t>13.02.01, 13.03.03, 15.03.01, 15.03.02, 15.03.03, 15.03.05, 22.03.01, 27.03.01</t>
  </si>
  <si>
    <t>862091.01.01</t>
  </si>
  <si>
    <t>Материалы в нефтегазовой промышленности: Уч. пос. / А.А.Рябинин. - М.:НИЦ ИНФРА-М, СФУ,2026. - 126 с.(ВО)(п)</t>
  </si>
  <si>
    <t>МАТЕРИАЛЫ В НЕФТЕГАЗОВОЙ ПРОМЫШЛЕННОСТИ, ИЗД.1</t>
  </si>
  <si>
    <t>Рябинин А.А., Сокольников А.Н., Аюпов Р.Ш.</t>
  </si>
  <si>
    <t>978-5-16-021400-9</t>
  </si>
  <si>
    <t>21.03.01, 21.04.01, 21.05.06</t>
  </si>
  <si>
    <t>730631.09.01</t>
  </si>
  <si>
    <t>Материалы деревообраб. производств: Уч.пос. / А.А.Барташевич - 2 изд. - М.:НИЦ ИНФРА-М,2026 - 307 с.(СПО)(П)</t>
  </si>
  <si>
    <t>МАТЕРИАЛЫ ДЕРЕВООБРАБАТЫВАЮЩИХ ПРОИЗВОДСТВ, ИЗД.2</t>
  </si>
  <si>
    <t>Барташевич А.А., Игнатович Л.В.</t>
  </si>
  <si>
    <t>978-5-16-015944-7</t>
  </si>
  <si>
    <t>26.01.02, 35.02.18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</si>
  <si>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35.02.03 «Технология деревообработки», 35.02.04 «Технология комплексной переработки древесины» (протокол № 15 от 14.10.2019)</t>
  </si>
  <si>
    <t>708890.04.01</t>
  </si>
  <si>
    <t>Материалы деревообрабатывающих произв.: Уч.пос. / А.А.Барташевич - 2 изд. - М.:НИЦ ИНФРА-М,2026 - 307 с.(ВО)</t>
  </si>
  <si>
    <t>978-5-16-015355-1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</si>
  <si>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35.03.02 «Технология лесозаготовительных и деревообрабатывающих производств» (квалификация (степень) «бакалавр») (протокол № 12 от 24.06.2019)</t>
  </si>
  <si>
    <t>682971.12.01</t>
  </si>
  <si>
    <t>Материалы для одежды. Ткани: Справ.: Уч.пос. / Б.А.Бузов - М.:ИД ФОРУМ, НИЦ ИНФРА-М,2026 - 224 с.(СПО)(П)</t>
  </si>
  <si>
    <t>МАТЕРИАЛЫ ДЛЯ ОДЕЖДЫ. ТКАНИ, ИЗД.1</t>
  </si>
  <si>
    <t>Бузов Б.А., Румянцева Г.П.</t>
  </si>
  <si>
    <t>978-5-8199-0793-1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</si>
  <si>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29.02.04 «Конструирование, моделирование и технология швейных изделий»</t>
  </si>
  <si>
    <t>184800.15.01</t>
  </si>
  <si>
    <t>Материалы для одежды. Ткани: Уч.пос. / Б.А.Бузов - М.:НИЦ ИНФРА-М,2026. - 224 с.(ВО)(п)</t>
  </si>
  <si>
    <t>978-5-16-021376-7</t>
  </si>
  <si>
    <t>29.03.01, 29.03.02, 29.03.05, 29.04.01, 29.04.02, 29.04.04, 29.04.05</t>
  </si>
  <si>
    <t>Рекомендовано Учебно-методическим объединением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направлениям: 29.03.01 «Технология изделий легкой промышленности», 29.03.05 «Конструирование изделий легкой промышленности» (квалификация (степень) «бакалавр»)</t>
  </si>
  <si>
    <t>682972.08.01</t>
  </si>
  <si>
    <t>Материалы для отделки одежды: Уч.пос. / Н.Г.Бессонова - М.:ИД ФОРУМ, НИЦ ИНФРА-М,2026 - 144 с.(СПО)(П)</t>
  </si>
  <si>
    <t>МАТЕРИАЛЫ ДЛЯ ОТДЕЛКИ ОДЕЖДЫ, ИЗД.1</t>
  </si>
  <si>
    <t>Бессонова Н.Г., Бузов Б.А.</t>
  </si>
  <si>
    <t>978-5-8199-0794-8</t>
  </si>
  <si>
    <t>54.01.05, 54.02.03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</si>
  <si>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29.02.00 «Технологии легкой промышленности»</t>
  </si>
  <si>
    <t>405550.10.01</t>
  </si>
  <si>
    <t>Материалы для отделки одежды: Уч.пос. / Н.Г.Бессонова - М.:НИЦ ИНФРА-М,2026. - 144 с.(ВО)(о)</t>
  </si>
  <si>
    <t>978-5-16-021591-4</t>
  </si>
  <si>
    <t>29.03.01, 29.03.02, 29.03.05, 29.04.01, 29.04.02, 29.04.05</t>
  </si>
  <si>
    <t>Рекомендовано Учебно-методическим объединением по образованию в области технологии, конструирования изделий легкой промышленности в качестве учебного пособия по дисциплинам «Материалы для одежды и конфекционирование», «Материалы для изделий легкой промышленности и конфекционирование» для студентов высших учебных заведений, обучающихся по направлению подготовки бакалавров 29.03.01 «Технология изделий легкой промышленности» и 29.03.05 «Конструирование изделий легкой промышленности»</t>
  </si>
  <si>
    <t>064750.23.01</t>
  </si>
  <si>
    <t>Материалы и изделия для сан.-техн.устройств и систем обесп..: Уч. / К.С.Орлов - НИЦ ИНФРА-М,2026 - 183 с.(СПО)(П)</t>
  </si>
  <si>
    <t>МАТЕРИАЛЫ И ИЗДЕЛИЯ ДЛЯ САНИТАРНО-ТЕХНИЧЕСКИХ УСТРОЙСТВ И СИСТЕМ ОБЕСПЕЧЕНИЯ МИКРОКЛИМАТА, ИЗД.1</t>
  </si>
  <si>
    <t>978-5-16-004418-7</t>
  </si>
  <si>
    <t>08.02.04, 08.02.08, 08.02.13, 13.02.02, 18.01.27, 19.01.01</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</si>
  <si>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08.02.07 «Монтаж и эксплуатация внутренних сантехнических устройств и вентиляции»</t>
  </si>
  <si>
    <t>262200.09.01</t>
  </si>
  <si>
    <t>Материалы и их технологии: Уч. Ч.1 / Под ред. Горохова В.А. - М.:НИЦ ИНФРА-М, 2026. - 589 с.(ВО: Бакалавр.)(п)</t>
  </si>
  <si>
    <t>МАТЕРИАЛЫ И ИХ ТЕХНОЛОГИИ, Т.1</t>
  </si>
  <si>
    <t>Горохов В. А., Беляков Н. В., Схиртладзе А. Г., Горохов В. А.</t>
  </si>
  <si>
    <t>978-5-16-009529-5</t>
  </si>
  <si>
    <t>15.03.01, 15.03.02, 15.03.03, 15.03.04, 15.03.05, 15.03.06, 15.05.01, 26.02.04</t>
  </si>
  <si>
    <t>Допущено Учебно-методическим объединением вузов Российской Федерации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«Технология, оборудование и автоматизация машиностроительных производств», «Конструкторско-технологическое обеспечение машиностроительных производств», «Автоматизированные технологии и производства»</t>
  </si>
  <si>
    <t>262300.08.01</t>
  </si>
  <si>
    <t>Материалы и их технологии: Уч.: Ч.2 / Под ред. Горохова В.А. - М.:НИЦ ИНФРА-М,2026. - 533 с.(ВО: Бакалавр.)(п)</t>
  </si>
  <si>
    <t>МАТЕРИАЛЫ И ИХ ТЕХНОЛОГИИ, ИЗД.1</t>
  </si>
  <si>
    <t>978-5-16-009532-5</t>
  </si>
  <si>
    <t>15.03.01, 15.03.02, 15.03.03, 15.03.04, 15.03.05, 15.05.01, 22.03.01, 26.02.04</t>
  </si>
  <si>
    <t>Допущено Учебно-методическим объединением вузов Российской Федерации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«Технология, оборудова</t>
  </si>
  <si>
    <t>720661.07.01</t>
  </si>
  <si>
    <t>Материалы экстремистского характера...: Моногр. / Н.Ф.Бодров - М.:Юр.Норма, НИЦ ИНФРА-М,2026 - 160 с.(П)</t>
  </si>
  <si>
    <t>МАТЕРИАЛЫ ЭКСТРЕМИСТСКОГО ХАРАКТЕРА, РАСПРОСТРАНЯЕМЫЕ В СЕТИ ИНТЕРНЕТ: ПРОБЛЕМЫ СУДЕБНО-ЭКСПЕРТНОГО ИССЛЕДОВАНИЯ И ВОПРОСЫ КВАЛИФИКАЦИИ ПРЕСТУПЛЕНИЙ, ИЗД.1</t>
  </si>
  <si>
    <t>Бодров Н.Ф.</t>
  </si>
  <si>
    <t>978-5-00156-031-9</t>
  </si>
  <si>
    <t>161200.18.01</t>
  </si>
  <si>
    <t>Материально-технич. база библиотек: Уч.пос. / Л.И.Алешин - М., НИЦ ИНФРА-М,2026 - 448 с.(ВО)(п)</t>
  </si>
  <si>
    <t>МАТЕРИАЛЬНО-ТЕХНИЧЕСКАЯ БАЗА БИБЛИОТЕК, ИЗД.1</t>
  </si>
  <si>
    <t>978-5-16-021885-4</t>
  </si>
  <si>
    <t>Рекомендовано УМО по образованию в области народной художественной культуры, социально-культурной деятельности и информационных ресурсов в качестве учебного пособия для студентов высших учебных заведений, обучающихся по направлению подготовки 51.03.06 «Библиотечно-информационная деятельность»</t>
  </si>
  <si>
    <t>690268.07.01</t>
  </si>
  <si>
    <t>Материально-технич. обеспеч. ж/д транспорта: Уч. / А.В.Цевелев - 2 изд. - М.:НИЦ ИНФРА-М,2026 - 444 с.(П)</t>
  </si>
  <si>
    <t>МАТЕРИАЛЬНО-ТЕХНИЧЕСКОЕ ОБЕСПЕЧЕНИЕ ЖЕЛЕЗНОДОРОЖНОГО ТРАНСПОРТА, ИЗД.2</t>
  </si>
  <si>
    <t>978-5-16-016965-1</t>
  </si>
  <si>
    <t>23.05.04, 23.05.05, 38.03.01, 38.03.02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</si>
  <si>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3 от 17.03.2021)</t>
  </si>
  <si>
    <t>838479.02.01</t>
  </si>
  <si>
    <t>Материально-технич. снабжение ж/д транспорта: Уч. / А.В.Цевелев - М.:НИЦ ИНФРА-М,2026 - 409 с.(СПО)(п)</t>
  </si>
  <si>
    <t>МАТЕРИАЛЬНО-ТЕХНИЧЕСКОЕ СНАБЖЕНИЕ ЖЕЛЕЗНОДОРОЖНОГО ТРАНСПОРТА, ИЗД.1</t>
  </si>
  <si>
    <t>978-5-16-020208-2</t>
  </si>
  <si>
    <t>23.02.01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</si>
  <si>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2 от 17.02.2021)</t>
  </si>
  <si>
    <t>798334.06.01</t>
  </si>
  <si>
    <t>Материально-техническая база библиотек: Уч.пос. / Л.И.Алешин - М., НИЦ ИНФРА-М,2026. - 448 с.(СПО)(п)</t>
  </si>
  <si>
    <t>978-5-16-021433-7</t>
  </si>
  <si>
    <t>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</si>
  <si>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51.02.03 «Библиотековедение» (протокол № 10 от 21.12.2022)</t>
  </si>
  <si>
    <t>078130.08.01</t>
  </si>
  <si>
    <t>Матрица преступности: Монография / Под ред. Овчинского В.С. - М.:НОРМА,2023.-112 с.(О)</t>
  </si>
  <si>
    <t>МАТРИЦА ПРЕСТУПНОСТИ, ИЗД.1</t>
  </si>
  <si>
    <t>Овчинский А. С., Чеботарева С. О., Овчинский В. С.</t>
  </si>
  <si>
    <t>978-5-468-00019-9</t>
  </si>
  <si>
    <t>Московский университет Министерства внутренних дел Российской Федерации имени В.Я. Кикотя, Рязанский филиал</t>
  </si>
  <si>
    <t>722474.08.01</t>
  </si>
  <si>
    <t>Машинный интеллект: Очерки по теории машинного обуч. / С.А.Шумский - М.:ИЦ РИОР, НИЦ ИНФРА-М,2026 - 340 с.(П)</t>
  </si>
  <si>
    <t>МАШИННЫЙ ИНТЕЛЛЕКТ, ИЗД.1</t>
  </si>
  <si>
    <t>Шумский С.А.</t>
  </si>
  <si>
    <t>978-5-369-01832-3</t>
  </si>
  <si>
    <t>01.04.02, 02.04.01, 02.04.02, 10.04.01, 15.04.04, 38.04.05</t>
  </si>
  <si>
    <t>Московский физико-технический институт (национальный исследовательский университет) МФТИ</t>
  </si>
  <si>
    <t>646091.06.01</t>
  </si>
  <si>
    <t>Машиностроительные материалы нового поколения: Уч.пос. / Г.М.Волков - М.:НИЦ ИНФРА-М,2027. - 319 с.(ВО)(П)</t>
  </si>
  <si>
    <t>МАШИНОСТРОИТЕЛЬНЫЕ МАТЕРИАЛЫ НОВОГО ПОКОЛЕНИЯ, ИЗД.1</t>
  </si>
  <si>
    <t>Волков Г.М.</t>
  </si>
  <si>
    <t>978-5-16-022384-1</t>
  </si>
  <si>
    <t>Рекомендовано в качестве учебного пособия для студентов высших учебных заведений, обучающихся по направлению подготовки 15.03.01 «Машиностроение» (квалификация (степень) «бакалавр»)</t>
  </si>
  <si>
    <t>668828.08.01</t>
  </si>
  <si>
    <t>Машины для строит.и содерж.дорог и аэродромов: Уч.пос. / Павлов В.П. - М.:НИЦ ИНФРА-М, СФУ,2027 - 195 с.(ВО)(П)</t>
  </si>
  <si>
    <t>МАШИНЫ ДЛЯ СТРОИТЕЛЬСТВА И СОДЕРЖАНИЯ ДОРОГ И АЭРОДРОМОВ : ИССЛЕДОВАНИЕ, РАСЧЕТ, КОНСТРУИРОВАНИЕ, ИЗД.1</t>
  </si>
  <si>
    <t>Павлов В.П., Минин В.В., Байкалов В.А. и др.</t>
  </si>
  <si>
    <t>978-5-16-022350-6</t>
  </si>
  <si>
    <t>23.04.01, 23.04.02, 23.04.03</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</si>
  <si>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магистров «Наземные транспортно-технологические машины и комплексы»</t>
  </si>
  <si>
    <t>706236.05.01</t>
  </si>
  <si>
    <t>Машины и агрегаты для заправки авиаГСМ..: Уч.пос. / Р.Б.Желукевич - 2 изд. - М.:НИЦ ИНФРА-М,2026 - 449 с.(п)</t>
  </si>
  <si>
    <t>МАШИНЫ И АГРЕГАТЫ ДЛЯ ЗАПРАВКИ АВИАГСМ И ОБСЛУЖИВАНИЯ ВОЗДУШНЫХ СУДОВ, ИЗД.2</t>
  </si>
  <si>
    <t>Желукевич Р.Б., Подвезенный В.Н., Безбородов Ю.Н. и др.</t>
  </si>
  <si>
    <t>978-5-16-021138-1</t>
  </si>
  <si>
    <t>24.03.04, 24.05.02, 25.03.02, 25.05.04</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</si>
  <si>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обучающихся по специальности «Средства аэродромно-технического обеспечения полетов авиации» направления подготовки дипломированных специалистов «Транспортные машины и транспортно-технологические комплексы»</t>
  </si>
  <si>
    <t>654437.06.01</t>
  </si>
  <si>
    <t>Машины и оборуд. в животновод.: Уч.пос. / Под ред. Мирзоянца Ю.А. - М.:НИЦ ИНФРА-М,2026 - 439 с.(ВО(П)</t>
  </si>
  <si>
    <t>МАШИНЫ И ОБОРУДОВАНИЕ В ЖИВОТНОВОДСТВЕ, ИЗД.1</t>
  </si>
  <si>
    <t>Мирзоянц Ю.А., Филонов Р.Ф., Середа Н.А. и др.</t>
  </si>
  <si>
    <t>978-5-16-013120-7</t>
  </si>
  <si>
    <t>35.03.06, 36.03.02</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</si>
  <si>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35.00.00 по сельскому, лесному и рыбному хозяйству в качестве учебного пособия для студентов высших учебных заведений, обучающихся по направлению подготовки 35.03.06 «Агроинженерия» (квалификация (степень) «бакалавр»)</t>
  </si>
  <si>
    <t>822125.02.01</t>
  </si>
  <si>
    <t>Машины и оборудование в кормопроизводстве: Уч.пос. / В.М.Долбаненко - М.:НИЦ ИНФРА-М,2026. - 203 с.(ВО)(п)</t>
  </si>
  <si>
    <t>МАШИНЫ И ОБОРУДОВАНИЕ В КОРМОПРОИЗВОДСТВЕ, ИЗД.1</t>
  </si>
  <si>
    <t>Долбаненко В.М., Терских С.А.</t>
  </si>
  <si>
    <t>978-5-16-020002-6</t>
  </si>
  <si>
    <t>435500.08.01</t>
  </si>
  <si>
    <t>Мегаполис в зеркале социальной философии: Моногр./В.А.Есаков - М.:НИЦ ИНФРА-М,2025 - 176 с.(Науч.мысль)(о)</t>
  </si>
  <si>
    <t>МЕГАПОЛИС В ЗЕРКАЛЕ СОЦИАЛЬНОЙ ФИЛОСОФИИ, ИЗД.1</t>
  </si>
  <si>
    <t>Есаков В.А.</t>
  </si>
  <si>
    <t>978-5-16-011329-6</t>
  </si>
  <si>
    <t>40.03.01, 44.03.01, 44.03.05, 47.03.01, 47.04.01, 47.06.01</t>
  </si>
  <si>
    <t>665720.10.01</t>
  </si>
  <si>
    <t>Медиаполитика: Уч. / Р.Т.Мухаев - М.:НИЦ ИНФРА-М,2026. - 401 с.-(ВО)(п)</t>
  </si>
  <si>
    <t>МЕДИАПОЛИТИКА, ИЗД.1</t>
  </si>
  <si>
    <t>978-5-16-021596-9</t>
  </si>
  <si>
    <t>38.03.04, 39.03.03, 41.03.04, 42.03.01, 42.03.02, 42.03.04, 42.03.05, 43.03.02, 43.03.03</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</si>
  <si>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38.03.04 «Государственное и муниципальное управление», 43.03.01 «Реклама и связи с общественностью», 41.03.04 «Политология», 41.03.05. «Международные отношения» (квалификация (степень) «бакалавр»)</t>
  </si>
  <si>
    <t>808709.02.01</t>
  </si>
  <si>
    <t>Медиаправо: Уч.пос. / Г.И.Уваркин - М.:НИЦ ИНФРА-М,2026. - 300 с.(ВО)(п)</t>
  </si>
  <si>
    <t>МЕДИАПРАВО, ИЗД.1</t>
  </si>
  <si>
    <t>Уваркин Г.И.</t>
  </si>
  <si>
    <t>978-5-16-018899-7</t>
  </si>
  <si>
    <t>10.05.04, 10.05.05, 38.03.01, 38.03.05, 38.04.05, 38.05.02, 40.03.01, 40.04.01, 40.05.02, 40.05.04, 42.03.05, 42.04.02, 42.04.04, 42.04.05, 46.03.02</t>
  </si>
  <si>
    <t>819243.03.01</t>
  </si>
  <si>
    <t>Медиапсихология: Уч.пос. / Ю.В.Харланова - М.:НИЦ ИНФРА-М,2026. - 283 с.(ВО)(п)</t>
  </si>
  <si>
    <t>МЕДИАПСИХОЛОГИЯ, ИЗД.1</t>
  </si>
  <si>
    <t>Харланова Ю.В.</t>
  </si>
  <si>
    <t>978-5-16-019720-3</t>
  </si>
  <si>
    <t>42.03.02</t>
  </si>
  <si>
    <t>Всероссийский (с международным участием) конкурс учебно-методических, учебных и научных работ "Добросвет"-2025, Победитель, II место
Учебник года-2025, Лауреат</t>
  </si>
  <si>
    <t>834830.04.01</t>
  </si>
  <si>
    <t>Медиация в публичных финансах...: Уч.пос. / Е.Ю.Грачева - М.:Юр. НОРМА, НИЦ ИНФРА-М,2026. - 72 с.(о)</t>
  </si>
  <si>
    <t>МЕДИАЦИЯ В ПУБЛИЧНЫХ ФИНАНСАХ: МЯГКИЕ НАВЫКИ ЮРИСТА, ИЗД.1</t>
  </si>
  <si>
    <t>978-5-00156-384-6</t>
  </si>
  <si>
    <t>38.04.09, 38.05.01, 40.03.01, 40.04.01, 40.05.01, 40.05.02, 40.05.04</t>
  </si>
  <si>
    <t>859744.01.01</t>
  </si>
  <si>
    <t>Медико-биологич. аспекты оздоровит. деят.: Уч.пос. / Л.И.Безуглая - М.:НИЦ ИНФРА-М,2026. - 148 с.(ВО)(п)</t>
  </si>
  <si>
    <t>МЕДИКО-БИОЛОГИЧЕСКИЕ АСПЕКТЫ ОЗДОРОВИТЕЛЬНОЙ ДЕЯТЕЛЬНОСТИ, ИЗД.1</t>
  </si>
  <si>
    <t>Безуглая Л.И.</t>
  </si>
  <si>
    <t>Высшее образование (МариупГУ)</t>
  </si>
  <si>
    <t>978-5-16-021803-8</t>
  </si>
  <si>
    <t>44.03.01, 49.03.01, 49.03.03, 49.03.04, 49.04.01</t>
  </si>
  <si>
    <t>699847.05.01</t>
  </si>
  <si>
    <t>Медико-биологич. основы безопас.: Уч. / А.И.Лобанов, - 2 изд. - М.:НИЦ ИНФРА-М,2026. - 368 с.(ВО: Бакалавр.)(П)</t>
  </si>
  <si>
    <t>МЕДИКО-БИОЛОГИЧЕСКИЕ ОСНОВЫ БЕЗОПАСНОСТИ, ИЗД.2</t>
  </si>
  <si>
    <t>Лобанов А.И.</t>
  </si>
  <si>
    <t>978-5-16-016974-3</t>
  </si>
  <si>
    <t>20.03.01</t>
  </si>
  <si>
    <t>Рекомендовано Министерством Российской Федерации по делам гражданской обороны, чрезвычайным ситуациям и ликвидации последствий стихийных бедствий в качестве учебника для слушателей, студентов и курсантов образовательных учреждений МЧС России</t>
  </si>
  <si>
    <t>742682.05.01</t>
  </si>
  <si>
    <t>Медико-биологич. основы безопас.: Уч. / А.И.Лобанов, - 2 изд. - М.:НИЦ ИНФРА-М,2026. - 368 с.(СПО)(п)</t>
  </si>
  <si>
    <t>978-5-16-019795-1</t>
  </si>
  <si>
    <t>00.02.01, 20.02.01, 20.02.02</t>
  </si>
  <si>
    <t>Допущено Министерством Российской Федерации по делам гражданской обороны, чрезвычайным ситуациям и ликвидации последствий стихийных бедствий в качестве учебника для слушателей, студентов и курсантов образовательных учреждений МЧС России</t>
  </si>
  <si>
    <t>699847.02.01</t>
  </si>
  <si>
    <t>Медико-биологические основы безопасности: Уч. / А.И.Лобанов - М.:НИЦ ИНФРА-М,2021 - 357 с.(ВО)(П)</t>
  </si>
  <si>
    <t>МЕДИКО-БИОЛОГИЧЕСКИЕ ОСНОВЫ БЕЗОПАСНОСТИ, ИЗД.1</t>
  </si>
  <si>
    <t>978-5-16-014840-3</t>
  </si>
  <si>
    <t>742682.01.01</t>
  </si>
  <si>
    <t>Медико-биологические основы безопасности: Уч. / А.И.Лобанов-М.:НИЦ ИНФРА-М,2021.-357 с..-(СПО)(П)</t>
  </si>
  <si>
    <t>978-5-16-016445-8</t>
  </si>
  <si>
    <t>871508.01.01</t>
  </si>
  <si>
    <t>Медицина и технологии: вопросы права...: Моногр. / В.С.Маличенко - М.:НИЦ ИНФРА-М, ИЗиСП,2026. - 232 с.(п)</t>
  </si>
  <si>
    <t>МЕДИЦИНА И ТЕХНОЛОГИИ: ВОПРОСЫ ПРАВА, СОЦИАЛЬНОЙ ПОЛИТИКИ И НАЦИОНАЛЬНОЙ БЕЗОПАСНОСТИ, ИЗД.1</t>
  </si>
  <si>
    <t>Маличенко В.С., Путило Н.В.</t>
  </si>
  <si>
    <t>978-5-16-021771-0</t>
  </si>
  <si>
    <t>00.03.32, 32.04.01, 32.05.01, 32.06.01</t>
  </si>
  <si>
    <t>699848.12.01</t>
  </si>
  <si>
    <t>Медицина катастроф (вопросы орг.лечебно-эвакуац...: Уч. / П.В.Авитисов - М.:НИЦ ИНФРА-М,2026 - 365 с.(ВО)</t>
  </si>
  <si>
    <t>МЕДИЦИНА КАТАСТРОФ (ВОПРОСЫ ОРГАНИЗАЦИИ ЛЕЧЕБНО-ЭВАКУАЦИОННОГО ОБЕСПЕЧЕНИЯ НАСЕЛЕНИЯ В ЧРЕЗВЫЧАЙНЫХ СИТУАЦИЯХ МИРНОГО ВРЕМЕНИ), ИЗД.1</t>
  </si>
  <si>
    <t>Авитисов П.В., Лобанов А.И., Золотухин А.В. и др.</t>
  </si>
  <si>
    <t>978-5-16-018983-3</t>
  </si>
  <si>
    <t>20.03.01, 20.04.01, 31.05.01, 32.05.01, 34.03.01</t>
  </si>
  <si>
    <t>Допущено Министерством Российской Федерации по делам гражданской обороны, чрезвычайным ситуациям и ликвидации последствий стихийных бедствий в качестве учебника для курсантов, студентов и слушателей образовательных учреждений МЧС России</t>
  </si>
  <si>
    <t>713079.03.01</t>
  </si>
  <si>
    <t>Медицинская антропология: Уч.пос. / Д.В.Михель - М.:НИЦ ИНФРА-М,2026. - 338 с.(ВО)(П)</t>
  </si>
  <si>
    <t>МЕДИЦИНСКАЯ АНТРОПОЛОГИЯ, ИЗД.1</t>
  </si>
  <si>
    <t>Михель Д.В.</t>
  </si>
  <si>
    <t>978-5-16-021595-2</t>
  </si>
  <si>
    <t>31.05.01, 31.05.02, 31.05.03, 44.03.05, 51.03.01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</si>
  <si>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и медицинским направлениям подготовки (квалификация (степень) «бакалавр») (протокол № 6 от 16.06.2021)</t>
  </si>
  <si>
    <t>712503.09.01</t>
  </si>
  <si>
    <t>Медицинская антропология: Уч.пос. / О.В.Калмин - М.:НИЦ ИНФРА-М,2026 - 411 с.(ВО)(П)</t>
  </si>
  <si>
    <t>Калмин О.В., Галкина Т.Н.</t>
  </si>
  <si>
    <t>978-5-16-022232-5</t>
  </si>
  <si>
    <t>31.05.01, 31.05.02, 31.05.03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</si>
  <si>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31.05.00 «Клиническая медицина» (протокол № 3 от 16.09.2019)</t>
  </si>
  <si>
    <t>476700.12.01</t>
  </si>
  <si>
    <t>Медицинская биология: Энц. справ. / О.Ю.Смирнов - 2 изд. - М.:НИЦ ИНФРА-М,2026 - 607 с.(П)</t>
  </si>
  <si>
    <t>МЕДИЦИНСКАЯ БИОЛОГИЯ: ЭНЦИКЛОПЕДИЧЕСКИЙ СПРАВОЧНИК, ИЗД.2</t>
  </si>
  <si>
    <t>Смирнов О.Ю.</t>
  </si>
  <si>
    <t>978-5-16-016122-8</t>
  </si>
  <si>
    <t>30.05.01, 30.05.02, 31.05.01, 31.05.02, 31.05.03, 32.05.01, 33.05.01, 34.03.01</t>
  </si>
  <si>
    <t>Сумский государственный университет</t>
  </si>
  <si>
    <t>476700.05.01</t>
  </si>
  <si>
    <t>Медицинская биология: Энц. справ. / О.Ю.Смирнов - М.:Форум, НИЦ ИНФРА-М, 2020-608с.(ВО)(П)</t>
  </si>
  <si>
    <t>МЕДИЦИНСКАЯ БИОЛОГИЯ, ИЗД.1</t>
  </si>
  <si>
    <t>Смирнов  О.Ю.</t>
  </si>
  <si>
    <t>978-5-00091-177-8</t>
  </si>
  <si>
    <t>440350.09.01</t>
  </si>
  <si>
    <t>Медицинская и биологич. физика. Прак.: Уч.пос. / Под ред. Лещенко В.Г. - М.:НИЦ ИНФРА-М,2026. - 334 с.(ВО)(п)</t>
  </si>
  <si>
    <t>МЕДИЦИНСКАЯ И БИОЛОГИЧЕСКАЯ ФИЗИКА. ПРАКТИКУМ, ИЗД.1</t>
  </si>
  <si>
    <t>Лещенко В. Г., Ильич Г. К., Инсарова Н. И., Лещенко В. Г.</t>
  </si>
  <si>
    <t>978-5-16-006664-6</t>
  </si>
  <si>
    <t>03.03.01, 03.04.01, 04.04.01, 06.03.01, 06.04.01, 31.05.01, 31.05.02, 31.05.03, 32.05.01, 33.05.01, 34.03.01</t>
  </si>
  <si>
    <t>778503.04.01</t>
  </si>
  <si>
    <t>Медицинская оценка климатич. условий Евпаторийского курорта / В.Н.Любчик - М.:НИЦ ИНФРА-М,2026. - 213 с.(О)</t>
  </si>
  <si>
    <t>МЕДИЦИНСКАЯ ОЦЕНКА КЛИМАТИЧЕСКИХ УСЛОВИЙ ЕВПАТОРИЙСКОГО КУРОРТА, ИЗД.1</t>
  </si>
  <si>
    <t>978-5-16-017762-5</t>
  </si>
  <si>
    <t>05.04.02, 31.05.01, 49.03.03, 49.04.02</t>
  </si>
  <si>
    <t>758704.06.01</t>
  </si>
  <si>
    <t>Медицинская паразитология: Уч.пос. / М.Д.Новак и др. - М.:НИЦ ИНФРА-М,2026. - 342 с.(ВО)(п)</t>
  </si>
  <si>
    <t>МЕДИЦИНСКАЯ ПАРАЗИТОЛОГИЯ, ИЗД.1</t>
  </si>
  <si>
    <t>Новак М.Д., Новак А.И., Енгашев С.В.</t>
  </si>
  <si>
    <t>978-5-16-021598-3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</si>
  <si>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специальностям 31.05.01 «Лечебное дело», 31.05.02 «Педиатрия», 32.05.01 «Медико-профилактическое дело» (квалификация «врач-лечебник, врач-педиатр, врач по общей гигиене, по эпидемиологии») (протокол № 4 от 13.04.2022)</t>
  </si>
  <si>
    <t>865465.01.01</t>
  </si>
  <si>
    <t>Медицинский англ. для хирургов = Medical English..: Уч. / О.Н.Анюшенкова - М.:НИЦ ИНФРА-М,2026. - 427 с.(п)</t>
  </si>
  <si>
    <t>МЕДИЦИНСКИЙ АНГЛИЙСКИЙ ДЛЯ ХИРУРГОВ = MEDICAL ENGLISH FOR SURGEONS, ИЗД.1</t>
  </si>
  <si>
    <t>978-5-16-021481-8</t>
  </si>
  <si>
    <t>864856.01.01</t>
  </si>
  <si>
    <t>Медицинский английский для терапевтов: Уч. / О.Н.Анюшенкова - М.:НИЦ ИНФРА-М,2026. - 553 с.(Проф.ин.яз.)(п)</t>
  </si>
  <si>
    <t>МЕДИЦИНСКИЙ АНГЛИЙСКИЙ ДЛЯ ТЕРАПЕВТОВ = MEDICAL ENGLISH FOR THERAPISTS, ИЗД.1</t>
  </si>
  <si>
    <t>978-5-16-021411-5</t>
  </si>
  <si>
    <t>30.05.01, 30.05.02, 30.05.03, 31.05.01, 31.05.02, 31.05.03, 31.05.04, 31.08.03, 31.08.19, 31.08.28, 31.08.29, 31.08.36, 31.08.43, 31.08.45, 31.08.49, 31.08.53, 31.08.57</t>
  </si>
  <si>
    <t>699849.08.01</t>
  </si>
  <si>
    <t>Медицинское обеспеч. ликвидации чрезвычайных...: Уч. / А.И.Лобанов - М.:НИЦ ИНФРА-М,2026 - 298 с.(ВО)(П)</t>
  </si>
  <si>
    <t>МЕДИЦИНСКОЕ ОБЕСПЕЧЕНИЕ ЛИКВИДАЦИИ ЧРЕЗВЫЧАЙНЫХ СИТУАЦИЙ, ИЗД.1</t>
  </si>
  <si>
    <t>978-5-16-020303-4</t>
  </si>
  <si>
    <t>20.03.01, 20.05.01, 31.05.01, 31.05.02, 32.04.01, 32.05.01, 34.03.01</t>
  </si>
  <si>
    <t>750415.06.01</t>
  </si>
  <si>
    <t>Медицинское право: Уч. / Н.Г.Петрова - М.:НИЦ ИНФРА-М,2026 - 193 с.(ВО)(п)</t>
  </si>
  <si>
    <t>МЕДИЦИНСКОЕ ПРАВО, ИЗД.1</t>
  </si>
  <si>
    <t>Петрова Н.Г.</t>
  </si>
  <si>
    <t>978-5-16-018551-4</t>
  </si>
  <si>
    <t>31.05.01, 31.05.02, 31.05.03, 32.04.01, 32.05.01, 34.03.01, 40.03.01, 40.04.01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</si>
  <si>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34.03.01 «Сестринское дело» (квалификация (степень) «бакалавр») (протокол № 1 от 12.01.2022)</t>
  </si>
  <si>
    <t>786123.02.01</t>
  </si>
  <si>
    <t>Медицинское страхование: Уч. / А.П.Архипов - М.:НИЦ ИНФРА-М,2026. - 231 с.(ВО)(п)</t>
  </si>
  <si>
    <t>МЕДИЦИНСКОЕ СТРАХОВАНИЕ, ИЗД.1</t>
  </si>
  <si>
    <t>Архипов А.П.</t>
  </si>
  <si>
    <t>978-5-16-018216-2</t>
  </si>
  <si>
    <t>32.04.01, 34.03.01, 39.03.02</t>
  </si>
  <si>
    <t>239900.08.01</t>
  </si>
  <si>
    <t>Медицинское страхование: Уч.пос. / О.А.Цыганова - М.: НИЦ ИНФРА-М, 2026 - 176 с. (ВО)(о)</t>
  </si>
  <si>
    <t>Цыганова О.А., Ившин И.В.</t>
  </si>
  <si>
    <t>978-5-16-009226-3</t>
  </si>
  <si>
    <t>31.02.01, 31.05.01, 31.05.02, 31.05.03, 31.06.01, 31.07.01, 31.08.01, 31.08.02, 31.08.03, 31.08.04, 31.08.05, 31.08.06, 31.08.07, 31.08.08, 31.08.09, 31.08.10, 31.08.11, 31.08.12, 31.08.13, 31.08.14, 31.08.15, 31.08.16, 31.08.17, 31.08.18, 31.08.19, 31.08.20, 31.08.21, 31.08.22, 31.08.23, 31.08.24, 31.08.25, 31.08.26,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 38.03.01</t>
  </si>
  <si>
    <t>Рекомендовано в качестве учебного пособия для системы последипломного образования специалистов в рамках основной образовательной программы послевузовского профессионального образования по специальности "Управление сестринской деятельностью»</t>
  </si>
  <si>
    <t>Северный государственный медицинский университет</t>
  </si>
  <si>
    <t>705676.06.01</t>
  </si>
  <si>
    <t>Медицинское тепловидение: Уч.пос. / Е.Е.Ачкасов - М.:НИЦ ИНФРА-М,2026. - 218 с.(ВО: Специалитет)(п)</t>
  </si>
  <si>
    <t>МЕДИЦИНСКОЕ ТЕПЛОВИДЕНИЕ, ИЗД.1</t>
  </si>
  <si>
    <t>Ачкасов Е.Е., Воловик М.Г., Долгов И.М. и др.</t>
  </si>
  <si>
    <t>978-5-16-015293-6</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</si>
  <si>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дополнительного профессионального образования врачей. Регистрационный номер рецензии: 582 ЭКУ от 17 января 2019 г.</t>
  </si>
  <si>
    <t>822452.01.01</t>
  </si>
  <si>
    <t>Межведомственный стандарт антинаркот. профилакт. деят.: Науч.-практ. пос./ Г.Н.Василенко-М.:НИЦ ИНФРА-М,2025-142 с.(п)</t>
  </si>
  <si>
    <t>МЕЖВЕДОМСТВЕННЫЙ СТАНДАРТ АНТИНАРКОТИЧЕСКОЙ ПРОФИЛАКТИЧЕСКОЙ ДЕЯТЕЛЬНОСТИ, ИЗД.1</t>
  </si>
  <si>
    <t>Василенко Г.Н., Шурухнова Д.Н., Артемьев Н.В.</t>
  </si>
  <si>
    <t>978-5-16-019749-4</t>
  </si>
  <si>
    <t>632923.04.01</t>
  </si>
  <si>
    <t>Междисциплинарные исслед.личн.в социол.:Моногр. / К.К.Оганян-М.:НИЦ ИНФРА-М,2023-194с(Науч.мысль)(П)</t>
  </si>
  <si>
    <t>МЕЖДИСЦИПЛИНАРНЫЕ ИССЛЕДОВАНИЯ ЛИЧНОСТИ В СОЦИОЛОГИИ: СРАВНИТЕЛЬНЫЙ АНАЛИЗ, ИЗД.1</t>
  </si>
  <si>
    <t>978-5-16-012035-5</t>
  </si>
  <si>
    <t>39.04.01, 44.03.01, 44.03.05</t>
  </si>
  <si>
    <t>696947.02.01</t>
  </si>
  <si>
    <t>Междисциплинарный дискурс культуры...: Уч.пос. / Т.С.Злотникова-М.:НИЦ ИНФРА-М,2023.-342с(П)</t>
  </si>
  <si>
    <t>МЕЖДИСЦИПЛИНАРНЫЙ ДИСКУРС КУЛЬТУРЫ (ФИЛОСОФСКО-ПСИХОЛОГИЧЕСКАЯ И СОЦИОКУЛЬТУРНАЯ МЕТОДОЛОГИЯ), ИЗД.1</t>
  </si>
  <si>
    <t>978-5-16-014728-4</t>
  </si>
  <si>
    <t>47.03.01, 47.04.01, 51.03.01, 51.04.01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</si>
  <si>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направлениям подготовки (квалификация (степень) «магистр») (протокол № 8 от 22.06.2020)</t>
  </si>
  <si>
    <t>696683.05.01</t>
  </si>
  <si>
    <t>Международная валютно-финансовая система: Уч. / Е.В.Зенкина - М.:НИЦ ИНФРА-М,2026. - 190 с.(ВО)(П)</t>
  </si>
  <si>
    <t>МЕЖДУНАРОДНАЯ ВАЛЮТНО-ФИНАНСОВАЯ СИСТЕМА, ИЗД.1</t>
  </si>
  <si>
    <t>Зенкина Е.В.</t>
  </si>
  <si>
    <t>978-5-16-021093-3</t>
  </si>
  <si>
    <t>38.03.01, 38.03.02, 38.03.04, 38.03.06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</si>
  <si>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38.03.04 «Государственное и муниципальное управление», 38.03.06 «Торговое дело» (протокол № 10 от 27.05.2019)</t>
  </si>
  <si>
    <t>758047.02.01</t>
  </si>
  <si>
    <t>Международная защита прав человека...: Уч.пос. / Ю.В.Самович - М.:ИЦ РИОР, НИЦ ИНФРА-М,2023 - 152 с.(ВО)(О)</t>
  </si>
  <si>
    <t>МЕЖДУНАРОДНАЯ ЗАЩИТА ПРАВ ЧЕЛОВЕКА, ИЗД.1</t>
  </si>
  <si>
    <t>Самович Ю.В., Шарифуллин Р.А.</t>
  </si>
  <si>
    <t>978-5-369-01871-2</t>
  </si>
  <si>
    <t>656454.05.01</t>
  </si>
  <si>
    <t>Международная прак. оценочной деят.: Уч.пос. / С.Ю.Богатырев - М.:ИЦ РИОР, НИЦ ИНФРА-М,2026 - 96 с.(ВО)(о)</t>
  </si>
  <si>
    <t>МЕЖДУНАРОДНАЯ ПРАКТИКА ОЦЕНОЧНОЙ ДЕЯТЕЛЬНОСТИ, ИЗД.1</t>
  </si>
  <si>
    <t>978-5-369-01689-3</t>
  </si>
  <si>
    <t>658767.09.01</t>
  </si>
  <si>
    <t>Международная террорист. орг.«Исламское гос.»: Моногр. / В.В.Красинский - М:НИЦ ИНФРА-М,2027 -108 с.(О)</t>
  </si>
  <si>
    <t>МЕЖДУНАРОДНАЯ ТЕРРОРИСТИЧЕСКАЯ ОРГАНИЗАЦИЯ «ИСЛАМСКОЕ ГОСУДАРСТВО»: ИСТОРИЯ, СОВРЕМЕННОСТЬ, ИЗД.1</t>
  </si>
  <si>
    <t>978-5-16-012878-8</t>
  </si>
  <si>
    <t>656392.04.01</t>
  </si>
  <si>
    <t>Международная торговля: Уч. / С.У.Нуралиев - М.:НИЦ ИНФРА-М,2027 - 307 с.-(ВО: Бакалавр.)(П)</t>
  </si>
  <si>
    <t>МЕЖДУНАРОДНАЯ ТОРГОВЛЯ, ИЗД.1</t>
  </si>
  <si>
    <t>978-5-16-013788-9</t>
  </si>
  <si>
    <t>Рекомендовано в качестве учебника для студентов высших учебных заведений, обучающихся по направлениям подготовки 38.03.01 «Экономика», 38.03.02 «Менеджмент», 38.03.06 «Торговое дело» (квалификация (степень) «бакалавр»)</t>
  </si>
  <si>
    <t>279900.07.01</t>
  </si>
  <si>
    <t>Международная торговля: Уч. / Ю.В. Рагулина - М.: Альфа-М:  ИНФРА-М, 2026. - 272 с. (Бакалавр.) (П)</t>
  </si>
  <si>
    <t>Рагулина Ю. В., Завалько Н. А., Кожина В. О.</t>
  </si>
  <si>
    <t>978-5-98281-398-5</t>
  </si>
  <si>
    <t>Рекомендовано уполномоченным учреждением ФГБОУ «Государственный университет управления» в качестве учебника для студентов высших учебных заведений, обучающихся по направлению подготовки 38.03.01.62 «Экономика» (квалификация (степень) «бакалавр»</t>
  </si>
  <si>
    <t>Московская академия предпринимательства при Правительстве Москвы</t>
  </si>
  <si>
    <t>412400.08.01</t>
  </si>
  <si>
    <t>Международная торговля: Уч.пос. / А.О.Руднева, - 2 изд. - М .:НИЦ ИНФРА-М,2025 - 273 с.(ВО: Бакалавриат)(П)</t>
  </si>
  <si>
    <t>МЕЖДУНАРОДНАЯ ТОРГОВЛЯ, ИЗД.2</t>
  </si>
  <si>
    <t>Руднева А.О.</t>
  </si>
  <si>
    <t>978-5-16-013714-8</t>
  </si>
  <si>
    <t>38.03.01, 38.03.02, 38.03.06, 38.04.01, 38.04.02, 38.04.06, 38.05.02</t>
  </si>
  <si>
    <t>Рекомендовано ФГБОУ ВО «Государственный университет управления»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</si>
  <si>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412400.04.01</t>
  </si>
  <si>
    <t>Международная торговля: Уч.пос. / А.О.Руднева-М.:НИЦ ИНФРА-М,2017.-234 с..-(ВО)(П)</t>
  </si>
  <si>
    <t>978-5-16-005378-3</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</si>
  <si>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080100.68 «Экономика» (квалификация (степень) «магистр»)</t>
  </si>
  <si>
    <t>015538.16.01</t>
  </si>
  <si>
    <t>Международное гуманитарное право: Уч. / О.И.Тиунов - 3 изд. - М.:Юр.Норма,НИЦ ИНФРА-М,2027 - 320 с.(О)</t>
  </si>
  <si>
    <t>МЕЖДУНАРОДНОЕ ГУМАНИТАРНОЕ ПРАВО, ИЗД.3</t>
  </si>
  <si>
    <t>Тиунов О.И.</t>
  </si>
  <si>
    <t>978-5-91768-586-1</t>
  </si>
  <si>
    <t>37.03.01, 40.03.01, 40.04.01, 40.05.01, 40.05.02, 40.05.03, 40.05.04, 41.03.01, 41.03.05, 44.03.05</t>
  </si>
  <si>
    <t>778300.01.01</t>
  </si>
  <si>
    <t>Международное и европейское налог. право. Уч.пос. / Л.Л.Арзуманова-М.:Юр. НОРМА, НИЦ ИНФРА-М,2022.-224с(П)</t>
  </si>
  <si>
    <t>МЕЖДУНАРОДНОЕ И ЕВРОПЕЙСКОЕ НАЛОГОВОЕ ПРАВО, ИЗД.1</t>
  </si>
  <si>
    <t>Арзуманова Л.Л., Горлова Е.Н., Грачева Е.Ю. и др.</t>
  </si>
  <si>
    <t>978-5-00156-249-8</t>
  </si>
  <si>
    <t>40.03.01, 40.04.01, 40.05.01, 41.03.01</t>
  </si>
  <si>
    <t>638386.12.01</t>
  </si>
  <si>
    <t>Международное морское право (частное и публ.): Уч. / В.Н.Коваль - М.:.,НИЦ ИНФРА-М,2026  - 228 с.(П)</t>
  </si>
  <si>
    <t>МЕЖДУНАРОДНОЕ МОРСКОЕ ПРАВО (ЧАСТНОЕ И ПУБЛИЧНОЕ), ИЗД.1</t>
  </si>
  <si>
    <t>Коваль В.Н., Стаценко О.С., Никитина А.П. и др.</t>
  </si>
  <si>
    <t>978-5-16-022153-3</t>
  </si>
  <si>
    <t>35.03.09, 40.03.01, 40.04.01, 40.05.01, 40.05.02, 40.05.03, 40.05.04</t>
  </si>
  <si>
    <t>682755.05.01</t>
  </si>
  <si>
    <t>Международное налоговое право: Уч.пос. / В.А.Мачехин - М.:Юр.Норма, НИЦ ИНФРА-М,2026 - 128 с.(О)</t>
  </si>
  <si>
    <t>МЕЖДУНАРОДНОЕ НАЛОГОВОЕ ПРАВО, ИЗД.1</t>
  </si>
  <si>
    <t>Мачехин В.А., Арзуманова Л.Л., Горлова Е.Н. и др.</t>
  </si>
  <si>
    <t>978-5-91768-912-8</t>
  </si>
  <si>
    <t>875143.01.01</t>
  </si>
  <si>
    <t>Международное право в рос. правовой сис..: Моногр. / С.Ю.Марочкин - М.:Юр. НОРМА, НИЦ ИНФРА-М,2026. - 248 с.(п)</t>
  </si>
  <si>
    <t>МЕЖДУНАРОДНОЕ ПРАВО В РОССИЙСКОЙ ПРАВОВОЙ СИСТЕМЕ: ИЗМЕНЯЮЩАЯСЯ РОЛЬ СУДОВ, ИЗД.1</t>
  </si>
  <si>
    <t>Марочкин С.Ю.</t>
  </si>
  <si>
    <t>978-5-00156-486-7</t>
  </si>
  <si>
    <t>886427.01.01</t>
  </si>
  <si>
    <t>Международное право и культ. многообразие: Моногр./ А.Я.Капустин - 2 изд. - М.:Юр. НОРМА, НИЦ ИНФРА-М,2027. - 328 с.(п)</t>
  </si>
  <si>
    <t>МЕЖДУНАРОДНОЕ ПРАВО И КУЛЬТУРНОЕ МНОГООБРАЗИЕ, ИЗД.2</t>
  </si>
  <si>
    <t>Капустин А.Я., Авхадеев В.Р., Аду Я.Н. и др.</t>
  </si>
  <si>
    <t>978-5-00156-500-0</t>
  </si>
  <si>
    <t>857436.04.01</t>
  </si>
  <si>
    <t>Международное право. Особ. часть. Ч. I: Уч. / П.И.Чувахин - М.:НИЦ ИНФРА-М,2026. - 629 с.(ВО)(п)</t>
  </si>
  <si>
    <t>МЕЖДУНАРОДНОЕ ПРАВО. ОСОБЕННАЯ ЧАСТЬ. ЧАСТЬ I, ИЗД.1</t>
  </si>
  <si>
    <t>Чувахин П.И.</t>
  </si>
  <si>
    <t>978-5-16-021008-7</t>
  </si>
  <si>
    <t>38.05.02, 40.03.01, 40.05.01, 40.05.02, 40.05.03, 40.05.04, 41.03.01, 41.03.05, 41.04.05, 42.03.02, 44.03.05</t>
  </si>
  <si>
    <t>300900.11.01</t>
  </si>
  <si>
    <t>Международное право. Прак.: Уч. пос./Е.В.Сафронова - 2 изд. - М.: РИОР: ИНФРА-М,2025 - 312 с.(ВО)(о)</t>
  </si>
  <si>
    <t>МЕЖДУНАРОДНОЕ ПРАВО. ПРАКТИКУМ, ИЗД.2</t>
  </si>
  <si>
    <t>Сафронова Е. В., Абашева Е. А.</t>
  </si>
  <si>
    <t>978-5-369-01377-9</t>
  </si>
  <si>
    <t>40.03.01, 40.05.01, 40.05.02, 40.05.03, 40.05.04, 44.03.05</t>
  </si>
  <si>
    <t>Рекомендовано Научно-исследовательским институтом образования и науки в качестве учебно-методического пособия для студентов высших учебных заведений, обучающихся по направлению 030900.62 «Юриспруденция», квалификация (степень) — бакалавр</t>
  </si>
  <si>
    <t>857394.03.01</t>
  </si>
  <si>
    <t>Международное право: Прак. / Н.Г.Ищенко и др. - М.:НИЦ ИНФРА-М, Магистр,2026. - 68 с.(о)</t>
  </si>
  <si>
    <t>МЕЖДУНАРОДНОЕ ПРАВО. ПРАКТИКУМ, ИЗД.1</t>
  </si>
  <si>
    <t>Ищенко Н.Г., Мазаева Н.Н., Салия М.Р.</t>
  </si>
  <si>
    <t>978-5-16-021079-7</t>
  </si>
  <si>
    <t>38.05.02, 40.03.01, 40.05.01, 40.05.02, 40.05.03, 40.05.04, 41.03.01, 41.03.05</t>
  </si>
  <si>
    <t>801664.03.01</t>
  </si>
  <si>
    <t>Международное право: Уч.  /  Л.А.Лазутин и др. - М.:Юр. НОРМА, НИЦ ИНФРА-М,2026. - 656 с.(п)</t>
  </si>
  <si>
    <t>МЕЖДУНАРОДНОЕ ПРАВО, ИЗД.1</t>
  </si>
  <si>
    <t>Лазутин Л.А., Безбородов Ю.С., Федоров И.В. и др.</t>
  </si>
  <si>
    <t>978-5-00156-299-3</t>
  </si>
  <si>
    <t>085130.12.01</t>
  </si>
  <si>
    <t>Международное право: Уч. / А.Х.Абашидзе - 4 изд. - М.:Юр. НОРМА, НИЦ ИНФРА-М,2026. - 576 с.(п)</t>
  </si>
  <si>
    <t>МЕЖДУНАРОДНОЕ ПРАВО, ИЗД.4</t>
  </si>
  <si>
    <t>Абашидзе А. Х., Верещетин В. С., Егоров С. А., Марочкин С. Ю.</t>
  </si>
  <si>
    <t>978-5-91768-469-7</t>
  </si>
  <si>
    <t>319200.07.01</t>
  </si>
  <si>
    <t>Международное право: Уч. / Г.С.Стародубцев - 2изд. - М.:ИЦ РИОР,НИЦ ИНФРА-М,2022-416с(ВО)(п)</t>
  </si>
  <si>
    <t>МЕЖДУНАРОДНОЕ ПРАВО, ИЗД.2</t>
  </si>
  <si>
    <t>Стародубцев Г.С.</t>
  </si>
  <si>
    <t>978-5-369-01936-8</t>
  </si>
  <si>
    <t>40.03.01, 40.05.01, 40.05.02, 40.05.03, 40.05.04, 41.03.05, 44.03.05</t>
  </si>
  <si>
    <t>Рекомендовано УМО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</si>
  <si>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015838.29.01</t>
  </si>
  <si>
    <t>Международное право: Уч. / Отв.ред.Г.В.Игнатенко - 6 изд. - М.:Юр.Норма, НИЦ ИНФРА-М, 2026 -752с.(п)</t>
  </si>
  <si>
    <t>МЕЖДУНАРОДНОЕ ПРАВО, ИЗД.6</t>
  </si>
  <si>
    <t>Игнатенко Г.В., Тиунов О.И., Игнатенко Г.В.</t>
  </si>
  <si>
    <t>978-5-91768-368-3</t>
  </si>
  <si>
    <t>Допущено Учебно-методическим советом по образованию в области юриспруденции Уральского федерального округа на базе федерального государственного бюджетного образовательного учреждения высшего профессионального образования «Уральская государственная ю</t>
  </si>
  <si>
    <t>126650.01.01</t>
  </si>
  <si>
    <t>Международное право: Уч. пос. / Н.Н. Федощева. - М.: ИД ФОРУМ:  ИНФРА-М, 2010. - 368 с. (ВО) (п) ISBN:978-5-8199-0428-2</t>
  </si>
  <si>
    <t>Федощева Н. Н.</t>
  </si>
  <si>
    <t>978-5-8199-0428-2</t>
  </si>
  <si>
    <t>Рекомендовано Учебно-методическим Советом в качестве учебного пособия для студентов высших учебных заведений, обучащихся по специальности Юриспруденция</t>
  </si>
  <si>
    <t>214700.08.01</t>
  </si>
  <si>
    <t>Международное право: Уч.пос. / Е.В.Гулин - 2 изд. - М.:ИЦ РИОР, НИЦ ИНФРА-М,2025 - 176 с.(ВО)(П)</t>
  </si>
  <si>
    <t>Гулин Е.В.</t>
  </si>
  <si>
    <t>978-5-369-01778-4</t>
  </si>
  <si>
    <t>214700.02.01</t>
  </si>
  <si>
    <t>Международное право: Уч.пос. / Е.В.Гулин - М.:ИЦ РИОР, НИЦ ИНФРА-М,2017.-168 с.-(ВО: Бакалавриат)(П)</t>
  </si>
  <si>
    <t>Гулин Е. В.</t>
  </si>
  <si>
    <t>978-5-369-01225-3</t>
  </si>
  <si>
    <t>Рекомендовано в качестве учебного пособия для студентов высших учебных заведений, обучающихся по направлению «Юриспруденция» (квалификация (степень) — бакалавр)</t>
  </si>
  <si>
    <t>126650.09.01</t>
  </si>
  <si>
    <t>Международное право: Уч.пос. / Н.Н.Федощева - 2 изд. - М.:НИЦ ИНФРА-М,2027 - 398 с.(ВО: Бакалавр.)(П)</t>
  </si>
  <si>
    <t>Федощева Н.Н.</t>
  </si>
  <si>
    <t>978-5-16-018898-0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</si>
  <si>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8 от 22.06.2020)</t>
  </si>
  <si>
    <t>848615.01.01</t>
  </si>
  <si>
    <t>Международное право: Уч.пос. / Ю.С.Хобби - М.:НИЦ ИНФРА-М,2025. - 183 с.(ВО (МариупГУ))(п)</t>
  </si>
  <si>
    <t>Хобби Ю.С.</t>
  </si>
  <si>
    <t>978-5-16-020734-6</t>
  </si>
  <si>
    <t>38.05.02, 40.03.01, 40.05.01, 40.05.02, 40.05.03, 40.05.04, 41.03.01, 41.03.05, 41.04.05, 42.03.02</t>
  </si>
  <si>
    <t>122400.11.01</t>
  </si>
  <si>
    <t>Международное правоохранит.право: Моногр. / Ю.С.Ромашев, - 3 изд. - М.:Юр.Норма, НИЦ ИНФРА-М,2026 - 352 с.(П)</t>
  </si>
  <si>
    <t>МЕЖДУНАРОДНОЕ ПРАВООХРАНИТЕЛЬНОЕ ПРАВО, ИЗД.3</t>
  </si>
  <si>
    <t>Ромашев Ю. С.</t>
  </si>
  <si>
    <t>978-5-91768-943-2</t>
  </si>
  <si>
    <t>122400.04.01</t>
  </si>
  <si>
    <t>Международное правоохранительное право: Моногр./Ю.С.Ромашев - 2 изд., доп.-М.:Юр.Норма, НИЦ ИНФРА-М,2015.-352 с.(п)</t>
  </si>
  <si>
    <t>МЕЖДУНАРОДНОЕ ПРАВООХРАНИТЕЛЬНОЕ ПРАВО, ИЗД.2</t>
  </si>
  <si>
    <t>Ромашев Ю.С.</t>
  </si>
  <si>
    <t>978-5-91768-384-3</t>
  </si>
  <si>
    <t>768875.01.01</t>
  </si>
  <si>
    <t>Международное предпринимательство: Уч.пос. / И.Г.Кратко-М.:НИЦ ИНФРА-М,2023.-200 с.(ВО: Бакалавр.)(п)</t>
  </si>
  <si>
    <t>МЕЖДУНАРОДНОЕ ПРЕДПРИНИМАТЕЛЬСТВО, ИЗД.1</t>
  </si>
  <si>
    <t>Кратко И.Г.</t>
  </si>
  <si>
    <t>978-5-16-018104-2</t>
  </si>
  <si>
    <t>38.04.01, 38.04.02, 38.04.06</t>
  </si>
  <si>
    <t>420420.06.01</t>
  </si>
  <si>
    <t>Международное публич. право..: Моногр./ Е.В.Сафронова - М.:ИЦ РИОР:НИЦ ИНФРА-М,2025 - 133 с.(Науч.мысль) (о)</t>
  </si>
  <si>
    <t>МЕЖДУНАРОДНОЕ ПУБЛИЧНОЕ ПРАВО: ТЕОРЕТИЧЕСКИЕ ПРОБЛЕМЫ, ИЗД.1</t>
  </si>
  <si>
    <t>Сафронова Е. В.</t>
  </si>
  <si>
    <t>978-5-369-01173-7</t>
  </si>
  <si>
    <t>858554.01.01</t>
  </si>
  <si>
    <t>Международное сотруд. правоохранит. орг.: Уч.пос. / В.О.Давыдов - М.:НИЦ ИНФРА-М,2026. - 260 с.(ВО)(п)</t>
  </si>
  <si>
    <t>МЕЖДУНАРОДНОЕ СОТРУДНИЧЕСТВО ПРАВООХРАНИТЕЛЬНЫХ ОРГАНОВ, ИЗД.1</t>
  </si>
  <si>
    <t>Давыдов В.О.</t>
  </si>
  <si>
    <t>978-5-16-021296-8</t>
  </si>
  <si>
    <t>40.03.01, 40.04.01, 40.05.01, 40.03.02</t>
  </si>
  <si>
    <t>Тульский государственный университет</t>
  </si>
  <si>
    <t>170700.15.01</t>
  </si>
  <si>
    <t>Международное торговое дело: Уч. / Под ред. Дегтяревой О.И. - М.:Магистр,НИЦ ИНФРА-М,2025 - 608 с.(П)</t>
  </si>
  <si>
    <t>МЕЖДУНАРОДНОЕ ТОРГОВОЕ ДЕЛО, ИЗД.1</t>
  </si>
  <si>
    <t>Дегтярева О.И., Васильева Т.Н., Гаврилова Л.Д. и др.</t>
  </si>
  <si>
    <t>978-5-9776-0211-2</t>
  </si>
  <si>
    <t>Допущено Учебно-метод. объед. по образ. в области коммерции и маркетингв в качестве учебника для студентов ВУЗов, обучающихся по специальностям 080301 "Коммерция (Торговое дело)" и напр. 100700.62 "Торговое дело"</t>
  </si>
  <si>
    <t>801996.02.01</t>
  </si>
  <si>
    <t>Международное частное право. Практикум: Уч.пос. / Ю.А.Тарасенко - М.:НИЦ ИНФРА-М,2026. - 251 с.(ВО)(п)</t>
  </si>
  <si>
    <t>МЕЖДУНАРОДНОЕ ЧАСТНОЕ ПРАВО. ПРАКТИКУМ, ИЗД.1</t>
  </si>
  <si>
    <t>Тарасенко Ю.А.</t>
  </si>
  <si>
    <t>978-5-16-018578-1</t>
  </si>
  <si>
    <t>030166.14.01</t>
  </si>
  <si>
    <t>Международное частное право: Практ. / М.М.Богуславский - 3 изд. - М.:Юр. НОРМА, ИНФРА-М ,2026 - 400 с.(о)</t>
  </si>
  <si>
    <t>МЕЖДУНАРОДНОЕ ЧАСТНОЕ ПРАВО, ИЗД.3</t>
  </si>
  <si>
    <t>Богуславский М. М.</t>
  </si>
  <si>
    <t>978-5-91768-084-2</t>
  </si>
  <si>
    <t>013308.27.01</t>
  </si>
  <si>
    <t>Международное частное право: Уч. / М.М.Богуславский - 7 изд. - М.:Юр.Норма, НИЦ ИНФРА-М,2026-672с(п)</t>
  </si>
  <si>
    <t>МЕЖДУНАРОДНОЕ ЧАСТНОЕ ПРАВО, ИЗД.7</t>
  </si>
  <si>
    <t>978-5-91768-645-5</t>
  </si>
  <si>
    <t>Рекомендовано Министерством образования РФ в качестве учебника для студентов высших учебных заведений, обучающихся по специальности 021100 "Юриспруденция"</t>
  </si>
  <si>
    <t>275300.07.01</t>
  </si>
  <si>
    <t>Международное экологическое право и межд. отнош..: Моногр. / Д.С.Боклан - М:Магистр:ИНФРА-М,2025 - 272 с.(о)</t>
  </si>
  <si>
    <t>МЕЖДУНАРОДНОЕ ЭКОЛОГИЧЕСКОЕ ПРАВО И МЕЖДУНАРОДНЫЕ ЭКОНОМИЧЕСКИЕ ОТНОШЕНИЯ, ИЗД.1</t>
  </si>
  <si>
    <t>Боклан Д.С.</t>
  </si>
  <si>
    <t>978-5-9776-0311-9</t>
  </si>
  <si>
    <t>38.03.01, 38.04.01, 40.03.01, 40.04.01</t>
  </si>
  <si>
    <t>800529.01.01</t>
  </si>
  <si>
    <t>Международное экономическое право: Уч. / Под ред. Ручкиной Г.Ф. - М.:НИЦ ИНФРА-М,2024. - 539 с.(ВО)(п)</t>
  </si>
  <si>
    <t>МЕЖДУНАРОДНОЕ ЭКОНОМИЧЕСКОЕ ПРАВО, ИЗД.1</t>
  </si>
  <si>
    <t>Алексеева Д.Г., Баркова А.В., Галушко Д.В. и др.</t>
  </si>
  <si>
    <t>978-5-16-019045-7</t>
  </si>
  <si>
    <t>38.03.01, 38.03.04, 38.04.01, 38.04.04, 38.04.08, 38.05.01, 40.04.01, 41.03.01, 41.04.05</t>
  </si>
  <si>
    <t>789948.01.01</t>
  </si>
  <si>
    <t>Международно-правов. основы защиты гражданских объектов в... / Ю.В.Пузырева-М.:НИЦ ИНФРА-М,2023.-153 с(О)</t>
  </si>
  <si>
    <t>МЕЖДУНАРОДНО-ПРАВОВЫЕ ОСНОВЫ ЗАЩИТЫ ГРАЖДАНСКИХ ОБЪЕКТОВ В ПЕРИОД ВООРУЖЕННЫХ КОНФЛИКТОВ, ИЗД.1</t>
  </si>
  <si>
    <t>978-5-16-018012-0</t>
  </si>
  <si>
    <t>40.04.01, 40.06.01, 56.04.01, 56.04.03, 56.04.12, 56.07.01</t>
  </si>
  <si>
    <t>823351.01.01</t>
  </si>
  <si>
    <t>Международно-правовая защита культур. ценностей в...: Моногр. / Ю.В.Пузырева - М.:НИЦ ИНФРА-М,2024. - 168 с.(о)</t>
  </si>
  <si>
    <t>МЕЖДУНАРОДНО-ПРАВОВАЯ ЗАЩИТА КУЛЬТУРНЫХ ЦЕННОСТЕЙ В МИРНОЕ И ВОЕННОЕ ВРЕМЯ, ИЗД.1</t>
  </si>
  <si>
    <t>978-5-16-019783-8</t>
  </si>
  <si>
    <t>778843.01.01</t>
  </si>
  <si>
    <t>Международно-правовое регулир. противодействия преступ..: Моногр. / А.И.Мысина-М.:НИЦ ИНФРА-М,2022.-167с(О)</t>
  </si>
  <si>
    <t>МЕЖДУНАРОДНО-ПРАВОВОЕ РЕГУЛИРОВАНИЕ ПРОТИВОДЕЙСТВИЯ ПРЕСТУПЛЕНИЯМ В СФЕРЕ ИНФОРМАЦИОННЫХ ТЕХНОЛОГИЙ, ИЗД.1</t>
  </si>
  <si>
    <t>Мысина А.И.</t>
  </si>
  <si>
    <t>978-5-16-017743-4</t>
  </si>
  <si>
    <t>695439.08.01</t>
  </si>
  <si>
    <t>Международно-правовые аспекты семейного права..: Моногр. /Тарасова А.Е. - М.:НИЦ ИНФРА-М,2026 - 378 с.(П)</t>
  </si>
  <si>
    <t>МЕЖДУНАРОДНО-ПРАВОВЫЕ АСПЕКТЫ СЕМЕЙНОГО ПРАВА И ЗАЩИТЫ ПРАВ ДЕТЕЙ: ПРОБЛЕМЫ МЕЖОТРАСЛЕВОГО ВЗАИМОДЕЙСТВИЯ СЕМЕЙНОГО И ИНЫХ ОТРАСЛЕЙ ЧАСТНОГО И ПУБЛИЧНОГО ПРАВА В ОБЛАСТИ СЕМЕЙНЫХ ОТНОШЕНИЙ И ПРАВ ДЕТЕЙ: МЕЖДУНАРОДНЫЕ (УНИВЕРСАЛЬНЫЕ, РЕГИОНАЛЬНЫЕ) И НАЦИОНАЛЬНЫЕ ИНСТИТУТЫ, ИЗД.1</t>
  </si>
  <si>
    <t>Тарасова А.Е., Александрова А.В., Арзуманян А.Б. и др.</t>
  </si>
  <si>
    <t>978-5-16-014575-4</t>
  </si>
  <si>
    <t>757828.01.01</t>
  </si>
  <si>
    <t>Международно-правовые основы сотруд. гос.: Моногр. / К.И.Зимина-М.:НИЦ ИНФРА-М,2022.-187 с.(Науч.мысль)(О)</t>
  </si>
  <si>
    <t>МЕЖДУНАРОДНО-ПРАВОВЫЕ ОСНОВЫ СОТРУДНИЧЕСТВА ГОСУДАРСТВ ПО ПРОТИВОДЕЙСТВИЮ НЕЗАКОННОМУ ОБОРОТУ МЕДИЦИНСКОЙ ПРОДУКЦИИ, ИЗД.1</t>
  </si>
  <si>
    <t>Зимина К.И.</t>
  </si>
  <si>
    <t>978-5-16-017055-8</t>
  </si>
  <si>
    <t>075800.16.01</t>
  </si>
  <si>
    <t>Международные валютно-кредитные отношения: Уч. / Н.П.Гусаков - 3-изд.-М.:НИЦ ИНФРА-М,2022-351с.(П)</t>
  </si>
  <si>
    <t>МЕЖДУНАРОДНЫЕ ВАЛЮТНО-КРЕДИТНЫЕ ОТНОШЕНИЯ, ИЗД.3</t>
  </si>
  <si>
    <t>Гусаков Н.П., Белова И.Н., Стренина М.А. и др.</t>
  </si>
  <si>
    <t>Учебники РУДН</t>
  </si>
  <si>
    <t>978-5-16-012234-2</t>
  </si>
  <si>
    <t>38.03.01, 38.03.02, 38.03.04, 38.04.02, 38.04.04, 38.04.08, 38.05.01</t>
  </si>
  <si>
    <t>Рекомендовано в качестве учебника для студентов высших учебных заведений, обучающихся по направлениям подготовки 38.04.01 «Экономика», 38.04.08 «Финансы и кредит» (квалификация (степень) «магистр»)</t>
  </si>
  <si>
    <t>677990.06.01</t>
  </si>
  <si>
    <t>Международные валютно-фин.отнош. в постиндустр.мире: Моногр. / Е.В.Зенкина - М.:НИЦ ИНФРА-М,2025 - 169 с.(П)</t>
  </si>
  <si>
    <t>МЕЖДУНАРОДНЫЕ ВАЛЮТНО-ФИНАНСОВЫЕ ОТНОШЕНИЯ В ПОСТИНДУСТРИАЛЬНОМ МИРЕ, ИЗД.1</t>
  </si>
  <si>
    <t>978-5-16-013682-0</t>
  </si>
  <si>
    <t>650522.09.01</t>
  </si>
  <si>
    <t>Международные контракты и их регуляторы: Уч. / М.В.Мажорина - М.:Юр.Норма, НИЦ ИНФРА-М,2026 - 448 с.(П)</t>
  </si>
  <si>
    <t>МЕЖДУНАРОДНЫЕ КОНТРАКТЫ И ИХ РЕГУЛЯТОРЫ, ИЗД.1</t>
  </si>
  <si>
    <t>Мажорина М.В., Алимова Я.О.</t>
  </si>
  <si>
    <t>978-5-91768-815-2</t>
  </si>
  <si>
    <t>664211.09.01</t>
  </si>
  <si>
    <t>Международные конфликты XXI в.: Уч. / Под ред. Зеленкова М.Ю. - М.:НИЦ ИНФРА-М,2027. - 362 с.(ВО)(П)</t>
  </si>
  <si>
    <t>МЕЖДУНАРОДНЫЕ КОНФЛИКТЫ XXI ВЕКА, ИЗД.1</t>
  </si>
  <si>
    <t>Зеленков М.Ю., Бочарников И.В., Зеленков М.Ю.</t>
  </si>
  <si>
    <t>978-5-16-018830-0</t>
  </si>
  <si>
    <t>41.03.04, 41.03.05, 41.03.06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</si>
  <si>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41.03.00 «Политические науки и регионоведение» (квалификация (степень) «бакалавр») (протокол № 4 от 25.02.2019)</t>
  </si>
  <si>
    <t>775466.03.01</t>
  </si>
  <si>
    <t>Международные перевозки: Уч. / А.Е.Архипов - М.:НИЦ ИНФРА-М,2027. - 222 с.(ВО)(п)</t>
  </si>
  <si>
    <t>МЕЖДУНАРОДНЫЕ ПЕРЕВОЗКИ, ИЗД.1</t>
  </si>
  <si>
    <t>Архипов А.Е., Масленников С.Н.</t>
  </si>
  <si>
    <t>978-5-16-017624-6</t>
  </si>
  <si>
    <t>23.03.01, 26.03.01, 26.03.02</t>
  </si>
  <si>
    <t>Сибирский государственный университет водного транспорта</t>
  </si>
  <si>
    <t>632490.08.01</t>
  </si>
  <si>
    <t>Международные переговоры: Уч.пос. / С.И.Лашко - М.:ИЦ РИОР, НИЦ ИНФРА-М,2027. - 132 с.-(ВО)(о)</t>
  </si>
  <si>
    <t>МЕЖДУНАРОДНЫЕ ПЕРЕГОВОРЫ, ИЗД.1</t>
  </si>
  <si>
    <t>Лашко С.И., Мартыненко И.О.</t>
  </si>
  <si>
    <t>978-5-369-01940-5</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</si>
  <si>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«Экономика» (профиль подготовки «Мировая экономика»)</t>
  </si>
  <si>
    <t>169950.09.01</t>
  </si>
  <si>
    <t>Международные преступления: сов. проблемы..: Моногр. / А.Ю.Скуратова-М.:Юр.Норма, ИНФРА-М,2024-160с.(О)</t>
  </si>
  <si>
    <t>МЕЖДУНАРОДНЫЕ ПРЕСТУПЛЕНИЯ: СОВРЕМЕННЫЕ ПРОБЛЕМЫ КВАЛИФИКАЦИИ, ИЗД.1</t>
  </si>
  <si>
    <t>Скуратова А. Ю.</t>
  </si>
  <si>
    <t>978-5-91768-232-7</t>
  </si>
  <si>
    <t>635295.08.01</t>
  </si>
  <si>
    <t>Международные расчеты и валют. операции: Уч.пос. / Ю.В.Никитинская - М.:Вуз. уч., НИЦ ИНФРА-М,2026. - 215 с.(П)</t>
  </si>
  <si>
    <t>МЕЖДУНАРОДНЫЕ РАСЧЕТЫ И ВАЛЮТНЫЕ ОПЕРАЦИИ, ИЗД.1</t>
  </si>
  <si>
    <t>Никитинская Ю.В., Нечаева Т.В.</t>
  </si>
  <si>
    <t>978-5-16-022108-3</t>
  </si>
  <si>
    <t>396600.06.01</t>
  </si>
  <si>
    <t>Международные связи регионов государств...: Уч ./О.В.Плотникова-М.:Юр.Норма, НИЦ ИНФРА-М,2024.-192 с.(О)</t>
  </si>
  <si>
    <t>МЕЖДУНАРОДНЫЕ СВЯЗИ РЕГИОНОВ ГОСУДАРСТВ: ХАРАКТЕРИСТИКА И ОСОБЕННОСТИ, ИЗД.1</t>
  </si>
  <si>
    <t>Плотникова О.В.</t>
  </si>
  <si>
    <t>978-5-91768-652-3</t>
  </si>
  <si>
    <t>696779.03.01</t>
  </si>
  <si>
    <t>Международные стандарты аудита: теория и практика: Уч. / Л.И.Воронина - М.:НИЦ ИНФРА-М,2024 - 456 с.(ВО)(П)</t>
  </si>
  <si>
    <t>МЕЖДУНАРОДНЫЕ СТАНДАРТЫ АУДИТА: ТЕОРИЯ И ПРАКТИКА, ИЗД.1</t>
  </si>
  <si>
    <t>978-5-16-019923-8</t>
  </si>
  <si>
    <t>Рекомендовано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17 от 11.11.2019)</t>
  </si>
  <si>
    <t>083460.12.01</t>
  </si>
  <si>
    <t>Международные стандарты аудита: Уч. пос. / С.П.Суворова - 2 изд. - М.:ИД ФОРУМ:НИЦ ИНФРА-М,2025-304с.(ВО) (п)</t>
  </si>
  <si>
    <t>МЕЖДУНАРОДНЫЕ СТАНДАРТЫ АУДИТА, ИЗД.2</t>
  </si>
  <si>
    <t>Суворова С. П., Парушина Н. В., Галкина Е. В.</t>
  </si>
  <si>
    <t>978-5-8199-0503-6</t>
  </si>
  <si>
    <t>756452.03.01</t>
  </si>
  <si>
    <t>Международные стандарты аудита: Уч.пос. / Л.Л.Арзуманова - 2 изд. - М.:Юр. НОРМА, НИЦ ИНФРА-М,2026. - 152 с.(п)</t>
  </si>
  <si>
    <t>Арзуманова Л.Л., Орлова Н.Ю., Цареградская Ю.К. и др.</t>
  </si>
  <si>
    <t>978-5-00156-368-6</t>
  </si>
  <si>
    <t>756452.01.01</t>
  </si>
  <si>
    <t>Международные стандарты аудита: Уч.пос. / Л.Л.Арзуманова и др. - М.:Юр.Норма, НИЦ ИНФРА-М,2021 - 152 с.(П)</t>
  </si>
  <si>
    <t>МЕЖДУНАРОДНЫЕ СТАНДАРТЫ АУДИТА, ИЗД.1</t>
  </si>
  <si>
    <t>978-5-00156-169-9</t>
  </si>
  <si>
    <t>664268.07.01</t>
  </si>
  <si>
    <t>Международные стандарты фин. отчет.: Уч. / Е.А.Мизиковский - 2 изд. - М.:Магистр, ИНФРА-М,2022 - 568с(П)</t>
  </si>
  <si>
    <t>МЕЖДУНАРОДНЫЕ СТАНДАРТЫ ФИНАНСОВОЙ ОТЧЕТНОСТИ, ИЗД.2</t>
  </si>
  <si>
    <t>Мизиковский Е.А., Дружиловская Т.Ю., Дружиловская Э.С.</t>
  </si>
  <si>
    <t>978-5-9776-0505-2</t>
  </si>
  <si>
    <t>159500.08.01</t>
  </si>
  <si>
    <t>Международные стандарты фин. отчет.: Уч. / Под ред. В.Г.Гетьмана - 3 изд. - ИНФРА-М, 2019-559с.(ВО)</t>
  </si>
  <si>
    <t>МЕЖДУНАРОДНЫЕ СТАНДАРТЫ ФИНАНСОВОЙ ОТЧЕТНОСТИ, ИЗД.3</t>
  </si>
  <si>
    <t>Гетьман В.Г., Рожнова О.В., Литвиненко М.И. и др.</t>
  </si>
  <si>
    <t>978-5-16-012520-6</t>
  </si>
  <si>
    <t>38.03.01, 38.03.02, 38.03.06, 44.03.01</t>
  </si>
  <si>
    <t>Рекомендовано Государственным университетом управления в качестве учебника для студентов высших учебных заведений, обучающихся экономическим специальностям и направлениям</t>
  </si>
  <si>
    <t>664268.02.01</t>
  </si>
  <si>
    <t>Международные стандарты фин. отчетности и соврем.бух.учет. в России: Уч. / Е.А.Мизиковский-М.:Магистр, НИЦ ИНФРА-М,2018-560с(П)</t>
  </si>
  <si>
    <t>МЕЖДУНАРОДНЫЕ СТАНДАРТЫ ФИНАНСОВОЙ ОТЧЕТНОСТИ И СОВРЕМЕННЫЙ БУХГАЛТЕРСКИЙ УЧЕТ В РОССИИ, ИЗД.1</t>
  </si>
  <si>
    <t>978-5-9776-0466-6</t>
  </si>
  <si>
    <t>736511.04.01</t>
  </si>
  <si>
    <t>Международные стандарты финанс. отчет. и аудита: Уч. / М.А.Вахрушина - М.:НИЦ ИНФРА-М,2024 - 447 с.(ВО)(П)</t>
  </si>
  <si>
    <t>МЕЖДУНАРОДНЫЕ СТАНДАРТЫ ФИНАНСОВОЙ ОТЧЕТНОСТИ И АУДИТА, ИЗД.1</t>
  </si>
  <si>
    <t>Вахрушина М.А., Суйц В.П.</t>
  </si>
  <si>
    <t>978-5-16-016325-3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</si>
  <si>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38.04.01 «Экономика» (квалификация (степень) «магистр») (протокол № 1 от 20.01.2021)</t>
  </si>
  <si>
    <t>159500.12.01</t>
  </si>
  <si>
    <t>Международные стандарты финанс. отчет.: Уч. / Гетьман В.Г. - 4 изд. - М.:НИЦ ИНФРА-М,2026 - 582 с(П)</t>
  </si>
  <si>
    <t>МЕЖДУНАРОДНЫЕ СТАНДАРТЫ ФИНАНСОВОЙ ОТЧЕТНОСТИ, ИЗД.4</t>
  </si>
  <si>
    <t>Гетьман В.Г., Рожнова О.В., Гришкина С.Н. и др.</t>
  </si>
  <si>
    <t>978-5-16-016442-7</t>
  </si>
  <si>
    <t>665682.02.01</t>
  </si>
  <si>
    <t>Международные стандарты финанс. отчет.: Уч. / Т.В.Шишкова, - 3 изд.-М.:НИЦ ИНФРА-М,2021.-265с(П)(ВО)</t>
  </si>
  <si>
    <t>Шишкова Т.В., Козельцева Е.А.</t>
  </si>
  <si>
    <t>978-5-16-013583-0</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</si>
  <si>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38.04.01 «Экономика», 38.04.08 «Финансы и кредит» (квалификация (степень) «магистр»)</t>
  </si>
  <si>
    <t>788039.03.01</t>
  </si>
  <si>
    <t>Международные стандарты финанс. отчет.: Уч.пос. / Ю.К.Цареградская-М.:Юр. НОРМА, НИЦ ИНФРА-М,2025.-152 с.(П)</t>
  </si>
  <si>
    <t>МЕЖДУНАРОДНЫЕ СТАНДАРТЫ ФИНАНСОВОЙ ОТЧЕТНОСТИ, ИЗД.1</t>
  </si>
  <si>
    <t>Цареградская Ю.К., Соболь О.С., Арзуманова Л.Л. и др.</t>
  </si>
  <si>
    <t>978-5-00156-265-8</t>
  </si>
  <si>
    <t>38.04.06, 38.04.08, 38.05.01</t>
  </si>
  <si>
    <t>763862.01.01</t>
  </si>
  <si>
    <t>Международные стандарты финанс. отчетности...: Уч. / Т.В.Морозова - М.:НИЦ ИНФРА-М,2022 - 293 с.(П)</t>
  </si>
  <si>
    <t>МЕЖДУНАРОДНЫЕ СТАНДАРТЫ ФИНАНСОВОЙ ОТЧЕТНОСТИ: МАТЕРИАЛЬНЫЕ И НЕМАТЕРИАЛЬНЫЕ АКТИВЫ. ПРАКТИКА ПРИМЕНЕНИЯ, ИЗД.1</t>
  </si>
  <si>
    <t>Морозова Т.В., Малицкая В.Б.</t>
  </si>
  <si>
    <t>978-5-16-017242-2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</si>
  <si>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38.03.01 «Экономика» (квалификация (степень) «бакалавр») (протокол № 10 от 15.12.2021)</t>
  </si>
  <si>
    <t>858322.01.01</t>
  </si>
  <si>
    <t>Международные стандарты финанс. отчетности: Уч. / Т.Ю.Дружиловская - М.:НИЦ ИНФРА-М,2026. - 333 с.(ВО)(п)</t>
  </si>
  <si>
    <t>Дружиловская Т.Ю., Дружиловская Э.С.</t>
  </si>
  <si>
    <t>978-5-16-021412-2</t>
  </si>
  <si>
    <t>38.03.01, 38.04.01, 38.04.06</t>
  </si>
  <si>
    <t>776425.01.01</t>
  </si>
  <si>
    <t>Международные стандарты финансовой отчетности...: Уч. / В.Б.Малицкая-М.:НИЦ ИНФРА-М,2023.-254 с.(ВО)(п)</t>
  </si>
  <si>
    <t>Малицкая В.Б., Морозова Т.В.</t>
  </si>
  <si>
    <t>978-5-16-017723-6</t>
  </si>
  <si>
    <t>38.03.01, 38.04.06, 38.04.08</t>
  </si>
  <si>
    <t>677047.05.01</t>
  </si>
  <si>
    <t>Международные стандарты финансовой отчетности: Уч. / А.М.Петров - М.:Вуз.уч.,НИЦ ИНФРА-М,2020 - 449 с(ВО)</t>
  </si>
  <si>
    <t>978-5-9558-0613-6</t>
  </si>
  <si>
    <t>38.04.08, 40.03.01, 44.03.01, 44.03.05</t>
  </si>
  <si>
    <t>Рекомендовано Учебно-методическим советом ВО в качестве учебника для студентов высших учебных заведений, обучающихся по направлению подготовки 38.04.01 «Экономика»  (квалификация (степень) «магистр»)</t>
  </si>
  <si>
    <t>175300.08.01</t>
  </si>
  <si>
    <t>Международные съезды по вопросам угол. права..: Моногр. / П.И. Люблинский - М: НИЦ Инфра-М, 2025-350с. (п)</t>
  </si>
  <si>
    <t>МЕЖДУНАРОДНЫЕ СЪЕЗДЫ ПО ВОПРОСАМ УГОЛОВНОГО ПРАВА ЗА ДЕСЯТЬ ЛЕТ (1905-1915), ИЗД.1</t>
  </si>
  <si>
    <t>Люблинский П. И., Овчинский В. С., Федоров А. В.</t>
  </si>
  <si>
    <t>978-5-16-004417-0</t>
  </si>
  <si>
    <t>177050.07.01</t>
  </si>
  <si>
    <t>Международные факторы произв.в нац.экон.: Моногр./Б.Б.Логинов-М.:НИЦ ИНФРА-М,2023-312с(Науч.мысль)(о)</t>
  </si>
  <si>
    <t>МЕЖДУНАРОДНЫЕ ФАКТОРЫ ПРОИЗВОДСТВА В НАЦИОНАЛЬНЫХ ЭКОНОМИКАХ, ИЗД.1</t>
  </si>
  <si>
    <t>Логинов Б. Б., Руднева А. О.</t>
  </si>
  <si>
    <t>978-5-16-005376-9</t>
  </si>
  <si>
    <t>680306.03.01</t>
  </si>
  <si>
    <t>Международные финансовые стандарты в заруб. доктрине.../ В.В.Кудряшов-М.:НИЦ ИНФРА-М,2023.-249с(О)</t>
  </si>
  <si>
    <t>МЕЖДУНАРОДНЫЕ ФИНАНСОВЫЕ СТАНДАРТЫ В ЗАРУБЕЖНОЙ ДОКТРИНЕ МЕЖДУНАРОДНОГО ФИНАНСОВОГО ПРАВА, ИЗД.1</t>
  </si>
  <si>
    <t>Кудряшов В.В.</t>
  </si>
  <si>
    <t>978-5-16-013737-7</t>
  </si>
  <si>
    <t>38.03.01, 38.04.01, 38.04.08, 40.03.01, 40.04.01, 44.03.05</t>
  </si>
  <si>
    <t>320400.07.01</t>
  </si>
  <si>
    <t>Международные финансы: обзорный курс: Уч./С.В.Котелкин - 2 изд. - М.:Магистр, НИЦ ИНФРА-М,2026 - 368 с.(П)</t>
  </si>
  <si>
    <t>МЕЖДУНАРОДНЫЕ ФИНАНСЫ: ОБЗОРНЫЙ КУРС, ИЗД.2</t>
  </si>
  <si>
    <t>Котелкин С.В.</t>
  </si>
  <si>
    <t>978-5-16-022271-4</t>
  </si>
  <si>
    <t>320400.02.98</t>
  </si>
  <si>
    <t>Международные финансы: Уч. / С.В.Котелкин-М.:Магистр, НИЦ ИНФРА-М,2016.-688 с.(п)</t>
  </si>
  <si>
    <t>МЕЖДУНАРОДНЫЕ ФИНАНСЫ, ИЗД.1</t>
  </si>
  <si>
    <t>978-5-9776-0350-8</t>
  </si>
  <si>
    <t>241300.08.01</t>
  </si>
  <si>
    <t>Международные финансы: Уч.пос. / Е.Н.Карпова и др. - 4 изд. - М.:НИЦ ИНФРА-М,2025 - 216 с.(ВО)(П)</t>
  </si>
  <si>
    <t>МЕЖДУНАРОДНЫЕ ФИНАНСЫ, ИЗД.4</t>
  </si>
  <si>
    <t>Карпова Е.Н., Коновалов А.А., Кочановская О.М. и др.</t>
  </si>
  <si>
    <t>978-5-16-012706-4</t>
  </si>
  <si>
    <t>Рекомендовано федеральным государственным бюджетным образовательным учреждением высшего образования «Государственный университет управления»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</si>
  <si>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834548.01.01</t>
  </si>
  <si>
    <t>Международные экономические отношения: Сб. науч. трудов / отв. ред. С.И.Крупко-М.:Юр. НОРМА,2024.-464 с.(п)</t>
  </si>
  <si>
    <t>МЕЖДУНАРОДНЫЕ ЭКОНОМИЧЕСКИЕ ОТНОШЕНИЯ: ПУБЛИЧНО-ПРАВОВОЕ И ЧАСТНОПРАВОВОЕ РЕГУЛИРОВАНИЕ. СБОРНИК СТАТЕЙ В ЧЕСТЬ 100-ЛЕТИЯ СО ДНЯ РОЖДЕНИЯ ПРОФЕССОРА,, ИЗД.1</t>
  </si>
  <si>
    <t>Крупко С.И., Зыкин И.С., Трунк А. и др.</t>
  </si>
  <si>
    <t>978-5-00156-380-8</t>
  </si>
  <si>
    <t>632489.06.01</t>
  </si>
  <si>
    <t>Международный бизнес: PR и реклам. дело: Уч.пос./ С.И.Лашко-М.:ИЦ РИОР, НИЦ ИНФРА-М,2023-171с(ВО)(О)</t>
  </si>
  <si>
    <t>МЕЖДУНАРОДНЫЙ БИЗНЕС: PR И РЕКЛАМНОЕ ДЕЛО, ИЗД.1</t>
  </si>
  <si>
    <t>Лашко С.И., Сапрыкина В.Ю.</t>
  </si>
  <si>
    <t>978-5-369-01589-6</t>
  </si>
  <si>
    <t>255700.09.01</t>
  </si>
  <si>
    <t>Международный бизнес: Уч. / Под ред. Поспелова В.К., - 2 изд. - М.:НИЦ ИНФРА-М,2025. - 379 с.(ВО)(п)</t>
  </si>
  <si>
    <t>МЕЖДУНАРОДНЫЙ БИЗНЕС, ИЗД.2</t>
  </si>
  <si>
    <t>Поспелов В.К., Котляров Н.Н., Лукьянович Н.В. и др.</t>
  </si>
  <si>
    <t>978-5-16-018733-4</t>
  </si>
  <si>
    <t>255700.04.01</t>
  </si>
  <si>
    <t>Международный бизнес:Уч.пос. / Под ред. Поспелов В.К.-М.:Вузовский учебник, НИЦ ИНФРА-М,2018-256с</t>
  </si>
  <si>
    <t>МЕЖДУНАРОДНЫЙ БИЗНЕС, ИЗД.1</t>
  </si>
  <si>
    <t>Поспелов В. К., Котляров Н. Н., Лукьянович Н. В., Стародубцева Е. Б., Поспелов В. К.</t>
  </si>
  <si>
    <t>978-5-9558-0355-5</t>
  </si>
  <si>
    <t>410750.09.01</t>
  </si>
  <si>
    <t>Международный маркетинг и бизнес: Уч.пос. / Н.К.Моисеева - М.:КУРС, НИЦ ИНФРА-М,2025. - 272 с.(п)</t>
  </si>
  <si>
    <t>МЕЖДУНАРОДНЫЙ МАРКЕТИНГ И БИЗНЕС, ИЗД.1</t>
  </si>
  <si>
    <t>Моисеева Н. К.</t>
  </si>
  <si>
    <t>978-5-905554-30-8</t>
  </si>
  <si>
    <t>Рекомендовано Учебно-методической комиссией института экономики, управления и права Национального исследовательского университета «МИЭТ»</t>
  </si>
  <si>
    <t>371500.06.01</t>
  </si>
  <si>
    <t>Международный нефтегазовый бизнес: Уч. / Ю.Н.Линник- 2 изд.-М.:НИЦ ИНФРА-М,2023.-232 с.(ВО)(П)</t>
  </si>
  <si>
    <t>МЕЖДУНАРОДНЫЙ НЕФТЕГАЗОВЫЙ БИЗНЕС, ИЗД.2</t>
  </si>
  <si>
    <t>Линник Ю.Н., Линник В.Ю., Байкова О.В. и др.</t>
  </si>
  <si>
    <t>978-5-16-015208-0</t>
  </si>
  <si>
    <t>21.03.01, 21.04.01, 38.03.01, 44.03.05</t>
  </si>
  <si>
    <t>Рекомендовано в качестве учебника для студентов высших учебных заведений, обучающихся по направлениям подготовки 38.03.01 «Экономика» и 21.03.01 «Нефтегазовое дело» (квалификация (степень) «бакалавр»)</t>
  </si>
  <si>
    <t>632810.05.01</t>
  </si>
  <si>
    <t>Международный офшорный бизнес: Уч.пос. / А.П.Матусевич - М.:Магистр, НИЦ ИНФРА-М,2025. - 192 с.(О)</t>
  </si>
  <si>
    <t>МЕЖДУНАРОДНЫЙ ОФШОРНЫЙ БИЗНЕС, ИЗД.1</t>
  </si>
  <si>
    <t>Матусевич А.П.</t>
  </si>
  <si>
    <t>978-5-9776-0428-4</t>
  </si>
  <si>
    <t>371500.08.01</t>
  </si>
  <si>
    <t>Международный топливно-энергетический  бизнес: Уч./ Ю.Н.Линник. - М.:НИЦ ИНФРА-М,2026. - 278 с.(ВО)(п)</t>
  </si>
  <si>
    <t>МЕЖДУНАРОДНЫЙ ТОПЛИВНО-ЭНЕРГЕТИЧЕСКИЙ  БИЗНЕС, ИЗД.1</t>
  </si>
  <si>
    <t>Линник Ю.Н., Линник В.Ю., Байкова О.В.</t>
  </si>
  <si>
    <t>978-5-16-019540-7</t>
  </si>
  <si>
    <t>Рекомендовано к изданию Ученым советом федерального государственного бюджетного образовательного учреждения высшего образования «Государственный университет управления» в качестве учебника для подготовки обучающихся по направлению подготовки 38.03.02 Менеджмент (уровень - бакалавриат)</t>
  </si>
  <si>
    <t>127850.10.01</t>
  </si>
  <si>
    <t>Международный финансовый менеджмент: Уч. пос. / С.В.Котелкин - М.: Магистр: НИЦ Инфра-М, 2027 - 605 с.(п)</t>
  </si>
  <si>
    <t>МЕЖДУНАРОДНЫЙ ФИНАНСОВЫЙ МЕНЕДЖМЕНТ, ИЗД.1</t>
  </si>
  <si>
    <t>Котелкин С. В.</t>
  </si>
  <si>
    <t>978-5-9776-0137-5</t>
  </si>
  <si>
    <t>38.03.01, 38.03.02, 38.03.03, 38.04.01, 38.04.02, 38.04.08, 38.04.09, 41.03.06, 44.03.01, 44.03.05</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</si>
  <si>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"Мировая экономика" и "Финансы и кредит"</t>
  </si>
  <si>
    <t>848080.01.01</t>
  </si>
  <si>
    <t>Межконфессиональные браки согласно ислам. праву: теор... / Д.Т.Кулиев - М.:НИЦ ИНФРА-М,2025. - 179 с.(о)</t>
  </si>
  <si>
    <t>МЕЖКОНФЕССИОНАЛЬНЫЕ БРАКИ СОГЛАСНО ИСЛАМСКОМУ ПРАВУ: ТЕОРИЯ И ПРАКТИКА, ИЗД.1</t>
  </si>
  <si>
    <t>Кулиев Д.Т.</t>
  </si>
  <si>
    <t>978-5-16-020638-7</t>
  </si>
  <si>
    <t>780085.01.01</t>
  </si>
  <si>
    <t>Межкультурная коммуникация в глобальном мире: моделир..: Моногр. / С.А.Большунова-М.:НИЦ ИНФРА-М,2023-266с.(п)</t>
  </si>
  <si>
    <t>МЕЖКУЛЬТУРНАЯ КОММУНИКАЦИЯ В ГЛОБАЛЬНОМ МИРЕ: МОДЕЛИРОВАНИЕ, ЭФФЕКТИВНОСТЬ, ДОВЕРИЕ, ИЗД.1</t>
  </si>
  <si>
    <t>Большунова С.А., Воеводина Е.В., Дягилев В.В. и др.</t>
  </si>
  <si>
    <t>978-5-16-017897-4</t>
  </si>
  <si>
    <t>37.04.01, 37.04.02, 37.05.02, 37.06.01</t>
  </si>
  <si>
    <t>854709.01.01</t>
  </si>
  <si>
    <t>Межкультурное взаимодействие: психология совладающего...: Уч.пос. / В.Ю.Хотинец - М.:НИЦ ИНФРА-М,2026 - 164 с.(п)</t>
  </si>
  <si>
    <t>МЕЖКУЛЬТУРНОЕ ВЗАИМОДЕЙСТВИЕ: ПСИХОЛОГИЯ СОВЛАДАЮЩЕГО ПОВЕДЕНИЯ В ПРОБЛЕМНЫХ СИТУАЦИЯХ, ИЗД.1</t>
  </si>
  <si>
    <t>Хотинец В.Ю., Миронова Я.П.</t>
  </si>
  <si>
    <t>978-5-16-020927-2</t>
  </si>
  <si>
    <t>37.04.01, 44.03.01</t>
  </si>
  <si>
    <t>656465.03.01</t>
  </si>
  <si>
    <t>Межкультурные отличия в практике бизнеса: Уч.пос. / Н.М.Громова-М.:Магистр, НИЦ ИНФРА-М,2020-164с(О)</t>
  </si>
  <si>
    <t>МЕЖКУЛЬТУРНЫЕ ОТЛИЧИЯ В ПРАКТИКЕ БИЗНЕСА, ИЗД.1</t>
  </si>
  <si>
    <t>Громова Н.М.</t>
  </si>
  <si>
    <t>978-5-9776-0459-8</t>
  </si>
  <si>
    <t>38.03.01, 38.04.02, 38.04.06</t>
  </si>
  <si>
    <t>744104.03.01</t>
  </si>
  <si>
    <t>Менеджеры университета: теория: Моногр. / С.Д.Резник - 2 изд.-М.:НИЦ ИНФРА-М,2023.-306 с..-(Науч.мысль)(О)</t>
  </si>
  <si>
    <t>МЕНЕДЖЕРЫ УНИВЕРСИТЕТА: ТЕОРИЯ, ПРАКТИКА И ЭФФЕКТИВНОСТЬ ОРГАНИЗАЦИИ ЛИЧНОЙ РАБОТЫ, ИЗД.2</t>
  </si>
  <si>
    <t>Резник С.Д., Чемезов И.С., Резник С.Д.</t>
  </si>
  <si>
    <t>978-5-16-016498-4</t>
  </si>
  <si>
    <t>658843.05.01</t>
  </si>
  <si>
    <t>Менеджмент  в туризме: Уч.пос. / П.В.Большаник и др., - 2 изд. - М.:НИЦ ИНФРА-М,2025. - 207 с.(ВО)(п)</t>
  </si>
  <si>
    <t>МЕНЕДЖМЕНТ  В ТУРИЗМЕ, ИЗД.2</t>
  </si>
  <si>
    <t>Большаник П.В., Джураев А.Т., Махмудова Н.У. и др.</t>
  </si>
  <si>
    <t>978-5-16-019645-9</t>
  </si>
  <si>
    <t>38.03.02, 43.03.02</t>
  </si>
  <si>
    <t>658843.04.01</t>
  </si>
  <si>
    <t>Менеджмент  в туристских организациях: Уч.пос. / П.В.Большаник - М.:НИЦ ИНФРА-М,2023 - 193 с.-(ВО)(П)</t>
  </si>
  <si>
    <t>МЕНЕДЖМЕНТ  В ТУРИСТСКИХ ОРГАНИЗАЦИЯХ, ИЗД.1</t>
  </si>
  <si>
    <t>978-5-16-013170-2</t>
  </si>
  <si>
    <t>Рекомендовано в качестве учебного пособия для студентов высших учебных заведений, обучающихся по направлению подготовки 43.03.02 «Туризм»  (квалификация (степень) «бакалавр»)</t>
  </si>
  <si>
    <t>151100.10.01</t>
  </si>
  <si>
    <t>Менеджмент - твоя работа. Действуй на опережение!: Уч. / Л.Д.Гительман - М.: ИНФРА-М, 2025 - 544с. (п)</t>
  </si>
  <si>
    <t>МЕНЕДЖМЕНТ - ТВОЯ РАБОТА. ДЕЙСТВУЙ НА ОПЕРЕЖЕНИЕ!, ИЗД.1</t>
  </si>
  <si>
    <t>Гительман Л. Д.</t>
  </si>
  <si>
    <t>978-5-16-004970-0</t>
  </si>
  <si>
    <t>38.03.02, 38.03.04, 38.04.01, 38.04.02, 38.04.04</t>
  </si>
  <si>
    <t>Допущено Советом УМО по образованию в области менеджмента в качестве учебника по направлению 080200 ""Менеджмент"</t>
  </si>
  <si>
    <t>124600.10.01</t>
  </si>
  <si>
    <t>Менеджмент в домашнем хоз.: Уч. пос./Под общ. ред.С.Д. Резника.-3 изд.-ИНФРА-М,2024.-461с.(ВО) (п)</t>
  </si>
  <si>
    <t>МЕНЕДЖМЕНТ В ДОМАШНЕМ ХОЗЯЙСТВЕ, ИЗД.3</t>
  </si>
  <si>
    <t>Резник С. Д., Бобров В. А., Егорова Н. Ю.</t>
  </si>
  <si>
    <t>978-5-16-003715-8</t>
  </si>
  <si>
    <t>38.03.01, 38.03.02, 38.03.03, 38.03.04, 38.03.05, 38.03.06, 38.03.07, 38.05.01, 38.05.02, 42.03.01, 43.03.01, 43.04.01</t>
  </si>
  <si>
    <t>Допущено Советом Учебно-методического объединения вузов России по образованию в области менеджмента в качестве учебного пособия для студентов экономических, управленческих и других специальностей вузов</t>
  </si>
  <si>
    <t>084090.17.01</t>
  </si>
  <si>
    <t>Менеджмент в молодеж. политике: Уч.пос. / Под общ.ред.  М.П.Переверзева - М.:НИЦ ИНФРА-М,2026 - 238 с.(П)</t>
  </si>
  <si>
    <t>МЕНЕДЖМЕНТ В МОЛОДЕЖНОЙ ПОЛИТИКЕ, ИЗД.1</t>
  </si>
  <si>
    <t>Переверзев М.П., Калинина З.Н., Переверзев М.П.</t>
  </si>
  <si>
    <t>978-5-16-022234-9</t>
  </si>
  <si>
    <t>39.03.03, 39.04.03</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</si>
  <si>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39.03.03 «Организация работы с молодежью»</t>
  </si>
  <si>
    <t>634332.08.01</t>
  </si>
  <si>
    <t>Менеджмент в образовании: Уч. / Г.Г.Корзникова - 2 изд. - М.:НИЦ ИНФРА-М,2026 - 352 с.(ВО)(П)</t>
  </si>
  <si>
    <t>МЕНЕДЖМЕНТ В ОБРАЗОВАНИИ, ИЗД.2</t>
  </si>
  <si>
    <t>Корзникова Г.Г.</t>
  </si>
  <si>
    <t>978-5-16-012109-3</t>
  </si>
  <si>
    <t>Рекомендовано Ученым советом федерального государственного бюджетного образовательного учреждения высшего образования «Уральский государственный педагогический университет» в качестве учебного издания. Рекомендовано в качестве учебника для студентов высших учебных заведений, обучающихся по направлению подготовки 44.04.01 «Педагогическое образование» (квалификация (степень) «магистр»)</t>
  </si>
  <si>
    <t>770723.01.01</t>
  </si>
  <si>
    <t>Менеджмент в орган. отдыха детей и их оздоровления: Уч./М.П.Кулаченко-М.:НИЦ ИНФРА-М,2025-531с.(ВО:Магистр)(п)</t>
  </si>
  <si>
    <t>МЕНЕДЖМЕНТ В ОРГАНИЗАЦИИ ОТДЫХА ДЕТЕЙ И ИХ ОЗДОРОВЛЕНИЯ, ИЗД.1</t>
  </si>
  <si>
    <t>978-5-16-017521-8</t>
  </si>
  <si>
    <t>44.00.00, 44.03.05</t>
  </si>
  <si>
    <t>124300.09.01</t>
  </si>
  <si>
    <t>Менеджмент в рекламе: Уч. пос. / Н.В. Бацюн - М.: ИЦ РИОР:ИНФРА-М,2026 - 175 с.(ВО) (П)</t>
  </si>
  <si>
    <t>МЕНЕДЖМЕНТ В РЕКЛАМЕ, ИЗД.1</t>
  </si>
  <si>
    <t>Бацюн Н. В.</t>
  </si>
  <si>
    <t>978-5-369-00601-6</t>
  </si>
  <si>
    <t>38.03.02, 38.04.02, 42.03.01, 42.04.01</t>
  </si>
  <si>
    <t>Допущено УМО по образованию в области коммерции в качестве учебного пособия для студентов вузов, обучающихся по специальности "Реклама"</t>
  </si>
  <si>
    <t>648904.09.01</t>
  </si>
  <si>
    <t>Менеджмент в сервисе и туризме: Уч.пос. / В.М.Пищулов, - 3 изд. - М.:НИЦ ИНФРА-М,2026. - 284 с.(ВО(П)</t>
  </si>
  <si>
    <t>МЕНЕДЖМЕНТ В СЕРВИСЕ И ТУРИЗМЕ, ИЗД.3</t>
  </si>
  <si>
    <t>978-5-16-012517-6</t>
  </si>
  <si>
    <t>43.03.01, 43.03.02, 44.03.05, 49.03.03</t>
  </si>
  <si>
    <t>Рекомендовано ФГБОУ ВО «Российский государственный университет туризма и сервиса» в качестве учебного пособия к использованию в образовательных учреждениях ВО, реализующих образовательные программы высшего образования по направлениям подготовки 43.03.02 «Туризм», 43.03.01 «Сервис» (квалификация (степень) «бакалавр»)</t>
  </si>
  <si>
    <t>703218.07.01</t>
  </si>
  <si>
    <t>Менеджмент в сервисе и туризме: Уч.пос. / В.М.Пищулов, - 3 изд. - М.:НИЦ ИНФРА-М,2026. - 284 с.(СПО)(п)</t>
  </si>
  <si>
    <t>978-5-16-014869-4</t>
  </si>
  <si>
    <t>43.02.11, 43.02.16, 43.02.17</t>
  </si>
  <si>
    <t>086260.22.01</t>
  </si>
  <si>
    <t>Менеджмент в сервисе и туризме: Уч.пос. / Н.А.Зайцева - 3 изд. - М.:НИЦ ИНФРА-М,2026 - 366 с.(СПО)(о)</t>
  </si>
  <si>
    <t>Зайцева Н. А.</t>
  </si>
  <si>
    <t>978-5-16-016114-3</t>
  </si>
  <si>
    <t>38.02.01, 43.02.11, 43.02.16</t>
  </si>
  <si>
    <t>446550.05.01</t>
  </si>
  <si>
    <t>Менеджмент в социал. и эконом.сист..: Уч.пос./С.Д.Резник-2 изд.-М:ИЦ РИОР:НИЦ ИНФРА-М,2024-207с.(ВО)(п)</t>
  </si>
  <si>
    <t>МЕНЕДЖМЕНТ В СОЦИАЛЬНЫХ И ЭКОНОМИЧЕСКИХ СИСТЕМАХ НЕПРОИЗВОДСТВЕННОЙ СФЕРЫ, ИЗД.2</t>
  </si>
  <si>
    <t>Резник С.Д., Резник С.Д., Кондратьев Э.В.</t>
  </si>
  <si>
    <t>978-5-369-01262-8</t>
  </si>
  <si>
    <t>Допущено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по специальности «Менеджмент организации»</t>
  </si>
  <si>
    <t>440050.04.01</t>
  </si>
  <si>
    <t>Менеджмент в социальных. и экон. сист.: Уч.пос. / С.Д.Резник-2 изд.-М.:РИОР, ИНФРА-М,2024-304 с.(ВО: Бак)(п)</t>
  </si>
  <si>
    <t>МЕНЕДЖМЕНТ В СОЦИАЛЬНЫХ И ЭКОНОМИЧЕСКИХ СИСТЕМАХ: ТЕОРИЯ И МЕТОДОЛОГИЯ, ИЗД.2</t>
  </si>
  <si>
    <t>Резник С.Д., Кондратьев Э.В., Неретина Е.А. и др.</t>
  </si>
  <si>
    <t>978-5-369-01207-9</t>
  </si>
  <si>
    <t>38.03.01, 38.03.02, 38.03.03, 38.03.04, 38.04.01, 38.04.02</t>
  </si>
  <si>
    <t>Допущено Учебно-методическим объединением вузов России по образованию в области менеджмента в качестве учебного пособия для студентов управленческих и экономических специальностей, бакалавриата и магистратуры</t>
  </si>
  <si>
    <t>083300.16.01</t>
  </si>
  <si>
    <t>Менеджмент в сфере культуры и искусства: Уч.пос. / Переверзев М.П. - М.:НИЦ ИНФРА-М,2026 - 192 с.(ВО)(П)</t>
  </si>
  <si>
    <t>МЕНЕДЖМЕНТ В СФЕРЕ КУЛЬТУРЫ И ИСКУССТВА, ИЗД.1</t>
  </si>
  <si>
    <t>Переверзев М.П., Косцов Т.В., Переверзев М.П.</t>
  </si>
  <si>
    <t>978-5-16-021668-3</t>
  </si>
  <si>
    <t>44.03.05, 50.03.04, 50.04.04, 51.03.01, 51.03.05, 51.04.04</t>
  </si>
  <si>
    <t>Рекомендовано Учебно-методическим объединением по образованию в области инновационных междисциплинарных образовательных программ в качестве учебного пособия по направлению подготовки 50.03.01 «Искусства и гуманитарные науки» (квалификация (степень) «бакалавр»)</t>
  </si>
  <si>
    <t>420700.08.01</t>
  </si>
  <si>
    <t>Менеджмент в туризме: уч. / Под ред. Богданов Е.И.-М.:НИЦ ИНФРА-М,2024.-152 с..-(ВО: Бакалавриат)(п)</t>
  </si>
  <si>
    <t>МЕНЕДЖМЕНТ В ТУРИЗМЕ, ИЗД.1</t>
  </si>
  <si>
    <t>Киседобрев В. П., Кострюкова О. Н., Киседобрев А. В., Богданов Е. И.</t>
  </si>
  <si>
    <t>978-5-16-006294-5</t>
  </si>
  <si>
    <t>38.03.02, 43.03.02, 43.04.02, 49.03.03</t>
  </si>
  <si>
    <t>Рекомендовано Учебно-методическим объединением по образованию в области производственного менеджмента Министерства образования и науки Российской Федерации в качестве учебника для студентов высших учебных заведений, обучающихся по специальности 08050</t>
  </si>
  <si>
    <t>860291.01.01</t>
  </si>
  <si>
    <t>Менеджмент в туристической индустрии: Уч.пос. / К.Э.Борблик - М.:НИЦ ИНФРА-М,2026. - 195 с.(ВО (МариупГУ))(п)</t>
  </si>
  <si>
    <t>МЕНЕДЖМЕНТ В ТУРИСТИЧЕСКОЙ ИНДУСТРИИ, ИЗД.1</t>
  </si>
  <si>
    <t>Борблик К.Э.</t>
  </si>
  <si>
    <t>978-5-16-021898-4</t>
  </si>
  <si>
    <t>43.03.02, 43.04.01, 43.04.02</t>
  </si>
  <si>
    <t>Утверждено и рекомендовано для использования в учебном процессе на заседании Учебно-методического совета МГУ имени А.И. Куинджи для студентов по направлению подготовки "Туризм" (протокол №2 от 25.04.2025)</t>
  </si>
  <si>
    <t>470100.07.01</t>
  </si>
  <si>
    <t>Менеджмент в туристской индустрии: Уч. / Л.В.Баумгартен - М.:Вуз.уч.,НИЦ ИНФРА-М,2026 - 236 с.(П)</t>
  </si>
  <si>
    <t>МЕНЕДЖМЕНТ В ТУРИСТСКОЙ ИНДУСТРИИ, ИЗД.1</t>
  </si>
  <si>
    <t>978-5-9558-0480-4</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</si>
  <si>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38.03.02 «Менеджмент», 43.04.02 «Туризм» (квалификация (степень) «бакалавр»)</t>
  </si>
  <si>
    <t>862095.01.01</t>
  </si>
  <si>
    <t>Менеджмент в туристской индустрии: Уч. пос. / И.В.Тропынин - М.:НИЦ ИНФРА-М, СФУ,2026. - 146 с.(ВО)(п)</t>
  </si>
  <si>
    <t>Тропынин И.В.</t>
  </si>
  <si>
    <t>978-5-16-021381-1</t>
  </si>
  <si>
    <t>775404.01.01</t>
  </si>
  <si>
    <t>Менеджмент в туристской индустрии: Уч.пос. / А.Н.Полухина - М.:НИЦ ИНФРА-М,2025 - 329 с.(ВО)(п)</t>
  </si>
  <si>
    <t>Полухина А.Н., Шерешева М.Ю., Лежнин В.В.</t>
  </si>
  <si>
    <t>978-5-16-017907-0</t>
  </si>
  <si>
    <t>43.03.01, 43.03.02, 43.04.03</t>
  </si>
  <si>
    <t>682973.07.01</t>
  </si>
  <si>
    <t>Менеджмент гостеприимства: Уч.пос. / Е.Н.Кнышова - М.:ИД ФОРУМ, НИЦ ИНФРА-М,2026. - 512 с.(СПО)(П)</t>
  </si>
  <si>
    <t>МЕНЕДЖМЕНТ ГОСТЕПРИИМСТВА, ИЗД.1</t>
  </si>
  <si>
    <t>Кнышова Е.Н., Белозерова Ю.М.</t>
  </si>
  <si>
    <t>978-5-8199-0795-5</t>
  </si>
  <si>
    <t>43.02.16, 43.02.17</t>
  </si>
  <si>
    <t>700690.01.01</t>
  </si>
  <si>
    <t>Менеджмент и маркетинг: Уч. / Н.Г.Забродская - М.:НИЦ ИНФРА-М,2025. - 301 с.-(ВО)(п)</t>
  </si>
  <si>
    <t>МЕНЕДЖМЕНТ И МАРКЕТИНГ, ИЗД.1</t>
  </si>
  <si>
    <t>Забродская Н.Г.</t>
  </si>
  <si>
    <t>978-5-16-015211-0</t>
  </si>
  <si>
    <t>Белорусский государственный университет информатики и радиоэлектроники</t>
  </si>
  <si>
    <t>758795.06.01</t>
  </si>
  <si>
    <t>Менеджмент информационного контента: Уч.пос. / В.Н.Шитов - М.:НИЦ ИНФРА-М,2026 - 209 с.(СПО)(П)</t>
  </si>
  <si>
    <t>МЕНЕДЖМЕНТ ИНФОРМАЦИОННОГО КОНТЕНТА, ИЗД.1</t>
  </si>
  <si>
    <t>978-5-16-017311-5</t>
  </si>
  <si>
    <t>09.01.03, 09.02.07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</si>
  <si>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9 от 17.11.2021)</t>
  </si>
  <si>
    <t>174900.11.01</t>
  </si>
  <si>
    <t>Менеджмент организации: теория, ист., прак.: Уч.пос. / О.Г.Тихомирова-М.:НИЦ ИНФРА-М,2024.-256 с.(ВО)(О)</t>
  </si>
  <si>
    <t>МЕНЕДЖМЕНТ ОРГАНИЗАЦИИ: ТЕОРИЯ, ИСТОРИЯ, ПРАКТИКА, ИЗД.1</t>
  </si>
  <si>
    <t>Тихомирова О. Г., Варламов Б. А.</t>
  </si>
  <si>
    <t>978-5-16-005014-0</t>
  </si>
  <si>
    <t>38.03.02, 38.03.04, 38.04.02, 38.04.04, 41.03.06, 44.03.05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</si>
  <si>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080200 «Менеджмент» и специальности 080507 «Менеджмент организа</t>
  </si>
  <si>
    <t>Национальный исследовательский университет ИТМО</t>
  </si>
  <si>
    <t>353500.06.01</t>
  </si>
  <si>
    <t>Менеджмент персонала корпорации: Моногр. / Н.М.Кузьмина - М.:НИЦ ИНФРА-М,2026 - 245 с.(Науч.мысль)(П)</t>
  </si>
  <si>
    <t>МЕНЕДЖМЕНТ ПЕРСОНАЛА КОРПОРАЦИИ, ИЗД.1</t>
  </si>
  <si>
    <t>978-5-16-010890-2</t>
  </si>
  <si>
    <t>38.03.03, 38.04.03</t>
  </si>
  <si>
    <t>096850.11.01</t>
  </si>
  <si>
    <t>Менеджмент продаж: Уч. пос. / С.П. Коноплев. - М.: ИНФРА-М, 2027. - 304 с. (ВО) (п)</t>
  </si>
  <si>
    <t>МЕНЕДЖМЕНТ ПРОДАЖ, ИЗД.1</t>
  </si>
  <si>
    <t>Коноплев С. П., Коноплева В. С.</t>
  </si>
  <si>
    <t>978-5-16-003407-2</t>
  </si>
  <si>
    <t>38.03.02, 38.03.06, 38.04.02, 38.04.06</t>
  </si>
  <si>
    <t>Допущено УМО по образованию в области прикладной информатики в качестве учебного пособия для студентов вузов, обучающихся по специальности "Прикладная информатика (по областям)" и другим специальностям</t>
  </si>
  <si>
    <t>Институт менеджмента и бизнеса</t>
  </si>
  <si>
    <t>689445.02.01</t>
  </si>
  <si>
    <t>Менеджмент техники и технологии сельскохоз.машин: Уч.пос. / А.Л.Эйдис-М.:НИЦ ИНФРА-М,2023-196с(ВО)(П)</t>
  </si>
  <si>
    <t>МЕНЕДЖМЕНТ ТЕХНИКИ И ТЕХНОЛОГИИ СЕЛЬСКОХОЗЯЙСТВЕННЫХ МАШИН, ИЗД.1</t>
  </si>
  <si>
    <t>Эйдис А.Л., Парлюк Е.П., Еремеев В.И.</t>
  </si>
  <si>
    <t>978-5-16-014488-7</t>
  </si>
  <si>
    <t>23.04.02, 23.05.01, 35.03.06, 35.04.06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</si>
  <si>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23.03.02 «Наземные транспортно-технологические комплексы», 35.03.06 «Агроинженерия» (квалификация (степень) «бакалавр») (протокол № 12 от 24.06.2019)</t>
  </si>
  <si>
    <t>818414.01.01</t>
  </si>
  <si>
    <t>Менеджмент. Избр. статьи. Кн.8.Менеджмент в строительстве...: Моногр. / С.Д.Резник-М.:НИЦ ИНФРА-М,2024.-392 с.(о)</t>
  </si>
  <si>
    <t>МЕНЕДЖМЕНТ. ИЗБРАННЫЕ СТАТЬИ. КНИГА 8, Т.8</t>
  </si>
  <si>
    <t>978-5-16-019506-3</t>
  </si>
  <si>
    <t>00.03.15, 00.05.15, 38.03.02, 38.04.02, 38.04.03, 38.04.04, 38.06.01, 44.06.01</t>
  </si>
  <si>
    <t>415600.06.01</t>
  </si>
  <si>
    <t>Менеджмент. Избр. статьи: Моногр.: Кн.3. Управление семьей... / С.Д.Резник - М.:НИЦ ИНФРА-М,2026. - 263 с.(о)</t>
  </si>
  <si>
    <t>МЕНЕДЖМЕНТ, Т.3</t>
  </si>
  <si>
    <t>978-5-16-006235-8</t>
  </si>
  <si>
    <t>08.02.14, 38.03.02, 38.03.03, 38.04.02, 38.04.03, 44.03.05</t>
  </si>
  <si>
    <t>742688.02.01</t>
  </si>
  <si>
    <t>Менеджмент. Кн. 7: Менеджмент в вузе: Моногр. / С.Д.Резник-М.:НИЦ ИНФРА-М,2024.-323 с.(Науч.мысль)(о)</t>
  </si>
  <si>
    <t>МЕНЕДЖМЕНТ. КН. 7: МЕНЕДЖМЕНТ В ВУЗЕ, Т.7</t>
  </si>
  <si>
    <t>978-5-16-013924-1</t>
  </si>
  <si>
    <t>38.04.02, 38.04.03, 38.04.04, 38.06.01</t>
  </si>
  <si>
    <t>188900.05.01</t>
  </si>
  <si>
    <t>Менеджмент: бакалаврская работа: Уч.пос. / С.Д.Резник - 2 изд. - М.:НИЦ ИНФРА-М,2019-260 с.(ВО)(П)</t>
  </si>
  <si>
    <t>МЕНЕДЖМЕНТ: БАКАЛАВРСКАЯ РАБОТА, ИЗД.2</t>
  </si>
  <si>
    <t>978-5-16-011845-1</t>
  </si>
  <si>
    <t>38.03.01, 38.03.02, 38.04.02, 41.03.06, 44.03.01</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</si>
  <si>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</si>
  <si>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188900.07.01</t>
  </si>
  <si>
    <t>Менеджмент: вып. квалификац. раб. бакалавра: Уч.пос. / С.Д.Резник - 3 изд. - М.:НИЦ ИНФРА-М,2025. - 251 с(П)</t>
  </si>
  <si>
    <t>МЕНЕДЖМЕНТ: ВЫПУСКНАЯ КВАЛИФИКАЦИОННАЯ РАБОТА БАКАЛАВРА, ИЗД.3</t>
  </si>
  <si>
    <t>Резник С.Д., Баулин А.В., Джевицкая Е.С. и др.</t>
  </si>
  <si>
    <t>978-5-16-017144-9</t>
  </si>
  <si>
    <t>Рекомендовано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обучающихся по направлениям подготовки 38.03.02 «Менеджмент» и 38.03.03 «Управление персоналом»</t>
  </si>
  <si>
    <t>159750.12.01</t>
  </si>
  <si>
    <t>Менеджмент: выпуск. квалификац. раб. магистр.: Уч.пос. / С.Д.Резник - 4 изд.-М.:НИЦ ИНФРА-М,2023.-277 с(П)</t>
  </si>
  <si>
    <t>МЕНЕДЖМЕНТ: ВЫПУСКНАЯ КВАЛИФИКАЦИОННАЯ РАБОТА МАГИСТРАНТА, ИЗД.4</t>
  </si>
  <si>
    <t>Резник С.Д., Двоеглазов В.В., Джевицкая Е.С. и др.</t>
  </si>
  <si>
    <t>978-5-16-017304-7</t>
  </si>
  <si>
    <t>38.03.04, 38.04.02, 38.04.04, 44.03.05</t>
  </si>
  <si>
    <t>Рекомендовано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подготовки 38.04.02 «Менеджмент»</t>
  </si>
  <si>
    <t>674948.03.01</t>
  </si>
  <si>
    <t>Менеджмент: Кн. 6: Управ. чел. потенциалом...: Моногр. / С.Д.Резник-М.:НИЦ ИНФРА-М,2023.-357 с.(О)</t>
  </si>
  <si>
    <t>МЕНЕДЖМЕНТ: КНИГА ШЕСТАЯ: УПРАВЛЕНИЕ ЧЕЛОВЕЧЕСКИМ ПОТЕНЦИАЛОМ В СОЦИАЛЬНО-ЭКОНОМИЧЕСКИХ СИСТЕМАХ, Т.6</t>
  </si>
  <si>
    <t>978-5-16-013570-0</t>
  </si>
  <si>
    <t>38.03.02, 38.03.03, 41.03.06</t>
  </si>
  <si>
    <t>415400.06.01</t>
  </si>
  <si>
    <t>Менеджмент: Кн.1: Общие пробл. менеджмента...: Избр. статьи /С.Д.Резник-ИНФРА-М,2024-277с (о)</t>
  </si>
  <si>
    <t>МЕНЕДЖМЕНТ. КНИГА 1. ОБЩИЕ ПРОБЛЕМЫ МЕНЕДЖМЕНТА, УПРАВЛЕНИЕ ЧЕЛОВЕЧЕСКИМ ПОТЕНЦИАЛОМ В СТРОИТЕЛЬСТВЕ, ИЗД.1</t>
  </si>
  <si>
    <t>978-5-16-006232-7</t>
  </si>
  <si>
    <t>08.03.01, 08.04.01, 38.03.02, 38.04.02, 44.03.05</t>
  </si>
  <si>
    <t>415500.06.01</t>
  </si>
  <si>
    <t>Менеджмент: Кн.2: Управл. высш. школой и науч. деят./С.Д.Резник - ИНФРА-М, 2024-359с.(Науч. мысль) (о)</t>
  </si>
  <si>
    <t>МЕНЕДЖМЕНТ. КНИГА 2. УПРАВЛЕНИЕ ВЫСШЕЙ ШКОЛОЙ И НАУЧНОЙ ДЕЯТЕЛЬНОСТЬЮ, ИЗД.1</t>
  </si>
  <si>
    <t>978-5-16-006234-1</t>
  </si>
  <si>
    <t>38.03.02, 38.04.02, 44.03.05</t>
  </si>
  <si>
    <t>266200.04.01</t>
  </si>
  <si>
    <t>Менеджмент: Кн.4: Упр. человеч. потенц. в соц.-эк..: Моногр. / С.Д.Резник - М.: ИНФРА-М,2022 - 319 с (о)</t>
  </si>
  <si>
    <t>МЕНЕДЖМЕНТ, ИЗД.1</t>
  </si>
  <si>
    <t>978-5-16-009584-4</t>
  </si>
  <si>
    <t>38.03.02, 38.03.03, 38.04.02, 41.03.06</t>
  </si>
  <si>
    <t>159750.10.01</t>
  </si>
  <si>
    <t>Менеджмент: магистерская диссертация: Уч.пос. / С.Д.Резник - 3 изд. - М.:НИЦ ИНФРА-М,2022 - 282с(ВО)</t>
  </si>
  <si>
    <t>МЕНЕДЖМЕНТ: МАГИСТЕРСКАЯ ДИССЕРТАЦИЯ, ИЗД.3</t>
  </si>
  <si>
    <t>978-5-16-013828-2</t>
  </si>
  <si>
    <t>Рекомендовано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подготовки 38.04.02 «Менеджмент</t>
  </si>
  <si>
    <t>159750.04.01</t>
  </si>
  <si>
    <t>Менеджмент: магистерская диссертация:Уч.пос. / Под ред. Резник С.Д., - 2-е изд., стереотип.-М.:ИНФРА-М Издательский Дом,2018.-240 с..-(Высшее</t>
  </si>
  <si>
    <t>МЕНЕДЖМЕНТ: МАГИСТЕРСКАЯ ДИССЕРТАЦИЯ, ИЗД.2</t>
  </si>
  <si>
    <t>978-5-16-004945-8</t>
  </si>
  <si>
    <t>Рекомендовано Учебн-методиским объединением по образованию в области менеджмента для студентво высших учебных заведений, обучающихся по направлени. "Менеджмент"</t>
  </si>
  <si>
    <t>708853.02.01</t>
  </si>
  <si>
    <t>Менеджмент: методы управления: Уч.пос. / С.Н.Рыжиков-М.:НИЦ ИНФРА-М,2023.-202 с.(ВО: Бакалавр/) (П)</t>
  </si>
  <si>
    <t>МЕНЕДЖМЕНТ: МЕТОДЫ УПРАВЛЕНИЯ, ИЗД.1</t>
  </si>
  <si>
    <t>978-5-16-015539-5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</si>
  <si>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38.00.00 «Экономика и управление» (протокол № 8 от 22.06.2020)</t>
  </si>
  <si>
    <t>128135.12.01</t>
  </si>
  <si>
    <t>Менеджмент: основные термины и понятия: Сл. / Г.В.Кисляков - 2 изд.-М.:НИЦ ИНФРА-М,2024.-176 с.(О)</t>
  </si>
  <si>
    <t>МЕНЕДЖМЕНТ: ОСНОВНЫЕ ТЕРМИНЫ И ПОНЯТИЯ, ИЗД.2</t>
  </si>
  <si>
    <t>Кисляков Г.В., Кислякова Н.А.</t>
  </si>
  <si>
    <t>978-5-16-009748-0</t>
  </si>
  <si>
    <t>38.02.01, 38.02.02, 38.02.03, 38.02.06, 38.02.07, 38.02.08, 38.03.01, 38.03.02, 38.03.03, 38.03.04, 38.03.05, 38.03.06, 38.03.07, 38.03.10, 38.05.01, 38.05.02, 43.02.06, 43.02.11, 43.02.16, 46.02.01</t>
  </si>
  <si>
    <t>680324.03.01</t>
  </si>
  <si>
    <t>Менеджмент: практическая подготовка магистранта: Уч.пос. / С.Д.Резник-М.:НИЦ ИНФРА-М,2023-148с(ВО(П)</t>
  </si>
  <si>
    <t>МЕНЕДЖМЕНТ: ПРАКТИЧЕСКАЯ ПОДГОТОВКА МАГИСТРАНТА, ИЗД.1</t>
  </si>
  <si>
    <t>Резник С.Д., Двоеглазов В.В., Вдовина О.А. и др.</t>
  </si>
  <si>
    <t>978-5-16-014247-0</t>
  </si>
  <si>
    <t>773018.04.01</t>
  </si>
  <si>
    <t>Менеджмент: теория и практика: Уч.пос. / В.М.Федоров - М.:НИЦ ИНФРА-М,2026. - 267 с.(СПО)(П)</t>
  </si>
  <si>
    <t>МЕНЕДЖМЕНТ: ТЕОРИЯ И ПРАКТИКА, ИЗД.1</t>
  </si>
  <si>
    <t>Федоров В.М., Саньков М.А.</t>
  </si>
  <si>
    <t>978-5-16-017501-0</t>
  </si>
  <si>
    <t>638370.07.01</t>
  </si>
  <si>
    <t>Менеджмент: традиц.и совр. модели: Справ.пос. / В.В.Филатов -М.:НИЦ ИНФРА-М,2024-474(Спр.ИНФРА-М)(П)</t>
  </si>
  <si>
    <t>МЕНЕДЖМЕНТ: ТРАДИЦИОННЫЕ И СОВРЕМЕННЫЕ МОДЕЛИ, ИЗД.1</t>
  </si>
  <si>
    <t>Филатов В.В., Петросян Д.С., Алексеев А.Е. и др.</t>
  </si>
  <si>
    <t>978-5-16-012235-9</t>
  </si>
  <si>
    <t>247800.07.01</t>
  </si>
  <si>
    <t>Менеджмент: Уч. / А.В. Тебекин - М: НИЦ ИНФРА-М, 2024 - 384 - (ВО: Бакалавриат)(П)</t>
  </si>
  <si>
    <t>Тебекин А. В.</t>
  </si>
  <si>
    <t>978-5-16-009321-5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</si>
  <si>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38.03.02 (080200.62) "Менеджмент» (квалификация (степень) "б</t>
  </si>
  <si>
    <t>814863.01.01</t>
  </si>
  <si>
    <t>Менеджмент: Уч. / М.В.Чараева - М.:НИЦ ИНФРА-М,2025 - 343 с.(ВО)(п)</t>
  </si>
  <si>
    <t>Чараева М.В., Шевченко Д.А., Лысоченко А.А. и др.</t>
  </si>
  <si>
    <t>978-5-16-019672-5</t>
  </si>
  <si>
    <t>033295.22.01</t>
  </si>
  <si>
    <t>Менеджмент: Уч. / О.С.Виханский - 2 изд. - М.:Магистр, НИЦ ИНФРА-М,2024 - 288 с.(П)</t>
  </si>
  <si>
    <t>МЕНЕДЖМЕНТ, ИЗД.2</t>
  </si>
  <si>
    <t>Виханский О. С., Наумов А. И.</t>
  </si>
  <si>
    <t>978-5-9776-0085-9</t>
  </si>
  <si>
    <t>21.02.18, 24.02.01, 38.02.01, 38.02.02, 38.02.03, 38.02.06, 38.02.07, 38.02.08, 55.02.01</t>
  </si>
  <si>
    <t>Рекомендовано Министерство образования и науки Российской Федерации в качестве учебника обучающихся по направлению подготовки «Экономика» и для студентов высших учебных заведений, специальностям «Финансы и кредит», «Бухгалтерский учет, анализ, и ауди</t>
  </si>
  <si>
    <t>002806.27.01</t>
  </si>
  <si>
    <t>Менеджмент: Уч. / О.С.Виханский - 6 изд., перераб. и доп. - М.:Магистр, НИЦ ИНФРА-М,2022.-656с.(п)</t>
  </si>
  <si>
    <t>МЕНЕДЖМЕНТ, ИЗД.6</t>
  </si>
  <si>
    <t>Виханский О.С., Наумов А.И.</t>
  </si>
  <si>
    <t>978-5-9776-0320-1</t>
  </si>
  <si>
    <t>07.03.03, 07.04.01, 16.03.03, 18.05.01, 19.03.03, 19.03.04, 20.03.01, 20.03.02, 20.05.01, 23.05.01, 23.05.02, 23.05.03, 23.05.04, 23.05.05, 24.05.01, 24.05.07, 27.03.02, 28.03.01, 29.03.02, 35.03.03, 35.03.04, 35.03.07, 35.03.09, 37.03.02, 37.05.01, 38.03.02, 38.04.02, 38.05.01, 38.05.02, 39.03.01, 41.03.05, 41.03.06, 42.03.01, 43.03.01, 43.03.02, 43.03.03, 44.03.01, 44.03.05, 45.03.01, 45.03.03, 51.03.01</t>
  </si>
  <si>
    <t>Рекомендовано Министерством образования и науки Российской Федерации в качестве учебника обучающихся по направлению подготовки «Экономика» и для студентов высших учебных заведений, специальностям «Финансы и кредит», «Бухгалтерский учет, анализ и аудит», «Мировая экономика», «Налоги и налогообложение»</t>
  </si>
  <si>
    <t>0614</t>
  </si>
  <si>
    <t>002806.35.01</t>
  </si>
  <si>
    <t>Менеджмент: Уч. / О.С.Виханский - 7 изд. - М, НИЦ ИНФРА-М,2027. - 672 c.(п)</t>
  </si>
  <si>
    <t>МЕНЕДЖМЕНТ, ИЗД.7</t>
  </si>
  <si>
    <t>978-5-16-022359-9</t>
  </si>
  <si>
    <t>0723</t>
  </si>
  <si>
    <t>033295.25.01</t>
  </si>
  <si>
    <t>Менеджмент: Уч. / О.С.Виханский, - 3 изд. - М.:Магистр, НИЦ ИНФРА-М,2026. - 432 с.(п)</t>
  </si>
  <si>
    <t>МЕНЕДЖМЕНТ, ИЗД.3</t>
  </si>
  <si>
    <t>978-5-16-021939-4</t>
  </si>
  <si>
    <t>698849.04.01</t>
  </si>
  <si>
    <t>Менеджмент: Уч. / О.С.Гапонова и др. - М.:ИЦ РИОР, НИЦ ИНФРА-М,2026 - 480 с.-(ВО)(П)</t>
  </si>
  <si>
    <t>Гапонова О.С., Данилова Л.С., Чилипенок Ю.Ю.</t>
  </si>
  <si>
    <t>978-5-369-01819-4</t>
  </si>
  <si>
    <t>38.03.01, 38.03.02, 38.03.04, 38.04.02</t>
  </si>
  <si>
    <t>047950.19.01</t>
  </si>
  <si>
    <t>Менеджмент: Уч. пос. / Е.Н.Кнышова - М.:ИД ФОРУМ, НИЦ ИНФРА-М,2025. - 304 с.-(Проф.обр.)(П)</t>
  </si>
  <si>
    <t>978-5-8199-0106-9</t>
  </si>
  <si>
    <t>21.02.18, 26.02.04, 38.02.01, 38.02.02, 38.02.03, 38.02.06, 38.02.07, 38.02.08</t>
  </si>
  <si>
    <t>092250.12.01</t>
  </si>
  <si>
    <t>Менеджмент: Уч. пос./ В.Д. Дорофеев - М.: НИЦ ИНФРА-М, 2025. - 328 с. (ВО) (П)</t>
  </si>
  <si>
    <t>Дорофеев В. Д., Шмелева А. Н., Шестопал Н. Ю.</t>
  </si>
  <si>
    <t>978-5-16-009538-7</t>
  </si>
  <si>
    <t>087120.17.01</t>
  </si>
  <si>
    <t>Менеджмент: Уч.пос. / А.В.Райченко - 2 изд. - М.:НИЦ ИНФРА-М,2025. - 342 с.-(СПО)(П)</t>
  </si>
  <si>
    <t>Райченко А.В., Хохлова И.В.</t>
  </si>
  <si>
    <t>978-5-16-012233-5</t>
  </si>
  <si>
    <t>271700.07.01</t>
  </si>
  <si>
    <t>Менеджмент: Уч.пос. / А.П.Балашов - М.:Вуз. уч., НИЦ ИНФРА-М,2025. - 272 с.(п)</t>
  </si>
  <si>
    <t>Балашов А.П.</t>
  </si>
  <si>
    <t>978-5-9558-0365-4</t>
  </si>
  <si>
    <t>38.03.01, 38.03.02, 38.03.06, 41.03.06, 44.03.05</t>
  </si>
  <si>
    <t>684816.06.01</t>
  </si>
  <si>
    <t>Менеджмент: Уч.пос. / А.П.Балашов - М.:Вуз. уч., НИЦ ИНФРА-М,2026 - 272 с.(СПО)(П)</t>
  </si>
  <si>
    <t>978-5-9558-0627-3</t>
  </si>
  <si>
    <t>21.02.11, 38.02.01, 38.02.02, 38.02.03, 38.02.06, 38.02.07, 38.02.08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</si>
  <si>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5 от 11.03.2019)</t>
  </si>
  <si>
    <t>645602.08.01</t>
  </si>
  <si>
    <t>Менеджмент: Уч.пос. / Е.И.Мазилкина - М.:НИЦ ИНФРА-М,2027 - 197 с.(СПО)(П)</t>
  </si>
  <si>
    <t>Мазилкина Е.И.</t>
  </si>
  <si>
    <t>978-5-16-012447-6</t>
  </si>
  <si>
    <t>08.02.08, 38.02.01, 38.02.02, 38.02.03, 38.02.06, 38.02.07, 38.02.08</t>
  </si>
  <si>
    <t>Рекомендовано в качестве учебного пособия для учебных заведений, реализующих программу среднего профессионального образования по специальности 38.02.04 «Коммерция (по отраслям)»</t>
  </si>
  <si>
    <t>027277.19.01</t>
  </si>
  <si>
    <t>Менеджмент: Уч.пос. / Л.Е. Басовский - 2 изд. - М.: НИЦ ИНФРА-М, 2025 - 256 с.(ВО) (п)</t>
  </si>
  <si>
    <t>978-5-16-006401-7</t>
  </si>
  <si>
    <t>38.03.01, 38.03.02, 38.03.03, 44.03.01, 44.03.02, 44.03.03, 44.03.04, 44.03.05, 46.02.01</t>
  </si>
  <si>
    <t>757597.06.01</t>
  </si>
  <si>
    <t>Менеджмент: Уч.пос. / С.Д.Резник - 4 изд. - М.:НИЦ ИНФРА-М,2026. - 367 с.(Менеджмент в высшей школе)(п)</t>
  </si>
  <si>
    <t>МЕНЕДЖМЕНТ, ИЗД.4</t>
  </si>
  <si>
    <t>978-5-16-017017-6</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</si>
  <si>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направлениям «Менеджмент», «Управление персоналом» и «Экономика»</t>
  </si>
  <si>
    <t>757597.07.01</t>
  </si>
  <si>
    <t>Менеджмент: Уч.пос. / С.Д.Резник и др. - 5 изд. - М.:НИЦ ИНФРА-М,2026. - 363 с.-(ВО)(п)</t>
  </si>
  <si>
    <t>МЕНЕДЖМЕНТ, ИЗД.5</t>
  </si>
  <si>
    <t>Резник С.Д., Игошина И.А., Сазыкина О.А.</t>
  </si>
  <si>
    <t>978-5-16-021279-1</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</si>
  <si>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направлениям «Менеджмент» и «Управление персоналом»</t>
  </si>
  <si>
    <t>835553.02.01</t>
  </si>
  <si>
    <t>Менеджмент: Уч.пос. / Т.А.Беляева - М.:НИЦ ИНФРА-М,2025. - 169 с.(СПО)(п)</t>
  </si>
  <si>
    <t>Беляева Т.А., Козьева И.А.</t>
  </si>
  <si>
    <t>978-5-16-020828-2</t>
  </si>
  <si>
    <t>141550.07.01</t>
  </si>
  <si>
    <t>Менеждмент. Восприятие сущности менедж....: Уч. пос. / В.И.Грушенко - М.: ИНФРА-М, 2024-288с.(ВО) (п)</t>
  </si>
  <si>
    <t>МЕНЕЖДМЕНТ. ВОСПРИЯТИЕ СУЩНОСТИ МЕНЕДЖМЕНТА В УСЛОВИЯХ СТРАТЕГИЧЕСКИХ ИЗМЕНЕНИЙ, ИЗД.1</t>
  </si>
  <si>
    <t>Грушенко В. И.</t>
  </si>
  <si>
    <t>978-5-16-004559-7</t>
  </si>
  <si>
    <t>38.03.01, 38.03.02, 38.03.03, 38.03.04, 38.04.01, 38.04.02, 38.04.03, 38.04.04, 41.03.06, 44.03.01, 44.03.05</t>
  </si>
  <si>
    <t>Допущено Советом Учебно-методического объединения вузов России по образованию в области менеджмента в качестве учебного пособия по направлению "Менеджмент"</t>
  </si>
  <si>
    <t>Финансовый университет при Правительстве Российской Федерации, Смоленский ф-л</t>
  </si>
  <si>
    <t>656472.11.01</t>
  </si>
  <si>
    <t>Менталитет, ментальность и этнопсихолог. особ. китайцев / В.В.Собольников - М.:Вуз. уч.,НИЦ ИНФРА-М,2026 - 160 с.(о)</t>
  </si>
  <si>
    <t>МЕНТАЛИТЕТ, МЕНТАЛЬНОСТЬ И ЭТНОПСИХОЛОГИЧЕСКИЕ ОСОБЕННОСТИ КИТАЙЦЕВ, ИЗД.1</t>
  </si>
  <si>
    <t>Собольников В.В.</t>
  </si>
  <si>
    <t>978-5-9558-0561-0</t>
  </si>
  <si>
    <t>37.03.01, 38.03.01, 38.03.02, 38.03.03, 38.04.01, 38.04.02, 38.04.03, 43.03.02, 43.03.03</t>
  </si>
  <si>
    <t>683363.09.01</t>
  </si>
  <si>
    <t>Ментальность поколений в текучей современности: Моногр. / В.И.Пищик - М.:НИЦ ИНФРА-М,2025 - 150 с.(О)</t>
  </si>
  <si>
    <t>МЕНТАЛЬНОСТЬ ПОКОЛЕНИЙ В ТЕКУЧЕЙ СОВРЕМЕННОСТИ, ИЗД.1</t>
  </si>
  <si>
    <t>Пищик В.И.</t>
  </si>
  <si>
    <t>978-5-16-014155-8</t>
  </si>
  <si>
    <t>39.03.01, 39.04.01, 39.06.01, 47.04.01, 47.06.01</t>
  </si>
  <si>
    <t>257900.11.01</t>
  </si>
  <si>
    <t>Мерчандайзинг: Уч.пос. / С.Б.Алексина - 2 изд. - М.:НИЦ ИНФРА-М,2026 - 178 с.(СПО)(П)</t>
  </si>
  <si>
    <t>МЕРЧАНДАЙЗИНГ, ИЗД.2</t>
  </si>
  <si>
    <t>Алексина С.Б., Иванов Г.Г.</t>
  </si>
  <si>
    <t>978-5-16-016846-3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</si>
  <si>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38.02.04 «Коммерция (по отраслям)» (протокол № 10 от 15.12.2021)</t>
  </si>
  <si>
    <t>257900.06.01</t>
  </si>
  <si>
    <t>Мерчандайзинг: Уч.пос. / С.Б.Алексина - М.:ИД Форум, НИЦ ИНФРА-М,2021 - 152 с.-(СПО)(О)</t>
  </si>
  <si>
    <t>МЕРЧАНДАЙЗИНГ, ИЗД.1</t>
  </si>
  <si>
    <t>978-5-8199-0919-5</t>
  </si>
  <si>
    <t>Рекомендовано кафедрой торговой политики РЭУ им. Г.В. Плеханова в качестве учебного пособия для студентов средних специальных учебных заведений, обучающихся по направлениям «Торговое дело» (бакалавриат), «Экономика» (бакалавриат), «Менеджмент» (бакалавриат)</t>
  </si>
  <si>
    <t>269400.04.01</t>
  </si>
  <si>
    <t>Меры юридической ответств.: Моногр./ Д.А.Липинский- 2 изд.-М.:ИЦ РИОР, НИЦ ИНФРА-М,2023.-231с(О)</t>
  </si>
  <si>
    <t>МЕРЫ ЮРИДИЧЕСКОЙ ОТВЕТСТВЕННОСТИ, ИЗД.2</t>
  </si>
  <si>
    <t>Липинский Д. А., Хачатуров Р. Л., Шишкин А. Г.</t>
  </si>
  <si>
    <t>978-5-369-01335-9</t>
  </si>
  <si>
    <t>269400.03.01</t>
  </si>
  <si>
    <t>Меры юридической ответственности: Моногр./ Д.А.Липинский -М.:ИЦ РИОР, НИЦ ИНФРА-М,2020.-231 с.(Науч.мысль)(О)</t>
  </si>
  <si>
    <t>МЕРЫ ЮРИДИЧЕСКОЙ ОТВЕТСТВЕННОСТИ, ИЗД.1</t>
  </si>
  <si>
    <t>642423.06.01</t>
  </si>
  <si>
    <t>Местное управление в США: орг. и..: Моногр. / А.И.Черкасов - М.:Юр.Норма, НИЦ ИНФРА-М,2026 - 80с(о)</t>
  </si>
  <si>
    <t>МЕСТНОЕ  УПРАВЛЕНИЕ В США: ОРГАНИЗАЦИЯ И ТЕНДЕНЦИИ РАЗВИТИЯ, ИЗД.1</t>
  </si>
  <si>
    <t>Черкасов А.И.</t>
  </si>
  <si>
    <t>978-5-91768-778-0</t>
  </si>
  <si>
    <t>38.04.04, 40.03.01, 40.04.01</t>
  </si>
  <si>
    <t>828937.01.01</t>
  </si>
  <si>
    <t>Местные сообщества: Моногр. / С.Ю.Наумов. - М.:НИЦ ИНФРА-М,2026. - 220 с.(Науч.мысль)(п)</t>
  </si>
  <si>
    <t>МЕСТНЫЕ СООБЩЕСТВА, ИЗД.1</t>
  </si>
  <si>
    <t>Наумов С.Ю., Зюзин С.Ю., Ведяева Е.С. и др.</t>
  </si>
  <si>
    <t>978-5-16-020674-5</t>
  </si>
  <si>
    <t>169300.11.01</t>
  </si>
  <si>
    <t>Месть и возмездие в древнем праве: Моногр./ Г.В. Мальцев. - М.: Норма:  НИЦ ИНФРА-М, 2026. - 736 с.(п)</t>
  </si>
  <si>
    <t>МЕСТЬ И ВОЗМЕЗДИЕ В ДРЕВНЕМ ПРАВЕ, ИЗД.1</t>
  </si>
  <si>
    <t>978-5-91768-217-4</t>
  </si>
  <si>
    <t>635926.08.01</t>
  </si>
  <si>
    <t>Метаболический синдром — переедание физиолог. пищи.: Моногр. / В.Н.Титов - М.:НИЦ ИНФРА-М,2026 - 310 с.(о)</t>
  </si>
  <si>
    <t>МЕТАБОЛИЧЕСКИЙ СИНДРОМ — ПЕРЕЕДАНИЕ ФИЗИОЛОГИЧЕСКОЙ ПИЩИ. ВИСЦЕРАЛЬНЫЕ ЖИРОВЫЕ КЛЕТКИ, НЕЭТЕРИФИЦИРОВАННЫЕ СВОБОДНЫЕ ЖИРНЫЕ КИСЛОТЫ. ФИЛОГЕНЕЗ, ПАТОГЕНЕЗ, ДИАГНОСТИКА, ПРОФИЛАКТИКА), ИЗД.1</t>
  </si>
  <si>
    <t>978-5-16-019385-4</t>
  </si>
  <si>
    <t>635926.05.01</t>
  </si>
  <si>
    <t>Метаболический синдром — переедание физиолог. пищи.: Моногр. / В.Н.Титов-М.:НИЦ ИНФРА-М,2021-310с(П)</t>
  </si>
  <si>
    <t>978-5-16-012369-1</t>
  </si>
  <si>
    <t>112200.17.01</t>
  </si>
  <si>
    <t>Металлические конструкции: Уч. / В.В.Доркин - М.:НИЦ ИНФРА-М,2026 - 457 с.(СПО)(П)</t>
  </si>
  <si>
    <t>МЕТАЛЛИЧЕСКИЕ КОНСТРУКЦИИ, ИЗД.1</t>
  </si>
  <si>
    <t>Доркин В. В., Рябцева М. П.</t>
  </si>
  <si>
    <t>978-5-16-003631-1</t>
  </si>
  <si>
    <t>08.02.01, 08.02.02, 23.02.08</t>
  </si>
  <si>
    <t>Допущено Федеральным агентством по строительству и жилищно-коммунальному хозяйству в кач-ве учебника для студентов средних специальных учебных заведений, обучающихся по специальности 270103 "Строительство и экспл. зданий и сооружений"</t>
  </si>
  <si>
    <t>155400.14.01</t>
  </si>
  <si>
    <t>Металловедение: Уч. / В.В.Овчинников - М.:НИЦ ИНФРА-М,2026. - 320 с.(СПО)(п)</t>
  </si>
  <si>
    <t>МЕТАЛЛОВЕДЕНИЕ, ИЗД.1</t>
  </si>
  <si>
    <t>Овчинников В.В.</t>
  </si>
  <si>
    <t>978-5-16-021592-1</t>
  </si>
  <si>
    <t>15.01.36, 22.02.08, 26.02.04</t>
  </si>
  <si>
    <t>Рекомендовано Федеральным государственным учреждением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</si>
  <si>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110050.12.01</t>
  </si>
  <si>
    <t>Металловедение: Уч. пос. для студ. / В.С. Власов. - М.: Альфа-М:  ИНФРА-М, 2026. - 336 с. (п)</t>
  </si>
  <si>
    <t>Власов В. С.</t>
  </si>
  <si>
    <t>978-5-98281-167-7</t>
  </si>
  <si>
    <t>15.01.38, 22.01.11, 22.02.08</t>
  </si>
  <si>
    <t>Рекомендовано Федеральным государственным учреждением "Федеральный институт развития образования" в качестве учебного пособия для студентов образовательных  учреждений, реализующих программы среднего профессионального образования</t>
  </si>
  <si>
    <t>150100.08.01</t>
  </si>
  <si>
    <t>Металлография металлов, порошковых материалов...: Моногр. / В.Н.Гадалов - М.:НИЦ ИНФРА-М,2026 - 468 с.(п)</t>
  </si>
  <si>
    <t>МЕТАЛЛОГРАФИЯ МЕТАЛЛОВ, ПОРОШКОВЫХ МАТЕРИАЛОВ И ПОКРЫТИЙ, ПОЛУЧЕННЫХ ЭЛЕКТРОИСКРОВЫМИ СПОСОБАМИ, ИЗД.1</t>
  </si>
  <si>
    <t>Гадалов В.Н., Сальников В.Г., Агеев Е.В. и др.</t>
  </si>
  <si>
    <t>978-5-16-009752-7</t>
  </si>
  <si>
    <t>682974.07.01</t>
  </si>
  <si>
    <t>Металлообрабатывающие станки и оборуд...: Уч.пос. / А.О.Харченко, - 2 изд. - М.:, 2026 - 260 с.(П)</t>
  </si>
  <si>
    <t>МЕТАЛЛООБРАБАТЫВАЮЩИЕ СТАНКИ И ОБОРУДОВАНИЕ МАШИНОСТРОИТЕЛЬНЫХ ПРОИЗВОДСТВ, ИЗД.2</t>
  </si>
  <si>
    <t>Харченко А.О.</t>
  </si>
  <si>
    <t>978-5-16-021740-6</t>
  </si>
  <si>
    <t>12.02.04, 15.01.22, 15.01.26, 15.01.27, 15.01.35, 15.01.36, 15.01.38, 15.02.01, 15.02.03, 15.02.04, 15.02.07, 15.02.09, 15.02.16, 15.02.17, 15.02.18, 23.02.03, 27.02.02, 27.02.07</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</si>
  <si>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15.02.00 «Машиностроение»</t>
  </si>
  <si>
    <t>344100.08.01</t>
  </si>
  <si>
    <t>Металлообрабатывающие станки и оборуд.: Уч.пос. /А.О.Харченко-2изд.-М.:Вуз.уч.,НИЦ ИНФРА-М,2023-260с(П)</t>
  </si>
  <si>
    <t>978-5-9558-0426-2</t>
  </si>
  <si>
    <t>353300.06.01</t>
  </si>
  <si>
    <t>Металлообрабатывающие станки: Уч. / Л.И.Вереина - М.:НИЦ ИНФРА-М,2026. - 440 с.-(ВО)(п)</t>
  </si>
  <si>
    <t>МЕТАЛЛООБРАБАТЫВАЮЩИЕ СТАНКИ, ИЗД.1</t>
  </si>
  <si>
    <t>ВереинаЛ.И.</t>
  </si>
  <si>
    <t>978-5-16-021875-5</t>
  </si>
  <si>
    <t>15.03.01, 15.03.02, 15.03.03, 15.03.04, 15.03.05, 15.03.06, 15.05.01</t>
  </si>
  <si>
    <t>Рекомендовано в качестве учебника для студентов высших учебных заведений, обучающихся по направлениям подготовки 15.03.01 «Машиностроение», 15.03.02 «Технологические машины и оборудование» (квалификация (степень) «бакалавр»)</t>
  </si>
  <si>
    <t>682975.11.01</t>
  </si>
  <si>
    <t>Металлообрабатывающие станки: Уч. / Л.И.Вереина - М.:НИЦ ИНФРА-М,2026. - 440 с.(СПО)(П)</t>
  </si>
  <si>
    <t>Вереина Л.И.</t>
  </si>
  <si>
    <t>978-5-16-013967-8</t>
  </si>
  <si>
    <t>412800.12.01</t>
  </si>
  <si>
    <t>Металлообработка: Справ.: Уч.пос. / Л.И.Вереина, - М.:НИЦ ИНФРА-М,2026. - 320 с.(ВО)(П)</t>
  </si>
  <si>
    <t>МЕТАЛЛООБРАБОТКА: СПРАВОЧНИК, ИЗД.1</t>
  </si>
  <si>
    <t>Вереина Л.И., Краснов М.М., Фрадкин Е.И. и др.</t>
  </si>
  <si>
    <t>978-5-16-019582-7</t>
  </si>
  <si>
    <t>15.03.01, 15.03.02, 15.03.03, 15.03.04, 15.03.05, 15.03.06, 22.03.02, 22.04.02</t>
  </si>
  <si>
    <t>664236.05.01</t>
  </si>
  <si>
    <t>Металлорежущее технологич. оборуд.: Уч.пос. / Л.И.Вереина. - М.:НИЦ ИНФРА-М,2026. - 435 с.(ВО)(П)</t>
  </si>
  <si>
    <t>МЕТАЛЛОРЕЖУЩЕЕ ТЕХНОЛОГИЧЕСКОЕ ОБОРУДОВАНИЕ, ИЗД.1</t>
  </si>
  <si>
    <t>Вереина Л.И., Ягопольский А.Г., Вереина Л.И.</t>
  </si>
  <si>
    <t>978-5-16-021752-9</t>
  </si>
  <si>
    <t>15.03.01, 15.03.02, 15.03.04</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</si>
  <si>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15.03.01 «Машиностроение» и специальности 15.05.01 «Проектирование технологических машин и комплексов»</t>
  </si>
  <si>
    <t>714244.07.01</t>
  </si>
  <si>
    <t>Металлорежущее технологическое оборуд.: Уч.пос. / Л.И.Вереина - М.:НИЦ ИНФРА-М,2026 - 435 с.(СПО)(П)</t>
  </si>
  <si>
    <t>978-5-16-015434-3</t>
  </si>
  <si>
    <t>12.02.04, 15.01.35, 15.01.38, 15.02.01, 15.02.03, 15.02.04, 15.02.09, 15.02.16, 15.02.17, 23.02.03</t>
  </si>
  <si>
    <t>475650.10.01</t>
  </si>
  <si>
    <t>Металлорежущие станки с ЧПУ: Уч.пос. / В.Б.Мещерякова - М.:НИЦ ИНФРА-М,2026 - 336 с.(ВО(п)</t>
  </si>
  <si>
    <t>МЕТАЛЛОРЕЖУЩИЕ СТАНКИ С ЧПУ, ИЗД.1</t>
  </si>
  <si>
    <t>Мещерякова В.Б., Стародубов В.С.</t>
  </si>
  <si>
    <t>978-5-16-019740-1</t>
  </si>
  <si>
    <t>15.03.02, 15.03.05, 15.04.02, 15.04.05</t>
  </si>
  <si>
    <t>Допущено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бакалавров 15.03.02 «Технологические машины и оборудование» (квалификация (степень) «бакалавр»)</t>
  </si>
  <si>
    <t>682976.15.01</t>
  </si>
  <si>
    <t>Металлорежущие станки с ЧПУ: Уч.пос. / В.Б.Мещерякова - М.:НИЦ ИНФРА-М,2026 - 336 с.(СПО)(п)</t>
  </si>
  <si>
    <t>978-5-16-013968-5</t>
  </si>
  <si>
    <t>12.02.04, 15.01.22, 15.01.26, 15.01.27, 15.01.35, 15.01.36, 15.01.38, 15.02.01, 15.02.03, 15.02.04, 15.02.07, 15.02.09, 15.02.16, 15.02.17, 15.02.18, 18.02.13, 23.02.03, 27.02.02, 27.02.07</t>
  </si>
  <si>
    <t>Рекомендовано Учебно-методическим советом СПО в качестве учебного пособия для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15.02.08 «Технология машиностроения»</t>
  </si>
  <si>
    <t>861402.01.01</t>
  </si>
  <si>
    <t>Металлургия легких металлов: Уч.пос. / Н.В.Марченко - М.:НИЦ ИНФРА-М, СФУ,2026. -  203 с.(ВО (СФУ))(п)</t>
  </si>
  <si>
    <t>МЕТАЛЛУРГИЯ ЛЕГКИХ МЕТАЛЛОВ, ИЗД.1</t>
  </si>
  <si>
    <t>Марченко Н.В., Ковтун О.Н.</t>
  </si>
  <si>
    <t>978-5-16-021337-8</t>
  </si>
  <si>
    <t>22.03.02</t>
  </si>
  <si>
    <t>163950.06.01</t>
  </si>
  <si>
    <t>Метафизика веры в рус. философии: Моногр. / С.А.Нижников, - 2 изд.-М.:НИЦ ИНФРА-М,2023.-312 с.(Науч.мысль)(О)</t>
  </si>
  <si>
    <t>МЕТАФИЗИКА ВЕРЫ В РУССКОЙ ФИЛОСОФИИ, ИЗД.2</t>
  </si>
  <si>
    <t>Нижников С.А.</t>
  </si>
  <si>
    <t>978-5-16-010328-0</t>
  </si>
  <si>
    <t>40.03.01, 44.03.01, 44.03.05, 47.03.01, 47.03.03, 47.04.01, 47.04.03, 48.03.01, 48.04.01</t>
  </si>
  <si>
    <t>771221.02.01</t>
  </si>
  <si>
    <t>Метафорические параллели нейтральной номинации...: Моногр. / О.К.Баваева - М.:НИЦ ИНФРА-М,2027. - 182 с.(О)</t>
  </si>
  <si>
    <t>МЕТАФОРИЧЕСКИЕ ПАРАЛЛЕЛИ НЕЙТРАЛЬНОЙ НОМИНАЦИИ «ЧЕЛОВЕК» В СОВРЕМЕННОМ АНГЛИЙСКОМ ЯЗЫКЕ, ИЗД.1</t>
  </si>
  <si>
    <t>Баваева О.К.</t>
  </si>
  <si>
    <t>978-5-16-017491-4</t>
  </si>
  <si>
    <t>45.03.01, 45.04.01, 45.04.02, 45.05.01</t>
  </si>
  <si>
    <t>875144.01.01</t>
  </si>
  <si>
    <t>Метафоры в праве: Моногр. / И.А.Ярощук - М.:Юр. НОРМА,2026. - 156 с.(п)</t>
  </si>
  <si>
    <t>МЕТАФОРЫ В ПРАВЕ, ИЗД.1</t>
  </si>
  <si>
    <t>Ярощук И.А.</t>
  </si>
  <si>
    <t>978-5-00156-485-0</t>
  </si>
  <si>
    <t>38.05.01, 40.03.01, 40.04.01, 40.05.01, 40.05.02, 40.05.03, 40.05.04, 44.03.05, 40.03.02</t>
  </si>
  <si>
    <t>312000.03.01</t>
  </si>
  <si>
    <t>Метаэвристические алгоритмы поиска оптимального.: Моногр. / А.В.Пантелеев-М.:НИЦ ИНФРА-М,2020-396(п)</t>
  </si>
  <si>
    <t>МЕТАЭВРИСТИЧЕСКИЕ АЛГОРИТМЫ ПОИСКА ОПТИМАЛЬНОГО ПРОГРАММНОГО УПРАВЛЕНИЯ, ИЗД.1</t>
  </si>
  <si>
    <t>Пантелеев А.В., Скавинская Д.В., Алёшина Е.А.</t>
  </si>
  <si>
    <t>978-5-16-011841-3</t>
  </si>
  <si>
    <t>01.03.04</t>
  </si>
  <si>
    <t>312000.04.01</t>
  </si>
  <si>
    <t>Метаэвристические алгоритмы поиска оптимального.: Моногр. / А.В.Пантелеев-М.:НИЦ ИНФРА-М,2024-396(о)</t>
  </si>
  <si>
    <t>978-5-16-019642-8</t>
  </si>
  <si>
    <t>815316.01.01</t>
  </si>
  <si>
    <t>Метаэкономикс: Монография / В.С.Гродский-М.:НИЦ ИНФРА-М,2024.-239 с.(Науч.мысль)(о)</t>
  </si>
  <si>
    <t>МЕТАЭКОНОМИКС, ИЗД.1</t>
  </si>
  <si>
    <t>978-5-16-019708-1</t>
  </si>
  <si>
    <t>412450.12.01</t>
  </si>
  <si>
    <t>Метеорология и климатология: Уч.пос. / Г.И.Пиловец - М.:НИЦ ИНФРА-М, 2026 - 399 с.(ВО)(п)</t>
  </si>
  <si>
    <t>МЕТЕОРОЛОГИЯ И КЛИМАТОЛОГИЯ, ИЗД.1</t>
  </si>
  <si>
    <t>Пиловец Г. И.</t>
  </si>
  <si>
    <t>978-5-16-006463-5</t>
  </si>
  <si>
    <t>05.02.02, 05.03.02, 05.03.04, 05.04.02, 05.04.04, 20.02.01</t>
  </si>
  <si>
    <t>Допущено Министерством образования Республики Белорусь в качестве учебного пособия для студентов вузов по географическим специальностям</t>
  </si>
  <si>
    <t>860981.01.01</t>
  </si>
  <si>
    <t>Метод. аспекты деят. педагога и методики преп. уч. дис..: Уч.пос. / В.А.Мельничук - М.:НИЦ ИНФРА-М,2026. - 162 с.(п)</t>
  </si>
  <si>
    <t>МЕТОДИЧЕСКИЕ АСПЕКТЫ ДЕЯТЕЛЬНОСТИ ПЕДАГОГА И МЕТОДИКИ ПРЕПОДАВАНИЯ УЧЕБНЫХ ДИСЦИПЛИН В ПРОЦЕССЕ ПОДГОТОВКИ КАДРОВ ДЛЯ ОРГАНОВ ВНУТРЕННИХ ДЕЛ, ИЗД.1</t>
  </si>
  <si>
    <t>Мельничук В.А., Фетисов А.В.</t>
  </si>
  <si>
    <t>978-5-16-021359-0</t>
  </si>
  <si>
    <t>40.05.01</t>
  </si>
  <si>
    <t>490350.05.01</t>
  </si>
  <si>
    <t>Методика анализа финансового состояния и...: Монография / Ю.И.Сигидов и др.-М.:НИЦ ИНФРА-М,2024-120с</t>
  </si>
  <si>
    <t>МЕТОДИКА АНАЛИЗА ФИНАНСОВОГО СОСТОЯНИЯ И ОЦЕНКА ПОТЕНЦИАЛЬНОСТИ БАНКРОТСТВА СЕЛЬСКОХОЗЯЙСТВЕННЫХ ОРГАНИЗАЦИЙ, ИЗД.1</t>
  </si>
  <si>
    <t>Сигидов Ю.И., С.А.Кучеренко, Н.С.Жминько</t>
  </si>
  <si>
    <t>978-5-16-010865-0</t>
  </si>
  <si>
    <t>38.03.01, 38.03.02, 38.03.05, 38.04.01, 38.04.02, 38.04.05, 38.04.08, 38.06.01</t>
  </si>
  <si>
    <t>477050.10.01</t>
  </si>
  <si>
    <t>Методика аудитор. проверки: Моногр. / Под ред. Барышникова Н.Г.-М.:НИЦ ИНФРА-М,2023-231с.(Науч.мысль)(о)</t>
  </si>
  <si>
    <t>МЕТОДИКА АУДИТОРСКОЙ ПРОВЕРКИ: ПРОЦЕДУРЫ, СОВЕТЫ, РЕКОМЕНДАЦИИ, ИЗД.1</t>
  </si>
  <si>
    <t>Самыгин Д.Ю., Барышников Н.Г., Тусков А.А. и др.</t>
  </si>
  <si>
    <t>978-5-16-010238-2</t>
  </si>
  <si>
    <t>443750.07.01</t>
  </si>
  <si>
    <t>Методика выбора ключевой информ. для алгоритма..: Моногр. / О.Н.Жданов-М.: НИЦ ИНФРА-М, 2024-88с.(О)</t>
  </si>
  <si>
    <t>МЕТОДИКА ВЫБОРА КЛЮЧЕВОЙ ИНФОРМАЦИИ ДЛЯ АЛГОРИТМА БЛОЧНОГО ШИФРОВАНИЯ, ИЗД.1</t>
  </si>
  <si>
    <t>Жданов О.Н.</t>
  </si>
  <si>
    <t>978-5-16-006890-9</t>
  </si>
  <si>
    <t>01.03.01, 01.03.04, 01.04.01, 01.04.02, 01.04.04, 02.03.01, 02.04.01</t>
  </si>
  <si>
    <t>461750.07.01</t>
  </si>
  <si>
    <t>Методика геоэкологических исследований: Уч. пос./ М.Г. Ясовеев - М.: НИЦ ИНФРА-М, 2023 - 292с. (п)</t>
  </si>
  <si>
    <t>МЕТОДИКА ГЕОЭКОЛОГИЧЕСКИХ ИССЛЕДОВАНИЙ, ИЗД.1</t>
  </si>
  <si>
    <t>Ясовеев М.Г., Стреха Н.Л., Шевцова Н.С. и др.</t>
  </si>
  <si>
    <t>978-5-16-009534-9</t>
  </si>
  <si>
    <t>05.03.02, 05.03.06, 05.04.02, 05.04.06</t>
  </si>
  <si>
    <t>717632.03.01</t>
  </si>
  <si>
    <t>Методика гигиенич. обр. детей с интеллектуал. недостаточ.: Уч.пос. / Т.В.Карасева.-М.:НИЦ ИНФРА-М,2024.-298 с.(П)</t>
  </si>
  <si>
    <t>МЕТОДИКА ГИГИЕНИЧЕСКОГО ОБРАЗОВАНИЯ ДЕТЕЙ С ИНТЕЛЛЕКТУАЛЬНОЙ НЕДОСТАТОЧНОСТЬЮ, ИЗД.1</t>
  </si>
  <si>
    <t>Карасева Т.В., Толстова С.Ю., Воробьева С.Н.</t>
  </si>
  <si>
    <t>978-5-16-015593-7</t>
  </si>
  <si>
    <t>44.03.02, 44.03.03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</si>
  <si>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и психологическим направлениям подготовки¶(квалификация (степень) «бакалавр») (протокол № 10 от 12.10.2020)</t>
  </si>
  <si>
    <t>634606.09.01</t>
  </si>
  <si>
    <t>Методика и техника полевых палеонтолого..: Уч.пос. / И.С.Барсков - 2 изд. - М.:НИЦ ИНФРА-М,2026 - 116 с.(о)</t>
  </si>
  <si>
    <t>МЕТОДИКА И ТЕХНИКА ПОЛЕВЫХ ПАЛЕОНТОЛОГО-СТРАТИГРАФИЧЕСКИХ ИССЛЕДОВАНИЙ, ИЗД.2</t>
  </si>
  <si>
    <t>Барсков И.С., Янин Б.Т.</t>
  </si>
  <si>
    <t>978-5-16-019129-4</t>
  </si>
  <si>
    <t>Рекомендовано в качестве учебного пособия для студентов высших учебных заведений, обучающихся по направлению подготовки 05.03.01 "Геология" (квалификация (степень) "бакалавр")</t>
  </si>
  <si>
    <t>342300.09.01</t>
  </si>
  <si>
    <t>Методика коррекции дизорфографии у шк.: Уч.мет.пос. / О.В.Елецкая - М.:Форум, НИЦ ИНФРА-М,2027 - 175 с.(ВО)</t>
  </si>
  <si>
    <t>МЕТОДИКА КОРРЕКЦИИ ДИЗОРФОГРАФИИ У ШКОЛЬНИКОВ, ИЗД.1</t>
  </si>
  <si>
    <t>Елецкая О.В.</t>
  </si>
  <si>
    <t>978-5-00091-632-2</t>
  </si>
  <si>
    <t>44.03.01, 44.03.02, 44.03.03, 44.03.04, 44.03.05, 44.04.01, 44.04.03</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</si>
  <si>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подготовки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</si>
  <si>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075300.23.01</t>
  </si>
  <si>
    <t>Методика матем. развития: Уч.пос. / Н.И.Фрейлах - 2 изд. - М. ,НИЦ ИНФРА-М,2027 - 240 с.(СПО)(П)</t>
  </si>
  <si>
    <t>МЕТОДИКА МАТЕМАТИЧЕСКОГО РАЗВИТИЯ, ИЗД.2</t>
  </si>
  <si>
    <t>978-5-16-022439-8</t>
  </si>
  <si>
    <t>44.02.01, 44.02.03, 44.02.05</t>
  </si>
  <si>
    <t>851010.01.01</t>
  </si>
  <si>
    <t>Методика обуч. матем. в 1 кл.: Уч.мет.пос. / А.В.Белошистая - М.:НИЦ ИНФРА-М,2026. - 471 с.:цв.ил.(СПО)(п)</t>
  </si>
  <si>
    <t>МЕТОДИКА ОБУЧЕНИЯ МАТЕМАТИКЕ В 1 КЛАССЕ, ИЗД.1</t>
  </si>
  <si>
    <t>978-5-16-020812-1</t>
  </si>
  <si>
    <t>44.02.02</t>
  </si>
  <si>
    <t>778017.07.01</t>
  </si>
  <si>
    <t>Методика обуч. матем. в нач. шк. Прак.: Уч.пос. / Н.Б.Истомина-Кастровская - 2 изд. - М.:НИЦ ИНФРА-М,2027 - 187 с.(П)</t>
  </si>
  <si>
    <t>МЕТОДИКА ОБУЧЕНИЯ МАТЕМАТИКЕ В НАЧАЛЬНОЙ ШКОЛЕ. ПРАКТИКУМ, ИЗД.2</t>
  </si>
  <si>
    <t>Истомина-Кастровская Н.Б., Заяц Ю.С.</t>
  </si>
  <si>
    <t>978-5-16-017843-1</t>
  </si>
  <si>
    <t>Алтайский государственный педагогический университет</t>
  </si>
  <si>
    <t>666517.10.01</t>
  </si>
  <si>
    <t>Методика обуч. матем. в нач. шк.: Уч. / Н.Б.Истомина-Кастровская - 2 изд. - М.:НИЦ ИНФРА-М,2027. - 301 с.(П)</t>
  </si>
  <si>
    <t>МЕТОДИКА ОБУЧЕНИЯ МАТЕМАТИКЕ В НАЧАЛЬНОЙ ШКОЛЕ, ИЗД.2</t>
  </si>
  <si>
    <t>Истомина-Кастровская Н.Б., Иванова И.Ю., Редько З.Б. и др.</t>
  </si>
  <si>
    <t>978-5-16-020999-9</t>
  </si>
  <si>
    <t>Рекомендовано Учебно-методическим советом ВО в качестве учебника для студентов высших учебных заведений, обучающихся по направлению  подготовки  44.03.01 «Педагогическое образование»  (квалификация (степень) «бакалавр»)</t>
  </si>
  <si>
    <t>817349.02.01</t>
  </si>
  <si>
    <t>Методика обучения биофизике в школе: Уч.пос. / С.А.Старченко - М.:НИЦ ИНФРА-М,2024. - 260 с.(п)</t>
  </si>
  <si>
    <t>МЕТОДИКА ОБУЧЕНИЯ БИОФИЗИКЕ В ШКОЛЕ, ИЗД.1</t>
  </si>
  <si>
    <t>Старченко С.А., Скрябин А.А.</t>
  </si>
  <si>
    <t>978-5-16-019465-3</t>
  </si>
  <si>
    <t>44.03.05, 44.04.01</t>
  </si>
  <si>
    <t>Троицкий педагогический колледж</t>
  </si>
  <si>
    <t>861803.01.01</t>
  </si>
  <si>
    <t>Методика обучения математике в 5-6 кл. сред. шк.: Уч. / А.В.Белошистая - М.:НИЦ ИНФРА-М,2027. - 365 с.(ВО)(п)</t>
  </si>
  <si>
    <t>МЕТОДИКА ОБУЧЕНИЯ МАТЕМАТИКЕ В 5-6 КЛАССАХ СРЕДНЕЙ ШКОЛЫ, ИЗД.1</t>
  </si>
  <si>
    <t>978-5-16-021413-9</t>
  </si>
  <si>
    <t>666516.07.01</t>
  </si>
  <si>
    <t>Методика обучения математике в нач. шк.: Уч.пос. / Н.Б.Истомина-Кастровская, - 2-изд.-М.:НИЦ ИНФРА-М,2019-198с</t>
  </si>
  <si>
    <t>МЕТОДИКА ОБУЧЕНИЯ МАТЕМАТИКЕ В НАЧАЛЬНОЙ ШКОЛЕ: ПРАКТИКУМ, ИЗД.2</t>
  </si>
  <si>
    <t>978-5-16-014059-9</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</si>
  <si>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t>
  </si>
  <si>
    <t>671270.08.01</t>
  </si>
  <si>
    <t>Методика подготовки детей к изуч. рус. яз. в шк.: Уч.пос. / А.Г.Биба - М.:НИЦ ИНФРА-М,2026 - 120 с.(ВО)(п)</t>
  </si>
  <si>
    <t>МЕТОДИКА ПОДГОТОВКИ ДЕТЕЙ К ИЗУЧЕНИЮ РУССКОГО ЯЗЫКА В ШКОЛЕ, ИЗД.1</t>
  </si>
  <si>
    <t>Биба А.Г.</t>
  </si>
  <si>
    <t>978-5-16-022318-6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</si>
  <si>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направлений 44.00.00 «Образование и педагогические науки» (квалификация (степень) «бакалавр») (протокол № 8 от 22.06.2020)</t>
  </si>
  <si>
    <t>641235.08.01</t>
  </si>
  <si>
    <t>Методика преподавания географии: Уч. / Под ред. Низовцева В.А. - М.:НИЦ ИНФРА-М,2026. - 320 с.(ВО)(п)</t>
  </si>
  <si>
    <t>МЕТОДИКА ПРЕПОДАВАНИЯ ГЕОГРАФИИ, ИЗД.1</t>
  </si>
  <si>
    <t>Дмитрук Н.Г., Низовцев В.А., Низовцев В.А.</t>
  </si>
  <si>
    <t>978-5-16-012320-2</t>
  </si>
  <si>
    <t>05.03.02, 44.03.01, 44.03.05, 44.04.01</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</si>
  <si>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44.03.05 «Педагогическое образование (с двумя профилями подготовки)», 05.03.02 «География» (квалификация (степень) «бакалавр»)</t>
  </si>
  <si>
    <t>859179.01.01</t>
  </si>
  <si>
    <t>Методика преподавания инженерной педагогики: Уч.пос. / Л.О.Терновая - М.:НИЦ ИНФРА-М,2026. - 255 с.(ВО)(п)</t>
  </si>
  <si>
    <t>МЕТОДИКА ПРЕПОДАВАНИЯ ИНЖЕНЕРНОЙ ПЕДАГОГИКИ, ИЗД.1</t>
  </si>
  <si>
    <t>978-5-16-021137-4</t>
  </si>
  <si>
    <t>418550.07.01</t>
  </si>
  <si>
    <t>Методика преподавания психологии в сред.уч.зав.: Уч.пос. / Б.Р.Мандель - М:НИЦ ИНФРА-М,2026 - 256 с.(П)</t>
  </si>
  <si>
    <t>МЕТОДИКА ПРЕПОДАВАНИЯ ПСИХОЛОГИИ В СРЕДНИХ УЧЕБНЫХ ЗАВЕДЕНИЯХ, ИЗД.1</t>
  </si>
  <si>
    <t>978-5-16-018887-4</t>
  </si>
  <si>
    <t>37.03.01, 37.05.01, 37.05.02, 44.03.01, 44.03.02, 44.03.05</t>
  </si>
  <si>
    <t>773944.07.01</t>
  </si>
  <si>
    <t>Методика расслед. преступл., совершенных...: Уч. / Е.В.Шишкина - М.:НИЦ ИНФРА-М,2026. - 255 с.(ВО)П)</t>
  </si>
  <si>
    <t>МЕТОДИКА РАССЛЕДОВАНИЯ ПРЕСТУПЛЕНИЙ, СОВЕРШЕННЫХ НЕСОВЕРШЕННОЛЕТНИМИ, ИЗД.1</t>
  </si>
  <si>
    <t>Шишкина Е.В.</t>
  </si>
  <si>
    <t>978-5-16-017932-2</t>
  </si>
  <si>
    <t>40.04.01, 40.05.01, 40.05.04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</si>
  <si>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специальностям (квалификация «юрист») (протокол № 9 от 17.11.2022)</t>
  </si>
  <si>
    <t>095610.16.01</t>
  </si>
  <si>
    <t>Методика расслед. преступл.: теор. основы: Моногр. / В.Е.Корноухов - М:Норма,НИЦ ИНФРА-М,2026 - 224 с.(О)</t>
  </si>
  <si>
    <t>МЕТОДИКА РАССЛЕДОВАНИЯ ПРЕСТУПЛЕНИЙ: ТЕОРЕТИЧЕСКИЕ ОСНОВЫ, ИЗД.1</t>
  </si>
  <si>
    <t>Корноухов В. Е.</t>
  </si>
  <si>
    <t>978-5-91768-263-1</t>
  </si>
  <si>
    <t>682977.09.01</t>
  </si>
  <si>
    <t>Методика физ. восп. и развития ребенка: Уч.пос. / Под ред.Козловой С.А. - 2 изд. - М:НИЦ ИНФРА-М,2027-312с(п)</t>
  </si>
  <si>
    <t>МЕТОДИКА ФИЗИЧЕСКОГО ВОСПИТАНИЯ И РАЗВИТИЯ РЕБЕНКА, ИЗД.2</t>
  </si>
  <si>
    <t>Кожухова Н.Н., Рыжкова Л.А., Борисова М.М. и др.</t>
  </si>
  <si>
    <t>978-5-16-013969-2</t>
  </si>
  <si>
    <t>44.02.01, 44.02.02, 44.02.03, 44.02.04, 44.02.05, 49.02.01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</si>
  <si>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t>
  </si>
  <si>
    <t>441200.09.01</t>
  </si>
  <si>
    <t>Методика физ. воспит. и развит.: Уч. / Под ред. Козловой С.А. - 2 изд. - М.:НИЦ ИНФРА-М,2026 - 312 с.(п)</t>
  </si>
  <si>
    <t>978-5-16-011377-7</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</si>
  <si>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</si>
  <si>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043030.21.01</t>
  </si>
  <si>
    <t>Методика фин. анализа деят. коммерческих орг. / А.Д.Шеремет - 2 изд. - М.:НИЦ ИНФРА-М,2027. - 208 с.(О)</t>
  </si>
  <si>
    <t>МЕТОДИКА ФИНАНСОВОГО АНАЛИЗА ДЕЯТЕЛЬНОСТИ КОММЕРЧЕСКИХ ОРГАНИЗАЦИЙ, ИЗД.2</t>
  </si>
  <si>
    <t>Шеремет А. Д., Негашев Е. В.</t>
  </si>
  <si>
    <t>978-5-16-003068-5</t>
  </si>
  <si>
    <t>25.04.03, 25.04.04, 38.02.06, 38.03.01, 38.03.02, 38.04.08, 41.03.06</t>
  </si>
  <si>
    <t>Рекомендовано Методологическим советом Министерства финансов Российской Федерации по бухгалтерскому учету для коммерческих организаций и Ассоциацией бухгалтеров и аудиторов «Содружество» для слушателей системы подготовки профессиональных бухгалтеров и аудиторов в качестве практического пособия</t>
  </si>
  <si>
    <t>704068.04.01</t>
  </si>
  <si>
    <t>Методики расчета механосбороч. и вспомогат. цехов...: Уч.пос. / Е.С.Киселев - 2 изд. - М.: ИНФРА-М, 2025 - 143 с.(О)</t>
  </si>
  <si>
    <t>МЕТОДИКИ РАСЧЕТА МЕХАНОСБОРОЧНЫХ И ВСПОМОГАТЕЛЬНЫХ ЦЕХОВ, УЧАСТКОВ И МАЛЫХ ПРЕДПРИЯТИЙ МАШИНОСТРОИТЕЛЬНОГО ПРОИЗВОДСТВА, ИЗД.2</t>
  </si>
  <si>
    <t>Киселев Е.С., Худобин Л.В.</t>
  </si>
  <si>
    <t>978-5-16-014910-3</t>
  </si>
  <si>
    <t>253800.07.01</t>
  </si>
  <si>
    <t>Методики расчета механосборочных и вспомогат. цехов...: Уч. пос. / Е.С.Киселев - 2 изд. - ИНФРА-М,2026 - 143 с.(о)</t>
  </si>
  <si>
    <t>Киселев Е. С., Худобин Л. В.</t>
  </si>
  <si>
    <t>978-5-16-021473-3</t>
  </si>
  <si>
    <t>15.03.05, 15.04.05</t>
  </si>
  <si>
    <t>Допущено учебно-методическим объединением вузов ззованию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«Конструкторско-технологическое о</t>
  </si>
  <si>
    <t>658849.05.01</t>
  </si>
  <si>
    <t>Методико-инструм. обесп. терм. управл. эконом. региона: Моногр./З.В.Брагина-М.:НИЦ ИНФРА-М,2024-159с(о)</t>
  </si>
  <si>
    <t>МЕТОДИКО-ИНСТРУМЕНТАЛЬНОЕ ОБЕСПЕЧЕНИЕ ТЕРМИНАЛЬНОГО УПРАВЛЕНИЯ ЭКОНОМИКОЙ РЕГИОНА, ИЗД.1</t>
  </si>
  <si>
    <t>Брагина З.В., Туманова Е.Н.</t>
  </si>
  <si>
    <t>978-5-16-018754-9</t>
  </si>
  <si>
    <t>658849.03.01</t>
  </si>
  <si>
    <t>Методико-инструментальное обеспечение терминального управления экономикой региона:Монография / З.В.Брагина-М.:НИЦ ИНФРА-М,2020.-159 с..-(Науч.мысль</t>
  </si>
  <si>
    <t>978-5-16-012939-6</t>
  </si>
  <si>
    <t>682978.11.01</t>
  </si>
  <si>
    <t>Методическая работа в ДОУ: Уч. / Н.А.Виноградова - М.:НИЦ ИНФРА-М,2026 - 219 с.(П)</t>
  </si>
  <si>
    <t>МЕТОДИЧЕСКАЯ РАБОТА В ДОШКОЛЬНОМ ОБРАЗОВАТЕЛЬНОМ УЧРЕЖДЕНИИ, ИЗД.1</t>
  </si>
  <si>
    <t>Виноградова Н.А., Микляева Н.В.</t>
  </si>
  <si>
    <t>978-5-16-013970-8</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</si>
  <si>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 44.02.04 «Специальное дошкольное образование»</t>
  </si>
  <si>
    <t>398500.09.01</t>
  </si>
  <si>
    <t>Методическая работа в дошк. образ. учреждении: Уч. / Н.А.Виноградова - М.:НИЦ ИНФРА-М,2026. - 219 с.(ВО)(П)</t>
  </si>
  <si>
    <t>978-5-16-011271-8</t>
  </si>
  <si>
    <t>790153.01.01</t>
  </si>
  <si>
    <t>Методические аспекты оценки сис. внутр. контроля орг. / С.А.Касьянова.-М.:НИЦ ИНФРА-М,2023.-334 с.(о)</t>
  </si>
  <si>
    <t>МЕТОДИЧЕСКИЕ АСПЕКТЫ ОЦЕНКИ СИСТЕМЫ ВНУТРЕННЕГО КОНТРОЛЯ ОРГАНИЗАЦИИ, ИЗД.1</t>
  </si>
  <si>
    <t>Касьянова С.А., Салий В.В., Шарудина З.А.</t>
  </si>
  <si>
    <t>978-5-16-018055-7</t>
  </si>
  <si>
    <t>38.04.01, 38.04.02, 38.04.06, 38.04.08, 38.05.01, 38.06.01, 38.07.02</t>
  </si>
  <si>
    <t>285200.08.01</t>
  </si>
  <si>
    <t>Методические основы инжен.-техн. творчества: Моногр. / М.А.Шустов - М.:НИЦ ИНФРА-М,2027 - 128 c.(Науч.мысль)(о)</t>
  </si>
  <si>
    <t>МЕТОДИЧЕСКИЕ ОСНОВЫ ИНЖЕНЕРНО-ТЕХНИЧЕСКОГО ТВОРЧЕСТВА, ИЗД.1</t>
  </si>
  <si>
    <t>Шустов М.А.</t>
  </si>
  <si>
    <t>978-5-16-009927-9</t>
  </si>
  <si>
    <t>00.04.16, 09.04.04, 28.04.02</t>
  </si>
  <si>
    <t>818516.01.01</t>
  </si>
  <si>
    <t>Методические основы педагог. эффект. препод. ин. яз..: Уч.пос. / М.Н.Бочарова - М.:НИЦ ИНФРА-М,2025 - 395 с.(п)</t>
  </si>
  <si>
    <t>МЕТОДИЧЕСКИЕ ОСНОВЫ ПЕДАГОГИЧЕСКОЙ ЭФФЕКТИВНОСТИ ПРЕПОДАВАТЕЛЯ ИНОСТРАННОГО ЯЗЫКА В НЕЯЗЫКОВОМ ВУЗЕ, ИЗД.1</t>
  </si>
  <si>
    <t>Бочарова М.Н., Мельничук М.В.</t>
  </si>
  <si>
    <t>978-5-16-020393-5</t>
  </si>
  <si>
    <t>44.06.01</t>
  </si>
  <si>
    <t>Рекомендовано для преподавателей иностранного языка в вузе и аспирантов, обучающихся по научной специальности 5.8.2 «Теория и методика обучения и воспитания (по областям и уровням образования)»</t>
  </si>
  <si>
    <t>468050.05.01</t>
  </si>
  <si>
    <t>Методические основы формирования маркетинговых..: Моногр. / Д.С.Садриев - М.:НИЦ ИНФРА-М,2026. - 184 с.(О)</t>
  </si>
  <si>
    <t>МЕТОДИЧЕСКИЕ ОСНОВЫ ФОРМИРОВАНИЯ МАРКЕТИНГОВЫХ КАНАЛОВ РАСПРЕДЕЛЕНИЯ ГОТОВОЙ ПРОДУКЦИИ, ИЗД.1</t>
  </si>
  <si>
    <t>Садриев Д.С., Андрианова Н.В.</t>
  </si>
  <si>
    <t>978-5-16-009856-2</t>
  </si>
  <si>
    <t>38.03.01, 38.03.02, 38.03.05, 38.04.01, 38.04.02, 41.03.06, 44.03.01, 44.03.05</t>
  </si>
  <si>
    <t>704944.03.01</t>
  </si>
  <si>
    <t>Методические указ. к диплом. проектир. по специал...:Уч.мет.пос./Под ред. Володина В.Н.-М.:НИЦ ИНФРА-М,2023-156с(О)</t>
  </si>
  <si>
    <t>МЕТОДИЧЕСКИЕ УКАЗАНИЯ К ДИПЛОМНОМУ ПРОЕКТИРОВАНИЮ ПО СПЕЦИАЛЬНОСТИ 26.05.05 «СУДОВОЖДЕНИЕ», ИЗД.1</t>
  </si>
  <si>
    <t>Паткаускас А.В., Кузнецов В.В., Сухина М.И. и др.</t>
  </si>
  <si>
    <t>978-5-16-015419-0</t>
  </si>
  <si>
    <t>786568.01.01</t>
  </si>
  <si>
    <t>Методическое обеспеч. образоват. процессов: Уч.пос. / А.В.Воронцова.-М.:НИЦ ИНФРА-М,2024.-234 с.(п)</t>
  </si>
  <si>
    <t>МЕТОДИЧЕСКОЕ ОБЕСПЕЧЕНИЕ ОБРАЗОВАТЕЛЬНЫХ ПРОЦЕССОВ, ИЗД.1</t>
  </si>
  <si>
    <t>Воронцова А.В., Мамонтова Н.И., Павлова О.А. и др.</t>
  </si>
  <si>
    <t>978-5-16-018222-3</t>
  </si>
  <si>
    <t>797090.01.01</t>
  </si>
  <si>
    <t>Методолог. проблемы уголов. права и криминологии..: Моногр. / Юзиханов Э.Г.-М.:НИЦ ИНФРА-М,2023.-166 с.(П)</t>
  </si>
  <si>
    <t>МЕТОДОЛОГИЧЕСКИЕ ПРОБЛЕМЫ УГОЛОВНОГО ПРАВА И КРИМИНОЛОГИИ: ЭПИСТЕМОЛОГИЧЕСКИЙ РАКУРС, ИЗД.1</t>
  </si>
  <si>
    <t>Шиханов В.Н., Юзиханова Э.Г.</t>
  </si>
  <si>
    <t>978-5-16-018198-1</t>
  </si>
  <si>
    <t>40.04.01, 40.05.01, 40.05.02, 40.05.03, 40.05.04, 40.06.01, 44.05.01</t>
  </si>
  <si>
    <t>301800.06.01</t>
  </si>
  <si>
    <t>Методологические и правовые осн. инжен. твор.: Уч. пос./В.В.Нескоромных-2изд.-ИНФРА-М,2024-318с.(ВО)</t>
  </si>
  <si>
    <t>МЕТОДОЛОГИЧЕСКИЕ И ПРАВОВЫЕ ОСНОВЫ ИНЖЕНЕРНОГО ТВОРЧЕСТВА, ИЗД.2</t>
  </si>
  <si>
    <t>Нескоромных В.В., Рожков В.П.</t>
  </si>
  <si>
    <t>978-5-16-010187-3</t>
  </si>
  <si>
    <t>05.03.01, 05.04.01, 21.03.01, 21.04.01, 21.05.02, 21.05.03, 21.05.04, 21.05.06, 44.03.05</t>
  </si>
  <si>
    <t>803414.04.01</t>
  </si>
  <si>
    <t>Методологические основания исслед. правовых ценностей: Моногр. / Н.А.Власенко - М.:Юр. НОРМА,2027 - 200 с.(п)</t>
  </si>
  <si>
    <t>МЕТОДОЛОГИЧЕСКИЕ ОСНОВАНИЯ ИССЛЕДОВАНИЯ ПРАВОВЫХ ЦЕННОСТЕЙ, ИЗД.1</t>
  </si>
  <si>
    <t>978-5-00156-305-1</t>
  </si>
  <si>
    <t>633747.06.01</t>
  </si>
  <si>
    <t>Методологические основы инновац.и науч.творч.: Уч.пос. / В.И.Бесшапошникова - М.:НИЦ ИНФРА-М,2023 - 180с.(О)</t>
  </si>
  <si>
    <t>МЕТОДОЛОГИЧЕСКИЕ ОСНОВЫ ИННОВАЦИЙ И НАУЧНОГО ТВОРЧЕСТВА, ИЗД.1</t>
  </si>
  <si>
    <t>Бесшапошникова В.И.</t>
  </si>
  <si>
    <t>978-5-16-012078-2</t>
  </si>
  <si>
    <t>27.03.01, 29.04.02</t>
  </si>
  <si>
    <t>Допущено к изданию редакционно-издательским советом университета в качестве учебного пособия для подготовки бакалавров и магистров по направлениям 27.03.01 "Стандартизация и метрология», 29.04.02 «Технологии и проектирование текстильных изделий»</t>
  </si>
  <si>
    <t>405400.11.01</t>
  </si>
  <si>
    <t>Методологические основы психологии: Уч. пос. / Т.И.Чиркова - М.:Вуз.уч.: НИЦ ИНФРА-М, 2027 - 416 с.(п)</t>
  </si>
  <si>
    <t>МЕТОДОЛОГИЧЕСКИЕ ОСНОВЫ ПСИХОЛОГИИ, ИЗД.1</t>
  </si>
  <si>
    <t>Чиркова Т. И.</t>
  </si>
  <si>
    <t>978-5-9558-0276-3</t>
  </si>
  <si>
    <t>Допущено УМО по классическому университетскому образованию в качестве учебного пособия для студентов высших учебных заведений, обучающихся по специальности  ГОС ВПО 030301 "Психология"</t>
  </si>
  <si>
    <t>230100.09.01</t>
  </si>
  <si>
    <t>Методологические основы судеб.-экон.эксперт..: Моногр. / Т.В.Котенева - 3 изд. - М.:НИЦ ИНФРА-М,2022-219с(П)</t>
  </si>
  <si>
    <t>МЕТОДОЛОГИЧЕСКИЕ ОСНОВЫ СУДЕБНО-ЭКОНОМИЧЕСКОЙ ЭКСПЕРТИЗЫ, ИЗД.3</t>
  </si>
  <si>
    <t>Котенева Т.В.</t>
  </si>
  <si>
    <t>978-5-16-014306-4</t>
  </si>
  <si>
    <t>Самарский государственный экономический университет</t>
  </si>
  <si>
    <t>230100.06.01</t>
  </si>
  <si>
    <t>Методологические основы судеб.-экон.эксперт..:Моногр./Т.В.Котенева,2изд.-М.:НИЦ ИНФРА-М,2018-212с(п)</t>
  </si>
  <si>
    <t>МЕТОДОЛОГИЧЕСКИЕ ОСНОВЫ СУДЕБНО-ЭКОНОМИЧЕСКОЙ ЭКСПЕРТИЗЫ, ИЗД.2</t>
  </si>
  <si>
    <t>КотеневаТ.В.</t>
  </si>
  <si>
    <t>978-5-16-011317-3</t>
  </si>
  <si>
    <t>230100.10.01</t>
  </si>
  <si>
    <t>Методологические основы судеб.-эконом экспертизы / Т.В.Котенева - 4 изд. - М.:НИЦ ИНФРА-М,2025. - 219 с.(п)</t>
  </si>
  <si>
    <t>МЕТОДОЛОГИЧЕСКИЕ ОСНОВЫ СУДЕБНО-ЭКОНОМИЧЕСКОЙ ЭКСПЕРТИЗЫ, ИЗД.4</t>
  </si>
  <si>
    <t>978-5-16-020327-0</t>
  </si>
  <si>
    <t>177650.10.01</t>
  </si>
  <si>
    <t>Методологические основы этнич. и кросскульт. психологии: Уч. пос. / В.Ю.Хотинец - М.: Форум, 2026 - 88 с.(о)</t>
  </si>
  <si>
    <t>МЕТОДОЛОГИЧЕСКИЕ ОСНОВЫ ЭТНИЧЕСКОЙ И КРОССКУЛЬТУРНОЙ ПСИХОЛОГИИ, ИЗД.1</t>
  </si>
  <si>
    <t>Хотинец В. Ю.</t>
  </si>
  <si>
    <t>978-5-91134-621-8</t>
  </si>
  <si>
    <t>37.04.01, 46.04.03, 51.04.01</t>
  </si>
  <si>
    <t>717932.04.01</t>
  </si>
  <si>
    <t>Методологические подходы к орг. регион. экономики: Моногр. / И.Л.Беилин - М.:НИЦ ИНФРА-М,2023-202c(О)</t>
  </si>
  <si>
    <t>МЕТОДОЛОГИЧЕСКИЕ ПОДХОДЫ К ОРГАНИЗАЦИИ РЕГИОНАЛЬНОЙ ЭКОНОМИКИ, ИЗД.1</t>
  </si>
  <si>
    <t>Беилин И.Л., Хоменко В.В., Кох И.А.</t>
  </si>
  <si>
    <t>978-5-16-015681-1</t>
  </si>
  <si>
    <t>38.03.01, 38.04.01, 38.04.04, 38.06.01</t>
  </si>
  <si>
    <t>699213.02.01</t>
  </si>
  <si>
    <t>Методологические подходы формир. и прогнозир. новых секторов... / З.А.Васильева.-М.:НИЦ ИНФРА-М,2023-116с(О)</t>
  </si>
  <si>
    <t>МЕТОДОЛОГИЧЕСКИЕ ПОДХОДЫ ФОРМИРОВАНИЯ И ПРОГНОЗИРОВАНИЯ НОВЫХ СЕКТОРОВ ЭКОНОМИКИ СЫРЬЕВЫХ РЕГИОНОВ, ИЗД.1</t>
  </si>
  <si>
    <t>Васильева З.А., Вчерашний П.М., Филимоненко И.В. и др.</t>
  </si>
  <si>
    <t>978-5-16-014716-1</t>
  </si>
  <si>
    <t>38.03.01, 38.04.01, 38.04.04</t>
  </si>
  <si>
    <t>653144.03.01</t>
  </si>
  <si>
    <t>Методология  региональных исследований: Уч.пос. / А.В.Лубский-М.:НИЦ ИНФРА-М,2024.-223 с..-(ВО)(П)</t>
  </si>
  <si>
    <t>МЕТОДОЛОГИЯ  РЕГИОНАЛЬНЫХ ИССЛЕДОВАНИЙ, ИЗД.1</t>
  </si>
  <si>
    <t>Лубский А.В.</t>
  </si>
  <si>
    <t>978-5-16-013820-6</t>
  </si>
  <si>
    <t>38.04.08, 39.04.01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</si>
  <si>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41.04.01 «Зарубежное регионоведение»,  41.04.02 «Регионоведение России»,  39.04.01 «Социология»  (квалификация (степень) «магистр»)</t>
  </si>
  <si>
    <t>093950.10.01</t>
  </si>
  <si>
    <t>Методология выбора материал. и упроч. технол. в машин.: Уч. / В.Е.Зоткин -4 изд.ФОРУМ,2024-320с.(ВО)</t>
  </si>
  <si>
    <t>МЕТОДОЛОГИЯ ВЫБОРА МАТЕРИАЛОВ И УПРОЧНЯЮЩИХ ТЕХНОЛОГИЙ В МАШИНОСТРОЕНИИ, ИЗД.4</t>
  </si>
  <si>
    <t>Зоткин В. Е.</t>
  </si>
  <si>
    <t>978-5-8199-0852-5</t>
  </si>
  <si>
    <t>15.03.01, 15.03.02, 15.03.05, 15.04.01, 15.04.02, 15.04.05</t>
  </si>
  <si>
    <t>Допущено Учебно-методическим объединением по образованию в области металлургии в качестве учебника для студентов высших учебных заведений, обучающихся по направлению 22.03.02 «Металлургия»</t>
  </si>
  <si>
    <t>0408</t>
  </si>
  <si>
    <t>742794.04.01</t>
  </si>
  <si>
    <t>Методология и история теологии: Уч.пос. / А.Л.Панищев - М.:НИЦ ИНФРА-М,2026 - 242 с.(ВО: .)(П)</t>
  </si>
  <si>
    <t>МЕТОДОЛОГИЯ И ИСТОРИЯ ТЕОЛОГИИ, ИЗД.1</t>
  </si>
  <si>
    <t>978-5-16-021487-0</t>
  </si>
  <si>
    <t>47.04.03, 48.04.01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</si>
  <si>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47.04.03 «Религиоведение», 48.04.01 «Теология» (квалификация (степень) «бакалавр») (протокол № 1 от 20.01.2021)</t>
  </si>
  <si>
    <t>634892.06.01</t>
  </si>
  <si>
    <t>Методология и методы психол.-педагог. исслед..: Уч.пос. / М.А.Крылова - М.:ИЦ РИОР, НИЦ ИНФРА-М,2026 - 96 с.(ВО)(о)</t>
  </si>
  <si>
    <t>МЕТОДОЛОГИЯ И МЕТОДЫ ПСИХОЛОГО-ПЕДАГОГИЧЕСКОГО ИССЛЕДОВАНИЯ: ОСНОВЫ ТЕОРИИ И ПРАКТИКИ, ИЗД.1</t>
  </si>
  <si>
    <t>Крылова М.А.</t>
  </si>
  <si>
    <t>978-5-369-01648-0</t>
  </si>
  <si>
    <t>38.04.03, 44.03.02, 44.03.03, 44.04.02, 44.04.03</t>
  </si>
  <si>
    <t>242000.07.01</t>
  </si>
  <si>
    <t>Методология и практ. науч.-педагог. деят.: Уч.пос. / В.Д.Колдаев - М.:ИД ФОРУМ, НИЦ ИНФРА-М,2026 - 400 с.(п)</t>
  </si>
  <si>
    <t>МЕТОДОЛОГИЯ И ПРАКТИКА НАУЧНО-ПЕДАГОГИЧЕСКОЙ ДЕЯТЕЛЬНОСТИ, ИЗД.1</t>
  </si>
  <si>
    <t>Колдаев В.Д.</t>
  </si>
  <si>
    <t>978-5-8199-0814-3</t>
  </si>
  <si>
    <t>44.04.04</t>
  </si>
  <si>
    <t>Рекомендовано Научно-методическим советом Национального исследовательского университета «Московского института электронной техники» в качестве учебного пособия для аспирантов и магистров любых направлений подготовки и специальностей</t>
  </si>
  <si>
    <t>100200.11.01</t>
  </si>
  <si>
    <t>Методология и теория соц. работы: Уч.пос. / П.Д.Павленок - 3 изд. - М.:НИЦ ИНФРА-М,2026 - 271 с.(ВО)(П)</t>
  </si>
  <si>
    <t>МЕТОДОЛОГИЯ И ТЕОРИЯ СОЦИАЛЬНОЙ РАБОТЫ, ИЗД.3</t>
  </si>
  <si>
    <t>978-5-16-021118-3</t>
  </si>
  <si>
    <t>39.04.02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</si>
  <si>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39.04.02 «Социальная работа» (квалификация (степень) «магистр») (протокол № 17 от 11.11.2019)</t>
  </si>
  <si>
    <t>100200.06.01</t>
  </si>
  <si>
    <t>Методология и теория социальной работы: уч.пос. / П.Д.Павленок, - 2-е изд.-М.:НИЦ ИНФРА-М,2018.-267 с..-(ВО: Магистратура)(П 7Б</t>
  </si>
  <si>
    <t>МЕТОДОЛОГИЯ И ТЕОРИЯ СОЦИАЛЬНОЙ РАБОТЫ, ИЗД.2</t>
  </si>
  <si>
    <t>Павленок П. Д.</t>
  </si>
  <si>
    <t>978-5-16-009206-5</t>
  </si>
  <si>
    <t>239300.09.01</t>
  </si>
  <si>
    <t>Методология и технология имитац. исслед. слож. сист.: Моногр. / В.В.Девятков - М.:Вуз. уч.:ИНФРА-М,2025 - 448 с. (п)</t>
  </si>
  <si>
    <t>МЕТОДОЛОГИЯ И ТЕХНОЛОГИЯ ИМИТАЦИОННЫХ ИССЛЕДОВАНИЙ СЛОЖНЫХ СИСТЕМ: СОВРЕМЕННОЕ СОСТОЯНИЕ И ПЕРСПЕКТИВЫ РАЗВИТИЯ, ИЗД.1</t>
  </si>
  <si>
    <t>Девятков В. В.</t>
  </si>
  <si>
    <t>978-5-9558-0338-8</t>
  </si>
  <si>
    <t>01.03.03, 01.04.03, 02.03.01, 02.03.02, 02.03.03, 02.04.01, 02.04.02, 02.04.03, 03.03.03</t>
  </si>
  <si>
    <t>335200.08.01</t>
  </si>
  <si>
    <t>Методология исслед.компетенций персонала орг.: Моногр./О.Л.Чуланова-М.:НИЦ ИНФРА-М,2022.-121 с.(о)</t>
  </si>
  <si>
    <t>МЕТОДОЛОГИЯ ИССЛЕДОВАНИЯ КОМПЕТЕНЦИЙ ПЕРСОНАЛА ОРГАНИЗАЦИЙ, ИЗД.1</t>
  </si>
  <si>
    <t>978-5-16-010660-1</t>
  </si>
  <si>
    <t>38.03.01, 38.03.03, 38.04.03, 41.03.06</t>
  </si>
  <si>
    <t>411150.10.01</t>
  </si>
  <si>
    <t>Методология качественных исслед. в психологии: Уч.пос. / Н.П.Бусыгина - М.:НИЦ ИНФРА-М,2025 - 304 с.(ВО)</t>
  </si>
  <si>
    <t>МЕТОДОЛОГИЯ КАЧЕСТВЕННЫХ ИССЛЕДОВАНИЙ В ПСИХОЛОГИИ, ИЗД.1</t>
  </si>
  <si>
    <t>Бусыгина Н.П.</t>
  </si>
  <si>
    <t>978-5-16-006022-4</t>
  </si>
  <si>
    <t>37.03.01, 37.04.01, 44.03.01</t>
  </si>
  <si>
    <t>Допущено УМО по классическому университетскому образованию в качестве учебного пособия для студентов высших учебных заведений, обучающихся по специальностям 37.05.02 «Психология», «Клиническая психология» и направлению подготовки 37.03.01 «Психология»</t>
  </si>
  <si>
    <t>412650.08.01</t>
  </si>
  <si>
    <t>Методология науки и инновац. деят.: Пос. для аспирантов... / Старжинский В.П. - М.: НИЦ ИНФРА-М,2025 - 327 с.(п)</t>
  </si>
  <si>
    <t>МЕТОДОЛОГИЯ НАУКИ И ИННОВАЦИОННАЯ ДЕЯТЕЛЬНОСТЬ, ИЗД.1</t>
  </si>
  <si>
    <t>Старжинский В. П., Цепкало В. В.</t>
  </si>
  <si>
    <t>978-5-16-006464-2</t>
  </si>
  <si>
    <t>00.05.16, 13.04.01, 13.04.02, 13.04.03, 14.04.01, 14.04.02, 15.04.01, 15.04.02, 15.04.03, 15.04.04, 15.04.05, 15.04.06, 16.04.01, 16.04.02, 16.04.03, 22.04.01, 22.04.02, 38.04.01, 38.04.02, 38.04.03, 38.04.04, 38.04.05, 38.04.06, 38.04.07, 38.04.08, 38.04.09</t>
  </si>
  <si>
    <t>798523.02.01</t>
  </si>
  <si>
    <t>Методология науч. исслед. (агроинж.): практ.: Уч.пос. / Под ред. Кравченко И.Н. - М.:ИНФРА-М,2027 - 379 с.(п)</t>
  </si>
  <si>
    <t>МЕТОДОЛОГИЯ НАУЧНЫХ ИССЛЕДОВАНИЙ (АГРОИНЖЕНЕРИЯ): ПРАКТИКУМ, ИЗД.1</t>
  </si>
  <si>
    <t>Кравченко И.Н., Пастухов А.Г., Кузнецов Ю.А. и др.</t>
  </si>
  <si>
    <t>978-5-16-018264-3</t>
  </si>
  <si>
    <t>35.04.06</t>
  </si>
  <si>
    <t>Рекомендовано Федеральным УМО по сельскому, лесному и рыбному хозяйству в качестве учебного пособия для использования в учебном процессе при подготовке магистров по направлению «Агроинженерия»</t>
  </si>
  <si>
    <t>693384.11.01</t>
  </si>
  <si>
    <t>Методология науч. исслед. (в кандидат. и док. диссертациях): Уч. / Г.Д.Боуш - М.:НИЦ ИНФРА-М,2026 - 227 с.(ВО)(П)</t>
  </si>
  <si>
    <t>МЕТОДОЛОГИЯ НАУЧНОГО ИССЛЕДОВАНИЯ (В КАНДИДАТСКИХ И ДОКТОРСКИХ ДИССЕРТАЦИЯХ), ИЗД.1</t>
  </si>
  <si>
    <t>Боуш Г.Д., Разумов В.И.</t>
  </si>
  <si>
    <t>978-5-16-020509-0</t>
  </si>
  <si>
    <t>00.04.16, 38.06.01, 40.06.01</t>
  </si>
  <si>
    <t>852229.01.01</t>
  </si>
  <si>
    <t>Методология науч. исслед. и методы реш. науч.-технич. задач..: Уч. / Р.А.Попов - М.:НИЦ ИНФРА-М,2026 - 300 с.(п)</t>
  </si>
  <si>
    <t>МЕТОДОЛОГИЯ НАУЧНЫХ ИССЛЕДОВАНИЙ И МЕТОДЫ РЕШЕНИЯ НАУЧНО-ТЕХНИЧЕСКИХ ЗАДАЧ В ПРОИЗВОДСТВЕННОЙ ДЕЯТЕЛЬНОСТИ, ИЗД.1</t>
  </si>
  <si>
    <t>Попов Р.А.</t>
  </si>
  <si>
    <t>978-5-16-020832-9</t>
  </si>
  <si>
    <t>801722.01.01</t>
  </si>
  <si>
    <t>Методология науч. исслед. Нравств. наука: Уч.пос. / Н.Г.Привалов - М.:НИЦ ИНФРА-М,2025. - 239 с.(ВО)(п)</t>
  </si>
  <si>
    <t>МЕТОДОЛОГИЯ НАУЧНОГО ИССЛЕДОВАНИЯ. НРАВСТВЕННАЯ НАУКА, ИЗД.1</t>
  </si>
  <si>
    <t>Привалов Н.Г.</t>
  </si>
  <si>
    <t>978-5-16-018469-2</t>
  </si>
  <si>
    <t>38.03.01, 38.04.01, 38.04.02, 38.04.08</t>
  </si>
  <si>
    <t>Российский государственный университет правосудия Северо-Западный филиал</t>
  </si>
  <si>
    <t>238800.16.01</t>
  </si>
  <si>
    <t>Методология науч. исследования: Уч. / А.О.Овчаров, - 2 изд. - М.:НИЦ ИНФРА-М,2026. - 310 с.(ВО: Магистр.)(П)</t>
  </si>
  <si>
    <t>МЕТОДОЛОГИЯ НАУЧНОГО ИССЛЕДОВАНИЯ, ИЗД.2</t>
  </si>
  <si>
    <t>Овчаров А.О., Овчарова Т.Н.</t>
  </si>
  <si>
    <t>978-5-16-017366-5</t>
  </si>
  <si>
    <t>00.03.16, 00.04.16, 00.05.16, 38.04.01, 38.04.02, 38.04.03, 38.04.04, 38.04.05, 38.04.06, 38.04.07, 38.04.08, 38.04.09</t>
  </si>
  <si>
    <t>Рекомендовано УМО вузов России по образованию в области финансов, учета и мировой экономики в качестве учебника для студентов, обучающихся по направлению подготовки 38.04.01 «Экономика»</t>
  </si>
  <si>
    <t>651739.03.01</t>
  </si>
  <si>
    <t>Методология научно-гуманитар. познания: Моногр./ Е.А.Соколков-М.:Вуз. уч., НИЦ ИНФРА-М,2020.-350 с.(Науч. книга)(П)</t>
  </si>
  <si>
    <t>МЕТОДОЛОГИЯ НАУЧНО-ГУМАНИТАРНОГО ПОЗНАНИЯ, ИЗД.1</t>
  </si>
  <si>
    <t>Соколков Е.А.</t>
  </si>
  <si>
    <t>978-5-9558-0543-6</t>
  </si>
  <si>
    <t>690269.08.01</t>
  </si>
  <si>
    <t>Методология научных исследований ..: Уч. / Г.Д.Боуш - М.:НИЦ ИНФРА-М,2026 - 210 с.(ВО: Бакалавр.)(П)</t>
  </si>
  <si>
    <t>МЕТОДОЛОГИЯ НАУЧНЫХ ИССЛЕДОВАНИЙ (В КУРСОВЫХ И ВЫПУСКНЫХ КВАЛИФИКАЦИОННЫХ РАБОТАХ), ИЗД.1</t>
  </si>
  <si>
    <t>978-5-16-022018-5</t>
  </si>
  <si>
    <t>Рекомендовано Учебно-методическим советом ВО в качестве учебника для учебных учреждений, реализующих программу высшего образования по направлениям подготовки бакалавриата, специалитета и магистратуры</t>
  </si>
  <si>
    <t>759446.05.01</t>
  </si>
  <si>
    <t>Методология научных исследований: Уч. / Н.Н.Каргин - М.:НИЦ ИНФРА-М,2026. - 259 с.(ВО:Магистр)(п)</t>
  </si>
  <si>
    <t>МЕТОДОЛОГИЯ НАУЧНЫХ ИССЛЕДОВАНИЙ, ИЗД.1</t>
  </si>
  <si>
    <t>Каргин Н.Н., Изаак С.И.</t>
  </si>
  <si>
    <t>978-5-16-017831-8</t>
  </si>
  <si>
    <t>00.03.16, 00.04.16, 00.05.16, 43.03.01, 43.03.02, 43.03.03, 43.04.01, 43.04.02, 43.04.03</t>
  </si>
  <si>
    <t>850641.01.01</t>
  </si>
  <si>
    <t>Методология обуч. детей и подростков с сахарным диабетом... / Г.И.Чуваков - М.:НИЦ ИНФРА-М,2026. - 239 с.(п)</t>
  </si>
  <si>
    <t>МЕТОДОЛОГИЯ ОБУЧЕНИЯ ДЕТЕЙ И ПОДРОСТКОВ С САХАРНЫМ ДИАБЕТОМ САМОКОНТРОЛЮ ЗАБОЛЕВАНИЯ С УЧЕТОМ ИХ ПСИХОЛОГИЧЕСКОГО СТАТУСА, ИЗД.1</t>
  </si>
  <si>
    <t>Чуваков Г.И., Чувакова О.А.</t>
  </si>
  <si>
    <t>978-5-16-020791-9</t>
  </si>
  <si>
    <t>31.05.02, 31.08.17</t>
  </si>
  <si>
    <t>753314.01.01</t>
  </si>
  <si>
    <t>Методология обществоведческого исследования: Уч.пос. / Д.А.Михайлов-М.:НИЦ ИНФРА-М,2023.-179 с.(ВО)(П)</t>
  </si>
  <si>
    <t>МЕТОДОЛОГИЯ ОБЩЕСТВОВЕДЧЕСКОГО ИССЛЕДОВАНИЯ, ИЗД.1</t>
  </si>
  <si>
    <t>Михайлов Д.А.</t>
  </si>
  <si>
    <t>978-5-16-016894-4</t>
  </si>
  <si>
    <t>38.03.04, 38.04.04, 39.03.01, 39.03.03, 39.04.01, 39.04.03, 40.03.01, 40.04.01, 41.03.01, 41.03.02, 41.03.04, 41.03.05, 41.03.06, 41.04.01, 41.04.02, 41.04.04, 41.04.05, 41.04.06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</si>
  <si>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направлений подготовки 38.00.00 «Экономика и управление», 39.00.00 «Социология и социальная работа», 40.00.00 «Юриспруденция», 41.00.00 «Политические науки и регионоведение» (квалификация (степень) «бакалавр») (протокол № 6 от 08.06.2022)</t>
  </si>
  <si>
    <t>657141.12.01</t>
  </si>
  <si>
    <t>Методология педагогики: Моногр. / Е.А.Александрова - М.:НИЦ ИНФРА-М,2025 - 296 с.(Науч.мысль)(о)</t>
  </si>
  <si>
    <t>МЕТОДОЛОГИЯ ПЕДАГОГИКИ, ИЗД.1</t>
  </si>
  <si>
    <t>Александрова Е.А., Асадуллин Р.М., Бережнова Е.В. и др.</t>
  </si>
  <si>
    <t>978-5-16-019358-8</t>
  </si>
  <si>
    <t>44.03.01, 44.03.03, 44.03.05, 44.04.04</t>
  </si>
  <si>
    <t>657141.11.01</t>
  </si>
  <si>
    <t>Методология педагогики: Моногр. / Е.А.Александрова - М.:НИЦ ИНФРА-М,2025 - 296 с.(Науч.мысль)(П)</t>
  </si>
  <si>
    <t>978-5-16-012947-1</t>
  </si>
  <si>
    <t>693932.08.01</t>
  </si>
  <si>
    <t>Методология права. Предмет, функции...: Моногр. /Д.А.Керимов - 3 изд. - М.:Юр.Норма, НИЦ ИНФРА-М,2026 - 524 с.(П)</t>
  </si>
  <si>
    <t>МЕТОДОЛОГИЯ ПРАВА. ПРЕДМЕТ, ФУНКЦИИ, ПРОБЛЕМЫ ФИЛОСОФИИ ПРАВА, ИЗД.3</t>
  </si>
  <si>
    <t>978-5-91768-966-1</t>
  </si>
  <si>
    <t>40.03.01, 41.03.01, 41.03.06</t>
  </si>
  <si>
    <t>346700.06.01</t>
  </si>
  <si>
    <t>Методология проект.в нефтегаз.отрасли...: Уч.пос. / В.Ю.Керимов - М.:НИЦ ИНФРА-М,2025 - 123 с. (ВО:Магистр)(о)</t>
  </si>
  <si>
    <t>МЕТОДОЛОГИЯ ПРОЕКТИРОВАНИЯ В НЕФТЕГАЗОВОЙ ОТРАСЛИ И УПРАВЛЕНИЕ ПРОЕКТАМИ, ИЗД.1</t>
  </si>
  <si>
    <t>Керимов В.Ю., Толстов А.Б., Мустаев Р.Н. и др.</t>
  </si>
  <si>
    <t>978-5-16-010809-4</t>
  </si>
  <si>
    <t>Специализация по профилю «Геология нефти и газа» направления 21.05.02 «Прикладная геология» Направление подготовки 21.04.01 «Нефтегазовое дело». Программы подготовки 21.04.01.32 «Технологии освоения ресурсов углеводородов», 21.04.01.34 «Моделирование нефтегазовых геосистем и осадочных бассейнов»</t>
  </si>
  <si>
    <t>670060.03.01</t>
  </si>
  <si>
    <t>Методология проектир. реечных передач для машин..: Моногр. / Г.Н.Лимаренко-М.:НИЦ ИНФРА-М,СФУ,2023-363с</t>
  </si>
  <si>
    <t>МЕТОДОЛОГИЯ ПРОЕКТИРОВАНИЯ РЕЕЧНЫХ ПЕРЕДАЧ ДЛЯ МАШИН С АВТОМАТИЗИРОВАННЫМ ПРИВОДОМ, ИЗД.1</t>
  </si>
  <si>
    <t>Лимаренко Г.Н.</t>
  </si>
  <si>
    <t>978-5-16-013362-1</t>
  </si>
  <si>
    <t>15.04.01, 15.04.02, 15.06.01</t>
  </si>
  <si>
    <t>652775.06.01</t>
  </si>
  <si>
    <t>Методология проф. образования: Уч.пос. / А.Н.Ходусов-М.:НИЦ ИНФРА-М,2024-351 с.(ВО: Магистр.)(П)</t>
  </si>
  <si>
    <t>МЕТОДОЛОГИЯ ПРОФЕССИОНАЛЬНОГО ОБРАЗОВАНИЯ, ИЗД.1</t>
  </si>
  <si>
    <t>Ходусов А.Н.</t>
  </si>
  <si>
    <t>978-5-16-014406-1</t>
  </si>
  <si>
    <t>44.04.01, 44.04.04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</si>
  <si>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44.04.01 «Педагогическое образование» (квалификация (степень) «магистр») (протокол № 12 от 24.06.2019)</t>
  </si>
  <si>
    <t>331600.05.01</t>
  </si>
  <si>
    <t>Методология риск ориентиров. контроля...: Моногр. /Казакова Н.А. - 2- изд.-М.:НИЦ ИНФРА-М,2021-234с.(о)</t>
  </si>
  <si>
    <t>МЕТОДОЛОГИЯ РИСК ОРИЕНТИРОВАННОГО КОНТРОЛЯ И КОНТРОЛЛИНГА ЭФФЕКТИВНОСТИ БИЗНЕСА, ИЗД.2</t>
  </si>
  <si>
    <t>978-5-16-014912-7</t>
  </si>
  <si>
    <t>719226.04.01</t>
  </si>
  <si>
    <t>Методология создания информ. сис.: Уч.пос. / А.М.Карминский - 2 изд. - М.:ИД Форум, НИЦ ИНФРА-М,2026 - 320 с.(П)</t>
  </si>
  <si>
    <t>МЕТОДОЛОГИЯ СОЗДАНИЯ ИНФОРМАЦИОННЫХ СИСТЕМ, ИЗД.2</t>
  </si>
  <si>
    <t>Карминский А. М., Черников Б. В.</t>
  </si>
  <si>
    <t>978-5-16-022159-5</t>
  </si>
  <si>
    <t>09.01.04, 09.01.05, 09.02.03, 38.02.01, 38.02.02, 38.02.03, 38.02.06, 38.02.07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</si>
  <si>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38.02.00 «Экономика и управление» (протокол № 8 от 22.06.2020)</t>
  </si>
  <si>
    <t>170900.09.01</t>
  </si>
  <si>
    <t>Методология создания информ. сист.: Уч. пос. / А.М.Карминский-2изд.-М.:ИД ФОРУМ:ИНФРА-М, 2024-320с.(ВО)</t>
  </si>
  <si>
    <t>978-5-8199-0494-7</t>
  </si>
  <si>
    <t>09.03.02, 09.04.02, 38.03.01, 38.03.02</t>
  </si>
  <si>
    <t>Допущено Советом Учебно-методического объединения по образованию в области менеджмента в качестве учебного пособия по дисциплине специальности "Менеджмент организации"</t>
  </si>
  <si>
    <t>646487.05.01</t>
  </si>
  <si>
    <t>Методология социального исследования: Уч.пос. / А.В.Лубский - М.:НИЦ ИНФРА-М,2023 - 154 с.(ВО)(П)</t>
  </si>
  <si>
    <t>МЕТОДОЛОГИЯ СОЦИАЛЬНОГО ИССЛЕДОВАНИЯ, ИЗД.1</t>
  </si>
  <si>
    <t>978-5-16-012467-4</t>
  </si>
  <si>
    <t>39.04.01, 39.04.02, 39.04.03</t>
  </si>
  <si>
    <t>Рекомендовано в качестве учебного пособия  для студентов высших учебных заведений, обучающихся по направлениям подготовки 39.04.01 «Социология», 39.04.02 «Социальная работа», 39.04.03 «Организационная работа с молодежью» (квалификация (степень) «магистр»)</t>
  </si>
  <si>
    <t>445800.05.01</t>
  </si>
  <si>
    <t>Методология стратег. планир. рос. трансрег. корпораций: Моногр. /Ю.Н.Иванова -М: НИЦ ИНФРА-М, 2024 -228с</t>
  </si>
  <si>
    <t>МЕТОДОЛОГИЯ СТРАТЕГИЧЕСКОГО ПЛАНИРОВАНИЯ РОССИЙСКИХ ТРАНСРЕГИОНАЛЬНЫХ КОРПОРАЦИЙ, ИЗД.1</t>
  </si>
  <si>
    <t>Иванова Ю.Н.</t>
  </si>
  <si>
    <t>978-5-16-011393-7</t>
  </si>
  <si>
    <t>169350.13.01</t>
  </si>
  <si>
    <t>Методология управления проектами...: Моногр. / О.Н.Ильина - 2 изд. - М.:НИЦ ИНФРА-М,2026 - 215 с.(о)</t>
  </si>
  <si>
    <t>МЕТОДОЛОГИЯ УПРАВЛЕНИЯ ПРОЕКТАМИ: СТАНОВЛЕНИЕ, СОВРЕМЕННОЕ СОСТОЯНИЕ И ПЕРСПЕКТИВЫ РАЗВИТИЯ, ИЗД.2</t>
  </si>
  <si>
    <t>Ильина О.Н.</t>
  </si>
  <si>
    <t>978-5-16-019624-4</t>
  </si>
  <si>
    <t>27.03.05, 27.04.05, 38.03.01, 38.03.02, 38.03.04, 38.04.01, 38.04.02, 38.04.04, 41.03.06, 44.03.05</t>
  </si>
  <si>
    <t>169350.08.01</t>
  </si>
  <si>
    <t>Методология управления проектами: Моногр. / О.Н.Ильина - М.:Вуз.уч., НИЦ ИНФРА-М,2024.- 208 с.-(О)</t>
  </si>
  <si>
    <t>МЕТОДОЛОГИЯ УПРАВЛЕНИЯ ПРОЕКТАМИ: СТАНОВЛЕНИЕ, СОВРЕМЕННОЕ СОСТОЯНИЕ И РАЗВИТИЕ, ИЗД.1</t>
  </si>
  <si>
    <t>Ильина О. Н.</t>
  </si>
  <si>
    <t>978-5-9558-0400-2</t>
  </si>
  <si>
    <t>700702.02.01</t>
  </si>
  <si>
    <t>Методология учетно-аналитич. обесп.системы...: Моногр. / Н.С.Пласкова-М.:НИЦ ИНФРА-М,2023-179с(О)</t>
  </si>
  <si>
    <t>МЕТОДОЛОГИЯ УЧЕТНО-АНАЛИТИЧЕСКОГО ОБЕСПЕЧЕНИЯ СИСТЕМЫ УПРАВЛЕНИЯ ИННОВАЦИОННОЙ ДЕЯТЕЛЬНОСТЬЮ, ИЗД.1</t>
  </si>
  <si>
    <t>Пласкова Н.С., Полянская Т.А., Проданова Н.А.</t>
  </si>
  <si>
    <t>978-5-16-015052-9</t>
  </si>
  <si>
    <t>766073.01.01</t>
  </si>
  <si>
    <t>Методология учетно-аналитич. обеспеч. контроллинга в сис...: Моногр. / Н.С.Пласкова-М.:НИЦ ИНФРА-М,2022.-198 с.(П)</t>
  </si>
  <si>
    <t>МЕТОДОЛОГИЯ УЧЕТНО-АНАЛИТИЧЕСКОГО ОБЕСПЕЧЕНИЯ КОНТРОЛЛИНГА В СИСТЕМЕ УПРАВЛЕНИЯ ОРГАНИЗАЦИЕЙ, ИЗД.1</t>
  </si>
  <si>
    <t>978-5-16-017318-4</t>
  </si>
  <si>
    <t>38.02.06, 38.04.01, 38.04.02, 38.04.08, 38.06.01, 56.05.01</t>
  </si>
  <si>
    <t>767314.01.01</t>
  </si>
  <si>
    <t>Методология формир. механизма устойчивого развития предпр... / Д.В.Бирюков-М.:НИЦ ИНФРА-М,2022-219 с(О)</t>
  </si>
  <si>
    <t>МЕТОДОЛОГИЯ ФОРМИРОВАНИЯ МЕХАНИЗМА УСТОЙЧИВОГО РАЗВИТИЯ ПРЕДПРИЯТИЙ ПРОМЫШЛЕННОГО КОМПЛЕКСА, ИЗД.1</t>
  </si>
  <si>
    <t>Бирюков Д.В., Вакуленко Р.Я., Джунушалиева Г.Д. и др.</t>
  </si>
  <si>
    <t>978-5-16-017319-1</t>
  </si>
  <si>
    <t>38.03.01, 38.04.01, 38.04.02, 38.06.01</t>
  </si>
  <si>
    <t>369000.04.01</t>
  </si>
  <si>
    <t>Методология формир. моделей взаимод. чел..: Моногр./ В.М.Пищулов-М.:НИЦ ИНФРА-М,2023.-218 с.(Науч.мысль)(П)</t>
  </si>
  <si>
    <t>МЕТОДОЛОГИЯ ФОРМИРОВАНИЯ МОДЕЛЕЙ ВЗАИМОДЕЙСТВИЯ ЧЕЛОВЕКА С ОКРУЖАЮЩЕЙ СРЕДОЙ, ИЗД.1</t>
  </si>
  <si>
    <t>978-5-16-011882-6</t>
  </si>
  <si>
    <t>369000.05.01</t>
  </si>
  <si>
    <t>Методология формир. моделей взаимод. человека..: Моногр./ В.М.Пищулов-М.:НИЦ ИНФРА-М,2023.-218 с.(Науч.мысль)(о)</t>
  </si>
  <si>
    <t>978-5-16-019541-4</t>
  </si>
  <si>
    <t>414050.06.01</t>
  </si>
  <si>
    <t>Методология формирования релевантной информ..:Моногр./Н.А.Казакова-М:НИЦ ИНФРА-М,2024-248с(Науч.мыс)</t>
  </si>
  <si>
    <t>МЕТОДОЛОГИЯ ФОРМИРОВАНИЯ РЕЛЕВАНТНОЙ ИНФОРМАЦИИ В УСЛОВИЯХ ГЛОБАЛИЗАЦИИ ЭКОНОМИЧЕСКИХ ПРОЦЕССОВ, ИЗД.1</t>
  </si>
  <si>
    <t>Казакова Н. А., Трофимова Л. Б., Федченко Е. А.</t>
  </si>
  <si>
    <t>978-5-16-006474-1</t>
  </si>
  <si>
    <t>648206.02.01</t>
  </si>
  <si>
    <t>Методология эксперимента: Уч. пос. / Э.А.Соснин - М.:НИЦ ИНФРА-М,2017 - 162 с.-(ВО: Магистратура)(П)</t>
  </si>
  <si>
    <t>МЕТОДОЛОГИЯ ЭКСПЕРИМЕНТА, ИЗД.1</t>
  </si>
  <si>
    <t>Соснин Э.А., Пойзнер Б.Н.</t>
  </si>
  <si>
    <t>978-5-16-012591-6</t>
  </si>
  <si>
    <t>14.03.01, 15.04.01, 15.04.04, 15.04.06, 16.03.01, 27.04.01, 27.04.02, 27.04.05, 44.04.04</t>
  </si>
  <si>
    <t>Рекомендовано кафедрой квантовой электроники и фотоники ФГАОУ ВО «Национальный исследовательский Томский государственный университет» для обучения магистрантов по направлениям подготовки 03.04.03 «Радиофизика», 12.04.03 «Фотоника и оптоинформатика», 12.04.02 «Оптотехника», аспирантов по направлению подготовки 03.06.01 «Физика и астрономия»</t>
  </si>
  <si>
    <t>648206.08.01</t>
  </si>
  <si>
    <t>Методология эксперимента: Уч.пос. / Э.А.Соснин - 2 изд. - М.:НИЦ ИНФРА-М,2026 - 162 с.-(ВО)(П)</t>
  </si>
  <si>
    <t>МЕТОДОЛОГИЯ ЭКСПЕРИМЕНТА, ИЗД.2</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</si>
  <si>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12.00.00 «Фотоника, приборостроение, оптические и биотехнические системы и технологии» в качестве учебного пособия для реализации образовательных программ высшего образования по направлениям подготовки магистратуры 12.04.02 «Оптотехника», 12.04.03 «Фотоника и оптоинформатика»</t>
  </si>
  <si>
    <t>753474.03.01</t>
  </si>
  <si>
    <t>Методы Data mining в обработке и анализе статистических данных (решения в R): монография / Е.В.Зарова-М.:НИЦ ИНФРА-М,2021.-232 с.[цв](п)</t>
  </si>
  <si>
    <t>МЕТОДЫ DATA MINING В ОБРАБОТКЕ И АНАЛИЗЕ СТАТИСТИЧЕСКИХ ДАННЫХ (РЕШЕНИЯ В R), ИЗД.1</t>
  </si>
  <si>
    <t>Зарова Е.В.</t>
  </si>
  <si>
    <t>978-5-16-016814-2</t>
  </si>
  <si>
    <t>Аналитический центр г. Москвы</t>
  </si>
  <si>
    <t>813395.01.01</t>
  </si>
  <si>
    <t>Методы зоологических исследований: прак.: Уч.пос. / А.П.Суворов-М.:НИЦ ИНФРА-М,2024.-322 с.(ВО)(п)</t>
  </si>
  <si>
    <t>МЕТОДЫ ЗООЛОГИЧЕСКИХ ИССЛЕДОВАНИЙ: ПРАКТИКУМ, ИЗД.1</t>
  </si>
  <si>
    <t>Суворов А.П., Беленюк Н.Н., Тимошкина О.А. и др.</t>
  </si>
  <si>
    <t>978-5-16-019482-0</t>
  </si>
  <si>
    <t>06.03.01, 36.03.01, 36.03.02, 36.05.01</t>
  </si>
  <si>
    <t>Рекомендовано Научно-методическим советом федерального государственного бюджетного образовательного учреждения высшего профессионального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020400.62 «Биология»</t>
  </si>
  <si>
    <t>631443.06.01</t>
  </si>
  <si>
    <t>Методы и алгоритмы обработки данных: Уч.пос. / А.А.Григорьев - 2 изд. - М.:НИЦ ИНФРА-М,2024 - 383 с.(ВО)(П)</t>
  </si>
  <si>
    <t>МЕТОДЫ И АЛГОРИТМЫ ОБРАБОТКИ ДАННЫХ, ИЗД.2</t>
  </si>
  <si>
    <t>Григорьев А.А., Исаев Е.А.</t>
  </si>
  <si>
    <t>978-5-16-015581-4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</si>
  <si>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и специальностям  (протокол № 8 от 22.06.2020)</t>
  </si>
  <si>
    <t>631443.02.01</t>
  </si>
  <si>
    <t>Методы и алгоритмы обработки данных: Уч.пос. / А.А.Григорьев - М.:НИЦ ИНФРА-М,2018-256с.(ВО)(П)</t>
  </si>
  <si>
    <t>МЕТОДЫ И АЛГОРИТМЫ ОБРАБОТКИ ДАННЫХ, ИЗД.1</t>
  </si>
  <si>
    <t>Григорьев А.А.</t>
  </si>
  <si>
    <t>978-5-16-011916-8</t>
  </si>
  <si>
    <t>665991.02.01</t>
  </si>
  <si>
    <t>Методы и алгоритмы синтеза и анализа конструкт.: Моногр. / С.Х.Якубов - М.:НИЦ ИНФРА-М,2024-164с(П)</t>
  </si>
  <si>
    <t>МЕТОДЫ И АЛГОРИТМЫ СИНТЕЗА И АНАЛИЗА КОНСТРУКТОРСКИХ И ТЕХНОЛОГИЧЕСКИХ РЕШЕНИЙ В СИСТЕМЕ АВТОМАТИЗИРОВАННОГО ПРОЕКТИРОВАНИЯ ИНЖЕНЕРНЫХ КОНСТРУКЦИЙ..., ИЗД.1</t>
  </si>
  <si>
    <t>Якубов С.Х.</t>
  </si>
  <si>
    <t>978-5-16-013407-9</t>
  </si>
  <si>
    <t>15.03.01, 15.03.02, 15.03.03, 15.03.04, 15.03.05, 15.03.06, 15.04.01, 15.04.02, 15.04.03, 15.04.04, 15.04.05, 15.04.06, 15.05.01</t>
  </si>
  <si>
    <t>Каршинский государственный университет</t>
  </si>
  <si>
    <t>445550.08.01</t>
  </si>
  <si>
    <t>Методы и модели принятия упр.решений: Уч.пос./Е.В.Бережная-М.:НИЦ ИНФРА-М,2022-384с.(ВО:Бакалавр.)(п)</t>
  </si>
  <si>
    <t>МЕТОДЫ И МОДЕЛИ ПРИНЯТИЯ УПРАВЛЕНЧЕСКИХ РЕШЕНИЙ, ИЗД.1</t>
  </si>
  <si>
    <t>Бережная Е. В., Бережной В. И.</t>
  </si>
  <si>
    <t>978-5-16-006914-2</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</si>
  <si>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(080200.62) «Менеджмент» (квалификация (степень) «бакалавр»)</t>
  </si>
  <si>
    <t>151150.07.01</t>
  </si>
  <si>
    <t>Методы и модели упр. огранич. ресурс. в логист. сист.: Уч.пос. / А.В.Мищенко - 2 изд.- М.: ИНФРА-М, 2024-185с.(ВО)</t>
  </si>
  <si>
    <t>МЕТОДЫ И МОДЕЛИ УПРАВЛЕНИЯ ОГРАНИЧЕННЫМИ РЕСУРСАМИ В ЛОГИСТИЧЕСКИХ СИСТЕМАХ, ИЗД.2</t>
  </si>
  <si>
    <t>Мищенко А.В.</t>
  </si>
  <si>
    <t>978-5-16-013083-5</t>
  </si>
  <si>
    <t>23.03.01, 29.04.02, 38.03.01, 38.03.06, 38.04.06, 42.03.03</t>
  </si>
  <si>
    <t>Допущено УМО по образованию в области логистики в качестве учебного пособия для студентов высших учебных заведений, обучающихся по направлению «Менеджмент» (специальность «Логистика и управление цепями поставок»)</t>
  </si>
  <si>
    <t>108000.10.01</t>
  </si>
  <si>
    <t>Методы и модели упр.инвест.в логистике: Уч.пос. / А.В.Мищенко - 2 изд. -М.:НИЦ ИНФРА-М,2020-370с.(п)</t>
  </si>
  <si>
    <t>МЕТОДЫ И МОДЕЛИ УПРАВЛЕНИЯ ИНВЕСТИЦИЯМИ В ЛОГИСТИКЕ, ИЗД.2</t>
  </si>
  <si>
    <t>Мищенко А. В.</t>
  </si>
  <si>
    <t>978-5-16-011703-4</t>
  </si>
  <si>
    <t>23.03.01, 29.04.02, 38.03.01, 38.03.02, 38.03.05, 38.03.06, 38.04.01, 38.04.02, 38.04.05, 38.04.06, 38.04.07, 38.04.08</t>
  </si>
  <si>
    <t>683434.03.01</t>
  </si>
  <si>
    <t>Методы и приборы контроля окружающей среды: Уч.пос. / Л.Е.Пустовая-М.:НИЦ ИНФРА-М,2023.-246 с.(ВО)(П)</t>
  </si>
  <si>
    <t>МЕТОДЫ И ПРИБОРЫ КОНТРОЛЯ ОКРУЖАЮЩЕЙ СРЕДЫ. ЭКОЛОГИЧЕСКИЙ МОНИТОРИНГ, ИЗД.1</t>
  </si>
  <si>
    <t>Пустовая Л.Е., Месхи Б.Ч.</t>
  </si>
  <si>
    <t>978-5-16-018522-4</t>
  </si>
  <si>
    <t>12.03.04, 20.03.01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</si>
  <si>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12.03.04 «Биотехнические системы и технологии», 20.03.01 «Техносферная безопасность» (квалификация (степень) «бакалавр») (протокол № 6 от 16.06.2021)</t>
  </si>
  <si>
    <t>Донской государственный технический университет ф-л Азовский технологический институт</t>
  </si>
  <si>
    <t>068000.06.01</t>
  </si>
  <si>
    <t>Методы и средства компл. анализа данных: Уч.пос. / А.П.Кулаичев-4 изд.-М.:Форум,ИНФРА-М,2017-512с(п)</t>
  </si>
  <si>
    <t>МЕТОДЫ И СРЕДСТВА КОМПЛЕКСНОГО АНАЛИЗА ДАННЫХ, ИЗД.4</t>
  </si>
  <si>
    <t>Кулаичев А. П.</t>
  </si>
  <si>
    <t>5-8199-0234-3</t>
  </si>
  <si>
    <t>Допущено Учебно-методическим объединением по классическому университетскому образованию в качестве учебного пособия для студентов вузов по дисциплинам "Прикладная статистика" и "Информатика"</t>
  </si>
  <si>
    <t>0406</t>
  </si>
  <si>
    <t>068000.11.01</t>
  </si>
  <si>
    <t>Методы и средства компл. статистич. анализа...: Уч.пос. / А.П.Кулаичев,- 5изд.-М.:НИЦ ИНФРА-М,2025-484с(ВО)(п)</t>
  </si>
  <si>
    <t>МЕТОДЫ И СРЕДСТВА КОМПЛЕКСНОГО СТАТИСТИЧЕСКОГО АНАЛИЗА ДАННЫХ, ИЗД.5</t>
  </si>
  <si>
    <t>Кулаичев А.П.</t>
  </si>
  <si>
    <t>978-5-16-020053-8</t>
  </si>
  <si>
    <t>Допущено Учебно-методическим объединением по классическому университетскому образованию в качестве учебного пособия для вузов по дисциплинам «Математическая статистика» и «Информатика»</t>
  </si>
  <si>
    <t>345800.08.01</t>
  </si>
  <si>
    <t>Методы и средства научных исследований: Уч. / А.А.Пижурин. - М.:НИЦ ИНФРА-М,2025 - 264 с.(ВО)(п)</t>
  </si>
  <si>
    <t>МЕТОДЫ И СРЕДСТВА НАУЧНЫХ ИССЛЕДОВАНИЙ, ИЗД.1</t>
  </si>
  <si>
    <t>Пижурин А.А., Пижурин А.А., Пятков В.Е.</t>
  </si>
  <si>
    <t>978-5-16-018550-7</t>
  </si>
  <si>
    <t>00.03.16, 00.04.16, 00.05.16, 35.03.02</t>
  </si>
  <si>
    <t>Рекомендовано УМО по образованию в области лесного дела в качестве учебника для студентов высших учебных заведений, обучающихся по направлению подготовки бакалавров 35.03.02 «Технология лесозаготовительных и деревоперерабатывающих производств»</t>
  </si>
  <si>
    <t>719225.06.01</t>
  </si>
  <si>
    <t>Методы и средства проектир. информац. сис.: Уч.пос. / Н.Н.Заботина - М.:НИЦ ИНФРА-М,2025. - 331 с.(П)</t>
  </si>
  <si>
    <t>МЕТОДЫ И СРЕДСТВА ПРОЕКТИРОВАНИЯ ИНФОРМАЦИОННЫХ СИСТЕМ, ИЗД.1</t>
  </si>
  <si>
    <t>Заботина Н.Н.</t>
  </si>
  <si>
    <t>978-5-16-015597-5</t>
  </si>
  <si>
    <t>09.02.03, 09.02.04, 09.02.10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</si>
  <si>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09.02.04 «Информационные системы (по отраслям)» (протокол № 13 от 16.09.2019)</t>
  </si>
  <si>
    <t>Ярославский государственный медицинский университет</t>
  </si>
  <si>
    <t>174350.09.01</t>
  </si>
  <si>
    <t>Методы исслед. работы в молодежной среде: Уч.пос. / В.О.Евсеев-М.:Вуз. уч., НИЦ ИНФРА-М,2020.-237 с.(П)</t>
  </si>
  <si>
    <t>МЕТОДЫ ИССЛЕДОВАТЕЛЬСКОЙ РАБОТЫ В МОЛОДЕЖНОЙ СРЕДЕ, ИЗД.1</t>
  </si>
  <si>
    <t>Евсеев В. О., Волгин Н. А.</t>
  </si>
  <si>
    <t>978-5-9558-0236-7</t>
  </si>
  <si>
    <t>39.03.01, 39.03.02, 39.03.03, 39.04.01, 39.04.02, 39.04.03</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</si>
  <si>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специальности 080400 "Управление персоналом"</t>
  </si>
  <si>
    <t>174350.13.01</t>
  </si>
  <si>
    <t>Методы исслед/ работы в молодежной среде: Уч.пос. / В.О.Евсеев - 2 изд. - М.:НИЦ ИНФРА-М,2026. - 268 с.(ВО)(П)</t>
  </si>
  <si>
    <t>МЕТОДЫ ИССЛЕДОВАТЕЛЬСКОЙ РАБОТЫ В МОЛОДЕЖНОЙ СРЕДЕ, ИЗД.2</t>
  </si>
  <si>
    <t>Евсеев В.О., Волгин Н.А., Егорычев А.М.</t>
  </si>
  <si>
    <t>978-5-16-016760-2</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</si>
  <si>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специальности «Управление персоналом»</t>
  </si>
  <si>
    <t>321100.09.01</t>
  </si>
  <si>
    <t>Методы исследований в соц. работе: Уч. пос. /С.С.Новикова -М.:НИЦ ИНФРА-М,2024-381с(ВО:Бакалавр.)(п)</t>
  </si>
  <si>
    <t>МЕТОДЫ ИССЛЕДОВАНИЙ В СОЦИАЛЬНОЙ РАБОТЕ, ИЗД.1</t>
  </si>
  <si>
    <t>Новикова С.С., Соловьев А.В.</t>
  </si>
  <si>
    <t>978-5-16-010444-7</t>
  </si>
  <si>
    <t>290600.09.01</t>
  </si>
  <si>
    <t>Методы комплексной оценки сельскохоз...: Уч. пос. / Н.И. Римиханов - М.: КУРС: ИНФРА-М, 2025 -144 с.(о)</t>
  </si>
  <si>
    <t>МЕТОДЫ КОМПЛЕКСНОЙ ОЦЕНКИ СЕЛЬСКОХОЗЯЙСТВЕННЫХ И МЕЛКИХ ДОМАШНИХ ЖИВОТНЫХ, ИЗД.1</t>
  </si>
  <si>
    <t>Римиханов Н.И., Юлдашбаев Ю.А., Сушкова З.Н. и др.</t>
  </si>
  <si>
    <t>978-5-905554-63-6</t>
  </si>
  <si>
    <t>06.03.01, 06.04.01, 36.03.01, 36.04.01</t>
  </si>
  <si>
    <t>Допущено Министерством сельского хозяйства Российской Федерации в качестве учебного пособия для студентов высших аграрных учебных заведений, обучающихся по направлениям подготовки высшего образования «Зоотехния", "Ветеринария", "Ветеринарно-санитарна</t>
  </si>
  <si>
    <t>479900.08.01</t>
  </si>
  <si>
    <t>Методы контроля качества окр. среды: Уч.пос. / Н.А.Политаева-М.:НИЦ ИНФРА-М,2023.-112 с.(ВО: Бакалавр.)(О)</t>
  </si>
  <si>
    <t>МЕТОДЫ КОНТРОЛЯ КАЧЕСТВА ОКРУЖАЮЩЕЙ СРЕДЫ, ИЗД.1</t>
  </si>
  <si>
    <t>Политаева Н.А.</t>
  </si>
  <si>
    <t>978-5-16-016500-4</t>
  </si>
  <si>
    <t>05.03.06, 20.03.01</t>
  </si>
  <si>
    <t>Рекомендовано в качестве учебного пособия для студентов высших учебных заведений, обучающихся по направлениям 18.03.02 «Энерго- и ресурсосберегающие процессы в химической технологии, нефтехимии и биотехнологии» и 20.03.01 «Техносферная безопасность»</t>
  </si>
  <si>
    <t>668587.06.01</t>
  </si>
  <si>
    <t>Методы матем. физики: Уч.пос. / В.А.Барашков - М.:НИЦ ИНФРА-М, СФУ,2026 - 149 с.(ВО: Бакалавр. (СФУ))(П)</t>
  </si>
  <si>
    <t>МЕТОДЫ МАТЕМАТИЧЕСКОЙ ФИЗИКИ, ИЗД.1</t>
  </si>
  <si>
    <t>Барашков В.А.</t>
  </si>
  <si>
    <t>978-5-16-013302-7</t>
  </si>
  <si>
    <t>00.03.12, 11.03.01, 11.03.02, 11.03.03, 11.03.04, 12.03.01, 12.03.02, 12.03.03, 12.03.04, 12.03.05</t>
  </si>
  <si>
    <t>Рекомендовано Учебно-методическим объединением по образованию в области радиотехники, электроники, биомедицинской техники и автоматизации в качестве учебного пособия для студентов вузов по направлению 11.03.03 «Конструирование и технология электронных средств»</t>
  </si>
  <si>
    <t>824722.01.01</t>
  </si>
  <si>
    <t>Методы математич. обосн. реш. на примен. сил и средств ОВД МВД.../В.А.Мельничук-М.:НИЦ ИНФРА-М,2024.-163с(о)</t>
  </si>
  <si>
    <t>МЕТОДЫ МАТЕМАТИЧЕСКОГО ОБОСНОВАНИЯ РЕШЕНИЙ НА ПРИМЕНЕНИЕ СИЛ И СРЕДСТВ ОРГАНОВ ВНУТРЕННИХ ДЕЛ МВД РОССИИ ПРИ ЛИКВИДАЦИИ ПОСЛЕДСТВИЙ ЧРЕЗВЫЧАЙНЫХ СИТУАЦИЙ, ИЗД.1</t>
  </si>
  <si>
    <t>Мельничук В.А., Горелов С.А., Михайлов О.Г. и др.</t>
  </si>
  <si>
    <t>978-5-16-019823-1</t>
  </si>
  <si>
    <t>40.04.01, 40.05.02</t>
  </si>
  <si>
    <t>151200.07.01</t>
  </si>
  <si>
    <t>Методы менеджмента кач-ва. Методол. организ... /П.С.Серенков-М:Инфра-М; Мн:Нов. знан., 2022-491с(ВО)</t>
  </si>
  <si>
    <t>МЕТОДЫ МЕНЕДЖМЕНТА КАЧЕСТВА. МЕТОДОЛОГИЯ ОРГАНИЗАЦИОННОГО ПРОЕКТИРОВАНИЯ ИНЖЕНЕРНОЙ СОСТАВЛЯЮЩЕЙ СИСТЕМЫ МЕНЕДЖМЕНТА КАЧЕСТВА, ИЗД.1</t>
  </si>
  <si>
    <t>Серенков П. С.</t>
  </si>
  <si>
    <t>978-5-16-004962-5</t>
  </si>
  <si>
    <t>20.03.02, 27.03.01, 27.03.02, 27.04.05, 28.03.02, 29.03.03, 38.03.02, 38.03.04, 38.04.02, 38.04.04, 41.03.06</t>
  </si>
  <si>
    <t>254100.03.01</t>
  </si>
  <si>
    <t>Методы менеджмента качества. Методология упр.. / П.С.Серенков - М.:НИЦ ИНФРА-М, Нов.знание,2018-256с</t>
  </si>
  <si>
    <t>МЕТОДЫ МЕНЕДЖМЕНТА КАЧЕСТВА. МЕТОДОЛОГИЯ УПРАВЛЕНИЯ РИСКОМ СТАНДАРТИЗАЦИИ, ИЗД.1</t>
  </si>
  <si>
    <t>Серенков П. С., Гуревич В. Л., Романчак В. М., Янушкевич А. В.</t>
  </si>
  <si>
    <t>978-985-475-626-4</t>
  </si>
  <si>
    <t>27.04.01, 27.04.02, 27.04.03, 27.04.04, 27.04.05, 27.04.06, 27.04.07, 27.04.08, 27.05.01, 27.05.02, 38.04.02</t>
  </si>
  <si>
    <t>832223.01.01</t>
  </si>
  <si>
    <t>Методы микробиологич. исслед.: Уч.пос. / Л.В.Лагун -М.:НИЦ ИНФРА-М, ГомГМУ,2024.-192 с.: цв.ил.(ВО(п)</t>
  </si>
  <si>
    <t>МЕТОДЫ МИКРОБИОЛОГИЧЕСКИХ ИССЛЕДОВАНИЙ, ИЗД.1</t>
  </si>
  <si>
    <t>Лагун Л.В., Тапальский Д.В., Стома И.О.</t>
  </si>
  <si>
    <t>978-5-16-019984-9</t>
  </si>
  <si>
    <t>Рекомендовано 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1-79 01 01 «Лечебное дело», 1-79 01 03 «Медико-профилактическое дело», 1-79 01 04 «Медико-диагностическое дело»</t>
  </si>
  <si>
    <t>397400.05.01</t>
  </si>
  <si>
    <t>Методы морск. геолог. иссл.: Уч. / О.А.Серебрякова - М.: Альфа-М, НИЦ ИНФРА-М, 2026 - 244 с  (П)</t>
  </si>
  <si>
    <t>МЕТОДЫ МОРСКИХ ГЕОЛОГИЧЕСКИХ ИССЛЕДОВАНИЙ, ИЗД.1</t>
  </si>
  <si>
    <t>Серебрякова О.А.</t>
  </si>
  <si>
    <t>Высшая школа: Магистратура</t>
  </si>
  <si>
    <t>978-5-98281-435-7</t>
  </si>
  <si>
    <t>269600.11.01</t>
  </si>
  <si>
    <t>Методы научного познания: Уч.пос. / С.А.Лебедев - М.:НИЦ ИНФРА-М,2026 - 272 с.(ВО: Магистр.)(п)</t>
  </si>
  <si>
    <t>МЕТОДЫ НАУЧНОГО ПОЗНАНИЯ, ИЗД.1</t>
  </si>
  <si>
    <t>Лебедев С.А.</t>
  </si>
  <si>
    <t>978-5-16-015244-8</t>
  </si>
  <si>
    <t>Допущено Министерством образования и науки Российской Федерации в качестве учебного пособия по дисциплине «История и философия науки» для аспирантов естественно-научных, технических и гуманитарных специальностей, а также по дисциплинам «Философия», «Философия и методология науки» для студентов, обучающихся по направлению «Философия» (квалификация (степень) «магистр»)</t>
  </si>
  <si>
    <t>715616.04.01</t>
  </si>
  <si>
    <t>Методы научных и экспериментальных  исслед.: Уч.пос. / Ю.М.Осадчий.-М.:НИЦ ИНФРА-М,2024.-238 с.(П)</t>
  </si>
  <si>
    <t>МЕТОДЫ НАУЧНЫХ И ЭКСПЕРИМЕНТАЛЬНЫХ  ИССЛЕДОВАНИЙ, ИЗД.1</t>
  </si>
  <si>
    <t>Осадчий Ю.М., Кузнецов В.В., Паткаускас А.В. и др.</t>
  </si>
  <si>
    <t>978-5-16-015734-4</t>
  </si>
  <si>
    <t>26.03.01, 26.03.02, 26.04.01, 26.04.02, 26.05.01, 26.05.02, 26.05.03, 26.05.04, 26.05.05, 26.05.06, 26.05.07</t>
  </si>
  <si>
    <t>803518.01.01</t>
  </si>
  <si>
    <t>Методы обеспеч. устойчивости финанс. соц. сферы: Моногр. / Ю.Ж.Будаева-М.:НИЦ ИНФРА-М,2024.-248 с.(о)</t>
  </si>
  <si>
    <t>МЕТОДЫ ОБЕСПЕЧЕНИЯ УСТОЙЧИВОСТИ ФИНАНСОВ СОЦИАЛЬНОЙ СФЕРЫ, ИЗД.1</t>
  </si>
  <si>
    <t>Будаева Ю.Ж., Дохоян З.М., Шубина Т.В.</t>
  </si>
  <si>
    <t>978-5-16-019237-6</t>
  </si>
  <si>
    <t>39.04.02, 39.06.01</t>
  </si>
  <si>
    <t>669459.09.01</t>
  </si>
  <si>
    <t>Методы определения навигац.параметров подвиж.средств..: Моногр. / В.Н.Тяпкин - М.:НИЦ ИНФРА-М, СФУ,2026 - 260 с.(П)</t>
  </si>
  <si>
    <t>МЕТОДЫ ОПРЕДЕЛЕНИЯ НАВИГАЦИОННЫХ ПАРАМЕТРОВ ПОДВИЖНЫХ СРЕДСТВ С ИСПОЛЬЗОВАНИЕМ СПУТНИКОВОЙ РАДИОНАВИГАЦИОННОЙ СИСТЕМЫ ГЛОНАСС, ИЗД.1</t>
  </si>
  <si>
    <t>Тяпкин В.Н., Гарин Е.Н.</t>
  </si>
  <si>
    <t>978-5-16-017324-5</t>
  </si>
  <si>
    <t>11.04.01, 11.04.02, 11.04.03, 11.05.01, 11.05.02, 11.05.04, 11.06.01</t>
  </si>
  <si>
    <t>288000.06.01</t>
  </si>
  <si>
    <t>Методы определения термодинам...: Уч.пос. / Н.М.Хохлачева и др. - М.:НИЦ ИНФРА-М,2022 - 194 с.(О)</t>
  </si>
  <si>
    <t>МЕТОДЫ ОПРЕДЕЛЕНИЯ ТЕРМОДИНАМИЧЕСКИХ ХАРАКТЕРИСТИК ВЕЩЕСТВ, ХИМИЧЕСКИХ РЕАКЦИЙ И РАСТВОРОВ, ИЗД.1</t>
  </si>
  <si>
    <t>Хохлачева Н.М., Ильина Е.Б., Мареичева Е.Е. и др.</t>
  </si>
  <si>
    <t>978-5-16-011813-0</t>
  </si>
  <si>
    <t>04.03.01, 04.03.02, 20.03.01, 20.04.01, 22.03.01, 22.03.02, 22.04.01, 22.04.02</t>
  </si>
  <si>
    <t>Допущено Учебно-методическим объединением высших учебных заведений Российской Федерации по образованию в области материаловедения, технологий материалов и покрытий в качестве учебного пособия для студентов, обучающихся по направлению подготовки бакалавров 22.03.01 «Материаловедение и технологии материалов»</t>
  </si>
  <si>
    <t>439500.08.01</t>
  </si>
  <si>
    <t>Методы оптимальных решений: Уч. / И.Н.Мастяева - М.:КУРС, НИЦ ИНФРА-М,2027 - 384 с.(п)</t>
  </si>
  <si>
    <t>МЕТОДЫ ОПТИМАЛЬНЫХ РЕШЕНИЙ, ИЗД.1</t>
  </si>
  <si>
    <t>Мастяева И.Н., Горемыкина Г.И., Семенихина О.Н.</t>
  </si>
  <si>
    <t>978-5-905554-24-7</t>
  </si>
  <si>
    <t>667672.05.01</t>
  </si>
  <si>
    <t>Методы оптимальных решений: Уч.пос. / А.В.Бородин - М.:НИЦ ИНФРА-М,2023 - 203 с.-(ВО)(П)</t>
  </si>
  <si>
    <t>Бородин А.В., Пителинский К.В.</t>
  </si>
  <si>
    <t>978-5-16-012308-0</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</si>
  <si>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</si>
  <si>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175150.13.01</t>
  </si>
  <si>
    <t>Методы оптимизации: Уч. пос. /А.В. Аттетков - М.: ИЦ РИОР, НИЦ ИНФРА-М, 2026 - 270 с.(ВО:Бакалавр.) (П)</t>
  </si>
  <si>
    <t>МЕТОДЫ ОПТИМИЗАЦИИ, ИЗД.1</t>
  </si>
  <si>
    <t>Аттетков А. В., Зарубин В. С., Канатников А. Н.</t>
  </si>
  <si>
    <t>978-5-369-01037-2</t>
  </si>
  <si>
    <t>01.03.02, 01.03.04, 02.03.01, 02.03.02, 02.04.01, 02.04.02, 03.03.02, 04.03.02, 09.04.01, 24.03.03, 24.04.03, 28.04.02</t>
  </si>
  <si>
    <t>Рекомендовано Министерством образования РФ в качестве учебного пособия для студентов высших учебных заведений</t>
  </si>
  <si>
    <t>656574.07.01</t>
  </si>
  <si>
    <t>Методы оценки качества жизни населения и соц-эк. диффер..: Моногр. / А.А.Митрошин - М.:НИЦ ИНФРА-М,2027 - 96 с.(О)</t>
  </si>
  <si>
    <t>МЕТОДЫ ОЦЕНКИ КАЧЕСТВА ЖИЗНИ НАСЕЛЕНИЯ И СОЦИАЛЬНО-ЭКОНОМИЧЕСКОЙ ДИФФЕРЕНЦИАЦИИ ТЕРРИТОРИЙ, ИЗД.1</t>
  </si>
  <si>
    <t>Митрошин А.А., Шитова Ю.Ю., Шитов Ю.А.</t>
  </si>
  <si>
    <t>978-5-16-013591-5</t>
  </si>
  <si>
    <t>Университет "Дубна"</t>
  </si>
  <si>
    <t>704179.03.01</t>
  </si>
  <si>
    <t>Методы оценки эффект. упр. производ.-фин. деят. предп.: Моногр./А.В.Мищенко-М.:НИЦ ИНФРА-М,2023-338с</t>
  </si>
  <si>
    <t>МЕТОДЫ ОЦЕНКИ ЭФФЕКТИВНОСТИ УПРАВЛЕНИЯ ПРОИЗВОДСТВЕННО-ФИНАНСОВОЙ ДЕЯТЕЛЬНОСТЬЮ ПРЕДПРИЯТИЯ, ИЗД.1</t>
  </si>
  <si>
    <t>Мищенко А.В., Михеева Е.В.</t>
  </si>
  <si>
    <t>978-5-16-015286-8</t>
  </si>
  <si>
    <t>685008.08.01</t>
  </si>
  <si>
    <t>Методы повышения производительности и оплаты труда / Б.М.Генкин - М.:Юр.Норма, НИЦ ИНФРА-М,2027 - 160 с.(П)</t>
  </si>
  <si>
    <t>МЕТОДЫ ПОВЫШЕНИЯ ПРОИЗВОДИТЕЛЬНОСТИ И ОПЛАТЫ ТРУДА, ИЗД.1</t>
  </si>
  <si>
    <t>Генкин Б.М.</t>
  </si>
  <si>
    <t>978-5-91768-937-1</t>
  </si>
  <si>
    <t>335500.06.01</t>
  </si>
  <si>
    <t>Методы подбора состава модифицированных бетонов: Уч.пос. / Б.А.Усов - М.:НИЦ ИНФРА-М,2024-162с.(ВО)(О)</t>
  </si>
  <si>
    <t>МЕТОДЫ ПОДБОРА СОСТАВА МОДИФИЦИРОВАННЫХ БЕТОНОВ, ИЗД.1</t>
  </si>
  <si>
    <t>Усов Б.А.</t>
  </si>
  <si>
    <t>978-5-16-010674-8</t>
  </si>
  <si>
    <t>Рекомендовано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t>
  </si>
  <si>
    <t>485800.08.01</t>
  </si>
  <si>
    <t>Методы принятия упр.решений: Уч.пос. / В.Л.Сендеров - М.:НИЦ ИНФРА-М,2023-227с.(ВО:Бакалавр.)(П)</t>
  </si>
  <si>
    <t>МЕТОДЫ ПРИНЯТИЯ УПРАВЛЕНЧЕСКИХ РЕШЕНИЙ, ИЗД.1</t>
  </si>
  <si>
    <t>Сендеров В.Л., Юрченко Т.И., Воронцова Ю.В. и др.</t>
  </si>
  <si>
    <t>978-5-16-011735-5</t>
  </si>
  <si>
    <t>483850.10.01</t>
  </si>
  <si>
    <t>Методы принятия управленческих решений: Уч.пос. / Н.В.Кузнецова - М.:НИЦ ИНФРА-М,2027-222с.(ВО:Бакалавр.)</t>
  </si>
  <si>
    <t>Н.В.Кузнецова</t>
  </si>
  <si>
    <t>978-5-16-010495-9</t>
  </si>
  <si>
    <t>845413.01.01</t>
  </si>
  <si>
    <t>Методы расчета основных технико-экономических показ..: Уч.пос. / Ю.Р.Малых - М.:НИЦ ИНФРА-М,2026. - 180 с.(п)</t>
  </si>
  <si>
    <t>МЕТОДЫ РАСЧЕТА ОСНОВНЫХ ТЕХНИКО-ЭКОНОМИЧЕСКИХ ПОКАЗАТЕЛЕЙ ПРОЕКТИРОВАНИЯ (ДИЗАЙН), ИЗД.1</t>
  </si>
  <si>
    <t>Малых Ю.Р.</t>
  </si>
  <si>
    <t>978-5-16-020798-8</t>
  </si>
  <si>
    <t>54.02.01</t>
  </si>
  <si>
    <t>Екатеринбургский колледж транспортного строительства</t>
  </si>
  <si>
    <t>694844.08.01</t>
  </si>
  <si>
    <t>Методы расчёта строит. конструкций: теория...: Уч. пос./ Б.А.Тухфатуллин-М.:НИЦ ИНФРА-М,2024-124с(О)</t>
  </si>
  <si>
    <t>МЕТОДЫ РАСЧЁТА СТРОИТЕЛЬНЫХ КОНСТРУКЦИЙ: ТЕОРИЯ И ЗАДАЧИ С РЕАЛИЗАЦИЕЙ В ПРОГРАММНОМ КОМПЛЕКСЕ SCILAB, ИЗД.1</t>
  </si>
  <si>
    <t>Тухфатуллин Б.А., Черняк А.М.</t>
  </si>
  <si>
    <t>978-5-16-014735-2</t>
  </si>
  <si>
    <t>Рекомендовано Учебно-методическим советом ВО в качестве учебного пособия для студентов высших учебных заведений, обучающихся по укрупненной группе специальностей 08.00.00 «Техника и технологии строительства»</t>
  </si>
  <si>
    <t>658922.10.01</t>
  </si>
  <si>
    <t>Методы самонавед. истреб.и ракет кл. «воздух-воздух» / Под ред. Кучина А.А. - М.:ИНФРА-М, СФУ,2026 - 168 с.(о)</t>
  </si>
  <si>
    <t>МЕТОДЫ САМОНАВЕДЕНИЯ ИСТРЕБИТЕЛЕЙ И РАКЕТ КЛАССА «ВОЗДУХ-ВОЗДУХ» НА ГРУППОВУЮ ВОЗДУШНУЮ ЦЕЛЬ, ИЗД.1</t>
  </si>
  <si>
    <t>Богданов А.В., Филонов А.А., Ковалев А.А. и др.</t>
  </si>
  <si>
    <t>978-5-16-016311-6</t>
  </si>
  <si>
    <t>24.04.01, 24.05.01, 24.06.01</t>
  </si>
  <si>
    <t>658922.02.01</t>
  </si>
  <si>
    <t>Методы самонавед. истреб.и ракет класса «воздух-воздух» / Под ред. Кучина А.А.-М.:НИЦ ИНФРА-М, СФУ,2018-168с</t>
  </si>
  <si>
    <t>978-5-16-012906-8</t>
  </si>
  <si>
    <t>055900.19.01</t>
  </si>
  <si>
    <t>Методы социологического исследования: Уч. / В.И.Добреньков - М.:НИЦ ИНФРА-М,2027 - 768 с.(ВО)(п)</t>
  </si>
  <si>
    <t>МЕТОДЫ СОЦИОЛОГИЧЕСКОГО ИССЛЕДОВАНИЯ, ИЗД.1</t>
  </si>
  <si>
    <t>Добреньков В. И., Кравченко А. И.</t>
  </si>
  <si>
    <t>978-5-16-018913-0</t>
  </si>
  <si>
    <t>38.04.03, 39.03.01, 39.04.01</t>
  </si>
  <si>
    <t>Допущено Министерством образования РФ в качестве учебника для студентов высших учебных заведений, обучающихся по специальности 020300 "Социология"</t>
  </si>
  <si>
    <t>Московский государственный университет им. М.В. Ломоносова, социологический факультет</t>
  </si>
  <si>
    <t>682979.05.01</t>
  </si>
  <si>
    <t>Методы стимулир. продаж в торговле: Уч. / С.Б.Алексина. - М.:ИД ФОРУМ, НИЦ ИНФРА-М,2025. - 304 с.(СПО)(П)</t>
  </si>
  <si>
    <t>МЕТОДЫ СТИМУЛИРОВАНИЯ ПРОДАЖ В ТОРГОВЛЕ, ИЗД.1</t>
  </si>
  <si>
    <t>Алексина С.Б., Иванов Г.Г., Крышталев В.К. и др.</t>
  </si>
  <si>
    <t>978-5-8199-0796-2</t>
  </si>
  <si>
    <t>11.02.12, 38.02.08</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</si>
  <si>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t>
  </si>
  <si>
    <t>425300.08.01</t>
  </si>
  <si>
    <t>Методы стимулир. продаж в торговле: Уч. / С.Б.Алексина.- М.:ИД ФОРУМ:НИЦ Инфра-М,2026 - 304 с.(ВО) (п)</t>
  </si>
  <si>
    <t>Алексина С. Б., Иванов Г. Г., Крышталев В. К., Панкина Т. В.</t>
  </si>
  <si>
    <t>978-5-8199-0526-5</t>
  </si>
  <si>
    <t>700766.04.01</t>
  </si>
  <si>
    <t>Методы теории катастроф в феномен. фазовых переходов: Моногр. / С.В.Павлов - М.:НИЦ ИНФРА-М,2026. - 176 с.(О)</t>
  </si>
  <si>
    <t>МЕТОДЫ ТЕОРИИ КАТАСТРОФ В ФЕНОМЕНОЛОГИИ ФАЗОВЫХ ПЕРЕХОДОВ, ИЗД.1</t>
  </si>
  <si>
    <t>978-5-16-014798-7</t>
  </si>
  <si>
    <t>01.04.04, 01.06.01, 03.04.02, 03.06.01, 04.03.02</t>
  </si>
  <si>
    <t>682980.08.01</t>
  </si>
  <si>
    <t>Методы тех. диагностики автомобилей: Уч.пос. / В.Д.Мигаль - М.:ИД ФОРУМ, НИЦ ИНФРА-М,2025 - 417 с.(СПО)</t>
  </si>
  <si>
    <t>МЕТОДЫ ТЕХНИЧЕСКОЙ ДИАГНОСТИКИ АВТОМОБИЛЕЙ, ИЗД.1</t>
  </si>
  <si>
    <t>Мигаль В.Д., Мигаль В.П.</t>
  </si>
  <si>
    <t>978-5-8199-0797-9</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</si>
  <si>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23.02.03 «Техническое обслуживание и ремонт автомобильного транспорта», 23.02.02 «Автомобиле- и тракторостроение»</t>
  </si>
  <si>
    <t>454150.10.01</t>
  </si>
  <si>
    <t>Методы техн. диагностики автомобилей: Уч.пос. / В.Д.Мигаль-М.:ИД Форум, НИЦ ИНФРА-М,2023.-417 с.(ВО)(П)</t>
  </si>
  <si>
    <t>Мигаль В. Д., Мигаль В. П.</t>
  </si>
  <si>
    <t>978-5-8199-0804-4</t>
  </si>
  <si>
    <t>23.03.01, 23.03.02</t>
  </si>
  <si>
    <t>Рекомендовано в качестве учебного пособия для студентов высших учебных заведений, обучающихся по направлению подготовки 23.03.01 «Технологии транспортных процессов» (квалификация (степень) «бакалавр»)</t>
  </si>
  <si>
    <t>151150.04.01</t>
  </si>
  <si>
    <t>Методы упр. ограниченными ресурсами в логистике: Уч.пос. / А.В.Мищенко - М.: ИНФРА-М, 2017-184с.(ВО)</t>
  </si>
  <si>
    <t>МЕТОДЫ УПРАВЛЕНИЯ ОГРАНИЧЕННЫМИ РЕСУРСАМИ В ЛОГИСТИКЕ, ИЗД.1</t>
  </si>
  <si>
    <t>978-5-16-004515-3</t>
  </si>
  <si>
    <t>737037.01.01</t>
  </si>
  <si>
    <t>Методы финансового планирования и оценки..: Моногр. / А.В.Мищенко-М.:НИЦ ИНФРА-М,2023.-304 с.(О)</t>
  </si>
  <si>
    <t>МЕТОДЫ ФИНАНСОВОГО ПЛАНИРОВАНИЯ И ОЦЕНКИ ЭФФЕКТИВНОСТИ УПРАВЛЕНИЯ ПРОИЗВОДСТВЕННО-ФИНАНСОВОЙ ДЕЯТЕЛЬНОСТЬЮ ПРЕДПРИЯТИЯ, ИЗД.1</t>
  </si>
  <si>
    <t>Мищенко А.В., Пилюгина А.В.</t>
  </si>
  <si>
    <t>978-5-16-017783-0</t>
  </si>
  <si>
    <t>791570.03.01</t>
  </si>
  <si>
    <t>Методы цифровой обработки и распознавания речи / А.Г.Шишкин - М.:НИЦ ИНФРА-М,2026. - 347 с.(о)</t>
  </si>
  <si>
    <t>МЕТОДЫ ЦИФРОВОЙ ОБРАБОТКИ И РАСПОЗНАВАНИЯ РЕЧИ, ИЗД.1</t>
  </si>
  <si>
    <t>Шишкин А.Г.</t>
  </si>
  <si>
    <t>978-5-16-018017-5</t>
  </si>
  <si>
    <t>01.04.02, 01.06.01, 02.04.02, 02.06.01, 09.04.03, 09.04.04, 09.06.01, 10.05.03, 10.06.01, 45.04.04, 45.06.01</t>
  </si>
  <si>
    <t>862008.01.01</t>
  </si>
  <si>
    <t>Методы цифровой трансформации: Уч.пос. / М.А.Мерко. - М.:НИЦ ИНФРА-М, СФУ,2026. - 255 с.(ВО)(п)</t>
  </si>
  <si>
    <t>МЕТОДЫ ЦИФРОВОЙ ТРАНСФОРМАЦИИ, ИЗД.1</t>
  </si>
  <si>
    <t>Мерко М.А., Пятаева А.В., Мерко И.С.</t>
  </si>
  <si>
    <t>978-5-16-021338-5</t>
  </si>
  <si>
    <t>642151.08.01</t>
  </si>
  <si>
    <t>Методы экологических исследований: Уч. / Рязанова Н.Е. - М.:НИЦ ИНФРА-М,2026 - 474 с.(ВО)(П)</t>
  </si>
  <si>
    <t>МЕТОДЫ ЭКОЛОГИЧЕСКИХ ИССЛЕДОВАНИЙ, ИЗД.1</t>
  </si>
  <si>
    <t>Рязанова Н.Е., Аковецкий В.Г., Зубалий А.М. и др.</t>
  </si>
  <si>
    <t>978-5-16-018515-6</t>
  </si>
  <si>
    <t>05.03.06, 06.03.01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</si>
  <si>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05.03.06 «Экология и природопользование» (квалификация (степень) «бакалавр») (протокол № 5 от 11.03.2019)</t>
  </si>
  <si>
    <t>660849.03.01</t>
  </si>
  <si>
    <t>Методы эконом. оценки устойч.развития предп.: Моногр./ И.Г.Кукукина - М.:НИЦ ИНФРА-М,2022 - 202 с.(П)</t>
  </si>
  <si>
    <t>МЕТОДЫ ЭКОНОМИЧЕСКОЙ ОЦЕНКИ УСТОЙЧИВОСТИ РАЗВИТИЯ ПРЕДПРИЯТИЯ, ИЗД.1</t>
  </si>
  <si>
    <t>Кукукина И.Г., Климова С.В.</t>
  </si>
  <si>
    <t>978-5-16-013096-5</t>
  </si>
  <si>
    <t>131600.12.01</t>
  </si>
  <si>
    <t>Методы эконометрики: Уч. / С.А.Айвазян - М.:Магистр, НИЦ ИНФРА-М,2025 - 512 с.(Бакалавр.)(п)</t>
  </si>
  <si>
    <t>МЕТОДЫ ЭКОНОМЕТРИКИ, ИЗД.1</t>
  </si>
  <si>
    <t>Айвазян С.А.</t>
  </si>
  <si>
    <t>978-5-9776-0153-5</t>
  </si>
  <si>
    <t>09.03.03, 09.04.03, 38.03.01, 38.03.02, 38.03.03, 38.03.04, 38.03.05, 38.03.06, 38.03.07, 38.04.01, 38.04.02, 38.04.03, 38.04.04, 38.04.05, 38.04.06, 38.04.07, 38.04.08, 38.04.09, 38.05.01, 38.05.02, 41.03.06</t>
  </si>
  <si>
    <t>Рекомендовано Учебно-методическим объединением по образованию в области математических методов в экономике в качестве учебника для студентов вузов, обучающихся по специальности  "Математические методы в экономике" и другим экономическим специальност</t>
  </si>
  <si>
    <t>073300.11.01</t>
  </si>
  <si>
    <t>Методы экономических исследований: Уч.пос. / А.М.Орехов, - 2 изд. - М.:НИЦ ИНФРА-М,2025. - 344 с.(ВО)(П)</t>
  </si>
  <si>
    <t>МЕТОДЫ ЭКОНОМИЧЕСКИХ ИССЛЕДОВАНИЙ, ИЗД.2</t>
  </si>
  <si>
    <t>978-5-16-005748-4</t>
  </si>
  <si>
    <t>Рекомендовано Учебно-методическим объединением по образованию в области экономики и экономической теории в качестве учебного пособия для студентов высших учебных заведений, обучающихся по направлению «Экономика»</t>
  </si>
  <si>
    <t>668702.03.01</t>
  </si>
  <si>
    <t>Методы этимологических исследований: Уч.пос. / О.А.Теуш-М.:НИЦ ИНФРА-М,2023.-166 с.(ВО:Бакалавр.)(П)</t>
  </si>
  <si>
    <t>МЕТОДЫ ЭТИМОЛОГИЧЕСКИХ ИССЛЕДОВАНИЙ, ИЗД.1</t>
  </si>
  <si>
    <t>Теуш О.А.</t>
  </si>
  <si>
    <t>978-5-16-013798-8</t>
  </si>
  <si>
    <t>45.03.01, 45.04.01, 45.04.02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</si>
  <si>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45.03.01 «Филология» (квалификация (степень) «бакалавр») (протокол № 6 от 25.03.2019)</t>
  </si>
  <si>
    <t>418200.04.01</t>
  </si>
  <si>
    <t>Методы, модели и алгоритмы в автоматизир...: Моногр. / М.В.Головицына-М.:НИЦ ИНФРА-М,2019-276с.(О)</t>
  </si>
  <si>
    <t>МЕТОДЫ, МОДЕЛИ И АЛГОРИТМЫ В АВТОМАТИЗИРОВАННОЙ ПОДГОТОВКЕ И ОПЕРАТИВНОМ УПРАВЛЕНИИ ПРОИЗВОДСТВОМ РЭС, ИЗД.1</t>
  </si>
  <si>
    <t>Головицына М.В.</t>
  </si>
  <si>
    <t>978-5-16-009773-2</t>
  </si>
  <si>
    <t>11.04.01, 11.04.02, 11.04.03, 11.04.04</t>
  </si>
  <si>
    <t>287000.09.01</t>
  </si>
  <si>
    <t>Методы, модели, средства хранения и обр.данных: Уч. / Э.Г.Дадян-М.:Вуз.уч.,НИЦ ИНФРА-М,2024-168с.(П)</t>
  </si>
  <si>
    <t>МЕТОДЫ, МОДЕЛИ, СРЕДСТВА ХРАНЕНИЯ И ОБРАБОТКИ ДАННЫХ, ИЗД.1</t>
  </si>
  <si>
    <t>Дадян Э.Г., Зеленков Ю.А.</t>
  </si>
  <si>
    <t>978-5-9558-0490-3</t>
  </si>
  <si>
    <t>01.03.02, 01.03.04, 01.04.02, 01.04.04, 02.03.01, 02.03.02, 02.03.03, 02.04.01, 02.04.02, 02.04.03, 03.03.02, 09.03.01, 09.03.03, 09.03.04</t>
  </si>
  <si>
    <t>862011.01.01</t>
  </si>
  <si>
    <t>Методы, средства и основы науч. исслед.: Уч.пос. / А.Л.Неверов. - М.:НИЦ ИНФРА-М, СФУ,2026. - 108 с.(ВО)(о)</t>
  </si>
  <si>
    <t>МЕТОДЫ, СРЕДСТВА И ОСНОВЫ НАУЧНЫХ ИССЛЕДОВАНИЙ, ИЗД.1</t>
  </si>
  <si>
    <t>Неверов А.Л., Минаков А.В., Жигарев В.А., Лысакова Е.И.</t>
  </si>
  <si>
    <t>978-5-16-021340-8</t>
  </si>
  <si>
    <t>00.03.16, 00.05.16, 21.03.01</t>
  </si>
  <si>
    <t>356300.08.01</t>
  </si>
  <si>
    <t>Метрологическое обеспеч.производ. в машиностроении: Уч. / В.А.Тимирязев - М.:НИЦ ИНФРА-М,2025 - 259 с.(ВО)</t>
  </si>
  <si>
    <t>МЕТРОЛОГИЧЕСКОЕ ОБЕСПЕЧЕНИЕ ПРОИЗВОДСТВА В МАШИНОСТРОЕНИИ, ИЗД.1</t>
  </si>
  <si>
    <t>Тимирязев В.А., Схиртладзе А.Г., Дмитриев С.И. и др.</t>
  </si>
  <si>
    <t>978-5-16-010916-9</t>
  </si>
  <si>
    <t>Допущено Учебно-методическим объединением вузов по образованию в области автоматизированного машиностроения (УМО АМ) в качестве учебника для студентов высших учебных заведений, обучающихся по направлениям подготовки 15.03.05 «Конструкторско-технологическое обеспечение машиностроительных производств», 15.03.04 «Автоматизация технологических процессов и производств» (квалификация (степень) «бакалавр»)</t>
  </si>
  <si>
    <t>463550.09.01</t>
  </si>
  <si>
    <t>Метрологическое обеспечение безопас. сложных...: Уч. пос. / Н.А.Северцев - КУРС: ИНФРА-М,2027 - 352 с.(п)</t>
  </si>
  <si>
    <t>МЕТРОЛОГИЧЕСКОЕ ОБЕСПЕЧЕНИЕ БЕЗОПАСНОСТИ СЛОЖНЫХ ТЕХНИЧЕСКИХ СИСТЕМ, ИЗД.1</t>
  </si>
  <si>
    <t>Северцев Н. А., Темнов В. Н.</t>
  </si>
  <si>
    <t>978-5-905554-54-4</t>
  </si>
  <si>
    <t>20.03.01, 20.03.02, 20.04.02</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</si>
  <si>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280100 «Безопасность жизнедеятельности»</t>
  </si>
  <si>
    <t>205900.13.01</t>
  </si>
  <si>
    <t>Метрология и средства измерений: Уч.пос. / В.Ф.Пелевин - М.:НИЦ ИНФРА-М,2027. - 273 с.(ВО: Бакалавр.)(п)</t>
  </si>
  <si>
    <t>МЕТРОЛОГИЯ И СРЕДСТВА ИЗМЕРЕНИЙ, ИЗД.1</t>
  </si>
  <si>
    <t>Пелевин В.Ф.</t>
  </si>
  <si>
    <t>978-5-16-006769-8</t>
  </si>
  <si>
    <t>18.03.01, 18.03.02, 18.05.01, 18.05.02, 19.03.01, 19.03.02, 19.03.03, 19.03.04, 27.03.01</t>
  </si>
  <si>
    <t>Допущено Министерством образования Республики Беларусь в качестве учебного пособия для студентов учреждений высшего образования по техническим и технологическим специальностям</t>
  </si>
  <si>
    <t>765098.03.01</t>
  </si>
  <si>
    <t>Метрология, стандарт. и сертификация в вооруж...: Уч. / Ю.М.Голубинский. - М.:НИЦ ИНФРА-М,2026. - 341 с.(ВО)(п)</t>
  </si>
  <si>
    <t>МЕТРОЛОГИЯ, СТАНДАРТИЗАЦИЯ И СЕРТИФИКАЦИЯ В ВООРУЖЕНИИ И ВОЕННОЙ ТЕХНИКЕ, ИЗД.1</t>
  </si>
  <si>
    <t>Голубинский Ю.М., Григорян Е.С., Савицкий В.Я.</t>
  </si>
  <si>
    <t>978-5-16-021703-1</t>
  </si>
  <si>
    <t>12.05.01, 17.05.02, 27.03.01, 27.04.01</t>
  </si>
  <si>
    <t>179900.09.01</t>
  </si>
  <si>
    <t>Метрология, стандартизация и взаимозаменяемость: Уч. / С.Б.Тарасов - М.:НИЦ ИНФРА-М,2026 - 337 c.(ВО)(п)</t>
  </si>
  <si>
    <t>МЕТРОЛОГИЯ, СТАНДАРТИЗАЦИЯ И ВЗАИМОЗАМЕНЯЕМОСТЬ, ИЗД.1</t>
  </si>
  <si>
    <t>Тарасов С.Б., Любомудров С.А., Макарова Т.А. и др.</t>
  </si>
  <si>
    <t>978-5-16-018882-9</t>
  </si>
  <si>
    <t>15.03.01, 15.03.02, 15.03.03, 15.03.04, 15.03.05, 15.03.06, 15.05.01, 22.03.01, 22.03.02, 23.03.01, 23.03.02, 23.03.03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</si>
  <si>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и направлений подготовки 15.03.00 «Машиностроение», 13.03.00 «Электро- и теплоэнергетика» (квалификация (степень) «бакалавр») (протокол № 5 от 11.03.2019)</t>
  </si>
  <si>
    <t>708376.06.01</t>
  </si>
  <si>
    <t>Метрология, стандартизация и сертификация..: Уч.пос. / В.Д.Мочалов - 2 изд. - М.:НИЦ ИНФРА-М,2027 - 264 с.(П)</t>
  </si>
  <si>
    <t>МЕТРОЛОГИЯ, СТАНДАРТИЗАЦИЯ И СЕРТИФИКАЦИЯ. ОСНОВЫ ВЗАИМОЗАМЕНЯЕМОСТИ, ИЗД.2</t>
  </si>
  <si>
    <t>Мочалов В.Д., Погонин А.А., Афанасьев А.А.</t>
  </si>
  <si>
    <t>978-5-16-015107-6</t>
  </si>
  <si>
    <t>15.02.01, 15.02.03, 15.02.04, 15.02.06, 15.02.07, 15.02.09, 15.02.10, 15.02.16, 15.02.17, 15.02.18, 15.02.19, 20.02.02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</si>
  <si>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 (протокол № 4 от 25.02.2019)</t>
  </si>
  <si>
    <t>679469.04.01</t>
  </si>
  <si>
    <t>Метрология, стандартизация и сертификация..: Уч.пос. / В.Д.Мочалов -2 изд.-М.:НИЦ ИНФРА-М,2024-264с.(ВО)(п)</t>
  </si>
  <si>
    <t>978-5-16-018960-4</t>
  </si>
  <si>
    <t>15.03.01, 15.03.02, 15.03.03, 15.03.04, 15.03.05, 15.03.06, 15.05.01, 27.02.07</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</si>
  <si>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направлениям подготовки «Технологические машины и оборудование», «Конструкторско-технологическое обеспечение машиностроительных производств», «Автоматизация технологических процессов и производств»</t>
  </si>
  <si>
    <t>713271.09.01</t>
  </si>
  <si>
    <t>Метрология, стандартизация и сертификация: Уч. / А.А.Иванов - М.:НИЦ ИНФРА-М,2026 - 301 с.(П)</t>
  </si>
  <si>
    <t>МЕТРОЛОГИЯ, СТАНДАРТИЗАЦИЯ И СЕРТИФИКАЦИЯ, ИЗД.1</t>
  </si>
  <si>
    <t>Иванов А.А., Ефремов В.В., Ковчик А.И.</t>
  </si>
  <si>
    <t>978-5-16-015546-3</t>
  </si>
  <si>
    <t>23.02.03</t>
  </si>
  <si>
    <t>Допущен Федеральным государственным казенным военным образовательным учреждением высшего образования «Рязанское гвардейское высшее воздушно-десантное ордена Суворова дважды Краснознаменное командное училище имени генерала армии В.Ф. Маргелова» Министерства обороны Российской Федерации в качестве учебника для курсантов, обучающихся по специальности 23.02.03 «Техническое обслуживание и ремонт автомобильного транспорта», квалификация (степень) «техник»</t>
  </si>
  <si>
    <t>704397.05.01</t>
  </si>
  <si>
    <t>Метрология, стандартизация и сертификация: Уч. / А.А.Иванов. - М.:НИЦ ИНФРА-М,2026 - 523 с.(ВО)(П)</t>
  </si>
  <si>
    <t>Иванов А.А., Ковчик А.И., Столяров А.С. и др.</t>
  </si>
  <si>
    <t>978-5-16-015048-2</t>
  </si>
  <si>
    <t>23.02.02, 23.02.03, 23.02.04, 23.02.07</t>
  </si>
  <si>
    <t>Допущено Министерством обороны Российской Федерации в качестве учебника для курсантов и слушателей высших военно-учебных заведений, обучающихся по направлению «Эксплуатация наземного транспорта и транспортного оборудования» по специальности «Автомобили и автомобильное хозяйство» и направлению «Транспортные машины и транспортно-технологические комплексы» по специальности «Многоцелевые гусеничные и колесные машины»</t>
  </si>
  <si>
    <t>091850.12.01</t>
  </si>
  <si>
    <t>Метрология, стандартизация и сертификация: Уч.пос. / В.Е.Эрастов, - 2 изд. - М.:НИЦ ИНФРА-М,2026 - 196 с.(П)</t>
  </si>
  <si>
    <t>МЕТРОЛОГИЯ, СТАНДАРТИЗАЦИЯ И СЕРТИФИКАЦИЯ, ИЗД.2</t>
  </si>
  <si>
    <t>Эрастов В.Е.</t>
  </si>
  <si>
    <t>978-5-16-012324-0</t>
  </si>
  <si>
    <t>09.03.01, 09.03.02, 09.03.03, 09.03.04, 11.03.01, 11.03.02, 11.03.03, 11.03.04, 27.03.01</t>
  </si>
  <si>
    <t>Рекомендовано в качестве учебного пособия для студентов высших учебных заведений, обучающихся по направлениям подготовки 12.03.01 «Приборостроение», 15.03.01 «Машиностроение», 20.03.01 «Техносферная безопасность» (квалификация (степень) «бакалавр»)</t>
  </si>
  <si>
    <t>Томский государственный университет систем управления и радиоэлектроники</t>
  </si>
  <si>
    <t>092450.22.01</t>
  </si>
  <si>
    <t>Метрология, стандартизация и..: Уч..пос. / Е.Б.Герасимова, - 2 изд. - М.:НИЦ ИНФРА-М,2027. - 224 с.(СПО)(п)</t>
  </si>
  <si>
    <t>Герасимова Е.Б., Герасимов Б.И.</t>
  </si>
  <si>
    <t>978-5-16-021143-5</t>
  </si>
  <si>
    <t>00.02.32, 08.02.03, 12.02.10, 13.02.07, 14.02.01, 14.02.02, 15.01.37, 15.02.01, 15.02.03, 15.02.09, 15.02.10, 15.02.16, 15.02.18, 15.02.19, 18.02.12, 21.02.12, 23.02.02, 23.02.05, 25.02.08, 26.02.04, 27.02.04, 27.02.07, 35.02.18</t>
  </si>
  <si>
    <t>653007.11.01</t>
  </si>
  <si>
    <t>Метрология, стандартизация, сертиф.,технич...: Уч. / В.Ю.Шишмарев - М.:КУРС, НИЦ ИНФРА-М,2026 - 312 с.(СПО)(п)</t>
  </si>
  <si>
    <t>МЕТРОЛОГИЯ, СТАНДАРТИЗАЦИЯ, СЕРТИФИКАЦИЯ, ТЕХНИЧЕСКОЕ РЕГУЛИРОВАНИЕ И ДОКУМЕНТОВЕДЕНИЕ, ИЗД.1</t>
  </si>
  <si>
    <t>Шишмарев В.Ю.</t>
  </si>
  <si>
    <t>978-5-906923-15-8</t>
  </si>
  <si>
    <t>05.01.01, 05.02.03, 09.02.01, 09.02.02, 09.02.04, 09.02.06, 27.02.06</t>
  </si>
  <si>
    <t>446750.09.01</t>
  </si>
  <si>
    <t>Метрология, стандартизация, сертиф.: Уч. / В.И.Колчков, - 2 изд., - М.:Форум, НИЦ ИНФРА-М,2027 - 432 с.(ВО)(п)</t>
  </si>
  <si>
    <t>МЕТРОЛОГИЯ, СТАНДАРТИЗАЦИЯ, СЕРТИФИКАЦИЯ, ИЗД.2</t>
  </si>
  <si>
    <t>Колчков В.И.</t>
  </si>
  <si>
    <t>978-5-00091-638-4</t>
  </si>
  <si>
    <t>15.03.01, 15.03.02, 15.03.03, 15.03.04, 15.03.05, 15.03.06, 27.03.01</t>
  </si>
  <si>
    <t>079950.27.01</t>
  </si>
  <si>
    <t>Метрология, стандартизация, сертификация: Уч. / А.А.Канке - 2 изд. - М.:НИЦ ИНФРА-М,2026 - 363 с.(СПО)(п)</t>
  </si>
  <si>
    <t>978-5-16-016811-1</t>
  </si>
  <si>
    <t>00.02.32, 05.01.01, 09.02.01, 13.02.05, 21.02.13, 26.02.04, 27.02.01, 27.02.06, 27.02.07, 55.02.01</t>
  </si>
  <si>
    <t>753740.01.01</t>
  </si>
  <si>
    <t>Метрология, стандартизация, сертификация: Уч. / А.А.Канке, - 2 изд.-М.:НИЦ ИНФРА-М,2023.-363 с.(ВО)(п)</t>
  </si>
  <si>
    <t>978-5-16-016835-7</t>
  </si>
  <si>
    <t>00.03.34, 27.03.01, 27.04.01</t>
  </si>
  <si>
    <t>079950.23.01</t>
  </si>
  <si>
    <t>Метрология, стандартизация, сертификация: Уч. / И.П.Кошевая, - М.:Форум, НИЦ ИНФРА-М,2022.-415 с.(П)</t>
  </si>
  <si>
    <t>МЕТРОЛОГИЯ, СТАНДАРТИЗАЦИЯ, СЕРТИФИКАЦИЯ, ИЗД.1</t>
  </si>
  <si>
    <t>Кошевая И.П., Канке А.А.</t>
  </si>
  <si>
    <t>978-5-16-013572-4</t>
  </si>
  <si>
    <t>682981.05.01</t>
  </si>
  <si>
    <t>Метрология, стандартизация, сертификация: Уч.пос. / А.И.Аристов.-М.:НИЦ ИНФРА-М,2023.-256 с.(П)</t>
  </si>
  <si>
    <t>Аристов А.И., Приходько В.М., Сергеев И.Д. и др.</t>
  </si>
  <si>
    <t>978-5-16-013964-7</t>
  </si>
  <si>
    <t>00.02.32, 09.02.01, 15.02.09, 15.02.16, 15.02.18, 18.02.04, 18.02.12, 18.02.13, 23.02.03, 23.02.07, 26.02.02, 27.02.07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</si>
  <si>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5 от 11.03.2019)</t>
  </si>
  <si>
    <t>108800.12.01</t>
  </si>
  <si>
    <t>Метрология: Уч. / О.Б.Бавыкин и др. - 3 изд. - М.:Форум, НИЦ ИНФРА-М,2026 - 522 с.(ВО)(П)</t>
  </si>
  <si>
    <t>МЕТРОЛОГИЯ, ИЗД.3</t>
  </si>
  <si>
    <t>Бавыкин О.Б., Вячеславова О.Ф., Грибанов Д.Д. и др.</t>
  </si>
  <si>
    <t>978-5-00091-790-9</t>
  </si>
  <si>
    <t>07.03.02, 07.03.03, 07.03.04, 08.03.01, 09.03.01, 09.03.02, 09.03.03, 09.03.04, 10.03.01, 11.03.01, 11.03.02, 11.03.03, 11.03.04, 12.03.01, 12.03.02, 12.03.03, 12.03.04, 12.03.05, 13.03.01, 13.03.02, 13.03.03, 14.03.01, 14.03.02, 15.03.01, 15.03.02, 15.03.03, 15.03.04, 15.03.05, 15.03.06, 16.03.01, 16.03.02, 16.03.03, 17.03.01, 18.03.01, 18.03.02, 19.03.01, 19.03.02, 19.03.03, 19.03.04, 20.03.01, 20.03.02, 21.03.01, 21.03.02, 21.03.03, 22.03.01, 22.03.02, 23.03.01, 23.03.02, 23.03.03, 24.03.01, 24.03.02, 24.03.03, 24.03.04, 24.03.05, 25.03.01, 25.03.02, 25.03.03, 25.03.04, 26.03.01, 26.03.02, 27.03.01, 27.03.02, 27.03.03, 27.03.04, 27.03.05, 28.03.01, 28.03.02, 28.03.03, 29.03.01, 29.03.02, 29.03.03, 29.03.04, 29.03.05</t>
  </si>
  <si>
    <t>Рекомендовано Учебно-методическим советом ВО в качестве учебника для студентов высших учебных заведений, обучающихся по техническим направлениям подготовки (квалификация (степень) «бакалавр»)</t>
  </si>
  <si>
    <t>444450.09.01</t>
  </si>
  <si>
    <t>Механизация животноводства: дипломное и курсовое проект...: Уч.пос. / Р.Ф.Филонов - ИНФРА-М,2027 - 427 с.(п)</t>
  </si>
  <si>
    <t>МЕХАНИЗАЦИЯ ЖИВОТНОВОДСТВА: ДИПЛОМНОЕ И КУРСОВОЕ ПРОЕКТИРОВАНИЕ ПО МЕХАНИЗАЦИИ ЖИВОТНОВОДСТВА, ИЗД.1</t>
  </si>
  <si>
    <t>Филонов Р. Ф., Мурусидзе Д. Н., Кирсанов В. В., Мирзоянц Ю. А.</t>
  </si>
  <si>
    <t>978-5-16-004340-1</t>
  </si>
  <si>
    <t>Допущено Учебно-методическим объединением вузов по агроинженерному образованию в качестве учебного пособия для студентов-бакалавров высших учебных заведений, обучающихся по направлению подготовки 35.03.06 (110800) «Агроинженерия»</t>
  </si>
  <si>
    <t>682982.05.01</t>
  </si>
  <si>
    <t>Механизация и технология животнов.: лаб. практ.: Уч.пос. / Ю.Г.Иванов - М:НИЦ ИНФРА-М,2026 - 208 с.(СПО)</t>
  </si>
  <si>
    <t>МЕХАНИЗАЦИЯ И ТЕХНОЛОГИЯ ЖИВОТНОВОДСТВА: ЛАБОРАТОРНЫЙ ПРАКТИКУМ, ИЗД.1</t>
  </si>
  <si>
    <t>Иванов Ю.Г., Филонов Р.Ф., Мурусидзе Д.Н.</t>
  </si>
  <si>
    <t>978-5-16-013972-2</t>
  </si>
  <si>
    <t>19.02.11, 19.02.12, 35.01.23, 35.01.27, 35.02.05, 35.02.07, 35.02.08, 35.02.16, 36.01.02, 36.02.01, 36.02.03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</si>
  <si>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35.02.07 «Механизация сельского хозяйства»</t>
  </si>
  <si>
    <t>381600.05.01</t>
  </si>
  <si>
    <t>Механизация и технология животноводства...: Уч.пос. / Ю.Г.Иванов.-М.:НИЦ ИНФРА-М,2023.-208 с.(ВО)(П)</t>
  </si>
  <si>
    <t>ИвановЮ.Г., ФилоновР.Ф., МурусидзеД.Н.</t>
  </si>
  <si>
    <t>978-5-16-011150-6</t>
  </si>
  <si>
    <t>35.03.06, 35.04.06</t>
  </si>
  <si>
    <t>Допущено Учебно-методическим объединением вузов по агроинженерному образованию в качестве учебного пособия для студентов-бакалавров высших учебных заведений, обучающихся по направлению подготовки 35.03.06 - Агроинженерия</t>
  </si>
  <si>
    <t>097268.18.01</t>
  </si>
  <si>
    <t>Механизация и технология животноводства: Уч. / В.В.Кирсанов и др. - М.:НИЦ ИНФРА-М,2026. - 585 с.(ВО)(П)</t>
  </si>
  <si>
    <t>МЕХАНИЗАЦИЯ И ТЕХНОЛОГИЯ ЖИВОТНОВОДСТВА, ИЗД.1</t>
  </si>
  <si>
    <t>Кирсанов В.В., Мурусидзе Д.Н., Некрашевич В.Ф. и др.</t>
  </si>
  <si>
    <t>978-5-16-005704-0</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</si>
  <si>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«Механизация сельского хозяйства» (направление 35.03.06 «Агроинженерия»)</t>
  </si>
  <si>
    <t>Федеральный научный агроинженерный центр ВИМ</t>
  </si>
  <si>
    <t>388600.12.01</t>
  </si>
  <si>
    <t>Механизация растениеводства: Уч. / Под ред. Солнцева В.Н. - М.:НИЦ ИНФРА-М,2026 - 383 с.(ВО)(П)</t>
  </si>
  <si>
    <t>МЕХАНИЗАЦИЯ РАСТЕНИЕВОДСТВА, ИЗД.1</t>
  </si>
  <si>
    <t>Солнцев В.Н., Тарасенко А.П., Оробинский В.И. и др.</t>
  </si>
  <si>
    <t>978-5-16-011186-5</t>
  </si>
  <si>
    <t>Рекомендовано учебно-методическим объединением вузов Российской Федерации в качестве учебника для студентов высших учебных заведений, обучающихся по направлению 35.03.04 «Агрономия»</t>
  </si>
  <si>
    <t>682983.10.01</t>
  </si>
  <si>
    <t>Механизация растениеводства: Уч. / Под ред. Солнцева В.Н. - М.:НИЦ ИНФРА-М,2026 - 383 с.-(СПО)(П)</t>
  </si>
  <si>
    <t>978-5-16-013973-9</t>
  </si>
  <si>
    <t>19.02.11, 19.02.12, 35.01.27, 35.01.30, 35.02.05, 35.02.07, 35.02.08, 35.02.16, 36.01.02, 36.02.03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</si>
  <si>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35.02.05 «Агрономия», 35.02.06 «Технология производства и переработки сельскохозяйственной продукции», 35.02.07 «Механизация сельского хозяйства»</t>
  </si>
  <si>
    <t>801665.03.01</t>
  </si>
  <si>
    <t>Механизм админ.-правового регулир. в сфере ВО: Моногр. / С.М.Рукавишников - М.:Юр. НОРМА,2026 - 128 с.(П)</t>
  </si>
  <si>
    <t>МЕХАНИЗМ АДМИНИСТРАТИВНО-ПРАВОВОГО РЕГУЛИРОВАНИЯ В СФЕРЕ ВЫСШЕГО ОБРАЗОВАНИЯ И ПОДГОТОВКИ НАУЧНО-ПЕДАГОГИЧЕСКИХ КАДРОВ, ИЗД.1</t>
  </si>
  <si>
    <t>С.М. Рукавишников</t>
  </si>
  <si>
    <t>978-5-00156-300-6</t>
  </si>
  <si>
    <t>38.04.03, 40.04.01, 40.06.01, 44.04.02, 44.06.01</t>
  </si>
  <si>
    <t>135500.07.01</t>
  </si>
  <si>
    <t>Механизм гражданско-правовой защиты /Ю.Н. Андреев -М.: Юр.Норма, НИЦ ИНФРА-М, 2022. -464 с.</t>
  </si>
  <si>
    <t>МЕХАНИЗМ ГРАЖДАНСКО-ПРАВОВОЙ ЗАЩИТЫ, ИЗД.1</t>
  </si>
  <si>
    <t>Андреев Ю. Н.</t>
  </si>
  <si>
    <t>978-5-91768-128-3</t>
  </si>
  <si>
    <t>465550.07.01</t>
  </si>
  <si>
    <t>Механизм компл. оценки и упр. рисками...: Моногр. / М.Р.Дзагоева-М.:НИЦ ИНФРА-М,2024-120с.(о)</t>
  </si>
  <si>
    <t>МЕХАНИЗМ КОМПЛЕКСНОЙ ОЦЕНКИ И УПРАВЛЕНИЯ РИСКАМИ ПРЕДПРИЯТИЙ ПРОМЫШЛЕННОСТИ, ИЗД.1</t>
  </si>
  <si>
    <t>Дзагоева М.Р., Цховребов А.Р., Комаева Л.Э.</t>
  </si>
  <si>
    <t>978-5-16-009698-8</t>
  </si>
  <si>
    <t>Северо-Осетинский государственный университет им. К.Л. Хетагурова</t>
  </si>
  <si>
    <t>400950.05.01</t>
  </si>
  <si>
    <t>Механизм образования и меры предотвр. деффектов..: Уч. пос./В.А.Коровин - Форум: Инфра-М, 2023-111 с. (о)</t>
  </si>
  <si>
    <t>МЕХАНИЗМ ОБРАЗОВАНИЯ И МЕРЫ ПРЕДОТВРАЩЕНИЯ ДЕФЕКТОВ ЧУГУННЫХ И СТАЛЬНЫХ ОТЛИВОК, ИЗД.1</t>
  </si>
  <si>
    <t>Коровин В. А., Леушин И. О.</t>
  </si>
  <si>
    <t>978-5-91134-686-7</t>
  </si>
  <si>
    <t>Нижегородский государственный технический университет им. Р.Е. Алексеева, ф-л Арзамасский политехнический институт</t>
  </si>
  <si>
    <t>638288.02.01</t>
  </si>
  <si>
    <t>Механизм этической ответственности судьи.: Моногр. / М.И.Клеандров-М.:Юр.Норма,НИЦ ИНФРА-М,2017-240с</t>
  </si>
  <si>
    <t>МЕХАНИЗМ ЭТИЧЕСКОЙ ОТВЕТСТВЕННОСТИ СУДЬИ: ПРОБЛЕМЫ ФОРМИРОВАНИЯ, ИЗД.1</t>
  </si>
  <si>
    <t>Клеандров М.И.</t>
  </si>
  <si>
    <t>978-5-91768-757-5</t>
  </si>
  <si>
    <t>851140.02.01</t>
  </si>
  <si>
    <t>Механизмы повышения эффтив. услуг универ. центров трансфера... / В.В.Куимов. - М.:НИЦ ИНФРА-М,2025. - 171 с.(п)</t>
  </si>
  <si>
    <t>МЕХАНИЗМЫ ПОВЫШЕНИЯ ЭФФЕКТИВНОСТИ УСЛУГ УНИВЕРСИТЕТСКИХ ЦЕНТРОВ ТРАНСФЕРА ТЕХНОЛОГИЙ, ИЗД.1</t>
  </si>
  <si>
    <t>Куимов В.В., Астанков К.С., Щербенко Е.В. и др.</t>
  </si>
  <si>
    <t>978-5-16-020890-9</t>
  </si>
  <si>
    <t>657429.04.01</t>
  </si>
  <si>
    <t>Механизмы управления государственными закупками: Моногр./ В.В.Иванов-М.:НИЦ ИНФРА-М,2020-207 с.(Науч.мысль)(П)</t>
  </si>
  <si>
    <t>МЕХАНИЗМЫ УПРАВЛЕНИЯ ГОСУДАРСТВЕННЫМИ ЗАКУПКАМИ, ИЗД.1</t>
  </si>
  <si>
    <t>Иванов В.В., Григ И.И.</t>
  </si>
  <si>
    <t>978-5-16-012870-2</t>
  </si>
  <si>
    <t>38.03.01, 38.04.04, 44.03.01</t>
  </si>
  <si>
    <t>473500.07.01</t>
  </si>
  <si>
    <t>Механика грунтов: Уч.пос. / А.З.Абуханов - 2 изд.-М.: НИЦ ИНФРА-М, 2024- 336с.-(ВО) (п)</t>
  </si>
  <si>
    <t>МЕХАНИКА ГРУНТОВ, ИЗД.2</t>
  </si>
  <si>
    <t>Абуханов А.З.</t>
  </si>
  <si>
    <t>978-5-16-018833-1</t>
  </si>
  <si>
    <t>08.03.01, 08.04.01, 20.03.02, 20.04.02</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</si>
  <si>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направлению подготовки 20.03.02 «Природообустройство и водопользование» (квалификация (степень) «бакалавр»)</t>
  </si>
  <si>
    <t>Грозненский государственный нефтяной технический университет им. академика М.Д. Миллионщикова</t>
  </si>
  <si>
    <t>257400.11.01</t>
  </si>
  <si>
    <t>Механика жидкости и газа (гидравлика): Уч. / А.Д.Гиргидов - 2 изд. - М.:НИЦ ИНФРА-М,2026 - 704 с.(ВО)(п)</t>
  </si>
  <si>
    <t>МЕХАНИКА ЖИДКОСТИ И ГАЗА (ГИДРАВЛИКА), ИЗД.2</t>
  </si>
  <si>
    <t>Гиргидов А.Д.</t>
  </si>
  <si>
    <t>978-5-16-020254-9</t>
  </si>
  <si>
    <t>01.03.03, 01.04.03, 03.03.01, 03.03.03, 03.04.02</t>
  </si>
  <si>
    <t>Рекомендовано Научно-методическим советом по механике Министерства образования и науки Российской Федерации в качестве учебника для студентов высших учебных заведений, обучающихся по техническим направлениям подготовки (бакалавриат и магистратура) и программам подготовки дипломированных технических специалистов</t>
  </si>
  <si>
    <t>Санкт-Петербургский государственный архитектурно-строительный университет</t>
  </si>
  <si>
    <t>257400.03.01</t>
  </si>
  <si>
    <t>Механика жидкости и газа (гидравлика): Уч. / А.Д.Гиргидов - М.:ИНФРА-М,2017.-704 с.-(ВО:Бак.)(П)</t>
  </si>
  <si>
    <t>МЕХАНИКА ЖИДКОСТИ И ГАЗА (ГИДРАВЛИКА), ИЗД.1</t>
  </si>
  <si>
    <t>978-5-16-009473-1</t>
  </si>
  <si>
    <t>297000.08.01</t>
  </si>
  <si>
    <t>Механика разрушения для строителей: Уч.пос. / Ю.В.Зайцев. - 2 изд. - М.:НИЦ ИНФРА-М,2027. - 216 с.(ВО)(П)</t>
  </si>
  <si>
    <t>МЕХАНИКА РАЗРУШЕНИЯ ДЛЯ СТРОИТЕЛЕЙ, ИЗД.2</t>
  </si>
  <si>
    <t>Зайцев Ю.В., Окольникова Г.Э., Доркин В.В.</t>
  </si>
  <si>
    <t>978-5-16-011824-6</t>
  </si>
  <si>
    <t>Рекомендовано УМО Московского государственного открытого университета в качестве учебного пособия для студентов вузов по направлению подготовки 07.03.01 «Архитектура» для дистанционных образовательных технологий открытого образования (квалификация (степень) «бакалавр»)</t>
  </si>
  <si>
    <t>707896.03.01</t>
  </si>
  <si>
    <t>Механика управляемого движения объектов: Уч.пос. / А.И.Бохонский - М.:НИЦ ИНФРА-М,2022 - 170 с.(ВО)(О)</t>
  </si>
  <si>
    <t>МЕХАНИКА УПРАВЛЯЕМОГО ДВИЖЕНИЯ ОБЪЕКТОВ, ИЗД.1</t>
  </si>
  <si>
    <t>Бохонский А.И., Варминская Н.И., Мозолевская Т.В.</t>
  </si>
  <si>
    <t>978-5-16-015464-0</t>
  </si>
  <si>
    <t>26.05.04, 26.05.05</t>
  </si>
  <si>
    <t>451750.06.01</t>
  </si>
  <si>
    <t>Механика. Основы расчёта и проектирования деталей машин: Уч. пос./В.А.Жуков - ИНФРА-М,2023-349с.(ВО)</t>
  </si>
  <si>
    <t>МЕХАНИКА. ОСНОВЫ РАСЧЁТА И ПРОЕКТИРОВАНИЯ ДЕТАЛЕЙ МАШИН, ИЗД.1</t>
  </si>
  <si>
    <t>Жуков В. А., Михайлов Ю. К.</t>
  </si>
  <si>
    <t>978-5-16-009218-8</t>
  </si>
  <si>
    <t>13.03.03, 15.03.03, 15.03.05, 16.03.03</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</si>
  <si>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направлениям подготовки и специальностям в области техники и технологии</t>
  </si>
  <si>
    <t>147300.07.01</t>
  </si>
  <si>
    <t>Механика: Уч. / В.Т.Батиенков и др. - М.:ИЦ РИОР, ИНФРА-М Изд. Дом,2025. - 512 с.(ВО)(п)</t>
  </si>
  <si>
    <t>МЕХАНИКА, ИЗД.1</t>
  </si>
  <si>
    <t>Батиенков В.Т., Волосухин В.А., Евтушенко С.И. и др.</t>
  </si>
  <si>
    <t>978-5-369-00757-0</t>
  </si>
  <si>
    <t>01.03.03, 02.03.03, 03.03.02, 03.03.03, 04.03.02</t>
  </si>
  <si>
    <t>Допущено Департаментом научно-технической политики и образования в качестве учебного пособия для студентов высших учебных заведений, обучающихся по направлению подготовки дипломированного специалиста 280400 Природоустройство</t>
  </si>
  <si>
    <t>668824.04.01</t>
  </si>
  <si>
    <t>Механика: Уч.пос. / И.В.Богомаз - М.:НИЦ ИНФРА-М, СФУ,2025 - 345 с.(ВО: Бакалавр. (СФУ))(П)</t>
  </si>
  <si>
    <t>Богомаз И.В.</t>
  </si>
  <si>
    <t>978-5-16-017429-7</t>
  </si>
  <si>
    <t>Допущено УМО вузов РФ по образованию в области архитектуры в качестве учебного пособия для студентов вузов, обучающихся по направлению «Архитектура»</t>
  </si>
  <si>
    <t>483523.13.01</t>
  </si>
  <si>
    <t>Механические испытания: металлы, сварные..: Уч. /В.В.Овчинников - М.:ИД ФОРУМ:НИЦ ИНФРА-М,2027-272с(п)</t>
  </si>
  <si>
    <t>МЕХАНИЧЕСКИЕ ИСПЫТАНИЯ: МЕТАЛЛЫ, СВАРНЫЕ СОЕДИНЕНИЯ, ПОКРЫТИЯ, ИЗД.1</t>
  </si>
  <si>
    <t>Овчинников В.В., Гуреева М.А.</t>
  </si>
  <si>
    <t>978-5-8199-0619-4</t>
  </si>
  <si>
    <t>15.02.19, 26.02.04</t>
  </si>
  <si>
    <t>Рекомендовано федеральным государственным учреждением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</si>
  <si>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364700.08.01</t>
  </si>
  <si>
    <t>Механические компоненты электроприв. машин..: Уч.пос. / А.В.Неменко - 2 изд. - М:Вуз.уч.,НИЦ ИНФРА-М,2025 - 376 с.(П)</t>
  </si>
  <si>
    <t>МЕХАНИЧЕСКИЕ КОМПОНЕНТЫ ЭЛЕКТРОПРИВОДА МАШИН: РАСЧЕТ И ПРОЕКТИРОВАНИЕ, ИЗД.2</t>
  </si>
  <si>
    <t>Неменко А.В.</t>
  </si>
  <si>
    <t>978-5-9558-0609-9</t>
  </si>
  <si>
    <t>Рекомендовано Учебно-методическим советом ВО в качестве учебного пособия для студентов высших учебных заведений, обучающихся по техническим направлениям подготовки (квалификация (степень) «бакалавр»)</t>
  </si>
  <si>
    <t>364700.03.01</t>
  </si>
  <si>
    <t>Механические компоненты электроприв. машин..: Уч.пос./А.В.Неменко-М:Вуз.уч.,НИЦ ИНФРА-М,2018-343с(П)</t>
  </si>
  <si>
    <t>МЕХАНИЧЕСКИЕ КОМПОНЕНТЫ ЭЛЕКТРОПРИВОДА МАШИН: РАСЧЕТ И ПРОЕКТИРОВАНИЕ, ИЗД.1</t>
  </si>
  <si>
    <t>978-5-9558-0441-5</t>
  </si>
  <si>
    <t>668588.07.01</t>
  </si>
  <si>
    <t>Механические свойства алюминиевых сплавов: Моногр. / Н.А.Грищенко - М.:НИЦ ИНФРА-М, СФУ,2026 - 195 с.(о)</t>
  </si>
  <si>
    <t>МЕХАНИЧЕСКИЕ СВОЙСТВА АЛЮМИНИЕВЫХ СПЛАВОВ, ИЗД.1</t>
  </si>
  <si>
    <t>Грищенко Н.А., Сидельников С.Б., Губанов И.Ю. и др.</t>
  </si>
  <si>
    <t>978-5-16-016397-0</t>
  </si>
  <si>
    <t>22.04.01, 22.04.02, 22.06.01</t>
  </si>
  <si>
    <t>668588.02.01</t>
  </si>
  <si>
    <t>Механические свойства алюминиевых сплавов: Моногр. / Н.А.Грищенко -М.:НИЦ ИНФРА-М, СФУ,2020-195с.(П)</t>
  </si>
  <si>
    <t>978-5-16-013301-0</t>
  </si>
  <si>
    <t>063720.09.01</t>
  </si>
  <si>
    <t>Механическое оборуд. производ. тугоплав. неметал..: Уч./ В.С.Севостьянов-М:НИЦ ИНФРА-М,2024-432с(СПО)(П)</t>
  </si>
  <si>
    <t>МЕХАНИЧЕСКОЕ ОБОРУДОВАНИЕ ПРОИЗВОДСТВА ТУГОПЛАВКИХ НЕМЕТАЛЛИЧЕСКИХ И СИЛИКАТНЫХ МАТЕРИАЛОВ И ИЗДЕЛИЙ, ИЗД.1</t>
  </si>
  <si>
    <t>Севостьянов В. С., Богданов В. С., Дубинин Н. Н., Уральский В. И.</t>
  </si>
  <si>
    <t>978-5-16-009102-0</t>
  </si>
  <si>
    <t>18.02.05, 18.02.13</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</si>
  <si>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«Производство тугоплавких неметаллических</t>
  </si>
  <si>
    <t>740728.01.01</t>
  </si>
  <si>
    <t>Механохимический метод полиров. поликристаллич. алмаз. покрытия/ Д.Н.Охлупин-М.:НИЦ ИНФРА-М,2021.-123 с(О)</t>
  </si>
  <si>
    <t>МЕХАНОХИМИЧЕСКИЙ МЕТОД ПОЛИРОВАНИЯ ПОЛИКРИСТАЛЛИЧЕСКОГО АЛМАЗНОГО ПОКРЫТИЯ, ИЗД.1</t>
  </si>
  <si>
    <t>Охлупин Д.Н., Королев А.В., Синев И.В.</t>
  </si>
  <si>
    <t>978-5-16-016420-5</t>
  </si>
  <si>
    <t>15.03.01, 15.03.05, 15.04.01, 15.04.05, 15.06.01</t>
  </si>
  <si>
    <t>795016.01.01</t>
  </si>
  <si>
    <t>Миграционная деят. как вид правоохранит. деят.: Моногр. / К.В.Трифонова-М.:НИЦ ИНФРА-М,2023.-343 с.(п)</t>
  </si>
  <si>
    <t>МИГРАЦИОННАЯ ДЕЯТЕЛЬНОСТЬ КАК ВИД ПРАВООХРАНИТЕЛЬНОЙ ДЕЯТЕЛЬНОСТИ, ИЗД.1</t>
  </si>
  <si>
    <t>Трифонова К.В.</t>
  </si>
  <si>
    <t>978-5-16-018204-9</t>
  </si>
  <si>
    <t>40.04.01, 40.05.01, 40.05.02, 40.06.01, 41.04.05, 41.06.01</t>
  </si>
  <si>
    <t>Российский государственный университет правосудия, Крымский ф-л</t>
  </si>
  <si>
    <t>646242.07.01</t>
  </si>
  <si>
    <t>Миграционная политика: опыт России и заруб. стран: Уч. / В.М.Капицын - М.:НИЦ ИНФРА-М,2026 - 418 с.-(ВО)(П)</t>
  </si>
  <si>
    <t>МИГРАЦИОННАЯ ПОЛИТИКА: ОПЫТ РОССИИ И ЗАРУБЕЖНЫХ СТРАН, ИЗД.1</t>
  </si>
  <si>
    <t>978-5-16-020260-0</t>
  </si>
  <si>
    <t>38.03.04, 38.04.04, 39.03.01, 39.04.01, 41.03.04, 41.03.05, 41.03.06, 41.04.04</t>
  </si>
  <si>
    <t>Рекомендовано Учебно-методическим советом ВО в качестве учебника для студентов высших учебных заведений, обучающихся по направлениям подготовки 39.03.01 «Социология», 41.03.04 «Политология», 38.03.04 «Государственное и муниципальное управление» (квалификация (степень) «бакалавр»)</t>
  </si>
  <si>
    <t>818589.01.01</t>
  </si>
  <si>
    <t>Миграционная правовая политика России: Моногр. / Л.В.Андриченко.-М.:Юр. НОРМА, НИЦ ИНФРА-М,2024.-288 с.(п)</t>
  </si>
  <si>
    <t>МИГРАЦИОННАЯ ПРАВОВАЯ ПОЛИТИКА РОССИИ: ТЕНДЕНЦИИ И ПУТИ РАЗВИТИЯ, ИЗД.1</t>
  </si>
  <si>
    <t>Андриченко Л.В., Дутов П., Емельянов А.С. и др.</t>
  </si>
  <si>
    <t>978-5-00156-352-5</t>
  </si>
  <si>
    <t>699269.04.01</t>
  </si>
  <si>
    <t>Миграционное законодательство РФ: тенденции.../Андриченко Л.В.-М.:Юр.Норма, НИЦ ИНФРА-М,2022-392с(П)</t>
  </si>
  <si>
    <t>МИГРАЦИОННОЕ ЗАКОНОДАТЕЛЬСТВО РОССИЙСКОЙ ФЕДЕРАЦИИ: ТЕНДЕНЦИИ РАЗВИТИЯ И ПРАКТИКА ПРИМЕНЕНИЯ, ИЗД.1</t>
  </si>
  <si>
    <t>Андриченко Л.В., Плюгина И.В.</t>
  </si>
  <si>
    <t>978-5-91768-989-0</t>
  </si>
  <si>
    <t>814638.01.01</t>
  </si>
  <si>
    <t>Миграционные процессы в условиях глобализации: Моногр. / К.В.Аршин - М.:НИЦ ИНФРА-М,2024. - 368 с.(п)</t>
  </si>
  <si>
    <t>МИГРАЦИОННЫЕ ПРОЦЕССЫ В УСЛОВИЯХ ГЛОБАЛИЗАЦИИ, ИЗД.1</t>
  </si>
  <si>
    <t>Аршин К.В.</t>
  </si>
  <si>
    <t>978-5-16-019312-0</t>
  </si>
  <si>
    <t>41.03.06, 41.04.05, 41.06.01</t>
  </si>
  <si>
    <t>Утверждено к печати решением Ученого совета Института философии РАН от 22 февраля 2024 г.</t>
  </si>
  <si>
    <t>785442.03.01</t>
  </si>
  <si>
    <t>Миграционный потенциал рос. регионов и перспективы единого... / М.Л.Галас - М.:НИЦ ИНФРА-М,2026. - 225 с.(П)</t>
  </si>
  <si>
    <t>МИГРАЦИОННЫЙ ПОТЕНЦИАЛ РОССИЙСКИХ РЕГИОНОВ И ПЕРСПЕКТИВЫ ЕДИНОГО ЕВРАЗИЙСКОГО РЫНКА ТРУДА, ИЗД.1</t>
  </si>
  <si>
    <t>Галас М.Л., Горошникова Т.А., Федорова И.Ю.</t>
  </si>
  <si>
    <t>978-5-16-017896-7</t>
  </si>
  <si>
    <t>38.04.01, 38.04.02, 38.06.01, 41.04.01, 41.04.04, 41.04.05, 46.04.01</t>
  </si>
  <si>
    <t>746304.01.01</t>
  </si>
  <si>
    <t>Миграция как способ реализации экологич. прав граждан: Моногр. / В.И.Евтушенко-М.:Юр.Норма,2020.-176 с.(П)</t>
  </si>
  <si>
    <t>МИГРАЦИЯ КАК СПОСОБ РЕАЛИЗАЦИИ ЭКОЛОГИЧЕСКИХ ПРАВ ГРАЖДАН, ИЗД.1</t>
  </si>
  <si>
    <t>Евтушенко В.И., Шпаковский Ю.Г.</t>
  </si>
  <si>
    <t>978-5-00156-105-7</t>
  </si>
  <si>
    <t>650909.06.01</t>
  </si>
  <si>
    <t>Микробиологические основы природ. заквас. мол.: Уч.мет.пос. / О.Д.Сидоренко - 2 изд, - М.:НИЦ ИНФРА-М,2027 - 230 с.(П)</t>
  </si>
  <si>
    <t>МИКРОБИОЛОГИЧЕСКИЕ ОСНОВЫ ПРИРОДНОЙ ЗАКВАСКИ МОЛОКА, ИЗД.2</t>
  </si>
  <si>
    <t>978-5-16-022349-0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</si>
  <si>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35.03.07 «Технология производства и переработки сельскохозяйственной продукции», 19.03.03 и 19.04.03 «Продукты питания животного происхождения» (протокол № 12 от 24.06.2019)</t>
  </si>
  <si>
    <t>650909.02.01</t>
  </si>
  <si>
    <t>Микробиологические основы природной закваски молока: Уч.мет.пос. / О.Д.Сидоренко-М.:НИЦ ИНФРА-М,2020-190с</t>
  </si>
  <si>
    <t>МИКРОБИОЛОГИЧЕСКИЕ ОСНОВЫ ПРИРОДНОЙ ЗАКВАСКИ МОЛОКА, ИЗД.1</t>
  </si>
  <si>
    <t>978-5-16-012751-4</t>
  </si>
  <si>
    <t>470950.06.01</t>
  </si>
  <si>
    <t>Микробиология продуктов животноводства (практ.рук.): Уч.пос./О.Д.Сидоренко-НИЦ ИНФРА-М,2024-172с(ВО)(о)</t>
  </si>
  <si>
    <t>МИКРОБИОЛОГИЯ ПРОДУКТОВ ЖИВОТНОВОДСТВА (ПРАКТИЧЕСКОЕ РУКОВОДСТВО), ИЗД.1</t>
  </si>
  <si>
    <t>978-5-16-019239-0</t>
  </si>
  <si>
    <t>35.03.07, 36.03.01</t>
  </si>
  <si>
    <t>Рекомендовано в качестве учебного пособия для студентов высших учебных заведений, обучающихся по направлению подготовки 35.03.07 «Технология производства и переработки сельскохозяйственной продукции» (квалификация (степень) «бакалавр»)</t>
  </si>
  <si>
    <t>096550.09.01</t>
  </si>
  <si>
    <t>Микробиология, физиол. питания, санитар.: Уч.пос. / Е.А.Рубина-2изд.-М.:Форум,НИЦ ИНФРА-М,2017-240с.</t>
  </si>
  <si>
    <t>МИКРОБИОЛОГИЯ, ФИЗИОЛОГИЯ ПИТАНИЯ, САНИТАРИЯ, ИЗД.2</t>
  </si>
  <si>
    <t>Рубина Е. А., Малыгина В. Ф.</t>
  </si>
  <si>
    <t>978-5-00091-058-0</t>
  </si>
  <si>
    <t>18.02.15, 19.01.17, 19.01.18, 19.01.19, 19.02.10, 19.02.11, 19.02.12, 19.02.13, 31.02.01, 31.02.02, 32.02.01, 33.02.01, 34.02.01, 35.01.16, 35.01.23, 35.01.24, 35.01.27, 35.02.05, 35.02.09, 35.02.10, 36.02.03, 38.01.02, 43.01.01, 43.01.04, 43.01.09, 43.02.15, 43.02.17, 35.01.34</t>
  </si>
  <si>
    <t>096550.18.01</t>
  </si>
  <si>
    <t>Микробиология, физиология питания, санитария: Уч.пос. / Е.А.Рубина - 2 изд. - М.:НИЦ ИНФРА-М,2026. - 240 с.(п)</t>
  </si>
  <si>
    <t>978-5-16-013287-7</t>
  </si>
  <si>
    <t>Рекомендовано Методическим советом Учебно-методического центра по профессиональному образованию Департамента образования города Москвы в качестве учебного пособия для студентов среднего профессионального образования</t>
  </si>
  <si>
    <t>798328.01.01</t>
  </si>
  <si>
    <t>Микробиология. Практикум: Уч. пос./ Н.Н.Минина - М.:НИЦ ИНФРА-М,2025. - 381 с.(ВО)(п)</t>
  </si>
  <si>
    <t>МИКРОБИОЛОГИЯ. ПРАКТИКУМ, ИЗД.1</t>
  </si>
  <si>
    <t>Минина Н.Н.</t>
  </si>
  <si>
    <t>978-5-16-018245-2</t>
  </si>
  <si>
    <t>Уфимский Университет Науки и Технологий, Бирский ф-л</t>
  </si>
  <si>
    <t>698699.07.01</t>
  </si>
  <si>
    <t>Микробиология. Практикум: Уч.пос. / В.Н.Кисленко - М.:НИЦ ИНФРА-М,2026 - 239 с.-(ВО)(П)</t>
  </si>
  <si>
    <t>978-5-16-022200-4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</si>
  <si>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36.03.01 «Ветеринарно-санитарная экспертиза» (квалификация (степень) «бакалавр») (протокол № 17 от 11.11.2019)</t>
  </si>
  <si>
    <t>685787.07.01</t>
  </si>
  <si>
    <t>Микробиология: Уч. / М.В.Гернет и др. - М.:НИЦ ИНФРА-М,2024 - 263 с.-(ВО)(п)</t>
  </si>
  <si>
    <t>МИКРОБИОЛОГИЯ, ИЗД.1</t>
  </si>
  <si>
    <t>Гернет М.В., Ильяшенко Н.Г., Шабурова Л.Н.</t>
  </si>
  <si>
    <t>978-5-16-018959-8</t>
  </si>
  <si>
    <t>06.03.01, 18.04.01, 19.03.01, 19.03.02, 30.05.03, 31.05.02, 31.05.03, 32.05.01, 33.04.01, 33.05.01, 34.03.01, 35.03.03, 35.03.04, 35.03.05, 35.03.07, 35.03.08, 36.03.01, 38.03.07, 44.03.05, 54.03.04</t>
  </si>
  <si>
    <t>742686.04.01</t>
  </si>
  <si>
    <t>Микробиология: Уч. / М.В.Гернет и др. - М.:НИЦ ИНФРА-М,2026 - 263 с.-(СПО)(П)</t>
  </si>
  <si>
    <t>978-5-16-016454-0</t>
  </si>
  <si>
    <t>08.02.04, 19.02.10, 31.02.01, 31.02.02, 31.02.03, 32.02.01, 33.02.01, 34.02.01, 43.02.15, 43.02.17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</si>
  <si>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19.00.00 «Промышленная экология и биотехнологии» (протокол № 8 от 22.06.2020)</t>
  </si>
  <si>
    <t>774983.01.01</t>
  </si>
  <si>
    <t>Микробиология: Уч. / Н.Н.Минина-М.:НИЦ ИНФРА-М,2024.-251 с.(ВО)(п)</t>
  </si>
  <si>
    <t>978-5-16-017645-1</t>
  </si>
  <si>
    <t>064600.13.01</t>
  </si>
  <si>
    <t>Микробиология: Уч. / О.Д.Сидоренко - 2 изд. - М.:НИЦ ИНФРА-М,2026. - 368 с. (ВО)(п)</t>
  </si>
  <si>
    <t>МИКРОБИОЛОГИЯ, ИЗД.2</t>
  </si>
  <si>
    <t>978-5-16-019471-4</t>
  </si>
  <si>
    <t>35.03.04, 44.03.05</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</si>
  <si>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35.03.07 «Технология производства и переработки сельскохозяйственной продукции»</t>
  </si>
  <si>
    <t>305500.08.01</t>
  </si>
  <si>
    <t>Микробиология: Уч. /В.Н.Кисленко - М.:НИЦ ИНФРА-М,2026. - 272 с.(ВО: Бакалавриат)(П)</t>
  </si>
  <si>
    <t>В.Н.Кисленко, М.Ш.Азаев</t>
  </si>
  <si>
    <t>978-5-16-010250-4</t>
  </si>
  <si>
    <t>36.03.01, 44.03.05</t>
  </si>
  <si>
    <t>064600.11.01</t>
  </si>
  <si>
    <t>Микробиология: Уч. для агротехнологов/ О.Д.Сидоренко.-М.:НИЦ ИНФРА-М,2024.-286 с.(ВО)(о)</t>
  </si>
  <si>
    <t>Сидоренко О. Д., Борисенко Е. Г., Ванькова А. А., Войно Л. И.</t>
  </si>
  <si>
    <t>978-5-16-018764-8</t>
  </si>
  <si>
    <t>649797.08.01</t>
  </si>
  <si>
    <t>Микроорганизмы и окружающая среда: Уч.пос. / Н.Г.Ильяшенко, - 2 изд. - М.:НИЦ ИНФРА-М,2026 - 195 с.(ВО)</t>
  </si>
  <si>
    <t>МИКРООРГАНИЗМЫ И ОКРУЖАЮЩАЯ СРЕДА, ИЗД.2</t>
  </si>
  <si>
    <t>Ильяшенко Н.Г., Шабурова Л.Н.</t>
  </si>
  <si>
    <t>978-5-16-018530-9</t>
  </si>
  <si>
    <t>19.03.02, 19.03.04, 19.04.04, 38.03.07</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</si>
  <si>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высших учебных заведений, обучающихся по направлениям 19.03.02 «Продукты питания из растительного сырья», 19.03.04 «Технология продукции и организация общественного питания», 38.03.07 «Товароведение» (квалификация (степень) «бакалавр»)</t>
  </si>
  <si>
    <t>678054.05.01</t>
  </si>
  <si>
    <t>Микроорганизмы рода Nocardia и разлож.гумуса: Моногр. / Е.З.Теппер - М.:НИЦ ИНФРА-М,2025 - 224 с.(П)</t>
  </si>
  <si>
    <t>МИКРООРГАНИЗМЫ РОДА NOCARDIA И РАЗЛОЖЕНИЕ ГУМУСА, ИЗД.1</t>
  </si>
  <si>
    <t>Теппер Е.З.</t>
  </si>
  <si>
    <t>978-5-16-013645-5</t>
  </si>
  <si>
    <t>06.03.01, 06.04.01, 35.03.03</t>
  </si>
  <si>
    <t>678054.06.01</t>
  </si>
  <si>
    <t>978-5-16-020524-3</t>
  </si>
  <si>
    <t>711172.12.01</t>
  </si>
  <si>
    <t>Микропроцессорные системы: Уч.  / В.В.Гуров - М.:НИЦ ИНФРА-М,2026  - 336 с.(СПО)(П)</t>
  </si>
  <si>
    <t>МИКРОПРОЦЕССОРНЫЕ СИСТЕМЫ, ИЗД.1</t>
  </si>
  <si>
    <t>Гуров В.В.</t>
  </si>
  <si>
    <t>978-5-16-015323-0</t>
  </si>
  <si>
    <t>09.02.01, 09.02.02, 09.02.03, 09.02.04, 09.02.05, 09.02.06, 09.02.07, 09.02.08, 09.02.09, 09.02.10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</si>
  <si>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6 от 25.03.2019)</t>
  </si>
  <si>
    <t>286700.10.01</t>
  </si>
  <si>
    <t>Микропроцессорные системы: Уч. / В.В.Гуров - М.:НИЦ ИНФРА-М,2026. - 336 с.-(ВО: Бакалавриат)(П)</t>
  </si>
  <si>
    <t>978-5-16-009950-7</t>
  </si>
  <si>
    <t>09.03.01, 09.03.02, 09.03.03, 09.03.04, 09.04.01, 09.04.02, 09.04.03, 09.04.04</t>
  </si>
  <si>
    <t>Допущено Учебно-методическим объединением по образованию в области прикладной информатики в качестве учебника для студентов высших учебных заведений, обучающихся по направлению 09.03.03 «Прикладная информатика»</t>
  </si>
  <si>
    <t>060100.16.01</t>
  </si>
  <si>
    <t>Микросоциология семьи: Уч. / А.И.Антонов - 3 изд. - М.:НИЦ ИНФРА-М,2026 - 368 с.(ВО)(П)</t>
  </si>
  <si>
    <t>МИКРОСОЦИОЛОГИЯ СЕМЬИ, ИЗД.3</t>
  </si>
  <si>
    <t>Антонов А.И.</t>
  </si>
  <si>
    <t>978-5-16-022233-2</t>
  </si>
  <si>
    <t>Допущено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направлению подготовки 39.03.01 «Социология» (квалификация (степень) «бакалавр»)</t>
  </si>
  <si>
    <t>060100.09.01</t>
  </si>
  <si>
    <t>Микросоциология семьи: Уч./ А.И.Антонов - 2 изд. - М.:ИНФРА-М,2018-368с(Классический универ. уч.)(п)</t>
  </si>
  <si>
    <t>МИКРОСОЦИОЛОГИЯ СЕМЬИ, ИЗД.2</t>
  </si>
  <si>
    <t>Антонов А. И.</t>
  </si>
  <si>
    <t>Классический университетский учебник</t>
  </si>
  <si>
    <t>5-16-002250-3</t>
  </si>
  <si>
    <t>Допущено Учебно-методическим объединением по классическому университетскому образованию в качестве учебника для студентов высших учебных заведенений, обучающихся по специальности 020300 "Социология"</t>
  </si>
  <si>
    <t>639510.08.01</t>
  </si>
  <si>
    <t>Микросхемотехника: Уч. / А.К.Черепанов - М.:НИЦ ИНФРА-М, 2026 - 292 с.(ВО)(П)</t>
  </si>
  <si>
    <t>МИКРОСХЕМОТЕХНИКА, ИЗД.1</t>
  </si>
  <si>
    <t>Черепанов А.К.</t>
  </si>
  <si>
    <t>978-5-16-018847-8</t>
  </si>
  <si>
    <t>11.03.04, 28.03.01</t>
  </si>
  <si>
    <t>Рекомендовано в качестве учебника для студентов высших учебных заведений, обучающихся по направлениям подготовки 11.03.01 «Радиотехника», 11.03.02 «Инфокоммуникационные технологии и системы связи», 11.03.03 «Конструирование и технология электронных средств», 11.03.04 «Электроника и наноэлектроника» (квалификация (степень) «бакалавр»)</t>
  </si>
  <si>
    <t>719248.08.01</t>
  </si>
  <si>
    <t>Микросхемотехника: Уч. / А.К.Черепанов - М.:НИЦ ИНФРА-М,2026 - 292 с.(СПО)(П)</t>
  </si>
  <si>
    <t>978-5-16-015613-2</t>
  </si>
  <si>
    <t>09.02.01, 11.02.03, 11.02.06, 11.02.07, 11.02.09, 11.02.11, 11.02.14, 11.02.15, 11.02.17, 11.02.18, 12.02.01, 12.02.03, 12.02.05, 12.02.06, 13.02.12, 13.02.13, 15.02.07, 15.02.17, 27.02.04, 53.02.08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</si>
  <si>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11.02.00 «Электроника, радиотехника и системы связи» (протокол № 12 от 24.06.2019)</t>
  </si>
  <si>
    <t>134200.15.01</t>
  </si>
  <si>
    <t>Микроэкономика для продвинутых: задачи и реш.: Уч.пос. / А.П.Киреев - М.:, ИНФРА-М,2026 - 160 с.(П)</t>
  </si>
  <si>
    <t>МИКРОЭКОНОМИКА ДЛЯ ПРОДВИНУТЫХ: ЗАДАЧИ И РЕШЕНИЯ, ИЗД.1</t>
  </si>
  <si>
    <t>Киреев А. П., Киреев П. А.</t>
  </si>
  <si>
    <t>978-5-16-022250-9</t>
  </si>
  <si>
    <t>38.03.01, 38.03.02, 38.04.01, 38.04.02, 38.04.08, 38.04.09, 38.06.01</t>
  </si>
  <si>
    <t>650834.07.01</t>
  </si>
  <si>
    <t>Микроэкономика. Пос. для семинар. занятий / Под ред. Нуреева Р.М.-М.:Юр. НОРМА, НИЦ ИНФРА-М,2023.-400 с.(П)</t>
  </si>
  <si>
    <t>МИКРОЭКОНОМИКА, ИЗД.1</t>
  </si>
  <si>
    <t>978-5-91768-813-8</t>
  </si>
  <si>
    <t>213900.10.01</t>
  </si>
  <si>
    <t>Микроэкономика. Практикум: Уч.пос. / М.Ю.Малкина - М.:НИЦ ИНФРА-М,2026 - 176 с.-(ВО: Бакалавр.)(о)</t>
  </si>
  <si>
    <t>МИКРОЭКОНОМИКА. ПРАКТИКУМ, ИЗД.1</t>
  </si>
  <si>
    <t>Малкина М.Ю.</t>
  </si>
  <si>
    <t>978-5-16-005721-7</t>
  </si>
  <si>
    <t>460500.10.01</t>
  </si>
  <si>
    <t>Микроэкономика: Практикум / Р.М. Нуреев - М.:Юр.Норма, НИЦ ИНФРА-М, 2026 - 352 с. (п)</t>
  </si>
  <si>
    <t>978-5-91768-689-9</t>
  </si>
  <si>
    <t>407500.12.01</t>
  </si>
  <si>
    <t>Микроэкономика: Уч. / И.Н.Никулина - М.:НИЦ ИНФРА-М,2026. - 553 с.(ВО)(п)</t>
  </si>
  <si>
    <t>Никулина И. Н.</t>
  </si>
  <si>
    <t>978-5-16-022218-9</t>
  </si>
  <si>
    <t>38.03.01, 38.03.02, 38.03.03, 38.03.04, 38.04.01, 38.04.02, 38.04.03, 38.04.04, 38.04.08, 41.03.06, 44.03.01, 44.03.05</t>
  </si>
  <si>
    <t>Рекомендовано федеральным государственным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направлениям подго</t>
  </si>
  <si>
    <t>151900.11.01</t>
  </si>
  <si>
    <t>Микроэкономика: Уч. / Л.Е.Басовский - М.:НИЦ ИНФРА-М,2026. - 224 с.(ВО: Бакалавриат)(П)</t>
  </si>
  <si>
    <t>978-5-16-004927-4</t>
  </si>
  <si>
    <t>38.03.01, 38.04.01, 38.04.08, 44.03.01, 44.03.05</t>
  </si>
  <si>
    <t>Рекомендовано Учебно-методическим объединением по образованию в области экономики в качестве учебного пособия для студентов высших учебных заведений, обучающихся по направлению 080100 «Экономика»</t>
  </si>
  <si>
    <t>206900.08.01</t>
  </si>
  <si>
    <t>Микроэкономика: Уч. / М.Ю. Малкина - М.: НИЦ ИНФРА-М, 2024 - 395 с.(ВО: Бакалавриат) (п)</t>
  </si>
  <si>
    <t>978-5-16-005466-7</t>
  </si>
  <si>
    <t>38.03.01, 38.03.02, 38.03.03, 38.03.04, 38.03.05, 38.04.03, 41.03.06, 44.03.01, 44.03.05</t>
  </si>
  <si>
    <t>Рекомендовано в качестве учебника для студентов высших учебных заведений, обучающихся по направлениям 080100 «Экономика» и 080200 «Менеджмент»</t>
  </si>
  <si>
    <t>280100.10.01</t>
  </si>
  <si>
    <t>Микроэкономика: Уч. / Под ред. Г.П.Журавлевой и др. - М.:НИЦ ИНФРА-М,2027. -  415 с.(ВО: Бакалавр.)(п)</t>
  </si>
  <si>
    <t>Журавлева Г.П., Журавлева Г.П., Чередниченко Л.Г.</t>
  </si>
  <si>
    <t>978-5-16-006111-5</t>
  </si>
  <si>
    <t>410400.07.01</t>
  </si>
  <si>
    <t>Микроэкономика: Уч. пос./ Н.С. Косов. - М.: НИЦ ИНФРА-М, 2026 - 247 с.(ВО: Бакалавр.) (п)</t>
  </si>
  <si>
    <t>Косов Н. С., Саталкина Н. И., Терехова Г. И., Косов Н. С.</t>
  </si>
  <si>
    <t>978-5-16-006180-1</t>
  </si>
  <si>
    <t>Рекомендовано Учебно-методическим объединением вузов России по образованию в области экономики и экономической теории в качестве учебного пособия для студентов высших учебных заведений, обучающихся по направлению 080100 «Экономика» (квалификация (сте</t>
  </si>
  <si>
    <t>216800.08.01</t>
  </si>
  <si>
    <t>Микроэкономика: Уч.пос./ Под ред. Селищевой Т.А. - М.:НИЦ ИНФРА-М,2025 - 250 с(ВО)(П)</t>
  </si>
  <si>
    <t>Селищева Т.А., Боркова Е.А., Герман Л.А. и др.</t>
  </si>
  <si>
    <t>978-5-16-020681-3</t>
  </si>
  <si>
    <t>400350.06.01</t>
  </si>
  <si>
    <t>Микроэкономический механизм НТП...: Моногр. / М.А.Шерстнев - М.:НИЦ ИНФРА-М,2023-112с.(Науч.мысль)(о)</t>
  </si>
  <si>
    <t>МИКРОЭКОНОМИЧЕСКИЙ МЕХАНИЗМ НТП В РАЗВИТОЙ РЫНОЧНОЙ ЭКОНОМИКЕ (НА МАТЕРИАЛАХ ОБРАБАТЫВАЮЩЕЙ ПРОМЫШЛЕННОСТИ США ВО ВТОРОЙ ПОЛОВИНЕ ХХ СТОЛЕТИЯ), ИЗД.1</t>
  </si>
  <si>
    <t>Шерстнев М. А.</t>
  </si>
  <si>
    <t>978-5-16-005656-2</t>
  </si>
  <si>
    <t>739388.05.01</t>
  </si>
  <si>
    <t>Минеральная нефть: развитие представлений о..: Моногр. / Ю.И.Пиковский - М.:НИЦ ИНФРА-М,2026 - 350 с.(П)</t>
  </si>
  <si>
    <t>МИНЕРАЛЬНАЯ НЕФТЬ: РАЗВИТИЕ ПРЕДСТАВЛЕНИЙ О НЕОРГАНИЧЕСКОМ ПРОИСХОЖДЕНИИ МЕСТОРОЖДЕНИЙ НЕФТИ И ГАЗА, ИЗД.1</t>
  </si>
  <si>
    <t>Пиковский Ю.И.</t>
  </si>
  <si>
    <t>978-5-16-016645-2</t>
  </si>
  <si>
    <t>21.00.00, 05.03.01, 05.04.01, 05.06.01, 21.03.01, 21.04.01, 21.06.01</t>
  </si>
  <si>
    <t>466150.12.01</t>
  </si>
  <si>
    <t>Минеральные и костные нарушения при...: Моногр. / Милованова Л.Ю. - М.:НИЦ ИНФРА-М,2026 - 107 с.(О)</t>
  </si>
  <si>
    <t>МИНЕРАЛЬНЫЕ И КОСТНЫЕ НАРУШЕНИЯ ПРИ ХРОНИЧЕСКОЙ БОЛЕЗНИ ПОЧЕК: ПРОФИЛАКТИКА И ЛЕЧЕНИЕ. РУКОВОДСТВО ДЛЯ ВРАЧЕЙ, ИЗД.1</t>
  </si>
  <si>
    <t>Милованова Л.Ю., Милованов Ю.С., Козловская Л.В.</t>
  </si>
  <si>
    <t>978-5-16-009728-2</t>
  </si>
  <si>
    <t>768379.02.01</t>
  </si>
  <si>
    <t>Минеральные формации и петрология Тырныаузкого...: Моногр. / Е.Н.Граменицкий-М.:НИЦ ИНФРА-М,2024.-466 с.(П)</t>
  </si>
  <si>
    <t>МИНЕРАЛЬНЫЕ ФОРМАЦИИ И ПЕТРОЛОГИЯ ТЫРНЫАУЗКОГО ВОЛЬФРАМО-МОЛИБДЕНОВОГО МЕСТОРОЖДЕНИЯ, ИЗД.1</t>
  </si>
  <si>
    <t>Граменицкий Е.Н., Кононов О.В.</t>
  </si>
  <si>
    <t>978-5-16-017339-9</t>
  </si>
  <si>
    <t>05.03.01, 05.06.01</t>
  </si>
  <si>
    <t>000029.17.01</t>
  </si>
  <si>
    <t>Мини-грамматика англ. яз.: Справ. пос. / И.Е. Торбан - 3 изд. - М.: ИНФРА-М, 2026 - 112 с. (о. к/ф)</t>
  </si>
  <si>
    <t>МИНИ-ГРАММАТИКА АНГЛИЙСКОГО ЯЗЫКА, ИЗД.3</t>
  </si>
  <si>
    <t>978-5-16-003174-3</t>
  </si>
  <si>
    <t>00.02.02, 00.03.02, 00.05.02, 44.02.01</t>
  </si>
  <si>
    <t>843156.01.01</t>
  </si>
  <si>
    <t>Министерство внутр. дел Рос. империи..: Моногр. / А.А.Дерюгин. - М.:НИЦ ИНФРА-М,2025. - 152 с.(п)</t>
  </si>
  <si>
    <t>МИНИСТЕРСТВО ВНУТРЕННИХ ДЕЛ РОССИЙСКОЙ ИМПЕРИИ НА СТРАЖЕ ВНУТРЕННЕЙ И ВНЕШНЕЙ БЕЗОПАСНОСТИ ОТЕЧЕСТВА В XIX - НАЧ. XX ВВ. (ИСТОРИКО-ПРАВОВОЙ ОЧЕРК), ИЗД.1</t>
  </si>
  <si>
    <t>Дерюгин А.А., Доронин А.М., Крижановская Г.Н. и др.</t>
  </si>
  <si>
    <t>978-5-16-020474-1</t>
  </si>
  <si>
    <t>387000.04.01</t>
  </si>
  <si>
    <t>Мир политики. Философское измерение: Монография / А.И.Демидов-М.:Юр.Норма, НИЦ ИНФРА-М,2023-272с.(П)</t>
  </si>
  <si>
    <t>МИР ПОЛИТИКИ. ФИЛОСОФСКОЕ ИЗМЕРЕНИЕ, ИЗД.1</t>
  </si>
  <si>
    <t>Демидов А.И.</t>
  </si>
  <si>
    <t>978-5-91768-732-2</t>
  </si>
  <si>
    <t>40.03.01, 41.04.04, 44.03.01, 44.03.05, 47.03.01</t>
  </si>
  <si>
    <t>868847.01.01</t>
  </si>
  <si>
    <t>Мировая культура и искусство / Под ред. Садохина А.П., - 2 изд. - М.:НИЦ ИНФРА-М,2026. - 416 с.(Интересно знать)(п)</t>
  </si>
  <si>
    <t>МИРОВАЯ КУЛЬТУРА И ИСКУССТВО, ИЗД.2</t>
  </si>
  <si>
    <t>Толстикова И.И., Садохин А.П.</t>
  </si>
  <si>
    <t>978-5-16-021547-1</t>
  </si>
  <si>
    <t>08.02.03, 08.02.08, 12.03.01, 21.05.04, 23.03.01, 42.04.05, 50.03.01, 51.03.01, 51.03.04</t>
  </si>
  <si>
    <t>682984.10.01</t>
  </si>
  <si>
    <t>Мировая культура и искусство: Уч.пос. / И.И.Толстикова, - 2 изд. - М.:НИЦ ИНФРА-М,2026. - 418 с.(СПО)(п)</t>
  </si>
  <si>
    <t>Толстикова И.И.</t>
  </si>
  <si>
    <t>978-5-16-013974-6</t>
  </si>
  <si>
    <t>29.01.04, 29.01.09, 42.02.01, 43.02.02, 43.02.17, 50.02.01, 51.02.01, 51.02.02, 51.02.03, 52.02.03, 52.02.04, 52.02.05, 54.01.02, 54.01.05, 54.01.06, 54.01.13, 54.01.20, 54.02.01, 54.02.04, 54.02.06, 54.02.08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</si>
  <si>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50.02.01 «Мировая художественная культура», 51.02.01 «Народное художественное творчество (по видам)», 51.02.01«Социально-культурная деятельность (по видам)»</t>
  </si>
  <si>
    <t>152100.13.01</t>
  </si>
  <si>
    <t>Мировая культура и искусство: Уч.пос. / Толстикова И.И. - 2 изд. - М.:НИЦ ИНФРА-М,2026-418с(ВО)(п)</t>
  </si>
  <si>
    <t>978-5-16-019386-1</t>
  </si>
  <si>
    <t>00.03.05, 00.05.05, 44.03.01, 44.03.05, 51.03.01, 51.04.01</t>
  </si>
  <si>
    <t>Рекомендовано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51.03.01 «Культурология»</t>
  </si>
  <si>
    <t>689674.05.01</t>
  </si>
  <si>
    <t>Мировая худ. культура: Уч.пос. / М.С.Колесов - М.:НИЦ ИНФРА-М,2026 - 281 с.-(СПО (СевГУ))(п)</t>
  </si>
  <si>
    <t>МИРОВАЯ ХУДОЖЕСТВЕННАЯ КУЛЬТУРА, ИЗД.1</t>
  </si>
  <si>
    <t>Среднее профессиональное образование (СевГУ)</t>
  </si>
  <si>
    <t>978-5-16-015231-8</t>
  </si>
  <si>
    <t>29.01.04, 29.01.09, 42.02.01, 43.02.02, 43.02.17, 51.02.03, 52.02.03, 52.02.04, 52.02.05, 54.01.01, 54.01.02, 54.01.05, 54.01.06, 54.01.08, 54.01.09, 54.01.12, 54.01.13, 54.01.14, 54.01.15, 54.01.16, 54.01.17, 54.01.18, 54.01.19, 54.01.20, 54.02.01, 54.02.02, 54.02.03, 54.02.04, 54.02.05, 54.02.06, 54.02.07, 54.02.08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</si>
  <si>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программу среднего профессионального образования (протокол № 17 от 11.11.2019)</t>
  </si>
  <si>
    <t>764786.08.01</t>
  </si>
  <si>
    <t>Мировая экономика в период больших потрясений: Моногр. / Л.М.Григорьев - М.:НИЦ ИНФРА-М,2026. - 576 с.(П)</t>
  </si>
  <si>
    <t>МИРОВАЯ ЭКОНОМИКА В ПЕРИОД БОЛЬШИХ ПОТРЯСЕНИЙ, ИЗД.1</t>
  </si>
  <si>
    <t>Бобылев С.Н., Голяшев А.В., Григорьев Л.М. и др.</t>
  </si>
  <si>
    <t>978-5-16-017493-8</t>
  </si>
  <si>
    <t>38.04.01, 38.04.04, 38.05.01, 38.05.02, 38.06.01, 38.07.02, 41.04.05, 41.06.01, 41.07.01</t>
  </si>
  <si>
    <t>203500.08.01</t>
  </si>
  <si>
    <t>Мировая экономика и межд. эконом. отнош.: Уч. / Под ред. Поспелова В.К. - М.:НИЦ ИНФРА-М,2026-370с(ВО)</t>
  </si>
  <si>
    <t>МИРОВАЯ ЭКОНОМИКА И МЕЖДУНАРОДНЫЕ ЭКОНОМИЧЕСКИЕ ОТНОШЕНИЯ, ИЗД.1</t>
  </si>
  <si>
    <t>Смитиенко Б.М., Лукьянович Н.В., Медведева М.Б. и др.</t>
  </si>
  <si>
    <t>978-5-16-018896-6</t>
  </si>
  <si>
    <t>Рекомендовано в качестве учебника для студентов, обучающихся по направлению подготовки 38.03.01 «Экономика» (квалификация (степень) «бакалавр»)</t>
  </si>
  <si>
    <t>050963.13.01</t>
  </si>
  <si>
    <t>Мировая экономика и межд. эконом. отнош.: Уч./ Е.Д.Халевинская - 3изд.- Магистр: ИНФРА-М, 2024-400с (п)</t>
  </si>
  <si>
    <t>МИРОВАЯ ЭКОНОМИКА И МЕЖДУНАРОДНЫЕ ЭКОНОМИЧЕСКИЕ ОТНОШЕНИЯ, ИЗД.3</t>
  </si>
  <si>
    <t>978-5-9776-0266-2</t>
  </si>
  <si>
    <t>38.03.01, 38.03.04, 38.03.06, 38.04.01, 38.04.04, 38.04.06, 38.04.08, 38.05.01, 38.05.02, 41.03.04, 41.03.05, 41.03.06, 41.04.01, 41.04.04, 41.04.05, 44.03.05</t>
  </si>
  <si>
    <t>486400.07.01</t>
  </si>
  <si>
    <t>Мировая экономика и межд. эконом. отношения: Уч. / А.М.Могзоев - М.:ИЦ РИОР,НИЦ ИНФРА-М,2026 - 228 с.(ВО)(о)</t>
  </si>
  <si>
    <t>Могзоев А.М.</t>
  </si>
  <si>
    <t>978-5-369-01540-7</t>
  </si>
  <si>
    <t>38.03.01, 38.03.04, 38.05.02, 41.03.05, 44.03.05</t>
  </si>
  <si>
    <t>Московский университет им. С.Ю. Витте</t>
  </si>
  <si>
    <t>715482.04.01</t>
  </si>
  <si>
    <t>Мировая экономика и межд. эконом. отношения: Уч. / О.Н.Бабурина - М.:НИЦ ИНФРА-М,2023 - 275 с.(ВО)(П)</t>
  </si>
  <si>
    <t>Бабурина О.Н.</t>
  </si>
  <si>
    <t>Высшее образование: Бакалавриат (ГМУ им. адмирала Ф.Ф.Ушакова)</t>
  </si>
  <si>
    <t>978-5-16-015531-9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</si>
  <si>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направлений подготовки 38.03.00 «Экономика и управление» (квалификация (степень) «бакалавр») (протокол №9 от 28.09.2020)</t>
  </si>
  <si>
    <t>470200.09.01</t>
  </si>
  <si>
    <t>Мировая экономика и межд. эконом.отношения: Практ. / В.К.Поспелов - 2 изд. - М.:НИЦ ИНФРА-М,2026 - 164 с.(П)</t>
  </si>
  <si>
    <t>МИРОВАЯ ЭКОНОМИКА И МЕЖДУНАРОДНЫЕ ЭКОНОМИЧЕСКИЕ ОТНОШЕНИЯ, ИЗД.2</t>
  </si>
  <si>
    <t>Поспелов В.К., Миронова В.Н., Орлова Н.Л. и др.</t>
  </si>
  <si>
    <t>978-5-16-015806-8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</si>
  <si>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18 от 25.11.2019)</t>
  </si>
  <si>
    <t>470200.03.01</t>
  </si>
  <si>
    <t>Мировая экономика и междунар.эконом.отношения: Практ./ В.К.Поспелов-М.:Вуз.уч.,НИЦ ИНФРА-М,2018-136с</t>
  </si>
  <si>
    <t>978-5-9558-0481-1</t>
  </si>
  <si>
    <t>636130.06.01</t>
  </si>
  <si>
    <t>Мировая экономика и международные экон. отнош.: Уч.пос / В.И.Тихий-М.:ИЦ РИОР, НИЦ ИНФРА-М,2023.-259 с (П)</t>
  </si>
  <si>
    <t>Тихий В.И., Корева О.В.</t>
  </si>
  <si>
    <t>978-5-369-01620-6</t>
  </si>
  <si>
    <t>38.03.01, 38.03.02, 38.03.04, 38.04.02, 38.05.02, 41.03.05, 44.03.05</t>
  </si>
  <si>
    <t>Рекомендовано в качестве учебного пособия для студентов высших учебных заведений, обучающихся по направлениям "Экономика", "Менеджмент" (квалификация (степень) "бакалавр")</t>
  </si>
  <si>
    <t>833568.01.01</t>
  </si>
  <si>
    <t>Мировая экономика: Уч. / Е.В.Зенкина и др. - М.:НИЦ ИНФРА-М,2025. - 452 с.-(ВО)(п)</t>
  </si>
  <si>
    <t>МИРОВАЯ ЭКОНОМИКА, ИЗД.1</t>
  </si>
  <si>
    <t>Зенкина Е.В., Авдокушин Е.Ф., Акопян А.Р. и др.</t>
  </si>
  <si>
    <t>978-5-16-020071-2</t>
  </si>
  <si>
    <t>38.03.01, 41.04.05</t>
  </si>
  <si>
    <t>Рекомендовано Учебно-методическим советом высшего образования в качестве учебника для студентов высших учебных заведений, обучающихся по укрупненной группе направлений и специальностей подготовки 38.00.00 «Экономика и управление», а также для студентов технологических направлений и специальностей в части их подготовки по дисциплинам экономико-организационного и управленческого циклов</t>
  </si>
  <si>
    <t>034060.19.01</t>
  </si>
  <si>
    <t>Мировая экономика: Уч. / З.К.Раджабова - 5 изд. - М.:НИЦ ИНФРА-М,2026 - 369 с.-(ВО)(п)</t>
  </si>
  <si>
    <t>МИРОВАЯ ЭКОНОМИКА, ИЗД.5</t>
  </si>
  <si>
    <t>Раджабова З.К.</t>
  </si>
  <si>
    <t>978-5-16-018541-5</t>
  </si>
  <si>
    <t>38.03.01, 38.03.02, 38.03.04, 38.03.06, 38.04.01, 38.04.02, 38.04.04, 38.04.06, 38.04.08, 38.04.09, 38.05.01, 38.05.02, 41.03.05, 44.03.01, 44.03.05</t>
  </si>
  <si>
    <t>Рекомендовано УМО вузов России по образованию в области финансов, учета и мировой экономики в качестве учебника для студентов высших учебных заведений, обучающихся по направлению подготовки 38.03.01 «Экономика» (уровень бакалавриата)</t>
  </si>
  <si>
    <t>212300.05.01</t>
  </si>
  <si>
    <t>Мировая экономика: Уч. / И.С.Цыпин - 2 изд. - М.:НИЦ ИНФРА-М,2024 - 288 с.-(ВО: Бакалавриат)(П)</t>
  </si>
  <si>
    <t>МИРОВАЯ ЭКОНОМИКА, ИЗД.2</t>
  </si>
  <si>
    <t>978-5-16-019057-0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</si>
  <si>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6 от 16.06.2021)</t>
  </si>
  <si>
    <t>034060.12.01</t>
  </si>
  <si>
    <t>Мировая экономика: Уч. /З.К.Раджабова - М.:НИЦ ИНФРА-М,2017 - 344 с.-(ВО: Бакалавриат)(П)</t>
  </si>
  <si>
    <t>МИРОВАЯ ЭКОНОМИКА, ИЗД.4</t>
  </si>
  <si>
    <t>978-5-16-009874-6</t>
  </si>
  <si>
    <t>Рекомендовано УМО вузов России по образованию в области финансов, учета и мировой экономики в качестве учебника для студентов высших учебных заведений, обучающихся по направлению подготовки 38.03.01 (080100) -Экономика" (уровень бакалавриата)</t>
  </si>
  <si>
    <t>419550.06.01</t>
  </si>
  <si>
    <t>Мировая экономика: Уч. пос. / В.М.Кудров - М.:Магистр, НИЦ ИНФРА-М,2024.-416 с. (п)</t>
  </si>
  <si>
    <t>Кудров В. М.</t>
  </si>
  <si>
    <t>978-5-9776-0263-1</t>
  </si>
  <si>
    <t>38.03.01, 38.03.04, 38.04.01, 41.03.05, 44.03.05</t>
  </si>
  <si>
    <t>Институт Европы Российской академии наук</t>
  </si>
  <si>
    <t>388400.05.01</t>
  </si>
  <si>
    <t>Мировая экономика: Уч.пос. / М.А.Гуреева - М.:ИД ФОРУМ, НИЦ ИНФРА-М,2023-368с(ВО)</t>
  </si>
  <si>
    <t>М.А.Гуреева</t>
  </si>
  <si>
    <t>978-5-8199-0634-7</t>
  </si>
  <si>
    <t>Рекомендовано Учебно-методическим объединением вузов России по образованию в области финансов, учета и мировой экономики в качестве учебного пособия для студентов бакалавриата, обучающихся по профилю подготовки "Мировая экономика" по направлению подг</t>
  </si>
  <si>
    <t>268600.12.01</t>
  </si>
  <si>
    <t>Мировое комплексное регионовед.: Уч. / Под ред.Воскресенского А.Д. - М.,НИЦ ИНФРА-М,2026 - 416 с(П)</t>
  </si>
  <si>
    <t>МИРОВОЕ КОМПЛЕКСНОЕ РЕГИОНОВЕДЕНИЕ, ИЗД.1</t>
  </si>
  <si>
    <t>Воскресенский А. Д., Колдунова Е. В., Киреева А. А., Воскресенский А. Д.</t>
  </si>
  <si>
    <t>978-5-16-021319-4</t>
  </si>
  <si>
    <t>41.04.01, 41.04.04, 41.04.05</t>
  </si>
  <si>
    <t>Допущено Учебно-методическим объединением вузов Российской Федерации по образованию в области международных отношений в качестве учебника для студентов вузов, обучающихся по направлениям подготовки (специальностям) «Международные отношения» и «Зарубе</t>
  </si>
  <si>
    <t>381700.10.01</t>
  </si>
  <si>
    <t>Мировое комплексное регионовед.:Введ.в спец.: Уч. / А.Д.Воскресенский - М.:,НИЦ ИНФРА-М,2026 - 448 с.(П)</t>
  </si>
  <si>
    <t>МИРОВОЕ КОМПЛЕКСНОЕ РЕГИОНОВЕДЕНИЕ: ВВЕДЕНИЕ В СПЕЦИАЛЬНОСТЬ, ИЗД.1</t>
  </si>
  <si>
    <t>Воскресенский А.Д.</t>
  </si>
  <si>
    <t>978-5-16-022053-6</t>
  </si>
  <si>
    <t>41.03.01, 41.03.05, 41.03.06, 41.04.01, 41.04.05</t>
  </si>
  <si>
    <t>Допущено Учебно-методическим объединением вузов Российской Федерации по образованию в области международных отношений в качестве учебника для студентов вузов, обучающихся по направлениям подготовки (специальностям) "Международные отношения» и "Зарубе</t>
  </si>
  <si>
    <t>767764.01.01</t>
  </si>
  <si>
    <t>Мировоззренческая инволюция: причины...: Моногр. / А.А.Лагунов-М.:НИЦ ИНФРА-М,2022.-195 с.(Науч.мысль)(О)</t>
  </si>
  <si>
    <t>МИРОВОЗЗРЕНЧЕСКАЯ ИНВОЛЮЦИЯ: ПРИЧИНЫ, ПОСЛЕДСТВИЯ И ПЕРСПЕКТИВЫ, ИЗД.1</t>
  </si>
  <si>
    <t>Лагунов А.А.</t>
  </si>
  <si>
    <t>978-5-16-017325-2</t>
  </si>
  <si>
    <t>660674.05.01</t>
  </si>
  <si>
    <t>Мировой опыт анализа и прогноза тех-эконом.и науч..: Моногр. / С.В.Горбачев - М.:НИЦ ИНФРА-М,2024 - 121с.(О)</t>
  </si>
  <si>
    <t>МИРОВОЙ ОПЫТ АНАЛИЗА И ПРОГНОЗА ТЕХНИКО-ЭКОНОМИЧЕСКОГО И НАУЧНО-ТЕХНОЛОГИЧЕСКОГО РАЗВИТИЯ ГОСУДАРСТВА, ИЗД.1</t>
  </si>
  <si>
    <t>Горбачев С.В.</t>
  </si>
  <si>
    <t>978-5-16-013010-1</t>
  </si>
  <si>
    <t>468450.03.01</t>
  </si>
  <si>
    <t>Мировые товарные рынки: Уч.пос. / А.В.Хохлов-М.:Магистр, НИЦ ИНФРА-М,2018.-304 с..-(Бакалавриат)(О)</t>
  </si>
  <si>
    <t>МИРОВЫЕ ТОВАРНЫЕ РЫНКИ, ИЗД.1</t>
  </si>
  <si>
    <t>Хохлов А. В.</t>
  </si>
  <si>
    <t>978-5-9776-0322-5</t>
  </si>
  <si>
    <t>733607.07.01</t>
  </si>
  <si>
    <t>Миф о Наполеоне в рус. клас. XIX в. (А.С. Пушкин...): Моногр. / И.В.Артамонова - М.:НИЦ ИНФРА-М,2027 - 170 с.(О)</t>
  </si>
  <si>
    <t>МИФ О НАПОЛЕОНЕ В РУССКОЙ КЛАССИКЕ XIX ВЕКА (А.С. ПУШКИН, М.Ю. ЛЕРМОНТОВ, Н.В. ГОГОЛЬ), ИЗД.1</t>
  </si>
  <si>
    <t>Артамонова И.В.</t>
  </si>
  <si>
    <t>978-5-16-016107-5</t>
  </si>
  <si>
    <t>44.04.01, 44.06.01, 45.04.01, 45.06.01</t>
  </si>
  <si>
    <t>320900.06.01</t>
  </si>
  <si>
    <t>Мифологизация политической и правовой жизни: Моногр./Е.А.Лукашева - М.: Норма: ИНФРА-М,2023-272с.(п)</t>
  </si>
  <si>
    <t>МИФОЛОГИЗАЦИЯ ПОЛИТИЧЕСКОЙ И ПРАВОВОЙ ЖИЗНИ, ИЗД.1</t>
  </si>
  <si>
    <t>Лукашева Е.А.</t>
  </si>
  <si>
    <t>978-5-91768-567-0</t>
  </si>
  <si>
    <t>435400.06.01</t>
  </si>
  <si>
    <t>Мифология, философия и немножко теории систем: Моногр. / Л.А.Петрушенко-М.:НИЦ ИНФРА-М,2024.-118с(О)</t>
  </si>
  <si>
    <t>МИФОЛОГИЯ, ФИЛОСОФИЯ И НЕМНОЖКО ТЕОРИИ СИСТЕМ, ИЗД.1</t>
  </si>
  <si>
    <t>Петрушенко Л.А.</t>
  </si>
  <si>
    <t>978-5-16-011318-0</t>
  </si>
  <si>
    <t>01.04.01, 02.04.01, 09.03.03, 09.04.04, 10.04.01, 27.04.03, 38.04.05, 40.03.01, 41.03.04, 41.03.05, 41.04.04, 44.03.01, 44.03.05, 46.03.01, 47.03.01, 51.03.02</t>
  </si>
  <si>
    <t>232100.10.01</t>
  </si>
  <si>
    <t>Михаил Пришвин и Василий Розанов: мировоззрен..: Моногр./ А.М.Подоксенов - М.:РИОР:ИНФРА-М,2027 - 298 с.(о)</t>
  </si>
  <si>
    <t>МИХАИЛ ПРИШВИН И ВАСИЛИЙ РОЗАНОВ: МИРОВОЗЗРЕНЧЕСКИЕ КОНТЕКСТЫ ТВОРЧЕСКОГО ДИАЛОГА, ИЗД.1</t>
  </si>
  <si>
    <t>Подоксенов А.М.</t>
  </si>
  <si>
    <t>978-5-369-01272-7</t>
  </si>
  <si>
    <t>42.03.02, 44.03.05, 45.03.01, 47.03.01, 47.04.01, 51.03.01, 51.04.01</t>
  </si>
  <si>
    <t>751092.09.01</t>
  </si>
  <si>
    <t>Михаил Пришвин и рус. культура ХIХ-ХХ в.: Моногр. / А.М.Подоксенов - М.:НИЦ ИНФРА-М,2027 - 324 с.(О)</t>
  </si>
  <si>
    <t>МИХАИЛ ПРИШВИН И РУССКАЯ КУЛЬТУРА ХIХ-ХХ ВЕКОВ: ДИАЛОГИ С ЭПОХОЙ, ИЗД.1</t>
  </si>
  <si>
    <t>978-5-16-016854-8</t>
  </si>
  <si>
    <t>00.03.05, 00.03.09, 00.05.05, 00.05.09, 44.04.01, 44.06.01, 45.03.01, 45.04.01, 45.06.01, 51.04.01, 51.06.01</t>
  </si>
  <si>
    <t>756453.01.01</t>
  </si>
  <si>
    <t>Мнимая конкуренция: проблемы и пути их решения: Моногр.- М.:Юр.Норма, НИЦ ИНФРА-М,2021.-112 с.(О)</t>
  </si>
  <si>
    <t>МНИМАЯ КОНКУРЕНЦИЯ: ПРОБЛЕМЫ И ПУТИ ИХ РЕШЕНИЯ, ИЗД.1</t>
  </si>
  <si>
    <t>978-5-00156-168-2</t>
  </si>
  <si>
    <t>652126.08.01</t>
  </si>
  <si>
    <t>Многодиапазонные антенны на основе...: Моногр. / А.А.Савочкин - М.: НИЦ ИНФРА-М,2026 - 125 с.(О)</t>
  </si>
  <si>
    <t>МНОГОДИАПАЗОННЫЕ АНТЕННЫ НА ОСНОВЕ ФРАКТАЛЬНЫХ СТРУКТУР, ИЗД.1</t>
  </si>
  <si>
    <t>Савочкин А.А., Нудьга А.А.</t>
  </si>
  <si>
    <t>978-5-16-022231-8</t>
  </si>
  <si>
    <t>11.03.01, 11.04.01, 11.04.02</t>
  </si>
  <si>
    <t>415350.12.01</t>
  </si>
  <si>
    <t>Многоканальные телекоммуникац.сис: Уч.пос.: Ч.1 /А.Б.Тищенко - М.:ИЦ РИОР,НИЦ ИНФРА-М,2026 - 104 с.(о)</t>
  </si>
  <si>
    <t>МНОГОКАНАЛЬНЫЕ ТЕЛЕКОММУНИКАЦИОННЫЕ СИСТЕМЫ, ИЗД.1</t>
  </si>
  <si>
    <t>Тищенко А.Б., Сивоплясов Д.В., Сляднев А.А.</t>
  </si>
  <si>
    <t>978-5-369-01184-3</t>
  </si>
  <si>
    <t>Противопожарная и аварийно-спасательная служба Ставропольского края</t>
  </si>
  <si>
    <t>818512.02.01</t>
  </si>
  <si>
    <t>Многокритериальная оптимиз. в цепях поставок: Уч. / Г.Л.Бродецкий - М.:НИЦ ИНФРА-М,2026. - 340 с.(ВО)(п)</t>
  </si>
  <si>
    <t>МНОГОКРИТЕРИАЛЬНАЯ ОПТИМИЗАЦИЯ В ЦЕПЯХ ПОСТАВОК, ИЗД.1</t>
  </si>
  <si>
    <t>Бродецкий Г.Л., Герами В.Д., Гусев Д.А. и др.</t>
  </si>
  <si>
    <t>978-5-16-019550-6</t>
  </si>
  <si>
    <t>01.04.02, 09.04.03, 23.05.04, 38.04.02, 38.04.06, 38.05.02</t>
  </si>
  <si>
    <t>866817.01.01</t>
  </si>
  <si>
    <t>Многокритериальные решения в цепях поставок: Уч. / Г.Л.Бродецкий. - М.:НИЦ ИНФРА-М,2027. - 367 с.(ВО)(п)</t>
  </si>
  <si>
    <t>МНОГОКРИТЕРИАЛЬНЫЕ РЕШЕНИЯ В ЦЕПЯХ ПОСТАВОК, ИЗД.1</t>
  </si>
  <si>
    <t>978-5-16-021522-8</t>
  </si>
  <si>
    <t>27.03.05, 27.04.03, 27.04.05, 38.03.02, 38.04.01, 38.05.01, 38.05.02</t>
  </si>
  <si>
    <t>788754.02.01</t>
  </si>
  <si>
    <t>Многокритериальный выбор в исследованиях логистики: Уч. / Г.Л.Бродецкий. - М.:НИЦ ИНФРА-М,2024.-342с(ВО)(п)</t>
  </si>
  <si>
    <t>МНОГОКРИТЕРИАЛЬНЫЙ ВЫБОР В ИССЛЕДОВАНИЯХ ЛОГИСТИКИ, ИЗД.1</t>
  </si>
  <si>
    <t>Бродецкий Г.Л., Гусев Д.А., Шидловский И.Г.</t>
  </si>
  <si>
    <t>978-5-16-017994-0</t>
  </si>
  <si>
    <t>01.03.03, 01.04.03, 09.04.01, 38.03.02, 38.04.02, 38.05.02</t>
  </si>
  <si>
    <t>634885.03.01</t>
  </si>
  <si>
    <t>Многомерные статист. методы в экономике: Уч. / Л.И.Ниворожкина-М.:ИЦ РИОР, НИЦ ИНФРА-М,2023-203с.(О)</t>
  </si>
  <si>
    <t>МНОГОМЕРНЫЕ СТАТИСТИЧЕСКИЕ МЕТОДЫ В ЭКОНОМИКЕ, ИЗД.1</t>
  </si>
  <si>
    <t>Ниворожкина Л.И., Арженовский С.В.</t>
  </si>
  <si>
    <t>978-5-369-01621-3</t>
  </si>
  <si>
    <t>27.03.02, 27.04.05, 38.03.01, 38.03.02, 38.03.03, 38.03.04</t>
  </si>
  <si>
    <t>108350.13.01</t>
  </si>
  <si>
    <t>Многомерный стат. анализ в эконом. задачах: Уч. пос. / Под ред. И.В. Орловой - М.:Вуз. уч.,2026 - 310с.(П)</t>
  </si>
  <si>
    <t>МНОГОМЕРНЫЙ СТАТИСТИЧЕСКИЙ АНАЛИЗ В ЭКОНОМИЧЕСКИХ ЗАДАЧАХ: КОМПЬЮТЕРНОЕ МОДЕЛИРОВАНИЕ В SPSS, ИЗД.1</t>
  </si>
  <si>
    <t>Концевая Н.В., Орлова И.В., Турундаевский В.Б. и др.</t>
  </si>
  <si>
    <t>978-5-9558-0108-7</t>
  </si>
  <si>
    <t>Рекомендовано Научно-методическим советом по заочному экономическому образованию в качестве учебного пособия для студентов высших учебных заведений, обучающихся по экономическим специальностям</t>
  </si>
  <si>
    <t>872342.01.01</t>
  </si>
  <si>
    <t>Многоуровневая оптимизация расписаний процессов...: Моногр. / К.В.Кротов - М.:НИЦ ИНФРА-М,2026. - 205 с.(о)</t>
  </si>
  <si>
    <t>МНОГОУРОВНЕВАЯ ОПТИМИЗАЦИЯ РАСПИСАНИЙ ПРОЦЕССОВ ВЫПОЛНЕНИЯ ПАКЕТОВ ЗАДАНИЙ В КОНВЕЙЕРНЫХ СИСТЕМАХ, ИЗД.1</t>
  </si>
  <si>
    <t>Кротов К.В.</t>
  </si>
  <si>
    <t>978-5-16-021907-3</t>
  </si>
  <si>
    <t>02.03.01, 02.03.03, 02.04.01, 02.06.01</t>
  </si>
  <si>
    <t>668819.03.01</t>
  </si>
  <si>
    <t>Многоцелевая оптимизация и автомат.проект. упр..: Моногр./В.И.Пантелеев-М.:НИЦ ИНФРА-М, СФУ,2023-194с</t>
  </si>
  <si>
    <t>МНОГОЦЕЛЕВАЯ ОПТИМИЗАЦИЯ И АВТОМАТИЗИРОВАННОЕ ПРОЕКТИРОВАНИЕ УПРАВЛЕНИЯ КАЧЕСТВОМ ЭЛЕКТРОСНАБЖЕНИЯ В ЭЛЕКТРОЭНЕРГЕТИЧЕСКИХ СИСТЕМАХ, ИЗД.1</t>
  </si>
  <si>
    <t>Пантелеев В.И., Поддубных Л.Ф.</t>
  </si>
  <si>
    <t>978-5-16-013321-8</t>
  </si>
  <si>
    <t>13.04.02, 13.06.01</t>
  </si>
  <si>
    <t>308400.07.01</t>
  </si>
  <si>
    <t>Многоцелевые гусен.и колес.машины..: Уч.пос. / Под общ. ред.В.П.Бойкова - М.:НИЦ ИНФРА-М. 2025 - 350 с.:цв.ил.(ВО)</t>
  </si>
  <si>
    <t>МНОГОЦЕЛЕВЫЕ ГУСЕНИЧНЫЕ И КОЛЕСНЫЕ МАШИНЫ. ЭРГОНОМИКА И ДИЗАЙН, ИЗД.1</t>
  </si>
  <si>
    <t>В.П.Бойков</t>
  </si>
  <si>
    <t>978-5-16-021021-6</t>
  </si>
  <si>
    <t>15.03.01, 15.03.02, 15.04.01, 15.04.02, 15.04.05, 15.05.01, 23.03.02</t>
  </si>
  <si>
    <t>Допущено Научно-методическим советом по электротехнике и электронике Министерства образования и науки Российской Федерации в качестве учебника для студентов высших учебных заведений, обучающихся по неэлектротехническим направлениям подготовки бакалав</t>
  </si>
  <si>
    <t>175700.07.01</t>
  </si>
  <si>
    <t>Многоцелевые гусеничные и колес.машины.: Уч.пос. / В.П.Бойков - М.:НИЦ ИНФРА-М,2026 - 543 с.(П)</t>
  </si>
  <si>
    <t>МНОГОЦЕЛЕВЫЕ ГУСЕНИЧНЫЕ И КОЛЕСНЫЕ МАШИНЫ. ТЕОРИЯ, ИЗД.1</t>
  </si>
  <si>
    <t>Бойков В.П., Гуськов В.В., Коробкин В.А. и др.</t>
  </si>
  <si>
    <t>978-5-16-005514-5</t>
  </si>
  <si>
    <t>23.03.02, 23.04.02</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</si>
  <si>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«Тракторостроение», «Многоцелевые гусеничные и колесные машины»</t>
  </si>
  <si>
    <t>681419.07.01</t>
  </si>
  <si>
    <t>Многоцелевые гусеничные и колесные машины..: Уч.пос. / В.П.Бойков - М.:НИЦ ИНФРА-М,2026 - 296 с.(п)</t>
  </si>
  <si>
    <t>МНОГОЦЕЛЕВЫЕ ГУСЕНИЧНЫЕ И КОЛЕСНЫЕ МАШИНЫ. ПРОЕКТИРОВАНИЕ, ИЗД.1</t>
  </si>
  <si>
    <t>Бойков В.П., Гуськов В.В., Жданович Ч.И. и др.</t>
  </si>
  <si>
    <t>978-5-16-013772-8</t>
  </si>
  <si>
    <t>15.03.01, 15.03.05, 15.04.01, 15.05.01, 23.03.02, 23.04.02, 23.05.02</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</si>
  <si>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«Тракторостроение», «Многоцелевые гусеничные и колесные машины», «Дизайн гусеничных и колесных машин»</t>
  </si>
  <si>
    <t>668586.02.01</t>
  </si>
  <si>
    <t>Многоэтапный анализ архитект. надеж.и синтез..: Моногр. / А.С.Кузнецов-М.:НИЦ ИНФРА-М, СФУ,2020-143с</t>
  </si>
  <si>
    <t>МНОГОЭТАПНЫЙ АНАЛИЗ АРХИТЕКТУРНОЙ НАДЕЖНОСТИ И СИНТЕЗ ОТКАЗОУСТОЙЧИВОГО ПРОГРАММНОГО ОБЕСПЕЧЕНИЯ СЛОЖНЫХ СИСТЕМ, ИЗД.1</t>
  </si>
  <si>
    <t>Кузнецов А.С., Ченцов С.В., Царев Р.Ю.</t>
  </si>
  <si>
    <t>978-5-16-013303-4</t>
  </si>
  <si>
    <t>09.04.01, 09.04.02, 09.06.01</t>
  </si>
  <si>
    <t>668586.03.01</t>
  </si>
  <si>
    <t>Многоэтапный анализ архитект. надеж.и синтез..: Моногр. / А.С.Кузнецов-М.:НИЦ ИНФРА-М, СФУ,2024-143с(о)</t>
  </si>
  <si>
    <t>978-5-16-018977-2</t>
  </si>
  <si>
    <t>669492.04.01</t>
  </si>
  <si>
    <t>Мобильные средст.заправки воздуш. судов авиац....Уч.пос. / Ю.Ф.Кайзер- 2 изд.-М.:НИЦ ИНФРА-М, СФУ,2023-346с</t>
  </si>
  <si>
    <t>МОБИЛЬНЫЕ СРЕДСТВА ЗАПРАВКИ ВОЗДУШНЫХ СУДОВ АВИАЦИОННЫМИ ГОРЮЧЕ-СМАЗОЧНЫМИ МАТЕРИАЛАМИ, ИЗД.2</t>
  </si>
  <si>
    <t>Кайзер Ю.Ф., Подвезенный В.Н., Желукевич Р.Б. и др.</t>
  </si>
  <si>
    <t>978-5-16-013331-7</t>
  </si>
  <si>
    <t>25.03.04, 25.05.05</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</si>
  <si>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«Средства аэродромно-технического обеспечения полетов авиации» направления подготовки «Транспортные машины и транспортно-технологические комплексы» и специальности «Транспортные средства специального назначения» (специализация «Наземные транспортные средства и комплексы аэродромно-технического обеспечения полетов авиации»)</t>
  </si>
  <si>
    <t>403950.05.01</t>
  </si>
  <si>
    <t>Модели анализа рекламного текста: Уч. пос. / Н.В.Аниськина - М.: Форум:  НИЦ Инфра-М, 2023-304с.(ВО) (о)</t>
  </si>
  <si>
    <t>МОДЕЛИ АНАЛИЗА РЕКЛАМНОГО ТЕКСТА, ИЗД.1</t>
  </si>
  <si>
    <t>Аниськина Н. В.</t>
  </si>
  <si>
    <t>978-5-91134-675-1</t>
  </si>
  <si>
    <t>42.03.01, 42.03.02, 42.03.03, 45.03.01</t>
  </si>
  <si>
    <t>452150.08.01</t>
  </si>
  <si>
    <t>Модели и алгоритмы финанс. инвестирования: Уч. пос. / М.И.Лисица - М:Вуз. уч.: ИНФРА-М,2026 - 192 с.(п)</t>
  </si>
  <si>
    <t>МОДЕЛИ И АЛГОРИТМЫ ФИНАНСОВОГО ИНВЕСТИРОВАНИЯ, ИЗД.1</t>
  </si>
  <si>
    <t>Лисица М. И.</t>
  </si>
  <si>
    <t>978-5-9558-0341-8</t>
  </si>
  <si>
    <t>38.03.04, 38.04.01, 38.04.05, 38.04.08</t>
  </si>
  <si>
    <t>799216.01.01</t>
  </si>
  <si>
    <t>Модели и методы сис. анализа в исслед. операций: Уч. / И.Н.Булгакова - М.:НИЦ ИНФРА-М,2025. - 347 с.(п)</t>
  </si>
  <si>
    <t>МОДЕЛИ И МЕТОДЫ СИСТЕМНОГО АНАЛИЗА В ИССЛЕДОВАНИИ ОПЕРАЦИЙ, ИЗД.1</t>
  </si>
  <si>
    <t>Булгакова И.Н., Вертакова Ю.В., Медведева О.А. и др.</t>
  </si>
  <si>
    <t>978-5-16-018709-9</t>
  </si>
  <si>
    <t>01.03.02, 01.03.04, 01.04.04, 38.03.01, 38.03.02, 38.03.05, 38.04.01, 38.05.02</t>
  </si>
  <si>
    <t>682535.08.01</t>
  </si>
  <si>
    <t>Модели и показатели техносфер. безопас.: Моногр. / Ю.В.Есипов.-М.:НИЦ ИНФРА-М,2023.-154 с.(Науч.мысль)(О)</t>
  </si>
  <si>
    <t>МОДЕЛИ И ПОКАЗАТЕЛИ ТЕХНОСФЕРНОЙ БЕЗОПАСНОСТИ, ИЗД.1</t>
  </si>
  <si>
    <t>Есипов Ю.В., Мишенькина Ю.С., Черемисин А.И.</t>
  </si>
  <si>
    <t>978-5-16-013822-0</t>
  </si>
  <si>
    <t>20.03.01, 20.04.01, 20.05.01</t>
  </si>
  <si>
    <t>126720.06.01</t>
  </si>
  <si>
    <t>Модели и проблемы интеллектуал. систем: Моногр. / Б.Е.Одинцов - М.:НИЦ ИНФРА-М,2026 - 219 с.(Науч.мысль )(О)</t>
  </si>
  <si>
    <t>МОДЕЛИ И ПРОБЛЕМЫ ИНТЕЛЛЕКТУАЛЬНЫХ СИСТЕМ, ИЗД.1</t>
  </si>
  <si>
    <t>Одинцов Б.Е.</t>
  </si>
  <si>
    <t>978-5-16-015839-6</t>
  </si>
  <si>
    <t>02.06.01, 09.06.01</t>
  </si>
  <si>
    <t>174250.05.01</t>
  </si>
  <si>
    <t>Модели объектов бух. учета: Уч.пос. / Г.Ф. Чернецкая - М.: НИЦ ИНФРА-М, 2020 - 79 с. (ВО) (о)</t>
  </si>
  <si>
    <t>МОДЕЛИ ОБЪЕКТОВ БУХГАЛТЕРСКОГО УЧЕТА, ИЗД.1</t>
  </si>
  <si>
    <t>Чернецкая Г. Ф.</t>
  </si>
  <si>
    <t>978-5-16-005380-6</t>
  </si>
  <si>
    <t>38.03.01, 38.03.02, 38.03.06, 38.04.01, 38.04.02, 38.04.06, 38.04.08, 38.04.09</t>
  </si>
  <si>
    <t>174250.09.01</t>
  </si>
  <si>
    <t>Модели объектов бух. учета: Уч.пос. / Г.Ф.Чернецкая - 2 изд. - М.:НИЦ ИНФРА-М,2025 - 103 с.(ВО: Бакалавр.)(П)</t>
  </si>
  <si>
    <t>МОДЕЛИ ОБЪЕКТОВ БУХГАЛТЕРСКОГО УЧЕТА, ИЗД.2</t>
  </si>
  <si>
    <t>Чернецкая Г.Ф.</t>
  </si>
  <si>
    <t>978-5-16-016516-5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</si>
  <si>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12 от 14.12.2020)</t>
  </si>
  <si>
    <t>668584.03.01</t>
  </si>
  <si>
    <t>Модели оптимального упр. и операц.исчисл..: Моногр. / П.Н.Победаш -М.:НИЦ ИНФРА-М, СФУ,2023-259с.(П)</t>
  </si>
  <si>
    <t>МОДЕЛИ ОПТИМАЛЬНОГО УПРАВЛЕНИЯ И ОПЕРАЦИОННОГО ИСЧИСЛЕНИЯ ДЛЯ МНОГОКРИТЕРИАЛЬНОГО АНАЛИЗА ЭКОНОМИЧЕСКИХ СИСТЕМ, ИЗД.1</t>
  </si>
  <si>
    <t>Победаш П.Н., Семенкин Е.С.</t>
  </si>
  <si>
    <t>978-5-16-013304-1</t>
  </si>
  <si>
    <t>688741.07.01</t>
  </si>
  <si>
    <t>Модели поведения бетона. Общая теория деград.: Моногр. / А.А.Варламов - М.:НИЦ ИНФРА-М,2022-436с(П)</t>
  </si>
  <si>
    <t>МОДЕЛИ ПОВЕДЕНИЯ БЕТОНА. ОБЩАЯ ТЕОРИЯ ДЕГРАДАЦИИ, ИЗД.1</t>
  </si>
  <si>
    <t>Варламов А.А., Римшин В.И.</t>
  </si>
  <si>
    <t>978-5-16-014615-7</t>
  </si>
  <si>
    <t>08.03.01, 08.04.01, 08.05.01, 08.05.02</t>
  </si>
  <si>
    <t>Рекомендовано научно-исследовательским институтом строительной физики Российской академии архитектуры и строительных наук для студентов инженерно-строительных факультетов, получающих образование по направлению подготовки 08.03.01 «Строительство»</t>
  </si>
  <si>
    <t>688741.10.01</t>
  </si>
  <si>
    <t>Модели поведения бетона. Общая теория деградации: Моногр. / В.И.Римшин -2 изд.-М.:НИЦ ИНФРА-М,2023-439с.(П)</t>
  </si>
  <si>
    <t>МОДЕЛИ ПОВЕДЕНИЯ БЕТОНА. ОБЩАЯ ТЕОРИЯ ДЕГРАДАЦИИ, ИЗД.2</t>
  </si>
  <si>
    <t>Римшин В.И., Варламов А.А.</t>
  </si>
  <si>
    <t>978-5-16-017441-9</t>
  </si>
  <si>
    <t>673972.04.01</t>
  </si>
  <si>
    <t>Модели правоотнош. по усынов.:срав.характ.закон. РФ:Моногр./Е.А.Татаринцева-М.:НИЦ ИНФРА-М,2023-258с</t>
  </si>
  <si>
    <t>МОДЕЛИ ПРАВООТНОШЕНИЙ ПО УСЫНОВЛЕНИЮ: СРАВНИТЕЛЬНАЯ ХАРАКТЕРИСТИКА ЗАКОНОДАТЕЛЬСТВА РОССИЙСКОЙ ФЕДЕРАЦИИ И СОЕДИНЕННЫХ ШТАТОВ АМЕРИКИ, ИЗД.1</t>
  </si>
  <si>
    <t>Татаринцева Е.А.</t>
  </si>
  <si>
    <t>978-5-16-013610-3</t>
  </si>
  <si>
    <t>666864.04.01</t>
  </si>
  <si>
    <t>Модели телетрафика: Уч.пос. / М.Пагано и др. - М.:НИЦ ИНФРА-М,2026. - 178 с.(ВО)(п)</t>
  </si>
  <si>
    <t>МОДЕЛИ ТЕЛЕТРАФИКА, ИЗД.1</t>
  </si>
  <si>
    <t>Пагано М., Рыков В.В., Хохлов Ю.С. и др.</t>
  </si>
  <si>
    <t>978-5-16-019526-1</t>
  </si>
  <si>
    <t>01.03.02, 02.03.01, 02.03.02, 09.03.01, 11.03.01, 11.03.02, 38.04.05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</si>
  <si>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01.03.02 «Прикладная математика и информатика», 02.03.01 «Математика и компьютерные науки», 02.03.02 «Фундаментальная информатика и информационные технологии» (квалификация (степень) «бакалавр»)</t>
  </si>
  <si>
    <t>818468.01.01</t>
  </si>
  <si>
    <t>Модели флотации и гидродинам. режимы работы комбинир..: Моногр. / Б.С.Ксенофонтов-М.:НИЦ ИНФРА-М,2024-241 с.(п)</t>
  </si>
  <si>
    <t>МОДЕЛИ ФЛОТАЦИИ И ГИДРОДИНАМИЧЕСКИЕ РЕЖИМЫ РАБОТЫ КОМБИНИРОВАННОЙ ФЛОТАЦИОННОЙ ТЕХНИКИ, ИЗД.1</t>
  </si>
  <si>
    <t>978-5-16-019493-6</t>
  </si>
  <si>
    <t>771138.01.01</t>
  </si>
  <si>
    <t>Моделирование аварийности на маршрутном транспорте: Моногр. / А.М.Башкатов-М.:НИЦ ИНФРА-М,2022.-265 с.(О)</t>
  </si>
  <si>
    <t>МОДЕЛИРОВАНИЕ АВАРИЙНОСТИ НА МАРШРУТНОМ ТРАНСПОРТЕ, ИЗД.1</t>
  </si>
  <si>
    <t>Башкатов А.М.</t>
  </si>
  <si>
    <t>978-5-16-017532-4</t>
  </si>
  <si>
    <t>23.03.01, 23.03.03, 23.04.01, 23.04.03, 23.06.01</t>
  </si>
  <si>
    <t>735064.01.01</t>
  </si>
  <si>
    <t>Моделирование в OpenSCAD на примерах: Уч.пос. / А.М.Башкатов-М.:НИЦ ИНФРА-М,2020.-333 с.(СПО)(П)</t>
  </si>
  <si>
    <t>МОДЕЛИРОВАНИЕ В OPENSCAD НА ПРИМЕРАХ, ИЗД.1</t>
  </si>
  <si>
    <t>978-5-16-016162-4</t>
  </si>
  <si>
    <t>08.02.15, 09.02.03, 09.02.04, 09.02.05, 09.02.07, 10.02.02, 11.02.09, 11.02.11, 11.02.14, 11.02.15, 11.02.18, 15.02.07, 15.02.09, 15.02.16, 27.02.02, 27.02.03, 27.02.04, 27.02.05, 27.02.06, 27.02.07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</si>
  <si>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15.02.00 «Машиностроение» (протокол № 6 от 06.04.2020)</t>
  </si>
  <si>
    <t>674630.06.01</t>
  </si>
  <si>
    <t>Моделирование в OpenSCAD: на примерах: Уч.пос. / А.М.Башкатов - М.:НИЦ ИНФРА-М,2027. - 333 с.[цв].-(ВО)(п)</t>
  </si>
  <si>
    <t>МОДЕЛИРОВАНИЕ В OPENSCAD: НА ПРИМЕРАХ, ИЗД.1</t>
  </si>
  <si>
    <t>978-5-16-021246-3</t>
  </si>
  <si>
    <t>09.03.01, 09.03.03, 15.03.01, 15.03.02, 15.03.04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</si>
  <si>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09.03.01 «Информатика и вычислительная техника», 09.03.03 «Прикладная информатика», 15.03.02 «Технологические машины и оборудование» (квалификация (степень) «бакалавр») (протокол № 15 от 14.10.2019)</t>
  </si>
  <si>
    <t>682736.01.01</t>
  </si>
  <si>
    <t>Моделирование геометрических форм автомобильных дорог:Монография / Н.А.Сальков-М.:НИЦ ИНФРА-М,2019.-162 с..-(Науч.мысль)(О. КБС)</t>
  </si>
  <si>
    <t>МОДЕЛИРОВАНИЕ ГЕОМЕТРИЧЕСКИХ ФОРМ АВТОМОБИЛЬНЫХ ДОРОГ, ИЗД.1</t>
  </si>
  <si>
    <t>978-5-16-014029-2</t>
  </si>
  <si>
    <t>08.05.03, 23.04.01</t>
  </si>
  <si>
    <t>776627.01.01</t>
  </si>
  <si>
    <t>Моделирование гидродинамики и тепломассообмена...: Моногр. / М.И.Шиляев.-М.:НИЦ ИНФРА-М,2022.-249 с.(О)</t>
  </si>
  <si>
    <t>МОДЕЛИРОВАНИЕ ГИДРОДИНАМИКИ И ТЕПЛОМАССООБМЕНА В ДИСПЕРСНЫХ СРЕДАХ, ИЗД.1</t>
  </si>
  <si>
    <t>Шиляев М.И., Хромова Е.М., Богомолов А.Р.</t>
  </si>
  <si>
    <t>978-5-16-017655-0</t>
  </si>
  <si>
    <t>01.03.03, 01.04.03, 01.06.01, 13.04.01, 20.04.01</t>
  </si>
  <si>
    <t>670747.03.01</t>
  </si>
  <si>
    <t>Моделирование динамических процессов методом...:Моногр./ В.В.Осипов-М.:НИЦ ИНФРА-М, СФУ,2024.-304 с.(Науч.мысль (СФУ))(П)</t>
  </si>
  <si>
    <t>МОДЕЛИРОВАНИЕ ДИНАМИЧЕСКИХ ПРОЦЕССОВ МЕТОДОМ ТОЧЕЧНЫХ ПРЕДСТАВЛЕНИЙ, ИЗД.1</t>
  </si>
  <si>
    <t>Осипов В.В.</t>
  </si>
  <si>
    <t>978-5-16-013417-8</t>
  </si>
  <si>
    <t>01.04.01, 01.04.02, 01.06.01</t>
  </si>
  <si>
    <t>476100.06.01</t>
  </si>
  <si>
    <t>Моделирование и оптимиз.процес.деревообработки: Уч. / А.А.Пижурин-2изд.-М.:НИЦ ИНФРА-М,2020-259с(П)</t>
  </si>
  <si>
    <t>МОДЕЛИРОВАНИЕ И ОПТИМИЗАЦИЯ ПРОЦЕССОВ ДЕРЕВООБРАБОТКИ, ИЗД.2</t>
  </si>
  <si>
    <t>Пижурин А.А.</t>
  </si>
  <si>
    <t>978-5-16-012734-7</t>
  </si>
  <si>
    <t>Рекомендовано в качестве учебника для студентов высших учебных заведений, обучающихся по направлению подготовки 35.03.02 «Технология лесозаготовительных  и деревообрабатывающих производств», (квалификация (степень) «бакалавр»)</t>
  </si>
  <si>
    <t>757593.01.01</t>
  </si>
  <si>
    <t>Моделирование и средства науч. исслед. в ЛПК на основе LabView: Уч.пос./С.Б.Якимович-М.:НИЦ ИНФРА-М,2024-111с)(о)</t>
  </si>
  <si>
    <t>МОДЕЛИРОВАНИЕ И СРЕДСТВА НАУЧНЫХ ИССЛЕДОВАНИЙ В ЛЕСОПРОМЫШЛЕННОМ КОМПЛЕКСЕ НА ОСНОВЕ LABVIEW, ИЗД.1</t>
  </si>
  <si>
    <t>Якимович С.Б., Ефимов Ю.В.</t>
  </si>
  <si>
    <t>978-5-16-017402-0</t>
  </si>
  <si>
    <t>35.03.02, 35.04.01</t>
  </si>
  <si>
    <t>823070.01.01</t>
  </si>
  <si>
    <t>Моделирование изделий и процессов в CAAP-системах: Моногр. / А.Н.Божко-М.:НИЦ ИНФРА-М,2025.-408 с.(п)</t>
  </si>
  <si>
    <t>МОДЕЛИРОВАНИЕ ИЗДЕЛИЙ И ПРОЦЕССОВ В CAAP-СИСТЕМАХ, ИЗД.1</t>
  </si>
  <si>
    <t>Божко А.Н.</t>
  </si>
  <si>
    <t>978-5-16-019790-6</t>
  </si>
  <si>
    <t>15.04.01, 15.04.05, 15.05.01, 15.06.01</t>
  </si>
  <si>
    <t>735799.01.01</t>
  </si>
  <si>
    <t>Моделирование инновац. производств. развит. нефтегаз. регионов / И.Л.Беилин-М.:НИЦ ИНФРА-М,2021.-243 с.(О)</t>
  </si>
  <si>
    <t>МОДЕЛИРОВАНИЕ ИННОВАЦИОННОГО ПРОИЗВОДСТВЕННОГО РАЗВИТИЯ НЕФТЕГАЗОВЫХ РЕГИОНОВ, ИЗД.1</t>
  </si>
  <si>
    <t>978-5-16-016254-6</t>
  </si>
  <si>
    <t>27.03.04, 27.03.05, 27.04.05, 27.04.07, 27.06.01, 38.03.01, 38.03.02, 38.04.01, 38.04.02, 38.06.01</t>
  </si>
  <si>
    <t>837349.01.01</t>
  </si>
  <si>
    <t>Моделирование линейчатых поверхностей: Моногр. / Н.А.Сальков - М.:НИЦ ИНФРА-М,2026. - 197 с.(Науч.мысль)(о)</t>
  </si>
  <si>
    <t>МОДЕЛИРОВАНИЕ ЛИНЕЙЧАТЫХ ПОВЕРХНОСТЕЙ, ИЗД.1</t>
  </si>
  <si>
    <t>978-5-16-020938-8</t>
  </si>
  <si>
    <t>15.04.03, 15.04.05, 15.05.01, 15.06.01</t>
  </si>
  <si>
    <t>664379.04.01</t>
  </si>
  <si>
    <t>Моделирование процес.принятия реш. в рамках взаимодействия..../ Д.С.Оверчку.-М.:ИНФРА-М,2023-126с(О)</t>
  </si>
  <si>
    <t>МОДЕЛИРОВАНИЕ ПРОЦЕССОВ ПРИНЯТИЯ РЕШЕНИЙ В РАМКАХ ВЗАИМОДЕЙСТВИЯ ЭКОНОМИЧЕСКИХ АГЕНТОВ ПРИ РЕАЛИЗАЦИИ ОБЩЕСТВЕННО ЗНАЧИМЫХ ИНФРАСТРУКТУРНЫХ ПРОЕКТОВ, ИЗД.1</t>
  </si>
  <si>
    <t>Оверчук Д.С.</t>
  </si>
  <si>
    <t>978-5-16-014832-8</t>
  </si>
  <si>
    <t>38.03.02, 38.04.01, 38.04.02</t>
  </si>
  <si>
    <t>428750.06.01</t>
  </si>
  <si>
    <t>Моделирование процессов и объектов в..: Уч./ И.О.Леушин-М:Форум:НИЦ ИНФРА-М,2024-208с.(ВО:Бакалавр.)(О)</t>
  </si>
  <si>
    <t>МОДЕЛИРОВАНИЕ ПРОЦЕССОВ И ОБЪЕКТОВ В МЕТАЛЛУРГИИ, ИЗД.1</t>
  </si>
  <si>
    <t>Леушин И. О.</t>
  </si>
  <si>
    <t>978-5-91134-732-1</t>
  </si>
  <si>
    <t>Допущено Учебно-методическим объединением по образованию в области металлургии при Министерстве образования и науки РФ в качестве учебника для студентов вузов, обучающихся по направлению 150400 «Металлургия»</t>
  </si>
  <si>
    <t>475750.13.01</t>
  </si>
  <si>
    <t>Моделирование сис. защиты информ.: Прак.: Уч.пос. / А.В.Бабаш - 4 изд. - М.:ИЦ РИОР, НИЦ ИНФРА-М,2026. - 355 с.(ВО)(о)</t>
  </si>
  <si>
    <t>МОДЕЛИРОВАНИЕ СИСТЕМЫ ЗАЩИТЫ ИНФОРМАЦИИ: ПРАКТИКУМ, ИЗД.4</t>
  </si>
  <si>
    <t>Бабаш А.В., Баранова Е.К.</t>
  </si>
  <si>
    <t>978-5-369-01969-6</t>
  </si>
  <si>
    <t>09.03.03, 10.03.01, 10.04.01, 10.05.02, 10.05.04, 38.03.05, 38.04.05, 46.03.02</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</si>
  <si>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направлению «Прикладная информатика»</t>
  </si>
  <si>
    <t>475750.11.01</t>
  </si>
  <si>
    <t>Моделирование сис. защиты информ.: Практ.: Уч.пос. / А.В.Бабаш - 3 изд.-М.:ИЦ РИОР, НИЦ ИНФРА-М,2023-320 с.(ВО)(О)</t>
  </si>
  <si>
    <t>МОДЕЛИРОВАНИЕ СИСТЕМЫ ЗАЩИТЫ ИНФОРМАЦИИ: ПРАКТИКУМ, ИЗД.3</t>
  </si>
  <si>
    <t>978-5-369-01848-4</t>
  </si>
  <si>
    <t>301600.11.01</t>
  </si>
  <si>
    <t>Моделирование сис. управ.с прим.Matlab: Уч.пос. / А.Н.Тимохин - М.:НИЦ ИНФРА-М,2027 - 256 с.(ВО)(п)</t>
  </si>
  <si>
    <t>МОДЕЛИРОВАНИЕ СИСТЕМ УПРАВЛЕНИЯ С ПРИМЕНЕНИЕМ MATLAB, ИЗД.1</t>
  </si>
  <si>
    <t>Тимохин А.Н., Румянцев Ю.Д., Тимохин А.Н.</t>
  </si>
  <si>
    <t>978-5-16-019422-6</t>
  </si>
  <si>
    <t>Рекомендовано в качестве учебного пособия для студентов высших учебных заведений, обучающихся по направлению подготовки 15.03.04 «Автоматизация технологических процессов и производств» (квалификация (степень) «бакалавр»)</t>
  </si>
  <si>
    <t>475750.05.01</t>
  </si>
  <si>
    <t>Моделирование сист. защиты..:Практ.: Уч.пос./Е.К.Баранова - 2изд.-М.:ИЦ РИОР, НИЦ ИНФРА-М,2019-224с.(ВО)(О)</t>
  </si>
  <si>
    <t>МОДЕЛИРОВАНИЕ СИСТЕМЫ ЗАЩИТЫ ИНФОРМАЦИИ: ПРАКТИКУМ, ИЗД.2</t>
  </si>
  <si>
    <t>Баранова Е. К., Бабаш А. В.</t>
  </si>
  <si>
    <t>978-5-369-01559-9</t>
  </si>
  <si>
    <t>414450.08.01</t>
  </si>
  <si>
    <t>Моделирование систем и процессов: Уч.пос. / Н.Г.Чикуров - М.:ИЦ РИОР, НИЦ ИНФРА-М,2027. - 398 с.(ВО)(п)</t>
  </si>
  <si>
    <t>МОДЕЛИРОВАНИЕ СИСТЕМ И ПРОЦЕССОВ, ИЗД.1</t>
  </si>
  <si>
    <t>Чикуров Н. Г.</t>
  </si>
  <si>
    <t>978-5-369-01167-6</t>
  </si>
  <si>
    <t>15.03.01, 15.03.03, 15.03.04, 15.03.05, 15.03.06, 15.04.01, 15.04.04</t>
  </si>
  <si>
    <t>764096.04.01</t>
  </si>
  <si>
    <t>Моделирование систем: Уч.пос. / И.А.Астраханцева - М.:НИЦ ИНФРА-М,2026. - 216 с.-(ВО: Бакалавриат)(П)</t>
  </si>
  <si>
    <t>МОДЕЛИРОВАНИЕ СИСТЕМ, ИЗД.1</t>
  </si>
  <si>
    <t>Астраханцева И.А., Бобков С.П.</t>
  </si>
  <si>
    <t>978-5-16-017220-0</t>
  </si>
  <si>
    <t>09.03.02, 09.04.02, 09.04.04</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</si>
  <si>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высшего образования 09.00.00 «Информатика и вычислительная техника» в качестве учебного пособия для студентов высших учебных заведений, обучающихся по направлениям подготовки бакалавриата 09.03.02 «Информационные системы и технологии» и магистратуры 09.04.02 «Информационные системы и технологии»</t>
  </si>
  <si>
    <t>Ивановский государственный химико-технологический университет</t>
  </si>
  <si>
    <t>301300.06.01</t>
  </si>
  <si>
    <t>Моделирование соц. явлений и процессов с прим.матем.: Уч.пос./ Г.В.Осипов - Норма:НИЦ ИНФРА-М,2022 - 192с(п)</t>
  </si>
  <si>
    <t>МОДЕЛИРОВАНИЕ СОЦИАЛЬНЫХ ЯВЛЕНИЙ И ПРОЦЕССОВ С ПРИМЕНЕНИЕМ МАТЕМАТИЧЕСКИХ МЕТОДОВ, ИЗД.1</t>
  </si>
  <si>
    <t>978-5-91768-533-5</t>
  </si>
  <si>
    <t>37.04.02, 39.04.01, 39.04.03, 47.04.02</t>
  </si>
  <si>
    <t>124900.13.01</t>
  </si>
  <si>
    <t>Моделирование стоимости компании...: Моногр. / И.В.Ивашковская - М.:НИЦ ИНФРА-М,2026 - 430 с.(Науч.мысль)(п)</t>
  </si>
  <si>
    <t>МОДЕЛИРОВАНИЕ СТОИМОСТИ КОМПАНИИ. СТРАТЕГИЧЕСКАЯ ОТВЕТСТВЕННОСТЬ СОВЕТА ДИРЕКТОРОВ, ИЗД.1</t>
  </si>
  <si>
    <t>Ивашковская И.В.</t>
  </si>
  <si>
    <t>978-5-16-004090-5</t>
  </si>
  <si>
    <t>38.03.01, 38.03.02, 38.03.05, 38.04.01, 38.04.02, 38.04.05, 38.06.01, 44.03.05</t>
  </si>
  <si>
    <t>798965.01.01</t>
  </si>
  <si>
    <t>Моделирование тепл. состояния и расчет на заедание.../Заренбин В.Г -М.:ИНФРА-М,2024.-222, [8] с.:цв.ил(о)</t>
  </si>
  <si>
    <t>МОДЕЛИРОВАНИЕ ТЕПЛОВОГО СОСТОЯНИЯ И РАСЧЕТ НА ЗАЕДАНИЕ ПАР ТРЕНИЯ БАЗОВЫХ ТЕПЛОНАПРЯЖЕННЫХ ДЕТАЛЕЙ ПОРШНЕВЫХ ДВИГАТЕЛЕЙ, ИЗД.1</t>
  </si>
  <si>
    <t>Заренбин В.Г., Чайнов Н.Д., Руссинковский С.Ю. и др.</t>
  </si>
  <si>
    <t>978-5-16-019033-4</t>
  </si>
  <si>
    <t>13.04.03, 15.04.01, 15.05.01, 15.06.01</t>
  </si>
  <si>
    <t>478150.06.01</t>
  </si>
  <si>
    <t>Моделирование управ. решений в сфере экон. в усл. неопределен.: моногр. / И.И.Белолипцев и др. - М.:НИЦ ИНФРА-М,2025. - 299 с.-(Науч.мысль)(п)</t>
  </si>
  <si>
    <t>МОДЕЛИРОВАНИЕ УПРАВЛЕНЧЕСКИХ РЕШЕНИЙ В СФЕРЕ ЭКОНОМИКИ В УСЛОВИЯХ НЕОПРЕДЕЛЕННОСТИ, ИЗД.1</t>
  </si>
  <si>
    <t>Белолипцев И.И., Горбатков С.А., Романов А.Н. и др.</t>
  </si>
  <si>
    <t>978-5-16-010269-6</t>
  </si>
  <si>
    <t>38.03.01, 38.03.02, 38.03.04, 38.04.01, 38.04.02, 38.04.04, 38.06.01, 40.03.01</t>
  </si>
  <si>
    <t>Финансовый университет при Правительстве Российской Федерации, Уфимский ф-л</t>
  </si>
  <si>
    <t>684154.04.01</t>
  </si>
  <si>
    <t>Моделирование фин.-хоз. деят. компании в Project Expert: Уч.пос. / Я.Л.Гобарева-М.:НИЦ ИНФРА-М,2024-197с(П)</t>
  </si>
  <si>
    <t>МОДЕЛИРОВАНИЕ ФИНАНСОВО-ХОЗЯЙСТВЕННОЙ ДЕЯТЕЛЬНОСТИ КОМПАНИИ В PROJECT EXPERT, ИЗД.1</t>
  </si>
  <si>
    <t>978-5-16-019954-2</t>
  </si>
  <si>
    <t>432350.04.01</t>
  </si>
  <si>
    <t>Моделирование хим.-технологич. объект. упр.: Уч.пос. / В.Ф.Беккер, - 2 изд.-М.:ИЦ РИОР, НИЦ ИНФРА-М,2024.-142 с.(ВО)(о)</t>
  </si>
  <si>
    <t>МОДЕЛИРОВАНИЕ ХИМИКО-ТЕХНОЛОГИЧЕСКИХ ОБЪЕКТОВ УПРАВЛЕНИЯ, ИЗД.2</t>
  </si>
  <si>
    <t>Беккер В. Ф.</t>
  </si>
  <si>
    <t>978-5-369-01194-2</t>
  </si>
  <si>
    <t>15.03.04</t>
  </si>
  <si>
    <t>Допущено УМО вузов по образованию в области автоматизированного машиностроения (УМО AM) в качестве учебного пособия для студентов вузов, обучающихся по направлению «Автоматизированные технологии и производства»</t>
  </si>
  <si>
    <t>371100.09.01</t>
  </si>
  <si>
    <t>Моделирование химико-технол. процессов: Уч. / Г.И.Ефремов, - 2 изд. - М.:НИЦ ИНФРА-М,2026. - 260 с.(ВО)(П)</t>
  </si>
  <si>
    <t>МОДЕЛИРОВАНИЕ ХИМИКО-ТЕХНОЛОГИЧЕСКИХ ПРОЦЕССОВ, ИЗД.2</t>
  </si>
  <si>
    <t>Ефремов Г.И.</t>
  </si>
  <si>
    <t>978-5-16-022209-7</t>
  </si>
  <si>
    <t>18.03.01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</si>
  <si>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18.03.01 «Химическая технология», 18.03.02 «Энерго- и ресурсосберегающие процессы в химической технологии, нефтехимии и биотехнологии», 20.03.01 «Техносферная безопасность» (квалификация (степень) «бакалавр») (протокол №9 от 28.09.2020)</t>
  </si>
  <si>
    <t>371100.04.01</t>
  </si>
  <si>
    <t>Моделирование химико-технол.процессов: Уч. / Г.И.Ефремов - М.:НИЦ ИНФРА-М,2019-255с(ВО:Бакалавр.)(П)</t>
  </si>
  <si>
    <t>МОДЕЛИРОВАНИЕ ХИМИКО-ТЕХНОЛОГИЧЕСКИХ ПРОЦЕССОВ, ИЗД.1</t>
  </si>
  <si>
    <t>978-5-16-011030-1</t>
  </si>
  <si>
    <t>Рекомендовано в качестве учебника для студентов высших учебных заведений, обучающихся по направлению подготовки 18.03.02 «Энерго- и ресурсосберегающие процессы в химической технологии, нефтехимии и биотехнологии» (квалификация (степень) «бакалавр»)</t>
  </si>
  <si>
    <t>639993.02.01</t>
  </si>
  <si>
    <t>Моделирование штормов. наводнен. в..: Моногр. / О.Е.Любимова-М.:НИЦ ИНФРА-М,2020-185с(Науч.мысль)(П)</t>
  </si>
  <si>
    <t>МОДЕЛИРОВАНИЕ ШТОРМОВЫХ НАВОДНЕНИЙ В УСТЬЕВЫХ ОБЛАСТЯХ БАЛТИЙСКИХ РЕК, ИЗД.1</t>
  </si>
  <si>
    <t>Любимова О.Е., Кочуров Б.И.</t>
  </si>
  <si>
    <t>978-5-16-012266-3</t>
  </si>
  <si>
    <t>05.03.04, 05.03.06</t>
  </si>
  <si>
    <t>Балтийский федеральный университет им. Иммануила Канта</t>
  </si>
  <si>
    <t>639993.03.01</t>
  </si>
  <si>
    <t>Моделирование штормов. наводнен. в..: Моногр. / О.Е.Любимова-М.:НИЦ ИНФРА-М,2023-185с(Науч.мысль)(о)</t>
  </si>
  <si>
    <t>978-5-16-018617-7</t>
  </si>
  <si>
    <t>127350.08.01</t>
  </si>
  <si>
    <t>Моделирование эколого-экономич. сис: Уч.пос. / М.С.Красс, - 2-е изд.-М.:НИЦ ИНФРА-М,2024.-272 с.(ВО)(П)</t>
  </si>
  <si>
    <t>МОДЕЛИРОВАНИЕ ЭКОЛОГО-ЭКОНОМИЧЕСКИХ СИСТЕМ, ИЗД.2</t>
  </si>
  <si>
    <t>Красс М. С.</t>
  </si>
  <si>
    <t>978-5-16-006597-7</t>
  </si>
  <si>
    <t>05.03.06, 05.04.06, 35.03.03, 38.03.01, 38.03.05, 38.04.01, 38.04.05</t>
  </si>
  <si>
    <t>Рекомендовано  УМО по образованию в области математических методов в экономике в качестве учебного пособия для студентов высших учебных заведений, обуч. по спец.  080116 "Математические методы в экономике" и другим экономическим специальностям</t>
  </si>
  <si>
    <t>423850.08.01</t>
  </si>
  <si>
    <t>Моделирование экон. систем и процессов: Уч.пос./М.П.Власов-М.:НИЦ ИНФРА-М,2024-336с.(ВО:Бакалавриат)</t>
  </si>
  <si>
    <t>МОДЕЛИРОВАНИЕ ЭКОНОМИЧЕСКИХ СИСТЕМ И ПРОЦЕССОВ, ИЗД.1</t>
  </si>
  <si>
    <t>Власов М. П., Шимко П. Д.</t>
  </si>
  <si>
    <t>978-5-16-005560-2</t>
  </si>
  <si>
    <t>01.03.02, 01.04.02, 03.03.02, 38.03.01, 38.03.02, 38.04.01, 38.04.02, 44.03.01</t>
  </si>
  <si>
    <t>Рекомендовано УМО по образованию в области производственного менеджмента в качестве учебного пособия для студентов, обучающихся по специальности 080502 «Экономика и управление на предприятии (по отраслям)» (направление «Менеджмент»)</t>
  </si>
  <si>
    <t>736391.03.01</t>
  </si>
  <si>
    <t>Моделирование экономики: Уч.пос. / А.В.Сигал - М.:НИЦ ИНФРА-М,2024 - 283 с.(ВО: Магистр.(КрымФУ))(П)</t>
  </si>
  <si>
    <t>МОДЕЛИРОВАНИЕ ЭКОНОМИКИ, ИЗД.1</t>
  </si>
  <si>
    <t>Сигал А.В.</t>
  </si>
  <si>
    <t>Высшее образование: Магистратура  (КрымФУ)</t>
  </si>
  <si>
    <t>978-5-16-016314-7</t>
  </si>
  <si>
    <t>38.04.05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</si>
  <si>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38.04.05 «Бизнес-информатика» (квалификация (степень) «магистр») (протокол № 12 от 14.12.2020)</t>
  </si>
  <si>
    <t>767509.02.01</t>
  </si>
  <si>
    <t>Моделирование экономич. процес. нефтегаз. региона: Уч.пос. / И.Л.Беилин - М.:НИЦ ИНФРА-М,2027. - 171 с.(ВО)(П)</t>
  </si>
  <si>
    <t>МОДЕЛИРОВАНИЕ ЭКОНОМИЧЕСКИХ ПРОЦЕССОВ НЕФТЕГАЗОВОГО РЕГИОНА, ИЗД.1</t>
  </si>
  <si>
    <t>978-5-16-017309-2</t>
  </si>
  <si>
    <t>38.00.00, 38.04.01, 38.04.02, 38.04.03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</si>
  <si>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38.04.02 «Менеджмент», 38.04.04 «Государственное и муниципальное управление» (квалификация (степень) «магистр») (протокол № 2 от 09.02.2022)</t>
  </si>
  <si>
    <t>270300.10.01</t>
  </si>
  <si>
    <t>Моделирование электропривода: Уч.пос. / М.И.Аксенов - М.:НИЦ ИНФРА-М,2024 - 135 с.(ВО: Бакалавр.)(О)</t>
  </si>
  <si>
    <t>МОДЕЛИРОВАНИЕ ЭЛЕКТРОПРИВОДА, ИЗД.1</t>
  </si>
  <si>
    <t>Аксенов М.И.</t>
  </si>
  <si>
    <t>978-5-16-009650-6</t>
  </si>
  <si>
    <t>Рекомендовано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t>
  </si>
  <si>
    <t>489150.07.01</t>
  </si>
  <si>
    <t>Моделирование, конструир. и контроль кач. ортопед.: Уч.пос. / Н.В.Бекк - НИЦ ИНФРА-М,2026 - 96 с.(ВО)(О)</t>
  </si>
  <si>
    <t>МОДЕЛИРОВАНИЕ, КОНСТРУИРОВАНИЕ И КОНТРОЛЬ КАЧЕСТВА ОРТОПЕДИЧЕСКОЙ ОБУВИ ДЛЯ ДЕТЕЙ И ВЗРОСЛЫХ, ИЗД.1</t>
  </si>
  <si>
    <t>Бекк Н.В., Клюева И.В., Захожая Т.С. и др.</t>
  </si>
  <si>
    <t>978-5-16-010738-7</t>
  </si>
  <si>
    <t>29.03.01, 29.03.05, 29.04.01, 29.04.05, 38.03.07</t>
  </si>
  <si>
    <t>Рекомендовано в качестве учебного пособия для студентов высших учебных заведений, обучающихся по напрвлениям 29.03.01 «Технология изделий легкой промышленности», 29.03.05 «Конструирование изделий легкой промышленности», 38.63.07 «Товароведение»</t>
  </si>
  <si>
    <t>Новосибирский государственный университет архитектуры, дизайна и искусств имени А.Д. Крячкова</t>
  </si>
  <si>
    <t>775402.01.01</t>
  </si>
  <si>
    <t>Модель оценки влияния туризма и индустрии гостеприимства.../ А.В.Аверин.-М.:НИЦ ИНФРА-М,2023.-196 с.(О)</t>
  </si>
  <si>
    <t>МОДЕЛЬ ОЦЕНКИ ВЛИЯНИЯ ТУРИЗМА И ИНДУСТРИИ ГОСТЕПРИИМСТВА НА ЭКОНОМИКУ РОССИИ, ИЗД.1</t>
  </si>
  <si>
    <t>Аверин А.В., Алексеев А.Н., Брагина Е.В. и др.</t>
  </si>
  <si>
    <t>978-5-16-017728-1</t>
  </si>
  <si>
    <t>38.04.01, 38.04.02, 38.06.01, 43.04.02</t>
  </si>
  <si>
    <t>684701.03.01</t>
  </si>
  <si>
    <t>Модель системы расселения будущего: Уч.пос. / Ю.И.Пацкевич - М.:НИЦ ИНФРА-М,2027. - 188 с.(ВО: Бакалавр.)(П)</t>
  </si>
  <si>
    <t>МОДЕЛЬ СИСТЕМЫ РАССЕЛЕНИЯ БУДУЩЕГО, ИЗД.1</t>
  </si>
  <si>
    <t>978-5-16-014679-9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</si>
  <si>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07.03.01 «Архитектура» (квалификация (степень) «бакалавр») (протокол № 6 от 16.06.2021)</t>
  </si>
  <si>
    <t>699383.03.01</t>
  </si>
  <si>
    <t>Модернизация административного законодательства: Моногр. / А.М.Абакирова-М.:НИЦ ИНФРА-М,2020-496с(П)</t>
  </si>
  <si>
    <t>МОДЕРНИЗАЦИЯ АДМИНИСТРАТИВНОГО ЗАКОНОДАТЕЛЬСТВА (ЦЕЛИ,ЗАДАЧИ, ПРИНЦИПЫ И АКТУАЛЬНЫЕ НАПРАВЛЕНИЯ), ИЗД.1</t>
  </si>
  <si>
    <t>Абакирова А.М., Абдыраев М.А., Василевич Г.А. и др.</t>
  </si>
  <si>
    <t>978-5-16-014691-1</t>
  </si>
  <si>
    <t>38.03.04, 40.03.01, 40.04.01, 40.05.01, 40.05.02, 44.03.05, 46.03.02</t>
  </si>
  <si>
    <t>733603.01.01</t>
  </si>
  <si>
    <t>Модернизация гос. регулир. деят. в области связи: Науч.-практ. пос. / А.А.Ефремов и др.-М.:НИЦ ИНФРА-М,2020.-152 с.(П)</t>
  </si>
  <si>
    <t>МОДЕРНИЗАЦИЯ ГОСУДАРСТВЕННОГО РЕГУЛИРОВАНИЯ ДЕЯТЕЛЬНОСТИ В ОБЛАСТИ СВЯЗИ, ИЗД.1</t>
  </si>
  <si>
    <t>Ефремов А.А., Лещенков Ф.А., Мефодьева К.А. и др.</t>
  </si>
  <si>
    <t>978-5-16-016076-4</t>
  </si>
  <si>
    <t>474550.07.01</t>
  </si>
  <si>
    <t>Модернизация промышленных предпр. на базе...: Уч.пос. / А.А.Иванов - Форум: ИНФРА-М, 2024-384с.(ВО)</t>
  </si>
  <si>
    <t>МОДЕРНИЗАЦИЯ ПРОМЫШЛЕННЫХ ПРЕДПРИЯТИЙ НА БАЗЕ СОВРЕМЕННЫХ СИСТЕМ АВТОМАТИЗАЦИИ И УПРАВЛЕНИЯ, ИЗД.1</t>
  </si>
  <si>
    <t>978-5-91134-950-9</t>
  </si>
  <si>
    <t>725316.06.01</t>
  </si>
  <si>
    <t>Модернизация Советской России в 1920-1930-е г... / И.А.Анфертьев - М.:ИНФРА-М,2026 - 593 с.(П)</t>
  </si>
  <si>
    <t>МОДЕРНИЗАЦИЯ СОВЕТСКОЙ РОССИИ В 1920-1930-Е ГОДЫ: ПРОГРАММЫ ПРЕОБРАЗОВАНИЙ РКП(Б) — ВКП(Б) КАК ИНСТРУМЕНТЫ БОРЬБЫ ЗА ВЛАСТЬ, ИЗД.1</t>
  </si>
  <si>
    <t>Анфертьев И.А.</t>
  </si>
  <si>
    <t>978-5-16-015876-1</t>
  </si>
  <si>
    <t>645298.05.01</t>
  </si>
  <si>
    <t>Модернизация экономики России: Моногр. / В.П.Орешин - М.:ИЦ РИОР, НИЦ ИНФРА-М,2022. - 244 с.(Науч.мысль)(о)</t>
  </si>
  <si>
    <t>МОДЕРНИЗАЦИЯ ЭКОНОМИКИ РОССИИ, ИЗД.1</t>
  </si>
  <si>
    <t>Орешин В.П.</t>
  </si>
  <si>
    <t>978-5-369-01654-1</t>
  </si>
  <si>
    <t>38.03.04, 38.04.01, 38.04.04, 38.04.09, 41.03.05</t>
  </si>
  <si>
    <t>675414.08.01</t>
  </si>
  <si>
    <t>Модное право: Моногр. / Н.А.Шебанова - М.:Юр.Норма, НИЦ ИНФРА-М,2025 - 176 с.(П)</t>
  </si>
  <si>
    <t>МОДНОЕ ПРАВО, ИЗД.1</t>
  </si>
  <si>
    <t>Шебанова Н.А.</t>
  </si>
  <si>
    <t>978-5-91768-892-3</t>
  </si>
  <si>
    <t>666738.02.01</t>
  </si>
  <si>
    <t>Молекулярная биология: Уч. / В.В.Иванищев - М.:ИЦ РИОР, НИЦ ИНФРА-М,2019.-225 с.(П)</t>
  </si>
  <si>
    <t>МОЛЕКУЛЯРНАЯ БИОЛОГИЯ, ИЗД.1</t>
  </si>
  <si>
    <t>Иванищев В.В.</t>
  </si>
  <si>
    <t>978-5-369-01731-9</t>
  </si>
  <si>
    <t>06.03.01, 19.03.01, 44.03.05</t>
  </si>
  <si>
    <t>666738.08.01</t>
  </si>
  <si>
    <t>Молекулярная биология: Уч. / В.В.Иванищев, - 2 изд. - М.:ИЦ РИОР, НИЦ ИНФРА-М,2026. - 233 с.(ВО)(п)</t>
  </si>
  <si>
    <t>МОЛЕКУЛЯРНАЯ БИОЛОГИЯ, ИЗД.2</t>
  </si>
  <si>
    <t>978-5-369-01857-6</t>
  </si>
  <si>
    <t>703614.06.01</t>
  </si>
  <si>
    <t>Молекулярная механика биополимеров: Моногр. / В.В.Костюков - М.:НИЦ ИНФРА-М,2027. - 140 с.(Науч.мысль)(о)</t>
  </si>
  <si>
    <t>МОЛЕКУЛЯРНАЯ МЕХАНИКА БИОПОЛИМЕРОВ, ИЗД.1</t>
  </si>
  <si>
    <t>Костюков В.В.</t>
  </si>
  <si>
    <t>978-5-16-014913-4</t>
  </si>
  <si>
    <t>06.03.01, 06.04.01, 06.05.01, 06.06.01, 12.03.04, 12.04.04, 12.06.01</t>
  </si>
  <si>
    <t>414200.09.01</t>
  </si>
  <si>
    <t>Молекулярная спектроскопия: основы..: Уч.пос. /Ф.Ф.Литвин - М:НИЦ Инфра-М,2026 - 263 с.(ВО) (о)</t>
  </si>
  <si>
    <t>МОЛЕКУЛЯРНАЯ СПЕКТРОСКОПИЯ: ОСНОВЫ ТЕОРИИ И ПРАКТИКА, ИЗД.1</t>
  </si>
  <si>
    <t>Литвин Ф. Ф., Дубровский В. Т., Хатыпов Р. А., Неверов К. В., Литвин Ф. Ф.</t>
  </si>
  <si>
    <t>978-5-16-005727-9</t>
  </si>
  <si>
    <t>06.03.01, 06.04.01, 19.03.01, 44.03.05</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</si>
  <si>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020400 «Биология» и смежным специальностям</t>
  </si>
  <si>
    <t>684669.07.01</t>
  </si>
  <si>
    <t>Молекулярно-генетич. основы онкогенеза: Уч.пос. / А.А.Майборода - М.:НИЦ ИНФРА-М,2026. - 125 с.(ВО)(П)</t>
  </si>
  <si>
    <t>МОЛЕКУЛЯРНО-ГЕНЕТИЧЕСКИЕ ОСНОВЫ ОНКОГЕНЕЗА, ИЗД.1</t>
  </si>
  <si>
    <t>Майборода А.А.</t>
  </si>
  <si>
    <t>978-5-16-014731-4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</si>
  <si>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31.05.01 «Лечебное дело», 31.05.02 «Педиатрия», 30.05.01 «Медицинская биохимия» (квалификация «врач (врач-педиатр) общей практики», «врач-биохимик») (протокол № 15 от 14.10.2019)</t>
  </si>
  <si>
    <t>Иркутский государственный медицинский университет</t>
  </si>
  <si>
    <t>725101.07.01</t>
  </si>
  <si>
    <t>Молодая семья в совр. рос...: Моногр. / П.В.Разов - М.:НИЦ ИНФРА-М,2026 - 210 с.(О)</t>
  </si>
  <si>
    <t>МОЛОДАЯ СЕМЬЯ В СОВРЕМЕННОМ РОССИЙСКОМ СОЦИУМЕ: ОБРАЗ И КАЧЕСТВО ЖИЗНИ, ИЗД.1</t>
  </si>
  <si>
    <t>Разов П.В., Преснякова-Осипова И.В., Юшкова С.А.</t>
  </si>
  <si>
    <t>978-5-16-015899-0</t>
  </si>
  <si>
    <t>39.03.01, 39.03.03, 39.04.01, 39.04.03, 39.06.01</t>
  </si>
  <si>
    <t>412350.09.01</t>
  </si>
  <si>
    <t>Монастырская просвет. культура России: Моногр. / Н.Е.Шафажинская - М.:НИЦ ИНФРА-М,2026  - 232 с.(О)</t>
  </si>
  <si>
    <t>МОНАСТЫРСКАЯ ПРОСВЕТИТЕЛЬСКАЯ КУЛЬТУРА РОССИИ, ИЗД.1</t>
  </si>
  <si>
    <t>Шафажинская Н.Е.</t>
  </si>
  <si>
    <t>978-5-16-006462-8</t>
  </si>
  <si>
    <t>44.03.05, 46.03.01, 46.04.01, 46.06.01, 47.03.03, 47.04.03, 47.06.01</t>
  </si>
  <si>
    <t>246200.04.01</t>
  </si>
  <si>
    <t>Монголия: мир кочевой культуры: Уч.пос. / Н.Л.Жуковская - 2 изд. - М.:ИЦ РИОР, НИЦ ИНФРА-М,2025. - 239 с.(ВО)(о)</t>
  </si>
  <si>
    <t>МОНГОЛИЯ: МИР КОЧЕВОЙ КУЛЬТУРЫ, ИЗД.2</t>
  </si>
  <si>
    <t>Жуковская Н.Л.</t>
  </si>
  <si>
    <t>978-5-369-01300-7</t>
  </si>
  <si>
    <t>41.03.01, 41.03.06, 41.04.01, 46.03.03, 46.04.03, 47.03.03, 47.04.03, 51.03.01, 51.04.01</t>
  </si>
  <si>
    <t>Якутский научный центр Сибирского отделения Российской академии наук</t>
  </si>
  <si>
    <t>258500.11.01</t>
  </si>
  <si>
    <t>Монеты и банкноты от античности до наших дней / Н.А. Разманова - М.:Вуз. уч.: ИНФРА-М, 2026 - 216 с [цв]-.(п)</t>
  </si>
  <si>
    <t>МОНЕТЫ И БАНКНОТЫ ОТ АНТИЧНОСТИ ДО НАШИХ ДНЕЙ: ПРОИСХОЖДЕНИЕ И ЭВОЛЮЦИЯ, ИЗД.1</t>
  </si>
  <si>
    <t>Разманова Н. А., Лаптева Е. В., Нестеренко Е. И., Муравьева Л. А.</t>
  </si>
  <si>
    <t>978-5-9558-0357-9</t>
  </si>
  <si>
    <t>38.03.01, 38.04.08, 41.03.01, 41.03.05, 41.03.06, 41.04.01, 41.04.05, 44.03.05, 46.03.01, 46.04.01, 51.03.01, 51.04.01</t>
  </si>
  <si>
    <t>715711.06.01</t>
  </si>
  <si>
    <t>Мониторинг возводимых и эксплуатируемых зданий: Моногр. / С.Н.Леонович - М.:НИЦ ИНФРА-М,2026 - 286 с.(О)</t>
  </si>
  <si>
    <t>МОНИТОРИНГ ВОЗВОДИМЫХ И ЭКСПЛУАТИРУЕМЫХ ЗДАНИЙ, ИЗД.1</t>
  </si>
  <si>
    <t>Леонович С.Н., Снежков Д.Ю., Доркин В.В.</t>
  </si>
  <si>
    <t>978-5-16-015529-6</t>
  </si>
  <si>
    <t>809273.01.01</t>
  </si>
  <si>
    <t>Мониторинг земель: Уч.пос. / Ю.П.Ковалева-М.:НИЦ ИНФРА-М,2024.-170 с.(ВО (КрГАУ))(п)</t>
  </si>
  <si>
    <t>МОНИТОРИНГ ЗЕМЕЛЬ, ИЗД.1</t>
  </si>
  <si>
    <t>Ковалева Ю.П.</t>
  </si>
  <si>
    <t>978-5-16-019398-4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</si>
  <si>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21.03.02 «Землеустройство и кадастры»</t>
  </si>
  <si>
    <t>689994.03.01</t>
  </si>
  <si>
    <t>Мониторинг и прогнозирование соц.-эконом. развития..: Моногр. / М.Л.Казарян - М.:НИЦ ИНФРА-М,2027 - 256 с.(о)</t>
  </si>
  <si>
    <t>МОНИТОРИНГ И ПРОГНОЗИРОВАНИЕ СОЦИАЛЬНО-ЭКОНОМИЧЕСКОГО РАЗВИТИЯ РЕГИОНОВ НА ОСНОВЕ АНАЛИЗА КОСМИЧЕСКИХ СНИМКОВ (НА ПРИМЕРЕ ОБЪЕКТОВ ЗАХОРОНЕНИЯ ТВЕРДЫХ БЫТОВЫХ ОТХОДОВ И ИХ ВЛИЯНИЕ НА ОКРУЖАЮЩУЮ СРЕДУ), ИЗД.1</t>
  </si>
  <si>
    <t>978-5-16-014549-5</t>
  </si>
  <si>
    <t>417450.10.01</t>
  </si>
  <si>
    <t>Мониторинг качества образов. процесса в школе: Моногр. / С.Е.Шишов - М.: ИНФРА-М, 2023 - 205 с. (о)</t>
  </si>
  <si>
    <t>МОНИТОРИНГ КАЧЕСТВА ОБРАЗОВАТЕЛЬНОГО ПРОЦЕССА В ШКОЛЕ, ИЗД.1</t>
  </si>
  <si>
    <t>Шишов С. Е., Кальней В. А., Гирба Е. Ю.</t>
  </si>
  <si>
    <t>978-5-16-006507-6</t>
  </si>
  <si>
    <t>481300.08.01</t>
  </si>
  <si>
    <t>Мониторинг коррекц.-логопед.работы: Уч.мет.пос. / Под ред.Елецкой О.В. - М.:НИЦ ИНФРА-М,2025 - 400 с.(О)</t>
  </si>
  <si>
    <t>МОНИТОРИНГ КОРРЕКЦИОННО-ЛОГОПЕДИЧЕСКОЙ РАБОТЫ, ИЗД.1</t>
  </si>
  <si>
    <t>Елецкая О.В., Тараканова А.А., Щукина Д.А. и др.</t>
  </si>
  <si>
    <t>978-5-16-018842-3</t>
  </si>
  <si>
    <t>44.03.02, 44.03.03, 44.04.03</t>
  </si>
  <si>
    <t>Рекомендовано кафедрой логопедии Пермского государственного гуманитарно-педагогического университета в качестве учебно-методического пособия для студентов высших учебных заведений, обучающихся по направлению подготовки 44.03.03 «Специальное (дефектологическое) образование»</t>
  </si>
  <si>
    <t>810093.01.01</t>
  </si>
  <si>
    <t>Мониторинг теневого денежного потока в оценке...: Моногр. / Е.В.Батурина - М.:НИЦ ИНФРА-М,2025. - 188 с.(О)</t>
  </si>
  <si>
    <t>МОНИТОРИНГ ТЕНЕВОГО ДЕНЕЖНОГО ПОТОКА В ОЦЕНКЕ СОСТОЯНИЯ ЭКОНОМИЧЕСКОЙ БЕЗОПАСНОСТИ, ИЗД.1</t>
  </si>
  <si>
    <t>Батурина Е.В.</t>
  </si>
  <si>
    <t>978-5-16-019649-7</t>
  </si>
  <si>
    <t>10.05.04, 38.03.01, 38.04.01, 38.05.01, 38.05.02, 38.06.01, 40.05.01</t>
  </si>
  <si>
    <t>303700.06.01</t>
  </si>
  <si>
    <t>Мониторинг техн. сост. и продл. жизн. цик..: Моногр. / С.Г.Белогай - М:ИЦ РИОР,НИЦ ИНФРА-М,2026 - 268 с.(О)</t>
  </si>
  <si>
    <t>МОНИТОРИНГ ТЕХНИЧЕСКОГО СОСТОЯНИЯ И ПРОДЛЕНИЕ ЖИЗНЕННОГО ЦИКЛА МОСТОВЫХ ПЕРЕЕЗДОВ НА КАНАЛАХ, ИЗД.1</t>
  </si>
  <si>
    <t>Белогай С.Г., Волосухин В.А., Бандурин М.А.</t>
  </si>
  <si>
    <t>978-5-369-01381-6</t>
  </si>
  <si>
    <t>08.03.01, 08.04.01, 08.05.03, 08.06.01</t>
  </si>
  <si>
    <t>806511.01.01</t>
  </si>
  <si>
    <t>Мониторинг устойчивого развития лесных экосистем.../ Под ред. Кочурова Б.И.-М.:НИЦ ИНФРА-М,2024-547с(п)</t>
  </si>
  <si>
    <t>МОНИТОРИНГ УСТОЙЧИВОГО РАЗВИТИЯ ЛЕСНЫХ ЭКОСИСТЕМ В МЕНЯЮЩЕМСЯ КЛИМАТЕ, ИЗД.1</t>
  </si>
  <si>
    <t>Коломыц Э.Г., Кочуров Б.И.</t>
  </si>
  <si>
    <t>978-5-16-018778-5</t>
  </si>
  <si>
    <t>05.03.02, 35.03.01, 35.04.01</t>
  </si>
  <si>
    <t>Пущинский научный центр биологических исследований Российской Академии Наук</t>
  </si>
  <si>
    <t>665251.07.01</t>
  </si>
  <si>
    <t>Монополизация как фактор криз. проц. и трансформ. совр..: Моногр. / О.О.Комолов - М:НИЦ ИНФРА-М,2026-138с(о)</t>
  </si>
  <si>
    <t>МОНОПОЛИЗАЦИЯ КАК ФАКТОР КРИЗИСНЫХ ПРОЦЕССОВ И ТРАНСФОРМАЦИИ СОВРЕМЕННОЙ РЫНОЧНОЙ ЭКОНОМИКИ, ИЗД.1</t>
  </si>
  <si>
    <t>Комолов О.О.</t>
  </si>
  <si>
    <t>978-5-16-013676-9</t>
  </si>
  <si>
    <t>176800.17.01</t>
  </si>
  <si>
    <t>Монтаж газораспределительных систем: Уч.пос. / В.И.Краснов - М.:НИЦ ИНФРА-М,2026. - 309 с.(СПО)(п)</t>
  </si>
  <si>
    <t>МОНТАЖ ГАЗОРАСПРЕДЕЛИТЕЛЬНЫХ СИСТЕМ, ИЗД.1</t>
  </si>
  <si>
    <t>Краснов В.И.</t>
  </si>
  <si>
    <t>978-5-16-020761-2</t>
  </si>
  <si>
    <t>07.02.01, 08.02.03, 08.02.08, 08.02.13, 08.02.14</t>
  </si>
  <si>
    <t>Рекомендовано Федеральным агентством по строительству и жилищно-коммунальному хозяйству в качестве учебного пособия  для студентов средних специальных строительных учебных заведений, обучающихся по специальности 08.02.08 «Монтаж и эксплуатация оборудования и систем газоснабжения»</t>
  </si>
  <si>
    <t>670028.06.01</t>
  </si>
  <si>
    <t>Монтаж горных машин и оборудования: Уч.пос. / А.В.Гилев - М.:НИЦ ИНФРА-М, СФУ,2025 - 254 с.(ВО)(П)</t>
  </si>
  <si>
    <t>МОНТАЖ ГОРНЫХ МАШИН И ОБОРУДОВАНИЯ, ИЗД.1</t>
  </si>
  <si>
    <t>Гилев А.В., Чесноков В.Т., Шигин А.О.</t>
  </si>
  <si>
    <t>978-5-16-016086-3</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</si>
  <si>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специальности «Горные машины и оборудование» направления подготовки дипломированных специалистов «Технологические машины и оборудование»</t>
  </si>
  <si>
    <t>795699.02.01</t>
  </si>
  <si>
    <t>Монтаж и эксплуатация электрооборуд. сис. электроснаб.: Уч.пос. / А.В.Суворин - М.:НИЦ ИНФРА-М,2025 - 400 с.(п)</t>
  </si>
  <si>
    <t>МОНТАЖ И ЭКСПЛУАТАЦИЯ ЭЛЕКТРООБОРУДОВАНИЯ СИСТЕМ ЭЛЕКТРОСНАБЖЕНИЯ, ИЗД.1</t>
  </si>
  <si>
    <t>Суворин А.В.</t>
  </si>
  <si>
    <t>978-5-16-020651-6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</si>
  <si>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6 от 08.06.2022)</t>
  </si>
  <si>
    <t>154450.20.01</t>
  </si>
  <si>
    <t>Монтаж систем вентиляции и кондиционир.воздуха: Уч.пос. / В.И.Краснов - М.:НИЦ ИНФРА-М,2026. - 224 с.(СПО)</t>
  </si>
  <si>
    <t>МОНТАЖ СИСТЕМ ВЕНТИЛЯЦИИ И КОНДИЦИОНИРОВАНИЯ ВОЗДУХА, ИЗД.1</t>
  </si>
  <si>
    <t>978-5-16-004299-2</t>
  </si>
  <si>
    <t>07.02.01, 08.02.03, 08.02.08, 08.02.13, 08.02.14, 13.02.02, 15.02.06</t>
  </si>
  <si>
    <t>Рекомендовано Федеральным агентством по строительству и жилищно-коммунальному хозяйству в качестве учебного пособия для студентов средних специальных строительных учебных заведений, обучающихся по специальности 08.02.07 "Монтаж и эксплуатация внутренних сантехнических устройств и вентиляции"</t>
  </si>
  <si>
    <t>307900.07.01</t>
  </si>
  <si>
    <t>Монтаж строительных конструкций: Уч.пос. / В.Н.Черноиван - М.:НИЦ ИНФРА-М,2026. - 200 с.(ВО: Бакалавр.)(п)</t>
  </si>
  <si>
    <t>МОНТАЖ СТРОИТЕЛЬНЫХ КОНСТРУКЦИЙ, ИЗД.1</t>
  </si>
  <si>
    <t>978-5-16-010294-8</t>
  </si>
  <si>
    <t>220200.11.01</t>
  </si>
  <si>
    <t>Монтаж, наладка и эксплуат.электрооборуд.: Уч.пос. / Н.В.Грунтович - М.:НИЦ ИНФРА-М, 2025-271с(П)</t>
  </si>
  <si>
    <t>МОНТАЖ, НАЛАДКА И ЭКСПЛУАТАЦИЯ ЭЛЕКТРООБОРУДОВАНИЯ, ИЗД.1</t>
  </si>
  <si>
    <t>Грунтович Н.В.</t>
  </si>
  <si>
    <t>978-5-16-021189-3</t>
  </si>
  <si>
    <t>Допущено Министерством образования Республики Беларусь в качестве учебного пособия для студентов учреждений высшего образования по электротехническим и энергетическим специальностям</t>
  </si>
  <si>
    <t>Гомельский государственный технический университет имени П.О. Сухого</t>
  </si>
  <si>
    <t>719243.12.01</t>
  </si>
  <si>
    <t>Монтаж, наладка и эксплуатация электрооборуд.: Уч.пос. / Н.В.Грунтович - М.:НИЦ ИНФРА-М,2026 - 271 с.(СПО)(П)</t>
  </si>
  <si>
    <t>978-5-16-015611-8</t>
  </si>
  <si>
    <t>08.02.09, 11.01.02, 11.01.05, 11.01.11, 11.02.15, 11.02.16, 13.01.07, 13.01.10, 13.02.07, 13.02.08, 13.02.09, 13.02.12, 13.02.13, 15.01.36, 15.01.37, 18.01.28, 21.01.15, 21.02.12, 26.01.05, 26.02.04, 26.02.05, 26.02.06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</si>
  <si>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12 от 24.06.2019)</t>
  </si>
  <si>
    <t>758769.01.01</t>
  </si>
  <si>
    <t>Монтаж, техн. обслуж. и ремонт электроустановок предпр.../ Ю.Д.Сибикин - М.:НИЦ ИНФРА-М,2025. - 311 с.(ВО)(п)</t>
  </si>
  <si>
    <t>МОНТАЖ, ТЕХНИЧЕСКОЕ ОБСЛУЖИВАНИЕ И РЕМОНТ ЭЛЕКТРОУСТАНОВОК ПРЕДПРИЯТИЙ НЕФТЯНОЙ ПРОМЫШЛЕННОСТИ, ИЗД.1</t>
  </si>
  <si>
    <t>Сибикин Ю.Д., Яшков В.А.</t>
  </si>
  <si>
    <t>978-5-16-017289-7</t>
  </si>
  <si>
    <t>00.03.31</t>
  </si>
  <si>
    <t>766526.08.01</t>
  </si>
  <si>
    <t>Монтаж, эксплуатация и ремонт электрооборуд..: Уч.пос. / Ю.Д.Сибикин - 2 изд. - М.:НИЦ ИНФРА-М,2026 - 464 с.(П)</t>
  </si>
  <si>
    <t>МОНТАЖ, ЭКСПЛУАТАЦИЯ И РЕМОНТ ЭЛЕКТРООБОРУДОВАНИЯ ПРОМЫШЛЕННЫХ ПРЕДПРИЯТИЙ И УСТАНОВОК, ИЗД.2</t>
  </si>
  <si>
    <t>978-5-16-017754-0</t>
  </si>
  <si>
    <t>08.02.09, 11.01.02, 11.01.05, 11.02.15, 13.01.07, 13.01.10, 13.02.07, 13.02.08, 13.02.09, 13.02.12, 15.01.37, 18.01.28, 21.01.15, 26.01.05, 26.02.04, 26.02.05, 26.02.06, 35.01.15</t>
  </si>
  <si>
    <t>Рекомендовано экспертным советом по профессиональному образованию Министерства образования и науки Российской Федерации в качестве учебного пособия для учащихся  среднего профессионального образования</t>
  </si>
  <si>
    <t>641908.10.01</t>
  </si>
  <si>
    <t>Морально-психолог. обесп. деят. войск, воинских форм. и орган.: Уч. / М.Ю.Зеленков - М.:НИЦ ИНФРА-М,2026. - 498 с.(ВО)(П)</t>
  </si>
  <si>
    <t>МОРАЛЬНО-ПСИХОЛОГИЧЕСКОЕ ОБЕСПЕЧЕНИЕ ДЕЯТЕЛЬНОСТИ ВОЙСК, ВОИНСКИХ ФОРМИРОВАНИЙ И ОРГАНОВ, ИЗД.1</t>
  </si>
  <si>
    <t>Зеленков М.Ю.</t>
  </si>
  <si>
    <t>978-5-16-018138-7</t>
  </si>
  <si>
    <t>37.03.01, 37.03.02, 37.04.01, 37.04.02, 40.03.01, 40.05.01, 41.03.04, 41.04.04, 44.03.05, 56.04.02, 56.04.09</t>
  </si>
  <si>
    <t>Рекомендовано в качестве учебника для курсантов высших военно-учебных заведений Минобороны, МВД, МЧС, ФСБ и ФСВНГ России</t>
  </si>
  <si>
    <t>791671.01.01</t>
  </si>
  <si>
    <t>Морская доктрина РФ: Сб. док.- М.:НИЦ ИНФРА-М,2023.-53 с.(О)</t>
  </si>
  <si>
    <t>МОРСКАЯ ДОКТРИНА РОССИЙСКОЙ ФЕДЕРАЦИИ, ИЗД.1</t>
  </si>
  <si>
    <t>978-5-16-018005-2</t>
  </si>
  <si>
    <t>56.04.01</t>
  </si>
  <si>
    <t>736717.08.01</t>
  </si>
  <si>
    <t>Морская навигация: сб. задач: Уч.пос. / А.В.Головко - М.:НИЦ ИНФРА-М,2027 - 188 с.(ВО (ЧВВМУ им. Нахимова))(П)</t>
  </si>
  <si>
    <t>МОРСКАЯ НАВИГАЦИЯ: СБОРНИК ЗАДАЧ, ИЗД.1</t>
  </si>
  <si>
    <t>Головко А.В., Худяков Г.В.</t>
  </si>
  <si>
    <t>978-5-16-016319-2</t>
  </si>
  <si>
    <t>26.01.07, 26.01.09, 26.02.03, 26.05.04, 35.01.32, 43.01.04</t>
  </si>
  <si>
    <t>707961.08.01</t>
  </si>
  <si>
    <t>Морская практика: Курс лекций / М.В.Наумов - М.:НИЦ ИНФРА-М,2026 - 328 с.(Военное обр.)(П)</t>
  </si>
  <si>
    <t>МОРСКАЯ ПРАКТИКА, ИЗД.1</t>
  </si>
  <si>
    <t>Наумов М.В., Володин В.Н.</t>
  </si>
  <si>
    <t>978-5-16-015336-0</t>
  </si>
  <si>
    <t>26.02.03, 26.05.04, 26.05.05, 26.05.06, 26.05.07</t>
  </si>
  <si>
    <t>444250.07.01</t>
  </si>
  <si>
    <t>Морская экология и прибрежно-мор.природ.:Уч.пос./Я.Ю.Блиновская-2изд.-М.:НИЦ ИНФРА-М,2024-168с.-(ВО)(о)</t>
  </si>
  <si>
    <t>МОРСКАЯ ЭКОЛОГИЯ И ПРИБРЕЖНО-МОРСКОЕ ПРИРОДОПОЛЬЗОВАНИЕ, ИЗД.2</t>
  </si>
  <si>
    <t>Блиновская Я.Ю.</t>
  </si>
  <si>
    <t>978-5-16-019223-9</t>
  </si>
  <si>
    <t>05.03.06, 20.03.01, 20.04.01, 26.02.05, 26.02.06</t>
  </si>
  <si>
    <t>Рекомендовано Дальневосточным региональным учебно-методическим центром в качестве учебного пособия для студентов направления подготовки бакалавров 280700.62 «Техносферная безопасность»</t>
  </si>
  <si>
    <t>654707.06.01</t>
  </si>
  <si>
    <t>Морские конвенции (Learn SOLAS 74...): Уч.пос. / И.А.Закирьянова - 3 изд. - М.:Вуз.уч.,НИЦ ИНФРА-М,2026 - 266 с.(О)</t>
  </si>
  <si>
    <t>МОРСКИЕ КОНВЕНЦИИ (LEARN SOLAS 74 &amp; MARPOL 73/78), ИЗД.3</t>
  </si>
  <si>
    <t>Закирьянова И.А.</t>
  </si>
  <si>
    <t>978-5-16-022158-8</t>
  </si>
  <si>
    <t>229600.12.01</t>
  </si>
  <si>
    <t>Морфология и физиология сенсорных систем...: Уч.пос. / Ю.Н.Самко - М.:НИЦ ИНФРА-М,2026 - 158 с.(ВО)(О)</t>
  </si>
  <si>
    <t>МОРФОЛОГИЯ И ФИЗИОЛОГИЯ СЕНСОРНЫХ СИСТЕМ И ВЫСШЕЙ НЕРВНОЙ ДЕЯТЕЛЬНОСТИ, ИЗД.1</t>
  </si>
  <si>
    <t>978-5-16-009052-8</t>
  </si>
  <si>
    <t>06.03.01, 06.04.01, 31.05.01, 37.05.01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</si>
  <si>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31.05.01 «Лечебное дело» (квалификация «врач общей практики») (протокол № 12 от 24.06.2019)</t>
  </si>
  <si>
    <t>640955.07.01</t>
  </si>
  <si>
    <t>Морфология мясопромыш. животных (анатомия и гистол.): Уч. / М.В.Сидорова - М.:НИЦ ИНФРА-М,2026 - 307 с.(ВО)</t>
  </si>
  <si>
    <t>МОРФОЛОГИЯ МЯСОПРОМЫШЛЕННЫХ ЖИВОТНЫХ (АНАТОМИЯ И ГИСТОЛОГИЯ), ИЗД.1</t>
  </si>
  <si>
    <t>Сидорова М.В., Панов В.П., Семак А.Э. и др.</t>
  </si>
  <si>
    <t>978-5-16-012309-7</t>
  </si>
  <si>
    <t>19.03.03, 19.04.03, 36.03.01, 36.04.01, 36.05.01</t>
  </si>
  <si>
    <t>Рекомендовано в качестве учебника для студентов высших учебных заведений, обучающихся по направлению подготовки 19.03.03 «Процедуры питания животного происхождения» (квалификация (степень) «бакалавр»)</t>
  </si>
  <si>
    <t>766461.02.01</t>
  </si>
  <si>
    <t>Морфология мясопромышленных животных: Уч. / М.В.Сидорова - М.:НИЦ ИНФРА-М,2026 - 307 с.(П)</t>
  </si>
  <si>
    <t>978-5-16-017228-6</t>
  </si>
  <si>
    <t>19.02.12, 35.02.15, 36.01.02, 36.01.05, 36.02.01, 36.02.03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</si>
  <si>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19.02.08 «Технология мяса и мясных продуктов» (протокол № 5 от 19.05.2021)</t>
  </si>
  <si>
    <t>714481.04.01</t>
  </si>
  <si>
    <t>Московский мегаполис: совр. внешнеэкономич. деят. / Л.Г.Гогиберидзе - М.:НИЦ ИНФРА-М,2025. - 163 с.(О)</t>
  </si>
  <si>
    <t>МОСКОВСКИЙ МЕГАПОЛИС: СОВЕРШЕНСТВОВАНИЕ ВНЕШНЕЭКОНОМИЧЕСКОЙ ДЕЯТЕЛЬНОСТИ, ИЗД.1</t>
  </si>
  <si>
    <t>Гогиберидзе Л.Г.</t>
  </si>
  <si>
    <t>978-5-16-015798-6</t>
  </si>
  <si>
    <t>38.04.01, 38.04.02, 38.04.04, 38.04.06, 38.06.01</t>
  </si>
  <si>
    <t>640773.06.01</t>
  </si>
  <si>
    <t>Мотив преступления как генет. признак субъекта: Моногр. / Н.Г.Иванов - М.:НИЦ ИНФРА-М,2024 -108с.(О)</t>
  </si>
  <si>
    <t>МОТИВ ПРЕСТУПЛЕНИЯ КАК ГЕНЕТИЧЕСКИЙ ПРИЗНАК СУБЪЕКТА, ИЗД.1</t>
  </si>
  <si>
    <t>Иванов Н.Г.</t>
  </si>
  <si>
    <t>978-5-16-012721-7</t>
  </si>
  <si>
    <t>141950.12.01</t>
  </si>
  <si>
    <t>Мотивация - основа упр. человеч. ресурсами: Моногр. / А.Е. Боковня - М.:НИЦ ИНФРА-М,2025 -144 с.(О)</t>
  </si>
  <si>
    <t>МОТИВАЦИЯ - ОСНОВА УПРАВЛЕНИЯ ЧЕЛОВЕЧЕСКИМИ РЕСУРСАМИ (ТЕОРИЯ И ПРАКТИКА ФОРМИРОВАНИЯ МОТИВИРУЮЩЕЙ ОРГАНИЗАЦИОННОЙ СРЕДЫ И СОЗДАНИЯ ЕДИНОЙ СИСТЕМЫ МОТИВАЦИИ КОМПАНИИ), ИЗД.1</t>
  </si>
  <si>
    <t>Боковня А.Е.</t>
  </si>
  <si>
    <t>978-5-16-004523-8</t>
  </si>
  <si>
    <t>38.03.01, 38.03.02, 38.03.03, 38.03.04, 38.04.01, 38.04.02, 38.04.03, 38.04.04, 38.06.01, 41.03.06, 41.06.01, 44.03.01</t>
  </si>
  <si>
    <t>633652.12.01</t>
  </si>
  <si>
    <t>Мотивация и оплата труда...: Уч.пос. / А.В.Ребров - М.:НИЦ ИНФРА-М,2026 - 346 с(ВО)(п)</t>
  </si>
  <si>
    <t>МОТИВАЦИЯ И ОПЛАТА ТРУДА. СОВРЕМЕННЫЕ МОДЕЛИ И ТЕХНОЛОГИИ, ИЗД.1</t>
  </si>
  <si>
    <t>Ребров А.В.</t>
  </si>
  <si>
    <t>978-5-16-018635-1</t>
  </si>
  <si>
    <t>323200.05.01</t>
  </si>
  <si>
    <t>Мотивация и стимулир. трудовой деят.: Уч. / Минева О.К. - 2 изд. - М.:НИЦ ИНФРА-М,2024-275 с.(ВО)(п)</t>
  </si>
  <si>
    <t>МОТИВАЦИЯ И СТИМУЛИРОВАНИЕ ТРУДОВОЙ ДЕЯТЕЛЬНОСТИ, ИЗД.2</t>
  </si>
  <si>
    <t>Минева О.К., Арутюнян С.А., Гаджиева Е.А. и др.</t>
  </si>
  <si>
    <t>978-5-16-018886-7</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</si>
  <si>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студентов высших учебных заведений, обучающихся по направлению подготовки 38.03.03 «Управление персоналом» (квалификация (степень) «бакалавр») (регистрационный номер рецензии 405 от 29.09.2014 (ФГАУ ФИРО))</t>
  </si>
  <si>
    <t>077800.12.01</t>
  </si>
  <si>
    <t>Мотивация и стимулир. трудовой деят.: Уч.пос. / А.П.Егоршин, - 3 изд.-М.:НИЦ ИНФРА-М,2024.-378 с.(ВО)(п)</t>
  </si>
  <si>
    <t>МОТИВАЦИЯ И СТИМУЛИРОВАНИЕ ТРУДОВОЙ ДЕЯТЕЛЬНОСТИ, ИЗД.3</t>
  </si>
  <si>
    <t>Егоршин А. П.</t>
  </si>
  <si>
    <t>978-5-16-006048-4</t>
  </si>
  <si>
    <t>Допущено Министерством образовния РФ в качестве учебного пособия для студентов высших учебных заведений, обучающихся по направлению (специальности) "Управление персоналом"</t>
  </si>
  <si>
    <t>Нижегородский институт экономики и менеджмента</t>
  </si>
  <si>
    <t>323200.02.01</t>
  </si>
  <si>
    <t>Мотивация и стимулирование трудовой деят.: Уч. / О.К.Минева-М.:Альфа-М: ИНФРА-М,2017-272с(Бакалавр.)(п)</t>
  </si>
  <si>
    <t>МОТИВАЦИЯ И СТИМУЛИРОВАНИЕ ТРУДОВОЙ ДЕЯТЕЛЬНОСТИ, ИЗД.1</t>
  </si>
  <si>
    <t>Минева О. К., Арутюнян С. А., Белик Е. А., Крюкова Е. В.</t>
  </si>
  <si>
    <t>Высшая школа. Бакалавриат</t>
  </si>
  <si>
    <t>978-5-98281-419-7</t>
  </si>
  <si>
    <t>105000.16.01</t>
  </si>
  <si>
    <t>Мотивация и стимулирование трудовой деят.: Уч./ А.Я.Кибанов - М.: ИНФРА-М, 2022 - 524 с. (ВО)(П)</t>
  </si>
  <si>
    <t>Кибанов А. Я., Баткаева И. А., Митрофанова Е. А., Ловчева М. В., Кибанов А. Я.</t>
  </si>
  <si>
    <t>978-5-16-003544-4</t>
  </si>
  <si>
    <t>04.03.02, 23.03.01, 38.03.01, 38.03.03, 38.04.03, 41.03.06, 43.04.03, 44.03.01, 51.03.02</t>
  </si>
  <si>
    <t>Рекомендовано Учебно-методическим объединением вузов России по образованию в области менеджмента в качестве учебника для студентов высших учебных заведений, обучающихся по направлениям «Менеджмент», «Управление персоналом»</t>
  </si>
  <si>
    <t>740844.03.01</t>
  </si>
  <si>
    <t>Мотивация и стимулирование трудовой деятельности: Уч. / Д.А.Севостьянов-М.:НИЦ ИНФРА-М,2023.-278 с.(ВО: Бакалавр.)(П)</t>
  </si>
  <si>
    <t>Севостьянов Д.А.</t>
  </si>
  <si>
    <t>978-5-16-016508-0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</si>
  <si>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38.03.03 «Управление персоналом» (квалификация (степень) «бакалавр») (протокол № 5 от 19.05.2021)</t>
  </si>
  <si>
    <t>149450.10.01</t>
  </si>
  <si>
    <t>Мотивация трудовой деятельности: Уч. пос. / Под ред. В.П.Пугачева - М.: ИНФРА-М, 2025 - 394 с.(ВО) (п)</t>
  </si>
  <si>
    <t>МОТИВАЦИЯ ТРУДОВОЙ ДЕЯТЕЛЬНОСТИ, ИЗД.1</t>
  </si>
  <si>
    <t>Пугачев В.П., Зайцева Т.В., Черняева Г.В. и др.</t>
  </si>
  <si>
    <t>978-5-16-020705-6</t>
  </si>
  <si>
    <t>38.03.01, 38.03.02, 38.03.03, 38.03.04, 38.04.02, 38.04.03, 38.04.04, 41.03.06</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</si>
  <si>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080505 "Управление персоналом"</t>
  </si>
  <si>
    <t>681272.03.01</t>
  </si>
  <si>
    <t>МСФО для предпр. малого и среднего бизнеса: Уч. / Под ред. Гетьман В.Г.-М.:НИЦ ИНФРА-М,2023-451 с.(ВО) (П)</t>
  </si>
  <si>
    <t>МСФО ДЛЯ ПРЕДПРИЯТИЙ МАЛОГО И СРЕДНЕГО БИЗНЕСА, ИЗД.1</t>
  </si>
  <si>
    <t>978-5-16-012306-6</t>
  </si>
  <si>
    <t>654636.01.01</t>
  </si>
  <si>
    <t>Мужчина и женщина. Цена одной ошибки / Р.В.Енгибарян - 2 изд.-М.:Юр.Норма,2017-320с(П)</t>
  </si>
  <si>
    <t>МУЖЧИНА И ЖЕНЩИНА. ЦЕНА ОДНОЙ ОШИБКИ, ИЗД.2</t>
  </si>
  <si>
    <t>978-5-91768-828-2</t>
  </si>
  <si>
    <t>ХУДОЖЕСТВЕННАЯ ЛИТЕРАТУРА</t>
  </si>
  <si>
    <t>Проза. Поэзия. Драматургия</t>
  </si>
  <si>
    <t>807903.02.01</t>
  </si>
  <si>
    <t>Музыка и право в России XVIII-XX в. Ист. Док.: Моногр. / Л.Г.Свечникова - М.:НИЦ ИНФРА-М,2027. - 162 с.(п)</t>
  </si>
  <si>
    <t>МУЗЫКА И ПРАВО В РОССИИ XVIII-XX ВЕКОВ. ИСТОРИЯ. ДОКУМЕНТЫ, ИЗД.1</t>
  </si>
  <si>
    <t>Свечникова Л.Г.</t>
  </si>
  <si>
    <t>978-5-16-018874-4</t>
  </si>
  <si>
    <t>803179.06.01</t>
  </si>
  <si>
    <t>Музыка как элемент духовной культуры...: Моногр. / Л.П.Шиповская - М.:НИЦ ИНФРА-М,2027 - 195 с.(о)</t>
  </si>
  <si>
    <t>МУЗЫКА КАК ЭЛЕМЕНТ ДУХОВНОЙ КУЛЬТУРЫ - МОЩНЫЙ ФАКТОР ИНТЕГРАЦИИ И УНИВЕРСАЛИЗАЦИИ ВСЕЙ ДУХОВНОЙ ЖИЗНИ ОБЩЕСТВА, ИЗД.1</t>
  </si>
  <si>
    <t>Шиповская Л.П.</t>
  </si>
  <si>
    <t>978-5-16-018740-2</t>
  </si>
  <si>
    <t>Музыка. Нотные издания</t>
  </si>
  <si>
    <t>53.04.06</t>
  </si>
  <si>
    <t>726279.06.01</t>
  </si>
  <si>
    <t>Музыкально-поэтич. представление: Уч.мет.пос. / М.В.Литвинова - М.:НИЦ ИНФРА-М,2024 - 166 с.(ВО)(П)</t>
  </si>
  <si>
    <t>МУЗЫКАЛЬНО-ПОЭТИЧЕСКОЕ ПРЕДСТАВЛЕНИЕ, ИЗД.1</t>
  </si>
  <si>
    <t>Литвинова М.В., Кожаева И.В.</t>
  </si>
  <si>
    <t>978-5-16-019369-4</t>
  </si>
  <si>
    <t>51.03.05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</si>
  <si>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51.03.05 «Режиссура театрализованных представлений и праздников» (квалификация (степень) «бакалавр») (протокол № 5 от 26.03.2020)</t>
  </si>
  <si>
    <t>747805.01.01</t>
  </si>
  <si>
    <t>Музыкально-поэтическое представление: Уч.мет.пос. / М.В.Литвинова-М.:НИЦ ИНФРА-М,2021.-166 с..-(СПО)(П)</t>
  </si>
  <si>
    <t>978-5-16-016639-1</t>
  </si>
  <si>
    <t>51.02.01, 51.02.02, 51.02.03, 53.02.01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</si>
  <si>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51.00.00 «Культуроведение и социокультурные проекты» (протокол № 9 от 28.09.2020)</t>
  </si>
  <si>
    <t>724893.03.01</t>
  </si>
  <si>
    <t>Музыкально-эстетическое воспитание: Моногр. / Г.Г.Коломиец - 2 изд. - М.:НИЦ ИНФРА-М,2026 - 240 с.(О)</t>
  </si>
  <si>
    <t>МУЗЫКАЛЬНО-ЭСТЕТИЧЕСКОЕ ВОСПИТАНИЕ (АКСИОЛОГИЧЕСКИЙ ПОДХОД), ИЗД.2</t>
  </si>
  <si>
    <t>Коломиец Г.Г.</t>
  </si>
  <si>
    <t>978-5-16-015884-6</t>
  </si>
  <si>
    <t>53.02.01, 53.02.02, 53.03.01, 53.03.02, 53.03.06, 53.04.01, 53.04.02, 53.04.03, 53.04.06, 53.05.04, 53.05.05, 53.09.01, 53.09.02</t>
  </si>
  <si>
    <t>668583.04.01</t>
  </si>
  <si>
    <t>Мультиверсионное програм.обеспеч....: Моногр. / Р.Ю.Царев. - М.:НИЦ ИНФРА-М, СФУ,2026 - 117 с.(Науч.мысль)</t>
  </si>
  <si>
    <t>МУЛЬТИВЕРСИОННОЕ ПРОГРАММНОЕ ОБЕСПЕЧЕНИЕ. АЛГОРИТМЫ ГОЛОСОВАНИЯ И ОЦЕНКА НАДЁЖНОСТИ, ИЗД.1</t>
  </si>
  <si>
    <t>Царев Р.Ю., Штарик А.В., Штарик Е.Н.</t>
  </si>
  <si>
    <t>978-5-16-021830-4</t>
  </si>
  <si>
    <t>09.04.01, 09.04.02, 09.04.03, 09.04.04, 09.06.01</t>
  </si>
  <si>
    <t>842821.01.01</t>
  </si>
  <si>
    <t>Муниципальное право в схемах и таблицах: Уч.пос. / С.В.Радаева - М.:НИЦ ИНФРА-М,2025. - 137 с.(ВО)(п)</t>
  </si>
  <si>
    <t>МУНИЦИПАЛЬНОЕ ПРАВО В СХЕМАХ И ТАБЛИЦАХ, ИЗД.1</t>
  </si>
  <si>
    <t>Радаева С.В., Карданова И.В.</t>
  </si>
  <si>
    <t>978-5-16-020385-0</t>
  </si>
  <si>
    <t>21.03.02, 40.03.01, 40.05.01, 40.05.02, 40.05.04, 44.04.04</t>
  </si>
  <si>
    <t>Российский государственный университет правосудия, Северо-Кавказский ф-л</t>
  </si>
  <si>
    <t>631720.05.01</t>
  </si>
  <si>
    <t>Муниципальное право России: практ.: Уч.пос. / С.Г.Соловьев-М.:НИЦ ИНФРА-М,2023-158с(ВО:Бакалавр.)(О)</t>
  </si>
  <si>
    <t>МУНИЦИПАЛЬНОЕ ПРАВО РОССИИ: ПРАКТИКУМ, ИЗД.1</t>
  </si>
  <si>
    <t>Соловьев С.Г.</t>
  </si>
  <si>
    <t>978-5-16-011932-8</t>
  </si>
  <si>
    <t>Рекомендовано Учебно-методическим объединением по юридическому образованию вузов Российской Федерации в качестве практикума для студентов образовательных организаций, обучающихся по направлению подготовки 40.03.01 «Юриспруденция", (квалификация (степень) «бакалавр")</t>
  </si>
  <si>
    <t>Южно-Уральский государственный университет, ф-л в. г.Миассе</t>
  </si>
  <si>
    <t>021000.16.01</t>
  </si>
  <si>
    <t>Муниципальное право России: Уч. / И.В.Выдрин  - 5 изд. - М.:Юр.Норма, НИЦ ИНФРА-М,2026. - 264 с.(П)</t>
  </si>
  <si>
    <t>МУНИЦИПАЛЬНОЕ ПРАВО РОССИИ, ИЗД.5</t>
  </si>
  <si>
    <t>Выдрин И. В.</t>
  </si>
  <si>
    <t>978-5-00156-266-5</t>
  </si>
  <si>
    <t>Уральский институт экономики, управления и права</t>
  </si>
  <si>
    <t>021000.11.01</t>
  </si>
  <si>
    <t>Муниципальное право России: Уч. / И.В.Выдрин - 4изд. - М.:Юр.Норма,НИЦ ИНФРА-М,2015 - 256с.(п)</t>
  </si>
  <si>
    <t>МУНИЦИПАЛЬНОЕ ПРАВО РОССИИ, ИЗД.4</t>
  </si>
  <si>
    <t>978-5-91768-321-8</t>
  </si>
  <si>
    <t>060650.08.01</t>
  </si>
  <si>
    <t>Муниципальное право России: Уч.пос. / П.А.Астафичев - 2 изд. - М.:ИЦ РИОР, НИЦ ИНФРА-М,2023 - 480 с.-(ВО)(П)</t>
  </si>
  <si>
    <t>МУНИЦИПАЛЬНОЕ ПРАВО РОССИИ, ИЗД.2</t>
  </si>
  <si>
    <t>978-5-369-01752-4</t>
  </si>
  <si>
    <t>Рекомендовано ГОУ Московская государственная юридическая академия для использов. в качестве учеб. пос. в обр. учреждениях, реализующих образовательные прогр. в области высшего и доп. проф. образования по напр. и спец "Юриспруденция"</t>
  </si>
  <si>
    <t>074050.10.01</t>
  </si>
  <si>
    <t>Муниципальное право РФ: Уч.пос. / А.Н.Миронов, - 3-е изд.-М.:ИД Форум, НИЦ ИНФРА-М,2020-223с(СПО)(П)</t>
  </si>
  <si>
    <t>МУНИЦИПАЛЬНОЕ ПРАВО РОССИЙСКОЙ ФЕДЕРАЦИИ, ИЗД.3</t>
  </si>
  <si>
    <t>Миронов А. Н.</t>
  </si>
  <si>
    <t>978-5-8199-0586-9</t>
  </si>
  <si>
    <t>Допущено Министерством образования РФв качестве учебного пособия для студентов учреждений среднего профессионального образования, обучающихся по специальностям правоведческого профиля</t>
  </si>
  <si>
    <t>074050.11.01</t>
  </si>
  <si>
    <t>Муниципальное право РФ: Уч.пос. / А.Н.Миронов, - 4-е изд.-М.:НИЦ ИНФРА-М,2024.-222 с..-(П)</t>
  </si>
  <si>
    <t>МУНИЦИПАЛЬНОЕ ПРАВО РОССИЙСКОЙ ФЕДЕРАЦИИ, ИЗД.4</t>
  </si>
  <si>
    <t>978-5-16-016289-8</t>
  </si>
  <si>
    <t>682987.07.01</t>
  </si>
  <si>
    <t>Муниципальное право РФ: Уч.пос. / И.А.Алексеев - 3 изд.-М.:НИЦ ИНФРА-М,2023.-254 с.(СПО)(П)</t>
  </si>
  <si>
    <t>Алексеев И.А., Адамоков Б.Б., Белявский Д.С. и др.</t>
  </si>
  <si>
    <t>978-5-16-013975-3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</si>
  <si>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40.02.00 «Юриспруденция»</t>
  </si>
  <si>
    <t>Пятигорский государственный университет</t>
  </si>
  <si>
    <t>226700.14.01</t>
  </si>
  <si>
    <t>Муниципальное право РФ: Уч.пос. / И.А.Алексеев и др. - 3 изд. - М.:НИЦ ИНФРА-М,2026 - 254 с.(ВО)(п)</t>
  </si>
  <si>
    <t>978-5-16-019870-5</t>
  </si>
  <si>
    <t>Рекомендуется федеральным государственным бюджетным образовательным учреждением высшего образования «Московская государственная юридическая академия имени О.Е. Кутафина» в качестве учебного пособия к использованию в образовательных учреждениях, реализующих образовательные программы высшего образования (дополнительного профессионального образования), по дисциплине «Муниципальное право» в рамках направления подготовки 40.03.01 «Юриспруденция» (квалификация (степень) «бакалавр»)</t>
  </si>
  <si>
    <t>818590.03.01</t>
  </si>
  <si>
    <t>Муниципальное право: Практикум / В.В. Комарова - М.:Юр. НОРМА, НИЦ ИНФРА-М,2026. - 272 с.(п)</t>
  </si>
  <si>
    <t>МУНИЦИПАЛЬНОЕ ПРАВО, ИЗД.1</t>
  </si>
  <si>
    <t>Комарова В.В., Бровченко Н.В., Соколова А.И. и др.</t>
  </si>
  <si>
    <t>978-5-00156-350-1</t>
  </si>
  <si>
    <t>21.03.02, 40.03.01, 40.05.01, 40.05.02, 40.05.04</t>
  </si>
  <si>
    <t>887222.01.01</t>
  </si>
  <si>
    <t>Муниципальное право: Практикум / В.В. Комарова - М.:Юр. НОРМА, НИЦ ИНФРА-М,2027. - 272 с.(п)</t>
  </si>
  <si>
    <t>978-5-00156-502-4</t>
  </si>
  <si>
    <t>056702.15.01</t>
  </si>
  <si>
    <t>Муниципальное право: Уч. / Е.С.Шугрина - 6 изд. - М.:Юр.Норма,НИЦ ИНФРА-М,2026. - 408 с.(П)</t>
  </si>
  <si>
    <t>МУНИЦИПАЛЬНОЕ ПРАВО, ИЗД.6</t>
  </si>
  <si>
    <t>Шугрина Е. С.</t>
  </si>
  <si>
    <t>978-5-00156-371-6</t>
  </si>
  <si>
    <t>Рекомендовано Мин. обр. и науки РФ в качестве учебника для студентов высших учебных заведений, обучающихся по направлению 521400 "Юриспруденция" и по специальности 021100 "Юриспруденция"</t>
  </si>
  <si>
    <t>0624</t>
  </si>
  <si>
    <t>765821.06.01</t>
  </si>
  <si>
    <t>Муниципальное право: Уч.пос. / А.Н.Чашин, - 2 изд. - М.:НИЦ ИНФРА-М,2026. - 184 с.(ВО)(п)</t>
  </si>
  <si>
    <t>МУНИЦИПАЛЬНОЕ ПРАВО, ИЗД.2</t>
  </si>
  <si>
    <t>978-5-16-021645-4</t>
  </si>
  <si>
    <t>21.03.02, 40.03.01, 40.04.01, 40.05.01, 40.05.02, 40.05.04, 40.03.02</t>
  </si>
  <si>
    <t>765821.05.01</t>
  </si>
  <si>
    <t>Муниципальное право: Уч.пос. / А.Н.Чашин-М.:НИЦ ИНФРА-М,2023.-209 с.(ВО: Бакалавриат)(П)</t>
  </si>
  <si>
    <t>978-5-16-017293-4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</si>
  <si>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2 от 09.02.2022)</t>
  </si>
  <si>
    <t>792151.01.01</t>
  </si>
  <si>
    <t>Муниципальное право: Уч.пос./ А.Н.Чашин-М.:НИЦ ИНФРА-М,2023.-209 с.(СПО)(П)</t>
  </si>
  <si>
    <t>978-5-16-018016-8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</si>
  <si>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 (протокол № 6 от 08.06.2022)</t>
  </si>
  <si>
    <t>654243.10.01</t>
  </si>
  <si>
    <t>Муниципальное управ.и местное самоуправ.: Уч. / Алексеев И.А. - М.:НИЦ ИНФРА-М,2026 - 353 с.(ВО)(п)</t>
  </si>
  <si>
    <t>МУНИЦИПАЛЬНОЕ УПРАВЛЕНИЕ И МЕСТНОЕ САМОУПРАВЛЕНИЕ, ИЗД.1</t>
  </si>
  <si>
    <t>978-5-16-022338-4</t>
  </si>
  <si>
    <t>Рекомендовано в качестве учебника для студентов высших учебных заведений, обучающихся по направлениям подготовки 38.04.04 «Государственное и муниципальное управление», 40.04.01 «Юриспруденция» (квалификация (степень) «магистр»)</t>
  </si>
  <si>
    <t>704210.05.01</t>
  </si>
  <si>
    <t>Муниципальное управление в демократ. гос.: Моногр. / А.И.Черкасов - М.:Юр.Норма,НИЦ ИНФРА-М,2026 - 224 с.(П)</t>
  </si>
  <si>
    <t>МУНИЦИПАЛЬНОЕ УПРАВЛЕНИЕ В ДЕМОКРАТИЧЕСКИХ ГОСУДАРСТВАХ: ОРГАНИЗАЦИЯ И ПРОБЛЕМЫ ФУНКЦИОНИРОВНИЯ, ИЗД.1</t>
  </si>
  <si>
    <t>978-5-91768-611-0</t>
  </si>
  <si>
    <t>861400.01.01</t>
  </si>
  <si>
    <t>Муниципальное управление и местное самоуправ.: Уч.пос. / Е.В.Лобкова - М.:НИЦ ИНФРА-М, СФУ,2026. - 190 с.(ВО)(п)</t>
  </si>
  <si>
    <t>Лобкова Е.В., Смолина Е.Г.</t>
  </si>
  <si>
    <t>978-5-16-021335-4</t>
  </si>
  <si>
    <t>38.03.04, 38.04.04, 41.03.02, 41.04.02</t>
  </si>
  <si>
    <t>768772.03.01</t>
  </si>
  <si>
    <t>Навигационная концепция информац. моделир. мира: Моногр. / А.Н.Паранина - М.:НИЦ ИНФРА-М,2026. - 271 с.(п)</t>
  </si>
  <si>
    <t>НАВИГАЦИОННАЯ КОНЦЕПЦИЯ ИНФОРМАЦИОННОГО МОДЕЛИРОВАНИЯ МИРА, ИЗД.1</t>
  </si>
  <si>
    <t>Паранина А.Н.</t>
  </si>
  <si>
    <t>978-5-16-019877-4</t>
  </si>
  <si>
    <t>702838.07.01</t>
  </si>
  <si>
    <t>Навигационное планирование перехода судна...: Уч.метод. пос. / Г.В.Белокур - М.:ИНФРА-М, 2026 - 49 с.(О)</t>
  </si>
  <si>
    <t>НАВИГАЦИОННОЕ ПЛАНИРОВАНИЕ ПЕРЕХОДА СУДНА. МЕТОДИКА ВЫПОЛНЕНИЯ КУРСОВОЙ РАБОТЫ: МЕТОДИЧЕСКИЕ РЕКОМЕНДАЦИИ, ИЗД.1</t>
  </si>
  <si>
    <t>Белокур Г.В.</t>
  </si>
  <si>
    <t>978-5-16-015420-6</t>
  </si>
  <si>
    <t>11.02.06, 11.03.01, 11.04.01, 11.05.01, 11.05.02, 11.05.04, 26.02.03, 26.03.01, 26.03.02, 26.05.02, 26.05.03, 26.05.04, 26.05.05, 26.05.07</t>
  </si>
  <si>
    <t>757826.05.01</t>
  </si>
  <si>
    <t>Навигация и лоция: Сб. заданий на практ. раб.: Прак. / Г.В.Белокур - М.:НИЦ ИНФРА-М,2026 - 167 с.(П)</t>
  </si>
  <si>
    <t>НАВИГАЦИЯ И ЛОЦИЯ: СБОРНИК ЗАДАНИЙ НА ПРАКТИЧЕСКИЕ РАБОТЫ, ИЗД.1</t>
  </si>
  <si>
    <t>Белокур Г.В., Сухина М.И., Скворцов С.Н. и др.</t>
  </si>
  <si>
    <t>978-5-16-016919-4</t>
  </si>
  <si>
    <t>26.01.07, 26.01.09, 26.02.01, 26.02.03, 35.01.32, 43.01.04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</si>
  <si>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«Судовождение» (протокол № 11 от 09.11.2020)</t>
  </si>
  <si>
    <t>702845.08.01</t>
  </si>
  <si>
    <t>Навигация и лоция: Сб. заданий...: Практ. / Г.В.Белокур - М.:НИЦ ИНФРА-М,2026 - 167 с.(ВО)(П)</t>
  </si>
  <si>
    <t>Белокур Г.В., Сухина М.И., Скворцов С.Н.</t>
  </si>
  <si>
    <t>978-5-16-014945-5</t>
  </si>
  <si>
    <t>632266.05.01</t>
  </si>
  <si>
    <t>Нагнетатели, тепловые двигатели и термотрансфор.: Уч.пос./В.И.Ляшков-М.:НИЦ ИНФРА-М,2023-218с(ВО)(п)</t>
  </si>
  <si>
    <t>НАГНЕТАТЕЛИ, ТЕПЛОВЫЕ ДВИГАТЕЛИ И ТЕРМОТРАНСФОРМАТОРЫ В СИСТЕМАХ ЭНЕРГООБЕСПЕЧЕНИЯ ПРЕДПРИЯТИЙ, ИЗД.1</t>
  </si>
  <si>
    <t>Ляшков В.И.</t>
  </si>
  <si>
    <t>978-5-16-012314-1</t>
  </si>
  <si>
    <t>Рекомендовано в качестве учебного пособия для студентов высших учебных заведений, обучающихся по направлению подготовки 13.03.01 «Теплоэнергетика и теплотехника» (квалификация (степень) «бакалавр»)</t>
  </si>
  <si>
    <t>668059.06.01</t>
  </si>
  <si>
    <t>Надежность горных машин и оборудования: Уч.пос. / В.А.Карепов - М.:НИЦ ИНФРА-М, СФУ,2025 - 133 с.(О)</t>
  </si>
  <si>
    <t>НАДЕЖНОСТЬ ГОРНЫХ МАШИН И ОБОРУДОВАНИЯ, ИЗД.1</t>
  </si>
  <si>
    <t>Карепов В.А., Безверхая Е.В., Чесноков В.Т.</t>
  </si>
  <si>
    <t>978-5-16-020930-2</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</si>
  <si>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специальности «Горное дело»</t>
  </si>
  <si>
    <t>228400.09.01</t>
  </si>
  <si>
    <t>Надежность и технич. диагност. а/т средств: Уч. пос. / В.А.Стуканов - М.:Форум:НИЦ ИНФРА-М, 2026 - 240 с.(п)</t>
  </si>
  <si>
    <t>НАДЕЖНОСТЬ И ТЕХНИЧЕСКАЯ ДИАГНОСТИКА АВТОТРАНСПОРТНЫХ СРЕДСТВ, ИЗД.1</t>
  </si>
  <si>
    <t>Стуканов В. А., Бояршинов А. Л.</t>
  </si>
  <si>
    <t>978-5-91134-789-5</t>
  </si>
  <si>
    <t>23.03.02, 23.03.03</t>
  </si>
  <si>
    <t>Рекомендовано в качестве учебного пособия для студентов высших учебных заведений, обучающихся по специальностям: «Сервис транспортных и технологических машин и оборудования», «Автомобильный транспорт», «Подъемно-транспортные, строительные, дорожные м</t>
  </si>
  <si>
    <t>305800.09.01</t>
  </si>
  <si>
    <t>Надежность механических систем: Уч. / В.А.Зорин - М.:НИЦ ИНФРА-М,2024 - 380 с.-(ВО)(П)</t>
  </si>
  <si>
    <t>НАДЕЖНОСТЬ МЕХАНИЧЕСКИХ СИСТЕМ, ИЗД.1</t>
  </si>
  <si>
    <t>Зорин В.А.</t>
  </si>
  <si>
    <t>978-5-16-010252-8</t>
  </si>
  <si>
    <t>15.03.01, 15.03.02, 15.03.03, 15.03.04, 15.03.05, 23.03.01, 23.03.02, 23.03.03</t>
  </si>
  <si>
    <t>Рекомендуется УМО вузов России по образованию в области транспортных машин и транспортно-технологических комплексов для студентов, обучающихся по специальностям «Подъемно-транспортные, строительные, дорожные машины и оборудование», «Средства аэродромно-технического обеспечения полетов авиации», «Автомобили и автомобильное хозяйство», «Сервис и техническая эксплуатация транспортных и технологических машин и оборудования»</t>
  </si>
  <si>
    <t>302000.08.01</t>
  </si>
  <si>
    <t>Надежность систем теплоснаб. городов..: Уч. / Ф.А.Поливода - М.:НИЦ ИНФРА-М,2026 - 170 с.(ВО.)(О)</t>
  </si>
  <si>
    <t>НАДЕЖНОСТЬ СИСТЕМ ТЕПЛОСНАБЖЕНИЯ ГОРОДОВ И ПРЕДПРИЯТИЙ ЛЕГКОЙ ПРОМЫШЛЕННОСТИ, ИЗД.1</t>
  </si>
  <si>
    <t>Поливода Ф.А.</t>
  </si>
  <si>
    <t>978-5-16-021976-9</t>
  </si>
  <si>
    <t>13.03.01, 13.04.01, 15.03.04, 15.04.04, 29.03.02</t>
  </si>
  <si>
    <t>Рекомендовано в качестве учебника для студентов высших учебных заведений, обучающихся по направлениям подготовки 29.03.02 «Технология и проектирование текстильных изделий», 13.03.01 «Теплоэнергетика и теплотехника», 15.03.04 «Автоматизация технологических процессов и производств» (квалификация (степень) «бакалавр»)</t>
  </si>
  <si>
    <t>360500.10.01</t>
  </si>
  <si>
    <t>Надежность техн. систем и техноген. риск: Уч. пос. / В.В.Рыков - М: НИЦ ИНФРА-М, 2027. - 192 с..(ВО) (п)</t>
  </si>
  <si>
    <t>НАДЕЖНОСТЬ ТЕХНИЧЕСКИХ СИСТЕМ И ТЕХНОГЕННЫЙ РИСК, ИЗД.1</t>
  </si>
  <si>
    <t>Рыков В.В., Иткин В.Ю.</t>
  </si>
  <si>
    <t>978-5-16-010958-9</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</si>
  <si>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15.03.02 «Технологические машины и оборудование» (квалификация (степень) «бакалавр»)</t>
  </si>
  <si>
    <t>348600.07.01</t>
  </si>
  <si>
    <t>Надежность технических систем: Уч.пос. / В.П.Долгин - М.:Вуз.уч., НИЦ ИНФРА-М,2023 - 167 с.(П)</t>
  </si>
  <si>
    <t>НАДЕЖНОСТЬ ТЕХНИЧЕСКИХ СИСТЕМ, ИЗД.1</t>
  </si>
  <si>
    <t>Долгин В.П., Харченко А.О.</t>
  </si>
  <si>
    <t>978-5-9558-0430-9</t>
  </si>
  <si>
    <t>780692.03.01</t>
  </si>
  <si>
    <t>Надежность электрич. и электрон. оборуд. совр...: Уч.пос. / С.М.Зуев - М.:НИЦ ИНФРА-М,2025 - 220 с.(ВО)(п)</t>
  </si>
  <si>
    <t>НАДЕЖНОСТЬ ЭЛЕКТРИЧЕСКОГО И ЭЛЕКТРОННОГО ОБОРУДОВАНИЯ СОВРЕМЕННЫХ ТРАНСПОРТНЫХ СРЕДСТВ, ИЗД.1</t>
  </si>
  <si>
    <t>Зуев С.М., Малеев Р.А., Веневцев В.И.</t>
  </si>
  <si>
    <t>978-5-16-019576-6</t>
  </si>
  <si>
    <t>12.04.01, 13.03.02, 23.05.01, 23.05.02</t>
  </si>
  <si>
    <t>435600.04.01</t>
  </si>
  <si>
    <t>Надежность электроинстр.на примере сверлил.машин:Моногр./В.И.Головин-Вуз.уч.,НИЦ ИНФРА-М,2024-146(о)</t>
  </si>
  <si>
    <t>НАДЕЖНОСТЬ ЭЛЕКТРОИНСТРУМЕНТА НА ПРИМЕРЕ СВЕРЛИЛЬНЫХ МАШИН, ИЗД.1</t>
  </si>
  <si>
    <t>Головин В.И., Харченко А.О.</t>
  </si>
  <si>
    <t>978-5-9558-0465-1</t>
  </si>
  <si>
    <t>15.04.01, 15.04.05</t>
  </si>
  <si>
    <t>232300.13.01</t>
  </si>
  <si>
    <t>Надежность электроснабжения: Уч.пос. / В.Я.Хорольский - М.:Форум, НИЦ ИНФРА-М,2026 - 127 с.(ВО)(О)</t>
  </si>
  <si>
    <t>НАДЕЖНОСТЬ ЭЛЕКТРОСНАБЖЕНИЯ, ИЗД.1</t>
  </si>
  <si>
    <t>Хорольский В.Я., Таранов М.А.</t>
  </si>
  <si>
    <t>978-5-00091-486-1</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</si>
  <si>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направлению 13.03.02 «Электроэнергетика»</t>
  </si>
  <si>
    <t>682989.05.01</t>
  </si>
  <si>
    <t>Надежность электроснабжения: Уч.пос. / В.Я.Хорольский -М.:Форум, НИЦ ИНФРА-М,2023.-127 с..-(СПО)(О)</t>
  </si>
  <si>
    <t>978-5-00091-599-8</t>
  </si>
  <si>
    <t>13.01.10, 13.02.01, 13.02.02, 13.02.04, 13.02.07, 13.02.09, 13.02.12, 21.01.08, 23.02.06, 35.01.15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</si>
  <si>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13.02.00 «Электро- и теплоэнергетика»</t>
  </si>
  <si>
    <t>724491.06.01</t>
  </si>
  <si>
    <t>Надзор прокурора за возбужд. и расслед. уголов. дел: Моногр. / К.А.Таболина - М.:Юр.Норма,2025. - 320 с.(П)</t>
  </si>
  <si>
    <t>НАДЗОР ПРОКУРОРА ЗА ВОЗБУЖДЕНИЕМ И РАССЛЕДОВАНИЕМ УГОЛОВНЫХ ДЕЛ, ИЗД.1</t>
  </si>
  <si>
    <t>Таболина К.А.</t>
  </si>
  <si>
    <t>978-5-00156-034-0</t>
  </si>
  <si>
    <t>40.04.01, 40.05.02, 40.06.01</t>
  </si>
  <si>
    <t>385200.09.01</t>
  </si>
  <si>
    <t>Наднациональное право и гос. суверенитет..: Моногр. / В.Е.Чиркин - М.:Юр. НОРМА, НИЦ ИНФРА-М,2026. - 40 с.(о)</t>
  </si>
  <si>
    <t>НАДНАЦИОНАЛЬНОЕ ПРАВО И ГОСУДАРСТВЕННЫЙ СУВЕРЕНИТЕТ (НЕКОТОРЫЕ ПРОБЛЕМЫ ТЕОРИИ), ИЗД.1</t>
  </si>
  <si>
    <t>978-5-91768-651-6</t>
  </si>
  <si>
    <t>650401.04.01</t>
  </si>
  <si>
    <t>Наднациональные модели налог.сис.:от Китая...: Моногр./ А.В.Гурнак-М.:Магистр, НИЦ ИНФРА-М,2021-272с(П)</t>
  </si>
  <si>
    <t>НАДНАЦИОНАЛЬНЫЕ МОДЕЛИ НАЛОГОВЫХ СИСТЕМ: ОТ КИТАЯ ДО МАГРИБА, ИЗД.1</t>
  </si>
  <si>
    <t>Гурнак А.В., Вишневский В.П., Вишневская Е.Н. и др.</t>
  </si>
  <si>
    <t>978-5-9776-0453-6</t>
  </si>
  <si>
    <t>768794.06.01</t>
  </si>
  <si>
    <t>Назначение судебных экспертиз: Уч.пос. / В.Н.Карагодин. - М.:НИЦ ИНФРА-М,2027. - 227 с.(ВО.)(П)</t>
  </si>
  <si>
    <t>НАЗНАЧЕНИЕ СУДЕБНЫХ ЭКСПЕРТИЗ, ИЗД.1</t>
  </si>
  <si>
    <t>Карагодин В.Н., Надоненко О.Н., Николаенкова А.В. и др.</t>
  </si>
  <si>
    <t>978-5-16-020670-7</t>
  </si>
  <si>
    <t>40.05.03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</si>
  <si>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(квалификация (степень) «магистр») (протокол № 3 от 09.03.2022)</t>
  </si>
  <si>
    <t>761502.01.01</t>
  </si>
  <si>
    <t>Налоги граждан в инициативном бюджетировании: Моногр. / В.В.Вагин.-М.:НИЦ ИНФРА-М,2022.-160 с.(Науч.мысль)(О)</t>
  </si>
  <si>
    <t>НАЛОГИ ГРАЖДАН В ИНИЦИАТИВНОМ БЮДЖЕТИРОВАНИИ, ИЗД.1</t>
  </si>
  <si>
    <t>Вагин В.В., Пинская М.Р., Гаврилова Н.В. и др.</t>
  </si>
  <si>
    <t>978-5-16-017153-1</t>
  </si>
  <si>
    <t>670006.05.01</t>
  </si>
  <si>
    <t>Налоги и налогообложение. Налог.система РФ: Уч.пос./О.Ю.Ворожбит-М.:ИЦ РИОР,НИЦ ИНФРА-М,2023-174с(П)</t>
  </si>
  <si>
    <t>НАЛОГИ И НАЛОГООБЛОЖЕНИЕ. НАЛОГОВАЯ СИСТЕМА РОССИЙСКОЙ ФЕДЕРАЦИИ, ИЗД.1</t>
  </si>
  <si>
    <t>Ворожбит О.Ю., Водопьянова В.А.</t>
  </si>
  <si>
    <t>978-5-369-01730-2</t>
  </si>
  <si>
    <t>366000.08.01</t>
  </si>
  <si>
    <t>Налоги и налогообложение. Прак.: Уч.пос. / Н.И.Яшина - 3 изд.-М.:ИЦ РИОР, НИЦ ИНФРА-М,2023.-76 с.(ВО)(О)</t>
  </si>
  <si>
    <t>НАЛОГИ И НАЛОГООБЛОЖЕНИЕ. ПРАКТИКУМ, ИЗД.3</t>
  </si>
  <si>
    <t>Яшина Н.И., Гинзбург М.Ю., Чеснокова Л.А.</t>
  </si>
  <si>
    <t>978-5-369-01918-4</t>
  </si>
  <si>
    <t>38.03.01, 38.03.02, 38.03.04, 38.04.01, 38.04.02, 38.04.04, 44.03.01, 44.03.05</t>
  </si>
  <si>
    <t>Рекомендовано в качестве учебного пособия для студентов высших учебных заведений, обучающихся по направлениям подготовки «Экономика», «Менеджмент», «Государственное и муниципальное управление» (квалификация (степень) «бакалавр»)</t>
  </si>
  <si>
    <t>366000.05.01</t>
  </si>
  <si>
    <t>Налоги и налогообложение. Практ.: Уч.пос. / Н.И.Яшина-2изд.-М:ИЦ РИОР,НИЦ ИНФРА-М,2019-87с(ВО:Бак.)</t>
  </si>
  <si>
    <t>НАЛОГИ И НАЛОГООБЛОЖЕНИЕ. ПРАКТИКУМ, ИЗД.2</t>
  </si>
  <si>
    <t>978-5-369-01652-7</t>
  </si>
  <si>
    <t>690066.05.01</t>
  </si>
  <si>
    <t>Налоги и налогообложение: Прак. для СПО: Уч.пос. / Н.И.Яшина - 2 изд.-М.:ИЦ РИОР, НИЦ ИНФРА-М,2024.-128 с.(о)</t>
  </si>
  <si>
    <t>НАЛОГИ И НАЛОГООБЛОЖЕНИЕ: ПРАКТИКУМ ДЛЯ СПО, ИЗД.2</t>
  </si>
  <si>
    <t>Яшина Н.И., Гинзбург М.Ю., Чеснокова Л.А. и др.</t>
  </si>
  <si>
    <t>978-5-369-01933-7</t>
  </si>
  <si>
    <t>38.02.02, 38.02.03, 38.02.06, 38.02.07, 42.02.02</t>
  </si>
  <si>
    <t>690066.08.01</t>
  </si>
  <si>
    <t>Налоги и налогообложение: Прак. для СПО: Уч.пос. / Н.И.Яшина - 3 изд. - М.:ИЦ РИОР,НИЦ ИНФРА-М,2026. - 128 с.(о)</t>
  </si>
  <si>
    <t>НАЛОГИ И НАЛОГООБЛОЖЕНИЕ: ПРАКТИКУМ ДЛЯ СПО, ИЗД.3</t>
  </si>
  <si>
    <t>978-5-369-01989-4</t>
  </si>
  <si>
    <t>652588.05.01</t>
  </si>
  <si>
    <t>Налоги и налогообложение: прак.: Уч.пос. / Е.Ю.Сидорова, - 3 изд. - М.:НИЦ ИНФРА-М,2027. - 272 с.(ВО)(п)</t>
  </si>
  <si>
    <t>НАЛОГИ И НАЛОГООБЛОЖЕНИЕ: ПРАКТИКУМ, ИЗД.3</t>
  </si>
  <si>
    <t>Сидорова Е.Ю., Бобошко Д.Ю.</t>
  </si>
  <si>
    <t>978-5-16-019423-3</t>
  </si>
  <si>
    <t>744473.04.01</t>
  </si>
  <si>
    <t>Налоги и налогообложение: практ.: Уч. пос. / Е.Ю.Сидорова - 3 изд. - М.:НИЦ ИНФРА-М,2027 - 272 с.(СПО)(п)</t>
  </si>
  <si>
    <t>978-5-16-019433-2</t>
  </si>
  <si>
    <t>38.02.01, 38.02.02, 38.02.03, 38.02.06, 38.02.07</t>
  </si>
  <si>
    <t>690066.03.01</t>
  </si>
  <si>
    <t>Налоги и налогообложение: Практ.: Уч.пос. / Н.И.Яшина - М.:ИЦ РИОР,НИЦ ИНФРА-М,2020-118с(СПО)(О)</t>
  </si>
  <si>
    <t>НАЛОГИ И НАЛОГООБЛОЖЕНИЕ: ПРАКТИКУМ ДЛЯ СПО, ИЗД.1</t>
  </si>
  <si>
    <t>978-5-369-01787-6</t>
  </si>
  <si>
    <t>744473.01.01</t>
  </si>
  <si>
    <t>Налоги и налогообложение: практикум: Уч.пос. / Е.Ю.Сидорова - М.:НИЦ ИНФРА-М,2021 - 309 с.(СПО)(П)</t>
  </si>
  <si>
    <t>НАЛОГИ И НАЛОГООБЛОЖЕНИЕ. ПРАКТИКУМ, ИЗД.1</t>
  </si>
  <si>
    <t>978-5-16-016631-5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</si>
  <si>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ррограмму среднего профессионального образования по экономическим  специальностям (протокол № 8 от 22.06.2020)</t>
  </si>
  <si>
    <t>754531.01.01</t>
  </si>
  <si>
    <t>Налоги и налогообложение: практикум: Уч.пос. / Е.Ю.Сидорова - М.:НИЦ ИНФРА-М,2022 - 262 с.(ВО: Магистр.)(П)</t>
  </si>
  <si>
    <t>НАЛОГИ И НАЛОГООБЛОЖЕНИЕ: ПРАКТИКУМ, ИЗД.1</t>
  </si>
  <si>
    <t>978-5-16-016951-4</t>
  </si>
  <si>
    <t>38.03.01, 38.04.01, 38.04.02, 38.05.01, 38.05.02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</si>
  <si>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38.00.00 «Экономика и управление» (квалификация (степень) «магистр») (протокол № 10 от 15.12.2021)</t>
  </si>
  <si>
    <t>652588.03.01</t>
  </si>
  <si>
    <t>Налоги и налогообложение: практикум: Уч.пос. / Е.Ю.Сидорова - М.:НИЦ ИНФРА-М,2023 - 309 с.(ВО)(П)</t>
  </si>
  <si>
    <t>978-5-16-013780-3</t>
  </si>
  <si>
    <t>Рекомендовано Учебно-методическим советом ВО в качестве учебного пособия для студентов высших учебных заведений, обучающихся по укрупненной группе специальностей и направлений подготовки 38.03.00 «Экономика и управление» (квалификация (степень) «бакалавр»)</t>
  </si>
  <si>
    <t>430700.10.01</t>
  </si>
  <si>
    <t>Налоги и налогообложение: Теор. и прак.: Уч.пос./М.Я.Погорелова -4изд.-М.:ИЦ РИОР, НИЦ ИНФРА-М,2023-210с(п)</t>
  </si>
  <si>
    <t>НАЛОГИ И НАЛОГООБЛОЖЕНИЕ: ТЕОРИЯ И ПРАКТИКА, ИЗД.4</t>
  </si>
  <si>
    <t>978-5-369-01903-0</t>
  </si>
  <si>
    <t>430700.04.01</t>
  </si>
  <si>
    <t>Налоги и налогообложение: Теория и практика:Уч.пос. / М.Я.Погорелова, - 3-е изд.-М.:ИЦ РИОР, НИЦ ИНФРА-М,2016.-205 с..-(ВО: Ба</t>
  </si>
  <si>
    <t>НАЛОГИ И НАЛОГООБЛОЖЕНИЕ: ТЕОРИЯ И ПРАКТИКА, ИЗД.3</t>
  </si>
  <si>
    <t>Погорелова М. Я.</t>
  </si>
  <si>
    <t>978-5-369-01425-7</t>
  </si>
  <si>
    <t>652884.02.01</t>
  </si>
  <si>
    <t>Налоги и налогообложение: Уч. / Е.Ю.Сидорова - М.:НИЦ ИНФРА-М,2023 - 235 с.-(ВО: Бакалавриат)(П)</t>
  </si>
  <si>
    <t>НАЛОГИ И НАЛОГООБЛОЖЕНИЕ, ИЗД.1</t>
  </si>
  <si>
    <t>978-5-16-013779-7</t>
  </si>
  <si>
    <t>38.03.01, 38.05.01, 38.05.02, 44.03.05</t>
  </si>
  <si>
    <t>Рекомендовано Учебно-методическим советом ВО в качестве учебного пособия для студентов высших учебных заведений, обучающихся по укрупненнной группе специальностей и направлений подготовки 38.03.00 «Экономика и управление» (квалификация (степень) «бакалавр»)</t>
  </si>
  <si>
    <t>652884.03.01</t>
  </si>
  <si>
    <t>Налоги и налогообложение: Уч. / Е.Ю.Сидорова, - 2 изд. - М.:НИЦ ИНФРА-М,2025. - 228 с.(ВО)(п)</t>
  </si>
  <si>
    <t>НАЛОГИ И НАЛОГООБЛОЖЕНИЕ, ИЗД.2</t>
  </si>
  <si>
    <t>978-5-16-019464-6</t>
  </si>
  <si>
    <t>750788.06.01</t>
  </si>
  <si>
    <t>Налоги и налогообложение: Уч. / Е.Ю.Сидорова, - 2 изд. - М.:НИЦ ИНФРА-М,2026. - 228 с.(СПО)(п)</t>
  </si>
  <si>
    <t>978-5-16-020571-7</t>
  </si>
  <si>
    <t>34.02.01, 35.01.23, 35.01.24, 38.02.02, 38.02.03, 38.02.06, 38.02.07, 42.02.02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</si>
  <si>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9 от 28.09.2020)</t>
  </si>
  <si>
    <t>750788.03.01</t>
  </si>
  <si>
    <t>Налоги и налогообложение: Уч. / Е.Ю.Сидорова-М.:НИЦ ИНФРА-М,2024.-235 с.(СПО)(п)</t>
  </si>
  <si>
    <t>978-5-16-016714-5</t>
  </si>
  <si>
    <t>651705.05.01</t>
  </si>
  <si>
    <t>Налоги и налогообложение: Уч. / Под ред. Сильвестровой Т.Я.-М.:НИЦ ИНФРА-М,2024.-531 с.(ВО)(П)</t>
  </si>
  <si>
    <t>Сильвестрова Т.Я., Гурова С.Ю., Шипеев Я.Г. и др.</t>
  </si>
  <si>
    <t>978-5-16-013334-8</t>
  </si>
  <si>
    <t>38.03.01, 38.03.02, 38.03.04, 38.03.06, 44.03.01, 44.03.05</t>
  </si>
  <si>
    <t>Рекомендовано в качестве учебника для студентов высших учебных заведений, обучающихся по направлениям подготовки 38.03.01 «Экономика», 38.03.06 «Торговое дело», 38.03.04 «Государственное и муниципальное управление» (квалификация (степень) «бакалавр»)</t>
  </si>
  <si>
    <t>660117.05.01</t>
  </si>
  <si>
    <t>Налоги и налогообложение: Уч.пос. / А.Н.Романов - М.:Вуз.уч., НИЦ ИНФРА-М,2025. - 391 с.(ВО: Бакалавр.)(П)</t>
  </si>
  <si>
    <t>Романов А.Н., Колчин С.П.</t>
  </si>
  <si>
    <t>Высшее образование: Бакалавриат (ФинУн)</t>
  </si>
  <si>
    <t>978-5-9558-0578-8</t>
  </si>
  <si>
    <t>Рекомендовано Учебно-методическим объединением вузов РФ по образованию в области экономики в качестве учебного пособия для студентов высших учебных заведений, обучающихся по программе бакалавриата по направлению подготовки 38.03.01 «Экономика», профиль «Налоги и налогообложение»</t>
  </si>
  <si>
    <t>712998.02.01</t>
  </si>
  <si>
    <t>Налоги и налогообложение: Уч.пос. / А.Н.Романов - М.:Вуз.уч.,НИЦ ИНФРА-М,2024 - 391 с.-(СПО)(П)</t>
  </si>
  <si>
    <t>978-5-9558-0643-3</t>
  </si>
  <si>
    <t>35.01.23, 35.01.24, 38.02.01, 38.02.02, 38.02.03, 38.02.06, 38.02.07, 38.02.08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</si>
  <si>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8 от 29.04.2019)</t>
  </si>
  <si>
    <t>816608.01.01</t>
  </si>
  <si>
    <t>Налоги и налогообложение: Уч.пос. / Н.З.Зотиков - М.:НИЦ ИНФРА-М,2025. - 397 с.(СПО)(п)</t>
  </si>
  <si>
    <t>Зотиков Н.З.</t>
  </si>
  <si>
    <t>978-5-16-019466-0</t>
  </si>
  <si>
    <t>712991.03.01</t>
  </si>
  <si>
    <t>Налоги и налогообложение: Уч.пос. / Н.Ф.Зарук.-М.:НИЦ ИНФРА-М,2024.-249 с..-(СПО)(П)</t>
  </si>
  <si>
    <t>Зарук Н.Ф., Носов А.В., Федотова М.Ю. и др.</t>
  </si>
  <si>
    <t>978-5-16-015688-0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</si>
  <si>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12 от 24.06.2019)</t>
  </si>
  <si>
    <t>814545.01.01</t>
  </si>
  <si>
    <t>Налоги и налогообложение: Уч.пос. / О.К.Котар - М.:НИЦ ИНФРА-М,2025 - 244 с.(ВО)(п)</t>
  </si>
  <si>
    <t>Котар О.К., Шаронова Е.В.</t>
  </si>
  <si>
    <t>978-5-16-019400-4</t>
  </si>
  <si>
    <t>38.03.01, 38.03.02, 38.03.04, 38.03.06, 38.03.07, 38.03.10, 38.05.01, 38.05.02</t>
  </si>
  <si>
    <t>846751.01.01</t>
  </si>
  <si>
    <t>Налоги и налогообложение: Уч.пос. / О.К.Котар, - 2 изд., доп. - М.:НИЦ ИНФРА-М,2026. - 247 с.(ВО)(п)</t>
  </si>
  <si>
    <t>978-5-16-020511-3</t>
  </si>
  <si>
    <t>677329.02.01</t>
  </si>
  <si>
    <t>Налоги и предпринимательство: Уч. / Л.И.Гончаренко и др.-М.:Магистр, НИЦ ИНФРА-М,2020.-432 с.(П)</t>
  </si>
  <si>
    <t>НАЛОГИ И ПРЕДПРИНИМАТЕЛЬСТВО, ИЗД.1</t>
  </si>
  <si>
    <t>Гончаренко Л.И., Гурнак А.В., Архипцева Л.М. и др.</t>
  </si>
  <si>
    <t>978-5-9776-0473-4</t>
  </si>
  <si>
    <t>38.04.01, 40.03.01</t>
  </si>
  <si>
    <t>702821.01.01</t>
  </si>
  <si>
    <t>Налогобложение в области спорта: Уч.пос. / И.В.Петрова и др.-М.:Юр.Норма, НИЦ ИНФРА-М,2019-112с(О)</t>
  </si>
  <si>
    <t>НАЛОГОБЛОЖЕНИЕ В ОБЛАСТИ СПОРТА, ИЗД.1</t>
  </si>
  <si>
    <t>Петрова И.В., Мачехин В.А., Ткаченко Р.В. и др.</t>
  </si>
  <si>
    <t>978-5-91768-999-9</t>
  </si>
  <si>
    <t>239700.06.01</t>
  </si>
  <si>
    <t>Налоговая конкуренция: от теории к практике: Монография / М.Р.Пинская - М.:НИЦ ИНФРА-М,2022 - 137 с.(О)</t>
  </si>
  <si>
    <t>НАЛОГОВАЯ КОНКУРЕНЦИЯ: ОТ ТЕОРИИ К ПРАКТИКЕ, ИЗД.1</t>
  </si>
  <si>
    <t>Пинская М. Р.</t>
  </si>
  <si>
    <t>978-5-16-009224-9</t>
  </si>
  <si>
    <t>38.03.01, 38.04.01, 40.03.01, 44.03.01, 44.03.05</t>
  </si>
  <si>
    <t>694100.04.01</t>
  </si>
  <si>
    <t>Налоговая система РФ и ее характеристики: Моногр./М.Ю.Малкина-М.:НИЦ ИНФРА-М,2024-127с.(Науч.мысль)(О)</t>
  </si>
  <si>
    <t>НАЛОГОВАЯ СИСТЕМА РОССИЙСКОЙ ФЕДЕРАЦИИ И ЕЕ ХАРАКТЕРИСТИКИ, ИЗД.1</t>
  </si>
  <si>
    <t>Малкина М.Ю., Балакин Р.В.</t>
  </si>
  <si>
    <t>978-5-16-014544-0</t>
  </si>
  <si>
    <t>38.03.01, 40.03.01, 44.03.01, 44.03.05</t>
  </si>
  <si>
    <t>651468.05.01</t>
  </si>
  <si>
    <t>Налоговая система РФ: пробл..: Моногр. / В.Г.Пансков - М.:Вуз.уч., НИЦ ИНФРА-М,2023-246с(Науч.книга)(О)</t>
  </si>
  <si>
    <t>НАЛОГОВАЯ СИСТЕМА РФ: ПРОБЛЕМЫ СТАНОВЛЕНИЯ И РАЗВИТИЯ, ИЗД.1</t>
  </si>
  <si>
    <t>Пансков В.Г.</t>
  </si>
  <si>
    <t>978-5-9558-0549-8</t>
  </si>
  <si>
    <t>38.03.01, 38.04.08, 44.03.01, 44.03.05</t>
  </si>
  <si>
    <t>473550.04.01</t>
  </si>
  <si>
    <t>Налоговая система РФ: Хрестоматия: Уч.пос. / Под ред.Малис Н.И.-М.:Магистр, НИЦ ИНФРА-М,2019-152с(О)</t>
  </si>
  <si>
    <t>НАЛОГОВАЯ СИСТЕМА РОССИЙСКОЙ ФЕДЕРАЦИИ: ХРЕСТОМАТИЯ, ИЗД.1</t>
  </si>
  <si>
    <t>Малис Н. И., Малис Н. И., Анисимов С. А., Горский И. В.</t>
  </si>
  <si>
    <t>978-5-9776-0332-4</t>
  </si>
  <si>
    <t>142550.08.01</t>
  </si>
  <si>
    <t>Налоговая система Союза ССР (1921-1930): Уч. пос./ В.М.Пушкарева - М.: Вузовский учебник, 2024-198с. (п)</t>
  </si>
  <si>
    <t>НАЛОГОВАЯ СИСТЕМА СОЮЗА ССР (1921-1930), ИЗД.1</t>
  </si>
  <si>
    <t>Пушкарева В. М.</t>
  </si>
  <si>
    <t>978-5-9558-0172-8</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</si>
  <si>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"Налоги и налогообложение"</t>
  </si>
  <si>
    <t>673879.01.01</t>
  </si>
  <si>
    <t>Налоговая система...: Монография / Н.Г.Привалов-М.:НИЦ ИНФРА-М,2023.-417 с.(Науч.мысль)(П)</t>
  </si>
  <si>
    <t>НАЛОГОВАЯ СИСТЕМА: ТЕОРЕТИЧЕСКИЙ И МЕТОДОЛОГИЧЕСКИЙ АСПЕКТ. НАЛОГОВЫЙ ПРОДУКТ, ИЗД.1</t>
  </si>
  <si>
    <t>Привалов Н.Г., Привалова С.Г.</t>
  </si>
  <si>
    <t>978-5-16-017739-7</t>
  </si>
  <si>
    <t>38.03.01, 38.04.08, 38.05.02, 38.06.01</t>
  </si>
  <si>
    <t>632119.03.01</t>
  </si>
  <si>
    <t>Налоговая система: Уч. / Под ред. Кузнецова Н.Г. - М.:ИЦ РИОР, НИЦ ИНФРА-М,2018 - 583 с.(П)</t>
  </si>
  <si>
    <t>НАЛОГОВАЯ СИСТЕМА, ИЗД.1</t>
  </si>
  <si>
    <t>Альбеков А.У., Вазарханов И.С., Кузнецов Н.Г. и др.</t>
  </si>
  <si>
    <t>978-5-369-01577-3</t>
  </si>
  <si>
    <t>151050.11.01</t>
  </si>
  <si>
    <t>Налогово-бюдж.планирование в РФ: Уч.пос. / Е.В.Боровикова-2изд-М:НИЦ ИНФРА-М,2024-164с(ВО: Бакалавр.)(о)</t>
  </si>
  <si>
    <t>НАЛОГОВО-БЮДЖЕТНОЕ ПЛАНИРОВАНИЕ В РОССИЙСКОЙ ФЕДЕРАЦИИ, ИЗД.2</t>
  </si>
  <si>
    <t>Боровикова Е. В.</t>
  </si>
  <si>
    <t>978-5-16-010329-7</t>
  </si>
  <si>
    <t>700661.06.01</t>
  </si>
  <si>
    <t>Налоговое администрирование и контроль: Уч. / Л.И.Гончаренко - М.:Магистр, НИЦ ИНФРА-М,2025 - 448 с.(П)</t>
  </si>
  <si>
    <t>НАЛОГОВОЕ АДМИНИСТРИРОВАНИЕ И КОНТРОЛЬ, ИЗД.1</t>
  </si>
  <si>
    <t>Гончаренко Л.И., Борисов О.И., Адвокатова А.С. и др.</t>
  </si>
  <si>
    <t>978-5-9776-0494-9</t>
  </si>
  <si>
    <t>38.04.01, 38.04.04, 38.04.08</t>
  </si>
  <si>
    <t>765420.01.01</t>
  </si>
  <si>
    <t>Налоговое администрирование: Уч. / А.С.Адвокатова.-М.:НИЦ ИНФРА-М,2023.- 254 с.(ВО)(п)</t>
  </si>
  <si>
    <t>НАЛОГОВОЕ АДМИНИСТРИРОВАНИЕ, ИЗД.1</t>
  </si>
  <si>
    <t>Адвокатова А.С., Артеменко Д.А., Гончаренко А.Е. и др.</t>
  </si>
  <si>
    <t>978-5-16-017557-7</t>
  </si>
  <si>
    <t>38.03.01, 38.03.02, 38.04.01, 38.04.02, 38.04.04, 38.04.09, 38.05.01, 38.05.02</t>
  </si>
  <si>
    <t>650400.05.01</t>
  </si>
  <si>
    <t>Налоговое консультирование: теория и практика: Уч. / Под ред. Малиса Н.И.-М.:Магистр, НИЦ ИНФРА-М,2020-416 с.(П)</t>
  </si>
  <si>
    <t>НАЛОГОВОЕ КОНСУЛЬТИРОВАНИЕ: ТЕОРИЯ И ПРАКТИКА, ИЗД.1</t>
  </si>
  <si>
    <t>Малис Н.И., Ряховский Д.И., Назарова Н.А. и др.</t>
  </si>
  <si>
    <t>978-5-9776-0452-9</t>
  </si>
  <si>
    <t>702817.08.01</t>
  </si>
  <si>
    <t>Налоговое право (общая ч.) в схемах...: Уч.пос. / Л.Л.Арзуманова - М.:Юр. НОРМА, НИЦ ИНФРА-М,2025. - 36 с.(о)</t>
  </si>
  <si>
    <t>НАЛОГОВОЕ ПРАВО (ОБЩАЯ ЧАСТЬ) В СХЕМАХ И ТАБЛИЦАХ, ИЗД.1</t>
  </si>
  <si>
    <t>Арзуманова Л.Л., Грачева Е.Ю., Болтинова О.В. и др.</t>
  </si>
  <si>
    <t>978-5-91768-559-5</t>
  </si>
  <si>
    <t>38.03.01, 40.03.01, 40.05.01, 40.05.02, 40.05.03, 40.05.04, 44.03.01, 44.03.05</t>
  </si>
  <si>
    <t>768617.01.01</t>
  </si>
  <si>
    <t>Налоговое право государств ЕАЭС: Уч. / А.Н.Козырин - М.:Юр.Норма, НИЦ ИНФРА-М,2022 - 388 с.(П)</t>
  </si>
  <si>
    <t>НАЛОГОВОЕ ПРАВО ГОСУДАРСТВ ЕАЭС, ИЗД.1</t>
  </si>
  <si>
    <t>Козырин А.Н.</t>
  </si>
  <si>
    <t>978-5-00156-212-2</t>
  </si>
  <si>
    <t>701649.04.01</t>
  </si>
  <si>
    <t>Налоговое право: общая часть: Практикум / Л.Л.Арзуманова - М.:Юр.Норма, НИЦ ИНФРА-М,2026. -  52 с.(О)</t>
  </si>
  <si>
    <t>НАЛОГОВОЕ ПРАВО: ОБЩАЯ ЧАСТЬ, ИЗД.1</t>
  </si>
  <si>
    <t>Арзуманова Л.Л.</t>
  </si>
  <si>
    <t>978-5-91768-996-8</t>
  </si>
  <si>
    <t>814141.03.01</t>
  </si>
  <si>
    <t>Налоговое право: Уч. / А.С.Жутаев - М.:Юр. НОРМА, НИЦ ИНФРА-М,2027. - 240 с.(п)</t>
  </si>
  <si>
    <t>НАЛОГОВОЕ ПРАВО, ИЗД.1</t>
  </si>
  <si>
    <t>Жутаев А.С., Покачалова Е.В., Садчиков М.Н.</t>
  </si>
  <si>
    <t>978-5-00156-332-7</t>
  </si>
  <si>
    <t>717331.10.01</t>
  </si>
  <si>
    <t>Налоговое право: Уч. / Л.Л.Арзуманова - 2 изд. - М.:Юр. НОРМА, НИЦ ИНФРА-М,2027. - 152 с.(СПО)(п)</t>
  </si>
  <si>
    <t>НАЛОГОВОЕ ПРАВО, ИЗД.2</t>
  </si>
  <si>
    <t>978-5-00156-323-5</t>
  </si>
  <si>
    <t>717331.07.01</t>
  </si>
  <si>
    <t>Налоговое право: Уч. / Л.Л.Арзуманова - М.:Юр.Норма,НИЦ ИНФРА-М,2023 - 152 с.(СПО) (П)</t>
  </si>
  <si>
    <t>978-5-00156-017-3</t>
  </si>
  <si>
    <t>729568.07.01</t>
  </si>
  <si>
    <t>Налоговое право: Уч.пос. / О.В.Колесниченко - М.:ИЦ РИОР, НИЦ ИНФРА-М,2026 - 206 с.(ВО)(П)</t>
  </si>
  <si>
    <t>Колесниченко О.В.</t>
  </si>
  <si>
    <t>978-5-369-01840-8</t>
  </si>
  <si>
    <t>447600.07.01</t>
  </si>
  <si>
    <t>Налоговое регулир. трансфертного ценообраз. в России: Уч. / Л.П.Грундел - М.:Магистр, НИЦ ИНФРА-М,2022. - 256 с.(О)</t>
  </si>
  <si>
    <t>НАЛОГОВОЕ РЕГУЛИРОВАНИЕ ТРАНСФЕРТНОГО ЦЕНООБРАЗОВАНИЯ В РОССИИ, ИЗД.1</t>
  </si>
  <si>
    <t>Л.П.Грундел, Н.И.Малис</t>
  </si>
  <si>
    <t>978-5-9776-0372-0</t>
  </si>
  <si>
    <t>740790.02.01</t>
  </si>
  <si>
    <t>Налоговое стимулир. промыш. производства: Моногр. / Под ред. Пинской М.Р.-М.:НИЦ ИНФРА-М,2022.-132 с.(О)</t>
  </si>
  <si>
    <t>НАЛОГОВОЕ СТИМУЛИРОВАНИЕ ПРОМЫШЛЕННОГО ПРОИЗВОДСТВА, ИЗД.1</t>
  </si>
  <si>
    <t>Гереев Р.А., Пинская М.Р.</t>
  </si>
  <si>
    <t>978-5-16-016673-5</t>
  </si>
  <si>
    <t>ПАО СБЕРБАНК</t>
  </si>
  <si>
    <t>673962.03.01</t>
  </si>
  <si>
    <t>Налоговое стимулир. ресурсосбережения в неоиндустр. эк.:Моногр. / Л.П.Королева-М.:НИЦ ИНФРА-М,2023-203с.(п)</t>
  </si>
  <si>
    <t>НАЛОГОВОЕ СТИМУЛИРОВАНИЕ РЕСУРСОСБЕРЕЖЕНИЯ В НЕОИНДУСТРИАЛЬНОЙ ЭКОНОМИКЕ, ИЗД.1</t>
  </si>
  <si>
    <t>Королева Л.П.</t>
  </si>
  <si>
    <t>978-5-16-013497-0</t>
  </si>
  <si>
    <t>854481.03.01</t>
  </si>
  <si>
    <t>Налоговые риски бизнеса: Уч. / А.С.Адвокатова. - М, НИЦ ИНФРА-М,2026. - 488 с.(п)</t>
  </si>
  <si>
    <t>НАЛОГОВЫЕ РИСКИ БИЗНЕСА, ИЗД.1</t>
  </si>
  <si>
    <t>Адвокатова А.С., Антонова О.Г., Батарин А.А. и др.</t>
  </si>
  <si>
    <t>978-5-16-020893-0</t>
  </si>
  <si>
    <t>38.03.01, 38.03.02, 38.03.04, 38.03.06, 38.05.01</t>
  </si>
  <si>
    <t>691867.07.01</t>
  </si>
  <si>
    <t>Налоговые риски в сис. экономич. безоп.: Уч.пос. / В.И.Авдийский - М.:НИЦ ИНФРА-М,2024 - 236 с.(ВО)(П)</t>
  </si>
  <si>
    <t>НАЛОГОВЫЕ РИСКИ В СИСТЕМЕ ЭКОНОМИЧЕСКОЙ БЕЗОПАСНОСТИ, ИЗД.1</t>
  </si>
  <si>
    <t>Авдийский В.И., Земсков В.В., Соловьев А.И.</t>
  </si>
  <si>
    <t>978-5-16-017125-8</t>
  </si>
  <si>
    <t>Рекомендовано УМО по образованию в области финансов, учета и мировой экономики в качестве учебного пособия для студентов магистратуры, обучающихся по направлению «Экономика»</t>
  </si>
  <si>
    <t>764457.07.01</t>
  </si>
  <si>
    <t>Налоговый аудит: Уч. / Г.В.Глазкова - 2 изд. - М.:НИЦ ИНФРА-М,2026. - 223 с.(ВО (Финанс. универ.))(п)</t>
  </si>
  <si>
    <t>НАЛОГОВЫЙ АУДИТ, ИЗД.2</t>
  </si>
  <si>
    <t>Мельник М.В., Глазкова Г.В., Дворецкая В.В. и др.</t>
  </si>
  <si>
    <t>978-5-16-020960-9</t>
  </si>
  <si>
    <t>764457.06.01</t>
  </si>
  <si>
    <t>Налоговый аудит: Уч. / Г.В.Глазкова. - М.:НИЦ ИНФРА-М,2025. - 239 с.(ВО: Бакалавр. (Финунивер.))(П)</t>
  </si>
  <si>
    <t>НАЛОГОВЫЙ АУДИТ, ИЗД.1</t>
  </si>
  <si>
    <t>978-5-16-017401-3</t>
  </si>
  <si>
    <t>672422.06.01</t>
  </si>
  <si>
    <t>Налоговый контроль. Налог. проверки: Уч.пос. / О.В.Болтинова - 2 изд. - М.:Юр.Норма, НИЦ ИНФРА-М,2026. - 160 с.(П)</t>
  </si>
  <si>
    <t>НАЛОГОВЫЙ КОНТРОЛЬ. НАЛОГОВЫЕ ПРОВЕРКИ, ИЗД.2</t>
  </si>
  <si>
    <t>Болтинова О.В., Арзуманова Л.Л., Лагкуева И.В. и др.</t>
  </si>
  <si>
    <t>978-5-00156-199-6</t>
  </si>
  <si>
    <t>38.03.01, 40.03.01, 40.04.01, 40.05.01, 40.05.02, 40.05.03, 40.05.04, 44.03.01, 44.03.05</t>
  </si>
  <si>
    <t>712996.01.01</t>
  </si>
  <si>
    <t>Налоговый контроль. Налоговые проверки: уч.пос. / О.В.Болтинова и др.-М.:Юр. НОРМА, НИЦ ИНФРА-М,2019.-160 с..-(СПО)(П</t>
  </si>
  <si>
    <t>НАЛОГОВЫЙ КОНТРОЛЬ. НАЛОГОВЫЕ ПРОВЕРКИ, ИЗД.1</t>
  </si>
  <si>
    <t>978-5-00156-012-8</t>
  </si>
  <si>
    <t>35.01.23, 35.01.24, 38.02.01, 38.02.06, 40.02.02, 40.02.04</t>
  </si>
  <si>
    <t>672422.04.01</t>
  </si>
  <si>
    <t>Налоговый контроль. Налоговые проверки: Уч.пос. /О.В.Болтинова-М.:Юр.Норма, НИЦ ИНФРА-М,2021-160с(П)</t>
  </si>
  <si>
    <t>978-5-91768-881-7</t>
  </si>
  <si>
    <t>187450.09.01</t>
  </si>
  <si>
    <t>Налоговый менеджмент и налоговое планир. в России: Моногр. / Е.Н.Евстигнеев-М.:НИЦ ИНФРА-М,2020-270с.(О)</t>
  </si>
  <si>
    <t>НАЛОГОВЫЙ МЕНЕДЖМЕНТ И НАЛОГОВОЕ ПЛАНИРОВАНИЕ В РОССИИ, ИЗД.1</t>
  </si>
  <si>
    <t>Евстигнеев Е. Н., Викторова Н. Г.</t>
  </si>
  <si>
    <t>978-5-16-005597-8</t>
  </si>
  <si>
    <t>38.03.01, 38.03.02, 38.04.01, 38.04.02, 38.04.08, 40.03.01</t>
  </si>
  <si>
    <t>799214.01.01</t>
  </si>
  <si>
    <t>Налоговый учет и отчетность: Уч. / З.И.Кругляк - М.:НИЦ ИНФРА-М,2024. - 417 с.(ВО.Сп)(п)</t>
  </si>
  <si>
    <t>НАЛОГОВЫЙ УЧЕТ И ОТЧЕТНОСТЬ, ИЗД.1</t>
  </si>
  <si>
    <t>Кругляк З.И., Калинская М.В.</t>
  </si>
  <si>
    <t>978-5-16-018331-2</t>
  </si>
  <si>
    <t>702821.03.01</t>
  </si>
  <si>
    <t>Налогообложение в области спорта: Уч.пос./ И.В.Петрова-2 изд--М.:Юр.Норма, НИЦ ИНФРА-М,2024-128с(О)</t>
  </si>
  <si>
    <t>НАЛОГООБЛОЖЕНИЕ В ОБЛАСТИ СПОРТА, ИЗД.2</t>
  </si>
  <si>
    <t>978-5-00156-324-2</t>
  </si>
  <si>
    <t>713674.02.01</t>
  </si>
  <si>
    <t>Налогообложение туристской деятельности: Уч.пос. / Н.И.Малис -М.:Магистр, НИЦ ИНФРА-М,2023-148с(О)</t>
  </si>
  <si>
    <t>НАЛОГООБЛОЖЕНИЕ ТУРИСТСКОЙ ДЕЯТЕЛЬНОСТИ, ИЗД.1</t>
  </si>
  <si>
    <t>Малис Н.И., Назарова Н.А., Тихонова А.В.</t>
  </si>
  <si>
    <t>978-5-9776-0501-4</t>
  </si>
  <si>
    <t>38.03.01, 38.04.01, 43.03.02, 43.04.02</t>
  </si>
  <si>
    <t>457050.04.01</t>
  </si>
  <si>
    <t>Налогообложение участников внешнеэконом. деят..: Практ./Л.В.Полежарова - Магистр:ИНФРА-М,2019-160(о)</t>
  </si>
  <si>
    <t>НАЛОГООБЛОЖЕНИЕ УЧАСТНИКОВ ВНЕШНЕЭКОНОМИЧЕСКОЙ ДЕЯТЕЛЬНОСТИ В РОССИИ: ПРАКТИКУМ, ИЗД.1</t>
  </si>
  <si>
    <t>Полежарова Л. В., Артемьев А. А., Гончаренко Л. И.</t>
  </si>
  <si>
    <t>978-5-9776-0300-3</t>
  </si>
  <si>
    <t>38.03.01, 38.04.01, 38.04.08, 38.04.09, 44.03.01, 44.03.05</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</si>
  <si>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«Экономика» (уровень магистратуры)</t>
  </si>
  <si>
    <t>719422.01.01</t>
  </si>
  <si>
    <t>Налогообложение физических лиц: Уч.пос. / Л.Н.Хардикова и др.-М.:НИЦ ИНФРА-М,2020.-221 с.(ВО: Специалитет)(П)</t>
  </si>
  <si>
    <t>НАЛОГООБЛОЖЕНИЕ ФИЗИЧЕСКИХ ЛИЦ, ИЗД.1</t>
  </si>
  <si>
    <t>Хардикова Л.Н., Белоусова С.Н., Афанасьева Л.В. и др.</t>
  </si>
  <si>
    <t>978-5-16-015725-2</t>
  </si>
  <si>
    <t>38.03.01, 38.03.02, 38.03.04, 38.05.01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</si>
  <si>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38.05.01 «Экономическая безопасность» (квалификация «экономист») (протокол № 17 от 11.11.2019)</t>
  </si>
  <si>
    <t>767302.01.01</t>
  </si>
  <si>
    <t>Нанокомпьютерная терминология: Вопросы теории: Моногр. / М.Р.Милуд - М.:НИЦ ИНФРА-М,2022-125 с(Науч.мысль)(О)</t>
  </si>
  <si>
    <t>НАНОКОМПЬЮТЕРНАЯ ТЕРМИНОЛОГИЯ: ВОПРОСЫ ТЕОРИИ, ИЗД.1</t>
  </si>
  <si>
    <t>Милуд М.Р.</t>
  </si>
  <si>
    <t>978-5-16-017405-1</t>
  </si>
  <si>
    <t>09.03.01, 09.04.01, 09.04.02, 09.04.03, 09.04.04, 09.05.01, 09.06.01</t>
  </si>
  <si>
    <t>647235.05.01</t>
  </si>
  <si>
    <t>Нанотехнология в машиностроении: Уч. / Г.М.Волков - М.:НИЦ ИНФРА-М,2026  - 307 с.(ВО)(П)</t>
  </si>
  <si>
    <t>НАНОТЕХНОЛОГИЯ В МАШИНОСТРОЕНИИ, ИЗД.1</t>
  </si>
  <si>
    <t>978-5-16-021107-7</t>
  </si>
  <si>
    <t>15.03.01, 15.03.06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</si>
  <si>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15.04.00 «Машиностроение» (протокол № 10 от 27.05.2019)</t>
  </si>
  <si>
    <t>771342.02.01</t>
  </si>
  <si>
    <t>Направления проектных работ в области космиче...: Моногр. / А.А.Рихтер-М.:НИЦ ИНФРА-М,2024 -277 с.(П)</t>
  </si>
  <si>
    <t>НАПРАВЛЕНИЯ ПРОЕКТНЫХ РАБОТ В ОБЛАСТИ КОСМИЧЕСКОГО ЭКОЛОГИЧЕСКОГО МОНИТОРИНГА И ТРЁХМЕРНОГО МОДЕЛИРОВАНИЯ, ИЗД.1</t>
  </si>
  <si>
    <t>Рихтер А.А., Шахраманьян М.А.</t>
  </si>
  <si>
    <t>978-5-16-017489-1</t>
  </si>
  <si>
    <t>05.03.06, 20.04.01, 20.04.02</t>
  </si>
  <si>
    <t>864453.01.01</t>
  </si>
  <si>
    <t>Направления снижения выбросов вредных веществ...: Моногр. / И.Ф.Гумеров - М.:НИЦ ИНФРА-М,2026. - 225 с.[цв].(п)</t>
  </si>
  <si>
    <t>НАПРАВЛЕНИЯ СНИЖЕНИЯ ВЫБРОСОВ ВРЕДНЫХ ВЕЩЕСТВ С ОТРАБОТАВШИМИ ГАЗАМИ СОВРЕМЕННЫХ ДИЗЕЛЬНЫХ ДВИГАТЕЛЕЙ, ИЗД.1</t>
  </si>
  <si>
    <t>Гумеров И.Ф., Марков В.А., Блинов А.С. и др.</t>
  </si>
  <si>
    <t>978-5-16-021520-4</t>
  </si>
  <si>
    <t>13.04.03, 23.03.02, 23.03.03, 23.04.03, 24.05.02, 26.05.02</t>
  </si>
  <si>
    <t>ПАО "Камаз"</t>
  </si>
  <si>
    <t>287600.07.01</t>
  </si>
  <si>
    <t>Направленное бурение и основы кернометрии: Уч. / В.В.Нескоромных - 2 изд. - М.:НИЦ ИНФРА-М,2026 - 336 с.(П)</t>
  </si>
  <si>
    <t>НАПРАВЛЕННОЕ БУРЕНИЕ И ОСНОВЫ КЕРНОМЕТРИИ, ИЗД.2</t>
  </si>
  <si>
    <t>978-5-16-009987-3</t>
  </si>
  <si>
    <t>642998.10.01</t>
  </si>
  <si>
    <t>Направленное бурение нефтяных и газовых скважин: Уч. / В.В.Нескоромных - М.:НИЦ ИНФРА-М,2026 - 347 с.(ВО)(П)</t>
  </si>
  <si>
    <t>НАПРАВЛЕННОЕ БУРЕНИЕ НЕФТЯНЫХ И ГАЗОВЫХ СКВАЖИН, ИЗД.1</t>
  </si>
  <si>
    <t>978-5-16-016758-9</t>
  </si>
  <si>
    <t>21.03.01, 21.05.06</t>
  </si>
  <si>
    <t>Рекомендовано в качестве учебника для студентов высших учебных заведений, обучающихся по направлению подготовки 21.03.01 «Нефтегазовое дело» (квалификация (степень) «бакалавр»)</t>
  </si>
  <si>
    <t>769773.02.01</t>
  </si>
  <si>
    <t>Направленное бурение. Бурение горизонтал...: Уч. / В.В.Нескоромных-М.:НИЦ ИНФРА-М, СФУ,2024.-409 с.(ВО)(П)</t>
  </si>
  <si>
    <t>НАПРАВЛЕННОЕ БУРЕНИЕ. БУРЕНИЕ ГОРИЗОНТАЛЬНЫХ И МНОГОЗАБОЙНЫХ СКВАЖИН, ИЗД.1</t>
  </si>
  <si>
    <t>978-5-16-017386-3</t>
  </si>
  <si>
    <t>21.03.01, 21.05.02, 21.05.03, 21.05.04, 23.04.03</t>
  </si>
  <si>
    <t>Допущено Учебно-методическим советом Сибирского федерального университета в качестве учебника для бакалавров направления подготовки 21.03.01 «Нефтегазовое дело» (профиль 21.03.01.01 «Бурение нефтяных и газовых скважин»), специалистов направления подготовки 21.05.03 «Технология геологической разведки», магистрантов направления подготовки 23.04.03 «Эксплуатация транспортно-технологических машин и комплексов» (программа 23.04.03.04 «Строительство глубоких нефтяных и газовых скважин в сложных горно-геологических условиях»)</t>
  </si>
  <si>
    <t>453100.08.01</t>
  </si>
  <si>
    <t>Народно-сценический танец: Моногр. / В.Н.Карпенко и др. - М.:НИЦ ИНФРА-М,2027 - 306 с.-(Научная мысль)(П)</t>
  </si>
  <si>
    <t>НАРОДНО-СЦЕНИЧЕСКИЙ ТАНЕЦ, ИЗД.1</t>
  </si>
  <si>
    <t>Карпенко В.Н., Карпенко И.А., Багана Ж.</t>
  </si>
  <si>
    <t>978-5-16-011459-0</t>
  </si>
  <si>
    <t>51.03.02, 52.03.01</t>
  </si>
  <si>
    <t>209900.13.01</t>
  </si>
  <si>
    <t>Нарушения движ. глаз  в невролог.прак.: Уч.пос. / В.Н.Григорьева - 2 изд. - М.:НИЦ ИНФРА-М,2027 - 163 с.(ВО(П)</t>
  </si>
  <si>
    <t>НАРУШЕНИЯ ДВИЖЕНИЙ ГЛАЗ  В НЕВРОЛОГИЧЕСКОЙ ПРАКТИКЕ, ИЗД.2</t>
  </si>
  <si>
    <t>Григорьева В. Н.</t>
  </si>
  <si>
    <t>978-5-16-020415-4</t>
  </si>
  <si>
    <t>31.05.01, 31.05.02, 31.08.42, 34.03.01</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</si>
  <si>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31.08.42 «Неврология» (квалификация «врач-невролог»)</t>
  </si>
  <si>
    <t>Приволжский исследовательский медицинский университет</t>
  </si>
  <si>
    <t>209900.01.01</t>
  </si>
  <si>
    <t>Нарушения движений глаз  в невролог. практ.: Уч. пос./В.Н.Григорьева - М.: ИНФРА-М, 2014-160с.(ВО) (п) ISBN:978-5-16-006836-7</t>
  </si>
  <si>
    <t>НАРУШЕНИЯ ДВИЖЕНИЙ ГЛАЗ  В НЕВРОЛОГИЧЕСКОЙ ПРАКТИКЕ, ИЗД.1</t>
  </si>
  <si>
    <t>978-5-16-006836-7</t>
  </si>
  <si>
    <t>367500.11.01</t>
  </si>
  <si>
    <t>Нарушения письменной речи у млад. шк.: Уч.мет.пос. / Е.А.Логинова - М.:НИЦ ИНФРА-М,2027 - 192 с.(ВО)(п)</t>
  </si>
  <si>
    <t>НАРУШЕНИЯ ПИСЬМЕННОЙ РЕЧИ У МЛАДШИХ ШКОЛЬНИКОВ, ИЗД.1</t>
  </si>
  <si>
    <t>Логинова Е.А., Елецкая О.В.</t>
  </si>
  <si>
    <t>978-5-16-021618-8</t>
  </si>
  <si>
    <t>37.03.01, 44.03.03, 44.04.02, 44.04.03</t>
  </si>
  <si>
    <t>Рекомендовано кафедрой логопедии Ленинградского государственного университета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</si>
  <si>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367500.04.01</t>
  </si>
  <si>
    <t>Нарушения письменной речи у младших шк.: Уч.мет.пос./Е.А.Логинова-М.:Форум,НИЦ ИНФРА-М,2020-192с.(О)</t>
  </si>
  <si>
    <t>978-5-00091-520-2</t>
  </si>
  <si>
    <t>674691.01.01</t>
  </si>
  <si>
    <t>Насекомые в лесных биоценозах Камчатки: Моногр./ А.Н.Сметанин-М:НИЦ ИНФРА-М,2018-242с(Науч.мысль)(О)</t>
  </si>
  <si>
    <t>НАСЕКОМЫЕ В ЛЕСНЫХ БИОЦЕНОЗАХ КАМЧАТКИ, ИЗД.1</t>
  </si>
  <si>
    <t>Сметанин А.Н.</t>
  </si>
  <si>
    <t>978-5-16-014023-0</t>
  </si>
  <si>
    <t>05.03.06, 05.04.06, 06.03.01, 06.04.01, 35.03.01, 35.04.01, 44.03.05</t>
  </si>
  <si>
    <t>825800.02.01</t>
  </si>
  <si>
    <t>Наследие святителя Т. Задонского и формир. нац.-дух.../ Б.О.Архангельский - М.:НИЦ ИНФРА-М,2026. - 293 с.(п)</t>
  </si>
  <si>
    <t>НАСЛЕДИЕ СВЯТИТЕЛЯ ТИХОНА ЗАДОНСКОГО И ФОРМИРОВАНИЕ НАЦИОНАЛЬНО-ДУХОВНОЙ ИДЕНТИЧНОСТИ В СОВРЕМЕННОМ МИРЕ, ИЗД.1</t>
  </si>
  <si>
    <t>Стюфляева Н.В., Сатарова Л.Г., Безбородова Н.Я. и др.</t>
  </si>
  <si>
    <t>978-5-16-019876-7</t>
  </si>
  <si>
    <t>47.04.01, 47.04.03, 47.06.01, 48.04.01, 48.06.01</t>
  </si>
  <si>
    <t>827781.01.01</t>
  </si>
  <si>
    <t>Наследие святителя Тихона Задонского и рус. лит.: Уч.пос. / Л.Г.Сатарова - М.:НИЦ ИНФРА-М,2025. - 175 с.(ВО)(п)</t>
  </si>
  <si>
    <t>НАСЛЕДИЕ СВЯТИТЕЛЯ ТИХОНА ЗАДОНСКОГО И РУССКАЯ ЛИТЕРАТУРА, ИЗД.1</t>
  </si>
  <si>
    <t>Сатарова Л.Г., Стюфляева Н.В.</t>
  </si>
  <si>
    <t>978-5-16-020170-2</t>
  </si>
  <si>
    <t>45.03.01, 45.04.01, 48.03.01</t>
  </si>
  <si>
    <t>306400.09.01</t>
  </si>
  <si>
    <t>Наследие Чингисхана: Моногр. / Н.С.Трубецкой - М.:НИЦ ИНФРА-М,2025 - 267 с.(Евразийский путь)(П)</t>
  </si>
  <si>
    <t>НАСЛЕДИЕ ЧИНГИСХАНА, ИЗД.1</t>
  </si>
  <si>
    <t>978-5-16-010259-7</t>
  </si>
  <si>
    <t>120900.08.01</t>
  </si>
  <si>
    <t>Наследственное право: Уч.пос. / А.Е.Казанцева, - 2 изд.-М.:Юр.Норма, НИЦ ИНФРА-М,2024.-224 с.(П)</t>
  </si>
  <si>
    <t>НАСЛЕДСТВЕННОЕ ПРАВО, ИЗД.2</t>
  </si>
  <si>
    <t>Казанцева А. Е.</t>
  </si>
  <si>
    <t>978-5-91768-981-4</t>
  </si>
  <si>
    <t>095910.16.01</t>
  </si>
  <si>
    <t>Насосные и воздуходувные станции: Уч. / В.А.Комков - М.:НИЦ ИНФРА-М,2026. - 254 с.-(СПО)(П)</t>
  </si>
  <si>
    <t>НАСОСНЫЕ И ВОЗДУХОДУВНЫЕ СТАНЦИИ, ИЗД.1</t>
  </si>
  <si>
    <t>Комков В. А., Тимахова Н. С.</t>
  </si>
  <si>
    <t>978-5-16-010046-3</t>
  </si>
  <si>
    <t>08.02.01, 08.02.13</t>
  </si>
  <si>
    <t>Допущено Федеральным агентством по строительству и жилищно-коммунальному хозяйству в кач-ве учебного пособия для студентов средних специальных учебных заведений, обучающихся по специальности "Строительство и экспл. зданий и сооружений"</t>
  </si>
  <si>
    <t>795901.10.01</t>
  </si>
  <si>
    <t>Наставление по физической подготовке в Вооруженных силах РФ - М.:НИЦ ИНФРА-М,2026. - 222 с.(о)</t>
  </si>
  <si>
    <t>НАСТАВЛЕНИЕ ПО ФИЗИЧЕСКОЙ ПОДГОТОВКЕ В ВООРУЖЕННЫХ СИЛАХ РОССИЙСКОЙ ФЕДЕРАЦИИ, ИЗД.1</t>
  </si>
  <si>
    <t>978-5-16-019453-0</t>
  </si>
  <si>
    <t>Правила</t>
  </si>
  <si>
    <t>00.01.05, 00.02.14, 00.03.14, 00.05.14</t>
  </si>
  <si>
    <t>689694.07.01</t>
  </si>
  <si>
    <t>Настольная книга автора медицинской диссертации: Пос. / А.Н.Наркевич - М.:НИЦ ИНФРА-М,2026 - 454 с(ВО)(П)</t>
  </si>
  <si>
    <t>НАСТОЛЬНАЯ КНИГА АВТОРА МЕДИЦИНСКОЙ ДИССЕРТАЦИИ, ИЗД.1</t>
  </si>
  <si>
    <t>Наркевич А.Н., Виноградов К.А.</t>
  </si>
  <si>
    <t>978-5-16-020729-2</t>
  </si>
  <si>
    <t>31.05.01, 31.05.02, 31.05.03, 31.06.01, 31.07.01</t>
  </si>
  <si>
    <t>781984.05.01</t>
  </si>
  <si>
    <t>Настольная книга командира взвода (подразделения)..: Уч.пос. / С.А.Минтягов - М.:НИЦ ИНФРА-М,2026 - 255 с.:цв.ил.(П)</t>
  </si>
  <si>
    <t>НАСТОЛЬНАЯ КНИГА КОМАНДИРА ПОДРАЗДЕЛЕНИЯ ВОЕННОЙ ПОЛИЦИИ ВООРУЖЕННЫХ СИЛ РОССИЙСКОЙ ФЕДЕРАЦИИ, ИЗД.1</t>
  </si>
  <si>
    <t>978-5-16-017811-0</t>
  </si>
  <si>
    <t>764952.01.01</t>
  </si>
  <si>
    <t>Наука в политарном обществе: прикл. и судьбы...: Моногр. / В.Ю.Васечко - М.:НИЦ ИНФРА-М,2022 - 373 с(О)</t>
  </si>
  <si>
    <t>НАУКА В ПОЛИТАРНОМ ОБЩЕСТВЕ: ПРИКЛЮЧЕНИЯ И СУДЬБЫ УЧЕНЫХ В ЦИВИЛИЗАЦИЯХ ДРЕВНЕГО И СРЕДНЕВЕКОВОГО ВОСТОКА, ИЗД.1</t>
  </si>
  <si>
    <t>978-5-16-017223-1</t>
  </si>
  <si>
    <t>00.06.01</t>
  </si>
  <si>
    <t>655223.05.01</t>
  </si>
  <si>
    <t>Науки о земле: Уч. / Под ред. Девисилова В.А. - М.:НИЦ ИНФРА-М,2023 - 345 с.-(ВО: Бакалавриат)(П)</t>
  </si>
  <si>
    <t>НАУКИ О ЗЕМЛЕ, ИЗД.1</t>
  </si>
  <si>
    <t>Дьяченко В.В., Дьяченко Л.Г., Девисилов В.А. и др.</t>
  </si>
  <si>
    <t>978-5-16-014153-4</t>
  </si>
  <si>
    <t>05.03.06, 20.03.01, 20.03.02</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</si>
  <si>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20.00.00 «Техносферная безопасность и природообустройство» в качестве учебника для студентов, обучающихся по основным образовательным программам высшего образования по направлениям 20.03.01 «Техносферная безопасность», 20.03.02 «Природообустройство и водопользование»</t>
  </si>
  <si>
    <t>135850.07.01</t>
  </si>
  <si>
    <t>Науки о Земле: Уч. пос. / Ф.Ф. Брюхань. - М.: Форум, 2023. - 192 с. (п)</t>
  </si>
  <si>
    <t>Брюхань Ф. Ф.</t>
  </si>
  <si>
    <t>978-5-91134-462-7</t>
  </si>
  <si>
    <t>08.03.01, 08.05.01, 08.05.02, 08.05.03</t>
  </si>
  <si>
    <t>Рекомендовано УМО по образованию в области строительства в качестве учебного пособия для студентов вузов, обучающихся по направлению подготовки 270100 Строительство</t>
  </si>
  <si>
    <t>160100.08.01</t>
  </si>
  <si>
    <t>Науки о Земле: Уч.пос. / Г.К.Климов - М.:НИЦ ИНФРА-М,2024 - 390 с.-(ВО: Бакалавриат)(П)</t>
  </si>
  <si>
    <t>Климов Г. К., Климова А. И.</t>
  </si>
  <si>
    <t>978-5-16-005148-2</t>
  </si>
  <si>
    <t>05.03.01, 05.03.06, 05.04.06, 06.03.01, 20.03.01, 20.03.02, 20.04.01, 20.04.02</t>
  </si>
  <si>
    <t>Рекомендовано ГОУ ВПО "Мос. гос. технический университет им. Н.Э Баумана" в качестве учебного пособия для студентов высших учебных заведений по направлениям подготовки «Безопасность в техносфере»</t>
  </si>
  <si>
    <t>719163.03.01</t>
  </si>
  <si>
    <t>Наукометрический аппарат исслед. в сфере соврем. образ.: Моногр. / В.А.Дадалко - М.:НИЦ ИНФРА-М,2026 - 182 с.(О)</t>
  </si>
  <si>
    <t>НАУКОМЕТРИЧЕСКИЙ АППАРАТ ИССЛЕДОВАНИЙ В СФЕРЕ СОВРЕМЕННОГО ОБРАЗОВАНИЯ, ИЗД.1</t>
  </si>
  <si>
    <t>Дадалко В.А.</t>
  </si>
  <si>
    <t>978-5-16-014920-2</t>
  </si>
  <si>
    <t>675070.06.01</t>
  </si>
  <si>
    <t>Научная деят. студентов: систем. анализ: Моногр. / В.В.Байлук - М.:НИЦ ИНФРА-М,2026 - 145 с.(Науч.мысль)(О)</t>
  </si>
  <si>
    <t>НАУЧНАЯ ДЕЯТЕЛЬНОСТЬ СТУДЕНТОВ: СИСТЕМНЫЙ АНАЛИЗ, ИЗД.1</t>
  </si>
  <si>
    <t>Байлук В.В.</t>
  </si>
  <si>
    <t>978-5-16-013656-1</t>
  </si>
  <si>
    <t>22.04.02, 28.04.02, 38.03.01, 47.04.03</t>
  </si>
  <si>
    <t>806874.01.01</t>
  </si>
  <si>
    <t>Научное право: Моногр. / Под ред. Васильева А.А.-М.:НИЦ ИНФРА-М,2024.-290 с.(Науч.мысль)(п)</t>
  </si>
  <si>
    <t>НАУЧНОЕ ПРАВО, ИЗД.1</t>
  </si>
  <si>
    <t>Семенов Е.В., Васильев А.А., Шпопер Д. и др.</t>
  </si>
  <si>
    <t>978-5-16-018873-7</t>
  </si>
  <si>
    <t>Институт социологии Российской академии наук</t>
  </si>
  <si>
    <t>180500.11.01</t>
  </si>
  <si>
    <t>Научное руководство аспирантами: Практ. пос. / С.Д.Резник - 3 изд. - М.:НИЦ ИНФРА-М,2027 - 510 с.(п)</t>
  </si>
  <si>
    <t>НАУЧНОЕ РУКОВОДСТВО АСПИРАНТАМИ, ИЗД.3</t>
  </si>
  <si>
    <t>978-5-16-017908-7</t>
  </si>
  <si>
    <t>38.06.01, 38.07.02, 39.06.01, 39.07.01, 40.06.01, 41.06.01, 41.07.01</t>
  </si>
  <si>
    <t>Допущено Советом Учебно-методического объединения по образованию в области менеджмента в качестве практического пособия для системы дополнительного образования — повышения квалификации руководящих и научных кадров высших учебных заведений</t>
  </si>
  <si>
    <t>180500.08.01</t>
  </si>
  <si>
    <t>Научное руководство аспирантами: Практ. пос. / С.Д.Резник. - 2 изд. - М.:НИЦ Инфра-М, 2022 - 477 с. (П)</t>
  </si>
  <si>
    <t>НАУЧНОЕ РУКОВОДСТВО АСПИРАНТАМИ, ИЗД.2</t>
  </si>
  <si>
    <t>978-5-16-005085-0</t>
  </si>
  <si>
    <t>Допущено Советом Учебно-методического объединения по образованию в области менеджмента в качестве практического пособия для системы дополнительного образования - повышения квалификации руководящих и научных кадров высших учебных заведений</t>
  </si>
  <si>
    <t>821078.01.01</t>
  </si>
  <si>
    <t>Научно-исслед. работа. Прак.: Уч.пос. / Г.Е.Каратаева. - М.:НИЦ ИНФРА-М,2025. - 236 с.(ВО)(п)</t>
  </si>
  <si>
    <t>НАУЧНО-ИССЛЕДОВАТЕЛЬСКАЯ РАБОТА. ПРАКТИКИ, ИЗД.1</t>
  </si>
  <si>
    <t>Каратаева Г.Е., Галюта О.Н., Киященко Т.П.</t>
  </si>
  <si>
    <t>978-5-16-019934-4</t>
  </si>
  <si>
    <t>38.03.01, 38.03.02, 38.03.03, 38.03.04, 38.03.05, 38.03.06, 38.03.07, 38.03.10, 38.04.01, 38.04.02, 38.04.03, 38.04.04, 38.04.05, 38.04.06, 38.04.07, 38.04.08, 38.04.09, 38.04.10, 38.05.01, 38.05.02</t>
  </si>
  <si>
    <t>820920.01.01</t>
  </si>
  <si>
    <t>Научно-методич. деят. в физич. культуре...: Уч.пос. / В.М.Гелецкий-М.:НИЦ ИНФРА-М, СФУ,2024.-215с(ВО)(п)</t>
  </si>
  <si>
    <t>НАУЧНО-МЕТОДИЧЕСКАЯ ДЕЯТЕЛЬНОСТЬ В ФИЗИЧЕСКОЙ КУЛЬТУРЕ, СПОРТЕ И ТУРИЗМЕ, ИЗД.1</t>
  </si>
  <si>
    <t>Гелецкий В.М., Сурикова Н.В., Чернякова С.Н. и др.</t>
  </si>
  <si>
    <t>978-5-16-019589-6</t>
  </si>
  <si>
    <t>43.03.02, 49.03.01, 49.03.02, 49.03.03</t>
  </si>
  <si>
    <t>796510.01.01</t>
  </si>
  <si>
    <t>Научно-практич. комментарий к Федеральному закону от 3.08.2018 г./ Е.А.Галиновская-М.:НИЦ ИНФРА-М,2023.-184 с(п)</t>
  </si>
  <si>
    <t>НАУЧНО-ПРАКТИЧЕСКИЙ КОММЕНТАРИЙ К ФЕДЕРАЛЬНОМУ ЗАКОНУ ОТ 3 АВГУСТА 2018 Г. № 280-ФЗ «ОБ ОРГАНИЧЕСКОЙ ПРОДУКЦИИ И О ВНЕСЕНИИ ИЗМЕНЕНИЙ В ОТДЕЛЬНЫЕ ЗАКО, ИЗД.1</t>
  </si>
  <si>
    <t>Галиновская Е.А., Игнатьева И.А., Калмыкова А.В. и др.</t>
  </si>
  <si>
    <t>978-5-16-018142-4</t>
  </si>
  <si>
    <t>35.04.04, 35.06.01</t>
  </si>
  <si>
    <t>796511.01.01</t>
  </si>
  <si>
    <t>Научно-практич. комментарий к Федеральному закону... / С.А.Боголюбов-М.:НИЦ ИНФРА-М,2023.-192 с.(п)</t>
  </si>
  <si>
    <t>НАУЧНО-ПРАКТИЧЕСКИЙ КОММЕНТАРИЙ К ФЕДЕРАЛЬНОМУ ЗАКОНУ ОТ 1 МАЯ 1999 Г. № 94-ФЗ «ОБ ОХРАНЕ ОЗЕРА БАЙКАЛ», ИЗД.1</t>
  </si>
  <si>
    <t>Боголюбов С.А., Галиновская Е.А., Горохов Д.Б. и др.</t>
  </si>
  <si>
    <t>978-5-16-018143-1</t>
  </si>
  <si>
    <t>06.04.01, 06.06.01, 20.04.01, 20.06.01, 40.06.01</t>
  </si>
  <si>
    <t>660106.02.01</t>
  </si>
  <si>
    <t>Научно-практические приемы соверш. обработки...: Моногр. / А.И.Беленков-М.:НИЦ ИНФРА-М,2023.-279с(О)</t>
  </si>
  <si>
    <t>НАУЧНО-ПРАКТИЧЕСКИЕ ПРИЕМЫ СОВЕРШЕНСТВОВАНИЯ ОБРАБОТКИ ПОЧВЫ В СОВРЕМЕННЫХ АДАПТИВНО-ЛАНДШАФТНЫХ СИСТЕМАХ ЗЕМЛЕДЕЛИЯ, ИЗД.1</t>
  </si>
  <si>
    <t>Беленков А.И., Шевченко В.А., Трофимова Т.А. и др.</t>
  </si>
  <si>
    <t>978-5-16-014805-2</t>
  </si>
  <si>
    <t>776760.05.01</t>
  </si>
  <si>
    <t>Научно-прикладные задачи техносферной безопас.: Моногр. / Ю.В.Есипов.- М.:НИЦ ИНФРА-М,2025. - 123 с.(П)</t>
  </si>
  <si>
    <t>НАУЧНО-ПРИКЛАДНЫЕ ЗАДАЧИ ТЕХНОСФЕРНОЙ БЕЗОПАСНОСТИ, ИЗД.1</t>
  </si>
  <si>
    <t>Есипов Ю.В., Месхи Б.Ч., Джиляджи М.С.</t>
  </si>
  <si>
    <t>978-5-16-017823-3</t>
  </si>
  <si>
    <t>20.04.01, 20.05.01, 20.06.01</t>
  </si>
  <si>
    <t>357300.04.01</t>
  </si>
  <si>
    <t>Научно-техн.обесп.уч.эксп...: Науч-практ.пос / Е.Р.Россинская-Юр.Норма,НИЦ ИНФРА-М,2024-160с(О)</t>
  </si>
  <si>
    <t>НАУЧНО-ТЕХНИЧЕСКОЕ ОБЕСПЕЧЕНИЕ УЧЕБНЫХ ЭКСПЕРТНО-КРИМИНАЛИСТИЧЕСКИХ ЛАБОРАТОРИЙ, ИЗД.1</t>
  </si>
  <si>
    <t>Россинская Е.Р., Галяшина Е.И., Подкатилина М.Л. и др.</t>
  </si>
  <si>
    <t>978-5-91768-617-2</t>
  </si>
  <si>
    <t>800718.01.01</t>
  </si>
  <si>
    <t>Научные и логико-философ. основы методич. принц. обуч. иностр.яз.) / С.А.Ламзин-М.:НИЦ ИНФРА-М,2023.-208с(О)</t>
  </si>
  <si>
    <t>НАУЧНЫЕ И ЛОГИКО-ФИЛОСОФСКИЕ ОСНОВЫ МЕТОДИЧЕСКИХ ПРИНЦИПОВ ОБУЧЕНИЯ ИНОСТРАННЫМ  ЯЗЫКАМ (СИНЕРГЕТИЧЕСКИЙ АСПЕКТ), ИЗД.1</t>
  </si>
  <si>
    <t>Ламзин С.А.</t>
  </si>
  <si>
    <t>978-5-16-018481-4</t>
  </si>
  <si>
    <t>44.04.02, 45.04.02</t>
  </si>
  <si>
    <t>148650.10.01</t>
  </si>
  <si>
    <t>Научные исследования и решение инженерных задач в сфере автомобильного траспорта: уч.пос. / Н.А.Коваленко-М.:НИЦ ИНФРА-М,2025.-271 с..-(ВО)(о)</t>
  </si>
  <si>
    <t>НАУЧНЫЕ ИССЛЕДОВАНИЯ И РЕШЕНИЕ ИНЖЕНЕРНЫХ ЗАДАЧ В СФЕРЕ АВТОМОБИЛЬНОГО ТРАСПОРТА, ИЗД.1</t>
  </si>
  <si>
    <t>Коваленко Н.А.</t>
  </si>
  <si>
    <t>978-5-16-004757-7</t>
  </si>
  <si>
    <t>23.03.01, 23.03.02, 23.03.03, 23.04.01, 23.04.02, 23.04.03, 23.05.01</t>
  </si>
  <si>
    <t>Допущено Министерством образования Республики Беларусь в качестве учебного пособия для студентов высших учебных заведений по специальностям «Техническая эксплуатация автомобилей», «Автосервис»</t>
  </si>
  <si>
    <t>Московский государственный технический университет гражданской авиации</t>
  </si>
  <si>
    <t>867367.02.01</t>
  </si>
  <si>
    <t>Научные исследования: оформление и публикация...: Уч.пос. / Л.Г.Гагарина - М.:НИЦ ИНФРА-М,2026. - 171 с.(ВО)(п)</t>
  </si>
  <si>
    <t>НАУЧНЫЕ ИССЛЕДОВАНИЯ: ОФОРМЛЕНИЕ И ПУБЛИКАЦИЯ РЕЗУЛЬТАТОВ, ИЗД.1</t>
  </si>
  <si>
    <t>Гагарина Л.Г.</t>
  </si>
  <si>
    <t>978-5-16-021788-8</t>
  </si>
  <si>
    <t>819810.06.01</t>
  </si>
  <si>
    <t>Научные концепции развития рос. законодательства: Моногр. / Т,Я Хабриева - 8 изд. - М.:Юр. НОРМА,2025. - 656 с.(п)</t>
  </si>
  <si>
    <t>НАУЧНЫЕ КОНЦЕПЦИИ РАЗВИТИЯ РОССИЙСКОГО ЗАКОНОДАТЕЛЬСТВА, ИЗД.8</t>
  </si>
  <si>
    <t>978-5-00156-353-2</t>
  </si>
  <si>
    <t>0824</t>
  </si>
  <si>
    <t>717503.04.01</t>
  </si>
  <si>
    <t>Научные основы практической экобиотехнологии: Моногр./ Н.М.Исмаилов-М.:НИЦ ИНФРА-М,2023.-414 с.(О)</t>
  </si>
  <si>
    <t>НАУЧНЫЕ ОСНОВЫ ПРАКТИЧЕСКОЙ ЭКОБИОТЕХНОЛОГИИ, ИЗД.1</t>
  </si>
  <si>
    <t>978-5-16-015723-8</t>
  </si>
  <si>
    <t>19.03.01, 19.04.01</t>
  </si>
  <si>
    <t>341500.07.01</t>
  </si>
  <si>
    <t>Научные основы произ.изделий из термопласт...: Моногр. / Г.С.Головкин - М.:НИЦ ИНФРА-М,2026. - 471 с.(о)</t>
  </si>
  <si>
    <t>НАУЧНЫЕ ОСНОВЫ ПРОИЗВОДСТВА ИЗДЕЛИЙ ИЗ ТЕРМОПЛАСТИЧНЫХ КОМПОЗИЦИОННЫХ МАТЕРИАЛОВ, ИЗД.1</t>
  </si>
  <si>
    <t>Головкин Г.С., Дмитренко В.П.</t>
  </si>
  <si>
    <t>978-5-16-010757-8</t>
  </si>
  <si>
    <t>18.03.01, 18.04.01</t>
  </si>
  <si>
    <t>032780.07.01</t>
  </si>
  <si>
    <t>Научные основы эконом. политики государства: Уч. пос. / М.А.Сажина - М.: ИД ФОРУМ, 2022-352с.(ВО) (п)</t>
  </si>
  <si>
    <t>НАУЧНЫЕ ОСНОВЫ ЭКОНОМИЧЕСКОЙ ПОЛИТИКИ ГОСУДАРСТВА (ЭКОНОМИЧЕСКАЯ МЫСЛЬ), ИЗД.1</t>
  </si>
  <si>
    <t>Сажина М. А.</t>
  </si>
  <si>
    <t>978-5-8199-0444-2</t>
  </si>
  <si>
    <t>38.03.01, 38.03.02, 38.03.04, 38.04.01, 38.04.02, 38.04.04, 38.04.09, 38.05.01, 44.03.01, 44.03.05</t>
  </si>
  <si>
    <t>Рекомендовано Ученым советом факультета государственного управления Московского государственного университета имени М.В. Ломоносова  для студентов высших учебных заведений, обучающихся по экономическим и управленческим специальностям</t>
  </si>
  <si>
    <t>0101</t>
  </si>
  <si>
    <t>696054.03.01</t>
  </si>
  <si>
    <t>Научные трансакции: сети и иерархии в обществ.науках: Моногр./Макаренко В.П.-М.:НИЦ ИНФРА-М,2022-300с(П)</t>
  </si>
  <si>
    <t>НАУЧНЫЕ ТРАНСАКЦИИ: СЕТИ И ИЕРАРХИИ В ОБЩЕСТВЕННЫХ НАУКАХ, ИЗД.1</t>
  </si>
  <si>
    <t>Олейник А.Н., Акопян А., Макаренко В.П.</t>
  </si>
  <si>
    <t>978-5-16-014639-3</t>
  </si>
  <si>
    <t>653101.07.01</t>
  </si>
  <si>
    <t>Научный стиль речи: теория, практика...: Уч.пос. / Н.С.Найденова - М.:НИЦ ИНФРА-М,2026. - 232 с.(ВО)(п)</t>
  </si>
  <si>
    <t>НАУЧНЫЙ СТИЛЬ РЕЧИ: ТЕОРИЯ, ПРАКТИКА, КОМПЕТЕНЦИИ, ИЗД.1</t>
  </si>
  <si>
    <t>Найденова Н.С., Сапрыкина О.А.</t>
  </si>
  <si>
    <t>978-5-16-021627-0</t>
  </si>
  <si>
    <t>00.04.16, 00.05.16, 45.04.01, 45.04.02, 45.05.01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</si>
  <si>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45.04.01 «Филология», 45.04.02 «Лингвистика», 45.05.01 «Перевод и переводоведение» (квалификация (степень) «магистр») (протокол № 12 от 24.06.2019)</t>
  </si>
  <si>
    <t>800133.01.01</t>
  </si>
  <si>
    <t>Национализм как пробл. социальной философии: Моногр. / К.В.Аршин - М.:НИЦ ИНФРА-М,2026. - 210 с.(п)</t>
  </si>
  <si>
    <t>НАЦИОНАЛИЗМ КАК ПРОБЛЕМА СОЦИАЛЬНОЙ ФИЛОСОФИИ, ИЗД.1</t>
  </si>
  <si>
    <t>978-5-16-020817-6</t>
  </si>
  <si>
    <t>37.06.01, 41.04.04, 41.04.06, 41.06.01</t>
  </si>
  <si>
    <t>757872.03.01</t>
  </si>
  <si>
    <t>Национальная безопас., юр. ответств. и безответс. / Д.А.Липинский - М.:ИЦ РИОР, НИЦ ИНФРА-М,2025-578 с.(П)</t>
  </si>
  <si>
    <t>НАЦИОНАЛЬНАЯ БЕЗОПАСНОСТЬ, ЮРИДИЧЕСКАЯ ОТВЕТСТВЕННОСТЬ И БЕЗОТВЕТСТВЕННОСТЬ, ИЗД.1</t>
  </si>
  <si>
    <t>Липинский Д.А., Макарейко Н.В., Мусаткина А.А. и др.</t>
  </si>
  <si>
    <t>978-5-369-01874-3</t>
  </si>
  <si>
    <t>40.05.01, 40.06.01, 41.03.06, 41.06.01, 57.04.01, 57.05.01, 57.05.02</t>
  </si>
  <si>
    <t>633716.10.01</t>
  </si>
  <si>
    <t>Национальная и регионал.эконом.безоп.России: Уч.пос. / В.И.Авдийский - М.:НИЦ ИНФРА-М,2026 - 363 с.(П)</t>
  </si>
  <si>
    <t>НАЦИОНАЛЬНАЯ И РЕГИОНАЛЬНАЯ ЭКОНОМИЧЕСКАЯ БЕЗОПАСНОСТЬ РОССИИ, ИЗД.1</t>
  </si>
  <si>
    <t>Авдийский В.И., Дадалко В.А., Синявский Н.Г.</t>
  </si>
  <si>
    <t>978-5-16-019224-6</t>
  </si>
  <si>
    <t>Рекомендовано Учебно-методическим объединением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38.03.01 «Экономика»; профиль: «Анализ рисков и экономическая безопасность»</t>
  </si>
  <si>
    <t>877185.02.01</t>
  </si>
  <si>
    <t>Национальная идентич. и гражданств. в образоват. пространстве России / М.А.Юрченко - М.:НИЦ ИНФРА-М,2026 - 177 с.(о)</t>
  </si>
  <si>
    <t>НАЦИОНАЛЬНАЯ ИДЕНТИЧНОСТЬ И ГРАЖДАНСТВЕННОСТЬ В ОБРАЗОВАТЕЛЬНОМ ПРОСТРАНСТВЕ РОССИИ, ИЗД.1</t>
  </si>
  <si>
    <t>Юрченко М.А.</t>
  </si>
  <si>
    <t>978-5-16-022183-0</t>
  </si>
  <si>
    <t>44.04.02, 44.06.01, 45.03.02</t>
  </si>
  <si>
    <t>753346.09.01</t>
  </si>
  <si>
    <t>Национальная идея России во...: Моногр. / В.С.Нерсесянц - М.:Юр.Норма, НИЦ ИНФРА-М,2027 - 64 с.(О)</t>
  </si>
  <si>
    <t>НАЦИОНАЛЬНАЯ ИДЕЯ РОССИИ ВО ВСЕМИРНО-ИСТОРИЧЕСКОМ ПРОГРЕССЕ РАВЕНСТВА, СВОБОДЫ И СПРАВЕДЛИВОСТИ. МАНИФЕСТ О ЦИВИЛИЗМЕ, ИЗД.1</t>
  </si>
  <si>
    <t>978-5-00156-158-3</t>
  </si>
  <si>
    <t>834608.03.01</t>
  </si>
  <si>
    <t>Национальная инвестиционная экосистема: Моногр. / Н.В.Кривошеин - М.:НИЦ ИНФРА-М,2026. - 194 с.(п)</t>
  </si>
  <si>
    <t>НАЦИОНАЛЬНАЯ ИНВЕСТИЦИОННАЯ ЭКОСИСТЕМА, ИЗД.1</t>
  </si>
  <si>
    <t>Кривошеин Н.В., Патутина Н.А.</t>
  </si>
  <si>
    <t>978-5-16-020134-4</t>
  </si>
  <si>
    <t>38.04.01, 38.04.02, 38.04.04, 38.04.08, 38.04.09, 38.06.01</t>
  </si>
  <si>
    <t>Финансовый университет при Правительстве Российской Федерации, ф-л Центр "Локомотивы роста"</t>
  </si>
  <si>
    <t>414900.11.01</t>
  </si>
  <si>
    <t>Национальная политика в России: XVI- нач. XXI в.: Уч.пос. / Л.С.Перепелкин - М.:Форум,2026 - 304 с.(ВО)(п)</t>
  </si>
  <si>
    <t>НАЦИОНАЛЬНАЯ ПОЛИТИКА В РОССИИ: XVI- НАЧАЛО XXI ВЕКА, ИЗД.1</t>
  </si>
  <si>
    <t>Перепелкин Л.С., Стельмах В.Г., Мастюгина Т.М.</t>
  </si>
  <si>
    <t>978-5-91134-701-7</t>
  </si>
  <si>
    <t>41.03.04, 41.03.06, 41.04.04, 46.03.01, 46.04.01</t>
  </si>
  <si>
    <t>Рекомендовано Российским институтом культурологии в качестве учебного пособия для студентов, обучающихся по специальностям 020700 «История», 020600 «Культурология» и 030623 «Этнология»</t>
  </si>
  <si>
    <t>Институт Востоковедения Российской Академии Наук</t>
  </si>
  <si>
    <t>722085.09.01</t>
  </si>
  <si>
    <t>Национальная система стандартизации РФ..: Моногр. / А.Н.Барыкин - М.:НИЦ ИНФРА-М,2025 - 191 с.(П)</t>
  </si>
  <si>
    <t>НАЦИОНАЛЬНАЯ СИСТЕМА СТАНДАРТИЗАЦИИ РОССИЙСКОЙ ФЕДЕРАЦИИ. ПРИНЦИПЫ, ЦЕЛИ, ЗАДАЧИ, ПРОГНОЗ РАЗВИТИЯ, ИЗД.1</t>
  </si>
  <si>
    <t>Барыкин А.Н., Икрянников В.О., Будкин Ю.В.</t>
  </si>
  <si>
    <t>978-5-16-015771-9</t>
  </si>
  <si>
    <t>27.04.01, 27.06.01</t>
  </si>
  <si>
    <t>069887.12.01</t>
  </si>
  <si>
    <t>Национальная экономика: Уч. / Под ред. Савченко П.В. - 4 изд. - М.:НИЦ ИНФРА-М,2017 - 839 с.-(ВО)(П)</t>
  </si>
  <si>
    <t>НАЦИОНАЛЬНАЯ ЭКОНОМИКА, ИЗД.4</t>
  </si>
  <si>
    <t>Савченко П. В.</t>
  </si>
  <si>
    <t>978-5-16-011115-5</t>
  </si>
  <si>
    <t>38.03.01, 38.03.02, 38.04.01, 38.04.02, 40.03.01, 44.03.05</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</si>
  <si>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направлению 38.03.01 «Экономика» и экономическим специальностям</t>
  </si>
  <si>
    <t>069887.17.01</t>
  </si>
  <si>
    <t>Национальная экономика: Уч. / Под ред. Савченко П.В. - 5 изд. - М.:НИЦ ИНФРА-М,2024 - 806 с.-(ВО)(п)</t>
  </si>
  <si>
    <t>НАЦИОНАЛЬНАЯ ЭКОНОМИКА, ИЗД.5</t>
  </si>
  <si>
    <t>Савченко П.В., Абрамова М.А., Ахапкин Н.Ю. и др.</t>
  </si>
  <si>
    <t>978-5-16-019907-8</t>
  </si>
  <si>
    <t>223700.07.01</t>
  </si>
  <si>
    <t>Национальная экономика: Уч.пос. / Под ред.М.И.Абрамовой - М:Магистр:НИЦ ИНФРА-М,2026 - 296 с.(Бакалавриат) (о)</t>
  </si>
  <si>
    <t>НАЦИОНАЛЬНАЯ ЭКОНОМИКА, ИЗД.1</t>
  </si>
  <si>
    <t>Жданов С. А., Козельская И. Н., Козлова Е. В., Абрамова М. И.</t>
  </si>
  <si>
    <t>978-5-9776-0280-8</t>
  </si>
  <si>
    <t>699388.02.01</t>
  </si>
  <si>
    <t>Национальное и международно-правовое регулир...: Моногр./ Т.Я.Хабриева-М.:НИЦ ИНФРА-М,2023-392с(П)</t>
  </si>
  <si>
    <t>НАЦИОНАЛЬНОЕ И МЕЖДУНАРОДНО-ПРАВОВОЕ РЕГУЛИРОВАНИЕ ПРОТИВОДЕЙСТВИЯ ТОРГОВЛЕ ЛЮДЬМИ И РАБСТВУ В ИХ СОВРЕМЕННЫХ ФОРМАХ, ИЗД.1</t>
  </si>
  <si>
    <t>Хабриева Т.Я., Автономов А.С., Артемов В.Ю. и др.</t>
  </si>
  <si>
    <t>978-5-16-014693-5</t>
  </si>
  <si>
    <t>849244.01.01</t>
  </si>
  <si>
    <t>Национальные модели политич. процесса как..: Моногр. / В.В.Комарова - М.:Юр. НОРМА, НИЦ ИНФРА-М,2025 - 424 с.(п)</t>
  </si>
  <si>
    <t>НАЦИОНАЛЬНЫЕ МОДЕЛИ ПОЛИТИЧЕСКОГО ПРОЦЕССА КАК ОСНОВА МНОГОПОЛЯРНОГО МИРА: КОНСТИТУЦИОННЫЕ И ПОЛИТОЛОГИЧЕСКИЕ АСПЕКТЫ, ИЗД.1</t>
  </si>
  <si>
    <t>Комарова В.В., Шапошников А.В., Бабурин С.Н. и др.</t>
  </si>
  <si>
    <t>978-5-00156-410-2</t>
  </si>
  <si>
    <t>40.02.02, 40.04.01, 40.06.01, 41.06.01</t>
  </si>
  <si>
    <t>838038.01.01</t>
  </si>
  <si>
    <t>Национальные модели правовых механизмов предотвращ. / Г.Н.Андреева - М.:Юр. НОРМА, НИЦ ИНФРА-М,2025.-208 с.(п)</t>
  </si>
  <si>
    <t>НАЦИОНАЛЬНЫЕ МОДЕЛИ ПРАВОВЫХ МЕХАНИЗМОВ ПРЕДОТВРАЩЕНИЯ СЕЦЕССИИ В ВЕЛИКОБРИТАНИИ, КАНАДЕ И США, ИЗД.1</t>
  </si>
  <si>
    <t>Андреева Г.Н., Коданева С.И., Хашина Э.Э.</t>
  </si>
  <si>
    <t>978-5-00156-388-4</t>
  </si>
  <si>
    <t>Институт научной информации по общественным наукам Российской академии наук</t>
  </si>
  <si>
    <t>865474.01.01</t>
  </si>
  <si>
    <t>Национальные модели правовых механизмов...: Моногр. / Г.Н.Андреева - М.:Юр.Норма,НИЦ ИНФРА-М, 2026 - 212 с.(п)</t>
  </si>
  <si>
    <t>НАЦИОНАЛЬНЫЕ МОДЕЛИ ПРАВОВЫХ МЕХАНИЗМОВ ПРЕДОТВРАЩЕНИЯ СЕЦЕССИИ В БЕЛЬГИИ, БОСНИИ И ГЕРЦЕГОВИНЕ, ЛИХТЕНШТЕЙНЕ, ШВЕЙЦАРИИ, ИЗД.1</t>
  </si>
  <si>
    <t>Андреева Г.Н., Коданева С.И., Хашина Э.Э. и др.</t>
  </si>
  <si>
    <t>978-5-00156-462-1</t>
  </si>
  <si>
    <t>40.05.01, 40.05.02, 40.05.03, 40.05.04, 40.06.01, 41.04.04</t>
  </si>
  <si>
    <t>752424.01.01</t>
  </si>
  <si>
    <t>Начала педагогики безопасности: Моногр. / С.П.Данченко - М.:НИЦ ИНФРА-М,2021 - 192 с.-(Науч.мысль)(О)</t>
  </si>
  <si>
    <t>НАЧАЛА ПЕДАГОГИКИ БЕЗОПАСНОСТИ, ИЗД.1</t>
  </si>
  <si>
    <t>Данченко С.П.</t>
  </si>
  <si>
    <t>978-5-16-016911-8</t>
  </si>
  <si>
    <t>44.03.01, 44.04.01, 44.04.02, 44.04.04, 44.06.01</t>
  </si>
  <si>
    <t>705355.03.01</t>
  </si>
  <si>
    <t>Начала теории законодательных дефектов: Монография / А.Ю.Викулин-М.:Юр.Норма,ИНФРА-М,2023.-344 с.(П)</t>
  </si>
  <si>
    <t>НАЧАЛА ТЕОРИИ ЗАКОНОДАТЕЛЬНЫХ ДЕФЕКТОВ, ИЗД.1</t>
  </si>
  <si>
    <t>Викулин А.Ю.</t>
  </si>
  <si>
    <t>978-5-91768-628-8</t>
  </si>
  <si>
    <t>229900.07.01</t>
  </si>
  <si>
    <t>Начала физической химии: Уч. пос. / Н.М. Бажин - М.: НИЦ ИНФРА-М, 2025 - 332 с. (ВО: Бакалавр.) (п)</t>
  </si>
  <si>
    <t>НАЧАЛА ФИЗИЧЕСКОЙ ХИМИИ, ИЗД.1</t>
  </si>
  <si>
    <t>Бажин Н.М., Пармон В.Н.</t>
  </si>
  <si>
    <t>978-5-16-009055-9</t>
  </si>
  <si>
    <t>04.03.01, 04.03.02, 04.05.01, 18.03.01, 18.03.02, 18.04.01, 18.05.01, 18.05.02, 30.05.01, 31.05.01, 31.05.02, 31.05.03, 33.05.01, 35.03.03</t>
  </si>
  <si>
    <t>Допущено УМО по классическому университетскому образованию в качестве учебного пособия для студентов высших учебных заведений, обучающихся по специальности ВПО 04.03.01 (020101.65) - химия и по направлению 04.00.00 (020100) — химия</t>
  </si>
  <si>
    <t>845364.01.01</t>
  </si>
  <si>
    <t>Начала физической химии: Уч. пос. / Н.М. Бажин - М.:НИЦ ИНФРА-М, 2025 - 332 с.(СПО)(п)</t>
  </si>
  <si>
    <t>978-5-16-020465-9</t>
  </si>
  <si>
    <t>18.02.01, 18.02.02, 18.02.04, 18.02.09, 18.02.10, 18.02.12, 18.02.14, 18.02.15, 21.02.01, 21.02.02, 21.02.03, 21.02.10, 22.02.08, 40.02.02</t>
  </si>
  <si>
    <t>755912.03.01</t>
  </si>
  <si>
    <t>Начальная военно-морская подготовка: Уч.пос. / Н.Н.Михайленко. - М.:НИЦ ИНФРА-М,2026. - 488 с.(п)</t>
  </si>
  <si>
    <t>НАЧАЛЬНАЯ ВОЕННО-МОРСКАЯ ПОДГОТОВКА, ИЗД.1</t>
  </si>
  <si>
    <t>Михайленко Н.Н., Крапивин М.И., Краснобокий И.В. и др.</t>
  </si>
  <si>
    <t>978-5-16-018600-9</t>
  </si>
  <si>
    <t>00.03.41, 00.05.17, 56.05.01</t>
  </si>
  <si>
    <t>Рекомендовано экспертным советом ЧВВМУ имени П.С. Нахимова в качестве учебного пособия по дисциплине «Начальная военно-морская подготовка» для командиров взводов и курсантов первого курса, впервые поступивших на военную службу</t>
  </si>
  <si>
    <t>457798.0057.01</t>
  </si>
  <si>
    <t>Начальное образование, 2023, № 6</t>
  </si>
  <si>
    <t>НАЧАЛЬНОЕ ОБРАЗОВАНИЕ, 2023, № 6, ИЗД.</t>
  </si>
  <si>
    <t>457798.0073.01</t>
  </si>
  <si>
    <t>Начальное образование, 2026, № 3</t>
  </si>
  <si>
    <t>НАЧАЛЬНОЕ ОБРАЗОВАНИЕ, 2026, № 3, ИЗД.1</t>
  </si>
  <si>
    <t>779414.04.01</t>
  </si>
  <si>
    <t>Начертательная геометрия и инженерная графика: Уч.пос. / Е.Л.Чепурина. - М.:НИЦ ИНФРА-М,2026. - 250 с.(ВО)(п)</t>
  </si>
  <si>
    <t>НАЧЕРТАТЕЛЬНАЯ ГЕОМЕТРИЯ И ИНЖЕНЕРНАЯ ГРАФИКА, ИЗД.1</t>
  </si>
  <si>
    <t>Чепурина Е.Л., Краснящих К.А., Рыбалкин Д.А. и др.</t>
  </si>
  <si>
    <t>978-5-16-017755-7</t>
  </si>
  <si>
    <t>13.03.01, 13.03.02, 23.03.01, 23.03.03, 23.05.01, 35.03.06</t>
  </si>
  <si>
    <t>439450.07.01</t>
  </si>
  <si>
    <t>Начертательная геометрия. Основной курс: Уч. пос. / Н.А. Сальков - М.: НИЦ ИНФРА-М, 2025-235с(ВО)(п)</t>
  </si>
  <si>
    <t>НАЧЕРТАТЕЛЬНАЯ ГЕОМЕТРИЯ. ОСНОВНОЙ КУРС, ИЗД.1</t>
  </si>
  <si>
    <t>Сальков Н. А.</t>
  </si>
  <si>
    <t>978-5-16-006755-1</t>
  </si>
  <si>
    <t>07.03.01, 07.03.03, 35.03.10</t>
  </si>
  <si>
    <t>Допущено УМО по образованию в области архитектуры в качестве учебного пособия для студентов вузов, обучающихся по направлению «Архитектура»</t>
  </si>
  <si>
    <t>810061.02.01</t>
  </si>
  <si>
    <t>Начертательная геометрия. Практикум: уч.пос. / Н.А.Сальков - М.:НИЦ ИНФРА-М,2027. - 142 с.(СПО)(п)</t>
  </si>
  <si>
    <t>НАЧЕРТАТЕЛЬНАЯ ГЕОМЕТРИЯ. ПРАКТИКУМ, ИЗД.1</t>
  </si>
  <si>
    <t>978-5-16-018976-5</t>
  </si>
  <si>
    <t>00.02.31, 07.02.01, 08.02.01, 54.02.01</t>
  </si>
  <si>
    <t>400050.09.01</t>
  </si>
  <si>
    <t>Начертательная геометрия: базовый курс: Уч.пос. / Н.А.Сальков. - М.: НИЦ Инфра-М, 2024. - 184 с.(ВО) (п)</t>
  </si>
  <si>
    <t>НАЧЕРТАТЕЛЬНАЯ ГЕОМЕТРИЯ: БАЗОВЫЙ КУРС, ИЗД.1</t>
  </si>
  <si>
    <t>978-5-16-005774-3</t>
  </si>
  <si>
    <t>744669.03.01</t>
  </si>
  <si>
    <t>Начертательная геометрия: Задания для курс. раб.: Уч.пос. / Н.А.Сальков - М.:НИЦ ИНФРА-М,2025 - 117 с.(ВО)(П)</t>
  </si>
  <si>
    <t>НАЧЕРТАТЕЛЬНАЯ ГЕОМЕТРИЯ: ЗАДАНИЯ ДЛЯ КУРСОВЫХ РАБОТ, ИЗД.1</t>
  </si>
  <si>
    <t>978-5-16-020253-2</t>
  </si>
  <si>
    <t>07.03.01, 07.03.03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</si>
  <si>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07.03.01 «Архитектура», 07.03.03 «Дизайн архитектурной среды» (квалификация (степень) «бакалавр») (протокол №9 от 28.09.2020)</t>
  </si>
  <si>
    <t>742897.03.01</t>
  </si>
  <si>
    <t>Начертательная геометрия: Конструирование поверхностей: Уч.пос. / Н.А.Сальков-М.:НИЦ ИНФРА-М,2022.-220 с.(ВО: Бак)(П)</t>
  </si>
  <si>
    <t>НАЧЕРТАТЕЛЬНАЯ ГЕОМЕТРИЯ: КОНСТРУИРОВАНИЕ ПОВЕРХНОСТЕЙ, ИЗД.1</t>
  </si>
  <si>
    <t>978-5-16-016612-4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</si>
  <si>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07.03.01 «Архитектура», 07.03.03 «Дизайн архитектурной среды» (квалификация (степень) «бакалавр») (протокол № 6 от 16.06.2021)</t>
  </si>
  <si>
    <t>801043.04.01</t>
  </si>
  <si>
    <t>Начертательная геометрия: практикум: Уч.пос. / Н.А.Сальков - М.:НИЦ ИНФРА-М,2026. - 131 с.(ВО: Магистр.)(п)</t>
  </si>
  <si>
    <t>НАЧЕРТАТЕЛЬНАЯ ГЕОМЕТРИЯ: ПРАКТИКУМ, ИЗД.1</t>
  </si>
  <si>
    <t>978-5-16-018375-6</t>
  </si>
  <si>
    <t>07.03.01, 07.03.03, 07.04.01, 54.03.01</t>
  </si>
  <si>
    <t>778270.02.01</t>
  </si>
  <si>
    <t>Начертательная геометрия: Сб. задач и заданий: Уч.пос. / Н.А.Сальков-М.:НИЦ ИНФРА-М,2022.-148 с.(СПО)</t>
  </si>
  <si>
    <t>НАЧЕРТАТЕЛЬНАЯ ГЕОМЕТРИЯ: СБОРНИК ЗАДАЧ И ЗАДАНИЙ, ИЗД.1</t>
  </si>
  <si>
    <t>978-5-16-017770-0</t>
  </si>
  <si>
    <t>00.02.31, 08.02.01, 08.02.12, 15.01.22, 15.02.10, 15.02.16, 24.02.01, 24.02.02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</si>
  <si>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07.02.01 «Архитектура» (протокол № 3 от 09.03.2022)</t>
  </si>
  <si>
    <t>090450.18.01</t>
  </si>
  <si>
    <t>Начертательная геометрия: сб. задач: Уч. пос. / С.А. Фролов  - 3 изд. -  М.: ИНФРА-М, 2026 - 172 с.(ВО) (П)</t>
  </si>
  <si>
    <t>НАЧЕРТАТЕЛЬНАЯ ГЕОМЕТРИЯ: СБОРНИК ЗАДАЧ, ИЗД.3</t>
  </si>
  <si>
    <t>Фролов С. А.</t>
  </si>
  <si>
    <t>978-5-16-003273-3</t>
  </si>
  <si>
    <t>13.03.03, 15.03.01, 15.03.02, 15.03.03, 15.03.04, 15.03.05, 15.03.06, 15.05.01, 24.03.01, 24.03.02, 24.03.03, 24.03.04, 24.03.05</t>
  </si>
  <si>
    <t>Допущено Мин. обр. и науки РФ в качестве учебного пособия для студентов высших учебных заведений, обучающихся по машиностроительным специальностям</t>
  </si>
  <si>
    <t>684899.06.01</t>
  </si>
  <si>
    <t>Начертательная геометрия: Сб. задач: Уч.пос. /С.А.Фролов, - 3 изд. - М.:НИЦ ИНФРА-М,2026 - 172 с.(СПО)</t>
  </si>
  <si>
    <t>Фролов С.А.</t>
  </si>
  <si>
    <t>978-5-16-014147-3</t>
  </si>
  <si>
    <t>00.02.31, 08.02.01, 15.01.22, 15.02.10, 15.02.16, 23.02.02, 24.02.01, 24.02.02, 24.02.04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</si>
  <si>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техническим специальностям</t>
  </si>
  <si>
    <t>826044.01.01</t>
  </si>
  <si>
    <t>Начертательная геометрия: Сл. / Н.А.Сальков - М.:НИЦ ИНФРА-М,2025. - 178 с.(Б-ка сл. ИНФРА-М)(п)</t>
  </si>
  <si>
    <t>НАЧЕРТАТЕЛЬНАЯ ГЕОМЕТРИЯ, ИЗД.1</t>
  </si>
  <si>
    <t>978-5-16-020000-2</t>
  </si>
  <si>
    <t>08.05.02, 11.05.01, 12.03.02, 12.03.05, 12.05.01, 13.03.03, 14.05.01, 15.03.03, 15.05.01, 16.03.02, 16.05.01, 17.05.01, 17.05.02, 18.05.01, 18.05.02, 19.03.03, 20.03.01, 20.03.02, 21.03.02, 21.05.04, 21.05.05, 21.05.06, 23.03.02, 23.05.01, 23.05.02, 23.05.03, 23.05.06, 24.03.01, 24.03.02, 24.03.03, 24.03.04, 24.03.05, 24.05.01, 24.05.03, 24.05.04, 24.05.06, 24.05.07, 26.03.02, 28.03.02, 28.03.03, 35.03.06, 35.03.10, 54.03.01, 54.03.04</t>
  </si>
  <si>
    <t>667546.05.01</t>
  </si>
  <si>
    <t>Начертательная геометрия: Уч. / В.В.Дергач и др. - 7 изд. - М.:НИЦ ИНФРА-М, СФУ,2026 - 259 с.(ВО)(П)</t>
  </si>
  <si>
    <t>НАЧЕРТАТЕЛЬНАЯ ГЕОМЕТРИЯ, ИЗД.7</t>
  </si>
  <si>
    <t>Дергач В.В., Борисенко И.Г., Толстихин А.К.</t>
  </si>
  <si>
    <t>978-5-16-019225-3</t>
  </si>
  <si>
    <t>00.03.36</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</si>
  <si>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технологический университет «СТАНКИН» в качестве учебника для студентов высших учебных заведений, обучающихся по направлениям подготовки в области техники и технологии</t>
  </si>
  <si>
    <t>777691.04.01</t>
  </si>
  <si>
    <t>Начертательная геометрия: Уч. / Н.А.Сальков - М.:НИЦ ИНФРА-М,2026. - 332 с.(СПО)(П)</t>
  </si>
  <si>
    <t>978-5-16-017771-7</t>
  </si>
  <si>
    <t>07.02.01, 54.02.06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</si>
  <si>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07.02.01 «Архитектура» (протокол № 3 от 09.03.2022)</t>
  </si>
  <si>
    <t>077700.22.01</t>
  </si>
  <si>
    <t>Начертательная геометрия: Уч. / С.А.Фролов - 3 изд. - М.:НИЦ ИНФРА-М,2026 - 285 с. - [цв]-(ВО.)(П)</t>
  </si>
  <si>
    <t>НАЧЕРТАТЕЛЬНАЯ ГЕОМЕТРИЯ, ИЗД.3</t>
  </si>
  <si>
    <t>978-5-16-020007-1</t>
  </si>
  <si>
    <t>07.03.01, 07.03.03, 12.03.01, 13.03.03, 14.03.01, 15.03.05, 20.03.01, 21.03.01, 23.03.01, 23.03.02, 23.03.03, 24.03.03, 24.03.05, 26.03.02, 29.03.02, 35.03.02, 35.03.06, 35.03.10</t>
  </si>
  <si>
    <t>Допущено Министерством образования Российской Федерации для студентов высших учебных заведений, обучающихся по направлению подготовки дипломированных специалистов в области техники и технологии</t>
  </si>
  <si>
    <t>832806.01.01</t>
  </si>
  <si>
    <t>Начертательная геометрия: уч. / С.А.Фролов, - 3-е изд.-М.:НИЦ ИНФРА-М,2026.-285 с.[цв].-(СПО)(п)</t>
  </si>
  <si>
    <t>978-5-16-020035-4</t>
  </si>
  <si>
    <t>07.02.01</t>
  </si>
  <si>
    <t>832809.01.01</t>
  </si>
  <si>
    <t>Начертательная геометрия: Уч. пос. / Под ред. Зайцев Ю.А.-М.:НИЦ ИНФРА-М,2024.-248 с.(СПО)(п)</t>
  </si>
  <si>
    <t>Зайцев Ю. А., Одиноков И. П., Решетников М. К., Зайцев Ю. А.</t>
  </si>
  <si>
    <t>978-5-16-019996-2</t>
  </si>
  <si>
    <t>822489.01.01</t>
  </si>
  <si>
    <t>Начертательная геометрия: Уч./ Л.И.Супрун - М.:НИЦ ИНФРА-М, СФУ,2024-291с.-(ВО (СФУ))(п)</t>
  </si>
  <si>
    <t>978-5-16-019696-1</t>
  </si>
  <si>
    <t>07.03.01, 07.03.03, 07.03.04</t>
  </si>
  <si>
    <t>660985.04.01</t>
  </si>
  <si>
    <t>Начертательная геометрия: Уч.пос. / В.В.Дергач и др., - 3 изд.-М.:НИЦ ИНФРА-М, СФУ,2022-144с(ВО)(О)</t>
  </si>
  <si>
    <t>Дергач В.В., Толстихин А.К., Борисенко И.Г.</t>
  </si>
  <si>
    <t>978-5-16-012964-8</t>
  </si>
  <si>
    <t>07.03.01, 07.03.03, 12.03.02, 12.03.05, 13.03.03, 15.03.03, 20.03.01, 20.03.02, 21.05.04, 21.05.05, 21.05.06</t>
  </si>
  <si>
    <t>Допущено Учебно-методическим объединением по профессионально-педагогическому образованию в качестве учебного пособия для студентов высших учебных заведений, обучающихся по специальности 44.03.04 «Профессиональное обучение (материаловедение и обработка материалов)»</t>
  </si>
  <si>
    <t>408950.09.01</t>
  </si>
  <si>
    <t>Начертательная геометрия: Уч.пос. / Под ред. Зайцева Ю.А. - М.:НИЦ ИНФРА-М,2026 - 248 с.(ВО)(п)</t>
  </si>
  <si>
    <t>978-5-16-018438-8</t>
  </si>
  <si>
    <t>Допущено Научно-методическим советом по начертательной геометрии, инженерной и компьютерной графике Министерства образования и науки РФ в качестве учебного пособия для бакалавров направления 15.03.05 «Конструкторско-технологическое обеспечение машиностроительных производств»</t>
  </si>
  <si>
    <t>460350.05.01</t>
  </si>
  <si>
    <t>НДС: прямой метод исчисления: Моногр. / Б.А.Романов-М.:ИЦ РИОР, НИЦ ИНФРА-М,2024.-116 с.(Науч.мысль)(о)</t>
  </si>
  <si>
    <t>НДС: ПРЯМОЙ МЕТОД ИСЧИСЛЕНИЯ, ИЗД.1</t>
  </si>
  <si>
    <t>Романов Б.А.</t>
  </si>
  <si>
    <t>978-5-369-01318-2</t>
  </si>
  <si>
    <t>38.03.01, 38.03.04, 38.04.01, 38.04.04, 38.04.08, 38.04.09, 44.03.01, 44.03.05</t>
  </si>
  <si>
    <t>348700.06.01</t>
  </si>
  <si>
    <t>Небольшое здание с простейшей простран.структ.: Уч.пос./Л.А.Красилова-КУРС,НИЦ ИНФРА-М,2019-170с.(о)</t>
  </si>
  <si>
    <t>НЕБОЛЬШОЕ ЗДАНИЕ С ПРОСТЕЙШЕЙ ПРОСТРАНСТВЕННОЙ СТРУКТУРОЙ (ГОСТЕВОЙ ДОМИК ЕГЕРЯ, ПОГРАНИЧНЫЙ ФОРПОСТ, СПАСАТЕЛЬНАЯ СТАНЦИЯ, КРЕСТИЛЬНЫЙ ХРАМ), ИЗД.1</t>
  </si>
  <si>
    <t>Л.А.Красилова</t>
  </si>
  <si>
    <t>978-5-905554-89-6</t>
  </si>
  <si>
    <t>07.03.01, 07.03.02, 07.03.03, 07.03.04, 07.04.01, 07.04.02, 07.04.03, 07.04.04, 07.06.01, 07.07.01, 07.09.01, 07.09.03, 08.03.01, 08.04.01, 08.05.01, 08.06.01</t>
  </si>
  <si>
    <t>399800.12.01</t>
  </si>
  <si>
    <t>Невербальный язык немцев: Моногр. / В.И.Дубинский - М.:НИЦ ИНФРА-М,2026 - 82 с.(Науч.мысль)(О)</t>
  </si>
  <si>
    <t>НЕВЕРБАЛЬНЫЙ ЯЗЫК НЕМЦЕВ, ИЗД.1</t>
  </si>
  <si>
    <t>Дубинский В.И.</t>
  </si>
  <si>
    <t>978-5-16-011284-8</t>
  </si>
  <si>
    <t>38.03.01, 45.03.01, 51.03.01, 51.03.02</t>
  </si>
  <si>
    <t>823866.01.01</t>
  </si>
  <si>
    <t>Неврологические основы тяжелых наруш. речи: Уч. / Е.Г.Гравицкая - М.:НИЦ ИНФРА-М,2025. - 357 с.(ВО:Магистр)(п)</t>
  </si>
  <si>
    <t>НЕВРОЛОГИЧЕСКИЕ ОСНОВЫ ТЯЖЕЛЫХ НАРУШЕНИЙ РЕЧИ, ИЗД.1</t>
  </si>
  <si>
    <t>Гравицкая Е.Г., Уклонская Д.В., Филатова И.А. и др.</t>
  </si>
  <si>
    <t>978-5-16-019797-5</t>
  </si>
  <si>
    <t>815315.01.01</t>
  </si>
  <si>
    <t>Неврологические основы тяжелых нарушений речи: Уч. / Е.Г.Гравицкая - М.:НИЦ ИНФРА-М,2025. - 301 с.(ВО)(п)</t>
  </si>
  <si>
    <t>978-5-16-019796-8</t>
  </si>
  <si>
    <t>318600.07.01</t>
  </si>
  <si>
    <t>Недревесная продукция леса:Уч. / Н.А.Харченко, - 2 изд.-М.:НИЦ ИНФРА-М,2024.-383 с.(ВО: Бакалавриат)(П)</t>
  </si>
  <si>
    <t>НЕДРЕВЕСНАЯ ПРОДУКЦИЯ ЛЕСА, ИЗД.2</t>
  </si>
  <si>
    <t>Харченко Н.А., Харченко Н.Н.</t>
  </si>
  <si>
    <t>978-5-16-010413-3</t>
  </si>
  <si>
    <t>Воронежский государственный лесотехнический университет имени Г.Ф. Морозова</t>
  </si>
  <si>
    <t>657346.10.01</t>
  </si>
  <si>
    <t>Нейропсихология: Уч. пос. / А.П.Бизюк - М.:НИЦ ИНФРА-М,2027. - 539 с.(ВО)(п)</t>
  </si>
  <si>
    <t>НЕЙРОПСИХОЛОГИЯ, ИЗД.1</t>
  </si>
  <si>
    <t>Бизюк А.П.</t>
  </si>
  <si>
    <t>978-5-16-020816-9</t>
  </si>
  <si>
    <t>31.08.22, 37.03.01, 37.05.01, 44.03.02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</si>
  <si>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психологическим и медицинским специальностям (протокол № 1 от 20.01.2021)</t>
  </si>
  <si>
    <t>675412.06.01</t>
  </si>
  <si>
    <t>Некоммерческие организации в межд.и нац.праве / Т.Я.Хабриева-М.:Юр.Норма, НИЦ ИНФРА-М,2022-304с(П)</t>
  </si>
  <si>
    <t>НЕКОММЕРЧЕСКИЕ ОРГАНИЗАЦИИ В МЕЖДУНАРОДНОМ И НАЦИОНАЛЬНОМ ПРАВЕ, ИЗД.1</t>
  </si>
  <si>
    <t>Хабриева Т.Я., Чиркин С.В.</t>
  </si>
  <si>
    <t>978-5-91768-891-6</t>
  </si>
  <si>
    <t>38.03.04, 40.02.04, 40.03.01, 40.04.01</t>
  </si>
  <si>
    <t>876214.01.01</t>
  </si>
  <si>
    <t>Некоммерческие организации в РФ: Уч. / М.Б.Поляков - М.:НИЦ ИНФРА-М,2027. - 445 с.(ВО)(п)</t>
  </si>
  <si>
    <t>НЕКОММЕРЧЕСКИЕ ОРГАНИЗАЦИИ В РОССИЙСКОЙ ФЕДЕРАЦИИ, ИЗД.1</t>
  </si>
  <si>
    <t>Поляков М.Б.</t>
  </si>
  <si>
    <t>978-5-16-022065-9</t>
  </si>
  <si>
    <t>38.03.01, 38.03.02, 38.04.04, 40.03.01, 40.04.01, 40.05.01, 40.05.02, 41.04.02, 46.03.02</t>
  </si>
  <si>
    <t>280300.06.01</t>
  </si>
  <si>
    <t>Некоторые проблемы теории и философии права: Моногр. / С.И. Захарцев - М.: Норма, 2026 - 208 с.(п)</t>
  </si>
  <si>
    <t>НЕКОТОРЫЕ ПРОБЛЕМЫ ТЕОРИИ И ФИЛОСОФИИ ПРАВА, ИЗД.1</t>
  </si>
  <si>
    <t>Захарцев С. И., Сальников В. П.</t>
  </si>
  <si>
    <t>978-5-91768-491-8</t>
  </si>
  <si>
    <t>40.03.01, 41.03.01, 41.03.06, 44.03.05</t>
  </si>
  <si>
    <t>639685.04.01</t>
  </si>
  <si>
    <t>Нелепости века: Моногр. / С.В.Борзых - М.:НИЦ ИНФРА-М,2026 - 167 с.(Науч.мысль)(о)</t>
  </si>
  <si>
    <t>НЕЛЕПОСТИ ВЕКА, ИЗД.1</t>
  </si>
  <si>
    <t>978-5-16-016966-8</t>
  </si>
  <si>
    <t>639685.01.01</t>
  </si>
  <si>
    <t>Нелепости века: Монография / С.В.Борзых - М.:НИЦ ИНФРА-М,2017 - 167 с.-(Науч.мысль)(П)</t>
  </si>
  <si>
    <t>978-5-16-012811-5</t>
  </si>
  <si>
    <t>450200.02.01</t>
  </si>
  <si>
    <t>Нелинейная динам.океанотехн.сист.: Моногр./В.М.Кушнир-М.:Вуз.уч.,НИЦ ИНФРА-М,2024-320с(Науч.книга)(о)</t>
  </si>
  <si>
    <t>НЕЛИНЕЙНАЯ ДИНАМИКА ОКЕАНОТЕХНИЧЕСКИХ СИСТЕМ, ИЗД.1</t>
  </si>
  <si>
    <t>Кушнир В.М., Душко В.Р., Крамарь В.А.</t>
  </si>
  <si>
    <t>978-5-9558-0470-5</t>
  </si>
  <si>
    <t>26.03.02, 26.04.02, 26.05.01</t>
  </si>
  <si>
    <t>744340.01.01</t>
  </si>
  <si>
    <t>Нелинейные задачи строительной механики...: Уч.пос. / Б.А.Тухфатуллин-М.:НИЦ ИНФРА-М,2021.-106 с.(П)</t>
  </si>
  <si>
    <t>НЕЛИНЕЙНЫЕ ЗАДАЧИ СТРОИТЕЛЬНОЙ МЕХАНИКИ. МЕТОДЫ ОПТИМАЛЬНОГО ПРОЕКТИРОВАНИЯ КОНСТРУКЦИЙ, ИЗД.1</t>
  </si>
  <si>
    <t>Тухфатуллин Б.А.</t>
  </si>
  <si>
    <t>978-5-16-016633-9</t>
  </si>
  <si>
    <t>704979.09.01</t>
  </si>
  <si>
    <t>Немедикаментозные методы реабилитации: цветотерапия..: Моногр. / В.Н.Любчик. - М:ИНФРА-М,2026 - 182 с.(О)</t>
  </si>
  <si>
    <t>НЕМЕДИКАМЕНТОЗНЫЕ МЕТОДЫ РЕАБИЛИТАЦИИ: ЦВЕТОТЕРАПИЯ, МУЗЫКОТЕРАПИЯ, АЭРОФИТОТЕРАПИЯ С ЭФИРНЫМИ МАСЛАМИ РАСТЕНИЙ, ИЗД.1</t>
  </si>
  <si>
    <t>Любчик В.Н., Мирошниченко Н.В., Голубова Т.Ф.</t>
  </si>
  <si>
    <t>978-5-16-016728-2</t>
  </si>
  <si>
    <t>792275.01.01</t>
  </si>
  <si>
    <t>Немецкая классич. философия: пробл. религии...: Уч.пос. / В.Ю.Васечко-М.:НИЦ ИНФРА-М,2024.-275 с.(ВО)(п)</t>
  </si>
  <si>
    <t>НЕМЕЦКАЯ КЛАССИЧЕСКАЯ ФИЛОСОФИЯ: ПРОБЛЕМЫ РЕЛИГИИ, ЦЕРКВИ, ХРИСТИАНСТВА, ИЗД.1</t>
  </si>
  <si>
    <t>978-5-16-018579-8</t>
  </si>
  <si>
    <t>47.03.01, 47.03.03</t>
  </si>
  <si>
    <t>673647.04.01</t>
  </si>
  <si>
    <t>Немецкая лит-ра 1990-х г. Ситуация «поворота»: Моногр/ / Д.А.Чугунов,-2 изд.-М:НИЦ ИНФРА-М,2024-258с(П)</t>
  </si>
  <si>
    <t>НЕМЕЦКАЯ ЛИТЕРАТУРА 1990-Х ГОДОВ. СИТУАЦИЯ «ПОВОРОТА», ИЗД.2</t>
  </si>
  <si>
    <t>978-5-16-013792-6</t>
  </si>
  <si>
    <t>45.03.01, 45.04.01, 45.05.01, 45.06.01</t>
  </si>
  <si>
    <t>374400.03.01</t>
  </si>
  <si>
    <t>Немецкая социология: Уч. пос. / В.В.Афанасьев - М.:НИЦ ИНФРА-М,2023.-101 с.-(ВО: Бакалавриат)(О)</t>
  </si>
  <si>
    <t>НЕМЕЦКАЯ СОЦИОЛОГИЯ, ИЗД.1</t>
  </si>
  <si>
    <t>978-5-16-011063-9</t>
  </si>
  <si>
    <t>735529.02.01</t>
  </si>
  <si>
    <t>Немецкий яз. для студентов транспортных колледжей: Уч. / М.А.Васильева - М.:НИЦ ИНФРА-М,2024-219 с.(СПО)(П)</t>
  </si>
  <si>
    <t>НЕМЕЦКИЙ ЯЗЫК ДЛЯ СТУДЕНТОВ ТРАНСПОРТНЫХ КОЛЛЕДЖЕЙ, ИЗД.1</t>
  </si>
  <si>
    <t>Васильева М.А.</t>
  </si>
  <si>
    <t>978-5-16-017322-1</t>
  </si>
  <si>
    <t>00.01.02, 00.02.02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</si>
  <si>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транспортным специальностям (протокол № 4 от 13.04.2022)</t>
  </si>
  <si>
    <t>711675.02.01</t>
  </si>
  <si>
    <t>Немецкий язык (для экономистов): Уч.пос. / Е.С.Коплякова - М.:НИЦ ИНФРА-М,2025 - 471 с.(СПО)(П)</t>
  </si>
  <si>
    <t>НЕМЕЦКИЙ ЯЗЫК (ДЛЯ ЭКОНОМИСТОВ), ИЗД.1</t>
  </si>
  <si>
    <t>Коплякова Е.С., Веселова Т.В.</t>
  </si>
  <si>
    <t>978-5-16-015342-1</t>
  </si>
  <si>
    <t>38.01.01, 38.01.03, 38.02.01, 38.02.02, 38.02.03, 38.02.06, 38.02.07, 38.02.08</t>
  </si>
  <si>
    <t>656183.02.01</t>
  </si>
  <si>
    <t>Немецкий язык (для экономистов): Уч.пос. / Е.С.Коплякова-М.:НИЦ ИНФРА-М,2024.-471 с.(ВО)(п)</t>
  </si>
  <si>
    <t>978-5-16-019501-8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</si>
  <si>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3 от 11.02.2019)</t>
  </si>
  <si>
    <t>451450.08.01</t>
  </si>
  <si>
    <t>Немецкий язык в соц. работе. Профессионально: Уч. пос. / М.С.Абрамова - М:КУРС:ИНФРА-М,2025 - 176 с.(о)</t>
  </si>
  <si>
    <t>НЕМЕЦКИЙ ЯЗЫК В СОЦИАЛЬНОЙ РАБОТЕ. ПРОФЕССИОНАЛЬНО, ИЗД.1</t>
  </si>
  <si>
    <t>Абрамова М. С.</t>
  </si>
  <si>
    <t>978-5-905554-41-4</t>
  </si>
  <si>
    <t>00.03.02, 00.05.02, 39.03.01, 39.03.02, 39.03.03, 39.04.01, 39.04.02, 39.04.03</t>
  </si>
  <si>
    <t>673975.05.01</t>
  </si>
  <si>
    <t>Немецкий язык для спортсменов. Deutsch für Sportler: Уч.пос. / И.Б.Акиншина - М.:НИЦ ИНФРА-М,2026. - 228 с.(п)</t>
  </si>
  <si>
    <t>НЕМЕЦКИЙ ЯЗЫК ДЛЯ СПОРТСМЕНОВ. DEUTSCH FÜR SPORTLER, ИЗД.1</t>
  </si>
  <si>
    <t>Акиншина И.Б., Мирошниченко Л.Н.</t>
  </si>
  <si>
    <t>978-5-16-021582-2</t>
  </si>
  <si>
    <t>00.03.02, 49.03.01, 49.03.02, 49.03.03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</si>
  <si>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49.03.00 «Физическая культура и спорт» (квалификация (степень) «бакалавр»)  (протокол № 17 от 11.11.2019)</t>
  </si>
  <si>
    <t>422050.07.01</t>
  </si>
  <si>
    <t>Немецкий язык для студентов технич. спец.: Уч. пос./Е.С.Коплякова - М.:Форум:ИНФРА-М, 2024-272с.(ВО) (П)</t>
  </si>
  <si>
    <t>НЕМЕЦКИЙ ЯЗЫК ДЛЯ СТУДЕНТОВ ТЕХНИЧЕСКИХ СПЕЦИАЛЬНОСТЕЙ, ИЗД.1</t>
  </si>
  <si>
    <t>Коплякова Е. С., Максимов Ю. В., Веселова Т. В.</t>
  </si>
  <si>
    <t>978-5-91134-728-4</t>
  </si>
  <si>
    <t>00.03.02, 23.01.08</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</si>
  <si>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для студентов технических специальностей</t>
  </si>
  <si>
    <t>036938.16.01</t>
  </si>
  <si>
    <t>Немецкий язык для студентов-экономистов: Уч. / М.М.Васильева - 5 изд. - М.:НИЦ ИНФРА-М,2025. - 343 с.(ВО(П)</t>
  </si>
  <si>
    <t>НЕМЕЦКИЙ ЯЗЫК ДЛЯ СТУДЕНТОВ-ЭКОНОМИСТОВ, ИЗД.5</t>
  </si>
  <si>
    <t>Васильева М.М., Мирзабекова Н.М., Сидельникова Е.М.</t>
  </si>
  <si>
    <t>978-5-16-015119-9</t>
  </si>
  <si>
    <t>Допущено Министерством образования и науки Российской Федерации в качестве учебника для студентов высших учебных заведений, обучающихся по экономическим направлениям и специальностям</t>
  </si>
  <si>
    <t>036938.13.01</t>
  </si>
  <si>
    <t>Немецкий язык для студентов-экономистов: уч. / М.М.Васильева и др., - 4-е изд., перераб.-М.:Альфа-М, НИЦ ИНФРА-М,2019.-350 с..-(Бакалавриат)(П</t>
  </si>
  <si>
    <t>НЕМЕЦКИЙ ЯЗЫК ДЛЯ СТУДЕНТОВ-ЭКОНОМИСТОВ, ИЗД.4</t>
  </si>
  <si>
    <t>Васильева М. М., Мирзабекова Н. М., Сидельникова Е. М.</t>
  </si>
  <si>
    <t>978-5-98281-354-1</t>
  </si>
  <si>
    <t>Допущено Министерством образования РФ в качестве учебника для студентов высших учебных заведений, обучающихся по экономическим специальностям и направлениям</t>
  </si>
  <si>
    <t>459450.15.01</t>
  </si>
  <si>
    <t>Немецкий язык: деловое общение: Уч.пос. / М.М.Васильева, - 2 изд. - М.:НИЦ ИНФРА-М,2026. - 294 с.(ВО)(п)</t>
  </si>
  <si>
    <t>НЕМЕЦКИЙ ЯЗЫК: ДЕЛОВОЕ ОБЩЕНИЕ, ИЗД.2</t>
  </si>
  <si>
    <t>Васильева М.М., Васильева М.А.</t>
  </si>
  <si>
    <t>978-5-16-020869-5</t>
  </si>
  <si>
    <t>00.03.02, 00.05.02, 38.03.01, 38.03.02, 38.03.03, 38.03.04, 38.03.05, 38.03.06, 38.03.07</t>
  </si>
  <si>
    <t>459450.11.01</t>
  </si>
  <si>
    <t>Немецкий язык: деловое общение: Уч.пос. / М.М.Васильева-М.:НИЦ ИНФРА-М,2023.-304 с.(ВО)(п)</t>
  </si>
  <si>
    <t>НЕМЕЦКИЙ ЯЗЫК: ДЕЛОВОЕ ОБЩЕНИЕ, ИЗД.1</t>
  </si>
  <si>
    <t>Васильева М. М., Васильева М. А.</t>
  </si>
  <si>
    <t>978-5-16-018395-4</t>
  </si>
  <si>
    <t>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по немецкому языку для студентов, обучающихся по лингвистическим специальностям и направлениям</t>
  </si>
  <si>
    <t>656573.02.01</t>
  </si>
  <si>
    <t>Немецкий язык: менеджмент в туризме: Уч.пос. / Е.С.Коплякова - М.:НИЦ ИНФРА-М,2023 - 421 с.(ВО)(П)</t>
  </si>
  <si>
    <t>НЕМЕЦКИЙ ЯЗЫК: МЕНЕДЖМЕНТ В ТУРИЗМЕ, ИЗД.1</t>
  </si>
  <si>
    <t>Коплякова Е.С., Максимов Ю.В.</t>
  </si>
  <si>
    <t>978-5-16-014177-0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</si>
  <si>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43.03.02 «Туризм» (квалификация (степень) «бакалавр») (протокол № 3 от 17.03.2021)</t>
  </si>
  <si>
    <t>103050.13.01</t>
  </si>
  <si>
    <t>Немецкий язык: туризм и гостинич. дело: Уч. / М.М.Васильева, - М.:НИЦ ИНФРА-М,2027.- 302 с.(ВО)(П)</t>
  </si>
  <si>
    <t>НЕМЕЦКИЙ ЯЗЫК: ТУРИЗМ И ГОСТИНИЧНОЕ ДЕЛО, ИЗД.1</t>
  </si>
  <si>
    <t>978-5-16-013831-2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</si>
  <si>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43.03.02 «Туризм», 43.03.03 «Гостиничное дело» (квалификация (степень) «бакалавр») (протокол № 2 от 28.01.2019)</t>
  </si>
  <si>
    <t>709417.10.01</t>
  </si>
  <si>
    <t>Немецкий язык: туризм и гостиничное дело: Уч. / М.М.Васильева - М.:НИЦ ИНФРА-М,2027 - 302 с.(СПО)(П)</t>
  </si>
  <si>
    <t>978-5-16-015238-7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</si>
  <si>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43.02.10 «Туризм», 43.02.11 «Гостиничный сервис» (протокол № 9 от 28.09.2020)</t>
  </si>
  <si>
    <t>673145.04.01</t>
  </si>
  <si>
    <t>Немецкий язык: Уч. / И.Б.Акиншина - М.:НИЦ ИНФРА-М,2023 - 247 с.-(ВО: Бакалавриат)(П)</t>
  </si>
  <si>
    <t>НЕМЕЦКИЙ ЯЗЫК, ИЗД.1</t>
  </si>
  <si>
    <t>978-5-16-013841-1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</si>
  <si>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на неязыковых факультетах (протокол № 12 от 26.06.2019)</t>
  </si>
  <si>
    <t>745693.03.01</t>
  </si>
  <si>
    <t>Немецкий язык: Уч. / И.Б.Акиншина - М.:НИЦ ИНФРА-М,2023 - 247 с.-(ВО: Специалитет)(П)</t>
  </si>
  <si>
    <t>978-5-16-016544-8</t>
  </si>
  <si>
    <t>00.05.02, 40.05.01, 40.05.02, 40.05.03, 40.05.04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</si>
  <si>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программам специалитета (протокол № 8 от 22.06.2020)</t>
  </si>
  <si>
    <t>732047.04.01</t>
  </si>
  <si>
    <t>Немецкий язык: Уч. / И.Б.Акиншина - М.:НИЦ ИНФРА-М,2024 - 247 с.-(СПО)(П)</t>
  </si>
  <si>
    <t>978-5-16-015998-0</t>
  </si>
  <si>
    <t>00.01.02, 00.02.02, 43.02.16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</si>
  <si>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15 от 14.10.2019)</t>
  </si>
  <si>
    <t>669485.01.01</t>
  </si>
  <si>
    <t>Неоднородные сорбенты: Монография / А.Н.Лукьянов-М.:НИЦ ИНФРА-М, СФУ,2018-188с-(Науч.мысль (СФУ))(П)</t>
  </si>
  <si>
    <t>НЕОДНОРОДНЫЕ СОРБЕНТЫ, ИЗД.1</t>
  </si>
  <si>
    <t>Лукьянов А.Н.</t>
  </si>
  <si>
    <t>978-5-16-013330-0</t>
  </si>
  <si>
    <t>669485.02.01</t>
  </si>
  <si>
    <t>Неоднородные сорбенты: Монография / А.Н.Лукьянов-М.:НИЦ ИНФРА-М, СФУ,2024-188с-(Науч.мысль (СФУ))(о)</t>
  </si>
  <si>
    <t>978-5-16-018890-4</t>
  </si>
  <si>
    <t>308000.09.01</t>
  </si>
  <si>
    <t>Неонатология и болезни новорожд. телят: Моногр. / В.П.Дегтярев - М.:НИЦ ИНФРА-М,2026 -158с(Науч.мысль)(П)</t>
  </si>
  <si>
    <t>НЕОНАТОЛОГИЯ И БОЛЕЗНИ НОВОРОЖДЕННЫХ ТЕЛЯТ, ИЗД.1</t>
  </si>
  <si>
    <t>Дегтярев В.П., Федотов С.В., Удалов Г.М.</t>
  </si>
  <si>
    <t>978-5-16-012208-3</t>
  </si>
  <si>
    <t>402950.06.01</t>
  </si>
  <si>
    <t>Неопределенный интеграл: Уч. пос. / И.Г. Лурье - М.: Вуз. уч.:  НИЦ ИНФРА-М, 2023. - 112 с. (о)</t>
  </si>
  <si>
    <t>НЕОПРЕДЕЛЕННЫЙ ИНТЕГРАЛ, ИЗД.1</t>
  </si>
  <si>
    <t>Лурье И.Г.</t>
  </si>
  <si>
    <t>978-5-9558-0280-0</t>
  </si>
  <si>
    <t>01.03.01, 01.03.02, 01.04.01, 01.04.04</t>
  </si>
  <si>
    <t>279200.13.01</t>
  </si>
  <si>
    <t>Неорганическая химия: краткий курс: Уч.пос. / В.Г.Иванов - М.:КУРС, НИЦ ИНФРА-М,2026. - 256 с.(о)</t>
  </si>
  <si>
    <t>НЕОРГАНИЧЕСКАЯ ХИМИЯ : КРАТКИЙ КУРС, ИЗД.1</t>
  </si>
  <si>
    <t>Иванов В. Г., Гева О. Н.</t>
  </si>
  <si>
    <t>978-5-905554-60-5</t>
  </si>
  <si>
    <t>04.03.01, 04.03.02, 04.05.01, 06.03.01, 06.03.02, 06.05.01, 18.01.01, 18.01.34, 18.01.35, 18.02.01, 18.02.04, 18.02.05, 18.02.07, 18.02.09, 18.02.10, 18.02.11, 18.02.12, 18.02.14, 18.02.15, 18.03.01, 18.03.02, 18.05.01, 18.05.02, 19.02.13, 19.03.01, 19.03.02, 19.03.03, 19.03.04, 30.05.01, 30.05.02, 30.05.03, 31.05.01, 31.05.02, 31.05.03, 32.02.01, 32.05.01, 33.02.01, 33.05.01, 34.03.01</t>
  </si>
  <si>
    <t>635946.09.01</t>
  </si>
  <si>
    <t>Неорганическая химия: Уч. / Т.В.Мартынова - 2 изд. - М.:НИЦ ИНФРА-М,2026. - 348 с.(ВО: Бакалавр.)(П)</t>
  </si>
  <si>
    <t>НЕОРГАНИЧЕСКАЯ ХИМИЯ, ИЗД.2</t>
  </si>
  <si>
    <t>Мартынова Т.В., Супотницкая Н.С., Агеева Ю.С.</t>
  </si>
  <si>
    <t>978-5-16-017553-9</t>
  </si>
  <si>
    <t>04.03.01, 04.03.02, 18.03.02, 19.03.01, 19.03.04, 20.03.01, 29.03.04, 31.05.01, 31.05.02, 31.05.03, 33.05.01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</si>
  <si>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техническим направлениям подготовки (квалификация (степень) «бакалавр») (протокол № 9 от 17.11.2022)</t>
  </si>
  <si>
    <t>635946.06.01</t>
  </si>
  <si>
    <t>Неорганическая химия: Уч. / Т.В.Мартынова - М.:НИЦ ИНФРА-М,2022 - 336 с.(ВО: Бакалавриат)(П)</t>
  </si>
  <si>
    <t>НЕОРГАНИЧЕСКАЯ ХИМИЯ, ИЗД.1</t>
  </si>
  <si>
    <t>Мартынова Т.В., Супоницкая И.И., Агеева Ю.С.</t>
  </si>
  <si>
    <t>978-5-16-012323-3</t>
  </si>
  <si>
    <t>Рекомендовано в качестве учебника для студентов высших учебных заведений, обучающихся по техническим специальностям и направлениям подготовки (квалификация (степень) «бакалавр»)</t>
  </si>
  <si>
    <t>117300.13.01</t>
  </si>
  <si>
    <t>Неорганическая химия: Уч. пос. / И.В. Богомолова. - М.: Альфа-М:  ИНФРА-М, 2025. - 336 с. (п)</t>
  </si>
  <si>
    <t>Богомолова И. В.</t>
  </si>
  <si>
    <t>978-5-98281-187-5</t>
  </si>
  <si>
    <t>18.01.01, 18.01.34, 18.01.35, 18.02.11, 19.02.13, 31.02.01</t>
  </si>
  <si>
    <t>708997.08.01</t>
  </si>
  <si>
    <t>Неотложная помощь детям на догоспит.этапе: Уч.пос. / Л.А.Строзенко - 2 изд. - М.:НИЦ ИНФРА-М,2026 - 172 с.(П)</t>
  </si>
  <si>
    <t>НЕОТЛОЖНАЯ ПОМОЩЬ ДЕТЯМ НА ДОГОСПИТАЛЬНОМ ЭТАПЕ, ИЗД.2</t>
  </si>
  <si>
    <t>Строзенко Л.А., Лобанов Ю.Ф., Иванов И.В. и др.</t>
  </si>
  <si>
    <t>Высшее образование: Специалитет (АГМУ)</t>
  </si>
  <si>
    <t>978-5-16-015511-1</t>
  </si>
  <si>
    <t>31.05.02</t>
  </si>
  <si>
    <t>Рекомендовано Межрегиональным учебно-методическим советом профессионального образования для использования в учебном процессе студентами высших учебных заведений, обучающихся по направлению подготовки 31.05.02 «Педиатрия» (квалификация «Врач-педиатр общей практики») (протокол № 12 от 24.06.2019)</t>
  </si>
  <si>
    <t>694869.07.01</t>
  </si>
  <si>
    <t>Неотложная помощь на догоспитальном этапе: Уч.пос. / Под ред. Лычева В.Г. - М.:НИЦ ИНФРА-М,2025. - 160 с.(ВО)(п)</t>
  </si>
  <si>
    <t>НЕОТЛОЖНАЯ ПОМОЩЬ НА ДОГОСПИТАЛЬНОМ ЭТАПЕ, ИЗД.1</t>
  </si>
  <si>
    <t>Лычев В.Г., Бабушкин И.Е., Андриенко А.В. и др.</t>
  </si>
  <si>
    <t>978-5-16-020849-7</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</si>
  <si>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31.05.01 «Лечебное дело» (квалификация «врач общей практики»)</t>
  </si>
  <si>
    <t>288400.08.01</t>
  </si>
  <si>
    <t>Неотложная помощь при заболев. внутрен.орг.: Уч.пос. / Под ред. Ахмедова В.А. - М.:НИЦ ИНФРА-М,2026-137с(О)</t>
  </si>
  <si>
    <t>НЕОТЛОЖНАЯ ПОМОЩЬ ПРИ ЗАБОЛЕВАНИЯХ ВНУТРЕННИХ ОРГАНОВ, ИЗД.1</t>
  </si>
  <si>
    <t>Ахмедов В.А., Совалкин В.И., Викторова И.А. и др.</t>
  </si>
  <si>
    <t>978-5-16-021856-4</t>
  </si>
  <si>
    <t>Рекомендовано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специальности 31.05.01 «Лечебное дело»</t>
  </si>
  <si>
    <t>Омский государственный медицинский университет</t>
  </si>
  <si>
    <t>787966.04.01</t>
  </si>
  <si>
    <t>Неотложная помощь при кровотечениях в акушерстве: Моногр. / М.И.Неймарк-М.:НИЦ ИНФРА-М,2023.-207 с.(п)</t>
  </si>
  <si>
    <t>НЕОТЛОЖНАЯ ПОМОЩЬ ПРИ КРОВОТЕЧЕНИЯХ В АКУШЕРСТВЕ, ИЗД.1</t>
  </si>
  <si>
    <t>Неймарк М.И., Николаева М.Г.</t>
  </si>
  <si>
    <t>Научная мысль - АГМУ</t>
  </si>
  <si>
    <t>978-5-16-017973-5</t>
  </si>
  <si>
    <t>30.05.03, 31.05.01, 31.05.02, 31.06.01, 31.07.01, 31.08.01, 32.05.01</t>
  </si>
  <si>
    <t>288500.08.01</t>
  </si>
  <si>
    <t>Непараметрические критерии согласия: Рук. по прим. / Б.Ю.Лемешко, - 2 изд. - М.:НИЦ ИНФРА-М,2027. - 201 с.(о)</t>
  </si>
  <si>
    <t>НЕПАРАМЕТРИЧЕСКИЕ КРИТЕРИИ СОГЛАСИЯ, ИЗД.2</t>
  </si>
  <si>
    <t>978-5-16-018942-0</t>
  </si>
  <si>
    <t>05.03.01, 05.03.02, 05.03.03, 05.03.04, 05.03.05, 05.03.06, 05.04.01, 05.04.02, 05.04.03, 05.04.04, 05.04.05, 05.04.06, 06.03.01, 06.04.01, 09.02.03, 30.05.01, 30.05.02, 31.02.03, 31.05.01, 31.05.02, 31.05.03, 37.03.01, 37.03.02, 37.04.01, 37.04.02, 38.02.01, 38.02.03, 38.02.07, 38.02.08, 38.03.01, 38.03.02, 38.03.03, 38.03.04, 38.03.05, 38.03.06, 38.03.07, 38.04.01, 38.04.02, 38.04.03, 38.04.04, 38.04.05, 38.04.06, 38.04.07, 38.04.08, 38.04.09, 38.05.01, 38.05.02, 39.02.01, 39.03.01, 39.04.01, 40.02.04</t>
  </si>
  <si>
    <t>288500.05.01</t>
  </si>
  <si>
    <t>Непараметрические критерии согласия: Рук. по применению / Б.Ю.Лемешко - М.:НИЦ ИНФРА-М,2019-163с(О)</t>
  </si>
  <si>
    <t>НЕПАРАМЕТРИЧЕСКИЕ КРИТЕРИИ СОГЛАСИЯ, ИЗД.1</t>
  </si>
  <si>
    <t>Лемешко Б. Ю.</t>
  </si>
  <si>
    <t>978-5-16-010003-6</t>
  </si>
  <si>
    <t>745372.07.01</t>
  </si>
  <si>
    <t>Непотопляемость корабля: Уч.пос. / Е.В.Никитин - М.:НИЦ ИНФРА-М,2026 - 74 с.(О)</t>
  </si>
  <si>
    <t>НЕПОТОПЛЯЕМОСТЬ КОРАБЛЯ, ИЗД.1</t>
  </si>
  <si>
    <t>Никитин Е.В., Сошкин П.А.</t>
  </si>
  <si>
    <t>978-5-16-016739-8</t>
  </si>
  <si>
    <t>26.02.03, 26.02.05, 26.02.06, 26.03.02, 26.04.02, 26.05.01, 26.05.03, 26.05.05</t>
  </si>
  <si>
    <t>Рекомендовано экспертным советом ЧВВМУ имени П.С. Нахимова в качестве учебного пособия по дисциплинам «Теория корабля», «Теория, устройство и живучесть корабля», «Теория и устройство судна» для курсантов и студентов ЧВВМУ имени П.С. Нахимова</t>
  </si>
  <si>
    <t>647981.12.01</t>
  </si>
  <si>
    <t>Неразрушающий контроль авиац. техники: Уч.пос. / Е.В.Мартыненко - 2 изд. - М.:НИЦ ИНФРА-М,2027. - 148 с.(СПО)(п)</t>
  </si>
  <si>
    <t>НЕРАЗРУШАЮЩИЙ КОНТРОЛЬ АВИАЦИОННОЙ ТЕХНИКИ, ИЗД.2</t>
  </si>
  <si>
    <t>Мартыненко Е.В.</t>
  </si>
  <si>
    <t>978-5-16-012759-0</t>
  </si>
  <si>
    <t>12.02.01, 21.01.17, 25.02.01, 25.02.02, 25.02.03, 25.02.04, 25.02.05, 25.02.06, 25.02.07, 25.02.08</t>
  </si>
  <si>
    <t>Рекомендовано в качестве учебного пособия для учебных заведений, реализующих программу среднего профессионального образования по специальности 25.02.01 «Техническая эксплуатация летательных аппаратов и двигателей»</t>
  </si>
  <si>
    <t>Московский государственный технический университет гражданской авиации, Иркутский ф-л</t>
  </si>
  <si>
    <t>337800.08.01</t>
  </si>
  <si>
    <t>Нераскрытая преступность: Моногр. / М.П. Клейменов - М.:Норма:НИЦ ИНФРА-М, 2025 - 208 с. (о)</t>
  </si>
  <si>
    <t>НЕРАСКРЫТАЯ ПРЕСТУПНОСТЬ, ИЗД.1</t>
  </si>
  <si>
    <t>Клейменов М.П., Клейменов И.М.</t>
  </si>
  <si>
    <t>978-5-91768-592-2</t>
  </si>
  <si>
    <t>433450.13.01</t>
  </si>
  <si>
    <t>Нестероидные противовоспалительные препар.: Практ. реком./Л.И. Дятчина - НИЦ ИНФРА-М, 2022-77с.+вкл. (О к/ф)</t>
  </si>
  <si>
    <t>НЕСТЕРОИДНЫЕ ПРОТИВОВОСПАЛИТЕЛЬНЫЕ ПРЕПАРАТЫ, ИЗД.1</t>
  </si>
  <si>
    <t>Дятчина Л. И., Ханов А. Г.</t>
  </si>
  <si>
    <t>978-5-16-006680-6</t>
  </si>
  <si>
    <t>31.05.01, 33.05.01</t>
  </si>
  <si>
    <t>Ростовский государственный медицинский университет</t>
  </si>
  <si>
    <t>434900.09.01</t>
  </si>
  <si>
    <t>Нетрадиционные источники энергии: биоэнергетика: Уч.пос. / С.Н.Кузьмин -М.:НИЦ ИНФРА-М,2024-129 с.(ВО)(О)</t>
  </si>
  <si>
    <t>НЕТРАДИЦИОННЫЕ ИСТОЧНИКИ ЭНЕРГИИ: БИОЭНЕРГЕТИКА, ИЗД.1</t>
  </si>
  <si>
    <t>Кузьмин С.Н., Ляшков В.И., Кузьмина Ю.С.</t>
  </si>
  <si>
    <t>978-5-16-018790-7</t>
  </si>
  <si>
    <t>13.03.01, 13.03.02, 13.03.03, 13.05.01, 13.05.02</t>
  </si>
  <si>
    <t>Допущено УМО по образованию в области электро- и теплоэнергетики в качестве учебного пособия для студентов высших учебных заведений, обучающихся по направлению подготовки 13.03.01 «Теплоэнергетика и теплотехника»</t>
  </si>
  <si>
    <t>859812.01.01</t>
  </si>
  <si>
    <t>Нефинансовая отчетность и ответственное инвестирование: уч.пос. / А.А.Дурасова-М.:НИЦ ИНФРА-М,2026.-200 с..-(ВО)(п)</t>
  </si>
  <si>
    <t>НЕФИНАНСОВАЯ ОТЧЕТНОСТЬ И ОТВЕТСТВЕННОЕ ИНВЕСТИРОВАНИЕ, ИЗД.1</t>
  </si>
  <si>
    <t>Дурасова А.А.</t>
  </si>
  <si>
    <t>978-5-16-021139-8</t>
  </si>
  <si>
    <t>38.03.01, 38.03.02, 38.03.06, 38.04.06, 38.04.07, 38.05.01</t>
  </si>
  <si>
    <t>733399.04.01</t>
  </si>
  <si>
    <t>Нефинансовые факторы формир. финанс. политики... / И.Е.Хвостова - М.:НИЦ ИНФРА-М,2027 - 190 с.(О)</t>
  </si>
  <si>
    <t>НЕФИНАНСОВЫЕ ФАКТОРЫ ФОРМИРОВАНИЯ ФИНАНСОВОЙ ПОЛИТИКИ КОМПАНИИ: СОСТАВ, СТРУКТУРА, ВЗАИМОСВЯЗИ, ИЗД.1</t>
  </si>
  <si>
    <t>Хвостова И.Е., Макаров А.С., Новак А.Е. и др.</t>
  </si>
  <si>
    <t>978-5-16-016068-9</t>
  </si>
  <si>
    <t>38.04.01, 38.04.02, 38.04.04, 38.04.06, 38.04.08, 38.06.01</t>
  </si>
  <si>
    <t>778744.01.01</t>
  </si>
  <si>
    <t>Нефтегазовая терминология: опыт лингвист. описания: Моногр. / М.Р.Милуд-М.:НИЦ ИНФРА-М,2023.-141 с.(О)</t>
  </si>
  <si>
    <t>НЕФТЕГАЗОВАЯ ТЕРМИНОЛОГИЯ: ОПЫТ ЛИНГВИСТИЧЕСКОГО ОПИСАНИЯ, ИЗД.1</t>
  </si>
  <si>
    <t>978-5-16-017882-0</t>
  </si>
  <si>
    <t>482900.04.01</t>
  </si>
  <si>
    <t>Нечетко-логические оптич. процессоры: Моногр. / С.В.Соколов - М.:ИЦ РИОР, НИЦ ИНФРА-М,2022 - 202 с.(О)</t>
  </si>
  <si>
    <t>НЕЧЕТКО-ЛОГИЧЕСКИЕ ОПТИЧЕСКИЕ ПРОЦЕССОРЫ, ИЗД.1</t>
  </si>
  <si>
    <t>Соколов С.В., Ковалев С.М., Крамаров С.О.</t>
  </si>
  <si>
    <t>978-5-369-01550-6</t>
  </si>
  <si>
    <t>03.03.02, 12.03.02, 12.03.03, 12.03.05, 24.04.02</t>
  </si>
  <si>
    <t>Южный университет (ИУБиП)</t>
  </si>
  <si>
    <t>808601.01.01</t>
  </si>
  <si>
    <t>Нильда Фернандес. Чуть выше правил: художественная литература / О.Г.Герасимова-Фернандес-М.:НИЦ ИНФРА-М,2023.-104 с. [14+ ](п)</t>
  </si>
  <si>
    <t>НИЛЬДА ФЕРНАНДЕС. ЧУТЬ ВЫШЕ ПРАВИЛ, ИЗД.1</t>
  </si>
  <si>
    <t>Герасимова-Фернандес О.Г.</t>
  </si>
  <si>
    <t>978-5-16-018803-4</t>
  </si>
  <si>
    <t>431950.0014.01</t>
  </si>
  <si>
    <t>НИР. Российский журнал управления проектами, 2017, вып. № 2 (19)</t>
  </si>
  <si>
    <t>НИР. РОССИЙСКИЙ ЖУРНАЛ УПРАВЛЕНИЯ ПРОЕКТАМИ, 2017, № 2 (19), ИЗД.</t>
  </si>
  <si>
    <t>38.00.00, 38.03.02</t>
  </si>
  <si>
    <t>434093.0019.01</t>
  </si>
  <si>
    <t>НИР. Современная коммуникативистика, 2017, вып. № 3 (28)</t>
  </si>
  <si>
    <t>НИР. СОВРЕМЕННАЯ КОММУНИКАТИВИСТИКА, 2017, № 3 (28), ИЗД.</t>
  </si>
  <si>
    <t>428391.0016.01</t>
  </si>
  <si>
    <t>НИР. Экономика фирмы, 2017, вып. №3 (20)</t>
  </si>
  <si>
    <t>НИР. ЭКОНОМИКА ФИРМЫ, 2017, №3 (20), ИЗД.</t>
  </si>
  <si>
    <t>447316.0019.01</t>
  </si>
  <si>
    <t>НИР. Экономика, 2017, вып. № 3 (27)</t>
  </si>
  <si>
    <t>НИР. ЭКОНОМИКА, 2017, № 3 (27), ИЗД.</t>
  </si>
  <si>
    <t>713795.01.01</t>
  </si>
  <si>
    <t>Нищета экономики: Моногр. / С.В.Борзых - М.:НИЦ ИНФРА-М,2020 - 202 с.-(Науч.мысль)(О)</t>
  </si>
  <si>
    <t>НИЩЕТА ЭКОНОМИКИ, ИЗД.1</t>
  </si>
  <si>
    <t>978-5-16-015418-3</t>
  </si>
  <si>
    <t>38.04.01, 38.04.02, 38.04.04, 38.04.09, 38.06.01, 47.03.01, 47.04.01, 47.06.01</t>
  </si>
  <si>
    <t>640912.11.01</t>
  </si>
  <si>
    <t>Нобелевские лауреаты по эконом. в XXI в.: Т.1: 2000-2007 / Худокормов А.Г. - 2 изд. - М.:НИЦ ИНФРА-М,2026 - 355 с.(п)</t>
  </si>
  <si>
    <t>НОБЕЛЕВСКИЕ ЛАУРЕАТЫ ПО ЭКОНОМИКЕ В XXI ВЕКЕ: В 3-Х ТТ., Т.1</t>
  </si>
  <si>
    <t>Худокормов А.Г., Ольсевич Ю.Я., Нелюбина А.С. и др.</t>
  </si>
  <si>
    <t>978-5-16-018906-2</t>
  </si>
  <si>
    <t>750690.04.01</t>
  </si>
  <si>
    <t>Нобелевские лауреаты по эконом. в XXI в.: Т.2.../ Худокормов А.Г. - 2  изд. - М.:НИЦ ИНФРА-М,2026. - 334 с.(п)</t>
  </si>
  <si>
    <t>НОБЕЛЕВСКИЕ ЛАУРЕАТЫ ПО ЭКОНОМИКЕ В XXI ВЕКЕ: В 3-Х ТТ., Т.2</t>
  </si>
  <si>
    <t>Худокормов А.Г., Садыгова Н.К., Верешко А.Н. и др.</t>
  </si>
  <si>
    <t>978-5-16-017987-2</t>
  </si>
  <si>
    <t>810453.02.01</t>
  </si>
  <si>
    <t>Нобелевские лауреаты по эконом. в XXI в.: Т.3 / Под ред. Худокормова А.Г. - М.:НИЦ ИНФРА-М,2026. - 176 с.(п)</t>
  </si>
  <si>
    <t>НОБЕЛЕВСКИЕ ЛАУРЕАТЫ ПО ЭКОНОМИКЕ В XXI ВЕКЕ: В 3-Х ТТ., Т.3</t>
  </si>
  <si>
    <t>Худокормов А.Г., Даниленко Е.А., Канашкина А.В. и др.</t>
  </si>
  <si>
    <t>978-5-16-018907-9</t>
  </si>
  <si>
    <t>38.03.01, 38.04.01, 38.04.02, 38.04.04, 38.04.08, 38.05.01, 38.05.02</t>
  </si>
  <si>
    <t>640912.07.01</t>
  </si>
  <si>
    <t>Нобелевские лауреаты по экономике в XXI в.: Т.1 / А.Г.Худокормов -М.:НИЦ ИНФРА-М,2023-363с.(Науч.мысль)(П)</t>
  </si>
  <si>
    <t>НОБЕЛЕВСКИЕ ЛАУРЕАТЫ ПО ЭКОНОМИКЕ В XXI ВЕКЕ. ТОМ 1, Т.1</t>
  </si>
  <si>
    <t>978-5-16-016488-5</t>
  </si>
  <si>
    <t>750690.02.01</t>
  </si>
  <si>
    <t>Нобелевские лауреаты по экономике в XXI в.: Т.2 / А.Г.Худокормов - М.:НИЦ ИНФРА-М,2022 - 409 с.(Науч.мысль)(П)</t>
  </si>
  <si>
    <t>НОБЕЛЕВСКИЕ ЛАУРЕАТЫ ПО ЭКОНОМИКЕ В XXI ВЕКЕ. ТОМ 2, Т.2</t>
  </si>
  <si>
    <t>Худокормов А.Г., Исламова Я.А., Маслов Г.А. и др.</t>
  </si>
  <si>
    <t>978-5-16-016718-3</t>
  </si>
  <si>
    <t>800233.01.01</t>
  </si>
  <si>
    <t>Новации в аудите: Монография / Ю.Ю.Кочинев - М.:НИЦ ИНФРА-М,2024. - 188 с.(Науч.мысль)(о)</t>
  </si>
  <si>
    <t>НОВАЦИИ В АУДИТЕ, ИЗД.1</t>
  </si>
  <si>
    <t>978-5-16-018535-4</t>
  </si>
  <si>
    <t>38.03.01, 38.04.01, 38.04.08, 38.04.09, 38.05.01, 38.05.02</t>
  </si>
  <si>
    <t>854449.01.01</t>
  </si>
  <si>
    <t>Новации финансовых институтов: Моногр. / Под ред. Карминского А.М. - М.:НИЦ ИНФРА-М,2026. - 280 с.(п)</t>
  </si>
  <si>
    <t>НОВАЦИИ ФИНАНСОВЫХ ИНСТИТУТОВ, ИЗД.1</t>
  </si>
  <si>
    <t>Карминский А.М., Дранев Ю.Я., Войтов Н.В. и др.</t>
  </si>
  <si>
    <t>978-5-16-022083-3</t>
  </si>
  <si>
    <t>807044.05.01</t>
  </si>
  <si>
    <t>Новая модель современного бизнеса: Моногр. / Е.Ф.Авдокушин. - М.:Магистр, НИЦ ИНФРА-М,2026. - 280 с.(п)</t>
  </si>
  <si>
    <t>НОВАЯ МОДЕЛЬ СОВРЕМЕННОГО БИЗНЕСА: ЭКОНОМИКА СОВМЕСТНОГО ПОТРЕБЛЕНИЯ И ИСПОЛЬЗОВАНИЯ, ИЗД.1</t>
  </si>
  <si>
    <t>Авдокушин Е.Ф., Платонов Е.Д., Кузнецова Е.Г.</t>
  </si>
  <si>
    <t>978-5-16-021955-4</t>
  </si>
  <si>
    <t>851426.01.01</t>
  </si>
  <si>
    <t>Новая реальность международного права: Моногр. / А.Я.Капустин. - М.:Юр. НОРМА, НИЦ ИНФРА-М,2026. - 268 с.(п)</t>
  </si>
  <si>
    <t>НОВАЯ РЕАЛЬНОСТЬ МЕЖДУНАРОДНОГО ПРАВА, ИЗД.1</t>
  </si>
  <si>
    <t>978-5-00156-422-5</t>
  </si>
  <si>
    <t>38.05.02, 40.03.01, 40.04.01, 40.05.01, 40.05.02, 40.05.03, 40.05.04, 40.06.01, 41.04.05, 42.03.02</t>
  </si>
  <si>
    <t>790064.04.01</t>
  </si>
  <si>
    <t>Новая теория денег: законы, принципы, практика: Моногр. / Е.А.Скобликов - М.:НИЦ ИНФРА-М,2026. - 436 с.(п)</t>
  </si>
  <si>
    <t>НОВАЯ ТЕОРИЯ ДЕНЕГ: ЗАКОНЫ, ПРИНЦИПЫ, ПРАКТИКА, ИЗД.1</t>
  </si>
  <si>
    <t>Скобликов Е.А.</t>
  </si>
  <si>
    <t>978-5-16-018044-1</t>
  </si>
  <si>
    <t>268500.05.01</t>
  </si>
  <si>
    <t>Новая экономика: теория и практ. / Е.Ф.Авдокушин - М.:Магистр, НИЦ ИНФРА-М,2023-368 с(Экономика 2.0)(П)</t>
  </si>
  <si>
    <t>НОВАЯ ЭКОНОМИКА: ТЕОРИЯ И ПРАКТИКА, ИЗД.1</t>
  </si>
  <si>
    <t>Авдокушин Е.Ф., Авдокушин Е.Ф., Сизов В.С.</t>
  </si>
  <si>
    <t>Экономика 2.0</t>
  </si>
  <si>
    <t>978-5-9776-0306-5</t>
  </si>
  <si>
    <t>38.04.01, 40.03.01, 44.03.05</t>
  </si>
  <si>
    <t>058000.21.01</t>
  </si>
  <si>
    <t>Новая экономическая энц. / Е.Е. Румянцева. - 4 изд. - М.: ИНФРА-М, 2026. - 882 с.(п, dvd)</t>
  </si>
  <si>
    <t>НОВАЯ ЭКОНОМИЧЕСКАЯ ЭНЦИКЛОПЕДИЯ, ИЗД.4</t>
  </si>
  <si>
    <t>Румянцева Е.Е.</t>
  </si>
  <si>
    <t>978-5-16-004189-6</t>
  </si>
  <si>
    <t>400700.07.01</t>
  </si>
  <si>
    <t>Новейшая ист. Великобритании: XX - нач. XXI в.: Уч.пос./ Г.С.Остапенко-М.:Вуз. уч., НИЦ ИНФРА-М,2023-472 с.(П)</t>
  </si>
  <si>
    <t>НОВЕЙШАЯ ИСТОРИЯ ВЕЛИКОБРИТАНИИ: XX - НАЧАЛО XXI ВЕКА, ИЗД.1</t>
  </si>
  <si>
    <t>Остапенко Г. С., Прокопов А. Ю.</t>
  </si>
  <si>
    <t>978-5-9558-0244-2</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</si>
  <si>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«История»</t>
  </si>
  <si>
    <t>680927.04.01</t>
  </si>
  <si>
    <t>Новейшая полит. история: «Кавказский геополит.узел»:Уч.пос./Карабущенко П.Л-М.:НИЦ ИНФРА-М,2023-489с</t>
  </si>
  <si>
    <t>НОВЕЙШАЯ ПОЛИТИЧЕСКАЯ ИСТОРИЯ: «КАВКАЗСКИЙ ГЕОПОЛИТИЧЕСКИЙ УЗЕЛ» (1991-2011 ГОДЫ), ИЗД.1</t>
  </si>
  <si>
    <t>Вартумян А.А., Карабущенко П.Л., Косов Г.В. и др.</t>
  </si>
  <si>
    <t>978-5-16-014166-4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</si>
  <si>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46.03.01 «История», 41.03.04 «Политология», 41.03.05 «Международные отношения» (квалификация (степень) «бакалавр»)</t>
  </si>
  <si>
    <t>680928.04.01</t>
  </si>
  <si>
    <t>Новейшая политическая история...: Уч.пос. / Под ред. Карабущенко П.Л. - М.:НИЦ ИНФРА-М,2024 - 358с(П)</t>
  </si>
  <si>
    <t>НОВЕЙШАЯ ПОЛИТИЧЕСКАЯ ИСТОРИЯ: ПРИКАСПИЙСКАЯ «ГЕОПОЛИТИЧЕСКАЯ ОСЬ» (1991-2011 ГОДЫ), ИЗД.1</t>
  </si>
  <si>
    <t>Вартумян А.А., Джанталеева М.Ш., Дмитриев А.В. и др.</t>
  </si>
  <si>
    <t>978-5-16-014263-0</t>
  </si>
  <si>
    <t>41.03.02, 41.03.04, 41.03.05, 41.03.06, 46.03.01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</si>
  <si>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41.03.04 «Политология», 41.03.05 «Международные отношения», 46.03.01 «История» (квалификация (степень) «бакалавр»)</t>
  </si>
  <si>
    <t>680428.01.01</t>
  </si>
  <si>
    <t>Новейшая политическая история: Великая азиатская...: Уч.пос. / А.В.Баранов-М.:НИЦ ИНФРА-М,2024.-502 с.(ВО)(п)</t>
  </si>
  <si>
    <t>НОВЕЙШАЯ ПОЛИТИЧЕСКАЯ ИСТОРИЯ: ВЕЛИКАЯ АЗИАТСКАЯ «ДУГА НАПРЯЖЕННОСТИ» (1991-2011), ИЗД.1</t>
  </si>
  <si>
    <t>Баранов А.В., Будовская О.В., Вартумян А.А. и др.</t>
  </si>
  <si>
    <t>978-5-16-014674-4</t>
  </si>
  <si>
    <t>824426.03.01</t>
  </si>
  <si>
    <t>Новейшая российская журналистика: Уч.пос. / А.А.Малькевич - М.:НИЦ ИНФРА-М,2026. - 316 с.(ВО)(п)</t>
  </si>
  <si>
    <t>НОВЕЙШАЯ РОССИЙСКАЯ ЖУРНАЛИСТИКА, ИЗД.1</t>
  </si>
  <si>
    <t>Малькевич А.А.</t>
  </si>
  <si>
    <t>978-5-16-019860-6</t>
  </si>
  <si>
    <t>41.04.05, 42.03.02, 42.04.02, 53.04.06, 56.05.05</t>
  </si>
  <si>
    <t>Азовский государственный педагогический университет</t>
  </si>
  <si>
    <t>749703.05.01</t>
  </si>
  <si>
    <t>Новые институты бюджет. права в условиях цифр. рев.: Моногр. / Н.А.Поветкина - М.:Юр.Норма, НИЦ ИНФРА-М,2025 - 192 с.(П)</t>
  </si>
  <si>
    <t>НОВЫЕ ИНСТИТУТЫ БЮДЖЕТНОГО ПРАВА В УСЛОВИЯХ ЦИФРОВОЙ РЕВОЛЮЦИИ, ИЗД.1</t>
  </si>
  <si>
    <t>Поветкина Н.А., Артюхин Р.Е.</t>
  </si>
  <si>
    <t>978-5-00156-144-6</t>
  </si>
  <si>
    <t>38.03.01, 38.03.04, 38.04.01, 38.04.04, 38.04.08, 38.04.09, 38.06.01, 40.03.01</t>
  </si>
  <si>
    <t>155750.07.01</t>
  </si>
  <si>
    <t>Новые подходы и методы обеспечения уст. развития.../В.И.Подлесных-НИЦ ИНФРА-М,2024-304с(Науч.мысль)</t>
  </si>
  <si>
    <t>НОВЫЕ ПОДХОДЫ И МЕТОДЫ ОБЕСПЕЧЕНИЯ УСТОЙЧИВОГО РАЗВИТИЯ ПРЕДПРИНИМАТЕЛЬСКИХ СТРУКТУР: ТЕОРИЯ ОРГАНИЗАЦИИ, САМООРГАНИЗАЦИИ И УПРАВЛЕНИЯ, ИЗД.1</t>
  </si>
  <si>
    <t>Подлесных В.И., Кузнецов Н.В., Тихомирова О.Г.</t>
  </si>
  <si>
    <t>978-5-16-009994-1</t>
  </si>
  <si>
    <t>38.03.02, 38.03.04, 38.04.02, 38.04.04, 38.04.08, 41.03.06</t>
  </si>
  <si>
    <t>799999.01.01</t>
  </si>
  <si>
    <t>Новые подходы к кадровому обеспечению в усл. импортозам...: Моногр./ О.Е.Ломакин -М.:НИЦ ИНФРА-М,2024-181 с.(п)</t>
  </si>
  <si>
    <t>НОВЫЕ ПОДХОДЫ К КАДРОВОМУ ОБЕСПЕЧЕНИЮ В УСЛОВИЯХ ИМПОРТОЗАМЕЩЕНИЯ И ЦИФРОВОЙ ТРАНСФОРМАЦИИ, ИЗД.1</t>
  </si>
  <si>
    <t>Ломакин О.Е., Можаев Е.Е., Марков А.К.</t>
  </si>
  <si>
    <t>978-5-16-019964-1</t>
  </si>
  <si>
    <t>Институт повышения квалификации руководящих работников и специалистов</t>
  </si>
  <si>
    <t>765618.01.01</t>
  </si>
  <si>
    <t>Новые подходы к моделир. экономич. развития: Моногр. / Е.В.Балацкий-М.:НИЦ ИНФРА-М,2022.-446 с.(О)</t>
  </si>
  <si>
    <t>НОВЫЕ ПОДХОДЫ К МОДЕЛИРОВАНИЮ ЭКОНОМИЧЕСКОГО РАЗВИТИЯ, ИЗД.1</t>
  </si>
  <si>
    <t>Балацкий Е.В., Екимова Н.А.</t>
  </si>
  <si>
    <t>978-5-16-017584-3</t>
  </si>
  <si>
    <t>852067.01.01</t>
  </si>
  <si>
    <t>Новые подходы к реш. экобиотех. задач с использованием... / Б.С.Ксенофонтов - М.:НИЦ ИНФРА-М,2025. - 217 с.(п)</t>
  </si>
  <si>
    <t>НОВЫЕ ПОДХОДЫ К РЕШЕНИЮ ЭКОБИОТЕХНОЛОГИЧЕСКИХ ЗАДАЧ С ИСПОЛЬЗОВАНИЕМ КОМБИНИРОВАННОЙ ТЕХНИКИ, ИЗД.1</t>
  </si>
  <si>
    <t>978-5-16-020802-2</t>
  </si>
  <si>
    <t>20.04.02, 20.06.01</t>
  </si>
  <si>
    <t>375800.04.01</t>
  </si>
  <si>
    <t>Новые реалии развития редакций...: Моногр./ Е.А.Баранова-М.:Вуз. уч., НИЦ ИНФРА-М,2022-187 с.(Науч. книга)(П)</t>
  </si>
  <si>
    <t>НОВЫЕ РЕАЛИИ РАЗВИТИЯ РЕДАКЦИЙ, ИЛИ ЧТО ТАКОЕ ГАЗЕТНАЯ КОНВЕРГЕНЦИЯ, ИЗД.1</t>
  </si>
  <si>
    <t>Баранова Е.А.</t>
  </si>
  <si>
    <t>978-5-9558-0449-1</t>
  </si>
  <si>
    <t>42.04.02, 45.04.01</t>
  </si>
  <si>
    <t>871079.01.01</t>
  </si>
  <si>
    <t>Новые субъекты в информационном праве: Моногр. / Л.К.Терещенко. - М.:НИЦ ИНФРА-М,2027. - 168 с.(ИЗиСП)(п)</t>
  </si>
  <si>
    <t>НОВЫЕ СУБЪЕКТЫ В ИНФОРМАЦИОННОМ ПРАВЕ, ИЗД.1</t>
  </si>
  <si>
    <t>Терещенко Л.К., Емельянов А.С., Ефремов А.А. и др.</t>
  </si>
  <si>
    <t>978-5-16-021706-2</t>
  </si>
  <si>
    <t>10.05.03, 10.05.04, 10.05.05, 10.06.01, 38.03.01, 38.03.05, 38.04.05, 38.05.02, 40.05.02, 40.05.04, 40.06.01, 46.03.02</t>
  </si>
  <si>
    <t>500150.09.01</t>
  </si>
  <si>
    <t>Новые технологии в производ. спец. и спортив..: Уч.пос. / Н.М.Конопальцева - М.:НИЦ ИНФРА-М,2026 - 239 с.(ВО)(о)</t>
  </si>
  <si>
    <t>НОВЫЕ ТЕХНОЛОГИИ В ПРОИЗВОДСТВЕ СПЕЦИАЛЬНОЙ И СПОРТИВНОЙ ОДЕЖДЫ, ИЗД.1</t>
  </si>
  <si>
    <t>Конопальцева Н.М., Крюкова Н.А., Морозова Л.В.</t>
  </si>
  <si>
    <t>978-5-16-021156-5</t>
  </si>
  <si>
    <t>29.03.02, 29.03.05, 29.04.02, 29.04.04, 29.04.05</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</si>
  <si>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студентов высших учебных заведений, обучающихся по направлению подготовки 29.03.01 «Технология изделий легкой промышленности» (профиль «Технология швейных изделий»), направлению подготовки 43.03.01 «Сервис» (профиль «Сервис в индустрии моды и красоты») и направлению подготовки 29.03.02 «Технология и проектирование текстильных изделий» (профиль «Технология текстильных изделий») при изучении дисциплин «Технология швейных изделий», «Технология швейных изделий из различных материалов», «Технологическая подготовка производства», «Технологические процессы в сервисе»</t>
  </si>
  <si>
    <t>801044.04.01</t>
  </si>
  <si>
    <t>Новые тренды цифровизации: Россия и мир: Моногр. / А.Ю.Вереникина. - М.:НИЦ ИНФРА-М,2026. - 209 с.(п)</t>
  </si>
  <si>
    <t>НОВЫЕ ТРЕНДЫ ЦИФРОВИЗАЦИИ: РОССИЯ И МИР, ИЗД.1</t>
  </si>
  <si>
    <t>Вереникина А.Ю., Дигилина О.Б., Меланьина М.В. и др.</t>
  </si>
  <si>
    <t>978-5-16-018471-5</t>
  </si>
  <si>
    <t>27.04.05, 38.03.01, 38.03.02, 38.04.01, 38.04.02, 38.06.01</t>
  </si>
  <si>
    <t>825893.01.01</t>
  </si>
  <si>
    <t>Новые формы занятости: тенденции развития и..: Моногр. / О.В.Забелина - М.:НИЦ ИНФРА-М,2024. - 287 с.(п)</t>
  </si>
  <si>
    <t>НОВЫЕ ФОРМЫ ЗАНЯТОСТИ: ТЕНДЕНЦИИ РАЗВИТИЯ И ПЕРСПЕКТИВЫ СОКРАЩЕНИЯ ДЕФИЦИТА СОЦИАЛЬНЫХ ГАРАНТИЙ РАБОТНИКОВ, ИЗД.1</t>
  </si>
  <si>
    <t>Забелина О.В., Мирзабалаева Ф.И., Сергеева М.В. и др.</t>
  </si>
  <si>
    <t>978-5-16-019873-6</t>
  </si>
  <si>
    <t>774996.01.01</t>
  </si>
  <si>
    <t>Новые формы капитализации экономич. пространства...: Моногр. / Н.К.Попадюк-М.:НИЦ ИНФРА-М,2022.-131 с.(О)</t>
  </si>
  <si>
    <t>НОВЫЕ ФОРМЫ КАПИТАЛИЗАЦИИ ЭКОНОМИЧЕСКОГО ПРОСТРАНСТВА РЕГИОНА В ПОСТКРИЗИСНЫЙ ПЕРИОД, ИЗД.1</t>
  </si>
  <si>
    <t>Попадюк Н.К.</t>
  </si>
  <si>
    <t>978-5-16-017609-3</t>
  </si>
  <si>
    <t>38.04.01, 38.04.04, 38.05.01, 38.06.01</t>
  </si>
  <si>
    <t>263400.09.01</t>
  </si>
  <si>
    <t>Ноксология: Практикум: Уч. пос. / С.С.Тимофеева - М.:Форум,НИЦ ИНФРА-М,2025 - 159 с.(ВО)(о)</t>
  </si>
  <si>
    <t>НОКСОЛОГИЯ. ПРАКТИКУМ, ИЗД.1</t>
  </si>
  <si>
    <t>Тимофеева С.С.</t>
  </si>
  <si>
    <t>978-5-91134-849-6</t>
  </si>
  <si>
    <t>Рекомендовано редакционно-издательским советом Иркутского государственного технического университета в качестве практикума для студентов направления подготовки «Техносферная безопасность» квалификации «Бакалавр»</t>
  </si>
  <si>
    <t>798118.01.01</t>
  </si>
  <si>
    <t>Ноксология: Уч.пос. / Л.Н.Бердникова-М.:НИЦ ИНФРА-М,2023.-321 с.(ВО (КрГАУ))(п)</t>
  </si>
  <si>
    <t>НОКСОЛОГИЯ, ИЗД.1</t>
  </si>
  <si>
    <t>Бердникова Л.Н.</t>
  </si>
  <si>
    <t>978-5-16-018825-6</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</si>
  <si>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по направлению подготовки 20.03.01 «Техносферная безопасность»</t>
  </si>
  <si>
    <t>796845.01.01</t>
  </si>
  <si>
    <t>Нормальная физиология человека: Уч.пос. / Ю.А.Успенская-М.:НИЦ ИНФРА-М,2023.-414 с.(ВО (КрГАУ))(п)</t>
  </si>
  <si>
    <t>НОРМАЛЬНАЯ ФИЗИОЛОГИЯ ЧЕЛОВЕКА, ИЗД.1</t>
  </si>
  <si>
    <t>Успенская Ю.А.</t>
  </si>
  <si>
    <t>978-5-16-018416-6</t>
  </si>
  <si>
    <t>06.03.01, 20.03.01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</si>
  <si>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по направлениям подготовки 20.03.01 «Техносферная безопасность» и 06.03.01 «Биология»</t>
  </si>
  <si>
    <t>858527.01.01</t>
  </si>
  <si>
    <t>Нормальная физиология: Прак. / В.А.Семилетова - М.:НИЦ ИНФРА-М,2026. - 190 с.(ВО)(п)</t>
  </si>
  <si>
    <t>НОРМАЛЬНАЯ ФИЗИОЛОГИЯ, ИЗД.1</t>
  </si>
  <si>
    <t>Семилетова В.А.</t>
  </si>
  <si>
    <t>978-5-16-020985-2</t>
  </si>
  <si>
    <t>31.05.01, 31.05.02, 31.05.03, 32.05.01, 34.03.01</t>
  </si>
  <si>
    <t>Рекомендовано УМО РАЕ по классическому университетскому и техническому образованию в качестве учебного пособия (практикума) для студентов средних специальных учебных заведений, обучающихся по специальностям: 31.02.01 — «Лечебное дело», 34.02.01 — «Сестринское дело», 31.02.02 — «Акушерское дело», 31.02.03 — «Лабораторная диагностика», 33.02.01 — «Фармация», и студентов высших учебных заведений, обучающихся по направлениям подготовки: 49.03.01 — «Физическая культура», 49.03.04 — «Спорт», 06.03.01 — «Биология», 31.05.01 — «Лечебное дело», 31.05.02 — «Педиатрия», 32.05.01 — «Медико-профилактическое дело», 33.05.01 — «Фармация»</t>
  </si>
  <si>
    <t>841665.01.01</t>
  </si>
  <si>
    <t>Нормальная физиология: Практикум / В.А.Семилетова - М.:НИЦ ИНФРА-М,2025. - 190 с.(СПО)(п)</t>
  </si>
  <si>
    <t>978-5-16-020529-8</t>
  </si>
  <si>
    <t>31.02.01, 31.02.02, 31.02.03, 31.02.04, 31.02.05, 31.02.06, 34.02.01, 34.02.02</t>
  </si>
  <si>
    <t>808088.01.01</t>
  </si>
  <si>
    <t>Нормальная физиология: ситуац. задачи и..: Уч.пос. / В.Ф.Волков. - М.:НИЦ ИНФРА-М,2025. - 162 с.(ВО)(п)</t>
  </si>
  <si>
    <t>НОРМАЛЬНАЯ ФИЗИОЛОГИЯ: СИТУАЦИОННЫЕ ЗАДАЧИ И ЗАДАНИЯ, ИЗД.1</t>
  </si>
  <si>
    <t>Волков В.Ф., Булгакова Я.В., Семилетова В.А.</t>
  </si>
  <si>
    <t>978-5-16-020165-8</t>
  </si>
  <si>
    <t>764326.03.01</t>
  </si>
  <si>
    <t>Нормативное регулирование бух. учета: Уч.пос. / Р.Б.Шахбанов - М.:Магистр, НИЦ ИНФРА-М,2025 - 160 с.(П)</t>
  </si>
  <si>
    <t>НОРМАТИВНОЕ РЕГУЛИРОВАНИЕ БУХГАЛТЕРСКОГО УЧЕТА, ИЗД.1</t>
  </si>
  <si>
    <t>Шахбанов Р.Б.</t>
  </si>
  <si>
    <t>978-5-9776-0535-9</t>
  </si>
  <si>
    <t>246600.06.01</t>
  </si>
  <si>
    <t>Нормативность и авторитарность. Пересечения идей: Моногр. / И.А.Исаев - М.:Юр.Норма, НИЦ ИНФРА-М,2026. - 432 с.(о)</t>
  </si>
  <si>
    <t>НОРМАТИВНОСТЬ И АВТОРИТАРНОСТЬ. ПЕРЕСЕЧЕНИЯ ИДЕЙ, ИЗД.1</t>
  </si>
  <si>
    <t>978-5-91768-437-6</t>
  </si>
  <si>
    <t>808000.02.01</t>
  </si>
  <si>
    <t>Нормативные измер. христианских канонов...: Моногр. / А.А.Сычев - М.:НИЦ ИНФРА-М,2027. - 192 с.(Науч.мысль)(о)</t>
  </si>
  <si>
    <t>НОРМАТИВНЫЕ ИЗМЕРЕНИЯ ХРИСТИАНСКИХ КАНОНОВ: ТРАДИЦИИ И ДИНАМИКА, ИЗД.1</t>
  </si>
  <si>
    <t>Сычев А.А., Коваль Е.А., Жадунова Н.В.</t>
  </si>
  <si>
    <t>978-5-16-018876-8</t>
  </si>
  <si>
    <t>48.03.01, 48.04.01, 48.06.01</t>
  </si>
  <si>
    <t>656378.01.01</t>
  </si>
  <si>
    <t>Нормирование геометрических характ.изделий: Уч.пос. / И.Е.Парфеньева - М.:НИЦ ИНФРА-М,2018-270с(П)</t>
  </si>
  <si>
    <t>НОРМИРОВАНИЕ ГЕОМЕТРИЧЕСКИХ ХАРАКТЕРИСТИК ИЗДЕЛИЙ: СОВРЕМЕННЫЙ ПОДХОД, ИЗД.1</t>
  </si>
  <si>
    <t>Парфеньева И.Е., Зайцев С.А., Вячеславова О.Ф.</t>
  </si>
  <si>
    <t>978-5-16-013065-1</t>
  </si>
  <si>
    <t>15.03.01, 15.03.02, 15.03.03, 15.03.04, 15.03.05, 15.03.06, 22.03.01, 22.03.02, 23.03.01, 23.03.02, 23.03.03, 23.05.01, 23.05.02, 27.03.01, 27.03.02</t>
  </si>
  <si>
    <t>Рекомендовано в качестве учебного пособия для студентов высших учебных заведений, обучающихся по направлениям подготовки 27.03.01 «Стандартизация и метрология», 27.03.02 «Управление качеством» (квалификация (степень) «бакалавр»)</t>
  </si>
  <si>
    <t>474100.04.01</t>
  </si>
  <si>
    <t>Нормирование и экономия матер.затрат: Уч.пос. / К.А.Смирнов-М.:НИЦ ИНФРА-М,2024-153с(ВО:Магистр.)(О)</t>
  </si>
  <si>
    <t>НОРМИРОВАНИЕ И ЭКОНОМИЯ МАТЕРИАЛЬНЫХ ЗАТРАТ, ИЗД.1</t>
  </si>
  <si>
    <t>Смирнов К.А.</t>
  </si>
  <si>
    <t>978-5-16-011626-6</t>
  </si>
  <si>
    <t>Рекомендовано в ка 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t>
  </si>
  <si>
    <t>361900.12.01</t>
  </si>
  <si>
    <t>Нормирование труда: Уч. / В.Б.Бычин - М.:НИЦ ИНФРА-М,2027 - 348 с.(ВО)(п)</t>
  </si>
  <si>
    <t>НОРМИРОВАНИЕ ТРУДА, ИЗД.1</t>
  </si>
  <si>
    <t>Бычин В.Б., Малинин С.В., Новикова Е.В.</t>
  </si>
  <si>
    <t>978-5-16-019571-1</t>
  </si>
  <si>
    <t>Рекомендовано в качестве учебника для студентов высших учебных заведений, обучающихся по направлениям подготовки38.03.01 «Экономика», 38.03.02«Менеджмент», 38.03.03 «Управление персоналом» (квалификация (степень) «бакалавр»)</t>
  </si>
  <si>
    <t>661046.03.01</t>
  </si>
  <si>
    <t>Нормотворчество органов госу.и муниц. управ.: Уч.пос. / А.Н.Миронов-М.:НИЦ ИНФРА-М,2020.-201 с.(П)</t>
  </si>
  <si>
    <t>НОРМОТВОРЧЕСТВО ОРГАНОВ ГОСУДАРСТВЕННОГО И МУНИЦИПАЛЬНОГО УПРАВЛЕНИЯ, ИЗД.1</t>
  </si>
  <si>
    <t>Миронов А.Н., Ушаков С.Н.</t>
  </si>
  <si>
    <t>978-5-16-014055-1</t>
  </si>
  <si>
    <t>38.03.04, 38.04.04, 40.04.01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</si>
  <si>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40.04.01 «Юриспруденция», 38.04.04 «Государственное и муниципальное управление» (квалификация (степень) «магистр»)</t>
  </si>
  <si>
    <t>741212.03.01</t>
  </si>
  <si>
    <t>Нормы международного "мягкого права"  в правовой сис. РФ / Р.М Халафян -М.:Норма.2022.-256 с.215(П)</t>
  </si>
  <si>
    <t>НОРМЫ МЕЖДУНАРОДНОГО "МЯГКОГО ПРАВА"  В ПРАВОВОЙ СИСТЕМЕ РФ:РАЗВИТИЕ МЕХАНИЗМА НАЦИОНАЛЬНО-ПРАВОВОЙ ИМПЛЕМЕНТАЦИИ МЕЖДУНАРОДНЫХ НОРМ, ИЗД.1</t>
  </si>
  <si>
    <t>Халафян Р.М.</t>
  </si>
  <si>
    <t>978-5-00156-089-0</t>
  </si>
  <si>
    <t>275400.07.01</t>
  </si>
  <si>
    <t>Нормы процессуального права: теор...: Моногр. / Р.В.Шагиева - М.:Юр.Норма, НИЦ ИНФРА-М,2025  - 176 с.(О)</t>
  </si>
  <si>
    <t>НОРМЫ ПРОЦЕССУАЛЬНОГО ПРАВА: ТЕОРИЯ И ПРАКТИКА ИХ РЕАЛИЗАЦИИ, ИЗД.1</t>
  </si>
  <si>
    <t>Шагиева Р.В.</t>
  </si>
  <si>
    <t>978-5-91768-487-1</t>
  </si>
  <si>
    <t>40.03.01, 40.04.01, 41.03.01, 41.03.06, 44.03.05</t>
  </si>
  <si>
    <t>747742.06.01</t>
  </si>
  <si>
    <t>Нравственное государство. Рус. взгляд...: Моногр. / С.Н.Бабурин - М.:Юр. НОРМА, НИЦ ИНФРА-М,2026 - 536 с.(п)</t>
  </si>
  <si>
    <t>НРАВСТВЕННОЕ ГОСУДАРСТВО. РУССКИЙ ВЗГЛЯД НА ЦЕННОСТИ КОНСТИТУЦИОНАЛИЗМА, ИЗД.1</t>
  </si>
  <si>
    <t>978-5-00156-136-1</t>
  </si>
  <si>
    <t>356900.12.01</t>
  </si>
  <si>
    <t>Нравственные основания права: Моногр. / Г.В.Мальцев - М.:Юр.Норма, НИЦ ИНФРА-М,2026. - 400 с.(П)</t>
  </si>
  <si>
    <t>НРАВСТВЕННЫЕ ОСНОВАНИЯ ПРАВА, ИЗД.2</t>
  </si>
  <si>
    <t>Мальцев Г.В.</t>
  </si>
  <si>
    <t>978-5-91768-614-1</t>
  </si>
  <si>
    <t>40.03.01, 40.04.01, 40.06.01, 44.03.05</t>
  </si>
  <si>
    <t>130000.06.01</t>
  </si>
  <si>
    <t>НРЭ: Т.10(1): Лонгчен Рабджам - Марокко / Ред.кол. А.Д.Некипелов-М.:Энц.,НИЦ ИНФРА-М,2019-480с.(п)</t>
  </si>
  <si>
    <t>НОВАЯ РОССИЙСКАЯ ЭНЦИКЛОПЕДИЯ: ТОМ 10(1): ЛОНГЧЕН РАБДЖАМ - МАРОККО, ИЗД.1</t>
  </si>
  <si>
    <t>Некипелов А.Д., Данилов-Данильян В.И.</t>
  </si>
  <si>
    <t>978-5-94802-045-7</t>
  </si>
  <si>
    <t>00.03.16, 00.05.16</t>
  </si>
  <si>
    <t>134000.07.01</t>
  </si>
  <si>
    <t>НРЭ: Т.12(1): Нитра - Орлеан / Ред. кол. Некипелов А.Д. и др. -М.:Энц., НИЦ ИНФРА-М,2019-480 с.(П</t>
  </si>
  <si>
    <t>НОВАЯ РОССИЙСКАЯ ЭНЦИКЛОПЕДИЯ: ТОМ 12(1): НИТРА-ОРЛЕАН, Т.12</t>
  </si>
  <si>
    <t>978-5-94802-053-2</t>
  </si>
  <si>
    <t>183000.06.01</t>
  </si>
  <si>
    <t>НРЭ: Т.13(1): Пермяк - Португальские / Ред.кол. А.Д.Некипелов и др.-М.:Энц.,НИЦ ИНФРА-М,2019-480с(п)</t>
  </si>
  <si>
    <t>НОВАЯ РОССИЙСКАЯ ЭНЦИКЛОПЕДИЯ: ТОМ 13(1): ПЕРМЯК - ПОРТУГАЛЬСКИЕ, Т.13</t>
  </si>
  <si>
    <t>978-5-94802-055-6</t>
  </si>
  <si>
    <t>236000.05.01</t>
  </si>
  <si>
    <t>НРЭ: Т.15(2): Соединительная - Сухой / Ред.кол.Некипелов А.Д. и др.-М.:НИЦ ИНФРА-М,Энц.,2019-496с(П)</t>
  </si>
  <si>
    <t>НОВАЯ РОССИЙСКАЯ ЭНЦИКЛОПЕДИЯ: ТОМ15(2): СОЕДИНИТЕЛЬНАЯ - СУХОЙ, Т.15</t>
  </si>
  <si>
    <t>978-5-94802-062-4</t>
  </si>
  <si>
    <t>653332.03.01</t>
  </si>
  <si>
    <t>НРЭ: Т.18(1): Цзинь-Швеция / Ред. кол. А.Д.Некипелов и др. -М.:Энц., НИЦ ИНФРА-М,2019.-512 с.(П) [12+]</t>
  </si>
  <si>
    <t>НОВАЯ РОССИЙСКАЯ ЭНЦИКЛОПЕДИЯ: ТОМ 18(1): ЦЗИНЬ-ШВЕЦИЯ, Т.18</t>
  </si>
  <si>
    <t>Переплет 7 + 1 тиснение + блинт</t>
  </si>
  <si>
    <t>978-5-94802-088-4</t>
  </si>
  <si>
    <t>668019.02.01</t>
  </si>
  <si>
    <t>НРЭ: Т.19(1): Эмаль- Япет / Ред.кол. А.Д.Некипелов и др. - М.:Энц., НИЦ ИНФРА-М,2019 - 480 с.(П)</t>
  </si>
  <si>
    <t>НОВАЯ РОССИЙСКАЯ ЭНЦИКЛОПЕДИЯ: ТОМ 19(1): ЭМАЛЬ- ЯПЕТ, ИЗД.1</t>
  </si>
  <si>
    <t>Переплет 7 + 2 тиснение + блинт</t>
  </si>
  <si>
    <t>Библиотека Новой Российской энциклопедии</t>
  </si>
  <si>
    <t>978-5-94802-103-4</t>
  </si>
  <si>
    <t>780625.07.01</t>
  </si>
  <si>
    <t>О несении службы участковым уполномоченным полиции: инструкция - 2 изд. -  М.:НИЦ ИНФРА-М,2026. - 62 с.(О)</t>
  </si>
  <si>
    <t>О НЕСЕНИИ СЛУЖБЫ УЧАСТКОВЫМ УПОЛНОМОЧЕННЫМ ПОЛИЦИИ НА ОБСЛУЖИВАЕМОМ АДМИНИСТРАТИВНОМ УЧАСТКЕ И ОРГАНИЗАЦИИ ЭТОЙ ДЕЯТЕЛЬНОСТИ, ИЗД.2</t>
  </si>
  <si>
    <t>978-5-16-019953-5</t>
  </si>
  <si>
    <t>10.05.05, 40.02.02, 40.02.04, 40.03.01, 40.05.01, 40.05.02, 40.05.03, 40.05.04</t>
  </si>
  <si>
    <t>780625.08.01</t>
  </si>
  <si>
    <t>О несении службы участковым уполномоченным полиции: инструкция - 3 изд. - М.:НИЦ ИНФРА-М,2027. - 62 с.(о)</t>
  </si>
  <si>
    <t>О НЕСЕНИИ СЛУЖБЫ УЧАСТКОВЫМ УПОЛНОМОЧЕННЫМ ПОЛИЦИИ НА ОБСЛУЖИВАЕМОМ АДМИНИСТРАТИВНОМ УЧАСТКЕ И ОРГАНИЗАЦИИ ЭТОЙ ДЕЯТЕЛЬНОСТИ, ИЗД.3</t>
  </si>
  <si>
    <t>978-5-16-022543-2</t>
  </si>
  <si>
    <t>0327</t>
  </si>
  <si>
    <t>780625.03.01</t>
  </si>
  <si>
    <t>О несении службы участковым уполномоченным полиции: инструкция - М.:НИЦ ИНФРА-М,2024.-61 с.(О)</t>
  </si>
  <si>
    <t>О НЕСЕНИИ СЛУЖБЫ УЧАСТКОВЫМ УПОЛНОМОЧЕННЫМ ПОЛИЦИИ НА ОБСЛУЖИВАЕМОМ АДМИНИСТРАТИВНОМ УЧАСТКЕ И ОРГАНИЗАЦИИ ЭТОЙ ДЕЯТЕЛЬНОСТИ, ИЗД.1</t>
  </si>
  <si>
    <t>978-5-16-017758-8</t>
  </si>
  <si>
    <t>778856.01.01</t>
  </si>
  <si>
    <t>О потенциале увеличения явки избирателей в Рос. и за рубежом/ Е.П.Мармилова-М.:НИЦ ИНФРА-М,2022.-191 с.(О)</t>
  </si>
  <si>
    <t>О ПОТЕНЦИАЛЕ УВЕЛИЧЕНИЯ ЯВКИ ИЗБИРАТЕЛЕЙ В РОССИИ И ЗА РУБЕЖОМ, ИЗД.1</t>
  </si>
  <si>
    <t>Мармилова Е.П., Кудряшова Е.В., Каширская Л.В. и др.</t>
  </si>
  <si>
    <t>978-5-16-017809-7</t>
  </si>
  <si>
    <t>40.05.01, 40.05.04, 41.04.04</t>
  </si>
  <si>
    <t>Национальный исследовательский университет "Высшая школа экономики", ф-л Санкт-Петербург</t>
  </si>
  <si>
    <t>054880.17.01</t>
  </si>
  <si>
    <t>О преступлениях и наказаниях: Моногр. / Ч.Беккариа - М.:НИЦ ИНФРА-М,2026 - 183 с.(Б-ка криминолога)(О)</t>
  </si>
  <si>
    <t>О ПРЕСТУПЛЕНИЯХ И НАКАЗАНИЯХ, ИЗД.1</t>
  </si>
  <si>
    <t>Беккариа Ч., Овчинский В.С.</t>
  </si>
  <si>
    <t>978-5-16-009740-4</t>
  </si>
  <si>
    <t>764759.04.01</t>
  </si>
  <si>
    <t>О службе в органах внутр. дел РФ и внесении изменений. ФЗ - М.:НИЦ ИНФРА-М,2023 - 142 с.(О)</t>
  </si>
  <si>
    <t>О СЛУЖБЕ В ОРГАНАХ ВНУТРЕННИХ ДЕЛ РОССИЙСКОЙ ФЕДЕРАЦИИ И ВНЕСЕНИИ ИЗМЕНЕНИЙ В ОТДЕЛЬНЫЕ ЗАКОНОДАТЕЛЬНЫЕ АКТЫ РОССИЙСКОЙ ФЕДЕРАЦИИ, ИЗД.1</t>
  </si>
  <si>
    <t>978-5-16-017169-2</t>
  </si>
  <si>
    <t>459600.04.01</t>
  </si>
  <si>
    <t>О Совете судебной власти РФ: Монография / М.И.Клеандров - М.:Юр.Норма, НИЦ ИНФРА-М,2019.-160 с.(п)</t>
  </si>
  <si>
    <t>О СОВЕТЕ СУДЕБНОЙ ВЛАСТИ РОССИЙСКОЙ ФЕДЕРАЦИИ, ИЗД.1</t>
  </si>
  <si>
    <t>978-5-91768-684-4</t>
  </si>
  <si>
    <t>788727.02.01</t>
  </si>
  <si>
    <t>О статусе военнослужащих - 2 изд. - М.:НИЦ ИНФРА-М,2024. - 124 с.-(Федеральные нормы и правила)(о)</t>
  </si>
  <si>
    <t>О СТАТУСЕ ВОЕННОСЛУЖАЩИХ: ФЕДЕРАЛЬНЫЙ ЗАКОН, ИЗД.2</t>
  </si>
  <si>
    <t>978-5-16-020295-2</t>
  </si>
  <si>
    <t>788727.01.01</t>
  </si>
  <si>
    <t>О статусе военнослужащих : ФЗ. -М.:НИЦ ИНФРА-М,2022.-115 с..-(Федеральные нормы и правила)(о)</t>
  </si>
  <si>
    <t>О СТАТУСЕ ВОЕННОСЛУЖАЩИХ: ФЕДЕРАЛЬНЫЙ ЗАКОН, ИЗД.1</t>
  </si>
  <si>
    <t>978-5-16-017927-8</t>
  </si>
  <si>
    <t>788727.04.01</t>
  </si>
  <si>
    <t>О статусе военнослужащих: ФЗ - 3 изд. - М.:НИЦ ИНФРА-М,2025. - 130 с.(Федеральные нормы и правила)(о)</t>
  </si>
  <si>
    <t>О СТАТУСЕ ВОЕННОСЛУЖАЩИХ: ФЕДЕРАЛЬНЫЙ ЗАКОН, ИЗД.3</t>
  </si>
  <si>
    <t>978-5-16-020872-5</t>
  </si>
  <si>
    <t>788727.05.01</t>
  </si>
  <si>
    <t>О статусе военнослужащих: ФЗ - 4 изд. - М.:НИЦ ИНФРА-М,2026. - 132 с.(Федеральные нормы и правила)(о)</t>
  </si>
  <si>
    <t>О СТАТУСЕ ВОЕННОСЛУЖАЩИХ: ФЕДЕРАЛЬНЫЙ ЗАКОН, ИЗД.4</t>
  </si>
  <si>
    <t>978-5-16-021974-5</t>
  </si>
  <si>
    <t>238600.11.01</t>
  </si>
  <si>
    <t>Оcновы химии: Уч. / В.Г.Иванов - М.:КУРС, НИЦ ИНФРА-М,2025 - 556 с.(П)</t>
  </si>
  <si>
    <t>ОCНОВЫ ХИМИИ, ИЗД.1</t>
  </si>
  <si>
    <t>Иванов В.Г., Гева О.Н.</t>
  </si>
  <si>
    <t>978-5-905554-40-7</t>
  </si>
  <si>
    <t>03.03.02, 04.03.01, 04.03.02, 05.03.01, 05.03.02, 05.03.04, 05.03.06, 06.03.01, 06.03.02, 06.05.01, 07.02.01, 08.02.02, 08.02.03, 08.02.08, 08.02.09, 08.02.12, 08.02.13, 08.02.14, 08.03.01, 08.05.01, 08.05.02, 09.02.01, 09.02.03, 09.02.04, 09.02.05, 09.02.06, 09.03.02, 10.02.01, 10.02.03, 10.05.04, 11.02.06, 11.02.07, 11.02.12, 11.02.13, 11.02.14, 11.02.15, 11.02.16, 11.02.17, 11.02.18, 11.03.01, 11.03.03, 11.03.04, 11.05.01, 12.02.01, 12.02.03, 12.02.05, 12.03.01, 12.03.02, 12.03.03, 12.03.04, 12.03.05, 12.05.01, 13.02.01, 13.02.04, 13.02.05, 13.02.07, 13.02.09, 13.02.12, 13.02.13, 13.03.02, 13.03.03, 14.02.01, 14.02.02, 14.03.01, 14.05.01, 14.05.02, 14.05.04, 15.02.01, 15.02.04, 15.02.06, 15.02.07, 15.02.09, 15.02.10, 15.02.16, 15.02.17, 15.02.18, 15.02.19, 15.03.01, 15.03.03, 15.03.05, 15.03.06, 15.05.01, 16.03.01, 16.03.02, 16.03.03, 16.05.01, 17.03.01, 17.05.01, 17.05.02, 18.01.01, 18.01.34, 18.01.35, 18.02.01, 18.02.04, 18.02.05, 18.02.07, 18.02.09, 18.02.10, 18.02.11, 18.02.12, 18.02.13, 18.02.14, 18.02.15, 18.03.01, 18.03.02, 18.05.01, 18.05.02, 19.02.10, 19.02.11, 19.02.12, 19.02.13, 20.02.01, 20.02.02, 20.02.03, 20.02.04, 20.03.01, 20.03.02, 20.05.01, 21.02.02, 21.02.09, 21.02.10, 21.02.11, 21.02.12, 21.02.15, 21.02.18, 21.02.19, 21.02.20, 21.03.01, 21.03.02, 21.05.02, 21.05.03, 21.05.04, 21.05.06, 22.02.08, 22.03.01, 23.01.03, 23.02.01, 23.02.02, 23.02.03, 23.02.05, 23.02.06, 23.02.08, 23.03.01, 23.03.02, 23.05.01, 23.05.02, 23.05.03, 23.05.04, 23.05.05, 23.05.06, 24.02.01, 24.02.02, 24.02.04, 24.03.01, 24.03.02, 24.03.03, 24.03.04, 24.03.05, 24.05.01, 24.05.03, 24.05.04, 24.05.05, 24.05.06, 24.05.07, 25.02.02, 25.02.03, 25.03.01, 25.03.04, 25.05.03, 26.02.02, 26.02.03, 26.02.05, 26.02.06, 26.03.01, 26.03.02, 26.05.01, 26.05.02, 26.05.03, 26.05.05, 27.02.01, 27.02.02, 27.02.03, 27.02.04, 27.02.07, 27.03.01, 27.03.04, 27.05.01, 27.05.02, 28.03.01, 28.03.02, 28.03.03, 29.02.02, 29.02.08, 29.02.10, 29.02.11, 29.03.01, 29.03.02, 29.03.03, 29.03.04, 29.03.05, 30.05.01, 30.05.02, 31.02.03, 31.05.01, 31.05.02, 31.05.03, 32.02.01, 33.02.01, 33.05.01, 34.02.01, 35.01.27, 35.02.07, 35.02.08, 35.02.12, 35.02.15, 35.02.18, 35.03.01, 35.03.02, 35.03.03, 35.03.04, 35.03.05, 35.03.06, 35.03.07, 35.03.08, 35.03.10, 36.02.01, 36.03.02, 36.05.01, 38.02.08, 38.03.07, 40.05.03, 43.01.09, 43.02.07, 43.02.15, 44.03.04, 44.03.05, 49.02.01, 49.02.02, 54.02.01, 54.03.04</t>
  </si>
  <si>
    <t>744091.03.01</t>
  </si>
  <si>
    <t>Об арбитраже (третейском разбирательстве) в РФ №382-ФЗ - М.:НИЦ ИНФРА-М,2022 - 60 с.(О)</t>
  </si>
  <si>
    <t>ОБ АРБИТРАЖЕ (ТРЕТЕЙСКОМ РАЗБИРАТЕЛЬСТВЕ) В РФ №382-ФЗ, ИЗД.1</t>
  </si>
  <si>
    <t>978-5-16-016481-6</t>
  </si>
  <si>
    <t>40.02.02, 40.03.01</t>
  </si>
  <si>
    <t>744114.03.01</t>
  </si>
  <si>
    <t>Об арбитражных судах в РФ №1-ФКЗ - М.:НИЦ ИНФРА-М,2022 - 40 с.(О)</t>
  </si>
  <si>
    <t>ОБ АРБИТРАЖНЫХ СУДАХ В РФ №1-ФКЗ, ИЗД.1</t>
  </si>
  <si>
    <t>978-5-16-016482-3</t>
  </si>
  <si>
    <t>754329.01.01</t>
  </si>
  <si>
    <t>Об обязательном гос. страховании жизни и здоровья военнослужащих, граждан... - М.:НИЦ ИНФРА-М,2021-16 с.(О)</t>
  </si>
  <si>
    <t>ОБ ОБЯЗАТЕЛЬНОМ ГОСУДАРСТВЕННОМ СТРАХОВАНИИ ЖИЗНИ И ЗДОРОВЬЯ ВОЕННОСЛУЖАЩИХ, ГРАЖДАН, ПРИЗВАННЫХ НА ВОЕННЫЕ СБОРЫ, ЛИЦ РЯДОВОГО И НАЧАЛЬСТВУЮЩЕГО СОСТАВА ОРГАНОВ ВНУТРЕННИХ ДЕЛ РФ, ИЗД.1</t>
  </si>
  <si>
    <t>978-5-16-016850-0</t>
  </si>
  <si>
    <t>39.03.02, 40.03.01</t>
  </si>
  <si>
    <t>764758.01.01</t>
  </si>
  <si>
    <t>Об учреждениях и органах, исполняющих уголов. наказ. в виде лиш. свободы - М.:НИЦ ИНФРА-М,2021 - 48 с.(О)</t>
  </si>
  <si>
    <t>ОБ УЧРЕЖДЕНИЯХ И ОРГАНАХ, ИСПОЛНЯЮЩИХ УГОЛОВНЫЕ НАКАЗАНИЯ В ВИДЕ ЛИШЕНИЯ СВОБОДЫ, ИЗД.1</t>
  </si>
  <si>
    <t>978-5-16-017170-8</t>
  </si>
  <si>
    <t>40.02.02, 40.03.01, 40.04.01, 40.05.02, 40.06.01, 56.05.01</t>
  </si>
  <si>
    <t>357600.03.01</t>
  </si>
  <si>
    <t>Обвинение и оправдание в постсовет. угол. юстиции / В.В.Волков-М.:Юр.Норма, НИЦ ИНФРА-М,2018.-320 с.</t>
  </si>
  <si>
    <t>ОБВИНЕНИЕ И ОПРАВДАНИЕ В ПОСТСОВЕТСКОЙ УГОЛОВНОЙ ЮСТИЦИИ, ИЗД.1</t>
  </si>
  <si>
    <t>Волков В.В.</t>
  </si>
  <si>
    <t>978-5-91768-620-2</t>
  </si>
  <si>
    <t>40.02.02, 40.02.04, 40.03.01, 40.06.01, 44.03.05</t>
  </si>
  <si>
    <t>Институт проблем правоприменения</t>
  </si>
  <si>
    <t>166400.15.01</t>
  </si>
  <si>
    <t>Обеспечение автоматиз. библ. информ. сис. (АБИС): Уч. пос. / Л.И.Алешин - М.: Форум, 2026 - 432 с.(ВО) (п)</t>
  </si>
  <si>
    <t>ОБЕСПЕЧЕНИЕ АВТОМАТИЗИРОВАННЫХ БИБЛИОТЕЧНЫХ ИНФОРМАЦИОННЫХ СИСТЕМ (АБИС), ИЗД.1</t>
  </si>
  <si>
    <t>978-5-91134-568-6</t>
  </si>
  <si>
    <t>221300.14.01</t>
  </si>
  <si>
    <t>Обеспечение безоп. при чрезв. ситуациях: Уч. / В.А.Бондаренко - 2 изд. - М.:ИЦ РИОР,НИЦ ИНФРА-М,2026 - 224 с.(П)</t>
  </si>
  <si>
    <t>ОБЕСПЕЧЕНИЕ БЕЗОПАСНОСТИ ПРИ ЧРЕЗВЫЧАЙНЫХ СИТУАЦИЯХ, ИЗД.2</t>
  </si>
  <si>
    <t>978-5-369-01784-5</t>
  </si>
  <si>
    <t>00.01.01, 00.02.01, 06.01.06, 20.02.02, 27.02.06, 34.02.01</t>
  </si>
  <si>
    <t>Рекомендовано федеральным государственным автономным учреждением «Федеральный институт развития образования» (ФГАУ «ФИРО») в качестве учебника для использования в учебном процессе образовательных учреждений, реализующих программы СПО</t>
  </si>
  <si>
    <t>852950.01.01</t>
  </si>
  <si>
    <t>Обеспечение безопас. объектов транспорт. инфраструк.: Уч.пос. / В.А.Мельничук - М.:НИЦ ИНФРА-М,2026. - 197 с.(п)</t>
  </si>
  <si>
    <t>ОБЕСПЕЧЕНИЕ БЕЗОПАСНОСТИ ОБЪЕКТОВ ТРАНСПОРТНОЙ ИНФРАСТРУКТУРЫ, ИЗД.1</t>
  </si>
  <si>
    <t>Мельничук В.А., Мельцов В.М.</t>
  </si>
  <si>
    <t>978-5-16-021024-7</t>
  </si>
  <si>
    <t>23.05.03, 23.05.04, 23.05.05, 25.03.04, 40.03.01, 40.04.01, 40.05.01, 40.05.02, 40.03.02</t>
  </si>
  <si>
    <t>833495.02.01</t>
  </si>
  <si>
    <t>Обеспечение безопас. окруж. среды в мед. орг.: Уч.пос. / Е.Г.Усольцева - М.:НИЦ ИНФРА-М,2026. - 332 с.(СПО)(п)</t>
  </si>
  <si>
    <t>ОБЕСПЕЧЕНИЕ БЕЗОПАСНОЙ ОКРУЖАЮЩЕЙ СРЕДЫ В МЕДИЦИНСКОЙ ОРГАНИЗАЦИИ, ИЗД.1</t>
  </si>
  <si>
    <t>Усольцева Е.Г.</t>
  </si>
  <si>
    <t>978-5-16-020087-3</t>
  </si>
  <si>
    <t>34.02.01, 34.02.02</t>
  </si>
  <si>
    <t>Краснодарский краевой базовый медицинский колледж</t>
  </si>
  <si>
    <t>221300.03.01</t>
  </si>
  <si>
    <t>Обеспечение безопасности при чрезвычайных ситуац.: Уч./ В.А.Бондаренко-М:РИОР:ИНФРА-М,2018-325с(ПО)</t>
  </si>
  <si>
    <t>ОБЕСПЕЧЕНИЕ БЕЗОПАСНОСТИ ПРИ ЧРЕЗВЫЧАЙНЫХ СИТУАЦИЯХ, ИЗД.1</t>
  </si>
  <si>
    <t>978-5-369-01233-8</t>
  </si>
  <si>
    <t>864452.01.01</t>
  </si>
  <si>
    <t>Обеспечение грузовых и пассажир. перевозок на транспорте...: Уч. / В.С.Горюнов - М.:НИЦ ИНФРА-М,2026. - 246 с.(п)</t>
  </si>
  <si>
    <t>ОБЕСПЕЧЕНИЕ ГРУЗОВЫХ И ПАССАЖИРСКИХ ПЕРЕВОЗОК НА ТРАНСПОРТЕ (ПО ВИДАМ ТРАНСПОРТА), ИЗД.1</t>
  </si>
  <si>
    <t>Горюнов В.С.</t>
  </si>
  <si>
    <t>978-5-16-021603-4</t>
  </si>
  <si>
    <t>СПО-2025, Победитель, III место</t>
  </si>
  <si>
    <t>689438.05.01</t>
  </si>
  <si>
    <t>Обеспечение долгов.  рабочих органов почвообраб. машин: Моногр. / В.С.Новиков - М:НИЦ ИНФРА-М,2026 - 155 с.(о)</t>
  </si>
  <si>
    <t>ОБЕСПЕЧЕНИЕ ДОЛГОВЕЧНОСТИ  РАБОЧИХ ОРГАНОВ ПОЧВООБРАБАТЫВАЮЩИХ МАШИН, ИЗД.1</t>
  </si>
  <si>
    <t>Новиков В.С.</t>
  </si>
  <si>
    <t>978-5-16-014351-4</t>
  </si>
  <si>
    <t>741914.05.01</t>
  </si>
  <si>
    <t>Обеспечение защиты прав человека в РФ: Уч. / Под ред. Комкова Г.Н. - М.:НИЦ ИНФРА-М,2023 - 339 с(ВО)(П)</t>
  </si>
  <si>
    <t>ОБЕСПЕЧЕНИЕ ЗАЩИТЫ ПРАВ ЧЕЛОВЕКА В РОССИЙСКОЙ ФЕДЕРАЦИИ, ИЗД.1</t>
  </si>
  <si>
    <t>Абаева Е.А., Аверьянова Н.Н., Басова А.В. и др.</t>
  </si>
  <si>
    <t>978-5-16-016624-7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</si>
  <si>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направлениям подготовки (квалификация (степень) «бакалавр») (протокол № 7 от 22.09.2021)</t>
  </si>
  <si>
    <t>797754.04.01</t>
  </si>
  <si>
    <t>Обеспечение информац. безопас. в сети Интернет: Моногр. / А.А.Максуров-М.:НИЦ ИНФРА-М,2025.-226 с.(п)</t>
  </si>
  <si>
    <t>ОБЕСПЕЧЕНИЕ ИНФОРМАЦИОННОЙ БЕЗОПАСНОСТИ В СЕТИ ИНТЕРНЕТ, ИЗД.1</t>
  </si>
  <si>
    <t>978-5-16-018251-3</t>
  </si>
  <si>
    <t>10.04.01, 10.05.01, 10.05.02, 10.05.03, 10.05.04, 10.05.05, 10.05.07, 10.06.01, 40.04.01, 40.05.01, 40.05.02, 40.06.01</t>
  </si>
  <si>
    <t>150200.09.01</t>
  </si>
  <si>
    <t>Обеспечение конкурентоспособности предпр. туризма: Уч. / Ю.Н.Абабков - М.: ИНФРА-М, 2025 - 144 с.(ВО) (п)</t>
  </si>
  <si>
    <t>ОБЕСПЕЧЕНИЕ КОНКУРЕНТОСПОСОБНОСТИ ПРЕДПРИЯТИЯ ТУРИЗМА, ИЗД.1</t>
  </si>
  <si>
    <t>Абабков Ю. Н., Филиппова И. Г., Богданов Е. И.</t>
  </si>
  <si>
    <t>978-5-16-004386-9</t>
  </si>
  <si>
    <t>38.03.02, 43.03.02, 43.03.03, 43.04.03, 49.03.03</t>
  </si>
  <si>
    <t>826070.03.01</t>
  </si>
  <si>
    <t>Обеспечение лич. безопас. сотруд. орг. внутр. дел...: Уч.пос. / В.А.Мельничук - М.:НИЦ ИНФРА-М,2026 - 198 с.(п)</t>
  </si>
  <si>
    <t>ОБЕСПЕЧЕНИЕ ЛИЧНОЙ БЕЗОПАСНОСТИ СОТРУДНИКОВ ОРГАНОВ ВНУТРЕННИХ ДЕЛ ПРИ ВЫПОЛНЕНИИ СЛУЖЕБНЫХ ОБЯЗАННОСТЕЙ, ИЗД.1</t>
  </si>
  <si>
    <t>978-5-16-019896-5</t>
  </si>
  <si>
    <t>40.02.02, 40.03.01, 40.05.02</t>
  </si>
  <si>
    <t>864540.01.01</t>
  </si>
  <si>
    <t>Обеспечение недопустим. разглашения данных досудеб. производ. / А.П.Липинский - М.:НИЦ ИНФРА-М,2026. - 164 с.(о)</t>
  </si>
  <si>
    <t>ОБЕСПЕЧЕНИЕ НЕДОПУСТИМОСТИ РАЗГЛАШЕНИЯ ДАННЫХ ДОСУДЕБНОГО ПРОИЗВОДСТВА, ИЗД.1</t>
  </si>
  <si>
    <t>Липинский А.П.</t>
  </si>
  <si>
    <t>978-5-16-021427-6</t>
  </si>
  <si>
    <t>40.04.01, 40.05.01, 40.05.02, 40.05.04, 40.06.01, 40.03.02</t>
  </si>
  <si>
    <t>656395.10.01</t>
  </si>
  <si>
    <t>Обеспечение прав авторов лит. произв.: Моногр. / Т.Г.Макаров - М.:НИЦ ИНФРА-М,2026. - 85с.(Науч.мысль)(О)</t>
  </si>
  <si>
    <t>ОБЕСПЕЧЕНИЕ ПРАВ АВТОРОВ ЛИТЕРАТУРНЫХ ПРОИЗВЕДЕНИЙ, ИЗД.1</t>
  </si>
  <si>
    <t>Макаров Т.Г.</t>
  </si>
  <si>
    <t>978-5-16-012764-4</t>
  </si>
  <si>
    <t>646042.10.01</t>
  </si>
  <si>
    <t>Обеспечение прав чел. в деят. правоохран.органов: Уч. / А.А.Акмалова - М.:НИЦ ИНФРА-М,2027 - 395 с.(ВО)(П)</t>
  </si>
  <si>
    <t>ОБЕСПЕЧЕНИЕ ПРАВ ЧЕЛОВЕКА В ДЕЯТЕЛЬНОСТИ ПРАВООХРАНИТЕЛЬНЫХ ОРГАНОВ, ИЗД.1</t>
  </si>
  <si>
    <t>978-5-16-013051-4</t>
  </si>
  <si>
    <t>Рекомендовано в качестве учебника для студентов высших учебных заведений, обучающихся по направлению подготовки 40.05.02 «Правоохранительная деятельность» (квалификация «юрист»)</t>
  </si>
  <si>
    <t>656188.04.01</t>
  </si>
  <si>
    <t>Обеспечение точности мех. обработки крупногабар.:Моногр. / А.А.Погонин-М.:НИЦ ИНФРА-М,2024-184с(П)</t>
  </si>
  <si>
    <t>ОБЕСПЕЧЕНИЕ ТОЧНОСТИ МЕХАНИЧЕСКОЙ ОБРАБОТКИ КРУПНОГАБАРИТНЫХ ДЕТАЛЕЙ ВО ВРЕМЯ РАБОТЫ С ИСПОЛЬЗОВАНИЕМ ПРИСТАВНЫХ СТАНКОВ, ИЗД.1</t>
  </si>
  <si>
    <t>Погонин А.А., Афанасьев А.А.</t>
  </si>
  <si>
    <t>978-5-16-012968-6</t>
  </si>
  <si>
    <t>790150.02.01</t>
  </si>
  <si>
    <t>Обеспечение экологич. безопас. природно-технич. сис... / Т.В.Иванкова-М.: ИНФРА-М, 2023. — 171 с.(О)</t>
  </si>
  <si>
    <t>ОБЕСПЕЧЕНИЕ ЭКОЛОГИЧЕСКОЙ БЕЗОПАСНОСТИ ПРИРОДНО-ТЕХНИЧЕСКИХ СИСТЕМ БАССЕЙНОВ МАЛЫХ РЕК В УСЛОВИЯХ КРЫМСКОГО ПОЛУОСТРОВА, ИЗД.1</t>
  </si>
  <si>
    <t>Иванкова Т.В.</t>
  </si>
  <si>
    <t>978-5-16-018006-9</t>
  </si>
  <si>
    <t>05.04.02, 05.04.05, 05.04.06, 05.06.01</t>
  </si>
  <si>
    <t>Институт безопасности гидротехнических сооружений</t>
  </si>
  <si>
    <t>800600.01.01</t>
  </si>
  <si>
    <t>Обеспечение экон. безопасности в кредитно-фин. сфере: Моногр. / Н.Г.Гаджиев-М.:НИЦ ИНФРА-М,2024-237 с.(п)</t>
  </si>
  <si>
    <t>ОБЕСПЕЧЕНИЕ ЭКОНОМИЧЕСКОЙ БЕЗОПАСНОСТИ В КРЕДИТНО-ФИНАНСОВОЙ СФЕРЕ, ИЗД.1</t>
  </si>
  <si>
    <t>Гаджиев Н.Г., Коноваленко С.А., Трофимов М.Н. и др.</t>
  </si>
  <si>
    <t>978-5-16-018384-8</t>
  </si>
  <si>
    <t>10.05.04, 10.06.01, 38.04.01, 38.05.01, 38.05.02, 38.06.01, 40.05.01, 40.06.01</t>
  </si>
  <si>
    <t>782715.04.01</t>
  </si>
  <si>
    <t>Обеспечение экономич. безопас. территорий и... / Под ред. Кожевиной О.В.-М.:НИЦ ИНФРА-М,2024.-286 с.(п)</t>
  </si>
  <si>
    <t>ОБЕСПЕЧЕНИЕ ЭКОНОМИЧЕСКОЙ БЕЗОПАСНОСТИ ТЕРРИТОРИЙ И ИНСТРУМЕНТЫ УСТОЙЧИВОГО РАЗВИТИЯ «ЗЕЛЕНОГО» ПРЕДПРИНИМАТЕЛЬСТВА, ИЗД.1</t>
  </si>
  <si>
    <t>Беляевская-Плотник Л.А., Кожевина О.В., Ряховская А.Н. и др.</t>
  </si>
  <si>
    <t>978-5-16-017990-2</t>
  </si>
  <si>
    <t>667971.02.01</t>
  </si>
  <si>
    <t>Обеспечение эксплуатационной надежности механич. систем: Уч.пос./ А.В.Титенок-М.:НИЦ ИНФРА-М,2023-302с.(П)</t>
  </si>
  <si>
    <t>ОБЕСПЕЧЕНИЕ ЭКСПЛУАТАЦИОННОЙ НАДЕЖНОСТИ МЕХАНИЧЕСКИХ СИСТЕМ, ИЗД.1</t>
  </si>
  <si>
    <t>Титенок А.В.</t>
  </si>
  <si>
    <t>978-5-16-016324-6</t>
  </si>
  <si>
    <t>13.04.03, 15.03.01, 15.03.02, 20.03.01, 23.03.02, 23.04.02, 23.05.01, 26.03.02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</si>
  <si>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инженерным направлениям подготовки (квалификация (степень) «бакалавр») (протокол № 6 от 08.06.2022)</t>
  </si>
  <si>
    <t>824424.01.01</t>
  </si>
  <si>
    <t>Обеспечительные меры в международном гражд. процессе: Моногр. / А.А.Максуров - М.:НИЦ ИНФРА-М,2025. - 272 с.(п)</t>
  </si>
  <si>
    <t>ОБЕСПЕЧИТЕЛЬНЫЕ МЕРЫ В МЕЖДУНАРОДНОМ ГРАЖДАНСКОМ ПРОЦЕССЕ, ИЗД.1</t>
  </si>
  <si>
    <t>978-5-16-019875-0</t>
  </si>
  <si>
    <t>399700.11.01</t>
  </si>
  <si>
    <t>Обеспыливание воздуха в промыш.: методы и средства: Моногр. / В.Т.Самсонов - М.:НИЦ ИНФРА-М,2026. - 234 с.(О)</t>
  </si>
  <si>
    <t>ОБЕСПЫЛИВАНИЕ ВОЗДУХА В ПРОМЫШЛЕННОСТИ: МЕТОДЫ И СРЕДСТВА, ИЗД.1</t>
  </si>
  <si>
    <t>978-5-16-011283-1</t>
  </si>
  <si>
    <t>08.02.13, 08.03.01, 08.04.01, 08.05.01, 18.03.01</t>
  </si>
  <si>
    <t>648397.02.01</t>
  </si>
  <si>
    <t>Обжалование в уголовном судопроизвод.: Уч.пос. / Паничева А.И. М.:Юр.Норма, НИЦ ИНФРА-М,2019-208с(П)</t>
  </si>
  <si>
    <t>ОБЖАЛОВАНИЕ В УГОЛОВНОМ СУДОПРОИЗВОДСТВЕ, ИЗД.1</t>
  </si>
  <si>
    <t>Паничева А.И., Панокин А.М., Рубинштейн Е.А.</t>
  </si>
  <si>
    <t>978-5-91768-803-9</t>
  </si>
  <si>
    <t>485850.06.01</t>
  </si>
  <si>
    <t>Обитаемость рабочих мест: Уч.пос. - М.:НИЦ ИНФРА-М,2023-135 с.(ВО: Бакалавриат)</t>
  </si>
  <si>
    <t>ОБИТАЕМОСТЬ РАБОЧИХ МЕСТ, ИЗД.1</t>
  </si>
  <si>
    <t>Невровский В.А.</t>
  </si>
  <si>
    <t>978-5-16-010367-9</t>
  </si>
  <si>
    <t>27.03.03, 37.03.01</t>
  </si>
  <si>
    <t>Допущено Учебно-методическим советом МАТИ в качестве учебного пособия для студентов высших учебных заведений, обучающихся по направлению подготовки 2703.03 "Системный анализ и управление»</t>
  </si>
  <si>
    <t>794840.02.01</t>
  </si>
  <si>
    <t>Обмен железа при ВИЧ-ассоциированных заболеваниях легких.../ Е.А.Бородулина - М.:НИЦ ИНФРА-М,2026. - 155 с.(о)</t>
  </si>
  <si>
    <t>ОБМЕН ЖЕЛЕЗА ПРИ ВИЧ-АССОЦИИРОВАННЫХ ЗАБОЛЕВАНИЯХ ЛЕГКИХ - ДИССЕМИНИРОВАННОМ ТУБЕРКУЛЕЗЕ И ПНЕВМОЦИСТНОЙ ПНЕВМОНИИ, ИЗД.1</t>
  </si>
  <si>
    <t>Бородулина Е.А., Яковлева Е.В., Бородулин Б.Е.</t>
  </si>
  <si>
    <t>978-5-16-018227-8</t>
  </si>
  <si>
    <t>664184.03.01</t>
  </si>
  <si>
    <t>Обобщенная матем. модель пространств. перемещ. бурового судна / В.А.Крамарь-М.:Вуз.уч.,НИЦ ИНФРА-М,2023.-118с</t>
  </si>
  <si>
    <t>ОБОБЩЕННАЯ МАТЕМАТИЧЕСКАЯ МОДЕЛЬ ПРОСТРАНСТВЕННОГО ПЕРЕМЕЩЕНИЯ БУРОВОГО СУДНА, ИЗД.1</t>
  </si>
  <si>
    <t>Крамарь В.А., Душко В.Р., Душко В.В.</t>
  </si>
  <si>
    <t>978-5-9558-0591-7</t>
  </si>
  <si>
    <t>700689.03.01</t>
  </si>
  <si>
    <t>Обобщенные графы и грамматики: Уч.пос. / А.И.Миков - М.:НИЦ ИНФРА-М,2024 - 192 с.(ВО: Магистр/)(П)</t>
  </si>
  <si>
    <t>ОБОБЩЕННЫЕ ГРАФЫ И ГРАММАТИКИ, ИЗД.1</t>
  </si>
  <si>
    <t>Миков А.И.</t>
  </si>
  <si>
    <t>978-5-16-014970-7</t>
  </si>
  <si>
    <t>02.04.01, 02.04.02, 02.04.03, 09.04.01, 09.04.02, 09.04.03, 09.04.04, 09.05.01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</si>
  <si>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направлений подготовки 02.00.00 «Компьютерные и информационные науки», 09.00.00 «Информатика и вычислительная техника» (квалификация (степень) «магистр») (протокол № 12 от 14.12.2020)</t>
  </si>
  <si>
    <t>800923.01.01</t>
  </si>
  <si>
    <t>Обобщенные мод. флотации и разраб. флото-, эко- и..: Моногр. /Б.С.Ксенофонтов-М.: ИНФРА-М,2023.-224с.(П)</t>
  </si>
  <si>
    <t>ОБОБЩЕННЫЕ МОДЕЛИ ФЛОТАЦИИ И РАЗРАБОТКА ФЛОТО-, ЭКО- И ЦИКЛОКОМБАЙНОВ ТИПА КБС НА ОСНОВЕ ПРИНЦИПОВ БИОПОДОБИЯ, ИЗД.1</t>
  </si>
  <si>
    <t>978-5-16-018341-1</t>
  </si>
  <si>
    <t>18.03.02, 20.03.01, 20.03.02, 20.04.02, 20.06.01</t>
  </si>
  <si>
    <t>340900.14.01</t>
  </si>
  <si>
    <t>Обогащение полезных ископаемых: Уч.пос. / К.И.Лукина - М.:НИЦ ИНФРА-М,2027. - 224 с.(ВО)(П)</t>
  </si>
  <si>
    <t>ОБОГАЩЕНИЕ ПОЛЕЗНЫХ ИСКОПАЕМЫХ, ИЗД.1</t>
  </si>
  <si>
    <t>Лукина К.И., Якушкин В.П., Муклакова А.Н.</t>
  </si>
  <si>
    <t>978-5-16-020659-2</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</si>
  <si>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специальностям 21.05.04 «Горное дело» и 21.05.05 «Физические процессы горного или нефтегазового производства» (квалификация «горный инженер»)</t>
  </si>
  <si>
    <t>168600.05.01</t>
  </si>
  <si>
    <t>Оборудование для произв. тары и упаковки: Уч.пос. / В.Г.Шипинский - М.: ИНФРА-М, 2025.- 624 с.(ВО)</t>
  </si>
  <si>
    <t>ОБОРУДОВАНИЕ ДЛЯ ПРОИЗВОДСТВА ТАРЫ И УПАКОВКИ, ИЗД.1</t>
  </si>
  <si>
    <t>Шипинский В. Г.</t>
  </si>
  <si>
    <t>978-5-16-005290-8</t>
  </si>
  <si>
    <t>15.03.02, 15.04.01, 15.04.02, 29.03.03, 29.04.03</t>
  </si>
  <si>
    <t>Допущено Министерством образования Республики Беларусь в качестве учебного пособия для студентов специальностей "Упаковочное производство" учреждений, обеспечивающих получение высшего образования</t>
  </si>
  <si>
    <t>343600.10.01</t>
  </si>
  <si>
    <t>Оборудование перерабатывающих производств: Уч. / А.А.Курочкин и др. - М.:НИЦ ИНФРА-М,2026. - 363 с.(ВО)(п)</t>
  </si>
  <si>
    <t>ОБОРУДОВАНИЕ ПЕРЕРАБАТЫВАЮЩИХ ПРОИЗВОДСТВ, ИЗД.1</t>
  </si>
  <si>
    <t>Курочкин А.А., Шабурова Г.В., Зимняков В.М. и др.</t>
  </si>
  <si>
    <t>978-5-16-021144-2</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</si>
  <si>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35.03.07 «Технология производства и переработки сельскохозяйственной продукции»</t>
  </si>
  <si>
    <t>084920.19.01</t>
  </si>
  <si>
    <t>Оборудование предприятий общ. пит.: Уч.пос. / В.Ф.Кащенко - 2 изд. - М.:НИЦ ИНФРА-М,2026 - 373 с.(П)</t>
  </si>
  <si>
    <t>ОБОРУДОВАНИЕ ПРЕДПРИЯТИЙ ОБЩЕСТВЕННОГО ПИТАНИЯ, ИЗД.2</t>
  </si>
  <si>
    <t>Кащенко В.Ф., Кащенко Р.В.</t>
  </si>
  <si>
    <t>978-5-16-014118-3</t>
  </si>
  <si>
    <t>15.01.18, 15.02.01, 15.02.06, 18.01.03, 18.01.26, 18.01.35, 18.02.04, 18.02.07, 18.02.09, 18.02.11, 18.02.14, 18.02.15, 19.01.09, 19.01.18, 19.01.19, 19.02.10, 19.02.11, 19.02.12, 19.02.13, 19.02.14, 35.02.18, 43.01.09, 43.02.15, 43.02.16</t>
  </si>
  <si>
    <t>Допущено Минобрнауки России в качестве учебного пособия для студентов образовательных учреждений среднего профессионального образования</t>
  </si>
  <si>
    <t>084920.11.01</t>
  </si>
  <si>
    <t>Оборудование предприятий общ. питания:Уч.пос. / В.Ф.Кащенко-М.:НИЦ ИНФРА-М,2018-412с(СПО)(П)</t>
  </si>
  <si>
    <t>ОБОРУДОВАНИЕ ПРЕДПРИЯТИЙ ОБЩЕСТВЕННОГО ПИТАНИЯ, ИЗД.1</t>
  </si>
  <si>
    <t>Кащенко В. Ф., Кащенко Р. В.</t>
  </si>
  <si>
    <t>978-5-16-013858-9</t>
  </si>
  <si>
    <t>Допущено Минобрнауки Российской Федерации в качестве учебного пособия для студентов образовательных учреждений среднего профессионального образования</t>
  </si>
  <si>
    <t>223200.10.01</t>
  </si>
  <si>
    <t>Оборудование термических цехов: Уч. / В.В.Овчинников - М.:ИД Форум, НИЦ ИНФРА-М,2024 - 368 с.(СПО)(П)</t>
  </si>
  <si>
    <t>ОБОРУДОВАНИЕ ТЕРМИЧЕСКИХ ЦЕХОВ, ИЗД.1</t>
  </si>
  <si>
    <t>Овчинников В. В.</t>
  </si>
  <si>
    <t>978-5-8199-0561-6</t>
  </si>
  <si>
    <t>15.01.05, 15.02.19, 22.02.08</t>
  </si>
  <si>
    <t>Рекомендовано Федеральным Государственным Учреждением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</si>
  <si>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700698.04.01</t>
  </si>
  <si>
    <t>Оборудование хлебопекар. производства: Прак.: Уч.пос. / А.А.Курочкин - М.:НИЦ ИНФРА-М,2024 - 231 с.(ВО)(п)</t>
  </si>
  <si>
    <t>ОБОРУДОВАНИЕ ХЛЕБОПЕКАРНОГО ПРОИЗВОДСТВА. ПРАКТИКУМ, ИЗД.1</t>
  </si>
  <si>
    <t>Курочкин А.А., Шабурова Г.В.</t>
  </si>
  <si>
    <t>978-5-16-019960-3</t>
  </si>
  <si>
    <t>19.03.02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</si>
  <si>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19.03.02 «Продукты питания из растительного сырья» (квалификация (степень) «бакалавр») (протокол № 11 от 09.11.2020)</t>
  </si>
  <si>
    <t>831314.01.01</t>
  </si>
  <si>
    <t>Оборудование хлебопекар. производства: Прак.: Уч.пос. / А.А.Курочкин-М.:НИЦ ИНФРА-М,2024.-231 с.(СПО)(п)</t>
  </si>
  <si>
    <t>978-5-16-019955-9</t>
  </si>
  <si>
    <t>19.02.11</t>
  </si>
  <si>
    <t>860859.01.01</t>
  </si>
  <si>
    <t>Оборудование, технологии, инструмент для станков с ЧПУ: Уч.пос. / Ю.И.Гордеев - М.:НИЦ ИНФРА-М, СФУ,2026 - 154 с.(п)</t>
  </si>
  <si>
    <t>ОБОРУДОВАНИЕ, ТЕХНОЛОГИИ, ИНСТРУМЕНТ ДЛЯ СТАНКОВ С ЧПУ, ИЗД.1</t>
  </si>
  <si>
    <t>Гордеев Ю.И., Брунгардт М.В., Ясинский В.Б. и др.</t>
  </si>
  <si>
    <t>978-5-16-021390-3</t>
  </si>
  <si>
    <t>15.03.01, 15.03.05, 15.04.04, 15.04.05, 15.05.01, 27.03.01, 27.03.02, 27.04.02</t>
  </si>
  <si>
    <t>766454.04.01</t>
  </si>
  <si>
    <t>Обоснование техн. открытой разработ. мощных пологозалегающих угол. пластов / С.А.Бобров - М.:НИЦ ИНФРА-М, СФУ,2025. - 155 с.(О)</t>
  </si>
  <si>
    <t>ОБОСНОВАНИЕ ТЕХНОЛОГИИ ОТКРЫТОЙ РАЗРАБОТКИ МОЩНЫХ ПОЛОГОЗАЛЕГАЮЩИХ УГОЛЬНЫХ ПЛАСТОВ, ИЗД.1</t>
  </si>
  <si>
    <t>Бобров С.А., Кисляков В.Е.</t>
  </si>
  <si>
    <t>978-5-16-017284-2</t>
  </si>
  <si>
    <t>21.05.04, 21.06.01</t>
  </si>
  <si>
    <t>251500.10.01</t>
  </si>
  <si>
    <t>Обрабатывающий инструмент в машиностр.: Уч./С.С.Клименков - ИНФРА-М;., 2026-459с.(ВО) (п)</t>
  </si>
  <si>
    <t>ОБРАБАТЫВАЮЩИЙ ИНСТРУМЕНТ В МАШИНОСТРОЕНИИ, ИЗД.1</t>
  </si>
  <si>
    <t>Клименков С. С.</t>
  </si>
  <si>
    <t>978-5-16-009371-0</t>
  </si>
  <si>
    <t>Утверждено Министерством образования Республики Беларусь г качестве учебника для студентов учреждений высшего образования по машиностроительным специальностям</t>
  </si>
  <si>
    <t>Витебский государственный технологический университет</t>
  </si>
  <si>
    <t>855932.01.01</t>
  </si>
  <si>
    <t>Обработка данных в Python для социологов: Уч. / В.В.Ковригин - М.:НИЦ ИНФРА-М,2027. - 249 с.(ВО)(п)</t>
  </si>
  <si>
    <t>ОБРАБОТКА ДАННЫХ В PYTHON ДЛЯ СОЦИОЛОГОВ, ИЗД.1</t>
  </si>
  <si>
    <t>Ковригин В.В.</t>
  </si>
  <si>
    <t>978-5-16-021674-4</t>
  </si>
  <si>
    <t>39.03.01, 39.04.01</t>
  </si>
  <si>
    <t>707077.07.01</t>
  </si>
  <si>
    <t>Обработка материалов резанием: Уч.пос. / С.Э.Завистовский - М.:НИЦ ИНФРА-М,2026 - 448 с.(СПО)(П)</t>
  </si>
  <si>
    <t>ОБРАБОТКА МАТЕРИАЛОВ РЕЗАНИЕМ, ИЗД.1</t>
  </si>
  <si>
    <t>Завистовский С.Э.</t>
  </si>
  <si>
    <t>978-5-16-015219-6</t>
  </si>
  <si>
    <t>15.02.01, 15.02.03, 15.02.04, 15.02.16, 15.02.17, 15.02.18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</si>
  <si>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5 от 11.03.2019)</t>
  </si>
  <si>
    <t>675202.08.01</t>
  </si>
  <si>
    <t>Обработка осадков сточных вод: Уч.пос. / Б.С.Ксенофонтов - М.:НИЦ ИНФРА-М,2026 - 262 с.(ВО)(П)</t>
  </si>
  <si>
    <t>ОБРАБОТКА ОСАДКОВ СТОЧНЫХ ВОД, ИЗД.1</t>
  </si>
  <si>
    <t>978-5-16-014577-8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</si>
  <si>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20.04.00 «Техносферная безопасность и природообустройство» (квалификация (степень) «магистр») (протокол № 10 от 27.05.2019)</t>
  </si>
  <si>
    <t>764638.01.01</t>
  </si>
  <si>
    <t>Обработка отраслевой информации: Уч.пос. / В.Н.Шитов-М.:НИЦ ИНФРА-М,2022.-184 с.(СПО)(П)</t>
  </si>
  <si>
    <t>ОБРАБОТКА ОТРАСЛЕВОЙ ИНФОРМАЦИИ, ИЗД.1</t>
  </si>
  <si>
    <t>978-5-16-017373-3</t>
  </si>
  <si>
    <t>09.02.05, 51.02.03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</si>
  <si>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1 от 12.01.2022)</t>
  </si>
  <si>
    <t>222400.07.01</t>
  </si>
  <si>
    <t>Обработка почвы как фактор регулир. почвен..: Моногр. / А.Ф.Витер - ИНФРА-М, 2023 - 173 с.(Науч.мысль)(о)</t>
  </si>
  <si>
    <t>ОБРАБОТКА ПОЧВЫ КАК ФАКТОР РЕГУЛИРОВАНИЯ ПОЧВЕННОГО ПЛОДОРОДИЯ, ИЗД.1</t>
  </si>
  <si>
    <t>Витер А. Ф., Турусов В. И., Гармашов В. М., Гаврилова С. А.</t>
  </si>
  <si>
    <t>978-5-16-008982-9</t>
  </si>
  <si>
    <t>05.03.06, 06.03.01, 06.03.02, 20.03.02, 35.03.01, 35.03.03, 35.03.05, 35.03.10, 35.04.03</t>
  </si>
  <si>
    <t>666958.05.01</t>
  </si>
  <si>
    <t>Обработка эксперимент. данных на ЭВМ: Уч. / О.С.Логунова - 2 изд. - М.:НИЦ ИНФРА-М,2026. - 377 с.(ВО)(П)</t>
  </si>
  <si>
    <t>ОБРАБОТКА ЭКСПЕРИМЕНТАЛЬНЫХ ДАННЫХ НА ЭВМ, ИЗД.2</t>
  </si>
  <si>
    <t>Логунова О.С., Романов П.Ю., Ильина Е.А.</t>
  </si>
  <si>
    <t>978-5-16-015870-9</t>
  </si>
  <si>
    <t>09.03.01, 09.03.02, 09.03.03, 09.03.04, 09.04.01, 09.04.02, 09.04.03, 09.04.04, 09.05.01, 11.03.02</t>
  </si>
  <si>
    <t>Рекомендовано Межрегиональным учебно-методическим советом профессионального образования в качестве учебника при подготовке кадров высшей квалификации по программам подготовки научно-педагогических кадров в аспирантуре (протокол № 8 от 22.06.2020)</t>
  </si>
  <si>
    <t>666958.02.01</t>
  </si>
  <si>
    <t>Обработка экспериментальных данных на ЭВМ: Уч. / О.С.Логунова и др.-М.:НИЦ ИНФРА-М,2019.-326с(ВО)(П)</t>
  </si>
  <si>
    <t>ОБРАБОТКА ЭКСПЕРИМЕНТАЛЬНЫХ ДАННЫХ НА ЭВМ, ИЗД.1</t>
  </si>
  <si>
    <t>Логунова О.С., Романов П.Ю., Ильина Е.А. и др.</t>
  </si>
  <si>
    <t>978-5-16-013461-1</t>
  </si>
  <si>
    <t>Рекомендовано в качестве учебника для студентов высших учебных заведений, обучающихся по направлениям подготовки 09.03.01 «Информатика и вычислительная техника», 09.03.02 «Информационные системы и технологии», 09.03.03 «Прикладная информатика» 09.03.04 «Программная инженерия» (квалификация (степень) «бакалавр»)</t>
  </si>
  <si>
    <t>708168.02.01</t>
  </si>
  <si>
    <t>Образ жизни и проф. факторы риска здоровью педагога: Моногр. / Е.А.Багнетова, - 2 изд.-М.:НИЦ ИНФРА-М,2023.-100с(О)</t>
  </si>
  <si>
    <t>ОБРАЗ ЖИЗНИ И ПРОФЕССИОНАЛЬНЫЕ ФАКТОРЫ РИСКА ЗДОРОВЬЮ ПЕДАГОГА, ИЗД.2</t>
  </si>
  <si>
    <t>978-5-16-015359-9</t>
  </si>
  <si>
    <t>786186.03.01</t>
  </si>
  <si>
    <t>Образ США в советской прессе периода «оттепели» (1956-1964) / И.Н.Лопаткин - М.:НИЦ ИНФРА-М,2026. - 202 с.(о)</t>
  </si>
  <si>
    <t>ОБРАЗ США В СОВЕТСКОЙ ПРЕССЕ ПЕРИОДА «ОТТЕПЕЛИ» (1956-1964), ИЗД.1</t>
  </si>
  <si>
    <t>Лопаткин И.Н., Хисамутдинова Р.Р.</t>
  </si>
  <si>
    <t>978-5-16-017938-4</t>
  </si>
  <si>
    <t>41.04.05, 41.06.01, 42.06.01, 46.04.01, 46.06.01</t>
  </si>
  <si>
    <t>Оренбургское президентское кадетское училище</t>
  </si>
  <si>
    <t>872237.01.01</t>
  </si>
  <si>
    <t>Образование в ХХI в.: опережающее развитие: Моногр. / М.И.Мухин, - 2 изд. - М.:НИЦ ИНФРА-М,2026. - 182 с.(п)</t>
  </si>
  <si>
    <t>ОБРАЗОВАНИЕ В ХХI ВЕКЕ: ОПЕРЕЖАЮЩЕЕ РАЗВИТИЕ, ИЗД.2</t>
  </si>
  <si>
    <t>Мухин М.И.</t>
  </si>
  <si>
    <t>978-5-16-021906-6</t>
  </si>
  <si>
    <t>44.03.01, 44.03.05, 44.04.01, 44.06.01</t>
  </si>
  <si>
    <t>808796.01.01</t>
  </si>
  <si>
    <t>Образовательная миграция в РФ: роль в развит. сис..: Моногр. / Т.В.Лебедева-М.:НИЦ ИНФРА-М,2024.-188 с.(о)</t>
  </si>
  <si>
    <t>ОБРАЗОВАТЕЛЬНАЯ МИГРАЦИЯ В РОССИЙСКУЮ ФЕДЕРАЦИЮ: РОЛЬ В РАЗВИТИИ СИСТЕМЫ ВЫСШЕГО ОБРАЗОВАНИЯ, ИЗД.1</t>
  </si>
  <si>
    <t>Лебедева Т.В.</t>
  </si>
  <si>
    <t>978-5-16-019096-9</t>
  </si>
  <si>
    <t>38.04.04</t>
  </si>
  <si>
    <t>Московский государственный университет им. М.В. Ломоносова, Высшая школа современных социальных наук</t>
  </si>
  <si>
    <t>703564.05.01</t>
  </si>
  <si>
    <t>Образовательная програм. как инструмент сис. управ...: Моногр. / М.С.Логачев. - М.:НИЦ ИНФРА-М,2025 - 166 с.(О)</t>
  </si>
  <si>
    <t>ОБРАЗОВАТЕЛЬНАЯ ПРОГРАММА КАК ИНСТРУМЕНТ СИСТЕМЫ УПРАВЛЕНИЯ КАЧЕСТВОМ ПРОФЕССИОНАЛЬНОГО ОБРАЗОВАНИЯ, ИЗД.1</t>
  </si>
  <si>
    <t>Логачев М.С., Ткачева Г.В., Самарин Ю.Н.</t>
  </si>
  <si>
    <t>978-5-16-014934-9</t>
  </si>
  <si>
    <t>684972.02.01</t>
  </si>
  <si>
    <t>Образовательная яз. политика в совр. мире: Моногр. Т.1 / М.А.Марусенко - М.:НИЦ ИНФРА-М,2026. - 387 с.(п)</t>
  </si>
  <si>
    <t>ОБРАЗОВАТЕЛЬНАЯ ЯЗЫКОВАЯ ПОЛИТИКА В СОВРЕМЕННОМ МИРЕ, Т.1</t>
  </si>
  <si>
    <t>978-5-16-018263-6</t>
  </si>
  <si>
    <t>44.04.01, 45.04.01, 45.06.01</t>
  </si>
  <si>
    <t>799314.03.01</t>
  </si>
  <si>
    <t>Образовательная яз. политика в совр. мире: Моногр.: Т.2 / М.А.Марусенко - М.:НИЦ ИНФРА-М,2026. - 330 с.(п)</t>
  </si>
  <si>
    <t>ОБРАЗОВАТЕЛЬНАЯ ЯЗЫКОВАЯ ПОЛИТИКА В СОВРЕМЕННОМ МИРЕ, Т.2</t>
  </si>
  <si>
    <t>978-5-16-018372-5</t>
  </si>
  <si>
    <t>44.04.01, 44.06.01, 45.04.02, 45.06.01</t>
  </si>
  <si>
    <t>645329.08.01</t>
  </si>
  <si>
    <t>Образовательное право: Уч. / Д.А.Пашенцев - М.:НИЦ ИНФРА-М,2025 - 180 с.(ВО: Бакалавр.)(П)</t>
  </si>
  <si>
    <t>ОБРАЗОВАТЕЛЬНОЕ ПРАВО, ИЗД.1</t>
  </si>
  <si>
    <t>978-5-16-016096-2</t>
  </si>
  <si>
    <t>40.03.01, 40.04.01, 40.05.01, 40.05.02, 40.05.03, 40.05.04, 44.03.01, 44.03.02, 44.03.03, 44.03.05, 44.04.01, 44.04.02, 44.04.03</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</si>
  <si>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40.03.01 «Юриспруденция» (квалификация (степень) «бакалавр»)</t>
  </si>
  <si>
    <t>645329.09.01</t>
  </si>
  <si>
    <t>Образовательное право: Уч. / Д.А.Пашенцев, - 2 изд. - М.:НИЦ ИНФРА-М,2025. - 185 с.(ВО)(п)</t>
  </si>
  <si>
    <t>ОБРАЗОВАТЕЛЬНОЕ ПРАВО, ИЗД.2</t>
  </si>
  <si>
    <t>978-5-16-020767-4</t>
  </si>
  <si>
    <t>834612.01.01</t>
  </si>
  <si>
    <t>Образовательное право: Уч. / Д.А.Пашенцев, - 2 изд. - М.:НИЦ ИНФРА-М,2026. - 185 с.(СПО)(п)</t>
  </si>
  <si>
    <t>978-5-16-020202-0</t>
  </si>
  <si>
    <t>40.02.04, 44.02.02, 44.02.03, 44.02.04, 44.02.05, 44.02.06</t>
  </si>
  <si>
    <t>670465.03.01</t>
  </si>
  <si>
    <t>Образовательные проц. и ресурсы высшей школы в области..: Уч. / А.Ю.Коловская-М:НИЦ ИНФРА-М,СФУ,2023-531с</t>
  </si>
  <si>
    <t>ОБРАЗОВАТЕЛЬНЫЕ ПРОЦЕССЫ И РЕСУРСЫ ВЫСШЕЙ ШКОЛЫ В ОБЛАСТИ РАДИОЭЛЕКТРОНИКИ, ИЗД.1</t>
  </si>
  <si>
    <t>Коловская А.Ю., Коловская Л.В.</t>
  </si>
  <si>
    <t>978-5-16-013371-3</t>
  </si>
  <si>
    <t>Рекомендовано Учебно-методическим объединением по образованию в области радиотехники, электроники, биомедицинской техники и автоматизации в качестве учебника для студентов вузов по направлению 11.04.01 «Конструирование и технология электронных средств»</t>
  </si>
  <si>
    <t>825172.04.01</t>
  </si>
  <si>
    <t>Образовательный и технологич. сувер. России / Под ред. Ручкиной Г.Ф. - М.:НИЦ ИНФРА-М,2027 - 199 с.(п)</t>
  </si>
  <si>
    <t>ОБРАЗОВАТЕЛЬНЫЙ И ТЕХНОЛОГИЧЕСКИЙ СУВЕРЕНИТЕТ РОССИИ, ИЗД.1</t>
  </si>
  <si>
    <t>Ручкина Г.Ф., Попова А.В., Горохова С.С. и др.</t>
  </si>
  <si>
    <t>978-5-16-019858-3</t>
  </si>
  <si>
    <t>849965.01.01</t>
  </si>
  <si>
    <t>Образовательный потенциал языковых дисциплин в вузах ФСИН России / Т.Е.Алексеева. - М.:НИЦ ИНФРА-М,2025. - 213 с.(о)</t>
  </si>
  <si>
    <t>ОБРАЗОВАТЕЛЬНЫЙ ПОТЕНЦИАЛ ЯЗЫКОВЫХ ДИСЦИПЛИН В ВУЗАХ ФСИН РОССИИ, ИЗД.1</t>
  </si>
  <si>
    <t>Алексеева Т.Е., Андреева Г.Б., Буробина С.В. и др.</t>
  </si>
  <si>
    <t>978-5-16-021087-2</t>
  </si>
  <si>
    <t>796950.01.01</t>
  </si>
  <si>
    <t>Образы новой реальности...: Моногр./ А.Г.Грязнова-М.:НИЦ ИНФРА-М,2024.-365 с.(Науч.мысль - Фин. ун.)(п)</t>
  </si>
  <si>
    <t>ОБРАЗЫ НОВОЙ РЕАЛЬНОСТИ: ТЕНДЕНЦИИ И ПЕРСПЕКТИВЫ ИСТОРИЧЕСКОГО РАЗВИТИЯ, ИЗД.1</t>
  </si>
  <si>
    <t>Аракелян С.М., Артеменко Д.А., Бондаренко В.М. и др.</t>
  </si>
  <si>
    <t>978-5-16-018582-8</t>
  </si>
  <si>
    <t>38.03.01, 38.03.02, 38.04.01, 38.04.02, 39.03.01, 46.03.01</t>
  </si>
  <si>
    <t>749700.06.01</t>
  </si>
  <si>
    <t>Обращение граждан в органы публич. власти: Уч. / С.В.Нарутто - М.:Юр.Норма, НИЦ ИНФРА-М,2026. - 496 с.(П)</t>
  </si>
  <si>
    <t>ОБРАЩЕНИЕ ГРАЖДАН В ОРГАНЫ ПУБЛИЧНОЙ ВЛАСТИ, ИЗД.1</t>
  </si>
  <si>
    <t>Нарутто С.В.</t>
  </si>
  <si>
    <t>978-5-00156-140-8</t>
  </si>
  <si>
    <t>846082.03.01</t>
  </si>
  <si>
    <t>Обращение с животными в России и за рубежом...: Науч.-прак. пос. / С.А.Боголюбов - М.:НИЦ ИНФРА-М,2026 - 456 с.(п)</t>
  </si>
  <si>
    <t>ОБРАЩЕНИЕ С ЖИВОТНЫМИ В РОССИИ И ЗА РУБЕЖОМ: ЗАКОНОДАТЕЛЬСТВО И ПРАВОПРИМЕНЕНИЕ, ИЗД.1</t>
  </si>
  <si>
    <t>978-5-16-020490-1</t>
  </si>
  <si>
    <t>673673.13.01</t>
  </si>
  <si>
    <t>Обращение с отходами производства и потребления: Уч.пос. / Б.Б.Бобович - М.:НИЦ ИНФРА-М,2026 - 436 с.(ВО)(П)</t>
  </si>
  <si>
    <t>ОБРАЩЕНИЕ С ОТХОДАМИ ПРОИЗВОДСТВА И ПОТРЕБЛЕНИЯ, ИЗД.1</t>
  </si>
  <si>
    <t>Бобович Б.Б.</t>
  </si>
  <si>
    <t>978-5-16-013696-7</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</si>
  <si>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20.03.01 «Техносферная безопасность» (квалификация (степень) «бакалавр»)</t>
  </si>
  <si>
    <t>775776.02.01</t>
  </si>
  <si>
    <t>Обретение книги: Марсель Пруст...: Моногр. / А.Н.Таганов - М.:НИЦ ИНФРА-М,2027. - 271 с.(Науч.мысль)(О)</t>
  </si>
  <si>
    <t>ОБРЕТЕНИЕ КНИГИ: МАРСЕЛЬ ПРУСТ В ПОИСКАХ УТРАЧЕННОГО ВРЕМЕНИ, ИЗД.1</t>
  </si>
  <si>
    <t>Таганов А.Н.</t>
  </si>
  <si>
    <t>978-5-16-017625-3</t>
  </si>
  <si>
    <t>44.03.05, 45.04.01, 45.06.01</t>
  </si>
  <si>
    <t>061800.22.01</t>
  </si>
  <si>
    <t>Обследование и испытание констр. зданий и сооруж.: Уч. /В.М.Калинин - М.:НИЦ ИНФРА-М,2026 - 336 с.(СПО)(п)</t>
  </si>
  <si>
    <t>ОБСЛЕДОВАНИЕ И ИСПЫТАНИЕ КОНСТРУКЦИЙ ЗДАНИЙ И СООРУЖЕНИЙ, ИЗД.1</t>
  </si>
  <si>
    <t>Калинин В.М., Сокова С.Д., Топилин А.Н.</t>
  </si>
  <si>
    <t>978-5-16-004786-7</t>
  </si>
  <si>
    <t>08.02.01, 08.02.02, 08.02.14, 20.01.01, 20.02.04</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</si>
  <si>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08.02.01 «Строительство и эксплуатация зданий и сооружений»</t>
  </si>
  <si>
    <t>328100.11.01</t>
  </si>
  <si>
    <t>Обследование техн. сост. зданий и сооружений: Уч.пос. / М.В.Яковлева - М.: НИЦ ИНФРА-М,2026 - 159 с.(ВО)</t>
  </si>
  <si>
    <t>ОБСЛЕДОВАНИЕ ТЕХНИЧЕСКОГО СОСТОЯНИЯ ЗДАНИЙ И СООРУЖЕНИЙ, ИЗД.1</t>
  </si>
  <si>
    <t>Яковлева М.В., Фролов Е.А., Фролов А.Е. и др.</t>
  </si>
  <si>
    <t>978-5-16-021239-5</t>
  </si>
  <si>
    <t>Рекомендовано государственным образовательным учреждением высшего образования «Московский государственный строительный университет» (МГСУ) в качестве учебного пособия для студентов высших учебных заведений, обучающихся по направлению подготовки 08.03.01 «Строительство» по профилю подготовки «Городское строительство»</t>
  </si>
  <si>
    <t>713679.06.01</t>
  </si>
  <si>
    <t>Обследование техн. сост. зданий и сооружений: Уч.пос. / М.В.Яковлева - М.:Форум: НИЦ ИНФРА-М,2026 - 159 с.(СПО)</t>
  </si>
  <si>
    <t>978-5-00091-711-4</t>
  </si>
  <si>
    <t>08.02.01, 08.02.02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</si>
  <si>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08.02.01 «Строительство и эксплуатация зданий и сооружений» (протокол № 6 от 06.04.2020)</t>
  </si>
  <si>
    <t>711978.04.01</t>
  </si>
  <si>
    <t>Обслуживание и рем. судовых теплообмен. аппаратов: Уч.пос. / Н.В.Шерстнев - М.:НИЦ ИНФРА-М,2025 - 232 с(П)</t>
  </si>
  <si>
    <t>ОБСЛУЖИВАНИЕ И РЕМОНТ СУДОВЫХ ТЕПЛООБМЕННЫХ АППАРАТОВ, ИЗД.1</t>
  </si>
  <si>
    <t>Шерстнев Н.В.</t>
  </si>
  <si>
    <t>978-5-16-015351-3</t>
  </si>
  <si>
    <t>18.01.27, 18.01.28, 19.01.01, 26.01.01, 26.01.03, 26.01.05, 26.01.07, 26.01.09, 26.02.01, 26.02.02, 26.02.03, 26.02.04, 26.02.05, 26.02.06, 35.01.32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</si>
  <si>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26.02.02 «Судостроение», 26.02.04 «Монтаж и техническое обслуживание судовых машин и механизмов», 26.02.05 «Эксплуатация судовых энергетических установок» (протокол № 11 от 10.06.2019)</t>
  </si>
  <si>
    <t>768746.05.01</t>
  </si>
  <si>
    <t>Обслуживание и ремонт судовых дизелей: Уч.: В 4 т.Т.3 / Н.В.Шерстнев - М.:НИЦ ИНФРА-М,2026. - 300 с.(П)</t>
  </si>
  <si>
    <t>ОБСЛУЖИВАНИЕ И РЕМОНТ СУДОВЫХ ДИЗЕЛЕЙ. В 4 ТОМАХ, Т.3</t>
  </si>
  <si>
    <t>Высшее образование: Специалитет (СевГУ)</t>
  </si>
  <si>
    <t>978-5-16-017435-8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</si>
  <si>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26.05.06 «Эксплуатация судовых энергетических установок» (квалификация «инженер-механик») (протокол № 7 от 22.09.2021)</t>
  </si>
  <si>
    <t>732797.07.01</t>
  </si>
  <si>
    <t>Обслуживание и ремонт судовых дизелей: Уч.пос.: В 4 т.Т.1 / Н.В.Шерстнев - М.:НИЦ ИНФРА-М,2026 - 350 с.(ВО)(п)</t>
  </si>
  <si>
    <t>ОБСЛУЖИВАНИЕ И РЕМОНТ СУДОВЫХ ДИЗЕЛЕЙ: В 4-Х Т., Т.1</t>
  </si>
  <si>
    <t>978-5-16-021578-5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</si>
  <si>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26.05.06 Эксплуатация судовых энергетических установок (квалификация (степень) «инженер-механик») (протокол №7 от 22.09.2021г.)</t>
  </si>
  <si>
    <t>768745.07.01</t>
  </si>
  <si>
    <t>Обслуживание и ремонт судовых дизелей: Уч.пос.: В 4 т.Т.2 / Н.В.Шерстнев - М.:НИЦ ИНФРА-М,2026 - 299 с(П)</t>
  </si>
  <si>
    <t>ОБСЛУЖИВАНИЕ И РЕМОНТ СУДОВЫХ ДИЗЕЛЕЙ. В 4 ТТ., Т.2</t>
  </si>
  <si>
    <t>978-5-16-017403-7</t>
  </si>
  <si>
    <t>768748.05.01</t>
  </si>
  <si>
    <t>Обслуживание и ремонт судовых дизелей: Уч.пос.: Т.4 / Н.В.Шерстнев - М.:НИЦ ИНФРА-М,2026. - 222 с.(П)</t>
  </si>
  <si>
    <t>ОБСЛУЖИВАНИЕ И РЕМОНТ СУДОВЫХ ДИЗЕЛЕЙ: В 4 Т., Т.4</t>
  </si>
  <si>
    <t>978-5-16-021631-7</t>
  </si>
  <si>
    <t>732796.04.01</t>
  </si>
  <si>
    <t>Обслуживание и ремонт судовых котлов: Уч.пос. / Н.В.Шерстнев - М.:НИЦ ИНФРА-М,2024. - 497 с.(ВО)(П)</t>
  </si>
  <si>
    <t>ОБСЛУЖИВАНИЕ И РЕМОНТ СУДОВЫХ КОТЛОВ, ИЗД.1</t>
  </si>
  <si>
    <t>978-5-16-016740-4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</si>
  <si>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26.05.06 «Эксплуатация судовых энергетических установок» (квалификация «инженер-механик») (протокол № 6 от 16.06.2021)</t>
  </si>
  <si>
    <t>753621.06.01</t>
  </si>
  <si>
    <t>Обслуживание и ремонт судовых насосов: Уч.пос. / Н.В.Шерстнев - М.:НИЦ ИНФРА-М,2026 - 399 с.(СПО)(П)</t>
  </si>
  <si>
    <t>ОБСЛУЖИВАНИЕ И РЕМОНТ СУДОВЫХ НАСОСОВ, ИЗД.1</t>
  </si>
  <si>
    <t>978-5-16-016816-6</t>
  </si>
  <si>
    <t>18.01.27, 18.01.28, 19.01.01, 26.01.01, 26.01.03, 26.01.05, 26.01.07, 26.01.09, 26.02.01, 26.02.03, 26.02.04, 26.02.05, 26.02.06, 35.01.32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</si>
  <si>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26.02.05 «Эксплуатация судовых энергетических установок» (протокол № 10 от 12.10.2020)</t>
  </si>
  <si>
    <t>726976.04.01</t>
  </si>
  <si>
    <t>Обслуживание и ремонт судовых насосов: Уч.пос. / Н.В.Шерстнев - М.:НИЦ ИНФРА-М,2026. - 399 с.(ВО)(П)</t>
  </si>
  <si>
    <t>978-5-16-020281-5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</si>
  <si>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26.05.06 «Эксплуатация судовых энергетических установок» (квалификация «инженер-механик») (протокол №10 от 12.10.2020)</t>
  </si>
  <si>
    <t>700980.06.01</t>
  </si>
  <si>
    <t>Обслуживание и ремонт судовых теплообмен. аппаратов: Уч.пос. / Н.В.Шерстнев - М.:НИЦ ИНФРА-М,2026. - 232 с.(ВО)</t>
  </si>
  <si>
    <t>978-5-16-014895-3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</si>
  <si>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26.05.00 «Техника и технологии кораблестроения и водного транспорта» (квалификация «инженер») (протокол № 3 от 11.02.2019)</t>
  </si>
  <si>
    <t>719197.05.01</t>
  </si>
  <si>
    <t>Обслуживание и ремонт судовых трубопроводов...: Уч.пос. / Н.В.Шерстнев - М.:НИЦ ИНФРА-М,2024. - 372 с.(П)</t>
  </si>
  <si>
    <t>ОБСЛУЖИВАНИЕ И РЕМОНТ СУДОВЫХ ТРУБОПРОВОДОВ, АРМАТУРЫ И ФИЛЬТРОВ, ИЗД.1</t>
  </si>
  <si>
    <t>978-5-16-015739-9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</si>
  <si>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26.05.06 «Эксплуатация судовых энергетических установок» (квалификация «инженер-механик») (протокол № 17 от 11.11.2019)</t>
  </si>
  <si>
    <t>734790.02.01</t>
  </si>
  <si>
    <t>Обслуживание и ремонт судовых трубопроводов..: Уч.пос. / Н.В.Шерстнев - М.:НИЦ ИНФРА-М,2026 - 372 с.(СПО)(П)</t>
  </si>
  <si>
    <t>978-5-16-016152-5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</si>
  <si>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26.02.05 «Эксплуатация судовых энергетических установок» (протокол № 17 от 11.11.2019)</t>
  </si>
  <si>
    <t>684820.02.01</t>
  </si>
  <si>
    <t>Обтурационная опухолевая толстокишечная непроход.: Моногр./ А.В.Пугаев-М.:НИЦ ИНФРА-М,2023-202 с.(П)</t>
  </si>
  <si>
    <t>ОБТУРАЦИОННАЯ ОПУХОЛЕВАЯ ТОЛСТОКИШЕЧНАЯ НЕПРОХОДИМОСТЬ, ИЗД.1</t>
  </si>
  <si>
    <t>Пугаев А.В., Ачкасов Е.Е.</t>
  </si>
  <si>
    <t>978-5-16-014222-7</t>
  </si>
  <si>
    <t>800533.01.01</t>
  </si>
  <si>
    <t>Обучение в вузе в совр. условиях: взгляд психолога: Моногр. / Е.В.Сухова-М.:НИЦ ИНФРА-М,2024.-195 с(о)</t>
  </si>
  <si>
    <t>ОБУЧЕНИЕ В ВУЗЕ В СОВРЕМЕННЫХ УСЛОВИЯХ: ВЗГЛЯД ПСИХОЛОГА, ИЗД.1</t>
  </si>
  <si>
    <t>Сухова Е.В.</t>
  </si>
  <si>
    <t>978-5-16-018383-1</t>
  </si>
  <si>
    <t>Медицинский университет "Реавиз"</t>
  </si>
  <si>
    <t>800886.02.01</t>
  </si>
  <si>
    <t>Обучение ин. яз. и метод. творчество учителя: Моногр. / Н.В.Барышников - М.:НИЦ ИНФРА-М,2027. - 187 с.(о)</t>
  </si>
  <si>
    <t>ОБУЧЕНИЕ ИНОСТРАННЫМ ЯЗЫКАМ И МЕТОДИЧЕСКОЕ ТВОРЧЕСТВО УЧИТЕЛЯ, ИЗД.1</t>
  </si>
  <si>
    <t>Барышников Н.В.</t>
  </si>
  <si>
    <t>978-5-16-018382-4</t>
  </si>
  <si>
    <t>44.04.01, 44.04.02, 44.04.04, 44.06.01</t>
  </si>
  <si>
    <t>669255.06.01</t>
  </si>
  <si>
    <t>Обучение карате-до детей дош. возраста: Уч.практ.пос. / З.Б.Губжоков - М.:НИЦ ИНФРА-М,2027. - 167 с.(П)</t>
  </si>
  <si>
    <t>ОБУЧЕНИЕ КАРАТЕ-ДО ДЕТЕЙ ДОШКОЛЬНОГО ВОЗРАСТА, ИЗД.1</t>
  </si>
  <si>
    <t>Губжоков З.Б., Борисова М.М.</t>
  </si>
  <si>
    <t>978-5-16-014303-3</t>
  </si>
  <si>
    <t>44.03.01, 49.03.01, 49.04.03</t>
  </si>
  <si>
    <t>693010.09.01</t>
  </si>
  <si>
    <t>Обучение матем. в дошк. обр. орг.: Уч.мет.пос. / А.В.Белошистая - 2 изд. - М.:НИЦ ИНФРА-М,2026 - 320 с.(СПО)(П)</t>
  </si>
  <si>
    <t>ОБУЧЕНИЕ МАТЕМАТИКЕ В ДОШКОЛЬНЫХ ОБРАЗОВАТЕЛЬНЫХ ОРГАНИЗАЦИЯХ, ИЗД.2</t>
  </si>
  <si>
    <t>978-5-16-014433-7</t>
  </si>
  <si>
    <t>44.02.01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</si>
  <si>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44.02.01 «Дошкольное образование»</t>
  </si>
  <si>
    <t>448200.16.01</t>
  </si>
  <si>
    <t>Обучение математике...: Метод. пос. / А.В.Белошистая - 2 изд. - М.:НИЦ ИНФРА-М,2026 - 319 с.-(П)</t>
  </si>
  <si>
    <t>978-5-16-011419-4</t>
  </si>
  <si>
    <t>44.02.01, 44.03.01, 44.03.05</t>
  </si>
  <si>
    <t>682996.10.01</t>
  </si>
  <si>
    <t>Обучение реш. задач в нач.школе: Уч.пос. / А.В.Белошистая  - 2 изд. - М.:НИЦ ИНФРА-М,2027  - 281 с.(СПО)(п)</t>
  </si>
  <si>
    <t>ОБУЧЕНИЕ РЕШЕНИЮ ЗАДАЧ В НАЧАЛЬНОЙ ШКОЛЕ, ИЗД.2</t>
  </si>
  <si>
    <t>978-5-16-013977-7</t>
  </si>
  <si>
    <t>44.02.02, 44.02.04, 44.02.05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</si>
  <si>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t>
  </si>
  <si>
    <t>847267.01.01</t>
  </si>
  <si>
    <t>Обучение реш. текстовых арифметич. задач млад. шк..: Моногр. / И.М.Яковлева - М.:НИЦ ИНФРА-М,2025. - 181 с.(о)</t>
  </si>
  <si>
    <t>ОБУЧЕНИЕ РЕШЕНИЮ ТЕКСТОВЫХ АРИФМЕТИЧЕСКИХ ЗАДАЧ МЛАДШИХ ШКОЛЬНИКОВ С УМСТВЕННОЙ ОТСТАЛОСТЬЮ (ИНТЕЛЛЕКТУАЛЬНЫМИ НАРУШЕНИЯМИ), ИЗД.1</t>
  </si>
  <si>
    <t>Яковлева И.М., Скира Е.В.</t>
  </si>
  <si>
    <t>978-5-16-020635-6</t>
  </si>
  <si>
    <t>44.04.03, 44.06.01</t>
  </si>
  <si>
    <t>448300.15.01</t>
  </si>
  <si>
    <t>Обучение решению задач в нач.школе: Метод.пос. / А.В.Белошистая - 2 изд. - М.:НИЦ ИНФРА-М,2027 - 281 с.(п)</t>
  </si>
  <si>
    <t>БелошистаяА.В.</t>
  </si>
  <si>
    <t>978-5-16-011420-0</t>
  </si>
  <si>
    <t>44.02.02, 44.03.01, 44.03.05</t>
  </si>
  <si>
    <t>756090.03.01</t>
  </si>
  <si>
    <t>Обучение решению задач по матем. в 4 кл.: Уч.пос. / А.В.Белошистая - М.:НИЦ ИНФРА-М,2026 - 285 с.(ВО)(п)</t>
  </si>
  <si>
    <t>ОБУЧЕНИЕ РЕШЕНИЮ ЗАДАЧ ПО МАТЕМАТИКЕ В 4 КЛАССЕ, ИЗД.1</t>
  </si>
  <si>
    <t>978-5-16-020552-6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</si>
  <si>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«бакалавр») (протокол № 1 от 20.01.2021)</t>
  </si>
  <si>
    <t>847558.02.01</t>
  </si>
  <si>
    <t>Обучение решению задач по матем. в 4 кл.: Уч.пос. / А.В.Белошистая - М.:НИЦ ИНФРА-М,2026 - 285 с.(СПО)(п)</t>
  </si>
  <si>
    <t>978-5-16-020551-9</t>
  </si>
  <si>
    <t>44.02.02, 44.02.05</t>
  </si>
  <si>
    <t>777499.05.01</t>
  </si>
  <si>
    <t>Обучение рус. яз. и развитие метапредметных умений...: Моногр. / А.Г.Биба - М.:НИЦ ИНФРА-М,2026 - 160 с.(О)</t>
  </si>
  <si>
    <t>ОБУЧЕНИЕ РУССКОМУ ЯЗЫКУ И РАЗВИТИЕ МЕТАПРЕДМЕТНЫХ УМЕНИЙ УЧАЩИХСЯ В КЛАССАХ ИНКЛЮЗИВНОГО НАЧАЛЬНОГО ОБРАЗОВАНИЯ, ИЗД.1</t>
  </si>
  <si>
    <t>978-5-16-017740-3</t>
  </si>
  <si>
    <t>40.05.02, 40.05.04, 44.03.01, 44.03.05, 44.04.03, 44.06.01</t>
  </si>
  <si>
    <t>676294.07.01</t>
  </si>
  <si>
    <t>Обучение студ. с огранич. возмож. здоровья...: Метод. пос. / Е.В.Михальчи - М.:НИЦ ИНФРА-М,2026 - 152 с.(П)</t>
  </si>
  <si>
    <t>ОБУЧЕНИЕ СТУДЕНТОВ С ОГРАНИЧЕННЫМИ ВОЗМОЖНОСТЯМИ ЗДОРОВЬЯ И ИНВАЛИДНОСТЬЮ В СИСТЕМЕ ВЫСШЕГО ОБРАЗОВАНИЯ, ИЗД.1</t>
  </si>
  <si>
    <t>Михальчи Е.В.</t>
  </si>
  <si>
    <t>978-5-16-014746-8</t>
  </si>
  <si>
    <t>00.00.00, 44.03.03, 44.03.05, 44.04.03</t>
  </si>
  <si>
    <t>833230.02.01</t>
  </si>
  <si>
    <t>Общаемся на ин. языке: для факультетов...: Уч.пос. / С.О.Даминова - М.:НИЦ ИНФРА-М,2025. - 323 с.(ВО)(п)</t>
  </si>
  <si>
    <t>ОБЩАЕМСЯ НА ИНОСТРАННОМ ЯЗЫКЕ: ДЛЯ ФАКУЛЬТЕТОВ ЛИНГВИСТИЧЕСКОГО ПРОФИЛЯ, ИЗД.1</t>
  </si>
  <si>
    <t>978-5-16-020527-4</t>
  </si>
  <si>
    <t>640301.06.01</t>
  </si>
  <si>
    <t>Общая  социальная педагогика. Основы теории: Уч.пос. / В.Л.Чекулаенко-М.:НИЦ ИНФРА-М,2024.-191 с.(ВО)(п)</t>
  </si>
  <si>
    <t>ОБЩАЯ  СОЦИАЛЬНАЯ ПЕДАГОГИКА. ОСНОВЫ ТЕОРИИ, ИЗД.1</t>
  </si>
  <si>
    <t>Чекулаенко В.Л.</t>
  </si>
  <si>
    <t>978-5-16-019266-6</t>
  </si>
  <si>
    <t>39.03.02, 44.03.01, 44.03.02, 44.03.03</t>
  </si>
  <si>
    <t>798336.01.01</t>
  </si>
  <si>
    <t>Общая  социальная педагогика. Основы теории: Уч.пос. / В.Л.Чекулаенко-М:НИЦ ИНФРА-М,2023-191с(СПО)(П)</t>
  </si>
  <si>
    <t>978-5-16-018315-2</t>
  </si>
  <si>
    <t>00.01.04, 00.02.15, 39.02.01, 44.02.01, 44.02.02, 44.02.03, 44.02.04, 44.02.05, 44.02.06, 49.02.01, 49.02.02, 51.02.01, 51.02.03, 53.02.01, 54.02.06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</si>
  <si>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9 от 17.11.2022)</t>
  </si>
  <si>
    <t>751195.05.01</t>
  </si>
  <si>
    <t>Общая геология. Новое о Земле: Уч.пос. / Н.В.Короновский - М.:НИЦ ИНФРА-М,2027. - 182 с.(ВО)(п)</t>
  </si>
  <si>
    <t>ОБЩАЯ ГЕОЛОГИЯ. НОВОЕ О ЗЕМЛЕ, ИЗД.1</t>
  </si>
  <si>
    <t>Короновский Н.В., Брянцева Г.В.</t>
  </si>
  <si>
    <t>978-5-16-017164-7</t>
  </si>
  <si>
    <t>05.03.01, 21.05.02, 21.05.03, 21.05.04</t>
  </si>
  <si>
    <t>634605.10.01</t>
  </si>
  <si>
    <t>Общая геология: практ. занятия: Уч.пос. / А.И.Гущин - М.:НИЦ ИНФРА-М,2026 - 236 с.(ВО: Бакалавр.)(П)</t>
  </si>
  <si>
    <t>ОБЩАЯ ГЕОЛОГИЯ: ПРАКТИЧЕСКИЕ ЗАНЯТИЯ, ИЗД.1</t>
  </si>
  <si>
    <t>Гущин А.И., Романовская М.А., Брянцева Г.В. и др.</t>
  </si>
  <si>
    <t>978-5-16-012150-5</t>
  </si>
  <si>
    <t>05.03.01, 05.03.02, 06.03.02, 21.02.10, 21.02.11, 21.02.12</t>
  </si>
  <si>
    <t>Рекомендовано в качестве учебного пособия для студентов высших учебных заведений, обучающихся по направлениям подготовки 05.03.01 «Геология», 05.03.02 «География», 06.03.02 «Почвоведение» (квалификация (степень) «бакалавр»)</t>
  </si>
  <si>
    <t>296000.05.01</t>
  </si>
  <si>
    <t>Общая геология: твиты о Земле / Н.В.Короновский - М.:НИЦ ИНФРА-М,2020 - 154 с.(О)</t>
  </si>
  <si>
    <t>ОБЩАЯ ГЕОЛОГИЯ: ТВИТЫ О ЗЕМЛЕ, ИЗД.1</t>
  </si>
  <si>
    <t>978-5-16-011823-9</t>
  </si>
  <si>
    <t>Твитбук</t>
  </si>
  <si>
    <t>403000.09.01</t>
  </si>
  <si>
    <t>Общая геология: Уч. / Н.В.Короновский - 2 изд. - М.:НИЦ ИНФРА-М,2026 - 474 с.(В.)(П)</t>
  </si>
  <si>
    <t>ОБЩАЯ ГЕОЛОГИЯ, ИЗД.2</t>
  </si>
  <si>
    <t>978-5-16-018945-1</t>
  </si>
  <si>
    <t>05.03.01, 05.03.06, 05.04.01, 20.03.02, 21.02.12, 21.05.02</t>
  </si>
  <si>
    <t>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направлению подготовки 05.03.01 «Геология» (квалификация (степень) «бакалавр»)</t>
  </si>
  <si>
    <t>644458.05.01</t>
  </si>
  <si>
    <t>Общая геополитика. Вопросы теории...: Моногр. / А.Б.Елацков - М.:НИЦ ИНФРА-М,2020 - 251 с.(Науч.мысль)(П)</t>
  </si>
  <si>
    <t>ОБЩАЯ ГЕОПОЛИТИКА. ВОПРОСЫ ТЕОРИИ И МЕТОДОЛОГИИ В ГЕОГРАФИЧЕСКОЙ ИНТЕРПРЕТАЦИИ, ИЗД.1</t>
  </si>
  <si>
    <t>Елацков А.Б.</t>
  </si>
  <si>
    <t>978-5-16-012378-3</t>
  </si>
  <si>
    <t>41.03.04, 41.03.06, 41.04.04</t>
  </si>
  <si>
    <t>644458.06.01</t>
  </si>
  <si>
    <t>Общая геополитика. Вопросы теории...: Моногр. / А.Б.Елацков - М.:НИЦ ИНФРА-М,2022 - 251 с.(Науч.мысль)(О)</t>
  </si>
  <si>
    <t>978-5-16-017478-5</t>
  </si>
  <si>
    <t>644458.07.01</t>
  </si>
  <si>
    <t>Общая геополитика. Вопросы теории...: Моногр. / А.Б.Елацков, - 2 изд.-М.:НИЦ ИНФРА-М,2025.-264 с.(п)</t>
  </si>
  <si>
    <t>ОБЩАЯ ГЕОПОЛИТИКА. ВОПРОСЫ ТЕОРИИ И МЕТОДОЛОГИИ В ГЕОГРАФИЧЕСКОЙ ИНТЕРПРЕТАЦИИ, ИЗД.2</t>
  </si>
  <si>
    <t>978-5-16-018614-6</t>
  </si>
  <si>
    <t>350800.09.01</t>
  </si>
  <si>
    <t>Общая и ветеринарная экология: Уч. / В.Н.Кисленко - М.:НИЦ ИНФРА-М,2025 - 344 с.-(ВО: Бакалавриат)(П)</t>
  </si>
  <si>
    <t>ОБЩАЯ И ВЕТЕРИНАРНАЯ ЭКОЛОГИЯ, ИЗД.1</t>
  </si>
  <si>
    <t>Кисленко В.Н., Калиненко Н.А.</t>
  </si>
  <si>
    <t>978-5-16-010860-5</t>
  </si>
  <si>
    <t>Допущен Министерством сельского хозяйства Российской Федерации в качестве учебника для студентов высших учебных заведений, обучающихся по направлениям подготовки 36.00.00 «Ветеринария и зоотехния»</t>
  </si>
  <si>
    <t>842442.01.01</t>
  </si>
  <si>
    <t>Общая и неорганич. химия в схемах...: Уч.пос. / А.П.Гаршин - 2 изд. - М.:НИЦ ИНФРА-М,2025 - 304 с(СПО)(п)</t>
  </si>
  <si>
    <t>ОБЩАЯ И НЕОРГАНИЧЕСКАЯ ХИМИЯ В СХЕМАХ, РИСУНКАХ, ТАБЛИЦАХ, ХИМИЧЕСКИХ РЕАКЦИЯХ, ИЗД.2</t>
  </si>
  <si>
    <t>Гаршин А.П.</t>
  </si>
  <si>
    <t>978-5-16-020345-4</t>
  </si>
  <si>
    <t>18.01.01, 18.01.35, 18.02.01, 18.02.04, 18.02.05, 18.02.07, 18.02.09, 18.02.10, 18.02.11, 18.02.12, 18.02.14, 18.02.15, 32.02.01, 33.02.01</t>
  </si>
  <si>
    <t>728407.04.01</t>
  </si>
  <si>
    <t>Общая и неорганическая химия в схемах...: Уч.пос. / А.П.Гаршин - 2 изд. - М.:НИЦ ИНФРА-М,2024 - 304 с(ВО)(п)</t>
  </si>
  <si>
    <t>978-5-16-018765-5</t>
  </si>
  <si>
    <t>04.03.01, 04.03.02, 33.05.01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</si>
  <si>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нехимическим направлениям подготовки (квалификация (степень) «бакалавр») (протокол № 8 от 22.06.2020)</t>
  </si>
  <si>
    <t>204600.07.01</t>
  </si>
  <si>
    <t>Общая и прикладная статистика: Уч. / Р.Н. Пахунова - М.: НИЦ ИНФРА-М, 2025 - 272 с. (ВО: Бакалавр.) (п)</t>
  </si>
  <si>
    <t>ОБЩАЯ И ПРИКЛАДНАЯ СТАТИСТИКА, ИЗД.1</t>
  </si>
  <si>
    <t>Пахунова Р. Н., Аскеров П. Ф., Пахунов А. В., Пахунова Р. Н.</t>
  </si>
  <si>
    <t>978-5-16-006669-1</t>
  </si>
  <si>
    <t>Рекомендовано Учебно-методическим объединением по образованию в области статистики в качестве учебника для студентов высших учебных заведений, обучающихся по направлению «Статистика» и другим экономическим специальностям</t>
  </si>
  <si>
    <t>431860.11.01</t>
  </si>
  <si>
    <t>Общая и профессиональная педагогика: Уч. / Г.Н.Жуков - 2 изд. - М.:НИЦ ИНФРА-М,2024-425 с.-(СПО)(П)</t>
  </si>
  <si>
    <t>ОБЩАЯ И ПРОФЕССИОНАЛЬНАЯ ПЕДАГОГИКА, ИЗД.2</t>
  </si>
  <si>
    <t>Жуков Г. Н., Матросов П. Г.</t>
  </si>
  <si>
    <t>978-5-16-012546-6</t>
  </si>
  <si>
    <t>Рекомендовано в качестве учебника для учебных заведений, реализующих программу среднего профессионального образования по специальности 44.02.06 «Профессиональное обучение (по отраслям)»</t>
  </si>
  <si>
    <t>Российский государственный профессионально-педагогический университет, ф-л в г. Кемерово</t>
  </si>
  <si>
    <t>021521.17.01</t>
  </si>
  <si>
    <t>Общая и социальная психология: Уч. / М.И.Еникеев, - 2 изд. - М.:Юр. НОРМА, НИЦ ИНФРА-М,2026. - 640 с.(п)</t>
  </si>
  <si>
    <t>ОБЩАЯ И СОЦИАЛЬНАЯ ПСИХОЛОГИЯ, ИЗД.2</t>
  </si>
  <si>
    <t>Еникеев М. И.</t>
  </si>
  <si>
    <t>978-5-91768-086-6</t>
  </si>
  <si>
    <t>39.03.01, 39.03.02, 39.03.03, 40.03.01, 40.05.01, 40.05.02, 40.05.03</t>
  </si>
  <si>
    <t>429500.18.01</t>
  </si>
  <si>
    <t>Общая психокоррекция: Уч.пос. / Б.Р.Мандель - М.:Вуз.уч.,НИЦ ИНФРА-М,2026 - 349 с.(П)</t>
  </si>
  <si>
    <t>ОБЩАЯ ПСИХОКОРРЕКЦИЯ, ИЗД.1</t>
  </si>
  <si>
    <t>978-5-9558-0290-9</t>
  </si>
  <si>
    <t>31.05.01, 31.05.02, 31.08.20, 31.08.22, 32.04.01, 34.03.01, 37.03.01, 37.03.02, 37.05.01, 44.03.01, 44.03.02</t>
  </si>
  <si>
    <t>374700.03.01</t>
  </si>
  <si>
    <t>Общая психология в схемах и коммент.: Уч.пос. / В.Г.Крысько - 7 изд.-М.:Вуз.уч,НИЦ ИНФРА-М,2019-196с</t>
  </si>
  <si>
    <t>ОБЩАЯ ПСИХОЛОГИЯ В СХЕМАХ И КОММЕНТАРИЯХ, ИЗД.7</t>
  </si>
  <si>
    <t>Крысько В.Г.</t>
  </si>
  <si>
    <t>978-5-9558-0446-0</t>
  </si>
  <si>
    <t>00.03.15, 00.05.15, 37.03.01, 37.03.02, 37.05.01, 37.05.02</t>
  </si>
  <si>
    <t>374700.13.01</t>
  </si>
  <si>
    <t>Общая психология в схемах и коммент.: Уч.пос. / В.Г.Крысько - 8 изд. - М.:НИЦ ИНФРА-М,2027 - 196 с.(ВО)(п)</t>
  </si>
  <si>
    <t>ОБЩАЯ ПСИХОЛОГИЯ В СХЕМАХ И КОММЕНТАРИЯХ, ИЗД.8</t>
  </si>
  <si>
    <t>978-5-16-019559-9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</si>
  <si>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высшего образования (протокол № 2 от 28.01.2019)</t>
  </si>
  <si>
    <t>0819</t>
  </si>
  <si>
    <t>711274.09.01</t>
  </si>
  <si>
    <t>Общая психология в схемах и комментариях: Уч.пос. / В.Г.Крысько - 8 изд., - М.:НИЦ ИНФРА-М,2026 - 196 с.(СПО)(П)</t>
  </si>
  <si>
    <t>978-5-16-015329-2</t>
  </si>
  <si>
    <t>00.01.04, 00.02.15, 11.02.15, 26.02.03, 38.02.01, 38.02.02, 38.02.03, 38.02.06, 38.02.07, 38.02.08, 39.02.01, 39.02.03, 40.02.02, 40.02.04, 42.02.01, 42.02.08, 43.02.01, 43.02.02, 43.02.06, 43.02.15, 43.02.16, 43.02.17, 44.02.06, 50.02.01, 51.02.02, 49.02.03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</si>
  <si>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гуманитарным специальностям (протокол № 5 от 11.03.2019)</t>
  </si>
  <si>
    <t>657342.04.01</t>
  </si>
  <si>
    <t>Общая психология. Практикум: Уч.пос. / Е.Е.Сапогова, - 2 изд. - М.:НИЦ ИНФРА-М,2026. - 625 с.(ВО)(п)</t>
  </si>
  <si>
    <t>ОБЩАЯ ПСИХОЛОГИЯ. ПРАКТИКУМ, ИЗД.2</t>
  </si>
  <si>
    <t>978-5-16-021331-6</t>
  </si>
  <si>
    <t>37.03.01, 37.05.01, 37.05.02, 44.03.01, 44.03.02, 44.03.03, 44.03.04, 44.03.05, 44.05.01</t>
  </si>
  <si>
    <t>Допущено Министерством образования Российской Федерации в качестве учебного пособия для студентов высших учебных заведений, обучающихся по направлению и специальностям «Психология»</t>
  </si>
  <si>
    <t>665055.10.01</t>
  </si>
  <si>
    <t>Общая психология: Уч.пос. / Г.С.Абрамова - 2 изд. - М.:НИЦ ИНФРА-М,2027 - 496 с.-(ВО)(п)</t>
  </si>
  <si>
    <t>ОБЩАЯ ПСИХОЛОГИЯ, ИЗД.2</t>
  </si>
  <si>
    <t>Абрамова Г.С.</t>
  </si>
  <si>
    <t>978-5-16-018685-6</t>
  </si>
  <si>
    <t>37.03.01, 37.04.01, 37.05.01, 44.03.04, 44.03.05</t>
  </si>
  <si>
    <t>Рекомендовано в качестве учебного пособия для студентов высших учебных заведений, обучающихся по направлениям подготовки 37.03.01 «Психология», 37.03.02 «Конфликтология», 44.03.02 «Психолого-педагогическое образование» (квалификация (степень) «бакалавр»)</t>
  </si>
  <si>
    <t>424750.09.01</t>
  </si>
  <si>
    <t>Общая социология: Уч. пос. / К.М. Оганян. - 4 изд. - М.: НИЦ ИНФРА-М, 2025. - 236 с.(ВО)(п)</t>
  </si>
  <si>
    <t>ОБЩАЯ СОЦИОЛОГИЯ, ИЗД.4</t>
  </si>
  <si>
    <t>Оганян К. М.</t>
  </si>
  <si>
    <t>978-5-16-019666-4</t>
  </si>
  <si>
    <t>00.03.10, 00.05.10, 39.03.01, 39.03.02, 39.03.03</t>
  </si>
  <si>
    <t>Рекомендовано Учебно-методическим объединением вузов по классическому университетскому образованию в качестве учебного пособия для студентов высших учебных заведений, обучающихся по направлению «Социология»</t>
  </si>
  <si>
    <t>026220.18.01</t>
  </si>
  <si>
    <t>Общая социология: Уч.пос. / Под общ. ред. А.Г.Эфендиева и др.-М.:НИЦ ИНФРА-М,2023-654с(ВО)(П)</t>
  </si>
  <si>
    <t>ОБЩАЯ СОЦИОЛОГИЯ, ИЗД.1</t>
  </si>
  <si>
    <t>Эфендиев А.Г., Эфендиев А.Г., Кравченко Е.И. и др.</t>
  </si>
  <si>
    <t>978-5-16-018365-7</t>
  </si>
  <si>
    <t>00.03.10, 00.05.10</t>
  </si>
  <si>
    <t>Рекомендовано Министерством образовании и науки Российской Федерации в качестве учебного пособия для студентов высших учебных заведений</t>
  </si>
  <si>
    <t>658923.13.01</t>
  </si>
  <si>
    <t>Общая тактика. Управ. подразделениями..: Уч.пос. / Е.А.Драбатулин - М.:НИЦ ИНФРА-М, СФУ,2026  - 116 с.:цв.ил.(О)</t>
  </si>
  <si>
    <t>ОБЩАЯ ТАКТИКА. УПРАВЛЕНИЕ ПОДРАЗДЕЛЕНИЯМИ В БОЮ, ИЗД.1</t>
  </si>
  <si>
    <t>Драбатулин Е.А., Байрамуков Ю.Б.</t>
  </si>
  <si>
    <t>978-5-16-016589-9</t>
  </si>
  <si>
    <t>56.05.01, 56.05.02, 56.05.03</t>
  </si>
  <si>
    <t>731570.11.01</t>
  </si>
  <si>
    <t>Общая тактика: Уч. / Ю.Б.Байрамуков - 2 изд. - М.:НИЦ ИНФРА-М,СФУ,2027 - 346 с.(Воен. обр. (СФУ))(п)</t>
  </si>
  <si>
    <t>ОБЩАЯ ТАКТИКА, ИЗД.2</t>
  </si>
  <si>
    <t>Байрамуков Ю.Б., Янович В.С., Гончарик С.В. и др.</t>
  </si>
  <si>
    <t>978-5-16-015987-4</t>
  </si>
  <si>
    <t>11.03.01, 11.05.01, 56.05.01, 56.05.02, 56.05.03, 56.05.04, 57.05.01, 57.05.02, 57.05.03</t>
  </si>
  <si>
    <t>Рекомендовано государственным учреждением высшего профессионального образования Военным учебно-научным центром Сухопутных войск «Общевойсковая академия Вооруженных Сил Российской Федерации» в качестве учебника для курсантов учебных военных центров и студентов военных кафедр при высших учебных заведениях, обучающихся по специальностям «Автоматизированные системы обработки информации и управления» и «Радиотехника»</t>
  </si>
  <si>
    <t>667642.06.01</t>
  </si>
  <si>
    <t>Общая теория воспитания: Уч.пос. / С.Ю.Темина - М.:НИЦ ИНФРА-М,2025 - 210 с.(ВО)(П)</t>
  </si>
  <si>
    <t>ОБЩАЯ ТЕОРИЯ ВОСПИТАНИЯ, ИЗД.1</t>
  </si>
  <si>
    <t>Темина С.Ю.</t>
  </si>
  <si>
    <t>978-5-16-013457-4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</si>
  <si>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t>
  </si>
  <si>
    <t>842121.01.01</t>
  </si>
  <si>
    <t>Общая теория воспитания: Уч.пос. / С.Ю.Темина - М.:НИЦ ИНФРА-М,2025 - 210 с.(СПО)(п)</t>
  </si>
  <si>
    <t>978-5-16-020313-3</t>
  </si>
  <si>
    <t>693939.07.01</t>
  </si>
  <si>
    <t>Общая теория гос. и права: предмет..: Моногр. / Д.А.Керимов - М.:Юр.Норма, НИЦ ИНФРА-М,2026 - 136 с.(П)</t>
  </si>
  <si>
    <t>ОБЩАЯ ТЕОРИЯ ГОСУДАРСТВА И ПРАВА: ПРЕДМЕТ, СТРУКТУРА, ФУНКЦИИ, ИЗД.1</t>
  </si>
  <si>
    <t>978-5-91768-967-8</t>
  </si>
  <si>
    <t>342600.03.01</t>
  </si>
  <si>
    <t>Общая теория измерений: монография / Д.Д.Грибанов-М.:НИЦ ИНФРА-М,2018.-116 с..-(Науч.мысль)(О. КБС)</t>
  </si>
  <si>
    <t>ОБЩАЯ ТЕОРИЯ ИЗМЕРЕНИЙ, ИЗД.1</t>
  </si>
  <si>
    <t>Д.Д.Грибанов</t>
  </si>
  <si>
    <t>978-5-16-010766-0</t>
  </si>
  <si>
    <t>11.03.03, 11.03.04, 12.03.04, 16.03.01, 27.03.01, 27.04.01, 28.03.01, 28.03.02</t>
  </si>
  <si>
    <t>750688.01.01</t>
  </si>
  <si>
    <t>Общая теория права в связи с аксиологией ценностей/ А.Г.Чернявский-М.:НИЦ ИНФРА-М,2021.-367 с.(Науч.мысль)(О)</t>
  </si>
  <si>
    <t>ОБЩАЯ ТЕОРИЯ ПРАВА В СВЯЗИ С АКСИОЛОГИЕЙ ЦЕННОСТЕЙ, ИЗД.1</t>
  </si>
  <si>
    <t>978-5-16-016914-9</t>
  </si>
  <si>
    <t>38.03.04, 38.04.04, 40.03.01, 40.04.01, 40.05.01, 40.05.02, 40.05.03, 40.05.04, 40.06.01, 41.03.01, 41.03.06, 44.03.05</t>
  </si>
  <si>
    <t>022360.24.01</t>
  </si>
  <si>
    <t>Общая теория права и государства: Уч. / В.С.Нерсесянц - М.:Юр.Норма, НИЦ ИНФРА-М,2027 - 560 с.(п)</t>
  </si>
  <si>
    <t>ОБЩАЯ ТЕОРИЯ ПРАВА И ГОСУДАРСТВА, ИЗД.1</t>
  </si>
  <si>
    <t>978-5-91768-238-9</t>
  </si>
  <si>
    <t>088700.08.01</t>
  </si>
  <si>
    <t>Общая теория правового положения личности: Моногр. / Н.В.Витрук - М.:Юр.Норма, НИЦ ИНФРА-М,2026 - 448 с.(П)</t>
  </si>
  <si>
    <t>ОБЩАЯ ТЕОРИЯ ПРАВОВОГО ПОЛОЖЕНИЯ ЛИЧНОСТИ, ИЗД.1</t>
  </si>
  <si>
    <t>Витрук Н. В.</t>
  </si>
  <si>
    <t>978-5-91768-807-7</t>
  </si>
  <si>
    <t>669684.03.01</t>
  </si>
  <si>
    <t>Общая теория рыночной экономики: Уч. / А.Д.Некипелов-М.:Магистр, НИЦ ИНФРА-М,2023.-784 с.(П)</t>
  </si>
  <si>
    <t>ОБЩАЯ ТЕОРИЯ РЫНОЧНОЙ ЭКОНОМИКИ, ИЗД.1</t>
  </si>
  <si>
    <t>Некипелов А.Д.</t>
  </si>
  <si>
    <t>978-5-9776-0469-7</t>
  </si>
  <si>
    <t>074540.12.01</t>
  </si>
  <si>
    <t>Общая теория статистики: Уч. пос. / С.Н.Лысенко - М.:ИД Форум, ИНФРА-М Изд. Дом,2025. - 208 с.-(СПО)(п)</t>
  </si>
  <si>
    <t>ОБЩАЯ ТЕОРИЯ СТАТИСТИКИ, ИЗД.1</t>
  </si>
  <si>
    <t>Лысенко С. Н., Дмитриева И. А.</t>
  </si>
  <si>
    <t>978-5-8199-0270-7</t>
  </si>
  <si>
    <t>083280.11.01</t>
  </si>
  <si>
    <t>Общая теория статистики: Уч./ В.Н. Едронова, М.В. Малафеева - 2 изд. - М.: Магистр, 2024 - 608 с. (п)</t>
  </si>
  <si>
    <t>ОБЩАЯ ТЕОРИЯ СТАТИСТИКИ, ИЗД.2</t>
  </si>
  <si>
    <t>Едронова В.Н., Малафеева М.В.</t>
  </si>
  <si>
    <t>978-5-9776-0011-8</t>
  </si>
  <si>
    <t>38.03.01, 38.03.02, 38.03.03, 38.03.04, 38.03.05, 38.03.06, 38.03.07, 38.04.01, 38.04.02, 38.04.03, 38.04.04, 38.04.05, 38.04.06, 38.04.07, 38.04.08, 38.04.09, 38.05.01, 38.05.02, 41.03.06</t>
  </si>
  <si>
    <t>Допущено Мин. обр. и науки РФ в качестве учебника для студентов высших учебных заведений, обучающихся по  экономическим специальностям и направлениям</t>
  </si>
  <si>
    <t>110400.11.01</t>
  </si>
  <si>
    <t>Общая теория статистики: Уч.пос. / С.Н.Лысенко - Изд. испр. и доп. - М:Вуз. уч.:НИЦ ИНФРА-М, 2026 - 219 с.(п)</t>
  </si>
  <si>
    <t>978-5-9558-0115-5</t>
  </si>
  <si>
    <t>Рекомендовано Учебно-методическим объединением по образованию в области Статистики в качестве учебного пособия для студентов высших учебных заведений, обучающихся по специальности 061700 Статистика и другим экономическим специальностям</t>
  </si>
  <si>
    <t>117750.11.01</t>
  </si>
  <si>
    <t>Общая теория юридической ответств.: Моногр. / Н.В.Витрук, - 2 изд. - М.:Юр. НОРМА, НИЦ ИНФРА-М,2026. - 432 с.(П)</t>
  </si>
  <si>
    <t>ОБЩАЯ ТЕОРИЯ ЮРИДИЧЕСКОЙ ОТВЕТСТВЕННОСТИ, ИЗД.2</t>
  </si>
  <si>
    <t>978-5-91768-033-0</t>
  </si>
  <si>
    <t>056560.15.01</t>
  </si>
  <si>
    <t>Общая технология силикатов: Уч. / Л.М.Сулименко - М.:НИЦ ИНФРА-М,2026 - 336 с.(СПО)(О)</t>
  </si>
  <si>
    <t>ОБЩАЯ ТЕХНОЛОГИЯ СИЛИКАТОВ, ИЗД.1</t>
  </si>
  <si>
    <t>Сулименко Л. М.</t>
  </si>
  <si>
    <t>978-5-16-009741-1</t>
  </si>
  <si>
    <t>18.01.04, 18.01.06, 18.01.07, 18.01.08, 18.01.09, 18.01.10, 18.01.11, 18.01.12, 18.01.13, 18.01.14, 18.01.35, 18.02.05, 18.02.13, 18.02.14, 19.01.18</t>
  </si>
  <si>
    <t>Допущено Гос. комитетом РФ по строительству и жилищно-коммунальному комплексу в кач. учеб. для студ. сред. спец. учеб. зав., обуч. по спец. 2508 "Производство тугоплавких и силикатных материалов и изделий"</t>
  </si>
  <si>
    <t>660063.05.01</t>
  </si>
  <si>
    <t>Общая физика: сб. задач: Уч.пос. / Под ред. Павлова С.В. - М.:НИЦ ИНФРА-М,2023 - 319 с.(ВО: Бакалавр.)(П)</t>
  </si>
  <si>
    <t>ОБЩАЯ ФИЗИКА: СБОРНИК ЗАДАЧ, ИЗД.1</t>
  </si>
  <si>
    <t>Павлов С.В., Скипетрова Л.А., Павлов С.В.</t>
  </si>
  <si>
    <t>978-5-16-013262-4</t>
  </si>
  <si>
    <t>05.03.01, 05.03.02, 05.03.03, 05.03.04, 05.03.05, 05.03.06, 06.03.02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</si>
  <si>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05.03.01 «Геология», 05.03.02 «География», 05.03.06 «Экология и природопользование», 06.03.02 «Почвоведение» (квалификация (степень) «бакалавр»)</t>
  </si>
  <si>
    <t>708977.10.01</t>
  </si>
  <si>
    <t>Общая физиотерапия: Уч.мет.пос. / Т.В.Кулишова - 2 изд. - М.:НИЦ ИНФРА-М,2027 - 131 с.(ВО)(П)</t>
  </si>
  <si>
    <t>ОБЩАЯ ФИЗИОТЕРАПИЯ, ИЗД.2</t>
  </si>
  <si>
    <t>Кулишова Т.В., Табашникова Н.А., Каркавина А.Н.</t>
  </si>
  <si>
    <t>978-5-16-021605-8</t>
  </si>
  <si>
    <t>31.05.01, 31.05.02, 31.05.03, 31.06.01, 31.08.50</t>
  </si>
  <si>
    <t>Рекомендовано Межрегиональным учебно-методическим советом профессионального образования для использования в учебном процессе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32.05.01 «Медико-профилактическое дело», 31.05.03 «Стоматология» (протокол № 12 от 24.06.2019)</t>
  </si>
  <si>
    <t>704994.07.01</t>
  </si>
  <si>
    <t>Общая характерис. и методы анализа эксперимент...: Уч.пос. / В.А.Кузьмин - М.:НИЦ ИНФРА-М,2026 - 80 с(О)</t>
  </si>
  <si>
    <t>ОБЩАЯ ХАРАКТЕРИСТИКА И МЕТОДЫ АНАЛИЗА ЭКСПЕРИМЕНТАЛЬНЫХ ИССЛЕДОВАНИЙ РАДИОЭЛЕКТРОННЫХ СИСТЕМ, ИЗД.1</t>
  </si>
  <si>
    <t>Кузьмин В.А.</t>
  </si>
  <si>
    <t>978-5-16-015421-3</t>
  </si>
  <si>
    <t>11.03.01, 11.03.02, 11.03.03, 11.05.01</t>
  </si>
  <si>
    <t>301700.08.01</t>
  </si>
  <si>
    <t>Общая хим. технология в примерах, лаб. раб...: Уч.пос. / М.К.Кошелева, - 2 изд.-М.:НИЦ ИНФРА-М,2025.-210с(П)</t>
  </si>
  <si>
    <t>ОБЩАЯ ХИМИЧЕСКАЯ ТЕХНОЛОГИЯ В ПРИМЕРАХ, ЛАБОРАТОРНЫХ РАБОТАХ, ЗАДАЧАХ И ТЕСТАХ, ИЗД.2</t>
  </si>
  <si>
    <t>Кошелева М.К.</t>
  </si>
  <si>
    <t>978-5-16-020423-9</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</si>
  <si>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18.03.01, 18.04.01 «Химическая технология»,18.03.02, 18.04.02 «Энерго- и ресурсосберегающие процессы в химической технологии, нефтехимии и биотехнологии», 20.03.01, 20.04.01 «Техносферная безопасность»</t>
  </si>
  <si>
    <t>301700.02.01</t>
  </si>
  <si>
    <t>Общая химическая технология в пример., зад., лаб..: Уч. пос./Л.Л.Товажнянский-ИНФРА-М,2017-447с.(ВО)</t>
  </si>
  <si>
    <t>ОБЩАЯ ХИМИЧЕСКАЯ ТЕХНОЛОГИЯ В ПРИМЕРАХ, ЗАДАЧАХ, ЛАБОРАТОРНЫХ РАБОТАХ И ТЕСТАХ, ИЗД.1</t>
  </si>
  <si>
    <t>Товажнянский Л.Л., Кошелева М.К., Бухкало С.И.</t>
  </si>
  <si>
    <t>978-5-16-010186-6</t>
  </si>
  <si>
    <t>Допущено учебно-методическим объединением по образованию в области химической технологии и биотехнологии в качестве учебного пособия для студентов высших учебных заведений, обучающихся по направлению 18.04.01 «Химическая технология"</t>
  </si>
  <si>
    <t>Харьковский политехнический институт</t>
  </si>
  <si>
    <t>799686.01.01</t>
  </si>
  <si>
    <t>Общая химия: Уч.пос. / Л.П.Поддубных-М.:НИЦ ИНФРА-М,2024.-178 с.(ВО (КрГАУ))(п)</t>
  </si>
  <si>
    <t>ОБЩАЯ ХИМИЯ, ИЗД.1</t>
  </si>
  <si>
    <t>Поддубных Л.П.</t>
  </si>
  <si>
    <t>978-5-16-019036-5</t>
  </si>
  <si>
    <t>35.03.03, 35.03.04, 35.03.05, 35.03.06, 35.03.07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</si>
  <si>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обучающихся по направлениям подготовки 35.03.03 «Агрохимия и агропочвоведение» и 35.03.04 «Агрономия»</t>
  </si>
  <si>
    <t>785315.02.01</t>
  </si>
  <si>
    <t>Общая хирургия. Учебные игры: Уч.пос. / Под ред. Оскреткова В.И.-М.:НИЦ ИНФРА-М,2024.-196 с.(ВО)(п)</t>
  </si>
  <si>
    <t>ОБЩАЯ ХИРУРГИЯ. УЧЕБНЫЕ ИГРЫ, ИЗД.1</t>
  </si>
  <si>
    <t>Оскретков В.И., Цеймах Е.А., Масликова С.А. и др.</t>
  </si>
  <si>
    <t>978-5-16-017939-1</t>
  </si>
  <si>
    <t>078120.11.01</t>
  </si>
  <si>
    <t>Общая хирургия: Уч. пос. / Т.Д. Селезнева. - М.: РИОР, 2026. - 155 с. (о.к/ф)</t>
  </si>
  <si>
    <t>ОБЩАЯ ХИРУРГИЯ, ИЗД.1</t>
  </si>
  <si>
    <t>Селезнева Т. Д.</t>
  </si>
  <si>
    <t>5-369-00066-2</t>
  </si>
  <si>
    <t>299400.07.01</t>
  </si>
  <si>
    <t>Общая экология человека: Уч. /Б.Б.Прохоров - М.:НИЦ ИНФРА-М,2023 - 424с. (ВО:Бакалавриат)(П)</t>
  </si>
  <si>
    <t>ОБЩАЯ ЭКОЛОГИЯ ЧЕЛОВЕКА, ИЗД.1</t>
  </si>
  <si>
    <t>Б.Б.Прохоров, М.В.Черковец</t>
  </si>
  <si>
    <t>978-5-16-010142-2</t>
  </si>
  <si>
    <t>05.03.06, 05.04.06, 39.03.02, 39.04.02, 44.03.05</t>
  </si>
  <si>
    <t>Рекомендовано в качестве учебника для студентов высших учебных заведений,обучающихся по направлению подготовки 05.03.06. «Экология и природопользование» (квалификация (степень) «бакалавр»)</t>
  </si>
  <si>
    <t>063346.12.01</t>
  </si>
  <si>
    <t>Общая экология: Курс лекций / В.В.Маврищев - 3 изд. - М.:НИЦ ИНФРА-М,2026 - 299 с.(ВО)(п)</t>
  </si>
  <si>
    <t>ОБЩАЯ ЭКОЛОГИЯ, ИЗД.3</t>
  </si>
  <si>
    <t>Маврищев В. В.</t>
  </si>
  <si>
    <t>978-5-16-004684-6</t>
  </si>
  <si>
    <t>00.03.12, 00.05.12</t>
  </si>
  <si>
    <t>070700.18.01</t>
  </si>
  <si>
    <t>Общая экология: Уч. / М.В.Гальперин - 2 изд. - М.:Форум, НИЦ ИНФРА-М,2025 - 336 с.(СПО)(П)</t>
  </si>
  <si>
    <t>ОБЩАЯ ЭКОЛОГИЯ, ИЗД.2</t>
  </si>
  <si>
    <t>978-5-00091-469-4</t>
  </si>
  <si>
    <t>00.02.36, 00.02.37</t>
  </si>
  <si>
    <t>245600.06.01</t>
  </si>
  <si>
    <t>Общая экономическая теория: Уч. / А.Ю. Воронин - М.: НИЦ ИНФРА-М, 2026. - 518 с. (ВО: Бакалавр.) (п)</t>
  </si>
  <si>
    <t>ОБЩАЯ ЭКОНОМИЧЕСКАЯ ТЕОРИЯ, ИЗД.1</t>
  </si>
  <si>
    <t>Воронин А. Ю., Воронин А. Ю.</t>
  </si>
  <si>
    <t>978-5-16-009294-2</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</si>
  <si>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080100 «Экономика» (квалификация (степень) «б</t>
  </si>
  <si>
    <t>336500.10.01</t>
  </si>
  <si>
    <t>Общая экономическая теория: Уч. / В.З.Баликоев - 16 изд. - М.:НИЦ ИНФРА-М,2026 - 528 с.(ВО: Бакалавр.)(П)</t>
  </si>
  <si>
    <t>ОБЩАЯ ЭКОНОМИЧЕСКАЯ ТЕОРИЯ, ИЗД.16</t>
  </si>
  <si>
    <t>Баликоев В.З.</t>
  </si>
  <si>
    <t>978-5-16-018864-5</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</si>
  <si>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подготовки 38.03.01 «Экономика» (квалификация (степень) «бакалавр»)</t>
  </si>
  <si>
    <t>1615</t>
  </si>
  <si>
    <t>336500.11.01</t>
  </si>
  <si>
    <t>Общая экономическая теория: Уч. / В.З.Баликоев, - 17 изд. - М.:НИЦ ИНФРА-М,2026. -  532 с.(ВО)(п)</t>
  </si>
  <si>
    <t>ОБЩАЯ ЭКОНОМИЧЕСКАЯ ТЕОРИЯ, ИЗД.17</t>
  </si>
  <si>
    <t>978-5-16-021280-7</t>
  </si>
  <si>
    <t>1726</t>
  </si>
  <si>
    <t>318900.12.01</t>
  </si>
  <si>
    <t>Общая электротехника и электроника: Уч. / Под ред. Саркисова П.Д., - 2 изд. - М.:НИЦ ИНФРА-М,2026. - 479 с.(ВО)(п)</t>
  </si>
  <si>
    <t>ОБЩАЯ ЭЛЕКТРОТЕХНИКА И ЭЛЕКТРОНИКА, ИЗД.2</t>
  </si>
  <si>
    <t>Комиссаров Ю.А., Бабокин Г.И., Саркисова П.Д.</t>
  </si>
  <si>
    <t>978-5-16-022307-0</t>
  </si>
  <si>
    <t>00.03.31, 09.02.01</t>
  </si>
  <si>
    <t>Рекомендовано Учебно-методическим объединением в области химической технологии и биотехнологии Министерства образования и науки РФ в качестве учебника для студентов вузов, обучающихся по химико-технологическим направлениям подготовки бакалавров и дипломированных специалистов</t>
  </si>
  <si>
    <t>712554.10.01</t>
  </si>
  <si>
    <t>Общая энергетика: Уч.пос. / В.И.Полищук - М.:НИЦ ИНФРА-М,2027 - 208 с.(ВО)(п)</t>
  </si>
  <si>
    <t>ОБЩАЯ ЭНЕРГЕТИКА, ИЗД.1</t>
  </si>
  <si>
    <t>Полищук В.И.</t>
  </si>
  <si>
    <t>978-5-16-018523-1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</si>
  <si>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13.03.00 «Электро- и теплоэнергетика» (квалификация (степень) «бакалавр») (протокол № 8 от 22.06.2020)</t>
  </si>
  <si>
    <t>654694.15.01</t>
  </si>
  <si>
    <t>Общевоинские уставы Вооруженных сил РФ: Сб. док, - 7 изд.-М.:НИЦ ИНФРА-М,2024.-717 с.(П)</t>
  </si>
  <si>
    <t>ОБЩЕВОИНСКИЕ УСТАВЫ ВООРУЖЕННЫХ СИЛ РФ, ИЗД.7</t>
  </si>
  <si>
    <t>978-5-16-018426-5</t>
  </si>
  <si>
    <t>56.04.01, 56.04.02, 56.04.03, 56.04.04, 56.04.05, 56.04.06, 56.04.07, 56.04.08, 56.04.09, 56.04.10, 56.04.11, 56.04.12, 56.05.01, 56.05.02, 56.05.03, 56.05.04</t>
  </si>
  <si>
    <t>654694.17.01</t>
  </si>
  <si>
    <t>Общевоинские уставы Вооруженных сил РФ: Сб. док, - 8 изд. - М.:НИЦ ИНФРА-М,2025. - 724 с.(П)</t>
  </si>
  <si>
    <t>ОБЩЕВОИНСКИЕ УСТАВЫ ВООРУЖЕННЫХ СИЛ РФ, ИЗД.8</t>
  </si>
  <si>
    <t>978-5-16-019939-9</t>
  </si>
  <si>
    <t>654694.19.01</t>
  </si>
  <si>
    <t>Общевоинские уставы Вооруженных сил РФ: Сб. док. - 9 изд. - М.:НИЦ ИНФРА-М,2026. - 726 с.(п)</t>
  </si>
  <si>
    <t>ОБЩЕВОИНСКИЕ УСТАВЫ ВООРУЖЕННЫХ СИЛ РОССИЙСКОЙ ФЕДЕРАЦИИ, ИЗД.9</t>
  </si>
  <si>
    <t>978-5-16-021503-7</t>
  </si>
  <si>
    <t>654694.08.01</t>
  </si>
  <si>
    <t>Общевоинские уставы Вооруженных сил РФ: Сб. документов - 5 изд. - М.:НИЦ ИНФРА-М,2021 - 717 с.(П)</t>
  </si>
  <si>
    <t>ОБЩЕВОИНСКИЕ УСТАВЫ ВООРУЖЕННЫХ СИЛ РФ, ИЗД.5</t>
  </si>
  <si>
    <t>978-5-16-017009-1</t>
  </si>
  <si>
    <t>654694.02.01</t>
  </si>
  <si>
    <t>Общевоинские уставы Вооруженных сил РФ: Сборник документов - М.:НИЦ ИНФРА-М,2017 - 696 с.(П)</t>
  </si>
  <si>
    <t>ОБЩЕВОИНСКИЕ УСТАВЫ ВООРУЖЕННЫХ СИЛ РФ, ИЗД.1</t>
  </si>
  <si>
    <t>978-5-16-012687-6</t>
  </si>
  <si>
    <t>838293.01.01</t>
  </si>
  <si>
    <t>Общее введение в теорию функций: Уч. / А.Б.Шишкин - М.:НИЦ ИНФРА-М,2025. - 425 с.(ВО)(п)</t>
  </si>
  <si>
    <t>ОБЩЕЕ ВВЕДЕНИЕ В ТЕОРИЮ ФУНКЦИЙ, ИЗД.1</t>
  </si>
  <si>
    <t>978-5-16-020376-8</t>
  </si>
  <si>
    <t>01.03.01, 03.03.01</t>
  </si>
  <si>
    <t>356500.14.01</t>
  </si>
  <si>
    <t>Общее недоразвитие речи. Алалия: Уч.мет.пос. / Е.А.Логинова - М.:НИЦ ИНФРА-М,2026. - 64 с.-(ВО)(о)</t>
  </si>
  <si>
    <t>ОБЩЕЕ НЕДОРАЗВИТИЕ РЕЧИ. АЛАЛИЯ, ИЗД.1</t>
  </si>
  <si>
    <t>978-5-16-021793-2</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</si>
  <si>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</si>
  <si>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704211.05.01</t>
  </si>
  <si>
    <t>Общее недоразвитие речи. Алалия: Уч.мет.пос. / Е.А.Логинова - М.:НИЦ ИНФРА-М,2026. - 64 с.(СПО)(о)</t>
  </si>
  <si>
    <t>978-5-16-021377-4</t>
  </si>
  <si>
    <t>44.02.01, 44.02.02, 44.02.03, 44.02.04, 44.02.05</t>
  </si>
  <si>
    <t>033180.20.01</t>
  </si>
  <si>
    <t>Общее управление организацией. Теория и практика: Уч. /З.П.Румянцева - М.:ИНФРА-М, 2024 -304с.(ВО) (п)</t>
  </si>
  <si>
    <t>ОБЩЕЕ УПРАВЛЕНИЕ ОРГАНИЗАЦИЕЙ. ТЕОРИЯ И ПРАКТИКА, ИЗД.1</t>
  </si>
  <si>
    <t>Румянцева З. П.</t>
  </si>
  <si>
    <t>978-5-16-010536-9</t>
  </si>
  <si>
    <t>Рекомендовано Учебно-методическим объединением вузов РФ по образованию в области менеджмента в качестве учебника для студентов высших учебных заведений, обучающихся по специальности "Менеджмент организации"</t>
  </si>
  <si>
    <t>701973.09.01</t>
  </si>
  <si>
    <t>Общее устройство боевой машины пехоты БМП-2: Уч.пос. / И.Ю.Лепешинский. - М.:НИЦ ИНФРА-М,2026. - 267 с.(ВО)(П)</t>
  </si>
  <si>
    <t>ОБЩЕЕ УСТРОЙСТВО БОЕВОЙ МАШИНЫ ПЕХОТЫ БМП-2, ИЗД.1</t>
  </si>
  <si>
    <t>Лепешинский И.Ю., Погодаев В.П., Крюков К.С. и др.</t>
  </si>
  <si>
    <t>978-5-16-015029-1</t>
  </si>
  <si>
    <t>23.03.02, 23.03.03, 23.05.01, 23.05.02</t>
  </si>
  <si>
    <t>706845.02.01</t>
  </si>
  <si>
    <t>Общее учение о правовом порядке. Восхожд. прав...: Моногр./ Н.Н.Черногор-М.:НИЦ ИНФРА-М,2023-348с(П)</t>
  </si>
  <si>
    <t>ОБЩЕЕ УЧЕНИЕ О ПРАВОВОМ ПОРЯДКЕ. ВОСХОЖДЕНИЕ ПРАВОПОРЯДКА, ИЗД.1</t>
  </si>
  <si>
    <t>Черногор Н.Н., Пашенцев Д.А., Залоило М.В. и др.</t>
  </si>
  <si>
    <t>978-5-16-015125-0</t>
  </si>
  <si>
    <t>734781.03.01</t>
  </si>
  <si>
    <t>Общеметодические аспекты обуч. в спец. обр. учр.: Уч.мет.пос. / М.В.Матвеева, - М.: НИЦ ИНФРА-М,2026 - 176 с.(СПО)(П)</t>
  </si>
  <si>
    <t>ОБЩЕМЕТОДИЧЕСКИЕ АСПЕКТЫ ОБУЧЕНИЯ В СПЕЦИАЛЬНЫХ ОБРАЗОВАТЕЛЬНЫХ УЧРЕЖДЕНИЯХ, ИЗД.1</t>
  </si>
  <si>
    <t>Матвеева М.В., Коршунова Т.В.</t>
  </si>
  <si>
    <t>978-5-16-021115-2</t>
  </si>
  <si>
    <t>44.02.01, 44.02.02, 44.02.03, 44.02.04, 44.02.05, 44.02.06, 49.02.01, 49.02.02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</si>
  <si>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44.02.05 «Коррекционная педагогика в начальном образовании» (протокол № 17 от 11.11.2019)</t>
  </si>
  <si>
    <t>438400.05.01</t>
  </si>
  <si>
    <t>Общеметодические аспекты обуч.в спец. обр.учр.: Уч.-мет. пос./М.В.Матвеева-М.:НИЦ ИНФРА-М,2024.-176с</t>
  </si>
  <si>
    <t>978-5-16-017948-3</t>
  </si>
  <si>
    <t>44.03.01, 44.03.03, 44.04.03</t>
  </si>
  <si>
    <t>Рекомендовано кафедрой логопедии ЛГУ имени А.С. Пушкина в качестве учебно-методического пособия для студентов высших учебных заведений, обучающихся по направлениям подготовки 44.03.03 «Специальное (дефектологическое) образование» (бакалавриат), по профилю подготовки «Логопедия» и 44.04.03 «Специальное (дефектологическое) образование» (магистратура)</t>
  </si>
  <si>
    <t>398800.09.01</t>
  </si>
  <si>
    <t>Общение с природой начинается с детства: Моногр. / С.Н.Николаева, - 2 изд. - М.:НИЦ ИНФРА-М,2026 - 216 с.(О)</t>
  </si>
  <si>
    <t>ОБЩЕНИЕ С ПРИРОДОЙ НАЧИНАЕТСЯ С ДЕТСТВА, ИЗД.2</t>
  </si>
  <si>
    <t>Николаева С.Н.</t>
  </si>
  <si>
    <t>978-5-16-011274-9</t>
  </si>
  <si>
    <t>44.03.02, 44.03.03, 44.03.04, 44.03.05, 44.04.01, 44.04.02, 44.04.03, 44.04.04, 44.05.01</t>
  </si>
  <si>
    <t>734555.04.01</t>
  </si>
  <si>
    <t>Общепризнанные принципы и нормы международ. права: Моногр. / А.А.Максуров-М.:НИЦ ИНФРА-М,2024.-189 с(О)</t>
  </si>
  <si>
    <t>ОБЩЕПРИЗНАННЫЕ ПРИНЦИПЫ И НОРМЫ МЕЖДУНАРОДНОГО ПРАВА: ПОНЯТИЕ И ПРОБЛЕМЫ ПРИМЕНЕНИЯ В РОССИЙСКОЙ ФЕДЕРАЦИИ, ИЗД.1</t>
  </si>
  <si>
    <t>978-5-16-016219-5</t>
  </si>
  <si>
    <t>862884.02.01</t>
  </si>
  <si>
    <t>Общероссийский классификатор проф. рабочих, должностей...ОК 016-2025 - М.:НИЦ ИНФРА-М,2026. - 386 с.(п)</t>
  </si>
  <si>
    <t>ОБЩЕРОССИЙСКИЙ КЛАССИФИКАТОР ПРОФЕССИЙ РАБОЧИХ, ДОЛЖНОСТЕЙ СЛУЖАЩИХ И ТАРИФНЫХ РАЗРЯДОВ ОК 016-2025, ИЗД.1</t>
  </si>
  <si>
    <t>978-5-16-021237-1</t>
  </si>
  <si>
    <t>38.03.03, 38.04.03, 40.03.01</t>
  </si>
  <si>
    <t>824325.01.01</t>
  </si>
  <si>
    <t>Общественная география после 2030 г...: Моногр. / В.И.Блануца - М.:НИЦ ИНФРА-М,2024. - 336 с.(Науч.мысль)(п)</t>
  </si>
  <si>
    <t>ОБЩЕСТВЕННАЯ ГЕОГРАФИЯ ПОСЛЕ 2030 ГОДА: КОНТУРЫ НОВЫХ НАПРАВЛЕНИЙ, ИЗД.1</t>
  </si>
  <si>
    <t>978-5-16-019802-6</t>
  </si>
  <si>
    <t>05.04.02, 05.06.01, 41.04.05, 41.06.01</t>
  </si>
  <si>
    <t>775351.02.01</t>
  </si>
  <si>
    <t>Общественная география: цифровые приоритеты XXI в.: Моногр. / В.И.Блануца - М.:НИЦ ИНФРА-М,2026. - 252 с.(П)</t>
  </si>
  <si>
    <t>ОБЩЕСТВЕННАЯ ГЕОГРАФИЯ: ЦИФРОВЫЕ ПРИОРИТЕТЫ XXI ВЕКА, ИЗД.1</t>
  </si>
  <si>
    <t>978-5-16-017607-9</t>
  </si>
  <si>
    <t>05.04.02, 05.06.01, 41.03.02</t>
  </si>
  <si>
    <t>730639.05.01</t>
  </si>
  <si>
    <t>Общественное здоровье и здравоохранение: Уч. / Н.М.Агарков - М.:НИЦ ИНФРА-М,2025 - 560 с(СПО)(П)</t>
  </si>
  <si>
    <t>ОБЩЕСТВЕННОЕ ЗДОРОВЬЕ И ЗДРАВООХРАНЕНИЕ, ИЗД.1</t>
  </si>
  <si>
    <t>Агарков Н.М., Гонтарев С.Н., Зубарева Н.Н. и др.</t>
  </si>
  <si>
    <t>978-5-16-015947-8</t>
  </si>
  <si>
    <t>31.02.01, 31.02.02, 31.02.06, 34.02.01, 34.02.02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</si>
  <si>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укрупненным группам специальностей 31.02.00 «Клиническая  медицина», 32.02.00 «Науки о здоровье и профилактическая медицина» (протокол № 8 от 22.06.2020)</t>
  </si>
  <si>
    <t>708234.08.01</t>
  </si>
  <si>
    <t>Общественное здоровье и здравоохранение: Уч. / Н.М.Агарков. - М.:НИЦ ИНФРА-М,2026. - 560 с.(ВО)(п)</t>
  </si>
  <si>
    <t>978-5-16-015317-9</t>
  </si>
  <si>
    <t>31.05.01, 31.05.02, 31.08.71, 32.04.01, 32.05.01, 34.03.01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</si>
  <si>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31.05.00 «Клиническая медицина» (протокол № 8 от 29.04.2019)</t>
  </si>
  <si>
    <t>728383.02.01</t>
  </si>
  <si>
    <t>Общественное мнение в США в преддверии...: Моногр. / Т.В.Алентьева-М.:НИЦ ИНФРА-М,2022.-357 с.(Науч.мысль)(О)</t>
  </si>
  <si>
    <t>ОБЩЕСТВЕННОЕ МНЕНИЕ В США В ПРЕДДВЕРИИ ГРАЖДАНСКОЙ ВОЙНЫ (1850-1861 ГГ.), ИЗД.1</t>
  </si>
  <si>
    <t>978-5-16-015911-9</t>
  </si>
  <si>
    <t>741862.05.01</t>
  </si>
  <si>
    <t>Общественное мнение в управ. соц. процессами: Моногр. / Е.Г.Бунов - М.:НИЦ ИНФРА-М,2027. - 166 с.(Науч.мысль)(О)</t>
  </si>
  <si>
    <t>ОБЩЕСТВЕННОЕ МНЕНИЕ В УПРАВЛЕНИИ СОЦИАЛЬНЫМИ ПРОЦЕССАМИ, ИЗД.1</t>
  </si>
  <si>
    <t>Бунов Е.Г., Тихонова Е.В.</t>
  </si>
  <si>
    <t>978-5-16-017738-0</t>
  </si>
  <si>
    <t>741862.01.01</t>
  </si>
  <si>
    <t>Общественное мнение в управ. соц. процессами: Моногр. / Е.Г.Бунов-М.:НИЦ ИНФРА-М,2021.-166 с.(Науч.мысль)(П)</t>
  </si>
  <si>
    <t>978-5-16-016465-6</t>
  </si>
  <si>
    <t>345300.12.01</t>
  </si>
  <si>
    <t>Общественное питание: учет и калькулиров..: Уч.пос. /А.М.Петров - 4 изд  - М.:КУРС,НИЦ ИНФРА-М,2024-270с(О)</t>
  </si>
  <si>
    <t>ОБЩЕСТВЕННОЕ ПИТАНИЕ: УЧЕТ И КАЛЬКУЛИРОВАНИЕ СЕБЕСТОИМОСТИ. 4-Е ИЗД., ПЕРЕРАБ. И ДОП., ИЗД.4</t>
  </si>
  <si>
    <t>978-5-906923-72-1</t>
  </si>
  <si>
    <t>19.02.10, 19.02.13, 19.03.04, 19.04.04, 38.02.01, 38.02.08, 38.03.01, 38.03.02, 38.03.05, 38.03.06, 38.03.07, 38.04.01, 38.04.02, 38.04.05, 38.04.06, 38.04.07, 38.04.08</t>
  </si>
  <si>
    <t>735885.03.01</t>
  </si>
  <si>
    <t>Общественный и идентификац. статус коммуникатив.: Моногр. / О.Я.Гойхман.-М.:НИЦ ИНФРА-М,2024.-198 с.(О)</t>
  </si>
  <si>
    <t>ОБЩЕСТВЕННЫЙ И ИДЕНТИФИКАЦИОННЫЙ СТАТУС КОММУНИКАТИВИСТИКИ, ИЗД.1</t>
  </si>
  <si>
    <t>Гойхман О.Я., Гончарова Л.М., Дмитриева С.Ю. и др.</t>
  </si>
  <si>
    <t>978-5-16-016358-1</t>
  </si>
  <si>
    <t>37.04.01, 37.04.02, 37.05.01, 37.05.02, 37.06.01, 38.04.01, 38.04.02, 38.04.03, 38.04.04, 38.06.01, 41.04.05, 41.06.01, 42.04.01, 42.04.02, 42.04.03, 42.04.04, 42.04.05, 42.06.01</t>
  </si>
  <si>
    <t>741367.01.01</t>
  </si>
  <si>
    <t>Общество во власти медиапроцессов: Моногр. / А.А.Ефанов - М.:НИЦ ИНФРА-М,2021 - 189 с.(Науч.мысль)(П)</t>
  </si>
  <si>
    <t>ОБЩЕСТВО ВО ВЛАСТИ МЕДИАПРОЦЕССОВ, ИЗД.1</t>
  </si>
  <si>
    <t>Ефанов А.А.</t>
  </si>
  <si>
    <t>978-5-16-016414-4</t>
  </si>
  <si>
    <t>39.04.01, 39.06.01, 41.04.04, 41.06.01, 42.04.02, 42.04.05, 42.06.01</t>
  </si>
  <si>
    <t>741367.03.01</t>
  </si>
  <si>
    <t>Общество во власти медиапроцессов: Моногр. / А.А.Ефанов - М.:НИЦ ИНФРА-М,2026. - 189 с.-(Науч.мысль)(о)</t>
  </si>
  <si>
    <t>978-5-16-019415-8</t>
  </si>
  <si>
    <t>374300.05.01</t>
  </si>
  <si>
    <t>Общество и государство: Моногр. / В.В.Афанасьев - М.:НИЦ ИНФРА-М,2025. - 175 с.(Научная мысль)(П)</t>
  </si>
  <si>
    <t>ОБЩЕСТВО И ГОСУДАРСТВО, ИЗД.1</t>
  </si>
  <si>
    <t>978-5-16-011062-2</t>
  </si>
  <si>
    <t>40.03.01, 41.03.04, 41.06.01, 44.03.01, 44.03.05</t>
  </si>
  <si>
    <t>823171.02.01</t>
  </si>
  <si>
    <t>Общество и школа: вызовы и ответы: Моногр. / Д.Г.Левитес - М.:НИЦ ИНФРА-М,2026 - 218 с.(Науч.мысль)(о)</t>
  </si>
  <si>
    <t>ОБЩЕСТВО И ШКОЛА: ВЫЗОВЫ И ОТВЕТЫ, ИЗД.1</t>
  </si>
  <si>
    <t>Левитес Д.Г.</t>
  </si>
  <si>
    <t>978-5-16-019948-1</t>
  </si>
  <si>
    <t>642886.09.01</t>
  </si>
  <si>
    <t>Обществознание: Уч. / В.В.Ковригин - М.:НИЦ ИНФРА-М,2025. - 303 с.-(СПО)(п)</t>
  </si>
  <si>
    <t>ОБЩЕСТВОЗНАНИЕ, ИЗД.1</t>
  </si>
  <si>
    <t>978-5-16-012362-2</t>
  </si>
  <si>
    <t>642886.11.01</t>
  </si>
  <si>
    <t>Обществознание: Уч. / В.В.Ковригин, - 2 изд. - М.:НИЦ ИНФРА-М,2026. - 303 с.(СПО)(п)</t>
  </si>
  <si>
    <t>ОБЩЕСТВОЗНАНИЕ, ИЗД.2</t>
  </si>
  <si>
    <t>978-5-16-021054-4</t>
  </si>
  <si>
    <t>113500.15.01</t>
  </si>
  <si>
    <t>Обществознание: Уч. / В.О.Мушинский - М.:Форум, НИЦ ИНФРА-М,2018 - 320 с.-(СПО)(П)</t>
  </si>
  <si>
    <t>Мушинский В.О.</t>
  </si>
  <si>
    <t>978-5-00091-459-5</t>
  </si>
  <si>
    <t>259600.10.01</t>
  </si>
  <si>
    <t>Общие вопросы эффективного природопользования: Моногр. / А.П.Гарнов - М.:НИЦ ИНФРА-М,2025 - 214 с.(О)</t>
  </si>
  <si>
    <t>ОБЩИЕ ВОПРОСЫ ЭФФЕКТИВНОГО ПРИРОДОПОЛЬЗОВАНИЯ, ИЗД.1</t>
  </si>
  <si>
    <t>Гарнов А. П., Краснобаева О. В.</t>
  </si>
  <si>
    <t>978-5-16-009495-3</t>
  </si>
  <si>
    <t>38.03.01, 38.03.02, 38.04.01, 38.04.02, 40.03.01, 40.04.01, 41.03.06</t>
  </si>
  <si>
    <t>369400.05.01</t>
  </si>
  <si>
    <t>Общие основания религий: Монография / С.Ю.Поройков - М.:НИЦ ИНФРА-М,2022 - 313 с.-(Науч.мысль)(О)</t>
  </si>
  <si>
    <t>ОБЩИЕ ОСНОВАНИЯ РЕЛИГИЙ, ИЗД.1</t>
  </si>
  <si>
    <t>Поройков С.Ю.</t>
  </si>
  <si>
    <t>978-5-16-011007-3</t>
  </si>
  <si>
    <t>44.03.05, 47.06.01</t>
  </si>
  <si>
    <t>856782.01.01</t>
  </si>
  <si>
    <t>Общие положения об обязательствах и договорах: Уч.пос. / А.Я.Ахмедов - М.:Юр. НОРМА, НИЦ ИНФРА-М,2025. - 544 с.(п)</t>
  </si>
  <si>
    <t>ОБЩИЕ ПОЛОЖЕНИЯ ОБ ОБЯЗАТЕЛЬСТВАХ И ДОГОВОРАХ, ИЗД.1</t>
  </si>
  <si>
    <t>Ахмедов А.Я.</t>
  </si>
  <si>
    <t>978-5-00156-440-9</t>
  </si>
  <si>
    <t>40.03.01, 40.04.01, 40.05.04</t>
  </si>
  <si>
    <t>141100.24.01</t>
  </si>
  <si>
    <t>Общий курс слесарного дела: Уч.пос. / В.Р.Карпицкий - 2 изд. - М.:НИЦ ИНФРА-М,,2026 - 400с.(СПО)(П)</t>
  </si>
  <si>
    <t>ОБЩИЙ КУРС СЛЕСАРНОГО ДЕЛА, ИЗД.2</t>
  </si>
  <si>
    <t>Карпицкий В.Р.</t>
  </si>
  <si>
    <t>978-5-16-004755-3</t>
  </si>
  <si>
    <t>15.01.35, 15.02.17, 23.01.03, 23.01.06, 23.01.07, 23.01.09, 23.02.07, 35.01.29</t>
  </si>
  <si>
    <t>Допущено Министерством образования Республики Беларусь в качестве учебного пособия для учащихся учреждений, обеспечивающих получение профессионально-технического образования по учебной специальности «Техническая эксплуатация оборудования»</t>
  </si>
  <si>
    <t>057100.14.01</t>
  </si>
  <si>
    <t>Общий менеджмент: Уч. / А.В.Райченко - М.:ИНФРА-М,2024 - 384 с.(Уч. для прогр. MBA)(п)</t>
  </si>
  <si>
    <t>ОБЩИЙ МЕНЕДЖМЕНТ, ИЗД.1</t>
  </si>
  <si>
    <t>Райченко А.В.</t>
  </si>
  <si>
    <t>Учебники для программы МВА</t>
  </si>
  <si>
    <t>978-5-16-018919-2</t>
  </si>
  <si>
    <t>38.02.01, 38.02.08, 38.04.01, 38.04.02, 38.06.01, 44.03.05</t>
  </si>
  <si>
    <t>674623.01.01</t>
  </si>
  <si>
    <t>Объединение бизнеса и консолидир.финанс.отчет.: Моногр./ В.С.Плотников-М.:НИЦ ИНФРА-М,2018.-278с(П)</t>
  </si>
  <si>
    <t>ОБЪЕДИНЕНИЕ БИЗНЕСА И КОНСОЛИДИРОВАННАЯ ФИНАНСОВАЯ ОТЧЕТНОСТЬ, ИЗД.1</t>
  </si>
  <si>
    <t>Плотников В.С., Плотникова О.В.</t>
  </si>
  <si>
    <t>978-5-16-013712-4</t>
  </si>
  <si>
    <t>674623.02.01</t>
  </si>
  <si>
    <t>Объединение бизнеса и консолидир.финанс.отчет.: Моногр./ В.С.Плотников-М.:НИЦ ИНФРА-М,2021.-278с(П)</t>
  </si>
  <si>
    <t>978-5-16-016882-1</t>
  </si>
  <si>
    <t>844887.01.01</t>
  </si>
  <si>
    <t>Объективность судеб. разбират. в гражданском судопроизвод. / К.А.Ширяева - М.:НИЦ ИНФРА-М,2025 -183 с.(о)</t>
  </si>
  <si>
    <t>ОБЪЕКТИВНОСТЬ СУДЕБНОГО РАЗБИРАТЕЛЬСТВА В ГРАЖДАНСКОМ СУДОПРОИЗВОДСТВЕ, ИЗД.1</t>
  </si>
  <si>
    <t>Ширяева К.А.</t>
  </si>
  <si>
    <t>978-5-16-020559-5</t>
  </si>
  <si>
    <t>717829.08.01</t>
  </si>
  <si>
    <t>Объектно-ориентир. программир. с прим. на C#: Уч.пос. / П.Б.Хорев - М.:Форум, НИЦ ИНФРА-М,2026. - 200 с.(О)</t>
  </si>
  <si>
    <t>ОБЪЕКТНО-ОРИЕНТИРОВАННОЕ ПРОГРАММИРОВАНИЕ С ПРИМЕРАМИ НА C#, ИЗД.1</t>
  </si>
  <si>
    <t>Хорев П.Б.</t>
  </si>
  <si>
    <t>978-5-00091-713-8</t>
  </si>
  <si>
    <t>09.02.01, 09.02.02, 09.02.03, 09.02.04, 09.02.05, 09.02.06, 09.02.07, 10.02.01, 10.02.02, 10.02.03, 10.02.04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</si>
  <si>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10.02.00 «Информационная безопасность» (протокол № 10 от 27.05.2019)</t>
  </si>
  <si>
    <t>462400.07.01</t>
  </si>
  <si>
    <t>Объектно-ориентир. программир. с примерами на C#: Уч.пос. / П.Б.Хорев - М.:Форум, НИЦ ИНФРА-М,2026. - 200 с.(ВО)(О)</t>
  </si>
  <si>
    <t>978-5-00091-680-3</t>
  </si>
  <si>
    <t>01.03.02, 02.03.02, 03.03.02, 04.03.02, 09.03.01, 09.03.03</t>
  </si>
  <si>
    <t>Рекомендовано в качестве учебного пособия для студентов высших учебных заведений, обучающихся по направлениям 01.03.02 «Прикладная математика и информатика» и 09.00.00 «Информатика и вычислительная техника»</t>
  </si>
  <si>
    <t>682998.03.01</t>
  </si>
  <si>
    <t>Объектно-ориентир.програм.на Visual Basic...: Уч.пос./В.Н.Шакин-М.:Форум,НИЦ ИНФРА-М,2024-398с.(СПО)(П)</t>
  </si>
  <si>
    <t>ОБЪЕКТНО-ОРИЕНТИРОВАННОЕ ПРОГРАММИРОВАНИЕ НА VISUAL BASIC В СРЕДЕ VISUAL STUDIO .NET, ИЗД.1</t>
  </si>
  <si>
    <t>Шакин В.Н., Загвоздкина А.В., Сосновиков Г.К.</t>
  </si>
  <si>
    <t>978-5-00091-551-6</t>
  </si>
  <si>
    <t>09.02.01, 09.02.02, 09.02.03, 09.02.04, 09.02.05, 10.02.01, 10.02.02, 10.02.03, 11.02.07, 11.02.09, 11.02.11, 11.02.14, 11.02.18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</si>
  <si>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t>
  </si>
  <si>
    <t>801730.01.01</t>
  </si>
  <si>
    <t>Объекты земельных правоотношений: Моногр. / Н.Н.Мельников-М.:НИЦ ИНФРА-М,2024.-302 с.(п)</t>
  </si>
  <si>
    <t>ОБЪЕКТЫ ЗЕМЕЛЬНЫХ ПРАВООТНОШЕНИЙ, ИЗД.1</t>
  </si>
  <si>
    <t>Мельников Н.Н.</t>
  </si>
  <si>
    <t>978-5-16-018420-3</t>
  </si>
  <si>
    <t>21.04.02, 40.04.01, 40.06.01</t>
  </si>
  <si>
    <t>719285.02.01</t>
  </si>
  <si>
    <t>Обыкновенные дифференц. урав. и вариац. исчисл.: Уч.пос. / Е.А.Коган-М.:НИЦ ИНФРА-М,2020.-293 с.(ВО)(П)</t>
  </si>
  <si>
    <t>ОБЫКНОВЕННЫЕ ДИФФЕРЕНЦИАЛЬНЫЕ УРАВНЕНИЯ И ВАРИАЦИОННОЕ ИСЧИСЛЕНИЕ, ИЗД.1</t>
  </si>
  <si>
    <t>Коган Е.А.</t>
  </si>
  <si>
    <t>978-5-16-015817-4</t>
  </si>
  <si>
    <t>01.03.02, 15.03.03, 23.05.01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</si>
  <si>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01.03.02 «Прикладная математика и информатика», 15.03.03 «Прикладная механика» (квалификация (степень) «бакалавр») (протокол № 18 от 25.11.2019)</t>
  </si>
  <si>
    <t>632328.06.01</t>
  </si>
  <si>
    <t>Обыкновенные дифференциальные урав. Практ.: Уч.пос. / А.В.Пантелеев - М.:НИЦ ИНФРА-М,2025 - 432 с.(П)</t>
  </si>
  <si>
    <t>ОБЫКНОВЕННЫЕ ДИФФЕРЕНЦИАЛЬНЫЕ УРАВНЕНИЯ. ПРАКТИКУМ, ИЗД.1</t>
  </si>
  <si>
    <t>Пантелеев А.В., Якимова А.С., Рыбаков К.А.</t>
  </si>
  <si>
    <t>978-5-16-011973-1</t>
  </si>
  <si>
    <t>00.03.06, 01.03.01, 01.03.02, 01.03.03, 01.03.04, 02.03.01, 02.03.02, 02.03.03, 03.03.02, 03.03.03, 04.03.02, 24.03.01</t>
  </si>
  <si>
    <t>Рекомендовано в качестве учебного пособия для студентов высших учебных заведений, обучающихся по направлениям подготовки естественных наук, техники, информатики и экономики (квалификация (степень) «бакалавр»)</t>
  </si>
  <si>
    <t>798206.05.01</t>
  </si>
  <si>
    <t>Обязательственное право: Уч.пос. / Д.А.Формакидов - М.:НИЦ ИНФРА-М,2026. - 300 с.(ВО:Магистр)(п)</t>
  </si>
  <si>
    <t>ОБЯЗАТЕЛЬСТВЕННОЕ ПРАВО, ИЗД.1</t>
  </si>
  <si>
    <t>978-5-16-018219-3</t>
  </si>
  <si>
    <t>189050.13.01</t>
  </si>
  <si>
    <t>Овощеводство. Агротехника капусты: Уч. / В.И.Старцев - М.:НИЦ Инфра-М,2026 - 138 с.(ВО) (п)</t>
  </si>
  <si>
    <t>ОВОЩЕВОДСТВО. АГРОТЕХНИКА КАПУСТЫ, ИЗД.1</t>
  </si>
  <si>
    <t>Старцев В. И.</t>
  </si>
  <si>
    <t>978-5-16-022078-9</t>
  </si>
  <si>
    <t>35.03.04, 35.04.04</t>
  </si>
  <si>
    <t>Допущено Учебно-методическим объединением вузов РФ по агрономическому образованию в качестве учебника для студентов, обучающихся по напровлению 110400 "Агрономия"</t>
  </si>
  <si>
    <t>Всероссийский научно-исследовательский институт фитопатологии</t>
  </si>
  <si>
    <t>633339.10.01</t>
  </si>
  <si>
    <t>Овцеводство и козоводство: Уч. / А.И.Чикалев - М.:КУРС, НИЦ ИНФРА-М,2026. - 228 с.(ВО)(п)</t>
  </si>
  <si>
    <t>ОВЦЕВОДСТВО И КОЗОВОДСТВО, ИЗД.1</t>
  </si>
  <si>
    <t>978-5-906818-67-6</t>
  </si>
  <si>
    <t>35.03.07, 36.03.02, 44.03.05</t>
  </si>
  <si>
    <t>Рекомендовано в качестве учебника для студентов высших учебных заведений, обучающихся по направлению 36.03.02 «Зоотехния» и 35.03.07 «Технология производства и переработки сельскохозяйственной продукции»</t>
  </si>
  <si>
    <t>302100.09.01</t>
  </si>
  <si>
    <t>Овцеводство: Уч. / А.И.Чикалев - М.:КУРС, НИЦ ИНФРА-М,2026. - 200 с.(О)</t>
  </si>
  <si>
    <t>ОВЦЕВОДСТВО, ИЗД.1</t>
  </si>
  <si>
    <t>978-5-905554-72-8</t>
  </si>
  <si>
    <t>826107.02.01</t>
  </si>
  <si>
    <t>Огневая подготовка: информ. сис. и технологии: Уч.пос. / В.А.Мельничук - М.:НИЦ ИНФРА-М,2026 - 229 с.(п)</t>
  </si>
  <si>
    <t>ОГНЕВАЯ ПОДГОТОВКА: ИНФОРМАЦИОННЫЕ СИСТЕМЫ И ТЕХНОЛОГИИ, ИЗД.1</t>
  </si>
  <si>
    <t>978-5-16-019895-8</t>
  </si>
  <si>
    <t>37.05.02, 38.05.01, 40.05.01, 40.05.02, 56.05.01, 56.05.02, 56.05.03, 56.05.04, 56.05.05, 57.04.01, 57.05.01, 57.05.02, 57.05.03</t>
  </si>
  <si>
    <t>805489.07.01</t>
  </si>
  <si>
    <t>Огневая подготовка: Уч. / К.Ю.Поспеев - М.:НИЦ ИНФРА-М,2026. - 326 с.(ВО)(п)</t>
  </si>
  <si>
    <t>ОГНЕВАЯ ПОДГОТОВКА, ИЗД.1</t>
  </si>
  <si>
    <t>Поспеев К.Ю., Черных В.В.</t>
  </si>
  <si>
    <t>978-5-16-018601-6</t>
  </si>
  <si>
    <t>769211.05.01</t>
  </si>
  <si>
    <t>Огневая подготовка: Уч. / К.Ю.Поспеев - М.:НИЦ ИНФРА-М,2026. - 326 с.(СПО)(П)</t>
  </si>
  <si>
    <t>978-5-16-017356-6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</si>
  <si>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40.02.02 «Правоохранительная деятельность» (протокол № 6 от 08.06.2022)</t>
  </si>
  <si>
    <t>774848.03.01</t>
  </si>
  <si>
    <t>Огневая подготовка: Уч. / Т.С.Купавцев и др. - М.:НИЦ ИНФРА-М,2026. - 238 с.-(СПО)(п)</t>
  </si>
  <si>
    <t>Купавцев Т.С., Ульрих С.А., Моисеенко А.А. и др.</t>
  </si>
  <si>
    <t>978-5-16-019146-1</t>
  </si>
  <si>
    <t>783409.05.01</t>
  </si>
  <si>
    <t>Огневая подготовка: Уч.пос.: Ч.1 / А.Н.Ковальчук - М.:НИЦ ИНФРА-М,2027 - 307 с.(ВО)(п)</t>
  </si>
  <si>
    <t>ОГНЕВАЯ ПОДГОТОВКА. Ч. 1. НОРМАТИВНО-ПРАВОВАЯ БАЗА ОГНЕВОЙ ПОДГОТОВКИ. МАТЕРИАЛЬНАЯ ЧАСТЬ СТРЕЛКОВОГО ОРУЖИЯ. ОСНОВЫ БАЛЛИСТИКИ И СТРЕЛЬБЫ, Т.1</t>
  </si>
  <si>
    <t>Ковальчук А.Н.</t>
  </si>
  <si>
    <t>978-5-16-022419-0</t>
  </si>
  <si>
    <t>Рекомендовано научно-методическим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специальности 38.05.01 «Экономическая безопасность»</t>
  </si>
  <si>
    <t>783422.05.01</t>
  </si>
  <si>
    <t>Огневая подготовка: Уч.пос.: Ч.2: Обуч. обращению... / А.Н.Ковальчук - М.:НИЦ ИНФРА-М,2027. - 276 с.(ВО)(п)</t>
  </si>
  <si>
    <t>ОГНЕВАЯ ПОДГОТОВКА. Ч. 2. ОБУЧЕНИЕ ОБРАЩЕНИЮ С ОГНЕСТРЕЛЬНЫМ ОРУЖИЕМ В УСЛОВИЯХ ОПЕРАТИВНО-СЛУЖЕБНОЙ ДЕЯТЕЛЬНОСТИ, Т.2</t>
  </si>
  <si>
    <t>978-5-16-022420-6</t>
  </si>
  <si>
    <t>668809.02.01</t>
  </si>
  <si>
    <t>Ограждающие и несущие строит.констр.из стальных...: Моногр./ Л.В.Енджиевский-М.:НИЦ ИНФРА-М, СФУ,2023-282с</t>
  </si>
  <si>
    <t>ОГРАЖДАЮЩИЕ И НЕСУЩИЕ СТРОИТЕЛЬНЫЕ КОНСТРУКЦИИ ИЗ СТАЛЬНЫХ ТОНКОСТЕННЫХ ПРОФИЛЕЙ, ИЗД.1</t>
  </si>
  <si>
    <t>Енджиевский Л.В., Крылов И.И., Кретинин А.Н. и др.</t>
  </si>
  <si>
    <t>978-5-16-018107-3</t>
  </si>
  <si>
    <t>08.03.01, 08.04.01, 08.05.01, 08.05.03</t>
  </si>
  <si>
    <t>711046.06.01</t>
  </si>
  <si>
    <t>Оздоровительное и спорт. плавание для людей.../ Под ред. Булгаковой Н.Ж. - М.:НИЦ ИНФРА-М,2026 - 313 с.(О)</t>
  </si>
  <si>
    <t>ОЗДОРОВИТЕЛЬНОЕ И СПОРТИВНОЕ ПЛАВАНИЕ ДЛЯ ЛЮДЕЙ С ОГРАНИЧЕННЫМИ ВОЗМОЖНОСТЯМИ, ИЗД.1</t>
  </si>
  <si>
    <t>Булгакова Н.Ж., Морозов С.Н., Никитина С.М. и др.</t>
  </si>
  <si>
    <t>978-5-16-015465-7</t>
  </si>
  <si>
    <t>49.03.02, 49.04.02</t>
  </si>
  <si>
    <t>327000.07.01</t>
  </si>
  <si>
    <t>Оздоровительные тех. физ. воспит. и развития ребенка: Уч. / Т.А.Семенова-М.:НИЦ ИНФРА-М,2023-448с(П)</t>
  </si>
  <si>
    <t>ОЗДОРОВИТЕЛЬНЫЕ ТЕХНОЛОГИИ ФИЗИЧЕСКОГО ВОСПИТАНИЯ И РАЗВИТИЯ РЕБЕНКА ДОШКОЛЬНОГО ВОЗРАСТА В ОБРАЗОВАТЕЛЬНЫХ ОРГАНИЗАЦИЯХ, ИЗД.1</t>
  </si>
  <si>
    <t>Семенова Т.А.</t>
  </si>
  <si>
    <t>978-5-16-011849-9</t>
  </si>
  <si>
    <t>682999.11.01</t>
  </si>
  <si>
    <t>Оздоровительные технологии физ.восп.и разв.ребенка дошк...: Уч. / Т.А.Семенова - М.:ИНФРА-М,2026 - 448 с.(СПО)(П)</t>
  </si>
  <si>
    <t>978-5-16-013979-1</t>
  </si>
  <si>
    <t>44.02.01, 44.02.03, 44.02.04, 44.02.05, 49.02.01, 49.02.02, 49.02.03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</si>
  <si>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t>
  </si>
  <si>
    <t>797834.04.01</t>
  </si>
  <si>
    <t>Оказание мед. помощи женщинам в период..,: Уч.пос. / Е.А.Нижегородцева - М.:НИЦ ИНФРА-М,2026. - 336 с.(п)</t>
  </si>
  <si>
    <t>ОКАЗАНИЕ МЕДИЦИНСКОЙ ПОМОЩИ ЖЕНЩИНАМ В ПЕРИОД БЕРЕМЕННОСТИ, В РОДАХ, ПОСЛЕРОДОВОМ ПЕРИОДЕ И У ЖЕНЩИН С РАСПРОСТРАНЕННЫМИ ГИНЕКОЛОГИЧЕСКИМИ ЗАБОЛЕВАНИЯ, ИЗД.1</t>
  </si>
  <si>
    <t>Нижегородцева Е.А.</t>
  </si>
  <si>
    <t>978-5-16-018223-0</t>
  </si>
  <si>
    <t>31.02.01, 31.02.02, 34.02.01, 34.02.02</t>
  </si>
  <si>
    <t>Иркутский базовый  медицинский колледж</t>
  </si>
  <si>
    <t>304500.09.01</t>
  </si>
  <si>
    <t>Оказание неотложной помощи в терапии: Уч.пос. / Г.Д.Тобулток - М.:НИЦ ИНФРА-М,2026. - 400 с.(СПО)(п)</t>
  </si>
  <si>
    <t>ОКАЗАНИЕ НЕОТЛОЖНОЙ ПОМОЩИ В ТЕРАПИИ, ИЗД.1</t>
  </si>
  <si>
    <t>Тобулток Г.Д., Иванова Н.А.</t>
  </si>
  <si>
    <t>978-5-16-016860-9</t>
  </si>
  <si>
    <t>31.02.01, 31.02.02, 32.02.01, 34.02.01, 34.02.02</t>
  </si>
  <si>
    <t>Рязанский медицинский колледж</t>
  </si>
  <si>
    <t>660119.04.01</t>
  </si>
  <si>
    <t>Окказионализмы - признак.слова в идиолекте Н.С. Лескова: Моногр. / О.А.Головачева-М.:НИЦ ИНФРА-М,2025-129c</t>
  </si>
  <si>
    <t>ОККАЗИОНАЛИЗМЫ - ПРИЗНАКОВЫЕ СЛОВА В ИДИОЛЕКТЕ Н.С. ЛЕСКОВА, ИЗД.1</t>
  </si>
  <si>
    <t>Головачева О.А.</t>
  </si>
  <si>
    <t>978-5-16-013088-0</t>
  </si>
  <si>
    <t>45.04.03</t>
  </si>
  <si>
    <t>Брянский государственный университет им. академика И.Г. Петровского</t>
  </si>
  <si>
    <t>359500.10.01</t>
  </si>
  <si>
    <t>Оленеводство: Уч./ А.И.Чикалев и др. - М.:КУРС, НИЦ ИНФРА-М,2026 - 110 с.(ВО)(о)</t>
  </si>
  <si>
    <t>ОЛЕНЕВОДСТВО, ИЗД.1</t>
  </si>
  <si>
    <t>Чикалев А.И., Юлдашбаев Ю.А., Родионов Г.В.</t>
  </si>
  <si>
    <t>978-5-905554-93-3</t>
  </si>
  <si>
    <t>35.01.21, 36.03.02, 36.04.02, 36.05.01, 36.01.06</t>
  </si>
  <si>
    <t>Допущено Министерством сельского хозяйства Российской Федерации в качестве учебника для студентов высших аграрных учебных заведений, обучающихся по направлению подготовки 36.03.02 «Зоотехния» (квалификация (степень) «бакалавр»)</t>
  </si>
  <si>
    <t>732304.05.01</t>
  </si>
  <si>
    <t>Олимпийский туризм: Моногр. / А.М.Ветитнев - М.:НИЦ ИНФРА-М,2026 - 227 с.(о)</t>
  </si>
  <si>
    <t>ОЛИМПИЙСКИЙ ТУРИЗМ: ОРГАНИЗАЦИОННО-ЭКОНОМИЧЕСКИЕ АСПЕКТЫ И ВЛИЯНИЕ НА ПРИНИМАЮЩУЮ ДЕСТИНАЦИЮ, ИЗД.1</t>
  </si>
  <si>
    <t>Ветитнев А.М., Бобина Н.В.</t>
  </si>
  <si>
    <t>978-5-16-016069-6</t>
  </si>
  <si>
    <t>43.04.01, 43.04.02, 43.04.03, 49.03.03</t>
  </si>
  <si>
    <t>809456.01.01</t>
  </si>
  <si>
    <t>Ономастика международных отношений: Моногр. / Л.О.Терновая-М.:НИЦ ИНФРА-М,2024.-349 с.(Науч.мысль)(п)</t>
  </si>
  <si>
    <t>ОНОМАСТИКА МЕЖДУНАРОДНЫХ ОТНОШЕНИЙ, ИЗД.1</t>
  </si>
  <si>
    <t>978-5-16-018901-7</t>
  </si>
  <si>
    <t>41.03.01, 41.03.04, 41.03.05, 41.04.04, 41.04.05, 41.06.01, 51.03.01</t>
  </si>
  <si>
    <t>777227.03.01</t>
  </si>
  <si>
    <t>Ономастическое пространство памятников письм. Киев. Руси: Моногр./Е.Н.Соколова-М.:НИЦ ИНФРА-М,2024-274с.(О)</t>
  </si>
  <si>
    <t>ОНОМАСТИЧЕСКОЕ ПРОСТРАНСТВО ПАМЯТНИКОВ ПИСЬМЕННОСТИ КИЕВСКОЙ РУСИ, ИЗД.1</t>
  </si>
  <si>
    <t>Соколова Е.Н.</t>
  </si>
  <si>
    <t>978-5-16-017711-3</t>
  </si>
  <si>
    <t>45.04.03, 51.04.03</t>
  </si>
  <si>
    <t>431200.12.01</t>
  </si>
  <si>
    <t>Онтология права:(критич. исслед. юр. концепта...): Моногр. / Г.А.Гаджиев - М:Норма :НИЦ ИНФРА-М,2026 - 320 с.(п)</t>
  </si>
  <si>
    <t>ОНТОЛОГИЯ ПРАВА: (КРИТИЧЕСКОЕ ИССЛЕДОВАНИЕ ЮРИДИЧЕСКОГО КОНЦЕПТА ДЕЙСТВИТЕЛЬНОСТИ), ИЗД.1</t>
  </si>
  <si>
    <t>Гаджиев Г.А.</t>
  </si>
  <si>
    <t>978-5-91768-331-7</t>
  </si>
  <si>
    <t>817381.01.01</t>
  </si>
  <si>
    <t>Онтология цифры: Монография / С.В.Григоришин и др.-М.:НИЦ ИНФРА-М,2024.-141 с..-(Науч.мысль)(о)</t>
  </si>
  <si>
    <t>ОНТОЛОГИЯ ЦИФРЫ, ИЗД.1</t>
  </si>
  <si>
    <t>Григоришин С.В., Петров А.М., Попов А.Н.</t>
  </si>
  <si>
    <t>978-5-16-019402-8</t>
  </si>
  <si>
    <t>314700.03.01</t>
  </si>
  <si>
    <t>ООН и междун. защита прав челов. в XXI в.: Моногр./В.А.Карташкин - М.: Норма: ИНФРА-М, 2018-176с.</t>
  </si>
  <si>
    <t>ОРГАНИЗАЦИЯ ОБЪЕДНЕННЫХ НАЦИЙ И МЕЖДУНАРОДНАЯ ЗАЩИТА ПРАВ ЧЕЛОВЕКА В XXI ВЕКЕ, ИЗД.1</t>
  </si>
  <si>
    <t>Карташкин В. А.</t>
  </si>
  <si>
    <t>978-5-91768-554-0</t>
  </si>
  <si>
    <t>40.03.01, 40.04.01, 41.03.05, 41.04.05, 44.03.05</t>
  </si>
  <si>
    <t>314700.08.01</t>
  </si>
  <si>
    <t>ООН и междун. защита прав челов. в XXI в.: Моногр./В.А.Карташкин - М.: Норма: ИНФРА-М, 2025-176с.(П)</t>
  </si>
  <si>
    <t>ОРГАНИЗАЦИЯ ОБЪЕДИНЕННЫХ НАЦИЙ И МЕЖДУНАРОДНАЯ ЗАЩИТА ПРАВ ЧЕЛОВЕКА В XXI ВЕКЕ, ИЗД.1</t>
  </si>
  <si>
    <t>Карташкин В.А.</t>
  </si>
  <si>
    <t>416500.06.01</t>
  </si>
  <si>
    <t>Опалубки из лесоматериалов: Уч.-мет. пос./В.А.Волосухин - 2 изд. - РИОР: ИНФРА-М, 2023-172с.(ВО) (п)</t>
  </si>
  <si>
    <t>ОПАЛУБКИ ИЗ ЛЕСОМАТЕРИАЛОВ, ИЗД.2</t>
  </si>
  <si>
    <t>Волосухин В.А., Евтушенко С.И., Садэтов Т.С.</t>
  </si>
  <si>
    <t>978-5-369-01110-2</t>
  </si>
  <si>
    <t>632276.06.01</t>
  </si>
  <si>
    <t>Опасные природные процессы: Уч. / Н.В.Короновский - М.:НИЦ ИНФРА-М,2024-233 с.-(ВО)(п)</t>
  </si>
  <si>
    <t>ОПАСНЫЕ ПРИРОДНЫЕ ПРОЦЕССЫ, ИЗД.1</t>
  </si>
  <si>
    <t>978-5-16-018958-1</t>
  </si>
  <si>
    <t>05.03.01, 05.03.02, 05.03.06</t>
  </si>
  <si>
    <t>Рекомендовано в качестве учебника для студентов высших учебных заведений, обучающихся по направлениям подготовки 05.03.02 «География», 05.03.01 «Геология», 05.03.06 «Экология и природопользование» (квалификация (степень) «бакалавр»)</t>
  </si>
  <si>
    <t>634153.05.01</t>
  </si>
  <si>
    <t>Оперативно-производственное планирование: Уч.пос./Т.Н.Бабич-М.:ИЦ РИОР,НИЦ ИНФРА-М,2023-257с.(ВО)(П)</t>
  </si>
  <si>
    <t>ОПЕРАТИВНО-ПРОИЗВОДСТВЕННОЕ ПЛАНИРОВАНИЕ, ИЗД.1</t>
  </si>
  <si>
    <t>Бабич Т.Н., Вертакова Ю.В.</t>
  </si>
  <si>
    <t>978-5-369-01616-9</t>
  </si>
  <si>
    <t>01.03.02, 01.04.02, 03.03.02, 15.03.04, 15.03.05, 15.04.04, 15.04.05, 17.05.03, 19.04.05, 21.05.05, 24.05.01, 27.04.06, 29.03.03, 29.04.03, 35.03.02, 35.03.07, 35.04.02, 38.03.01, 38.03.02, 38.03.04, 43.03.01, 44.03.01</t>
  </si>
  <si>
    <t>834827.02.01</t>
  </si>
  <si>
    <t>Оперативно-розыск. виктимология и ее орг.: Моногр. / С.С.Галахов - М.:Юр. НОРМА, НИЦ ИНФРА-М,2026 - 144 с.(п)</t>
  </si>
  <si>
    <t>ОПЕРАТИВНО-РОЗЫСКНАЯ ВИКТИМОЛОГИЯ И ЕЕ ОРГАНИЗАЦИЯ: НАУЧНЫЕ И ПРАВОВЫЕ ОСНОВЫ РЕГУЛИРОВАНИЯ, ИЗД.1</t>
  </si>
  <si>
    <t>978-5-00156-381-5</t>
  </si>
  <si>
    <t>37.05.01, 37.05.02, 37.06.01, 40.04.01, 40.05.01, 40.05.02, 40.05.03, 40.05.04, 40.06.01, 44.05.01</t>
  </si>
  <si>
    <t>818587.02.01</t>
  </si>
  <si>
    <t>Оперативно-розыск. деят. в схемах и табл. с коммент.: Уч.пос./ О.В.Фирсов - М.:Юр. НОРМА, ИНФРА-М,2026 - 180 с.(п)</t>
  </si>
  <si>
    <t>ОПЕРАТИВНО-РОЗЫСКНАЯ ДЕЯТЕЛЬНОСТЬ В СХЕМАХ И ТАБЛИЦАХ С КОММЕНТАРИЯМИ, ИЗД.1</t>
  </si>
  <si>
    <t>Фирсов О.В.</t>
  </si>
  <si>
    <t>978-5-00156-351-8</t>
  </si>
  <si>
    <t>189948.10.01</t>
  </si>
  <si>
    <t>Оперативно-розыск. деят. по борьбе с коррупц. прест... / А.Н.Халиков - 3изд. - М.:ИЦ РИОР, НИЦ ИНФРА-М,2025 - 395 с.(о)</t>
  </si>
  <si>
    <t>ОПЕРАТИВНО-РОЗЫСКНАЯ ДЕЯТЕЛЬНОСТЬ ПО БОРЬБЕ С КОРРУПЦИОННЫМИ ПРЕСТУПЛЕНИЯМИ, СОВЕРШАЕМЫМИ ДОЛЖНОСТНЫМИ ЛИЦАМИ ОРГАНОВ ВЛАСТИ, ИЗД.3</t>
  </si>
  <si>
    <t>Халиков А.Н.</t>
  </si>
  <si>
    <t>978-5-369-01979-5</t>
  </si>
  <si>
    <t>189948.11.01</t>
  </si>
  <si>
    <t>Оперативно-розыск. деят. по борьбе с коррупц..: Моногр. / А.Н.Халиков - 2 изд. - РИОР:ИНФРА-М, 2020 - 342 с.(о)</t>
  </si>
  <si>
    <t>ОПЕРАТИВНО-РОЗЫСКНАЯ ДЕЯТЕЛЬНОСТЬ ПО БОРЬБЕ С КОРРУПЦИОННЫМИ ПРЕСТУПЛЕНИЯМИ, СОВЕРШАЕМЫМИ ДОЛЖНОСТНЫМИ ЛИЦАМИ ОРГАНОВ ВЛАСТИ, ИЗД.2</t>
  </si>
  <si>
    <t>Халиков А. Н.</t>
  </si>
  <si>
    <t>978-5-369-01062-4</t>
  </si>
  <si>
    <t>022900.10.01</t>
  </si>
  <si>
    <t>Оперативно-розыск. информация: Моногр. / Под ред. Овчинского А.С., - 2 изд., - М.:НИЦ ИНФРА-М,2026. - 415 с.(П)</t>
  </si>
  <si>
    <t>ОПЕРАТИВНО-РОЗЫСКНАЯ ИНФОРМАЦИЯ, ИЗД.2</t>
  </si>
  <si>
    <t>Овчинский С. С., Овчинский А. С., Овчинский В. С.</t>
  </si>
  <si>
    <t>978-5-16-012187-1</t>
  </si>
  <si>
    <t>766458.09.01</t>
  </si>
  <si>
    <t>Оперативно-розыскная деят. в цифр. мире: Сб. / Под ред. Овчинского В.С. - М.:НИЦ ИНФРА-М,2026. - 630 с.(П)</t>
  </si>
  <si>
    <t>ОПЕРАТИВНО-РОЗЫСКНАЯ ДЕЯТЕЛЬНОСТЬ В ЦИФРОВОМ МИРЕ, ИЗД.1</t>
  </si>
  <si>
    <t>978-5-16-017227-9</t>
  </si>
  <si>
    <t>786502.02.01</t>
  </si>
  <si>
    <t>Оперативно-розыскная деят. и совр.: Сб. науч. труд. / Под ред. Овчинского В.С.-М.:НИЦ ИНФРА-М,2023.-412 с.(П)</t>
  </si>
  <si>
    <t>ОПЕРАТИВНО-РОЗЫСКНАЯ ДЕЯТЕЛЬНОСТЬ И СОВРЕМЕННОСТЬ, ИЗД.1</t>
  </si>
  <si>
    <t>978-5-16-017873-8</t>
  </si>
  <si>
    <t>10.05.05, 38.05.01, 40.02.02, 40.04.01, 40.05.01, 40.05.02, 40.05.03, 40.05.04, 40.06.01</t>
  </si>
  <si>
    <t>641410.09.01</t>
  </si>
  <si>
    <t>Оперативно-розыскная деят.: Уч. / А.Н.Халиков - 3 изд. - М.:ИЦ РИОР, НИЦ ИНФРА-М,2023 - 332 с.(ВО)(П)</t>
  </si>
  <si>
    <t>ОПЕРАТИВНО-РОЗЫСКНАЯ ДЕЯТЕЛЬНОСТЬ, ИЗД.3</t>
  </si>
  <si>
    <t>978-5-369-00773-0</t>
  </si>
  <si>
    <t>Рекомендовано в качестве учебника для студентов высших учебных заведений, обучающихся по направлению подготовки "Юриспруденция"</t>
  </si>
  <si>
    <t>768888.06.01</t>
  </si>
  <si>
    <t>Оперативно-розыскная деят.: Уч. / А.Н.Халиков, - 2 изд. - М.:ИЦ РИОР, НИЦ ИНФРА-М,2026 - 346 с.(СПО)(п)</t>
  </si>
  <si>
    <t>ОПЕРАТИВНО-РОЗЫСКНАЯ ДЕЯТЕЛЬНОСТЬ, ИЗД.2</t>
  </si>
  <si>
    <t>978-5-369-01954-2</t>
  </si>
  <si>
    <t>641410.11.01</t>
  </si>
  <si>
    <t>Оперативно-розыскная деят.: Уч. / А.Н.Халиков, - 4 изд.-М.:ИЦ РИОР, НИЦ ИНФРА-М,2024.-331 с.(ВО)(п)</t>
  </si>
  <si>
    <t>ОПЕРАТИВНО-РОЗЫСКНАЯ ДЕЯТЕЛЬНОСТЬ, ИЗД.4</t>
  </si>
  <si>
    <t>978-5-369-01932-0</t>
  </si>
  <si>
    <t>641410.14.01</t>
  </si>
  <si>
    <t>Оперативно-розыскная деят.: Уч. / А.Н.Халиков, - 5 изд. - М.:ИЦ РИОР, НИЦ ИНФРА-М,2026. - 355 с.(ВО)(п)</t>
  </si>
  <si>
    <t>ОПЕРАТИВНО-РОЗЫСКНАЯ ДЕЯТЕЛЬНОСТЬ, ИЗД.5</t>
  </si>
  <si>
    <t>978-5-369-01961-0</t>
  </si>
  <si>
    <t>187750.08.01</t>
  </si>
  <si>
    <t>Оперативно-розыскная деят.: Уч.пос. / А.Н.Халиков, - 2 изд.-М.:ИЦ РИОР, НИЦ ИНФРА-М,2019.-281с.(О)</t>
  </si>
  <si>
    <t>978-5-369-01655-8</t>
  </si>
  <si>
    <t>187750.14.01</t>
  </si>
  <si>
    <t>Оперативно-розыскная деят.: Уч.пос. / А.Н.Халиков, - 4 изд. - М.:ИЦ РИОР, НИЦ ИНФРА-М,2026 - 282 с.(ВО)(о)</t>
  </si>
  <si>
    <t>978-5-369-01935-1</t>
  </si>
  <si>
    <t>187750.09.01</t>
  </si>
  <si>
    <t>Оперативно-розыскная деят.: Уч.пос. / А.Н.Халиков-3 изд.-М.:ИЦ РИОР,НИЦ ИНФРА-М,2019-281с-(ВО:Бак.)(О)</t>
  </si>
  <si>
    <t>978-5-369-01810-1</t>
  </si>
  <si>
    <t>304800.09.01</t>
  </si>
  <si>
    <t>Оперативно-розыскная деятельность в XXI в.: Моногр. / С.И. Захарцев - М.: Норма, 2026 - 400 с.(п)</t>
  </si>
  <si>
    <t>ОПЕРАТИВНО-РОЗЫСКНАЯ ДЕЯТЕЛЬНОСТЬ В XXI ВЕКЕ, ИЗД.1</t>
  </si>
  <si>
    <t>Захарцев С.И., Игнащенков Ю.Ю., Сальников В.П.</t>
  </si>
  <si>
    <t>978-5-91768-538-0</t>
  </si>
  <si>
    <t>845007.01.01</t>
  </si>
  <si>
    <t>Оперативно-розыскная деятельность: Практикум / О.В.Фирсов - М.:Юр. НОРМА, НИЦ ИНФРА-М,2025. - 216 с.(п)</t>
  </si>
  <si>
    <t>ОПЕРАТИВНО-РОЗЫСКНАЯ ДЕЯТЕЛЬНОСТЬ, ИЗД.1</t>
  </si>
  <si>
    <t>978-5-00156-398-3</t>
  </si>
  <si>
    <t>38.05.01, 40.03.01, 40.04.01, 40.05.01, 40.05.02, 40.05.03, 40.05.04</t>
  </si>
  <si>
    <t>768888.01.01</t>
  </si>
  <si>
    <t>Оперативно-розыскная деятельность: Уч. / А.Н.Халиков - М.:ИЦ РИОР, НИЦ ИНФРА-М,2022 - 326 с.(СПО)(П)</t>
  </si>
  <si>
    <t>978-5-369-01885-9</t>
  </si>
  <si>
    <t>641410.04.01</t>
  </si>
  <si>
    <t>Оперативно-розыскная деятельность: Уч. /А.Н.Халиков- 2-изд.-М.:ИЦ РИОР, НИЦ ИНФРА-М,2018-324с(ВО)(П)</t>
  </si>
  <si>
    <t>978-5-369-01678-7</t>
  </si>
  <si>
    <t>725118.01.01</t>
  </si>
  <si>
    <t>Операторные урав. и смежные воп. устойчивости дифференц. уравнений/ Л.К.Орлик-М.:НИЦ ИНФРА-М,2020.-296 с.(О)</t>
  </si>
  <si>
    <t>ОПЕРАТОРНЫЕ УРАВНЕНИЯ И СМЕЖНЫЕ ВОПРОСЫ УСТОЙЧИВОСТИ ДИФФЕРЕНЦИАЛЬНЫХ УРАВНЕНИЙ, ИЗД.1</t>
  </si>
  <si>
    <t>Орлик Л.К., Жукова Г.С.</t>
  </si>
  <si>
    <t>978-5-16-015846-4</t>
  </si>
  <si>
    <t>01.04.01, 01.04.02, 01.04.03, 01.04.04, 01.06.01, 02.04.01, 02.04.02, 02.04.03, 02.06.01, 03.04.01, 03.04.02, 03.04.03, 03.06.01</t>
  </si>
  <si>
    <t>104700.11.01</t>
  </si>
  <si>
    <t>Операции сбер. банков: Уч. пос. / О.М. Маркова - 2 изд. - ИД ФОРУМ: НИЦ ИНФРА-М, 2025 - 288 с.(ПО) (п)</t>
  </si>
  <si>
    <t>ОПЕРАЦИИ СБЕРЕГАТЕЛЬНЫХ БАНКОВ, ИЗД.2</t>
  </si>
  <si>
    <t>Маркова О.М.</t>
  </si>
  <si>
    <t>978-5-8199-0616-3</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</si>
  <si>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«Банковское дело»</t>
  </si>
  <si>
    <t>041930.28.01</t>
  </si>
  <si>
    <t>Операционные сис., среды и оболочки: Уч.пос. / Т.Л.Партыка - 5 изд. - М.:Форум, НИЦ ИНФРА-М,2025 - 560 с.(СПО)</t>
  </si>
  <si>
    <t>ОПЕРАЦИОННЫЕ СИСТЕМЫ, СРЕДЫ И ОБОЛОЧКИ, ИЗД.5</t>
  </si>
  <si>
    <t>978-5-00091-501-1</t>
  </si>
  <si>
    <t>09.01.03, 09.02.01, 09.02.02, 09.02.03, 09.02.04, 09.02.05, 09.02.06, 09.02.07, 09.02.08, 10.02.01, 10.02.02, 10.02.03, 10.02.04, 10.02.05</t>
  </si>
  <si>
    <t>678060.13.01</t>
  </si>
  <si>
    <t>Операционные системы и среды: Уч. для СПО / А.В.Рудаков - М.:КУРС, НИЦ ИНФРА-М,2027 - 304 с.(П)</t>
  </si>
  <si>
    <t>ОПЕРАЦИОННЫЕ СИСТЕМЫ И СРЕДЫ, ИЗД.1</t>
  </si>
  <si>
    <t>Рудаков А.В.</t>
  </si>
  <si>
    <t>978-5-906923-85-1</t>
  </si>
  <si>
    <t>09.01.03, 09.01.05, 09.02.01, 09.02.02, 09.02.03, 09.02.04, 09.02.05, 09.02.06, 09.02.07, 09.02.08, 10.02.01, 10.02.02, 10.02.03</t>
  </si>
  <si>
    <t>Петровский колледж</t>
  </si>
  <si>
    <t>683001.08.01</t>
  </si>
  <si>
    <t>Операционные системы. Основы UNIX: Уч.пос. / А.Б.Вавренюк - М.:НИЦ ИНФРА-М,2026 - 160 с.(СПО)(П)</t>
  </si>
  <si>
    <t>ОПЕРАЦИОННЫЕ СИСТЕМЫ. ОСНОВЫ UNIX, ИЗД.1</t>
  </si>
  <si>
    <t>Вавренюк А.Б., Курышева О.К., Кутепов С.В. и др.</t>
  </si>
  <si>
    <t>978-5-16-013981-4</t>
  </si>
  <si>
    <t>09.02.01, 09.02.02, 09.02.03, 09.02.04, 09.02.05, 09.02.06, 09.02.07, 09.02.08, 10.02.01, 10.02.02, 10.02.03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</si>
  <si>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t>
  </si>
  <si>
    <t>353700.09.01</t>
  </si>
  <si>
    <t>Операционные системы. Основы UNIX: Уч.пос. / А.Б.Вавренюк - М.:НИЦ ИНФРА-М,2026 - 160с(ВО:Бакалавр.)(О)</t>
  </si>
  <si>
    <t>978-5-16-010893-3</t>
  </si>
  <si>
    <t>02.03.02, 09.03.03</t>
  </si>
  <si>
    <t>Допущено Учебно-методическим объединением по образованию в области прикладной информатики в качестве учебного пособия для студентов, обучающихся по направлению 09.03.03 «Прикладная информатика»</t>
  </si>
  <si>
    <t>104400.19.01</t>
  </si>
  <si>
    <t>Операционный (производственный) менеджмент: Уч. пос./А.Н.Стерлигова - М.: ИНФРА-М, 2024-187с.(ВО) (п)</t>
  </si>
  <si>
    <t>ОПЕРАЦИОННЫЙ (ПРОИЗВОДСТВЕННЫЙ) МЕНЕДЖМЕНТ, ИЗД.1</t>
  </si>
  <si>
    <t>Стерлигова А. Н., Фель А. В.</t>
  </si>
  <si>
    <t>978-5-16-003469-0</t>
  </si>
  <si>
    <t>Рекомендовано Учебно-методическим объединением вузов России по образованию в области менеджмента в качестве учебного пособия по дисциплинам спец. для студентов вузов, обучающихся по спец. "Менеджмент организации" и напр. "Менеджмент"</t>
  </si>
  <si>
    <t>781505.05.01</t>
  </si>
  <si>
    <t>Операционный менеджмент в сфере туризма и..: Уч. / А.И.Кошелева  - М.:НИЦ ИНФРА-М,2026 - 413 с.(ВО)(п)</t>
  </si>
  <si>
    <t>ОПЕРАЦИОННЫЙ МЕНЕДЖМЕНТ В СФЕРЕ ТУРИЗМА И ГОСТЕПРИИМСТВА, ИЗД.1</t>
  </si>
  <si>
    <t>Кошелева А.И., Лебедева О.Е., Пониматкина Л.А. и др.</t>
  </si>
  <si>
    <t>978-5-16-018510-1</t>
  </si>
  <si>
    <t>43.03.02, 43.03.03</t>
  </si>
  <si>
    <t>061650.15.01</t>
  </si>
  <si>
    <t>Операционный менеджмент: Уч. / С.В.Ильдеменов - М.:НИЦ ИНФРА-М, 2025 - 337 с.(Уч.и для программы MBA)(о)</t>
  </si>
  <si>
    <t>ОПЕРАЦИОННЫЙ МЕНЕДЖМЕНТ, ИЗД.1</t>
  </si>
  <si>
    <t>Ильдеменов С.В., Ильдеменов А.С., Лобов С.В.</t>
  </si>
  <si>
    <t>978-5-16-009611-7</t>
  </si>
  <si>
    <t>38.03.02, 38.04.03, 41.03.06</t>
  </si>
  <si>
    <t>Допущено Министерством образования и науки Российской Федерации в качестве учебного пособия для слушателей образовательных учреждений, обучающихся по программе МВА и другим программам подготовки управленческих кадров</t>
  </si>
  <si>
    <t>269200.10.01</t>
  </si>
  <si>
    <t>Опоры мостов сборно-монолитной констр.: Уч. пос. / Б.А.Дробышевский - М.:ИЦ РИОР, НИЦ ИНФРА-М,2026 - 109 с.(П)</t>
  </si>
  <si>
    <t>ОПОРЫ МОСТОВ СБОРНО-МОНОЛИТНОЙ КОНСТРУКЦИИ, ИЗД.1</t>
  </si>
  <si>
    <t>978-5-369-01334-2</t>
  </si>
  <si>
    <t>08.05.03, 23.05.06</t>
  </si>
  <si>
    <t>747958.02.01</t>
  </si>
  <si>
    <t>Определение происхождения товаров: Уч.пос. / О.С.Елфимова - М.:НИЦ ИНФРА-М,2025. - 178 с.(ВО.)(П)</t>
  </si>
  <si>
    <t>ОПРЕДЕЛЕНИЕ ПРОИСХОЖДЕНИЯ ТОВАРОВ, ИЗД.1</t>
  </si>
  <si>
    <t>Елфимова О.С.</t>
  </si>
  <si>
    <t>978-5-16-020589-2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</si>
  <si>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38.05.02 «Таможенное дело» (квалификация «специалист таможенного дела») (протокол № 7 от 21.09.2022)</t>
  </si>
  <si>
    <t>667545.08.01</t>
  </si>
  <si>
    <t>Определение угловой ориентации объектов по ..: Моногр. / А.М.Алешечкин - М.:НИЦ ИНФРА-М, СФУ,2026  - 175 с.(П)</t>
  </si>
  <si>
    <t>ОПРЕДЕЛЕНИЕ УГЛОВОЙ ОРИЕНТАЦИИ ОБЪЕКТОВ ПО СИГНАЛАМ СПУТНИКОВЫХ РАДИОНАВИГАЦИОННЫХ СИСТЕМ, ИЗД.1</t>
  </si>
  <si>
    <t>Алешечкин А.М.</t>
  </si>
  <si>
    <t>978-5-16-017991-9</t>
  </si>
  <si>
    <t>636768.01.01</t>
  </si>
  <si>
    <t>Определения Апелляц. коллегии Верх. Суда РФ..: Сб. / Г.В.Манохина - М:Норма,НИЦ ИНФРА-М,2016-704с(П)</t>
  </si>
  <si>
    <t>ОПРЕДЕЛЕНИЯ АПЕЛЛЯЦИОННОЙ КОЛЛЕГИИ ВЕРХОВНОГО СУДА  РФ ПО АДМИНИСТРАТИВНЫМ ДЕЛАМ 2015, ИЗД.1</t>
  </si>
  <si>
    <t>Манохина Г.В., Кокарева О.А.</t>
  </si>
  <si>
    <t>978-5-91768-754-4</t>
  </si>
  <si>
    <t>Верховный Суд Российской Федерации</t>
  </si>
  <si>
    <t>636770.01.01</t>
  </si>
  <si>
    <t>Определения ВС  РФ по делам об оспарив..: Сб. / Л.А.Калинина-М.:Юр.Норма, НИЦ ИНФРА-М,2016.-720с.(П)</t>
  </si>
  <si>
    <t>ОПРЕДЕЛЕНИЯ ВЕРХОВНОГО СУДА  РФ ПО ДЕЛАМ ОБ ОСПАРИВАНИИ НОРМАТИВНЫХ ПРАВОВЫХ АКТОВ СУБЪЕКТОВ РФ. 2015, ИЗД.1</t>
  </si>
  <si>
    <t>Калинина Л.А., Бондарева Ю.С., Лебедев В.М.</t>
  </si>
  <si>
    <t>978-5-91768-755-1</t>
  </si>
  <si>
    <t>640622.01.01</t>
  </si>
  <si>
    <t>Определения ВС РФ по гражданским....2015:Сборник / Е.С.Гетман-М.:Юр.Норма, НИЦ ИНФРА-М,2016-784с.(П)</t>
  </si>
  <si>
    <t>ОПРЕДЕЛЕНИЯ ВС РФ ПО ГРАЖДАНСКИМ, ТРУДОВЫМ, СОЦИАЛЬНЫМ И ЭКОНОМИЧЕСКИМ СПОРАМ. 2015, ИЗД.1</t>
  </si>
  <si>
    <t>Гетман Е.С., Кликушин А.А., Пчелинцева Л.М. и др.</t>
  </si>
  <si>
    <t>978-5-91768-765-0</t>
  </si>
  <si>
    <t>707097.01.01</t>
  </si>
  <si>
    <t>Оптимальное управ. тяговыми электроприводами: Моногр. / Е.М.Овсянников-М.:НИЦ ИНФРА-М,2022.-307 с.(Науч.мысль)(О)</t>
  </si>
  <si>
    <t>ОПТИМАЛЬНОЕ УПРАВЛЕНИЕ ТЯГОВЫМИ ЭЛЕКТРОПРИВОДАМИ, ИЗД.1</t>
  </si>
  <si>
    <t>Овсянников Е.М., Гайтова Т.Б.</t>
  </si>
  <si>
    <t>978-5-16-016422-9</t>
  </si>
  <si>
    <t>108000.12.01</t>
  </si>
  <si>
    <t>Оптимизационные модели упр. инвестиц. в логистике: Уч.пос. / А.В.Мищенко - 3 изд.- М.:НИЦ ИНФРА-М,2024-388 с.(П)</t>
  </si>
  <si>
    <t>ОПТИМИЗАЦИОННЫЕ МОДЕЛИ УПРАВЛЕНИЯ ИНВЕСТИЦИЯМИ В ЛОГИСТИКЕ, ИЗД.3</t>
  </si>
  <si>
    <t>978-5-16-017277-4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</si>
  <si>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(протокол № 8 от 20.10.2021)</t>
  </si>
  <si>
    <t>410150.04.01</t>
  </si>
  <si>
    <t>Оптимизационные модели упр. фин.ресурсами..: Моногр. /А.В.Мищенко -М.:ИЦ РИОР,НИЦ ИНФРА-М,2019-337с(О)</t>
  </si>
  <si>
    <t>ОПТИМИЗАЦИОННЫЕ МОДЕЛИ УПРАВЛЕНИЯ ФИНАНСОВЫМИ РЕСУРСАМИ ПРЕДПРИЯТИЯ, ИЗД.1</t>
  </si>
  <si>
    <t>Мищенко А. В., Виноградова Е. В.</t>
  </si>
  <si>
    <t>978-5-369-01152-2</t>
  </si>
  <si>
    <t>38.03.01, 38.03.02, 38.04.01, 38.04.02, 38.04.08, 41.03.06, 44.03.01</t>
  </si>
  <si>
    <t>717652.02.01</t>
  </si>
  <si>
    <t>Оптимизационные модели управ. огранич. ресурс. в логист.: Моногр. / А.В.Мищенко-М.:НИЦ ИНФРА-М,2023.-253 с.(О)</t>
  </si>
  <si>
    <t>ОПТИМИЗАЦИОННЫЕ МОДЕЛИ УПРАВЛЕНИЯ ОГРАНИЧЕННЫМИ РЕСУРСАМИ В ЛОГИСТИКЕ, ИЗД.1</t>
  </si>
  <si>
    <t>Мищенко А.В., Иванова А.В.</t>
  </si>
  <si>
    <t>978-5-16-016130-3</t>
  </si>
  <si>
    <t>38.00.00, 38.03.01, 38.04.01, 38.04.02, 38.06.01</t>
  </si>
  <si>
    <t>296100.05.01</t>
  </si>
  <si>
    <t>Оптимизация в геологоразведочном производстве: Уч. пос. / В.В.Нескоромных - М.:НИЦ ИНФРА-М,2025. - 200 с.(О)</t>
  </si>
  <si>
    <t>ОПТИМИЗАЦИЯ В ГЕОЛОГОРАЗВЕДОЧНОМ ПРОИЗВОДСТВЕ, ИЗД.1</t>
  </si>
  <si>
    <t>Нескоромных В. В.</t>
  </si>
  <si>
    <t>978-5-16-010097-5</t>
  </si>
  <si>
    <t>21.05.02, 21.05.03, 21.05.04</t>
  </si>
  <si>
    <t>829495.03.01</t>
  </si>
  <si>
    <t>Оптимизация всех бизнес-процессов: Рук. к действию: Прак. пос. / Р.А.Исаев-М.:НИЦ ИНФРА-М,2026.-170 с.(о)</t>
  </si>
  <si>
    <t>ОПТИМИЗАЦИЯ ВСЕХ БИЗНЕС-ПРОЦЕССОВ: РУКОВОДСТВО К ДЕЙСТВИЮ, ИЗД.1</t>
  </si>
  <si>
    <t>978-5-16-019921-4</t>
  </si>
  <si>
    <t>38.03.05, 38.04.01, 38.04.02, 38.04.04, 38.04.05, 38.05.01, 38.05.02, 38.06.01</t>
  </si>
  <si>
    <t>236200.10.01</t>
  </si>
  <si>
    <t>Оптимизация личностных преимуществ..: Прак. / В.В.Авдеев - М.:КУРС, НИЦ ИНФРА-М,2026. - 208 с.(О)</t>
  </si>
  <si>
    <t>ОПТИМИЗАЦИЯ ЛИЧНОСТНЫХ ПРЕИМУЩЕСТВ: ПСИХОЛОГИЧЕСКИЕ ВОЗМОЖНОСТИ, ИЗД.1</t>
  </si>
  <si>
    <t>Авдеев В. В.</t>
  </si>
  <si>
    <t>978-5-905554-39-1</t>
  </si>
  <si>
    <t>37.03.01, 38.03.01, 38.03.02, 38.03.03, 38.03.04, 39.03.01, 39.03.02</t>
  </si>
  <si>
    <t>727591.02.01</t>
  </si>
  <si>
    <t>Оптимизация решений по многим критериям в логистике / Г.Л.Бродецкий-М.:НИЦ ИНФРА-М,2020.-320 с.(П)</t>
  </si>
  <si>
    <t>ОПТИМИЗАЦИЯ РЕШЕНИЙ ПО МНОГИМ КРИТЕРИЯМ В ЛОГИСТИКЕ, ИЗД.1</t>
  </si>
  <si>
    <t>978-5-16-016207-2</t>
  </si>
  <si>
    <t>400100.07.01</t>
  </si>
  <si>
    <t>Оптовая торговля. Орг. и упр.комм. деят: Уч. пос. / С.Н. Диянова - М:Магистр: НИЦ Инфра-М, 2025 - 384 с.(п)</t>
  </si>
  <si>
    <t>ОПТОВАЯ ТОРГОВЛЯ. ОРГАНИЗАЦИЯ И УПРАВЛЕНИЕ КОММЕРЧЕСКОЙ ДЕЯТЕЛЬНОСТЬЮ, ИЗД.1</t>
  </si>
  <si>
    <t>Диянова С. Н., Денисова Н. И.</t>
  </si>
  <si>
    <t>978-5-9776-0241-9</t>
  </si>
  <si>
    <t>38.02.03, 38.02.08, 38.03.01, 38.03.02, 38.03.03, 38.03.05, 38.03.06, 38.03.07, 38.04.01, 38.04.02, 38.04.03, 38.04.05, 38.04.06, 38.04.07</t>
  </si>
  <si>
    <t>210500.10.01</t>
  </si>
  <si>
    <t>Оптовая торговля: Уч.пос. / Г.Г.Иванов - М.:ИД Форум, НИЦ ИНФРА-М,2026. - 96 с.(о)</t>
  </si>
  <si>
    <t>ОПТОВАЯ ТОРГОВЛЯ, ИЗД.1</t>
  </si>
  <si>
    <t>Иванов Г. Г., Никишин А. Ф., Шипилова С. С.</t>
  </si>
  <si>
    <t>978-5-8199-0554-8</t>
  </si>
  <si>
    <t>38.03.01, 38.03.02, 38.03.06, 38.04.07</t>
  </si>
  <si>
    <t>Рекомендовано кафедрой торговой политики РЭУ им. Г.В. Плеханова в качестве учебного пособия для студентов высших учебных заведений, обучающихся по направлениям «Торговое дело» (бакалавриат), «Экономика» (бакалавриат), «Менеджмент» (бакалавриат)</t>
  </si>
  <si>
    <t>875074.01.01</t>
  </si>
  <si>
    <t>Опыт внедрения управленческих инноваций в гос. секторе / С.Е.Прокофьев - М.:НИЦ ИНФРА-М,2026. - 116 с.(п)</t>
  </si>
  <si>
    <t>ОПЫТ ВНЕДРЕНИЯ УПРАВЛЕНЧЕСКИХ ИННОВАЦИЙ В ГОСУДАРСТВЕННОМ СЕКТОРЕ., ИЗД.1</t>
  </si>
  <si>
    <t>Прокофьев С.Е., Дзгоев В.Д.</t>
  </si>
  <si>
    <t>978-5-16-021988-2</t>
  </si>
  <si>
    <t>318700.10.01</t>
  </si>
  <si>
    <t>Опыт и перспективы применения инновац. технологий....: Моногр. / Г.В.Алексеев - М:ИНФРА-М,2026-321с(о)</t>
  </si>
  <si>
    <t>ОПЫТ И ПЕРСПЕКТИВЫ ПРИМЕНЕНИЯ ИННОВАЦИОННЫХ ТЕХНОЛОГИЙ ОБРАЗОВАНИЯ В ОБЛАСТИ ПИЩЕВЫХ ПРОИЗВОДСТВ, ИЗД.1</t>
  </si>
  <si>
    <t>Алексеев Г.В., Бриденко И.И.</t>
  </si>
  <si>
    <t>978-5-16-010414-0</t>
  </si>
  <si>
    <t>19.04.01, 19.04.02, 19.04.03, 19.04.04, 19.04.05</t>
  </si>
  <si>
    <t>079500.12.01</t>
  </si>
  <si>
    <t>Организац. культура в табл., тестах, кейсах и схемах / Т.О. Соломанидина. -ИНФРА-М, 2024. - 395 с. (п</t>
  </si>
  <si>
    <t>ОРГАНИЗАЦИОННАЯ КУЛЬТУРА В ТАБЛИЦАХ, ТЕСТАХ, КЕЙСАХ И СХЕМАХ, ИЗД.1</t>
  </si>
  <si>
    <t>Соломанидина Т. О.</t>
  </si>
  <si>
    <t>5-16-002708-4</t>
  </si>
  <si>
    <t>104550.13.01</t>
  </si>
  <si>
    <t>Организационная конфликтология: Уч. пос. / К.В. Решетникова. - М.: ИНФРА-М, 2026. - 175 с. (ВО) (п)</t>
  </si>
  <si>
    <t>ОРГАНИЗАЦИОННАЯ КОНФЛИКТОЛОГИЯ, ИЗД.1</t>
  </si>
  <si>
    <t>Решетникова К. В.</t>
  </si>
  <si>
    <t>978-5-16-003512-3</t>
  </si>
  <si>
    <t>37.03.02, 38.03.02, 38.03.03, 38.03.04, 39.03.01</t>
  </si>
  <si>
    <t>Рекомендовано Учебно-методическим объединением вузов России по образованию в области экономики, менеджмента, логистики и бизнес-информатики в качестве учебного пособия для студ. вузов, обуч. по напр. подготовки 080500  "Менеджмент"</t>
  </si>
  <si>
    <t>454500.07.01</t>
  </si>
  <si>
    <t>Организационная культура: Уч. пос. / А.П.Балашов - М.: Вуз. уч., НИЦ ИНФРА-М,2026. - 278 с.(П)</t>
  </si>
  <si>
    <t>ОРГАНИЗАЦИОННАЯ КУЛЬТУРА, ИЗД.1</t>
  </si>
  <si>
    <t>978-5-9558-0475-0</t>
  </si>
  <si>
    <t>231700.16.01</t>
  </si>
  <si>
    <t>Организационная психология: Уч. / А.Б.Леонова - М.:НИЦ ИНФРА-М,2026 - 429 с.(ВО.)(П)</t>
  </si>
  <si>
    <t>ОРГАНИЗАЦИОННАЯ ПСИХОЛОГИЯ, ИЗД.1</t>
  </si>
  <si>
    <t>Леонова А.Б., Базаров Т.Ю., Абдуллаева М.М. и др.</t>
  </si>
  <si>
    <t>978-5-16-020922-7</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</si>
  <si>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направлению подготовки 37.03.01 «Психология» (квалификация (степень) «бакалавр»)</t>
  </si>
  <si>
    <t>745643.06.01</t>
  </si>
  <si>
    <t>Организационное и тех. обеспеч. информац. безоп...: Уч.пос. / В.Я.Ищейнов - М.:НИЦ ИНФРА-М,2024 - 256 с(П)</t>
  </si>
  <si>
    <t>ОРГАНИЗАЦИОННОЕ И ТЕХНИЧЕСКОЕ ОБЕСПЕЧЕНИЕ ИНФОРМАЦИОННОЙ БЕЗОПАСНОСТИ. ЗАЩИТА КОНФИДЕНЦИАЛЬНОЙ ИНФОРМАЦИИ, ИЗД.1</t>
  </si>
  <si>
    <t>Ищейнов В.Я., Мецатунян М.В.</t>
  </si>
  <si>
    <t>978-5-16-016535-6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</si>
  <si>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10.05.00 «Информационная безопасность» (протокол № 8 от 22.06.2020)</t>
  </si>
  <si>
    <t>Политехнический колледж № 8 имени дважды Героя Советского Союза И.Ф. Павлова</t>
  </si>
  <si>
    <t>265600.07.01</t>
  </si>
  <si>
    <t>Организационное и техническое обеспеч. информ..:Уч.пос./В.Я.Ищейнов -2 изд.-Форум:ИНФРА-М,2024-256с.(п)</t>
  </si>
  <si>
    <t>ОРГАНИЗАЦИОННОЕ И ТЕХНИЧЕСКОЕ ОБЕСПЕЧЕНИЕ ИНФОРМАЦИОННОЙ БЕЗОПАСНОСТИ. ЗАЩИТА КОНФИДЕНЦИАЛЬНОЙ ИНФОРМАЦИИ, ИЗД.2</t>
  </si>
  <si>
    <t>978-5-00091-506-6</t>
  </si>
  <si>
    <t>10.03.01</t>
  </si>
  <si>
    <t>Рекомендовано Учебно-методическим объединением по образованию в области историко-архивоведения в качестве учебного пособия для студентов высших учебных заведений, обучающихся по направлению подготовки 10.03.01 «Информационная безопасность»</t>
  </si>
  <si>
    <t>071970.14.01</t>
  </si>
  <si>
    <t>Организационное поведение (практик....): Уч.пос. / С.Д.Резник - 2 изд.- М.:ИНФРА-М Изд.Дом,2023-320 с(ВО)(П)</t>
  </si>
  <si>
    <t>ОРГАНИЗАЦИОННОЕ ПОВЕДЕНИЕ (ПРАКТИКУМ: ДЕЛОВЫЕ ИГРЫ, ТЕСТЫ, КОНКРЕТНЫЕ СИТУАЦИИ), ИЗД.2</t>
  </si>
  <si>
    <t>Резник С. Д., Игошина И. А., Шестернина О. И., Резник С. Д.</t>
  </si>
  <si>
    <t>978-5-16-005000-3</t>
  </si>
  <si>
    <t>37.03.01, 38.03.01, 38.03.02, 38.03.03, 38.03.04, 38.03.07, 38.04.01, 38.04.02, 38.04.03, 38.04.04, 41.03.06, 44.03.05</t>
  </si>
  <si>
    <t>Рекомендовано Учебно-методическим объединением вузов России по образованию  области менеджмента в качестве учебного пособия для студентов высших учебных заведений, обучающихся по направлениям "Менеджмент" и "Управление персоналом"</t>
  </si>
  <si>
    <t>071970.13.01</t>
  </si>
  <si>
    <t>Организационное поведение (практикум....): Уч.пос. / С.Д.Резник - 3 изд. - М.:ИНФРА-М Изд.Дом,2022-320 с(ВО)(П)</t>
  </si>
  <si>
    <t>ОРГАНИЗАЦИОННОЕ ПОВЕДЕНИЕ (ПРАКТИКУМ: ДЕЛОВЫЕ ИГРЫ, ТЕСТЫ, КОНКРЕТНЫЕ СИТУАЦИИ), ИЗД.3</t>
  </si>
  <si>
    <t>071970.11.01</t>
  </si>
  <si>
    <t>Организационное поведение (практикум....):Уч.пос. / С.Д.Резник-М.:ИНФРА-М Изд.Дом,2017.-256 с(ВО)(П)</t>
  </si>
  <si>
    <t>ОРГАНИЗАЦИОННОЕ ПОВЕДЕНИЕ (ПРАКТИКУМ: ДЕЛОВЫЕ ИГРЫ, ТЕСТЫ, КОНКРЕТНЫЕ СИТУАЦИИ), ИЗД.1</t>
  </si>
  <si>
    <t>Рекомендовано УМО вузов России по образованию в области менеджмента в качестве учебного пособия по специальностям Менеджмент организации , Муниципальное и государственное управление, Управление персоналом</t>
  </si>
  <si>
    <t>097950.09.01</t>
  </si>
  <si>
    <t>Организационное поведение гос. служащих: Уч. пос. / Н.Л.Захаров - М.: ИНФРА-М, 2020-237с. (ВО) (п)</t>
  </si>
  <si>
    <t>ОРГАНИЗАЦИОННОЕ ПОВЕДЕНИЕ ГОСУДАРСТВЕННЫХ СЛУЖАЩИХ, ИЗД.1</t>
  </si>
  <si>
    <t>Захаров Н. Л.</t>
  </si>
  <si>
    <t>978-5-16-009613-1</t>
  </si>
  <si>
    <t>38.03.02, 38.03.03, 38.03.04, 38.04.02, 38.04.04, 41.03.06, 44.03.05</t>
  </si>
  <si>
    <t>Допущено Учебно-методическим объединением в области менеджмента в качестве учебного пособия для студентов вузов, обучающихся по направлению "Менеджмент" (080500.62)</t>
  </si>
  <si>
    <t>097950.13.01</t>
  </si>
  <si>
    <t>Организационное поведение гос. служащих: Уч.пос. / Н.Л.Захаров - М.:НИЦ ИНФРА-М,2026 - 237 с. (ВО)(О)</t>
  </si>
  <si>
    <t>Захаров Н.Л.</t>
  </si>
  <si>
    <t>147500.10.01</t>
  </si>
  <si>
    <t>Организационное поведение. Новые направ. теории: Уч. пос. / Д.С. Петросян - М.:ИНФРА-М,2026 - 272 с.(ВО) (п)</t>
  </si>
  <si>
    <t>ОРГАНИЗАЦИОННОЕ ПОВЕДЕНИЕ. НОВЫЕ НАПРАВЛЕНИЯ ТЕОРИИ, ИЗД.1</t>
  </si>
  <si>
    <t>Петросян Д. С., Фаткина Н. Л., Райзберг Б. А.</t>
  </si>
  <si>
    <t>978-5-16-004663-1</t>
  </si>
  <si>
    <t>071970.15.01</t>
  </si>
  <si>
    <t>Организационное поведение. Прак.: Уч.пос. / С.Д.Резник - 4 изд.-М.:НИЦ ИНФРА-М,2024.-333 с.(ВО)(п)</t>
  </si>
  <si>
    <t>ОРГАНИЗАЦИОННОЕ ПОВЕДЕНИЕ, ИЗД.4</t>
  </si>
  <si>
    <t>Резник С.Д., Игошина И.А., Черниковская М.В. и др.</t>
  </si>
  <si>
    <t>978-5-16-018507-1</t>
  </si>
  <si>
    <t>369500.05.01</t>
  </si>
  <si>
    <t>Организационное поведение. Практикум: Уч.пос. / Т.П. Хохлова - М.:Магистр, НИЦ ИНФРА-М,2023.-256 с.</t>
  </si>
  <si>
    <t>ОРГАНИЗАЦИОННОЕ ПОВЕДЕНИЕ. ПРАКТИКУМ, ИЗД.1</t>
  </si>
  <si>
    <t>Хохлова Т.П.</t>
  </si>
  <si>
    <t>978-5-9776-0367-6</t>
  </si>
  <si>
    <t>37.03.01, 38.03.01, 38.03.02, 38.03.03, 38.03.04, 38.04.02, 38.04.03, 38.04.04, 41.03.06, 44.03.05</t>
  </si>
  <si>
    <t>852507.02.01</t>
  </si>
  <si>
    <t>Организационное поведение: Уч. / А.Г.Дементьева - М., НИЦ ИНФРА-М,2026. - 712 с.(п)</t>
  </si>
  <si>
    <t>ОРГАНИЗАЦИОННОЕ ПОВЕДЕНИЕ, ИЗД.1</t>
  </si>
  <si>
    <t>Дементьева А.Г., Соколова М.И.</t>
  </si>
  <si>
    <t>978-5-16-021756-7</t>
  </si>
  <si>
    <t>08.03.01, 27.03.02, 38.03.01, 38.03.03, 41.03.06, 44.03.05, 56.05.01</t>
  </si>
  <si>
    <t>720816.05.01</t>
  </si>
  <si>
    <t>Организационное поведение: Уч. / Е.С.Балабанова - М.:НИЦ ИНФРА-М,2026 - 592 с.-(ВО)(п)</t>
  </si>
  <si>
    <t>Балабанова Е.С.</t>
  </si>
  <si>
    <t>978-5-16-018939-0</t>
  </si>
  <si>
    <t>08.03.01, 27.03.02, 27.04.03, 38.03.01, 38.03.02, 38.03.03, 38.04.02, 41.03.06, 43.04.02, 44.03.05, 56.05.01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</si>
  <si>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(протокол № 10 от 15.12.2021)</t>
  </si>
  <si>
    <t>023589.23.01</t>
  </si>
  <si>
    <t>Организационное поведение: Уч. / Л.В. Карташова. - 2 изд. - М.: ИНФРА-М, 2026 - 383 с. (п)</t>
  </si>
  <si>
    <t>ОРГАНИЗАЦИОННОЕ ПОВЕДЕНИЕ, ИЗД.2</t>
  </si>
  <si>
    <t>Карташова Л. В., Никонова Т. В., Соломанидина Т. О.</t>
  </si>
  <si>
    <t>978-5-16-003293-1</t>
  </si>
  <si>
    <t>06.04.01, 17.03.01, 23.03.01, 26.03.02, 35.03.02, 38.03.01, 38.03.02, 38.03.03, 38.04.01, 38.04.02, 38.04.03, 41.03.06, 44.03.01, 46.04.02, 51.03.02</t>
  </si>
  <si>
    <t>Рекомендовано Министерством образования РФ в качестве учебника для студентов высших заведений, обучающихся по специальности и направлению "Менеджмент"</t>
  </si>
  <si>
    <t>284700.07.01</t>
  </si>
  <si>
    <t>Организационное поведение: Уч. / О.К. Минева - М.: Альфа-М:  ИНФРА-М, 2024. - 256 с. (Бакалавриат)(п)</t>
  </si>
  <si>
    <t>978-5-98281-399-2</t>
  </si>
  <si>
    <t>38.03.01, 38.03.02, 38.03.03, 38.03.04, 38.04.01, 38.04.02, 38.04.03, 38.04.04, 41.03.06, 44.03.05</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</si>
  <si>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студентов высших учебных заведений, обучающихся п</t>
  </si>
  <si>
    <t>072700.11.01</t>
  </si>
  <si>
    <t>Организационное поведение: Уч. / С.Д.Резник - 4 изд. - М.:НИЦ ИНФРА-М,2020-460 с.(ВО:Бакалавр.)(п)</t>
  </si>
  <si>
    <t>978-5-16-010032-6</t>
  </si>
  <si>
    <t>38.03.01, 38.03.02, 38.03.03, 38.03.04, 41.03.06, 44.03.05</t>
  </si>
  <si>
    <t>Допущено Советом Учебно-методического объединеня вузов России по образованию в области менеджмента в качестве учебника для студентов вузов, обучающихся по направлениям "Менеджмент" и "Управление персоналом"</t>
  </si>
  <si>
    <t>072700.10.01</t>
  </si>
  <si>
    <t>Организационное поведение: Уч. / С.Д.Резник - 5 изд.- М.:НИЦ ИНФРА-М,2018 - 463 с.(ВО:Бакалавр.)(п)</t>
  </si>
  <si>
    <t>ОРГАНИЗАЦИОННОЕ ПОВЕДЕНИЕ, ИЗД.5</t>
  </si>
  <si>
    <t>072700.15.01</t>
  </si>
  <si>
    <t>Организационное поведение: Уч. / С.Д.Резник, - 6 изд.-М.:НИЦ ИНФРА-М,2024.- 433 с.(ВО)(п)</t>
  </si>
  <si>
    <t>ОРГАНИЗАЦИОННОЕ ПОВЕДЕНИЕ, ИЗД.6</t>
  </si>
  <si>
    <t>978-5-16-018924-6</t>
  </si>
  <si>
    <t>067713.03.01</t>
  </si>
  <si>
    <t>Организационное поведение: Уч.пос. / Т.П.Хохлова - М.:Магистр,2015 - 512 с.(п)</t>
  </si>
  <si>
    <t>978-5-9776-0112-2</t>
  </si>
  <si>
    <t>Рекомендовано Советом Учебно-методического объединения вузов России по образованию в области менеджмента в качестве учебного пособия по специальности Менеджмент организации</t>
  </si>
  <si>
    <t>863949.01.01</t>
  </si>
  <si>
    <t>Организационное проектир. гостиничной деят.: Уч.пос. / Т.А.Джум. - М.:НИЦ ИНФРА-М ,2026. - 376 с.(п)</t>
  </si>
  <si>
    <t>ОРГАНИЗАЦИОННОЕ ПРОЕКТИРОВАНИЕ ГОСТИНИЧНОЙ ДЕЯТЕЛЬНОСТИ, ИЗД.1</t>
  </si>
  <si>
    <t>Джум Т.А., Тамова М.Ю., Корнева О.А.</t>
  </si>
  <si>
    <t>978-5-16-021550-1</t>
  </si>
  <si>
    <t>43.02.11, 43.02.16, 43.03.03</t>
  </si>
  <si>
    <t>064800.20.01</t>
  </si>
  <si>
    <t>Организационное проектирование: Уч. / В.А.Баринов - М.:НИЦ ИНФРА-М,2026 - 384 с.(Уч. для програм. MBA)(п)</t>
  </si>
  <si>
    <t>ОРГАНИЗАЦИОННОЕ ПРОЕКТИРОВАНИЕ, ИЗД.1</t>
  </si>
  <si>
    <t>978-5-16-010992-3</t>
  </si>
  <si>
    <t>27.04.07, 38.03.01, 38.03.02, 38.04.01, 38.04.02</t>
  </si>
  <si>
    <t>Допущено Министерством образования РФ в качестве учебного пособия для слушателей образовательных учреждений обучающихся по программе MBA и другим программам подготовки управленческих кадров</t>
  </si>
  <si>
    <t>368000.09.01</t>
  </si>
  <si>
    <t>Организационное проектирование: Уч.пос. / Под ред. Петросяна Д.С. - М.:НИЦ ИНФРА-М,2026. - 196 с.(П)(ВО)</t>
  </si>
  <si>
    <t>ОРГАНИЗАЦИОННОЕ ПРОЕКТИРОВАНИЕ: РЕОРГАНИЗАЦИЯ,  РЕИНЖИНИРИНГ, ГАРМОНИЗАЦИЯ, ИЗД.1</t>
  </si>
  <si>
    <t>Лочан С.А., Альбитер Л.М., Семенова Ф.З. и др.</t>
  </si>
  <si>
    <t>978-5-16-021571-6</t>
  </si>
  <si>
    <t>27.04.07, 38.03.01, 38.03.02, 38.04.01, 38.04.02, 38.04.03, 44.03.05</t>
  </si>
  <si>
    <t>Рекомендовано в качестве учебного пособия для студентов высших учебных заведений, обучающихся по УГС 38.00.00 «Экономика и управление» (квалификация (степень) «магистр»)</t>
  </si>
  <si>
    <t>673720.07.01</t>
  </si>
  <si>
    <t>Организационно-метод. подходы к бух. уч...: Моногр. / Е.Н.Песчанникова - М.:НИЦ ИНФРА-М,2025 - 115 с.(О)</t>
  </si>
  <si>
    <t>ОРГАНИЗАЦИОННО-МЕТОДИЧЕСКИЕ ПОДХОДЫ К БУХГАЛТЕРСКОМУ УЧЕТУ И КОНТРОЛЮ БИБЛИОТЕЧНО-ИНФОРМАЦИОННОГО РЕСУРСА ОБРАЗОВАТЕЛЬНЫХ ОРГАНИЗАЦИЙ ВЫСШЕГО ОБРАЗОВАНИЯ, ИЗД.1</t>
  </si>
  <si>
    <t>Песчанникова Е.Н., Рудакова Е.Н.</t>
  </si>
  <si>
    <t>978-5-16-013812-1</t>
  </si>
  <si>
    <t>822171.01.01</t>
  </si>
  <si>
    <t>Организационно-методич. основы технич. обслуж. и...: Уч.пос. / Н.В.Шерстнев - М.:НИЦ ИНФРА-М,2025 - 162 с.(п)</t>
  </si>
  <si>
    <t>ОРГАНИЗАЦИОННО-МЕТОДИЧЕСКИЕ ОСНОВЫ ТЕХНИЧЕСКОГО ОБСЛУЖИВАНИЯ И РЕМОНТА СУДОВЫХ ТЕХНИЧЕСКИХ СРЕДСТВ, ИЗД.1</t>
  </si>
  <si>
    <t>978-5-16-019806-4</t>
  </si>
  <si>
    <t>26.05.04, 26.05.07</t>
  </si>
  <si>
    <t>795907.04.01</t>
  </si>
  <si>
    <t>Организационно-методологич. основы подготовки...: Уч.мет.пос. / С.В.Иванова - М.:НИЦ ИНФРА-М,2026. - 92 с.(ВО)(о)</t>
  </si>
  <si>
    <t>ОРГАНИЗАЦИОННО-МЕТОДОЛОГИЧЕСКИЕ ОСНОВЫ ПОДГОТОВКИ ДИССЕРТАЦИИ, ИЗД.1</t>
  </si>
  <si>
    <t>Иванова С.В.</t>
  </si>
  <si>
    <t>978-5-16-018163-9</t>
  </si>
  <si>
    <t>856880.01.01</t>
  </si>
  <si>
    <t>Организационно-прав. реш. по обеспеч. технологич. суверенитета / С.Ф.Остапюк. - М.:НИЦ ИНФРА-М,2025. - 236 с.(п)</t>
  </si>
  <si>
    <t>ОРГАНИЗАЦИОННО-ПРАВОВЫЕ РЕШЕНИЯ ПО ОБЕСПЕЧЕНИЮ ТЕХНОЛОГИЧЕСКОГО СУВЕРЕНИТЕТА, ИЗД.1</t>
  </si>
  <si>
    <t>Остапюк С.Ф., Куприянова Л.М., Фетисов В.П. и др.</t>
  </si>
  <si>
    <t>978-5-16-021061-2</t>
  </si>
  <si>
    <t>27.04.05, 27.06.01, 38.04.01, 38.05.01, 38.06.01, 40.04.01, 40.05.01, 40.06.01</t>
  </si>
  <si>
    <t>Институт проблем развития науки Российской академии наук</t>
  </si>
  <si>
    <t>851836.01.01</t>
  </si>
  <si>
    <t>Организационно-правовые формы охраны культурного..: Науч.-прак. пос. / А.Н.Пилипенко - М.:НИЦ ИНФРА-М,2025 - 198 с.(п)</t>
  </si>
  <si>
    <t>ОРГАНИЗАЦИОННО-ПРАВОВЫЕ ФОРМЫ ОХРАНЫ КУЛЬТУРНОГО НАСЛЕДИЯ В ЗАРУБЕЖНЫХ ГОСУДАРСТВАХ, ИЗД.1</t>
  </si>
  <si>
    <t>Пилипенко А.Н., Крысенкова Н.Б., Трещетенкова Н.Ю. и др.</t>
  </si>
  <si>
    <t>978-5-16-020774-2</t>
  </si>
  <si>
    <t>40.04.01, 40.06.01, 41.06.01, 46.04.01, 46.06.01</t>
  </si>
  <si>
    <t>814026.01.01</t>
  </si>
  <si>
    <t>Организационно-технологич. реш. реконструкции: Моногр. / С.Н.Леонович - М.:НИЦ ИНФРА-М,2025. - 244 с.(п)</t>
  </si>
  <si>
    <t>ОРГАНИЗАЦИОННО-ТЕХНОЛОГИЧЕСКИЕ РЕШЕНИЯ РЕКОНСТРУКЦИИ И МОДЕРНИЗАЦИИ ПРЕДПРИЯТИЙ ИНДУСТРИАЛЬНОГО ДОМОСТРОЕНИЯ, ИЗД.1</t>
  </si>
  <si>
    <t>Леонович С.Н., Гуринович В.Ю.</t>
  </si>
  <si>
    <t>978-5-16-020530-4</t>
  </si>
  <si>
    <t>08.02.01, 08.03.01</t>
  </si>
  <si>
    <t>217500.05.01</t>
  </si>
  <si>
    <t>Организационно-технологические осн. сухопут. трансп. леса: Уч. пос. / В.П.Бычков - ИНФРА-М, 2022-187с. (п)</t>
  </si>
  <si>
    <t>ОРГАНИЗАЦИОННО-ТЕХНОЛОГИЧЕСКИЕ ОСНОВЫ СУХОПУТНОГО ТРАНСПОРТА ЛЕСА, ИЗД.1</t>
  </si>
  <si>
    <t>Бычков В. П., Бугаков В. М., Заложных В. М., Бычков В. П.</t>
  </si>
  <si>
    <t>978-5-16-006922-7</t>
  </si>
  <si>
    <t>35.03.01, 35.03.02, 35.04.02</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</si>
  <si>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«Лесное хозяйство» и «Лесоинженерное дело»</t>
  </si>
  <si>
    <t>790124.02.01</t>
  </si>
  <si>
    <t>Организационно-экономич. основы систематизации проект... / Е.В.Кравчук - М.:НИЦ ИНФРА-М,2026. - 186 с.(О)</t>
  </si>
  <si>
    <t>ОРГАНИЗАЦИОННО-ЭКОНОМИЧЕСКИЕ ОСНОВЫ СИСТЕМАТИЗАЦИИ ПРОЕКТНОГО РЕШЕНИЯ В СФЕРЕ СТРОИТЕЛЬСТВА, ИЗД.1</t>
  </si>
  <si>
    <t>Кравчук Е.В.</t>
  </si>
  <si>
    <t>978-5-16-018199-8</t>
  </si>
  <si>
    <t>08.04.01, 08.05.01, 08.06.01</t>
  </si>
  <si>
    <t>699606.06.01</t>
  </si>
  <si>
    <t>Организация автотех. обеспеч. войск и...: Уч.пос. / Под ред. Михневича М.А. - М.:НИЦ ИНФРА-М,2027-438 с.(П)</t>
  </si>
  <si>
    <t>ОРГАНИЗАЦИЯ АВТОТЕХНИЧЕСКОГО ОБЕСПЕЧЕНИЯ ВОЙСК И ВОИНСКИЕ АВТОМОБИЛЬНЫЕ ПЕРЕВОЗКИ, ИЗД.1</t>
  </si>
  <si>
    <t>Михневич М.А., Ефремов В.В., Горохов Н.М. и др.</t>
  </si>
  <si>
    <t>978-5-16-014783-3</t>
  </si>
  <si>
    <t>Рекомендуется Федеральным государственным казенным военным образовательным учреждением высшего образования «Рязанское гвардейское высшее воздушно-десантное командное ордена Суворова дважды Краснознаменное училище имени генерала армии В.Ф. Маргелова» Министерства обороны Российской Федерации в качестве учебного пособия для курсантов военно-учебных заведений Сухопутных войск, обучающихся по специальности высшего профессионального образования «Наземные транспортно-технологические средства» (регистрационный номер рецензии 155 от 12 апреля 2016 г.)</t>
  </si>
  <si>
    <t>699597.06.01</t>
  </si>
  <si>
    <t>Организация автотехнич. обеспеч. войск..: Уч.пос. / М.А.Михневич. - М.:НИЦ ИНФРА-М,2027. - 315 с.(ВО.Сп)(п)</t>
  </si>
  <si>
    <t>ОРГАНИЗАЦИЯ АВТОТЕХНИЧЕСКОГО ОБЕСПЕЧЕНИЯ ВОЙСК. ВОИНСКИЕ АВТОМОБИЛЬНЫЕ ПЕРЕВОЗКИ, ИЗД.1</t>
  </si>
  <si>
    <t>978-5-16-022413-8</t>
  </si>
  <si>
    <t>23.04.01, 23.05.01</t>
  </si>
  <si>
    <t>Рекомендуется Федеральным государственным казенным военным образовательным учреждением высшего образования «Рязанское гвардейское высшее воздушно-десантное командное ордена Суворова дважды Краснознаменное училище имени генерала армии В.Ф. Маргелова» Министерства обороны Российской Федерации в качестве учебника для курсантов военно-учебных заведений Сухопутных войск, обучающихся по специальности высшего образования «Наземные транспортно-технологические средства»</t>
  </si>
  <si>
    <t>705270.06.01</t>
  </si>
  <si>
    <t>Организация безналичных расчетов: Уч. / А.А.Казимагомедов - М.:НИЦ ИНФРА-М,2024 - 212 с.(СПО)(П)</t>
  </si>
  <si>
    <t>ОРГАНИЗАЦИЯ БЕЗНАЛИЧНЫХ РАСЧЕТОВ, ИЗД.1</t>
  </si>
  <si>
    <t>978-5-16-015118-2</t>
  </si>
  <si>
    <t>11.02.12, 38.02.07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</si>
  <si>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38.02.07 «Банковское дело» (протокол № 17 от 11.11.2019)</t>
  </si>
  <si>
    <t>818353.01.01</t>
  </si>
  <si>
    <t>Организация безналичных расчетов: Уч.пос. / А.П.Гарнов - М.:НИЦ ИНФРА-М,2025. - 183 с.(ВО (РЭУ))(п)</t>
  </si>
  <si>
    <t>Гарнов А.П.</t>
  </si>
  <si>
    <t>978-5-16-019607-7</t>
  </si>
  <si>
    <t>822128.01.01</t>
  </si>
  <si>
    <t>Организация ветеринарного дела: Уч.пос. / И.В.Гавриленко - М.:НИЦ ИНФРА-М,2025. - 216 с.(ВО (КрГАУ))(п)</t>
  </si>
  <si>
    <t>ОРГАНИЗАЦИЯ ВЕТЕРИНАРНОГО ДЕЛА, ИЗД.1</t>
  </si>
  <si>
    <t>978-5-16-020338-6</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</si>
  <si>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36.03.01 «Ветеринарно-санитарная экспертиза», по специальности 36.05.01 «Ветеринария», а также для подготовки слушателей центра дополнительного профессионального образования</t>
  </si>
  <si>
    <t>776706.01.01</t>
  </si>
  <si>
    <t>Организация воспитательной работы в совр. вузе.../ Под ред. Ивановой В.А.-М.:НИЦ ИНФРА-М,2023.-195 с.(п)</t>
  </si>
  <si>
    <t>ОРГАНИЗАЦИЯ ВОСПИТАТЕЛЬНОЙ РАБОТЫ В СОВРЕМЕННОМ ВУЗЕ: ТРАДИЦИИ И НОВАЦИИ, ИЗД.1</t>
  </si>
  <si>
    <t>Иванова В.А., Алябьева Е.В., Богданова М.М. и др.</t>
  </si>
  <si>
    <t>978-5-16-017855-4</t>
  </si>
  <si>
    <t>44.04.01, 44.04.02, 44.06.01, 51.04.03</t>
  </si>
  <si>
    <t>693894.05.01</t>
  </si>
  <si>
    <t>Организация гостиничного дела: обеспеч. безоп.: Уч.пос. / Р.Н.Ушаков-М.:НИЦ ИНФРА-М,2025-136 с.(СПО)(о)</t>
  </si>
  <si>
    <t>ОРГАНИЗАЦИЯ ГОСТИНИЧНОГО ДЕЛА: ОБЕСПЕЧЕНИЕ БЕЗОПАСНОСТИ, ИЗД.1</t>
  </si>
  <si>
    <t>Ушаков Р.Н., Авилова Н.Л.</t>
  </si>
  <si>
    <t>978-5-16-014473-3</t>
  </si>
  <si>
    <t>646488.07.01</t>
  </si>
  <si>
    <t>Организация гостиничного дела: обеспечение безоп.: Уч.пос. / Р.Н.Ушаков-М.:НИЦ ИНФРА-М,2024-136 с.(ВО)(О)</t>
  </si>
  <si>
    <t>978-5-16-012496-4</t>
  </si>
  <si>
    <t>43.00.00, 43.03.01, 43.03.02, 43.03.03</t>
  </si>
  <si>
    <t>Рекомендовано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t>
  </si>
  <si>
    <t>683002.08.01</t>
  </si>
  <si>
    <t>Организация гостиничного дела: Уч.пос. / С.А.Быстров - М.:НИЦ ИНФРА-М,2027 - 432 с.-(СПО)(п)</t>
  </si>
  <si>
    <t>ОРГАНИЗАЦИЯ ГОСТИНИЧНОГО ДЕЛА, ИЗД.1</t>
  </si>
  <si>
    <t>Быстров С.А.</t>
  </si>
  <si>
    <t>978-5-16-022425-1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</si>
  <si>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43.02.11 «Гостиничный сервис» (протокол № 5 от 11.03.2019)</t>
  </si>
  <si>
    <t>462500.10.01</t>
  </si>
  <si>
    <t>Организация гостиничного дела: Уч.пос. / С.А.Быстров - М.:Форум, НИЦ ИНФРА-М,2026. - 432 с.-(ВО)(п)</t>
  </si>
  <si>
    <t>978-5-00091-514-1</t>
  </si>
  <si>
    <t>Рекомендовано для студентов высших учебных заведений, обучающихся по направлению подготовки 43.03.03 «Гостиничное дело»</t>
  </si>
  <si>
    <t>149650.11.01</t>
  </si>
  <si>
    <t>Организация гостиничного хозяйства: Уч. пос. / Т.А. Джум - М.: Магистр:  НИЦ Инфра-М, 2024-400 с.(п)</t>
  </si>
  <si>
    <t>ОРГАНИЗАЦИЯ ГОСТИНИЧНОГО ХОЗЯЙСТВА, ИЗД.1</t>
  </si>
  <si>
    <t>Джум Т. А., Денисова Н. И.</t>
  </si>
  <si>
    <t>978-5-9776-0176-4</t>
  </si>
  <si>
    <t>38.03.02, 38.04.02, 43.03.03, 43.04.03</t>
  </si>
  <si>
    <t>Допущено УМО по образованию в области производственного менеджмента для студентов вузов, обучающихся по специальности 080502 "Экономика и управление на предприятии общественного питания"</t>
  </si>
  <si>
    <t>667633.06.01</t>
  </si>
  <si>
    <t>Организация груз. автомоб. перевозок.: Уч.пос. / В.А.Ковалев - 2 изд.-М.:НИЦ ИНФРА-М, СФУ,2022-187с.</t>
  </si>
  <si>
    <t>ОРГАНИЗАЦИЯ ГРУЗОВЫХ АВТОМОБИЛЬНЫХ ПЕРЕВОЗОК. КУРСОВОЕ ПРОЕКТИРОВАНИЕ, ИЗД.2</t>
  </si>
  <si>
    <t>Ковалев В.А., Фадеев А.Н.</t>
  </si>
  <si>
    <t>978-5-16-017360-3</t>
  </si>
  <si>
    <t>Рекомендовано ФГБОУ ВО «Московский автомобильно-дорожный государственный технический университет (МАДИ)» к использованию в образовательных учреждениях, реализующих образовательные программы высшего образования подготовки бакалавров по направлению «Технология транспортных процессов»  (профиль подготовки «Организация перевозок и управление  на автомобильном транспорте»)</t>
  </si>
  <si>
    <t>667633.07.01</t>
  </si>
  <si>
    <t>Организация груз. автомоб. перевозок.: Уч.пос. / В.А.Ковалев - 2 изд.-М.:НИЦ ИНФРА-М, СФУ,2024-187с.(о)</t>
  </si>
  <si>
    <t>978-5-16-019180-5</t>
  </si>
  <si>
    <t>837252.02.01</t>
  </si>
  <si>
    <t>Организация деят. коммерч. банка: Практ. / И.А.Янкина - М.:НИЦ ИНФРА-М, СФУ,2027 - 237 с.(ВО (СФУ))(п)</t>
  </si>
  <si>
    <t>ОРГАНИЗАЦИЯ ДЕЯТЕЛЬНОСТИ КОММЕРЧЕСКОГО БАНКА, ИЗД.1</t>
  </si>
  <si>
    <t>Янкина И.А., Черкасова Ю.И., Осколкова Н.С.</t>
  </si>
  <si>
    <t>978-5-16-020276-1</t>
  </si>
  <si>
    <t>443500.04.01</t>
  </si>
  <si>
    <t>Организация деят. коммерческого банка: Уч./О.М.Маркова-М.:ИД ФОРУМ, НИЦ ИНФРА-М,2023.-496 с.(П)</t>
  </si>
  <si>
    <t>МарковаО.М.</t>
  </si>
  <si>
    <t>978-5-8199-0638-5</t>
  </si>
  <si>
    <t>Рекомендовано в качестве учебника для студентов учреждений среднего профессионального образования, обучающихся по специальностям экономического профиля</t>
  </si>
  <si>
    <t>181500.09.01</t>
  </si>
  <si>
    <t>Организация деятельности коммерч. банка: Уч / Под ред. Е.А.Звоновой -М:НИЦ Инфра-М,2024 - 632с.(ВО) (п)</t>
  </si>
  <si>
    <t>Звонова Е. А., Белецкий М. А., Богачева М. Ю., Дадашева О. Ю., Звонова Е. А.</t>
  </si>
  <si>
    <t>978-5-16-005404-9</t>
  </si>
  <si>
    <t>Рекомендовано УМО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080100 "Экономика" (квалификация (степень) "бакалавр")</t>
  </si>
  <si>
    <t>078550.13.01</t>
  </si>
  <si>
    <t>Организация и методика проф. обуч.: Уч. пос. / В.А.Скакун - 2 изд. - М.: Форум: Инфра-М, 2025 - 336 с.(ПО) (п)</t>
  </si>
  <si>
    <t>ОРГАНИЗАЦИЯ И МЕТОДИКА ПРОФЕССИОНАЛЬНОГО ОБУЧЕНИЯ, ИЗД.2</t>
  </si>
  <si>
    <t>Скакун В. А.</t>
  </si>
  <si>
    <t>978-5-91134-707-9</t>
  </si>
  <si>
    <t>748107.02.01</t>
  </si>
  <si>
    <t>Организация и методика риск-ориентир. аудита в туризме: Уч.пос. / В.Д.Андреев - М.:Магистр, НИЦ ИНФРА-М,2025 - 392 с.(П)</t>
  </si>
  <si>
    <t>ОРГАНИЗАЦИЯ И МЕТОДИКА РИСК-ОРИЕНТИРОВАННОГО АУДИТА В ТУРИЗМЕ, ИЗД.1</t>
  </si>
  <si>
    <t>978-5-9776-0527-4</t>
  </si>
  <si>
    <t>38.03.01, 43.03.02, 43.04.02</t>
  </si>
  <si>
    <t>054100.11.01</t>
  </si>
  <si>
    <t>Организация и методы налог. пров.: Уч. пос./ А.Н.Романов -3 изд. - Вуз. учеб.: Инфра-М, 2017-294с(п)</t>
  </si>
  <si>
    <t>ОРГАНИЗАЦИЯ И МЕТОДЫ НАЛОГОВЫХ ПРОВЕРОК, ИЗД.3</t>
  </si>
  <si>
    <t>Романов А.Н.</t>
  </si>
  <si>
    <t>978-5-9558-0240-4</t>
  </si>
  <si>
    <t>Допущено Мин. обр. и науки РФ в качестве учебного пособия для студентов высших учебных заведений, обучающихся по специальности 351200 "Налоги и налогообложение"</t>
  </si>
  <si>
    <t>054100.13.01</t>
  </si>
  <si>
    <t>Организация и методы налог. пров.: Уч.пос./ Под ред. Романова А.Н.-4 изд.-М.:Вуз.уч.,НИЦ ИНФРА-М,2024-421с.(ВО) (П)</t>
  </si>
  <si>
    <t>ОРГАНИЗАЦИЯ И МЕТОДЫ НАЛОГОВЫХ ПРОВЕРОК, ИЗД.4</t>
  </si>
  <si>
    <t>Романов А.Н., Савин А.А., Анашкин А.К. и др.</t>
  </si>
  <si>
    <t>978-5-9558-0594-8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</si>
  <si>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38.04.00 «Экономика и управление» (квалификация (степень) «магистр») (протокол № 12 от 24.06.2019)</t>
  </si>
  <si>
    <t>078800.17.01</t>
  </si>
  <si>
    <t>Организация и нормирование труда: Уч. для вуз. / М.И.Бухалков, - 4 изд. - М.:НИЦ ИНФРА-М,2025. - 380 с.(П)</t>
  </si>
  <si>
    <t>ОРГАНИЗАЦИЯ И НОРМИРОВАНИЕ ТРУДА, ИЗД.4</t>
  </si>
  <si>
    <t>Бухалков М. И.</t>
  </si>
  <si>
    <t>978-5-16-018653-5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</si>
  <si>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38.03.00 «Экономика и управление» (протокол № 7 от 15.04.2019)</t>
  </si>
  <si>
    <t>107600.15.01</t>
  </si>
  <si>
    <t>Организация и нормирование труда: Уч. пос. /В.Б.Бычин - М.: НИЦ ИНФРА-М,2027 - 248 с.(ВО.)(П)</t>
  </si>
  <si>
    <t>ОРГАНИЗАЦИЯ И НОРМИРОВАНИЕ ТРУДА, ИЗД.1</t>
  </si>
  <si>
    <t>Бычин В. Б., Шубенкова Е. В., Малинин С. В.</t>
  </si>
  <si>
    <t>978-5-16-020118-4</t>
  </si>
  <si>
    <t>38.03.01, 38.03.02, 38.03.03, 38.03.04, 38.04.01, 38.04.02, 38.04.03, 38.04.04, 40.03.01, 41.03.06, 44.03.05</t>
  </si>
  <si>
    <t>Допущено Учебно-методическим объединением вузов России по образованию в области национальной экономики и экономики труда в качестве учебного пособия для студентов высших учебных заведений, обучающихся по направлению 38.03.01 «Экономика»</t>
  </si>
  <si>
    <t>187550.10.01</t>
  </si>
  <si>
    <t>Организация и план. деят. предпр. сферы сервиса: Уч.пос./ О.Н.Гукова - М:Форум,2027 - 160 с.(ВО:Бакалавр.) (о)</t>
  </si>
  <si>
    <t>ОРГАНИЗАЦИЯ И ПЛАНИРОВАНИЕ ДЕЯТЕЛЬНОСТИ ПРЕДПРИЯТИЙ СФЕРЫ СЕРВИСА, ИЗД.1</t>
  </si>
  <si>
    <t>Гукова О. Н.</t>
  </si>
  <si>
    <t>978-5-91134-661-4</t>
  </si>
  <si>
    <t>43.03.01</t>
  </si>
  <si>
    <t>719114.02.01</t>
  </si>
  <si>
    <t>Организация и планир. деят. предпр. сферы сервиса: Уч.пос. / О.Н.Гукова - М.:Форум, НИЦ ИНФРА-М,2027 - 160 с.(о)</t>
  </si>
  <si>
    <t>Гукова О.Н.</t>
  </si>
  <si>
    <t>978-5-00091-716-9</t>
  </si>
  <si>
    <t>43.02.02, 43.02.17</t>
  </si>
  <si>
    <t>336200.05.01</t>
  </si>
  <si>
    <t>Организация и планир. кадастр. деят.: Уч. /А.А.Варламов -2 изд.-М.: Форум, НИЦ ИНФРА-М,2019-192с.(О)</t>
  </si>
  <si>
    <t>ОРГАНИЗАЦИЯ И ПЛАНИРОВАНИЕ КАДАСТРОВОЙ ДЕЯТЕЛЬНОСТИ, ИЗД.2</t>
  </si>
  <si>
    <t>978-5-00091-687-2</t>
  </si>
  <si>
    <t>21.03.02, 21.04.02, 35.03.01, 40.05.01, 40.05.02, 40.05.03, 40.05.04</t>
  </si>
  <si>
    <t>Допущено Учебно-методическим объединением вузов Российской Федерации по образованию в области землеустройства и кадастров в качестве учебника для студентов высших учебных заведений, обучающихся по направлению подготовки 21.03.02 «Землеустройство и кадастры»</t>
  </si>
  <si>
    <t>414950.07.01</t>
  </si>
  <si>
    <t>Организация и планир.радиотехн. произв.: Уч.пос. / В.Д.Сыров - М:ИЦ РИОР:НИЦ ИНФРА-М,2025 - 304 с.(ВО)(п)</t>
  </si>
  <si>
    <t>ОРГАНИЗАЦИЯ И ПЛАНИРОВАНИЕ РАДИОТЕХНИЧЕСКОГО ПРОИЗВОДСТВА, ИЗД.1</t>
  </si>
  <si>
    <t>978-5-369-01170-6</t>
  </si>
  <si>
    <t>11.03.01, 11.03.03, 11.04.01, 11.04.03, 11.05.01</t>
  </si>
  <si>
    <t>685029.08.01</t>
  </si>
  <si>
    <t>Организация и пров.эксперт. и оценки кач..: Уч. / М.А.Николаева - М.:Юр.Норма, НИЦ ИНФРА-М,2025 - 320 с.(СПО)(П)</t>
  </si>
  <si>
    <t>ОРГАНИЗАЦИЯ И ПРОВЕДЕНИЕ ЭКСПЕРТИЗЫ И ОЦЕНКИ КАЧЕСТВА ПРОДОВОЛЬСТВЕННЫХ ТОВАРОВ, ИЗД.1</t>
  </si>
  <si>
    <t>Николаева М.А., Карташова Л.В.</t>
  </si>
  <si>
    <t>978-5-91768-939-5</t>
  </si>
  <si>
    <t>089250.15.01</t>
  </si>
  <si>
    <t>Организация и проведение мероприятий: Уч.пос. / О.Я.Гойхман - 3 изд. - М.:НИЦ ИНФРА-М,2027. - 194 с.(п)</t>
  </si>
  <si>
    <t>ОРГАНИЗАЦИЯ И ПРОВЕДЕНИЕ МЕРОПРИЯТИЙ, ИЗД.3</t>
  </si>
  <si>
    <t>Гойхман О.Я.</t>
  </si>
  <si>
    <t>978-5-16-019130-0</t>
  </si>
  <si>
    <t>01.03.01, 01.04.01, 02.03.01, 02.04.01, 43.03.01, 43.03.03, 43.04.01, 43.04.03</t>
  </si>
  <si>
    <t>Рекомендовано Учебно-методическим объединением учебных заведений Российской Федерации по образованию в области сервиса и туризма в качестве учебного пособия для студентов высших учебных заведений</t>
  </si>
  <si>
    <t>089250.09.01</t>
  </si>
  <si>
    <t>Организация и проведение мероприятий: Уч.пос. / О.Я.Гойхман, - 2 изд.-М.:НИЦ ИНФРА-М,2019-136с(О)</t>
  </si>
  <si>
    <t>ОРГАНИЗАЦИЯ И ПРОВЕДЕНИЕ МЕРОПРИЯТИЙ, ИЗД.2</t>
  </si>
  <si>
    <t>978-5-16-004998-4</t>
  </si>
  <si>
    <t>703745.08.01</t>
  </si>
  <si>
    <t>Организация и содержание работы шк. логопеда: Уч.мет.пос. / О.В.Елецкая - М.:НИЦ ИНФРА-М,2026. - 192 с.(п)</t>
  </si>
  <si>
    <t>ОРГАНИЗАЦИЯ И СОДЕРЖАНИЕ РАБОТЫ ШКОЛЬНОГО ЛОГОПЕДА, ИЗД.1</t>
  </si>
  <si>
    <t>Елецкая О.В., Белозерцева Т.В., Розова Ю.Е. и др.</t>
  </si>
  <si>
    <t>978-5-16-020470-3</t>
  </si>
  <si>
    <t>44.00.00, 44.02.03, 44.02.04, 44.02.05</t>
  </si>
  <si>
    <t>350100.10.01</t>
  </si>
  <si>
    <t>Организация и содержание работы шк.логопеда: Уч.-метод.пос. / О.В.Елецкая - М.:НИЦ ИНФРА-М,2027 -192 с.(о)</t>
  </si>
  <si>
    <t>978-5-16-020151-1</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</si>
  <si>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(бакалавриат) по профилю подготовки «Логопедия» и 44.04.03 «Специальное (дефектологическое) образование» (магистратура)</t>
  </si>
  <si>
    <t>640315.06.01</t>
  </si>
  <si>
    <t>Организация и тех. работы с конфиденц.документ.: Уч. / В.П.Зверева - М.:КУРС, НИЦ ИНФРА-М,2027 - 320 с.(П)</t>
  </si>
  <si>
    <t>ОРГАНИЗАЦИЯ И ТЕХНОЛОГИЯ РАБОТЫ С КОНФИДЕНЦИАЛЬНЫМИ ДОКУМЕНТАМИ, ИЗД.1</t>
  </si>
  <si>
    <t>Зверева В.П., Назаров А.В.</t>
  </si>
  <si>
    <t>978-5-906818-96-6</t>
  </si>
  <si>
    <t>10.02.01, 31.02.01, 46.02.01</t>
  </si>
  <si>
    <t>156700.09.01</t>
  </si>
  <si>
    <t>Организация и технология питания туристов: Уч. пос. / Т.А.Джум - М.: Магистр: ИНФРА-М, 2025 - 320 с. (п)</t>
  </si>
  <si>
    <t>ОРГАНИЗАЦИЯ И ТЕХНОЛОГИЯ ПИТАНИЯ ТУРИСТОВ, ИЗД.1</t>
  </si>
  <si>
    <t>Джум Т. А., Ольшанская С. А.</t>
  </si>
  <si>
    <t>978-5-9776-0199-3</t>
  </si>
  <si>
    <t>Рекомендовано УМО по образованию в области сервиса в качестве учебного пособия для студентов ВУЗов, обучающихся по специальности "Социально-культурный сервис и туризм"</t>
  </si>
  <si>
    <t>437400.05.01</t>
  </si>
  <si>
    <t>Организация и упр. деят. электросетевых предприятий: Уч.пос. / В.Я.Хорольский-М.:НИЦ ИНФРА-М,2023-143 с.(ВО)(о)</t>
  </si>
  <si>
    <t>ОРГАНИЗАЦИЯ И УПРАВЛЕНИЕ ДЕЯТЕЛЬНОСТЬЮ ЭЛЕКТРОСЕТЕВЫХ ПРЕДПРИЯТИЙ, ИЗД.1</t>
  </si>
  <si>
    <t>Хорольский В.Я., Таранов М.А., Жданов В.Г.</t>
  </si>
  <si>
    <t>978-5-16-019480-6</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</si>
  <si>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направлению 13.03.02 «Электроэнергетика и электротехника»</t>
  </si>
  <si>
    <t>704323.10.01</t>
  </si>
  <si>
    <t>Организация и управ. деят.электросетевых предп.: Уч.пос. / В.Я.Хорольский - М.:НИЦ ИНФРА-М,2025 - 143 с.(о)</t>
  </si>
  <si>
    <t>978-5-16-017821-9</t>
  </si>
  <si>
    <t>11.02.06, 11.02.07, 11.02.09, 11.02.11, 11.02.13, 11.02.15, 11.02.17, 11.02.18, 13.01.10, 13.02.07, 13.02.12, 13.02.13, 35.01.15</t>
  </si>
  <si>
    <t>748074.05.01</t>
  </si>
  <si>
    <t>Организация и управ. приватным парком грузовых вагонов: Моногр. / В.О.Федорович. - М.:НИЦ ИНФРА-М,2027. - 174 с.(О)</t>
  </si>
  <si>
    <t>ОРГАНИЗАЦИЯ И УПРАВЛЕНИЕ ПРИВАТНЫМ ПАРКОМ ГРУЗОВЫХ ВАГОНОВ: ЭКОНОМИЧЕСКИЙ ПОДХОД, ИЗД.1</t>
  </si>
  <si>
    <t>Федорович В.О., Кубрак Н.А., Федорович Т.В. и др.</t>
  </si>
  <si>
    <t>978-5-16-017546-1</t>
  </si>
  <si>
    <t>789234.04.01</t>
  </si>
  <si>
    <t>Организация и управление в строительстве: Уч.пос. / В.М.Серов - М.:НИЦ ИНФРА-М,2027 - 453 с.(СПО)(п)</t>
  </si>
  <si>
    <t>ОРГАНИЗАЦИЯ И УПРАВЛЕНИЕ В СТРОИТЕЛЬСТВЕ, ИЗД.1</t>
  </si>
  <si>
    <t>978-5-16-017979-7</t>
  </si>
  <si>
    <t>08.02.01, 08.02.02, 08.02.03, 08.02.04, 08.02.08, 08.02.09, 08.02.12, 08.02.13, 08.02.14, 23.02.08</t>
  </si>
  <si>
    <t>326300.05.01</t>
  </si>
  <si>
    <t>Организация и формы международного бизнеса: Уч.пос./В.А.Михалкин-М.:Магистр:НИЦ ИНФРА-М,2024-448с(п)</t>
  </si>
  <si>
    <t>ОРГАНИЗАЦИЯ И ФОРМЫ МЕЖДУНАРОДНОГО БИЗНЕСА, ИЗД.1</t>
  </si>
  <si>
    <t>Михалкин В.А.</t>
  </si>
  <si>
    <t>978-5-9776-0360-7</t>
  </si>
  <si>
    <t>38.03.01, 38.03.04, 38.04.01, 38.04.04, 41.03.05, 41.04.05, 44.03.05</t>
  </si>
  <si>
    <t>835170.01.01</t>
  </si>
  <si>
    <t>Организация игровой среды в обуч. и воспит. детей...: Уч.пос. / Пронина Л.В. - М.:НИЦ ИНФРА-М,2025. - 176 с.(п)</t>
  </si>
  <si>
    <t>ОРГАНИЗАЦИЯ ИГРОВОЙ СРЕДЫ В ОБУЧЕНИИ И ВОСПИТАНИИ ДЕТЕЙ РАННЕГО ВОЗРАСТА С НАРУШЕНИЕМ ИНТЕЛЛЕКТА, ИЗД.1</t>
  </si>
  <si>
    <t>Пронина Л.В., Кремнева Е.А., Липатова О.Н. и др.</t>
  </si>
  <si>
    <t>978-5-16-020380-5</t>
  </si>
  <si>
    <t>44.02.04, 44.02.05</t>
  </si>
  <si>
    <t>789529.02.01</t>
  </si>
  <si>
    <t>Организация игровой среды в обуч. и воспит..: Уч.пос. / Под ред. Прониной Л.В. - М.:ИНФРА-М,2025 - 176 с.(п)</t>
  </si>
  <si>
    <t>ОРГАНИЗАЦИЯ ИГРОВОЙ СРЕДЫ В ОБУЧЕНИИ И ВОСПИТАНИИ ДЕТЕЙ РАННЕГО ВОЗРАСТА С ИНТЕЛЛЕКТУАЛЬНЫМИ НАРУШЕНИЯМИ, ИЗД.1</t>
  </si>
  <si>
    <t>978-5-16-018310-7</t>
  </si>
  <si>
    <t>829361.02.01</t>
  </si>
  <si>
    <t>Организация инновац. проект. в экономике догоняющего типа / Чилипенок Ю.Ю. - М.:НИЦ ИНФРА-М,2026 - 228 с.(п)</t>
  </si>
  <si>
    <t>ОРГАНИЗАЦИЯ ИННОВАЦИОННЫХ ПРОЕКТОВ В ЭКОНОМИКЕ ДОГОНЯЮЩЕГО ТИПА, ИЗД.1</t>
  </si>
  <si>
    <t>Цителадзе Д.Д., Чилипенок Ю.Ю., Гапонова О.С.</t>
  </si>
  <si>
    <t>978-5-16-020182-5</t>
  </si>
  <si>
    <t>27.04.07, 38.04.02, 38.04.04, 38.06.01</t>
  </si>
  <si>
    <t>657350.05.01</t>
  </si>
  <si>
    <t>Организация исслед. деят. в процессе обуч...: Моногр. / П.Ю.Романов. - М.:НИЦ ИНФРА.2026  - 260 с.(о)</t>
  </si>
  <si>
    <t>ОРГАНИЗАЦИЯ ИССЛЕДОВАТЕЛЬСКОЙ ДЕЯТЕЛЬНОСТИ В ПРОЦЕССЕ ОБУЧЕНИЯ ЕСТЕСТВЕННОНАУЧНЫМ ДИСЦИПЛИНАМ В ШКОЛЕ И ВУЗЕ, ИЗД.1</t>
  </si>
  <si>
    <t>Романов П.Ю., Злыднева Т.П., Романова Т.Е. и др.</t>
  </si>
  <si>
    <t>978-5-16-019187-4</t>
  </si>
  <si>
    <t>657350.04.01</t>
  </si>
  <si>
    <t>Организация исслед. деят. в процессе обуч.: Моногр. / П.Ю.Романов - М.:НИЦ ИНФРА-М,2026. - 260 с.(п)</t>
  </si>
  <si>
    <t>ОРГАНИЗАЦИЯ ИССЛЕДОВАТЕЛЬСКОЙ ДЕЯТЕЛЬНОСТИ В ПРОЦЕССЕ ОБУЧЕНИЯ, ИЗД.1</t>
  </si>
  <si>
    <t>978-5-16-012852-8</t>
  </si>
  <si>
    <t>345700.05.01</t>
  </si>
  <si>
    <t>Организация коммер. деят. малых и ср. предпр.: Уч.пос. / Г.Г.Иванов-М.:ИД Форум, НИЦ ИНФРА-М,2023-304с.(П)</t>
  </si>
  <si>
    <t>ОРГАНИЗАЦИЯ КОММЕРЧЕСКОЙ ДЕЯТЕЛЬНОСТИ МАЛЫХ И СРЕДНИХ ПРЕДПРИЯТИЙ, ИЗД.1</t>
  </si>
  <si>
    <t>Г.Г.Иванов, Ю.К.Баженов</t>
  </si>
  <si>
    <t>978-5-8199-0626-2</t>
  </si>
  <si>
    <t>250100.09.01</t>
  </si>
  <si>
    <t>Организация контроля качества зерна: Уч.пос. / Т.В.Устименко - М.: ИЦ РИОР:НИЦ ИНФРА-М,2026 - 224 с.(п)</t>
  </si>
  <si>
    <t>ОРГАНИЗАЦИЯ КОНТРОЛЯ КАЧЕСТВА ЗЕРНА, ИЗД.1</t>
  </si>
  <si>
    <t>Устименко Т.В.</t>
  </si>
  <si>
    <t>978-5-369-01313-7</t>
  </si>
  <si>
    <t>19.01.18, 19.01.19, 19.02.10, 19.02.11, 19.02.13, 27.02.02, 27.02.07, 35.01.12, 35.01.23, 35.01.26, 35.01.27, 35.02.05, 43.02.15</t>
  </si>
  <si>
    <t>703980.04.01</t>
  </si>
  <si>
    <t>Организация кредитной работы: Уч. / А.А.Казимагомедов - М.:НИЦ ИНФРА-М,2025 - 198 с.(СПО)(П)</t>
  </si>
  <si>
    <t>ОРГАНИЗАЦИЯ КРЕДИТНОЙ РАБОТЫ, ИЗД.1</t>
  </si>
  <si>
    <t>978-5-16-015144-1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</si>
  <si>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38.02.07 «Банковское дело» (протокол № 11 от 09.11.2020)</t>
  </si>
  <si>
    <t>189400.07.01</t>
  </si>
  <si>
    <t>Организация кредитования в комм. банке: Уч. пос. / Н.В.Горелая - ИД ФОРУМ: НИЦ Инфра-М, 2025 - 208 с.(ВО) (п)</t>
  </si>
  <si>
    <t>ОРГАНИЗАЦИЯ КРЕДИТОВАНИЯ В КОММЕРЧЕСКОМ БАНКЕ, ИЗД.1</t>
  </si>
  <si>
    <t>Горелая Н. В.</t>
  </si>
  <si>
    <t>978-5-8199-0519-7</t>
  </si>
  <si>
    <t>Рекомендовано УМО в области экономики и менеджмента в качестве учебного пособия для студентов высших учебных заведений, обуч. по направлению подготовки бакалавров и магистров для напр. 080100 "Экономика" спец. "Банки и банк. деятельность"</t>
  </si>
  <si>
    <t>684823.04.01</t>
  </si>
  <si>
    <t>Организация кредитования в коммерч. банке: Уч.пос./Н.В.Горелая-М.:ИД ФОРУМ, НИЦ ИНФРА-М,2025-208с(П)</t>
  </si>
  <si>
    <t>Горелая Н.В.</t>
  </si>
  <si>
    <t>978-5-8199-0808-2</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</si>
  <si>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38.02.06 «Финансы», 38.02.07 «Банковское дело»</t>
  </si>
  <si>
    <t>757825.08.01</t>
  </si>
  <si>
    <t>Организация надомного обуч. дош. с тяжелыми...  / С.Б.Лазуренко - М.:НИЦ ИНФРА-М,2026  - 71 с.(О)</t>
  </si>
  <si>
    <t>ОРГАНИЗАЦИЯ НАДОМНОГО ОБУЧЕНИЯ ДОШКОЛЬНИКОВ С ТЯЖЕЛЫМИ МНОЖЕСТВЕННЫМИ НАРУШЕНИЯМИ РАЗВИТИЯ (ТМНР), ИЗД.1</t>
  </si>
  <si>
    <t>Лазуренко С.Б., Павлова Н.Н.</t>
  </si>
  <si>
    <t>978-5-16-016922-4</t>
  </si>
  <si>
    <t>763784.02.01</t>
  </si>
  <si>
    <t>Организация науч. знания: классификация...: Уч.пос. / Под ред. Диева В.С. - М.:НИЦ ИНФРА-М,2027 - 316 с.(ВО)(п)</t>
  </si>
  <si>
    <t>ОРГАНИЗАЦИЯ НАУЧНОГО ЗНАНИЯ: КЛАССИФИКАЦИЯ И ТЕОРИЯ, ИЗД.1</t>
  </si>
  <si>
    <t>978-5-16-017203-3</t>
  </si>
  <si>
    <t>00.04.16, 00.05.16</t>
  </si>
  <si>
    <t>139200.17.01</t>
  </si>
  <si>
    <t>Организация науч.-исслед.раб. студ.: Уч.пос. / В.В.Кукушкина - 2 изд. - М.:НИЦ ИНФРА-М,2026 - 345 с.(ВО)</t>
  </si>
  <si>
    <t>ОРГАНИЗАЦИЯ НАУЧНО-ИССЛЕДОВАТЕЛЬСКОЙ РАБОТЫ СТУДЕНТОВ (МАГИСТРОВ), ИЗД.2</t>
  </si>
  <si>
    <t>Янковская В.В.</t>
  </si>
  <si>
    <t>978-5-16-012783-5</t>
  </si>
  <si>
    <t>00.04.16, 38.04.01, 38.04.02, 38.04.03, 38.04.04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</si>
  <si>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38.04.02 «Менеджмент», 38.04.01 «Экономика», (квалификация (степень) «магистр»)</t>
  </si>
  <si>
    <t>139200.13.01</t>
  </si>
  <si>
    <t>Организация научно-исслед.работы студ.: Уч.пос. / В.В.Кукушкина - 1 изд./ В.В.Кукушкина-М.:НИЦ ИНФРА-М,2021-264 с.-(ВО: Магистр.)</t>
  </si>
  <si>
    <t>ОРГАНИЗАЦИЯ НАУЧНО-ИССЛЕДОВАТЕЛЬСКОЙ РАБОТЫ СТУДЕНТОВ (МАГИСТРОВ), ИЗД.1</t>
  </si>
  <si>
    <t>978-5-16-004167-4</t>
  </si>
  <si>
    <t>Допущено Советом Учебно-методического объединения по образованию в области менеджмента в качестве учебного пособия по направлению подготовки 38.04.02 «Менеджмент»</t>
  </si>
  <si>
    <t>726999.05.01</t>
  </si>
  <si>
    <t>Организация обр. деят. в ДОО. Пример. план. Ст.группа (5-6 л.): Уч.мет.пос. / Л.Л.Тимофеева. - М.:НИЦ ИНФРА-М,2026 - 298 с.(П)</t>
  </si>
  <si>
    <t>ОРГАНИЗАЦИЯ ОБРАЗОВАТЕЛЬНОЙ ДЕЯТЕЛЬНОСТИ В ДОО. ПРИМЕРНОЕ ПЛАНИРОВАНИЕ. СТАРШАЯ ГРУППА (5-6 ЛЕТ), ИЗД.1</t>
  </si>
  <si>
    <t>Тимофеева Л.Л., Корнеичева Е.Е., Грачева Н.И. и др.</t>
  </si>
  <si>
    <t>978-5-16-015962-1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</si>
  <si>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№4 от 02.03.2020)</t>
  </si>
  <si>
    <t>Институт развития образования, Орловская область</t>
  </si>
  <si>
    <t>727008.05.01</t>
  </si>
  <si>
    <t>Организация образ. деят. в ДОО. Прим. планир...: Уч.мет.пос. / Л.Л.Тимофеева. - М.:НИЦ ИНФРА-М,2026 - 322 с.(П)</t>
  </si>
  <si>
    <t>ОРГАНИЗАЦИЯ ОБРАЗОВАТЕЛЬНОЙ ДЕЯТЕЛЬНОСТИ В ДОО. ПРИМЕРНОЕ ПЛАНИРОВАНИЕ. СРЕДНЯЯ ГРУППА (4-5 ЛЕТ), ИЗД.1</t>
  </si>
  <si>
    <t>978-5-16-014063-6</t>
  </si>
  <si>
    <t>727022.06.01</t>
  </si>
  <si>
    <t>Организация образ. деят. в ДОО...: Уч.мет.пос. / Л.Л.Тимофеева. - М.:НИЦ ИНФРА-М,2026 - 323 с.(П)</t>
  </si>
  <si>
    <t>ОРГАНИЗАЦИЯ ОБРАЗОВАТЕЛЬНОЙ ДЕЯТЕЛЬНОСТИ В ДОО. ПРИМЕРНОЕ ПЛАНИРОВАНИЕ. ВТОРАЯ МЛАДШАЯ ГРУППА (3-4 ГОДА), ИЗД.1</t>
  </si>
  <si>
    <t>978-5-16-015960-7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</si>
  <si>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4 от 02.03.2020)</t>
  </si>
  <si>
    <t>727013.06.01</t>
  </si>
  <si>
    <t>Организация образоват. деят. в ДОО..: Уч.метод.пос. / Л.Л.Тимофеева - М.:ИНФРА-М,2026 - 337 с.(СПО)(п)</t>
  </si>
  <si>
    <t>ОРГАНИЗАЦИЯ ОБРАЗОВАТЕЛЬНОЙ ДЕЯТЕЛЬНОСТИ В ДОО. ПРИМЕРНОЕ ПЛАНИРОВАНИЕ. ПОДГОТОВИТЕЛЬНАЯ К ШКОЛЕ ГРУППА (6-7 ЛЕТ), ИЗД.1</t>
  </si>
  <si>
    <t>978-5-16-015961-4</t>
  </si>
  <si>
    <t>674626.06.01</t>
  </si>
  <si>
    <t>Организация образовательной деят. в ДОО...: Уч.мет.пос. / Л.Л.Тимофеева - М.:НИЦ ИНФРА-М.2026 - 288 c.(П)</t>
  </si>
  <si>
    <t>ОРГАНИЗАЦИЯ ОБРАЗОВАТЕЛЬНОЙ ДЕЯТЕЛЬНОСТИ В ДОО. ПРИМЕРНОЕ ПЛАНИРОВАНИЕ. ПЕРВАЯ МЛАДШАЯ ГРУППА (2-3 ГОДА), ИЗД.1</t>
  </si>
  <si>
    <t>978-5-16-016102-0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</si>
  <si>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8 от 22.06.2020)</t>
  </si>
  <si>
    <t>631780.11.01</t>
  </si>
  <si>
    <t>Организация обслуживания на предп. общ. питания: Уч. / Е.Б.Мрыхина - М.:ИД ФОРУМ, НИЦ ИНФРА-М,2026 - 417 с.(П)</t>
  </si>
  <si>
    <t>ОРГАНИЗАЦИЯ ОБСЛУЖИВАНИЯ НА ПРЕДПРИЯТИЯХ ОБЩЕСТВЕННОГО ПИТАНИЯ, ИЗД.1</t>
  </si>
  <si>
    <t>Мрыхина Е.Б.</t>
  </si>
  <si>
    <t>978-5-8199-0822-8</t>
  </si>
  <si>
    <t>15.02.01, 18.01.03, 18.01.26, 18.01.35, 18.02.04, 18.02.07, 18.02.09, 18.02.11, 18.02.14, 18.02.15, 19.01.09, 19.01.18, 19.01.19, 19.02.10, 19.02.11, 19.02.12, 19.02.13, 19.02.14, 35.02.18, 43.01.01, 43.01.04, 43.01.09, 43.02.01, 43.02.15, 43.02.16</t>
  </si>
  <si>
    <t>Рекомендовано в качестве учебника для учебных заведений, реализующих программу среднего профессионального образования по специальности 43.02.01 «Организация обслуживания в общественном питании»</t>
  </si>
  <si>
    <t>673759.01.01</t>
  </si>
  <si>
    <t>Организация обуч. на основе сис.-деят. подхода при получ. сред...: Уч.мет.пос. / С.В.Новикова-М.:НИЦ ИНФРА-М,2022-165с(П)</t>
  </si>
  <si>
    <t>ОРГАНИЗАЦИЯ ОБУЧЕНИЯ НА ОСНОВЕ СИСТЕМНО-ДЕЯТЕЛЬНОСТНОГО ПОДХОДА ПРИ ПОЛУЧЕНИИ СРЕДНЕГО ОБЩЕГО ОБРАЗОВАНИЯ, ИЗД.1</t>
  </si>
  <si>
    <t>Новикова С.В., Красношлыкова О.Г.,</t>
  </si>
  <si>
    <t>978-5-16-016950-7</t>
  </si>
  <si>
    <t>Институт развития образования Кузбасса</t>
  </si>
  <si>
    <t>703024.06.01</t>
  </si>
  <si>
    <t>Организация общего и спец. делопроизводства..: Уч.пос. / С.Ю.Кабашов - М.:НИЦ ИНФРА-М,2026 - 421 с.-(СПО)</t>
  </si>
  <si>
    <t>ОРГАНИЗАЦИЯ ОБЩЕГО И СПЕЦИАЛЬНОГО ДЕЛОПРОИЗВОДСТВА В ОРГАНАХ МЕСТНОГО САМОУПРАВЛЕНИЯ, ИЗД.1</t>
  </si>
  <si>
    <t>978-5-16-014860-1</t>
  </si>
  <si>
    <t>23.02.07, 38.01.01, 40.02.04, 46.01.02, 46.01.03, 46.02.01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</si>
  <si>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46.02.01 «Документационное обеспечение управления и архивоведение»</t>
  </si>
  <si>
    <t>186800.08.01</t>
  </si>
  <si>
    <t>Организация общего и специального делопроизвод...: Уч.пос. / С.Ю.Кабашов - М:ИНФРА-М,2026 - 421 с.(п)</t>
  </si>
  <si>
    <t>978-5-16-005372-1</t>
  </si>
  <si>
    <t>38.03.02, 38.03.03, 38.03.04, 46.03.02</t>
  </si>
  <si>
    <t>Допущено УМО вузов РФ по образованию  области историко-архивоведения в качестве уч. пос. для студ. вузов, обуч. по напр. 034700.62 Документоведение и архивоведение и спец. 032001.65 Документоведение и документационное обеспечение управления</t>
  </si>
  <si>
    <t>803391.04.01</t>
  </si>
  <si>
    <t>Организация подготовки формир. войск нац. гвардии РФ к участию в СВО / С.А.Горелов - М.:НИЦ ИНФРА-М,2026 - 151 с.(п)</t>
  </si>
  <si>
    <t>ОРГАНИЗАЦИЯ ПОДГОТОВКИ ФОРМИРОВАНИЙ ВОЙСК НАЦИОНАЛЬНОЙ ГВАРДИИ РОССИЙСКОЙ ФЕДЕРАЦИИ К УЧАСТИЮ В СПЕЦИАЛЬНОЙ ВОЕННОЙ  ОПЕРАЦИИ, ИЗД.1</t>
  </si>
  <si>
    <t>Мельничук В.А., Горелов С.А., Фетисов А.В.</t>
  </si>
  <si>
    <t>978-5-16-018576-7</t>
  </si>
  <si>
    <t>56.04.01, 56.04.02, 56.04.03, 56.04.04, 56.04.09, 56.04.12, 56.05.01, 56.05.03</t>
  </si>
  <si>
    <t>682691.07.01</t>
  </si>
  <si>
    <t>Организация помощи по направ. физ. и реабилитац. мед. / Г.Н.Пономаренко - 2 изд. - М.:НИЦ ИНФРА-М,2027 - 245 с.(п)</t>
  </si>
  <si>
    <t>ОРГАНИЗАЦИЯ ПОМОЩИ ПО НАПРАВЛЕНИЯМ ФИЗИЧЕСКОЙ И РЕАБИЛИТАЦИОННОЙ МЕДИЦИНЫ, ИЗД.2</t>
  </si>
  <si>
    <t>Пономаренко Г.Н., Лавриненко И.А., Исаева А.С. и др.</t>
  </si>
  <si>
    <t>978-5-16-019726-5</t>
  </si>
  <si>
    <t>31.02.01, 31.02.02, 31.05.01, 31.05.02, 34.02.01, 34.02.02, 49.03.03</t>
  </si>
  <si>
    <t>Федеральный научный центр реабилитации инвалидов им. Г.А. Альбрехта</t>
  </si>
  <si>
    <t>682691.03.01</t>
  </si>
  <si>
    <t>Организация помощи по направл. физ. и реаб. мед.: Практ. рук./Под ред. Пономаренко Г.Н.-М.:НИЦ ИНФРА-М,2022-234с.(П)</t>
  </si>
  <si>
    <t>ОРГАНИЗАЦИЯ ПОМОЩИ ПО НАПРАВЛЕНИЯМ ФИЗИЧЕСКОЙ И РЕАБИЛИТАЦИОННОЙ МЕДИЦИНЫ, ИЗД.1</t>
  </si>
  <si>
    <t>978-5-16-014520-4</t>
  </si>
  <si>
    <t>170150.08.01</t>
  </si>
  <si>
    <t>Организация предпр. деят. в сфере автосерв.услуг: Уч.пос./В.П.Бычков-НИЦ ИНФРА-М,2024-208с.(ВО)</t>
  </si>
  <si>
    <t>ОРГАНИЗАЦИЯ ПРЕДПРИНИМАТЕЛЬСКОЙ ДЕЯТЕЛЬНОСТИ В СФЕРЕ АВТОСЕРВИСНЫХ УСЛУГ, ИЗД.1</t>
  </si>
  <si>
    <t>Бычков В. П.</t>
  </si>
  <si>
    <t>978-5-16-004861-1</t>
  </si>
  <si>
    <t>23.03.02, 23.03.03, 23.04.02, 23.04.03, 38.03.02, 38.04.02</t>
  </si>
  <si>
    <t>Допущено Учебно-методическим объединением по образованию в области производственного менеджмента в качестве учебного пособия для студентов, обучающихся по специальности  080502 "Экономика и управление на предприятях транспорта"</t>
  </si>
  <si>
    <t>409650.09.01</t>
  </si>
  <si>
    <t>Организация предприним. деят. на транспорте: Уч.пос. / Н.А.Логинова - М.:НИЦ ИНФРА-М,2027. - 262 с.(ВО)(П)</t>
  </si>
  <si>
    <t>ОРГАНИЗАЦИЯ ПРЕДПРИНИМАТЕЛЬСКОЙ ДЕЯТЕЛЬНОСТИ НА ТРАНСПОРТЕ, ИЗД.1</t>
  </si>
  <si>
    <t>Логинова Н. А., Първанов Х.</t>
  </si>
  <si>
    <t>978-5-16-005780-4</t>
  </si>
  <si>
    <t>23.04.01, 23.04.02, 23.05.01, 23.05.04, 23.06.01, 38.04.01, 38.04.02, 38.06.01</t>
  </si>
  <si>
    <t>Рекомендовано Советом Учебно-методического объединения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080200 «Менеджмент» (профиль «Прои</t>
  </si>
  <si>
    <t>713000.08.01</t>
  </si>
  <si>
    <t>Организация предпринимат. деятельности: Уч.пос./ Г.А.Яковлев, - 2 изд. - М.:НИЦ ИНФРА-М,2025 - 313 с.(П)</t>
  </si>
  <si>
    <t>ОРГАНИЗАЦИЯ ПРЕДПРИНИМАТЕЛЬСКОЙ ДЕЯТЕЛЬНОСТИ, ИЗД.2</t>
  </si>
  <si>
    <t>Яковлев Г.А.</t>
  </si>
  <si>
    <t>978-5-16-015386-5</t>
  </si>
  <si>
    <t>Рекомендовано Межрегиональным учебно-методическим советом профессионального образования в качестве учебного пособия для студентов, обучающихся по основным образовательным программам среднего профессионального образования (протокол № 10 от 27.05.2019)</t>
  </si>
  <si>
    <t>056319.13.01</t>
  </si>
  <si>
    <t>Организация предпринимательской деятел.: Уч.пос. / Г.А.Яковлев -2 изд.-М.:НИЦ ИНФРА-М,2024-313с.(ВО)</t>
  </si>
  <si>
    <t>978-5-16-003686-1</t>
  </si>
  <si>
    <t>38.03.01, 38.03.02, 38.03.03, 38.03.04, 38.03.05, 38.03.07, 38.03.10</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</si>
  <si>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«Экономика и управление на предприятии (по отраслям)»</t>
  </si>
  <si>
    <t>119950.07.01</t>
  </si>
  <si>
    <t>Организация предприятий сервиса: Практикум / О.Н. Гукова - М.:Форум:ИНФРА-М,2024-384с.(ПО) (п)</t>
  </si>
  <si>
    <t>ОРГАНИЗАЦИЯ ПРЕДПРИЯТИЙ СЕРВИСА, ИЗД.1</t>
  </si>
  <si>
    <t>Гукова О.Н., Петрова А.М.</t>
  </si>
  <si>
    <t>978-5-91134-367-5</t>
  </si>
  <si>
    <t>08.02.14, 43.01.11, 43.02.01, 43.02.02, 43.02.06, 43.02.07, 43.02.09, 43.02.11, 43.02.16, 43.02.17</t>
  </si>
  <si>
    <t>262600.13.01</t>
  </si>
  <si>
    <t>Организация продаж гостиничного продукта: Уч.пос. / Е.И.Мазилкина - М.:НИЦ ИНФРА-М,2026 - 207 с.(СПО)(П)</t>
  </si>
  <si>
    <t>ОРГАНИЗАЦИЯ ПРОДАЖ ГОСТИНИЧНОГО ПРОДУКТА, ИЗД.1</t>
  </si>
  <si>
    <t>Мазилкина Е. И.</t>
  </si>
  <si>
    <t>978-5-16-014060-5</t>
  </si>
  <si>
    <t>Рекомендовано федеральным государственным бюджетным образовательным учреждением высшего образования «Государственный университет управления» в качестве учебного пособия для студентов средних учебных заведений, обучающихся по специальности 43.02.11 «Гостиничный сервис»</t>
  </si>
  <si>
    <t>081650.20.01</t>
  </si>
  <si>
    <t>Организация произв. на предпр. общ. питания: Уч.пос. / Е.Б.Мрыхина - М:ФОРУМ,ИНФРА-М,2026 - 176 с.(СПО)(П)</t>
  </si>
  <si>
    <t>ОРГАНИЗАЦИЯ ПРОИЗВОДСТВА НА ПРЕДПРИЯТИЯХ ОБЩЕСТВЕННОГО ПИТАНИЯ, ИЗД.1</t>
  </si>
  <si>
    <t>Мрыхина Е. Б.</t>
  </si>
  <si>
    <t>978-5-8199-0858-7</t>
  </si>
  <si>
    <t>15.02.01, 18.01.03, 18.01.26, 18.01.35, 18.02.04, 18.02.07, 18.02.09, 18.02.11, 18.02.14, 18.02.15, 19.01.09, 19.01.18, 19.01.19, 19.02.11, 19.02.12, 19.02.13, 19.02.14, 35.01.23, 35.02.18, 38.02.01, 38.02.03, 38.02.08, 43.01.01, 43.01.04, 43.01.09, 43.02.15</t>
  </si>
  <si>
    <t>304100.11.01</t>
  </si>
  <si>
    <t>Организация произв. продукции растениеводства с ..: Уч.пос. / Ф.К.Абдразаков - М.: НИЦ ИНФРА-М,2026. - 112с(о)</t>
  </si>
  <si>
    <t>ОРГАНИЗАЦИЯ ПРОИЗВОДСТВА ПРОДУКЦИИ РАСТЕНИЕВОДСТВА С ПРИМЕНЕНИЕМ РЕСУРСОСБЕРЕГАЮЩИХ ТЕХНОЛОГИЙ, ИЗД.1</t>
  </si>
  <si>
    <t>Абдразаков Ф.К., Игнатьев Л.М.</t>
  </si>
  <si>
    <t>978-5-16-010233-7</t>
  </si>
  <si>
    <t>096050.12.01</t>
  </si>
  <si>
    <t>Организация производ. и обслуж. на предпр. общ..: Уч. пос. / Г.М.Зайко - М.:Магистр:ИНФРА-М, 2025 - 560 с (П)</t>
  </si>
  <si>
    <t>ОРГАНИЗАЦИЯ ПРОИЗВОДСТВА И ОБСЛУЖИВАНИЯ НА ПРЕДПРИЯТИЯХ ОБЩЕСТВЕННОГО ПИТАНИЯ, ИЗД.1</t>
  </si>
  <si>
    <t>Зайко Г. М., Джум Т. А.</t>
  </si>
  <si>
    <t>978-5-9776-0060-6</t>
  </si>
  <si>
    <t>19.03.04, 43.03.01, 43.03.02, 43.03.03, 43.04.01, 43.04.02, 43.04.03</t>
  </si>
  <si>
    <t>Рекомендовано УМО по образованию в области технологии продуктов питания и пищевой инженерии в качестве учебного пособия для студентов вузов, обучающихся по специальности "Технология продуктов общественного питания"</t>
  </si>
  <si>
    <t>436800.07.01</t>
  </si>
  <si>
    <t>Организация производ. и предприним. в АПК: Уч. / М.П.Тушканов -М.:НИЦ ИНФРА-М,2023 - 270 с. (ВО)(п)</t>
  </si>
  <si>
    <t>ОРГАНИЗАЦИЯ ПРОИЗВОДСТВА И ПРЕДПРИНИМАТЕЛЬСТВО В АПК, ИЗД.1</t>
  </si>
  <si>
    <t>Тушканов М.П., Черевко Л.Д., Винничек Л.Б. и др.</t>
  </si>
  <si>
    <t>978-5-16-011330-2</t>
  </si>
  <si>
    <t>35.02.16, 35.03.04</t>
  </si>
  <si>
    <t>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35.03.04 «Агрономия»</t>
  </si>
  <si>
    <t>436800.08.01</t>
  </si>
  <si>
    <t>Организация производ. и предприним. в АПК: Уч. / Тушканов М.П., - 2 изд.-М.:НИЦ ИНФРА-М,2023.-296 с.(ВО)(п)</t>
  </si>
  <si>
    <t>ОРГАНИЗАЦИЯ ПРОИЗВОДСТВА И ПРЕДПРИНИМАТЕЛЬСТВО В АПК, ИЗД.2</t>
  </si>
  <si>
    <t>Тушканов М.П., Максимов А.Ф., Черевко Л.Д. и др.</t>
  </si>
  <si>
    <t>978-5-16-018359-6</t>
  </si>
  <si>
    <t>820911.01.01</t>
  </si>
  <si>
    <t>Организация производ. и промыш. безопас.: Уч.пос. / В.В.Коростовенко-М.:НИЦ ИНФРА-М, СФУ,2024.-196с(ВО)(п)</t>
  </si>
  <si>
    <t>ОРГАНИЗАЦИЯ ПРОИЗВОДСТВЕННОЙ И ПРОМЫШЛЕННОЙ БЕЗОПАСНОСТИ, ИЗД.1</t>
  </si>
  <si>
    <t>Коростовенко В.В., Медведь Н.В., Галайко А.В.</t>
  </si>
  <si>
    <t>978-5-16-019584-1</t>
  </si>
  <si>
    <t>719247.07.01</t>
  </si>
  <si>
    <t>Организация производ. и управ. предпр. Уч. / Под ред. Туровеца О.Г. - 3 изд. - М.:НИЦ ИНФРА-М,2026. - 506 с.(СПО)(П)</t>
  </si>
  <si>
    <t>ОРГАНИЗАЦИЯ ПРОИЗВОДСТВА И УПРАВЛЕНИЕ ПРЕДПРИЯТИЕМ, ИЗД.3</t>
  </si>
  <si>
    <t>Туровец О.Г., Родионова В.Н., Попов В.Н. и др.</t>
  </si>
  <si>
    <t>978-5-16-015612-5</t>
  </si>
  <si>
    <t>08.01.22, 08.01.23, 08.02.01, 11.02.06, 11.02.07, 11.02.09, 11.02.11, 11.02.13, 11.02.15, 11.02.17, 11.02.18, 12.02.03, 13.02.01, 13.02.07, 13.02.08, 13.02.12, 13.02.13, 14.02.01, 14.02.02, 15.01.29, 15.02.01, 15.02.04, 15.02.16, 15.02.17, 15.02.19, 18.02.04, 18.02.05, 18.02.07, 18.02.10, 18.02.12, 18.02.13, 18.02.14, 18.02.15, 19.02.10, 19.02.11, 19.02.12, 19.02.13, 19.02.14, 21.02.09, 21.02.13, 21.02.14, 21.02.16, 21.02.20, 22.02.08, 24.02.01, 24.02.02, 26.02.01, 26.02.02, 26.02.05, 29.02.02, 35.01.05, 35.02.10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</si>
  <si>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укрупненным группам технических и экономических специальностей (протокол № 5 от 26.03.2020)</t>
  </si>
  <si>
    <t>689634.05.01</t>
  </si>
  <si>
    <t>Организация производ. хлебобулоч. изделий: Уч.пос. / Е.В.Постникова - М.:НИЦ ИНФРА-М,2026 - 216 с.(СПО)(п)</t>
  </si>
  <si>
    <t>ОРГАНИЗАЦИЯ ПРОИЗВОДСТВА ХЛЕБОБУЛОЧНЫХ ИЗДЕЛИЙ, ИЗД.1</t>
  </si>
  <si>
    <t>Постникова Е.В.</t>
  </si>
  <si>
    <t>978-5-16-014650-8</t>
  </si>
  <si>
    <t>19.01.18, 19.02.11, 19.02.13, 43.01.04, 43.01.09, 43.02.15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</si>
  <si>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43.02.15 «Поварское и кондитерское дело», 19.02.03 «Технология хлеба, кондитерских и макаронных изделий», 19.02.10 «Технология продукции общественного питания» (протокол № 8 от 19.10.2022)</t>
  </si>
  <si>
    <t>669796.05.01</t>
  </si>
  <si>
    <t>Организация производства и предпр. в АПК: практ.: Уч.пос. / М.П.Тушканов - М.:НИЦ ИНФРА-М,2026 - 307 с.(ВО)(п)</t>
  </si>
  <si>
    <t>ОРГАНИЗАЦИЯ ПРОИЗВОДСТВА И ПРЕДПРИНИМАТЕЛЬСТВО В АПК: ПРАКТИКУМ, ИЗД.1</t>
  </si>
  <si>
    <t>978-5-16-022319-3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</si>
  <si>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35.03.04 «Агрономия», 38.03.01 «Экономика» (квалификация (степень) «бакалавр»)</t>
  </si>
  <si>
    <t>719162.03.01</t>
  </si>
  <si>
    <t>Организация производства и предпринимат. в АПК: Уч.пос. / В.М.Головач - М.:НИЦ ИНФРА-М,2026. - 321 с.(ВО)(П)</t>
  </si>
  <si>
    <t>ОРГАНИЗАЦИЯ ПРОИЗВОДСТВА И ПРЕДПРИНИМАТЕЛЬСТВА В АПК, ИЗД.1</t>
  </si>
  <si>
    <t>Головач В.М., Турчаева И.Н.</t>
  </si>
  <si>
    <t>978-5-16-015710-8</t>
  </si>
  <si>
    <t>035200.19.01</t>
  </si>
  <si>
    <t>Организация производства и упр. предприятием: Уч./ Под ред. Туровца О.Г.- 3 изд.- М.:НИЦ ИНФРА-М,2026 - 506 с.(п)</t>
  </si>
  <si>
    <t>978-5-16-004331-9</t>
  </si>
  <si>
    <t>08.01.28, 38.03.01, 38.03.02</t>
  </si>
  <si>
    <t>072400.11.01</t>
  </si>
  <si>
    <t>Организация производства на пром. предпр.: Уч.пос. / М.П.Переверзев-НИЦ ИНФРА-М,2023-331с(ВО:Бакалавр.)(П)</t>
  </si>
  <si>
    <t>ОРГАНИЗАЦИЯ ПРОИЗВОДСТВА НА ПРОМЫШЛЕННЫХ ПРЕДПРИЯТИЯХ, ИЗД.1</t>
  </si>
  <si>
    <t>Переверзев М. П., Логвинов С. И., Логвинов С. С.</t>
  </si>
  <si>
    <t>978-5-16-011210-7</t>
  </si>
  <si>
    <t>35.03.06, 44.03.04</t>
  </si>
  <si>
    <t>Допущено Учебно-методическим объединением по направлениям педагогического образования в качестве учебного пособия для студентов высших учебных заведений, обучающихся по направлению 540500 (050500) Технологическое образование</t>
  </si>
  <si>
    <t>084600.14.01</t>
  </si>
  <si>
    <t>Организация производства на промышл. предпр.: Уч. / И.Н.Иванов - М.:НИЦ ИНФРА-М,2026 - 352 с.(ВО)(п)</t>
  </si>
  <si>
    <t>Иванов И.Н.</t>
  </si>
  <si>
    <t>978-5-16-022043-7</t>
  </si>
  <si>
    <t>08.01.28, 14.03.01, 17.03.01, 27.03.04, 35.03.02, 38.03.01, 38.03.02, 38.03.03, 38.03.04, 38.03.05, 38.03.06, 38.03.07, 38.04.01, 38.04.02, 38.04.03, 38.04.04, 38.04.05, 38.04.06, 38.04.07</t>
  </si>
  <si>
    <t>Допущено Учебно-методическим объединением вузов России по образованию в области менеджмента в качестве учебного пособия по направлению подготовки 38.03.02 «Менеджмент»</t>
  </si>
  <si>
    <t>343100.11.01</t>
  </si>
  <si>
    <t>Организация производства на транспорте: Уч.пос. / Р.Н.Минько - М.:Вуз.уч., НИЦ ИНФРА-М,2026 -144 с.(О)</t>
  </si>
  <si>
    <t>ОРГАНИЗАЦИЯ ПРОИЗВОДСТВА НА ТРАНСПОРТЕ, ИЗД.1</t>
  </si>
  <si>
    <t>Минько Р.Н.</t>
  </si>
  <si>
    <t>978-5-9558-0423-1</t>
  </si>
  <si>
    <t>23.03.01, 23.03.02, 23.04.01, 23.04.02</t>
  </si>
  <si>
    <t>Рекомендовано УМО РАЕ по классическому университетскому и техническому образованию в качестве учебно-методического пособия для студентов высших учебных заведении, обучающихся по направлению подготовки; 190700 — «Технология транспортных процессов».</t>
  </si>
  <si>
    <t>Приволжский государственный университет путей сообщения</t>
  </si>
  <si>
    <t>114800.14.01</t>
  </si>
  <si>
    <t>Организация производства: инновац. страт....: Уч. / М.В. Радиевский - М.:ИНФРА-М, 2027 - 377 с.(ВО)(п)</t>
  </si>
  <si>
    <t>ОРГАНИЗАЦИЯ ПРОИЗВОДСТВА: ИННОВАЦИОННАЯ СТРАТЕГИЯ УСТОЙЧИВОГО РАЗВИТИЯ ПРЕДПРИЯТИЯ, ИЗД.1</t>
  </si>
  <si>
    <t>Радиевский М. В.</t>
  </si>
  <si>
    <t>978-5-16-018430-2</t>
  </si>
  <si>
    <t>Допущено Учебно-методическим объединением по образованию в области производственного менеджмента в качестве учебника для студентов вузов, обучающихся по специальностями 080502- Экономика и управление на предприятии (по отраслям)</t>
  </si>
  <si>
    <t>026600.18.01</t>
  </si>
  <si>
    <t>Организация производства: Уч. / Р.А.Фатхутдинов - 3 изд. - М.: НИЦ ИНФРА-М, 2026 - 544 с.(ВО: Бакалавр.) (п)</t>
  </si>
  <si>
    <t>ОРГАНИЗАЦИЯ ПРОИЗВОДСТВА, ИЗД.3</t>
  </si>
  <si>
    <t>Фатхутдинов Р. А.</t>
  </si>
  <si>
    <t>978-5-16-002832-3</t>
  </si>
  <si>
    <t>Рекомендовано МинОбр РФ в качестве учебника для студентов высших учебных заведений, обучающихся по экономическим и техническим специальностям</t>
  </si>
  <si>
    <t>719409.05.01</t>
  </si>
  <si>
    <t>Организация производства: Уч.пос. / В.Д.Сыров - М.:ИЦ РИОР, НИЦ ИНФРА-М,2026 - 283 с.(СПО)(П)</t>
  </si>
  <si>
    <t>ОРГАНИЗАЦИЯ ПРОИЗВОДСТВА, ИЗД.1</t>
  </si>
  <si>
    <t>978-5-369-01824-8</t>
  </si>
  <si>
    <t>13.02.07</t>
  </si>
  <si>
    <t>443650.06.01</t>
  </si>
  <si>
    <t>Организация производства: Уч.пос. / В.Д.Сыров - М.:ИЦ РИОР, НИЦ ИНФРА-М,2026. - 283 с.-(ВО: Бакалавриат)(П)</t>
  </si>
  <si>
    <t>978-5-369-01224-6</t>
  </si>
  <si>
    <t>Рекомендовано в качестве учебного пособия для студентов высших учебных заведений, обучающихся на экономических специальностях и направлениях подготовки</t>
  </si>
  <si>
    <t>786995.01.01</t>
  </si>
  <si>
    <t>Организация профильного обуч. шк. по индивидуал. учеб. планам / Н.И.Постникова-М.:НИЦ ИНФРА-М,2023.-167 с(О)</t>
  </si>
  <si>
    <t>ОРГАНИЗАЦИЯ ПРОФИЛЬНОГО ОБУЧЕНИЯ ШКОЛЬНИКОВ ПО ИНДИВИДУАЛЬНЫМ УЧЕБНЫМ ПЛАНАМ, ИЗД.1</t>
  </si>
  <si>
    <t>Постникова Н.И.</t>
  </si>
  <si>
    <t>978-5-16-017917-9</t>
  </si>
  <si>
    <t>44.04.01, 44.04.04, 44.06.01</t>
  </si>
  <si>
    <t>777753.02.01</t>
  </si>
  <si>
    <t>Организация процес. приготов. слож. холод. кулинар. прод.: Уч.пос. / И.В.Эйдук - М.:НИЦ ИНФРА-М,2025 - 303 с.(п)</t>
  </si>
  <si>
    <t>ОРГАНИЗАЦИЯ ПРОЦЕССА ПРИГОТОВЛЕНИЯ СЛОЖНОЙ ХОЛОДНОЙ КУЛИНАРНОЙ ПРОДУКЦИИ, ИЗД.1</t>
  </si>
  <si>
    <t>Эйдук И.В.</t>
  </si>
  <si>
    <t>978-5-16-017757-1</t>
  </si>
  <si>
    <t>19.01.18, 19.01.19, 19.02.10, 19.02.12, 19.02.13, 35.01.23, 35.02.10, 43.01.04, 43.01.09, 43.02.15</t>
  </si>
  <si>
    <t>Политехнический техникум № 47 имени В.Г. Федорова</t>
  </si>
  <si>
    <t>794942.01.01</t>
  </si>
  <si>
    <t>Организация процессов пригот. и пригот. полуфабр...: Уч.пос./ И.У.Кусова - М.:НИЦ ИНФРА-М,2025.-179 с.(СПО)(п)</t>
  </si>
  <si>
    <t>ОРГАНИЗАЦИЯ ПРОЦЕССОВ ПРИГОТОВЛЕНИЯ И ПРИГОТОВЛЕНИЕ ПОЛУФАБРИКАТОВ ДЛЯ СЛОЖНОЙ КУЛИНАРНОЙ ПРОДУКЦИИ, ИЗД.1</t>
  </si>
  <si>
    <t>Кусова И.У., Федотова Н.А., Ильдирова С.К. и др.</t>
  </si>
  <si>
    <t>978-5-16-018151-6</t>
  </si>
  <si>
    <t>19.01.19, 19.02.10</t>
  </si>
  <si>
    <t>725750.02.01</t>
  </si>
  <si>
    <t>Организация раб. орг. и учр. соц. защиты насел., органов Пенсион. фонда РФ: Уч.пос. / Т.А.Сережко-М.:НИЦ ИНФРА-М,2022-269с(П)</t>
  </si>
  <si>
    <t>ОРГАНИЗАЦИЯ РАБОТЫ ОРГАНОВ И УЧРЕЖДЕНИЙ СОЦИАЛЬНОЙ ЗАЩИТЫ НАСЕЛЕНИЯ, ОРГАНОВ ПЕНСИОННОГО ФОНДА РОССИЙСКОЙ ФЕДЕРАЦИИ, ИЗД.1</t>
  </si>
  <si>
    <t>Сережко Т.А.</t>
  </si>
  <si>
    <t>978-5-16-015969-0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</si>
  <si>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40.02.01 «Право и организация социального обеспечения» (протокол № 11 от 09.11.2020)</t>
  </si>
  <si>
    <t>775343.05.01</t>
  </si>
  <si>
    <t>Организация работ по благоустройству общего имущ...: Уч. / В.Б.Акимов - М.:НИЦ ИНФРА-М,2026. - 235 с.(п)</t>
  </si>
  <si>
    <t>ОРГАНИЗАЦИЯ РАБОТ ПО БЛАГОУСТРОЙСТВУ ОБЩЕГО ИМУЩЕСТВА МНОГОКВАРТИРНОГО ДОМА, ИЗД.1</t>
  </si>
  <si>
    <t>Акимов В.Б., Комков В.А., Тимахова Н.С.</t>
  </si>
  <si>
    <t>978-5-16-017623-9</t>
  </si>
  <si>
    <t>08.02.13, 08.02.14, 08.02.15, 42.02.08</t>
  </si>
  <si>
    <t>645255.02.01</t>
  </si>
  <si>
    <t>Организация работы орг. и учр. соц. защиты населения: Уч. / Под ред. Шайхатдинова В.Ш.-М.:НИЦ ИНФРА-М,2022.-346 с.(П)</t>
  </si>
  <si>
    <t>ОРГАНИЗАЦИЯ РАБОТЫ ОРГАНОВ И УЧРЕЖДЕНИЙ СОЦИАЛЬНОЙ ЗАЩИТЫ НАСЕЛЕНИЯ, ИЗД.1</t>
  </si>
  <si>
    <t>Дианова И.В., Митин А.Н., Плешакова И.Н. и др.</t>
  </si>
  <si>
    <t>978-5-16-016501-1</t>
  </si>
  <si>
    <t>39.02.01, 40.02.04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</si>
  <si>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40.02.01 «Право и организация социального обеспечения» (протокол № 2 от 17.02.2021)</t>
  </si>
  <si>
    <t>632253.03.01</t>
  </si>
  <si>
    <t>Организация работы отделов рекламы и связей с общ.: Уч. / Е.А.Осипова-М.:НИЦ ИНФРА-М,2023.-381с.(П)</t>
  </si>
  <si>
    <t>ОРГАНИЗАЦИЯ РАБОТЫ ОТДЕЛОВ РЕКЛАМЫ И СВЯЗЕЙ С ОБЩЕСТВЕННОСТЬЮ, ИЗД.1</t>
  </si>
  <si>
    <t>Осипова Е.А.</t>
  </si>
  <si>
    <t>978-5-16-013595-3</t>
  </si>
  <si>
    <t>41.03.06, 42.03.01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</si>
  <si>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42.03.01 «Реклама и связи с общественностью» (квалификация (степень) «бакалавр») (протокол № 3 от 11.02.2019)</t>
  </si>
  <si>
    <t>480650.12.01</t>
  </si>
  <si>
    <t>Организация работы с молодежью: Уч.пос. / Т.Э.Петрова - М.:НИЦ ИНФРА-М,2026 - 208 с.(ВО)(п)</t>
  </si>
  <si>
    <t>ОРГАНИЗАЦИЯ РАБОТЫ С МОЛОДЕЖЬЮ, ИЗД.1</t>
  </si>
  <si>
    <t>Петрова Т. Э., Петрова И. Э.</t>
  </si>
  <si>
    <t>978-5-16-018889-8</t>
  </si>
  <si>
    <t>38.03.04, 39.03.01, 39.03.02, 39.03.03</t>
  </si>
  <si>
    <t>Рекомендовано УМО Санкт-Петербургского государственного университета в области инновационных междисциплинарных образовательных программ в качестве учебного пособия по направлению «Гуманитарные науки»</t>
  </si>
  <si>
    <t>Департамент культуры при Правительстве РФ</t>
  </si>
  <si>
    <t>711556.01.01</t>
  </si>
  <si>
    <t>Организация ремонта автомобилей: курс. проектир.: Уч. / К.А.Давдиев - М.:НИЦ ИНФРА-М,2025. - 256 с.(СПО)(п)</t>
  </si>
  <si>
    <t>ОРГАНИЗАЦИЯ РЕМОНТА АВТОМОБИЛЕЙ: КУРСОВОЕ ПРОЕКТИРОВАНИЕ, ИЗД.1</t>
  </si>
  <si>
    <t>Давдиев К.А., Омаров А.З.</t>
  </si>
  <si>
    <t>978-5-16-015499-2</t>
  </si>
  <si>
    <t>Автомобильно-дорожный колледж республики Дагестан</t>
  </si>
  <si>
    <t>699516.06.01</t>
  </si>
  <si>
    <t>Организация ресурсоснаб. жилищно-коммунал. хоз.: Уч.пос. / В.Н.Шитов - М.:НИЦ ИНФРА-М,2026. - 309 с.(СПО)(П)</t>
  </si>
  <si>
    <t>ОРГАНИЗАЦИЯ РЕСУРСОСНАБЖЕНИЯ ЖИЛИЩНО-КОММУНАЛЬНОГО ХОЗЯЙСТВА, ИЗД.1</t>
  </si>
  <si>
    <t>978-5-16-014757-4</t>
  </si>
  <si>
    <t>08.01.29, 08.02.14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</si>
  <si>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43.02.08 «Сервис домашнего и коммунального хозяйства» (протокол № 8 от 22.06.2020)</t>
  </si>
  <si>
    <t>231800.08.01</t>
  </si>
  <si>
    <t>Организация рознич. торг. в сети Интернет: Уч.пос. / Л.А.Брагин-М.:ИД ФОРУМ, НИЦ ИНФРА-М,2023.-120с.(ВО)(о)</t>
  </si>
  <si>
    <t>ОРГАНИЗАЦИЯ РОЗНИЧНОЙ ТОРГОВЛИ В СЕТИ ИНТЕРНЕТ, ИЗД.1</t>
  </si>
  <si>
    <t>Брагин Л.А., Панкина Т.В.</t>
  </si>
  <si>
    <t>978-5-8199-0900-3</t>
  </si>
  <si>
    <t>38.03.06, 38.04.07</t>
  </si>
  <si>
    <t>Рекомендовано кафедрой торговой политики РЭУ им. Г. В. Плеханова в качестве учебного пособия для студентов высших учебных заведений, обучающихся по направлениям «Торговое дело» (бакалавриат), «Экономика» (бакалавриат), «Менеджмент» (бакалавриат)</t>
  </si>
  <si>
    <t>238900.10.01</t>
  </si>
  <si>
    <t>Организация сельскохоз. производства: Уч. / Под ред. Тушканова М.П. - 2 изд. - М.:НИЦ ИНФРА-М,2026-423с(П)</t>
  </si>
  <si>
    <t>ОРГАНИЗАЦИЯ СЕЛЬСКОХОЗЯЙСТВЕННОГО ПРОИЗВОДСТВА, ИЗД.2</t>
  </si>
  <si>
    <t>Ариничев В.Н., Балашова С.А., Водянников В.Т. и др.</t>
  </si>
  <si>
    <t>978-5-16-015728-3</t>
  </si>
  <si>
    <t>35.06.01, 38.03.02, 38.04.02</t>
  </si>
  <si>
    <t>Рекомендовано Межрегиональным учебно-методическим советом профессионального образования в качестве учебника для студентов сельскохозяйственных высших учебных заведений, обучающихся по направлению подготовки 38.03.02 «Менеджмент» (квалификация (степень) «бакалавр») (протокол № 10 от 12.10.2020)</t>
  </si>
  <si>
    <t>695078.06.01</t>
  </si>
  <si>
    <t>Организация сельскохоз. производства: Уч. / Под ред. Тушканова М.П. - М.:НИЦ ИНФРА-М,2026 - 292 с.(СПО)(П)</t>
  </si>
  <si>
    <t>ОРГАНИЗАЦИЯ СЕЛЬСКОХОЗЯЙСТВЕННОГО ПРОИЗВОДСТВА, ИЗД.1</t>
  </si>
  <si>
    <t>Тушканов М.П., Грядов С.И., Пастухов А.К. и др.</t>
  </si>
  <si>
    <t>978-5-16-014538-9</t>
  </si>
  <si>
    <t>35.02.05, 35.02.07, 35.02.16</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</si>
  <si>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35.02.00 «Сельское хозяйство»</t>
  </si>
  <si>
    <t>238900.04.01</t>
  </si>
  <si>
    <t>Организация сельскохоз. производства: Уч. / С.И.Грядов -М.:НИЦ ИНФРА-М,2019.-292 с.(ВО: Бакалавриат)</t>
  </si>
  <si>
    <t>978-5-16-009209-6</t>
  </si>
  <si>
    <t>Допущено УМО по образованию в области производственного менеджмента в качестве учебника для студентов, обучающихся по направлению подготовки 38.03.02 «Менеджмент» (профиль «Производственный менеджмент»)</t>
  </si>
  <si>
    <t>474750.06.01</t>
  </si>
  <si>
    <t>Организация сервисного обслуж. в туризме: Уч. пос. / Т.А.Джум - М:Магистр:ИНФРА-М,2025 - 368 с.(Бакалавр.)</t>
  </si>
  <si>
    <t>ОРГАНИЗАЦИЯ СЕРВИСНОГО ОБСЛУЖИВАНИЯ В ТУРИЗМЕ, ИЗД.1</t>
  </si>
  <si>
    <t>978-5-9776-0329-4</t>
  </si>
  <si>
    <t>354000.11.01</t>
  </si>
  <si>
    <t>Организация сетевого администрирования: Уч. / А.И.Баранчиков. - М.:КУРС, НИЦ ИНФРА-М,2026 - 384 с.(СПО)(П)</t>
  </si>
  <si>
    <t>ОРГАНИЗАЦИЯ СЕТЕВОГО АДМИНИСТРИРОВАНИЯ, ИЗД.1</t>
  </si>
  <si>
    <t>Баранчиков А.И., Баранчиков П.А., Громов А.Ю. и др.</t>
  </si>
  <si>
    <t>978-5-906818-34-8</t>
  </si>
  <si>
    <t>09.01.04, 09.01.05, 09.02.02, 09.02.06, 10.02.03, 11.02.15</t>
  </si>
  <si>
    <t>800430.03.01</t>
  </si>
  <si>
    <t>Организация сис. управ. учета и контроллинга на предпр.: Уч. / Е.В.Никифорова - М.:НИЦ ИНФРА-М,2026 -193с(п)</t>
  </si>
  <si>
    <t>ОРГАНИЗАЦИЯ СИСТЕМЫ УПРАВЛЕНЧЕСКОГО УЧЕТА И КОНТРОЛЛИНГА НА ПРЕДПРИЯТИИ, ИЗД.1</t>
  </si>
  <si>
    <t>Никифорова Е.В., Поляков Р.К., Степанова Т.Е. и др.</t>
  </si>
  <si>
    <t>978-5-16-019881-1</t>
  </si>
  <si>
    <t>845904.01.01</t>
  </si>
  <si>
    <t>Организация системы управ. в органах внутренних дел РФ: Уч.пос. / В.А.Мельничук - М.:НИЦ ИНФРА-М,2026. - 189 с.(п)</t>
  </si>
  <si>
    <t>ОРГАНИЗАЦИЯ СИСТЕМЫ УПРАВЛЕНИЯ В ОРГАНАХ ВНУТРЕННИХ ДЕЛ РОССИЙСКОЙ ФЕДЕРАЦИИ, ИЗД.1</t>
  </si>
  <si>
    <t>Мельничук В.А., Горелов С.А.</t>
  </si>
  <si>
    <t>978-5-16-020946-3</t>
  </si>
  <si>
    <t>40.03.01, 40.04.01, 40.05.01, 40.05.02, 40.03.02</t>
  </si>
  <si>
    <t>409900.09.01</t>
  </si>
  <si>
    <t>Организация создания инноваций: горизонт..: Моногр. / Б.З.Мильнер - М:НИЦ ИНФРА-М,2025 - 288 с.(Науч.мысль) (п)</t>
  </si>
  <si>
    <t>ОРГАНИЗАЦИЯ СОЗДАНИЯ ИННОВАЦИЙ: ГОРИЗОНТАЛЬНЫЕ СВЯЗИ И УПРАВЛЕНИЕ, ИЗД.1</t>
  </si>
  <si>
    <t>Мильнер Б. З., Орлова Т. М.</t>
  </si>
  <si>
    <t>978-5-16-006175-7</t>
  </si>
  <si>
    <t>27.03.05, 27.04.06, 27.04.07, 38.03.01, 38.03.02, 38.04.02, 41.03.06</t>
  </si>
  <si>
    <t>845826.01.01</t>
  </si>
  <si>
    <t>Организация социологич. исслед. сис. управ.: Уч.пос. / Т.Н.Каменева. - М.:НИЦ ИНФРА-М,2025 - 208 с.(ВО)(п)</t>
  </si>
  <si>
    <t>ОРГАНИЗАЦИЯ СОЦИОЛОГИЧЕСКИХ ИССЛЕДОВАНИЙ СИСТЕМ УПРАВЛЕНИЯ, ИЗД.1</t>
  </si>
  <si>
    <t>Каменева Т.Н., Шихгафизов П.Ш., Разов П.В.</t>
  </si>
  <si>
    <t>978-5-16-020718-6</t>
  </si>
  <si>
    <t>784904.02.01</t>
  </si>
  <si>
    <t>Организация строительного производства: Уч. / В.М.Серов - М.:НИЦ ИНФРА-М,2026. - 281 с.(ВО)(п)</t>
  </si>
  <si>
    <t>ОРГАНИЗАЦИЯ СТРОИТЕЛЬНОГО ПРОИЗВОДСТВА, ИЗД.1</t>
  </si>
  <si>
    <t>978-5-16-018020-5</t>
  </si>
  <si>
    <t>832810.03.01</t>
  </si>
  <si>
    <t>Организация строительного производства: Уч. / В.М.Серов - М.:НИЦ ИНФРА-М,2026. - 281 с.(СПО)(п)</t>
  </si>
  <si>
    <t>978-5-16-020004-0</t>
  </si>
  <si>
    <t>07.02.01, 08.02.01, 08.02.02, 08.02.03, 08.02.08, 08.02.13, 08.02.14</t>
  </si>
  <si>
    <t>654628.06.01</t>
  </si>
  <si>
    <t>Организация территориал. обществ. самоупр.: Уч.пос. / А.А.Гребенникова - М:НИЦ ИНФРА-М,2026 - 142 с.(ВО)(о)</t>
  </si>
  <si>
    <t>ОРГАНИЗАЦИЯ ТЕРРИТОРИАЛЬНОГО ОБЩЕСТВЕННОГО САМОУПРАВЛЕНИЯ, ИЗД.1</t>
  </si>
  <si>
    <t>Гребенникова А.А.</t>
  </si>
  <si>
    <t>978-5-16-013012-5</t>
  </si>
  <si>
    <t>Рекомендовано в качестве учебного пособия для студентов высших учебных заведений, обучающихся по направлениям подготовки 38.03.04 «Государственное и муниципальное управление», 38.03.02 «Менеджмент» (квалификация (степень) «бакалавр»)</t>
  </si>
  <si>
    <t>Российская академия народного хозяйства и государственной службы при Президенте РФ, ф-л Поволжский институт управления имени П.А.Столыпина</t>
  </si>
  <si>
    <t>451300.06.01</t>
  </si>
  <si>
    <t>Организация техн.обслуж. и ремонта авто.: Уч.пос. /Н.А.Коваленко -М.:НИЦ ИНФРА-М,Нов.зн.,2023-229(ВО)(о)</t>
  </si>
  <si>
    <t>ОРГАНИЗАЦИЯ ТЕХНИЧЕСКОГО ОБСЛУЖИВАНИЯ И РЕМОНТА АВТОМОБИЛЕЙ, ИЗД.1</t>
  </si>
  <si>
    <t>Н.А.Коваленко</t>
  </si>
  <si>
    <t>978-5-16-011446-0</t>
  </si>
  <si>
    <t>23.03.02, 23.03.03, 23.04.02, 23.04.03</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</si>
  <si>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«Техническая эксплуатация автомобилей», «Автосервис»</t>
  </si>
  <si>
    <t>222800.16.01</t>
  </si>
  <si>
    <t>Организация торговли: Уч. / С.И.Жулидов, - 2 изд. - М.:НИЦ ИНФРА-М,2026. - 350 с.(СПО)(п)</t>
  </si>
  <si>
    <t>ОРГАНИЗАЦИЯ ТОРГОВЛИ, ИЗД.2</t>
  </si>
  <si>
    <t>Жулидов С.И.</t>
  </si>
  <si>
    <t>978-5-16-021352-1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</si>
  <si>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38.02.05 «Товароведение и экспертиза качества потребительских товаров», 38.02.04 «Коммерция (пр отраслям)» (протокол № 3 от 17.02.2020)</t>
  </si>
  <si>
    <t>222800.07.01</t>
  </si>
  <si>
    <t>Организация торговли: Уч. / С.И.Жулидов-М.:ИД ФОРУМ, НИЦ ИНФРА-М,2018.-352 с..-(СПО)(П)</t>
  </si>
  <si>
    <t>ОРГАНИЗАЦИЯ ТОРГОВЛИ, ИЗД.1</t>
  </si>
  <si>
    <t>Жулидов С. И.</t>
  </si>
  <si>
    <t>978-5-8199-0748-1</t>
  </si>
  <si>
    <t>Рекомендовано УМК в качестве учебника для студентов средних специальных учебных заведений, обучающихся по специальностям 38.02.04 «Коммерция» и 38.02.05 «Товароведение и экспертиза качества потребительских товаров»</t>
  </si>
  <si>
    <t>818899.01.01</t>
  </si>
  <si>
    <t>Организация тренир. процесса групп спорт. соверш..: Уч.пос. / Д.В.Ворончихин - М.:НИЦ ИНФРА-М,2025. - 123 с(ВО)(о)</t>
  </si>
  <si>
    <t>ОРГАНИЗАЦИЯ ТРЕНИРОВОЧНОГО ПРОЦЕССА ГРУПП СПОРТИВНОГО СОВЕРШЕНСТВОВАНИЯ ПО СЛУЖЕБНОМУ ДВОЕБОРЬЮ И СЛУЖЕБНОМУ БИАТЛОНУ, ИЗД.1</t>
  </si>
  <si>
    <t>Ворончихин Д.В., Залесова О.В., Герасимова В.В.</t>
  </si>
  <si>
    <t>978-5-16-019608-4</t>
  </si>
  <si>
    <t>49.03.01, 49.03.04, 49.04.03</t>
  </si>
  <si>
    <t>273700.08.01</t>
  </si>
  <si>
    <t>Организация труда гос. и муниц. служащих: Уч.пос. / С.П.Анзорова - М.:НИЦ ИНФРА-М,2025. - 160 с.(ВО)</t>
  </si>
  <si>
    <t>ОРГАНИЗАЦИЯ ТРУДА ГОСУДАРСТВЕННЫХ И МУНИЦИПАЛЬНЫХ СЛУЖАЩИХ, ИЗД.1</t>
  </si>
  <si>
    <t>Анзорова С. П., Федорчукова С. Г.</t>
  </si>
  <si>
    <t>978-5-16-016369-7</t>
  </si>
  <si>
    <t>38.03.01, 38.03.03, 38.03.04, 41.03.06, 46.02.01</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</si>
  <si>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t>
  </si>
  <si>
    <t>773964.06.01</t>
  </si>
  <si>
    <t>Организация труда следователя: Моногр. / В.Н.Карагодин - М.:НИЦ ИНФРА-М,2027. - 190 с.(Науч.мысль)(П )</t>
  </si>
  <si>
    <t>ОРГАНИЗАЦИЯ ТРУДА СЛЕДОВАТЕЛЯ, ИЗД.1</t>
  </si>
  <si>
    <t>978-5-16-017547-8</t>
  </si>
  <si>
    <t>419800.09.01</t>
  </si>
  <si>
    <t>Организация туристской деят. Упр. турфирм.: Уч.пос. / С.А.Быстров - М.:Форум:ИНФРА-М,2027 - 400 с.(ВО)(п)</t>
  </si>
  <si>
    <t>ОРГАНИЗАЦИЯ ТУРИСТСКОЙ ДЕЯТЕЛЬНОСТИ. УПРАВЛЕНИЕ ТУРФИРМОЙ, ИЗД.1</t>
  </si>
  <si>
    <t>978-5-91134-609-6</t>
  </si>
  <si>
    <t>684807.05.01</t>
  </si>
  <si>
    <t>Организация туристской деятельности...: Уч.пос. / С.А.Быстров - М.:Форум, НИЦ ИНФРА-М,2026 - 399 с.(П)</t>
  </si>
  <si>
    <t>978-5-00091-589-9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</si>
  <si>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(протокол № 9 от 28.09.2020)</t>
  </si>
  <si>
    <t>665685.06.01</t>
  </si>
  <si>
    <t>Организация учеб. проц. с использованием дистанц...: Уч.пос. / Е.В.Карманова - М.:НИЦ ИНФРА-М,2027. - 109 с.(О)</t>
  </si>
  <si>
    <t>ОРГАНИЗАЦИЯ УЧЕБНОГО ПРОЦЕССА С ИСПОЛЬЗОВАНИЕМ ДИСТАНЦИОННЫХ ОБРАЗОВАТЕЛЬНЫХ ТЕХНОЛОГИЙ, ИЗД.1</t>
  </si>
  <si>
    <t>Карманова Е.В.</t>
  </si>
  <si>
    <t>978-5-16-022381-0</t>
  </si>
  <si>
    <t>44.00.00, 44.03.01, 44.04.01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</si>
  <si>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бакалавриата (протокол № 3 от 11.02.2019)</t>
  </si>
  <si>
    <t>818377.01.01</t>
  </si>
  <si>
    <t>Организация физич. культуры и спорта: Уч.пос. / М.А.Чикурова-М.:НИЦ ИНФРА-М,2024.-191 с.(ВО (СФУ))(п)</t>
  </si>
  <si>
    <t>ОРГАНИЗАЦИЯ ФИЗИЧЕСКОЙ КУЛЬТУРЫ И СПОРТА, ИЗД.1</t>
  </si>
  <si>
    <t>Чикурова М.А., Чикуров А.И.</t>
  </si>
  <si>
    <t>978-5-16-019498-1</t>
  </si>
  <si>
    <t>776673.02.01</t>
  </si>
  <si>
    <t>Организация хранения и контроль запас. и сырья: Уч. / А.Т.Васюкова - М.:НИЦ ИНФРА-М,2026. - 278 с.(СПО)(п)</t>
  </si>
  <si>
    <t>ОРГАНИЗАЦИЯ ХРАНЕНИЯ И КОНТРОЛЬ ЗАПАСОВ И СЫРЬЯ, ИЗД.1</t>
  </si>
  <si>
    <t>Васюкова А.Т.</t>
  </si>
  <si>
    <t>978-5-16-018050-2</t>
  </si>
  <si>
    <t>19.02.10, 43.02.15</t>
  </si>
  <si>
    <t>704939.09.01</t>
  </si>
  <si>
    <t>Организация эвакуации танков: Уч.пос. / И.Ю.Лепешинский - М.:НИЦ ИНФРА-М,2027 - 136 с.(Воен. обр.(ОмГТУ))(О)</t>
  </si>
  <si>
    <t>ОРГАНИЗАЦИЯ ЭВАКУАЦИИ ТАНКОВ, ИЗД.1</t>
  </si>
  <si>
    <t>Лепешинский И.Ю., Чикирев О.И., Варлаков П.М. и др.</t>
  </si>
  <si>
    <t>978-5-16-014989-9</t>
  </si>
  <si>
    <t>23.03.03, 23.05.02, 56.04.04</t>
  </si>
  <si>
    <t>Рекомендовано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образовательных учреждений высшего профессионального образования, обучающихся по направлению подготовки «Транспортные средства специального назначения» по специальности «Военные гусеничные и колесные машины»</t>
  </si>
  <si>
    <t>727249.05.01</t>
  </si>
  <si>
    <t>Организация эксплуатации возд.пространства: Моногр. / Под ред. Бестугин А.Р. - М.:НИЦ ИНФРА-М,2026. - 256 с.(О)</t>
  </si>
  <si>
    <t>ОРГАНИЗАЦИЯ ЭКСПЛУАТАЦИИ ВОЗДУШНОГО ПРОСТРАНСТВА, ИЗД.1</t>
  </si>
  <si>
    <t>Бестугин А.Р., Киршина И.А., Филин А.Д. и др.</t>
  </si>
  <si>
    <t>978-5-16-015898-3</t>
  </si>
  <si>
    <t>25.04.03, 25.04.04, 25.05.05, 25.06.01</t>
  </si>
  <si>
    <t>Санкт-Петербургский государственный университет аэрокосмического приборостроения, ф-л Ивангородский гуманитарно-технический институт</t>
  </si>
  <si>
    <t>129750.14.01</t>
  </si>
  <si>
    <t>Организация энергосбережения (энергоменеджмент): Уч.пос. / В.В.Кондратьев - М.:НИЦ ИНФРА-М,2026 - 108 с.(о)</t>
  </si>
  <si>
    <t>ОРГАНИЗАЦИЯ ЭНЕРГОСБЕРЕЖЕНИЯ (ЭНЕРГОМЕНЕДЖМЕНТ). РЕШЕНИЯ ЗСМК-НКМК-НТМК-ЕВРАЗ, ИЗД.1</t>
  </si>
  <si>
    <t>Кондратьев В. В.</t>
  </si>
  <si>
    <t>Управление производством</t>
  </si>
  <si>
    <t>978-5-16-009612-4</t>
  </si>
  <si>
    <t>652118.01.01</t>
  </si>
  <si>
    <t>Организация, нормир. и оплата труда в пищевой промыш.: Уч.пос. / Л.Т.Печеная-М.:НИЦ ИНФРА-М,2024-191с(ВО)(п)</t>
  </si>
  <si>
    <t>ОРГАНИЗАЦИЯ, НОРМИРОВАНИЕ И ОПЛАТА ТРУДА В ПИЩЕВОЙ ПРОМЫШЛЕННОСТИ, ИЗД.1</t>
  </si>
  <si>
    <t>Печеная Л.Т., Домарев И.Е., Зиякаев Р.С. и др.</t>
  </si>
  <si>
    <t>978-5-16-017558-4</t>
  </si>
  <si>
    <t>19.03.01, 19.03.02, 19.03.03, 19.03.04, 19.04.01, 19.04.02, 19.04.03, 19.04.04, 19.04.05, 38.03.01, 38.04.01</t>
  </si>
  <si>
    <t>039290.22.01</t>
  </si>
  <si>
    <t>Организация, нормир. и оплата труда..: Уч. / Б.М.Генкин - 6 изд. - М.:Юр. НОРМА, НИЦ ИНФРА-М,2026. - 416 с.(п)</t>
  </si>
  <si>
    <t>ОРГАНИЗАЦИЯ, НОРМИРОВАНИЕ И ОПЛАТА ТРУДА НА ПРОМЫШЛЕННЫХ ПРЕДПРИЯТИЯХ, ИЗД.6</t>
  </si>
  <si>
    <t>Генкин Б. М.</t>
  </si>
  <si>
    <t>978-5-91768-499-4</t>
  </si>
  <si>
    <t>21.02.15, 21.02.16, 21.02.17, 21.02.18, 38.03.01, 38.03.02, 38.03.03</t>
  </si>
  <si>
    <t>Рекомендовано Министерством образования РФ в качестве учебника для студентов вузов, обучающихся по специальности 060800 "Экономика и управление на предприятии (по отраслям) "</t>
  </si>
  <si>
    <t>401900.11.01</t>
  </si>
  <si>
    <t>Организация, оценка эффект. и результат. оказ..: Моногр. / М.И.Гадаборшев - М.:НИЦ ИНФРА-М,2026 - 424 с.(п)</t>
  </si>
  <si>
    <t>ОРГАНИЗАЦИЯ, ОЦЕНКА ЭФФЕКТИВНОСТИ И РЕЗУЛЬТАТИВНОСТИ ОКАЗАНИЯ МЕДИЦИНСКОЙ ПОМОЩИ, ИЗД.1</t>
  </si>
  <si>
    <t>Гадаборшев М. И., Левкевич М. М., Рудлицкая Н. В.</t>
  </si>
  <si>
    <t>978-5-16-006315-7</t>
  </si>
  <si>
    <t>31.02.01, 31.05.01, 31.05.02, 32.05.01</t>
  </si>
  <si>
    <t>401900.09.01</t>
  </si>
  <si>
    <t>Организация, оценка эффект. и результат. оказ..: Моногр. /М.И.Гадаборшев - М.:НИЦ ИНФРА-М,2026 - 424 с.(о)</t>
  </si>
  <si>
    <t>978-5-16-020835-0</t>
  </si>
  <si>
    <t>106000.16.01</t>
  </si>
  <si>
    <t>Организация, планирование и проектирование производства. Операц.менеджмент: уч. / Н.Слак и др., - 5-е изд., англ.-М.:ИНФРА-М ,2026.-790 с.(п)-[цв]</t>
  </si>
  <si>
    <t>ОРГАНИЗАЦИЯ, ПЛАНИРОВАНИЕ И ПРОЕКТИРОВАНИЕ ПРОИЗВОДСТВА. ОПЕРАЦИОННЫЙ МЕНЕДЖМЕНТ, ИЗД.5</t>
  </si>
  <si>
    <t>Слак Н., Чемберс С., Джонстон Р.</t>
  </si>
  <si>
    <t>978-5-16-003585-7</t>
  </si>
  <si>
    <t>0509</t>
  </si>
  <si>
    <t>280700.14.01</t>
  </si>
  <si>
    <t>Организованная преступная деят.:теор.и практ.: Уч.пос. / Н.П.Яблоков - М.:Юр.Норма,НИЦ ИНФРА-М,2026 - 224 с.(О)</t>
  </si>
  <si>
    <t>ОРГАНИЗОВАННАЯ ПРЕСТУПНАЯ ДЕЯТЕЛЬНОСТЬ: ТЕОРИЯ И ПРАКТИКА РАССЛЕДОВАНИЯ, ИЗД.1</t>
  </si>
  <si>
    <t>978-5-91768-496-3</t>
  </si>
  <si>
    <t>Рекомендовано Учебно-методическим объединением по юридическому образованию высших учебных заведении в качестве учебного пособия для студентов высших учебных заведений, обучающихся по направлению «Юриспруденция» и специальности «Юриспруденция»</t>
  </si>
  <si>
    <t>681289.08.01</t>
  </si>
  <si>
    <t>Органическая химия в пищевых биотехнологиях: Уч. / Под ред. Блохина Ю.И. - М.:НИЦ ИНФРА-М,2025 - 252 с.(ВО)(п)</t>
  </si>
  <si>
    <t>ОРГАНИЧЕСКАЯ ХИМИЯ В ПИЩЕВЫХ БИОТЕХНОЛОГИЯХ, ИЗД.1</t>
  </si>
  <si>
    <t>Блохин Ю.И., Яркова Т.А., Соколова О.А.</t>
  </si>
  <si>
    <t>978-5-16-019083-9</t>
  </si>
  <si>
    <t>19.03.01, 19.03.02, 19.03.03, 19.03.04</t>
  </si>
  <si>
    <t>Рекомендовано Учебно-методическим советом ВО в качестве учебника для студентов высших учебных заведений, обучающихся по направлениям подготовки 19.03.01 «Биотехнология», 19.03.02 «Продукты питания из растительного сырья», 19.03.03 «Продукты питания животного происхождения», 19.03.04 «Технология продукции и организация общественного питания», 38.03.07 «Товароведение» (квалификация (степень) «бакалавр»)</t>
  </si>
  <si>
    <t>281200.10.01</t>
  </si>
  <si>
    <t>Органическая химия. Краткий курс: Уч.пос. / В.Г.Иванов - М.:КУРС,НИЦ ИНФРА-М,2022 - 222 с.(О)</t>
  </si>
  <si>
    <t>ОРГАНИЧЕСКАЯ ХИМИЯ. КРАТКИЙ КУРС, ИЗД.1</t>
  </si>
  <si>
    <t>978-5-905554-61-2</t>
  </si>
  <si>
    <t>18.01.16, 18.01.17, 18.01.26, 18.01.30, 18.01.31, 18.02.02, 18.02.07, 43.01.08, 43.02.07</t>
  </si>
  <si>
    <t>390400.08.01</t>
  </si>
  <si>
    <t>Органическая химия: Уч. / В.Г.Иванов. - 8 изд. - М.:НИЦ ИНФРА-М,2025 - 560 с.(ВО: Бакалавр.)(П)</t>
  </si>
  <si>
    <t>ОРГАНИЧЕСКАЯ ХИМИЯ, ИЗД.8</t>
  </si>
  <si>
    <t>Иванов В.Г., Горленко В.А., Гева О.Н.</t>
  </si>
  <si>
    <t>978-5-16-011194-0</t>
  </si>
  <si>
    <t>Рекомендуется для студентов высших учебных заведений, обучающихся по направлению подготовки 44.03.01 «Педагогическое образование»</t>
  </si>
  <si>
    <t>799696.02.01</t>
  </si>
  <si>
    <t>Органическая химия: Уч.пос. / Т.В.Ступко и др. - М.:НИЦ ИНФРА-М,2025. - 237 с. - (ВО (КрГАУ))(п)</t>
  </si>
  <si>
    <t>ОРГАНИЧЕСКАЯ ХИМИЯ, ИЗД.1</t>
  </si>
  <si>
    <t>Ступко Т.В., Зейберт Г.Ф., Стутко О.В.</t>
  </si>
  <si>
    <t>978-5-16-018824-9</t>
  </si>
  <si>
    <t>19.03.02, 19.03.03, 35.03.07, 38.03.06</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</si>
  <si>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19.03.02 «Продукты питания из растительного сырья», 19.03.03 «Продукты питания животного происхождения», 35.03.07 «Технология производства и переработки сельскохозяйственной продукции», 38.03.06 «Торговое дело»</t>
  </si>
  <si>
    <t>699546.06.01</t>
  </si>
  <si>
    <t>Орошаемое земледелие: Уч.пос. / Е.И.Кузнецова - М.:НИЦ ИНФРА-М,2026 - 166 с.(ВО: Магистратура)(П)</t>
  </si>
  <si>
    <t>ОРОШАЕМОЕ ЗЕМЛЕДЕЛИЕ, ИЗД.1</t>
  </si>
  <si>
    <t>Кузнецова Е.И., Закабунина Е.Н., Снипич Ю.Ф. и др.</t>
  </si>
  <si>
    <t>978-5-16-014819-9</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</si>
  <si>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35.04.04 «Агрономия», 35.04.03 «Агрохимия и агропочвоведение» (квалификация (степень) «магистр»)</t>
  </si>
  <si>
    <t>333700.04.01</t>
  </si>
  <si>
    <t>Ортогонализация функций и повышение помехоустойчивости...:Моногр./А.Н.Дегтярев-М.:Вуз. уч., НИЦ ИНФРА-М, 2023.-152 с.(о)</t>
  </si>
  <si>
    <t>ОРТОГОНАЛИЗАЦИЯ ФУНКЦИЙ И ПОВЫШЕНИЕ ПОМЕХОУСТОЙЧИВОСТИ ВЫСОКОСКОРОСТНЫХ СИСТЕМ ПЕРЕДАЧИ ИНФОРМАЦИИ, ИЗД.1</t>
  </si>
  <si>
    <t>Дегтярев А. Н.</t>
  </si>
  <si>
    <t>978-5-9558-0416-3</t>
  </si>
  <si>
    <t>11.03.01, 11.04.01, 11.05.02</t>
  </si>
  <si>
    <t>660120.04.01</t>
  </si>
  <si>
    <t>Ортогональные проекции и 3D-моделир. в стереометрии: Уч.пос. / Л.Р.Юренкова - М.:НИЦ ИНФРА-М,2026 - 130 с.(о)</t>
  </si>
  <si>
    <t>ОРТОГОНАЛЬНЫЕ ПРОЕКЦИИ И 3D-МОДЕЛИРОВАНИЕ В СТЕРЕОМЕТРИИ, ИЗД.1</t>
  </si>
  <si>
    <t>Юренкова Л.Р.</t>
  </si>
  <si>
    <t>978-5-16-014768-0</t>
  </si>
  <si>
    <t>00.02.03, 00.02.31, 27.02.05, 55.02.02, 09.02.10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</si>
  <si>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15 от 14.10.2019)</t>
  </si>
  <si>
    <t>111750.07.01</t>
  </si>
  <si>
    <t>Осветительные установки промыш. и гражданских..: Уч.пос. / В.П.Шеховцов - М.:НИЦ ИНФРА-М,2026. - 158 с.(СПО)(о)</t>
  </si>
  <si>
    <t>ОСВЕТИТЕЛЬНЫЕ УСТАНОВКИ ПРОМЫШЛЕННЫХ И ГРАЖДАНСКИХ ОБЪЕКТОВ, ИЗД.1</t>
  </si>
  <si>
    <t>978-5-16-021201-2</t>
  </si>
  <si>
    <t>08.02.09, 08.02.14, 13.02.09, 13.02.12</t>
  </si>
  <si>
    <t>876206.01.01</t>
  </si>
  <si>
    <t>Освобождение от отбывания наказания по иным основаниям...: Моногр. / А.А.Соколов - М.:НИЦ ИНФРА-М,2027. - 134 с.(п)</t>
  </si>
  <si>
    <t>ОСВОБОЖДЕНИЕ ОТ ОТБЫВАНИЯ НАКАЗАНИЯ ПО ИНЫМ ОСНОВАНИЯМ, ПРЕДУСМОТРЕННЫМ ЗАКОНОМ, ИЗД.1</t>
  </si>
  <si>
    <t>Соколов А.А.</t>
  </si>
  <si>
    <t>978-5-16-022344-5</t>
  </si>
  <si>
    <t>37.05.02, 40.03.01, 40.05.01, 40.05.02, 40.05.04, 40.06.01</t>
  </si>
  <si>
    <t>446450.10.01</t>
  </si>
  <si>
    <t>Осложнения фармакотерапии: Прак. рук. / В.В.Косарев -  М.: НИЦ ИНФРА-М, 2026 - 188 с.(Клинич. практ.)(о)</t>
  </si>
  <si>
    <t>ОСЛОЖНЕНИЯ ФАРМАКОТЕРАПИИ, ИЗД.1</t>
  </si>
  <si>
    <t>978-5-16-009003-0</t>
  </si>
  <si>
    <t>Профессиональное образование / ВО - Кадры высшей квалификации / Ординатура</t>
  </si>
  <si>
    <t>33.05.01</t>
  </si>
  <si>
    <t>333200.06.01</t>
  </si>
  <si>
    <t>Осмысленная науч.деятельность..: Моногр./ Э .А.Соснин - М.:ИЦ РИОР,НИЦ ИНФРА-М,2024 - 148 с.(Науч.мысль)(о)</t>
  </si>
  <si>
    <t>ОСМЫСЛЕННАЯ НАУЧНАЯ ДЕЯТЕЛЬНОСТЬ: ДИССЕРТАНТУ - О ЖИЗНИ ЗНАНИЙ, ЗАЩИЩАЕМЫХ В ФОРМЕ ПОЛОЖЕНИЙ, ИЗД.1</t>
  </si>
  <si>
    <t>Э.А.Соснин, Б.Н.Пойзнер</t>
  </si>
  <si>
    <t>978-5-369-01430-1</t>
  </si>
  <si>
    <t>01.04.01, 01.04.02, 01.04.03, 01.04.04, 01.06.01, 03.04.01, 03.04.02, 03.04.03, 03.06.01, 04.04.01, 04.04.02, 04.06.01, 04.07.01, 05.04.01, 05.04.02, 05.04.03, 05.04.04, 05.04.05, 05.04.06, 05.06.01, 06.04.01, 06.04.02, 06.06.01, 06.07.01, 23.03.01</t>
  </si>
  <si>
    <t>862879.01.01</t>
  </si>
  <si>
    <t>Основания и порядок прекращения досудебного соглаш...: Моногр. / А.Ю.Епихин - М.:НИЦ ИНФРА-М,2026. - 159 с.(п)</t>
  </si>
  <si>
    <t>ОСНОВАНИЯ И ПОРЯДОК ПРЕКРАЩЕНИЯ ДОСУДЕБНОГО СОГЛАШЕНИЯ О СОТРУДНИЧЕСТВЕ В УГОЛОВНОМ ПРОЦЕССЕ, ИЗД.1</t>
  </si>
  <si>
    <t>Епихин А.Ю., Стротер И.И.</t>
  </si>
  <si>
    <t>978-5-16-021454-2</t>
  </si>
  <si>
    <t>085160.09.01</t>
  </si>
  <si>
    <t>Основания эконом. теории и методы орг. эффект. работы / Б.М. Генкин. -2 изд.М.:НОРМА, 2024. - 448 с. (п)</t>
  </si>
  <si>
    <t>ОСНОВАНИЯ ЭКОНОМИЧЕСКОЙ ТЕОРИИ И МЕТОДЫ ОРГАНИЗАЦИИ ЭФФЕКТИВНОЙ РАБОТЫ, ИЗД.2</t>
  </si>
  <si>
    <t>978-5-91768-035-4</t>
  </si>
  <si>
    <t>01.03.01, 02.03.01, 02.03.03, 04.03.02, 07.03.03, 09.03.03, 15.03.05, 16.03.02, 19.03.04, 23.03.01, 23.03.03, 27.03.02, 27.03.05, 27.04.05, 29.03.02, 35.03.02, 35.03.03, 35.03.04, 35.03.05, 35.03.06, 35.03.08, 35.03.09, 36.03.02, 38.03.01, 38.03.02, 38.03.03, 38.03.04, 38.04.02, 38.04.03, 38.04.04, 41.03.01, 41.03.06, 42.03.01, 44.03.04, 44.03.05, 45.03.01, 45.03.04, 47.03.01, 52.03.01, 54.03.03, 54.03.04</t>
  </si>
  <si>
    <t>806179.01.01</t>
  </si>
  <si>
    <t>Основания экономикс: кардиналистский подход: Моногр. / В.С.Гродский-М.:НИЦ ИНФРА-М,2023.-179 с.(п)</t>
  </si>
  <si>
    <t>ОСНОВАНИЯ ЭКОНОМИКС: КАРДИНАЛИСТСКИЙ ПОДХОД, ИЗД.1</t>
  </si>
  <si>
    <t>978-5-16-018698-6</t>
  </si>
  <si>
    <t>38.03.01, 38.04.01, 38.04.02, 38.05.01, 38.06.01</t>
  </si>
  <si>
    <t>640618.06.01</t>
  </si>
  <si>
    <t>Основные вопр.теор.сов.фин.права: Моногр. / Е.А.Ровинский - 2 изд. - М.:Юр.Норма,НИЦ ИНФРА-М,2025- 176 с.(П)</t>
  </si>
  <si>
    <t>ОСНОВНЫЕ ВОПРОСЫ ТЕОРИИ СОВЕТСКОГО ФИНАНСОВОГО ПРАВА, ИЗД.2</t>
  </si>
  <si>
    <t>Ровинский Е.А.</t>
  </si>
  <si>
    <t>Наше наследие</t>
  </si>
  <si>
    <t>978-5-91768-766-7</t>
  </si>
  <si>
    <t>817854.01.01</t>
  </si>
  <si>
    <t>Основные материалы и методы нанотехнологий: Уч.пос. / Н.В.Латухина - М.:НИЦ ИНФРА-М,2025. - 196 с.(ВО)(п)</t>
  </si>
  <si>
    <t>ОСНОВНЫЕ МАТЕРИАЛЫ И МЕТОДЫ НАНОТЕХНОЛОГИЙ, ИЗД.1</t>
  </si>
  <si>
    <t>Латухина Н.В.</t>
  </si>
  <si>
    <t>978-5-16-019931-3</t>
  </si>
  <si>
    <t>06.05.01, 16.04.02, 21.05.06, 28.04.01, 28.04.04</t>
  </si>
  <si>
    <t>364300.02.01</t>
  </si>
  <si>
    <t>Основные положения информ. безоп.: Уч пос. / В.Я.Ищейнов -М.:Форум, НИЦ ИНФРА-М,2017-208с(Проф.обр.)</t>
  </si>
  <si>
    <t>ОСНОВНЫЕ ПОЛОЖЕНИЯ ИНФОРМАЦИОННОЙ БЕЗОПАСНОСТИ, ИЗД.1</t>
  </si>
  <si>
    <t>978-5-00091-079-5</t>
  </si>
  <si>
    <t>09.02.02, 09.02.04, 09.02.05, 10.02.01, 10.02.02, 10.02.03, 10.02.04, 10.02.05, 11.02.18</t>
  </si>
  <si>
    <t>364300.11.01</t>
  </si>
  <si>
    <t>Основные положения информац. безопас.: Уч.пос. / В.Я.Ищейнов - М.:, НИЦ ИНФРА-М,2027. - 208 с.(СПО)(П)</t>
  </si>
  <si>
    <t>978-5-16-022356-8</t>
  </si>
  <si>
    <t>Рекомендовано в качестве учебного пособия для студентов среднего профессионального образования, обучающихся по специальности 10.02.01 «Организация и технология защиты информации»</t>
  </si>
  <si>
    <t>669439.08.01</t>
  </si>
  <si>
    <t>Основные философ. направ. и концепции науки: Уч.пос. / В.А.Канке - 4 изд. - М.:НИЦ ИНФРА-М,2026 - 266 с.(П)</t>
  </si>
  <si>
    <t>ОСНОВНЫЕ ФИЛОСОФСКИЕ НАПРАВЛЕНИЯ И КОНЦЕПЦИИ НАУКИ, ИЗД.4</t>
  </si>
  <si>
    <t>978-5-16-013337-9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</si>
  <si>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47.03.01 «Философия» (квалификация (степень) «бакалавр») (протокол № 3 от 11.02.2019)</t>
  </si>
  <si>
    <t>772575.01.01</t>
  </si>
  <si>
    <t>Основы  экосоциогуманизма: Моногр. / В.С.Голубев-М.:НИЦ ИНФРА-М,2022.-158 с.(О)</t>
  </si>
  <si>
    <t>ОСНОВЫ ЭКОСОЦИОГУМАНИЗМА, ИЗД.1</t>
  </si>
  <si>
    <t>Голубев В.С.</t>
  </si>
  <si>
    <t>978-5-16-017476-1</t>
  </si>
  <si>
    <t>37.03.01, 47.06.01</t>
  </si>
  <si>
    <t>МЕЖДУНАРОДНЫЙ НАУЧНО-ИССЛЕДОВАТЕЛЬСКИЙ ИНСТИТУТ ПРОБЛЕМ УПРАВЛЕНИЯ</t>
  </si>
  <si>
    <t>168300.09.01</t>
  </si>
  <si>
    <t>Основы автоматиз.проект. техн. процессов...: Уч.пос. /Л.М.Акулович - М: ИНФРА-М,2025 - 488 с.(п)</t>
  </si>
  <si>
    <t>ОСНОВЫ АВТОМАТИЗИРОВАННОГО ПРОЕКТИРОВАНИЯ ТЕХНОЛОГИЧЕСКИХ ПРОЦЕССОВ В МАШИНОСТРОЕНИИ, ИЗД.1</t>
  </si>
  <si>
    <t>Акулович Л.М., Шелег В.К.</t>
  </si>
  <si>
    <t>978-5-16-009917-0</t>
  </si>
  <si>
    <t>15.03.01, 15.03.02, 15.03.03, 15.03.04, 15.03.05, 15.04.01, 15.04.02, 15.04.03, 15.04.04, 15.04.06</t>
  </si>
  <si>
    <t>Допущено Министерством образования Республики Беларусь в качестве учебного пособия для студентов учреждений высшего образования по машиностроительным специальностям</t>
  </si>
  <si>
    <t>693069.06.01</t>
  </si>
  <si>
    <t>Основы автоматизир.проектир.: Уч. / Под ред. Карпенко А.П. - М.:НИЦ ИНФРА-М,2025 - 329 с.(СПО)(П)</t>
  </si>
  <si>
    <t>ОСНОВЫ АВТОМАТИЗИРОВАННОГО ПРОЕКТИРОВАНИЯ, ИЗД.1</t>
  </si>
  <si>
    <t>Божко А.Н., Волосатова Т.М., Грошев С.В. и др.</t>
  </si>
  <si>
    <t>978-5-16-014441-2</t>
  </si>
  <si>
    <t>09.02.01, 09.02.02, 09.02.03, 09.02.04, 09.02.06, 09.02.07, 09.02.08, 09.02.09, 24.02.01, 09.02.10</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</si>
  <si>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укрупненной группы специальностей 09.02.00 «Информатика и вычислительная техника»</t>
  </si>
  <si>
    <t>303300.14.01</t>
  </si>
  <si>
    <t>Основы автоматизированного проектир.: Уч. / Карпенко А.П. - М.:НИЦ ИНФРА-М,2026. - 329 с.(ВО: Бакалавр.)(П)</t>
  </si>
  <si>
    <t>978-5-16-010213-9</t>
  </si>
  <si>
    <t>09.03.01</t>
  </si>
  <si>
    <t>Допущено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подготовки 09.03.01 «Информатика и вычислительная техника» (квалификация (степень) «бакалавр»)</t>
  </si>
  <si>
    <t>856994.02.01</t>
  </si>
  <si>
    <t>Основы автоматики и теории управ. технич. сис.: Уч.пос. / Ю.М.Осадчий - М.:НИЦ ИНФРА-М,2026 - 233 с.(п)</t>
  </si>
  <si>
    <t>ОСНОВЫ АВТОМАТИКИ И ТЕОРИИ УПРАВЛЕНИЯ ТЕХНИЧЕСКИМИ СИСТЕМАМИ, ИЗД.1</t>
  </si>
  <si>
    <t>Осадчий Ю.М.</t>
  </si>
  <si>
    <t>978-5-16-021409-2</t>
  </si>
  <si>
    <t>26.05.02, 26.05.04, 26.05.06, 26.05.07</t>
  </si>
  <si>
    <t>684806.08.01</t>
  </si>
  <si>
    <t>Основы агрономии: Уч.пос. / Ю.В.Евтефеев - М.: НИЦ ИНФРА-М,2026 - 367 с.-(СПО)(П)</t>
  </si>
  <si>
    <t>ОСНОВЫ АГРОНОМИИ, ИЗД.1</t>
  </si>
  <si>
    <t>Евтефеев Ю.В., Казанцев Г.М.</t>
  </si>
  <si>
    <t>978-5-16-021751-2</t>
  </si>
  <si>
    <t>19.02.11, 19.02.12, 20.02.01, 35.01.26, 35.01.27, 35.02.01, 35.02.05, 35.02.07, 35.02.09, 35.02.12, 35.02.16, 36.01.02, 43.01.11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</si>
  <si>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укрупненным группам специальностей 35.02.00 «Сельское хозяйство» и 36.02.00 «Ветеринария и зоотехния»</t>
  </si>
  <si>
    <t>093350.20.01</t>
  </si>
  <si>
    <t>Основы агрономии: Уч.пос. / Ю.В.Евтефеев - М.:Форум, НИЦ ИНФРА-М,2026 - 367 с.-(ВО)(п)</t>
  </si>
  <si>
    <t>978-5-16-021921-9</t>
  </si>
  <si>
    <t>35.03.04, 36.03.02</t>
  </si>
  <si>
    <t>Допущено Министерством сельского хозяйства РФ в качестве учебного пособия для студентов высших учебных заведений, обучающихся по специальности 36.03.02 «Зоотехния»</t>
  </si>
  <si>
    <t>640120.10.01</t>
  </si>
  <si>
    <t>Основы агротуризма: Уч. / А.И.Панюков и др. - М.:НИЦ ИНФРА-М,2027 - 240 с.(Бакалавриат)(О)</t>
  </si>
  <si>
    <t>ОСНОВЫ АГРОТУРИЗМА, ИЗД.1</t>
  </si>
  <si>
    <t>Панюков А.И., Панюкова Ю.Г., Калиничев В.Л.</t>
  </si>
  <si>
    <t>978-5-16-022387-2</t>
  </si>
  <si>
    <t>43.00.00, 05.03.06, 43.03.02, 49.03.03</t>
  </si>
  <si>
    <t>636941.06.01</t>
  </si>
  <si>
    <t>Основы алгоритм. и програм.(среда PascalABC.Net): Уч.пос./ И.Г.Фризен-М.:Форум,НИЦ ИНФРА-М,2023-392с</t>
  </si>
  <si>
    <t>ОСНОВЫ АЛГОРИТМИЗАЦИИ И ПРОГРАММИРОВАНИЯ (СРЕДА PASCALABC.NET), ИЗД.1</t>
  </si>
  <si>
    <t>Фризен И.Г.</t>
  </si>
  <si>
    <t>978-5-00091-005-4</t>
  </si>
  <si>
    <t>08.02.15, 09.02.01, 09.02.03, 09.02.04, 09.02.05, 09.02.06, 09.02.07, 09.02.08, 09.02.09, 10.02.02, 10.02.03, 10.02.04, 10.02.05, 27.02.01, 55.02.01</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</si>
  <si>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09.02.04 «Информационные системы (по отраслям)» 09.02.03 «Программирование в компьютерных системах»</t>
  </si>
  <si>
    <t>Московский автомобильно-дорожный колледж им. А.А. Николаева</t>
  </si>
  <si>
    <t>680933.05.01</t>
  </si>
  <si>
    <t>Основы алгоритм. и программир. на яз. Microsoft Visual Basic: Уч.пос. / С.Р.Гуриков - М.:НИЦ ИНФРА-М,2026 - 594 с.(СПО)(П)</t>
  </si>
  <si>
    <t>ОСНОВЫ АЛГОРИТМИЗАЦИИ И ПРОГРАММИРОВАНИЯ НА ЯЗЫКЕ MICROSOFT VISUAL BASIC, ИЗД.1</t>
  </si>
  <si>
    <t>978-5-16-014442-9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</si>
  <si>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10.02.00 «Информационная безопасность» (протокол № 12 от 24.06.2019)</t>
  </si>
  <si>
    <t>775949.01.01</t>
  </si>
  <si>
    <t>Основы алгоритм. и программир. Практ.: Уч.пос. / С.Г.Канакова - М.:НИЦ ИНФРА-М,2025. - 243 с.(СПО)(п)</t>
  </si>
  <si>
    <t>ОСНОВЫ АЛГОРИТМИЗАЦИИ И ПРОГРАММИРОВАНИЯ. ПРАКТИКУМ, ИЗД.1</t>
  </si>
  <si>
    <t>978-5-16-017684-0</t>
  </si>
  <si>
    <t>438500.12.01</t>
  </si>
  <si>
    <t>Основы алгоритмизации и программир.  в среде LAZARUS: Уч.пос. / С.Р.Гуриков - М.:НИЦ ИНФРА-М,2026. - 336 с.(ВО)(П)</t>
  </si>
  <si>
    <t>ОСНОВЫ АЛГОРИТМИЗАЦИИ И ПРОГРАММИРОВАНИЯ  В СРЕДЕ LAZARUS, ИЗД.1</t>
  </si>
  <si>
    <t>978-5-16-021632-4</t>
  </si>
  <si>
    <t>09.03.01, 09.03.02, 09.03.03, 09.03.04, 09.04.02, 09.05.01, 10.03.01, 10.05.01, 10.05.02, 10.05.03, 10.05.04, 10.05.05, 10.05.07, 27.03.04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</si>
  <si>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09.00.00 «Информатика и вычислительная техника» (квалификация (степень) «бакалавр») (протокол № 10 от 15.12.2021)</t>
  </si>
  <si>
    <t>650404.14.01</t>
  </si>
  <si>
    <t>Основы алгоритмизации и программир. на Python: Уч.пос. / С.Р.Гуриков - М.:НИЦ ИНФРА-М,2026. - 343 с.(ВО)(П)</t>
  </si>
  <si>
    <t>ОСНОВЫ АЛГОРИТМИЗАЦИИ И ПРОГРАММИРОВАНИЯ НА PYTHON, ИЗД.1</t>
  </si>
  <si>
    <t>978-5-16-017142-5</t>
  </si>
  <si>
    <t>03.03.02, 05.03.04, 09.03.01, 27.03.04, 38.03.05, 38.04.05, 45.03.04</t>
  </si>
  <si>
    <t>Рекомендовано в качестве учебного пособия для студентов высших учебных заведений, обучающихся по направлениям подготовки 09.03.01 «Информатика и вычислительная техника», 09.03.02 «Информационные системы и технологии» (квалификация (степень) «бакалавр»)</t>
  </si>
  <si>
    <t>683004.13.01</t>
  </si>
  <si>
    <t>Основы алгоритмизации и программир. на Python: Уч.пос. / С.Р.Гуриков - М.:НИЦ ИНФРА-М,2027. - 343 с.(СПО)(П)</t>
  </si>
  <si>
    <t>978-5-16-016906-4</t>
  </si>
  <si>
    <t>689797.03.01</t>
  </si>
  <si>
    <t>Основы алгоритмизации и программир. на Visual C++: Уч.пос. / С.Р.Гуриков - М.:НИЦ ИНФРА-М,2025-515 с.(П)</t>
  </si>
  <si>
    <t>ОСНОВЫ АЛГОРИТМИЗАЦИИ И ПРОГРАММИРОВАНИЯ НА VISUAL C++, ИЗД.1</t>
  </si>
  <si>
    <t>978-5-16-015500-5</t>
  </si>
  <si>
    <t>00.03.03, 01.03.02, 02.03.02, 03.03.02, 09.03.01, 09.03.03, 38.03.05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</si>
  <si>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11.03.02 «Инфокоммуникационные технологии и системы связи», 09.03.01 «Информатика и вычислительная техника», 10.03.01 «Информационная безопасность», 15.03.04 «Автоматизация технологических процессов и производств» (квалификация (степень) «бакалавр») (протокол № 10 от 15.12.2021)</t>
  </si>
  <si>
    <t>845402.01.01</t>
  </si>
  <si>
    <t>Основы алгоритмизации и программир. на яз. Си++ (СПО): Уч.пос. / А.В.Кузин - М.:НИЦ ИНФРА-М,2026. - 202 с.(СПО)(п)</t>
  </si>
  <si>
    <t>ОСНОВЫ АЛГОРИТМИЗАЦИИ И ПРОГРАММИРОВАНИЯ НА ЯЗЫКЕ СИ++ (СПО), ИЗД.1</t>
  </si>
  <si>
    <t>Кузин А.В., Чумакова Е.В.</t>
  </si>
  <si>
    <t>978-5-16-021294-4</t>
  </si>
  <si>
    <t>09.02.01, 09.02.02, 09.02.03, 09.02.04, 09.02.05, 09.02.06, 09.02.07, 09.02.08, 09.02.09, 09.02.10, 09.02.13</t>
  </si>
  <si>
    <t>074950.19.01</t>
  </si>
  <si>
    <t>Основы алгоритмизации и программир.: Уч.пос. / Гагарина Л.Г. - М.:ИД ФОРУМ, НИЦ ИНФРА-М,2026. - 414 с.(П)</t>
  </si>
  <si>
    <t>ОСНОВЫ АЛГОРИТМИЗАЦИИ И ПРОГРАММИРОВАНИЯ, ИЗД.1</t>
  </si>
  <si>
    <t>Колдаев В. Д., Гагарина Л. Г.</t>
  </si>
  <si>
    <t>978-5-8199-0733-7</t>
  </si>
  <si>
    <t>08.02.15, 09.02.01, 09.02.02, 09.02.03, 09.02.04, 09.02.05, 09.02.06, 09.02.07, 09.02.08, 09.02.09, 10.02.02, 10.02.03, 10.02.04, 10.02.05, 11.02.09, 11.02.11, 11.02.14, 11.02.15, 11.02.18, 15.02.07, 27.02.01, 27.02.02, 27.02.03, 27.02.04, 27.02.05, 27.02.06, 27.02.07, 55.02.01</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</si>
  <si>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09.00.00 «Информатика и вычислительная техника»</t>
  </si>
  <si>
    <t>038960.16.01</t>
  </si>
  <si>
    <t>Основы алгоритмизации и программир.: Уч.пос. / О.Л.Голицына, - 4 изд. - М.:НИЦ ИНФРА-М,2026. - 431 с.(СПО)(п)</t>
  </si>
  <si>
    <t>ОСНОВЫ АЛГОРИТМИЗАЦИИ И ПРОГРАММИРОВАНИЯ, ИЗД.4</t>
  </si>
  <si>
    <t>Голицына О.Л., Попов И.И.</t>
  </si>
  <si>
    <t>978-5-16-021353-8</t>
  </si>
  <si>
    <t>08.02.15, 09.02.01, 09.02.02, 09.02.03, 09.02.04, 09.02.05, 09.02.06, 09.02.07, 09.02.08, 09.02.09, 10.02.01, 10.02.02, 10.02.03, 10.02.04, 10.02.05, 11.02.09, 11.02.11, 11.02.14, 11.02.15, 11.02.18, 15.02.07, 27.02.01, 27.02.02, 27.02.03, 27.02.04, 27.02.05, 27.02.06, 27.02.07, 55.02.01</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</si>
  <si>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специальности "Информатика и вычислительная техника"</t>
  </si>
  <si>
    <t>796669.06.01</t>
  </si>
  <si>
    <t>Основы анализа бух. (финанс.) отчет. компании: Уч. / Под ред. Казаковой Н.А. - М.:НИЦ ИНФРА-М,2027. - 314 с.(п)</t>
  </si>
  <si>
    <t>ОСНОВЫ АНАЛИЗА БУХГАЛТЕРСКОЙ (ФИНАНСОВОЙ) ОТЧЕТНОСТИ КОМПАНИИ, ИЗД.1</t>
  </si>
  <si>
    <t>Казакова Н.А., Пермитина Л.В., Казакова Н.А.</t>
  </si>
  <si>
    <t>978-5-16-018158-5</t>
  </si>
  <si>
    <t>777487.02.01</t>
  </si>
  <si>
    <t>Основы анализа бухгалтерской (финансовой) отчетности: Уч. / Е.В.Королева - М.:НИЦ ИНФРА-М,2026. - 306 с.(СПО)(п)</t>
  </si>
  <si>
    <t>ОСНОВЫ АНАЛИЗА БУХГАЛТЕРСКОЙ (ФИНАНСОВОЙ) ОТЧЕТНОСТИ, ИЗД.1</t>
  </si>
  <si>
    <t>Королева Е.В.</t>
  </si>
  <si>
    <t>978-5-16-018176-9</t>
  </si>
  <si>
    <t>Костромская государственная сельскохозяйственная академия</t>
  </si>
  <si>
    <t>774779.03.01</t>
  </si>
  <si>
    <t>Основы анализа бухгалтерской отчетности: Уч. / Е.В.Никифорова. - М.:НИЦ ИНФРА-М,2024. - 253 с.(ВО)(п)</t>
  </si>
  <si>
    <t>ОСНОВЫ АНАЛИЗА БУХГАЛТЕРСКОЙ ОТЧЕТНОСТИ, ИЗД.1</t>
  </si>
  <si>
    <t>Никифорова Е.В., Шнайдер О.В., Шнайдер В.В.</t>
  </si>
  <si>
    <t>978-5-16-018707-5</t>
  </si>
  <si>
    <t>773005.03.01</t>
  </si>
  <si>
    <t>Основы анализа бухгалтерской отчетности: Уч. / Ю.И.Сигидов - М.:НИЦ ИНФРА-М,2026. - 265 с.(СПО)(П)</t>
  </si>
  <si>
    <t>978-5-16-017534-8</t>
  </si>
  <si>
    <t>38.02.01, 38.02.06, 38.02.08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</si>
  <si>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6 от 08.06.2022)</t>
  </si>
  <si>
    <t>797697.04.01</t>
  </si>
  <si>
    <t>Основы анализа бухгалтерской отчетности: Уч.пос. / Н.А.Грачева. - М.:НИЦ ИНФРА-М,2026. - 220 с.(СПО)(п)</t>
  </si>
  <si>
    <t>Грачева Н.А., Полищук О.А., Грачева Н.А.</t>
  </si>
  <si>
    <t>978-5-16-018226-1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</si>
  <si>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экономическим специальностям (протокол № 10 от 21.12.2022)</t>
  </si>
  <si>
    <t>724965.02.01</t>
  </si>
  <si>
    <t>Основы антропологии: Уч.пос. / З.И.Тюмасева - М.:НИЦ ИНФРА-М,2026 - 196 с.(ВО: Магистр.)(П)</t>
  </si>
  <si>
    <t>ОСНОВЫ АНТРОПОЛОГИИ, ИЗД.1</t>
  </si>
  <si>
    <t>Тюмасева З.И.</t>
  </si>
  <si>
    <t>978-5-16-021799-4</t>
  </si>
  <si>
    <t>44.03.01, 44.03.05, 44.04.01, 44.04.02, 44.04.03, 44.04.04, 46.03.01, 46.04.01, 46.04.03</t>
  </si>
  <si>
    <t>698348.05.01</t>
  </si>
  <si>
    <t>Основы архитектуры зданий и сооруж.: Уч. / А.З.Абуханов  - 5 изд. - М.:ИЦ РИОР, НИЦ ИНФРА-М,2027 - 296 с.(ВО)(п)</t>
  </si>
  <si>
    <t>ОСНОВЫ АРХИТЕКТУРЫ ЗДАНИЙ И СООРУЖЕНИЙ, ИЗД.5</t>
  </si>
  <si>
    <t>Абуханов А.З., Белоконев Е.Н., Белоконева Т.М. и др.</t>
  </si>
  <si>
    <t>978-5-369-01817-0</t>
  </si>
  <si>
    <t>685913.07.01</t>
  </si>
  <si>
    <t>Основы архитектуры зданий и сооружений...: Уч.пос. / В.Н.Алексеенко - М.:НИЦ ИНФРА-М,2027-121с.(ВО)(о)</t>
  </si>
  <si>
    <t>ОСНОВЫ АРХИТЕКТУРЫ ЗДАНИЙ И СООРУЖЕНИЙ. МАЛОЭТАЖНЫЕ ЗДАНИЯ СО СТЕНАМИ ИЗ АВТОКЛАВНОГО ГАЗОБЕТОНА, ИЗД.1</t>
  </si>
  <si>
    <t>Алексеенко В.Н., Жиленко О.Б.</t>
  </si>
  <si>
    <t>978-5-16-018836-2</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</si>
  <si>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t>
  </si>
  <si>
    <t>717777.09.01</t>
  </si>
  <si>
    <t>Основы архитектуры зданий и сооружений: Уч. / А.З.Абуханов. - М.:ИЦ РИОР,НИЦ ИНФРА-М,2026 - 296 с.(П)</t>
  </si>
  <si>
    <t>ОСНОВЫ АРХИТЕКТУРЫ ЗДАНИЙ И СООРУЖЕНИЙ, ИЗД.1</t>
  </si>
  <si>
    <t>978-5-369-01822-4</t>
  </si>
  <si>
    <t>07.02.01, 08.02.01, 08.02.02, 08.02.03, 08.02.08, 08.02.13, 08.02.14, 35.02.12</t>
  </si>
  <si>
    <t>653023.08.01</t>
  </si>
  <si>
    <t>Основы архитектуры,устройство и функц. вычисл.сист.: Уч. / В.В.Степина - М.:КУРС,НИЦ ИНФРА-М,2026 - 288 с.(П)</t>
  </si>
  <si>
    <t>ОСНОВЫ АРХИТЕКТУРЫ, УСТРОЙСТВО И ФУНКЦИОНИРОВАНИЕ ВЫЧИСЛИТЕЛЬНЫХ СИСТЕМ, ИЗД.1</t>
  </si>
  <si>
    <t>Степина Вера Владимировна</t>
  </si>
  <si>
    <t>978-5-906923-19-6</t>
  </si>
  <si>
    <t>09.01.04, 09.01.05, 09.02.01, 09.02.02, 09.02.03, 09.02.04, 09.02.05, 09.02.06, 09.02.07, 11.02.03, 11.02.06, 11.02.07, 11.02.09, 11.02.11, 11.02.14, 11.02.15, 11.02.18, 26.01.05</t>
  </si>
  <si>
    <t>217200.09.01</t>
  </si>
  <si>
    <t>Основы аудита: Уч. пос. / Е.А. Кыштымова - М.: ИД ФОРУМ:НИЦ ИНФРА-М, 2023 - 224 с.(ВО) (П)</t>
  </si>
  <si>
    <t>ОСНОВЫ АУДИТА, ИЗД.1</t>
  </si>
  <si>
    <t>978-5-8199-0558-6</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</si>
  <si>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t>
  </si>
  <si>
    <t>704220.04.01</t>
  </si>
  <si>
    <t>Основы баллистики и аэродинамики...: Уч.пос. / В.В.Селиванов. - М.:НИЦ ИНФРА-М,2026. - 356 с.(ВО)(п)</t>
  </si>
  <si>
    <t>ОСНОВЫ БАЛЛИСТИКИ И АЭРОДИНАМИКИ. ВНУТРЕННЯЯ И ВНЕШНЯЯ БАЛЛИСТИКА, ИЗД.1</t>
  </si>
  <si>
    <t>Селиванов В.В., Козлов В.В., Севрюков И.Т. и др.</t>
  </si>
  <si>
    <t>978-5-16-016182-2</t>
  </si>
  <si>
    <t>17.05.02, 24.03.03, 24.05.01, 26.05.04</t>
  </si>
  <si>
    <t>Рекомендовано экспертным советом ЧВВМУ имени П.С. Нахимова в качестве учебного пособия по дисциплине «Основы баллистики и аэродинамики» для курсантов ЧВВМУ имени П.С. Нахимова. Учебное пособие по курсу «Основы баллистики и аэродинамики» предназначено для курсантов, обучающихся по специальностям «Стрелково-пушечное, артиллерийское и ракетное оружие» и «Применение и эксплуатация технических систем надводных кораблей и подводных лодок»</t>
  </si>
  <si>
    <t>704218.03.01</t>
  </si>
  <si>
    <t>Основы банковского аудита: Уч./ А.А.Казимагомедов - М.:НИЦ ИНФРА-М,2026 - 183 с.(СПО)(П)</t>
  </si>
  <si>
    <t>ОСНОВЫ БАНКОВСКОГО АУДИТА, ИЗД.1</t>
  </si>
  <si>
    <t>978-5-16-015229-5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</si>
  <si>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38.02.07 «Банковское дело» (протокол № 13 от 16.09.2019)</t>
  </si>
  <si>
    <t>077200.15.01</t>
  </si>
  <si>
    <t>Основы банковского дела: Уч. / В.А.Галанов, - 2 изд. - М.:Форум,2026. - 288 с. - (СПО)(п)</t>
  </si>
  <si>
    <t>ОСНОВЫ БАНКОВСКОГО ДЕЛА, ИЗД.2</t>
  </si>
  <si>
    <t>978-5-91134-391-0</t>
  </si>
  <si>
    <t>Допущено Мин. обр. и науки РФ в качестве учебника для студентов учреждений среднего проф. образования, обучающихся по группе специальностей "Экономика и управление"</t>
  </si>
  <si>
    <t>058100.15.01</t>
  </si>
  <si>
    <t>Основы банковского дела: Уч. / Е.Б.Стародубцева  -  2 изд. - М.:ИД ФОРУМ, НИЦ ИНФРА-М,2026 - 288 с.(СПО)(П)</t>
  </si>
  <si>
    <t>978-5-8199-0819-8</t>
  </si>
  <si>
    <t>38.02.06, 38.02.07</t>
  </si>
  <si>
    <t>764199.04.01</t>
  </si>
  <si>
    <t>Основы банковского дела: Уч.пос. / В.А.Кашин - 2 изд. - М., НИЦ ИНФРА-М,2026 - 124 с.(О)</t>
  </si>
  <si>
    <t>Кашин В.А., Кашин С.В.</t>
  </si>
  <si>
    <t>978-5-16-022237-0</t>
  </si>
  <si>
    <t>252600.06.01</t>
  </si>
  <si>
    <t>Основы банковского дела: Уч.пос. / Н.А.Агеева, - 2 изд. - М.:ИЦ РИОР, НИЦ ИНФРА-М,2026. - 274 с.(ВО)(о)</t>
  </si>
  <si>
    <t>Агеева Н.А.</t>
  </si>
  <si>
    <t>978-5-369-01780-7</t>
  </si>
  <si>
    <t>422100.07.01</t>
  </si>
  <si>
    <t>Основы банковского дела: Уч.пос. / Н.В.Горелая, А.М.Карминский - М.:ИД ФОРУМ:НИЦ Инфра-М,2026 - 272 с.(ВО) (п)</t>
  </si>
  <si>
    <t>ОСНОВЫ БАНКОВСКОГО ДЕЛА, ИЗД.1</t>
  </si>
  <si>
    <t>Горелая Н. В., Карминский А. М.</t>
  </si>
  <si>
    <t>978-5-8199-0534-0</t>
  </si>
  <si>
    <t>094820.10.01</t>
  </si>
  <si>
    <t>Основы банковского дела: Учебное пос. / Под ред. Г.Г. Коробовой. - М.: Магистр, 2024. - 446 с. (п)</t>
  </si>
  <si>
    <t>Коробова Г. Г., Коробов Ю. И.</t>
  </si>
  <si>
    <t>978-5-9776-0053-8</t>
  </si>
  <si>
    <t>252600.02.01</t>
  </si>
  <si>
    <t>Основы банковского дела:Уч.пос. / Н.А.Агеева-М.:ИЦ РИОР, НИЦ ИНФРА-М,2017.-274 с..-(ВО: Бакалавриат)(О. КБС)</t>
  </si>
  <si>
    <t>978-5-369-01285-7</t>
  </si>
  <si>
    <t>838559.01.01</t>
  </si>
  <si>
    <t>Основы банковской деятельности: Уч. / Л.В.Юрьева - М.:НИЦ ИНФРА-М,2026. - 231 с.(ВО)(п)</t>
  </si>
  <si>
    <t>ОСНОВЫ БАНКОВСКОЙ ДЕЯТЕЛЬНОСТИ, ИЗД.1</t>
  </si>
  <si>
    <t>Юрьева Л.В., Долженкова Е.В.</t>
  </si>
  <si>
    <t>978-5-16-020833-6</t>
  </si>
  <si>
    <t>10.05.04, 38.03.01, 38.04.01, 38.04.06, 38.05.01, 41.03.05, 44.03.05</t>
  </si>
  <si>
    <t>Уральский федеральный университет им. первого президента России Б.Н. Ельцина, ф-л Нижнетагильский технологический институт</t>
  </si>
  <si>
    <t>683005.10.01</t>
  </si>
  <si>
    <t>Основы безоп. жизнед. и охраны труда в хореографии: Уч.пос. / В.Н.Карпенко - М.:НИЦ ИНФРА-М,2026 - 141 с.(СПО) (О)</t>
  </si>
  <si>
    <t>ОСНОВЫ БЕЗОПАСНОСТИ ЖИЗНЕДЕЯТЕЛЬНОСТИ И ОХРАНЫ ТРУДА В ХОРЕОГРАФИИ, ИЗД.1</t>
  </si>
  <si>
    <t>978-5-16-013984-5</t>
  </si>
  <si>
    <t>44.02.03, 52.02.01, 52.02.02, 52.02.03, 52.02.04, 52.02.05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</si>
  <si>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52.02.00 «Сценические искусства и литературное творчество»</t>
  </si>
  <si>
    <t>200500.09.01</t>
  </si>
  <si>
    <t>Основы безоп. труда в техносфере: Уч. / Под ред. Ромейко В.Л. - 2 изд. - М.:НИЦ ИНФРА-М,2025. - 407 с.(ВО)(П)</t>
  </si>
  <si>
    <t>ОСНОВЫ БЕЗОПАСНОСТИ ТРУДА В ТЕХНОСФЕРЕ, ИЗД.2</t>
  </si>
  <si>
    <t>Татаренко В.И., Ромейко В.Л., Ляпина О.П.</t>
  </si>
  <si>
    <t>978-5-16-014422-1</t>
  </si>
  <si>
    <t>20.03.01, 35.01.28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</si>
  <si>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20.03.01 «Техносферная безопасность» (квалификация (степень) «бакалавр») (протокол № 3 от 17.03.2021)</t>
  </si>
  <si>
    <t>Сибирский государственный университет геосистем и технологий</t>
  </si>
  <si>
    <t>650090.06.01</t>
  </si>
  <si>
    <t>Основы безопасности жизнедеят.и охраны труда..: Уч.пос. / В.Н.Карпенко - М.:НИЦ ИНФРА-М,2024-141с(П)</t>
  </si>
  <si>
    <t>978-5-16-020093-4</t>
  </si>
  <si>
    <t>52.03.01, 52.03.02</t>
  </si>
  <si>
    <t>Рекомендовано в качестве учебного пособия для студентов высших учебных заведений, обучающихся по направлениям подготовки 52.03.01 «Хореографическое искусство», 52.03.02 «Хореографическое исполнительство» (квалификация (степень) «бакалавр»)</t>
  </si>
  <si>
    <t>782284.06.01</t>
  </si>
  <si>
    <t>Основы безопасности жизнедеятельности: Уч.пос.: Ч.1 / А.Н.Ковальчук - М.:НИЦ ИНФРА-М,2027. - 287 с.(СПО)(п)</t>
  </si>
  <si>
    <t>ОСНОВЫ БЕЗОПАСНОСТИ ЖИЗНЕДЕЯТЕЛЬНОСТИ. ЧАСТЬ 1. ОСНОВЫ ЗАЩИТЫ НАСЕЛЕНИЯ И ТЕРРИТОРИЙ ОТ ВОЕННЫХ, ТЕХНОГЕННЫХ И ПРИРОДНЫХ ЧРЕЗВЫЧАЙНЫХ СИТУАЦИЙ, Т.1</t>
  </si>
  <si>
    <t>Ковальчук А.Н., Ковальчук Н.М.</t>
  </si>
  <si>
    <t>978-5-16-018124-0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</si>
  <si>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образовательную программу СПО на базе основного общего образования (протокол № 8 от 19.10.2022)</t>
  </si>
  <si>
    <t>782278.03.01</t>
  </si>
  <si>
    <t>Основы безопасности жизнедеятельности: Уч.пос.: Ч.2 / А.Н.Ковальчук - М.:НИЦ ИНФРА-М,2027. -  328 с.(П)</t>
  </si>
  <si>
    <t>ОСНОВЫ БЕЗОПАСНОСТИ ЖИЗНЕДЕЯТЕЛЬНОСТИ. ЧАСТЬ 2. ОСНОВЫ ПОДГОТОВКИ ГРАЖДАН К ВОЕННОЙ СЛУЖБЕ, Т.2</t>
  </si>
  <si>
    <t>978-5-16-018123-3</t>
  </si>
  <si>
    <t>842774.04.01</t>
  </si>
  <si>
    <t>Основы безопасности и защиты Родины: Уч.пос. / Ю.Н.Сычев - М.:НИЦ ИНФРА-М,2026. - 305 с.(ВО)(п)</t>
  </si>
  <si>
    <t>ОСНОВЫ БЕЗОПАСНОСТИ И ЗАЩИТЫ РОДИНЫ, ИЗД.1</t>
  </si>
  <si>
    <t>978-5-16-020352-2</t>
  </si>
  <si>
    <t>828545.03.01</t>
  </si>
  <si>
    <t>Основы безопасности и защиты Родины: Уч.пос. / Ю.Н.Сычев - М.:НИЦ ИНФРА-М,2026. - 305 с.(СПО)(п)</t>
  </si>
  <si>
    <t>978-5-16-019935-1</t>
  </si>
  <si>
    <t>200500.05.01</t>
  </si>
  <si>
    <t>Основы безопасности труда в техносфере: уч. / Под ред. Ромейко В.Л.-М.:НИЦ ИНФРА-М,2018.-351 с..-(ВО: Бакалавриат)(П 7БЦ)</t>
  </si>
  <si>
    <t>ОСНОВЫ БЕЗОПАСНОСТИ ТРУДА В ТЕХНОСФЕРЕ, ИЗД.1</t>
  </si>
  <si>
    <t>Ромейко В. Л., Ляпина О. П., Татаренко В. И., Ромейко В. Л.</t>
  </si>
  <si>
    <t>978-5-16-005769-9</t>
  </si>
  <si>
    <t>785490.06.01</t>
  </si>
  <si>
    <t>Основы бережливого производства: Уч.пос. / М.Р.Рогулина. - М.:НИЦ ИНФРА-М,2027 - 170 с.(СПО)(п)</t>
  </si>
  <si>
    <t>ОСНОВЫ БЕРЕЖЛИВОГО ПРОИЗВОДСТВА, ИЗД.1</t>
  </si>
  <si>
    <t>Рогулина М.Р., Смирнова И.Г., Курчий О.В. и др.</t>
  </si>
  <si>
    <t>978-5-16-018429-6</t>
  </si>
  <si>
    <t>00.02.27</t>
  </si>
  <si>
    <t>Колледж Подмосковье</t>
  </si>
  <si>
    <t>666723.09.01</t>
  </si>
  <si>
    <t>Основы биологич. безопасности: Уч.практ.пос. / М.Ш.Азаев - 3 изд. - М.:НИЦ ИНФРА-М,2026 - 149 с.(ВО)(п)</t>
  </si>
  <si>
    <t>ОСНОВЫ БИОЛОГИЧЕСКОЙ БЕЗОПАСНОСТИ, ИЗД.3</t>
  </si>
  <si>
    <t>Азаев М.Ш., Косогова Т.А., Агафонов А.П. и др.</t>
  </si>
  <si>
    <t>978-5-16-018418-0</t>
  </si>
  <si>
    <t>06.03.01, 06.03.02, 06.04.01, 06.05.01, 19.03.01, 19.04.01, 31.05.01, 31.05.02, 31.05.03, 32.04.01, 32.05.01, 33.05.01, 34.03.01</t>
  </si>
  <si>
    <t>666723.04.01</t>
  </si>
  <si>
    <t>Основы биологической безопасности: Уч.практ.пос. / М.Ш.Азаев - 2 изд. - М.:НИЦ ИНФРА-М,2022 - 225с.(П)</t>
  </si>
  <si>
    <t>ОСНОВЫ БИОЛОГИЧЕСКОЙ БЕЗОПАСНОСТИ, ИЗД.2</t>
  </si>
  <si>
    <t>Азаев М.Ш., Дадаева А.А., Агафонов А.П. и др.</t>
  </si>
  <si>
    <t>978-5-16-014608-9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</si>
  <si>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специальностей и направлений 06.00.00 «Биологические науки», 19.00.00 «Промышленная экология и биотехнологии», 31.00.00 «Клиническая медицина» (протокол № 13 от 16.09.2019)</t>
  </si>
  <si>
    <t>860017.01.01</t>
  </si>
  <si>
    <t>Основы биохимии патолог. процессов: Уч.пос. на англ.яз./ А.Н.Коваль. - М.:НИЦ ИНФРА-М, ГомГМУ, 2026. -127 с.(п)</t>
  </si>
  <si>
    <t>ОСНОВЫ БИОХИМИИ ПАТОЛОГИЧЕСКИХ ПРОЦЕССОВ = FUNDAMENTALS OF BIOCHEMISTRY OF PATHOLOGICAL PROCESSES, ИЗД.1</t>
  </si>
  <si>
    <t>Коваль А.Н., Мазаник М.Е., Логвинович О.С. и др.</t>
  </si>
  <si>
    <t>978-5-16-021300-2</t>
  </si>
  <si>
    <t>18.04.01, 31.05.01, 32.05.01, 33.05.01, 34.03.01</t>
  </si>
  <si>
    <t>419900.13.01</t>
  </si>
  <si>
    <t>Основы биохимии: Уч. / Г.М.Суслянок, - 2 изд., - М.:НИЦ ИНФРА-М,2026. - 400 с.(ВО)(п)</t>
  </si>
  <si>
    <t>ОСНОВЫ БИОХИМИИ, ИЗД.2</t>
  </si>
  <si>
    <t>Суслянок Г.М.</t>
  </si>
  <si>
    <t>978-5-16-019160-7</t>
  </si>
  <si>
    <t>04.03.01, 06.03.01, 19.03.01, 19.03.02, 19.03.03, 19.03.04, 19.04.01, 19.04.02, 19.04.03, 19.04.04, 29.03.01, 29.03.05, 29.04.01, 29.04.05, 44.03.01, 44.03.05</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</si>
  <si>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обучающихся по направлениям подготовки 19.03.01 «Биотехнология», 19.03.02 «Продукты питания из растительного сырья» и 19.03.04 «Технология продукции и организация общественного питания» (квалификация (степень) «бакалавр»)</t>
  </si>
  <si>
    <t>419900.08.01</t>
  </si>
  <si>
    <t>Основы биохимии: Уч.пос. / Т.Л.Ауэрман и др. - М.:НИЦ ИНФРА-М,2021 - 400 с.-(ВО: Бакалавриат)(П)</t>
  </si>
  <si>
    <t>ОСНОВЫ БИОХИМИИ, ИЗД.1</t>
  </si>
  <si>
    <t>Ауэрман Т. Л., Генералова Т. Г., Суслянок Г. М.</t>
  </si>
  <si>
    <t>978-5-16-005295-3</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</si>
  <si>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обучающихся по направлениям подготовки 19.03.01 «Биотехнология», 19.03.02 «Продукты питания из растительного сырья»  и 19.03.04 «Технология продукции и организация общественного питания» (квалификация (степень) «бакалавр»)</t>
  </si>
  <si>
    <t>650835.07.01</t>
  </si>
  <si>
    <t>Основы борьбы с киберпреступностью и кибертерроризмом / В.С.Овчинский-М.:Юр.Норма,ИНФРА-М,2024.-528 с.(П)</t>
  </si>
  <si>
    <t>ОСНОВЫ БОРЬБЫ С КИБЕРПРЕСТУПНОСТЬЮ И КИБЕРТЕРРОРИЗМОМ, ИЗД.1</t>
  </si>
  <si>
    <t>978-5-91768-814-5</t>
  </si>
  <si>
    <t>650835.08.01</t>
  </si>
  <si>
    <t>Основы борьбы с киберпреступностью... / В.С.Овчинский, - 2 изд. - М.:Юр. НОРМА, НИЦ ИНФРА-М,2026. - 516 с.(п)</t>
  </si>
  <si>
    <t>ОСНОВЫ БОРЬБЫ С КИБЕРПРЕСТУПНОСТЬЮ И КИБЕРТЕРРОРИЗМОМ, ИЗД.2</t>
  </si>
  <si>
    <t>978-5-00156-454-6</t>
  </si>
  <si>
    <t>795102.01.01</t>
  </si>
  <si>
    <t>Основы бух. учета в сельском хозяйстве: Уч.пос. / Л.В.Петрова - М.:НИЦ ИНФРА-М,2025. - 296 с.(СПО)(п)</t>
  </si>
  <si>
    <t>ОСНОВЫ БУХГАЛТЕРСКОГО УЧЕТА В СЕЛЬСКОМ ХОЗЯЙСТВЕ, ИЗД.1</t>
  </si>
  <si>
    <t>Петрова Л.В.</t>
  </si>
  <si>
    <t>978-5-16-020129-0</t>
  </si>
  <si>
    <t>681864.05.01</t>
  </si>
  <si>
    <t>Основы бухгалтерского учета: Уч. / Л.И.Воронина - М.:НИЦ ИНФРА-М,2023 - 346 с.-(СПО)(П)</t>
  </si>
  <si>
    <t>ОСНОВЫ БУХГАЛТЕРСКОГО УЧЕТА, ИЗД.1</t>
  </si>
  <si>
    <t>978-5-16-014313-2</t>
  </si>
  <si>
    <t>38.01.02, 38.02.01, 38.02.02, 38.02.06, 38.02.08, 40.02.04, 43.01.09, 51.02.02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</si>
  <si>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7 от 15.04.2019)</t>
  </si>
  <si>
    <t>795906.04.01</t>
  </si>
  <si>
    <t>Основы бухгалтерского учета: Уч. / Н.Г.Гаджиев и др. - М.:НИЦ ИНФРА-М,2026. - 251 с.(СПО)(п)</t>
  </si>
  <si>
    <t>978-5-16-018149-3</t>
  </si>
  <si>
    <t>38.01.02, 38.02.01, 40.02.04, 43.01.09, 51.02.02</t>
  </si>
  <si>
    <t>768027.02.01</t>
  </si>
  <si>
    <t>Основы бухгалтерского учета: Уч. / Ю.И.Сигидов, - 2 изд. - М.:НИЦ ИНФРА-М,2026. -  491 с.(ВО)(п)</t>
  </si>
  <si>
    <t>ОСНОВЫ БУХГАЛТЕРСКОГО УЧЕТА, ИЗД.2</t>
  </si>
  <si>
    <t>Сигидов Ю.И.</t>
  </si>
  <si>
    <t>978-5-16-017397-9</t>
  </si>
  <si>
    <t>798134.02.01</t>
  </si>
  <si>
    <t>Основы ветеринарии: Уч.пос.: В 2 ч.Ч.2 / О.П.Данилкина - М.:НИЦ ИНФРА-М,2026. - 303 с.(ВО (КрГАУ))(п)</t>
  </si>
  <si>
    <t>ОСНОВЫ ВЕТЕРИНАРИИ. В 2 Ч., Т.2</t>
  </si>
  <si>
    <t>Данилкина О.П.</t>
  </si>
  <si>
    <t>978-5-16-019297-0</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</si>
  <si>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36.03.02 «Зоотехния»</t>
  </si>
  <si>
    <t>806732.03.01</t>
  </si>
  <si>
    <t>Основы ветеринарии: Уч.пос.: Ч.1 / О.П.Данилкина - М.:НИЦ ИНФРА-М,2026. - 335 с.(ВО (КрГАУ))(п)</t>
  </si>
  <si>
    <t>ОСНОВЫ ВЕТЕРИНАРИИ ЧАСТЬ 1, Т.1</t>
  </si>
  <si>
    <t>978-5-16-019296-3</t>
  </si>
  <si>
    <t>331400.08.01</t>
  </si>
  <si>
    <t>Основы ветеринарной географии: Уч. / Н.М.Колычев - М.:НИЦ ИНФРА-М,2025 - 378 с.(ВО:Специалитет)(п)</t>
  </si>
  <si>
    <t>ОСНОВЫ ВЕТЕРИНАРНОЙ ГЕОГРАФИИ, ИЗД.1</t>
  </si>
  <si>
    <t>Колычев Н.М., Кисленко В.Н.</t>
  </si>
  <si>
    <t>978-5-16-010623-6</t>
  </si>
  <si>
    <t>Допущено Министерством сельского хозяйства Российской Федерации в качестве учебника для студентов высших учебных заведений по специальности 36.05.01 «Ветеринария»</t>
  </si>
  <si>
    <t>Омский государственный аграрный университет им. П.А. Столыпина</t>
  </si>
  <si>
    <t>845596.04.01</t>
  </si>
  <si>
    <t>Основы визажистики / Е.Н.Зубова - М.:НИЦ ИНФРА-М,2026 - 191 с.- (Интересно знать) (п)</t>
  </si>
  <si>
    <t>ОСНОВЫ ВИЗАЖИСТИКИ, ИЗД.1</t>
  </si>
  <si>
    <t>Зубова Е.Н.</t>
  </si>
  <si>
    <t>978-5-16-020478-9</t>
  </si>
  <si>
    <t>753331.04.01</t>
  </si>
  <si>
    <t>Основы визажистики: Уч.пос./ Е.Н.Зубова - М.:НИЦ ИНФРА-М,2027. - 191 с.-(СПО)(п)</t>
  </si>
  <si>
    <t>978-5-16-018312-1</t>
  </si>
  <si>
    <t>700726.02.01</t>
  </si>
  <si>
    <t>Основы визуализации коммерческой идеи: Уч.пос. / Н.Н.Крупина - М.:НИЦ ИНФРА-М,2023 - 165 с.(СПО)(П)</t>
  </si>
  <si>
    <t>ОСНОВЫ ВИЗУАЛИЗАЦИИ КОММЕРЧЕСКОЙ ИДЕИ, ИЗД.1</t>
  </si>
  <si>
    <t>Крупина Н.Н.</t>
  </si>
  <si>
    <t>978-5-16-014960-8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</si>
  <si>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 от 20.01.2020)</t>
  </si>
  <si>
    <t>750864.07.01</t>
  </si>
  <si>
    <t>Основы водоподготовки и водоотведения: Уч.пос. / Б.С.Ксенофонтов - М.:НИЦ ИНФРА-М,2026. - 256 с.(СПО)(п)</t>
  </si>
  <si>
    <t>ОСНОВЫ ВОДОПОДГОТОВКИ И ВОДООТВЕДЕНИЯ, ИЗД.1</t>
  </si>
  <si>
    <t>978-5-16-016819-7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</si>
  <si>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08.02.04 «Водоснабжение и водоотведение» (протокол № 5 от 19.05.2021)</t>
  </si>
  <si>
    <t>704940.06.01</t>
  </si>
  <si>
    <t>Основы военной педагогики и психологии: Уч.пос. / И.Ю.Лепешинский. - М.:НИЦ ИНФРА-М,2026. - 184 с.(П)</t>
  </si>
  <si>
    <t>ОСНОВЫ ВОЕННОЙ ПЕДАГОГИКИ И ПСИХОЛОГИИ, ИЗД.1</t>
  </si>
  <si>
    <t>Лепешинский И.Ю., Грымзин К.А., ОмГТУ</t>
  </si>
  <si>
    <t>978-5-16-015068-0</t>
  </si>
  <si>
    <t>37.03.01, 56.04.02, 56.04.09</t>
  </si>
  <si>
    <t>860591.01.01</t>
  </si>
  <si>
    <t>Основы военной подготовки: Уч. / Ю.Б.Байрамуков и др. - М.:НИЦ ИНФРА-М, СФУ,2026. - 499 с.(ВО (СФУ))(п)</t>
  </si>
  <si>
    <t>ОСНОВЫ ВОЕННОЙ ПОДГОТОВКИ, ИЗД.1</t>
  </si>
  <si>
    <t>Байрамуков Ю.Б., Янович В.С., Гончарик С.В., Арефьев П.Е.</t>
  </si>
  <si>
    <t>978-5-16-021341-5</t>
  </si>
  <si>
    <t>Рекомендовано Федеральным государственным казенным военным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учебника для курсантов военных учебных центров и студентов, обучающихся в высших учебных заведениях; per. № 12 от 20 декабря 2019 года</t>
  </si>
  <si>
    <t>187800.26.01</t>
  </si>
  <si>
    <t>Основы военной службы: Уч. / В.Ю.Микрюков, - 2 изд. - М., НИЦ ИНФРА-М,2026 - 384 с.(П)</t>
  </si>
  <si>
    <t>ОСНОВЫ ВОЕННОЙ СЛУЖБЫ: СТРОЕВАЯ, ОГНЕВАЯ И ТАКТИЧЕСКАЯ ПОДГОТОВКА, ВОЕННАЯ ТОПОГРАФИЯ, ИЗД.2</t>
  </si>
  <si>
    <t>Микрюков В.Ю.</t>
  </si>
  <si>
    <t>978-5-16-021733-8</t>
  </si>
  <si>
    <t>00.01.01, 00.02.01, 26.02.04, 40.02.02</t>
  </si>
  <si>
    <t>Рекомендовано Академией военных наук Российской Федерации в качестве учебника для учащихся старших классов средних образовательных учреждений и студентов средних специальных учебных заведений</t>
  </si>
  <si>
    <t>187800.16.01</t>
  </si>
  <si>
    <t>Основы военной службы: Уч. / В.Ю.Микрюков, - 2 изд., испр. и доп.-М.:Форум, НИЦ ИНФРА-М,2021-384с(о)</t>
  </si>
  <si>
    <t>ОСНОВЫ ВОЕННОЙ СЛУЖБЫ, ИЗД.2</t>
  </si>
  <si>
    <t>978-5-00091-415-1</t>
  </si>
  <si>
    <t>805488.05.01</t>
  </si>
  <si>
    <t>Основы военной службы: Уч. / В.Ю.Микрюков, - 2 изд.-М.:Форум, НИЦ ИНФРА-М,2025 - 384 с.(ВО)(п)</t>
  </si>
  <si>
    <t>978-5-00091-778-7</t>
  </si>
  <si>
    <t>632535.10.01</t>
  </si>
  <si>
    <t>Основы генетики: Уч. / В.В.Иванищев - М.:ИЦ РИОР, НИЦ ИНФРА-М,2025 - 207 с.(о)</t>
  </si>
  <si>
    <t>ОСНОВЫ ГЕНЕТИКИ, ИЗД.1</t>
  </si>
  <si>
    <t>978-5-369-01640-4</t>
  </si>
  <si>
    <t>06.03.01, 06.03.02, 06.05.01, 31.05.01, 31.05.02, 32.05.01, 34.03.01, 35.03.04, 35.03.05, 44.03.05</t>
  </si>
  <si>
    <t>632535.11.01</t>
  </si>
  <si>
    <t>Основы генетики: Уч. / В.В.Иванищев, - 2 изд. - М.:ИЦ РИОР, НИЦ ИНФРА-М,2026. - 251 с.(ВО)(о)</t>
  </si>
  <si>
    <t>ОСНОВЫ ГЕНЕТИКИ, ИЗД.2</t>
  </si>
  <si>
    <t>978-5-369-01996-2</t>
  </si>
  <si>
    <t>700733.05.01</t>
  </si>
  <si>
    <t>Основы геотехники в криолитозоне: Уч. / Л.Н.Хрусталев - М.:НИЦ ИНФРА-М,2025 - 543 с.-(ВО)(П)</t>
  </si>
  <si>
    <t>ОСНОВЫ ГЕОТЕХНИКИ В КРИОЛИТОЗОНЕ, ИЗД.1</t>
  </si>
  <si>
    <t>Хрусталев Л.Н.</t>
  </si>
  <si>
    <t>978-5-16-021014-8</t>
  </si>
  <si>
    <t>08.03.01, 23.05.06</t>
  </si>
  <si>
    <t>Допущено Учебно-методическим советом по геологии Учебно-методического объединения по классическому университетскому образованию в качестве учебника для студентов высших учебных заведений, обучающихся по направлению «Геология» и специальности «Гидрогеология и инженерная геология»</t>
  </si>
  <si>
    <t>717643.05.01</t>
  </si>
  <si>
    <t>Основы гидравлики и теплотехники. Прак.: Уч.пос. / С.Ф.Вольвак - 2 изд.-М.:НИЦ ИНФРА-М,2027.-203 с.(СПО)(п)</t>
  </si>
  <si>
    <t>ОСНОВЫ ГИДРАВЛИКИ И ТЕПЛОТЕХНИКИ. ПРАКТИКУМ, ИЗД.2</t>
  </si>
  <si>
    <t>Вольвак С.Ф., Ульянцев Ю.Н., Бахарев Д.Н. и др.</t>
  </si>
  <si>
    <t>978-5-16-019491-2</t>
  </si>
  <si>
    <t>08.01.32, 08.02.04, 13.02.02, 13.02.04, 14.02.01, 15.02.01, 15.02.03, 15.02.04, 15.02.06, 15.02.09, 15.02.10, 15.02.18, 21.01.17, 22.02.08, 23.02.02, 24.02.01, 26.02.03, 26.02.04, 26.02.05, 35.02.07, 35.02.16, 44.02.06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</si>
  <si>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5 от 18.10.2023)</t>
  </si>
  <si>
    <t>Аграрная учебная книга для среднего профессионального образовани-2025, Призер, III место</t>
  </si>
  <si>
    <t>717643.03.01</t>
  </si>
  <si>
    <t>Основы гидравлики и теплотехники: практикум: Уч.пос. / С.Ф.Вольвак - М.:НИЦ ИНФРА-М,2023-238с.(СПО)(П)</t>
  </si>
  <si>
    <t>ОСНОВЫ ГИДРАВЛИКИ И ТЕПЛОТЕХНИКИ. ПРАКТИКУМ, ИЗД.1</t>
  </si>
  <si>
    <t>Вольвак С.Ф., Ульянцев Ю.Н., Бахарев Д.Н.</t>
  </si>
  <si>
    <t>978-5-16-015657-6</t>
  </si>
  <si>
    <t>Рекомендовано Экспертным советом Учебно-методического объединения Комитета по науке и высшей школе Санкт-Петербургских государственных бюджетных профессиональных образовательных учреждений (УМО КНВШ СПб ГБПОУ) в качестве учебного пособия</t>
  </si>
  <si>
    <t>769927.05.01</t>
  </si>
  <si>
    <t>Основы гидравлики и теплотехники: Уч.пос. / С.Ф.Вольвак - 2 изд. - М.:НИЦ ИНФРА-М,2026. - 333 с.(СПО)(п)</t>
  </si>
  <si>
    <t>ОСНОВЫ ГИДРАВЛИКИ И ТЕПЛОТЕХНИКИ, ИЗД.2</t>
  </si>
  <si>
    <t>978-5-16-019812-5</t>
  </si>
  <si>
    <t>13.02.02, 13.02.04, 35.02.07, 35.02.16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</si>
  <si>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2 от 15.02.2024)</t>
  </si>
  <si>
    <t>Аграрная учебная книга для среднего профессионального образовани-2025, Призер, II место</t>
  </si>
  <si>
    <t>769927.01.01</t>
  </si>
  <si>
    <t>Основы гидравлики и теплотехники: Уч.пос. / С.Ф.Вольвак - М.:НИЦ ИНФРА-М,2022 - 525 с.(СПО)(П)</t>
  </si>
  <si>
    <t>ОСНОВЫ ГИДРАВЛИКИ И ТЕПЛОТЕХНИКИ, ИЗД.1</t>
  </si>
  <si>
    <t>978-5-16-017670-3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</si>
  <si>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9 от 17.11.2021)</t>
  </si>
  <si>
    <t>051850.24.01</t>
  </si>
  <si>
    <t>Основы гидравлики, теплотехники и аэродинамики: Уч. / О.Н.Брюханов - М.: ИНФРА-М, 2026 - 254 с.(СПО)(П)</t>
  </si>
  <si>
    <t>ОСНОВЫ ГИДРАВЛИКИ, ТЕПЛОТЕХНИКИ И АЭРОДИНАМИКИ, ИЗД.1</t>
  </si>
  <si>
    <t>Брюханов О.Н., Коробко В.И., Мелик-Аракелян А.Т.</t>
  </si>
  <si>
    <t>978-5-16-005354-7</t>
  </si>
  <si>
    <t>08.01.29, 08.01.32, 08.02.04, 08.02.08, 08.02.12, 08.02.13, 08.02.14, 12.02.01, 13.02.02, 13.02.04, 13.02.05, 15.02.01, 15.02.03, 15.02.04, 15.02.06, 15.02.09, 15.02.10, 15.02.18, 21.01.17, 23.02.02, 24.02.01, 35.02.07, 35.02.16, 44.02.06</t>
  </si>
  <si>
    <t>640122.07.01</t>
  </si>
  <si>
    <t>Основы гистологии: Уч. / В.В.Яглов - М.:НИЦ ИНФРА-М,2025 - 634 с.-(ВО: Специалитет)(П)</t>
  </si>
  <si>
    <t>ОСНОВЫ ГИСТОЛОГИИ, ИЗД.1</t>
  </si>
  <si>
    <t>Яглов В.В., Яглова Н.В.</t>
  </si>
  <si>
    <t>978-5-16-012281-6</t>
  </si>
  <si>
    <t>06.03.01, 31.05.01, 31.05.02, 32.05.01</t>
  </si>
  <si>
    <t>Рекомендовано в качестве учебника для студентов высших учебных заведений, обучающихся по направлениям подготовки 31.05.01 «Лечебное дело», 31.05.02 «Педиатрия», 32.05.01 «Медико-профилактическое дело» (квалификация «врач (врач-педиатр) общей практики; врач по общей гигиене, по эпидемиологии»)</t>
  </si>
  <si>
    <t>Научно-исследовательский институт морфологии человека</t>
  </si>
  <si>
    <t>438900.05.01</t>
  </si>
  <si>
    <t>Основы гос. и муниц. управления: Уч.пос. / О.Б.Угурчиев - М.:ИЦ РИОР,НИЦ ИНФРА-М,2023-378с(ВО:Бакалавр.)</t>
  </si>
  <si>
    <t>ОСНОВЫ ГОСУДАРСТВЕННОГО И МУНИЦИПАЛЬНОГО УПРАВЛЕНИЯ, ИЗД.1</t>
  </si>
  <si>
    <t>О.Б.Угурчиев, Р.О.Угурчиева</t>
  </si>
  <si>
    <t>978-5-369-01473-8</t>
  </si>
  <si>
    <t>Допущено Советом Учебно-методического объединения по образованию в области менеджмента в качестве учебного пособия для студентов высшего образования,обучающихся по направлению подготовки «Государственное и муниципальное управление» (квалификация (степень) «бакалавр»)</t>
  </si>
  <si>
    <t>Ингушский государственный университет</t>
  </si>
  <si>
    <t>854455.01.01</t>
  </si>
  <si>
    <t>Основы гражданского права КНР: Моногр. / Е.А.Кириллова - М.:НИЦ ИНФРА-М,2026. - 210 с.(о)</t>
  </si>
  <si>
    <t>ОСНОВЫ ГРАЖДАНСКОГО ПРАВА КИТАЙСКОЙ НАРОДНОЙ РЕСПУБЛИКИ, ИЗД.1</t>
  </si>
  <si>
    <t>978-5-16-020944-9</t>
  </si>
  <si>
    <t>152900.08.01</t>
  </si>
  <si>
    <t>Основы гуманитарной географии: Уч. пос. / Ю.Н. Голубчиков - М.: НИЦ ИНФРА-М, 2024 - 364с.(ВО) (п)</t>
  </si>
  <si>
    <t>ОСНОВЫ ГУМАНИТАРНОЙ ГЕОГРАФИИ, ИЗД.1</t>
  </si>
  <si>
    <t>Голубчиков Ю.Н.</t>
  </si>
  <si>
    <t>978-5-16-004682-2</t>
  </si>
  <si>
    <t>Допущено УМС по географии Учебно-методического объединения по классическому университетскому образованию в качестве учебного пособия для студентов высших учебных заведений, обучающихся по специальности "География"</t>
  </si>
  <si>
    <t>654706.02.01</t>
  </si>
  <si>
    <t>Основы деловой (служеб.) письм. речи в сфере упр..: Уч.пос. / С.Ю.Кабашов-М.:НИЦ ИНФРА-М,2020-163 с.(ВО)(П)</t>
  </si>
  <si>
    <t>ОСНОВЫ ДЕЛОВОЙ (СЛУЖЕБНОЙ) ПИСЬМЕННОЙ РЕЧИ В СФЕРЕ УПРАВЛЕНИЯ, ИЗД.1</t>
  </si>
  <si>
    <t>978-5-16-013054-5</t>
  </si>
  <si>
    <t>01.05.01, 38.03.02, 38.03.03, 38.04.02, 38.04.08, 40.03.01, 40.04.01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</si>
  <si>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38.03.02 «Менеджмент», 38.03.01 «Экономика», 40.03.01 «Юриспруденция» (квалификация (степень) «бакалавр»)</t>
  </si>
  <si>
    <t>714257.06.01</t>
  </si>
  <si>
    <t>Основы деловой (служеб.) письм. речи в сфере управ.: Уч.пос. / С.Ю.Кабашов - М.:НИЦ ИНФРА-М,2026 - 163 с.(П)</t>
  </si>
  <si>
    <t>978-5-16-015439-8</t>
  </si>
  <si>
    <t>15.02.04, 38.02.01, 38.02.02, 38.02.03, 38.02.06, 38.02.07, 38.02.08, 39.02.01, 39.02.02, 40.02.02, 40.02.04, 43.02.01, 43.02.11, 43.02.16, 44.02.01, 44.02.02, 44.02.03, 44.02.04, 44.02.05, 44.02.06, 46.02.01, 46.02.02, 49.02.02, 51.02.03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</si>
  <si>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38.02.00 «Экономика и управление», 40.02.00 «Юриспруденция» (протокол № 8 от 29.04.2019)</t>
  </si>
  <si>
    <t>654706.06.01</t>
  </si>
  <si>
    <t>Основы деловой (служеб.) письм. речи в сфере управ.: Уч.пос. / С.Ю.Кабашов - М.:НИЦ ИНФРА-М,2026-163с(ВО)(о)</t>
  </si>
  <si>
    <t>978-5-16-018436-4</t>
  </si>
  <si>
    <t>256700.14.01</t>
  </si>
  <si>
    <t>Основы делопроизводства: Уч.пос. / А.М.Асалиев и др., - 2 изд. - М.:НИЦ ИНФРА-М,2026. - 146 с.(ВО)(п)</t>
  </si>
  <si>
    <t>ОСНОВЫ ДЕЛОПРОИЗВОДСТВА, ИЗД.2</t>
  </si>
  <si>
    <t>Асалиев А.М., Миронова И.И., Косарева Е.А. и др.</t>
  </si>
  <si>
    <t>978-5-16-019135-5</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</si>
  <si>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t>
  </si>
  <si>
    <t>117650.10.01</t>
  </si>
  <si>
    <t>Основы демографии: Уч.пос. / П.И.Косов, - 2-е изд.-М.:НИЦ ИНФРА-М,2024.-288 с..-(ВО)(п)</t>
  </si>
  <si>
    <t>ОСНОВЫ ДЕМОГРАФИИ, ИЗД.2</t>
  </si>
  <si>
    <t>Косов П.И., Берендеева А.Б.</t>
  </si>
  <si>
    <t>978-5-16-019264-2</t>
  </si>
  <si>
    <t>38.03.01, 38.03.03, 38.03.04, 39.03.01, 39.03.02</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</si>
  <si>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39.03.02 «Социальная работа»</t>
  </si>
  <si>
    <t>813781.01.01</t>
  </si>
  <si>
    <t>Основы демографич. анализа с элементами матем..: Уч.пос. / Д.М.Эдиев - М.:НИЦ ИНФРА-М,2024. - 192 с.(ВО)(п)</t>
  </si>
  <si>
    <t>ОСНОВЫ ДЕМОГРАФИЧЕСКОГО АНАЛИЗА С ЭЛЕМЕНТАМИ МАТЕМАТИЧЕСКОЙ ДЕМОГРАФИИ, ИЗД.1</t>
  </si>
  <si>
    <t>Эдиев Д.М.</t>
  </si>
  <si>
    <t>978-5-16-020547-2</t>
  </si>
  <si>
    <t>01.03.04, 09.04.03, 38.03.01, 38.03.04, 38.04.01, 38.04.04, 39.03.01, 39.04.01, 41.03.06</t>
  </si>
  <si>
    <t>Северо-Кавказская государственная академия</t>
  </si>
  <si>
    <t>073550.09.01</t>
  </si>
  <si>
    <t>Основы дискретной математики: Уч.пос. / В.А.Осипова - 2 изд. - М.:Форум,НИЦ ИНФРА-М,2026 - 157 с.(ВО)(П)</t>
  </si>
  <si>
    <t>ОСНОВЫ ДИСКРЕТНОЙ МАТЕМАТИКИ, ИЗД.2</t>
  </si>
  <si>
    <t>Осипова В. А.</t>
  </si>
  <si>
    <t>978-5-00091-404-5</t>
  </si>
  <si>
    <t>01.03.01, 01.03.02, 02.03.01, 02.03.02, 02.03.03, 02.04.03, 03.03.02, 04.03.02, 09.03.03, 09.03.04, 11.03.02, 45.03.04</t>
  </si>
  <si>
    <t>Рекомендовано УМО в области экономики, менеджмента, логистики и бизнес-информатики в качестве учебного пособия для студентов высших учебных заведений, обучающихся по направлению подготовки 38.03.01 «Экономика»</t>
  </si>
  <si>
    <t>843799.01.01</t>
  </si>
  <si>
    <t>Основы дискретной математики: Уч.пос. / В.А.Осипова, - 2 изд. - М.:Форум, НИЦ ИНФРА-М,2025. - 157 с.(СПО)(п)</t>
  </si>
  <si>
    <t>978-5-00091-814-2</t>
  </si>
  <si>
    <t>09.02.01, 09.02.05, 09.02.06, 09.02.07, 09.02.08, 09.02.09, 38.02.01, 38.02.02, 38.02.03, 38.02.06, 38.02.07</t>
  </si>
  <si>
    <t>234400.04.01</t>
  </si>
  <si>
    <t>Основы диссертационного менеджмента: Уч. / С.Д.Резник - 3 изд. - М.:НИЦ ИНФРА-М,2018 - 289 с.(ВО)(П)</t>
  </si>
  <si>
    <t>ОСНОВЫ ДИССЕРТАЦИОННОГО МЕНЕДЖМЕНТА, ИЗД.2</t>
  </si>
  <si>
    <t>978-5-16-009134-1</t>
  </si>
  <si>
    <t>Рекомендовано Советом учебно-методического объединения вузов России по образованию в области менеджмента в качестве учебника для студентов, обучающихся по экономическим и управленческим направлениям магистратуры и аспирантуры высших учебных заведений</t>
  </si>
  <si>
    <t>234400.09.01</t>
  </si>
  <si>
    <t>Основы диссертационного менеджмента: Уч. / С.Д.Резник, - 4 изд. - М.:НИЦ ИНФРА-М,2026. - 284 с.(ВО)(п)</t>
  </si>
  <si>
    <t>ОСНОВЫ ДИССЕРТАЦИОННОГО МЕНЕДЖМЕНТА, ИЗД.4</t>
  </si>
  <si>
    <t>978-5-16-017903-2</t>
  </si>
  <si>
    <t>Рекомендовано Советом учебно-методического объединения вузов России по образованию в области менеджмента в качестве учебника для студентов, обучающихся по экономическим и управленческим направлениям подготовки магистратуры и аспирантуры высших учебных заведений</t>
  </si>
  <si>
    <t>234400.06.01</t>
  </si>
  <si>
    <t>Основы диссертационного менеджмента: Уч. /С.Д.Резник - 3 изд.-М.:НИЦ ИНФРА-М,2021.-289 с.(ВО)(П)</t>
  </si>
  <si>
    <t>ОСНОВЫ ДИССЕРТАЦИОННОГО МЕНЕДЖМЕНТА, ИЗД.3</t>
  </si>
  <si>
    <t>824725.01.01</t>
  </si>
  <si>
    <t>Основы документ. обеспеч. деят. образоват. орг.: Уч.пос. / Р.Е.Булат - М.:НИЦ ИНФРА-М,2025. - 364 с.(ВО)(п)</t>
  </si>
  <si>
    <t>ОСНОВЫ ДОКУМЕНТАЦИОННОГО ОБЕСПЕЧЕНИЯ ДЕЯТЕЛЬНОСТИ ОБРАЗОВАТЕЛЬНЫХ ОРГАНИЗАЦИЙ, ИЗД.1</t>
  </si>
  <si>
    <t>Булат Р.Е.</t>
  </si>
  <si>
    <t>978-5-16-020555-7</t>
  </si>
  <si>
    <t>44.04.01, 44.04.02, 44.04.03, 44.04.04, 44.05.01, 46.04.02</t>
  </si>
  <si>
    <t>853409.01.01</t>
  </si>
  <si>
    <t>Основы законодат. о безопасности дорож. движ. в РФ : Уч. / И.С.Горшков - М.:НИЦ ИНФРА-М,2026. - 388 с.(п) [цв]</t>
  </si>
  <si>
    <t>ОСНОВЫ ЗАКОНОДАТЕЛЬСТВА О БЕЗОПАСНОСТИ ДОРОЖНОГО ДВИЖЕНИЯ В РОССИЙСКОЙ ФЕДЕРАЦИИ (ВМЕСТЕ С ПРАВИЛАМИ ДОРОЖНОГО ДВИЖЕНИЯ), ИЗД.1</t>
  </si>
  <si>
    <t>Горшков И.С.</t>
  </si>
  <si>
    <t>978-5-16-020908-1</t>
  </si>
  <si>
    <t>23.01.03, 23.01.04, 23.01.06, 23.01.17, 23.02.01, 23.02.02, 23.02.03</t>
  </si>
  <si>
    <t>Министерство внутренних дел Российской Федерации, Договорно-правовой департамент</t>
  </si>
  <si>
    <t>767220.01.01</t>
  </si>
  <si>
    <t>Основы земельно-имуществ. отнош.: Уч.пос. / С.В.Фокин - М.:НИЦ ИНФРА-М,2024. - 379 с.(СПО)(п)</t>
  </si>
  <si>
    <t>ОСНОВЫ ЗЕМЕЛЬНО-ИМУЩЕСТВЕННЫХ ОТНОШЕНИЙ, ИЗД.1</t>
  </si>
  <si>
    <t>978-5-16-018221-6</t>
  </si>
  <si>
    <t>798961.05.01</t>
  </si>
  <si>
    <t>Основы зоотехнии. Практикум: Уч.пос. / А.Г.Агейкин. - М.:НИЦ ИНФРА-М,2026. - 285 с.(СПО (КрГАУ))(п)</t>
  </si>
  <si>
    <t>ОСНОВЫ ЗООТЕХНИИ. ПРАКТИКУМ, ИЗД.1</t>
  </si>
  <si>
    <t>Агейкин А.Г., Удалова Т.А., Нагибина А.А.</t>
  </si>
  <si>
    <t>978-5-16-018344-2</t>
  </si>
  <si>
    <t>19.02.11, 19.02.12, 35.01.21, 35.01.27, 35.02.07, 35.02.09, 35.02.16, 36.01.02, 36.01.03, 36.02.01, 36.02.03</t>
  </si>
  <si>
    <t>Рекомендовано учебно-методическим советом федерального государственного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специальности 35.02.08 «Электрификация и автоматизация сельского хозяйства»</t>
  </si>
  <si>
    <t>246300.07.01</t>
  </si>
  <si>
    <t>Основы инженерного эксперимента: Уч.пос. / С.И. Лукьянов - М.:ИЦ РИОР:НИЦ ИНФРА-М,2023-99с.(ВО)(О)</t>
  </si>
  <si>
    <t>ОСНОВЫ ИНЖЕНЕРНОГО ЭКСПЕРИМЕНТА, ИЗД.1</t>
  </si>
  <si>
    <t>Лукьянов С.И., Панов А.Н., Васильев А.Е.</t>
  </si>
  <si>
    <t>978-5-369-01301-4</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</si>
  <si>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сп</t>
  </si>
  <si>
    <t>046640.17.01</t>
  </si>
  <si>
    <t>Основы инженерной геологии: Уч. / Н.А.Платов - 4 изд. - М.:НИЦ ИНФРА-М,2019 - 187 с.-(СПО)(П)</t>
  </si>
  <si>
    <t>ОСНОВЫ ИНЖЕНЕРНОЙ ГЕОЛОГИИ, ИЗД.4</t>
  </si>
  <si>
    <t>Платов Н. А.</t>
  </si>
  <si>
    <t>978-5-16-004554-2</t>
  </si>
  <si>
    <t>08.01.30, 08.02.01, 08.02.02, 08.02.08, 08.02.12, 08.02.13, 21.02.09, 21.02.10</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</si>
  <si>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среднего профессионального образования, обучающихся по специальности «Строительство и эксплуатация зданий и сооружений»</t>
  </si>
  <si>
    <t>046640.25.01</t>
  </si>
  <si>
    <t>Основы инженерной геологии: Уч. / Н.А.Платов - 5 изд. - М.:НИЦ ИНФРА-М,2026 - 190 с.(СПО)(П)</t>
  </si>
  <si>
    <t>ОСНОВЫ ИНЖЕНЕРНОЙ ГЕОЛОГИИ, ИЗД.5</t>
  </si>
  <si>
    <t>Платов Н.А.</t>
  </si>
  <si>
    <t>978-5-16-016056-6</t>
  </si>
  <si>
    <t>152250.11.01</t>
  </si>
  <si>
    <t>Основы инновационного материаловедения: Моногр. / О.С.Сироткин - М.:НИЦ ИНФРА-М,2026 - 157 с.(о)</t>
  </si>
  <si>
    <t>ОСНОВЫ ИННОВАЦИОННОГО МАТЕРИАЛОВЕДЕНИЯ, ИЗД.1</t>
  </si>
  <si>
    <t>Сироткин О.С.</t>
  </si>
  <si>
    <t>978-5-16-009755-8</t>
  </si>
  <si>
    <t>04.03.02, 04.04.02, 18.05.01, 22.03.01, 22.04.01</t>
  </si>
  <si>
    <t>Казанский государственный энергетический университет</t>
  </si>
  <si>
    <t>699267.04.01</t>
  </si>
  <si>
    <t>Основы интегрированного риск-ориентиров..:Уч.пос. / В.Д.Андреев - М., НИЦ ИНФРА-М,2027 - 368 с.(П)</t>
  </si>
  <si>
    <t>ОСНОВЫ ИНТЕГРИРОВАННОГО РИСК-ОРИЕНТИРОВАННОГО ВНУТРЕННЕГО КОНТРОЛЯ И АУДИТА ХОЗЯЙСТВУЮЩИХ СУБЪЕКТОВ, ИЗД.1</t>
  </si>
  <si>
    <t>978-5-16-022484-8</t>
  </si>
  <si>
    <t>771587.02.01</t>
  </si>
  <si>
    <t>Основы информ. технолог.: Уч.пос. / Под ред. Гагариной Л.Г. - 2 изд. - М.:НИЦ ИНФРА-М,2026 - 346 с.(П)</t>
  </si>
  <si>
    <t>ОСНОВЫ ИНФОРМАЦИОННЫХ ТЕХНОЛОГИЙ, ИЗД.2</t>
  </si>
  <si>
    <t>Гагарина Л.Г., Слюсарь В.В., Слюсарь М.В.</t>
  </si>
  <si>
    <t>978-5-16-015784-9</t>
  </si>
  <si>
    <t>00.02.03, 09.02.01, 09.02.03, 09.02.04, 09.02.06, 09.02.07, 09.02.10</t>
  </si>
  <si>
    <t>Рекомендовано Научно-методическим советом федерального государственного автономного образовательного учреждения высшего профессионального образования «Национальный исследовательский университет "МИЭТ”» в качестве учебного пособия для студентов учреждений среднего профессионального образования, обучающихся по группе специальностей «Информатика и вычислительная техника»</t>
  </si>
  <si>
    <t>122950.09.01</t>
  </si>
  <si>
    <t>Основы информат.и матем.моделир.эколог.систем: Уч.пос./В.П.Мешалкин-2изд.-М.:НИЦ ИНФРА-М,2024-374с(ВО) (П)</t>
  </si>
  <si>
    <t>ОСНОВЫ ИНФОРМАТИЗАЦИИ И МАТЕМАТИЧЕСКОГО МОДЕЛИРОВАНИЯ ЭКОЛОГИЧЕСКИХ СИСТЕМ, ИЗД.2</t>
  </si>
  <si>
    <t>Бутусов О.Б., Мешалкин В.П.</t>
  </si>
  <si>
    <t>978-5-16-016994-1</t>
  </si>
  <si>
    <t>18.03.02, 18.04.02</t>
  </si>
  <si>
    <t>Допущено учебно-методическим объединением вузов Российской Федерации по образованию в области химической технологии и биотехнологии в качестве учебного пособия для бакалавриантов и магистрантов, обучающихся по направлению 18.03.02 «Энерго- и ресурсосберегающие процессы химической технологии, нефтехимии и биотехнологии»</t>
  </si>
  <si>
    <t>122950.10.01</t>
  </si>
  <si>
    <t>Основы информат.и матем.моделир.эколог.систем: Уч.пос./В.П.Мешалкин-М.:НИЦ ИНФРА-М,2020-357с(ВО) (О)</t>
  </si>
  <si>
    <t>ОСНОВЫ ИНФОРМАТИЗАЦИИ И МАТЕМАТИЧЕСКОГО МОДЕЛИРОВАНИЯ ЭКОЛОГИЧЕСКИХ СИСТЕМ, ИЗД.1</t>
  </si>
  <si>
    <t>Мешалкин В.П., Бутусов О.Б., Гнаук А.Г.</t>
  </si>
  <si>
    <t>978-5-16-009747-3</t>
  </si>
  <si>
    <t>Допущено учебно-методическим объединением вузов Российской Федерации по образованию в области химической технологии и биотехнологии в качестве учебного пособия для студентов, обучающихся по направлениям 18.03.02 и 18.04.02 «Энерго- и ресурсосберегающие процессы химической технологии, нефтехимии и биотехнологии»</t>
  </si>
  <si>
    <t>414750.05.01</t>
  </si>
  <si>
    <t>Основы информатики и защиты информации: Уч.пос. / Е.К.Баранова-М.:ИЦ РИОР, НИЦ ИНФРА-М,2024.-183 с.(ВО)(п)</t>
  </si>
  <si>
    <t>ОСНОВЫ ИНФОРМАТИКИ И ЗАЩИТЫ ИНФОРМАЦИИ, ИЗД.1</t>
  </si>
  <si>
    <t>Баранова Е. К.</t>
  </si>
  <si>
    <t>978-5-369-01169-0</t>
  </si>
  <si>
    <t>09.03.01, 09.04.01, 10.03.01, 10.04.01</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</si>
  <si>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специальности 080801 «Прикладная информатика» и другим экономическим спе</t>
  </si>
  <si>
    <t>050260.12.01</t>
  </si>
  <si>
    <t>Основы информатики: Уч.пос. / М.В.Жаров - 2 изд. - М.:Форум, НИЦ ИНФРА-М,2027. - 288 с.(СПО)(п)</t>
  </si>
  <si>
    <t>ОСНОВЫ ИНФОРМАТИКИ, ИЗД.2</t>
  </si>
  <si>
    <t>Жаров М. В., Палтиевич А. Р., Соколов А. В.</t>
  </si>
  <si>
    <t>978-5-91134-232-6</t>
  </si>
  <si>
    <t>682888.08.01</t>
  </si>
  <si>
    <t>Основы информац. безопасности предпр.: Уч.пос. / Н.В.Гришина, - 2 изд. - М.:НИЦ ИНФРА-М,2026. - 216 с.(П)</t>
  </si>
  <si>
    <t>ОСНОВЫ ИНФОРМАЦИОННОЙ БЕЗОПАСНОСТИ ПРЕДПРИЯТИЯ, ИЗД.2</t>
  </si>
  <si>
    <t>978-5-16-016719-0</t>
  </si>
  <si>
    <t>10.02.01, 10.02.02, 10.02.03, 10.02.04, 10.02.05, 11.02.07, 11.02.18, 21.02.19</t>
  </si>
  <si>
    <t>Рекомендовано Межрегиональным учебно-методическим советом профессионального образования в качестве учебного пособия для студентов учебных заведений, реализующих программу среднего профессионального образования по специальностям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t>
  </si>
  <si>
    <t>837621.01.01</t>
  </si>
  <si>
    <t>Основы информац. культуры и информац. безопас.: Уч.пос. / Н.С.Редькина - М.:НИЦ ИНФРА-М,2025. - 193 с.(СПО)(п)</t>
  </si>
  <si>
    <t>ОСНОВЫ ИНФОРМАЦИОННОЙ КУЛЬТУРЫ И ИНФОРМАЦИОННОЙ БЕЗОПАСНОСТИ, ИЗД.1</t>
  </si>
  <si>
    <t>Редькина Н.С.</t>
  </si>
  <si>
    <t>978-5-16-020142-9</t>
  </si>
  <si>
    <t>793940.01.01</t>
  </si>
  <si>
    <t>Основы информац. культуры и информац. безопас.: Уч.пос. / Н.С.Редькина-М.:НИЦ ИНФРА-М,2024.-193 с.(ВО)(п)</t>
  </si>
  <si>
    <t>978-5-16-018175-2</t>
  </si>
  <si>
    <t>51.03.03</t>
  </si>
  <si>
    <t>116800.17.01</t>
  </si>
  <si>
    <t>Основы информационной безопас. предприятия: Уч.пос. / Н.В.Гришина - М.:НИЦ ИНФРА-М,2027 - 216 с.(П)</t>
  </si>
  <si>
    <t>ОСНОВЫ ИНФОРМАЦИОННОЙ БЕЗОПАСНОСТИ ПРЕДПРИЯТИЯ, ИЗД.1</t>
  </si>
  <si>
    <t>978-5-16-015105-2</t>
  </si>
  <si>
    <t>690263.07.01</t>
  </si>
  <si>
    <t>Основы информационной безопасности: Уч. / Е.К.Баранова - М.:ИЦ РИОР, НИЦ ИНФРА-М,2026. - 202 с.(СПО)(П)</t>
  </si>
  <si>
    <t>ОСНОВЫ ИНФОРМАЦИОННОЙ БЕЗОПАСНОСТИ, ИЗД.1</t>
  </si>
  <si>
    <t>978-5-369-01806-4</t>
  </si>
  <si>
    <t>09.02.01, 09.02.02, 09.02.03, 09.02.04, 09.02.05, 09.02.06, 09.02.07, 10.02.01, 10.02.02, 10.02.03, 10.02.04, 10.02.05, 11.02.18</t>
  </si>
  <si>
    <t>747296.08.01</t>
  </si>
  <si>
    <t>Основы информационной безопасности: Уч.пос. / Ю.Н.Сычев - М.:НИЦ ИНФРА-М,2026  - 337 с.(СПО)(п)</t>
  </si>
  <si>
    <t>978-5-16-019432-5</t>
  </si>
  <si>
    <t>10.02.01, 10.02.02, 10.02.03, 10.02.04, 10.02.05, 11.02.18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</si>
  <si>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10.00.00 «Информационная безопасность» (протокол № 8 от 22.06.2020)</t>
  </si>
  <si>
    <t>684714.10.01</t>
  </si>
  <si>
    <t>Основы информационной безопасности: Уч.пос. / Ю.Н.Сычев - М.:НИЦ ИНФРА-М,2026. - 337 с.(ВО (РЭУ))(п)</t>
  </si>
  <si>
    <t>978-5-16-018225-4</t>
  </si>
  <si>
    <t>653331.07.01</t>
  </si>
  <si>
    <t>Основы кадастра недвижимости: Уч.пос. / С.В.Фокин - М.:НИЦ ИНФРА-М,2026 - 225 с.(ВО)(П)</t>
  </si>
  <si>
    <t>ОСНОВЫ КАДАСТРА НЕДВИЖИМОСТИ, ИЗД.1</t>
  </si>
  <si>
    <t>978-5-16-021836-6</t>
  </si>
  <si>
    <t>21.04.02, 35.03.01, 35.03.04</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</si>
  <si>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21.03.02 «Землеустройство и кадастры» (квалификация (степень) «бакалавр»)</t>
  </si>
  <si>
    <t>706524.03.01</t>
  </si>
  <si>
    <t>Основы кадастра недвижимости: Уч.пос. / С.В.Фокин - М.:НИЦ ИНФРА-М,2026. - 225 с.(СПО)(п)</t>
  </si>
  <si>
    <t>978-5-16-015102-1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</si>
  <si>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21.02.04 «Землеустройство», 21.02.05 «Земельно-имущественные отношения» (протокол № 98 от 17.11.2022)</t>
  </si>
  <si>
    <t>809878.01.01</t>
  </si>
  <si>
    <t>Основы качеств. теории динамич. сис...: Моногр. / С.П.Горбиков-М.:НИЦ ИНФРА-М,2024.-193 с.(о)</t>
  </si>
  <si>
    <t>ОСНОВЫ КАЧЕСТВЕННОЙ ТЕОРИИ ДИНАМИЧЕСКИХ СИСТЕМ С УДАРНЫМИ ВЗАИМОДЕЙСТВИЯМИ., ИЗД.1</t>
  </si>
  <si>
    <t>Горбиков С.П.</t>
  </si>
  <si>
    <t>978-5-16-019030-3</t>
  </si>
  <si>
    <t>15.03.03, 15.04.03, 15.06.01</t>
  </si>
  <si>
    <t>704498.10.01</t>
  </si>
  <si>
    <t>Основы квантовой механики и физики атома: Уч.пос. / Под ред. Якимова В.А. - М.:НИЦ ИНФРА-М,2026 - 108с.(О)</t>
  </si>
  <si>
    <t>ОСНОВЫ КВАНТОВОЙ МЕХАНИКИ И ФИЗИКИ АТОМА, ИЗД.1</t>
  </si>
  <si>
    <t>Мозолевская Т.В., Филиппенко Ю.В., Якимов В.А.</t>
  </si>
  <si>
    <t>978-5-16-015428-2</t>
  </si>
  <si>
    <t>26.05.01, 26.05.02, 26.05.03, 26.05.04, 26.05.05, 26.05.06, 26.05.07</t>
  </si>
  <si>
    <t>672564.06.01</t>
  </si>
  <si>
    <t>Основы кибернетики: Уч.пос. / А.А.Вороненко - М.:НИЦ ИНФРА-М,2025. - 189 с.(ВО)(п)</t>
  </si>
  <si>
    <t>ОСНОВЫ КИБЕРНЕТИКИ, ИЗД.1</t>
  </si>
  <si>
    <t>Вороненко А.А.</t>
  </si>
  <si>
    <t>978-5-16-020744-5</t>
  </si>
  <si>
    <t>01.03.01, 01.03.02, 01.03.03, 01.03.04, 09.03.03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</si>
  <si>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01.03.02 «Прикладная математика и информатика» и  02.03.02 «Фундаментальная информатика и информационные технологии</t>
  </si>
  <si>
    <t>412250.14.01</t>
  </si>
  <si>
    <t>Основы клинического диагноза при забол. внутр. орг.: Уч.пос. / В.А.Ахмедов - М:НИЦ ИНФРА-М,2026 - 173 с.(ВО) (п)</t>
  </si>
  <si>
    <t>ОСНОВЫ КЛИНИЧЕСКОГО ДИАГНОЗА ПРИ ЗАБОЛЕВАНИЯХ ВНУТРЕННИХ ОРГАНОВ, ИЗД.1</t>
  </si>
  <si>
    <t>Ахмедов В. А., Винжегина В. А., Галютин С. Г., Ахмедов В. А.</t>
  </si>
  <si>
    <t>978-5-16-006461-1</t>
  </si>
  <si>
    <t>Рекомендовано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специальности 06010I 65 - Лечебное дело</t>
  </si>
  <si>
    <t>694872.07.01</t>
  </si>
  <si>
    <t>Основы клинической ревматологии: Уч.пос. / Под ред. Лычева В.Г. - М.:НИЦ ИНФРА-М,2026 - 196 с.(П)</t>
  </si>
  <si>
    <t>ОСНОВЫ КЛИНИЧЕСКОЙ РЕВМАТОЛОГИИ, ИЗД.1</t>
  </si>
  <si>
    <t>978-5-16-016125-9</t>
  </si>
  <si>
    <t>31.05.01, 31.05.03</t>
  </si>
  <si>
    <t>168250.09.01</t>
  </si>
  <si>
    <t>Основы коммерции: Уч.пос. / Г.А.Яковлев - М.:НИЦ ИНФРА-М,2025 - 224 с.-(ВО: Бакалавриат) (П)</t>
  </si>
  <si>
    <t>ОСНОВЫ КОММЕРЦИИ, ИЗД.1</t>
  </si>
  <si>
    <t>978-5-16-014364-4</t>
  </si>
  <si>
    <t>Допущено Учебно-методическим объединением вузов России по образованию в области коммерции и маркетинга в качестве учебного пособия для студентов высших учебных заведений, обучающихся по специальностям «Коммерция (торговое дело)» и «Маркетинг»</t>
  </si>
  <si>
    <t>168250.06.01</t>
  </si>
  <si>
    <t>Основы коммерции: Уч.пос. / Г.А.Яковлев-М.:НИЦ ИНФРА-М,2019.-224 с..-(ВО: Бакалавриат)(О)</t>
  </si>
  <si>
    <t>978-5-16-010331-0</t>
  </si>
  <si>
    <t>Допущено Учебно-методическим объединением вузов России по образованию в области коммерции и маркетинга в качестве учебного пособия для студентов высших учебных заведений, обучающихся по специальностям «Коммерция (торговое дело)» и «Маркетинг»</t>
  </si>
  <si>
    <t>683008.02.01</t>
  </si>
  <si>
    <t>Основы коммерции: Уч.пос. / Г.А.Яковлев-М.:НИЦ ИНФРА-М,2023.-224 с..-(СПО)(П)</t>
  </si>
  <si>
    <t>978-5-16-013985-2</t>
  </si>
  <si>
    <t>38.02.01, 38.02.08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</si>
  <si>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10 от 27.05.2019)</t>
  </si>
  <si>
    <t>439150.12.01</t>
  </si>
  <si>
    <t>Основы коммуникологии (теория коммуникации): Уч. пос. / А.С.Чамкин. - М.: НИЦ ИНФРА-М, 2025 - 350с.(ВО)</t>
  </si>
  <si>
    <t>ОСНОВЫ КОММУНИКОЛОГИИ (ТЕОРИЯ КОММУНИКАЦИИ), ИЗД.1</t>
  </si>
  <si>
    <t>Чамкин А. С.</t>
  </si>
  <si>
    <t>978-5-16-020237-2</t>
  </si>
  <si>
    <t>37.03.01, 37.03.02, 37.04.02, 37.05.02, 38.03.01, 38.03.02, 38.03.03, 38.04.01, 38.04.02, 38.04.03, 41.03.04, 41.03.05, 41.03.06, 41.04.05, 42.03.01, 42.03.02, 42.03.04, 42.03.05, 42.04.01, 42.04.02, 45.03.02, 45.04.02</t>
  </si>
  <si>
    <t>Рекомендовано в качестве учебного пособия для студентов высших учебных заведений, обучающихся по направлениям подготовки 39.03.01 «Социология», 42.03.01 «Реклама и связи с общественностью», 38.03.02 «Менеджмент» (квалификация (степень) «бакалавр»)</t>
  </si>
  <si>
    <t>699902.07.01</t>
  </si>
  <si>
    <t>Основы композиции (в проектир. костюма): Уч. / Л.А.Сафина. - М.:НИЦ ИНФРА-М,2026. - 215 с.[цв].(ВО)(п)</t>
  </si>
  <si>
    <t>ОСНОВЫ КОМПОЗИЦИИ (В ПРОЕКТИРОВАНИИ КОСТЮМА), ИЗД.1</t>
  </si>
  <si>
    <t>Сафина Л.А., Тухбатуллина Л.М., Хамматова В.В. и др.</t>
  </si>
  <si>
    <t>978-5-16-022266-0</t>
  </si>
  <si>
    <t>Рекомендовано УМО вузов РФ по образованию в области дизайна, монументальных и декоративных искусств в качестве учебника для студентов образовательных учреждений высшего образования, обучающихся по направлениям «Дизайн» и «Искусство костюма и текстиля» профиля «Художественное проектирование костюма</t>
  </si>
  <si>
    <t>Казанский национальный исследовательский технологический университет, Нижнекамский ф-л</t>
  </si>
  <si>
    <t>824723.01.01</t>
  </si>
  <si>
    <t>Основы компьютера. Computer Grundlagen: Уч. / О.Н.Анюшенкова - М.:НИЦ ИНФРА-М,2025. - 364 с.(СПО (ФинУн))(п)</t>
  </si>
  <si>
    <t>ОСНОВЫ КОМПЬЮТЕРА. COMPUTER GRUNDLAGEN, ИЗД.1</t>
  </si>
  <si>
    <t>Анюшенкова О.Н.,</t>
  </si>
  <si>
    <t>978-5-16-020056-9</t>
  </si>
  <si>
    <t>00.01.02, 00.02.02, 09.02.01, 09.02.02, 09.02.03, 09.02.04, 09.02.05, 09.02.06, 09.02.07, 09.02.08, 09.02.09, 10.02.01, 10.02.02, 10.02.03, 10.02.04, 10.02.05</t>
  </si>
  <si>
    <t>862542.01.01</t>
  </si>
  <si>
    <t>Основы консервир. пищевых продуктов: Уч.пос. / А.И.Машанов - М.:НИЦ ИНФРА-М,2026. - 270 с.(СПО (КрГАУ))(п)</t>
  </si>
  <si>
    <t>ОСНОВЫ КОНСЕРВИРОВАНИЯ ПИЩЕВЫХ ПРОДУКТОВ, ИЗД.1</t>
  </si>
  <si>
    <t>Машанов А.И., Матюшев В.В., Величко Н.А. и др.</t>
  </si>
  <si>
    <t>978-5-16-021202-9</t>
  </si>
  <si>
    <t>18.02.15, 19.02.13, 20.02.01, 43.01.01, 43.01.04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</si>
  <si>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19.03.03 и 19.04.03 «Продукты питания животного происхождения»; 19.03.02 и 19.04.02 «Продукты питания из растительного сырья»</t>
  </si>
  <si>
    <t>806619.02.01</t>
  </si>
  <si>
    <t>Основы консервир. пищевых продуктов: Уч.пос. / А.И.Машанов - М.:НИЦ ИНФРА-М,2027. - 270 с.(ВО (КрГАУ))(п)</t>
  </si>
  <si>
    <t>978-5-16-019139-3</t>
  </si>
  <si>
    <t>19.03.02, 19.03.03, 19.04.02, 19.04.03, 35.03.07</t>
  </si>
  <si>
    <t>738593.03.01</t>
  </si>
  <si>
    <t>Основы конструир. исп. механизмов привод. сис...: Уч. / Самсонович С.Л. - М.:НИЦ ИНФРА-М,2026 - 391 с.(П)</t>
  </si>
  <si>
    <t>ОСНОВЫ КОНСТРУИРОВАНИЯ ИСПОЛНИТЕЛЬНЫХ МЕХАНИЗМОВ ПРИВОДНЫХ СИСТЕМ ЛЕТАТЕЛЬНЫХ АППАРАТОВ С МИНИМИЗАЦИЕЙ ГАБАРИТНЫХ РАЗМЕРОВ, ИЗД.1</t>
  </si>
  <si>
    <t>Самсонович С.Л., Подшибнев В.А., Самсонович С.Л.</t>
  </si>
  <si>
    <t>978-5-16-016512-7</t>
  </si>
  <si>
    <t>24.03.05, 24.05.03, 24.05.05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</si>
  <si>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24.05.05 «Интегрированные системы летательных аппаратов» (квалификация «инженер») (протокол № 1 от 12.01.2022)</t>
  </si>
  <si>
    <t>649083.09.01</t>
  </si>
  <si>
    <t>Основы конструир.интеллектуал.систем поддержки....: Уч. / А.А.Башлыков - М.:НИЦ ИНФРА-М,2025-375 с.(П)</t>
  </si>
  <si>
    <t>ОСНОВЫ КОНСТРУИРОВАНИЯ ИНТЕЛЛЕКТУАЛЬНЫХ СИСТЕМ ПОДДЕРЖКИ ПРИНЯТИЯ РЕШЕНИЙ В АТОМНОЙ ЭНЕРГЕТИКЕ, ИЗД.1</t>
  </si>
  <si>
    <t>Башлыков А.А., Еремеев А.П.</t>
  </si>
  <si>
    <t>978-5-16-018851-5</t>
  </si>
  <si>
    <t>01.03.02, 01.04.02, 09.03.01, 09.04.01, 14.05.02, 15.03.04</t>
  </si>
  <si>
    <t>Рекомендовано в качестве учебника для студентов высших учебных заведений, обучающихся по направлениям подготовки 01.03.02 «Прикладная математика и информатика», 09.03.01 «Информатика и вычислительная техника», 15.03.04 «Автоматизация технологических процессов и производств» (квалификация (степень) «бакалавр»); 14.05.02 «Атомные станции: проектирование, эксплуатация и инжиниринг» (квалификация «инженер-физик»)</t>
  </si>
  <si>
    <t>079440.13.01</t>
  </si>
  <si>
    <t>Основы конфликтологии: Уч. / Г.И.Козырев, - 2 изд. - М. НИЦ ИНФРА-М,2026. - 240 с.-(СПО)(П)</t>
  </si>
  <si>
    <t>ОСНОВЫ КОНФЛИКТОЛОГИИ, ИЗД.2</t>
  </si>
  <si>
    <t>Козырев Г. И.</t>
  </si>
  <si>
    <t>978-5-16-022197-7</t>
  </si>
  <si>
    <t>38.00.00, 44.00.00, 00.02.38, 32.02.01, 39.01.01, 39.02.01, 51.02.02</t>
  </si>
  <si>
    <t>632785.06.01</t>
  </si>
  <si>
    <t>Основы концепции устойчивого развития: Уч.пос. / С.А.Дятлов - М.:НИЦ ИНФРА-М,2024 - 185 с.(ВО)(О)</t>
  </si>
  <si>
    <t>ОСНОВЫ КОНЦЕПЦИИ УСТОЙЧИВОГО РАЗВИТИЯ, ИЗД.1</t>
  </si>
  <si>
    <t>Дятлов С.А.</t>
  </si>
  <si>
    <t>978-5-16-019079-2</t>
  </si>
  <si>
    <t>Рекомендовано в качестве учебного пособия для студентов высших учебных заведений, обучающихся по направлениям подготовки 38.03.01 «Экономика», 05.03.06 «Экология и природопользование» (квалификация (степень) «бакалавр»)</t>
  </si>
  <si>
    <t>676794.05.01</t>
  </si>
  <si>
    <t>Основы корпоративных финансов: Уч.пос. / А.Ю.Рыманов - М.:НИЦ ИНФРА-М,2026 - 150 с.(ВО)(О)</t>
  </si>
  <si>
    <t>ОСНОВЫ КОРПОРАТИВНЫХ ФИНАНСОВ, ИЗД.1</t>
  </si>
  <si>
    <t>978-5-16-013614-1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</si>
  <si>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38.04.02 «Менеджмент», 38.04.01 «Экономика», 38.04.08 «Финансы и кредит» (квалификация (степень) «магистр»)</t>
  </si>
  <si>
    <t>393500.10.01</t>
  </si>
  <si>
    <t>Основы криминальной психологии: Уч.пос. / В.В.Собольников - 2 изд. - М.:Вуз. уч., НИЦ ИНФРА-М,2026. - 366 с.(П)</t>
  </si>
  <si>
    <t>ОСНОВЫ КРИМИНАЛЬНОЙ ПСИХОЛОГИИ, ИЗД.2</t>
  </si>
  <si>
    <t>978-5-9558-0458-3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</si>
  <si>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40.03.00 «Юриспруденция» (квалификация (степень) «бакалавр») (протокол № 6 от 25.03.2019)</t>
  </si>
  <si>
    <t>473750.06.01</t>
  </si>
  <si>
    <t>Основы кросс-культурной коммуник. и менед.: Уч.пос. / Л.М.Гальчук - М.: Вуз. уч.: НИЦ ИНФРА-М, 2025 - 240с. (п)</t>
  </si>
  <si>
    <t>ОСНОВЫ КРОСС-КУЛЬТУРНОЙ КОММУНИКАЦИИ И МЕНЕДЖМЕНТА: ПРАКТИЧЕСКИЙ КУРС=ESSENTIALS OF CROSS-CULTURALCOMMUNICATION AND MANAGMENY: A PRACTICAL COURSE, ИЗД.1</t>
  </si>
  <si>
    <t>978-5-9558-0387-6</t>
  </si>
  <si>
    <t>05.04.05, 25.03.03, 38.03.02, 38.04.02, 41.03.01, 41.03.04, 41.03.05, 41.03.06, 41.04.01, 41.04.04, 41.04.05, 42.03.01, 42.03.02, 42.04.01, 42.04.02, 43.03.01, 43.03.02, 43.03.03, 43.04.01, 43.04.02, 43.04.03, 44.03.05, 45.03.02, 45.03.03, 45.03.04, 45.04.02, 45.04.03, 45.04.04, 51.03.01, 51.04.01</t>
  </si>
  <si>
    <t>723224.05.01</t>
  </si>
  <si>
    <t>Основы латинского языка с мед. терминологией: Уч.пос. / О.Г.Купцова - М.:НИЦ ИНФРА-М,2026 - 281 с.(СПО)(П)</t>
  </si>
  <si>
    <t>ОСНОВЫ ЛАТИНСКОГО ЯЗЫКА С МЕДИЦИНСКОЙ ТЕРМИНОЛОГИЕЙ, ИЗД.1</t>
  </si>
  <si>
    <t>Купцова О.Г.</t>
  </si>
  <si>
    <t>978-5-16-015823-5</t>
  </si>
  <si>
    <t>12.02.08, 31.02.01, 34.01.01, 42.02.12, 43.02.04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</si>
  <si>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31.02.00 «Клиническая медицина» (протокол № 9 от 28.09.2020)</t>
  </si>
  <si>
    <t>Марийский государственный университет</t>
  </si>
  <si>
    <t>188550.08.01</t>
  </si>
  <si>
    <t>Основы линейной алгебры и аналитической геометрии: Уч.пос. / В.Г.Шершнев  - М.:НИЦ ИНФРА-М,2026  - 168 с.(О)</t>
  </si>
  <si>
    <t>ОСНОВЫ ЛИНЕЙНОЙ АЛГЕБРЫ И АНАЛИТИЧЕСКОЙ ГЕОМЕТРИИ, ИЗД.1</t>
  </si>
  <si>
    <t>978-5-16-021113-8</t>
  </si>
  <si>
    <t>Рекомендовано в качестве учебного пособия для студентов высших учебных заведений. обучающихся по направлениям подготовки УГС 38.00.00 "Экономика и управление" (квалификация (степень) "бакалавр")</t>
  </si>
  <si>
    <t>240600.06.01</t>
  </si>
  <si>
    <t>Основы личной конкурентоспособности менеджера: Уч. пос. / С.Д.Резник - М.: ИНФРА-М, 2025 - 224 с. (ВО) (п)</t>
  </si>
  <si>
    <t>ОСНОВЫ ЛИЧНОЙ КОНКУРЕНТОСПОСОБНОСТИ МЕНЕДЖЕРА, ИЗД.2</t>
  </si>
  <si>
    <t>Резник С. Д., Сочилова А. А., Резник С. Д.</t>
  </si>
  <si>
    <t>978-5-16-009241-6</t>
  </si>
  <si>
    <t>Рекомендовано Учебно-методическим объединением вузов России по образованию в области менеджмента в качестве учебного пособия по направлению «Менеджмент»</t>
  </si>
  <si>
    <t>115300.09.01</t>
  </si>
  <si>
    <t>Основы личной конкурентоспособности: Уч. пос./ С.Д. Резник, А.А. Сочилова.-ИНФРА-М, 2022.-251с.(ВО) (п)</t>
  </si>
  <si>
    <t>ОСНОВЫ ЛИЧНОЙ КОНКУРЕНТОСПОСОБНОСТИ, ИЗД.3</t>
  </si>
  <si>
    <t>978-5-16-003702-8</t>
  </si>
  <si>
    <t>37.03.01, 37.04.01, 38.03.02, 39.03.03, 44.03.01, 45.03.02</t>
  </si>
  <si>
    <t>Рекомендовано УМО вузов России по образованию в области менеджмента в качестве учебного пособия по экономическим и управленческим специальностям</t>
  </si>
  <si>
    <t>006543.26.01</t>
  </si>
  <si>
    <t>Основы логики: Уч. / В.А.Бочаров - М., НИЦ ИНФРА-М,2027 - 334 с.(Клас.унив.уч.)(П)</t>
  </si>
  <si>
    <t>ОСНОВЫ ЛОГИКИ, ИЗД.1</t>
  </si>
  <si>
    <t>Бочаров В.А., Маркин В.И.</t>
  </si>
  <si>
    <t>978-5-16-022336-0</t>
  </si>
  <si>
    <t>03.04.03, 05.03.04, 40.03.01, 45.03.02, 46.03.02, 47.03.01, 47.03.02, 49.04.01, 49.04.02, 49.04.03, 50.03.01</t>
  </si>
  <si>
    <t>Рекомендован советом по философии, политологии и религиоведению УМО по классическому университетскому образованию в качестве учебника для студентов высших учебных заведений, обучающихся по гуманитарным и естественнонаучным специальностям</t>
  </si>
  <si>
    <t>095260.10.01</t>
  </si>
  <si>
    <t>Основы логистики: Уч. пос. / Б.И. Герасимов - 2 изд. - М.:Форум: НИЦ ИНФРА-М, 2025. - 304 с. (ПО)</t>
  </si>
  <si>
    <t>ОСНОВЫ ЛОГИСТИКИ, ИЗД.2</t>
  </si>
  <si>
    <t>Герасимов Б. И., Жариков В. В., Жариков В. Д.</t>
  </si>
  <si>
    <t>978-5-91134-909-7</t>
  </si>
  <si>
    <t>38.02.01, 38.02.03, 38.02.08</t>
  </si>
  <si>
    <t>142600.09.01</t>
  </si>
  <si>
    <t>Основы логического проектирования: Уч. пос. / В.Д. Колдаев. - М.: ИД ФОРУМ, 2025 - 448 с.(ВО) (п)</t>
  </si>
  <si>
    <t>ОСНОВЫ ЛОГИЧЕСКОГО ПРОЕКТИРОВАНИЯ, ИЗД.1</t>
  </si>
  <si>
    <t>Колдаев В. Д.</t>
  </si>
  <si>
    <t>978-5-8199-0458-9</t>
  </si>
  <si>
    <t>Рекомендовано Научно-метод. советом Мос. госуд. инстит. электрон. техники (Технич. универ.) в кач. учеб. пос. для студ.,обуч. по группе спец. "Прогр. обеспеч. ВТ и автоматиз. систем", "Вычисл. машины, комплексы, сист. и сети","Сист. автом. проект."</t>
  </si>
  <si>
    <t>856717.01.01</t>
  </si>
  <si>
    <t>Основы маркетинга персонала в образовании: Уч.пос. / Н.А.Патутина - М.:НИЦ ИНФРА-М,2026. - 173 с.(ВО)(п)</t>
  </si>
  <si>
    <t>ОСНОВЫ МАРКЕТИНГА ПЕРСОНАЛА В ОБРАЗОВАНИИ, ИЗД.1</t>
  </si>
  <si>
    <t>Патутина Н.А.</t>
  </si>
  <si>
    <t>978-5-16-020993-7</t>
  </si>
  <si>
    <t>690966.03.01</t>
  </si>
  <si>
    <t>Основы маркетинга сферы услуг: Уч.пос. / М.А.Новикова - М.:НИЦ ИНФРА-М,2026 - 192 с.(СПО)(П)</t>
  </si>
  <si>
    <t>ОСНОВЫ МАРКЕТИНГА СФЕРЫ УСЛУГ, ИЗД.1</t>
  </si>
  <si>
    <t>Новикова М.А.</t>
  </si>
  <si>
    <t>978-5-16-014501-3</t>
  </si>
  <si>
    <t>43.02.02, 43.02.16, 43.02.17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</si>
  <si>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43.02.13 «Технологии парикмахерского искусства» (протокол № 4 от 21.04.2021)</t>
  </si>
  <si>
    <t>239400.07.01</t>
  </si>
  <si>
    <t>Основы маркетинга: Уч. / Ю.Н.Егоров - 2 изд. - М.:НИЦ ИНФРА-М,2024 - 292 с.-(ВО)(п)</t>
  </si>
  <si>
    <t>ОСНОВЫ МАРКЕТИНГА, ИЗД.2</t>
  </si>
  <si>
    <t>978-5-16-019439-4</t>
  </si>
  <si>
    <t>38.03.01, 38.03.02, 38.03.06, 38.04.01, 38.04.02, 38.04.06, 41.03.06, 44.03.01, 44.03.05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</si>
  <si>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38.03.02 (080200.62) «Менеджмент» (квалификация (степень) "бакалавр»)</t>
  </si>
  <si>
    <t>703066.07.01</t>
  </si>
  <si>
    <t>Основы маркетинга: Уч. / Ю.Н.Егоров - 2 изд. - М.:НИЦ ИНФРА-М,2026 - 292 с.(СПО)(п)</t>
  </si>
  <si>
    <t>978-5-16-014862-5</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</si>
  <si>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38.02.00 «Экономика и управление»</t>
  </si>
  <si>
    <t>465500.03.01</t>
  </si>
  <si>
    <t>Основы мастерства публич. выступлений...: Практ. рек. / Г.С.Обухова -М:Форум,НИЦ ИНФРА-М,2019-72с(о)</t>
  </si>
  <si>
    <t>ОСНОВЫ МАСТЕРСТВА ПУБЛИЧНЫХ ВЫСТУПЛЕНИЙ, ИЛИ КАК НАУЧИТЬСЯ ВЛАДЕТЬ ЛЮБОЙ АУДИТОРИЕЙ, ИЗД.1</t>
  </si>
  <si>
    <t>Обухова Г.С., Климова Г.Л.</t>
  </si>
  <si>
    <t>978-5-00091-633-9</t>
  </si>
  <si>
    <t>38.03.01, 38.03.02, 38.03.03, 38.03.04, 38.03.05, 38.03.06, 38.03.07, 38.04.01, 38.04.02, 38.04.03, 38.04.04, 38.04.05, 38.04.06, 41.03.06, 42.03.01, 42.03.02, 42.04.01, 45.03.01, 45.04.01, 51.03.06</t>
  </si>
  <si>
    <t>465500.11.01</t>
  </si>
  <si>
    <t>Основы мастерства публичного общения...: Уч.пос. / Г.С.Обухова - 2 изд. - М.:НИЦ ИНФРА-М,2027 - 99 с.(ВО)(О)</t>
  </si>
  <si>
    <t>ОСНОВЫ МАСТЕРСТВА ПУБЛИЧНОГО ОБЩЕНИЯ: ПРАКТИЧЕСКИЕ РЕКОМЕНДАЦИИ, ИЗД.2</t>
  </si>
  <si>
    <t>978-5-16-019961-0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</si>
  <si>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2 от 17.02.2021)</t>
  </si>
  <si>
    <t>845614.06.01</t>
  </si>
  <si>
    <t>Основы мастерства публичного общения: Науч.-поп. изд. / Г.С.Обухова - М.:НИЦ ИНФРА-М,2026. - 99 с.(о)</t>
  </si>
  <si>
    <t>ОСНОВЫ МАСТЕРСТВА ПУБЛИЧНОГО ОБЩЕНИЯ, ИЗД.1</t>
  </si>
  <si>
    <t>978-5-16-020480-2</t>
  </si>
  <si>
    <t>38.03.05, 41.03.06, 42.03.01, 44.03.01, 51.03.06</t>
  </si>
  <si>
    <t>205400.06.01</t>
  </si>
  <si>
    <t>Основы математической статистики: Уч. / Г.А.Соколов, - 2 изд. - М.:НИЦ ИНФРА-М,2027. - 368 с.-(ВО)(П)</t>
  </si>
  <si>
    <t>ОСНОВЫ МАТЕМАТИЧЕСКОЙ СТАТИСТИКИ, ИЗД.2</t>
  </si>
  <si>
    <t>Соколов Г. А.</t>
  </si>
  <si>
    <t>978-5-16-006729-2</t>
  </si>
  <si>
    <t>Рекомендовано учебно-методическим объединением по образованию в области статистики и математических методов в экономике в качестве учебника для студентов высших учебных заведений, обучающихся по направлению «Экономика»</t>
  </si>
  <si>
    <t>653013.12.01</t>
  </si>
  <si>
    <t>Основы материаловедения: Уч. для СПО / А.А.Черепахин - М.:КУРС, НИЦ ИНФРА-М,2026 - 240 с.(П)</t>
  </si>
  <si>
    <t>ОСНОВЫ МАТЕРИАЛОВЕДЕНИЯ, ИЗД.1</t>
  </si>
  <si>
    <t>978-5-906923-12-7</t>
  </si>
  <si>
    <t>15.01.04, 15.01.08, 15.01.13, 15.01.24, 15.01.25, 15.01.26, 15.01.27, 15.01.28, 15.01.30, 15.01.35, 15.01.37, 15.01.38, 15.02.04, 23.01.17</t>
  </si>
  <si>
    <t>113100.10.01</t>
  </si>
  <si>
    <t>Основы международной статистики: Уч. / Под общ. ред. Ю.Н.Иванова. - М.:НИЦ Инфра-М,2025 - 621с.(ВО) (п)</t>
  </si>
  <si>
    <t>ОСНОВЫ МЕЖДУНАРОДНОЙ СТАТИСТИКИ, ИЗД.1</t>
  </si>
  <si>
    <t>Иванов Ю. Н.</t>
  </si>
  <si>
    <t>978-5-16-003641-0</t>
  </si>
  <si>
    <t>Рекомендовано УМО по классическому университетскому образованию в качестве учебника по дисциплине регионального (вузовского) компонента «Статистика» для студентов высших учебных заведений, обучающихся по направлению 080100 «Экономика»</t>
  </si>
  <si>
    <t>361100.09.01</t>
  </si>
  <si>
    <t>Основы менеджмента: Уч. / А.П.Егоршин, - 3 изд.-М.:НИЦ ИНФРА-М,2024.-350 с.(ВО)(п)</t>
  </si>
  <si>
    <t>ОСНОВЫ МЕНЕДЖМЕНТА, ИЗД.3</t>
  </si>
  <si>
    <t>Егоршин А.П.</t>
  </si>
  <si>
    <t>978-5-16-019171-3</t>
  </si>
  <si>
    <t>Рекомендовано Советом Учебно-методического объединения вузов России по образованию в области менеджмента в качестве учебника по направлениям 38.03.02 «Менеджмент» и 38.03.03 «Управление персоналом»</t>
  </si>
  <si>
    <t>086670.13.01</t>
  </si>
  <si>
    <t>Основы менеджмента: Уч.пос. / А.П. Балашов. - 2 изд. - М.: Вуз. уч.: ИНФРА-М,2024 - 288с. (п)</t>
  </si>
  <si>
    <t>ОСНОВЫ МЕНЕДЖМЕНТА, ИЗД.2</t>
  </si>
  <si>
    <t>Балашов А. П.</t>
  </si>
  <si>
    <t>978-5-9558-0267-1</t>
  </si>
  <si>
    <t>38.02.01, 38.03.01, 38.03.02, 38.03.06, 38.03.07, 38.03.10</t>
  </si>
  <si>
    <t>Рекомендовано Учебно-методическим объединением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"Экономика и управление на предприятии»</t>
  </si>
  <si>
    <t>094540.12.01</t>
  </si>
  <si>
    <t>Основы менеджмента: Уч.пос. / В.И.Королев - М.:Магистр, НИЦ ИНФРА-М,2026 - 624 с.(Бакалавр.)(П)</t>
  </si>
  <si>
    <t>ОСНОВЫ МЕНЕДЖМЕНТА, ИЗД.1</t>
  </si>
  <si>
    <t>Королев В.И.</t>
  </si>
  <si>
    <t>978-5-9776-0040-8</t>
  </si>
  <si>
    <t>38.00.00, 38.03.02, 44.03.05, 46.02.01</t>
  </si>
  <si>
    <t>Допущено Советом Учебно-методического объединения вузов России по образованию в области менеджмента в качестве учебного пособия для студентов, проходящих обучение по направлению "Менеджмент"</t>
  </si>
  <si>
    <t>815345.03.01</t>
  </si>
  <si>
    <t>Основы менеджмента: Уч.пос. / Я.Ю.Радюкова и др. - М.:НИЦ ИНФРА-М,2027. - 297 с.(СПО)(п)</t>
  </si>
  <si>
    <t>Радюкова Я.Ю., Беспалов М.В., Абдукаримов В.И. и др.</t>
  </si>
  <si>
    <t>978-5-16-019219-2</t>
  </si>
  <si>
    <t>11.02.12, 12.02.03, 29.02.05, 35.02.12, 38.02.01, 38.02.02, 38.02.03, 38.02.06, 38.02.07, 38.02.08, 39.02.02</t>
  </si>
  <si>
    <t>646265.06.01</t>
  </si>
  <si>
    <t>Основы менеджмента: Уч.пос. / Я.Ю.Радюкова. - М.:НИЦ ИНФРА-М,2026. - 297 с.(ВО)(п)</t>
  </si>
  <si>
    <t>978-5-16-018795-2</t>
  </si>
  <si>
    <t>00.03.13, 00.05.13, 10.03.01, 10.04.01, 15.03.01, 15.04.01, 20.03.01, 38.03.01, 38.03.02, 38.04.01, 38.04.02, 42.03.01, 43.03.01, 43.04.01</t>
  </si>
  <si>
    <t>Рекомендовано в качестве учебного пособия для студентов высших учебных заведений, обучающихся по направлениям подготовки 38.03.02 «Менеджмент», 38.03.01 «Экономика» (квалификация (степень) «бакалавр»)</t>
  </si>
  <si>
    <t>838037.02.01</t>
  </si>
  <si>
    <t>Основы местного самоуправления в РФ: Уч. / Е.С.Шугрина. - М.:Юр. НОРМА, НИЦ ИНФРА-М,2026. - 456 с.(п)</t>
  </si>
  <si>
    <t>ОСНОВЫ МЕСТНОГО САМОУПРАВЛЕНИЯ В РОССИЙСКОЙ ФЕДЕРАЦИИ, ИЗД.1</t>
  </si>
  <si>
    <t>Шугрина Е.С., Тепляков Д.О., Теплякова О.А. и др.</t>
  </si>
  <si>
    <t>978-5-00156-387-7</t>
  </si>
  <si>
    <t>38.03.04, 38.04.04, 40.03.01, 40.04.01, 46.03.02</t>
  </si>
  <si>
    <t>480300.15.01</t>
  </si>
  <si>
    <t>Основы металловедения и сварки: Уч.пос. / М.Д.Мосесов, - 2 изд. - М.:НИЦ ИНФРА-М,2027. - 158 с.(ВО)(п)</t>
  </si>
  <si>
    <t>ОСНОВЫ МЕТАЛЛОВЕДЕНИЯ И СВАРКИ, ИЗД.2</t>
  </si>
  <si>
    <t>Мосесов М.Д.</t>
  </si>
  <si>
    <t>978-5-16-018565-1</t>
  </si>
  <si>
    <t>08.03.01, 08.04.01, 08.05.01, 15.03.01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</si>
  <si>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 (протокол № 2 от 17.02.2021)</t>
  </si>
  <si>
    <t>480300.06.01</t>
  </si>
  <si>
    <t>Основы металловедения и сварки: Уч.пос. / М.Д.Мосесов-М.:Форум, НИЦ ИНФРА-М,2020-128с(ВО(О)</t>
  </si>
  <si>
    <t>ОСНОВЫ МЕТАЛЛОВЕДЕНИЯ И СВАРКИ, ИЗД.1</t>
  </si>
  <si>
    <t>978-5-00091-624-7</t>
  </si>
  <si>
    <t>Рекомендовано в качестве учебного пособия для студентов высших учебных заведений, обучающихся по специальностям 08.06.01 «Техника и технология строительства», 08.04.01 «Строительство» и 05.23.01 «Строительные конструкции, здания и сооружения»</t>
  </si>
  <si>
    <t>420100.09.01</t>
  </si>
  <si>
    <t>Основы металловедения: Уч. / Ю.М.Лахтин - М.:НИЦ ИНФРА-М,2024 - 272 с.(СПО)(П)</t>
  </si>
  <si>
    <t>ОСНОВЫ МЕТАЛЛОВЕДЕНИЯ, ИЗД.1</t>
  </si>
  <si>
    <t>Лахтин Ю. М.</t>
  </si>
  <si>
    <t>978-5-16-004714-0</t>
  </si>
  <si>
    <t>15.01.36, 15.02.16, 15.02.19, 22.02.08, 26.02.04, 55.02.01</t>
  </si>
  <si>
    <t>Рекомендуется в качестве учебника для студентов средних профессиональных учебных заведений, обучающихся по металлургическим и машиностроительным специальностям</t>
  </si>
  <si>
    <t>101400.11.01</t>
  </si>
  <si>
    <t>Основы методики социологич. исслед.: Уч. пос. / Е.П. Тавокин. - М.:ИНФРА-М, 2024. - 239 с. (п)</t>
  </si>
  <si>
    <t>ОСНОВЫ МЕТОДИКИ СОЦИОЛОГИЧЕСКОГО ИССЛЕДОВАНИЯ, ИЗД.1</t>
  </si>
  <si>
    <t>Тавокин Е. П.</t>
  </si>
  <si>
    <t>978-5-16-003473-7</t>
  </si>
  <si>
    <t>Рекомендовано Учебно-методическим объединением по классическому университетскому образованию РФ в качестве учебного пособия для студентов высших учебных заведений, обучающихся по специальности  "Социология"</t>
  </si>
  <si>
    <t>272500.05.01</t>
  </si>
  <si>
    <t>Основы метрологии, сертификации и стандарт.: Уч.пос./Д.Д.Грибанов-М.:НИЦ ИНФРА-М,2019-127с-(ВО)(О)</t>
  </si>
  <si>
    <t>ОСНОВЫ МЕТРОЛОГИИ, СЕРТИФИКАЦИИ И СТАНДАРТИЗАЦИИ, ИЗД.1</t>
  </si>
  <si>
    <t>Грибанов Д.Д.</t>
  </si>
  <si>
    <t>978-5-16-009677-3</t>
  </si>
  <si>
    <t>09.02.06, 27.03.01</t>
  </si>
  <si>
    <t>Рекомендовано в качестве учебного пособия для студентов высших учебных заведений, обучающихся по направлению подготовки 27.03.01 «Стандартизация и метрология» (квалификация (степень) «бакалавр»)</t>
  </si>
  <si>
    <t>272500.09.01</t>
  </si>
  <si>
    <t>Основы метрологии, стандартизации и...: Уч.пос. / Д.Д.Грибанов, - 2 изд. - М.:НИЦ ИНФРА-М,2027. - 140 с.(ВО)(п)</t>
  </si>
  <si>
    <t>ОСНОВЫ МЕТРОЛОГИИ, СТАНДАРТИЗАЦИИ И СЕРТИФИКАЦИИ, ИЗД.2</t>
  </si>
  <si>
    <t>978-5-16-017829-5</t>
  </si>
  <si>
    <t>186250.12.01</t>
  </si>
  <si>
    <t>Основы механики: Уч.пос. / С.Ф.Яцун и др. - 2 изд. - М.:НИЦ ИНФРА-М,2027 - 248 с.(ВО: Бакалавр.)(П)</t>
  </si>
  <si>
    <t>ОСНОВЫ МЕХАНИКИ, ИЗД.2</t>
  </si>
  <si>
    <t>Яцун С.Ф., Локтионова О.Г., Мищенко В.Я. и др.</t>
  </si>
  <si>
    <t>978-5-16-012872-6</t>
  </si>
  <si>
    <t>15.03.06, 15.04.06, 22.03.01, 22.04.01, 22.04.02</t>
  </si>
  <si>
    <t>Допущено Учебным объединением высших учебных заведений РФ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22.03.01 «Материаловедение и технологии материалов»</t>
  </si>
  <si>
    <t>478450.07.01</t>
  </si>
  <si>
    <t>Основы микробиологии и эколог. биотехн.: Уч.пос. / Б.С.Ксенофонтов - М.:ИД ФОРУМ,НИЦ ИНФРА-М,2025-221с.(ВО)(П)</t>
  </si>
  <si>
    <t>ОСНОВЫ МИКРОБИОЛОГИИ И ЭКОЛОГИЧЕСКОЙ БИОТЕХНОЛОГИИ, ИЗД.1</t>
  </si>
  <si>
    <t>978-5-8199-0615-6</t>
  </si>
  <si>
    <t>05.03.06, 19.03.01, 20.03.01</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</si>
  <si>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«Техносферная безопасность» (квалификация (степень) «бакалавр»)</t>
  </si>
  <si>
    <t>844804.01.01</t>
  </si>
  <si>
    <t>Основы микробиологии, иммунологии, инфектологии...: Уч. / В.А.Земскова - М.:НИЦ ИНФРА-М,2026. - 298 с.(СПО)(п)</t>
  </si>
  <si>
    <t>ОСНОВЫ МИКРОБИОЛОГИИ, ИММУНОЛОГИИ, ИНФЕКТОЛОГИИ ДЛЯ МЕДИЦИНСКОЙ СЕСТРЫ, ИЗД.1</t>
  </si>
  <si>
    <t>Земсков А.М., Земскова В.А., Самодурова Н.Ю. и др.</t>
  </si>
  <si>
    <t>978-5-16-020769-8</t>
  </si>
  <si>
    <t>31.02.01, 31.02.02, 31.02.06, 32.02.01, 33.02.01, 34.02.01, 42.02.12, 43.02.04</t>
  </si>
  <si>
    <t>720388.05.01</t>
  </si>
  <si>
    <t>Основы микробиологии: Уч. / К.А.Мудрецова-Висс - 5 изд. - М, НИЦ ИНФРА-М,2026 - 384 с.(СПО)(П)</t>
  </si>
  <si>
    <t>ОСНОВЫ МИКРОБИОЛОГИИ, ИЗД.5</t>
  </si>
  <si>
    <t>Мудрецова-Висс К.А., Дедюхина В.П., Масленникова Е.В.</t>
  </si>
  <si>
    <t>978-5-16-021845-8</t>
  </si>
  <si>
    <t>18.01.01, 18.01.34, 19.01.18, 19.01.19, 19.02.10, 19.02.11, 19.02.12, 19.02.13, 19.02.15, 20.02.01, 31.02.01, 31.02.02, 31.02.05, 31.02.06, 32.02.01, 33.02.01, 34.02.01, 35.01.16, 35.01.23, 35.01.24, 35.01.27, 35.02.05, 35.02.09, 35.02.10, 36.01.05, 36.02.01, 36.02.03, 43.01.04, 43.01.09, 35.01.34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</si>
  <si>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38.02.05 «Товароведение и экспертиза качества потребительских товаров», 43.02.15 «Поварское и кондитерское дело» (протокол № 12 от 24.06.2019)</t>
  </si>
  <si>
    <t>089600.13.01</t>
  </si>
  <si>
    <t>Основы микробиологии: Уч. / К.А.Мудрецова-Висс - 5 изд. - М.:ИД Форум, НИЦ ИНФРА-М,2026. - 384 с.(ВО)(п)</t>
  </si>
  <si>
    <t>978-5-8199-0909-6</t>
  </si>
  <si>
    <t>38.03.06, 38.04.06, 38.04.07, 44.03.05</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</si>
  <si>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«Товароведение и экспертиза товаров»</t>
  </si>
  <si>
    <t>349500.07.01</t>
  </si>
  <si>
    <t>Основы моделирования в САПР NX: Уч.пос. / А.О.Бутко - 2 изд. - М.:НИЦ ИНФРА-М,2027. - 199 с.(ВО)(П)</t>
  </si>
  <si>
    <t>ОСНОВЫ МОДЕЛИРОВАНИЯ В САПР NX, ИЗД.2</t>
  </si>
  <si>
    <t>Бутко А.О., Прудников В.А., Цырков Г.А.</t>
  </si>
  <si>
    <t>978-5-16-010847-6</t>
  </si>
  <si>
    <t>09.03.01, 15.03.03, 16.03.03, 24.03.01</t>
  </si>
  <si>
    <t>Рекомендовано в качестве учебного пособия для студентов высших учебных заведений, обучающихся по направлению подготовки 09.03.01 «Информатика и вычислительная техника»</t>
  </si>
  <si>
    <t>781905.01.01</t>
  </si>
  <si>
    <t>Основы надежности машин: Уч.пос. / С.Ю.Журавлев-М.:НИЦ ИНФРА-М,2023.-251 с.(ВО: Бакалавр. (КрГАУ))(п)</t>
  </si>
  <si>
    <t>ОСНОВЫ НАДЕЖНОСТИ МАШИН, ИЗД.1</t>
  </si>
  <si>
    <t>Журавлев С.Ю.</t>
  </si>
  <si>
    <t>978-5-16-018236-0</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</si>
  <si>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по направлению подготовки 35.03.06 «Агроинженерия»</t>
  </si>
  <si>
    <t>879821.01.01</t>
  </si>
  <si>
    <t>Основы налогового дела: Моногр. / А.В.Аронов - М.:НИЦ ИНФРА-М,2026. - 216 с.(п)</t>
  </si>
  <si>
    <t>ОСНОВЫ НАЛОГОВОГО ДЕЛА, ИЗД.1</t>
  </si>
  <si>
    <t>Аронов А.В.</t>
  </si>
  <si>
    <t>978-5-16-022133-5</t>
  </si>
  <si>
    <t>38.03.01, 38.04.01, 38.04.02, 38.04.06, 38.04.08, 38.05.01, 38.05.02, 38.06.01</t>
  </si>
  <si>
    <t>773006.01.01</t>
  </si>
  <si>
    <t>Основы научных исслед.  (экономика, менеджмент): Уч. / Е.В.Гавриченко - М.:НИЦ ИНФРА-М,2026. - 590 с.(ВО)(п)</t>
  </si>
  <si>
    <t>ОСНОВЫ НАУЧНЫХ ИССЛЕДОВАНИЙ  (ЭКОНОМИКА, МЕНЕДЖМЕНТ), ИЗД.1</t>
  </si>
  <si>
    <t>Денисенко В.И., Кисляков А.Н., Ловкова Е.С. и др.</t>
  </si>
  <si>
    <t>978-5-16-020661-5</t>
  </si>
  <si>
    <t>38.03.01, 38.03.02, 38.03.03, 38.03.04, 38.04.01, 38.04.02, 38.04.03, 38.04.04, 38.04.05, 38.04.06, 38.04.07, 38.04.08, 38.04.09, 38.05.01, 38.05.02, 38.06.01, 38.07.02</t>
  </si>
  <si>
    <t>226600.06.01</t>
  </si>
  <si>
    <t>Основы научных исслед. (Общ.курс): Уч.пос. / В.В.Космин - 3 изд.-М.:ИЦ РИОР,НИЦ ИНФРА-М,2017-227с(О)</t>
  </si>
  <si>
    <t>ОСНОВЫ НАУЧНЫХ ИССЛЕДОВАНИЙ (ОБЩИЙ КУРС), ИЗД.3</t>
  </si>
  <si>
    <t>Космин В. В.</t>
  </si>
  <si>
    <t>978-5-369-01464-6</t>
  </si>
  <si>
    <t>226600.16.01</t>
  </si>
  <si>
    <t>Основы научных исслед. (Общий курс): Уч.пос. / В.В.Космин - 5 изд. - М.:ИЦ РИОР, НИЦ ИНФРА-М,2026 - 298 с.(П)</t>
  </si>
  <si>
    <t>ОСНОВЫ НАУЧНЫХ ИССЛЕДОВАНИЙ (ОБЩИЙ КУРС), ИЗД.5</t>
  </si>
  <si>
    <t>Космин В.В., Космин А.В.</t>
  </si>
  <si>
    <t>978-5-369-01901-6</t>
  </si>
  <si>
    <t>813206.01.01</t>
  </si>
  <si>
    <t>Основы научных исслед. в агрономии: Прак.: Уч.пос. / А.А.Белоусов-М.:НИЦ ИНФРА-М,2024.-180 с.(ВО)(п)</t>
  </si>
  <si>
    <t>ОСНОВЫ НАУЧНЫХ ИССЛЕДОВАНИЙ В АГРОНОМИИ: ПРАКТИКУМ, ИЗД.1</t>
  </si>
  <si>
    <t>Белоусов А.А., Белоусова Е.Н.</t>
  </si>
  <si>
    <t>978-5-16-019483-7</t>
  </si>
  <si>
    <t>Рекомендовано Научно-методическим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35.03.04 «Агрономия»</t>
  </si>
  <si>
    <t>226600.11.01</t>
  </si>
  <si>
    <t>Основы научных исследований (Общий курс): Уч.пос. / В.В.Космин-4 изд.-М.:ИЦ РИОР,НИЦ ИНФРА-М,2021-238с(П)</t>
  </si>
  <si>
    <t>ОСНОВЫ НАУЧНЫХ ИССЛЕДОВАНИЙ (ОБЩИЙ КУРС), ИЗД.4</t>
  </si>
  <si>
    <t>Космин В.В.</t>
  </si>
  <si>
    <t>978-5-369-01753-1</t>
  </si>
  <si>
    <t>438450.08.01</t>
  </si>
  <si>
    <t>Основы научных исследований в горном деле: Уч. пос. / В.И.Голик - М.:НИЦ ИНФРА-М,2025. - 119 с.(ВО: Магистр.)(О)</t>
  </si>
  <si>
    <t>ОСНОВЫ НАУЧНЫХ ИССЛЕДОВАНИЙ В ГОРНОМ ДЕЛЕ, ИЗД.1</t>
  </si>
  <si>
    <t>Голик В. И.</t>
  </si>
  <si>
    <t>978-5-16-006747-6</t>
  </si>
  <si>
    <t>00.03.16, 00.04.16, 21.05.04</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</si>
  <si>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специальности «Горное дело» направления подготовки «Горное дело»</t>
  </si>
  <si>
    <t>Северо-Кавказский горно-металлургический институт (государственный технологический университет)</t>
  </si>
  <si>
    <t>743891.07.01</t>
  </si>
  <si>
    <t>Основы научных исследований: Уч. / Л.Е.Басовский - М.:НИЦ ИНФРА-М,2026 - 257 с.(ВО)(п)</t>
  </si>
  <si>
    <t>ОСНОВЫ НАУЧНЫХ ИССЛЕДОВАНИЙ, ИЗД.1</t>
  </si>
  <si>
    <t>978-5-16-019525-4</t>
  </si>
  <si>
    <t>00.03.13, 38.03.01, 38.03.02, 38.03.03, 38.03.04, 38.03.05, 38.03.06, 38.03.07, 38.04.01, 38.04.02, 38.04.03, 38.04.04, 38.04.05, 38.04.06, 38.04.07, 38.04.08, 38.04.09, 38.05.01, 38.05.02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</si>
  <si>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направлений подготовки 38.00.00 «Экономика и управление» (квалификация (степень) «бакалавр») (протокол № 8 от 20.10.2021)</t>
  </si>
  <si>
    <t>848616.01.01</t>
  </si>
  <si>
    <t>Основы научных исследований: Уч. пос. / К.Э.Борблик - М.:НИЦ ИНФРА-М,2025. - 148 с.(ВО (МариупГУ))(п)</t>
  </si>
  <si>
    <t>978-5-16-020863-3</t>
  </si>
  <si>
    <t>116600.16.01</t>
  </si>
  <si>
    <t>Основы научных исследований: Уч.пос. / Б.И.Герасимов - 2 изд. - М.:Форум, НИЦ ИНФРА-М,2026. - 271 с.(ВО)(П)</t>
  </si>
  <si>
    <t>ОСНОВЫ НАУЧНЫХ ИССЛЕДОВАНИЙ, ИЗД.2</t>
  </si>
  <si>
    <t>Герасимов Б.И., Дробышева В.В., Злобина Н.В. и др.</t>
  </si>
  <si>
    <t>978-5-00091-444-1</t>
  </si>
  <si>
    <t>00.03.16, 00.05.16, 38.03.02, 38.04.02</t>
  </si>
  <si>
    <t>795715.02.01</t>
  </si>
  <si>
    <t>Основы научных исследований: Уч.пос.-М.:НИЦ ИНФРА-М,2023.-167 с.(ВО: Бакалавриат (СФУ))(п)</t>
  </si>
  <si>
    <t>Сафронова Т.Н., Тимофеева А.М., Камоза Т.Л.</t>
  </si>
  <si>
    <t>978-5-16-018082-3</t>
  </si>
  <si>
    <t>43.03.03, 43.04.03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</si>
  <si>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 (протокол № 6 от 08.06.2022)</t>
  </si>
  <si>
    <t>364600.06.01</t>
  </si>
  <si>
    <t>Основы нац. безопасности: Уч.пос. / А.И.Овчинников - 3 изд.-М.:ИЦ РИОР, НИЦ ИНФРА-М,2024.-228 с.(ВО)(п)</t>
  </si>
  <si>
    <t>ОСНОВЫ НАЦИОНАЛЬНОЙ БЕЗОПАСНОСТИ, ИЗД.3</t>
  </si>
  <si>
    <t>Овчинников А.И., Мамычев А.Ю., Баранов П.П.</t>
  </si>
  <si>
    <t>978-5-369-01960-3</t>
  </si>
  <si>
    <t>02.03.03, 38.03.01, 38.03.03, 38.03.04, 40.03.01, 40.04.01, 40.05.01, 40.05.02, 40.05.03, 40.05.04, 41.03.04, 41.03.05, 41.03.06, 41.04.04, 44.03.01, 44.03.05, 46.04.02, 47.03.01, 50.04.04, 51.04.04</t>
  </si>
  <si>
    <t>Рекомендовано Федеральным государственным казенным образовательным учреждением высшего профессионального образования «Московский университет МВД России имени В.Я. Кикотя» в качестве учебного пособия для образовательных организаций, реализующих образо</t>
  </si>
  <si>
    <t>Российская академия народного хозяйства и государственной службы при Президенте РФ, ф-л Южно-Российский институт управления</t>
  </si>
  <si>
    <t>056500.13.01</t>
  </si>
  <si>
    <t>Основы нац.счетоводства: Уч. / Под ред. Иванова Ю.Н., - 2 изд.-М.:НИЦ ИНФРА-М,2023.- 399 с.(П)</t>
  </si>
  <si>
    <t>ОСНОВЫ НАЦИОНАЛЬНОГО СЧЕТОВОДСТВА (МЕЖДУНАРОДНЫЙ СТАНДАРТ СНС 2008 Г.), ИЗД.2</t>
  </si>
  <si>
    <t>Иванов Ю. Н., Казаринова С. Е., Карасева Л. А., Иванов Ю. Н.</t>
  </si>
  <si>
    <t>978-5-16-005594-7</t>
  </si>
  <si>
    <t>Рекомендовано Научно-метод. советом по экономике УМО по клас. универс. обр. в качестве учебника для студ. вузов, обуч. по направлению 521600 "Экономика" и специальностям 060100  "Экон. теория" и 061800 "Математические методы анализа экономики"</t>
  </si>
  <si>
    <t>056500.15.01</t>
  </si>
  <si>
    <t>Основы национального счетоводства: Уч. / Под ред. Иванова Ю.Н., - 3 изд. - М.:НИЦ ИНФРА-М,2027. - 323 с.(ВО)(п)</t>
  </si>
  <si>
    <t>ОСНОВЫ НАЦИОНАЛЬНОГО СЧЕТОВОДСТВА (МЕЖДУНАРОДНЫЙ СТАНДАРТ), ИЗД.3</t>
  </si>
  <si>
    <t>Иванов Ю.Н., Воскобойников И.Б., Казаринова С.Е. и др.</t>
  </si>
  <si>
    <t>978-5-16-018280-3</t>
  </si>
  <si>
    <t>364600.09.01</t>
  </si>
  <si>
    <t>Основы национальной безоп.: Уч.пос. / А.И.Овчинников - 2 изд. - М.:ИЦ РИОР,НИЦ ИНФРА-М,2025 - 224 с.(ВО)(П)</t>
  </si>
  <si>
    <t>ОСНОВЫ НАЦИОНАЛЬНОЙ БЕЗОПАСНОСТИ, ИЗД.2</t>
  </si>
  <si>
    <t>364600.10.01</t>
  </si>
  <si>
    <t>Основы национальной безопасности: Уч.пос. / А.И.Овчинников, - 4 изд. - М.:ИЦ РИОР, НИЦ ИНФРА-М,2026. - 246 с.(ВО)(п)</t>
  </si>
  <si>
    <t>ОСНОВЫ НАЦИОНАЛЬНОЙ БЕЗОПАСНОСТИ, ИЗД.4</t>
  </si>
  <si>
    <t>978-5-369-03017-2</t>
  </si>
  <si>
    <t>306700.06.01</t>
  </si>
  <si>
    <t>Основы начертательной геометрии. Кратк. курс.: Уч.пос. / Г.В.Буланже - М.:КУРС, НИЦ ИНФРА-М,2025 - 144с.(О)</t>
  </si>
  <si>
    <t>ОСНОВЫ НАЧЕРТАТЕЛЬНОЙ ГЕОМЕТРИИ.КРАТКИЙ КУРС И СБОРНИК ЗАДАЧ., ИЗД.1</t>
  </si>
  <si>
    <t>Буланже Г.В., Гущин И.А., Гончарова В.А.</t>
  </si>
  <si>
    <t>978-5-905554-79-7</t>
  </si>
  <si>
    <t>07.02.01, 15.03.01, 15.03.02, 15.03.04, 15.03.05, 15.04.01, 15.04.02, 15.04.04, 15.04.05, 15.05.01</t>
  </si>
  <si>
    <t>297700.09.01</t>
  </si>
  <si>
    <t>Основы нефтегазовой геоэкологии: Уч.пос. / Под ред. Геннадиева А.Н. - 2 изд. - М.:НИЦ ИНФРА-М,2027. - 414 с.(ВО)(п)</t>
  </si>
  <si>
    <t>ОСНОВЫ НЕФТЕГАЗОВОЙ ГЕОЭКОЛОГИИ, ИЗД.2</t>
  </si>
  <si>
    <t>Пиковский Ю.И., Исмаилов Н.М., Дорохова М.Ф. и др.</t>
  </si>
  <si>
    <t>978-5-16-018858-4</t>
  </si>
  <si>
    <t>Допущено Учебно-методическим объединением вузов РФ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05.03.06 «Экология и природопользование»</t>
  </si>
  <si>
    <t>297700.05.01</t>
  </si>
  <si>
    <t>Основы нефтегазовой геоэкологии: Уч.пос. / Ю.И.Пиковский -М.:НИЦ ИНФРА-М,2022.-401 с.(ВО)(П)</t>
  </si>
  <si>
    <t>ОСНОВЫ НЕФТЕГАЗОВОЙ ГЕОЭКОЛОГИИ, ИЗД.1</t>
  </si>
  <si>
    <t>978-5-16-010112-5</t>
  </si>
  <si>
    <t>Допущено Учебно-методическим объединением вузов РФ по классическому университетскому образованию в качестве учебного пособия для студентов высших учебных заведений, обучающихся по направлению 05.03.06 «Экология и природопользование»</t>
  </si>
  <si>
    <t>641457.03.01</t>
  </si>
  <si>
    <t>Основы обеспечения качества: Уч.пос. / М.В.Самсонова-М.:НИЦ ИНФРА-М,2024-303с.(ВО) (П)</t>
  </si>
  <si>
    <t>ОСНОВЫ ОБЕСПЕЧЕНИЯ КАЧЕСТВА, ИЗД.1</t>
  </si>
  <si>
    <t>Самсонова М.В.</t>
  </si>
  <si>
    <t>978-5-16-019922-1</t>
  </si>
  <si>
    <t>27.03.02</t>
  </si>
  <si>
    <t>Рекомендовано в качестве учебного пособия для студентов высших учебных заведений, обучающихся по направлениям подготовки 27.03.02 «Управление качеством», 38.03.02 «Менеджмент», 38.03.03 «Управление персоналом» (квалификация (степень) «бакалавр»)</t>
  </si>
  <si>
    <t>079150.19.01</t>
  </si>
  <si>
    <t>Основы общей психологии: Уч. / Н.С.Ефимова - М.:ИД Форум, НИЦ ИНФРА-М,2025. - 288 с.-(СПО)(п)</t>
  </si>
  <si>
    <t>ОСНОВЫ ОБЩЕЙ ПСИХОЛОГИИ, ИЗД.1</t>
  </si>
  <si>
    <t>Ефимова Н.С.</t>
  </si>
  <si>
    <t>978-5-8199-0702-3</t>
  </si>
  <si>
    <t>37.00.00, 44.00.00, 00.01.04</t>
  </si>
  <si>
    <t>871311.01.01</t>
  </si>
  <si>
    <t>Основы общей психологии: Уч. / Н.С.Ефимова, - 2 изд. - М.:НИЦ ИНФРА-М,2026. - 289 с.-(ВО)(п)</t>
  </si>
  <si>
    <t>ОСНОВЫ ОБЩЕЙ ПСИХОЛОГИИ, ИЗД.2</t>
  </si>
  <si>
    <t>Ефимова Н.С., Ефимова Е.С.</t>
  </si>
  <si>
    <t>978-5-16-021737-6</t>
  </si>
  <si>
    <t>44.03.04, 44.03.05, 44.05.01, 46.03.01</t>
  </si>
  <si>
    <t>079150.21.01</t>
  </si>
  <si>
    <t>Основы общей психологии: Уч. / Н.С.Ефимова, - 2 изд. - М.:НИЦ ИНФРА-М,2027. - 289 с.(СПО)(п)</t>
  </si>
  <si>
    <t>978-5-16-020970-8</t>
  </si>
  <si>
    <t>292400.11.01</t>
  </si>
  <si>
    <t>Основы общей химии: Уч.пос. / В.И.Елфимов - 2 изд. - М.:НИЦ ИНФРА-М,2027 - 256 с.(ВО)(п)</t>
  </si>
  <si>
    <t>ОСНОВЫ ОБЩЕЙ ХИМИИ, ИЗД.2</t>
  </si>
  <si>
    <t>Елфимов В.И.</t>
  </si>
  <si>
    <t>978-5-16-010066-1</t>
  </si>
  <si>
    <t>04.03.01, 04.03.02, 04.05.01, 18.01.01, 31.05.01, 31.05.02, 31.05.03, 33.05.01</t>
  </si>
  <si>
    <t>186050.13.01</t>
  </si>
  <si>
    <t>Основы общей экологии: Уч.пос. / П.А.Волкова - М.:Форум,2026. - 128 с.(О)</t>
  </si>
  <si>
    <t>ОСНОВЫ ОБЩЕЙ ЭКОЛОГИИ, ИЗД.1</t>
  </si>
  <si>
    <t>Волкова П. А.</t>
  </si>
  <si>
    <t>978-5-91134-632-4</t>
  </si>
  <si>
    <t>Рекомендовано кафедрой экологического образования и устойчивого развития Московского института открытого образования в качестве учебного пособия для учеников старших профильных классов.</t>
  </si>
  <si>
    <t>Институт биологии внутренних вод им. И.Д. Папанина Российской академии наук</t>
  </si>
  <si>
    <t>684805.03.01</t>
  </si>
  <si>
    <t>Основы общей экологии: Уч.пос. / П.А.Волкова-М.:Форум, НИЦ ИНФРА-М,2023.-126 с..-(СПО)(О)</t>
  </si>
  <si>
    <t>Волкова П.А.</t>
  </si>
  <si>
    <t>978-5-00091-587-5</t>
  </si>
  <si>
    <t>00.02.37, 05.01.01, 05.02.01, 05.02.02, 05.02.03</t>
  </si>
  <si>
    <t>Рекомендовано Учебно-методическим советом СПО в качестве учебного пособия для студентов учебных заведений, реализующих основную программу среднего профессионального образования на базе основного общего образования</t>
  </si>
  <si>
    <t>463800.12.01</t>
  </si>
  <si>
    <t>Основы объемного гидропривода и его упр.: Уч.пос. / С.И.Корнюшенко - М.:НИЦ ИНФРА-М,2027 - 338 с.(СПО)(П)</t>
  </si>
  <si>
    <t>ОСНОВЫ ОБЪЕМНОГО ГИДРОПРИВОДА И ЕГО УПРАВЛЕНИЯ, ИЗД.1</t>
  </si>
  <si>
    <t>Корнюшенко С.И.</t>
  </si>
  <si>
    <t>978-5-16-011527-6</t>
  </si>
  <si>
    <t>15.02.01, 15.02.03, 15.02.04, 15.02.10, 15.02.17, 15.02.18, 23.02.02, 24.02.01</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</si>
  <si>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учреждений среднего специального образования, обучающихся по направлению 15.02.03 «Техническая эксплуатация гидравлических машин, гидроприводов и гидропневмоавтоматики»</t>
  </si>
  <si>
    <t>787438.01.01</t>
  </si>
  <si>
    <t>Основы овощеводства: Уч.пос. / Ю.В.Горяников - М.:НИЦ ИНФРА-М,2025. - 271 с.(ВО)(п)</t>
  </si>
  <si>
    <t>ОСНОВЫ ОВОЩЕВОДСТВА, ИЗД.1</t>
  </si>
  <si>
    <t>Горяников Ю.В.</t>
  </si>
  <si>
    <t>978-5-16-019619-0</t>
  </si>
  <si>
    <t>766909.02.01</t>
  </si>
  <si>
    <t>Основы онтологии: Уч.пос. / Б.И.Липский - М.:НИЦ ИНФРА-М,2026. - 315 с..(ВО)(п)</t>
  </si>
  <si>
    <t>ОСНОВЫ ОНТОЛОГИИ, ИЗД.1</t>
  </si>
  <si>
    <t>978-5-16-017555-3</t>
  </si>
  <si>
    <t>46.03.01, 47.03.01, 47.04.01, 51.03.01</t>
  </si>
  <si>
    <t>708724.08.01</t>
  </si>
  <si>
    <t>Основы орг. внеуроч. занятий шк. по учеб...: Уч.пос. / В.И.Казаренков - 2 изд. - М.:НИЦ ИНФРА-М,2027 - 231 с.(СПО)(п)</t>
  </si>
  <si>
    <t>ОСНОВЫ ОРГАНИЗАЦИИ ВНЕУРОЧНЫХ ЗАНЯТИЙ ШКОЛЬНИКОВ ПО УЧЕБНЫМ ПРЕДМЕТАМ, ИЗД.2</t>
  </si>
  <si>
    <t>Казаренков В.И.</t>
  </si>
  <si>
    <t>978-5-16-015267-7</t>
  </si>
  <si>
    <t>44.02.02, 44.02.03, 44.02.04, 44.02.05, 44.02.06, 54.02.06</t>
  </si>
  <si>
    <t>698373.05.01</t>
  </si>
  <si>
    <t>Основы орг. внеурочных занятий шк...: Уч.пос. / В.И.Казаренков - 2 изд. - М.:НИЦ ИНФРА-М,2027. - 152 с.(П)</t>
  </si>
  <si>
    <t>978-5-16-019080-8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</si>
  <si>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2 от 28.01.2019)</t>
  </si>
  <si>
    <t>818329.02.01</t>
  </si>
  <si>
    <t>Основы организации и управления в строительстве: Уч./ Р.А.Попов - М.:НИЦ ИНФРА-М,2026 - 327 с.(ВО)(п)</t>
  </si>
  <si>
    <t>ОСНОВЫ ОРГАНИЗАЦИИ И УПРАВЛЕНИЯ В СТРОИТЕЛЬСТВЕ, ИЗД.1</t>
  </si>
  <si>
    <t>978-5-16-019535-3</t>
  </si>
  <si>
    <t>099800.07.01</t>
  </si>
  <si>
    <t>Основы организации муниципального упр.: Уч.пос. / С.Ю.Наумов-2 изд.-М.:Форум,НИЦ ИНФРА-М,2023-375с.(ВО)(П)</t>
  </si>
  <si>
    <t>ОСНОВЫ ОРГАНИЗАЦИИ МУНИЦИПАЛЬНОГО УПРАВЛЕНИЯ, ИЗД.2</t>
  </si>
  <si>
    <t>Наумов С.Ю., Ведяева Е.С., Гребенникова А.А.</t>
  </si>
  <si>
    <t>978-5-00091-681-0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</si>
  <si>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 (протокол № 13 от 16.09.2019)</t>
  </si>
  <si>
    <t>700114.02.01</t>
  </si>
  <si>
    <t>Основы организации работы с молодежью: Уч.пос. / И.В.Волосков - М.:НИЦ ИНФРА-М,2025. - 175 с.(ВО)(п)</t>
  </si>
  <si>
    <t>ОСНОВЫ ОРГАНИЗАЦИИ РАБОТЫ С МОЛОДЕЖЬЮ, ИЗД.1</t>
  </si>
  <si>
    <t>Волосков И.В.</t>
  </si>
  <si>
    <t>978-5-16-014982-0</t>
  </si>
  <si>
    <t>38.03.04, 39.03.01, 39.03.03, 39.04.02</t>
  </si>
  <si>
    <t>Национальный гуманитарный институт социального управления</t>
  </si>
  <si>
    <t>800506.01.01</t>
  </si>
  <si>
    <t>Основы организации судебной власти в РФ: Уч.пос. / И.Г.Смирнова-М.:НИЦ ИНФРА-М,2024.-207 с.(ВО)(п)</t>
  </si>
  <si>
    <t>ОСНОВЫ ОРГАНИЗАЦИИ СУДЕБНОЙ ВЛАСТИ В РОССИЙСКОЙ ФЕДЕРАЦИИ, ИЗД.1</t>
  </si>
  <si>
    <t>Смирнова И.Г., Литвинцева Н.Ю.</t>
  </si>
  <si>
    <t>978-5-16-018655-9</t>
  </si>
  <si>
    <t>723018.02.01</t>
  </si>
  <si>
    <t>Основы организации труда в цифровых экосистемах: Уч.пос. / Е.А.Савельева-М.:НИЦ ИНФРА-М,2024-297с.(ВО)(п)</t>
  </si>
  <si>
    <t>ОСНОВЫ ОРГАНИЗАЦИИ ТРУДА В ЦИФРОВЫХ ЭКОСИСТЕМАХ, ИЗД.1</t>
  </si>
  <si>
    <t>978-5-16-019524-7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</si>
  <si>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38.03.03 «Управление персоналом» (квалификация (степень) «бакалавр») (протокол № 6 от 08.06.2022)</t>
  </si>
  <si>
    <t>Научно-исследовательский институт труда и социального развития</t>
  </si>
  <si>
    <t>802089.02.01</t>
  </si>
  <si>
    <t>Основы отраслевого стратегирования: Уч.пос. / Н.И.Сасаев-М.:НИЦ ИНФРА-М,2024.-212 с..-(ВО:Магистр)(п)</t>
  </si>
  <si>
    <t>ОСНОВЫ ОТРАСЛЕВОГО СТРАТЕГИРОВАНИЯ, ИЗД.1</t>
  </si>
  <si>
    <t>Сасаев Н.И.</t>
  </si>
  <si>
    <t>978-5-16-018473-9</t>
  </si>
  <si>
    <t>693177.11.01</t>
  </si>
  <si>
    <t>Основы парикмахерского дела: Уч.пос. / И.С.Тундалева - М.:НИЦ ИНФРА-М,2027 - 155 с.(СПО)(П)</t>
  </si>
  <si>
    <t>ОСНОВЫ ПАРИКМАХЕРСКОГО ДЕЛА, ИЗД.1</t>
  </si>
  <si>
    <t>978-5-16-014802-1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</si>
  <si>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43.02.02 «Парикмахерское искусство» (протокол № 17 от 11.11.2019)</t>
  </si>
  <si>
    <t>Челябинский многопрофильный институт</t>
  </si>
  <si>
    <t>641405.09.01</t>
  </si>
  <si>
    <t>Основы патентоведения: Уч.пос. / Под ред. Кравченко И.Н. - М.:НИЦ ИНФРА-М,2027. - 252 с.(ВО)(п)</t>
  </si>
  <si>
    <t>ОСНОВЫ ПАТЕНТОВЕДЕНИЯ, ИЗД.1</t>
  </si>
  <si>
    <t>Кравченко И.Н., Корнеев В.М., Коломейченко А.В. и др.</t>
  </si>
  <si>
    <t>978-5-16-022423-7</t>
  </si>
  <si>
    <t>27.04.07, 35.04.06, 35.04.08</t>
  </si>
  <si>
    <t>Рекомендовано Учебно-методическим объединением вузов Российской Федерации по агроинженерному образованию в качестве учебного пособия для студентов, осваивающих образовательные программы магистратуры по направлению подготовки 35.04.06 «Агроинженерия»</t>
  </si>
  <si>
    <t>742746.05.01</t>
  </si>
  <si>
    <t>Основы патологии: Уч. / А.И.Тюкавин - М.:НИЦ ИНФРА-М,2026. - 344 с.(СПО)(п)</t>
  </si>
  <si>
    <t>ОСНОВЫ ПАТОЛОГИИ, ИЗД.1</t>
  </si>
  <si>
    <t>Тюкавин А.И.</t>
  </si>
  <si>
    <t>978-5-16-016832-6</t>
  </si>
  <si>
    <t>31.02.01, 31.02.02, 31.02.03, 32.02.01, 33.02.01, 34.02.01, 44.02.04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</si>
  <si>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33.02.01 «Фармация» (протокол № 6 от 16.06.2021)</t>
  </si>
  <si>
    <t>657345.08.01</t>
  </si>
  <si>
    <t>Основы патопсихологии: Уч. / А.П.Бизюк - 2 изд. - М.:НИЦ ИНФРА-М,2026 - 660 с.-(ВО)(п)</t>
  </si>
  <si>
    <t>ОСНОВЫ ПАТОПСИХОЛОГИИ, ИЗД.2</t>
  </si>
  <si>
    <t>978-5-16-018602-3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</si>
  <si>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и направлений подготовки 37.03.00 «Психологические науки», 44.03.00 «Образование и педагогические науки» (квалификация (степень) «бакалавр») (протокол № 8 от 22.06.2020)</t>
  </si>
  <si>
    <t>749782.04.01</t>
  </si>
  <si>
    <t>Основы патопсихологии: Уч./ А.П.Бизюк, - 2 изд. - М.:НИЦ ИНФРА-М,2025. - 660 с.(ВО: Специалитет)(П)</t>
  </si>
  <si>
    <t>978-5-16-016701-5</t>
  </si>
  <si>
    <t>31.05.01, 31.06.01, 37.05.01, 37.05.02, 40.05.03, 44.05.01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</si>
  <si>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направлениям подготовки 37.05.00 «Психологические науки» (квалификация (степень) «клинический психолог») (протокол № 8 от 22.06.2020)</t>
  </si>
  <si>
    <t>ПО5</t>
  </si>
  <si>
    <t>632398.05.01</t>
  </si>
  <si>
    <t>Основы педагогики: Уч. / Под ред. Галагузова М.А. - М.:НИЦ ИНФРА-М,2026. - 272 с.(ВО)(п)</t>
  </si>
  <si>
    <t>ОСНОВЫ ПЕДАГОГИКИ, ИЗД.1</t>
  </si>
  <si>
    <t>Дорохова Т.С., Верхотурова Ю.А., Галагузова М.А. и др.</t>
  </si>
  <si>
    <t>978-5-16-018663-4</t>
  </si>
  <si>
    <t>44.03.01, 44.03.02, 44.03.03, 44.03.04, 44.03.05</t>
  </si>
  <si>
    <t>Рекомендовано Учебно-методическим советом ВО в качестве учебника для студентов высших учебных заведений, обучающихся по укрупненной группе специальностей 44.00.00 «Образование и педагогические науки»</t>
  </si>
  <si>
    <t>091500.15.01</t>
  </si>
  <si>
    <t>Основы педагогич. мастерства: Уч.пос. / В.А.Скакун, - 2 изд. - М.:Форум, НИЦ ИНФРА-М,2027 - 208 с.(СПО)(П)</t>
  </si>
  <si>
    <t>ОСНОВЫ ПЕДАГОГИЧЕСКОГО МАСТЕРСТВА, ИЗД.2</t>
  </si>
  <si>
    <t>Скакун В.А.</t>
  </si>
  <si>
    <t>978-5-00091-724-4</t>
  </si>
  <si>
    <t>44.02.01, 44.02.02, 44.02.03, 44.02.05, 49.02.01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</si>
  <si>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12 от 24.06.2019)</t>
  </si>
  <si>
    <t>395100.11.01</t>
  </si>
  <si>
    <t>Основы педагогического мастерства: Уч. / И.П.Андриади - 2 изд. - М.:НИЦ ИНФРА-М,2025 - 209 с.(ВО)(П)</t>
  </si>
  <si>
    <t>Андриади И.П.</t>
  </si>
  <si>
    <t>978-5-16-018494-4</t>
  </si>
  <si>
    <t>44.03.01, 44.03.02, 44.03.03, 44.03.04, 44.03.05, 44.04.01, 44.04.02, 44.04.03, 44.04.04</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</si>
  <si>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44.03.05 «Педагогическое образование (с двумя профилями подготовки)» (квалификация (степень) «бакалавр»)</t>
  </si>
  <si>
    <t>849539.03.01</t>
  </si>
  <si>
    <t>Основы персонализир. биомедицины и биофармации: Уч. / Под ред. Тюкавина А.И. - М.:НИЦ ИНФРА-М,2026 - 460с(п)[цв.]</t>
  </si>
  <si>
    <t>ОСНОВЫ ПЕРСОНАЛИЗИРОВАННОЙ БИОМЕДИЦИНЫ И БИОФАРМАЦИИ, ИЗД.1</t>
  </si>
  <si>
    <t>Тюкавин А.И., Салль Т.С., Орлов С.В. и др.</t>
  </si>
  <si>
    <t>978-5-16-020841-1</t>
  </si>
  <si>
    <t>18.04.01, 30.05.03</t>
  </si>
  <si>
    <t>796831.02.01</t>
  </si>
  <si>
    <t>Основы подготовки электротехнич. персонала: прак.: Уч.пос. / А.В.Бастрон - М.:НИЦ ИНФРА-М,2026. - 153 с.(п)</t>
  </si>
  <si>
    <t>ОСНОВЫ ПОДГОТОВКИ ЭЛЕКТРОТЕХНИЧЕСКОГО ПЕРСОНАЛА: ПРАКТИКУМ, ИЗД.1</t>
  </si>
  <si>
    <t>Бастрон А.В., Бастрон Т.Н., Зубова Р.А.</t>
  </si>
  <si>
    <t>978-5-16-018348-0</t>
  </si>
  <si>
    <t>Рекомендовано Федеральным УМО по сельскому, лесному и рыбному хозяйству для использования в учебном процессе при подготовке бакалавров по направлению «Агроинженерия»</t>
  </si>
  <si>
    <t>667544.03.01</t>
  </si>
  <si>
    <t>Основы получения отливок из сплав. на основе железа: Уч.пос. / А.И.Булгако-2-изд.-М.:НИЦ ИНФРА-М,СФУ,2023-219с.</t>
  </si>
  <si>
    <t>ОСНОВЫ ПОЛУЧЕНИЯ ОТЛИВОК ИЗ СПЛАВОВ НА ОСНОВЕ ЖЕЛЕЗА, ИЗД.2</t>
  </si>
  <si>
    <t>Булгакова А.И., Гильманшина Т.Р., Баранов В.Н. и др.</t>
  </si>
  <si>
    <t>978-5-16-013221-1</t>
  </si>
  <si>
    <t>22.03.01, 22.03.02</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</si>
  <si>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технический университет имени Н.Э. Баумана» в качестве учебного пособия для студентов высших учебных заведений, обучающихся по направлению подготовки 22.03.02 «Металлургия»</t>
  </si>
  <si>
    <t>665205.10.01</t>
  </si>
  <si>
    <t>Основы постр. радиолокац. станций радиотехнич. войск: Уч. / В.Н.Тяпкин. - М.:НИЦ ИНФРА-М, СФ,2025. - 536 с.(П)</t>
  </si>
  <si>
    <t>ОСНОВЫ ПОСТРОЕНИЯ РАДИОЛОКАЦИОННЫХ СТАНЦИЙ РАДИОТЕХНИЧЕСКИХ ВОЙСК, ИЗД.1</t>
  </si>
  <si>
    <t>Тяпкин В.Н., Фомин А.Н., Гарин Е.Н. и др.</t>
  </si>
  <si>
    <t>978-5-16-016364-2</t>
  </si>
  <si>
    <t>11.03.01, 11.04.01, 11.05.01, 11.05.02, 56.04.03, 56.04.04</t>
  </si>
  <si>
    <t>Допущено Министерством обороны Российской Федерации в качестве учебника для студентов военных кафедр обучающихся по военно-учетной специальности «Эксплуатация и ремонт радиолокационных комплексов противовоздушной обороны Военно-воздушных сил»</t>
  </si>
  <si>
    <t>082400.19.01</t>
  </si>
  <si>
    <t>Основы построения автомат. информ. систем: Уч./ В.А.Гвоздева - М.: НИЦ ИНФРА-М,2026 - 318 с.(СПО)(П)</t>
  </si>
  <si>
    <t>ОСНОВЫ ПОСТРОЕНИЯ АВТОМАТИЗИРОВАННЫХ ИНФОРМАЦИОННЫХ СИСТЕМ, ИЗД.1</t>
  </si>
  <si>
    <t>Гвоздева В. А., Лаврентьева И. Ю.</t>
  </si>
  <si>
    <t>978-5-16-022298-1</t>
  </si>
  <si>
    <t>09.02.01, 09.02.02, 09.02.03, 09.02.04, 09.02.05, 09.02.07, 11.02.15</t>
  </si>
  <si>
    <t>747738.02.01</t>
  </si>
  <si>
    <t>Основы права. Практикум: Уч.пос. / С.В.Корнакова. - М.:НИЦ ИНФРА-М,2027. - 264 с.(СПО)(П)</t>
  </si>
  <si>
    <t>ОСНОВЫ ПРАВА. ПРАКТИКУМ, ИЗД.1</t>
  </si>
  <si>
    <t>Корнакова С.В., Корягина С.А., Литвинцева Н.Ю. и др.</t>
  </si>
  <si>
    <t>978-5-16-017264-4</t>
  </si>
  <si>
    <t>00.02.08, 08.02.03, 08.02.08, 14.02.01, 15.02.03, 20.02.01, 25.02.01, 25.02.04, 26.02.04, 31.02.01, 31.02.06, 38.02.03, 39.02.02, 44.02.06, 49.02.01, 54.02.01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</si>
  <si>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неюридическим специальностям (протокол № 6 от 08.06.2022)</t>
  </si>
  <si>
    <t>375600.07.01</t>
  </si>
  <si>
    <t>Основы права: Уч. / М.Б.Смоленский - М.:ИЦ РИОР, НИЦ ИНФРА-М,2023 - 308 с.(ПО)(П)</t>
  </si>
  <si>
    <t>ОСНОВЫ ПРАВА, ИЗД.1</t>
  </si>
  <si>
    <t>Смоленский М.Б., Маркина Е.В.</t>
  </si>
  <si>
    <t>978-5-369-01441-7</t>
  </si>
  <si>
    <t>00.02.08</t>
  </si>
  <si>
    <t>301200.07.01</t>
  </si>
  <si>
    <t>Основы права: Уч. / Под ред. В.Б. Исакова. - М.: Норма:  НИЦ ИНФРА-М, 2023-480с.(П)</t>
  </si>
  <si>
    <t>Исаков В. Б.</t>
  </si>
  <si>
    <t>978-5-91768-532-8</t>
  </si>
  <si>
    <t>00.03.08, 00.05.08, 40.05.01, 40.05.02, 40.05.03, 40.05.04</t>
  </si>
  <si>
    <t>128900.12.01</t>
  </si>
  <si>
    <t>Основы права: Уч. / Под ред. Епихин А.Ю., - 2 изд. - М.:НИЦ ИНФРА-М,2026. -  400 с.(СПО)(п)</t>
  </si>
  <si>
    <t>ОСНОВЫ ПРАВА, ИЗД.2</t>
  </si>
  <si>
    <t>Воронцова О.В., Ахметьянова З.А., Вотчель Н.Р. и др.</t>
  </si>
  <si>
    <t>978-5-16-022156-4</t>
  </si>
  <si>
    <t>08.02.14, 38.02.01, 38.02.02, 38.02.03, 38.02.06, 38.02.07, 38.02.08, 39.02.01, 39.02.02, 42.02.01, 43.02.16</t>
  </si>
  <si>
    <t>Рек. Федеральным государственным учреждением "Федеральный институт развития образования" в качестве учебника для использования в учебном процессе образоват. учреждений, реализ. программы среднего профессионального образования неюридического профиля</t>
  </si>
  <si>
    <t>Коми республиканская академия государственной службы и управления</t>
  </si>
  <si>
    <t>243600.08.01</t>
  </si>
  <si>
    <t>Основы правового регулир. застройки земель / Е.С.Болтанова - 2 изд. - М.:ИЦ РИОР, НИЦ ИНФРА-М,2026. - 287 с.(о)</t>
  </si>
  <si>
    <t>ОСНОВЫ ПРАВОВОГО РЕГУЛИРОВАНИЯ ЗАСТРОЙКИ ЗЕМЕЛЬ, ИЗД.2</t>
  </si>
  <si>
    <t>978-5-369-01958-0</t>
  </si>
  <si>
    <t>07.03.04, 07.04.04, 08.05.01, 40.03.01, 40.04.01</t>
  </si>
  <si>
    <t>243600.06.01</t>
  </si>
  <si>
    <t>Основы правового регулирования застр. земель: Моногр. / Е.С.Болтанова - РИОР: ИНФРА-М, 2022-268с. (о)</t>
  </si>
  <si>
    <t>ОСНОВЫ ПРАВОВОГО РЕГУЛИРОВАНИЯ ЗАСТРОЙКИ ЗЕМЕЛЬ, ИЗД.1</t>
  </si>
  <si>
    <t>978-5-369-01293-2</t>
  </si>
  <si>
    <t>138850.12.01</t>
  </si>
  <si>
    <t>Основы правовой информатики и информатиз...: Уч.пос. / В.М.Казиев - 2 изд. - М.:Вуз.уч.,ИНФРА-М, 2026 - 336 с.(п)</t>
  </si>
  <si>
    <t>ОСНОВЫ ПРАВОВОЙ ИНФОРМАТИКИ И ИНФОРМАТИЗАЦИИ ПРАВОВЫХ СИСТЕМ, ИЗД.2</t>
  </si>
  <si>
    <t>Казиев В. М., Казиев К. В., Казиева Б. В.</t>
  </si>
  <si>
    <t>978-5-9558-0494-1</t>
  </si>
  <si>
    <t>02.03.02, 02.03.03, 09.03.01, 09.03.02, 09.03.03, 09.03.04, 40.03.01</t>
  </si>
  <si>
    <t>Рекомендовано в качестве учебного пособия для студентов высших учебных заведений, обучающихся по направлению поготовки 09.03.02 «Информационные системы и технологии»</t>
  </si>
  <si>
    <t>Кабардино-Балкарский государственный университет им. Х.М. Бербекова</t>
  </si>
  <si>
    <t>411250.07.01</t>
  </si>
  <si>
    <t>Основы правовой политики: Уч.пос./ А.В.Малько - 2 изд. - М.:ИЦ РИОР, НИЦ ИНФРА-М,2025 - 170 с.(ВО)</t>
  </si>
  <si>
    <t>ОСНОВЫ ПРАВОВОЙ ПОЛИТИКИ, ИЗД.2</t>
  </si>
  <si>
    <t>Малько А.В., Саломатин А.Ю.</t>
  </si>
  <si>
    <t>978-5-369-01376-2</t>
  </si>
  <si>
    <t>Рекомендовано в качестве учебного пособия для студентов высших учебных заведений, обучающихся по направлению «Юриспруденция» (квалификация (степень) — магистр)</t>
  </si>
  <si>
    <t>649110.05.01</t>
  </si>
  <si>
    <t>Основы православной педагог.псих.: Уч.пос. / Под ред. Шишова С.Е. - 2 изд. - М.:НИЦ ИНФРА-М,2026 - 210 с.(П)</t>
  </si>
  <si>
    <t>ОСНОВЫ ПРАВОСЛАВНОЙ ПЕДАГОГИЧЕСКОЙ ПСИХОЛОГИИ, ИЗД.2</t>
  </si>
  <si>
    <t>Кондратьев С.В., Кондратьева О.В., Шишов С.Е. и др.</t>
  </si>
  <si>
    <t>978-5-16-021383-5</t>
  </si>
  <si>
    <t>37.03.01, 44.03.01, 44.03.02, 44.03.05, 48.03.01, 48.04.01</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</si>
  <si>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37.03.01 «Психология», 44.03.02 «Психолого-педагогическое образование» (квалификация (степень) «бакалавр»)</t>
  </si>
  <si>
    <t>689838.04.01</t>
  </si>
  <si>
    <t>Основы прагмалингвистики: Уч. / Г.Г.Матвеева-М.:НИЦ ИНФРА-М,2023.-205 с.(ВО)(п)</t>
  </si>
  <si>
    <t>ОСНОВЫ ПРАГМАЛИНГВИСТИКИ, ИЗД.1</t>
  </si>
  <si>
    <t>Матвеева Г.Г.</t>
  </si>
  <si>
    <t>978-5-16-018941-3</t>
  </si>
  <si>
    <t>45.03.01, 45.03.02, 45.04.01, 45.04.02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</si>
  <si>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лингвистическим и филологическим направлениям подготовки (квалификация (степень) «бакалавр») (протокол № 4 от 13.04.2022)</t>
  </si>
  <si>
    <t>158750.11.01</t>
  </si>
  <si>
    <t>Основы предприним. деят.: содерж. деят., кач-ва..: Уч.пос. / С.Д.Резник - 4 изд. - ИНФРА-М, 2024-224с(ВО)</t>
  </si>
  <si>
    <t>ОСНОВЫ ПРЕДПРИНИМАТЕЛЬСКОЙ ДЕЯТЕЛЬНОСТИ: СОДЕРЖАНИЕ ДЕЯТЕЛЬНОСТИ, КАЧЕСТВА И КОМПЕТЕНЦИИ, ПРОФЕССИОНАЛЬНАЯ КАРЬЕРА, ЛИЧНАЯ ОРГАНИЗАЦИЯ ПРЕДПРИНИМАТЕЛЯ, ИЗД.4</t>
  </si>
  <si>
    <t>Резник С.Д., Назарова Н.А., Глухова И.В. и др.</t>
  </si>
  <si>
    <t>978-5-16-006884-8</t>
  </si>
  <si>
    <t>213400.10.01</t>
  </si>
  <si>
    <t>Основы предпринимательской деят.: Уч. / В.Н.Наумов - 2 изд. - М.:НИЦ ИНФРА-М,2025 - 437 с.(ВО)(П)</t>
  </si>
  <si>
    <t>ОСНОВЫ ПРЕДПРИНИМАТЕЛЬСКОЙ ДЕЯТЕЛЬНОСТИ, ИЗД.2</t>
  </si>
  <si>
    <t>Наумов В.Н., Шубаева В.Г.</t>
  </si>
  <si>
    <t>978-5-16-014188-6</t>
  </si>
  <si>
    <t>38.03.01, 38.03.02, 38.03.03, 38.03.05, 38.03.06, 38.03.07, 43.03.01, 43.03.02, 43.03.03</t>
  </si>
  <si>
    <t>Рекомендовано Методическим советом федерального государственного бюджетного образовательного учреждения высшего образования «Санкт-Петербургский государственный экономический университет» в качестве учебника для студентов, обучающихся по направлениям подготовки 38.03.01 «Экономика», 38.03.02 «Менеджмент», 38.03.06 «Торговое дело», 43.03.01 «Сервис» (квалификация (степень) «бакалавр»)</t>
  </si>
  <si>
    <t>126500.16.01</t>
  </si>
  <si>
    <t>Основы предпринимательской деят.: Уч.пос. / Т.М.Голубева - 2 изд. - М.:Форум,НИЦ ИНФРА-М,2024 - 256 с.(ПО)(п)</t>
  </si>
  <si>
    <t>Голубева Т. М.</t>
  </si>
  <si>
    <t>978-5-91134-857-1</t>
  </si>
  <si>
    <t>126500.20.01</t>
  </si>
  <si>
    <t>Основы предпринимательской деят.: Уч.пос. / Т.М.Голубева - 3 изд. - М.:НИЦ ИНФРА-М,2026 - 288 с.(СПО)(п)</t>
  </si>
  <si>
    <t>ОСНОВЫ ПРЕДПРИНИМАТЕЛЬСКОЙ ДЕЯТЕЛЬНОСТИ, ИЗД.3</t>
  </si>
  <si>
    <t>978-5-16-018148-6</t>
  </si>
  <si>
    <t>213400.03.01</t>
  </si>
  <si>
    <t>Основы предпринимательской деятельности: Уч. / В.Н.Наумов - М.:НИЦ ИНФРА-М,2018.-313 с..-(ВО)(П)</t>
  </si>
  <si>
    <t>ОСНОВЫ ПРЕДПРИНИМАТЕЛЬСКОЙ ДЕЯТЕЛЬНОСТИ, ИЗД.1</t>
  </si>
  <si>
    <t>Наумов В. Н.</t>
  </si>
  <si>
    <t>978-5-16-006877-0</t>
  </si>
  <si>
    <t>Рекомендовано Научно-методическим советом Санкт-Петербургского государственного экономического университета в качестве учебника для студентов высших учебных заведений, обучающихся по направлениям подготовки 100100 «Сервис» и 100700 «Торговое дело» (с</t>
  </si>
  <si>
    <t>321600.09.01</t>
  </si>
  <si>
    <t>Основы предпринимательской деятельности: Уч. / С.Д.Резник - 3 изд. - М.:НИЦ ИНФРА-М,2026 - 291 с.(ВО)(п)</t>
  </si>
  <si>
    <t>Резник С.Д., Глухова И.В., Джевицкая Е.С. и др.</t>
  </si>
  <si>
    <t>978-5-16-020765-0</t>
  </si>
  <si>
    <t>321600.07.01</t>
  </si>
  <si>
    <t>Основы предпринимательской деятельности: Уч. / С.Д.Резник -М.:НИЦ ИНФРА-М,2024-287с.(ВО:Бакалавриат)(п)</t>
  </si>
  <si>
    <t>С.Д.Резник, А.В.Глухова, А.Е.Черницов</t>
  </si>
  <si>
    <t>978-5-16-010473-7</t>
  </si>
  <si>
    <t>Рекомендовано Советом Учебно-методического объединения вузов России по образованию в области менеджмента к использованию для организации учебного процесса в высших учебных заведениях</t>
  </si>
  <si>
    <t>053650.13.01</t>
  </si>
  <si>
    <t>Основы прикл. антропологии и биомеханики: Уч. пос. / Л.П.Шершнева - 2 изд. - М.:ИД ФОРУМ,2027 - 160 с.(п)</t>
  </si>
  <si>
    <t>ОСНОВЫ ПРИКЛАДНОЙ АНТРОПОЛОГИИ И БИОМЕХАНИКИ, ИЗД.2</t>
  </si>
  <si>
    <t>Шершнева Л. П., Пирязева Т. В., Ларькина Л. В.</t>
  </si>
  <si>
    <t>978-5-8199-0472-5</t>
  </si>
  <si>
    <t>29.03.01, 29.03.05, 29.04.05</t>
  </si>
  <si>
    <t>Допущено Министерством образования РФ в качестве учеб. пособия для студентов вузов, обуч. по специальности  "Конструирование швейных изделий" напр. подгот. диплом. специалистов "Технология и конструир. изделий легк. промышленности"</t>
  </si>
  <si>
    <t>738657.07.01</t>
  </si>
  <si>
    <t>Основы приклад. и матем. лингвистики: Уч.пос. / Т.М.Надеина - М.:Юр.Норма, НИЦ ИНФРА-М,2026. - 152 с.(П)</t>
  </si>
  <si>
    <t>ОСНОВЫ ПРИКЛАДНОЙ И МАТЕМАТИЧЕСКОЙ ЛИНГВИСТИКИ, ИЗД.1</t>
  </si>
  <si>
    <t>Надеина Т.М.</t>
  </si>
  <si>
    <t>978-5-00156-072-2</t>
  </si>
  <si>
    <t>736686.03.01</t>
  </si>
  <si>
    <t>Основы прикладной антропологии и биомеханики: Уч.пос. / Л.П.Шершнева - 2 изд. - М.:НИЦ ИНФРА-М,2027. - 160 с.(п)</t>
  </si>
  <si>
    <t>Шершнева Л.П., Пирязева Т.В., Ларькина Л.В.</t>
  </si>
  <si>
    <t>978-5-16-022167-0</t>
  </si>
  <si>
    <t>29.02.10, 49.02.01, 49.02.02, 49.02.03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</si>
  <si>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 (протокол № 19 от 09.12.2019)</t>
  </si>
  <si>
    <t>404500.09.01</t>
  </si>
  <si>
    <t>Основы природопользования: Уч.пос. / И.Ю.Григорьева - М.:НИЦ ИНФРА-М,2024 - 336 с.(ВО)(п)</t>
  </si>
  <si>
    <t>ОСНОВЫ ПРИРОДОПОЛЬЗОВАНИЯ, ИЗД.1</t>
  </si>
  <si>
    <t>Григорьева И. Ю.</t>
  </si>
  <si>
    <t>978-5-16-019360-1</t>
  </si>
  <si>
    <t>05.03.05, 05.03.06, 20.03.01, 20.03.02</t>
  </si>
  <si>
    <t>Рекомендовано в качестве учебного пособия для студентов высших учебных заведений обучающихся по направлению 05.03.06 "Экология и природопользование"</t>
  </si>
  <si>
    <t>684824.07.01</t>
  </si>
  <si>
    <t>Основы программир. на языке С: Уч.пос. / В.Г.Дорогов - М.:ИД ФОРУМ,НИЦ ИНФРА-М,2027 - 224 с.(СПО)(П)</t>
  </si>
  <si>
    <t>ОСНОВЫ ПРОГРАММИРОВАНИЯ НА ЯЗЫКЕ С, ИЗД.1</t>
  </si>
  <si>
    <t>Дорогов В.Г., Дорогова Е.Г., Гагарина Л.Г.</t>
  </si>
  <si>
    <t>978-5-8199-0809-9</t>
  </si>
  <si>
    <t>09.02.03, 11.02.17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</si>
  <si>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10.02.00 «Информационная безопасность» (протокол № 14 от 30.09.2019)</t>
  </si>
  <si>
    <t>683030.05.01</t>
  </si>
  <si>
    <t>Основы программир.на языке Objective-C для iOS: Уч.пос. / А.В.Кузин - М.:НИЦ ИНФРА-М,2025 - 118 с.(СПО)(О)</t>
  </si>
  <si>
    <t>ОСНОВЫ ПРОГРАММИРОВАНИЯ НА ЯЗЫКЕ OBJECTIVE-C ДЛЯ IOS, ИЗД.1</t>
  </si>
  <si>
    <t>978-5-16-013986-9</t>
  </si>
  <si>
    <t>09.02.01, 09.02.02, 09.02.03, 09.02.04, 09.02.05</t>
  </si>
  <si>
    <t>631892.04.01</t>
  </si>
  <si>
    <t>Основы программирования на яз.Objective-C для iOS: Уч.пос./А.В.Кузин-М.:НИЦ ИНФРА-М,2023-118с(ВО)(о)</t>
  </si>
  <si>
    <t>978-5-16-005042-3</t>
  </si>
  <si>
    <t>02.03.02, 09.03.01, 09.03.02, 09.03.03, 09.03.04</t>
  </si>
  <si>
    <t>Рекомендовано в качестве учебного пособия для студентов высших учебных заведений, обучающихся по направлениям подготовки 09.03.04 «Программная инженерия», 09.03.01 «Информатика и вычислительная техника», 09.03.02 «Информационные системы и технологии», 09.03.03 «Прикладная информатика» (квалификация (степень) «бакалавр»)</t>
  </si>
  <si>
    <t>151650.11.01</t>
  </si>
  <si>
    <t>Основы программирования на языке С: Уч.пос. / В.Г. Дорогов - М.: ИД ФОРУМ:ИНФРА-М, 2021-224с.(ВО)</t>
  </si>
  <si>
    <t>978-5-8199-0882-2</t>
  </si>
  <si>
    <t>09.03.04, 09.04.04</t>
  </si>
  <si>
    <t>Рекомендовано Учебно-методическим советом Московского государственного института электронной техники (технического университета) в качестве учебного пособия для студентов высших учебных заведений, обучающихся по направлению «Информатика и вычислительная техника» и по основной образовательной программе подготовки бакалавров «Программная инженерия»</t>
  </si>
  <si>
    <t>151650.16.01</t>
  </si>
  <si>
    <t>Основы программирования на языке С: Уч.пос. / Л.Г.Гагарина, - 2 изд. - М.:НИЦ ИНФРА-М,2026. - 269 с.(ВО)(П)</t>
  </si>
  <si>
    <t>ОСНОВЫ ПРОГРАММИРОВАНИЯ НА ЯЗЫКЕ С, ИЗД.2</t>
  </si>
  <si>
    <t>Гагарина Л.Г., Дорогова Е.Г.</t>
  </si>
  <si>
    <t>978-5-16-020249-5</t>
  </si>
  <si>
    <t>777707.02.01</t>
  </si>
  <si>
    <t>Основы проектир. и разработки информ. сис.: Уч.пос. / Л.Г.Гагарина - М.:НИЦ ИНФРА-М,2026. - 211 с.(п)</t>
  </si>
  <si>
    <t>ОСНОВЫ ПРОЕКТИРОВАНИЯ И РАЗРАБОТКИ ИНФОРМАЦИОННЫХ СИСТЕМ, ИЗД.1</t>
  </si>
  <si>
    <t>Гагарина Л.Г., Шевнина Ю.С.</t>
  </si>
  <si>
    <t>978-5-16-017759-5</t>
  </si>
  <si>
    <t>09.03.03, 09.03.04, 09.04.03, 09.04.04, 09.06.01, 22.04.01, 27.04.04, 27.06.01</t>
  </si>
  <si>
    <t>845325.02.01</t>
  </si>
  <si>
    <t>Основы проектир. и разработки информ. сис.: Уч.пос. / Л.Г.Гагарина - М.:НИЦ ИНФРА-М,2026. - 211 с.(СПО)(п)</t>
  </si>
  <si>
    <t>978-5-16-020463-5</t>
  </si>
  <si>
    <t>08.02.01, 09.02.04, 09.02.07, 09.02.09, 09.02.10</t>
  </si>
  <si>
    <t>402650.06.01</t>
  </si>
  <si>
    <t>Основы проектир. пед. технолог.: Уч.-мет.пос./А.В.Пашкевич-3изд.-М.:ИЦ РИОР,НИЦ ИНФРА-М,2020-194с(о)</t>
  </si>
  <si>
    <t>ОСНОВЫ ПРОЕКТИРОВАНИЯ ПЕДАГОГИЧЕСКОЙ ТЕХНОЛОГИИ. ВЗАИМОСВЯЗЬ ТЕОРИИ И ПРАКТИКИ, ИЗД.3</t>
  </si>
  <si>
    <t>Пашкевич А. В.</t>
  </si>
  <si>
    <t>978-5-369-01544-5</t>
  </si>
  <si>
    <t>Средняя общеобразовательная школа №1, пгт. Пойковский, Ханты-Мансийский Автономный округ - Югра</t>
  </si>
  <si>
    <t>402650.09.01</t>
  </si>
  <si>
    <t>Основы проектир. педагогич. технологии..: Уч.мет.пос. / А.В.Пашкевич, - 4 изд.-М.:ИЦ РИОР, НИЦ ИНФРА-М,2021.-228с(О)</t>
  </si>
  <si>
    <t>ОСНОВЫ ПРОЕКТИРОВАНИЯ ПЕДАГОГИЧЕСКОЙ ТЕХНОЛОГИИ. ВЗАИМОСВЯЗЬ ТЕОРИИ И ПРАКТИКИ, ИЗД.4</t>
  </si>
  <si>
    <t>978-5-369-01864-4</t>
  </si>
  <si>
    <t>705353.04.01</t>
  </si>
  <si>
    <t>Основы проектир. технологий листовой штамповки: Уч.пос. / С.В.Сухов-М.:НИЦ ИНФРА-М,2023.-124 с (О)</t>
  </si>
  <si>
    <t>ОСНОВЫ ПРОЕКТИРОВАНИЯ ТЕХНОЛОГИЙ ЛИСТОВОЙ ШТАМПОВКИ, ИЗД.1</t>
  </si>
  <si>
    <t>Сухов С.В., Жаров М.В., Соколов А.В.</t>
  </si>
  <si>
    <t>978-5-16-015033-8</t>
  </si>
  <si>
    <t>15.02.01, 15.02.16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</si>
  <si>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22.02.00 «Технологии материалов» (протокол № 6 от 06.04.2020)</t>
  </si>
  <si>
    <t>735918.02.01</t>
  </si>
  <si>
    <t>Основы проектирования баз данных: Уч.пос. / А.В.Кузин - М.:НИЦ ИНФРА-М,2026. - 229 с.(СПО)(п)</t>
  </si>
  <si>
    <t>ОСНОВЫ ПРОЕКТИРОВАНИЯ БАЗ ДАННЫХ, ИЗД.1</t>
  </si>
  <si>
    <t>Кузин А.В.</t>
  </si>
  <si>
    <t>978-5-16-016312-3</t>
  </si>
  <si>
    <t>09.02.04, 09.02.06, 09.02.07, 09.02.09, 09.02.10</t>
  </si>
  <si>
    <t>771233.07.01</t>
  </si>
  <si>
    <t>Основы проектирования баз данных: Уч.пос. / В.Н.Шитов - М.:НИЦ ИНФРА-М,2026. - 236 с.(СПО)(п)</t>
  </si>
  <si>
    <t>978-5-16-017461-7</t>
  </si>
  <si>
    <t>09.01.03, 09.02.01, 09.02.04, 09.02.06, 09.02.07, 09.02.09, 10.02.01, 10.02.03, 11.02.12, 51.02.03, 09.02.10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</si>
  <si>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7 от 21.09.2022)</t>
  </si>
  <si>
    <t>069900.14.01</t>
  </si>
  <si>
    <t>Основы проектирования баз данных: Уч.пос. / О.Л.Голицына - 2 изд.-М.:Форум, НИЦ ИНФРА-М,2024.-416 с.(П)</t>
  </si>
  <si>
    <t>ОСНОВЫ ПРОЕКТИРОВАНИЯ БАЗ ДАННЫХ, ИЗД.2</t>
  </si>
  <si>
    <t>Голицына О.Л., Партыка Т.Л., Попов И.И.</t>
  </si>
  <si>
    <t>978-5-91134-655-3</t>
  </si>
  <si>
    <t>09.01.03, 09.02.01, 09.02.02, 09.02.03, 09.02.04, 09.02.05, 09.02.06, 09.02.07, 09.02.09, 10.02.01, 10.02.02, 10.02.03, 10.02.04, 10.02.05, 09.02.10</t>
  </si>
  <si>
    <t>Рекомендовано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t>
  </si>
  <si>
    <t>284600.05.01</t>
  </si>
  <si>
    <t>Основы проектирования предпр.легкой промышл.: Уч.пос. /Н.С.Тихонова - М.:Вуз.уч.,НИЦ ИНФРА-М,2022-224с(П)</t>
  </si>
  <si>
    <t>ОСНОВЫ ПРОЕКТИРОВАНИЯ ПРЕДПРИЯТИЙ ЛЕГКОЙ ПРОМЫШЛЕННОСТИ, ИЗД.1</t>
  </si>
  <si>
    <t>Тихонова Н.С., Свищев Г.А., Седляров О.И.</t>
  </si>
  <si>
    <t>978-5-9558-0375-3</t>
  </si>
  <si>
    <t>15.03.01, 15.03.02, 15.03.05, 15.04.01, 15.04.02, 15.04.05, 29.03.01, 29.03.05, 29.04.01, 29.04.05</t>
  </si>
  <si>
    <t>331100.07.01</t>
  </si>
  <si>
    <t>Основы проектирования технологий лист.штамповки: Уч.пос./С.В.Сухов-НИЦ ИНФРА-М,2023-124с.(ВО:Бак.)(О)</t>
  </si>
  <si>
    <t>С.В.Сухов, М.В.Жаров, А.В.Соколов</t>
  </si>
  <si>
    <t>978-5-16-010615-1</t>
  </si>
  <si>
    <t>809505.02.01</t>
  </si>
  <si>
    <t>Основы проектной деятельности: Уч. / Под ред. Чуланова О.Л. - М.:НИЦ ИНФРА-М,2025 - 307 с.(ВО)(п)</t>
  </si>
  <si>
    <t>ОСНОВЫ ПРОЕКТНОЙ ДЕЯТЕЛЬНОСТИ, ИЗД.1</t>
  </si>
  <si>
    <t>Чуланова О.Л., Алексеева Ю.А., Гашков М.В. и др.</t>
  </si>
  <si>
    <t>978-5-16-019902-3</t>
  </si>
  <si>
    <t>803424.01.01</t>
  </si>
  <si>
    <t>Основы произв. менеджмента и бережливое производство: Уч./ Е.Ю.Сидорова - М.:НИЦ ИНФРА-М,2025 - 412 с.(ВО)(п)</t>
  </si>
  <si>
    <t>ОСНОВЫ ПРОИЗВОДСТВЕННОГО МЕНЕДЖМЕНТА И БЕРЕЖЛИВОЕ ПРОИЗВОДСТВО, ИЗД.1</t>
  </si>
  <si>
    <t>Сидорова Е.Ю., Скрябин О.О., Жагловская А.В. и др.</t>
  </si>
  <si>
    <t>978-5-16-019144-7</t>
  </si>
  <si>
    <t>757886.05.01</t>
  </si>
  <si>
    <t>Основы противодействия коррупции в РФ: Уч.пос. / С.С.Зенин - М.:Юр. НОРМА, НИЦ ИНФРА-М,2026 - 296 с.(П)</t>
  </si>
  <si>
    <t>ОСНОВЫ ПРОТИВОДЕЙСТВИЯ КОРРУПЦИИ В РОССИЙСКОЙ ФЕДЕРАЦИИ, ИЗД.1</t>
  </si>
  <si>
    <t>Зенин С.С.</t>
  </si>
  <si>
    <t>978-5-00156-181-1</t>
  </si>
  <si>
    <t>821274.03.01</t>
  </si>
  <si>
    <t>Основы противодействия коррупции: Уч.пос. / Д.А.Шаманский - М.:НИЦ ИНФРА-М,2025. - 186 с.-(ВО)(п)</t>
  </si>
  <si>
    <t>ОСНОВЫ ПРОТИВОДЕЙСТВИЯ КОРРУПЦИИ, ИЗД.1</t>
  </si>
  <si>
    <t>Шаманский Д.А.</t>
  </si>
  <si>
    <t>978-5-16-019675-6</t>
  </si>
  <si>
    <t>208800.14.01</t>
  </si>
  <si>
    <t>Основы проф. межкультур. коммуникации: Уч. / Н.В.Барышников - 2 изд. - М.:НИЦ ИНФРА-М,2026 - 348 с.(П)</t>
  </si>
  <si>
    <t>ОСНОВЫ ПРОФЕССИОНАЛЬНОЙ МЕЖКУЛЬТУРНОЙ КОММУНИКАЦИИ, ИЗД.2</t>
  </si>
  <si>
    <t>978-5-16-021538-9</t>
  </si>
  <si>
    <t>37.03.01, 37.04.01, 38.03.01, 38.03.02, 38.03.03, 38.04.02, 38.04.03, 41.03.04, 41.03.05, 41.03.06, 41.04.04, 41.04.05, 42.03.01, 42.03.02, 42.04.01, 42.04.02, 45.03.01, 45.03.02, 45.04.01, 45.04.02, 51.03.01, 51.03.02</t>
  </si>
  <si>
    <t>Рекомендовано ФГБОУ ВО «Российский государственный педагогический университет имени А.И. Герцена» в качестве учебника к использованию в образовательных учреждениях, реализующих образовательные программы высшего профессионального образования по направлению подготовки «Лингвистика» (квалификация (степень) «бакалавр»)</t>
  </si>
  <si>
    <t>208800.07.01</t>
  </si>
  <si>
    <t>Основы профес. межкультурной коммуникации: Уч. / Н.В.Барышников -М.:Вуз.уч.,НИЦ ИНФРА-М,2021-368с(П)</t>
  </si>
  <si>
    <t>ОСНОВЫ ПРОФЕССИОНАЛЬНОЙ МЕЖКУЛЬТУРНОЙ КОММУНИКАЦИИ, ИЗД.1</t>
  </si>
  <si>
    <t>Барышников Н. В.</t>
  </si>
  <si>
    <t>978-5-9558-0314-2</t>
  </si>
  <si>
    <t>Рекомендовано ФГВОУ ВПО "Российский государственный педагогический университет им. А.И. Герцена» в качестве учебника к использованию в образовательных учреждениях, реализующих образовательные программы высшего профессионального образования по направл</t>
  </si>
  <si>
    <t>675298.08.01</t>
  </si>
  <si>
    <t>Основы профессиологии: Уч.пос. / Э.Ф.Зеер - 2 изд. - М.:НИЦ ИНФРА-М,2025 - 205 с.(ВО: Магистр.)(П)</t>
  </si>
  <si>
    <t>ОСНОВЫ ПРОФЕССИОЛОГИИ, ИЗД.2</t>
  </si>
  <si>
    <t>Зеер Э.Ф., Сыманюк Э.Э., Зиннатова М.В.</t>
  </si>
  <si>
    <t>978-5-16-017191-3</t>
  </si>
  <si>
    <t>37.04.01, 37.05.01, 44.04.02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</si>
  <si>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«магистр») (протокол № 6 от 16.06.2021)</t>
  </si>
  <si>
    <t>322600.07.01</t>
  </si>
  <si>
    <t>Основы профессиональной дидактики: Уч. пос. / П.И.Образцов - М.:Вузовский уч.:НИЦ ИНФРА-М,2026 - 288 с. (п)</t>
  </si>
  <si>
    <t>ОСНОВЫ ПРОФЕССИОНАЛЬНОЙ ДИДАКТИКИ, ИЗД.1</t>
  </si>
  <si>
    <t>Образцов П. И.</t>
  </si>
  <si>
    <t>978-5-9558-0409-5</t>
  </si>
  <si>
    <t>670834.04.01</t>
  </si>
  <si>
    <t>Основы профилактики в дерматовенерологии: Уч.пос. / М.Н.Гаджимурадов - М.:НИЦ ИНФРА-М,2026. - 96 с.(О)</t>
  </si>
  <si>
    <t>ОСНОВЫ ПРОФИЛАКТИКИ В ДЕРМАТОВЕНЕРОЛОГИИ, ИЗД.1</t>
  </si>
  <si>
    <t>Гаджимурадов М.Н.</t>
  </si>
  <si>
    <t>978-5-16-013514-4</t>
  </si>
  <si>
    <t>31.05.01, 31.05.02, 31.05.03, 31.08.32, 32.05.01, 33.05.01</t>
  </si>
  <si>
    <t>Рекомендовано в качестве учебного пособия для студентов высших учебных заведений, обучающихся по специальности 32.05.01 «Медико-профилактическое дело» (квалификация «врач по общей гигиене»)</t>
  </si>
  <si>
    <t>671505.03.01</t>
  </si>
  <si>
    <t>Основы процес.производ.и транспорт. заклад.: Уч.пос. / А.Н.Анушенков - М.:НИЦ ИНФРА-М, (ВО (СФУ)),2025 - 207 с.(П)</t>
  </si>
  <si>
    <t>ОСНОВЫ ПРОЦЕССОВ ПРОИЗВОДСТВА И ТРАНСПОРТИРОВАНИЯ ЗАКЛАДОЧНЫХ СМЕСЕЙ ПРИ ПОДЗЕМНОЙ РАЗРАБОТКЕ МЕСТОРОЖДЕНИЙ ПОЛЕЗНЫХ ИСКОПАЕМЫХ, ИЗД.1</t>
  </si>
  <si>
    <t>Анушенков А.Н., Стовманенко А.Ю., Волков Е.П.</t>
  </si>
  <si>
    <t>978-5-16-021068-1</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</si>
  <si>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специальности 21.05.04 «Горное дело»</t>
  </si>
  <si>
    <t>734723.05.01</t>
  </si>
  <si>
    <t>Основы процесса доказ. в свете суд. прак. по уголов. делам / Е.В.Брянская - М.:НИЦ ИНФРА-М,2026. - 222 с.(О)</t>
  </si>
  <si>
    <t>ОСНОВЫ ПРОЦЕССА ДОКАЗЫВАНИЯ В СВЕТЕ СУДЕБНОЙ ПРАКТИКИ ПО УГОЛОВНЫМ ДЕЛАМ, ИЗД.1</t>
  </si>
  <si>
    <t>Брянская Е.В., Алтунина А.А.</t>
  </si>
  <si>
    <t>978-5-16-016218-8</t>
  </si>
  <si>
    <t>427050.04.01</t>
  </si>
  <si>
    <t>Основы психолог.консультирования: Уч.пос. / О.О.Андронникова-М.:Вуз.уч., НИЦ ИНФРА-М,2019.-414 с.(П)</t>
  </si>
  <si>
    <t>ОСНОВЫ ПСИХОЛОГИЧЕСКОГО КОНСУЛЬТИРОВАНИЯ, ИЗД.1</t>
  </si>
  <si>
    <t>978-5-9558-0255-8</t>
  </si>
  <si>
    <t>31.05.01, 31.05.02, 37.03.01, 37.03.02, 37.04.01, 37.04.02, 37.05.01, 37.05.02, 44.03.02, 44.04.02</t>
  </si>
  <si>
    <t>154550.06.01</t>
  </si>
  <si>
    <t>Основы психологии: Уч.пос. / Э.В.Островский - М.:Вуз.уч., ИНФРА-М Изд.Дом,2017 - 268с.(П)</t>
  </si>
  <si>
    <t>ОСНОВЫ ПСИХОЛОГИИ, ИЗД.1</t>
  </si>
  <si>
    <t>978-5-9558-0202-2</t>
  </si>
  <si>
    <t>Рекомендовано РФ Научно-методическим советом по заочному экономическому  образованию в качестве учебного пособия для студентов ВУЗ, обучающихся по экономическим специальностям</t>
  </si>
  <si>
    <t>154550.12.01</t>
  </si>
  <si>
    <t>Основы психологии: Уч.пос. / Э.В.Островский, - 2 изд. - М.:Вуз. уч., НИЦ ИНФРА-М,2026. - 272 с.(П)</t>
  </si>
  <si>
    <t>ОСНОВЫ ПСИХОЛОГИИ, ИЗД.2</t>
  </si>
  <si>
    <t>978-5-16-021533-4</t>
  </si>
  <si>
    <t>427050.12.01</t>
  </si>
  <si>
    <t>Основы психологич. консультирования: Уч.пос. / О.О.Андронникова - 2 изд. - М.:НИЦ ИНФРА-М,2026 - 424 с.(ВО)(П)</t>
  </si>
  <si>
    <t>ОСНОВЫ ПСИХОЛОГИЧЕСКОГО КОНСУЛЬТИРОВАНИЯ, ИЗД.2</t>
  </si>
  <si>
    <t>978-5-16-020520-5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</si>
  <si>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психологическим направлениям подготовки (квалификация (степень) «магистр») (протокол № 10 от 12.10.2020)</t>
  </si>
  <si>
    <t>719275.07.01</t>
  </si>
  <si>
    <t>Основы психологич. коррекции детей и подростков: Уч.пос. / С.Н.Савинков - М.:НИЦ ИНФРА-М,2026 - 217 с.(ВО)(п)</t>
  </si>
  <si>
    <t>ОСНОВЫ ПСИХОЛОГИЧЕСКОЙ КОРРЕКЦИИ ДЕТЕЙ И ПОДРОСТКОВ, ИЗД.1</t>
  </si>
  <si>
    <t>Савинков С.Н., Барышева Е.О., Золотова В.А. и др.</t>
  </si>
  <si>
    <t>978-5-16-019885-9</t>
  </si>
  <si>
    <t>37.03.01, 44.03.02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</si>
  <si>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44.03.02 «Психолого-педагогическое образование» (квалификация (степень) «бакалавр») (протокол № 2 от 17.02.2021)</t>
  </si>
  <si>
    <t>122800.14.01</t>
  </si>
  <si>
    <t>Основы психологической безопасности: Уч.пос. / Н.С.Ефимова - М.:ИД ФОРУМ, НИЦ ИНФРА-М,2024 - 192с(ВО)(П)</t>
  </si>
  <si>
    <t>ОСНОВЫ ПСИХОЛОГИЧЕСКОЙ БЕЗОПАСНОСТИ, ИЗД.1</t>
  </si>
  <si>
    <t>978-5-8199-0843-3</t>
  </si>
  <si>
    <t>37.03.01, 44.03.01, 44.03.05, 44.04.01</t>
  </si>
  <si>
    <t>Рекомендовано Ученым Советом гуманитарного факультета РХТУ им. Д.И. Менделеева в качестве учебного пособия для студентов высших учебных заведений, обучающихся по специальности «Безопасность жизнедеятельности»</t>
  </si>
  <si>
    <t>404900.12.01</t>
  </si>
  <si>
    <t>Основы публичного права: Моногр. / М.Ориу - М.:НИЦ ИНФРА-М,2026 - 574 с.(Науч.мысль)(о)</t>
  </si>
  <si>
    <t>ОСНОВЫ ПУБЛИЧНОГО ПРАВА, ИЗД.1</t>
  </si>
  <si>
    <t>Ориу М.</t>
  </si>
  <si>
    <t>978-5-16-019816-3</t>
  </si>
  <si>
    <t>404900.11.01</t>
  </si>
  <si>
    <t>Основы публичного права: Монография / М.Ориу - М.:НИЦ ИНФРА-М,2024 - 574 с.-(Науч.мысль)(П)</t>
  </si>
  <si>
    <t>978-5-16-011647-1</t>
  </si>
  <si>
    <t>328400.12.01</t>
  </si>
  <si>
    <t>Основы работы в Microsoft Office 2013: Уч.пос. / А.В.Кузин - М.:Форум, НИЦ ИНФРА-М,2027. - 160 с.-(ВО)(о)</t>
  </si>
  <si>
    <t>ОСНОВЫ РАБОТЫ В MICROSOFT OFFICE 2013, ИЗД.1</t>
  </si>
  <si>
    <t>978-5-00091-024-5</t>
  </si>
  <si>
    <t>00.03.03, 00.05.03, 09.03.01</t>
  </si>
  <si>
    <t>805498.04.01</t>
  </si>
  <si>
    <t>Основы радиотехники и радиолокации..: Уч.пос.: В 2 ч.Ч.1 / В.Г.Золотых. - М.:НИЦ ИНФРА-М,2026. - 196 с.(ВО)(п)</t>
  </si>
  <si>
    <t>ОСНОВЫ РАДИОТЕХНИКИ И РАДИОЛОКАЦИИ: В 2 Ч., Т.1</t>
  </si>
  <si>
    <t>Золотых В.Г., Козлов Н.С., Каширин А.В. и др.</t>
  </si>
  <si>
    <t>978-5-16-019081-5</t>
  </si>
  <si>
    <t>03.04.03, 11.03.01, 11.05.01, 11.05.02, 25.05.03</t>
  </si>
  <si>
    <t>Рекомендовано экспертным советом ЧВВМУ имени П.С. Нахимова в качестве учебного пособия по дисциплине «Основы радиотехники и радиолокации» по специальностям 26.05.04 «Применение и эксплуатация технических систем надводных кораблей и подводных лодок», 27.02.04 «Автоматические системы управления». Учебное пособие может быть использовано адъюнктами, обучающимися по специальности 621 «Вооружение и военная техника»</t>
  </si>
  <si>
    <t>653165.05.01</t>
  </si>
  <si>
    <t>Основы разработки управ. решения: Уч.пос. / А.В.Барышев-М.:НИЦ ИНФРА-М,2023.-164 с.(ВО)(П)</t>
  </si>
  <si>
    <t>ОСНОВЫ РАЗРАБОТКИ УПРАВЛЕНЧЕСКОГО РЕШЕНИЯ, ИЗД.1</t>
  </si>
  <si>
    <t>Барышев А.В.</t>
  </si>
  <si>
    <t>978-5-16-017919-3</t>
  </si>
  <si>
    <t>38.03.02, 38.03.03, 38.03.04</t>
  </si>
  <si>
    <t>Рекомендовано в качестве учебного пособия для студентов  высших учебных заведений, обучающихся по направлениям подготовки 38.03.02 «Менеджмент», 38.03.04 «Государственное и муниципальное управление» (квалификация (степень) «бакалавр»)</t>
  </si>
  <si>
    <t>474300.05.01</t>
  </si>
  <si>
    <t>Основы расч. процессов получ. длинномер..: Уч. пос. / Н.Н. Загиров - 2 изд. - М.:НИЦ ИНФРА-М, 2027-311с(п)</t>
  </si>
  <si>
    <t>ОСНОВЫ РАСЧЕТОВ ПРОЦЕССОВ ПОЛУЧЕНИЯ ДЛИННОМЕРНЫХ МЕТАЛЛОИЗДЕЛИЙ МЕТОДАМИ ОБРАБОТКИ МЕТАЛЛОВ ДАВЛЕНИЕМ, ИЗД.2</t>
  </si>
  <si>
    <t>Загиров Н.Н., Константинов И.Л., Иванов Е.В.</t>
  </si>
  <si>
    <t>978-5-16-011628-0</t>
  </si>
  <si>
    <t>Допущено Учебно-методическим объединением по образованию в области металлургии в качестве учебного пособия для студентов высших учебных заведений, обучающихся по направлению 22.03.02 «Металлургия»</t>
  </si>
  <si>
    <t>669880.04.01</t>
  </si>
  <si>
    <t>Основы расч. процессов получ. длинномер..: Уч.пос. / Н.Н.Загиров. - М.:НИЦ ИНФРА-М. 2027 - 311 с.(п)</t>
  </si>
  <si>
    <t>ОСНОВЫ РАСЧЕТОВ ПРОЦЕССОВ ПОЛУЧЕНИЯ ДЛИННОМЕРНЫХ МЕТАЛЛОИЗДЕЛИЙ МЕТОДАМИ ОБРАБОТКИ МЕТАЛЛОВ ДАВЛЕНИЕМ, ИЗД.1</t>
  </si>
  <si>
    <t>978-5-16-013353-9</t>
  </si>
  <si>
    <t>22.04.02, 22.06.01</t>
  </si>
  <si>
    <t>Допущено Учебно-методическим объединением по образованию в области металлургии в качестве учебного пособия для студентов высших учебных заведений, обучающихся по направлению 22.04.02 «Металлургия»</t>
  </si>
  <si>
    <t>088900.11.01</t>
  </si>
  <si>
    <t>Основы рекламы.: Уч. / А.Н. Мудров. - 3 изд. - М.: Магистр:  ИНФРА-М, 2024. - 416с. (п)</t>
  </si>
  <si>
    <t>ОСНОВЫ РЕКЛАМЫ, ИЗД.3</t>
  </si>
  <si>
    <t>Мудров А. Н.</t>
  </si>
  <si>
    <t>978-5-9776-0212-9</t>
  </si>
  <si>
    <t>38.03.01, 38.03.06, 38.03.07, 38.04.01, 38.04.06, 38.04.07, 41.03.06, 42.03.01, 42.04.01</t>
  </si>
  <si>
    <t>Допущено Министерством образования и науки РФ в качестве учебника для студентов вузов, обучающихся по специальности 350700 "Реклама"</t>
  </si>
  <si>
    <t>Рекламное агентство Северо Медиа</t>
  </si>
  <si>
    <t>166200.10.01</t>
  </si>
  <si>
    <t>Основы рекламы: Уч. пос. / Е.И. Мазилкина, Г.Г. Паничкина - М.: Альфа-М, 2023-240с. (ПРОФИль) (П)</t>
  </si>
  <si>
    <t>ОСНОВЫ РЕКЛАМЫ, ИЗД.1</t>
  </si>
  <si>
    <t>Мазилкина Е. И., Паничкина Г. Г., Ольхова Л. А.</t>
  </si>
  <si>
    <t>978-5-98281-271-1</t>
  </si>
  <si>
    <t>40.02.04, 42.01.01, 42.02.01, 54.02.08</t>
  </si>
  <si>
    <t>Рекомендовано ФГБОУ ВПО "Государственный университет управления"  в качестве учебного пособия для студентов среднего профессионального образования, обучающихся по спец. 070700 "Реклама"</t>
  </si>
  <si>
    <t>166200.14.01</t>
  </si>
  <si>
    <t>Основы рекламы: Уч.пос. / Е.И.Мазилкина - 2 изд. - М.:НИЦ ИНФРА-М,2026. - 240 с.(СПО)(п)</t>
  </si>
  <si>
    <t>ОСНОВЫ РЕКЛАМЫ, ИЗД.2</t>
  </si>
  <si>
    <t>Мазилкина Е.И., Паничкина Г.Г., Ольхова Л.А.</t>
  </si>
  <si>
    <t>978-5-16-019214-7</t>
  </si>
  <si>
    <t>656350.06.01</t>
  </si>
  <si>
    <t>Основы религиозной культуры и нравственности: Уч. /К.В.Воденко - М.:ИЦ РИОР, НИЦ ИНФРА-М,2026 - 200 с.(ВО)</t>
  </si>
  <si>
    <t>ОСНОВЫ РЕЛИГИОЗНОЙ КУЛЬТУРЫ И НРАВСТВЕННОСТИ, ИЗД.1</t>
  </si>
  <si>
    <t>Воденко К.В., Астапов С.Н., Корякин А.А. и др.</t>
  </si>
  <si>
    <t>978-5-369-01685-5</t>
  </si>
  <si>
    <t>37.03.01, 44.03.05, 47.03.01, 51.03.01</t>
  </si>
  <si>
    <t>382200.07.01</t>
  </si>
  <si>
    <t>Основы риторической критики: Уч.пос. / В.В.Смолененкова - М., НИЦ ИНФРА-М,2026 - 191 с.(ВО)(о)</t>
  </si>
  <si>
    <t>ОСНОВЫ РИТОРИЧЕСКОЙ КРИТИКИ, ИЗД.1</t>
  </si>
  <si>
    <t>Смолененкова В.В.</t>
  </si>
  <si>
    <t>978-5-16-021614-0</t>
  </si>
  <si>
    <t>37.03.01, 44.03.05, 45.03.01, 45.04.01</t>
  </si>
  <si>
    <t>Рекомендовано в качестве учебного пособия для учебных курсов «История риторической аргументации в России», «Основы риторики», «Риторическая критика» в рамках магистерской программы «Общая теория языка и риторика»</t>
  </si>
  <si>
    <t>165800.21.01</t>
  </si>
  <si>
    <t>Основы робототехники: Уч.пос. / А.А.Иванов - 2 изд. - М.:НИЦ ИНФРА-М,2027 - 223 с.(ВО)(п)</t>
  </si>
  <si>
    <t>ОСНОВЫ РОБОТОТЕХНИКИ, ИЗД.2</t>
  </si>
  <si>
    <t>978-5-16-018528-6</t>
  </si>
  <si>
    <t>Допущено Учебно-методическим объединением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направлениям подготовки дипломированных специалистов 15.03.05 «Конструкторско-технологическое обеспечение машиностроительных производств», 15.03.04 «Автоматизация технологических процессов и производств» (квалификация (степень) «бакалавр»)</t>
  </si>
  <si>
    <t>697595.11.01</t>
  </si>
  <si>
    <t>Основы робототехники: Уч.пос. / А.А.Иванов - 2 изд., - М.:НИЦ ИНФРА-М,2027 - 223 с.(СПО)(п)</t>
  </si>
  <si>
    <t>978-5-16-014622-5</t>
  </si>
  <si>
    <t>12.02.04, 15.02.01, 15.02.03, 15.02.07, 15.02.09, 15.02.10, 15.02.16, 15.02.17, 15.02.18, 23.02.03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</si>
  <si>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15.02.07 «Автоматизация технологических процессов и производств (по отраслям)», 15.02.08 «Технология машиностроения», 15.02.09 «Аддитивные технологии», 15.02.10 «Мехатроника и мобильная робототехника (по отраслям)», 15.02.11 «Техническая эксплуатация и обслуживание роботизированного производства», 15.02.14 «Оснащение средствами автоматизации технологических процессов и производств (по отраслям)»</t>
  </si>
  <si>
    <t>818226.06.01</t>
  </si>
  <si>
    <t>Основы рос. государств.: Уч. / Под ред. Гулякова А.Д. - М.:ИЦ РИОР, НИЦ ИНФРА-М,2026. - 266 с.[цв.вкл.](ВО)(п)</t>
  </si>
  <si>
    <t>ОСНОВЫ РОССИЙСКОЙ ГОСУДАРСТВЕННОСТИ, ИЗД.1</t>
  </si>
  <si>
    <t>Гуляков А.Д., Саломатин А.Ю., Гошуляк В.В. и др.</t>
  </si>
  <si>
    <t>978-5-369-01946-7</t>
  </si>
  <si>
    <t>00.01.03, 00.02.04, 00.03.42, 00.05.18</t>
  </si>
  <si>
    <t>818228.03.01</t>
  </si>
  <si>
    <t>Основы рос. государственности : Уч. / Под ред. А.Д. Гулякова. - М. : РИОР, ИНФРА-М, 2026 - 232 с.(СПО)(п)</t>
  </si>
  <si>
    <t>Саломатин А.Ю., Гошуляк В.В., Сеидов Ш.Г. и др.</t>
  </si>
  <si>
    <t>978-5-369-01952-8</t>
  </si>
  <si>
    <t>00.01.03, 00.02.04</t>
  </si>
  <si>
    <t>818364.05.01</t>
  </si>
  <si>
    <t>Основы российской государственности: Уч.пос. / А.Л.Панищев - М.:НИЦ ИНФРА-М,2026 - 190 с.(ВО)(п)</t>
  </si>
  <si>
    <t>978-5-16-019549-0</t>
  </si>
  <si>
    <t>00.03.42, 00.05.18</t>
  </si>
  <si>
    <t>843810.02.01</t>
  </si>
  <si>
    <t>Основы российской государственности: Уч.пос. / А.Л.Панищев - М.:НИЦ ИНФРА-М,2026. - 190 с.(СПО)(п)</t>
  </si>
  <si>
    <t>978-5-16-020405-5</t>
  </si>
  <si>
    <t>00.01.03, 00.02.04, 00.01.06, 00.02.25</t>
  </si>
  <si>
    <t>175500.08.01</t>
  </si>
  <si>
    <t>Основы русского языка: свободное понимание: Уч.пос. / С.Е.Ефимов - М.:ИЦ РИОР, НИЦ ИНФРА-М,2025. - 416 с.(ВО)(п)</t>
  </si>
  <si>
    <t>ОСНОВЫ РУССКОГО ЯЗЫКА: СВОБОДНОЕ ПОНИМАНИЕ, ИЗД.1</t>
  </si>
  <si>
    <t>Ефимов С. Е.</t>
  </si>
  <si>
    <t>978-5-369-00944-4</t>
  </si>
  <si>
    <t>174100.12.01</t>
  </si>
  <si>
    <t>Основы самоменеджмента: Уч. / И.И.Исаченко - М.:НИЦ ИНФРА-М,2025 - 312 с.(ВО)(П)</t>
  </si>
  <si>
    <t>ОСНОВЫ САМОМЕНЕДЖМЕНТА, ИЗД.1</t>
  </si>
  <si>
    <t>Исаченко И.И.</t>
  </si>
  <si>
    <t>978-5-16-005304-2</t>
  </si>
  <si>
    <t>07.03.03, 19.03.04, 23.03.01, 27.03.02, 29.03.02, 35.03.03, 35.03.04, 35.03.09, 38.03.02, 38.03.04, 38.04.01, 38.04.02, 38.04.04, 44.03.05, 45.03.01, 45.03.03, 51.03.01</t>
  </si>
  <si>
    <t>Рекомендовано ФГБОУ ВПО «Государственный университет управления» в качестве учебника для студентов высших учебных заведений, обучающихся по направлению подготовки 38.03.02 «Менеджмент» (квалификация (степень) «бакалавр»)</t>
  </si>
  <si>
    <t>817829.03.01</t>
  </si>
  <si>
    <t>Основы санитарно-гигиенич. просвещения: Уч.пос. / В.Д.Дорофеев - М.:НИЦ ИНФРА-М,2027 - 335 с.(ВО)(п)</t>
  </si>
  <si>
    <t>ОСНОВЫ САНИТАРНО-ГИГИЕНИЧЕСКОГО ПРОСВЕЩЕНИЯ, ИЗД.1</t>
  </si>
  <si>
    <t>Дорофеев В.Д.</t>
  </si>
  <si>
    <t>978-5-16-019534-6</t>
  </si>
  <si>
    <t>31.05.01, 31.05.02, 31.05.03, 32.04.01, 32.05.01</t>
  </si>
  <si>
    <t>656762.01.01</t>
  </si>
  <si>
    <t>Основы системы качества: Уч.пос. / А.А.Афанасьев - М.:НИЦ ИНФРА-М,2025. - 270 с.(ВО)(п)</t>
  </si>
  <si>
    <t>ОСНОВЫ СИСТЕМЫ КАЧЕСТВА, ИЗД.1</t>
  </si>
  <si>
    <t>978-5-16-015016-1</t>
  </si>
  <si>
    <t>27.04.01</t>
  </si>
  <si>
    <t>248800.06.01</t>
  </si>
  <si>
    <t>Основы совр. материаловедения: Уч. / О.С.Сироткин -М.:НИЦ ИНФРА-М,2023-364 с.(ВО:Бакалавр.)(П)</t>
  </si>
  <si>
    <t>ОСНОВЫ СОВРЕМЕННОГО МАТЕРИАЛОВЕДЕНИЯ, ИЗД.1</t>
  </si>
  <si>
    <t>978-5-16-009335-2</t>
  </si>
  <si>
    <t>Допущено Научно-методическим советом по материаловедению и технологии конструкционных материалов Министерства образования и науки РФ в качестве учебника для студентов высших учебных заведений, обучающихся в области техники и технолог</t>
  </si>
  <si>
    <t>248800.07.01</t>
  </si>
  <si>
    <t>Основы совр. материаловедения: Уч. / О.С.Сироткин, - 2 изд.-М.:НИЦ ИНФРА-М,2024.-381 с.(ВО)(п)</t>
  </si>
  <si>
    <t>ОСНОВЫ СОВРЕМЕННОГО МАТЕРИАЛОВЕДЕНИЯ, ИЗД.2</t>
  </si>
  <si>
    <t>Сироткин О.С., Сироткин Р.О.</t>
  </si>
  <si>
    <t>978-5-16-019368-7</t>
  </si>
  <si>
    <t>704067.02.01</t>
  </si>
  <si>
    <t>Основы современного материаловедения: Уч. / О.С.Сироткин - М.:НИЦ ИНФРА-М,2023 - 364 с.(СПО)(П)</t>
  </si>
  <si>
    <t>978-5-16-014909-7</t>
  </si>
  <si>
    <t>13.02.01, 13.02.02, 13.02.07, 13.02.08, 13.02.09, 13.02.12, 13.02.13, 26.02.04, 55.02.01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</si>
  <si>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специальностям (протокол № 17 от 11.11.2019)</t>
  </si>
  <si>
    <t>849246.03.01</t>
  </si>
  <si>
    <t>Основы соц. страхования...: Науч.-прак. пос. / Ю.В.Воронин. - М.:Юр. НОРМА, НИЦ ИНФРА-М,2026. - 440 с.(п)</t>
  </si>
  <si>
    <t>ОСНОВЫ СОЦИАЛЬНОГО СТРАХОВАНИЯ: СТАНОВЛЕНИЕ И РАЗВИТИЕ, ИЗД.1</t>
  </si>
  <si>
    <t>Воронин Ю.В., Азарова Е.Г., Антонова Н.В. и др.</t>
  </si>
  <si>
    <t>978-5-00156-411-9</t>
  </si>
  <si>
    <t>39.03.02, 39.06.01, 40.05.04, 40.06.01</t>
  </si>
  <si>
    <t>828637.01.01</t>
  </si>
  <si>
    <t>Основы социального государства: Уч. / Л.О.Терновая - М.:НИЦ ИНФРА-М,2025 - 244 с.(ВО)(п)</t>
  </si>
  <si>
    <t>ОСНОВЫ СОЦИАЛЬНОГО ГОСУДАРСТВА, ИЗД.1</t>
  </si>
  <si>
    <t>978-5-16-020265-5</t>
  </si>
  <si>
    <t>38.03.04, 39.03.02, 43.03.01</t>
  </si>
  <si>
    <t>785356.02.01</t>
  </si>
  <si>
    <t>Основы социального государства: Уч.пос. / О.С.Морозова - М.:НИЦ ИНФРА-М,2025. - 152 с.(ВО)(П)</t>
  </si>
  <si>
    <t>Морозова О.С.</t>
  </si>
  <si>
    <t>978-5-16-017884-4</t>
  </si>
  <si>
    <t>39.03.02, 41.03.06, 43.03.01, 43.03.02, 43.03.03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</si>
  <si>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в области образования «Науки об обществе» (квалификация (степень) «бакалавр») (протокол № 7 от 21.09.2022)</t>
  </si>
  <si>
    <t>736724.03.01</t>
  </si>
  <si>
    <t>Основы социальной медицины: Уч.пос. / Г.П.Артюнина - М.:НИЦ ИНФРА-М,2026 - 359 с.-(СПО)(П)</t>
  </si>
  <si>
    <t>ОСНОВЫ СОЦИАЛЬНОЙ МЕДИЦИНЫ, ИЗД.1</t>
  </si>
  <si>
    <t>Артюнина Г.П., Иванова Н.В.</t>
  </si>
  <si>
    <t>978-5-16-016264-5</t>
  </si>
  <si>
    <t>31.02.01, 39.02.01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</si>
  <si>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39.02.01 «Социальная работа», 31.02.01 «Лечебное дело», 34.02.01 «Сестринское дело» (протокол № 3 от 17.02.2020)</t>
  </si>
  <si>
    <t>Псковский государственный  университет</t>
  </si>
  <si>
    <t>437300.09.01</t>
  </si>
  <si>
    <t>Основы социальной медицины: Уч.пос. / Г.П.Артюнина - М.:Форум, НИЦ ИНФРА-М,2027 - 360 с.(ВО)(П)</t>
  </si>
  <si>
    <t>АртюнинаГ.П., ИвановаН.В.</t>
  </si>
  <si>
    <t>978-5-00091-132-7</t>
  </si>
  <si>
    <t>31.05.01, 34.03.01, 37.03.01, 39.03.02</t>
  </si>
  <si>
    <t>Допущено Учебно-методическим объединением по направлениям медицинского и гуманитарного образования Министерства образования Российской Федерации в качестве учебного пособия для студентов медицинских и гуманитарных вузов</t>
  </si>
  <si>
    <t>798339.01.01</t>
  </si>
  <si>
    <t>Основы социальной полит. и соц. защиты: Уч. пос. / В.И.Шарин-М.:НИЦ ИНФРА-М,2023-383с(СПО)(п)</t>
  </si>
  <si>
    <t>ОСНОВЫ СОЦИАЛЬНОЙ ПОЛИТИКИ И СОЦИАЛЬНОЙ ЗАЩИТЫ, ИЗД.1</t>
  </si>
  <si>
    <t>Шарин В.И.</t>
  </si>
  <si>
    <t>978-5-16-018362-6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</si>
  <si>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39.02.01 «Социальная работа» (протокол № 10 от 21.12.2022)</t>
  </si>
  <si>
    <t>477550.05.01</t>
  </si>
  <si>
    <t>Основы социально-экономического управл. в произв.: Уч. пос. /А.В.Беляева -РИОР:ИНФРА-М,2022-60с.(ВО)</t>
  </si>
  <si>
    <t>ОСНОВЫ СОЦИАЛЬНО-ЭКОНОМИЧЕСКОГО УПРАВЛЕНИЯ В ПРОИЗВОДСТВЕ, ИЗД.1</t>
  </si>
  <si>
    <t>Беляева А. В., Федоров В. К., Черкасов М. Н.</t>
  </si>
  <si>
    <t>978-5-369-01387-8</t>
  </si>
  <si>
    <t>061600.15.01</t>
  </si>
  <si>
    <t>Основы социологии и политологии: Уч. / Г.И.Козырев - 2 изд. - М.:ИД ФОРУМ, НИЦ ИНФРА-М,2025 - 271 c.(ПО)(П)</t>
  </si>
  <si>
    <t>ОСНОВЫ СОЦИОЛОГИИ И ПОЛИТОЛОГИИ, ИЗД.2</t>
  </si>
  <si>
    <t>978-5-8199-0896-9</t>
  </si>
  <si>
    <t>00.02.21, 39.02.01, 40.02.04</t>
  </si>
  <si>
    <t>038420.12.01</t>
  </si>
  <si>
    <t>Основы социологии и политологии: Уч. пос. / М.В.Кернаценский, - 2 изд. - М.:Форум,2027. - 224 с.(П)</t>
  </si>
  <si>
    <t>Кернаценский М. В., Шатина Н. В.</t>
  </si>
  <si>
    <t>978-5-91134-381-1</t>
  </si>
  <si>
    <t>39.01.01, 39.02.01, 39.02.02</t>
  </si>
  <si>
    <t>129200.06.01</t>
  </si>
  <si>
    <t>Основы социологии и политологии: Уч. пос./ Р.Ф. Матвеев. - М.: Форум, 2025. - 256 с. (п)</t>
  </si>
  <si>
    <t>ОСНОВЫ СОЦИОЛОГИИ И ПОЛИТОЛОГИИ, ИЗД.1</t>
  </si>
  <si>
    <t>Матвеев Р. Ф.</t>
  </si>
  <si>
    <t>978-5-91134-411-5</t>
  </si>
  <si>
    <t>39.01.01, 39.02.01, 40.02.04</t>
  </si>
  <si>
    <t>142450.14.01</t>
  </si>
  <si>
    <t>Основы социологии и политологии: Уч.пос. / Ю.Г.Волков - 2 изд. - М.:НИЦ ИНФРА-М,2026 - 204 с.(СПО)(П)</t>
  </si>
  <si>
    <t>Волков Ю.Г., Лубский А.В.</t>
  </si>
  <si>
    <t>978-5-16-011915-1</t>
  </si>
  <si>
    <t>31.02.01, 39.01.01, 39.02.01, 40.02.04</t>
  </si>
  <si>
    <t>Рекомендовано в качестве учебного пособия для учебных заведений, реализующих программу среднего профессионального образования</t>
  </si>
  <si>
    <t>658774.02.01</t>
  </si>
  <si>
    <t>Основы социологии кадровой безопасности: Уч.пос. / М.Н.Вражнова-М.:НИЦ ИНФРА-М,2023.-261 с.(ВО)(П)</t>
  </si>
  <si>
    <t>ОСНОВЫ СОЦИОЛОГИИ КАДРОВОЙ БЕЗОПАСНОСТИ, ИЗД.1</t>
  </si>
  <si>
    <t>Вражнова М.Н., Терновая Л.О.</t>
  </si>
  <si>
    <t>978-5-16-014178-7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</si>
  <si>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38.03.03 «Управление персоналом», 38.03.02 «Менеджмент» (квалификация (степень) «бакалавр») (протокол № 6 от 25.03.2019)</t>
  </si>
  <si>
    <t>704423.07.01</t>
  </si>
  <si>
    <t>Основы спец. педагогики и психологии: Уч. / Е.Ю.Азбукина - М.:НИЦ ИНФРА-М,2026. - 396 с.(ВО: Бакалавр.)(п)</t>
  </si>
  <si>
    <t>ОСНОВЫ СПЕЦИАЛЬНОЙ ПЕДАГОГИКИ И ПСИХОЛОГИИ, ИЗД.1</t>
  </si>
  <si>
    <t>Азбукина Е.Ю., Михайлова Е.Н.</t>
  </si>
  <si>
    <t>978-5-16-015062-8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</si>
  <si>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(квалификация (степень) «бакалавр») (протокол № 4 от 25.02.2019)</t>
  </si>
  <si>
    <t>КОРПОРАТИВНЫЙ УНИВЕРСИТЕТ МОСКОВСКОГО ОБРАЗОВАНИ</t>
  </si>
  <si>
    <t>712372.07.01</t>
  </si>
  <si>
    <t>Основы специальной педагогики и психологии: Уч. / Е.Ю.Азбукина - М.:НИЦ ИНФРА-М,2026 - 396 с.(СПО)(П)</t>
  </si>
  <si>
    <t>978-5-16-015362-9</t>
  </si>
  <si>
    <t>37.00.00, 44.00.00, 39.02.01, 44.02.01, 44.02.02, 44.02.03, 44.02.04, 44.02.05, 44.02.06, 49.02.01, 49.02.02, 51.02.01, 53.02.01, 54.02.06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</si>
  <si>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5 от 11.03.2019)</t>
  </si>
  <si>
    <t>818409.01.01</t>
  </si>
  <si>
    <t>Основы спортивной подготовки: Уч.пос. / Л.К.Сидоров-М.:НИЦ ИНФРА-М, СФУ,2024.-111 с.(ВО (СФУ))(о)</t>
  </si>
  <si>
    <t>ОСНОВЫ СПОРТИВНОЙ ПОДГОТОВКИ, ИЗД.1</t>
  </si>
  <si>
    <t>Сидоров Л.К., Савчук А.Н., Садырин С.Л.</t>
  </si>
  <si>
    <t>978-5-16-019513-1</t>
  </si>
  <si>
    <t>49.03.01, 49.03.03, 49.03.04, 49.04.03</t>
  </si>
  <si>
    <t>134450.15.01</t>
  </si>
  <si>
    <t>Основы статистики: Уч. пос. / С.А. Канцедал. - М.: ИНФРА-М, 2027. - 192 с.(СПО)(п)</t>
  </si>
  <si>
    <t>ОСНОВЫ СТАТИСТИКИ, ИЗД.1</t>
  </si>
  <si>
    <t>978-5-16-022432-9</t>
  </si>
  <si>
    <t>Рекомендовано методическим советом Иститута искусств и информационных технологий в качестве учебного пособия для студентов средних специальных учебных заведений, обучающихся по группе специальностей "Экономика и управление"</t>
  </si>
  <si>
    <t>304200.06.01</t>
  </si>
  <si>
    <t>Основы статистической физики: Уч.пос. / А.Г. Браун - 3 изд. - М.: НИЦ ИНФРА-М, 2026 - 120 с.(ВО) (о)</t>
  </si>
  <si>
    <t>ОСНОВЫ СТАТИСТИЧЕСКОЙ ФИЗИКИ, ИЗД.3</t>
  </si>
  <si>
    <t>978-5-16-010234-4</t>
  </si>
  <si>
    <t>03.03.01, 03.04.01</t>
  </si>
  <si>
    <t>800200.02.01</t>
  </si>
  <si>
    <t>Основы стилевой дидактики в совр. шк.: Моногр. / С.А.Старченко - М.:НИЦ ИНФРА-М,2025. - 214 с.(о)</t>
  </si>
  <si>
    <t>ОСНОВЫ СТИЛЕВОЙ ДИДАКТИКИ В СОВРЕМЕННОЙ ШКОЛЕ, ИЗД.1</t>
  </si>
  <si>
    <t>Старченко С.А.</t>
  </si>
  <si>
    <t>978-5-16-018356-5</t>
  </si>
  <si>
    <t>44.03.05, 44.04.01, 44.06.01</t>
  </si>
  <si>
    <t>032608.19.01</t>
  </si>
  <si>
    <t>Основы судебного красноречия: Уч.пос. / Н.Н.Ивакина, - 3 изд. - М.:Юр. НОРМА, НИЦ ИНФРА-М,2026. - 592 с.(п)</t>
  </si>
  <si>
    <t>ОСНОВЫ СУДЕБНОГО КРАСНОРЕЧИЯ (РИТОРИКА ДЛЯ ЮРИСТОВ), ИЗД.3</t>
  </si>
  <si>
    <t>Ивакина Н. Н.</t>
  </si>
  <si>
    <t>978-5-91768-150-4</t>
  </si>
  <si>
    <t>824066.03.01</t>
  </si>
  <si>
    <t>Основы текстологии. Методы анализа..: Уч.пос. / М.Э.Конурбаев - М.:НИЦ ИНФРА-М,2026 - 533 с.(ВО)(п)</t>
  </si>
  <si>
    <t>ОСНОВЫ ТЕКСТОЛОГИИ. МЕТОДЫ АНАЛИЗА И РАСШИФРОВКИ ТЕКСТОВ НА АНГЛИЙСКОМ ЯЗЫКЕ. CRITICAL ARISTOTLE. THE NICOMACHEAN ETHICS., ИЗД.1</t>
  </si>
  <si>
    <t>978-5-16-019809-5</t>
  </si>
  <si>
    <t>45.03.01, 45.03.02, 45.03.03, 45.03.04, 45.03.99</t>
  </si>
  <si>
    <t>457950.12.01</t>
  </si>
  <si>
    <t>Основы теор. доказательств в уголов. процес. России: Уч.пос. / Е.А.Артамонова - 5 изд. - М.:Юр. НОРМА, НИЦ ИНФРА-М,2026. - 298 с.(о)</t>
  </si>
  <si>
    <t>ОСНОВЫ ТЕОРИИ ДОКАЗАТЕЛЬСТВ В УГОЛОВНОМ ПРОЦЕССЕ РОССИИ, ИЗД.5</t>
  </si>
  <si>
    <t>Артамонова Е.А., Фирсов О.В.</t>
  </si>
  <si>
    <t>978-5-00156-481-2</t>
  </si>
  <si>
    <t>Допущено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специальности и направлению подготовки «Юриспруденция»</t>
  </si>
  <si>
    <t>049750.20.01</t>
  </si>
  <si>
    <t>Основы теории автомобил. двигателей и авто.: Уч.пос. / В.А.Стуканов - М.:НИЦ ИНФРА-М,2026 - 368 с.(СПО)(п)</t>
  </si>
  <si>
    <t>ОСНОВЫ ТЕОРИИ АВТОМОБИЛЬНЫХ ДВИГАТЕЛЕЙ И АВТОМОБИЛЯ, ИЗД.1</t>
  </si>
  <si>
    <t>978-5-16-021151-0</t>
  </si>
  <si>
    <t>205300.06.01</t>
  </si>
  <si>
    <t>Основы теории вероятностей: Уч. / Г.А.Соколов - 2 изд. - М.:НИЦ ИНФРА-М,2025 - 340 с. - (ВО: Бакалавр.)(п)</t>
  </si>
  <si>
    <t>ОСНОВЫ ТЕОРИИ ВЕРОЯТНОСТЕЙ, ИЗД.2</t>
  </si>
  <si>
    <t>Г.А.Соколов</t>
  </si>
  <si>
    <t>978-5-16-006728-5</t>
  </si>
  <si>
    <t>38</t>
  </si>
  <si>
    <t>457950.09.01</t>
  </si>
  <si>
    <t>Основы теории доказательств в угол. проц. России: Уч. пос./Е.А.Артамонова-Норма: ИНФРА-М, 2024-240с. (о)</t>
  </si>
  <si>
    <t>ОСНОВЫ ТЕОРИИ ДОКАЗАТЕЛЬСТВ В УГОЛОВНОМ ПРОЦЕССЕ РОССИИ, ИЗД.4</t>
  </si>
  <si>
    <t>Артамонова Е. А., Фирсов О. В.</t>
  </si>
  <si>
    <t>978-5-91768-447-5</t>
  </si>
  <si>
    <t>686660.03.01</t>
  </si>
  <si>
    <t>Основы теории и алгоритмы на графах: Уч.пос. / Н.И.Гданский - М.:НИЦ ИНФРА-М,2025 - 206 с.(ВО)(п)</t>
  </si>
  <si>
    <t>ОСНОВЫ ТЕОРИИ И АЛГОРИТМЫ НА ГРАФАХ, ИЗД.1</t>
  </si>
  <si>
    <t>978-5-16-020256-3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</si>
  <si>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09.03.00 «Информатика и вычислительная техника» (квалификация (степень) «бакалавр») (протокол № 17 от 11.11.2019)</t>
  </si>
  <si>
    <t>663442.05.01</t>
  </si>
  <si>
    <t>Основы теории и расчета цифр. фильт.: Уч.пос. / Под ред. Смольского С.М. - 2 изд.-М.:НИЦ ИНФРА-М,2024-272 с.(ВО)(п)</t>
  </si>
  <si>
    <t>ОСНОВЫ ТЕОРИИ И РАСЧЕТА ЦИФРОВЫХ ФИЛЬТРОВ, ИЗД.2</t>
  </si>
  <si>
    <t>Васильев В.П., Муро Э.Л., Смольский С.М. и др.</t>
  </si>
  <si>
    <t>978-5-16-019073-0</t>
  </si>
  <si>
    <t>Рекомендовано Учебно-методическим объединением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направлению подготовки «Радиотехника»</t>
  </si>
  <si>
    <t>Московский энергетический институт, ф-л в г. Смоленске</t>
  </si>
  <si>
    <t>452950.13.01</t>
  </si>
  <si>
    <t>Основы теории информации: справ.: Уч.пос. / А.М.Маскаева - 2 изд. - М.:Форум, НИЦ ИНФРА-М,2024 - 194 с.(П)</t>
  </si>
  <si>
    <t>ОСНОВЫ ТЕОРИИ ИНФОРМАЦИИ: СПРАВОЧНИК, ИЗД.2</t>
  </si>
  <si>
    <t>Маскаева А.М.</t>
  </si>
  <si>
    <t>978-5-00091-761-9</t>
  </si>
  <si>
    <t>09.02.01, 09.02.02, 09.02.03, 09.02.04, 09.02.05, 09.02.06, 10.02.01, 10.02.02, 10.02.03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</si>
  <si>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09.02.05 «Прикладная информатика (по отраслям)», 09.02.06 «Сетевое и системное администрирование» (протокол № 1 от 20.01.2021)</t>
  </si>
  <si>
    <t>Колледж автоматизации и информационных технологий №20, г. Москва</t>
  </si>
  <si>
    <t>452950.12.01</t>
  </si>
  <si>
    <t>Основы теории информации: справочник: Уч.пос. / А.М.Маскаева - М.:Форум, НИЦ ИНФРА-М,2021 - 96 с.(О)</t>
  </si>
  <si>
    <t>ОСНОВЫ ТЕОРИИ ИНФОРМАЦИИ: СПРАВОЧНИК, ИЗД.1</t>
  </si>
  <si>
    <t>978-5-00091-456-4</t>
  </si>
  <si>
    <t>Рекомендовано экспертным советом при ГБОУ УМЦ по профессиональному образованию Департамента образования города Москвы для использования в образовательном процессе учреждений среднего профессионального образования</t>
  </si>
  <si>
    <t>171500.12.01</t>
  </si>
  <si>
    <t>Основы теории коммуникации: Уч. пос. / О.Я. Гойхман - М.:НИЦ Инфра-М, 2025 - 352 с.(ВО) (п)</t>
  </si>
  <si>
    <t>ОСНОВЫ ТЕОРИИ КОММУНИКАЦИИ, ИЗД.1</t>
  </si>
  <si>
    <t>Гойхман О. Я., Апарина Т. А., Гончарова Л. М., Дубинский В. И., Гойхман О. Я.</t>
  </si>
  <si>
    <t>978-5-16-004792-8</t>
  </si>
  <si>
    <t>Допущено УМО вузов Российской Федерации по образованию в области международных отношений в качестве учебного пособия для студентов вузов, обучающихся по направлениям подготовки  (специальности) "Реклама и связи с общественностью"</t>
  </si>
  <si>
    <t>424850.08.01</t>
  </si>
  <si>
    <t>Основы теории коммуникации: Уч.пос. / Е.А.Кожемякин - М.:НИЦ ИНФРА-М,2026. - 189 с.(ВО)(П)</t>
  </si>
  <si>
    <t>Кожемякин Е. А.</t>
  </si>
  <si>
    <t>978-5-16-020857-2</t>
  </si>
  <si>
    <t>Допущено Учебно-методическим объединением вузов Российской Федерации по образованию в области международных отношений в качестве учебного пособия для студентов вузов, обучающихся по направлению подготовки (специальности) «Реклама и связи с общественностью»</t>
  </si>
  <si>
    <t>850517.04.01</t>
  </si>
  <si>
    <t>Основы теории корпоратив. закупок: Моногр. / О.А.Беляева - М.:Юр. НОРМА, НИЦ ИНФРА-М,2026. - 240 с.(п)</t>
  </si>
  <si>
    <t>ОСНОВЫ ТЕОРИИ КОРПОРАТИВНЫХ ЗАКУПОК, ИЗД.1</t>
  </si>
  <si>
    <t>Беляева О.А.</t>
  </si>
  <si>
    <t>978-5-00156-419-5</t>
  </si>
  <si>
    <t>471550.07.01</t>
  </si>
  <si>
    <t>Основы теории массового обслуживания для экономистов: Уч. / Г.А.Соколов - М.:НИЦ ИНФРА-М,2025. - 128 с.(о)</t>
  </si>
  <si>
    <t>ОСНОВЫ ТЕОРИИ МАССОВОГО ОБСЛУЖИВАНИЯ ДЛЯ ЭКОНОМИСТОВ, ИЗД.1</t>
  </si>
  <si>
    <t>978-5-16-010055-5</t>
  </si>
  <si>
    <t>01.03.02, 38.03.01</t>
  </si>
  <si>
    <t>358700.08.01</t>
  </si>
  <si>
    <t>Основы теории массового обслуживания: Уч.пос. / В.В.Рыков-М.:НИЦ ИНФРА-М,2024-223с.(ВО:Бакалавр.)(п)</t>
  </si>
  <si>
    <t>ОСНОВЫ ТЕОРИИ МАССОВОГО ОБСЛУЖИВАНИЯ (ОСНОВНОЙ КУРС:МАРКОВСКИЕ МОДЕЛИ, МЕТОДЫ МАРКОВИЗАЦИИ), ИЗД.1</t>
  </si>
  <si>
    <t>Рыков В.В., Козырев Д.В.</t>
  </si>
  <si>
    <t>978-5-16-010945-9</t>
  </si>
  <si>
    <t>01.03.02, 02.03.02, 03.03.02, 15.03.04</t>
  </si>
  <si>
    <t>Рекомендовано в качестве учебного пособия для студентов высших учебных заведений, обучающихся по направлениям подготовки 01.03.02 «Прикладная математика и информатика», 02.03.02 «Фундаментальная информатика и информационные технологии», 02.03.01 «Математика и компьютерные науки» (квалификация (степень) «бакалавр»)</t>
  </si>
  <si>
    <t>715617.04.01</t>
  </si>
  <si>
    <t>Основы теории надежности и диагностики: Уч.пос. / Ю.М.Осадчий - М.:НИЦ ИНФРА-М,2026. - 197 с.(ВО)(П)</t>
  </si>
  <si>
    <t>ОСНОВЫ ТЕОРИИ НАДЕЖНОСТИ И ДИАГНОСТИКИ, ИЗД.1</t>
  </si>
  <si>
    <t>Осадчий Ю.М., ЧВВМУ имени П.С Нахимова</t>
  </si>
  <si>
    <t>978-5-16-015733-7</t>
  </si>
  <si>
    <t>447150.09.01</t>
  </si>
  <si>
    <t>Основы теории надежности информ. сис.: Уч.пос. / С.А.Мартишин - М.:ИД ФОРУМ, НИЦ ИНФРА-М,2026 - 255 с.(ВО)</t>
  </si>
  <si>
    <t>ОСНОВЫ ТЕОРИИ НАДЕЖНОСТИ ИНФОРМАЦИОННЫХ СИСТЕМ, ИЗД.1</t>
  </si>
  <si>
    <t>Мартишин С. А., Симонов В. Л., Храпченко М. В.</t>
  </si>
  <si>
    <t>978-5-8199-0757-3</t>
  </si>
  <si>
    <t>09.03.02, 09.03.04, 09.04.02</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</si>
  <si>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09.03.02 «Информационные системы и технологии»</t>
  </si>
  <si>
    <t>710083.02.01</t>
  </si>
  <si>
    <t>Основы теории надежности машин: Уч.пос. / Ю.В.Баженов - М.:НИЦ ИНФРА-М,2027. -  320 с.(СПО)(П)</t>
  </si>
  <si>
    <t>ОСНОВЫ ТЕОРИИ НАДЕЖНОСТИ МАШИН, ИЗД.1</t>
  </si>
  <si>
    <t>Баженов Ю.В.</t>
  </si>
  <si>
    <t>978-5-16-015377-3</t>
  </si>
  <si>
    <t>23.02.02, 23.02.03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</si>
  <si>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23.02.00 «Техника и технологии наземного транспорта» (протокол № 12 от 24.06.2019)</t>
  </si>
  <si>
    <t>277700.09.01</t>
  </si>
  <si>
    <t>Основы теории надежности машин: Уч.пос. / Ю.В.Баженов, - 2 изд. - М.:НИЦ ИНФРА-М,2026. - 315 с.-(ВО.)(П)</t>
  </si>
  <si>
    <t>ОСНОВЫ ТЕОРИИ НАДЕЖНОСТИ МАШИН, ИЗД.2</t>
  </si>
  <si>
    <t>Баженов Ю.В., Баженов М.Ю.</t>
  </si>
  <si>
    <t>978-5-16-021931-8</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</si>
  <si>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направлениям подготовки 23.03.03 «Эксплуатация транспортно-технологических машин и комплексов», профили «Автомобили и автомобильное хозяйство», «Автомобильный сервис» (уровень образования «бакалавриат»), 23.04.03 «Эксплуатация транспортно-технологических машин и комплексов» (уровень образования «магистратура»)</t>
  </si>
  <si>
    <t>277700.04.01</t>
  </si>
  <si>
    <t>Основы теории надежности машин: Уч.пос. / Ю.В.Баженов-М.:Форум, НИЦ ИНФРА-М,2019.-320 с..-(ВО)(П)</t>
  </si>
  <si>
    <t>Баженов Ю. В.</t>
  </si>
  <si>
    <t>978-5-00091-697-1</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</si>
  <si>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специальностям «Автомобили и автомобильное хозяйство», «Сервис транспортных и технологических машин и оборудования (по отраслям)» направления подготовки дипломированных специалистов «Эксплуатация наземного транспорта и транспортного оборудования» и бакалавров и магистров по направлению подготовки «Эксплуатация транспортно-технологических машин и комплексов»</t>
  </si>
  <si>
    <t>860969.01.01</t>
  </si>
  <si>
    <t>Основы теории надежности: сборник задач: Уч.пос. / Д.Ю.Глазков - М.:НИЦ ИНФРА-М,2026. - 130 с.(ВО)(п)</t>
  </si>
  <si>
    <t>ОСНОВЫ ТЕОРИИ НАДЕЖНОСТИ: СБОРНИК ЗАДАЧ, ИЗД.1</t>
  </si>
  <si>
    <t>Глазков Д.Ю.</t>
  </si>
  <si>
    <t>978-5-16-021259-3</t>
  </si>
  <si>
    <t>23.03.01, 23.03.02, 23.03.03, 23.05.04, 23.05.05, 23.05.06, 24.05.07, 25.03.01, 25.03.02, 25.05.05, 26.03.02, 26.05.06</t>
  </si>
  <si>
    <t>Калининградский государственный технический университет, ф-л Балтийская государственная академия рыбопромыслового флота</t>
  </si>
  <si>
    <t>846981.01.01</t>
  </si>
  <si>
    <t>Основы теории нац. безопас.: Уч.пос. / Отв.ред.Ю.Г.Шпаковский - М.:Юр. НОРМА, НИЦ ИНФРА-М,2025. - 224 с.(п)</t>
  </si>
  <si>
    <t>ОСНОВЫ ТЕОРИИ НАЦИОНАЛЬНОЙ БЕЗОПАСНОСТИ, ИЗД.1</t>
  </si>
  <si>
    <t>Шпаковский Ю.Г.</t>
  </si>
  <si>
    <t>978-5-00156-403-4</t>
  </si>
  <si>
    <t>10.05.02, 10.05.04, 40.03.01, 40.04.01, 40.05.01, 41.04.05</t>
  </si>
  <si>
    <t>732106.03.01</t>
  </si>
  <si>
    <t>Основы теории проектирования костюма: Уч. / Т.В.Козлова, - 2 изд.-М.:НИЦ ИНФРА-М,2024.-350 с.(ВО)(П)</t>
  </si>
  <si>
    <t>ОСНОВЫ ТЕОРИИ ПРОЕКТИРОВАНИЯ КОСТЮМА, ИЗД.2</t>
  </si>
  <si>
    <t>Козлова Т.В.</t>
  </si>
  <si>
    <t>978-5-16-019128-7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</si>
  <si>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54.03.03 «Искусство костюма и текстиля» (квалификация (степень) «бакалавр») (протокол № 8 от 22.06.2020)</t>
  </si>
  <si>
    <t>813938.01.01</t>
  </si>
  <si>
    <t>Основы теории сложности: Моногр. / В.Я.Цветков-М.:НИЦ ИНФРА-М,2024.-145 с.(Науч.мысль)(о)</t>
  </si>
  <si>
    <t>ОСНОВЫ ТЕОРИИ СЛОЖНОСТИ, ИЗД.1</t>
  </si>
  <si>
    <t>Цветков В.Я.</t>
  </si>
  <si>
    <t>978-5-16-019346-5</t>
  </si>
  <si>
    <t>01.04.02, 02.03.02</t>
  </si>
  <si>
    <t>702853.08.01</t>
  </si>
  <si>
    <t>Основы теории судовых турбомашин: Уч.пос. / В.В.Кузнецов - М.:НИЦ ИНФРА-М,2026 - 176 с.-(П)</t>
  </si>
  <si>
    <t>ОСНОВЫ ТЕОРИИ СУДОВЫХ ТУРБОМАШИН, ИЗД.1</t>
  </si>
  <si>
    <t>Кузнецов В.В.</t>
  </si>
  <si>
    <t>978-5-16-014946-2</t>
  </si>
  <si>
    <t>18.01.28, 26.01.01, 26.01.03, 26.01.05, 26.01.07, 26.01.09, 26.02.01, 26.02.03, 26.02.04, 26.02.05, 26.02.06, 26.03.01, 26.03.02, 26.04.02, 26.05.01, 26.05.02, 26.05.06, 26.05.07, 35.01.32</t>
  </si>
  <si>
    <t>Рекомендовано экспертным советом ЧВВМУ имени П.С. Нахимова в качестве учебного пособия по дисциплине «Судовые турбомашины». Может быть использовано в процессе выполнения курсового и дипломного проектирования студентами факультета судовождения и энергетики судов по специальности 26.05.06 «Эксплуатация судовых  энергетических установок»</t>
  </si>
  <si>
    <t>323100.09.01</t>
  </si>
  <si>
    <t>Основы теории управления: Уч. пос. / А.П.Балашов - М.: НИЦ ИНФРА-М,2026. - 280 с.(П)</t>
  </si>
  <si>
    <t>ОСНОВЫ ТЕОРИИ УПРАВЛЕНИЯ, ИЗД.1</t>
  </si>
  <si>
    <t>978-5-16-022245-5</t>
  </si>
  <si>
    <t>38.03.01, 38.03.03, 41.03.06, 44.03.01</t>
  </si>
  <si>
    <t>690078.05.01</t>
  </si>
  <si>
    <t>Основы теории упругости, пластичности и ползучести: Уч.пос. / В.Т.Чемодуров. - М.:НИЦ ИНФРА-М,2025 - 238 с.(ВО)</t>
  </si>
  <si>
    <t>ОСНОВЫ ТЕОРИИ УПРУГОСТИ, ПЛАСТИЧНОСТИ И ПОЛЗУЧЕСТИ, ИЗД.1</t>
  </si>
  <si>
    <t>Чемодуров В.Т., Ажермачев С.Г., Пшеничная-Ажермачева К.С.</t>
  </si>
  <si>
    <t>978-5-16-020501-4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</si>
  <si>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 (протокол № 9 от 13.05.2019)</t>
  </si>
  <si>
    <t>683035.02.01</t>
  </si>
  <si>
    <t>Основы теории цепей. Прак.: Уч.пос. / Под ред. Арсеньева Г.Н.-М.:ИД Форум, НИЦ ИНФРА-М,2023.-336 с.(СПО)(П)</t>
  </si>
  <si>
    <t>ОСНОВЫ ТЕОРИИ ЦЕПЕЙ. ПРАКТИКУМ, ИЗД.1</t>
  </si>
  <si>
    <t>Арсеньев Г.Н., Градов И.И., Арсеньев Г.Н.</t>
  </si>
  <si>
    <t>978-5-8199-0798-6</t>
  </si>
  <si>
    <t>11.02.03, 11.02.06, 11.02.07, 11.02.09, 11.02.11, 11.02.15, 11.02.17, 11.02.18, 11.02.19, 24.02.04</t>
  </si>
  <si>
    <t>084350.12.01</t>
  </si>
  <si>
    <t>Основы теории цепей: Практикум: Уч.пос. / Арсеньев Г.Н. - М.:ИД ФОРУМ, НИЦ ИНФРА-М,2022-336с.(ВО)(П)</t>
  </si>
  <si>
    <t>ОСНОВЫ ТЕОРИИ ЦЕПЕЙ, ИЗД.1</t>
  </si>
  <si>
    <t>978-5-8199-0720-7</t>
  </si>
  <si>
    <t>11.03.01, 11.03.02</t>
  </si>
  <si>
    <t>Допущено Министерством обороны Российской Федерации в качестве учебного пособия для курсантов военно-учебных заведений Космических войск, обучающихся по направлению 11.03.01 «Радиотехника»</t>
  </si>
  <si>
    <t>074300.07.01</t>
  </si>
  <si>
    <t>Основы теории цепей: Уч. пос. / А.И. Запасный. - М.:РИОР, 2025. - 336 с.(ВО) (п)</t>
  </si>
  <si>
    <t>Запасный А. И.</t>
  </si>
  <si>
    <t>5-369-00001-8</t>
  </si>
  <si>
    <t>11.03.02</t>
  </si>
  <si>
    <t>Рекомендовано УМО по образованию в области связи в качестве учебного пособия для студентов обуч. по спец. 200900 Сети связи и системы коммут. 201000 Многоканал. телекомм. системы 201100 Радиосвязь, радиовещ. и телевид. 201200 Ср-ва связи с подвиж. об</t>
  </si>
  <si>
    <t>150850.13.01</t>
  </si>
  <si>
    <t>Основы теории цепей: Уч.пос. / Под ред. Арсеньева Г.Н. - М.:ИД ФОРУМ,ИНФРА-М,2025 - 448 с.(ВО)(П)</t>
  </si>
  <si>
    <t>Арсеньев Г. Н., Бондаренко В. Н., Чепурнов И. А., Арсеньев Г. Н.</t>
  </si>
  <si>
    <t>978-5-8199-0466-4</t>
  </si>
  <si>
    <t>11.03.01, 11.03.02, 11.04.01</t>
  </si>
  <si>
    <t>Рекомендуется ГОУ ВПО - Общевойсковой академией Вооруженных Сил РФ в качестве учебного пособия для курсантов высших военно-учебных заведений Космических войск, обучающихся по направлению подготовки "Радиотехника"</t>
  </si>
  <si>
    <t>683042.02.01</t>
  </si>
  <si>
    <t>Основы теории цепей: Уч.пос. / Под ред. Арсеньева Г.Н.-М.:ИД Форум, НИЦ ИНФРА-М,2023.-448 с.(СПО)(П)</t>
  </si>
  <si>
    <t>Арсеньев Г.Н., Бондаренко В.Н., Чепурнов И.А. и др.</t>
  </si>
  <si>
    <t>978-5-8199-0799-3</t>
  </si>
  <si>
    <t>11.02.03, 11.02.06, 11.02.07, 11.02.09, 11.02.11, 11.02.13, 11.02.14, 11.02.15, 11.02.16, 11.02.17, 11.02.18, 11.02.19, 24.02.04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</si>
  <si>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11.02.00 "Электроника, радиотехника и системы связи" (протокол № 5 от 16.03.2020)</t>
  </si>
  <si>
    <t>850114.01.01</t>
  </si>
  <si>
    <t>Основы теории юридической аномии: Моногр. / Под. ред.Д.А. Липинского - М.:ИЦ РИОР, НИЦ ИНФРА-М,2025. - 406 с.(п)</t>
  </si>
  <si>
    <t>ОСНОВЫ ТЕОРИИ ЮРИДИЧЕСКОЙ АНОМИИ, ИЗД.1</t>
  </si>
  <si>
    <t>Липинский Д.А., Малько А.В., Маркунин Р.С. и др.</t>
  </si>
  <si>
    <t>978-5-369-01983-2</t>
  </si>
  <si>
    <t>658754.04.01</t>
  </si>
  <si>
    <t>Основы тепломассообмена: Уч.пос. / Ю.П.Семенов-М.:НИЦ ИНФРА-М,2023.-246 с..-(ВО: Бакалавриат)(П)</t>
  </si>
  <si>
    <t>ОСНОВЫ ТЕПЛОМАССООБМЕНА, ИЗД.1</t>
  </si>
  <si>
    <t>Семенов Ю.П.</t>
  </si>
  <si>
    <t>978-5-16-013601-1</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</si>
  <si>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13.03.01 «Теплоэнергетика и теплотехника» (квалификация (степень) «бакалавр»)</t>
  </si>
  <si>
    <t>241800.08.01</t>
  </si>
  <si>
    <t>Основы техн. переработки и товароведение прод...: Уч.пос. / Г.В.Чебакова - 2 изд.М.:ИНФРА-М,2024-336с.(ВО)(п)</t>
  </si>
  <si>
    <t>ОСНОВЫ ТЕХНОЛОГИИ ПЕРЕРАБОТКИ И ТОВАРОВЕДЕНИЕ ПРОДОВОЛЬСТВЕННЫХ ТОВАРОВ ИЗ СЫРЬЯ ЖИВОТНОГО ПРОИСХОЖДЕНИЯ, ИЗД.2</t>
  </si>
  <si>
    <t>Чебакова Г.В., Горбачева М.В., Есепенок К.В.</t>
  </si>
  <si>
    <t>978-5-16-019543-8</t>
  </si>
  <si>
    <t>19.03.03, 19.04.03, 38.03.07, 38.04.07</t>
  </si>
  <si>
    <t>Рекомендовано Учебно-методическим объединением по образованию в области товароведения и экспертизы товаров в качестве учебного пособия для студентов высших учебных заведений, обучающихся по специальности 080401 «Товароведение и экспертиза товаров (по</t>
  </si>
  <si>
    <t>708998.08.01</t>
  </si>
  <si>
    <t>Основы техн. процес. обраб. металлов давл.: Уч. / И.Л.Константинов - 2 изд., - М:НИЦ ИНФРА-М,2027 - 487 с.(П)</t>
  </si>
  <si>
    <t>ОСНОВЫ ТЕХНОЛОГИЧЕСКИХ ПРОЦЕССОВ ОБРАБОТКИ МЕТАЛЛОВ ДАВЛЕНИЕМ, ИЗД.2</t>
  </si>
  <si>
    <t>Константинов И.Л., Сидельников С.Б.</t>
  </si>
  <si>
    <t>978-5-16-017926-1</t>
  </si>
  <si>
    <t>12.02.04, 15.02.01, 15.02.16, 15.02.17, 15.02.18, 18.01.35, 18.02.04, 18.02.05, 18.02.07, 18.02.09, 18.02.10, 18.02.13, 18.02.14, 26.02.02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</si>
  <si>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22.02.00 «Технологии материалов» (протокол № 5 от 11.03.2019)</t>
  </si>
  <si>
    <t>466900.03.01</t>
  </si>
  <si>
    <t>Основы техн.процессов обраб.металлов давл.:Уч. / И.Л.Константинов - 2 изд. - М:НИЦ ИНФРА-М,2027 -  487с.(ВО)(п)</t>
  </si>
  <si>
    <t>КонстантиновИ.Л., СидельниковС.Б.</t>
  </si>
  <si>
    <t>978-5-16-022390-2</t>
  </si>
  <si>
    <t>13.03.03, 15.03.01, 15.03.05, 22.03.02, 22.04.02, 23.03.03</t>
  </si>
  <si>
    <t>Рекомендовано Федеральным государственным автономным образовательным учреждением высшего профессионального образования «Национальный исследовательский технологический университет МИСиС» в качестве учебника для студентов высших учебных заведений, обучающихся по направлению подготовки бакалавров 22.03.02 (150400) «Металлургия»</t>
  </si>
  <si>
    <t>719351.06.01</t>
  </si>
  <si>
    <t>Основы технич. эксплуатации электрич. и электромеханич. оборуд.: Уч. / Д.В.Ерошенко - 2 изд. - М.:НИЦ ИНФРА-М,2026 - 295 с.(П)</t>
  </si>
  <si>
    <t>ОСНОВЫ ТЕХНИЧЕСКОЙ ЭКСПЛУАТАЦИИ ЭЛЕКТРИЧЕСКОГО И ЭЛЕКТРОМЕХАНИЧЕСКОГО ОБОРУДОВАНИЯ, ИЗД.2</t>
  </si>
  <si>
    <t>Ерошенко Д.В., Кондратьева Н.П., Бакиров С.М.</t>
  </si>
  <si>
    <t>978-5-16-015624-8</t>
  </si>
  <si>
    <t>11.01.02, 11.01.05, 13.02.07, 13.02.08, 13.02.09, 13.02.12, 13.02.13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</si>
  <si>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35.02.08 «Электрификация и автоматизация сельского хозяйства» (протокол № 10 от 15.12.2021)</t>
  </si>
  <si>
    <t>240700.09.01</t>
  </si>
  <si>
    <t>Основы технич. эксплуатации электрич. и..: Уч. / Г.П.Ерошенко - 2 изд. - М.:НИЦ ИНФРА-М,2026 - 295 с.(п)</t>
  </si>
  <si>
    <t>Ерошенко Г.П., Кондратьева Н.П., Бакиров С.М.</t>
  </si>
  <si>
    <t>978-5-16-015803-7</t>
  </si>
  <si>
    <t>Рекомендовано Учебно-методическим объединением вузов Российской Федерации по агроинженерному образованию в качестве учебника для студентов высших учебных заведений, обучающихся по направлению подготовки «Агроинженерия»</t>
  </si>
  <si>
    <t>410900.13.01</t>
  </si>
  <si>
    <t>Основы технической диагностики: Уч.пос. / В.А.Поляков - М.:НИЦ ИНФРА-М,2026. - 118 с.(ВО)(о)</t>
  </si>
  <si>
    <t>ОСНОВЫ ТЕХНИЧЕСКОЙ ДИАГНОСТИКИ, ИЗД.1</t>
  </si>
  <si>
    <t>Поляков В. А.</t>
  </si>
  <si>
    <t>978-5-16-019157-7</t>
  </si>
  <si>
    <t>21.03.01, 21.04.01</t>
  </si>
  <si>
    <t>Рекомендовано в качестве учебного пособия для студентов высших учебных заведений, обучающихся по направлению подготовки 21.03.01 «Нефтегазовое дело» (квалификация (степень) «бакалавр»)</t>
  </si>
  <si>
    <t>258600.09.01</t>
  </si>
  <si>
    <t>Основы технической термодинамики и теории  тепло- и...: Уч. пос. / В.А.Барилович - М:ИНФРА-М,2025 - 432 с.(п)</t>
  </si>
  <si>
    <t>ОСНОВЫ ТЕХНИЧЕСКОЙ ТЕРМОДИНАМИКИ И ТЕОРИИ  ТЕПЛО- И МАССООБМЕНА, ИЗД.1</t>
  </si>
  <si>
    <t>Барилович В. А., Смирнов Ю. А.</t>
  </si>
  <si>
    <t>978-5-16-005771-2</t>
  </si>
  <si>
    <t>13.03.01, 13.04.01, 16.03.02, 16.03.03, 21.03.01, 24.03.01</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</si>
  <si>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«Теплоэнергетика и теплотехника»</t>
  </si>
  <si>
    <t>478900.06.01</t>
  </si>
  <si>
    <t>Основы технол.расчета автотрансп.предпр.: Уч.пос. / Х.М.Тахтамышев-2изд.-М.:НИЦ ИНФРА-М,2024-352с(П)</t>
  </si>
  <si>
    <t>ОСНОВЫ ТЕХНОЛОГИЧЕСКОГО РАСЧЕТА АВТОТРАНСПОРТНЫХ ПРЕДПРИЯТИЙ, ИЗД.2</t>
  </si>
  <si>
    <t>Тахтамышев Х.М.</t>
  </si>
  <si>
    <t>978-5-16-011677-8</t>
  </si>
  <si>
    <t>23.03.02, 23.03.03, 23.04.01, 23.04.03, 23.05.01</t>
  </si>
  <si>
    <t>Допущено Учебно-методическим объединением по образовании в области транспортных машин и транспортно-технологических комплексов в качестве учебного пособия для студентов высших учебных заведений, обучающихся по профилю «Автомобили и автомобильное хозяйство» направления 23.03.03 «Эксплуатация транспортно-технологических машин и комплексов"</t>
  </si>
  <si>
    <t>Невинномысский государственный гуманитарно-технический институт</t>
  </si>
  <si>
    <t>067350.21.01</t>
  </si>
  <si>
    <t>Основы технологии и орг. строит.-монтажных работ: Уч. / С.Д.Сокова - М.:НИЦ ИНФРА-М,2026 - 208 с.(СПО)(П)</t>
  </si>
  <si>
    <t>ОСНОВЫ ТЕХНОЛОГИИ И ОРГАНИЗАЦИИ СТРОИТЕЛЬНО-МОНТАЖНЫХ РАБОТ, ИЗД.1</t>
  </si>
  <si>
    <t>Сокова С. Д.</t>
  </si>
  <si>
    <t>978-5-16-005552-7</t>
  </si>
  <si>
    <t>07.02.01, 08.01.29, 08.01.30, 08.02.01, 08.02.02, 08.02.03, 08.02.04, 08.02.08, 08.02.13, 08.02.14, 35.02.12</t>
  </si>
  <si>
    <t>251800.07.01</t>
  </si>
  <si>
    <t>Основы технологии машиностроения. Лаб. прак.: Уч.пос. / Горохов В.А. - М.:НИЦ ИНФРА-М,2026. - 446 с.(П)</t>
  </si>
  <si>
    <t>ОСНОВЫ ТЕХНОЛОГИИ МАШИНОСТРОЕНИЯ. ЛАБОРАТОРНЫЙ ПРАКТИКУМ, ИЗД.1</t>
  </si>
  <si>
    <t>Горохов В. А., Беляков Н. В., Махаринский Ю. Е., Горохов В. А.</t>
  </si>
  <si>
    <t>978-5-16-009372-7</t>
  </si>
  <si>
    <t>15.03.01, 15.03.02, 15.03.05, 15.04.01, 15.04.02, 15.04.05, 22.03.01, 22.04.01</t>
  </si>
  <si>
    <t>Допущено Учебно-методическим объединением вузов по образованию в области автомати- зированного машиностроения в качестве учебного пособия для студентов высших учебных заведений, обучающихся по направлениям подготовки: «Конструкторско-технологическое</t>
  </si>
  <si>
    <t>707000.06.01</t>
  </si>
  <si>
    <t>Основы технологии машиностроения: Уч. / В.В.Клепиков - М.:НИЦ ИНФРА-М,2026 - 295 с.-(СПО)(П)</t>
  </si>
  <si>
    <t>ОСНОВЫ ТЕХНОЛОГИИ МАШИНОСТРОЕНИЯ, ИЗД.1</t>
  </si>
  <si>
    <t>Клепиков В.В., Султан-заде Н.М., Солдатов В.Ф. и др.</t>
  </si>
  <si>
    <t>978-5-16-015145-8</t>
  </si>
  <si>
    <t>15.02.04, 15.02.16, 15.02.19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</si>
  <si>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9 от 13.05.2019)</t>
  </si>
  <si>
    <t>398000.04.01</t>
  </si>
  <si>
    <t>Основы технологии машиностроения: Уч. / В.В.Клепиков и др. - М.:НИЦ ИНФРА-М,2026. - 295 с.(ВО)(п)</t>
  </si>
  <si>
    <t>978-5-16-021500-6</t>
  </si>
  <si>
    <t>15.03.01, 15.03.04, 15.03.05, 15.04.01, 15.04.04, 15.04.05</t>
  </si>
  <si>
    <t>Допущен Учебно-методическим объединением вузов в области автоматизированного машиностроения в качестве учебника для студентов высших учебных заведений,обучающихся по направлениям подготовки 15.03.05 «Конструкторско-технологическое обеспечение машиностроительных производств»,15.03.04 «Автоматизация технологических процессов и производств (машиностроение)»</t>
  </si>
  <si>
    <t>387900.05.01</t>
  </si>
  <si>
    <t>Основы технологии машиностроения: Уч. /Б.М.Базров, - 3-е изд. -М.:НИЦ ИНФРА-М,2020.-683 с.(ВО)(П)</t>
  </si>
  <si>
    <t>ОСНОВЫ ТЕХНОЛОГИИ МАШИНОСТРОЕНИЯ, ИЗД.3</t>
  </si>
  <si>
    <t>Базров Б.М.</t>
  </si>
  <si>
    <t>978-5-16-011179-7</t>
  </si>
  <si>
    <t>Рекомендовано в качестве учебника для студентов высших учебных заведений, обучающихся по направлениям подготовки 15.03.01 «МашинЪстроение», 15.03.05 «Конструкторско-технологическое обеспечение машиностроительных производств» (квалификация (степень) «бакалавр»)</t>
  </si>
  <si>
    <t>Институт машиноведения им. А.А. Благонравова Российской академии наук</t>
  </si>
  <si>
    <t>354600.07.01</t>
  </si>
  <si>
    <t>Основы технологии машиностроения: Уч.пос. / В.Ф.Скворцов - 2 изд. -  М.:НИЦ ИНФРА-М,2025 - 330 с.(ВО: Бакалавр.)(П)</t>
  </si>
  <si>
    <t>ОСНОВЫ ТЕХНОЛОГИИ МАШИНОСТРОЕНИЯ, ИЗД.2</t>
  </si>
  <si>
    <t>Скворцов В.Ф.</t>
  </si>
  <si>
    <t>978-5-16-020579-3</t>
  </si>
  <si>
    <t>15.03.01</t>
  </si>
  <si>
    <t>719229.04.01</t>
  </si>
  <si>
    <t>Основы технологии машиностроения: Уч.пос. / В.Ф.Скворцов - 2 изд. - М.:НИЦ ИНФРА-М,2026. - 330 с.(СПО)(П)</t>
  </si>
  <si>
    <t>978-5-16-015600-2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</si>
  <si>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машиностроительным специальностям (протокол № 6 от 06.04.2020)</t>
  </si>
  <si>
    <t>776671.04.01</t>
  </si>
  <si>
    <t>Основы технологии машиностроения: Уч.пос. / И.В.Шрубченко. - М.:НИЦ ИНФРА-М,2027 - 271 с.(ВО: Бакалавр.)(П)</t>
  </si>
  <si>
    <t>Шрубченко И.В., Дуюн Т.А., Хуртасенко А.В. и др.</t>
  </si>
  <si>
    <t>978-5-16-017776-2</t>
  </si>
  <si>
    <t>15.03.05, 15.04.05, 15.05.01, 21.05.04, 21.05.06, 23.05.01</t>
  </si>
  <si>
    <t>720417.05.01</t>
  </si>
  <si>
    <t>Основы технологии переработки и товаровед.прод.тов...: Уч.пос. / Г.В.Чебакова - 2 изд. - М.:НИЦ ИНФРА-М,2026. - 336 с.(П)</t>
  </si>
  <si>
    <t>978-5-16-015699-6</t>
  </si>
  <si>
    <t>19.01.18, 19.01.19, 19.02.10, 19.02.12, 19.02.13, 35.01.23, 38.02.08, 43.01.01, 43.01.04, 43.01.09, 43.02.01, 43.02.15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</si>
  <si>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38.02.05 «Товароведение и экспертиза качества потребительских товаров» (протокол № 5 от 19.05.2021)</t>
  </si>
  <si>
    <t>668557.07.01</t>
  </si>
  <si>
    <t>Основы технологии сборки в машиностр.: Уч.пос. / И.В.Шрубченк. - М.:НИЦ ИНФРА-М,2026 - 235 с.(ВО)(П)</t>
  </si>
  <si>
    <t>ОСНОВЫ ТЕХНОЛОГИИ СБОРКИ В МАШИНОСТРОЕНИИ, ИЗД.1</t>
  </si>
  <si>
    <t>Шрубченко И.В., Дуюн Т.А., Погонин А.А. и др.</t>
  </si>
  <si>
    <t>978-5-16-022117-5</t>
  </si>
  <si>
    <t>703216.07.01</t>
  </si>
  <si>
    <t>Основы технологии сборки в машиностроении: Уч.пос. / И.В.Шрубченко - М.:НИЦ ИНФРА-М,2025 - 235 с.(СПО)(П)</t>
  </si>
  <si>
    <t>978-5-16-014867-0</t>
  </si>
  <si>
    <t>15.01.35, 15.01.37, 15.02.04, 15.02.16, 15.02.17, 15.02.19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</si>
  <si>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(профессии) 15.02.07 «Автоматизация технологических процессов и производств (по отраслям)», 15.02.08 «Технология машиностроения» (протокол № 2 от 28.01.2019)</t>
  </si>
  <si>
    <t>706350.04.01</t>
  </si>
  <si>
    <t>Основы технологич. подготовки производства: Уч.пос. / Е.Б.Вотинова. - М.:НИЦ ИНФРА-М,2026. - 168 с.(ВО)(П)</t>
  </si>
  <si>
    <t>ОСНОВЫ ТЕХНОЛОГИЧЕСКОЙ ПОДГОТОВКИ ПРОИЗВОДСТВА, ИЗД.1</t>
  </si>
  <si>
    <t>Вотинова Е.Б., Шалимов М.П., Фивейский А.М.</t>
  </si>
  <si>
    <t>Высшее образование: Бакалавриат (УрФУ)</t>
  </si>
  <si>
    <t>978-5-16-015365-0</t>
  </si>
  <si>
    <t>12.03.05, 15.03.01</t>
  </si>
  <si>
    <t>Рекомендовано методическим советом Уральского федерального университета для студентов вузов, обучающихся по направлениям подготовки 15.03.01 «Машиностроение», 12.03.05 «Лазерная техника и лазерные технологии»</t>
  </si>
  <si>
    <t>772057.03.01</t>
  </si>
  <si>
    <t>Основы технологич. проектир. в машиностроении: Уч.пос. / Т.А.Дуюн.-М.:НИЦ ИНФРА-М,2022.-271 с.(П)</t>
  </si>
  <si>
    <t>ОСНОВЫ ТЕХНОЛОГИЧЕСКОГО ПРОЕКТИРОВАНИЯ В МАШИНОСТРОЕНИИ, ИЗД.1</t>
  </si>
  <si>
    <t>Дуюн Т.А., Шрубченко И.В., Хуртасенко А.В. и др.</t>
  </si>
  <si>
    <t>978-5-16-017551-5</t>
  </si>
  <si>
    <t>14.03.01, 15.03.01, 15.03.05, 15.04.05, 15.05.01, 21.05.04, 21.05.06, 23.05.01</t>
  </si>
  <si>
    <t>Утверждено Ученым советом Белгородского государственного технологического университета имени В.Г. Шухова в качестве учебного пособия для студентов высших учебных заведений, обучающихся по направлению подготовки дипломированных специалистов 15.05.01 «Проектирование технологических машин и комплексов», бакалавров, обучающихся по направлениям подготовки 15.03.01 «Машиностроение», 15.03.05 «Конструкторско-технологическое обеспечение машиностроительных производств»</t>
  </si>
  <si>
    <t>690240.05.01</t>
  </si>
  <si>
    <t>Основы товароведения продовольственных товаров: Уч.пос. / Т.С.Павлова - М.:НИЦ ИНФРА-М,2026 - 221с(П)</t>
  </si>
  <si>
    <t>ОСНОВЫ ТОВАРОВЕДЕНИЯ ПРОДОВОЛЬСТВЕННЫХ ТОВАРОВ, ИЗД.1</t>
  </si>
  <si>
    <t>Павлова Т.С.</t>
  </si>
  <si>
    <t>978-5-16-014724-6</t>
  </si>
  <si>
    <t>19.01.18, 19.01.19, 19.02.10, 19.02.13, 35.01.23, 38.02.08, 43.01.01, 43.01.04, 43.01.09, 43.02.15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</si>
  <si>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38.02.05 «Товароведение и экспертиза качества потребительских товаров», 38.02.04 «Коммерция (по отраслям)» (протокол № 3 от 17.02.2020)</t>
  </si>
  <si>
    <t>242400.11.01</t>
  </si>
  <si>
    <t>Основы токсикологии: Уч.пос. / П.П.Кукин и др. - М.:НИЦ ИНФРА-М,2025 - 280 с.(ВО)(П))</t>
  </si>
  <si>
    <t>ОСНОВЫ ТОКСИКОЛОГИИ, ИЗД.1</t>
  </si>
  <si>
    <t>Кукин П.П., Пономарев Н.Л., Таранцева К.Р. и др.</t>
  </si>
  <si>
    <t>978-5-16-009260-7</t>
  </si>
  <si>
    <t>20.03.01, 20.04.01</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</si>
  <si>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20.03.01 «Техносферная безопасность»</t>
  </si>
  <si>
    <t>204800.04.01</t>
  </si>
  <si>
    <t>Основы триботехники: Уч. / А.И. Доценко - М.: НИЦ ИНФРА-М, 2018. - 336 с.(ВО: Бакалавриат) (п)</t>
  </si>
  <si>
    <t>ОСНОВЫ ТРИБОТЕХНИКИ, ИЗД.1</t>
  </si>
  <si>
    <t>Доценко А. И., Буяновский И. А.</t>
  </si>
  <si>
    <t>978-5-16-006712-4</t>
  </si>
  <si>
    <t>08.03.01, 08.04.01, 23.03.02</t>
  </si>
  <si>
    <t>Рекомендовано Учебно-методическим объединением вузов РФ по образованию в области строительства в качестве учебника для студентов, обучающихся по программе бакалавриата по направлению 270800 - «Строительство» (профили «Механизация и автоматизация стро</t>
  </si>
  <si>
    <t>694549.04.01</t>
  </si>
  <si>
    <t>Основы триботехники: Уч. / А.И.Доценко - М.:НИЦ ИНФРА-М,2026 - 336 с.-(СПО)(П)</t>
  </si>
  <si>
    <t>Доценко А.И., Буяновский И.А.</t>
  </si>
  <si>
    <t>978-5-16-014515-0</t>
  </si>
  <si>
    <t>08.02.01, 08.02.02, 08.02.12, 23.02.04, 23.02.08</t>
  </si>
  <si>
    <t>Рекомендовано Учебно-методическим советом СПО в качестве учебника для учебных заведений, реализующих программу среднего профессионального образования на базе основного общего образования</t>
  </si>
  <si>
    <t>727117.07.01</t>
  </si>
  <si>
    <t>Основы турагентской и туроператорской деят.: Уч.пос. / Н.А.Агешкина - М.:НИЦ ИНФРА-М,2025 - 567 с.(СПО)(П)</t>
  </si>
  <si>
    <t>ОСНОВЫ ТУРАГЕНТСКОЙ И ТУРОПЕРАТОРСКОЙ ДЕЯТЕЛЬНОСТИ, ИЗД.1</t>
  </si>
  <si>
    <t>Агешкина Н.А.</t>
  </si>
  <si>
    <t>978-5-16-015973-7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</si>
  <si>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(протокол № 11 от 09.11.2020)</t>
  </si>
  <si>
    <t>754590.06.01</t>
  </si>
  <si>
    <t>Основы управ. ассортимент. непродовольственных товаров: Уч. / Н.С.Моисеенко - М.:НИЦ ИНФРА-М,2027. - 306 с.(п)</t>
  </si>
  <si>
    <t>ОСНОВЫ УПРАВЛЕНИЯ АССОРТИМЕНТОМ НЕПРОДОВОЛЬСТВЕННЫХ ТОВАРОВ, ИЗД.1</t>
  </si>
  <si>
    <t>Моисеенко Н.С.</t>
  </si>
  <si>
    <t>978-5-16-017826-4</t>
  </si>
  <si>
    <t>Ростовский Технологический Техникум Сервиса</t>
  </si>
  <si>
    <t>872170.02.01</t>
  </si>
  <si>
    <t>Основы управ. коммерциализ. объектов интеллектуал. деят. / С.В.Назюта - М.:НИЦ ИНФРА-М,2026. - 230 с.(п)</t>
  </si>
  <si>
    <t>ОСНОВЫ УПРАВЛЕНИЯ КОММЕРЦИАЛИЗАЦИЕЙ ОБЪЕКТОВ ИНТЕЛЛЕКТУАЛЬНОЙ ДЕЯТЕЛЬНОСТИ, ИЗД.1</t>
  </si>
  <si>
    <t>Назюта С.В.</t>
  </si>
  <si>
    <t>978-5-16-021904-2</t>
  </si>
  <si>
    <t>27.04.05, 27.04.06, 27.04.07, 27.04.08, 27.06.01, 38.03.02, 38.04.01, 38.04.02, 38.06.01</t>
  </si>
  <si>
    <t>838478.02.01</t>
  </si>
  <si>
    <t>Основы управ. перевозочными процессами: Уч.пос. / Д.Ю.Левин - М.:НИЦ ИНФРА-М,2027 - 264 с(СПО)(п)</t>
  </si>
  <si>
    <t>ОСНОВЫ УПРАВЛЕНИЯ ПЕРЕВОЗОЧНЫМИ ПРОЦЕССАМИ, ИЗД.1</t>
  </si>
  <si>
    <t>978-5-16-020207-5</t>
  </si>
  <si>
    <t>23.02.01, 23.02.08, 27.02.03</t>
  </si>
  <si>
    <t>769199.06.01</t>
  </si>
  <si>
    <t>Основы управления в органах внутренних дел: Уч. / И.Г.Бавсун - М.:НИЦ ИНФРА-М,2027. - 213 с.-(СПО)(п)</t>
  </si>
  <si>
    <t>ОСНОВЫ УПРАВЛЕНИЯ В ОРГАНАХ ВНУТРЕННИХ ДЕЛ, ИЗД.1</t>
  </si>
  <si>
    <t>Бавсун И.Г.</t>
  </si>
  <si>
    <t>978-5-16-017353-5</t>
  </si>
  <si>
    <t>Российский государственный университет правосудия, Северо-Западный ф-л</t>
  </si>
  <si>
    <t>654792.04.01</t>
  </si>
  <si>
    <t>Основы управления городом: Уч.пос. / С.Ю.Наумов. - М.:НИЦ ИНФРА-М,2027. - 326 с.(ВО: Бакалавр.)(П)</t>
  </si>
  <si>
    <t>ОСНОВЫ УПРАВЛЕНИЯ ГОРОДОМ, ИЗД.1</t>
  </si>
  <si>
    <t>Наумов С.Ю., Ведяева Е.С., Гребенникова А.А. и др.</t>
  </si>
  <si>
    <t>978-5-16-017005-3</t>
  </si>
  <si>
    <t>230700.11.01</t>
  </si>
  <si>
    <t>Основы управления перевозочными процессами: Уч.пос. / Д.Ю.Левин - М.:НИЦ ИНФРА-М,2024 - 264 с(ВО)(П)</t>
  </si>
  <si>
    <t>978-5-16-019516-2</t>
  </si>
  <si>
    <t>23.05.01, 23.05.04, 23.05.05</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</si>
  <si>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бакалавров «Технология транспортных процессов» (профиль подготовки: «Организация перевозок и управление на железнодорожном транспорте»)</t>
  </si>
  <si>
    <t>034950.24.01</t>
  </si>
  <si>
    <t>Основы управления персоналом: Уч. / А.Я.Кибанов, - 3 изд. - М.:НИЦ ИНФРА-М,2026 - 440 с.(ВО)(п)</t>
  </si>
  <si>
    <t>ОСНОВЫ УПРАВЛЕНИЯ ПЕРСОНАЛОМ, ИЗД.3</t>
  </si>
  <si>
    <t>Кибанов А. Я.</t>
  </si>
  <si>
    <t>978-5-16-018872-0</t>
  </si>
  <si>
    <t>10.04.01, 14.03.01, 17.03.01, 23.03.01, 25.04.03, 25.04.04, 26.03.02, 29.03.03, 35.03.02, 35.04.06, 38.03.01, 38.03.02, 38.03.03, 38.03.04, 38.03.05, 38.03.06, 38.03.07, 38.04.01, 38.04.02, 38.04.03, 38.04.04, 38.04.05, 38.04.06, 38.04.07, 38.04.08, 38.04.09, 38.05.01, 38.05.02, 41.03.06, 43.04.03, 44.03.01, 51.03.02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</si>
  <si>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080400.62 «Управление персоналом», 081100.62 «Государственное и муниципальное управление» (квалификация (степень) «бакалавр»)</t>
  </si>
  <si>
    <t>077500.12.01</t>
  </si>
  <si>
    <t>Основы управления персоналом: Уч.пос. / А.П.Егоршин, - 4 изд.-М.:НИЦ ИНФРА-М,2024.-352 с.(ВО)(п)</t>
  </si>
  <si>
    <t>ОСНОВЫ УПРАВЛЕНИЯ ПЕРСОНАЛОМ, ИЗД.4</t>
  </si>
  <si>
    <t>978-5-16-019381-6</t>
  </si>
  <si>
    <t>38.03.01, 38.03.02, 38.03.03, 38.03.04, 38.04.02, 38.04.03, 38.04.04, 41.03.06, 43.04.03, 44.03.01, 51.03.02</t>
  </si>
  <si>
    <t>Допущено Министерством образования РФ в качестве учебного пособия для студентов высших учебных заведений, обучающихся по специальности "Управление персоналом"</t>
  </si>
  <si>
    <t>118600.09.01</t>
  </si>
  <si>
    <t>Основы управления персоналом: Уч.пос. / Л.В.Максимова- 2 изд. - М.:НИЦ ИНФРА-М,2024 - 248 с.(ВО)(п)</t>
  </si>
  <si>
    <t>ОСНОВЫ УПРАВЛЕНИЯ ПЕРСОНАЛОМ, ИЗД.2</t>
  </si>
  <si>
    <t>Максимова Л.В.</t>
  </si>
  <si>
    <t>978-5-16-019429-5</t>
  </si>
  <si>
    <t>38.03.01, 38.03.02, 38.03.03, 41.03.06, 44.03.01</t>
  </si>
  <si>
    <t>Рекомендовано кафедрой управления персоналом и экономики труда Школы экономики и менеджмента федерального государственного автономного образовательного учреждения высшего образования «Дальневосточный федеральный университет» по направлениям подготовки 38.03.01 «Экономика», 38.03.02 «Менеджмент», 38.03.03 «Управление персоналом» (квалификация (степень) «бакалавр»)</t>
  </si>
  <si>
    <t>788682.01.01</t>
  </si>
  <si>
    <t>Основы управления продуктом: Уч.пос. / В.И.Алешникова-М.:НИЦ ИНФРА-М,2024.-220 с.(ВО)(п)</t>
  </si>
  <si>
    <t>ОСНОВЫ УПРАВЛЕНИЯ ПРОДУКТОМ, ИЗД.1</t>
  </si>
  <si>
    <t>978-5-16-018046-5</t>
  </si>
  <si>
    <t>728085.03.01</t>
  </si>
  <si>
    <t>Основы управления проектами гос.-частного партнерства: Уч. / В.В.Артяков-М.:НИЦ ИНФРА-М,2023-192 с.-(П)</t>
  </si>
  <si>
    <t>ОСНОВЫ УПРАВЛЕНИЯ ПРОЕКТАМИ ГОСУДАРСТВЕННО-ЧАСТНОГО ПАРТНЕРСТВА, ИЗД.1</t>
  </si>
  <si>
    <t>Артяков В.В., Чурсин А.А.</t>
  </si>
  <si>
    <t>978-5-16-016029-0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</si>
  <si>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38.00.00 «Экономика и управление» (квалификация (степень) «магистр») (протокол № 11 от 10.06.2019)</t>
  </si>
  <si>
    <t>684944.02.01</t>
  </si>
  <si>
    <t>Основы управленческого консультирования: Уч. / О.Л.Чуланова-М.:НИЦ ИНФРА-М,2023.-302 с.(ВО)(П)</t>
  </si>
  <si>
    <t>ОСНОВЫ УПРАВЛЕНЧЕСКОГО КОНСУЛЬТИРОВАНИЯ, ИЗД.1</t>
  </si>
  <si>
    <t>978-5-16-014885-4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</si>
  <si>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(квалификация (степень) «бакалавр») (протокол № 11 от 10.06.2019)</t>
  </si>
  <si>
    <t>683411.06.01</t>
  </si>
  <si>
    <t>Основы учебно-познавательной деят. студ. колледжа...: Уч.пос. / В.А. Беликов - М.:ИНФРА-М,2026 - 179с(п)</t>
  </si>
  <si>
    <t>ОСНОВЫ УЧЕБНО-ПОЗНАВАТЕЛЬНОЙ ДЕЯТЕЛЬНОСТИ СТУДЕНТОВ КОЛЛЕДЖА. МЕТОДИЧЕСКИЕ СОВЕТЫ ОБУЧАЮЩИМСЯ ПО ФОРМИРОВАНИЮ БАЗОВЫХ УЧЕБНЫХ УМЕНИЙ, ИЗД.1</t>
  </si>
  <si>
    <t>Беликов В.А., Романов П.Ю.</t>
  </si>
  <si>
    <t>978-5-16-014399-6</t>
  </si>
  <si>
    <t>08.02.03, 31.02.01, 44.02.03, 44.02.05, 44.02.06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</si>
  <si>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на базе основного общего образования</t>
  </si>
  <si>
    <t>415850.12.01</t>
  </si>
  <si>
    <t>Основы физиологии и анатомии человека..: Уч. пос. / С.В.Степанова - М.: НИЦ ИНФРА-М, 2025 - 205 с.(ВО) (п)</t>
  </si>
  <si>
    <t>ОСНОВЫ ФИЗИОЛОГИИ И АНАТОМИИ ЧЕЛОВЕКА. ПРОФЕССИОНАЛЬНЫЕ ЗАБОЛЕВАНИЯ, ИЗД.1</t>
  </si>
  <si>
    <t>Степанова С. В., Гармонов С. Ю.</t>
  </si>
  <si>
    <t>978-5-16-005326-4</t>
  </si>
  <si>
    <t>20.03.01, 20.04.01, 44.03.05</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</si>
  <si>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университет природообустройства» к использованию в качестве учебного пособия для студентов, обучающихся</t>
  </si>
  <si>
    <t>208500.11.01</t>
  </si>
  <si>
    <t>Основы физиологии: Уч. / А.С.Ерохин и др. - М.:НИЦ ИНФРА-М,2027 - 320 с.-(ВО: Бакалавр.)(П)</t>
  </si>
  <si>
    <t>ОСНОВЫ ФИЗИОЛОГИИ, ИЗД.1</t>
  </si>
  <si>
    <t>Ерохин А. С., Боев В. И., Киселева М. Г.</t>
  </si>
  <si>
    <t>978-5-16-006812-1</t>
  </si>
  <si>
    <t>409050.11.01</t>
  </si>
  <si>
    <t>Основы философии искусства: Уч.пос. / М.В.Логинова - М.:НИЦ ИНФРА-М,2026. - 159 с.(ВО)(о)</t>
  </si>
  <si>
    <t>ОСНОВЫ ФИЛОСОФИИ ИСКУССТВА, ИЗД.1</t>
  </si>
  <si>
    <t>Логинова М.В.</t>
  </si>
  <si>
    <t>978-5-16-019379-3</t>
  </si>
  <si>
    <t>47.03.01, 47.04.01, 50.03.01, 50.03.02, 50.03.03, 50.03.04, 50.04.01, 50.04.02, 50.04.03, 50.04.04, 51.03.01, 51.03.02, 51.03.03, 51.03.04, 51.03.05, 51.03.06, 51.05.01, 53.04.04</t>
  </si>
  <si>
    <t>Допущено УМО по классическому университетскому образованию в качестве учебного пособия для студентов, обучающихся по направлению 035200 «Изящные искусства»</t>
  </si>
  <si>
    <t>823761.01.01</t>
  </si>
  <si>
    <t>Основы философии права: Моногр. / А.Г.Чернявский - М.:НИЦ ИНФРА-М,2025. - 336 с.(Науч.мысль)(п)</t>
  </si>
  <si>
    <t>ОСНОВЫ ФИЛОСОФИИ ПРАВА, ИЗД.1</t>
  </si>
  <si>
    <t>978-5-16-019941-2</t>
  </si>
  <si>
    <t>075500.26.01</t>
  </si>
  <si>
    <t>Основы философии: Уч. / О.Д.Волкогонова - М.:ИД ФОРУМ,НИЦ ИНФРА-М,2026 - 480 с.(СПО)(П)</t>
  </si>
  <si>
    <t>ОСНОВЫ ФИЛОСОФИИ, ИЗД.1</t>
  </si>
  <si>
    <t>Волкогонова О.Д., Сидорова Н.М.</t>
  </si>
  <si>
    <t>978-5-8199-0694-1</t>
  </si>
  <si>
    <t>00.02.11, 13.02.05, 26.02.03, 26.02.06, 27.02.06, 33.02.01, 35.02.10, 43.02.15</t>
  </si>
  <si>
    <t>686614.06.01</t>
  </si>
  <si>
    <t>Основы философии: Уч. / Под ред. Липского Б.И. - М.:НИЦ ИНФРА-М,2026. - 307 с.(СПО)(П)</t>
  </si>
  <si>
    <t>Липский Б.И., Гусев С.С., Тульчинский Г.Л. и др.</t>
  </si>
  <si>
    <t>978-5-16-015005-5</t>
  </si>
  <si>
    <t>00.02.11, 26.02.06, 35.02.10, 43.02.15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</si>
  <si>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на базе основного общего образования (протокол № 9 от 28.09.2020)</t>
  </si>
  <si>
    <t>647890.08.01</t>
  </si>
  <si>
    <t>Основы философии: Уч.мет.пос. / Т.В.Голубева - М.:Форум, НИЦ ИНФРА-М,2024. - 266 с.(СПО)(п)</t>
  </si>
  <si>
    <t>Голубева Т.В.</t>
  </si>
  <si>
    <t>978-5-00091-437-3</t>
  </si>
  <si>
    <t>00.02.11</t>
  </si>
  <si>
    <t>Рекомендовано в качестве учебного пособия для учебных заведений, реализующих программу среднего профессионального образования по всем специальностям</t>
  </si>
  <si>
    <t>785362.01.01</t>
  </si>
  <si>
    <t>Основы философии: Уч.пос. / А.Д.Барышева - М.:НИЦ ИНФРА-М,2025. - 197 с.(СПО)(п)</t>
  </si>
  <si>
    <t>978-5-16-018054-0</t>
  </si>
  <si>
    <t>703533.03.01</t>
  </si>
  <si>
    <t>Основы философии: Уч.пос. / А.Т.Свергузов - М.:НИЦ ИНФРА-М,2025 - 147 с.(СПО)(П)</t>
  </si>
  <si>
    <t>978-5-16-014880-9</t>
  </si>
  <si>
    <t>043300.26.01</t>
  </si>
  <si>
    <t>Основы философии: Уч.пос. / В.Д.Губин - 4 изд. - М.:Форум,НИЦ ИНФРА-М,2026 - 288 с.(СПО)(п)</t>
  </si>
  <si>
    <t>ОСНОВЫ ФИЛОСОФИИ, ИЗД.4</t>
  </si>
  <si>
    <t>Губин В.Д.</t>
  </si>
  <si>
    <t>978-5-00091-484-7</t>
  </si>
  <si>
    <t>00.02.11, 13.02.05, 33.02.01, 34.02.02, 38.02.01, 38.02.06</t>
  </si>
  <si>
    <t>865293.01.01</t>
  </si>
  <si>
    <t>Основы финанс. грамотности и экономич. культуры: Уч.пос. / А.П.Гарнов - М.:НИЦ ИНФРА-М,2026. - 217 с.(ВО)(п)</t>
  </si>
  <si>
    <t>ОСНОВЫ ФИНАНСОВОЙ ГРАМОТНОСТИ И ЭКОНОМИЧЕСКОЙ КУЛЬТУРЫ, ИЗД.1</t>
  </si>
  <si>
    <t>978-5-16-021644-7</t>
  </si>
  <si>
    <t>00.03.43</t>
  </si>
  <si>
    <t>684135.02.01</t>
  </si>
  <si>
    <t>Основы финансового менеджмента: Уч.пос. / Л.Н.Коршунова-М.:НИЦ ИНФРА-М,2023.-228 с..-(ВО: Специалитет)(П)</t>
  </si>
  <si>
    <t>ОСНОВЫ ФИНАНСОВОГО МЕНЕДЖМЕНТА, ИЗД.1</t>
  </si>
  <si>
    <t>Коршунова Л.Н., Проданова Н.А., Зацаринная Е.И. и др.</t>
  </si>
  <si>
    <t>978-5-16-014466-5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</si>
  <si>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38.05.01 «Экономическая безопасность» (квалификация (степень) «экономист») (протокол № 12 от 24.06.2019)</t>
  </si>
  <si>
    <t>210200.06.01</t>
  </si>
  <si>
    <t>Основы финансового мониторинга: Уч. пос./ Е.Г.Попкова - М.: ИНФРА-М, 2024 - 166 с. (ВО: Бакалавриат) (о)</t>
  </si>
  <si>
    <t>ОСНОВЫ ФИНАНСОВОГО МОНИТОРИНГА, ИЗД.1</t>
  </si>
  <si>
    <t>Попкова Е. Г., Акимова О. Е., Попкова Е. Г.</t>
  </si>
  <si>
    <t>978-5-16-006839-8</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</si>
  <si>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t>
  </si>
  <si>
    <t>846300.05.01</t>
  </si>
  <si>
    <t>Основы финансовой грамотности: Научно-поп. изд. / А.П.Гарнов - М.:НИЦ ИНФРА-М,2026 - 192 с. [16+](п)</t>
  </si>
  <si>
    <t>ОСНОВЫ ФИНАНСОВОЙ ГРАМОТНОСТИ, ИЗД.1</t>
  </si>
  <si>
    <t>978-5-16-020491-8</t>
  </si>
  <si>
    <t>855926.01.01</t>
  </si>
  <si>
    <t>Основы финансовой грамотности: Уч. / В.В.Ковригин - М.:НИЦ ИНФРА-М,2026. - 189 с.(СПО)(п)</t>
  </si>
  <si>
    <t>978-5-16-021358-3</t>
  </si>
  <si>
    <t>00.02.40, 00.01.07, 00.02.26</t>
  </si>
  <si>
    <t>766866.04.01</t>
  </si>
  <si>
    <t>Основы финансовой грамотности: Уч. / Н.Г.Гаджиев. - М.:НИЦ ИНФРА-М,2026. - 245 с.(ВО.)(п)</t>
  </si>
  <si>
    <t>978-5-16-022219-6</t>
  </si>
  <si>
    <t>00.03.13, 27.03.05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</si>
  <si>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t>
  </si>
  <si>
    <t>845324.02.01</t>
  </si>
  <si>
    <t>Основы финансовой грамотности: Уч. / Н.Г.Гаджиев. - М.:НИЦ ИНФРА-М,2026. - 245 с.(СПО)(п)</t>
  </si>
  <si>
    <t>978-5-16-020462-8</t>
  </si>
  <si>
    <t>00.01.07, 00.02.26</t>
  </si>
  <si>
    <t>800973.03.01</t>
  </si>
  <si>
    <t>Основы финансовой грамотности: Уч.пос. / А.П.Гарнов - М.:НИЦ ИНФРА-М,2026. - 211 с.(ВО (РЭУ))(п)</t>
  </si>
  <si>
    <t>978-5-16-019293-2</t>
  </si>
  <si>
    <t>838830.03.01</t>
  </si>
  <si>
    <t>Основы финансовой грамотности: Уч.пос. / А.П.Гарнов - М.:НИЦ ИНФРА-М,2026. - 211 с.(СПО)(п)</t>
  </si>
  <si>
    <t>978-5-16-020229-7</t>
  </si>
  <si>
    <t>732931.11.01</t>
  </si>
  <si>
    <t>Основы финансовой грамотности: Уч.пос. / Под ред. Кальней В.А. - М.:НИЦ ИНФРА-М,2026 - 248 с.-(СПО)(П)</t>
  </si>
  <si>
    <t>Кальней В.А., Рогулина М.Р., Овсянникова Т.В. и др.</t>
  </si>
  <si>
    <t>978-5-16-016198-3</t>
  </si>
  <si>
    <t>21.02.10, 21.02.11, 26.02.03, 26.02.05, 26.02.06, 00.01.07, 00.02.26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</si>
  <si>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образовательную программу среднего профессионального образования   (протокол № 6 от 16.06.2021)</t>
  </si>
  <si>
    <t>447500.10.01</t>
  </si>
  <si>
    <t>Основы флексографии: Уч. / Р.Г.Могинов - М.:НИЦ ИНФРА-М,2026 - 331 с.-(ВО)(П)</t>
  </si>
  <si>
    <t>ОСНОВЫ ФЛЕКСОГРАФИИ, ИЗД.1</t>
  </si>
  <si>
    <t>Могинов Р.Г., Дмитриев Я.В., Надирова Е.Б.</t>
  </si>
  <si>
    <t>978-5-16-019300-7</t>
  </si>
  <si>
    <t>29.03.03, 29.04.03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</si>
  <si>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обучающихсяпо направлению подготовки 29.03.03 «Технология полиграфического и упаковочного производства» (квалификация (степень) «бакалавр») (протокол № 11 от 09.11.2020)</t>
  </si>
  <si>
    <t>846333.05.01</t>
  </si>
  <si>
    <t>Основы флористики / И.С.Шевченко - М.:НИЦ ИНФРА-М,2027 - 269 с.(Интересно знать) [16+](п)</t>
  </si>
  <si>
    <t>ОСНОВЫ ФЛОРИСТИКИ, ИЗД.1</t>
  </si>
  <si>
    <t>Шевченко И.С.</t>
  </si>
  <si>
    <t>978-5-16-020494-9</t>
  </si>
  <si>
    <t>43.01.11</t>
  </si>
  <si>
    <t>682883.08.01</t>
  </si>
  <si>
    <t>Основы флористики: Уч.пос. / И.С.Шевченко - М.:НИЦ ИНФРА-М,2027. - 269 с.(СПО)(П)</t>
  </si>
  <si>
    <t>978-5-16-014336-1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</si>
  <si>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43.02.05 «Флористика» (протокол № 6 от 08.06.2022)</t>
  </si>
  <si>
    <t>646099.05.01</t>
  </si>
  <si>
    <t>Основы формальной картографии: Моногр. / Ю.А.Кравченко - М.:НИЦ ИНФРА-М,2025. - 158 с.-(Науч.мысль)(П)</t>
  </si>
  <si>
    <t>ОСНОВЫ ФОРМАЛЬНОЙ КАРТОГРАФИИ, ИЗД.1</t>
  </si>
  <si>
    <t>978-5-16-012720-0</t>
  </si>
  <si>
    <t>05.03.03, 05.03.04, 05.04.03, 21.03.02, 21.03.03, 35.03.03, 44.03.05</t>
  </si>
  <si>
    <t>376500.07.01</t>
  </si>
  <si>
    <t>Основы форсайта: Уч. / В.П.Третьяк - 2 изд. - М.:Магистр,НИЦ ИНФРА-М,2025 - 268 с.(Бакалавр.)(О)</t>
  </si>
  <si>
    <t>ОСНОВЫ ФОРСАЙТА, ИЗД.2</t>
  </si>
  <si>
    <t>Третьяк В.П., Калиничев В.Л., Козлов В.А.</t>
  </si>
  <si>
    <t>978-5-9776-0448-2</t>
  </si>
  <si>
    <t>Рекомендовано Учебно-методическим объединением вузов России по образованию в области технологии продукции и организации общественного питания в качестве учебника для бакалавров направления 080100 "Экономика и студентов других специальностей вузов пищ</t>
  </si>
  <si>
    <t>727905.02.01</t>
  </si>
  <si>
    <t>Основы функционир. гостиничной индустрии: Уч.пос. / Н.А.Агешкина - М.:НИЦ ИНФРА-М,2026. - 328 с.(п)</t>
  </si>
  <si>
    <t>ОСНОВЫ ФУНКЦИОНИРОВАНИЯ ГОСТИНИЧНОЙ ИНДУСТРИИ, ИЗД.1</t>
  </si>
  <si>
    <t>978-5-16-015974-4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</si>
  <si>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43.02.14 «Гостиничное дело» и 43.02.10 «Туризм» (протокол № 8 от 19.10.2022)</t>
  </si>
  <si>
    <t>655211.03.01</t>
  </si>
  <si>
    <t>Основы хирургической патологии: Уч. / Б.В.Уша-М.:НИЦ ИНФРА-М,2023.-449 с..-(ВО: Специалитет)(П)</t>
  </si>
  <si>
    <t>ОСНОВЫ ХИРУРГИЧЕСКОЙ ПАТОЛОГИИ, ИЗД.1</t>
  </si>
  <si>
    <t>Уша Б.В., Концевая С.Ю., Луцай В.И.</t>
  </si>
  <si>
    <t>978-5-16-013804-6</t>
  </si>
  <si>
    <t>Рекомендовано Учебно-методическим объединением вузов России по образованию в области технологии сырья и продуктов животного происхождения в качестве учебника для студентов высших учебных заведений, обучающихся по специальности 36.05.01 «Ветеринария» и направлению подготовки бакалавров 36.03.01 «Ветеринарно-санитарная экспертиза»</t>
  </si>
  <si>
    <t>698860.02.01</t>
  </si>
  <si>
    <t>Основы художественного конструирования автомобиля..: Уч.пос. / В.И.Песков - М.:НИЦ ИНФРА-М,2026 - 322 с.(ВО)(п)</t>
  </si>
  <si>
    <t>ОСНОВЫ ХУДОЖЕСТВЕННОГО КОНСТРУИРОВАНИЯ АВТОМОБИЛЯ: АВТОМОБИЛЬНЫЙ ДИЗАЙН, ИЗД.1</t>
  </si>
  <si>
    <t>978-5-16-014809-0</t>
  </si>
  <si>
    <t>23.05.01</t>
  </si>
  <si>
    <t>Рекомендовано Ученым советом Нижегородского государственного технического университета им. Р.Е. Алексеева в качестве учебного пособия для студентов специальности «Наземные транспортно-технологические средства» специализации «Автомобили и тракторы»</t>
  </si>
  <si>
    <t>VII Международный конкурс «Транспорт – 2025»-2025, Победитель, I место</t>
  </si>
  <si>
    <t>154500.10.01</t>
  </si>
  <si>
    <t>Основы художественного конструирования: Уч. пос. / Л.И.Коротеева - М.:НИЦ ИНФРА-М,2026 - 304 с.(ВО)(п)</t>
  </si>
  <si>
    <t>ОСНОВЫ ХУДОЖЕСТВЕННОГО КОНСТРУИРОВАНИЯ, ИЗД.1</t>
  </si>
  <si>
    <t>Коротеева Л.И., Яскин А.П.</t>
  </si>
  <si>
    <t>978-5-16-018962-8</t>
  </si>
  <si>
    <t>15.03.02, 15.04.01, 15.04.02, 51.03.02</t>
  </si>
  <si>
    <t>Рекомендовано в качестве учебника для студентов высших учебных заведений, обучающихся по УГС 13.00.00 «Электро- и теплоэнергетика»; 15.00.00 «Машиностроение»</t>
  </si>
  <si>
    <t>154500.04.01</t>
  </si>
  <si>
    <t>Основы художественного конструирования: Уч./ Л.И. Коротеева - М.: НИЦ ИНФРА-М,2018-304с.(ВО)(о)</t>
  </si>
  <si>
    <t>978-5-16-005016-4</t>
  </si>
  <si>
    <t>Рекомендовано в качестве учебника для студентов высших учебных заведений, обучающихся по направлениям 140000 «Энергетика, энергетическое машиностроение и электротехника»; 150000 «Металлургия, машиностроение и материалообработка»</t>
  </si>
  <si>
    <t>334000.08.01</t>
  </si>
  <si>
    <t>Основы цитологии, эмбриологии и гистологии: Уч. / В.В.Яглов - М.:НИЦ ИНФРА-М,2025 - 637 с.(ВО)(П)</t>
  </si>
  <si>
    <t>ОСНОВЫ ЦИТОЛОГИИ, ЭМБРИОЛОГИИ И ГИСТОЛОГИИ, ИЗД.1</t>
  </si>
  <si>
    <t>978-5-16-011854-3</t>
  </si>
  <si>
    <t>06.03.01, 06.04.01, 36.03.01, 36.04.01, 36.05.01</t>
  </si>
  <si>
    <t>Допущено Учебно-методическим объединением Российской Федерации по образованию в области ветеринарии и зоотехнии в качестве учебника для студентов высших учебных заведений, обучающихся по специальности 36.05.01 «Ветеринария» (квалификация «ветеринарный врач»)</t>
  </si>
  <si>
    <t>667632.11.01</t>
  </si>
  <si>
    <t>Основы черчения и начертат.геометрии: Уч.пос. / Л.И.Супрун - М.:НИЦ ИНФРА-М, СФУ,2027 - 138 с.(ВО)(О)</t>
  </si>
  <si>
    <t>ОСНОВЫ ЧЕРЧЕНИЯ И НАЧЕРТАТЕЛЬНОЙ ГЕОМЕТРИИ, ИЗД.1</t>
  </si>
  <si>
    <t>Супрун Л.И., Супрун Е.Г., Устюгова Л.А.</t>
  </si>
  <si>
    <t>978-5-16-020398-0</t>
  </si>
  <si>
    <t>00.03.36, 44.03.01</t>
  </si>
  <si>
    <t>Рекомендовано федеральным государственным бюджетным образовательным учреждением высшего образования «МГТУ им. Н.Э. Баумана» в качестве учебного пособия для студентов высших учебных заведений, обучающихся по направлению подготовки 44.03.01 «Педагогическое образование» (peг. № 2836 от 03.07.2014)</t>
  </si>
  <si>
    <t>278200.08.01</t>
  </si>
  <si>
    <t>Основы эвалюации в упр.качеством образов.: Моногр. / М.В.Гуськова - НИЦ ИНФРА-М,2027 - 204 с.(Науч.мысль)(о)</t>
  </si>
  <si>
    <t>ОСНОВЫ ЭВАЛЮАЦИИ В УПРАВЛЕНИИ КАЧЕСТВОМ ОБРАЗОВАНИЯ, ИЗД.1</t>
  </si>
  <si>
    <t>Гуськова М.В.</t>
  </si>
  <si>
    <t>978-5-16-009807-4</t>
  </si>
  <si>
    <t>339400.09.01</t>
  </si>
  <si>
    <t>Основы эколог. мониторинга: Уч.пос. / И.О.Тихонова - М.:Форум, НИЦ ИНФРА-М,2026 - 240 с.(ВО)(о)</t>
  </si>
  <si>
    <t>ОСНОВЫ ЭКОЛОГИЧЕСКОГО МОНИТОРИНГА, ИЗД.1</t>
  </si>
  <si>
    <t>Тихонова И.О., Кручинина Н.Е.</t>
  </si>
  <si>
    <t>978-5-00091-041-2</t>
  </si>
  <si>
    <t>05.03.06, 05.04.06, 18.03.02, 18.04.02, 20.03.01</t>
  </si>
  <si>
    <t>Допущено учебно-методическим объединением по образованию в области химическиой технологии и биотехнологии качестве учебного пособия для студентов высших учебньа заведений, обучающихся по направлениям подготовки 18.03.02 (бакалавриат) и 18.04.02 (маги</t>
  </si>
  <si>
    <t>655215.04.01</t>
  </si>
  <si>
    <t>Основы экологии и экономика природ.: Практ.: Уч.пос. / Т.Морозова - М.:НИЦ ИНФРА-М,,2025 - 286 с.(п)</t>
  </si>
  <si>
    <t>ОСНОВЫ ЭКОЛОГИИ И ЭКОНОМИКА ПРИРОДОПОЛЬЗОВАНИЯ. ПРАКТИКУМ, ИЗД.1</t>
  </si>
  <si>
    <t>Морозова Т.</t>
  </si>
  <si>
    <t>978-5-16-012780-4</t>
  </si>
  <si>
    <t>03.04.03, 05.03.06, 20.03.01, 20.04.01, 20.04.02, 35.03.01, 35.03.03, 51.03.04</t>
  </si>
  <si>
    <t>205600.09.01</t>
  </si>
  <si>
    <t>Основы экологии: Уч./ Н.К.Христофорова, - 3 изд., доп. - М.:Магистр, НИЦ ИНФРА-М,2026. - 640 с.(Бакалавриат)(П)</t>
  </si>
  <si>
    <t>ОСНОВЫ ЭКОЛОГИИ, ИЗД.3</t>
  </si>
  <si>
    <t>Христофорова Н. К.</t>
  </si>
  <si>
    <t>978-5-9776-0272-3</t>
  </si>
  <si>
    <t>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направлению 020400 «Биология</t>
  </si>
  <si>
    <t>639870.11.01</t>
  </si>
  <si>
    <t>Основы экологической экспертизы: Уч. / В.М.Питулько - М.:НИЦ ИНФРА-М,2026 - 566 с.(ВО: Бакалавр.)(П)</t>
  </si>
  <si>
    <t>ОСНОВЫ ЭКОЛОГИЧЕСКОЙ ЭКСПЕРТИЗЫ, ИЗД.1</t>
  </si>
  <si>
    <t>Питулько В.М., Донченко В.К., Растоскуев В.В. и др.</t>
  </si>
  <si>
    <t>978-5-16-012317-2</t>
  </si>
  <si>
    <t>05.03.06, 06.03.01, 13.03.01, 13.03.02, 14.03.01, 14.03.02, 18.03.01, 18.03.02, 19.03.01, 20.03.01, 20.03.02</t>
  </si>
  <si>
    <t>Рекомендовано в качестве учебника для студентов высших учебных заведений, обучающихся по направлениям подготовки 05.03.06 «Экология и природопользование», 06.03.01 «Биология», 13.03.01 «Теплоэнергетика и теплотехника» (квалификация (степень) «бакалавр»)</t>
  </si>
  <si>
    <t>Научно-исследовательский центр экологической безопасности Российской академии наук</t>
  </si>
  <si>
    <t>391900.09.01</t>
  </si>
  <si>
    <t>Основы эконом.,менедж. и маркетинг пред.питания: Уч. / А.М.Фридман - М.:ИЦ РИОР,НИЦ ИНФРА-М,2025 - 229 с.(ПО)(п)</t>
  </si>
  <si>
    <t>ОСНОВЫ  ЭКОНОМИКИ,МЕНЕДЖМЕНТА И МАРКЕТИНГА ПРЕДПРИЯТИЯ ПИТАНИЯ, ИЗД.1</t>
  </si>
  <si>
    <t>978-5-369-01516-2</t>
  </si>
  <si>
    <t>19.02.10, 19.02.11, 19.02.12, 43.02.01, 43.02.16</t>
  </si>
  <si>
    <t>118250.08.01</t>
  </si>
  <si>
    <t>Основы эконометр. в пакете STATISTICA.: Уч. пос./ К.Э. Плохотников. М.:Вуз. уч, 2024-297 с. +СD (п)</t>
  </si>
  <si>
    <t>ОСНОВЫ ЭКОНОМЕТРИКИ В ПАКЕТЕ STATISTICA, ИЗД.1</t>
  </si>
  <si>
    <t>Плохотников К. Э.</t>
  </si>
  <si>
    <t>978-5-9558-0114-8</t>
  </si>
  <si>
    <t>38.03.01, 38.03.02, 38.03.05, 38.03.06, 38.04.01, 38.04.02, 38.04.05, 38.04.06, 38.04.08</t>
  </si>
  <si>
    <t>809766.01.01</t>
  </si>
  <si>
    <t>Основы эконометрики в GRETL: Уч.пос. / А.И.Новиков - М.:НИЦ ИНФРА-М,2025. - 170 с.(ВО)(п)</t>
  </si>
  <si>
    <t>ОСНОВЫ ЭКОНОМЕТРИКИ В GRETL, ИЗД.1</t>
  </si>
  <si>
    <t>Новиков А.И.</t>
  </si>
  <si>
    <t>978-5-16-019034-1</t>
  </si>
  <si>
    <t>694478.05.01</t>
  </si>
  <si>
    <t>Основы экономики космической деят.: Уч.пос. / М.В.Афанасьев - М.:НИЦ ИНФРА-М,2025 - 264 с.(ВО)(П)</t>
  </si>
  <si>
    <t>ОСНОВЫ ЭКОНОМИКИ КОСМИЧЕСКОЙ ДЕЯТЕЛЬНОСТИ, ИЗД.1</t>
  </si>
  <si>
    <t>Афанасьев М.В.</t>
  </si>
  <si>
    <t>978-5-16-021007-0</t>
  </si>
  <si>
    <t>24.03.01, 24.04.01, 24.05.01, 24.06.01, 38.04.01, 38.06.01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</si>
  <si>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(квалификация (степень) «бакалавр») (протокол № 11 от 26.10.2020)</t>
  </si>
  <si>
    <t>733606.02.01</t>
  </si>
  <si>
    <t>Основы экономики организации: Уч.пос. / И.К.Мищенко. - М.:НИЦ ИНФРА-М,2026. - 420 с.(ВО.)(П)</t>
  </si>
  <si>
    <t>ОСНОВЫ ЭКОНОМИКИ ОРГАНИЗАЦИИ, ИЗД.1</t>
  </si>
  <si>
    <t>Мищенко И.К., Поволоцкая О.А., Фасенко Т.Е.</t>
  </si>
  <si>
    <t>978-5-16-021059-9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</si>
  <si>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2 от 09.02.2022)</t>
  </si>
  <si>
    <t>798773.01.01</t>
  </si>
  <si>
    <t>Основы экономики: Уч. / Н.Г.Багаутдинова - М.:НИЦ ИНФРА-М,2026. - 248 с.(СПО)(п)</t>
  </si>
  <si>
    <t>ОСНОВЫ ЭКОНОМИКИ, ИЗД.1</t>
  </si>
  <si>
    <t>Багаутдинова Н.Г., Зульфакарова Л.Ф., Гоцуляк И.Ф.</t>
  </si>
  <si>
    <t>978-5-16-021040-7</t>
  </si>
  <si>
    <t>13.02.02, 38.02.01, 38.02.02, 38.02.03, 38.02.06, 38.02.07, 38.02.08</t>
  </si>
  <si>
    <t>036050.19.01</t>
  </si>
  <si>
    <t>Основы экономики: Уч.пос. / З.К.Океанова - 5 изд. - М.:ИД ФОРУМ, НИЦ ИНФРА-М,2026 - 287 с.-(СПО)(П)</t>
  </si>
  <si>
    <t>ОСНОВЫ ЭКОНОМИКИ, ИЗД.5</t>
  </si>
  <si>
    <t>Океанова З.К.</t>
  </si>
  <si>
    <t>978-5-8199-0728-3</t>
  </si>
  <si>
    <t>Рекомендовано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38.00.00 «Экономика и управление»</t>
  </si>
  <si>
    <t>858557.02.01</t>
  </si>
  <si>
    <t>Основы экономического суверенитета РФ: Уч.пос. / А.Ю.Филин - М.:НИЦ ИНФРА-М,2025. - 211 с.(ВО)(п)</t>
  </si>
  <si>
    <t>ОСНОВЫ ЭКОНОМИЧЕСКОГО СУВЕРЕНИТЕТА РОССИЙСКОЙ ФЕДЕРАЦИИ, ИЗД.1</t>
  </si>
  <si>
    <t>Филин А.Ю.</t>
  </si>
  <si>
    <t>978-5-16-021281-4</t>
  </si>
  <si>
    <t>38.04.01, 38.04.02, 38.04.04, 38.04.09, 38.05.01, 40.04.01</t>
  </si>
  <si>
    <t>638005.06.01</t>
  </si>
  <si>
    <t>Основы экономической безопасности: Уч. / Н.Н.Карзаева - М.:НИЦ ИНФРА-М,2023 - 275 с.(ВО: Специалитет)(П)</t>
  </si>
  <si>
    <t>ОСНОВЫ ЭКОНОМИЧЕСКОЙ БЕЗОПАСНОСТИ, ИЗД.1</t>
  </si>
  <si>
    <t>Карзаева Н.Н.</t>
  </si>
  <si>
    <t>978-5-16-012220-5</t>
  </si>
  <si>
    <t>38.00.00, 38.03.01, 38.04.01, 38.05.01</t>
  </si>
  <si>
    <t>Рекомендовано в качестве учебника для студентов высших учебных заведений, обучающихся по направлению подготовки 38.05.01 «Экономическая безопасность» (квалификация (степень) «экономист»)</t>
  </si>
  <si>
    <t>638005.07.01</t>
  </si>
  <si>
    <t>Основы экономической безопасности: Уч./ Н.Н.Карзаева, - 2 изд. - М.:НИЦ ИНФРА-М,2025. - 287 с.(ВО)(п)</t>
  </si>
  <si>
    <t>ОСНОВЫ ЭКОНОМИЧЕСКОЙ БЕЗОПАСНОСТИ, ИЗД.2</t>
  </si>
  <si>
    <t>978-5-16-019633-6</t>
  </si>
  <si>
    <t>079670.17.01</t>
  </si>
  <si>
    <t>Основы экономической теории: Уч. / В.Г.Слагода, - 3 изд. - М.:Форум, ИНФРА-М,2026 - 269 с.(СПО)(О)</t>
  </si>
  <si>
    <t>ОСНОВЫ ЭКОНОМИЧЕСКОЙ ТЕОРИИ, ИЗД.3</t>
  </si>
  <si>
    <t>Слагода В. Г.</t>
  </si>
  <si>
    <t>978-5-00091-091-7</t>
  </si>
  <si>
    <t>38.01.01, 38.01.03, 38.02.01, 38.02.02, 38.02.03, 38.02.06, 38.02.07</t>
  </si>
  <si>
    <t>Допущено Министерством образования и науки Российской Федерации в качестве учебника для студентов образовательных учреждений профессионального образования</t>
  </si>
  <si>
    <t>Финансовый колледж № 35, г. Москва</t>
  </si>
  <si>
    <t>669495.07.01</t>
  </si>
  <si>
    <t>Основы эксплуат.горных машин и оборуд.: Уч.пос. /Под ред. Гилева А.В. - М.:НИЦ ИНФРА-М, СФУ,2025 - 273 с.(п)</t>
  </si>
  <si>
    <t>ОСНОВЫ ЭКСПЛУАТАЦИИ ГОРНЫХ МАШИН И ОБОРУДОВАНИЯ, ИЗД.1</t>
  </si>
  <si>
    <t>Гилев А.В., Чесноков В.Т., Лаврова Н.Б. и др.</t>
  </si>
  <si>
    <t>978-5-16-016763-3</t>
  </si>
  <si>
    <t>21.05.04, 21.05.05</t>
  </si>
  <si>
    <t>061670.24.01</t>
  </si>
  <si>
    <t>Основы эксплуатации оборуд. и систем газоснабжения: Уч. / О.Н.Брюханов - М.:НИЦ ИНФРА-М,2026 - 256 с.(П)</t>
  </si>
  <si>
    <t>ОСНОВЫ ЭКСПЛУАТАЦИИ ОБОРУДОВАНИЯ И СИСТЕМ ГАЗОСНАБЖЕНИЯ, ИЗД.1</t>
  </si>
  <si>
    <t>Брюханов О.Н., Плужников А.И.</t>
  </si>
  <si>
    <t>978-5-16-009539-4</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</si>
  <si>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08.02.08 «Монтаж и эксплуатация оборудования и систем газоснабжения»</t>
  </si>
  <si>
    <t>831315.04.01</t>
  </si>
  <si>
    <t>Основы эксплуатации релейной защиты и авто.: Уч.пос. / Е.Г.Дорохин - М.:НИЦ ИНФРА-М,2026. - 410 с.(СПО)(п)</t>
  </si>
  <si>
    <t>ОСНОВЫ ЭКСПЛУАТАЦИИ РЕЛЕЙНОЙ ЗАЩИТЫ И АВТОМАТИКИ, ИЗД.1</t>
  </si>
  <si>
    <t>Дорохин Е.Г.</t>
  </si>
  <si>
    <t>978-5-16-019963-4</t>
  </si>
  <si>
    <t>12.01.07, 12.02.07, 13.01.07, 13.02.07, 13.02.12, 15.01.18, 18.01.28, 18.01.35, 18.02.04, 18.02.05, 18.02.07, 18.02.09, 18.02.10, 18.02.13, 18.02.14, 19.01.01, 19.02.11, 19.02.12, 22.02.08, 26.02.02, 27.02.06, 35.02.08, 35.02.18</t>
  </si>
  <si>
    <t>818677.05.01</t>
  </si>
  <si>
    <t>Основы эксплуатации релейной защиты и автоматики: Уч.пос. / Е.Г.Дорохин - М.:НИЦ ИНФРА-М,2027. - 410 с.(ВО)(п)</t>
  </si>
  <si>
    <t>978-5-16-019509-4</t>
  </si>
  <si>
    <t>13.03.02, 13.04.02, 35.03.06</t>
  </si>
  <si>
    <t>651534.15.01</t>
  </si>
  <si>
    <t>Основы электротехники: Уч. / А.В.Ситников - М.:КУРС, НИЦ ИНФРА-М,2026 - 288 с.(П)</t>
  </si>
  <si>
    <t>ОСНОВЫ ЭЛЕКТРОТЕХНИКИ, ИЗД.1</t>
  </si>
  <si>
    <t>Ситников А.В.</t>
  </si>
  <si>
    <t>978-5-906923-14-1</t>
  </si>
  <si>
    <t>09.02.01, 21.02.15, 21.02.18, 23.01.17, 26.02.04, 35.01.27</t>
  </si>
  <si>
    <t>814845.01.01</t>
  </si>
  <si>
    <t>Основы эргономики и безоп. труда: Уч.пос. / Н.И.Чепелев - М.:НИЦ ИНФРА-М,2025. - 253 с.(ВО)(п)</t>
  </si>
  <si>
    <t>ОСНОВЫ ЭРГОНОМИКИ И БЕЗОПАСНОСТЬ ТРУДА, ИЗД.1</t>
  </si>
  <si>
    <t>Чепелев Н.И., Орловский С.Н., Щекин А.Ю.</t>
  </si>
  <si>
    <t>978-5-16-019762-3</t>
  </si>
  <si>
    <t>071700.13.01</t>
  </si>
  <si>
    <t>Основы этики: Уч. / А.В.Разин - М.:ИД ФОРУМ, НИЦ ИНФРА-М,2025. - 304 с.(СПО)(п)</t>
  </si>
  <si>
    <t>ОСНОВЫ ЭТИКИ, ИЗД.1</t>
  </si>
  <si>
    <t>Разин А. В.</t>
  </si>
  <si>
    <t>978-5-8199-0261-5</t>
  </si>
  <si>
    <t>00.02.11, 00.02.33</t>
  </si>
  <si>
    <t>853434.01.01</t>
  </si>
  <si>
    <t>Основы этики: Уч. / В.Д.Губин, - 3 изд., - М.:НИЦ ИНФРА-М,2025. - 254 с.(ВО)(п)</t>
  </si>
  <si>
    <t>ОСНОВЫ ЭТИКИ, ИЗД.3</t>
  </si>
  <si>
    <t>Губин В.Д., Некрасова Е.Н.</t>
  </si>
  <si>
    <t>978-5-16-020831-2</t>
  </si>
  <si>
    <t>07.03.03, 07.04.01, 21.05.04, 37.03.01, 37.05.01, 38.03.01, 38.03.02, 38.03.03, 38.03.04, 38.04.02, 39.03.01, 40.03.01, 40.05.02, 40.05.04, 42.03.04, 43.03.01, 44.03.05, 47.03.01, 47.04.02, 51.03.01, 51.03.03, 51.03.04, 51.04.03, 51.05.01, 52.03.06, 52.05.01, 53.03.01, 53.03.03, 53.03.04, 53.03.05, 53.03.06, 54.05.05, 55.05.01, 55.05.04</t>
  </si>
  <si>
    <t>063450.04.01</t>
  </si>
  <si>
    <t>Основы этики: Уч./ В.Д.Губин, - 3 изд., - М.:НИЦ ИНФРА-М,2025. - 254 с.(СПО)(п)</t>
  </si>
  <si>
    <t>978-5-16-016872-2</t>
  </si>
  <si>
    <t>31.01.01, 31.02.01, 31.02.02, 31.02.03, 31.02.04, 31.02.05, 31.02.06, 32.02.01, 34.01.01, 34.02.01, 34.02.02, 39.01.01, 39.02.01, 39.02.03</t>
  </si>
  <si>
    <t>106950.15.01</t>
  </si>
  <si>
    <t>Основы юридической психологии: Уч. / М.И.Еникеев - М.:Юр.Норма, НИЦ ИНФРА-М,2026. - 448 с.(П)</t>
  </si>
  <si>
    <t>ОСНОВЫ ЮРИДИЧЕСКОЙ ПСИХОЛОГИИ, ИЗД.1</t>
  </si>
  <si>
    <t>Еникеев М.И.</t>
  </si>
  <si>
    <t>978-5-91768-750-6</t>
  </si>
  <si>
    <t>330600.06.01</t>
  </si>
  <si>
    <t>Основы ядерного магнитного резонанса: Уч.пос. / М.П.Евстигнеев-М.:Вуз. уч., НИЦ ИНФРА-М,2023.-247 с.(П)</t>
  </si>
  <si>
    <t>ОСНОВЫ ЯДЕРНОГО МАГНИТНОГО РЕЗОНАНСА, ИЗД.1</t>
  </si>
  <si>
    <t>Евстигнеев М.П., Лантушенко А.О., Костюков В.В. и др.</t>
  </si>
  <si>
    <t>978-5-9558-0414-9</t>
  </si>
  <si>
    <t>14.04.01, 14.04.02</t>
  </si>
  <si>
    <t>641227.04.01</t>
  </si>
  <si>
    <t>Основы языка программирования 1С 8.3: Уч.пос. / Э.Г.Дадян - М.:Вуз. уч.,НИЦ ИНФРА-М,2019 - 132с(О)</t>
  </si>
  <si>
    <t>ОСНОВЫ ЯЗЫКА ПРОГРАММИРОВАНИЯ 1С 8.3, ИЗД.1</t>
  </si>
  <si>
    <t>978-5-9558-0453-8</t>
  </si>
  <si>
    <t>09.03.03, 38.03.01, 38.03.02, 38.03.03, 38.03.04, 38.03.05, 38.03.06, 38.03.07, 38.03.10</t>
  </si>
  <si>
    <t>856281.02.01</t>
  </si>
  <si>
    <t>Особенности  воен. преступ. ВС США и Великобритании.../ Под ред. Хутина А.Ф. - М.:НИЦ ИНФРА-М,2025. - 210 с.(п)</t>
  </si>
  <si>
    <t>ОСОБЕННОСТИ ВОЕННЫХ ПРЕСТУПЛЕНИЙ ВООРУЖЕННЫХ СИЛ США И ВЕЛИКОБРИТАНИИ В ВОЙНАХ КОНЦА ХХ — НАЧАЛА ХХI В., ИЗД.1</t>
  </si>
  <si>
    <t>Палецких А.В., Хутин А.Ф.</t>
  </si>
  <si>
    <t>978-5-16-020976-0</t>
  </si>
  <si>
    <t>40.05.01, 40.05.02, 40.05.04, 40.06.01, 41.04.05</t>
  </si>
  <si>
    <t>Московское высшее общевойсковое командное орденов Ленина и Октябрьской революции Краснознаменное училище</t>
  </si>
  <si>
    <t>727943.01.01</t>
  </si>
  <si>
    <t>Особенности влияния узлов соединения набора на...  / М.А.Москаленко.-М.:НИЦ ИНФРА-М,2023.-195 с.(О)</t>
  </si>
  <si>
    <t>ОСОБЕННОСТИ ВЛИЯНИЯ УЗЛОВ СОЕДИНЕНИЯ НАБОРА НА НЕСУЩУЮ СПОСОБНОСТЬ БОРТОВЫХ ПЕРЕКРЫТИЙ СУДОВ ЛЕДОВОГО ПЛАВАНИЯ, ИЗД.1</t>
  </si>
  <si>
    <t>Москаленко М.А., Друзь И.Б., Москаленко В.М.</t>
  </si>
  <si>
    <t>978-5-16-017729-8</t>
  </si>
  <si>
    <t>26.05.01, 26.06.01</t>
  </si>
  <si>
    <t>806084.02.01</t>
  </si>
  <si>
    <t>Особенности гелотофобии (страха насмешки)...: Моногр. / Д.А.Шуненков. - М.:НИЦ ИНФРА-М,2026. - 207 с.(п)</t>
  </si>
  <si>
    <t>ОСОБЕННОСТИ ГЕЛОТОФОБИИ (СТРАХА НАСМЕШКИ) ПРИ ПСИХИЧЕСКИХ РАССТРОЙСТВАХ НЕВРОТИЧЕСКОГО УРОВНЯ, ИЗД.1</t>
  </si>
  <si>
    <t>Шуненков Д.А., Худяков А.В., Иванова Е.М.</t>
  </si>
  <si>
    <t>978-5-16-018814-0</t>
  </si>
  <si>
    <t>30.05.01, 30.05.02, 30.05.03, 31.05.02, 31.06.01, 31.07.01, 31.08.20, 31.08.22, 32.05.01, 37.03.01, 37.05.01, 37.05.02, 44.05.01</t>
  </si>
  <si>
    <t>Психиатрическая клиническая больница №1 им.Н.А.Алексеева</t>
  </si>
  <si>
    <t>828886.01.01</t>
  </si>
  <si>
    <t>Особенности ист. развития добровольчества (волонтер.) в... / Н.И.Горлова - М.:НИЦ ИНФРА-М,2025. - 217 с(о)</t>
  </si>
  <si>
    <t>ОСОБЕННОСТИ ИСТОРИЧЕСКОГО РАЗВИТИЯ ДОБРОВОЛЬЧЕСТВА (ВОЛОНТЕРСТВА) В СОВЕТСКОЙ РОССИИ И СССР, ИЗД.1</t>
  </si>
  <si>
    <t>Горлова Н.И., Старовойтова Л.И., Касьянов В.В.</t>
  </si>
  <si>
    <t>978-5-16-019988-7</t>
  </si>
  <si>
    <t>05.04.06, 39.03.02, 49.04.01</t>
  </si>
  <si>
    <t>769272.03.01</t>
  </si>
  <si>
    <t>Особенности квалификации преступ., предусмотр. статьей 303 УК РФ: Уч.пос. /Е.Г.Быкова-М.:Юр.Норма, НИЦ ИНФРА-М,2024-152 с.(П)</t>
  </si>
  <si>
    <t>ОСОБЕННОСТИ КВАЛИФИКАЦИИ ПРЕСТУПЛЕНИЙ, ПРЕДУСМОТРЕННЫХ СТАТЬЕЙ 303 УГОЛОВНОГО КОДЕКСА РФ, ИЗД.1</t>
  </si>
  <si>
    <t>Быкова Е.Г., Казаков А.А.</t>
  </si>
  <si>
    <t>978-5-00156-215-3</t>
  </si>
  <si>
    <t>433100.08.01</t>
  </si>
  <si>
    <t>Особенности операций мыш. и их коррекц..: Уч. пос. / А.А.Тараканова  - М.:Форум, НИЦ ИНФРА-М, 2026 - 176 с..(ВО)</t>
  </si>
  <si>
    <t>ОСОБЕННОСТИ ОПЕРАЦИЙ МЫШЛЕНИЯ И ИХ КОРРЕКЦИЯ У МЛАДШИХ ШКОЛЬНИКОВ С НАРУШЕНИЯМИ ПИСЬМА, ИЗД.1</t>
  </si>
  <si>
    <t>Тараканова А.А.</t>
  </si>
  <si>
    <t>978-5-00091-125-9</t>
  </si>
  <si>
    <t>691158.06.01</t>
  </si>
  <si>
    <t>Особенности питания и удобр.овощных культ...: Уч.пос. / В.В.Кидин - М.:НИЦ ИНФРА-М,2027-202с(СПО)(П)</t>
  </si>
  <si>
    <t>ОСОБЕННОСТИ ПИТАНИЯ И УДОБРЕНИЯ ОВОЩНЫХ КУЛЬТУР И КАРТОФЕЛЯ, ИЗД.1</t>
  </si>
  <si>
    <t>978-5-16-014393-4</t>
  </si>
  <si>
    <t>19.02.11, 19.02.12, 35.01.23, 35.01.26, 35.01.27, 35.02.05, 35.02.07, 35.02.16</t>
  </si>
  <si>
    <t>631795.08.01</t>
  </si>
  <si>
    <t>Особенности питания и удобрения овощных культур и..:Уч.пос. / В.В.Кидин - М.:НИЦ ИНФРА-М,2027 - 202 с.(ВО)(п)</t>
  </si>
  <si>
    <t>978-5-16-019052-5</t>
  </si>
  <si>
    <t>35.03.03, 35.03.04, 35.03.05, 35.03.06</t>
  </si>
  <si>
    <t>Рекомендовано в качестве учебного пособия для студентов высших учебных заведений, обучающихся по направлению подготовки 35.03.04 «Агрономия» (квалификация (степень) «бакалавр»)</t>
  </si>
  <si>
    <t>284400.05.01</t>
  </si>
  <si>
    <t>Особенности проф. подготовки женщин...: Моногр. / С.Д.Резник-М.:НИЦ ИНФРА-М,2024-148с.(О)</t>
  </si>
  <si>
    <t>ОСОБЕННОСТИ ПРОФЕССИОНАЛЬНОЙ ПОДГОТОВКИ ЖЕНЩИН К ПРАКТИЧЕСКОЙ ДЕЯТЕЛЬНОСТИ В СФЕРЕ МЕНЕДЖМЕНТА И БИЗНЕСА, ИЗД.1</t>
  </si>
  <si>
    <t>Резник С. Д., Макарова С. Н.</t>
  </si>
  <si>
    <t>978-5-16-009910-1</t>
  </si>
  <si>
    <t>641997.06.01</t>
  </si>
  <si>
    <t>Особенности проф.-ориентир.обуч.в компет.обр. простр.: Моногр. / Е.А.Макарова - М.:НИЦ ИНФРА-М,2026 - 128 с.(о)</t>
  </si>
  <si>
    <t>ОСОБЕННОСТИ ПРОФЕССИОНАЛЬНО-ОРИЕНТИРОВАННОГО ОБУЧЕНИЯ В КОМПЕТЕНТНОСТНОМ ОБРАЗОВАТЕЛЬНОМ ПРОСТРАНСТВЕ, ИЗД.1</t>
  </si>
  <si>
    <t>Макарова Е.А., Макарова Е.Л.</t>
  </si>
  <si>
    <t>978-5-16-012617-3</t>
  </si>
  <si>
    <t>733985.04.01</t>
  </si>
  <si>
    <t>Особенности психологич. базиса чт. умств. отсталых шк...: Моногр. / В.В.Ткачева - М.:НИЦ ИНФРА-М,2026 - 215 с.(О)</t>
  </si>
  <si>
    <t>ОСОБЕННОСТИ ПСИХОЛОГИЧЕСКОГО БАЗИСА ЧТЕНИЯ УМСТВЕННО ОТСТАЛЫХ ШКОЛЬНИКОВ СО СЛОЖНЫМИ НАРУШЕНИЯМИ РАЗВИТИЯ, ИЗД.1</t>
  </si>
  <si>
    <t>Ткачева В.В., Каткова И.А.</t>
  </si>
  <si>
    <t>978-5-16-016440-3</t>
  </si>
  <si>
    <t>44.03.03, 44.04.03, 44.05.01, 44.06.01</t>
  </si>
  <si>
    <t>713678.09.01</t>
  </si>
  <si>
    <t>Особенности работы с детьми с ОВЗ дош. возраста: Уч.мет.пос. / С.В.Гайченко - М.:НИЦ ИНФРА-М,2026 - 167 c.(П)</t>
  </si>
  <si>
    <t>ОСОБЕННОСТИ РАБОТЫ С ДЕТЬМИ С ОВЗ ДОШКОЛЬНОГО ВОЗРАСТА, ИЗД.1</t>
  </si>
  <si>
    <t>Гайченко С.В., Иванова О.А.</t>
  </si>
  <si>
    <t>978-5-16-015566-1</t>
  </si>
  <si>
    <t>44.02.01, 44.02.04, 44.03.03, 44.04.03, 44.06.01</t>
  </si>
  <si>
    <t>711087.06.01</t>
  </si>
  <si>
    <t>Особенности расслед. мошенничеств, соверш. раб. банков..: Моногр. / В.Н.Карагодин. - М.:НИЦ ИНФРА-М,2026. - 188 с.(О)</t>
  </si>
  <si>
    <t>ОСОБЕННОСТИ РАССЛЕДОВАНИЯ МОШЕННИЧЕСТВ, СОВЕРШАЕМЫХ РАБОТНИКАМИ БАНКОВ В СФЕРЕ КРЕДИТОВАНИЯ, ИЗД.1</t>
  </si>
  <si>
    <t>Карагодин В.Н., Карепанов Г.Н., Карепанов Н.В.</t>
  </si>
  <si>
    <t>978-5-16-015878-5</t>
  </si>
  <si>
    <t>802576.01.01</t>
  </si>
  <si>
    <t>Особенности рассмотр. индивидуал. труд. споров: Моногр. / А.В.Иглин-М.:НИЦ ИНФРА-М,2024.-168 с.(о)</t>
  </si>
  <si>
    <t>ОСОБЕННОСТИ РАССМОТРЕНИЯ ИНДИВИДУАЛЬНЫХ ТРУДОВЫХ СПОРОВ: СРАВНИТЕЛЬНО-ПРАВОВОЙ АСПЕКТ, ИЗД.1</t>
  </si>
  <si>
    <t>Иглин А.В., Иглин В.В.</t>
  </si>
  <si>
    <t>978-5-16-018577-4</t>
  </si>
  <si>
    <t>38.05.01, 38.05.02, 40.05.01, 40.05.02, 40.05.03, 40.05.04, 40.06.01</t>
  </si>
  <si>
    <t>871116.01.01</t>
  </si>
  <si>
    <t>Особенности совр. образоват. миграции в рамках Евраз. эконом... / Т.В.Лебедева - М.:НИЦ ИНФРА-М,2026. - 146 с.(о)</t>
  </si>
  <si>
    <t>ОСОБЕННОСТИ СОВРЕМЕННОЙ ОБРАЗОВАТЕЛЬНОЙ МИГРАЦИИ В РАМКАХ ЕВРАЗИЙСКОГО ЭКОНОМИЧЕСКОГО СОЮЗА, ИЗД.1</t>
  </si>
  <si>
    <t>978-5-16-021813-7</t>
  </si>
  <si>
    <t>41.04.05, 44.06.01</t>
  </si>
  <si>
    <t>684895.06.01</t>
  </si>
  <si>
    <t>Особенности техн. обработки трикот. изд.: Уч.пос. / Т.В.Полянская - М.:ИД ФОРУМ,НИЦ ИНФРА-М,2024 - 160с.(П)</t>
  </si>
  <si>
    <t>ОСОБЕННОСТИ ТЕХНОЛОГИИ ОБРАБОТКИ ТРИКОТАЖНЫХ ИЗДЕЛИЙ, ИЗД.1</t>
  </si>
  <si>
    <t>Полянская Т.В.</t>
  </si>
  <si>
    <t>978-5-8199-0810-5</t>
  </si>
  <si>
    <t>29.02.05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</si>
  <si>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29.02.05 «Технология текстильных изделий (по видам)»</t>
  </si>
  <si>
    <t>075140.14.01</t>
  </si>
  <si>
    <t>Особенности технол. обработки трикотаж. изделий: Уч. пос. / Т.В. Полянская. - М.:ФОРУМ: ИНФРА-М,2027 - 160 с.(о)</t>
  </si>
  <si>
    <t>Полянская Т. В.</t>
  </si>
  <si>
    <t>978-5-8199-0287-5</t>
  </si>
  <si>
    <t>29.03.01, 29.03.02</t>
  </si>
  <si>
    <t>Рекомендовано УМО в области сервиса в качестве учебного пособия для студентов вузов, обучающихся по специальности 230700 Сервис</t>
  </si>
  <si>
    <t>719464.03.01</t>
  </si>
  <si>
    <t>Особенности учета в торговле и общ. питании: Уч.пос. / Н.А.Качан - 2 изд. -  М.:НИЦ ИНФРА-М,2025 - 167 с.(П)(СПО)</t>
  </si>
  <si>
    <t>ОСОБЕННОСТИ УЧЕТА В ТОРГОВЛЕ И ОБЩЕСТВЕННОМ ПИТАНИИ, ИЗД.2</t>
  </si>
  <si>
    <t>Качан Н.А., Новосельцева С.Н.</t>
  </si>
  <si>
    <t>978-5-16-015741-2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</si>
  <si>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8 от 22.06.2020)</t>
  </si>
  <si>
    <t>279000.05.01</t>
  </si>
  <si>
    <t>Особенности учета и экон. анализа деят.изд.: Уч.пос. / О.В.Дмитриева - М.:НИЦ ИНФРА-М,2022-244с(П)</t>
  </si>
  <si>
    <t>ОСОБЕННОСТИ УЧЕТА И ЭКОНОМИЧЕСКОГО АНАЛИЗА ДЕЯТЕЛЬНОСТИ ИЗДАТЕЛЬСТВА, ИЗД.1</t>
  </si>
  <si>
    <t>978-5-16-011713-3</t>
  </si>
  <si>
    <t>38.03.01, 38.03.02, 42.03.03, 42.04.03</t>
  </si>
  <si>
    <t>Допущено УМО по образованию в области полиграфии и книжного дела для студентов высших учебных заведений, обучающихся по направлению подготовки 42.03.03 «Издательское дело»</t>
  </si>
  <si>
    <t>745026.01.01</t>
  </si>
  <si>
    <t>Особенности фондовых рынков эконом. развитых стран: Уч.пос./ В.М.Пищулов-М.:НИЦ ИНФРА-М,2025.-167 с.(ВО)(п)</t>
  </si>
  <si>
    <t>ОСОБЕННОСТИ ФОНДОВЫХ РЫНКОВ ЭКОНОМИЧЕСКИ РАЗВИТЫХ СТРАН, ИЗД.1</t>
  </si>
  <si>
    <t>978-5-16-016822-7</t>
  </si>
  <si>
    <t>688259.02.01</t>
  </si>
  <si>
    <t>Особые эконом. территории России: Уч.пос. / С.Л.Орлов - М.:ИД ФОРУМ, НИЦ ИНФРА-М,2023 - 199 с.-(ВО)(П)</t>
  </si>
  <si>
    <t>ОСОБЫЕ ЭКОНОМИЧЕСКИЕ ТЕРРИТОРИИ РОССИИ, ИЗД.1</t>
  </si>
  <si>
    <t>Орлов С.Л., Иванов Г.Г.</t>
  </si>
  <si>
    <t>978-5-8199-0855-6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</si>
  <si>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38.03.06 «Торговое дело» (квалификация (степень) «бакалавр») (протокол № 17 от 11.11.2019)</t>
  </si>
  <si>
    <t>239800.09.01</t>
  </si>
  <si>
    <t>Острые заболевания яичка у детей: Практ. рук. / Ю.Н. Болотов - М.: НИЦ ИНФРА-М, 2025. - 107 с.(О)</t>
  </si>
  <si>
    <t>ОСТРЫЕ ЗАБОЛЕВАНИЯ ЯИЧКА У ДЕТЕЙ, ИЗД.1</t>
  </si>
  <si>
    <t>Болотов Ю. Н., Минаев С. В.</t>
  </si>
  <si>
    <t>978-5-16-009225-6</t>
  </si>
  <si>
    <t>31.05.02, 31.06.01, 31.07.01, 31.08.15, 31.08.19</t>
  </si>
  <si>
    <t>694252.03.01</t>
  </si>
  <si>
    <t>Острый аппендицит: клиника, диагностика, лечение: Уч.пос. / Под ред. Ачкасова Е.Е.-М.:НИЦ ИНФРА-М,2023-207с.(ВО)(п)</t>
  </si>
  <si>
    <t>ОСТРЫЙ АППЕНДИЦИТ: КЛИНИКА, ДИАГНОСТИКА, ЛЕЧЕНИЕ, ИЗД.1</t>
  </si>
  <si>
    <t>Ачкасов Е.Е., Забелин М.В., Посудневский В.И. и др.</t>
  </si>
  <si>
    <t>978-5-16-014643-0</t>
  </si>
  <si>
    <t>31.05.01, 31.06.01, 31.08.67</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</si>
  <si>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32.05.01 «Медико-профилактическое дело», 31.05.03 «Стоматология»</t>
  </si>
  <si>
    <t>684819.04.01</t>
  </si>
  <si>
    <t>Острый аппендицит: Моногр. / А.В.Пугаев - М.:НИЦ ИНФРА-М,2025 - 191 с.:цв.ил.-(Науч.мысль)(П)</t>
  </si>
  <si>
    <t>ОСТРЫЙ АППЕНДИЦИТ, ИЗД.1</t>
  </si>
  <si>
    <t>978-5-16-014341-5</t>
  </si>
  <si>
    <t>696455.01.01</t>
  </si>
  <si>
    <t>Острый панкреатит: клиника, диагностика...: Уч.пос. / Е.Е.Ачкасов - М.:НИЦ ИНФРА-М,2020-269 с.(ВО(П)</t>
  </si>
  <si>
    <t>ОСТРЫЙ ПАНКРЕАТИТ: КЛИНИКА, ДИАГНОСТИКА, ЛЕЧЕНИЕ, ИЗД.1</t>
  </si>
  <si>
    <t>Ачкасов Е.Е., Пугаев А.В., Забелин М.В. и др.</t>
  </si>
  <si>
    <t>978-5-16-014641-6</t>
  </si>
  <si>
    <t>31.05.01, 31.06.01, 31.08.28, 31.08.67</t>
  </si>
  <si>
    <t>684815.06.01</t>
  </si>
  <si>
    <t>Острый панкреатит: Моногр. / А.В.Пугаев - М.:НИЦ ИНФРА-М,2025. - 263 с.(Науч.мысль)(п)</t>
  </si>
  <si>
    <t>ОСТРЫЙ ПАНКРЕАТИТ, ИЗД.1</t>
  </si>
  <si>
    <t>978-5-16-014261-6</t>
  </si>
  <si>
    <t>778791.05.01</t>
  </si>
  <si>
    <t>Осуществление гос. и муниципал. закупок...: Моногр. / В.А.Перов - М.:НИЦ ИНФРА-М,2026. - 219 с.(Науч.мысль)(О)</t>
  </si>
  <si>
    <t>ОСУЩЕСТВЛЕНИЕ ГОСУДАРСТВЕННЫХ И МУНИЦИПАЛЬНЫХ ЗАКУПОК НЕКОНКУРЕНТНЫМИ СПОСОБАМИ (ЗАКУПКИ У ЕДИНСТВЕННОГО ПОСТАВЩИКА): ОЦЕНКА ЭКОНОМИЧЕСКОЙ ЭФФЕКТИВНОСТИ, ИЗД.1</t>
  </si>
  <si>
    <t>Перов В.А., Шибанова А.А.</t>
  </si>
  <si>
    <t>978-5-16-017735-9</t>
  </si>
  <si>
    <t>38.04.04, 38.04.05, 38.05.01, 38.06.01, 40.04.01, 40.06.01</t>
  </si>
  <si>
    <t>776956.01.01</t>
  </si>
  <si>
    <t>Осуществление кадастровых отношений: Уч.пос. / С.А.Липски-М.:НИЦ ИНФРА-М,2023.-198 с(СПО)(П)</t>
  </si>
  <si>
    <t>ОСУЩЕСТВЛЕНИЕ КАДАСТРОВЫХ ОТНОШЕНИЙ, ИЗД.1</t>
  </si>
  <si>
    <t>978-5-16-017676-5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</si>
  <si>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21.02.05 «Земельно-имущественные отношения» (протокол №10 от 21.12.2022)</t>
  </si>
  <si>
    <t>764683.01.01</t>
  </si>
  <si>
    <t>Осуществление кредитных операций: Уч. / Под ред. Бровкиной Н.Е. - М.:НИЦ ИНФРА-М,2024.-306 с.(СПО (ФинУн))(п)</t>
  </si>
  <si>
    <t>ОСУЩЕСТВЛЕНИЕ КРЕДИТНЫХ ОПЕРАЦИЙ, ИЗД.1</t>
  </si>
  <si>
    <t>Терновская Е.П., Ушанов А.Е., Бровкина Н.Е. и др.</t>
  </si>
  <si>
    <t>978-5-16-018554-5</t>
  </si>
  <si>
    <t>816579.01.01</t>
  </si>
  <si>
    <t>От теизма — к эготеизму: генезис отнош. чел. и Бога: Моногр. / Е.Ф.Казаков-М.:НИЦ ИНФРА-М,2024.-211 с.(п)</t>
  </si>
  <si>
    <t>ОТ ТЕИЗМА — К ЭГОТЕИЗМУ: ГЕНЕЗИС ОТНОШЕНИЙ ЧЕЛОВЕКА И БОГА, ИЗД.1</t>
  </si>
  <si>
    <t>978-5-16-019395-3</t>
  </si>
  <si>
    <t>47.03.01, 47.03.03, 47.04.01, 47.06.01, 48.03.01, 48.04.01, 48.06.01</t>
  </si>
  <si>
    <t>384000.09.01</t>
  </si>
  <si>
    <t>Ответственность за наруш.антимонопол..: Моногр. / С.В.Максимов - М.:Юр.Норма,НИЦ ИНФРА-М,2025 - 144 с.(О)</t>
  </si>
  <si>
    <t>ОТВЕТСТВЕННОСТЬ ЗА НАРУШЕНИЯ АНТИМОНОПОЛЬНОГО ЗАКОНОДАТЕЛЬСТВА: ПРОБЛЕМЫ ТЕОРИИ И ПРАКТИКИ, ИЗД.1</t>
  </si>
  <si>
    <t>Максимов С.В., Пузыревский С.А.</t>
  </si>
  <si>
    <t>978-5-91768-731-5</t>
  </si>
  <si>
    <t>38.03.04, 40.03.01, 40.05.01, 40.05.02, 40.05.03, 40.05.04, 40.06.01, 44.03.05</t>
  </si>
  <si>
    <t>675395.06.01</t>
  </si>
  <si>
    <t>Ответственность за наруш.финанс.законодат.: Уч.пос. / А.А.Ситник   - 2 изд. - М.:Юр.Норма,НИЦ ИНФРА-М,2026  - 128 с.(п)</t>
  </si>
  <si>
    <t>ОТВЕТСТВЕННОСТЬ ЗА НАРУШЕНИЕ ФИНАНСОВОГО ЗАКОНОДАТЕЛЬСТВА, ИЗД.2</t>
  </si>
  <si>
    <t>Ситник А.А., Горлова Е.Н., Соболь О.С.</t>
  </si>
  <si>
    <t>978-5-00156-354-9</t>
  </si>
  <si>
    <t>38.05.01, 40.03.01, 40.05.01, 40.05.02, 40.05.03, 40.05.04</t>
  </si>
  <si>
    <t>675395.04.01</t>
  </si>
  <si>
    <t>Ответственность за наруш.финанс.законодат.: Уч.пос./ А.А.Ситник - М.:Юр.Норма,НИЦ ИНФРА-М,2023 -112с</t>
  </si>
  <si>
    <t>ОТВЕТСТВЕННОСТЬ ЗА НАРУШЕНИЕ ФИНАНСОВОГО ЗАКОНОДАТЕЛЬСТВА, ИЗД.1</t>
  </si>
  <si>
    <t>978-5-91768-888-6</t>
  </si>
  <si>
    <t>464750.06.01</t>
  </si>
  <si>
    <t>Ответственность за окруж. среду и возмещ. экологич...: Моногр./Л.И.Брославский-М.:НИЦ ИНФРА-М,2024-229с.(П)</t>
  </si>
  <si>
    <t>ОТВЕТСТВЕННОСТЬ ЗА ОКРУЖАЮЩУЮ СРЕДУ И ВОЗМЕЩЕНИЕ ЭКОЛОГИЧЕСКОГО ВРЕДА: ЗАКОНЫ И РЕАЛИИ РОССИИ, США И ЕВРОСОЮЗА, ИЗД.1</t>
  </si>
  <si>
    <t>Брославский Л. И.</t>
  </si>
  <si>
    <t>978-5-16-009605-6</t>
  </si>
  <si>
    <t>05.03.06, 05.04.06, 40.03.01, 40.04.01</t>
  </si>
  <si>
    <t>464750.07.01</t>
  </si>
  <si>
    <t>Ответственность за окруж. среду и возмещ. экологич...: Моногр./Л.И.Брославский-М.:НИЦ ИНФРА-М,2025-229с.(П)</t>
  </si>
  <si>
    <t>978-5-16-020427-7</t>
  </si>
  <si>
    <t>658969.06.01</t>
  </si>
  <si>
    <t>Ответственность за отмывание (легализацию) коррупц. доходов... / И.С.Власов - М.:ИНФРА-М,2026 - 312 с.(о)</t>
  </si>
  <si>
    <t>ОТВЕТСТВЕННОСТЬ ЗА ОТМЫВАНИЕ (ЛЕГАЛИЗАЦИЮ) КОРРУПЦИОННЫХ ДОХОДОВ ПО ЗАКОНОДАТЕЛЬСТВУ ЗАРУБЕЖНЫХ ГОСУДАРСТВ, ИЗД.1</t>
  </si>
  <si>
    <t>Власов И.С., Власова Н.В., Голованова Н.А. и др.</t>
  </si>
  <si>
    <t>978-5-16-012885-6</t>
  </si>
  <si>
    <t>647415.11.01</t>
  </si>
  <si>
    <t>Отечественная история: Краткий учеб. курс / Ю.И.Дубровин - М.:Юр.Норма, НИЦ ИНФРА-М,2027 - 144 с.(О)</t>
  </si>
  <si>
    <t>ОТЕЧЕСТВЕННАЯ ИСТОРИЯ, ИЗД.1</t>
  </si>
  <si>
    <t>Дубровин Ю.И., Дубровина О.Ю., Плотникова О.В.</t>
  </si>
  <si>
    <t>978-5-91768-796-4</t>
  </si>
  <si>
    <t>00.03.04, 00.05.04, 26.02.04</t>
  </si>
  <si>
    <t>144900.08.01</t>
  </si>
  <si>
    <t>Отечественная история: Курс лекций / С.П.Бычков - М.:Форум, НИЦ ИНФРА-М,2026. - 320 с.(ВО)(п)</t>
  </si>
  <si>
    <t>ОТЕЧЕСТВЕННАЯ ИСТОРИЯ. КУРС ЛЕКЦИЙ, ИЗД.1</t>
  </si>
  <si>
    <t>Бычков С. П., Дусь Ю. П.</t>
  </si>
  <si>
    <t>978-5-91134-490-0</t>
  </si>
  <si>
    <t>159400.15.01</t>
  </si>
  <si>
    <t>Отечественная история: Уч. / И.Н.Кузнецов - М.:ИНФРА-М,2026 - 639с.(ВО)(П)</t>
  </si>
  <si>
    <t>978-5-16-004430-9</t>
  </si>
  <si>
    <t>Рекомендованно в качестве учебника для студентов высших учебных заведений, обучающихся по неисторическим направлениям и специальностям</t>
  </si>
  <si>
    <t>683084.09.01</t>
  </si>
  <si>
    <t>Отечественная история: Уч. / И.Н.Кузнецов - М.:НИЦ ИНФРА-М,2025. - 639 с.(СПО)(П)</t>
  </si>
  <si>
    <t>978-5-16-013992-0</t>
  </si>
  <si>
    <t>00.01.03, 00.02.04, 26.02.04</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</si>
  <si>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t>
  </si>
  <si>
    <t>833290.01.01</t>
  </si>
  <si>
    <t>Отечественное судопроизвод. по делам об админ.: Моногр./ С.В.Щепалов-М.:Юр. НОРМА, НИЦ ИНФРА-М,2024-220с(п)</t>
  </si>
  <si>
    <t>ОТЕЧЕСТВЕННОЕ СУДОПРОИЗВОДСТВО ПО ДЕЛАМ ОБ АДМИНИСТРАТИВНЫХ ПРАВОНАРУШЕНИЯХ: ВОЗНИКНОВЕНИЕ И РАЗВИТИЕ, ИЗД.1</t>
  </si>
  <si>
    <t>Щепалов С.В.</t>
  </si>
  <si>
    <t>978-5-00156-377-8</t>
  </si>
  <si>
    <t>333300.05.01</t>
  </si>
  <si>
    <t>Открытое правительство за рубежом...: Моногр. / Н.М.Касаткина.- М.:НИЦ ИНФРА-М,2022 - 210 с.(ИЗиСП)(П)</t>
  </si>
  <si>
    <t>ОТКРЫТОЕ ПРАВИТЕЛЬСТВО ЗА РУБЕЖОМ. ПРАВОВОЕ РЕГУЛИРОВАНИЕ И ПРАКТИКА, ИЗД.1</t>
  </si>
  <si>
    <t>Касаткина Н.М., Крысенкова Н.Б., Лещенков Ф.А. и др.</t>
  </si>
  <si>
    <t>978-5-16-010642-7</t>
  </si>
  <si>
    <t>249500.05.01</t>
  </si>
  <si>
    <t>Отношение к соц. реальности в рос. обществе: Моногр. / В.И.Чупров - М: Юр.Норма,НИЦ ИНФРА-М,2022 - 352 с(п)</t>
  </si>
  <si>
    <t>ОТНОШЕНИЕ К СОЦИАЛЬНОЙ РЕАЛЬНОСТИ В РОССИЙСКОМ ОБЩЕСТВЕ: СОЦИОКУЛЬТУРНЫЙ МЕХАНИЗМ ФОРМИРОВАНИЯ И ВОСПРОИЗВОДСТВА, ИЗД.1</t>
  </si>
  <si>
    <t>Чупров В. И., Зубок Ю. А., Романович Н. А.</t>
  </si>
  <si>
    <t>978-5-91768-444-4</t>
  </si>
  <si>
    <t>39.03.01, 39.04.01, 47.03.02</t>
  </si>
  <si>
    <t>061700.20.01</t>
  </si>
  <si>
    <t>Отопление и тепловые сети: Уч. / Ю.М.Варфоломеев - М.:НИЦ ИНФРА-М,2027 - 480 с.-(СПО)(П)</t>
  </si>
  <si>
    <t>ОТОПЛЕНИЕ И ТЕПЛОВЫЕ СЕТИ, ИЗД.1</t>
  </si>
  <si>
    <t>Варфоломеев Ю.М., Кокорин О.Я.</t>
  </si>
  <si>
    <t>978-5-16-017128-9</t>
  </si>
  <si>
    <t>08.02.04, 08.02.13, 08.02.14, 13.02.02, 15.02.06, 18.01.27, 18.01.28, 19.01.01</t>
  </si>
  <si>
    <t>Леноблэнергострой</t>
  </si>
  <si>
    <t>660012.09.01</t>
  </si>
  <si>
    <t>ОТСМ-ТРИЗ: подходы и практика применения: Уч.пос. / Н.А.Шпаковский - М.:НИЦ ИНФРА-М,2026. - 504 с.(ВО)(П)</t>
  </si>
  <si>
    <t>ОТСМ-ТРИЗ: ПОДХОДЫ И ПРАКТИКА ПРИМЕНЕНИЯ, ИЗД.1</t>
  </si>
  <si>
    <t>Шпаковский Н.А.</t>
  </si>
  <si>
    <t>978-5-16-021106-0</t>
  </si>
  <si>
    <t>15.04.01, 15.04.02, 27.04.07</t>
  </si>
  <si>
    <t>Рекомендовано Учебно-методическим советом ВО в качестве учебного пособия для студентов высших учебных заведений, обучающихся по техническим специальностям (квалификация (степень) «инженер»)</t>
  </si>
  <si>
    <t>POSCO</t>
  </si>
  <si>
    <t>766455.03.01</t>
  </si>
  <si>
    <t>Отсыпка отвалов скальных вскрышных пород...: Моногр. / А.А.Шершнев - М.:НИЦ ИНФРА-М, СФУ,2025 - 131 с.(О)</t>
  </si>
  <si>
    <t>ОТСЫПКА ОТВАЛОВ СКАЛЬНЫХ ВСКРЫШНЫХ ПОРОД ПРИ СКЛАДИРОВАНИИ ОТХОДОВ ОБОГАЩЕНИЯ, ИЗД.1</t>
  </si>
  <si>
    <t>Шершнев А.А., Кисляков В.Е.</t>
  </si>
  <si>
    <t>978-5-16-017265-1</t>
  </si>
  <si>
    <t>752878.05.01</t>
  </si>
  <si>
    <t>Офшорная Россия в глобал. экономике: Моногр. / А.Г.Бодров. - М.:НИЦ ИНФРА-М,2026. - 355 с.(Науч.мысль)(о)</t>
  </si>
  <si>
    <t>ОФШОРНАЯ РОССИЯ В ГЛОБАЛЬНОЙ ЭКОНОМИКЕ, ИЗД.1</t>
  </si>
  <si>
    <t>Бодров А.Г., Вакурин А.В., Ковнир В.Н.</t>
  </si>
  <si>
    <t>978-5-16-020902-9</t>
  </si>
  <si>
    <t>00.05.13, 38.04.08, 38.06.01</t>
  </si>
  <si>
    <t>752878.04.01</t>
  </si>
  <si>
    <t>Офшорная Россия в глобальной экономике: моногр. / А.Г.Бодров - М.:НИЦ ИНФРА-М,2025 - 355 с.(Науч.мысль)(П)</t>
  </si>
  <si>
    <t>978-5-16-017226-2</t>
  </si>
  <si>
    <t>416400.01.01</t>
  </si>
  <si>
    <t>Офшорный бизнес во внешнеэкономической деятельности:Учебное пособие/Г.М.Костюнина и др.-М.:НИЦ ИНФРА-М,2014.-352 с..-(Высшее образование: Магистратура</t>
  </si>
  <si>
    <t>ОФШОРНЫЙ БИЗНЕС ВО ВНЕШНЕЭКОНОМИЧЕСКОЙ ДЕЯТЕЛЬНОСТИ, ИЗД.1</t>
  </si>
  <si>
    <t>Костюнина Г. М., Баронов В. И., Буглай В. Б., Платонова И. Н., Костюнина Г. М.</t>
  </si>
  <si>
    <t>978-5-16-006243-3</t>
  </si>
  <si>
    <t>38.04.01, 38.04.02, 38.04.04</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</si>
  <si>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«Экономика» (уровень магистратуры)</t>
  </si>
  <si>
    <t>329300.07.01</t>
  </si>
  <si>
    <t>Охрана общественного порядка.: Уч.пос. / А.А.Беженцев-М.:Вуз. уч., НИЦ ИНФРА-М,2024.-253 с.(П)</t>
  </si>
  <si>
    <t>ОХРАНА ОБЩЕСТВЕННОГО ПОРЯДКА, ИЗД.1</t>
  </si>
  <si>
    <t>978-5-9558-0413-2</t>
  </si>
  <si>
    <t>706668.04.01</t>
  </si>
  <si>
    <t>Охрана общественного порядка: Уч.пос. / А.А.Беженцев - М.:Вуз. уч., НИЦ ИНФРА-М,2025. - 251 с.(СПО)(п)</t>
  </si>
  <si>
    <t>978-5-9558-0639-6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</si>
  <si>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4 от 25.02.2019)</t>
  </si>
  <si>
    <t>706668.05.01</t>
  </si>
  <si>
    <t>Охрана общественного порядка: Уч.пос. / А.А.Беженцев, - 2 изд. - М.:НИЦ ИНФРА-М,2026. -  253 с.(СПО)(п)</t>
  </si>
  <si>
    <t>ОХРАНА ОБЩЕСТВЕННОГО ПОРЯДКА, ИЗД.2</t>
  </si>
  <si>
    <t>978-5-16-021791-8</t>
  </si>
  <si>
    <t>329300.10.01</t>
  </si>
  <si>
    <t>Охрана общественного порядка: Уч.пос. / А.А.Беженцев, - 2 изд. - М.:НИЦ ИНФРА-М,2027 - 253 с.(ВО)(п)</t>
  </si>
  <si>
    <t>978-5-16-020044-6</t>
  </si>
  <si>
    <t>460600.08.01</t>
  </si>
  <si>
    <t>Охрана окружающей среды..: Уч.пос. / Б.С.Ксенофонтов-М.:ИД Форум, НИЦ ИНФРА-М,2023.-200 с.(ВО)(О)</t>
  </si>
  <si>
    <t>ОХРАНА ОКРУЖАЮЩЕЙ СРЕДЫ: БИОТЕХНОЛОГИЧЕСКИЕ ОСНОВЫ, ИЗД.1</t>
  </si>
  <si>
    <t>978-5-8199-0922-5</t>
  </si>
  <si>
    <t>05.03.06, 20.03.01, 20.04.01, 44.03.05</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</si>
  <si>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«Техносферная безопасность» (20.03.01 и 20.04.01)</t>
  </si>
  <si>
    <t>411200.10.01</t>
  </si>
  <si>
    <t>Охрана окружающей среды: Уч.пос. / Л.И.Егоренков - 2 изд. - М.:НИЦ ИНФРА-М,2026 - 226 с.(ВО: Бакалавр.)(п)</t>
  </si>
  <si>
    <t>ОХРАНА ОКРУЖАЮЩЕЙ СРЕДЫ, ИЗД.2</t>
  </si>
  <si>
    <t>978-5-16-017517-1</t>
  </si>
  <si>
    <t>05.03.01, 05.03.02, 05.03.04, 05.03.05, 05.03.06, 20.03.02, 44.03.05</t>
  </si>
  <si>
    <t>684804.08.01</t>
  </si>
  <si>
    <t>Охрана окружающей среды: Уч.пос. / Л.И.Егоренков - М.:НИЦ ИНФРА-М,2026 - 248 с.-(СПО)(П)</t>
  </si>
  <si>
    <t>ОХРАНА ОКРУЖАЮЩЕЙ СРЕДЫ, ИЗД.1</t>
  </si>
  <si>
    <t>978-5-16-016838-8</t>
  </si>
  <si>
    <t>00.02.01, 00.02.37, 05.02.01, 05.02.02, 05.02.03, 15.01.29, 20.02.01, 34.02.01, 35.01.01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</si>
  <si>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05.02.00 «Науки о земле»</t>
  </si>
  <si>
    <t>411200.07.01</t>
  </si>
  <si>
    <t>Охрана окружающей среды: Уч.пос. / Л.И.Егоренков-М.:Форум, НИЦ ИНФРА-М,2020.-248 с.(ВО:Бакалавр.)(П)</t>
  </si>
  <si>
    <t>Егоренков Л. И.</t>
  </si>
  <si>
    <t>978-5-00091-702-2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</si>
  <si>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05.03.06 «Экология и природопользование», 20.03.02 «Природообустройство и водопользование» (квалификация (степень) «бакалавр») (протокол № 5 от 11.03.2019)</t>
  </si>
  <si>
    <t>632395.06.01</t>
  </si>
  <si>
    <t>Охрана репродукт.здоровья и план.семьи: Уч. / Под ред. Сивочаловой О.В. - М.:НИЦ ИНФРА-М,2026 - 328 с.(П)</t>
  </si>
  <si>
    <t>ОХРАНА РЕПРОДУКТИВНОГО ЗДОРОВЬЯ И ПЛАНИРОВАНИЕ СЕМЬИ, ИЗД.1</t>
  </si>
  <si>
    <t>Сивочалова О.В., Линева О.И., Фесенко М.А. и др.</t>
  </si>
  <si>
    <t>978-5-16-011989-2</t>
  </si>
  <si>
    <t>31.02.01, 31.02.02, 34.02.01</t>
  </si>
  <si>
    <t>Рекомендовано в качестве учебника для учебных заведений, реализующих программу среднего профессионального образования по специальностям 31.02.01 «Лечебное дело», 31.02.02 «Акушерское дело», 32.02.01 «Медико-профилактическое дело»</t>
  </si>
  <si>
    <t>Научно-исследовательский институт медицины труда</t>
  </si>
  <si>
    <t>782573.01.01</t>
  </si>
  <si>
    <t>Охрана труда в АПК: Уч.пос. / Н.И.Чепелев-М.:НИЦ ИНФРА-М,2023.-232 с.(ВО (КрГАУ))(п)</t>
  </si>
  <si>
    <t>ОХРАНА ТРУДА В АПК, ИЗД.1</t>
  </si>
  <si>
    <t>Чепелев Н.И., Маслова Т.В.</t>
  </si>
  <si>
    <t>978-5-16-018285-8</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</si>
  <si>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по направлению подготовки 20.03.01 «Техносферная безопасность», профиль «Безопасность технологических процессов и производств в АПК»</t>
  </si>
  <si>
    <t>345100.16.01</t>
  </si>
  <si>
    <t>Охрана труда в обществ. питании и..: Уч.пос. / К.Я.Гайворонский - 2 изд. - М.:НИЦ ИНФРА-М,2026. - 169 с.(П)</t>
  </si>
  <si>
    <t>ОХРАНА ТРУДА В ОБЩЕСТВЕННОМ ПИТАНИИ И ТОРГОВЛЕ, ИЗД.2</t>
  </si>
  <si>
    <t>Гайворонский К.Я.</t>
  </si>
  <si>
    <t>978-5-16-017172-2</t>
  </si>
  <si>
    <t>38.02.08, 43.02.11, 43.02.15, 43.02.16</t>
  </si>
  <si>
    <t>Рекомендовано УМК в качестве учебного пособия для студентов средних специальных учебных заведений, обучающихся по профилю 19.02.10 «Технология продукции общественного питания (квалификация техник-технолог)», 38.10.02.05 «Товароведение и экспертиза качества потребительских товаров (квалификация товаровед-эксперт)», 38.02.04 «Коммерция (по отраслям)»</t>
  </si>
  <si>
    <t>345100.12.01</t>
  </si>
  <si>
    <t>Охрана труда в обществ. питании...: Уч.пос. / К.Я.Гайворонский-М.:ИД Форум, НИЦ ИНФРА-М,2023.-125 с.(О)</t>
  </si>
  <si>
    <t>ОХРАНА ТРУДА В ОБЩЕСТВЕННОМ ПИТАНИИ И ТОРГОВЛЕ, ИЗД.1</t>
  </si>
  <si>
    <t>978-5-8199-0706-1</t>
  </si>
  <si>
    <t>764409.05.01</t>
  </si>
  <si>
    <t>Охрана труда для повара-кондитера: Уч.пос. / А.В.Добычина - М.:НИЦ ИНФРА-М,2026. - 129 с.(СПО)(П)</t>
  </si>
  <si>
    <t>ОХРАНА ТРУДА ДЛЯ ПОВАРА-КОНДИТЕРА, ИЗД.1</t>
  </si>
  <si>
    <t>Добычина А.В.</t>
  </si>
  <si>
    <t>978-5-16-017535-5</t>
  </si>
  <si>
    <t>43.01.09, 43.02.15</t>
  </si>
  <si>
    <t>088200.18.01</t>
  </si>
  <si>
    <t>Охрана труда на автомобильном транспорте: Уч.пос. / И.С.Туревский - М., НИЦ ИНФРА-М,2026 - 240 с.(СПО) (П)</t>
  </si>
  <si>
    <t>ОХРАНА ТРУДА НА АВТОМОБИЛЬНОМ ТРАНСПОРТЕ, ИЗД.1</t>
  </si>
  <si>
    <t>Туревский И. С.</t>
  </si>
  <si>
    <t>978-5-16-021372-9</t>
  </si>
  <si>
    <t>15.02.16, 23.01.03, 23.01.17, 23.02.02, 23.02.03, 23.02.07</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</si>
  <si>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23.02.03 «Техническое обслуживание и ремонт автомобильного транспорта»</t>
  </si>
  <si>
    <t>782043.01.01</t>
  </si>
  <si>
    <t>Охрана труда на предприятиях АПК: правов...: Уч.пос. / А.Н.Ковальчук, - 2 изд.-М.:НИЦ ИНФРА-М,2023.-451 с.(П)</t>
  </si>
  <si>
    <t>ОХРАНА ТРУДА НА ПРЕДПРИЯТИЯХ АПК: ПРАВОВЫЕ, ОРГАНИЗАЦИОННЫЕ И ТЕХНИЧЕСКИЕ АСПЕКТЫ, ИЗД.2</t>
  </si>
  <si>
    <t>978-5-16-018070-0</t>
  </si>
  <si>
    <t>19.02.10, 19.02.11, 19.02.12, 19.02.13, 35.02.07, 35.02.08, 35.02.14, 38.02.01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</si>
  <si>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специальностям 19.02.08 «Технология мяса и мясных продуктов», 35.02.07 «Механизация сельского хозяйства», 35.02.08 «Электрификация и автоматизация сельского¶хозяйства», 35.02.13 «Пчеловодство», 35.02.14 «Охотоведение и звероводство», 38.02.01 «Экономика и бухгалтерский учет»</t>
  </si>
  <si>
    <t>094260.13.01</t>
  </si>
  <si>
    <t>Охрана труда: Прак. пос. / П.М.Федоров, - 5 изд.-М.:ИЦ РИОР, НИЦ ИНФРА-М,2023.-149 с.(Прак. рук.)(о)</t>
  </si>
  <si>
    <t>ОХРАНА ТРУДА, ИЗД.5</t>
  </si>
  <si>
    <t>Федоров П.М.</t>
  </si>
  <si>
    <t>978-5-369-01925-2</t>
  </si>
  <si>
    <t>00.02.22, 20.04.01, 21.02.12, 24.02.01, 35.03.06, 55.05.04</t>
  </si>
  <si>
    <t>094260.18.01</t>
  </si>
  <si>
    <t>Охрана труда: Прак. пос. / П.М.Федоров, - 7 изд. - М.:ИЦ РИОР, НИЦ ИНФРА-М,2026.- 152 с.(Прак. рук.)(о)</t>
  </si>
  <si>
    <t>ОХРАНА ТРУДА, ИЗД.7</t>
  </si>
  <si>
    <t>978-5-369-01987-0</t>
  </si>
  <si>
    <t>094260.08.01</t>
  </si>
  <si>
    <t>Охрана труда: Практ. пос. / П.М.Федоров - 3 изд.-М.:ИЦ РИОР, НИЦ ИНФРА-М,2021-138 с.(Прак. рук.)(О)</t>
  </si>
  <si>
    <t>ОХРАНА ТРУДА, ИЗД.3</t>
  </si>
  <si>
    <t>978-5-369-00797-6</t>
  </si>
  <si>
    <t>094260.11.01</t>
  </si>
  <si>
    <t>Охрана труда: Практ. пос. / П.М.Федоров - 4 изд. - М.:ИЦ РИОР, НИЦ ИНФРА-М,2022 - 156 с.(Практ. рук.)(О)</t>
  </si>
  <si>
    <t>ОХРАНА ТРУДА, ИЗД.4</t>
  </si>
  <si>
    <t>978-5-369-01889-7</t>
  </si>
  <si>
    <t>094260.16.01</t>
  </si>
  <si>
    <t>Охрана труда: Практ. пос. / П.М.Федоров, - 6 изд. - М.:ИЦ РИОР, НИЦ ИНФРА-М,2024 - 151 с.(Практ. рук.)(о)</t>
  </si>
  <si>
    <t>ОХРАНА ТРУДА, ИЗД.6</t>
  </si>
  <si>
    <t>978-5-369-01956-6</t>
  </si>
  <si>
    <t>094260.04.01</t>
  </si>
  <si>
    <t>Охрана труда: Практ. рук. / П.М.Федоров - 2 изд. - М.:ИЦ РИОР, НИЦ ИНФРА-М,2018 - 137 с.(О)</t>
  </si>
  <si>
    <t>ОХРАНА ТРУДА, ИЗД.2</t>
  </si>
  <si>
    <t>978-5-369-01674-9</t>
  </si>
  <si>
    <t>758082.07.01</t>
  </si>
  <si>
    <t>Охрана труда: Уч. / М.В.Графкина - 3 изд. - М.:НИЦ ИНФРА-М,2026 - 212 с.(ВО: Бакалавр.)(П)</t>
  </si>
  <si>
    <t>Графкина М.В.</t>
  </si>
  <si>
    <t>978-5-16-017007-7</t>
  </si>
  <si>
    <t>00.03.01, 00.05.01, 15.03.01, 15.03.02, 15.03.03, 15.03.04, 15.03.05, 15.03.06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</si>
  <si>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11 от 09.11.2020)</t>
  </si>
  <si>
    <t>107800.19.01</t>
  </si>
  <si>
    <t>Охрана труда: Уч. / М.В.Графкина - 3 изд. - М.:НИЦ ИНФРА-М,2026 - 212 с.(СПО)(п)</t>
  </si>
  <si>
    <t>978-5-16-016522-6</t>
  </si>
  <si>
    <t>00.02.22, 13.02.01, 15.02.03, 15.02.06, 15.02.10, 15.02.16, 15.02.17, 15.02.18, 15.02.19, 21.02.10, 21.02.11, 24.02.01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</si>
  <si>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15.02.15 «Технология металлообрабатывающего производства»; 15.02.11 «Техническая эксплуатация и обслуживание роботизированного производства»; 15.02.14 «Оснащение средствами автоматизации технологических процессов и производств (по отраслям)» (протокол № 11 от 09.11.2020)</t>
  </si>
  <si>
    <t>107800.10.01</t>
  </si>
  <si>
    <t>Охрана труда: Уч.пос. / М.В.Графкина - 2 изд. - М.:Форум, НИЦ ИНФРА-М,2020 - 298 с.-(СПО)(П)</t>
  </si>
  <si>
    <t>978-5-00091-430-4</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</si>
  <si>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непроизводственной сферы</t>
  </si>
  <si>
    <t>866713.01.01</t>
  </si>
  <si>
    <t>Оценка активов в бух. учете: Пробл. и реш.: Моногр. / Т.И.Кришталева - М.:НИЦ ИНФРА-М,2026. - 171 с.(п)</t>
  </si>
  <si>
    <t>ОЦЕНКА АКТИВОВ В БУХГАЛТЕРСКОМ УЧЕТЕ: ПРОБЛЕМЫ И РЕШЕНИЯ, ИЗД.1</t>
  </si>
  <si>
    <t>Кришталева Т.И., Качкова О.Е.</t>
  </si>
  <si>
    <t>978-5-16-021517-4</t>
  </si>
  <si>
    <t>342800.04.01</t>
  </si>
  <si>
    <t>Оценка биологических активов молочного скотоводства...: Моногр./Ю.И.Сигидов-М.:НИЦ ИНФРА-М,2023-160с</t>
  </si>
  <si>
    <t>ОЦЕНКА БИОЛОГИЧЕСКИХ АКТИВОВ МОЛОЧНОГО СКОТОВОДСТВА ПО СПРАВЕДЛИВОЙ СТОИМОСТИ, ИЗД.1</t>
  </si>
  <si>
    <t>Ю.И.Сигидов, М.А.Коровина</t>
  </si>
  <si>
    <t>978-5-16-010768-4</t>
  </si>
  <si>
    <t>35.03.07, 38.03.01</t>
  </si>
  <si>
    <t>706825.02.01</t>
  </si>
  <si>
    <t>Оценка воздействия на окружающую среду: Уч.пос. / В.В.Стрельников-М.:НИЦ ИНФРА-М,2023.-157 с.(ВО)(п)</t>
  </si>
  <si>
    <t>ОЦЕНКА ВОЗДЕЙСТВИЯ НА ОКРУЖАЮЩУЮ СРЕДУ, ИЗД.1</t>
  </si>
  <si>
    <t>978-5-16-015390-2</t>
  </si>
  <si>
    <t>412900.14.01</t>
  </si>
  <si>
    <t>Оценка деят. и система упр.компанией на основе KPI / М.М.Панов - М.:НИЦ ИНФРА-М,2027 - 255 с.(П)</t>
  </si>
  <si>
    <t>ОЦЕНКА ДЕЯТЕЛЬНОСТИ И СИСТЕМА УПРАВЛЕНИЯ КОМПАНИЕЙ НА ОСНОВЕ KPI, ИЗД.1</t>
  </si>
  <si>
    <t>Панов М. М.</t>
  </si>
  <si>
    <t>978-5-16-005781-1</t>
  </si>
  <si>
    <t>31.02.04, 38.02.03, 38.02.07, 38.02.08, 38.03.01, 38.03.02, 38.03.03, 38.04.02, 38.04.03, 41.03.06, 44.03.01</t>
  </si>
  <si>
    <t>676747.02.01</t>
  </si>
  <si>
    <t>Оценка динамич. эффектив. развит. предприним.: Моногр./К.В.Смицких-М.:ИЦ РИОР,НИЦ ИНФРА-М,2020-243с</t>
  </si>
  <si>
    <t>ОЦЕНКА ДИНАМИЧЕСКОЙ ЭФФЕКТИВНОСТИ РАЗВИТИЯ ПРЕДПРИНИМАТЕЛЬСТВА, ИЗД.1</t>
  </si>
  <si>
    <t>Смицких К.В., Терентьева Т.В.</t>
  </si>
  <si>
    <t>978-5-369-01743-2</t>
  </si>
  <si>
    <t>27.04.07, 40.03.01, 43.03.01</t>
  </si>
  <si>
    <t>869208.01.01</t>
  </si>
  <si>
    <t>Оценка и анализ туристского потенц. адм.-террит. единиц: подход прогнозных значений: мон. / Д.А.Кощеев-М.:НИЦ ИНФРА-М,2027.-547 с.-(Науч.мысль)(п)</t>
  </si>
  <si>
    <t>ОЦЕНКА И АНАЛИЗ ТУРИСТСКОГО ПОТЕНЦИАЛА АДМИНИСТРАТИВНО-ТЕРРИТОРИАЛЬНЫХ ЕДИНИЦ: ПОДХОД ПРОГНОЗНЫХ ЗНАЧЕНИЙ, ИЗД.1</t>
  </si>
  <si>
    <t>978-5-16-021764-2</t>
  </si>
  <si>
    <t>38.06.01, 43.03.01, 43.03.02, 43.03.03, 43.04.01, 43.04.02, 43.04.03</t>
  </si>
  <si>
    <t>391400.08.01</t>
  </si>
  <si>
    <t>Оценка и сертификация квалификаций персонала в сист.: Моногр./Г.М.Романова - М.:КУРС,НИЦ ИНФРА-М,2025 - 208 с.(о)</t>
  </si>
  <si>
    <t>ОЦЕНКА И СЕРТИФИКАЦИЯ КВАЛИФИКАЦИЙ ПЕРСОНАЛА В СИСТЕМЕ ОТРАСЛЕВОГО УПРАВЛЕНИЯ НА ПРИМЕРЕ СФЕРЫ РЕКРЕАЦИИ И СПОРТИВНО-ОЗДОРОВИТЕЛЬНОГО ТУРИЗМА, ИЗД.1</t>
  </si>
  <si>
    <t>Романова Г.М., Савельева Н.А.</t>
  </si>
  <si>
    <t>978-5-905554-81-0</t>
  </si>
  <si>
    <t>23.03.01, 38.03.01, 38.03.03, 41.03.06, 44.03.01, 51.03.02</t>
  </si>
  <si>
    <t>773693.04.01</t>
  </si>
  <si>
    <t>Оценка и управление стоимостью предпр.: Уч.пос. / Ю.В.Вертакова - М.:НИЦ ИНФРА-М,2025 - 175 с.(ВО)(П)</t>
  </si>
  <si>
    <t>ОЦЕНКА И УПРАВЛЕНИЕ СТОИМОСТЬЮ ПРЕДПРИЯТИЯ, ИЗД.1</t>
  </si>
  <si>
    <t>Вертакова Ю.В., Пирогова О.Е., Плотников В.А.</t>
  </si>
  <si>
    <t>978-5-16-017556-0</t>
  </si>
  <si>
    <t>00.03.13, 38.03.02, 38.04.02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</si>
  <si>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10 от 15.12.2021)</t>
  </si>
  <si>
    <t>660860.04.01</t>
  </si>
  <si>
    <t>Оценка имущества: материал. и..: Уч.пос. / И.Г.Кукукина- 2 изд.-М.:НИЦ ИНФРА-М,2024.-190 с.(ВО)(п)</t>
  </si>
  <si>
    <t>ОЦЕНКА ИМУЩЕСТВА: МАТЕРИАЛЬНЫЕ И НЕМАТЕРИАЛЬНЫЕ АКТИВЫ, БИЗНЕС, ИЗД.2</t>
  </si>
  <si>
    <t>Кукукина И.Г., Мошкарина М.В.</t>
  </si>
  <si>
    <t>978-5-16-019120-1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</si>
  <si>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8 от 22.06.2020)</t>
  </si>
  <si>
    <t>480450.08.01</t>
  </si>
  <si>
    <t>Оценка качества молока и молоч. продуктов: Уч.мет.пос. / Г.В.Чебакова - М.:НИЦ ИНФРА-М,2026 - 182 с.(ВО)(о)</t>
  </si>
  <si>
    <t>ОЦЕНКА КАЧЕСТВА МОЛОКА И МОЛОЧНЫХ ПРОДУКТОВ, ИЗД.1</t>
  </si>
  <si>
    <t>Чебакова Г.В., Зачесова И.А.</t>
  </si>
  <si>
    <t>978-5-16-020215-0</t>
  </si>
  <si>
    <t>Допущено Учебно-методическим объединением высших учебных заведений Российской Федерации по образованию в области зоотехники и ветеринарии в качестве учебно-методического пособия для студентов высших учебных заведений, обучающихся по направлению подготовки (специальности) 36.03.02 Зоотехния (квалификация (степень) «бакалавр»)</t>
  </si>
  <si>
    <t>645512.06.01</t>
  </si>
  <si>
    <t>Оценка качества научно-педагог. исслед.: Уч.пос. / В.М.Полонский, - 2 изд. - М.:НИЦ ИНФРА-М,2025. - 220 с.(П)</t>
  </si>
  <si>
    <t>ОЦЕНКА КАЧЕСТВА НАУЧНО-ПЕДАГОГИЧЕСКИХ ИССЛЕДОВАНИЙ, ИЗД.2</t>
  </si>
  <si>
    <t>Полонский В.М.</t>
  </si>
  <si>
    <t>978-5-16-020992-0</t>
  </si>
  <si>
    <t>44.04.01, 44.04.02, 44.04.03, 44.04.04</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</si>
  <si>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44.04.00 «Образование и педагогические науки» (квалификация (степень) «магистр»)</t>
  </si>
  <si>
    <t>186600.09.01</t>
  </si>
  <si>
    <t>Оценка качества програм. обеспеч.: Практ.: Уч. пос. / Б.В.Черников - М.:ИД ФОРУМ:Инфра-М, 2025 - 400 с.(ВО) (п)</t>
  </si>
  <si>
    <t>ОЦЕНКА КАЧЕСТВА ПРОГРАММНОГО ОБЕСПЕЧЕНИЯ: ПРАКТИКУМ, ИЗД.1</t>
  </si>
  <si>
    <t>Черников Б. В., Поклонов Б. Е., Черников Б. В.</t>
  </si>
  <si>
    <t>978-5-8199-0516-6</t>
  </si>
  <si>
    <t>02.04.03, 38.03.05, 38.04.05</t>
  </si>
  <si>
    <t>Рекомендовано Учебно-методическим объединением вузов России по образованию в области экономики, менеджмента, логистики и бизнес-информатики в качестве учебного пособия для студ. вузов, обуч. по напр. подготовки 080700 "Бизнес-информатика"</t>
  </si>
  <si>
    <t>136100.10.01</t>
  </si>
  <si>
    <t>Оценка машин и оборудования: Уч. / Под ред. Федотовой М.А. - 2 изд. - М.:НИЦ ИНФРА-М,2027 - 324 с.(ВО)(П)</t>
  </si>
  <si>
    <t>ОЦЕНКА МАШИН И ОБОРУДОВАНИЯ, ИЗД.2</t>
  </si>
  <si>
    <t>Федотова М.А., Ковалев А.П., Кушель А.А. и др.</t>
  </si>
  <si>
    <t>978-5-16-018916-1</t>
  </si>
  <si>
    <t>131700.11.01</t>
  </si>
  <si>
    <t>Оценка объектов недвижимости: Уч. / А.А.Варламов - 3 изд.-М.:НИЦ ИНФРА-М,2024.-320 с.(ВО)(П)</t>
  </si>
  <si>
    <t>ОЦЕНКА ОБЪЕКТОВ НЕДВИЖИМОСТИ, ИЗД.3</t>
  </si>
  <si>
    <t>Варламов А.А., Комаров С.И., Варламов А.А.</t>
  </si>
  <si>
    <t>978-5-16-020020-0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</si>
  <si>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21.03.02 «Землеустройство и кадастры» (квалификация (степень) «бакалавр») (протокол № 9 от 17.11.2022)</t>
  </si>
  <si>
    <t>131700.08.01</t>
  </si>
  <si>
    <t>Оценка объектов недвижимости: Уч. /А.А.Варламов - 2 изд. - М.:НИЦ ИНФРА-М,2019-352с(ВО:Бакалавр.)(П)</t>
  </si>
  <si>
    <t>ОЦЕНКА ОБЪЕКТОВ НЕДВИЖИМОСТИ, ИЗД.2</t>
  </si>
  <si>
    <t>978-5-16-015344-5</t>
  </si>
  <si>
    <t>Рекомендовано Учебно-методическим объединением вузов Российской Федерации по образованию в области землеустройства и кадастров в качестве учебника для студентов высших учебных заведений, обучающихся по направлению подготовки 21.03.02 «Землеустройство и кадастры»</t>
  </si>
  <si>
    <t>859404.01.01</t>
  </si>
  <si>
    <t>Оценка ответной реакции скелетной мускулатуры на..: Моногр. / Е.М.Кильдюшов.-М.:Юр. НОРМА,2025.-98 с.(о)</t>
  </si>
  <si>
    <t>ОЦЕНКА ОТВЕТНОЙ РЕАКЦИИ СКЕЛЕТНОЙ МУСКУЛАТУРЫ НА МЕХАНИЧЕСКОЕ РАЗДРАЖЕНИЕ ПРИ ОПРЕДЕЛЕНИИ ДАВНОСТИ НАСТУПЛЕНИЯ СМЕРТИ ДЕТЕЙ, ИЗД.1</t>
  </si>
  <si>
    <t>Кильдюшов Е.М., Туманов Э.В., Услонцев Д.Н.</t>
  </si>
  <si>
    <t>978-5-00156-444-7</t>
  </si>
  <si>
    <t>31.05.01, 31.05.02, 31.05.03, 40.05.01, 40.05.02, 40.05.03, 40.05.04, 40.06.01</t>
  </si>
  <si>
    <t>473250.05.01</t>
  </si>
  <si>
    <t>Оценка относительного ущерба безоп. информ. сис.: Моногр. / Е.А.Дубинин - М:РИОР:ИНФРА-М,2024 - 192 с (о)</t>
  </si>
  <si>
    <t>ОЦЕНКА ОТНОСИТЕЛЬНОГО УЩЕРБА БЕЗОПАСНОСТИ ИНФОРМАЦИОННОЙ СИСТЕМЫ, ИЗД.1</t>
  </si>
  <si>
    <t>Дубинин Е.А., Тебуева Ф.Б., Копытов В.В.</t>
  </si>
  <si>
    <t>978-5-369-01371-7</t>
  </si>
  <si>
    <t>09.03.03, 10.03.01, 10.04.01, 10.05.02, 10.05.04, 10.05.05, 38.03.05</t>
  </si>
  <si>
    <t>373300.09.01</t>
  </si>
  <si>
    <t>Оценка персонала в организации: Уч.пос. / А.М.Асалиев - 2 изд..-М.:НИЦ ИНФРА-М,2023.-171 с.(ВО)(П)</t>
  </si>
  <si>
    <t>ОЦЕНКА ПЕРСОНАЛА В ОРГАНИЗАЦИИ, ИЗД.2</t>
  </si>
  <si>
    <t>Асалиев А.М., Вукович Г.Г., Кириллова О.Г. и др.</t>
  </si>
  <si>
    <t>Высшее образование: Магистратура (РЭУ)</t>
  </si>
  <si>
    <t>978-5-16-015986-7</t>
  </si>
  <si>
    <t>38.03.01, 38.04.03</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</si>
  <si>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подготовки 38.04.01 «Экономика» (квалификация (степень) «магистр»)</t>
  </si>
  <si>
    <t>798980.02.01</t>
  </si>
  <si>
    <t>Оценка регулир. воздействия и регулятор. прак.: Уч.пос. / И.И.Рахмеева - М.:НИЦ ИНФРА-М,2026. - 422 с.(ВО)(п)</t>
  </si>
  <si>
    <t>ОЦЕНКА РЕГУЛИРУЮЩЕГО ВОЗДЕЙСТВИЯ И РЕГУЛЯТОРНАЯ ПРАКТИКА, ИЗД.1</t>
  </si>
  <si>
    <t>Рахмеева И.И.</t>
  </si>
  <si>
    <t>978-5-16-021556-3</t>
  </si>
  <si>
    <t>38.03.01, 38.04.01, 38.04.04, 40.04.01</t>
  </si>
  <si>
    <t>652902.05.01</t>
  </si>
  <si>
    <t>Оценка регулирующего возд. и регулятор.полит.: Уч.пос. / И.Д.Тургель - М.:НИЦ ИНФРА-М,2024 - 223 с.(ВО)(П)</t>
  </si>
  <si>
    <t>ОЦЕНКА РЕГУЛИРУЮЩЕГО ВОЗДЕЙСТВИЯ И РЕГУЛЯТОРНАЯ ПОЛИТИКА, ИЗД.1</t>
  </si>
  <si>
    <t>Тургель И.Д., Вейберт С.И., Рахмеева И.И. и др.</t>
  </si>
  <si>
    <t>978-5-16-013125-2</t>
  </si>
  <si>
    <t>38.03.01, 38.03.04, 38.04.04, 38.04.09, 38.05.01, 40.03.01, 40.04.01, 40.05.01, 40.05.02, 40.05.03, 40.05.04, 44.03.01, 44.03.05</t>
  </si>
  <si>
    <t>Рекомендовано в качестве учебного пособия для студентов высших учебных заведений, обучающихся по направлениям подготовки 38.03.01 «Экономика», 38.03.04 «Государственное и муниципальное управление» (квалификация (степень) «бакалавр»)</t>
  </si>
  <si>
    <t>803464.01.01</t>
  </si>
  <si>
    <t>Оценка сост. и перспектив развития образоват. орг.: Моногр./Н.В.Васильченко-М.:НИЦ ИНФРА-М,2024.-189 с.(о)</t>
  </si>
  <si>
    <t>ОЦЕНКА СОСТОЯНИЯ И ПЕРСПЕКТИВ РАЗВИТИЯ ОБРАЗОВАТЕЛЬНЫХ ОРГАНИЗАЦИЙ: ТЕОРИЯ И ПРАКТИКА, ИЗД.1</t>
  </si>
  <si>
    <t>Васильченко Н.В., Ломакина Т.Ю.</t>
  </si>
  <si>
    <t>978-5-16-019086-0</t>
  </si>
  <si>
    <t>44.03.01, 44.04.01, 44.04.02, 44.06.01</t>
  </si>
  <si>
    <t>860649.01.01</t>
  </si>
  <si>
    <t>Оценка стоимости бизнеса и гармонизация оценоч. стандартов / И.И.Гулевич - М.:НИЦ ИНФРА-М,2026. - 202 с.(о)</t>
  </si>
  <si>
    <t>ОЦЕНКА СТОИМОСТИ БИЗНЕСА И ГАРМОНИЗАЦИЯ ОЦЕНОЧНЫХ СТАНДАРТОВ, ИЗД.1</t>
  </si>
  <si>
    <t>Гулевич И.И.</t>
  </si>
  <si>
    <t>978-5-16-021457-3</t>
  </si>
  <si>
    <t>652970.10.01</t>
  </si>
  <si>
    <t>Оценка стоимости немат. активов и интел. собст.: Уч. / М.А.Федотова - 2 изд. - М.:НИЦ ИНФРА-М,2025 - 359с(п)</t>
  </si>
  <si>
    <t>ОЦЕНКА СТОИМОСТИ НЕМАТЕРИАЛЬНЫХ АКТИВОВ И ИНТЕЛЛЕКТУАЛЬНОЙ СОБСТВЕННОСТИ, ИЗД.2</t>
  </si>
  <si>
    <t>Федотова М.А., Леонтьев Б.Б., Мамаджанов Х.А. и др.</t>
  </si>
  <si>
    <t>978-5-16-018938-3</t>
  </si>
  <si>
    <t>27.04.07, 38.03.01, 38.04.01</t>
  </si>
  <si>
    <t>652970.03.01</t>
  </si>
  <si>
    <t>Оценка стоимости немат. активов и интел. собст.: Уч./ Под ред.Федотовой М.А.-М:НИЦ ИНФРА-М,2019-352с</t>
  </si>
  <si>
    <t>ОЦЕНКА СТОИМОСТИ НЕМАТЕРИАЛЬНЫХ АКТИВОВ И ИНТЕЛЛЕКТУАЛЬНОЙ СОБСТВЕННОСТИ, ИЗД.1</t>
  </si>
  <si>
    <t>978-5-16-013264-8</t>
  </si>
  <si>
    <t>411650.07.01</t>
  </si>
  <si>
    <t>Оценка стоимости нематериальных активов и интеллект...: Уч. пос./Н.Я.Кузин - М:ИНФРА-М,2024-160с.(п)</t>
  </si>
  <si>
    <t>Кузин Н.Я., Учинина Т.В., Толстых Ю.О.</t>
  </si>
  <si>
    <t>978-5-16-005650-0</t>
  </si>
  <si>
    <t>08.03.01, 38.03.01, 38.04.01</t>
  </si>
  <si>
    <t>Рекомендовано фед. гос. бюджетным образовательным учреждением высшего профессионального образования «Московский государственный строительный университет (МГСУ)» в качестве учебного пособия для студентов ВПО, обучающихся по программе бакалавриата по н</t>
  </si>
  <si>
    <t>690235.03.01</t>
  </si>
  <si>
    <t>Оценка стоимости прав требования...: Уч.пос. / В.Ю.Сутягин - М.:НИЦ ИНФРА-М,2027. - 253 с.(ВО)(П)</t>
  </si>
  <si>
    <t>ОЦЕНКА СТОИМОСТИ ПРАВ ТРЕБОВАНИЯ (ДЕБИТОРСКОЙ ЗАДОЛЖЕННОСТИ): ТЕОРИЯ И ПРАКТИКА, ИЗД.1</t>
  </si>
  <si>
    <t>Сутягин В.Ю.</t>
  </si>
  <si>
    <t>978-5-16-014969-1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</si>
  <si>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38.04.08 «Финансы и кредит» (квалификация (степень) «магистр») (протокол № 5 от 26.03.2020)</t>
  </si>
  <si>
    <t>057750.26.01</t>
  </si>
  <si>
    <t>Оценка технического состояния зданий: Уч. / В.М.Калинин - М.:НИЦ ИНФРА-М,2027 - 268 с.(СПО)(п)</t>
  </si>
  <si>
    <t>ОЦЕНКА ТЕХНИЧЕСКОГО СОСТОЯНИЯ ЗДАНИЙ, ИЗД.1</t>
  </si>
  <si>
    <t>Калинин В.М., Сокова С.Д.</t>
  </si>
  <si>
    <t>978-5-16-004416-3</t>
  </si>
  <si>
    <t>290800.07.01</t>
  </si>
  <si>
    <t>Оценка техногенных рисков: Уч.пос. / С.С.Тимофеева - М.:Форум, НИЦ ИНФРА-М,2025 - 208 с.(ВО: Бакалавр.)(П)</t>
  </si>
  <si>
    <t>ОЦЕНКА ТЕХНОГЕННЫХ РИСКОВ, ИЗД.1</t>
  </si>
  <si>
    <t>Тимофеева С.С., Хамидуллина Е.А.</t>
  </si>
  <si>
    <t>978-5-91134-932-5</t>
  </si>
  <si>
    <t>Рекомендовано в качестве учебного пособия для студентов  высших учебных заведений, обучающихся по направлению подготовки 20.03.01 «Техносферная безопасность» (квалификация (степень) "бакалавр")</t>
  </si>
  <si>
    <t>821918.01.01</t>
  </si>
  <si>
    <t>Оценка устойчивого формир. проф. знаний в...: Моногр. / М.В.Герман - М.:НИЦ ИНФРА-М,2025. - 237 с.(п)</t>
  </si>
  <si>
    <t>ОЦЕНКА УСТОЙЧИВОГО ФОРМИРОВАНИЯ ПРОФЕССИОНАЛЬНЫХ ЗНАНИЙ В КОНТЕКСТЕ ДОСТОЙНОГО ТРУДА, ИЗД.1</t>
  </si>
  <si>
    <t>Герман М.В., Нехода Е.В.</t>
  </si>
  <si>
    <t>978-5-16-019951-1</t>
  </si>
  <si>
    <t>839031.01.01</t>
  </si>
  <si>
    <t>Оценочная деят. Оценка стоимости бизнеса и активов: Уч. / О.А.Землянский - М.:НИЦ ИНФРА-М,2025. - 599 с.(ВО)(п)</t>
  </si>
  <si>
    <t>ОЦЕНОЧНАЯ ДЕЯТЕЛЬНОСТЬ. ОЦЕНКА СТОИМОСТИ БИЗНЕСА И АКТИВОВ, ИЗД.1</t>
  </si>
  <si>
    <t>Землянский О.А.</t>
  </si>
  <si>
    <t>978-5-16-020360-7</t>
  </si>
  <si>
    <t>21.04.02, 38.03.01, 38.03.02, 38.03.04, 38.04.01, 38.04.02, 38.04.04</t>
  </si>
  <si>
    <t>871304.01.01</t>
  </si>
  <si>
    <t>Очерки истории преподавания бух. (XIX - нач. XX в.): Моногр. / И.Н.Львова - М.:НИЦ ИНФРА-М,2026. - 256 с.(п)</t>
  </si>
  <si>
    <t>ОЧЕРКИ ИСТОРИИ ПРЕПОДАВАНИЯ БУХГАЛТЕРИИ (XIX - НАЧАЛО XX ВЕКОВ):, ИЗД.1</t>
  </si>
  <si>
    <t>Львова И.Н.</t>
  </si>
  <si>
    <t>978-5-16-021969-1</t>
  </si>
  <si>
    <t>862221.02.01</t>
  </si>
  <si>
    <t>Очерки истории рус. элиты IX - XVII в.: Моногр. / П.Л.Карабущенко - М.:НИЦ ИНФРА-М,2026. - 583 с.(п)</t>
  </si>
  <si>
    <t>ОЧЕРКИ ИСТОРИИ РУССКОЙ ЭЛИТЫ IX - XVII ВЕКОВ, ИЗД.1</t>
  </si>
  <si>
    <t>978-5-16-021254-8</t>
  </si>
  <si>
    <t>41.04.04, 41.04.05, 41.04.06, 41.06.01, 41.07.01, 42.04.02, 46.04.01, 46.06.01</t>
  </si>
  <si>
    <t>791869.01.01</t>
  </si>
  <si>
    <t>Очерки методики преподавания рус.яз. как иностр. / Под ред. Милуд М.Р. - М.:НИЦ ИНФРА-М,2024.-137 с.(о)</t>
  </si>
  <si>
    <t>ОЧЕРКИ МЕТОДИКИ ПРЕПОДАВАНИЯ РУССКОГО ЯЗЫКА КАК ИНОСТРАННОГО, ИЗД.1</t>
  </si>
  <si>
    <t>Гезайли Н., Милуд М.Р.</t>
  </si>
  <si>
    <t>978-5-16-018114-1</t>
  </si>
  <si>
    <t>44.04.01, 44.04.02, 44.04.04, 44.06.01, 45.04.01, 45.06.01</t>
  </si>
  <si>
    <t>652087.06.01</t>
  </si>
  <si>
    <t>Очерки по истории методики обуч. математ. (до 1917г.): Моногр. / О.А.Саввина-М:НИЦ ИНФРА-М,2025-189с(п)</t>
  </si>
  <si>
    <t>ОЧЕРКИ ПО ИСТОРИИ МЕТОДИКИ ОБУЧЕНИЯ МАТЕМАТИКЕ (ДО 1917Г.), ИЗД.1</t>
  </si>
  <si>
    <t>Саввина О.А.</t>
  </si>
  <si>
    <t>978-5-16-012615-9</t>
  </si>
  <si>
    <t>44.03.01, 44.03.03, 44.03.05</t>
  </si>
  <si>
    <t>087450.10.01</t>
  </si>
  <si>
    <t>Очерки уголовной политики / М.П. Чубинский. - М.: ИНФРА-М, 2025 - 435 с. (Б-ка криминолога) (п)</t>
  </si>
  <si>
    <t>ОЧЕРКИ УГОЛОВНОЙ ПОЛИТИКИ, ИЗД.1</t>
  </si>
  <si>
    <t>Чубинский М. П., Овчинский В. С., Федоров А. В.</t>
  </si>
  <si>
    <t>978-5-16-003181-1</t>
  </si>
  <si>
    <t>725256.04.01</t>
  </si>
  <si>
    <t>Очистка газовоздушных выбросов: Моногр. / А.В.Луканин - М.:НИЦ ИНФРА-М,2026. - 200 с.(Науч.мысль)(О. КБС)</t>
  </si>
  <si>
    <t>ОЧИСТКА ГАЗОВОЗДУШНЫХ ВЫБРОСОВ, ИЗД.1</t>
  </si>
  <si>
    <t>978-5-16-015935-5</t>
  </si>
  <si>
    <t>633616.08.01</t>
  </si>
  <si>
    <t>Очистка сточных вод...: Уч.пос. / Б.С.Ксенофонтов - М.:ИД ФОРУМ, НИЦ ИНФРА-М,2026 - 240 с.(ВО)(О)</t>
  </si>
  <si>
    <t>ОЧИСТКА СТОЧНЫХ ВОД: КОМПЬЮТЕРНЫЕ ТЕХНОЛОГИИ В РЕШЕНИИ ЗАДАЧ ФЛОТАЦИИ, ИЗД.1</t>
  </si>
  <si>
    <t>Ксенофонтов Б.С., Титов К.В.</t>
  </si>
  <si>
    <t>978-5-8199-0910-2</t>
  </si>
  <si>
    <t>20.03.01, 20.04.01, 20.04.02</t>
  </si>
  <si>
    <t>484450.07.01</t>
  </si>
  <si>
    <t>Очистка сточных вод: кинетика флотации..: Моногр. / Б.С.Ксенофонтов - М.:ИД Форум, НИЦ ИНФРА-М,2026. - 256 с.(о)</t>
  </si>
  <si>
    <t>ОЧИСТКА СТОЧНЫХ ВОД: КИНЕТИКА ФЛОТАЦИИ И ФЛОТОКОМБАЙНЫ, ИЗД.1</t>
  </si>
  <si>
    <t>978-5-8199-0618-7</t>
  </si>
  <si>
    <t>20.03.01, 20.03.02, 20.04.01, 20.04.02</t>
  </si>
  <si>
    <t>750867.01.01</t>
  </si>
  <si>
    <t>Очистка сточных вод: новые модели флотации...: Моногр. / Б.С.Ксенофонтов - М.:НИЦ ИНФРА-М,2021-203 с(О)</t>
  </si>
  <si>
    <t>ОЧИСТКА СТОЧНЫХ ВОД: НОВЫЕ МОДЕЛИ ФЛОТАЦИИ И ФЛОТОКОМБАЙНЫ ТИПА КБС И СПЕЦИАЛЬНОГО НАЗНАЧЕНИЯ, ИЗД.1</t>
  </si>
  <si>
    <t>978-5-16-016773-2</t>
  </si>
  <si>
    <t>696941.06.01</t>
  </si>
  <si>
    <t>Ошибки в понятиях и проведении следств. действий: Моногр./ Е.С.Лапин-М.:НИЦ ИНФРА-М,2024-214 с.(П)</t>
  </si>
  <si>
    <t>ОШИБКИ В ПОНЯТИЯХ И ПРОВЕДЕНИИ СЛЕДСТВЕННЫХ ДЕЙСТВИЙ, ИЗД.1</t>
  </si>
  <si>
    <t>Лапин Е.С.</t>
  </si>
  <si>
    <t>978-5-16-014726-0</t>
  </si>
  <si>
    <t>682642.03.01</t>
  </si>
  <si>
    <t>Пакет прикладных программ: Уч.пос. / В.Н.Шитов - М.:НИЦ ИНФРА-М,2025 - 334 с.(СПО)(П)</t>
  </si>
  <si>
    <t>ПАКЕТ ПРИКЛАДНЫХ ПРОГРАММ, ИЗД.1</t>
  </si>
  <si>
    <t>978-5-16-014542-6</t>
  </si>
  <si>
    <t>09.02.01, 09.02.02, 09.02.03, 09.02.04, 09.02.05, 09.02.06, 09.02.07, 21.01.10, 21.01.15, 21.01.16, 21.02.14, 21.02.15, 21.02.16, 21.02.17, 21.02.18, 46.01.02, 46.01.03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</si>
  <si>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09.02.03 «Программирование в компьютерных системах» (протокол № 2 от 17.02.2021)</t>
  </si>
  <si>
    <t>383100.09.01</t>
  </si>
  <si>
    <t>Палеобиогеография: Уч. / Б.Т.Янин - 2 изд. - М.:НИЦ ИНФРА-М,2026 - 268 с.-(ВО)(п)</t>
  </si>
  <si>
    <t>ПАЛЕОБИОГЕОГРАФИЯ, ИЗД.2</t>
  </si>
  <si>
    <t>Янин Б.Т.</t>
  </si>
  <si>
    <t>978-5-16-019601-5</t>
  </si>
  <si>
    <t>Допущено Учебно-методическим объединением по классическому университетскому образованию в качестве учебника для студентов — бакалавров и магистров, обучающихся по направлениям подготовки 05.03.01 и 05.04.01 «Геология»</t>
  </si>
  <si>
    <t>369700.12.01</t>
  </si>
  <si>
    <t>Палеонтология: Уч. / О.Б.Бондаренко, - 4 изд. - М.:НИЦ ИНФРА-М,2026. - 490 с.(ВО)(п)</t>
  </si>
  <si>
    <t>ПАЛЕОНТОЛОГИЯ, ИЗД.4</t>
  </si>
  <si>
    <t>Бондаренко О.Б., Михайлова И.А.</t>
  </si>
  <si>
    <t>978-5-16-018667-2</t>
  </si>
  <si>
    <t>05.03.01, 21.02.10, 21.02.11</t>
  </si>
  <si>
    <t>Рекомендовано учебно-методическим объединением по классическому университетскому образованию в качестве учебника для студентов, обучающихся по направлению 05.03.01 «Геология»</t>
  </si>
  <si>
    <t>169050.12.01</t>
  </si>
  <si>
    <t>Памятники ист. и культуры...: Моногр. / Л.Р.Клебанов - 3 изд. - М.:Юр.Норма, НИЦ ИНФРА-М, 2026 -168 с.(п)</t>
  </si>
  <si>
    <t>ПАМЯТНИКИ ИСТОРИИ И КУЛЬТУРЫ: ПРАВОВОЙ СТАТУС И ОХРАНА, ИЗД.3</t>
  </si>
  <si>
    <t>Клебанов Л. Р.</t>
  </si>
  <si>
    <t>978-5-00156-104-0</t>
  </si>
  <si>
    <t>40.03.01, 40.04.01, 51.03.01, 51.03.03, 51.03.04</t>
  </si>
  <si>
    <t>169050.05.01</t>
  </si>
  <si>
    <t>Памятники истории и культуры: прав. статус...: Моногр./Л.Р.Клебанов - 2 изд.-М.:Юр.Норма, НИЦ ИНФРА-М, 2020-160с.(О)</t>
  </si>
  <si>
    <t>ПАМЯТНИКИ ИСТОРИИ И КУЛЬТУРЫ: ПРАВОВОЙ СТАТУС И ОХРАНА, ИЗД.2</t>
  </si>
  <si>
    <t>978-5-91768-548-9</t>
  </si>
  <si>
    <t>656388.03.01</t>
  </si>
  <si>
    <t>Памятники книжного эпоса Запада и Востока: Моногр. / С.Ю.Неклюдов - М.:НИЦ ИНФРА-М,2019 - 482 с.(П)</t>
  </si>
  <si>
    <t>ПАМЯТНИКИ КНИЖНОГО ЭПОСА ЗАПАДА И ВОСТОКА, ИЗД.1</t>
  </si>
  <si>
    <t>Неклюдов С.Ю., Петров Н.В., Аникеева Т.А. и др.</t>
  </si>
  <si>
    <t>978-5-16-012807-8</t>
  </si>
  <si>
    <t>45.00.00, 44.03.05, 45.06.01, 45.07.01, 51.03.02</t>
  </si>
  <si>
    <t>656388.05.01</t>
  </si>
  <si>
    <t>Памятники книжного эпоса Запада и Востока: Моногр. / С.Ю.Неклюдов - М.:НИЦ ИНФРА-М,2026 - 482 с.(о)</t>
  </si>
  <si>
    <t>978-5-16-019430-1</t>
  </si>
  <si>
    <t>824327.01.01</t>
  </si>
  <si>
    <t>Память и природа психики: Моногр. / Л.В.Черемошкина - М.:НИЦ ИНФРА-М,2025 - 356 с.(Науч.мысль)(п)</t>
  </si>
  <si>
    <t>ПАМЯТЬ И ПРИРОДА ПСИХИКИ, ИЗД.1</t>
  </si>
  <si>
    <t>Черемошкина Л.В.</t>
  </si>
  <si>
    <t>978-5-16-020289-1</t>
  </si>
  <si>
    <t>37.04.01, 37.05.01, 37.05.02</t>
  </si>
  <si>
    <t>824423.01.01</t>
  </si>
  <si>
    <t>Память, воля и судьба Мира и России: Моногр. / В.К.Захаров-М.:НИЦ ИНФРА-М,2024.-632 с.(п)</t>
  </si>
  <si>
    <t>ПАМЯТЬ, ВОЛЯ И СУДЬБА МИРА И РОССИИ, ИЗД.1</t>
  </si>
  <si>
    <t>Захаров В.К.</t>
  </si>
  <si>
    <t>978-5-16-019767-8</t>
  </si>
  <si>
    <t>38.04.01, 38.04.02, 38.04.04, 38.06.01, 39.04.01, 39.06.01, 41.04.04, 41.04.05, 41.06.01, 46.04.01, 46.06.01, 47.04.01, 47.06.01</t>
  </si>
  <si>
    <t>747393.01.01</t>
  </si>
  <si>
    <t>Панантропея: Монография / С.В.Борзых - М.:НИЦ ИНФРА-М,2021 - 147 с.(Науч.мысль)(О)</t>
  </si>
  <si>
    <t>ПАНАНТРОПЕЯ, ИЗД.1</t>
  </si>
  <si>
    <t>978-5-16-016704-6</t>
  </si>
  <si>
    <t>290500.10.01</t>
  </si>
  <si>
    <t>Пантовое оленеводство: Уч. / А.И.Чикалев. - М.:КУРС, НИЦ ИНФРА-М,2026. -  96 с.(ВО: Бакалавр.)(О)</t>
  </si>
  <si>
    <t>ПАНТОВОЕ ОЛЕНЕВОДСТВО, ИЗД.1</t>
  </si>
  <si>
    <t>Чикалев А. И., Петрусева Н. С., Бессонова Н. М., Юлдашбаев Ю. А.</t>
  </si>
  <si>
    <t>978-5-905554-64-3</t>
  </si>
  <si>
    <t>Допущено Министерством сельского хозяйства Российской Федерации в качестве учебника для студентов высших аграрных учебных заведений, обучающихся по направлению подготовки высшего образования «Зоотехния»</t>
  </si>
  <si>
    <t>434850.10.01</t>
  </si>
  <si>
    <t>Паразитарные болезни животных: Уч.пос. / М.Д.Новак - М.:ИЦ РИОР, НИЦ ИНФРА-М,2027. - 192 с.(ВО)(п)</t>
  </si>
  <si>
    <t>ПАРАЗИТАРНЫЕ БОЛЕЗНИ ЖИВОТНЫХ, ИЗД.1</t>
  </si>
  <si>
    <t>Новак М. Д., Енгашев С. В.</t>
  </si>
  <si>
    <t>978-5-369-01203-1</t>
  </si>
  <si>
    <t>36.03.01, 36.04.01, 36.05.01</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</si>
  <si>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направлению подготовки (специа</t>
  </si>
  <si>
    <t>699500.06.01</t>
  </si>
  <si>
    <t>Паразитология и паразит. болезни сельскохоз.животных: Уч. / Косминков Н.Е. - М.:НИЦ ИНФРА-М,2026 - 467 с.(п)</t>
  </si>
  <si>
    <t>ПАРАЗИТОЛОГИЯ И ПАРАЗИТАРНЫЕ БОЛЕЗНИ СЕЛЬСКОХОЗЯЙСТВЕННЫХ ЖИВОТНЫХ, ИЗД.1</t>
  </si>
  <si>
    <t>Косминков Н.Е., Лайпанов Б.К., Домацкий В.Н. и др.</t>
  </si>
  <si>
    <t>978-5-16-014697-3</t>
  </si>
  <si>
    <t>35.01.23, 35.02.09, 36.01.02, 36.01.03, 36.01.04, 36.02.01, 36.02.03</t>
  </si>
  <si>
    <t>310400.11.01</t>
  </si>
  <si>
    <t>Паразитология и паразит.бол.и сельск..: Уч. / Н.Е.Косминков - М.:НИЦ ИНФРА-М,2026 - 467 с.(ВО:Бакалавр.)(п)</t>
  </si>
  <si>
    <t>978-5-16-010317-4</t>
  </si>
  <si>
    <t>Рекомендовано в качестве учебника для студентов высших учебных заведений, обучающихся по направлениям подготовки 36.03.01 «Ветеринарно-санитарная экспертиза», 36.03.02 «Зоотехния» (квалификация (степень) «бакалавр»)</t>
  </si>
  <si>
    <t>352000.06.01</t>
  </si>
  <si>
    <t>Параметрическая устойчив.и качество...: Моногр. / В.Н.Мирянова -М.:Вуз.уч.,НИЦ ИНФРА-М,2024-166с.(о)</t>
  </si>
  <si>
    <t>ПАРАМЕТРИЧЕСКАЯ УСТОЙЧИВОСТЬ И КАЧЕСТВО СИСТЕМ УПРАВЛЕНИЯ ТЕПЛОВЫМИ ОБЪЕКТАМИ С РАСПРЕДЕЛЕННЫМИ ПАРАМЕТРАМИ, ИЗД.1</t>
  </si>
  <si>
    <t>Мирянова В.Н.</t>
  </si>
  <si>
    <t>978-5-9558-0492-7</t>
  </si>
  <si>
    <t>13.00.00, 26.00.00, 13.04.01, 26.03.02, 26.04.02</t>
  </si>
  <si>
    <t>809284.03.01</t>
  </si>
  <si>
    <t>Парижский парламент средневековой Франции...: Моногр. / Е.Г.Коган - М.:Юр. НОРМА,2026. - 160 с.(п)</t>
  </si>
  <si>
    <t>ПАРИЖСКИЙ ПАРЛАМЕНТ СРЕДНЕВЕКОВОЙ ФРАНЦИИ: ЮРИДИЧЕСКИЕ АСПЕКТЫ ОРГАНИЗАЦИИ И ДЕЯТЕЛЬНОСТИ, ИЗД.1</t>
  </si>
  <si>
    <t>Коган Е.Г.</t>
  </si>
  <si>
    <t>978-5-00156-320-4</t>
  </si>
  <si>
    <t>40.03.01, 40.04.01, 41.03.04</t>
  </si>
  <si>
    <t>729523.04.01</t>
  </si>
  <si>
    <t>Парламентское право РФ: Уч.пос. / А.Н.Кокотов, - 2 изд. - М.:Юр. НОРМА, НИЦ ИНФРА-М,2024. - 320 с.(п)</t>
  </si>
  <si>
    <t>ПАРЛАМЕНТСКОЕ ПРАВО РОССИЙСКОЙ ФЕДЕРАЦИИ, ИЗД.2</t>
  </si>
  <si>
    <t>978-5-00156-339-6</t>
  </si>
  <si>
    <t>729523.05.01</t>
  </si>
  <si>
    <t>Парламентское право РФ: Уч.пос. / А.Н.Кокотов, - 3 изд. - М.:Юр. НОРМА, НИЦ ИНФРА-М,2026. - 328 с.(п)</t>
  </si>
  <si>
    <t>ПАРЛАМЕНТСКОЕ ПРАВО РОССИЙСКОЙ ФЕДЕРАЦИИ, ИЗД.3</t>
  </si>
  <si>
    <t>Кокотов А.Н., Баженова Т.М., Карасев А.Т. и др.</t>
  </si>
  <si>
    <t>978-5-00156-477-5</t>
  </si>
  <si>
    <t>729523.01.01</t>
  </si>
  <si>
    <t>Парламентское право РФ: Уч.пос. / А.Н.Кокотов-М.:Юр.Норма,2020.-320 с.(П)</t>
  </si>
  <si>
    <t>ПАРЛАМЕНТСКОЕ ПРАВО РОССИЙСКОЙ ФЕДЕРАЦИИ, ИЗД.1</t>
  </si>
  <si>
    <t>978-5-00156-048-7</t>
  </si>
  <si>
    <t>796736.01.01</t>
  </si>
  <si>
    <t>Парниковые газы: утилизация с использ. биотехнол. установок: Моногр. / Б.С.Ксенофонтов-М.:НИЦ ИНФРА-М,2023-225с.(п)</t>
  </si>
  <si>
    <t>ПАРНИКОВЫЕ ГАЗЫ: УТИЛИЗАЦИЯ С ИСПОЛЬЗОВАНИЕМ БИОТЕХНОЛОГИЧЕСКИХ УСТАНОВОК, ИЗД.1</t>
  </si>
  <si>
    <t>978-5-16-018177-6</t>
  </si>
  <si>
    <t>06.06.01, 20.06.01, 35.04.04, 35.06.01</t>
  </si>
  <si>
    <t>172800.09.01</t>
  </si>
  <si>
    <t>Паскаль для школьников: Уч. пос. / В.Б. Попов. - М.: ИЦ РИОР, НИЦ Инфра-М, 2025 - 374 с. (п)</t>
  </si>
  <si>
    <t>ПАСКАЛЬ ДЛЯ ШКОЛЬНИКОВ, ИЗД.1</t>
  </si>
  <si>
    <t>Попов В. Б.</t>
  </si>
  <si>
    <t>978-5-369-01038-9</t>
  </si>
  <si>
    <t>03.03.02, 09.02.03, 09.02.05, 09.03.01, 09.03.03, 09.04.03</t>
  </si>
  <si>
    <t>147900.11.01</t>
  </si>
  <si>
    <t>Пастбищное хозяйство: Уч.пос. / Б.В.Шелюто - М.:НИЦ ИНФРА-М, ,2026. - 184 с.(ВО: Бакалавр.)(О)</t>
  </si>
  <si>
    <t>ПАСТБИЩНОЕ ХОЗЯЙСТВО, ИЗД.1</t>
  </si>
  <si>
    <t>Шелюто Б.В., Шелюто А.А.</t>
  </si>
  <si>
    <t>978-5-16-012091-1</t>
  </si>
  <si>
    <t>Допущено Министерством образования Республики Беларусь в качестве учебного пособия для студентов высших учебных заведений по агрономическим специальностям</t>
  </si>
  <si>
    <t>315100.10.01</t>
  </si>
  <si>
    <t>Патологическая физиология: Уч. / Под ред. Байматова В.Н. - М.:НИЦ ИНФРА-М,2026. -  411 с.(ВО)(п)</t>
  </si>
  <si>
    <t>ПАТОЛОГИЧЕСКАЯ ФИЗИОЛОГИЯ, ИЗД.1</t>
  </si>
  <si>
    <t>Байматов В.Н., Мешков В.М., Байматов В.Н.</t>
  </si>
  <si>
    <t>978-5-16-021169-5</t>
  </si>
  <si>
    <t>Допущен Главным управлением высшего и среднего сельскохозяйственного образования Министерства сельского хозяйства Российской Федерации в качестве учебника для студентов высших сельскохозяйственных учебных заведений по специальности 36.05.01 «Ветеринария»</t>
  </si>
  <si>
    <t>313900.10.01</t>
  </si>
  <si>
    <t>Патологическая физиология: Уч. / С.О.Берсудский - М.:НИЦ ИНФРА-М,2025 - 639 с.(ВО:Спец.)(П)</t>
  </si>
  <si>
    <t>Берсудский С.О., Маслякова Г.Н., Моргунова В.М. и др.</t>
  </si>
  <si>
    <t>978-5-16-010361-7</t>
  </si>
  <si>
    <t>31.05.03, 31.08.72, 31.08.73, 31.08.74, 31.08.75, 31.08.76</t>
  </si>
  <si>
    <t>Рекомендовано ФГБОУ ВО «Первый Московский государственный медицинский университет им.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31.05.03 «Стоматология» по дисциплине «Патофизиология-патология головы и шеи»</t>
  </si>
  <si>
    <t>734728.08.01</t>
  </si>
  <si>
    <t>Патология: Уч. / Под ред. Тюкавина А.И. - М.:НИЦ ИНФРА-М,2026 - 844 с.(ВО: Специалитет)(П)</t>
  </si>
  <si>
    <t>ПАТОЛОГИЯ, ИЗД.1</t>
  </si>
  <si>
    <t>Тюкавин А.И., Васильев А.Г., Власов Т.Д. и др.</t>
  </si>
  <si>
    <t>978-5-16-016260-7</t>
  </si>
  <si>
    <t>31.05.01, 33.05.01, 34.03.01, 49.03.02</t>
  </si>
  <si>
    <t>796828.01.01</t>
  </si>
  <si>
    <t>Патоморфологические методы исследования: Уч.пос. / Т.И.Вахрушева-М.:НИЦ ИНФРА-М,2024.-267 с.(ВО)(п)</t>
  </si>
  <si>
    <t>ПАТОМОРФОЛОГИЧЕСКИЕ МЕТОДЫ ИССЛЕДОВАНИЯ, ИЗД.1</t>
  </si>
  <si>
    <t>Вахрушева Т.И.</t>
  </si>
  <si>
    <t>Высшее образование: Специалитет (КрГАУ)</t>
  </si>
  <si>
    <t>978-5-16-018998-7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</si>
  <si>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специальности 36.05.01 «Ветеринария»</t>
  </si>
  <si>
    <t>Международный конкурс на лучшее учебное и научное издание, Омский ГАУ-2025, Победитель, II место</t>
  </si>
  <si>
    <t>706977.03.01</t>
  </si>
  <si>
    <t>Патоморфологический и молекулярно-биолог. анализ... / Т.М.Черданцева. - М.:НИЦ ИНФРА-М,2026 - 230 с.(П)</t>
  </si>
  <si>
    <t>ПАТОМОРФОЛОГИЧЕСКИЙ И МОЛЕКУЛЯРНО-БИОЛОГИЧЕСКИЙ АНАЛИЗ ПОЧЕЧНО-КЛЕТОЧНОГО РАКА. ДИАГНОСТИКА И ПРОГНОЗ, ИЗД.1</t>
  </si>
  <si>
    <t>Черданцева Т.М., Климачев В.В., Бобров И.П. и др.</t>
  </si>
  <si>
    <t>978-5-16-015251-6</t>
  </si>
  <si>
    <t>31.05.01, 31.06.01, 31.07.01, 31.08.57</t>
  </si>
  <si>
    <t>632405.07.01</t>
  </si>
  <si>
    <t>Патопсихология  общественной безопасности: Уч.пос. / Б.Н.Алмазов - М.:НИЦ ИНФРА-М,2025. - 219 с.(ВО)(П)</t>
  </si>
  <si>
    <t>ПАТОПСИХОЛОГИЯ  ОБЩЕСТВЕННОЙ БЕЗОПАСНОСТИ, ИЗД.1</t>
  </si>
  <si>
    <t>Алмазов Б.Н.</t>
  </si>
  <si>
    <t>978-5-16-020544-1</t>
  </si>
  <si>
    <t>37.03.01, 37.05.01, 40.03.01, 40.04.01, 40.05.01, 44.03.05</t>
  </si>
  <si>
    <t>Рекомендовано в качестве учебного пособия для студентов высших учебных заведений, обучающихся по направлениям подготовки 40.05.01 «Правовое обеспечение национальной безопасности», 40.05.02 «Правоохранительная деятельность», 40.05.03 «Судебная экспертиза» (квалификация «юрист», «судебный эксперт»)</t>
  </si>
  <si>
    <t>832383.01.01</t>
  </si>
  <si>
    <t>Патофизиология системы крови: Уч.мет.пос. / И.В.Вуевская. - М.:НИЦ ИНФРА-М, ГомГМУ,2025. - 228 с.(ВО)(п)</t>
  </si>
  <si>
    <t>ПАТОФИЗИОЛОГИЯ СИСТЕМЫ КРОВИ, ИЗД.1</t>
  </si>
  <si>
    <t>Вуевская И.В., Кидун К.А., Литвиненко А.Н. и др.</t>
  </si>
  <si>
    <t>978-5-16-020102-3</t>
  </si>
  <si>
    <t>Рекомендовано 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«Лечебное дело», «Медико-профилактическое дело», «Медико-диагностическое дело»</t>
  </si>
  <si>
    <t>826053.02.01</t>
  </si>
  <si>
    <t>Педагогика вожатской деят. Прак: Уч.пос. / М.М.Борисова - М.:НИЦ ИНФРА-М,2026. - 350 с.(ВО)(п)</t>
  </si>
  <si>
    <t>ПЕДАГОГИКА ВОЖАТСКОЙ ДЕЯТЕЛЬНОСТИ. ПРАКТИКУМ, ИЗД.1</t>
  </si>
  <si>
    <t>Борисова М.М., Коробова О.В., Павлова Н.П.</t>
  </si>
  <si>
    <t>978-5-16-019910-8</t>
  </si>
  <si>
    <t>804846.01.01</t>
  </si>
  <si>
    <t>Педагогика вожатской деятельности: Уч. / М.М.Борисова и др. - М.:НИЦ ИНФРА-М,2025. - 417 с.(ВО)(п)</t>
  </si>
  <si>
    <t>ПЕДАГОГИКА ВОЖАТСКОЙ ДЕЯТЕЛЬНОСТИ, ИЗД.1</t>
  </si>
  <si>
    <t>Борисова М.М., Павлова Н.П., Илюшина Н.Н. и др.</t>
  </si>
  <si>
    <t>978-5-16-019794-4</t>
  </si>
  <si>
    <t>44.03.05</t>
  </si>
  <si>
    <t>346000.13.01</t>
  </si>
  <si>
    <t>Педагогика воспитания: теор.,метод.,технол..: Уч. / А.Н.Ходусов - 2 изд. - М.:НИЦ ИНФРА-М,2027-405с.(П)</t>
  </si>
  <si>
    <t>ПЕДАГОГИКА ВОСПИТАНИЯ: ТЕОРИЯ, МЕТОДОЛОГИЯ, ТЕХНОЛОГИЯ, МЕТОДИКА, ИЗД.2</t>
  </si>
  <si>
    <t>978-5-16-018495-1</t>
  </si>
  <si>
    <t>Рекомендовано УМО по образованию в области подготовки педагогических кадров в качестве учебника для осуществления образовательной деятельности по направлению 44.03.01 «Педагогическое образование»</t>
  </si>
  <si>
    <t>827192.03.01</t>
  </si>
  <si>
    <t>Педагогика высшей школы: военному преподавателю...: Уч.пос. / В.А.Мельничук - М.:НИЦ ИНФРА-М,2026. - 227 с.(п)</t>
  </si>
  <si>
    <t>ПЕДАГОГИКА ВЫСШЕЙ ШКОЛЫ: ВОЕННОМУ ПРЕПОДАВАТЕЛЮ О ПЕДАГОГИКЕ И ПЕДАГОГАХ, ИЗД.1</t>
  </si>
  <si>
    <t>Мельничук В.А., Фетисов А.В., Анисимов В.Г.</t>
  </si>
  <si>
    <t>978-5-16-019949-8</t>
  </si>
  <si>
    <t>40.06.01, 44.07.01, 56.07.01</t>
  </si>
  <si>
    <t>868837.01.01</t>
  </si>
  <si>
    <t>Педагогика высшей школы: миф или реальность: Моногр. / В.Н.Кругликов. - М.:НИЦ ИНФРА-М,2026. - 212 с.(п)</t>
  </si>
  <si>
    <t>ПЕДАГОГИКА ВЫСШЕЙ ШКОЛЫ: МИФ ИЛИ РЕАЛЬНОСТЬ, ИЗД.1</t>
  </si>
  <si>
    <t>Кругликов В.Н., Гулк Е.Б., Комарова А.В. и др.</t>
  </si>
  <si>
    <t>978-5-16-021597-6</t>
  </si>
  <si>
    <t>44.04.02, 44.06.01</t>
  </si>
  <si>
    <t>812037.01.01</t>
  </si>
  <si>
    <t>Педагогика высшей школы: Уч. / О.О.Киселёва и др. - М.:НИЦ ИНФРА-М,2025. - 257 с.(ВО)(п)</t>
  </si>
  <si>
    <t>ПЕДАГОГИКА ВЫСШЕЙ ШКОЛЫ, ИЗД.1</t>
  </si>
  <si>
    <t>Киселёва О.О., Патутина Н.А., Сурнина Т.В.</t>
  </si>
  <si>
    <t>978-5-16-020381-2</t>
  </si>
  <si>
    <t>07.04.01, 11.04.01, 19.04.05, 35.04.08, 41.04.01, 41.04.04, 41.04.05, 42.04.01, 44.04.01, 44.04.02, 47.04.03, 48.04.01, 49.04.01, 51.04.03, 51.04.04, 52.04.01</t>
  </si>
  <si>
    <t>Московский социально-экономический институт, МСЭИ</t>
  </si>
  <si>
    <t>631501.10.01</t>
  </si>
  <si>
    <t>Педагогика высшей школы: Уч. / О.П.Околелов - М.:НИЦ ИНФРА-М,2025. - 187 с.(ВО)(о)</t>
  </si>
  <si>
    <t>978-5-16-021223-4</t>
  </si>
  <si>
    <t>44.04.01, 44.04.02, 47.04.03, 51.04.04</t>
  </si>
  <si>
    <t>Рекомендовано в качестве учебника для студентов высших учебных заведений, обучающихся по направлениям подготовки 44.04.01 «Педагогическое образование», 44.04.02 «Психолого-педагогическое образование», 47.04.03 «Религиоведение» (квалификация (степень) «магистр»)</t>
  </si>
  <si>
    <t>720209.10.01</t>
  </si>
  <si>
    <t>Педагогика дет. оздоровит. лагеря: прак.: Уч.пос. / Под ред. Борисовой М.М. - М.:НИЦ ИНФРА-М,2026 - 258 с.(СПО)(п)</t>
  </si>
  <si>
    <t>ПЕДАГОГИКА ДЕТСКОГО ОЗДОРОВИТЕЛЬНОГО ЛАГЕРЯ: ПРАКТИКУМ, ИЗД.1</t>
  </si>
  <si>
    <t>Борисова М.М., Илюшина Н.Н., Павлова Н.П. и др.</t>
  </si>
  <si>
    <t>978-5-16-015674-3</t>
  </si>
  <si>
    <t>44.02.02, 44.02.03, 49.02.01</t>
  </si>
  <si>
    <t>644553.08.01</t>
  </si>
  <si>
    <t>Педагогика детского оздор. лагеря: практ.: Уч.пос. / Под ред. Борисовой М.М. - М.:НИЦ ИНФРА-М,2026. - 258 с.(П)</t>
  </si>
  <si>
    <t>Илюшина Н.Н., Павлова Н.П., Щербакова Т.Н. и др.</t>
  </si>
  <si>
    <t>978-5-16-020153-5</t>
  </si>
  <si>
    <t>693729.07.01</t>
  </si>
  <si>
    <t>Педагогика детского оздоров. лагеря: Уч. / Под ред. Борисовой М.М. - М.:НИЦ ИНФРА-М,2024 - 216 с.(СПО)(П)</t>
  </si>
  <si>
    <t>ПЕДАГОГИКА ДЕТСКОГО ОЗДОРОВИТЕЛЬНОГО ЛАГЕРЯ, ИЗД.1</t>
  </si>
  <si>
    <t>978-5-16-014468-9</t>
  </si>
  <si>
    <t>44.02.03, 44.02.05, 49.02.01</t>
  </si>
  <si>
    <t>632264.08.01</t>
  </si>
  <si>
    <t>Педагогика детского оздоровит. лагеря: Уч. / Под ред. Борисовой М.М. - М.:НИЦ ИНФРА-М,2026 - 216 с.(ВО)(П)</t>
  </si>
  <si>
    <t>978-5-16-012565-7</t>
  </si>
  <si>
    <t>44.03.01, 44.03.02</t>
  </si>
  <si>
    <t>824724.01.01</t>
  </si>
  <si>
    <t>Педагогика и психология высшего образования: Уч.пос. / Р.Е.Булат - М.:НИЦ ИНФРА-М,2026. - 525 с.(ВО)(п)</t>
  </si>
  <si>
    <t>ПЕДАГОГИКА И ПСИХОЛОГИЯ ВЫСШЕГО ОБРАЗОВАНИЯ, ИЗД.1</t>
  </si>
  <si>
    <t>978-5-16-020554-0</t>
  </si>
  <si>
    <t>05.04.03, 21.04.02, 39.04.02, 44.04.01, 45.04.01, 45.04.02, 46.04.01, 51.04.02, 51.04.06</t>
  </si>
  <si>
    <t>451150.11.01</t>
  </si>
  <si>
    <t>Педагогика и психология высшей шк.Инновац.курс..: Уч.пос. / В.П.Симонов - М.:.,НИЦ ИНФРА-М,2026 - 320 с.(П)</t>
  </si>
  <si>
    <t>ПЕДАГОГИКА И ПСИХОЛОГИЯ ВЫСШЕЙ ШКОЛЫ. ИННОВАЦИОННЫЙ КУРС ДЛЯ ПОДГОТОВКИ МАГИСТРОВ, ИЗД.1</t>
  </si>
  <si>
    <t>Симонов В.П.</t>
  </si>
  <si>
    <t>978-5-16-022000-0</t>
  </si>
  <si>
    <t>06.03.01, 06.03.02, 11.04.02, 35.04.08, 37.03.01, 37.04.01, 40.03.01, 44.03.01, 44.03.02, 44.03.05, 44.04.01, 44.04.02, 46.03.01, 47.04.03, 49.03.02, 51.04.04, 52.03.04, 52.03.05, 54.04.01, 54.04.02</t>
  </si>
  <si>
    <t>Рекомендовано УМО по психолого-педагогическим наукам Московского государственного областного университета для обучения магистрантов</t>
  </si>
  <si>
    <t>753037.07.01</t>
  </si>
  <si>
    <t>Педагогика и психология детей с умств. отсталостью..: Уч. / И.М.Яковлева - М.:НИЦ ИНФРА-М,2026. - 382 с.(ВО)(п)</t>
  </si>
  <si>
    <t>ПЕДАГОГИКА И ПСИХОЛОГИЯ ДЕТЕЙ С УМСТВЕННОЙ ОТСТАЛОСТЬЮ (ИНТЕЛЛЕКТУАЛЬНЫМИ НАРУШЕНИЯМИ), ИЗД.1</t>
  </si>
  <si>
    <t>Яковлева И.М., Браткова М.В., Караневская О.В. и др.</t>
  </si>
  <si>
    <t>978-5-16-018636-8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</si>
  <si>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44.03.01 «Педагогическое образование» (квалификация (степень) «бакалавр») (протокол № 6 от 08.06.2022)</t>
  </si>
  <si>
    <t>841893.02.01</t>
  </si>
  <si>
    <t>Педагогика и психология детей с умств. отсталостью..: Уч./И.М.Яковлева - М.:НИЦ ИНФРА-М,2027 - 382 с.(СПО)(п)</t>
  </si>
  <si>
    <t>978-5-16-020298-3</t>
  </si>
  <si>
    <t>44.02.03, 44.02.05</t>
  </si>
  <si>
    <t>373400.09.01</t>
  </si>
  <si>
    <t>Педагогика и психология: Уч.пос. / Л.А.Кудряшева - М.:Вуз. уч., НИЦ ИНФРА-М,2025 - 160 с.(Краткий курс)(О)</t>
  </si>
  <si>
    <t>ПЕДАГОГИКА И ПСИХОЛОГИЯ, ИЗД.1</t>
  </si>
  <si>
    <t>Кудряшева Л.А.</t>
  </si>
  <si>
    <t>Краткий курс</t>
  </si>
  <si>
    <t>978-5-9558-0262-6</t>
  </si>
  <si>
    <t>00.03.15, 00.05.15</t>
  </si>
  <si>
    <t>764093.06.01</t>
  </si>
  <si>
    <t>Педагогика и психология: Уч.пос. / Л.А.Кудряшева - М.:НИЦ ИНФРА-М,2026. - 160 с.(СПО)(п)</t>
  </si>
  <si>
    <t>978-5-16-021183-1</t>
  </si>
  <si>
    <t>00.02.15, 08.02.03, 20.02.01, 25.02.05, 39.02.01, 44.02.01, 44.02.02, 44.02.03, 44.02.04, 44.02.05, 44.02.06, 46.02.02, 49.02.01, 49.02.02, 51.02.01, 51.02.03, 53.02.01, 54.02.06</t>
  </si>
  <si>
    <t>Рекомендовано Межрегиональным учебно-методическим советом профессионального образования для использования в учебном процессе в учебных заведениях, реализующих основную профессиональную образовательную программу СПО (протокол № 4 от 21.04.2021)</t>
  </si>
  <si>
    <t>683085.12.01</t>
  </si>
  <si>
    <t>Педагогика инклюзивного обр.: Уч. / Под ред. Назаровой Н.М. - М.:НИЦ ИНФРА-М,2026 - 335 с.(СПО)(П)</t>
  </si>
  <si>
    <t>ПЕДАГОГИКА ИНКЛЮЗИВНОГО ОБРАЗОВАНИЯ, ИЗД.1</t>
  </si>
  <si>
    <t>Богданова Т.Г., Гусейнова А.А., Назарова Н.М. и др.</t>
  </si>
  <si>
    <t>978-5-16-013993-7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</si>
  <si>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t>
  </si>
  <si>
    <t>753672.07.01</t>
  </si>
  <si>
    <t>Педагогика инклюзивного образ.: Уч. / Под ред. Сальдаевой О.В. - М.:НИЦ ИНФРА-М,2026 - 439 с.(ВО)(п)</t>
  </si>
  <si>
    <t>Рындак В.Г., Сальдаева О.В., Аитбаева Р.Р. и др.</t>
  </si>
  <si>
    <t>978-5-16-019568-1</t>
  </si>
  <si>
    <t>44.03.02, 44.03.03, 44.03.04, 49.03.02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</si>
  <si>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 (протокол № 9 от 17.11.2022)</t>
  </si>
  <si>
    <t>388200.15.01</t>
  </si>
  <si>
    <t>Педагогика инклюзивного образования: Уч. / Т.Г.Богданова - М.:НИЦ ИНФРА-М,2026 - 335 с.(ВО.)(П)</t>
  </si>
  <si>
    <t>978-5-16-019178-2</t>
  </si>
  <si>
    <t>44.02.02, 44.03.02, 44.03.03</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</si>
  <si>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44.03.04 «Профессиональное обучение» (квалификация (степень) «бакалавр»)</t>
  </si>
  <si>
    <t>170950.06.01</t>
  </si>
  <si>
    <t>Педагогика рус. богослов. мысли: Моногр. / А.А. Гагаев - 2 изд-М:ИЦ РИОР,НИЦ ИНФРА-М,2023-191с(Науч.мысль)(О)</t>
  </si>
  <si>
    <t>ПЕДАГОГИКА РУССКОЙ БОГОСЛОВСКОЙ МЫСЛИ, ИЗД.2</t>
  </si>
  <si>
    <t>Гагаев А.А., Гагаев П.А.</t>
  </si>
  <si>
    <t>978-5-369-01512-4</t>
  </si>
  <si>
    <t>44.03.01, 44.03.04, 44.03.05, 44.04.04, 46.03.01, 46.04.01, 47.03.03, 47.04.03, 48.03.01, 48.04.01</t>
  </si>
  <si>
    <t>707162.01.01</t>
  </si>
  <si>
    <t>Педагогика. Семье и школе: Наст. кн. для учителей..: Прак. пос. / Я.С.Турбовской-М.:НИЦ ИНФРА-М,2023.-281с(п)</t>
  </si>
  <si>
    <t>ПЕДАГОГИКА. СЕМЬЕ И ШКОЛЕ. НАСТОЛЬНАЯ КНИГА ДЛЯ УЧИТЕЛЕЙ И РОДИТЕЛЕЙ, ИЗД.1</t>
  </si>
  <si>
    <t>978-5-16-015254-7</t>
  </si>
  <si>
    <t>44.00.00, 00.03.11, 44.03.01, 44.04.02</t>
  </si>
  <si>
    <t>707164.05.01</t>
  </si>
  <si>
    <t>Педагогика: Моногр. / Я.С.Турбовской - М.:НИЦ ИНФРА-М,2026. - 209 с.(Науч.мысль)(О)</t>
  </si>
  <si>
    <t>ПЕДАГОГИКА, ИЗД.1</t>
  </si>
  <si>
    <t>978-5-16-016499-1</t>
  </si>
  <si>
    <t>44.03.01, 44.04.01, 44.04.02, 44.04.03, 44.04.04, 44.05.01, 44.06.01</t>
  </si>
  <si>
    <t>737306.02.01</t>
  </si>
  <si>
    <t>Педагогика: теория и методика воспит. работы: Уч.пос. / В.Г.Рындак - М.:НИЦ ИНФРА-М,2026. - 334 с.(ВО)(п)</t>
  </si>
  <si>
    <t>ПЕДАГОГИКА: ТЕОРИЯ И МЕТОДИКА ВОСПИТАТЕЛЬНОЙ РАБОТЫ, ИЗД.1</t>
  </si>
  <si>
    <t>Рындак В.Г., Москвина А.В., Пак Л.Г. и др.</t>
  </si>
  <si>
    <t>978-5-16-016827-2</t>
  </si>
  <si>
    <t>Допущено УМС ОГПУ в качестве учебника для обучающихся по УГНС 44.00.00 Образование и педагогические науки по дисциплинам «Теории и технологии обучения и воспитания», «Профессиональная ориентация и профессиональное самоопределение обучающихся», «Теория и технология организации воспитательных практик», «Педагогика», «Профессиональное воспитание», «Этические основы духовно-нравственного воспитания личности»</t>
  </si>
  <si>
    <t>753310.05.01</t>
  </si>
  <si>
    <t>Педагогика: теория и практика...: Уч. / С.С.Кашлев - М.:НИЦ ИНФРА-М,2026. - 462 с.(ВО)(П)</t>
  </si>
  <si>
    <t>ПЕДАГОГИКА: ТЕОРИЯ И ПРАКТИКА ПЕДАГОГИЧЕСКОГО ПРОЦЕССА, ИЗД.1</t>
  </si>
  <si>
    <t>Кашлев С.С.</t>
  </si>
  <si>
    <t>978-5-16-018498-2</t>
  </si>
  <si>
    <t>00.03.15, 51.03.03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</si>
  <si>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педагогическим направлениям подготовки (квалификация (степень) «бакалавр») (протокол № 6 от 08.06.2022)</t>
  </si>
  <si>
    <t>753755.05.01</t>
  </si>
  <si>
    <t>Педагогика: Уч. / В.Г.Рындак и др. - М.:НИЦ ИНФРА-М,2026 - 421 с.(СПО)(П)</t>
  </si>
  <si>
    <t>Рындак В.Г., Аллагулов А.М., Челпаченко Т.В. и др.</t>
  </si>
  <si>
    <t>978-5-16-016836-4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</si>
  <si>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педагогическим специальностям (протокол № 10 от 12.10.2020)</t>
  </si>
  <si>
    <t>650123.08.01</t>
  </si>
  <si>
    <t>Педагогика: Уч. / В.Г.Рындак и др. - М.:НИЦ ИНФРА-М,2026 - 427 с.(ВО)(П)</t>
  </si>
  <si>
    <t>978-5-16-018433-3</t>
  </si>
  <si>
    <t>Рекомендовано в качестве учебника для студентов высших учебных заведений, обучающихся по направлениям подготовки 44.03.01 «Педагогическое образование» и 44.03.05 «Педагогическое образование (с двумя профилями подготовки)» (квалификация (степень) «бакалавр»)</t>
  </si>
  <si>
    <t>720241.05.01</t>
  </si>
  <si>
    <t>Педагогика: Уч.пос. / В.М.Кроль - М.:ИЦ РИОР, НИЦ ИНФРА-М,2025 - 303 с.(СПО)(П)</t>
  </si>
  <si>
    <t>Кроль В.М.</t>
  </si>
  <si>
    <t>978-5-369-01827-9</t>
  </si>
  <si>
    <t>44.02.01, 44.02.02, 44.02.03, 44.02.04, 44.02.05, 44.02.06, 49.02.01, 49.02.02, 51.02.01, 51.02.03, 53.02.01, 54.02.06, 49.02.03</t>
  </si>
  <si>
    <t>393200.07.01</t>
  </si>
  <si>
    <t>Педагогика: Уч.пос. / В.М.Кроль, - 2изд.,-М.:ИЦ РИОР,НИЦ ИНФРА-М,2023-303с.(ВО:Бакалавр.)(П)</t>
  </si>
  <si>
    <t>ПЕДАГОГИКА, ИЗД.2</t>
  </si>
  <si>
    <t>978-5-369-01536-0</t>
  </si>
  <si>
    <t>389900.08.01</t>
  </si>
  <si>
    <t>Педагогическая аксиология: Уч. пос. / А.В.Кирьякова - М.:НИЦ ИНФРА-М, 2027 - 283 с. (ВО:Бакалавр.) (п)</t>
  </si>
  <si>
    <t>ПЕДАГОГИЧЕСКАЯ АКСИОЛОГИЯ, ИЗД.1</t>
  </si>
  <si>
    <t>КирьяковаА.В., МелекесовГ.А., МосиенкоЛ.В. и др.</t>
  </si>
  <si>
    <t>978-5-16-011192-6</t>
  </si>
  <si>
    <t>Рекомендовано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t>
  </si>
  <si>
    <t>111250.09.01</t>
  </si>
  <si>
    <t>Педагогическая журналистика: Уч. пос. / Т.Е. Денисович. - М.:Форум, 2026. - 144 с.(ВО) (о)</t>
  </si>
  <si>
    <t>ПЕДАГОГИЧЕСКАЯ ЖУРНАЛИСТИКА, ИЗД.1</t>
  </si>
  <si>
    <t>Денисович Т. Е.</t>
  </si>
  <si>
    <t>978-5-91134-346-0</t>
  </si>
  <si>
    <t>182300.15.01</t>
  </si>
  <si>
    <t>Педагогическая психология: Уч.пос. / Б.Р.Мандель - М.:КУРС, НИЦ ИНФРА-М,2025 - 368 с.(П)</t>
  </si>
  <si>
    <t>ПЕДАГОГИЧЕСКАЯ ПСИХОЛОГИЯ, ИЗД.1</t>
  </si>
  <si>
    <t>978-5-905554-13-1</t>
  </si>
  <si>
    <t>37.03.01, 37.04.01, 44.03.01, 44.03.02, 44.03.05, 44.04.01, 44.04.02, 47.03.01, 47.04.01</t>
  </si>
  <si>
    <t>662500.07.01</t>
  </si>
  <si>
    <t>Педагогическая риторика: Уч.мет.пос. / О.В.Чернышенко - М.:ИЦ РИОР, НИЦ ИНФРА-М,2026 - 90 с.(ВО)(О)</t>
  </si>
  <si>
    <t>ПЕДАГОГИЧЕСКАЯ РИТОРИКА, ИЗД.1</t>
  </si>
  <si>
    <t>Чернышенко О.В.</t>
  </si>
  <si>
    <t>978-5-369-01695-4</t>
  </si>
  <si>
    <t>37.03.01, 44.03.01, 44.03.05, 44.05.01</t>
  </si>
  <si>
    <t>404400.12.01</t>
  </si>
  <si>
    <t>Педагогическая физиология: Курс лекций: Уч. пос./М.М.Безруких - М.:Форум, 2027 - 496 с.(ВО:Бакалавр.) (п)</t>
  </si>
  <si>
    <t>ПЕДАГОГИЧЕСКАЯ ФИЗИОЛОГИЯ, ИЗД.1</t>
  </si>
  <si>
    <t>Безруких М. М.</t>
  </si>
  <si>
    <t>978-5-91134-685-0</t>
  </si>
  <si>
    <t>646398.04.01</t>
  </si>
  <si>
    <t>Педагогические аспекты проблемы обесп. безоп. детей..:Моногр./Л.Л.Тимофеева-М.:НИЦ ИНФРА-М,2024-205с</t>
  </si>
  <si>
    <t>ПЕДАГОГИЧЕСКИЕ АСПЕКТЫ ПРОБЛЕМЫ ОБЕСПЕЧЕНИЯ БЕЗОПАСНОСТИ ДЕТЕЙ: ИСТОРИКО-КУЛЬТУРНЫЙ АНАЛИЗ, ИЗД.1</t>
  </si>
  <si>
    <t>Тимофеева Л.Л.</t>
  </si>
  <si>
    <t>978-5-16-014039-1</t>
  </si>
  <si>
    <t>631525.09.01</t>
  </si>
  <si>
    <t>Педагогические технологии: Уч. / Д.Г.Левитес - М.:НИЦ ИНФРА-М,2027. - 403 с.(ВО)(п)</t>
  </si>
  <si>
    <t>ПЕДАГОГИЧЕСКИЕ ТЕХНОЛОГИИ, ИЗД.1</t>
  </si>
  <si>
    <t>978-5-16-019887-3</t>
  </si>
  <si>
    <t>44.03.01, 44.03.02, 44.03.04, 44.04.01, 44.04.02, 44.04.04</t>
  </si>
  <si>
    <t>Рекомендовано Редакционно-издательским советом Российской академии образования (на основании Приказа Министерства образования и науки РФ от 15 января 2007 года № 10)</t>
  </si>
  <si>
    <t>798749.01.01</t>
  </si>
  <si>
    <t>Педагогические условия формир. проф. компетентности учителя... / С.С.Савельева-М.:НИЦ ИНФРА-М,2023-215с(п)</t>
  </si>
  <si>
    <t>ПЕДАГОГИЧЕСКИЕ УСЛОВИЯ ФОРМИРОВАНИЯ ПРОФЕССИОНАЛЬНОЙ КОМПЕТЕНТНОСТИ УЧИТЕЛЯ В ОБРАЗОВАТЕЛЬНОМ ПРОЦЕССЕ ВУЗА, ИЗД.1</t>
  </si>
  <si>
    <t>Савельева С.С.</t>
  </si>
  <si>
    <t>978-5-16-018240-7</t>
  </si>
  <si>
    <t>489200.11.01</t>
  </si>
  <si>
    <t>Педагогический словарь: Словарь / И.П.Андриади - М.:НИЦ ИНФРА-М,2026 - 224 с.(Б-ка.сл."Инфра-М")(П)</t>
  </si>
  <si>
    <t>ПЕДАГОГИЧЕСКИЙ СЛОВАРЬ, ИЗД.1</t>
  </si>
  <si>
    <t>Андриади И.П., Темина С.Ю.</t>
  </si>
  <si>
    <t>978-5-16-011752-2</t>
  </si>
  <si>
    <t>765084.01.01</t>
  </si>
  <si>
    <t>Педагогический терминологич. словарь / И.А.Тютькова - М.:НИЦ ИНФРА-М,2025. - 186 с.(Б-ка сл. ИНФРА-М) [12+](п)</t>
  </si>
  <si>
    <t>ПЕДАГОГИЧЕСКИЙ ТЕРМИНОЛОГИЧЕСКИЙ СЛОВАРЬ, ИЗД.1</t>
  </si>
  <si>
    <t>Тютькова И.А.</t>
  </si>
  <si>
    <t>978-5-16-020073-6</t>
  </si>
  <si>
    <t>44.03.01, 44.03.02, 44.03.03, 44.03.04, 44.03.05, 44.04.01, 44.04.02, 44.04.03, 44.04.04, 44.05.01, 44.06.01, 44.07.01, 44.07.02</t>
  </si>
  <si>
    <t>755038.03.01</t>
  </si>
  <si>
    <t>Педагогическое мастерство: Уч.мет.пос. / З.В.Смирнова - М.:НИЦ ИНФРА-М,2026. - 261 с.(СПО)(п)</t>
  </si>
  <si>
    <t>ПЕДАГОГИЧЕСКОЕ МАСТЕРСТВО, ИЗД.1</t>
  </si>
  <si>
    <t>Смирнова З.В.</t>
  </si>
  <si>
    <t>978-5-16-017663-5</t>
  </si>
  <si>
    <t>44.02.01, 44.02.02, 44.02.06</t>
  </si>
  <si>
    <t>Некрасовский педколледж № 1</t>
  </si>
  <si>
    <t>795700.01.01</t>
  </si>
  <si>
    <t>Педагогическое применение мультимедиа-средств: Уч.пос. / Н.В.Гафурова - 2изд.-М.:НИЦ ИНФРА-М,2023.-203с(п)</t>
  </si>
  <si>
    <t>ПЕДАГОГИЧЕСКОЕ ПРИМЕНЕНИЕ МУЛЬТИМЕДИА-СРЕДСТВ, ИЗД.2</t>
  </si>
  <si>
    <t>Гафурова Н.В., Чурилова Е.Ю.</t>
  </si>
  <si>
    <t>978-5-16-018095-3</t>
  </si>
  <si>
    <t>Учебное издание в его скорректированной редакции рекомендуется федеральным государственным бюджетным образовательным учреждением высшего профессионального образования «Российский государственный педагогический университет имени А.И. Герцена» к использованию в образовательных учреждениях в процессе преподавания дисциплины «Педагогическое применение мультимедиа-средств» профиля «Профессиональное обучение (информатика и вычислительная техника)»</t>
  </si>
  <si>
    <t>064350.02.01</t>
  </si>
  <si>
    <t>Педиатрия / В.А. Доскин. - М.: Энциклопедия, 2008. - 384 с. - (Справ. практ. врача). (карм. формат) (п)</t>
  </si>
  <si>
    <t>ПЕДИАТРИЯ, ИЗД.1</t>
  </si>
  <si>
    <t>Доскин В. А.</t>
  </si>
  <si>
    <t>Справочники практического врача</t>
  </si>
  <si>
    <t>5-94802-010-X</t>
  </si>
  <si>
    <t>713843.06.01</t>
  </si>
  <si>
    <t>Педиатрия: именные симптомы и синдромы: Рук. для врачей / Балыкова Л.А. - М.:НИЦ ИНФРА-М,2026. - 1088 с.(ВО)(П)</t>
  </si>
  <si>
    <t>ПЕДИАТРИЯ: ИМЕННЫЕ СИМПТОМЫ И СИНДРОМЫ, ИЗД.1</t>
  </si>
  <si>
    <t>Акашкина Е.Ю., Балашова Е.А., Балыкова Л.А. и др.</t>
  </si>
  <si>
    <t>978-5-16-015563-0</t>
  </si>
  <si>
    <t>Руководство для врачей</t>
  </si>
  <si>
    <t>780038.05.01</t>
  </si>
  <si>
    <t>Пенитенциарная криминология: Уч. / И.В.Пикин. - М.:НИЦ ИНФРА-М,2027. - 193 с.(ВО.)(П)</t>
  </si>
  <si>
    <t>ПЕНИТЕНЦИАРНАЯ КРИМИНОЛОГИЯ, ИЗД.1</t>
  </si>
  <si>
    <t>Расторопов С.В., Понкратов В.А., Пикин И.В. и др.</t>
  </si>
  <si>
    <t>978-5-16-021966-0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</si>
  <si>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40.05.02 «Правоохранительная деятельность» (квалификация «юрист») (протокол № 10 от 21.12.2022)</t>
  </si>
  <si>
    <t>681270.03.01</t>
  </si>
  <si>
    <t>Пенсионные накопления в России: кризис...: Моногр. / Т.Я.Хабриева и др.-М.:НИЦ ИНФРА-М,2019-240 с(П)</t>
  </si>
  <si>
    <t>ПЕНСИОННЫЕ НАКОПЛЕНИЯ В РОССИИ: КРИЗИС ОЖИДАНИЯ ИЛИ НОВЫЕ ВОЗМОЖНОСТИ, ИЗД.1</t>
  </si>
  <si>
    <t>Хабриева Т.Я., Воронин Ю.В., Емельянцев В.П. и др.</t>
  </si>
  <si>
    <t>978-5-16-013738-4</t>
  </si>
  <si>
    <t>681270.05.01</t>
  </si>
  <si>
    <t>Пенсионные накопления в России: кризис...: Моногр. / Т.Я.Хабриева.-М.:НИЦ ИНФРА-М,2021.-240 с.(О)</t>
  </si>
  <si>
    <t>978-5-16-016033-7</t>
  </si>
  <si>
    <t>816778.04.01</t>
  </si>
  <si>
    <t>Пенсионный возраст: правовая природа...: Моногр. / Ю.В.Воронин - М.:Юр. НОРМА,2026. - 84 с.(о)</t>
  </si>
  <si>
    <t>ПЕНСИОННЫЙ ВОЗРАСТ: ПРАВОВАЯ ПРИРОДА, РОЛЬ И ЗНАЧЕНИЕ В СИСТЕМЕ ПЕНСИОННОГО ОБЕСПЕЧЕНИЯ, ИЗД.1</t>
  </si>
  <si>
    <t>Воронин Ю.В.</t>
  </si>
  <si>
    <t>978-5-00156-340-2</t>
  </si>
  <si>
    <t>838552.02.01</t>
  </si>
  <si>
    <t>Пептидология, пептидомика и пептидная медицина: Уч.пос. / Ю.В.Быков. - М.:ИЦ РИОР, НИЦ ИНФРА-М,2026. - 129 с.(о)</t>
  </si>
  <si>
    <t>ПЕПТИДОЛОГИЯ, ПЕПТИДОМИКА И ПЕПТИДНАЯ МЕДИЦИНА, ИЗД.1</t>
  </si>
  <si>
    <t>Быков Ю.В., Григорьев М.Э., Беккер Р.А.</t>
  </si>
  <si>
    <t>978-5-369-01966-5</t>
  </si>
  <si>
    <t>31.05.01, 32.05.01, 33.05.01, 36.05.01</t>
  </si>
  <si>
    <t>856883.01.01</t>
  </si>
  <si>
    <t>Первая доврачебная помощь: Уч.пос. / В.А.Мельничук - М.:НИЦ ИНФРА-М,2026. - 207 с.(ВО)(п)</t>
  </si>
  <si>
    <t>ПЕРВАЯ ДОВРАЧЕБНАЯ ПОМОЩЬ, ИЗД.1</t>
  </si>
  <si>
    <t>978-5-16-021037-7</t>
  </si>
  <si>
    <t>40.05.01, 40.05.02, 40.03.02</t>
  </si>
  <si>
    <t>487550.15.01</t>
  </si>
  <si>
    <t>Первичная доврачебная мед. помощь: Уч.пос. / В.Г.Лычев - М.:Форум, НИЦ ИНФРА-М,2026 - 288 с.(СПО)(П)</t>
  </si>
  <si>
    <t>ПЕРВИЧНАЯ ДОВРАЧЕБНАЯ МЕДИЦИНСКАЯ ПОМОЩЬ, ИЗД.1</t>
  </si>
  <si>
    <t>978-5-00091-754-1</t>
  </si>
  <si>
    <t>31.02.01, 31.02.02, 31.02.05, 31.02.06, 32.02.01, 33.02.01, 34.02.01, 34.02.02</t>
  </si>
  <si>
    <t>724721.03.01</t>
  </si>
  <si>
    <t>Первичная учетная документация: Уч. / Ю.И.Сигидов - М.:НИЦ ИНФРА-М,2026 - 345 с.(ВО: Бакалавр.)(П)</t>
  </si>
  <si>
    <t>ПЕРВИЧНАЯ УЧЕТНАЯ ДОКУМЕНТАЦИЯ, ИЗД.1</t>
  </si>
  <si>
    <t>Сигидов Ю.И., Калашникова Е.В., Хорольская Т.Е. и др.</t>
  </si>
  <si>
    <t>978-5-16-016003-0</t>
  </si>
  <si>
    <t>763153.06.01</t>
  </si>
  <si>
    <t>Первичная учетная документация: Уч. / Ю.И.Сигидов - М.:НИЦ ИНФРА-М,2026 - 345 с.(СПО)(П)</t>
  </si>
  <si>
    <t>978-5-16-017100-5</t>
  </si>
  <si>
    <t>38.02.01, 43.01.09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</si>
  <si>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3 от 17.03.2021)</t>
  </si>
  <si>
    <t>664590.06.01</t>
  </si>
  <si>
    <t>Первые шаги к грамоте: от рисунка к письму: Уч.мет.пос. / Е.А.Кинаш, - 2 изд. - М.:НИЦ ИНФРА-М,2025. - 151 с.(п)</t>
  </si>
  <si>
    <t>ПЕРВЫЕ ШАГИ К ГРАМОТЕ: ОТ РИСУНКА К ПИСЬМУ, ИЗД.2</t>
  </si>
  <si>
    <t>Кинаш Е.А.</t>
  </si>
  <si>
    <t>978-5-16-020814-5</t>
  </si>
  <si>
    <t>664590.04.01</t>
  </si>
  <si>
    <t>Первые шаги к грамоте: от рисунка к письму: Уч.мет.пос. / Е.А.Кинаш-М.:НИЦ ИНФРА-М,2024.-146 с.(П)</t>
  </si>
  <si>
    <t>ПЕРВЫЕ ШАГИ К ГРАМОТЕ: ОТ РИСУНКА К ПИСЬМУ, ИЗД.1</t>
  </si>
  <si>
    <t>978-5-16-014852-6</t>
  </si>
  <si>
    <t>726962.06.01</t>
  </si>
  <si>
    <t>Передача, хранение и обработка больших объемов...: Уч.пос. / А.А.Григорьев. - М.:НИЦ ИНФРА-М,2026. - 207 с.(ВО)(П)</t>
  </si>
  <si>
    <t>ПЕРЕДАЧА, ХРАНЕНИЕ И ОБРАБОТКА БОЛЬШИХ ОБЪЕМОВ НАУЧНЫХ ДАННЫХ, ИЗД.1</t>
  </si>
  <si>
    <t>Григорьев А.А., Исаев Е.А., Тарасов П.А.</t>
  </si>
  <si>
    <t>978-5-16-018850-8</t>
  </si>
  <si>
    <t>09.03.01, 09.03.03, 38.03.05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</si>
  <si>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01.03.02 «Прикладная математика и информатика», 09.03.01 «Информатика и вычислительная техника», 38.03.05 Бизнес-информатика» (квалификация (степень) «бакалавр») (протокол № 10 от 12.10.2020)</t>
  </si>
  <si>
    <t>794862.02.01</t>
  </si>
  <si>
    <t>Переработка зерна: Уч.пос. / Г.Г.Юсупова - М.:НИЦ ИНФРА-М,2027. - 404 с.(ВО)(п)</t>
  </si>
  <si>
    <t>ПЕРЕРАБОТКА ЗЕРНА, ИЗД.1</t>
  </si>
  <si>
    <t>Юсупова Г.Г.</t>
  </si>
  <si>
    <t>978-5-16-018293-3</t>
  </si>
  <si>
    <t>19.03.02, 35.03.07</t>
  </si>
  <si>
    <t>842427.02.01</t>
  </si>
  <si>
    <t>Переработка зерна: Уч.пос. / Г.Г.Юсупова - М.:НИЦ ИНФРА-М,2027. - 404 с.(СПО)(п)</t>
  </si>
  <si>
    <t>978-5-16-020341-6</t>
  </si>
  <si>
    <t>399900.08.01</t>
  </si>
  <si>
    <t>Переработка и утилизация крупнотоннажных.. : Моногр. / А.Н.Гребенкин - М.:НИЦ ИНФРА-М,2025 - 128 с.(О)</t>
  </si>
  <si>
    <t>ПЕРЕРАБОТКА И УТИЛИЗАЦИЯ КРУПНОТОННАЖНЫХ ТВЕРДЫХ ЦЕЛЛЮЛОЗОСОДЕРЖАЩИХ ОТХОДОВ, ИЗД.1</t>
  </si>
  <si>
    <t>Гребенкин А.Н., Гребенкин А.А., Демидов А.В. и др.</t>
  </si>
  <si>
    <t>978-5-16-011286-2</t>
  </si>
  <si>
    <t>18.03.01, 18.03.02, 18.04.01, 18.04.02, 44.03.05</t>
  </si>
  <si>
    <t>Санкт-Петербургский государственный университет промышленных технологий и дизайна</t>
  </si>
  <si>
    <t>782572.04.01</t>
  </si>
  <si>
    <t>Переработка мяса птицы и кроликов: Уч.пос. / Е.А.Рыгалова - М.:НИЦ ИНФРА-М,2026. - 362 с.(ВО: Бакалавр.)(п)</t>
  </si>
  <si>
    <t>ПЕРЕРАБОТКА МЯСА ПТИЦЫ И КРОЛИКОВ, ИЗД.1</t>
  </si>
  <si>
    <t>Рыгалова Е.А., Речкина Е.А., Геращенко К.А. и др.</t>
  </si>
  <si>
    <t>Высшее образование: Бакалавриат (КрГАУ)</t>
  </si>
  <si>
    <t>978-5-16-018067-0</t>
  </si>
  <si>
    <t>19.03.03, 35.03.06, 35.03.07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</si>
  <si>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19.03.03 и 19.04.03 «Продукты питания животного происхождения» и специальности 19.02.08 «Технология мяса и мясных продуктов»</t>
  </si>
  <si>
    <t>672610.03.01</t>
  </si>
  <si>
    <t>Переработка флюоритсодерж. минерал. сырья и отходов:Моногр./ С.Б.Ярусова-М.:ИЦ РИОР,НИЦ ИНФРА-М,2021-115с</t>
  </si>
  <si>
    <t>ПЕРЕРАБОТКА ФЛЮОРИТСОДЕРЖАЩЕГО МИНЕРАЛЬНОГО СЫРЬЯ И ОТХОДОВ ЯРОСЛАВСКОГО КОМБИНАТА, ИЗД.1</t>
  </si>
  <si>
    <t>Ярусова С.Б.</t>
  </si>
  <si>
    <t>978-5-369-01734-0</t>
  </si>
  <si>
    <t>654700.08.01</t>
  </si>
  <si>
    <t>Переходные процессы в линейных электр.цепях..: Уч.пос. / В.М.Мякишев- 2изд. - М.:НИЦ ИНФРА-М,2025-347с(ВО) (П)</t>
  </si>
  <si>
    <t>ПЕРЕХОДНЫЕ ПРОЦЕССЫ В ЛИНЕЙНЫХ ЭЛЕКТРИЧЕСКИХ ЦЕПЯХ (В ПРИМЕРАХ), ИЗД.2</t>
  </si>
  <si>
    <t>Мякишев В.М., Жеваев М.С.</t>
  </si>
  <si>
    <t>978-5-16-013082-8</t>
  </si>
  <si>
    <t>11.03.01, 11.03.02, 13.03.02, 13.04.02</t>
  </si>
  <si>
    <t>853479.02.01</t>
  </si>
  <si>
    <t>Переходные процессы в статич. преобразоват.: Прак.: Уч.пос. / А.С.Корнев. - М.:НИЦ ИНФРА-М,2025 - 484с(п)</t>
  </si>
  <si>
    <t>ПЕРЕХОДНЫЕ ПРОЦЕССЫ В СТАТИЧЕСКИХ ПРЕОБРАЗОВАТЕЛЯХ: ПРАКТИКУМ, ИЗД.1</t>
  </si>
  <si>
    <t>Корнев А.С., Кузнецов Н.В., Вольский С.И. и др.</t>
  </si>
  <si>
    <t>978-5-16-020963-0</t>
  </si>
  <si>
    <t>11.03.01, 11.03.04, 13.03.02</t>
  </si>
  <si>
    <t>Санкт-Петербургский государственный морской технический университет</t>
  </si>
  <si>
    <t>087750.11.01</t>
  </si>
  <si>
    <t>Периферийные устройства вычисл. техники: Уч.пос. / Т.Л.Партыка, - 3 изд.-М.:Форум, НИЦ ИНФРА-М,2024.-432 с.(СПО)(П)</t>
  </si>
  <si>
    <t>ПЕРИФЕРИЙНЫЕ УСТРОЙСТВА ВЫЧИСЛИТЕЛЬНОЙ ТЕХНИКИ, ИЗД.3</t>
  </si>
  <si>
    <t>978-5-91134-594-5</t>
  </si>
  <si>
    <t>09.01.04, 09.01.05, 09.02.01, 09.02.02, 09.02.03, 09.02.04, 09.02.05, 10.02.01, 10.02.02, 10.02.03, 10.02.05, 11.02.03, 11.02.06, 11.02.07, 11.02.09, 11.02.11, 11.02.14, 11.02.15, 11.02.17, 11.02.18, 12.02.01, 12.02.03, 12.02.05, 12.02.06, 13.02.12, 15.02.07, 15.02.17, 26.01.05, 27.02.04, 53.02.08</t>
  </si>
  <si>
    <t>410700.06.01</t>
  </si>
  <si>
    <t>Перколяционный анализ гидродинам. и электрокинет..:Моногр./В.В.Кадет-М: Инфра-М,2023-256с(Науч.мыс.) (о)</t>
  </si>
  <si>
    <t>ПЕРКОЛЯЦИОННЫЙ АНАЛИЗ ГИДРОДИНАМИЧЕСКИХ И ЭЛЕКТРОКИНЕТИЧЕСКИХ ПРОЦЕССОВ В ПОРИСТЫХ СРЕДАХ, ИЗД.1</t>
  </si>
  <si>
    <t>Кадет В. В.</t>
  </si>
  <si>
    <t>978-5-16-005613-5</t>
  </si>
  <si>
    <t>20.03.01, 21.03.01, 21.04.01, 21.05.01, 21.05.02, 21.05.03, 21.05.04, 21.05.05, 21.05.06</t>
  </si>
  <si>
    <t>860644.01.01</t>
  </si>
  <si>
    <t>Персонализированное адаптив. обуч. в цифр. среде вуза / Ю.В.Вайнштейн - М.:НИЦ ИНФРА-М, СФУ,2026. - 194 с.(п)</t>
  </si>
  <si>
    <t>ПЕРСОНАЛИЗИРОВАННОЕ АДАПТИВНОЕ ОБУЧЕНИЕ В ЦИФРОВОЙ СРЕДЕ ВУЗА, ИЗД.1</t>
  </si>
  <si>
    <t>Вайнштейн Ю.В.</t>
  </si>
  <si>
    <t>978-5-16-021346-0</t>
  </si>
  <si>
    <t>704441.03.01</t>
  </si>
  <si>
    <t>Персональные финансы: Уч. / В.А.Слепов - М.:Магистр, НИЦ ИНФРА-М, 2024 - 240 с.(п)</t>
  </si>
  <si>
    <t>ПЕРСОНАЛЬНЫЕ ФИНАНСЫ, ИЗД.1</t>
  </si>
  <si>
    <t>Слепов В.А., Бондарева С.А.</t>
  </si>
  <si>
    <t>978-5-9776-0498-7</t>
  </si>
  <si>
    <t>042040.13.01</t>
  </si>
  <si>
    <t>Персональный менеджмент: Практ. / Под общ. ред. С.Д. Резника. - 3 изд.-М.: ИНФРА-М, 2018.-304с. (ВО)</t>
  </si>
  <si>
    <t>ПЕРСОНАЛЬНЫЙ МЕНЕДЖМЕНТ, ИЗД.3</t>
  </si>
  <si>
    <t>Резник С. Д., Бондаренко В. В., Резник С. Д.</t>
  </si>
  <si>
    <t>978-5-16-004835-2</t>
  </si>
  <si>
    <t>38.03.01, 38.03.02, 38.03.03, 38.03.04, 38.04.01, 38.04.02, 38.04.03, 38.04.04, 41.03.06</t>
  </si>
  <si>
    <t>Рекомендовано Советом УМО по образованию в области менеджмента в качестве учебного пособия для студентов вузов, обучающихся  по направлению 080200 "Менеджмент" и специальности 080507 "Менеджмент организации"</t>
  </si>
  <si>
    <t>042040.15.01</t>
  </si>
  <si>
    <t>Персональный менеджмент: Практ. / С.Д.Резник - 4 изд.-М.:НИЦ ИНФРА-М,2021.-306 с..-(ВО)(П)</t>
  </si>
  <si>
    <t>ПЕРСОНАЛЬНЫЙ МЕНЕДЖМЕНТ, ИЗД.4</t>
  </si>
  <si>
    <t>Резник С.Д., Бондаренко В.В., Чемезов И.С. и др.</t>
  </si>
  <si>
    <t>978-5-16-015089-5</t>
  </si>
  <si>
    <t>037920.17.01</t>
  </si>
  <si>
    <t>Персональный менеджмент: Уч. / С.Д.Резник - 5 изд. - М.:НИЦ ИНФРА-М,2018 - 590 с.(ВО:Бакалавр.)(п)</t>
  </si>
  <si>
    <t>ПЕРСОНАЛЬНЫЙ МЕНЕДЖМЕНТ, ИЗД.5</t>
  </si>
  <si>
    <t>Резник С.Д., Бондаренко В.В., Удалов Ф.Е. и др.</t>
  </si>
  <si>
    <t>978-5-16-011389-0</t>
  </si>
  <si>
    <t>38.03.02, 38.03.03, 38.03.04, 38.04.03, 44.03.05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</si>
  <si>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заведений,обучающихся по направлениям 38.03.02 «Менеджмент»,38.03.03 «Управление персоналом», 38.03.04 «Государственное и муниципальное управление» (квалификация (степень) «бакалавр»)</t>
  </si>
  <si>
    <t>037920.20.01</t>
  </si>
  <si>
    <t>Персональный менеджмент: Уч. / С.Д.Резник - 6 изд.-М.:НИЦ ИНФРА-М,2023.-453 с..-(ВО: Бакалавриат)(П)</t>
  </si>
  <si>
    <t>ПЕРСОНАЛЬНЫЙ МЕНЕДЖМЕНТ, ИЗД.6</t>
  </si>
  <si>
    <t>978-5-16-014780-2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</si>
  <si>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направлениям 38.03.02 «Менеджмент», 38.03.03 «Управление персоналом», 38.03.04 «Государственное и муниципальное управление» (квалификация (степень) «бакалавр»)</t>
  </si>
  <si>
    <t>272100.07.01</t>
  </si>
  <si>
    <t>Персональный состав городовых приказчиков и губных...: Моногр. / А.П.Синелобов - М:ИНФРА-М,2027 - 174 с.(о)</t>
  </si>
  <si>
    <t>ПЕРСОНАЛЬНЫЙ СОСТАВ ГОРОДОВЫХ ПРИКАЗЧИКОВ И ГУБНЫХ СТАРОСТ МОСКОВСКОГО ГОСУДАРСТВА XVI-XVII ВВ., ИЗД.1</t>
  </si>
  <si>
    <t>Синелобов А. П.</t>
  </si>
  <si>
    <t>978-5-16-009673-5</t>
  </si>
  <si>
    <t>737557.05.01</t>
  </si>
  <si>
    <t>Персоноцентризм в классич. рус. лит. XIX в.: Моногр. / А.Н.Андреев - М.:НИЦ ИНФРА-М,2026 - 430 с.(О)</t>
  </si>
  <si>
    <t>ПЕРСОНОЦЕНТРИЗМ В КЛАССИЧЕСКОЙ РУССКОЙ ЛИТЕРАТУРЕ XIX ВЕКА. ДИАЛЕКТИКА ХУДОЖЕСТВЕННОГО СОЗНАНИЯ, ИЗД.1</t>
  </si>
  <si>
    <t>Андреев А.Н.</t>
  </si>
  <si>
    <t>978-5-16-016307-9</t>
  </si>
  <si>
    <t>187650.13.01</t>
  </si>
  <si>
    <t>Перспектива: Уч.пос. / М.А.Пресняков - 2 изд. - М.: НИЦ ИНФРА-М,2026 - 112 с.(СПО)(о)</t>
  </si>
  <si>
    <t>ПЕРСПЕКТИВА, ИЗД.2</t>
  </si>
  <si>
    <t>Пресняков М.А.</t>
  </si>
  <si>
    <t>978-5-16-021469-6</t>
  </si>
  <si>
    <t>08.01.22, 08.01.23, 15.01.13, 15.01.17, 15.01.18, 15.01.22, 15.01.29, 15.01.35, 15.01.36, 15.01.37, 29.01.09, 29.02.10, 35.01.05, 35.01.06, 35.01.28, 35.01.30, 42.02.01, 43.01.11, 43.02.17, 53.02.09, 54.01.01, 54.01.05, 54.01.06, 54.01.12, 54.01.20, 54.02.01, 54.02.02, 54.02.03, 54.02.04, 54.02.05, 54.02.06, 54.02.07, 54.02.08, 55.02.02, 55.02.03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</si>
  <si>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54.02.00 «Изобразительные и прикладные виды искусств» (протокол № 13 от 16.09.2019)</t>
  </si>
  <si>
    <t>Российский университет традиционных художественных промыслов</t>
  </si>
  <si>
    <t>187650.05.01</t>
  </si>
  <si>
    <t>Перспектива: Уч.пос. / М.А.Пресняков - М.:Форум, НИЦ ИНФРА-М,2018 - 112 с.-(СПО)(о)</t>
  </si>
  <si>
    <t>ПЕРСПЕКТИВА, ИЗД.1</t>
  </si>
  <si>
    <t>978-5-00091-528-8</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</si>
  <si>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54.02.05 «Живопись», 54.02.06 «Изобразительное искусство и черчение», 54.02.01 «Дизайн»</t>
  </si>
  <si>
    <t>794801.02.01</t>
  </si>
  <si>
    <t>Перспективные инстр.поддержки и разв. экономики электр../ А.В.Аверин.-М.:НИЦ ИНФРА-М,2024.-166 с(о)</t>
  </si>
  <si>
    <t>ПЕРСПЕКТИВНЫЕ ИНСТРУМЕНТЫ ПОДДЕРЖКИ И РАЗВИТИЯ ЭКОНОМИКИ ЭЛЕКТРОННЫХ ИГР И КИБЕРСПОРТА В РОССИИ, ИЗД.1</t>
  </si>
  <si>
    <t>Аверин А.В., Поздняков К.К., Григорьева В.В. и др.</t>
  </si>
  <si>
    <t>978-5-16-018303-9</t>
  </si>
  <si>
    <t>38.03.01, 38.04.02, 38.06.01</t>
  </si>
  <si>
    <t>855181.01.01</t>
  </si>
  <si>
    <t>Перспективы и совр. сост. конституц. развития России...: Моногр. / А.Д.Керимов-М.:Юр. НОРМА,2025.-60 с.(о)</t>
  </si>
  <si>
    <t>ПЕРСПЕКТИВЫ И СОВРЕМЕННОЕ СОСТОЯНИЕ КОНСТИТУЦИОННОГО РАЗВИТИЯ РОССИИ В СВЕТЕ ВОЗРОЖДЕНИЯ СОЦИАЛИСТИЧЕСКОГО ОБЩЕСТВЕННОГО ПОРЯДКА, ИЗД.1</t>
  </si>
  <si>
    <t>Керимов А.Д.</t>
  </si>
  <si>
    <t>978-5-00156-436-2</t>
  </si>
  <si>
    <t>670057.03.01</t>
  </si>
  <si>
    <t>Петрология и структ. полож. интрузив. траппов..:Моногр. / С.Н.Прусская-М:НИЦ ИНФРА-М,СФУ,2023-159с(П)</t>
  </si>
  <si>
    <t>ПЕТРОЛОГИЯ И СТРУКТУРНОЕ ПОЛОЖЕНИЕ ИНТРУЗИВНЫХ ТРАППОВ ЗАПАДА СИБИРСКОЙ ПЛАТФОРМЫ, ИЗД.1</t>
  </si>
  <si>
    <t>Прусская С.Н.</t>
  </si>
  <si>
    <t>978-5-16-013361-4</t>
  </si>
  <si>
    <t>21.05.02, 21.06.02</t>
  </si>
  <si>
    <t>177100.08.01</t>
  </si>
  <si>
    <t>Петрология метасоматических пород: Уч. / Е.Н.Граменицкий - М.:НИЦ ИНФРА-М,2025-221с.(ВО:Магистр.)(п)</t>
  </si>
  <si>
    <t>ПЕТРОЛОГИЯ МЕТАСОМАТИЧЕСКИХ ПОРОД, ИЗД.1</t>
  </si>
  <si>
    <t>Граменицкий Е. Н.</t>
  </si>
  <si>
    <t>978-5-16-011630-3</t>
  </si>
  <si>
    <t>Допущено Учебно-методическим объединением по классическому университетскому образованию в качестве учебника для студентов, обучающихся по направлению 05.04.01 «Геология» (квалификация (степень) «магистр»)</t>
  </si>
  <si>
    <t>721072.03.01</t>
  </si>
  <si>
    <t>Питание как часть нац. культуры народов: Уч.пос. / Л.Е.Чередниченко - М.:НИЦ ИНФРА-М,2023 - 163c(П)</t>
  </si>
  <si>
    <t>ПИТАНИЕ КАК ЧАСТЬ НАЦИОНАЛЬНОЙ КУЛЬТУРЫ НАРОДОВ, ИЗД.1</t>
  </si>
  <si>
    <t>Чередниченко Л.Е.</t>
  </si>
  <si>
    <t>978-5-16-015815-0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</si>
  <si>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19.03.04 «Технология продукции и организация общественного питания» (квалификация (степень) «бакалавр») (протокол № 14 от 30.09.2019)</t>
  </si>
  <si>
    <t>735722.05.01</t>
  </si>
  <si>
    <t>Питание как часть нац. культуры народов: Уч.пос. / Л.Е.Чередниченко - М.:НИЦ ИНФРА-М,2025.-163 с.(СПО)(п)</t>
  </si>
  <si>
    <t>978-5-16-016197-6</t>
  </si>
  <si>
    <t>19.01.17, 19.01.18, 19.01.19, 19.02.12, 19.02.13, 35.01.23, 35.02.10, 43.01.04, 43.01.09, 43.02.15, 43.02.16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</si>
  <si>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19.02.10 «Технология продукции общественного питания», 43.02.01 «Организация обслуживания в общественном питании» (протокол № 8 от 22.06.2020)</t>
  </si>
  <si>
    <t>765390.06.01</t>
  </si>
  <si>
    <t>Пищевая биотехн. продуктов из сырья растит. происхож.: Уч. / О.А.Неверова - М.:НИЦ ИНФРА-М,2026 - 318 с.(П)</t>
  </si>
  <si>
    <t>ПИЩЕВАЯ БИОТЕХНОЛОГИЯ ПРОДУКТОВ ИЗ СЫРЬЯ РАСТИТЕЛЬНОГО ПРОИСХОЖДЕНИЯ, ИЗД.1</t>
  </si>
  <si>
    <t>Неверова О.А., Просеков А.Ю., Гореликова Г.А. и др.</t>
  </si>
  <si>
    <t>978-5-16-017179-1</t>
  </si>
  <si>
    <t>19.01.01, 19.01.18, 19.02.11, 19.02.12, 19.02.15, 22.02.08, 35.02.18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</si>
  <si>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19.00.00 «Промышленная экология и биотехнологии» (протокол № 5 от 19.05.2021)</t>
  </si>
  <si>
    <t>Кемеровский государственный институт культуры</t>
  </si>
  <si>
    <t>200700.10.01</t>
  </si>
  <si>
    <t>Пищевая биотехнология продуктов из сырья растит..: Уч. / О.А.Неверова - ИНФРА-М, 2026 - 318 с.(ВО)(п)</t>
  </si>
  <si>
    <t>Неверова О. А., Просеков А. Ю., Гореликова Г. А., Позняковский В. М.</t>
  </si>
  <si>
    <t>978-5-16-005309-7</t>
  </si>
  <si>
    <t>19.03.02, 19.03.03, 19.03.04, 19.04.02, 19.04.03, 19.04.04</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</si>
  <si>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университет пищевых производств» в качестве учебника для студентов высших учебных заведений, обучающихся</t>
  </si>
  <si>
    <t>644910.10.01</t>
  </si>
  <si>
    <t>Пищевая микробиология: микробиолог.безоп.сырья..: Уч. / В.Н.Кисленко - М.:НИЦ ИНФРА-М,2026 - 257 с(ВО)(П)</t>
  </si>
  <si>
    <t>ПИЩЕВАЯ МИКРОБИОЛОГИЯ: МИКРОБИОЛОГИЧЕСКАЯ БЕЗОПАСНОСТЬ СЫРЬЯ И ПРОДУКТОВ ЖИВОТНОГО И РАСТИТЕЛЬНОГО ПРОИСХОЖДЕНИЯ, ИЗД.1</t>
  </si>
  <si>
    <t>Кисленко В.Н., Дячук Т.И.</t>
  </si>
  <si>
    <t>978-5-16-012413-1</t>
  </si>
  <si>
    <t>19.04.02, 19.04.03</t>
  </si>
  <si>
    <t>Допущено в качестве учебника для студентов вузов, обучающихся по направлениям подготовки 36.04.01 «Ветеринарно-санитарная экспертиза», 19.04.03 «Продукты питания животного происхождения», 19.04.02 «Продукты питания из растительного сырья» (квалификация (степень) «магистр»)</t>
  </si>
  <si>
    <t>656452.05.01</t>
  </si>
  <si>
    <t>Пищевые волокна:  функц.-технолог. свойства: Моногр. / Н.В.Неповинных - М.:НИЦ ИНФРА-М,2026 - 204 с.(П)</t>
  </si>
  <si>
    <t>ПИЩЕВЫЕ ВОЛОКНА:  ФУНКЦИОНАЛЬНО-ТЕХНОЛОГИЧЕСКИЕ  СВОЙСТВА И ПРИМЕНЕНИЕ  В ТЕХНОЛОГИЯХ ПРОДУКТОВ ПИТАНИЯ НА ОСНОВЕ МОЛОЧНОЙ СЫВОРОТКИ, ИЗД.1</t>
  </si>
  <si>
    <t>Неповинных Н.В., Птичкина Н.М.</t>
  </si>
  <si>
    <t>978-5-16-012853-5</t>
  </si>
  <si>
    <t>19.03.02, 19.03.04, 19.04.02, 19.04.04, 19.04.05</t>
  </si>
  <si>
    <t>632114.07.01</t>
  </si>
  <si>
    <t>Пищевые ингредиенты и биолог. активные добавки: Уч. / В.М.Позняковский - М.:НИЦ ИНФРА-М,2025 - 143 с.(ВО)(о)</t>
  </si>
  <si>
    <t>ПИЩЕВЫЕ ИНГРЕДИЕНТЫ И БИОЛОГИЧЕСКИ АКТИВНЫЕ ДОБАВКИ, ИЗД.1</t>
  </si>
  <si>
    <t>Позняковский В.М., Чугунова О.В., Тамова М.Ю. и др.</t>
  </si>
  <si>
    <t>978-5-16-018637-5</t>
  </si>
  <si>
    <t>19.03.04, 19.04.04, 19.04.05</t>
  </si>
  <si>
    <t>Рекомендовано Учебно-методическим объединением по образованию в области технологии продукции и организации общественного питания в качестве учебника для подготовки бакалавров и магистров по направлениям подготовки 19.03.04 и 19.04.04 «Технология продукции и организация общественного питания»</t>
  </si>
  <si>
    <t>328000.13.01</t>
  </si>
  <si>
    <t>Плавание: Уч. / Н.Ж.Булгакова и др. - М.:НИЦ ИНФРА-М,2026 - 290 с.-(ВО)(П)</t>
  </si>
  <si>
    <t>ПЛАВАНИЕ, ИЗД.1</t>
  </si>
  <si>
    <t>Булгакова Н.Ж., Морозов С.Н., Попов О.И. и др.</t>
  </si>
  <si>
    <t>978-5-16-018687-0</t>
  </si>
  <si>
    <t>44.03.01, 44.04.01, 49.03.01, 49.03.02, 49.04.01, 49.04.02</t>
  </si>
  <si>
    <t>Рекомендован Экспертно-методическим советом Института спорта и физического воспитания федерального государственного бюджетного образовательного учреждения высшего образования «Российский государственный университет физической культуры, спорта, молодежи и туризма (ГЦОЛИФК)»  для студентов, обучающихся по дисциплине «Плавание» по направлению подготовки 49.03.01  «Физическая культура», профиль подготовки «Спортивная подготовка»</t>
  </si>
  <si>
    <t>833102.01.01</t>
  </si>
  <si>
    <t>Плавание: Уч. / Н.Ж.Булгакова. - М.:НИЦ ИНФРА-М,2024. - 290 с.(СПО)(п)</t>
  </si>
  <si>
    <t>978-5-16-020012-5</t>
  </si>
  <si>
    <t>00.01.05, 00.02.14, 49.02.01, 49.02.02, 49.02.03</t>
  </si>
  <si>
    <t>674985.05.01</t>
  </si>
  <si>
    <t>Плазменные электротехнологич. установки: Уч.пос. / Чередниченко В.С. - 2 изд. - М.:НИЦ ИНФРА-М,2027 - 601 с.(П)</t>
  </si>
  <si>
    <t>ПЛАЗМЕННЫЕ ЭЛЕКТРОТЕХНОЛОГИЧЕСКИЕ УСТАНОВКИ, ИЗД.2</t>
  </si>
  <si>
    <t>Чередниченко В.С., Аньшаков А.С., Кузьмин М.Г.</t>
  </si>
  <si>
    <t>978-5-16-022357-5</t>
  </si>
  <si>
    <t>13.03.02, 13.03.03, 13.04.02, 16.04.02</t>
  </si>
  <si>
    <t>Допущено УМО вузов России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«Электроэнергетика и электротехника»</t>
  </si>
  <si>
    <t>382000.05.01</t>
  </si>
  <si>
    <t>Планирование виртуальных вычислений: Уч.пос. / А.Б.Барский - М.:ИД ФОРУМ, НИЦ ИНФРА-М,2027 - 200 с.(ВО)(П)</t>
  </si>
  <si>
    <t>ПЛАНИРОВАНИЕ ВИРТУАЛЬНЫХ ВЫЧИСЛЕНИЙ, ИЗД.1</t>
  </si>
  <si>
    <t>Барский А.Б.</t>
  </si>
  <si>
    <t>978-5-8199-0655-2</t>
  </si>
  <si>
    <t>06.04.01, 09.04.01, 09.04.02, 09.04.03, 09.04.04</t>
  </si>
  <si>
    <t>Рекомендовано научно-методическим советом федерального государственного бюджетного образовательного учреждения высшего образования «Московский государственный университет путей сообщения (МИИТ)» в качестве учебного пособия для студентов, обучающихся по направлениям подготовки 09.03.01 и 09.04.01 «Информатика и вычислительная техника» (бакалавриат и магистратура), профиль «Вычислительные машины, комплексы, системы и сети», и 10.03.01 «Информационная безопасность» (бакалавриат), профиль «Безопасность компьютерных систем»</t>
  </si>
  <si>
    <t>124858.08.01</t>
  </si>
  <si>
    <t>Планирование и орг. машиностр. произв.: Уч. пос./Н.С.Сачко-2 изд.-Инфра-М;Нов. знан.,2024-240 с. (п)</t>
  </si>
  <si>
    <t>ПЛАНИРОВАНИЕ И ОРГАНИЗАЦИЯ МАШИНОСТРОИТЕЛЬНОГО ПРОИЗВОДСТВА. КУРСОВОЕ ПРОЕКТИРОВАНИЕ, ИЗД.2</t>
  </si>
  <si>
    <t>Сачко Н. С., Бабук И. М.</t>
  </si>
  <si>
    <t>978-5-16-006209-9</t>
  </si>
  <si>
    <t>15.03.01, 15.03.02, 15.03.03, 15.03.04, 15.03.05, 15.03.06, 38.03.02</t>
  </si>
  <si>
    <t>735701.05.01</t>
  </si>
  <si>
    <t>Планирование и орг. машиностроит. произв...: Уч.пос. / Н.С.Сачко - 2 изд. - М.:НИЦ ИНФРА-М, ,2025 - 240 с.(П)</t>
  </si>
  <si>
    <t>Сачко Н.С., Бабук И.М.</t>
  </si>
  <si>
    <t>978-5-16-016193-8</t>
  </si>
  <si>
    <t>00.02.38, 15.01.29, 15.02.16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</si>
  <si>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15.02.00 «Машиностроение» и 38.02.00 «Экономика и управление» (протокол № 3 от 17.02.2020)</t>
  </si>
  <si>
    <t>258000.03.01</t>
  </si>
  <si>
    <t>Планирование и организация эксперимента..: Уч.пос. /В.И.Бесшапошникова -М.:НИЦ ИНФРА-М,2024-224с(ВО)</t>
  </si>
  <si>
    <t>ПЛАНИРОВАНИЕ И ОРГАНИЗАЦИЯ ЭКСПЕРИМЕНТА В ЛЕГКОЙ ПРОМЫШЛЕННОСТИ, ИЗД.1</t>
  </si>
  <si>
    <t>978-5-16-019421-9</t>
  </si>
  <si>
    <t>29.03.01, 29.03.02, 29.03.03, 29.03.05, 29.04.01, 29.04.02, 29.04.03, 29.04.05</t>
  </si>
  <si>
    <t>Рекомендовано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29.03.02 «Технология и проектирование текстильных изделий», 29.03.05 «Конструирование изделий легкой промышленности» (квалификация (степень) «бакалавр»)</t>
  </si>
  <si>
    <t>284800.10.01</t>
  </si>
  <si>
    <t>Планирование использования земельных ресурсов...: Уч.пос. / И.В.Шмидт - 2 изд. - М.:НИЦ ИНФРА-М,2026. - 375 с.(ВО)(п)</t>
  </si>
  <si>
    <t>ПЛАНИРОВАНИЕ ИСПОЛЬЗОВАНИЯ ЗЕМЕЛЬНЫХ РЕСУРСОВ С ОСНОВАМИ КАДАСТРА, ИЗД.2</t>
  </si>
  <si>
    <t>Царенко А.А., Шмидт И.В.</t>
  </si>
  <si>
    <t>978-5-16-020764-3</t>
  </si>
  <si>
    <t>21.02.19, 21.03.02, 21.03.03, 21.04.02, 21.04.03, 35.03.01, 35.03.04</t>
  </si>
  <si>
    <t>284800.09.01</t>
  </si>
  <si>
    <t>Планирование использования земельных ресурсов..: Уч.пос. /А.А.Царенко - НИЦ ИНФРА-М, 2024-400с.(П)</t>
  </si>
  <si>
    <t>ПЛАНИРОВАНИЕ ИСПОЛЬЗОВАНИЯ ЗЕМЕЛЬНЫХ РЕСУРСОВ С ОСНОВАМИ КАДАСТРА, ИЗД.1</t>
  </si>
  <si>
    <t>978-5-16-019226-0</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</si>
  <si>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21.03.02 «Землеустройство и кадастры» (квалификация (степень) «бакалавр»)</t>
  </si>
  <si>
    <t>418350.08.01</t>
  </si>
  <si>
    <t>Планирование на предпр. транспорта: Уч. пос. / Н.А.Логинова. - М.: НИЦ ИНФРА-М, 2026 - 320 с.(ВО) (п)</t>
  </si>
  <si>
    <t>ПЛАНИРОВАНИЕ НА ПРЕДПРИЯТИИ ТРАНСПОРТА, ИЗД.1</t>
  </si>
  <si>
    <t>Логинова Н. А.</t>
  </si>
  <si>
    <t>978-5-16-005784-2</t>
  </si>
  <si>
    <t>38.03.01, 38.03.02, 38.03.04, 38.04.01, 38.04.02</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</si>
  <si>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080200 «Менеджмент» (профиль «Производственный менеджмент»)</t>
  </si>
  <si>
    <t>432500.06.01</t>
  </si>
  <si>
    <t>Планирование на предприятии (в орг.): Уч.пос. / Т.Н.Литвинова - М.:НИЦ ИНФРА-М,2026 - 156 с.(ВО)(о)</t>
  </si>
  <si>
    <t>ПЛАНИРОВАНИЕ НА ПРЕДПРИЯТИИ (В ОРГАНИЗАЦИИ), ИЗД.1</t>
  </si>
  <si>
    <t>Литвинова Т.Н., Морозова И.А., Попкова Е.Г.</t>
  </si>
  <si>
    <t>978-5-16-022148-9</t>
  </si>
  <si>
    <t>38.03.01, 38.03.02, 38.04.01, 41.03.06, 41.04.01, 44.03.01</t>
  </si>
  <si>
    <t>Волгоградский государственный аграрный университет</t>
  </si>
  <si>
    <t>413400.11.01</t>
  </si>
  <si>
    <t>Планирование на предприятии: Уч. / В.В.Янковская - М.:НИЦ ИНФРА-М,2025. - 425 с.(ВО)(П)</t>
  </si>
  <si>
    <t>ПЛАНИРОВАНИЕ НА ПРЕДПРИЯТИИ, ИЗД.1</t>
  </si>
  <si>
    <t>Янковская В. В.</t>
  </si>
  <si>
    <t>978-5-16-020615-8</t>
  </si>
  <si>
    <t>38.03.01, 38.03.02, 38.03.04, 38.03.06, 38.04.01, 38.04.02, 38.04.04, 38.04.06, 44.03.01</t>
  </si>
  <si>
    <t>Рекомендовано учебно-методическим объединением вузов России по образованию в области экономики в качестве учебника для студентов высших учебных заведений, обучающихся по направлению 38.03.01 «Экономика» (квалификация (степень) «бакалавр»)</t>
  </si>
  <si>
    <t>058950.16.01</t>
  </si>
  <si>
    <t>Планирование на предприятии: Уч. / М.И. Бухалков - 4 изд.- М.: НИЦ ИНФРА-М, 2025 - 411с.(ВО) (п)</t>
  </si>
  <si>
    <t>ПЛАНИРОВАНИЕ НА ПРЕДПРИЯТИИ, ИЗД.4</t>
  </si>
  <si>
    <t>978-5-16-003931-2</t>
  </si>
  <si>
    <t>Рекомендовано Мин. обр. и науки РФ в качестве учебника для студентов высших учебных заведений, обучающихся по экономическим специальностям</t>
  </si>
  <si>
    <t>216700.09.01</t>
  </si>
  <si>
    <t>Планирование научного эксперимента: Уч. / В.А.Волосухин - 2 изд. - ИЦ РИОР,НИЦ ИНФРА-М,2025 - 176 с.(ВО:Магистр.)(о)</t>
  </si>
  <si>
    <t>ПЛАНИРОВАНИЕ НАУЧНОГО ЭКСПЕРИМЕНТА, ИЗД.2</t>
  </si>
  <si>
    <t>Волосухин В.А., Тищенко А.И.</t>
  </si>
  <si>
    <t>978-5-369-01229-1</t>
  </si>
  <si>
    <t>08.03.01, 08.04.01, 20.03.01, 20.03.02, 20.04.01, 20.04.02</t>
  </si>
  <si>
    <t>Рекомендовано УМО по образованию в области природообустройства и водопользования в качестве учебника для студентов высших учебных заведений, обучающихся по направлению подготовки 280100 «Природообустройство и водопользование»</t>
  </si>
  <si>
    <t>732540.02.01</t>
  </si>
  <si>
    <t>Планирование производственно-хоз. деят. строит. орг.: Уч. / В.М.Серов - М.:НИЦ ИНФРА-М,2025. - 338 с.(ВО)(П)</t>
  </si>
  <si>
    <t>ПЛАНИРОВАНИЕ ПРОИЗВОДСТВЕННО-ХОЗЯЙСТВЕННОЙ ДЕЯТЕЛЬНОСТИ СТРОИТЕЛЬНЫХ ОРГАНИЗАЦИЙ, ИЗД.1</t>
  </si>
  <si>
    <t>978-5-16-020618-9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</si>
  <si>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6 от 16.06.2021)</t>
  </si>
  <si>
    <t>813481.01.01</t>
  </si>
  <si>
    <t>Планирование, организация и упр. деят. персонала...: Уч.пос. / В.Н.Шитов - М.:НИЦ ИНФРА-М,2025. - 484 с.(СПО)(п)</t>
  </si>
  <si>
    <t>ПЛАНИРОВАНИЕ, ОРГАНИЗАЦИЯ И УПРАВЛЕНИЕ ДЕЯТЕЛЬНОСТЬЮ ПЕРСОНАЛА СТРУКТУРНОГО ПОДРАЗДЕЛЕНИЯ, ИЗД.1</t>
  </si>
  <si>
    <t>978-5-16-019166-9</t>
  </si>
  <si>
    <t>12.02.03, 18.02.04, 18.02.14, 18.02.15, 21.02.09, 21.02.12, 21.02.16</t>
  </si>
  <si>
    <t>124650.15.01</t>
  </si>
  <si>
    <t>Планировка и застройка населенных мест: Уч.пос. / В.В.Федоров - М.:НИЦ ИНФРА-М,2025 - 133 с.(ВО)(П)</t>
  </si>
  <si>
    <t>ПЛАНИРОВКА И ЗАСТРОЙКА НАСЕЛЕННЫХ МЕСТ, ИЗД.1</t>
  </si>
  <si>
    <t>Федоров В. В.</t>
  </si>
  <si>
    <t>978-5-16-016235-5</t>
  </si>
  <si>
    <t>Рекомендовано Учебно-методическим объединением вузов РФ по образованию в области строительства в качестве учебного пособия для студентов, обучающихся по направлению подготовки 08.03.01 «Строительство»</t>
  </si>
  <si>
    <t>800534.02.01</t>
  </si>
  <si>
    <t>Платежные сист. и орг. безналичных расчетов: Уч.пос. / Н.Н.Куницына - М.:НИЦ ИНФРА-М,2026. - 329 с.(ВО)(п)</t>
  </si>
  <si>
    <t>ПЛАТЕЖНЫЕ СИСТЕМЫ И ОРГАНИЗАЦИЯ БЕЗНАЛИЧНЫХ РАСЧЕТОВ, ИЗД.1</t>
  </si>
  <si>
    <t>Куницына Н.Н., Дюдикова Е.И.</t>
  </si>
  <si>
    <t>978-5-16-018736-5</t>
  </si>
  <si>
    <t>400650.04.01</t>
  </si>
  <si>
    <t>Платон: Монография / В.С.Нерсесянц - 2 изд. - М.: Юр.Норма, НИЦ ИНФРА-М,2018 - 112 с.(О)</t>
  </si>
  <si>
    <t>ПЛАТОН, ИЗД.1</t>
  </si>
  <si>
    <t>978-5-91768-306-5</t>
  </si>
  <si>
    <t>400650.09.01</t>
  </si>
  <si>
    <t>Платон: монография / В.С.Нерсесянц, - 2 изд. - М.:Юр. НОРМА, НИЦ ИНФРА-М,2025. - 112 с.(о)</t>
  </si>
  <si>
    <t>ПЛАТОН, ИЗД.2</t>
  </si>
  <si>
    <t>670461.05.01</t>
  </si>
  <si>
    <t>Плоские и простр. цельнодер. и деревомет. фермы..: Моногр. / П.А.Дмитриев - М:НИЦ ИНФРА-М, СФУ,2025 - 173 с.(п)</t>
  </si>
  <si>
    <t>ПЛОСКИЕ И ПРОСТРАНСТВЕННЫЕ ЦЕЛЬНОДЕРЕВЯННЫЕ И ДЕРЕВОМЕТАЛЛИЧЕСКИЕ ФЕРМЫ ДЛЯ ПОКРЫТИЯ ЗДАНИЙ. ОШИБКИ ПРОЕКТИРОВАНИЯ И ИЗГОТОВЛЕНИЯ, ИЗД.1</t>
  </si>
  <si>
    <t>Дмитриев П.А.</t>
  </si>
  <si>
    <t>978-5-16-017483-9</t>
  </si>
  <si>
    <t>08.04.01, 08.06.01</t>
  </si>
  <si>
    <t>871360.01.01</t>
  </si>
  <si>
    <t>Плоские фермы. Прогибы и усилия: Справ. / М.Н.Кирсанов - М.:НИЦ ИНФРА-М,2026. - 204 с.(Справ. ИНФРА-М)(п)</t>
  </si>
  <si>
    <t>ПЛОСКИЕ ФЕРМЫ. ПРОГИБЫ И УСИЛИЯ, ИЗД.1</t>
  </si>
  <si>
    <t>Кирсанов М.Н.</t>
  </si>
  <si>
    <t>978-5-16-021795-6</t>
  </si>
  <si>
    <t>843272.01.01</t>
  </si>
  <si>
    <t>Плоские фермы. Прогибы и частоты колебаний: Справ. / М.Н.Кирсанов - М.:НИЦ ИНФРА-М,2025. - 196 с.(п)</t>
  </si>
  <si>
    <t>ПЛОСКИЕ ФЕРМЫ. ПРОГИБЫ И ЧАСТОТЫ КОЛЕБАНИЙ, ИЗД.1</t>
  </si>
  <si>
    <t>978-5-16-020432-1</t>
  </si>
  <si>
    <t>08.03.01, 08.04.01, 08.05.02</t>
  </si>
  <si>
    <t>792103.02.01</t>
  </si>
  <si>
    <t>Плоские фермы. Схемы и расчетные формулы: справ.: Т.2 / М.Н.Кирсанов - М.:НИЦ ИНФРА-М,2026. - 285 с.(п)</t>
  </si>
  <si>
    <t>ПЛОСКИЕ ФЕРМЫ. СХЕМЫ И РАСЧЕТНЫЕ ФОРМУЛЫ: СПРАВОЧНИК. ТОМ 2, Т.2</t>
  </si>
  <si>
    <t>978-5-16-018185-1</t>
  </si>
  <si>
    <t>08.02.01, 08.03.01, 08.04.01, 08.05.01, 08.05.02, 08.05.03, 08.06.01</t>
  </si>
  <si>
    <t>799025.02.01</t>
  </si>
  <si>
    <t>Плоские фермы. Схемы и расчетные формулы: Справ.: Т.3 / М.Н.Кирсанов - М.:НИЦ ИНФРА-М,2026. - 178 с.(п)</t>
  </si>
  <si>
    <t>ПЛОСКИЕ ФЕРМЫ. СХЕМЫ И РАСЧЕТНЫЕ ФОРМУЛЫ: СПРАВОЧНИК. ТОМ 3, Т.3</t>
  </si>
  <si>
    <t>978-5-16-018250-6</t>
  </si>
  <si>
    <t>08.02.01, 08.03.01, 08.04.01, 08.05.02</t>
  </si>
  <si>
    <t>699890.05.01</t>
  </si>
  <si>
    <t>Плоские фермы. Схемы и расчетные формулы: Т.1 / М.Н.Кирсанов - М.:НИЦ ИНФРА-М, 2026 - 238 с.(П) [12+]</t>
  </si>
  <si>
    <t>ПЛОСКИЕ ФЕРМЫ. СХЕМЫ И РАСЧЕТНЫЕ ФОРМУЛЫ: СПРАВОЧНИК. ТОМ 1, Т.1</t>
  </si>
  <si>
    <t>978-5-16-014829-8</t>
  </si>
  <si>
    <t>07.02.01, 08.02.01, 08.02.02, 08.02.03, 08.02.04, 08.02.08, 08.02.09, 08.02.12, 08.02.13, 08.02.14, 08.03.01, 08.04.01, 08.05.01, 08.05.02, 08.05.03, 08.06.01, 11.02.06, 12.02.01, 12.02.03, 12.02.04, 12.02.05, 12.02.07, 12.02.08, 12.02.09, 13.02.01, 13.02.02, 13.02.04, 13.02.05, 13.02.07, 13.02.08, 13.02.09, 13.02.12, 13.02.13, 14.02.01, 14.02.02, 15.02.01, 15.02.03, 15.02.04, 15.02.06, 15.02.07, 15.02.09, 15.02.10, 15.02.16, 15.02.17, 15.02.18, 15.02.19, 18.02.10, 18.02.13, 19.02.11, 19.02.12, 20.02.02, 20.02.04, 20.02.06, 21.01.08, 21.01.17, 21.02.01, 21.02.02, 21.02.03, 21.02.09, 21.02.12, 21.02.14, 21.02.15, 21.02.16, 21.02.17, 21.02.18, 22.02.08, 23.01.02, 23.02.01, 23.02.02, 23.02.03, 23.02.04, 23.02.05, 23.02.06, 23.02.07, 23.02.08, 24.02.01, 24.02.02, 24.02.04, 25.02.01, 25.02.02, 25.02.03, 25.02.04, 25.02.05, 25.02.06, 25.02.07, 25.02.08, 26.02.04, 27.02.02, 27.02.04, 27.02.07, 29.02.05, 29.02.08, 29.02.11, 35.02.02, 35.02.07, 35.02.08, 35.02.11, 35.02.16, 35.02.18, 44.02.06</t>
  </si>
  <si>
    <t>664182.03.01</t>
  </si>
  <si>
    <t>Плоский металлодиэлектр.волновод и устр..:Моногр./ И.Л.Афонин-М.:Вуз.уч., НИЦ ИНФРА-М,2019-128с</t>
  </si>
  <si>
    <t>ПЛОСКИЙ МЕТАЛЛОДИЭЛЕКТРИЧЕСКИЙ ВОЛНОВОД И УСТРОЙСТВА НА ЕГО ОСНОВЕ, ИЗД.1</t>
  </si>
  <si>
    <t>Афонин И.Л., Бугаёв П.А., Боков Г.В.</t>
  </si>
  <si>
    <t>978-5-9558-0586-3</t>
  </si>
  <si>
    <t>788255.03.01</t>
  </si>
  <si>
    <t>По следам живого слова: Моногр. / А.И.Лазарев - М.:НИЦ ИНФРА-М,2026. - 330 с.(Науч.мысль)(п)</t>
  </si>
  <si>
    <t>ПО СЛЕДАМ ЖИВОГО СЛОВА, ИЗД.1</t>
  </si>
  <si>
    <t>Лазарев А.И.</t>
  </si>
  <si>
    <t>978-5-16-018364-0</t>
  </si>
  <si>
    <t>44.04.01, 44.04.04, 44.06.01, 45.04.01, 45.06.01</t>
  </si>
  <si>
    <t>682879.06.01</t>
  </si>
  <si>
    <t>По страницам романа «Дворянское гнездо»: особ. идиостиля И.С.Тургенева / Т.П.Ковина-М.:НИЦ ИНФРА-М,2024-184с(о)</t>
  </si>
  <si>
    <t>ПО СТРАНИЦАМ РОМАНА «ДВОРЯНСКОЕ ГНЕЗДО»: ОСОБЕННОСТИ ИДИОСТИЛЯ И.С. ТУРГЕНЕВА, ИЗД.1</t>
  </si>
  <si>
    <t>Ковина Т.П.</t>
  </si>
  <si>
    <t>978-5-16-014041-4</t>
  </si>
  <si>
    <t>45.03.01, 45.03.02, 45.04.01, 45.04.02, 45.04.03</t>
  </si>
  <si>
    <t>458350.07.01</t>
  </si>
  <si>
    <t>Поведение потребителей: Уч. / В.Н.Наумов - 2 изд. - М.:НИЦ ИНФРА-М,2023 - 345 с.(ВО: Бакалавриат)(П)</t>
  </si>
  <si>
    <t>ПОВЕДЕНИЕ ПОТРЕБИТЕЛЕЙ, ИЗД.2</t>
  </si>
  <si>
    <t>978-5-16-015021-5</t>
  </si>
  <si>
    <t>38.03.01, 38.03.02, 38.03.06, 38.04.01, 38.04.02, 38.04.06, 41.03.06, 43.03.01, 43.04.01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</si>
  <si>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38.03.06 «Торговое дело», 43.03.01 «Сервис» (квалификация (степень) «бакалавр») (протокол № 19 от 09.12.2019)</t>
  </si>
  <si>
    <t>312600.07.01</t>
  </si>
  <si>
    <t>Поведение потребителей: Уч. / О.Н.Романенкова - М.:Вуз. уч., НИЦ ИНФРА-М,2026. - 320 с.(П)</t>
  </si>
  <si>
    <t>ПОВЕДЕНИЕ ПОТРЕБИТЕЛЕЙ, ИЗД.1</t>
  </si>
  <si>
    <t>Романенкова О.Н.</t>
  </si>
  <si>
    <t>978-5-9558-0404-0</t>
  </si>
  <si>
    <t>38.03.02, 38.03.06, 38.04.02, 38.04.06, 42.03.01, 42.04.01, 44.03.01, 44.03.05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</si>
  <si>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заведении обучающихся по направлению подготовки 38.03.02 "Менеджмент"</t>
  </si>
  <si>
    <t>458350.05.01</t>
  </si>
  <si>
    <t>Поведение потребителей: уч.пос. / В.Н.Наумов-М.:НИЦ ИНФРА-М,2019.-248 с..-(ВО: Бакалавриат)(о+Z)</t>
  </si>
  <si>
    <t>978-5-16-009416-8</t>
  </si>
  <si>
    <t>Рекомендовано Учебно-методическим объединением вузов России по образованию в области экономики в качестве учебника для студентов высших учебных заведений, обучающихся по направлению 38.03.01 (080100.62) "Экономика», профиль «Экономика предприятий и о</t>
  </si>
  <si>
    <t>140400.08.01</t>
  </si>
  <si>
    <t>Поведение потребителей: Уч.пос. / Л.С.Драганчук - М.:НИЦ ИНФРА-М, 2017 -192с.(ВО:Бакалавр.)(О)</t>
  </si>
  <si>
    <t>Драганчук Л.С.</t>
  </si>
  <si>
    <t>978-5-16-009837-1</t>
  </si>
  <si>
    <t>140400.11.01</t>
  </si>
  <si>
    <t>Поведение потребителей: Уч.пос. / Л.С.Драганчук - М.:НИЦ ИНФРА-М,2026. - 192 с.(ВО)(п)</t>
  </si>
  <si>
    <t>978-5-16-018917-8</t>
  </si>
  <si>
    <t>821716.01.01</t>
  </si>
  <si>
    <t>Поведенческая экономика и финансы: Уч.пос. / И.И.Рахмеева. - М.:НИЦ ИНФРА-М,2025. - 244 с.(ВО)(п)</t>
  </si>
  <si>
    <t>ПОВЕДЕНЧЕСКАЯ ЭКОНОМИКА И ФИНАНСЫ, ИЗД.1</t>
  </si>
  <si>
    <t>Рахмеева И.И., Комарова О.В., Ляскин Г.Г. и др.</t>
  </si>
  <si>
    <t>978-5-16-019826-2</t>
  </si>
  <si>
    <t>27.04.07, 37.05.02, 38.04.01, 38.04.03</t>
  </si>
  <si>
    <t>646258.07.01</t>
  </si>
  <si>
    <t>Поведенческая экономика или почему в России хотим как..:Моногр./Н.И.Захаров-М.:НИЦ ИНФРА-М,2023.213с</t>
  </si>
  <si>
    <t>ПОВЕДЕНЧЕСКАЯ ЭКОНОМИКА ИЛИ ПОЧЕМУ В РОССИИ ХОТИМ КАК ЛУЧШЕ, А ПОЛУЧАЕТСЯ КАК ВСЕГДА, ИЗД.1</t>
  </si>
  <si>
    <t>Захаров Н.И.</t>
  </si>
  <si>
    <t>978-5-16-012579-4</t>
  </si>
  <si>
    <t>646258.08.01</t>
  </si>
  <si>
    <t>Поведенческая экономика, или почему в России хотим как..: Моногр. / Н.И.Захаров - М.:НИЦ ИНФРА-М,2025 - 213 с.(о)</t>
  </si>
  <si>
    <t>ПОВЕДЕНЧЕСКАЯ ЭКОНОМИКА, ИЛИ ПОЧЕМУ В РОССИИ ХОТИМ КАК ЛУЧШЕ, А ПОЛУЧАЕТСЯ КАК ВСЕГДА, ИЗД.1</t>
  </si>
  <si>
    <t>978-5-16-020763-6</t>
  </si>
  <si>
    <t>392700.04.01</t>
  </si>
  <si>
    <t>Поверхностно-ионизационная дрейф-спектрометрия: Моногр./ В.И.Капустин-М.:НИЦ ИНФРА-М,2023.-286 с.(О)</t>
  </si>
  <si>
    <t>ПОВЕРХНОСТНО-ИОНИЗАЦИОННАЯ ДРЕЙФ-СПЕКТРОМЕТРИЯ, ИЗД.1</t>
  </si>
  <si>
    <t>В.И.Капустин, А.П.Коржавый</t>
  </si>
  <si>
    <t>978-5-16-011215-2</t>
  </si>
  <si>
    <t>03.04.02, 05.03.06, 05.04.06, 11.03.04, 11.04.04, 11.05.01, 12.03.01, 12.04.01, 12.05.01, 16.03.01, 16.04.01, 20.03.01, 20.03.02, 20.04.01</t>
  </si>
  <si>
    <t>791862.04.01</t>
  </si>
  <si>
    <t>Повреждения опорно-двигат. аппарата от перегрузк...: Моногр. / О.С.Васильев. - М.:НИЦ ИНФРА-М,2027. - 299 с.[цв].(п)</t>
  </si>
  <si>
    <t>ПОВРЕЖДЕНИЯ ОПОРНО-ДВИГАТЕЛЬНОГО АППАРАТА ОТ ПЕРЕГРУЗКИ В БАЛЕТНОЙ И СПОРТИВНОЙ МЕДИЦИНЕ, ИЗД.1</t>
  </si>
  <si>
    <t>Васильев О.С., Ачкасов Е.Е., Левушкин С.П.</t>
  </si>
  <si>
    <t>978-5-16-018247-6</t>
  </si>
  <si>
    <t>31.05.01, 31.06.01, 31.07.01, 31.08.66, 49.04.01, 49.04.03, 49.06.01, 49.07.01</t>
  </si>
  <si>
    <t>378800.13.01</t>
  </si>
  <si>
    <t>Повседневная жизнь советск.чел. в эпоху НЭПа: Моногр. /А.Б.Оришев - М.:ИЦ РИОР,НИЦ ИНФРА-М,2026 - 150 с.(о)</t>
  </si>
  <si>
    <t>ПОВСЕДНЕВНАЯ ЖИЗНЬ СОВЕТСКОГО ЧЕЛОВЕКА В ЭПОХУ НЭПА: ИСТОРИОГРАФИЧЕСКИЙ АНАЛИЗ, ИЗД.1</t>
  </si>
  <si>
    <t>978-5-369-01460-8</t>
  </si>
  <si>
    <t>37.03.01, 39.03.01, 39.04.01, 41.03.04, 44.03.01, 44.03.05, 46.03.01, 46.04.01, 47.03.01</t>
  </si>
  <si>
    <t>684750.03.01</t>
  </si>
  <si>
    <t>Повышение доступ.и платеж. услуг за счет разв..: Моногр. / Криворучко С.В.-М.:НИЦ ИНФРА-М,2023-157с.</t>
  </si>
  <si>
    <t>ПОВЫШЕНИЕ ДОСТУПНОСТИ ПЛАТЕЖНЫХ УСЛУГ ЗА СЧЕТ РАЗВИТИЯ СИСТЕМ ИДЕНТИФИКАЦИИ ПОЛЬЗОВАТЕЛЕЙ, ИЗД.1</t>
  </si>
  <si>
    <t>Криворучко С.В., Пономаренко В.Е., Лопатин В.А. и др.</t>
  </si>
  <si>
    <t>978-5-16-014260-9</t>
  </si>
  <si>
    <t>669352.02.01</t>
  </si>
  <si>
    <t>Повышение качества  деталей при шлиф. в усл. плавучих мастер.: Моногр. / С.М.Братан - М.:Вуз.уч., НИЦ ИНФРА-М,2026 - 154 с.(о)</t>
  </si>
  <si>
    <t>ПОВЫШЕНИЕ КАЧЕСТВА  ДЕТАЛЕЙ ПРИ ШЛИФОВАНИИ В УСЛОВИЯХ ПЛАВУЧИХ МАСТЕРСКИХ, ИЗД.1</t>
  </si>
  <si>
    <t>Братан С.М., Харченко А.О., Владецкая Е.А. и др.</t>
  </si>
  <si>
    <t>978-5-9558-0598-6</t>
  </si>
  <si>
    <t>15.03.01, 15.03.05, 15.04.04, 15.04.05</t>
  </si>
  <si>
    <t>682006.05.01</t>
  </si>
  <si>
    <t>Повышение энергоэффект. промыш. предп.: Моногр./ Л.А.Федоськина-М.:НИЦ ИНФРА-М,2022-192с(О)</t>
  </si>
  <si>
    <t>ПОВЫШЕНИЕ ЭНЕРГОЭФФЕКТИВНОСТИ ПРОМЫШЛЕННЫХ ПРЕДПРИЯТИЙ НА ОСНОВЕ ФОРМИРОВАНИЯ СИСТЕМЫ ЭНЕРГОМЕНЕДЖМЕНТА, ИЗД.1</t>
  </si>
  <si>
    <t>Федоськина Л.А., Абрамов Е.И.</t>
  </si>
  <si>
    <t>978-5-16-013802-2</t>
  </si>
  <si>
    <t>740899.03.01</t>
  </si>
  <si>
    <t>Повышение эффектив. инструментов из быстрореж. сталей и... / А.М.Адаскин - 2 изд. - М.:НИЦ ИНФРА-М,2026 - 426 .с(п)</t>
  </si>
  <si>
    <t>ПОВЫШЕНИЕ ЭФФЕКТИВНОСТИ ИНСТРУМЕНТОВ ИЗ БЫСТРОРЕЖУЩИХ СТАЛЕЙ И ТВЕРДЫХ СПЛАВОВ, ИЗД.2</t>
  </si>
  <si>
    <t>978-5-16-020945-6</t>
  </si>
  <si>
    <t>15.04.01, 15.04.05, 15.06.01</t>
  </si>
  <si>
    <t>740899.02.01</t>
  </si>
  <si>
    <t>Повышение эффектив. инструментов из быстрорежущих сталей...: Моногр. / А.М.Адаскин - М.:НИЦ ИНФРА-М,2025-392с(П)</t>
  </si>
  <si>
    <t>ПОВЫШЕНИЕ ЭФФЕКТИВНОСТИ ИНСТРУМЕНТОВ ИЗ БЫСТРОРЕЖУЩИХ СТАЛЕЙ И ТВЕРДЫХ СПЛАВОВ, ИЗД.1</t>
  </si>
  <si>
    <t>978-5-16-016868-5</t>
  </si>
  <si>
    <t>682749.02.01</t>
  </si>
  <si>
    <t>Погребенные временем: Фантаст. роман / А.М.Орехов - М.:НИЦ ИНФРА-М,2022 - 260 с.(О) [16+]</t>
  </si>
  <si>
    <t>ПОГРЕБЕННЫЕ ВРЕМЕНЕМ, ИЗД.1</t>
  </si>
  <si>
    <t>978-5-16-013852-7</t>
  </si>
  <si>
    <t>Фантастика</t>
  </si>
  <si>
    <t>824720.03.01</t>
  </si>
  <si>
    <t>Подготовка внештат. снайпер. групп в образоват...: Уч.пос. / В.А.Мельничук - М.:НИЦ ИНФРА-М,2026 - 197 с.(п)</t>
  </si>
  <si>
    <t>ПОДГОТОВКА ВНЕШТАТНЫХ СНАЙПЕРСКИХ ГРУПП В ОБРАЗОВАТЕЛЬНЫХ ОРГАНИЗАЦИЯХ МВД РОССИИ, ИЗД.1</t>
  </si>
  <si>
    <t>978-5-16-019821-7</t>
  </si>
  <si>
    <t>00.03.41, 56.04.03, 56.05.01</t>
  </si>
  <si>
    <t>655198.07.01</t>
  </si>
  <si>
    <t>Подготовка и редактир.док.в MS WORD: Уч.пос. / Е.А.Баринова - М.:КУРС, НИЦ ИНФРА-М,2026 - 184 с.(П)</t>
  </si>
  <si>
    <t>ПОДГОТОВКА И РЕДАКТИРОВАНИЕ ДОКУМЕНТОВ В MS WORD, ИЗД.1</t>
  </si>
  <si>
    <t>Баринова Е.А., Березина А.С., Пылькин А.Н. и др.</t>
  </si>
  <si>
    <t>978-5-906923-23-3</t>
  </si>
  <si>
    <t>00.03.03, 00.05.03, 46.03.02</t>
  </si>
  <si>
    <t>847521.02.01</t>
  </si>
  <si>
    <t>Подготовка командиров и номеров расчетов подразд...: Уч.пос. / В.А.Мельничук - М.:НИЦ ИНФРА-М,2025. - 220 с.(п)</t>
  </si>
  <si>
    <t>ПОДГОТОВКА КОМАНДИРОВ И НОМЕРОВ РАСЧЕТОВ ПОДРАЗДЕЛЕНИЙ ЗЕНИТНОЙ АРТИЛЛЕРИИ, ИЗД.1</t>
  </si>
  <si>
    <t>978-5-16-020630-1</t>
  </si>
  <si>
    <t>56.04.03, 56.05.01</t>
  </si>
  <si>
    <t>862029.01.01</t>
  </si>
  <si>
    <t>Подготовка нефти и газа к транспорту: Уч.пос. / О.Н.Петров - М.:НИЦ ИНФРА-М, СФУ,2026. - 217 с.(ВО)(п)</t>
  </si>
  <si>
    <t>ПОДГОТОВКА НЕФТИ И ГАЗА К ТРАНСПОРТУ, ИЗД.1</t>
  </si>
  <si>
    <t>Петров О.Н., Верещагин В.И., Сокольников А.Н. и др.</t>
  </si>
  <si>
    <t>978-5-16-021398-9</t>
  </si>
  <si>
    <t>21.03.01, 21.04.01, 21.05.06, 23.03.03</t>
  </si>
  <si>
    <t>704943.12.01</t>
  </si>
  <si>
    <t>Подготовка по связи: Уч.пос. / И.Ю.Лепешинский - М.:НИЦ ИНФРА-М,2026 - 124 с.(ВО) (ОмГТУ))(О)</t>
  </si>
  <si>
    <t>ПОДГОТОВКА ПО СВЯЗИ, ИЗД.1</t>
  </si>
  <si>
    <t>Лепешинский И.Ю., Глебов В.В., Чикирев О.И. и др.</t>
  </si>
  <si>
    <t>978-5-16-015058-1</t>
  </si>
  <si>
    <t>56.04.02, 56.04.04</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</si>
  <si>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студентов высших учебных заведений, обучающихся по направлению подготовки «Транспортные машины и транспортно-технологические комплексы»</t>
  </si>
  <si>
    <t>098950.12.01</t>
  </si>
  <si>
    <t>Подготовка рукописи к изданию: Сл.-справ. / Е.Б.Егорова - 2 изд. - М.:Вуз.уч., НИЦ ИНФРА-М,2026-160 с.(О)</t>
  </si>
  <si>
    <t>ПОДГОТОВКА РУКОПИСИ К ИЗДАНИЮ, ИЗД.2</t>
  </si>
  <si>
    <t>Егорова Е.Б.</t>
  </si>
  <si>
    <t>978-5-9558-0474-3</t>
  </si>
  <si>
    <t>42.03.03, 42.04.03</t>
  </si>
  <si>
    <t>826109.04.01</t>
  </si>
  <si>
    <t>Подготовка сотруд. орг. внутр. дел к действиям...: Уч.пос. / В.А.Мельничук - М.:НИЦ ИНФРА-М,2026 - 235 с.(п)</t>
  </si>
  <si>
    <t>ПОДГОТОВКА СОТРУДНИКОВ ОРГАНОВ ВНУТРЕННИХ ДЕЛ К ДЕЙСТВИЯМ В ОСОБЫХ УСЛОВИЯХ, ИЗД.1</t>
  </si>
  <si>
    <t>978-5-16-019926-9</t>
  </si>
  <si>
    <t>40.03.01, 40.04.01, 40.05.01, 40.05.02, 56.05.01</t>
  </si>
  <si>
    <t>733506.04.01</t>
  </si>
  <si>
    <t>Подготовка сотрудников ОВД к обеспеч. лич. безоп.: Уч.пос. / А.А.Тарасенко - М.:НИЦ ИНФРА-М,2024 -185 с.(П)</t>
  </si>
  <si>
    <t>ПОДГОТОВКА СОТРУДНИКОВ ОВД К ОБЕСПЕЧЕНИЮ ЛИЧНОЙ БЕЗОПАСНОСТИ, ИЗД.1</t>
  </si>
  <si>
    <t>Тарасенко А.А., Войнов П.Н., Михайликов В.Л.</t>
  </si>
  <si>
    <t>978-5-16-016189-1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</si>
  <si>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40.05.02 «Правоохранительная деятельность» (квалификация «юрист») (протокол № 7 от 22.09.2021)</t>
  </si>
  <si>
    <t>Белгородский юридический институт Министерства внутренних дел Российской Федерации им. И.Д. Путилина</t>
  </si>
  <si>
    <t>772129.02.01</t>
  </si>
  <si>
    <t>Подготовка сотрудников ОВД к обеспеч. лич. безопас.: Уч.пос. / А.А.Тарасенко. - М.:НИЦ ИНФРА-М,2025. - 185 с.(П)</t>
  </si>
  <si>
    <t>978-5-16-017444-0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</si>
  <si>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40.02.02 Правоохранительная деятельность» (протокол № 7 от 22.09.2021)</t>
  </si>
  <si>
    <t>470300.07.01</t>
  </si>
  <si>
    <t>Подготовка студентов к обучению в аспирантуре вуза...: Моногр. / С.Д.Резник - М.:НИЦ ИНФРА-М,2024.-157 с (О)</t>
  </si>
  <si>
    <t>ПОДГОТОВКА СТУДЕНТОВ К ОБУЧЕНИЮ В АСПИРАНТУРЕ ВУЗА: СИСТЕМА И МЕХАНИЗМЫ УПРАВЛЕНИЯ, ИЗД.1</t>
  </si>
  <si>
    <t>Резник С.Д., Устинова Д.В.</t>
  </si>
  <si>
    <t>978-5-16-011570-2</t>
  </si>
  <si>
    <t>38.04.01, 38.04.02, 38.04.03, 38.04.04, 38.04.08, 38.04.09, 38.05.01, 38.05.02</t>
  </si>
  <si>
    <t>261500.06.01</t>
  </si>
  <si>
    <t>Поддержка принятия решений при проект. систем..: Моногр. / В.В.Бухтояров-М.:НИЦ ИНФРА-М,2020-131с(О)</t>
  </si>
  <si>
    <t>ПОДДЕРЖКА ПРИНЯТИЯ РЕШЕНИЙ ПРИ ПРОЕКТИРОВАНИИ СИСТЕМ ЗАЩИТЫ ИНФОРМАЦИИ, ИЗД.1</t>
  </si>
  <si>
    <t>Ковалев И.В., Золотарев В.В., Жукова М.Н. и др.</t>
  </si>
  <si>
    <t>978-5-16-009519-6</t>
  </si>
  <si>
    <t>01.04.04, 09.03.01, 10.03.01, 10.04.01, 10.05.01, 10.05.02, 10.05.03, 10.05.04, 10.05.05, 10.05.07, 27.03.02, 27.04.03, 46.03.02</t>
  </si>
  <si>
    <t>818406.01.01</t>
  </si>
  <si>
    <t>Подземная геотехнология: Уч.пос. / А.Н.Анушенков- 2 изд.-М.:НИЦ ИНФРА-М, СФУ,2024.-302 с.(ВО (СФУ))(п)</t>
  </si>
  <si>
    <t>ПОДЗЕМНАЯ ГЕОТЕХНОЛОГИЯ, ИЗД.2</t>
  </si>
  <si>
    <t>Анушенков А.Н., Ахпашев Б.А., Волков Е.П. и др.</t>
  </si>
  <si>
    <t>978-5-16-019512-4</t>
  </si>
  <si>
    <t>438850.10.01</t>
  </si>
  <si>
    <t>Подземная разработка месторождений: Уч. пос. / В.И.Голик - М.: НИЦ ИНФРА-М, 2026 - 117с.(ВО:Бакалавр.)(О)</t>
  </si>
  <si>
    <t>ПОДЗЕМНАЯ РАЗРАБОТКА МЕСТОРОЖДЕНИЙ, ИЗД.1</t>
  </si>
  <si>
    <t>978-5-16-006752-0</t>
  </si>
  <si>
    <t>05.03.01, 05.04.01, 21.02.17, 21.05.04</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</si>
  <si>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высших учебных заведений, обучающихся по специальности «Подземная разработка месторождений полезных и</t>
  </si>
  <si>
    <t>742685.03.01</t>
  </si>
  <si>
    <t>Подсчет геологических запасов и ресурсов нефти...: Уч. / О.И.Серебряков. - М.:НИЦ ИНФРА-М, (ВО:Магистратура), 2025. - 296 с.(П)</t>
  </si>
  <si>
    <t>ПОДСЧЕТ ГЕОЛОГИЧЕСКИХ ЗАПАСОВ И РЕСУРСОВ НЕФТИ, ГАЗА, КОНДЕНСАТА И ТОВАРНОЙ ПРОДУКЦИИ, ИЗД.1</t>
  </si>
  <si>
    <t>Серебряков О.И., Ушивцева Л.Ф., Серебряков А.О.</t>
  </si>
  <si>
    <t>978-5-16-016734-3</t>
  </si>
  <si>
    <t>05.04.01, 05.06.01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</si>
  <si>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05.04.01 «Геология» (квалификация (степень) «магистр») (протокол № 4 от 13.04.2022)</t>
  </si>
  <si>
    <t>860592.01.01</t>
  </si>
  <si>
    <t>Подсчет запасов и оценка ресурс. нефти и..: Уч.пос. / А.К.Битнер - М.:НИЦ ИНФРА-М, СФУ,2026. - 295 с.(ВО)(п)</t>
  </si>
  <si>
    <t>ПОДСЧЕТ ЗАПАСОВ И ОЦЕНКА РЕСУРСОВ НЕФТИ И ГАЗА, ИЗД.1</t>
  </si>
  <si>
    <t>978-5-16-021342-2</t>
  </si>
  <si>
    <t>21.03.01, 21.04.01, 21.05.02</t>
  </si>
  <si>
    <t>770931.01.01</t>
  </si>
  <si>
    <t>Подтопление и затопление селитебных территорий: Моногр. / Б.С.Ксенофонтов - М.:НИЦ ИНФРА-М,2022 - 190 с.(О)</t>
  </si>
  <si>
    <t>ПОДТОПЛЕНИЕ И ЗАТОПЛЕНИЕ СЕЛИТЕБНЫХ ТЕРРИТОРИЙ: ВОЗМОЖНЫЕ  ПУТИ РЕШЕНИЯ, ИЗД.1</t>
  </si>
  <si>
    <t>978-5-16-017431-0</t>
  </si>
  <si>
    <t>07.04.04, 07.09.04, 08.04.01, 08.06.01, 20.04.01, 20.04.02, 20.06.01, 20.07.01</t>
  </si>
  <si>
    <t>820922.02.01</t>
  </si>
  <si>
    <t>Пожарная безопасность электроустановок: Уч.пос. / Д.А.Едимичев - М.:НИЦ ИНФРА-М, СФУ,2026. - 196 с.(ВО)(п)</t>
  </si>
  <si>
    <t>ПОЖАРНАЯ БЕЗОПАСНОСТЬ ЭЛЕКТРОУСТАНОВОК, ИЗД.1</t>
  </si>
  <si>
    <t>Едимичев Д.А., Минкин А.Н., Клочков С.В. и др.</t>
  </si>
  <si>
    <t>978-5-16-019590-2</t>
  </si>
  <si>
    <t>20.03.01, 20.05.01</t>
  </si>
  <si>
    <t>Сибирская пожарно-спасательная академия</t>
  </si>
  <si>
    <t>809414.02.01</t>
  </si>
  <si>
    <t>Позднеантичная эпистолография латинского Запада..: Моногр. / Е.В.Литовченко - М.:НИЦ ИНФРА-М,2027. - 356 с.(п)</t>
  </si>
  <si>
    <t>ПОЗДНЕАНТИЧНАЯ ЭПИСТОЛОГРАФИЯ ЛАТИНСКОГО ЗАПАДА: ЧЕЛОВЕК НА СТЫКЕ ЭПОХ, ИЗД.1</t>
  </si>
  <si>
    <t>Литовченко Е.В.</t>
  </si>
  <si>
    <t>978-5-16-018937-6</t>
  </si>
  <si>
    <t>693950.02.01</t>
  </si>
  <si>
    <t>Покидая пределы этничности... / В.Д.Попков-М.:НИЦ ИНФРА-М,2023.-326 с.(Науч.мысль)(П)</t>
  </si>
  <si>
    <t>ПОКИДАЯ ПРЕДЕЛЫ ЭТНИЧНОСТИ: ПОСТСОВЕТСКАЯ ЭМИГРАЦИЯ В ГЕРМАНИИ, ИЗД.1</t>
  </si>
  <si>
    <t>Попков В.Д.</t>
  </si>
  <si>
    <t>978-5-16-014565-5</t>
  </si>
  <si>
    <t>219400.08.01</t>
  </si>
  <si>
    <t>Покрытия различного назнач. для метал. матер.: Уч.пос. / А.А.Ильин - М.:Альфа-М, НИЦ ИНФРА-М,2026 - 144 с.(П)</t>
  </si>
  <si>
    <t>ПОКРЫТИЯ РАЗЛИЧНОГО НАЗНАЧЕНИЯ ДЛЯ МЕТАЛЛИЧЕСКИХ МАТЕРИАЛОВ, ИЗД.1</t>
  </si>
  <si>
    <t>Ильин А. А., Строганов Г. Б., Скворцова С. В.</t>
  </si>
  <si>
    <t>978-5-98281-355-8</t>
  </si>
  <si>
    <t>15.03.01, 15.04.01, 22.03.01, 22.04.01, 22.04.02</t>
  </si>
  <si>
    <t>775346.03.01</t>
  </si>
  <si>
    <t>Поливалютный стандарт и мировой финанс. рынок: Моногр. / П.В.Алексеев. - М.:НИЦ ИНФРА-М,2026. - 208 с.(О)</t>
  </si>
  <si>
    <t>ПОЛИВАЛЮТНЫЙ СТАНДАРТ И МИРОВОЙ ФИНАНСОВЫЙ РЫНОК, ИЗД.1</t>
  </si>
  <si>
    <t>Алексеев П.В., Антропов В.В., Барабанов В.Ю. и др.</t>
  </si>
  <si>
    <t>978-5-16-017746-5</t>
  </si>
  <si>
    <t>38.04.01, 38.06.01, 41.04.05</t>
  </si>
  <si>
    <t>657636.05.01</t>
  </si>
  <si>
    <t>Поликлиническая терапия: Уч.мет.пос. 5 курс. /  Т.Т.Карманова - М.:Форум,НИЦ ИНФРА-М,2023 - 623с.(П)</t>
  </si>
  <si>
    <t>ПОЛИКЛИНИЧЕСКАЯ ТЕРАПИЯ:УЧЕБНО-МЕТОДИЧЕСКОЙ ПОСОБИЕ ДЛЯ САМОСТОЯТЕЛЬНОЙ РАБОТЫ СТУДЕНТОВ 5 КУРСА ЛЕЧЕБНОГО ФАКУЛЬТЕТА, ИЗД.1</t>
  </si>
  <si>
    <t>Карманова Т.Т., Бабушкин И.Е., Лычев В.Г.</t>
  </si>
  <si>
    <t>978-5-00091-446-5</t>
  </si>
  <si>
    <t>Рекомендовано 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программы высшего образования по специальности 31.05.01 «Лечебное дело» по дисциплине «Поликлиническая терапия»</t>
  </si>
  <si>
    <t>657637.05.01</t>
  </si>
  <si>
    <t>Поликлиническая терапия: Уч.мет.пос. 6 курс /  Т.Т. Карманова - М.:ФОРУМ:ИНФРА-М,2026 - 628 с.(ВО)(П)</t>
  </si>
  <si>
    <t>ПОЛИКЛИНИЧЕСКАЯ ТЕРАПИЯ: УЧЕБНО-МЕТОДИЧЕСКОЕ ПОСОБИЕ ДЛЯ САМОСТОЯТЕЛЬНОЙ РАБОТЫ СТУДЕНТОВ 6 КУРСА ЛЕЧЕБНОГО ФАКУЛЬТЕТА, ИЗД.1</t>
  </si>
  <si>
    <t>978-5-00091-445-8</t>
  </si>
  <si>
    <t>Рекомендовано Координационным советом по области образования «Здравоохранение и медицинские науки» в качестве учебно-методического пособия для высшего образования по специальности 31.05.01 «Лечебное дело» по дисциплине «Поликлиническая терапия»</t>
  </si>
  <si>
    <t>287200.06.01</t>
  </si>
  <si>
    <t>Полимерные конструкционные материалы...: Уч. пос. / Б.Б.Бобович - М:Форум: ИНФРА-М,2025 - 400 с. (п)</t>
  </si>
  <si>
    <t>ПОЛИМЕРНЫЕ КОНСТРУКЦИОННЫЕ МАТЕРИАЛЫ (СТРУКТУРА, СВОЙСТВА, ПРИМЕНЕНИЕ), ИЗД.1</t>
  </si>
  <si>
    <t>Бобович Б. Б.</t>
  </si>
  <si>
    <t>978-5-91134-911-0</t>
  </si>
  <si>
    <t>15.03.05, 18.02.07, 23.03.02, 23.03.03, 23.04.02, 26.02.04</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</si>
  <si>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высших учебных заведений, обучающихся по специальности «Наземные транспортно-технологические средства</t>
  </si>
  <si>
    <t>766880.02.01</t>
  </si>
  <si>
    <t>Полина Абрамовна Лупинская: Вклад в развитие рос. уголов. судопроизводства / П.А.Лупинская-М.:Юр.Норма,2023.-320 с.(П)</t>
  </si>
  <si>
    <t>ПОЛИНА АБРАМОВНА ЛУПИНСКАЯ: ВКЛАД В РАЗВИТИЕ РОССИЙСКОГО УГОЛОВНОГО СУДОПРОИЗВОДСТВА, ИЗД.1</t>
  </si>
  <si>
    <t>978-5-00156-205-4</t>
  </si>
  <si>
    <t>651734.06.01</t>
  </si>
  <si>
    <t>Политика в сфере обр.в СССР и совр. России: Моногр. /М.Б.Понявина-М.:Вуз.уч.,НИЦ ИНФРА-М,2023-126с</t>
  </si>
  <si>
    <t>ПОЛИТИКА В СФЕРЕ ОБРАЗОВАНИЯ В СССР И СОВРЕМЕННОЙ РОССИИ (ПОЛИТОЛОГИЧЕСКИЙ АНАЛИЗ), ИЗД.1</t>
  </si>
  <si>
    <t>Понявина М.Б.</t>
  </si>
  <si>
    <t>Начная книга (ФУ)</t>
  </si>
  <si>
    <t>978-5-9558-0539-9</t>
  </si>
  <si>
    <t>38.03.01, 38.03.04, 40.03.01, 41.04.04, 44.03.01, 44.03.05</t>
  </si>
  <si>
    <t>468950.12.01</t>
  </si>
  <si>
    <t>Политика и Интернет: Моногр. / Г.Л.Акопов - М.:НИЦ ИНФРА-М,2027 - 202 с.(Науч.мысль)(О)</t>
  </si>
  <si>
    <t>ПОЛИТИКА И ИНТЕРНЕТ, ИЗД.1</t>
  </si>
  <si>
    <t>Акопов Г.Л.</t>
  </si>
  <si>
    <t>978-5-16-009930-9</t>
  </si>
  <si>
    <t>00.03.14, 40.03.01, 40.04.01, 41.04.04, 41.06.01</t>
  </si>
  <si>
    <t>661919.01.01</t>
  </si>
  <si>
    <t>Политика инновац.развития: опыт Рос.и ее регион./ Е.Г.Кирсанова-М.:Вуз.уч., НИЦ ИНФРА-М,2017-203с(П)</t>
  </si>
  <si>
    <t>ПОЛИТИКА ИННОВАЦИОННОГО РАЗВИТИЯ: ОПЫТ РОССИИ И ЕЕ РЕГИОНОВ, ИЗД.1</t>
  </si>
  <si>
    <t>Кирсанова Е.Г.</t>
  </si>
  <si>
    <t>978-5-9558-0596-2</t>
  </si>
  <si>
    <t>02.03.03, 38.03.01, 38.03.03, 38.03.04, 40.03.01, 41.03.05, 41.03.06, 42.03.02, 44.03.01, 44.03.05, 46.04.02, 47.03.01, 50.04.04, 51.04.04</t>
  </si>
  <si>
    <t>818951.03.01</t>
  </si>
  <si>
    <t>Политико-правовое управ. и угрозы сувер. гос.: Моногр. / В.П.Сальников - 2 изд. - М.:НИЦ ИНФРА-М,2026 - 423 с.(п)</t>
  </si>
  <si>
    <t>ПОЛИТИКО-ПРАВОВОЕ УПРАВЛЕНИЕ И УГРОЗЫ СУВЕРЕНИТЕТУ ГОСУДАРСТВА, ИЗД.2</t>
  </si>
  <si>
    <t>Сальников В.П., Гутман М.Ю., Захарцев С.И. и др.</t>
  </si>
  <si>
    <t>978-5-16-019552-0</t>
  </si>
  <si>
    <t>40.05.02, 40.05.03, 40.05.04, 40.06.01, 41.03.02, 44.05.01</t>
  </si>
  <si>
    <t>788038.01.01</t>
  </si>
  <si>
    <t>Политико-правовые взгляды Иоганна Альтузия: Моногр. / А.П.Айзенберг-М.:Юр. НОРМА,2023.-120 с.(О)</t>
  </si>
  <si>
    <t>ПОЛИТИКО-ПРАВОВЫЕ ВЗГЛЯДЫ ИОГАННА АЛЬТУЗИЯ, ИЗД.1</t>
  </si>
  <si>
    <t>Айзенберг А.П.</t>
  </si>
  <si>
    <t>978-5-00156-264-1</t>
  </si>
  <si>
    <t>40.03.01, 40.04.01, 40.05.01, 40.05.02, 40.05.03, 40.05.04, 40.06.01, 46.03.01</t>
  </si>
  <si>
    <t>695037.02.01</t>
  </si>
  <si>
    <t>Политическая герменевтика: Моногр. / П.Л.Карабущенко-М.:НИЦ ИНФРА-М,2023.-360 с.(Науч.мысль)(П)</t>
  </si>
  <si>
    <t>ПОЛИТИЧЕСКАЯ ГЕРМЕНЕВТИКА, ИЗД.1</t>
  </si>
  <si>
    <t>978-5-16-014638-6</t>
  </si>
  <si>
    <t>821279.01.01</t>
  </si>
  <si>
    <t>Политическая история России и зарубежных стран: Уч. / Н.С.Козьякова - М.:НИЦ ИНФРА-М,2026. - 278 с.(ВО)(п)</t>
  </si>
  <si>
    <t>ПОЛИТИЧЕСКАЯ ИСТОРИЯ РОССИИ И ЗАРУБЕЖНЫХ СТРАН, ИЗД.1</t>
  </si>
  <si>
    <t>Козьякова Н.С., Алексеев Р.А.</t>
  </si>
  <si>
    <t>978-5-16-020948-7</t>
  </si>
  <si>
    <t>016000.12.01</t>
  </si>
  <si>
    <t>Политическая история России: Уч. /Ш.М. Мунчаев - 3 изд. - М.: Юр.Норма, НИЦ ИНФРА-М, 2026 -384 с.(П)</t>
  </si>
  <si>
    <t>ПОЛИТИЧЕСКАЯ ИСТОРИЯ РОССИИ. ОТ ОБРАЗОВАНИЯ РУССКОГО ЦЕНТРАЛИЗОВАННОГО ГОСУДАРСТВА ДО НАЧАЛА XXI ВЕКА, ИЗД.3</t>
  </si>
  <si>
    <t>978-5-91768-686-8</t>
  </si>
  <si>
    <t>00.03.04, 00.05.04, 40.03.01, 41.03.04, 41.03.06, 46.03.01</t>
  </si>
  <si>
    <t>086030.10.01</t>
  </si>
  <si>
    <t>Политическая конфликтология: Уч.пос. / Г.И.Козырев, - 2 изд. - М.:НИЦ ИНФРА-М,2025. -  403 с.(ВО)(П)</t>
  </si>
  <si>
    <t>ПОЛИТИЧЕСКАЯ КОНФЛИКТОЛОГИЯ, ИЗД.2</t>
  </si>
  <si>
    <t>978-5-16-015786-3</t>
  </si>
  <si>
    <t>Рекомендовано УМО по классическому университетскому образованию в качестве учебного пособия для студентов вузов, обучающихся по направлению подготовки 41.03.04 «Политология»</t>
  </si>
  <si>
    <t>086030.08.01</t>
  </si>
  <si>
    <t>Политическая конфликтология: уч.пос. / Г.И.Козырев-М.:ИД Форум, ИНФРА-М Издательский Дом,2019.-432 с..-(ВО)(П 7БЦ)</t>
  </si>
  <si>
    <t>ПОЛИТИЧЕСКАЯ КОНФЛИКТОЛОГИЯ, ИЗД.1</t>
  </si>
  <si>
    <t>978-5-8199-0332-2</t>
  </si>
  <si>
    <t>Рекомендовано УМО по классическому университетскому образованию в качестве учебного пособия для студентов вузов, обучающихся по направлению подготовки ВПО 030200 - Политология</t>
  </si>
  <si>
    <t>653230.04.01</t>
  </si>
  <si>
    <t>Политическая символика: Монография / В.Э.Багдасарян - М.:НИЦ ИНФРА-М,2022 - 221 с.-(Науч.мысль)(П)</t>
  </si>
  <si>
    <t>ПОЛИТИЧЕСКАЯ СИМВОЛИКА, ИЗД.1</t>
  </si>
  <si>
    <t>978-5-16-012895-5</t>
  </si>
  <si>
    <t>40.03.01, 41.03.04, 41.04.04, 44.03.01, 44.03.05, 51.03.01, 51.04.01</t>
  </si>
  <si>
    <t>802973.01.01</t>
  </si>
  <si>
    <t>Политическая социология повседневности: Моногр. / Л.О.Терновая-М.:НИЦ ИНФРА-М,2023.-393 с.(Науч.мысль)(п)</t>
  </si>
  <si>
    <t>ПОЛИТИЧЕСКАЯ СОЦИОЛОГИЯ ПОВСЕДНЕВНОСТИ, ИЗД.1</t>
  </si>
  <si>
    <t>978-5-16-018474-6</t>
  </si>
  <si>
    <t>37.03.01, 37.03.02, 39.03.01, 39.03.03, 39.04.01, 39.06.01, 47.04.01</t>
  </si>
  <si>
    <t>820361.01.01</t>
  </si>
  <si>
    <t>Политическая социология: Уч. / Н.С.Козьякова - М.:НИЦ ИНФРА-М,2024. - 266 с.(ВО (Фин. универ.))(п)</t>
  </si>
  <si>
    <t>ПОЛИТИЧЕСКАЯ СОЦИОЛОГИЯ, ИЗД.1</t>
  </si>
  <si>
    <t>978-5-16-019648-0</t>
  </si>
  <si>
    <t>39.03.01, 39.04.01, 41.03.04, 41.04.04, 42.04.02</t>
  </si>
  <si>
    <t>422950.09.01</t>
  </si>
  <si>
    <t>Политическая социология: Уч.пос. / Г.И.Козырев - М.:ИД ФОРУМ, НИЦ ИНФРА-М,2027. - 336 с.(ВО)(П)</t>
  </si>
  <si>
    <t>978-5-8199-0540-1</t>
  </si>
  <si>
    <t>39.03.01, 39.04.01, 41.03.04, 41.03.06, 41.04.04</t>
  </si>
  <si>
    <t>728084.06.01</t>
  </si>
  <si>
    <t>Политическая теория: Уч. / Р.Т.Мухаев - М.:НИЦ ИНФРА-М,2027. - 659 с.(ВО)(п)</t>
  </si>
  <si>
    <t>ПОЛИТИЧЕСКАЯ ТЕОРИЯ, ИЗД.1</t>
  </si>
  <si>
    <t>978-5-16-020414-7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</si>
  <si>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общественно-гуманитарным направлениям подготовки (квалификация (степень) «бакалавр») (протокол № 6 от 08.06.2022)</t>
  </si>
  <si>
    <t>478350.06.01</t>
  </si>
  <si>
    <t>Политические произведения: Сб. / О.Шпенглер - М.:НИЦ ИНФРА-М,2026 - 318 с.-(Науч.мысль)(О)</t>
  </si>
  <si>
    <t>ПОЛИТИЧЕСКИЕ ПРОИЗВЕДЕНИЯ, ИЗД.1</t>
  </si>
  <si>
    <t>978-5-16-010282-5</t>
  </si>
  <si>
    <t>659196.07.01</t>
  </si>
  <si>
    <t>Политические процессы: миграция и конфликты: Уч.пос. / О.С.Пустошинская - М.:НИЦ ИНФРА-М,2026 - 98 с.(ВО)</t>
  </si>
  <si>
    <t>ПОЛИТИЧЕСКИЕ ПРОЦЕССЫ: МИГРАЦИЯ И КОНФЛИКТЫ, ИЗД.1</t>
  </si>
  <si>
    <t>Пустошинская О.С.</t>
  </si>
  <si>
    <t>978-5-16-012893-1</t>
  </si>
  <si>
    <t>41.03.01, 41.03.04, 41.03.05, 41.04.01, 41.04.04, 41.04.05</t>
  </si>
  <si>
    <t>683041.04.01</t>
  </si>
  <si>
    <t>Политические сис. постсоветских государств: Уч.пос. / П.В.Кузьмин-М.:НИЦ ИНФРА-М,2024.-208 с.(ВО)(п)</t>
  </si>
  <si>
    <t>ПОЛИТИЧЕСКИЕ СИСТЕМЫ ПОСТСОВЕТСКИХ ГОСУДАРСТВ, ИЗД.1</t>
  </si>
  <si>
    <t>Кузьмин П.В.</t>
  </si>
  <si>
    <t>978-5-16-019350-2</t>
  </si>
  <si>
    <t>41.03.01, 41.03.04, 41.03.05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</si>
  <si>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41.03.04 «Политология» (квалификация (степень) «бакалавр») (протокол № 13 от 16.09.2019)</t>
  </si>
  <si>
    <t>405250.09.01</t>
  </si>
  <si>
    <t>Политические учения Древней Греции: Моногр. / В.С.Нерсесянц - 2 изд. - М: Норма: Инфра-М, 2025 - 272 с.(о)</t>
  </si>
  <si>
    <t>ПОЛИТИЧЕСКИЕ УЧЕНИЯ ДРЕВНЕЙ ГРЕЦИИ, ИЗД.2</t>
  </si>
  <si>
    <t>978-5-91768-315-7</t>
  </si>
  <si>
    <t>700141.03.01</t>
  </si>
  <si>
    <t>Политический конструктивизм правящей партии...: Моногр. / И.А.Анфертьев - М.:НИЦ ИНФРА-М,2023 - 555 с.(П)</t>
  </si>
  <si>
    <t>ПОЛИТИЧЕСКИЙ КОНСТРУКТИВИЗМ ПРАВЯЩЕЙ ПАРТИИ. ПРОГРАММНЫЕ УСТАНОВКИ РСДРП(Б)-РКП(Б)-ВКП(Б). 1917-1930-Е ГОДЫ, ИЗД.1</t>
  </si>
  <si>
    <t>978-5-16-014874-8</t>
  </si>
  <si>
    <t>41.03.04, 41.04.04, 41.06.01, 46.03.01, 46.04.01, 46.06.01</t>
  </si>
  <si>
    <t>165650.17.01</t>
  </si>
  <si>
    <t>Политический текст...: Моногр. / Под ред. Желтухиной М.Р. - 2 изд. - М.:НИЦ ИНФРА-М,2027. - 155 с.(о)</t>
  </si>
  <si>
    <t>ПОЛИТИЧЕСКИЙ ТЕКСТ: ПСИХОЛИНГВИСТИЧЕСКИЙ АНАЛИЗ ВОЗДЕЙСТВИЯ НА ЭЛЕКТОРАТ, ИЗД.2</t>
  </si>
  <si>
    <t>Репина Е.А., Желтухина М.Р.</t>
  </si>
  <si>
    <t>978-5-16-018190-5</t>
  </si>
  <si>
    <t>37.03.01, 37.04.01, 41.03.04, 41.03.06, 41.04.04, 42.03.01, 42.04.01, 44.03.02, 44.04.02, 45.03.02, 45.04.02</t>
  </si>
  <si>
    <t>165650.12.01</t>
  </si>
  <si>
    <t>Политический текст: психолинг. анализ..: Моногр./ Под ред. Белянин В.П.-М.:НИЦ ИНФРА-М,2022.-90 с.(Науч. мысль)(О)</t>
  </si>
  <si>
    <t>ПОЛИТИЧЕСКИЙ ТЕКСТ: ПСИХОЛИНГВИСТИЧЕСКИЙ АНАЛИЗ ВОЗДЕЙСТВИЯ НА ЭЛЕКТОРАТ, ИЗД.1</t>
  </si>
  <si>
    <t>Репина Е.А., Шкуратов В.А., Белянин В.П.</t>
  </si>
  <si>
    <t>978-5-16-005215-1</t>
  </si>
  <si>
    <t>777488.01.01</t>
  </si>
  <si>
    <t>Политическое управление: личностное измерение: Моногр. / А.В.Семёнов-М.:НИЦ ИНФРА-М,2022.-160 с.(О)</t>
  </si>
  <si>
    <t>ПОЛИТИЧЕСКОЕ УПРАВЛЕНИЕ: ЛИЧНОСТНОЕ ИЗМЕРЕНИЕ, ИЗД.1</t>
  </si>
  <si>
    <t>Семёнов А.В.</t>
  </si>
  <si>
    <t>978-5-16-017702-1</t>
  </si>
  <si>
    <t>636905.04.01</t>
  </si>
  <si>
    <t>Политическое управление: Уч.пос. / Е.П.Тавокин-М.:НИЦ ИНФРА-М,2024.-209 с..-(ВО: Бакалавриат)(п)</t>
  </si>
  <si>
    <t>ПОЛИТИЧЕСКОЕ УПРАВЛЕНИЕ, ИЗД.1</t>
  </si>
  <si>
    <t>978-5-16-012198-7</t>
  </si>
  <si>
    <t>38.03.04, 38.04.04, 41.03.04, 41.04.04, 42.03.01, 42.03.02, 42.04.01, 42.04.02</t>
  </si>
  <si>
    <t>Рекомендовано в качестве учебного пособия для студентов высших учебных заведений, обучающихся по направлениям подготовки 38.03.04 «Государственное и муниципальное управление», 42.03.01 «Реклама и связи с общественностью», 41.03.04 «Политология» (квалификация (степень) «бакалавр»)</t>
  </si>
  <si>
    <t>656373.07.01</t>
  </si>
  <si>
    <t>Политология в схемах и табл.: Уч.пос. / А.М.Руденко - М.:ИЦ РИОР, НИЦ ИНФРА-М,2026 - 274 с.(ВО: Бакалавр.)</t>
  </si>
  <si>
    <t>ПОЛИТОЛОГИЯ В СХЕМАХ И ТАБЛИЦАХ, ИЗД.1</t>
  </si>
  <si>
    <t>Руденко А.М., Котлярова В.В., Шестаков Ю.А.</t>
  </si>
  <si>
    <t>978-5-369-01717-3</t>
  </si>
  <si>
    <t>00.03.07, 00.05.07</t>
  </si>
  <si>
    <t>173850.09.01</t>
  </si>
  <si>
    <t>Политология: Уч. / А.Б. Оришев. - М.: ИЦ РИОР: НИЦ ИНФРА-М, 2024. - 288 с. - (ВО) (П)</t>
  </si>
  <si>
    <t>ПОЛИТОЛОГИЯ, ИЗД.1</t>
  </si>
  <si>
    <t>Оришев А. Б.</t>
  </si>
  <si>
    <t>978-5-369-00981-9</t>
  </si>
  <si>
    <t>Допущено Учебно-методическим объединением по образованию в области производственного менеджмента в качестве учебника для студентов вузов, обучающихся по специальностям: 151900, 230100, 280700</t>
  </si>
  <si>
    <t>162500.19.01</t>
  </si>
  <si>
    <t>Политология: Уч. / К.С.Гаджиев - М.:НИЦ ИНФРА-М, 2027 - 384 с.(ВО: Бакалавр.)(п)</t>
  </si>
  <si>
    <t>Гаджиев К. С., Примова Э. Н.</t>
  </si>
  <si>
    <t>978-5-16-022315-5</t>
  </si>
  <si>
    <t>Допущено Научно-методическим советом по политологии Министерства образования и науки Российской Федерации в качестве учебника для студентов высших учебных заведений</t>
  </si>
  <si>
    <t>Национальный исследовательский институт мировой экономики и международных отношений им. Е.М. Примакова</t>
  </si>
  <si>
    <t>745701.02.01</t>
  </si>
  <si>
    <t>Политология: Уч. / К.С.Гаджиев-М.:НИЦ ИНФРА-М,2021.-384 с..-(ВО: Специалитет)(П)</t>
  </si>
  <si>
    <t>Гаджиев К.С., Примова Э.Н.</t>
  </si>
  <si>
    <t>978-5-16-016547-9</t>
  </si>
  <si>
    <t>00.05.07, 40.05.01, 40.05.02, 40.05.03, 40.05.04</t>
  </si>
  <si>
    <t>154800.08.01</t>
  </si>
  <si>
    <t>Политология: Уч. / М.Д. Валовая. - 2-e изд. - М.: Магистр:  ИНФРА-М, 2023. - 336 с. (п)</t>
  </si>
  <si>
    <t>ПОЛИТОЛОГИЯ, ИЗД.2</t>
  </si>
  <si>
    <t>Валовая М. Д.</t>
  </si>
  <si>
    <t>978-5-9776-0147-4</t>
  </si>
  <si>
    <t>745703.07.01</t>
  </si>
  <si>
    <t>Политология: Уч. / Я.А.Пляйс и др. - 2 изд. - М.:НИЦ ИНФРА-М,2025 - 414 с.-(ВО: Специалитет)(П)</t>
  </si>
  <si>
    <t>Пляйс Я.А., Брега А.В., Петросянц Д.В. и др.</t>
  </si>
  <si>
    <t>978-5-16-016548-6</t>
  </si>
  <si>
    <t>00.05.07, 38.05.01, 38.05.02, 40.05.01, 40.05.02, 40.05.03, 40.05.04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</si>
  <si>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специалитета (протокол № 8 от 22.06.2020)</t>
  </si>
  <si>
    <t>673875.08.01</t>
  </si>
  <si>
    <t>Политология: Уч. / Я.А.Пляйс и др. - 2 изд. - М.:НИЦ ИНФРА-М,2026 - 414 с.(ВО)(п)</t>
  </si>
  <si>
    <t>978-5-16-020162-7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</si>
  <si>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8 от 29.04.2019)</t>
  </si>
  <si>
    <t>673875.02.01</t>
  </si>
  <si>
    <t>Политология: Уч. / Я.А.Пляйс и др.-М.:НИЦ ИНФРА-М,2018.-366 с..-(ВО: Бакалавриат (Финунивер.))(П)</t>
  </si>
  <si>
    <t>978-5-16-013227-3</t>
  </si>
  <si>
    <t>Рекомендовано в качестве учебника для студентов высших учебных заведений, обучающихся по гуманитарным, социально-экономическим, математическим, естественным, техническим направлениям подготовки (квалификация (степень) «бакалавр»)</t>
  </si>
  <si>
    <t>097300.15.01</t>
  </si>
  <si>
    <t>Политология: Уч. пос. / Г.И. Козырев - М.: ИНФРА-М, 2026 - 368 с.(ВО) (п)</t>
  </si>
  <si>
    <t>978-5-16-018511-8</t>
  </si>
  <si>
    <t>Допущено научно-методическим советом по политологии Министерства образования и науки Российской Федерации в качестве учебного пособия для студентов высших учебных заведений</t>
  </si>
  <si>
    <t>637304.15.01</t>
  </si>
  <si>
    <t>Положение о порядке прохождения военной службы - 10 изд. - М.:НИЦ ИНФРА-М,2024. - 104 с..-(о)</t>
  </si>
  <si>
    <t>ПОЛОЖЕНИЕ О ПОРЯДКЕ ПРОХОЖДЕНИЯ ВОЕННОЙ СЛУЖБЫ, ИЗД.10</t>
  </si>
  <si>
    <t>978-5-16-020120-7</t>
  </si>
  <si>
    <t>40.00.00, 00.03.01, 00.05.01</t>
  </si>
  <si>
    <t>1024</t>
  </si>
  <si>
    <t>637304.16.01</t>
  </si>
  <si>
    <t>Положение о порядке прохождения военной службы - 11 изд. - М.:НИЦ ИНФРА-М,2025 - 104 с.(о)</t>
  </si>
  <si>
    <t>ПОЛОЖЕНИЕ О ПОРЯДКЕ ПРОХОЖДЕНИЯ ВОЕННОЙ СЛУЖБЫ, ИЗД.11</t>
  </si>
  <si>
    <t>978-5-16-020870-1</t>
  </si>
  <si>
    <t>1125</t>
  </si>
  <si>
    <t>637304.07.01</t>
  </si>
  <si>
    <t>Положение о порядке прохождения военной службы - 5 изд. - М.:НИЦ ИНФРА-М,2021 - 98 с.(О)</t>
  </si>
  <si>
    <t>ПОЛОЖЕНИЕ О ПОРЯДКЕ ПРОХОЖДЕНИЯ ВОЕННОЙ СЛУЖБЫ, ИЗД.5</t>
  </si>
  <si>
    <t>978-5-16-016989-7</t>
  </si>
  <si>
    <t>637304.12.01</t>
  </si>
  <si>
    <t>Положение о порядке прохождения военной службы - 9 изд.-М.:НИЦ ИНФРА-М,2023.-104 с.(о)</t>
  </si>
  <si>
    <t>ПОЛОЖЕНИЕ О ПОРЯДКЕ ПРОХОЖДЕНИЯ ВОЕННОЙ СЛУЖБЫ, ИЗД.9</t>
  </si>
  <si>
    <t>978-5-16-018668-9</t>
  </si>
  <si>
    <t>0923</t>
  </si>
  <si>
    <t>637304.08.01</t>
  </si>
  <si>
    <t>Положение о порядке прохождения военной службы: закон - 6 изд. - М.:НИЦ ИНФРА-М,2021 - 98 с.(О)</t>
  </si>
  <si>
    <t>ПОЛОЖЕНИЕ О ПОРЯДКЕ ПРОХОЖДЕНИЯ ВОЕННОЙ СЛУЖБЫ, ИЗД.6</t>
  </si>
  <si>
    <t>978-5-16-017127-2</t>
  </si>
  <si>
    <t>637304.11.01</t>
  </si>
  <si>
    <t>Положение о порядке прохождения военной службы: закон РФ  - 8-е изд.-М.:НИЦ ИНФРА-М,2022.-100 с.(О)</t>
  </si>
  <si>
    <t>ПОЛОЖЕНИЕ О ПОРЯДКЕ ПРОХОЖДЕНИЯ ВОЕННОЙ СЛУЖБЫ, ИЗД.8</t>
  </si>
  <si>
    <t>978-5-16-017677-2</t>
  </si>
  <si>
    <t>637304.17.01</t>
  </si>
  <si>
    <t>Положение о порядке прохождения военной службы: закон РФ - 12 изд. - М.:НИЦ ИНФРА-М,2026. - 119 с.(о)</t>
  </si>
  <si>
    <t>ПОЛОЖЕНИЕ О ПОРЯДКЕ ПРОХОЖДЕНИЯ ВОЕННОЙ СЛУЖБЫ, ИЗД.12</t>
  </si>
  <si>
    <t>978-5-16-021963-9</t>
  </si>
  <si>
    <t>1226</t>
  </si>
  <si>
    <t>637304.10.01</t>
  </si>
  <si>
    <t>Положение о порядке прохождения военной службы: закон рф - 7 изд.-М.:НИЦ ИНФРА-М,2022.-98 с.(О)</t>
  </si>
  <si>
    <t>ПОЛОЖЕНИЕ О ПОРЯДКЕ ПРОХОЖДЕНИЯ ВОЕННОЙ СЛУЖБЫ, ИЗД.7</t>
  </si>
  <si>
    <t>978-5-16-017207-1</t>
  </si>
  <si>
    <t>778575.01.01</t>
  </si>
  <si>
    <t>Полумарковские модели профилактики ненадеж...: Моногр. / А.И.Песчанский-М.:НИЦ ИНФРА-М,2022.-267с(О)</t>
  </si>
  <si>
    <t>ПОЛУМАРКОВСКИЕ МОДЕЛИ ПРОФИЛАКТИКИ НЕНАДЕЖНОЙ ОДНОКАНАЛЬНОЙ СИСТЕМЫ ОБСЛУЖИВАНИЯ С ПОТЕРЯМИ, ИЗД.1</t>
  </si>
  <si>
    <t>978-5-16-017734-2</t>
  </si>
  <si>
    <t>01.04.01, 01.04.03, 01.04.04, 01.06.01, 27.04.04</t>
  </si>
  <si>
    <t>689716.04.01</t>
  </si>
  <si>
    <t>Полупроводниковые преобразоват. электрич. энергии: Уч.пос. / В.А.Прохоров-М.:НИЦ ИНФРА-М,2023.-315 с.(ВО)(П)</t>
  </si>
  <si>
    <t>ПОЛУПРОВОДНИКОВЫЕ ПРЕОБРАЗОВАТЕЛИ ЭЛЕКТРИЧЕСКОЙ ЭНЕРГИИ, ИЗД.1</t>
  </si>
  <si>
    <t>Прохоров В.А.</t>
  </si>
  <si>
    <t>978-5-16-018514-9</t>
  </si>
  <si>
    <t>13.03.01, 13.03.02, 13.03.03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</si>
  <si>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8 от 22.06.2020)</t>
  </si>
  <si>
    <t>743083.02.01</t>
  </si>
  <si>
    <t>Получатели ренты: прибыли, заработки и неравенство (верхние 20%): Моногр. / П.Михайи-М.:Магистр,2020-176 с.(П)</t>
  </si>
  <si>
    <t>ПОЛУЧАТЕЛИ РЕНТЫ: ПРИБЫЛИ, ЗАРАБОТКИ И НЕРАВЕНСТВО (ВЕРХНИЕ 20%), ИЗД.1</t>
  </si>
  <si>
    <t>Михайи П., Селеньи И.</t>
  </si>
  <si>
    <t>978-5-9776-0518-2</t>
  </si>
  <si>
    <t>684577.06.01</t>
  </si>
  <si>
    <t>Польша, Литва, Латвия, Эстония: соц.-эконом. и полит. разв.: Моногр. / А.П.Клемешев-М:НИЦ ИНФРА-М,2023-134с</t>
  </si>
  <si>
    <t>ПОЛЬША, ЛИТВА, ЛАТВИЯ, ЭСТОНИЯ: СОЦИАЛЬНО-ЭКОНОМИЧЕСКОЕ И ПОЛИТИЧЕСКОЕ РАЗВИТИЕ, ИЗД.1</t>
  </si>
  <si>
    <t>Клемешев А.П.</t>
  </si>
  <si>
    <t>978-5-16-014290-6</t>
  </si>
  <si>
    <t>38.04.01, 41.03.01, 41.03.04, 41.03.05, 41.03.06, 41.04.01, 41.04.04, 41.04.05, 46.04.01</t>
  </si>
  <si>
    <t>684577.07.01</t>
  </si>
  <si>
    <t>Польша, Литва, Латвия, Эстония: соц.-эконом. и полит. разв.: Моногр. / А.П.Клемешев-М:НИЦ ИНФРА-М,2024-134с(О)</t>
  </si>
  <si>
    <t>978-5-16-016528-8</t>
  </si>
  <si>
    <t>767390.03.01</t>
  </si>
  <si>
    <t>Полярный и Приполярный Урал: Путеводитель по перевалам / А.В.Затонский - М.:НИЦ ИНФРА-М,2027. - 306 с.:цв.ил.(П)</t>
  </si>
  <si>
    <t>ПОЛЯРНЫЙ И ПРИПОЛЯРНЫЙ УРАЛ: ПУТЕВОДИТЕЛЬ ПО ПЕРЕВАЛАМ, ИЗД.1</t>
  </si>
  <si>
    <t>Затонский А.В.</t>
  </si>
  <si>
    <t>978-5-16-017579-9</t>
  </si>
  <si>
    <t>Туризм. Путеводители</t>
  </si>
  <si>
    <t>05.03.02, 05.04.02, 41.03.02, 41.04.02, 43.03.02, 43.04.02</t>
  </si>
  <si>
    <t>665933.04.01</t>
  </si>
  <si>
    <t>Понятие и взаимодействие международ. и нац. правов..: Моногр. / В.В.Гаврилов, - 2 изд.-М.:НИЦ ИНФРА-М,2023-224 с.(П)</t>
  </si>
  <si>
    <t>ПОНЯТИЕ И ВЗАИМОДЕЙСТВИЕ МЕЖДУНАРОДНОЙ И НАЦИОНАЛЬНЫХ ПРАВОВЫХ СИСТЕМ, ИЗД.2</t>
  </si>
  <si>
    <t>Гаврилов В.В.</t>
  </si>
  <si>
    <t>978-5-16-013185-6</t>
  </si>
  <si>
    <t>777888.10.01</t>
  </si>
  <si>
    <t>Поощрения в военном управ. (с учетом опыта СВО) / О.Л.Зорин, - 2 изд. - М.:НИЦ ИНФРА-М,2025. - 254 с.(п)</t>
  </si>
  <si>
    <t>ПООЩРЕНИЯ В ВОЕННОМ УПРАВЛЕНИИ (С УЧЕТОМ ОПЫТА СПЕЦИАЛЬНОЙ ВОЕННОЙ ОПЕРАЦИИ), ИЗД.2</t>
  </si>
  <si>
    <t>Зорин О.Л.</t>
  </si>
  <si>
    <t>978-5-16-021406-1</t>
  </si>
  <si>
    <t>56.04.02, 56.04.09, 56.04.12, 56.05.04, 56.07.01</t>
  </si>
  <si>
    <t>777888.08.01</t>
  </si>
  <si>
    <t>Поощрения в военном управлении..: Моногр. / О.Л.Зорин - М.:НИЦ ИНФРА-М,2025. - 230 с.(Науч.мысль)(П)</t>
  </si>
  <si>
    <t>ПООЩРЕНИЯ В ВОЕННОМ УПРАВЛЕНИИ: ПРАВОВЫЕ ОСНОВЫ И ПСИХОЛОГИЧЕСКИЕ ОСОБЕННОСТИ ИХ ВОЗДЕЙСТВИЯ НА ВОЕННОСЛУЖАЩИХ, ИЗД.1</t>
  </si>
  <si>
    <t>978-5-16-018139-4</t>
  </si>
  <si>
    <t>777888.01.01</t>
  </si>
  <si>
    <t>Поощрения в военном управлении..: Монография / О.Л.Зорин-М.:НИЦ ИНФРА-М,2022.-230 с..-(Науч.мысль)(О)</t>
  </si>
  <si>
    <t>978-5-16-017733-5</t>
  </si>
  <si>
    <t>642076.09.01</t>
  </si>
  <si>
    <t>Популярная криминология: Моногр. / В.Н.Кудрявцев - М.:Юр.Норма, НИЦ ИНФРА-М,2026 - 166 с.(О)</t>
  </si>
  <si>
    <t>ПОПУЛЯРНАЯ КРИМИНОЛОГИЯ, ИЗД.1</t>
  </si>
  <si>
    <t>978-5-91768-774-2</t>
  </si>
  <si>
    <t>781022.01.01</t>
  </si>
  <si>
    <t>Пористые материалы: расчёт теплофизич...: Уч.пос. / Ю.В.Светлов - М.:НИЦ ИНФРА-М,2025. - 300 с.(ВО)(п)</t>
  </si>
  <si>
    <t>ПОРИСТЫЕ МАТЕРИАЛЫ: РАСЧЁТ ТЕПЛОФИЗИЧЕСКИХ ХАРАКТЕРИСТИК НА ОСНОВЕ ТЕОРИИ МАКРОКВАНТОВАНИЯ, ИЗД.1</t>
  </si>
  <si>
    <t>978-5-16-018394-7</t>
  </si>
  <si>
    <t>16.03.03, 18.03.02, 22.03.01</t>
  </si>
  <si>
    <t>444150.09.01</t>
  </si>
  <si>
    <t>Пороха, ракетные твердые топлива и их свойст.: Уч.пос. / А.В.Косточко - М.:НИЦ ИНФРА-М,2026 - 400 с.(ВО)(П)</t>
  </si>
  <si>
    <t>ПОРОХА, РАКЕТНЫЕ ТВЕРДЫЕ ТОПЛИВА И ИХ СВОЙСТВА. ФИЗИКО-ХИМИЧЕСКИЕ СВОЙСТВА ПОРОХОВ И РАКЕТНЫХ ТВЕРДЫХ ТОПЛИВ, ИЗД.1</t>
  </si>
  <si>
    <t>Косточко А. В., Казбан Б. М.</t>
  </si>
  <si>
    <t>978-5-16-020060-6</t>
  </si>
  <si>
    <t>24.03.01, 24.03.05</t>
  </si>
  <si>
    <t>249400.15.01</t>
  </si>
  <si>
    <t>Портреты преступников: криминол.-психолог. анализ: Моногр. / Ю.М.Антонян - М.:Норма: ИНФРА-М, 2026 - 240 с.(о)</t>
  </si>
  <si>
    <t>ПОРТРЕТЫ ПРЕСТУПНИКОВ: КРИМИНОЛОГО-ПСИХОЛОГИЧЕСКИЙ АНАЛИЗ, ИЗД.1</t>
  </si>
  <si>
    <t>978-5-91768-443-7</t>
  </si>
  <si>
    <t>822800.02.01</t>
  </si>
  <si>
    <t>Порядок осущ. надзора за соблюд. участниками дорож. движ. треб. законодательства РФ-М.:НИЦ ИНФРА-М,2024.-108 с.(о)</t>
  </si>
  <si>
    <t>ПОРЯДОК ОСУЩЕСТВЛЕНИЯ НАДЗОРА ЗА СОБЛЮДЕНИЕМ УЧАСТНИКАМИ ДОРОЖНОГО ДВИЖЕНИЯ ТРЕБОВАНИЙ ЗАКОНОДАТЕЛЬСТВА РОССИЙСКОЙ ФЕДЕРАЦИИ О БЕЗОПАСНОСТИ ДОРОЖНОГО ДВИЖЕНИЯ, ИЗД.1</t>
  </si>
  <si>
    <t>978-5-16-019686-2</t>
  </si>
  <si>
    <t>40.02.02, 40.03.01, 40.04.01, 40.05.02</t>
  </si>
  <si>
    <t>736279.05.01</t>
  </si>
  <si>
    <t>Последовательности Фишберна для принятия реш. в экономике / А.В.Сигал - М.:НИЦ ИНФРА-М,2026 - 256 с.(О)</t>
  </si>
  <si>
    <t>ПОСЛЕДОВАТЕЛЬНОСТИ ФИШБЕРНА ДЛЯ ПРИНЯТИЯ РЕШЕНИЙ В ЭКОНОМИКЕ, ИЗД.1</t>
  </si>
  <si>
    <t>Сигал А.В., Ремесник Е.С.</t>
  </si>
  <si>
    <t>978-5-16-016250-8</t>
  </si>
  <si>
    <t>38.04.01, 38.04.05, 38.06.01</t>
  </si>
  <si>
    <t>316300.09.01</t>
  </si>
  <si>
    <t>Пособие к курсовому и диплом.проектир. ..: Уч.пос. / Ю.Д.Сибикин - М.:Форум,НИЦ ИНФРА-М,2025 - 383 с.(ВО)(П)</t>
  </si>
  <si>
    <t>ПОСОБИЕ К КУРСОВОМУ И ДИПЛОМНОМУ ПРОЕКТИРОВАНИЮ ЭЛЕКТРОСНАБЖЕНИЯ ПРОМЫШЛЕННЫХ, СЕЛЬСКОХОЗЯЙСТВЕННЫХ И ГОРОДСКИХ ОБЪЕКТОВ, ИЗД.1</t>
  </si>
  <si>
    <t>Сибикин Ю.Д.</t>
  </si>
  <si>
    <t>978-5-00091-740-4</t>
  </si>
  <si>
    <t>Рекомендовано в качестве учебного пособия для студентов высших учебных заведений, обучающихся по направлениям подготовки 13.03.01 «Теплоэнергетика и теплотехника», 13.03.02 «Электроэнергетика и электротехника» (квалификация (степень) «бакалавр»)</t>
  </si>
  <si>
    <t>242100.14.01</t>
  </si>
  <si>
    <t>Постановка сис. бюджет. управ., или три коорд. бизнеса... / М.М.Панов - М.:НИЦ ИНФРА-М,2026 - 304 с.(П)</t>
  </si>
  <si>
    <t>ПОСТАНОВКА СИСТЕМЫ БЮДЖЕТНОГО УПРАВЛЕНИЯ, ИЛИ ТРИ КООРДИНАТЫ БИЗНЕСА: БДР, БДДС, ББЛ, ИЗД.1</t>
  </si>
  <si>
    <t>Панов М.М.</t>
  </si>
  <si>
    <t>978-5-16-009256-0</t>
  </si>
  <si>
    <t>667705.09.01</t>
  </si>
  <si>
    <t>Постижение природы и сущности чел...: Моногр. / А.А.Туман-Никифоров - М.:НИЦ ИНФРА-М, СФУ,2026 - 226 с.(о)</t>
  </si>
  <si>
    <t>ПОСТИЖЕНИЕ ПРИРОДЫ И СУЩНОСТИ ЧЕЛОВЕКА: ОТ ФИЛОСОФСКОЙ АНТРОПОЛОГИИ ДО ГУМАНОЛОГИИ, ИЗД.1</t>
  </si>
  <si>
    <t>Туман-Никифоров А.А., Туман-Никифорова И.О.</t>
  </si>
  <si>
    <t>978-5-16-018249-0</t>
  </si>
  <si>
    <t>667705.06.01</t>
  </si>
  <si>
    <t>Постижение природы и сущности чел...:Моногр. / А.А.Туман-Никифоров-М.:НИЦ ИНФРА-М, СФУ,2024-226с.(п)</t>
  </si>
  <si>
    <t>646039.06.01</t>
  </si>
  <si>
    <t>Постиндустриальные уклады в экономике России: Моногр. / Л.Е.Басовский - М.:НИЦ ИНФРА-М,2026. - 159 с.(о)</t>
  </si>
  <si>
    <t>ПОСТИНДУСТРИАЛЬНЫЕ УКЛАДЫ В ЭКОНОМИКЕ РОССИИ, ИЗД.1</t>
  </si>
  <si>
    <t>978-5-16-020640-0</t>
  </si>
  <si>
    <t>646039.04.01</t>
  </si>
  <si>
    <t>Постиндустриальные уклады в экономике России: Моногр. / Л.Е.Басовский-М.:НИЦ ИНФРА-М,2020-159с.(П)</t>
  </si>
  <si>
    <t>978-5-16-012440-7</t>
  </si>
  <si>
    <t>769731.04.01</t>
  </si>
  <si>
    <t>Построение дискретно-логических сис. управ..: Уч.пос. / Н.Г.Чикуров - М.:НИЦ ИНФРА-М,2027 - 198 с.(ВО)(п)</t>
  </si>
  <si>
    <t>ПОСТРОЕНИЕ ДИСКРЕТНО-ЛОГИЧЕСКИХ СИСТЕМ УПРАВЛЕНИЯ ЭЛЕКТРОАВТОМАТИКОЙ, ИЗД.1</t>
  </si>
  <si>
    <t>978-5-16-017417-4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</si>
  <si>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машиностроительным направлениям подготовки (квалификация (степень) «бакалавр») (протокол № 9 от 17.11.2022)</t>
  </si>
  <si>
    <t>657339.08.01</t>
  </si>
  <si>
    <t>Построение совр. бизнес-моделей в промыш.: Моногр. / А.Д.Бобрышев - 2 изд. - М.:НИЦ ИНФРА-М,2026. - 287 с.(п)</t>
  </si>
  <si>
    <t>ПОСТРОЕНИЕ СОВРЕМЕННЫХ БИЗНЕС-МОДЕЛЕЙ В ПРОМЫШЛЕННОСТИ, ИЗД.2</t>
  </si>
  <si>
    <t>Бобрышев А.Д., Тарабрин К.М., Тумин В.М. и др.</t>
  </si>
  <si>
    <t>978-5-16-020040-8</t>
  </si>
  <si>
    <t>657339.06.01</t>
  </si>
  <si>
    <t>Построение современных бизнес-моделей в промыш.: Моногр. / А.Д.Бобрышев - М.:НИЦ ИНФРА-М,2024-226с(П)</t>
  </si>
  <si>
    <t>ПОСТРОЕНИЕ СОВРЕМЕННЫХ БИЗНЕС-МОДЕЛЕЙ В ПРОМЫШЛЕННОСТИ, ИЗД.1</t>
  </si>
  <si>
    <t>978-5-16-012980-8</t>
  </si>
  <si>
    <t>818229.02.01</t>
  </si>
  <si>
    <t>Построение уголов. судопроизводства, направ. на.../ Под ред. Вилкова Т.Ю. - М.:НИЦ ИНФРА-М,2025 - 238 с.(п)</t>
  </si>
  <si>
    <t>ПОСТРОЕНИЕ УГОЛОВНОГО СУДОПРОИЗВОДСТВА, НАПРАВЛЕННОГО НА ОБЕСПЕЧЕНИЕ НАЦИОНАЛЬНЫХ ИНТЕРЕСОВ РОССИИ В ЭПОХУ БОЛЬШИХ ВЫЗОВОВ, ИЗД.1</t>
  </si>
  <si>
    <t>Вилкова Т.Ю., Ничипоренко А.А., Собенин А.А. и др.</t>
  </si>
  <si>
    <t>978-5-16-019431-8</t>
  </si>
  <si>
    <t>659262.01.01</t>
  </si>
  <si>
    <t>Потенциал роста налог. доходов регион. и местных бюджетов: Моногр./ М.Р.Пинская и др.-М.:НИЦ ИНФРА-М,2018-147с</t>
  </si>
  <si>
    <t>ПОТЕНЦИАЛ РОСТА НАЛОГОВЫХ ДОХОДОВ РЕГИОНАЛЬНЫХ И МЕСТНЫХ БЮДЖЕТОВ, ИЗД.1</t>
  </si>
  <si>
    <t>Пинская М.Р., Богачев С.В., Башкирова Н.Н. и др.</t>
  </si>
  <si>
    <t>978-5-16-012282-3</t>
  </si>
  <si>
    <t>646486.09.01</t>
  </si>
  <si>
    <t>Потребности в перевозках и возможности ж/д : Моногр. / Д.Ю.Левин - М.:НИЦ ИНФРА-М,2023 - 247 с.(П)</t>
  </si>
  <si>
    <t>ПОТРЕБНОСТИ В ПЕРЕВОЗКАХ И ВОЗМОЖНОСТИ ЖЕЛЕЗНЫХ ДОРОГ, ИЗД.1</t>
  </si>
  <si>
    <t>978-5-16-012464-3</t>
  </si>
  <si>
    <t>23.05.04, 23.06.01</t>
  </si>
  <si>
    <t>806638.02.01</t>
  </si>
  <si>
    <t>Почвоведение с основами агрохимии: лаб. практ.: Уч.пос. / О.А.Ульянова - М.:НИЦ ИНФРА-М,2026 - 263 с.(ВО (КрГАУ))(п)</t>
  </si>
  <si>
    <t>ПОЧВОВЕДЕНИЕ С ОСНОВАМИ АГРОХИМИИ: ЛАБОРАТОРНЫЙ ПРАКТИКУМ, ИЗД.1</t>
  </si>
  <si>
    <t>Ульянова О.А., Кураченко Н.Л.</t>
  </si>
  <si>
    <t>978-5-16-019626-8</t>
  </si>
  <si>
    <t>35.03.01, 35.03.03, 35.03.05, 35.03.10, 35.04.03</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</si>
  <si>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35.03.10 «Ландшафтная архитектура», профиль «Садово-парковое и ландшафтное строительство»</t>
  </si>
  <si>
    <t>416200.13.01</t>
  </si>
  <si>
    <t>Почвоведение с основами геологии: Уч. / Н.Ф.Ганжара - М.:НИЦ ИНФРА-М,2026 - 352 с.(ВО: Бакалавр.)(П)</t>
  </si>
  <si>
    <t>ПОЧВОВЕДЕНИЕ С ОСНОВАМИ ГЕОЛОГИИ, ИЗД.1</t>
  </si>
  <si>
    <t>Ганжара Н.Ф., Борисов Б.А.</t>
  </si>
  <si>
    <t>978-5-16-006240-2</t>
  </si>
  <si>
    <t>05.03.06, 06.03.01, 06.03.02, 20.03.02, 21.03.02, 35.03.01, 35.03.03, 35.03.04, 35.03.05, 35.03.10, 35.04.03</t>
  </si>
  <si>
    <t>Рекомендован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35.03.04 «Агрономия»</t>
  </si>
  <si>
    <t>416300.11.01</t>
  </si>
  <si>
    <t>Почвоведение. Практикум: Уч.пос. / Н.Ф.Ганжара - М.:НИЦ ИНФРА-М,2026 - 256 с.(ВО: Бакалавр.)(П)</t>
  </si>
  <si>
    <t>ПОЧВОВЕДЕНИЕ. ПРАКТИКУМ, ИЗД.1</t>
  </si>
  <si>
    <t>Ганжара Н. Ф., Борисов Б. А., Байбеков Р. Ф., Ганжара Н. Ф.</t>
  </si>
  <si>
    <t>978-5-16-018832-4</t>
  </si>
  <si>
    <t>05.03.03, 05.03.04, 05.03.06, 06.03.01, 06.03.02, 06.04.02, 20.03.02, 21.03.02, 35.03.01, 35.03.03, 35.03.04, 35.03.05, 35.03.10, 44.03.05</t>
  </si>
  <si>
    <t>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направлениям «Агрохимия и агропочвоведение», «Агрономия», «Садоводство»</t>
  </si>
  <si>
    <t>813211.02.01</t>
  </si>
  <si>
    <t>Почвоведение: практикум: Уч.пос. / А.А.Белоусов - М.:НИЦ ИНФРА-М,2027.- 215 с.(ВО (КрГАУ))(п)</t>
  </si>
  <si>
    <t>Белоусов А.А., Власенко О.А., Демьяненко Т.Н.</t>
  </si>
  <si>
    <t>978-5-16-019547-6</t>
  </si>
  <si>
    <t>06.03.02, 35.03.05, 35.03.10</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</si>
  <si>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35.03.07 «Технология производства и переработки сельскохозяйственной продукции» и 36.03.02 «Зоотехния»</t>
  </si>
  <si>
    <t>476600.11.01</t>
  </si>
  <si>
    <t>Почвоведение: справочник: Уч.пос. / В.Г.Мамонтов - М.:НИЦ ИНФРА-М,2026 - 365 с.(ВО: Бакалавриат)(П)</t>
  </si>
  <si>
    <t>ПОЧВОВЕДЕНИЕ: СПРАВОЧНИК, ИЗД.1</t>
  </si>
  <si>
    <t>Мамонтов В.Г.</t>
  </si>
  <si>
    <t>978-5-16-016731-2</t>
  </si>
  <si>
    <t>05.03.06, 06.03.01, 06.03.02, 06.04.02, 20.03.02, 35.03.01, 35.03.03, 35.03.04, 35.03.05, 35.03.10</t>
  </si>
  <si>
    <t>Допущено УМО вузов Российской Федерации по агрономическому образованию в качестве учебного пособия для бакалавров, обучающихся по направлениям подготовки 35.03.03 «Агрохимия и агропочвоведение», 35.03.04 «Агрономия» и 35.03.05 «Садоводство»</t>
  </si>
  <si>
    <t>181800.05.01</t>
  </si>
  <si>
    <t>Почвоведение: Уч. пос. / А.И.Горбылева - 2 изд. - М.: НИЦ ИНФРА-М, 2025 - 400 с.(ВО) (п)</t>
  </si>
  <si>
    <t>ПОЧВОВЕДЕНИЕ, ИЗД.2</t>
  </si>
  <si>
    <t>Горбылева А. И., Воробьев В. Б., Петровский Е. И.</t>
  </si>
  <si>
    <t>978-5-16-005677-7</t>
  </si>
  <si>
    <t>05.03.06, 06.03.01, 06.03.02, 20.03.02, 35.03.01, 35.03.03, 35.03.04, 35.03.05, 35.03.10, 35.04.03, 35.04.04</t>
  </si>
  <si>
    <t>Допущено Министерством образования Республики Беларусь в качестве учебного пособия для студентов вузов по агрономическим специальностям</t>
  </si>
  <si>
    <t>725297.04.01</t>
  </si>
  <si>
    <t>Поэзия Николая Перовского: Моногр. / В.К.Харченко - М.:НИЦ ИНФРА-М,2027 - 121 с.(Науч.мысль)(о)</t>
  </si>
  <si>
    <t>ПОЭЗИЯ НИКОЛАЯ ПЕРОВСКОГО, ИЗД.1</t>
  </si>
  <si>
    <t>978-5-16-015886-0</t>
  </si>
  <si>
    <t>818376.01.01</t>
  </si>
  <si>
    <t>Поэтика имени в творчестве И. А. Бунина: Моногр. / Я.В.Баженова-М.:НИЦ ИНФРА-М, СФУ,2024.-270 с.(о)</t>
  </si>
  <si>
    <t>ПОЭТИКА ИМЕНИ В ТВОРЧЕСТВЕ И. А. БУНИНА, ИЗД.1</t>
  </si>
  <si>
    <t>Баженова Я.В.</t>
  </si>
  <si>
    <t>978-5-16-019508-7</t>
  </si>
  <si>
    <t>45.03.99, 52.05.04</t>
  </si>
  <si>
    <t>440650.07.01</t>
  </si>
  <si>
    <t>Поэтика прозы Л.И. Бородина: диалог с культ.: Моногр. / В.Д.Серафимова - М.:НИЦ ИНФРА-М,2026. - 100 с.(О)</t>
  </si>
  <si>
    <t>ПОЭТИКА ПРОЗЫ Л.И. БОРОДИНА: ДИАЛОГ С КУЛЬТУРНЫМ ПРОСТРАНСТВОМ, ИЗД.1</t>
  </si>
  <si>
    <t>978-5-16-006773-5</t>
  </si>
  <si>
    <t>45.03.01, 45.04.01, 53.04.05</t>
  </si>
  <si>
    <t>632596.09.01</t>
  </si>
  <si>
    <t>Права на товарный знак: Моногр. / Отв. ред. Л.А.Новоселова - М.:Юр.Норма, НИЦ ИНФРА-М,2027 - 144 с.(О)</t>
  </si>
  <si>
    <t>ПРАВА НА ТОВАРНЫЙ ЗНАК, ИЗД.1</t>
  </si>
  <si>
    <t>Новоселова Л.А.</t>
  </si>
  <si>
    <t>978-5-91768-739-1</t>
  </si>
  <si>
    <t>15.04.01, 29.04.01, 29.04.02, 29.04.03, 38.03.01, 40.03.01, 40.04.01</t>
  </si>
  <si>
    <t>821081.01.01</t>
  </si>
  <si>
    <t>Права чел. и совр. международные отношения: Сб. науч. трудов / В.А.Карташкин-М.:Юр. НОРМА,2024.-176 с.(п)</t>
  </si>
  <si>
    <t>ПРАВА ЧЕЛОВЕКА И СОВРЕМЕННЫЕ МЕЖДУНАРОДНЫЕ ОТНОШЕНИЯ, ИЗД.1</t>
  </si>
  <si>
    <t>978-5-00156-356-3</t>
  </si>
  <si>
    <t>37.03.02, 38.04.04, 40.05.02, 41.03.04, 41.03.05, 41.04.05</t>
  </si>
  <si>
    <t>110550.09.01</t>
  </si>
  <si>
    <t>Права человека и демографические процессы: Моногр. / Н.С. Колесова. - М.: НОРМА: ИНФРА-М,2026 - 240 с.(о)</t>
  </si>
  <si>
    <t>ПРАВА ЧЕЛОВЕКА И ДЕМОГРАФИЧЕСКИЕ ПРОЦЕССЫ, ИЗД.1</t>
  </si>
  <si>
    <t>Колесова Н.С.</t>
  </si>
  <si>
    <t>978-5-16-003644-1</t>
  </si>
  <si>
    <t>682764.08.01</t>
  </si>
  <si>
    <t>Права человека и принципы международ.права в XXIв. / В.А.Карташкин - М.:Юр.Норма,НИЦ ИНФРА-М,2027 - 148 с.(П)</t>
  </si>
  <si>
    <t>ПРАВА ЧЕЛОВЕКА И ПРИНЦИПЫ МЕЖДУНАРОДНОГО ПРАВА В XXI ВЕКЕ, ИЗД.1</t>
  </si>
  <si>
    <t>978-5-91768-917-3</t>
  </si>
  <si>
    <t>40.03.01, 40.04.01, 40.05.01, 44.03.05</t>
  </si>
  <si>
    <t>850518.02.01</t>
  </si>
  <si>
    <t>Права человека: доктрина и практика: Моногр. / И.Г.Дудко. - М.:Юр. НОРМА, НИЦ ИНФРА-М,2027. - 420 с.(п)</t>
  </si>
  <si>
    <t>ПРАВА ЧЕЛОВЕКА: ДОКТРИНА И ПРАКТИКА, ИЗД.1</t>
  </si>
  <si>
    <t>Дудко И.Г., Абаева Е.А., Басова А.В. и др.</t>
  </si>
  <si>
    <t>978-5-00156-420-1</t>
  </si>
  <si>
    <t>757887.04.01</t>
  </si>
  <si>
    <t>Права человека: между прошлым и будущим: Моногр. / Т.А.Васильева - М.:Юр.Норма, НИЦ ИНФРА-М,2022 - 448 с.(П)</t>
  </si>
  <si>
    <t>ПРАВА ЧЕЛОВЕКА: МЕЖДУ ПРОШЛЫМ И БУДУЩИМ, ИЗД.1</t>
  </si>
  <si>
    <t>Васильева Т.А., Алексенко А.В., Варламова Н.В. и др.</t>
  </si>
  <si>
    <t>978-5-00156-180-4</t>
  </si>
  <si>
    <t>019996.23.01</t>
  </si>
  <si>
    <t>Права человека: Уч. / Е.А.Лукашева - 3 изд. - М.:Юр.Норма, НИЦ ИНФРА-М,2026 - 512 с.(П)</t>
  </si>
  <si>
    <t>ПРАВА ЧЕЛОВЕКА, ИЗД.3</t>
  </si>
  <si>
    <t>Васильева Т.А., Карташкин В.А., Лукашева Е.А. и др.</t>
  </si>
  <si>
    <t>978-5-91768-578-6</t>
  </si>
  <si>
    <t>40.03.01, 40.04.01, 40.05.01, 40.05.02, 40.05.03, 40.05.04, 41.03.01, 41.03.06, 44.03.05, 46.03.02</t>
  </si>
  <si>
    <t>149500.06.01</t>
  </si>
  <si>
    <t>Права человека: Уч.пос. / Е.В.Гулин - 2 изд. - М.:ИЦ РИОР,НИЦ ИНФРА-М,2021-175 с.(ВО: Бакалавр.)(П)</t>
  </si>
  <si>
    <t>ПРАВА ЧЕЛОВЕКА, ИЗД.2</t>
  </si>
  <si>
    <t>978-5-369-01503-2</t>
  </si>
  <si>
    <t>149500.11.01</t>
  </si>
  <si>
    <t>Права человека: Уч.пос. / Е.В.Гулин - 3 изд. - М.:ИЦ РИОР, НИЦ ИНФРА-М,2026. - 176 с.(ВО)(П)</t>
  </si>
  <si>
    <t>978-5-369-01878-1</t>
  </si>
  <si>
    <t>744591.04.01</t>
  </si>
  <si>
    <t>Правда: социально-правовой...: Монография / Н.А.Шавеко - М.:НИЦ ИНФРА-М,2026 - 159 с.(о)</t>
  </si>
  <si>
    <t>ПРАВДА: СОЦИАЛЬНО-ПРАВОВОЙ И РЕЛИГИОЗНО-НРАВСТВЕННЫЙ ИДЕАЛ ДРЕВНЕЙ РУСИ (XI-XVII ВЕКА). ИСТОРИКО-ФИЛОСОФСКОЕ ИССЛЕДОВАНИЕ, ИЗД.1</t>
  </si>
  <si>
    <t>Шавеко Н.А.</t>
  </si>
  <si>
    <t>978-5-16-016655-1</t>
  </si>
  <si>
    <t>40.04.01, 40.06.01, 46.04.01, 46.06.01, 47.06.01</t>
  </si>
  <si>
    <t>Институт философии и права Уральского отделения Российской академии наук, Удмуртский ф-л</t>
  </si>
  <si>
    <t>660065.06.01</t>
  </si>
  <si>
    <t>Правила безопас. сетей газораспределения и газопотребления - 2 изд. - М.:НИЦ ИНФРА-М,2026. - 49 с.(О)</t>
  </si>
  <si>
    <t>ПРАВИЛА БЕЗОПАСНОСТИ СЕТЕЙ ГАЗОРАСПРЕДЕЛЕНИЯ И ГАЗОПОТРЕБЛЕНИЯ, ИЗД.2</t>
  </si>
  <si>
    <t>978-5-16-012925-9</t>
  </si>
  <si>
    <t>660065.03.01</t>
  </si>
  <si>
    <t>Правила безопасности сетей газораспределения и газопотребления - М.:НИЦ ИНФРА-М,2019-44с.(О)</t>
  </si>
  <si>
    <t>ПРАВИЛА БЕЗОПАСНОСТИ СЕТЕЙ ГАЗОРАСПРЕДЕЛЕНИЯ И ГАЗОПОТРЕБЛЕНИЯ, ИЗД.1</t>
  </si>
  <si>
    <t>801713.07.01</t>
  </si>
  <si>
    <t>Правила внутр. распорядка следств. изолятор. уголов.-исполнит. сис. - 3 изд. - М.:НИЦ ИНФРА-М,2027. - 304 с.(п)</t>
  </si>
  <si>
    <t>ПРАВИЛА ВНУТРЕННЕГО РАСПОРЯДКА СЛЕДСТВЕННЫХ ИЗОЛЯТОРОВ УГОЛОВНО-ИСПОЛНИТЕЛЬНОЙ СИСТЕМЫ., ИЗД.3</t>
  </si>
  <si>
    <t>978-5-16-022288-2</t>
  </si>
  <si>
    <t>40.02.02, 40.03.01, 40.05.01, 40.05.02, 40.05.04</t>
  </si>
  <si>
    <t>801713.06.01</t>
  </si>
  <si>
    <t>Правила внутр. распорядка учрежд. угол.-исполнит. сис..: Правила - 2 изд. - М.:НИЦ ИНФРА-М,2024. - 296 с.(п)</t>
  </si>
  <si>
    <t>ПРАВИЛА ВНУТРЕННЕГО РАСПОРЯДКА УЧРЕЖДЕНИЙ УГОЛОВНО-ИСПОЛНИТЕЛЬНОЙ СИСТЕМЫ (ОБЪЕДИНЕННОЕ ИЗДАНИЕ), ИЗД.2</t>
  </si>
  <si>
    <t>978-5-16-020029-3</t>
  </si>
  <si>
    <t>801713.03.01</t>
  </si>
  <si>
    <t>Правила внутр. распорядка учреждений уголовно-исполнит. сис... / Без автора-М.:НИЦ ИНФРА-М,2023.-289 с.(П)</t>
  </si>
  <si>
    <t>ПРАВИЛА ВНУТРЕННЕГО РАСПОРЯДКА УЧРЕЖДЕНИЙ УГОЛОВНО-ИСПОЛНИТЕЛЬНОЙ СИСТЕМЫ (ОБЪЕДИНЕННОЕ ИЗДАНИЕ), ИЗД.1</t>
  </si>
  <si>
    <t>978-5-16-018732-7</t>
  </si>
  <si>
    <t>801713.02.01</t>
  </si>
  <si>
    <t>Правила внутр. распорядка учреждений уголовно-исполнит. сис... -М.:НИЦ ИНФРА-М,2023.-289 с.(О)</t>
  </si>
  <si>
    <t>978-5-16-018403-6</t>
  </si>
  <si>
    <t>785850.01.01</t>
  </si>
  <si>
    <t>Правила планир., проектир., управ. развитием городов: Уч.пос. / Г.А.Потаев-М.:НИЦ ИНФРА-М,2025.-292 с.(ВО)(п)</t>
  </si>
  <si>
    <t>ПРАВИЛА ПЛАНИРОВАНИЯ, ПРОЕКТИРОВАНИЯ, УПРАВЛЕНИЯ РАЗВИТИЕМ ГОРОДОВ, ИЗД.1</t>
  </si>
  <si>
    <t>978-5-16-018553-8</t>
  </si>
  <si>
    <t>07.03.01, 07.03.04, 07.04.01, 07.04.04</t>
  </si>
  <si>
    <t>359700.08.01</t>
  </si>
  <si>
    <t>Правила по охране труда при эксплуатации электроустановок - 2 изд. - М.:НИЦ ИНФРА-М,2019 -138 с. (о)</t>
  </si>
  <si>
    <t>ПРАВИЛА ПО ОХРАНЕ ТРУДА ПРИ ЭКСПЛУАТАЦИИ ЭЛЕКТРОУСТАНОВОК, ИЗД.2</t>
  </si>
  <si>
    <t>978-5-16-012097-3</t>
  </si>
  <si>
    <t>11.03.03, 11.03.04, 13.03.02, 21.02.15</t>
  </si>
  <si>
    <t>359700.14.01</t>
  </si>
  <si>
    <t>Правила по охране труда при эксплуатации электроустановок - 3 изд. - М.:НИЦ ИНФРА-М,2022-144 с.(О)</t>
  </si>
  <si>
    <t>ПРАВИЛА ПО ОХРАНЕ ТРУДА ПРИ ЭКСПЛУАТАЦИИ ЭЛЕКТРОУСТАНОВОК, ИЗД.3</t>
  </si>
  <si>
    <t>978-5-16-017110-4</t>
  </si>
  <si>
    <t>359700.22.01</t>
  </si>
  <si>
    <t>Правила по охране труда при эксплуатации электроустановок - 4 изд. - М.:НИЦ ИНФРА-М,2027. - 149 с.(О)</t>
  </si>
  <si>
    <t>ПРАВИЛА ПО ОХРАНЕ ТРУДА ПРИ ЭКСПЛУАТАЦИИ ЭЛЕКТРОУСТАНОВОК, ИЗД.4</t>
  </si>
  <si>
    <t>978-5-16-018015-1</t>
  </si>
  <si>
    <t>474400.04.01</t>
  </si>
  <si>
    <t>Правила противопожарного режима в Российской Федерации с 1 янв. 2021 г.: правила / -М.:НИЦ ИНФРА-М,2021.-104 с.(О)</t>
  </si>
  <si>
    <t>ПРАВИЛА ПРОТИВОПОЖАРНОГО РЕЖИМА В РОССИЙСКОЙ ФЕДЕРАЦИИ С 1 ЯНВАРЯ 2021 ГОДА, ИЗД.1</t>
  </si>
  <si>
    <t>978-5-16-016817-3</t>
  </si>
  <si>
    <t>753636.03.01</t>
  </si>
  <si>
    <t>Правила противопожарного режима для объектов торговли: правила - М.:НИЦ ИНФРА-М,2022.-40 с(О)</t>
  </si>
  <si>
    <t>ПРАВИЛА ПРОТИВОПОЖАРНОГО РЕЖИМА ДЛЯ ОБЪЕКТОВ ТОРГОВЛИ, ИЗД.1</t>
  </si>
  <si>
    <t>978-5-16-016818-0</t>
  </si>
  <si>
    <t>00.03.01, 00.05.01, 38.03.06, 38.04.06</t>
  </si>
  <si>
    <t>054790.17.01</t>
  </si>
  <si>
    <t>Правила русской орфографии и пунктуации - 2 изд. - М.:ИЦ РИОР,НИЦ ИНФРА-М,2026 - 98 с.(О)</t>
  </si>
  <si>
    <t>ПРАВИЛА РУССКОЙ ОРФОГРАФИИ И ПУНКТУАЦИИ, ИЗД.2</t>
  </si>
  <si>
    <t>978-5-369-00738-9</t>
  </si>
  <si>
    <t>00.00.00, 00.02.09, 00.02.34, 31.02.01, 31.02.02, 31.02.03, 32.02.01, 33.02.01, 34.02.01, 42.02.01, 42.02.02, 43.02.11, 43.02.16, 44.02.01, 44.02.02, 44.02.03, 44.02.04, 44.02.05, 44.02.06, 46.02.01, 51.02.03</t>
  </si>
  <si>
    <t>054790.07.01</t>
  </si>
  <si>
    <t>Правила русской орфографии и пунктуации - М.:ИЦ РИОР, 2018. - 96 с.(О) [0+]</t>
  </si>
  <si>
    <t>ПРАВИЛА РУССКОЙ ОРФОГРАФИИ И ПУНКТУАЦИИ, ИЗД.1</t>
  </si>
  <si>
    <t>978-5-9557-0101-1</t>
  </si>
  <si>
    <t>442050.09.01</t>
  </si>
  <si>
    <t>Правила творческого мышления, или тайные пружины ТРИЗ: Уч.пос. / С.В.Кукалев - М.:НИЦ ИНФРА-М,2026. - 416 с.(ВО)(п)</t>
  </si>
  <si>
    <t>ПРАВИЛА ТВОРЧЕСКОГО МЫШЛЕНИЯ, ИЛИ ТАЙНЫЕ ПРУЖИНЫ ТРИЗ, ИЗД.1</t>
  </si>
  <si>
    <t>Кукалев С.В.</t>
  </si>
  <si>
    <t>978-5-16-018866-9</t>
  </si>
  <si>
    <t>744960.01.01</t>
  </si>
  <si>
    <t>Правила тех. эксплуатации морских судов. Основное рук.РД 31.20.01-97 - М.:НИЦ ИНФРА-М,2022.-48 с.(О)</t>
  </si>
  <si>
    <t>ПРАВИЛА ТЕХНИЧЕСКОЙ ЭКСПЛУАТАЦИИ МОРСКИХ СУДОВ. ОСНОВНОЕ РУКОВОДСТВО РД 31.20.01-97, ИЗД.1</t>
  </si>
  <si>
    <t>978-5-16-016524-0</t>
  </si>
  <si>
    <t>26.02.02, 26.03.02, 26.04.01, 26.04.02, 26.05.01, 26.05.02, 26.05.03, 26.05.04, 26.05.05, 26.05.06, 26.05.07</t>
  </si>
  <si>
    <t>744961.03.01</t>
  </si>
  <si>
    <t>Правила тех. эксплуатации судовых технич. средств и конструкций РД 31.21.30-97 - М.:НИЦ ИНФРА-М,2026. - 327 с.(О)</t>
  </si>
  <si>
    <t>ПРАВИЛА ТЕХНИЧЕСКОЙ ЭКСПЛУАТАЦИИ СУДОВЫХ ТЕХНИЧЕСКИХ СРЕДСТВ И КОНСТРУКЦИЙ РД 31.21.30-97, ИЗД.1</t>
  </si>
  <si>
    <t>978-5-16-016525-7</t>
  </si>
  <si>
    <t>26.02.02, 26.02.03, 26.02.05, 26.03.01, 26.03.02, 26.04.01, 26.04.02, 26.05.01, 26.05.02, 26.05.03, 26.05.04, 26.05.05, 26.05.06, 26.05.07, 40.02.04</t>
  </si>
  <si>
    <t>662678.19.01</t>
  </si>
  <si>
    <t>Правила технич. эксплуатации Ж/Д РФ. Действ. с 1 авг. 2022 г. - 4 изд. - М.:НИЦ ИНФРА-М,2026 - 560 с.:цв.ил.(п)</t>
  </si>
  <si>
    <t>ПРАВИЛА ТЕХНИЧЕСКОЙ ЭКСПЛУАТАЦИИ ЖЕЛЕЗНЫХ ДОРОГ РОССИЙСКОЙ ФЕДЕРАЦИИ, ИЗД.4</t>
  </si>
  <si>
    <t>978-5-16-017988-9</t>
  </si>
  <si>
    <t>045390.12.01</t>
  </si>
  <si>
    <t>Правила технич. эксплуатации тепловых энергоустановок: Правила  - 2 изд. - М.:НИЦ ИНФРА-М,2026. - 216 с.(п)</t>
  </si>
  <si>
    <t>ПРАВИЛА ТЕХНИЧЕСКОЙ ЭКСПЛУАТАЦИИ ТЕПЛОВЫХ ЭНЕРГОУСТАНОВОК, ИЗД.2</t>
  </si>
  <si>
    <t>978-5-16-021465-8</t>
  </si>
  <si>
    <t>08.01.31, 08.02.09, 13.02.01, 13.02.02, 13.02.05, 13.02.13, 18.01.27, 18.01.28, 19.01.01, 38.03.01, 38.03.03, 38.04.03, 40.03.01, 40.04.01, 41.03.06</t>
  </si>
  <si>
    <t>066660.14.01</t>
  </si>
  <si>
    <t>Правила технич. эксплуатации электроустановок потребителей - 4 изд. - М.:НИЦ ИНФРА-М,2027. - 211 с.(о)</t>
  </si>
  <si>
    <t>ПРАВИЛА ТЕХНИЧЕСКОЙ ЭКСПЛУАТАЦИИ ЭЛЕКТРОУСТАНОВОК ПОТРЕБИТЕЛЕЙ, ИЗД.4</t>
  </si>
  <si>
    <t>978-5-16-022327-8</t>
  </si>
  <si>
    <t>13.03.01, 13.03.02, 13.04.01</t>
  </si>
  <si>
    <t>066660.11.01</t>
  </si>
  <si>
    <t>Правила технич. эксплуатации электроустановок потребителей: Правила - 3 изд.-М.:НИЦ ИНФРА-М,2024.-187 с.(о)</t>
  </si>
  <si>
    <t>ПРАВИЛА ТЕХНИЧЕСКОЙ ЭКСПЛУАТАЦИИ ЭЛЕКТРОУСТАНОВОК ПОТРЕБИТЕЛЕЙ, ИЗД.3</t>
  </si>
  <si>
    <t>978-5-16-020139-9</t>
  </si>
  <si>
    <t>662678.03.01</t>
  </si>
  <si>
    <t>Правила технической эксплуатации Ж/Д РФ / -М.:НИЦ ИНФРА-М,2018-583с.(Федеральные нормы и правила)(П)</t>
  </si>
  <si>
    <t>ПРАВИЛА ТЕХНИЧЕСКОЙ ЭКСПЛУАТАЦИИ ЖЕЛЕЗНЫХ ДОРОГ РОССИЙСКОЙ ФЕДЕРАЦИИ, ИЗД.1</t>
  </si>
  <si>
    <t>978-5-16-013004-0</t>
  </si>
  <si>
    <t>662678.07.01</t>
  </si>
  <si>
    <t>Правила технической эксплуатации Ж/Д РФ/  - 2 изд., - М.:НИЦ ИНФРА-М,2020 - 620 с.(Федер. нормы и правила) (П)</t>
  </si>
  <si>
    <t>ПРАВИЛА ТЕХНИЧЕСКОЙ ЭКСПЛУАТАЦИИ ЖЕЛЕЗНЫХ ДОРОГ РОССИЙСКОЙ ФЕДЕРАЦИИ, ИЗД.2</t>
  </si>
  <si>
    <t>978-5-16-014748-2</t>
  </si>
  <si>
    <t>662678.12.01</t>
  </si>
  <si>
    <t>Правила технической эксплуатации Ж/Д РФ/  - 3 изд. - М.:НИЦ ИНФРА-М,2022 - 622 с.(Федер. нормы и правила) (П)</t>
  </si>
  <si>
    <t>ПРАВИЛА ТЕХНИЧЕСКОЙ ЭКСПЛУАТАЦИИ ЖЕЛЕЗНЫХ ДОРОГ РОССИЙСКОЙ ФЕДЕРАЦИИ, ИЗД.3</t>
  </si>
  <si>
    <t>045390.11.01</t>
  </si>
  <si>
    <t>Правила технической эксплуатации тепловых энергоустановок  - М.:НИЦ ИНФРА-М,2024 -184 с.(П)</t>
  </si>
  <si>
    <t>ПРАВИЛА ТЕХНИЧЕСКОЙ ЭКСПЛУАТАЦИИ ТЕПЛОВЫХ ЭНЕРГОУСТАНОВОК, ИЗД.1</t>
  </si>
  <si>
    <t>978-5-16-011778-2</t>
  </si>
  <si>
    <t>795903.03.01</t>
  </si>
  <si>
    <t>Правила устр. электроустановок (действ. разделы 6-го и 7-го изд.)  - М.:НИЦ ИНФРА-М,2027. - 832 с. [цв].(п)</t>
  </si>
  <si>
    <t>ПРАВИЛА УСТРОЙСТВА ЭЛЕКТРОУСТАНОВОК (ДЕЙСТВУЮЩИЕ РАЗДЕЛЫ 6-ГО И 7-ГО ИЗДАНИЙ), ИЗД.1</t>
  </si>
  <si>
    <t>978-5-16-018172-1</t>
  </si>
  <si>
    <t>08.02.09, 13.02.12, 13.02.13</t>
  </si>
  <si>
    <t>848898.03.01</t>
  </si>
  <si>
    <t>Право в реалиях технологической революции: Моногр. / Т.Я.Хабриева - М.:Юр. НОРМА, НИЦ ИНФРА-М,2026. - 168 с.(п)</t>
  </si>
  <si>
    <t>ПРАВО В РЕАЛИЯХ ТЕХНОЛОГИЧЕСКОЙ РЕВОЛЮЦИИ, ИЗД.1</t>
  </si>
  <si>
    <t>978-5-00156-406-5</t>
  </si>
  <si>
    <t>15.04.01, 38.05.01, 40.04.01, 40.05.01, 40.05.02, 40.05.03, 40.05.04</t>
  </si>
  <si>
    <t>633327.06.01</t>
  </si>
  <si>
    <t>Право ВТО: теория и практ..: Моногр. / Под ред. Ануфриевой Л.П.-М.:Юр.Норма,НИЦ ИНФРА-М,2021-528с(П)</t>
  </si>
  <si>
    <t>ПРАВО ВТО: ТЕОРИЯ И ПРАКТИКА ПРИМЕНЕНИЯ, ИЗД.1</t>
  </si>
  <si>
    <t>Ануфриева Л.П.</t>
  </si>
  <si>
    <t>978-5-91768-747-6</t>
  </si>
  <si>
    <t>754145.04.01</t>
  </si>
  <si>
    <t>Право и биомедицина: Монография / Ф.В.Цомартова - М.:Юр.Норма, НИЦ ИНФРА-М,2025. - 136 с.(П)</t>
  </si>
  <si>
    <t>ПРАВО И БИОМЕДИЦИНА, ИЗД.1</t>
  </si>
  <si>
    <t>Цомартова Ф.В., Помазанский А.Е., Никитина Е.Е. и др.</t>
  </si>
  <si>
    <t>978-5-00156-163-7</t>
  </si>
  <si>
    <t>40.04.01, 40.05.03, 40.06.01</t>
  </si>
  <si>
    <t>873534.01.01</t>
  </si>
  <si>
    <t>Право и гендерная эгалитарность: Моногр. / С.Б.Бальхаева. - М.:Юр. НОРМА, НИЦ ИНФРА-М,2026. - 172 с.(п)</t>
  </si>
  <si>
    <t>ПРАВО И ГЕНДЕРНАЯ ЭГАЛИТАРНОСТЬ, ИЗД.1</t>
  </si>
  <si>
    <t>Бальхаева С.Б., Беляева О.А., Гаунова Ж.А. и др.</t>
  </si>
  <si>
    <t>978-5-00156-475-1</t>
  </si>
  <si>
    <t>653329.02.01</t>
  </si>
  <si>
    <t>Право и животный мир: история и современность: Моногр. / С.В.Иванова-М.:НИЦ ИНФРА-М,2018-158с.(П)</t>
  </si>
  <si>
    <t>ПРАВО И ЖИВОТНЫЙ МИР: ИСТОРИЯ И СОВРЕМЕННОСТЬ, ИЗД.1</t>
  </si>
  <si>
    <t>978-5-16-012630-2</t>
  </si>
  <si>
    <t>653329.04.01</t>
  </si>
  <si>
    <t>Право и животный мир: история и современность: Моногр./ С.В.Иванова-М.:НИЦ ИНФРА-М,2022.-158 с.(О)</t>
  </si>
  <si>
    <t>978-5-16-016561-5</t>
  </si>
  <si>
    <t>753347.04.01</t>
  </si>
  <si>
    <t>Право и закон: Моногр. / В.С.Нерсесянц - М.:Юр.Норма, НИЦ ИНФРА-М,2026 - 368 с.(П)</t>
  </si>
  <si>
    <t>ПРАВО И ЗАКОН, ИЗД.1</t>
  </si>
  <si>
    <t>Нерсесянц В.С., Лапаева В.В.</t>
  </si>
  <si>
    <t>978-5-00156-159-0</t>
  </si>
  <si>
    <t>632595.06.01</t>
  </si>
  <si>
    <t>Право и институты Европейского Союза.: Уч.пос. / Л.М.Энтин - 2 изд. - М.:Юр.Норма,НИЦ ИНФРА-М,2022-288с.(П)</t>
  </si>
  <si>
    <t>ПРАВО И ИНСТИТУТЫ ЕВРОПЕЙСКОГО СОЮЗА. СОВРЕМЕННЫЙ ЭТАП ЭВОЛЮЦИИ, ИЗД.2</t>
  </si>
  <si>
    <t>Энтин Л.М.</t>
  </si>
  <si>
    <t>978-5-91768-741-4</t>
  </si>
  <si>
    <t>042110.08.01</t>
  </si>
  <si>
    <t>Право и Интернет. Теория кибернетич. права / И.М.Рассолов - 3 изд. - М.:Юр.Норма, НИЦ ИНФРА-М,2026 - 304 с.(П)</t>
  </si>
  <si>
    <t>ПРАВО И ИНТЕРНЕТ. ТЕОРЕТИЧЕСКИЕ ПРОБЛЕМЫ, ИЗД.3</t>
  </si>
  <si>
    <t>Рассолов И. М.</t>
  </si>
  <si>
    <t>978-5-00156-142-2</t>
  </si>
  <si>
    <t>38.04.05, 40.03.01, 40.04.01, 40.05.02, 40.05.03, 40.05.04, 40.06.01</t>
  </si>
  <si>
    <t>122700.06.01</t>
  </si>
  <si>
    <t>Право и правовая сис. Великобритании: Уч.пос. / А.К.Романов, - 2 изд. - М.:НИЦ ИНФРА-М,2025. - 340 с.(ВО)(п)</t>
  </si>
  <si>
    <t>ПРАВО И ПРАВОВАЯ СИСТЕМА ВЕЛИКОБРИТАНИИ, ИЗД.2</t>
  </si>
  <si>
    <t>Романов А.К.</t>
  </si>
  <si>
    <t>978-5-16-017199-9</t>
  </si>
  <si>
    <t>472500.08.01</t>
  </si>
  <si>
    <t>Право и экономика (методология): Уч.для магистр. / Г.А.Гаджиев - М.:Юр.Норма,НИЦ ИНФРА-М,2026 - 256 с.(П)</t>
  </si>
  <si>
    <t>ПРАВО И ЭКОНОМИКА (МЕТОДОЛОГИЯ), ИЗД.1</t>
  </si>
  <si>
    <t>978-5-91768-695-0</t>
  </si>
  <si>
    <t>38.04.01, 40.04.01</t>
  </si>
  <si>
    <t>792934.04.01</t>
  </si>
  <si>
    <t>Право интеллект. собств. в условиях развития новых... / Е.А.Моргунова - М.:Юр. НОРМА, НИЦ ИНФРА-М,2026. - 152 с.(п)</t>
  </si>
  <si>
    <t>ПРАВО ИНТЕЛЛЕКТУАЛЬНОЙ СОБСТВЕННОСТИ В УСЛОВИЯХ РАЗВИТИЯ НОВЫХ ТЕХНОЛОГИЙ, ИЗД.1</t>
  </si>
  <si>
    <t>Моргунова Е.А., Шахназаров Б.А.</t>
  </si>
  <si>
    <t>978-5-00156-275-7</t>
  </si>
  <si>
    <t>40.04.01, 40.05.01, 40.05.03, 40.05.04, 40.06.01, 41.04.04</t>
  </si>
  <si>
    <t>682992.09.01</t>
  </si>
  <si>
    <t>Право интеллект. собств.: Промыш. собств.: Уч. / Г.Ф.Ручкина - М.:НИЦ ИНФРА-М,2027 - 548 с.-(ВО)(п)</t>
  </si>
  <si>
    <t>ПРАВО ИНТЕЛЛЕКТУАЛЬНОЙ СОБСТВЕННОСТИ: ПРОМЫШЛЕННАЯ СОБСТВЕННОСТЬ, ИЗД.1</t>
  </si>
  <si>
    <t>Ручкина Г.Ф., Гончаренко Л.И., Лосева О.В. и др.</t>
  </si>
  <si>
    <t>978-5-16-015999-7</t>
  </si>
  <si>
    <t>Рекомендовано Учебно-методическим советом ВО в качестве учебника для студентов высших учебных заведений, обучающихся по направлению подготовки 40.03.01 «Юриспруденция» (квалификация (степень) «бакалавр»)</t>
  </si>
  <si>
    <t>682616.05.01</t>
  </si>
  <si>
    <t>Право интеллектуальной собственности: Худ. собст.: Уч. / Ручкина Г.Ф. - М.:НИЦ ИНФРА-М,2026 - 232 с.(ВО)(П)</t>
  </si>
  <si>
    <t>ПРАВО ИНТЕЛЛЕКТУАЛЬНОЙ СОБСТВЕННОСТИ: ХУДОЖЕСТВЕННАЯ СОБСТВЕННОСТЬ, ИЗД.1</t>
  </si>
  <si>
    <t>Кулешова И.А., Рахматулина Р.Ш., Рузакова О.А. и др.</t>
  </si>
  <si>
    <t>978-5-16-014169-5</t>
  </si>
  <si>
    <t>772065.04.01</t>
  </si>
  <si>
    <t>Право личности на инсоляцию: Моногр. / П.Н.Андреева - М.:Юр.Норма,2025. - 160 с.(П)</t>
  </si>
  <si>
    <t>ПРАВО ЛИЧНОСТИ НА ИНСОЛЯЦИЮ, ИЗД.1</t>
  </si>
  <si>
    <t>Андреева П.Н.</t>
  </si>
  <si>
    <t>978-5-00156-220-7</t>
  </si>
  <si>
    <t>736688.06.01</t>
  </si>
  <si>
    <t>Право международных обычаев: Моногр. / Ю.С.Ромашев, - 2 изд. - М.:Юр. НОРМА, НИЦ ИНФРА-М,2026. - 176 с.(п)</t>
  </si>
  <si>
    <t>ПРАВО МЕЖДУНАРОДНЫХ ОБЫЧАЕВ, ИЗД.2</t>
  </si>
  <si>
    <t>978-5-00156-294-8</t>
  </si>
  <si>
    <t>736688.03.01</t>
  </si>
  <si>
    <t>Право международных обычаев: Монография / Ю.С.Ромашев - М.:Юр.Норма, НИЦ ИНФРА-М,2023 - 144 с.(П)</t>
  </si>
  <si>
    <t>ПРАВО МЕЖДУНАРОДНЫХ ОБЫЧАЕВ, ИЗД.1</t>
  </si>
  <si>
    <t>978-5-00156-071-5</t>
  </si>
  <si>
    <t>632928.05.01</t>
  </si>
  <si>
    <t>Право на бунт в культур.традиции...: Моногр. / А.В.Скиперских - М.:НИЦ ИНФРА-М,2025 - 266 с.(Науч.мысль)(П)</t>
  </si>
  <si>
    <t>ПРАВО НА БУНТ В КУЛЬТУРНОЙ ТРАДИЦИИ: ЕВРОПЕЙСКИЙ И РУССКИЙ КОНТЕКСТ, ИЗД.1</t>
  </si>
  <si>
    <t>978-5-16-012036-2</t>
  </si>
  <si>
    <t>857439.01.01</t>
  </si>
  <si>
    <t>Право на защиту персонал. данных осужденных: Моногр. / Под ред. Грушина Ф.В. - М.:НИЦ ИНФРА-М,2026. - 221 с.(п)</t>
  </si>
  <si>
    <t>ПРАВО НА ЗАЩИТУ ПЕРСОНАЛЬНЫХ ДАННЫХ ОСУЖДЕННЫХ, ИЗД.1</t>
  </si>
  <si>
    <t>Сивцова А.Ю., Грушин Ф.В.</t>
  </si>
  <si>
    <t>978-5-16-021055-1</t>
  </si>
  <si>
    <t>173250.07.01</t>
  </si>
  <si>
    <t>Право на обращение в ЕС по правам человека: Уч.пос. / Ю.В.Самович - 4 изд. - М.:ИЦ РИОР, НИЦ ИНФРА-М,2023-194 с.(ВО)</t>
  </si>
  <si>
    <t>ПРАВО НА ОБРАЩЕНИЕ В ЕВРОПЕЙСКИЙ СУД ПО ПРАВАМ ЧЕЛОВЕКА, ИЗД.4</t>
  </si>
  <si>
    <t>Самович Ю.В.</t>
  </si>
  <si>
    <t>978-5-369-01850-7</t>
  </si>
  <si>
    <t>Рекомендовано Государственным образовательным учреждением высшего профессионального образования «Московская государственная юридическая академия» им. О.Е. Кутафина к использованию в образовательных учреждениях, реализующих образовательные программы высшего профессионального образования (дополнительного профессионального образования) по специальности и направлению "Юриспруденция"</t>
  </si>
  <si>
    <t>173250.06.01</t>
  </si>
  <si>
    <t>Право на обращение в ЕС по правам человека: Уч.пос./ Ю.В.Самович, -3 изд.-М.:ИЦ РИОР, НИЦ ИНФРА-М,2018-163 с.(ВО)(П)</t>
  </si>
  <si>
    <t>ПРАВО НА ОБРАЩЕНИЕ В ЕВРОПЕЙСКИЙ СУД ПО ПРАВАМ ЧЕЛОВЕКА, ИЗД.3</t>
  </si>
  <si>
    <t>978-5-369-01465-3</t>
  </si>
  <si>
    <t>289000.04.01</t>
  </si>
  <si>
    <t>Право открытых обществ - частное и гос.регул.межд.отнош.:Общ.курс / Ю.Базедов - М.:Юр.Норма,2022 - 384 с(п)</t>
  </si>
  <si>
    <t>ПРАВО ОТКРЫТЫХ ОБЩЕСТВ - ЧАСТНОЕ И ГОСУДАРСТВЕННОЕ РЕГУЛИРОВАНИЕ МЕЖДУНАРОДНЫХ ОТНОШЕНИЙ, ИЗД.1</t>
  </si>
  <si>
    <t>Базедов Ю., Юмашев Ю.М.</t>
  </si>
  <si>
    <t>978-5-91768-723-0</t>
  </si>
  <si>
    <t>741187.05.01</t>
  </si>
  <si>
    <t>Право против демократии?: Монография / Б.Матьё - М.:Юр.Норма,2026 - 200 с.(П)</t>
  </si>
  <si>
    <t>ПРАВО ПРОТИВ ДЕМОКРАТИИ, ИЗД.1</t>
  </si>
  <si>
    <t>Матьё Б.</t>
  </si>
  <si>
    <t>978-5-00156-085-2</t>
  </si>
  <si>
    <t>Институт юридических и философских наук Сорбонны</t>
  </si>
  <si>
    <t>682763.09.01</t>
  </si>
  <si>
    <t>Право против хаоса: Моногр. / В.Д.Зорькин - 3 изд. - М.:Юр.Норма, НИЦ ИНФРА-М,2026 - 536с.(п)</t>
  </si>
  <si>
    <t>ПРАВО ПРОТИВ ХАОСА, ИЗД.3</t>
  </si>
  <si>
    <t>978-5-00156-292-4</t>
  </si>
  <si>
    <t>682763.04.01</t>
  </si>
  <si>
    <t>Право против хаоса: Монография / В.Д.Зорькин - 2 изд. - М.:Юр.Норма, НИЦ ИНФРА-М,2023 - 368 с.(П)</t>
  </si>
  <si>
    <t>ПРАВО ПРОТИВ ХАОСА, ИЗД.2</t>
  </si>
  <si>
    <t>978-5-91768-916-6</t>
  </si>
  <si>
    <t>246700.08.01</t>
  </si>
  <si>
    <t>Право собств. на землю в стран. Европы: Моногр. / О.И.Крассов - М.: Юр.Норма, НИЦ ИНФРА-М, 2026. - 400 с.(П)</t>
  </si>
  <si>
    <t>ПРАВО СОБСТВЕННОСТИ НА ЗЕМЛЮ В СТРАНАХ ЕВРОПЫ, ИЗД.1</t>
  </si>
  <si>
    <t>978-5-91768-438-3</t>
  </si>
  <si>
    <t>20.03.02, 40.03.01</t>
  </si>
  <si>
    <t>685990.09.01</t>
  </si>
  <si>
    <t>Право социального обеспечения: Уч.пос. / А.В.Карпова - М.:НИЦ ИНФРА-М,2026 - 175 с.(СПО)(П)</t>
  </si>
  <si>
    <t>ПРАВО СОЦИАЛЬНОГО ОБЕСПЕЧЕНИЯ, ИЗД.1</t>
  </si>
  <si>
    <t>Карпова А.В.</t>
  </si>
  <si>
    <t>978-5-16-014668-3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</si>
  <si>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40.02.01 «Право и организация социального обеспечения» (протокол № 13 от 16.09.2019)</t>
  </si>
  <si>
    <t>641798.07.01</t>
  </si>
  <si>
    <t>Право: Уч. / О.В.Ефимова и др. - М.:НИЦ ИНФРА-М,2025. - 386 с.(СПО)(п)</t>
  </si>
  <si>
    <t>ПРАВО, ИЗД.1</t>
  </si>
  <si>
    <t>Ефимова О.В., Ведышева Н.О., Питько Е.В.</t>
  </si>
  <si>
    <t>978-5-16-014530-3</t>
  </si>
  <si>
    <t>38.02.01, 38.02.02, 38.02.03, 38.02.06, 38.02.07, 38.02.08, 40.02.02, 40.02.04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</si>
  <si>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укрупненным группам специальностей 40.02.00 «Юриспруденция» (протокол № 2 от 28.01.2019), 38.02.00 «Экономика и управление»</t>
  </si>
  <si>
    <t>683220.07.01</t>
  </si>
  <si>
    <t>Право: Уч. / Под ред. Напалкова И.Г. - 2 изд. - М.:Юр. НОРМА, НИЦ ИНФРА-М,2026. - 576 с.(СПО)(П)</t>
  </si>
  <si>
    <t>ПРАВО, ИЗД.2</t>
  </si>
  <si>
    <t>Рукавишникова И.В., Напалкова И.Г., Позднышов А.Н.</t>
  </si>
  <si>
    <t>978-5-00156-261-0</t>
  </si>
  <si>
    <t>Рекомендовано Учебно-методическим объединением по юридическому образованию вузов Российской Федерации в качестве учебника по дисциплине «Право» для студентов образовательных организаций, обучающихся по направлению подготовки «Экономика», квалификация (степень) «бакалавр»</t>
  </si>
  <si>
    <t>Аппарат Совета Федерации Федерального Собрания Российской Федерации</t>
  </si>
  <si>
    <t>293000.05.01</t>
  </si>
  <si>
    <t>Право: Уч. / Под ред. Напалковой И.Г. - М.:Юр.Норма, НИЦ ИНФРА-М,2019 - 384 с.(П)</t>
  </si>
  <si>
    <t>978-5-91768-727-8</t>
  </si>
  <si>
    <t>00.03.08, 40.05.01, 40.05.02, 40.05.03, 40.05.04</t>
  </si>
  <si>
    <t>683220.03.01</t>
  </si>
  <si>
    <t>Право: Уч. / Под ред. Напалковой И.Г. - М.:Юр.Норма, НИЦ ИНФРА-М,2019 - 384 с.-(СПО)(П)</t>
  </si>
  <si>
    <t>978-5-91768-920-3</t>
  </si>
  <si>
    <t>293000.08.01</t>
  </si>
  <si>
    <t>Право: Уч. / Под ред.И.В.Рукавишниковой - 2 изд. - М.:Юр.Норма, НИЦ ИНФРА-М,2025 - 576 с.(п)</t>
  </si>
  <si>
    <t>978-5-00156-262-7</t>
  </si>
  <si>
    <t>883234.01.01</t>
  </si>
  <si>
    <t>Правовая аналитика и искусств. интел. Альбом схем: Уч.пос. / В.Б.Исаков - М.:Юр. НОРМА, НИЦ ИНФРА-М,2027 - 368 с.(п)</t>
  </si>
  <si>
    <t>ПРАВОВАЯ АНАЛИТИКА И ИСКУССТВЕННЫЙ ИНТЕЛЛЕКТ. АЛЬБОМ СХЕМ, ИЗД.1</t>
  </si>
  <si>
    <t>978-5-00156-495-9</t>
  </si>
  <si>
    <t>880991.01.01</t>
  </si>
  <si>
    <t>Правовая аналитика и искусств. интеллект...: Уч.мет.пос. / В.Б.Исаков - М.:Юр.НОРМА,НИЦ ИНФРА-М,2027 - 368 с.(п)</t>
  </si>
  <si>
    <t>ПРАВОВАЯ АНАЛИТИКА И ИСКУССТВЕННЫЙ ИНТЕЛЛЕКТ. ИГРОПРАКТИКУМ, ИЗД.1</t>
  </si>
  <si>
    <t>978-5-00156-487-4</t>
  </si>
  <si>
    <t>883236.01.01</t>
  </si>
  <si>
    <t>Правовая аналитика и искусств. интеллект: Уч. / В.Б.Исаков - М.:Юр. НОРМА, НИЦ ИНФРА-М,2027. - 368 с.(п)</t>
  </si>
  <si>
    <t>ПРАВОВАЯ АНАЛИТИКА И ИСКУССТВЕННЫЙ ИНТЕЛЛЕКТ, ИЗД.1</t>
  </si>
  <si>
    <t>978-5-00156-496-6</t>
  </si>
  <si>
    <t>812229.04.01</t>
  </si>
  <si>
    <t>Правовая аналитика: студенты и..: Моногр. / В.Б.Исаков - М.:Юр. НОРМА, НИЦ ИНФРА-М,2026. - 244 с.(п)</t>
  </si>
  <si>
    <t>ПРАВОВАЯ АНАЛИТИКА: СТУДЕНТЫ И ИСКУССТВЕННЫЙ ИНТЕЛЛЕКТ НА ЭКЗАМЕНЕ, ИЗД.1</t>
  </si>
  <si>
    <t>Исаков В.Б., Мамцев Р.В.</t>
  </si>
  <si>
    <t>978-5-00156-330-3</t>
  </si>
  <si>
    <t>671267.03.01</t>
  </si>
  <si>
    <t>Правовая доктрина как источник (форма) рос. права: Моногр. / А.Н.Чашин - М.:НИЦ ИНФРА-М,2023 - 293 с.(О)</t>
  </si>
  <si>
    <t>ПРАВОВАЯ ДОКТРИНА КАК ИСТОЧНИК (ФОРМА) РОССИЙСКОГО ПРАВА, ИЗД.1</t>
  </si>
  <si>
    <t>978-5-16-017375-7</t>
  </si>
  <si>
    <t>40.03.01, 40.04.01, 40.05.01, 40.05.02, 41.03.01, 41.03.06, 44.03.05</t>
  </si>
  <si>
    <t>671267.01.01</t>
  </si>
  <si>
    <t>Правовая доктрина как источник (форма) рос. права: Моногр. / А.Н.Чашин-М.:НИЦ ИНФРА-М,2019.-293с(П)</t>
  </si>
  <si>
    <t>978-5-16-013847-3</t>
  </si>
  <si>
    <t>767407.05.01</t>
  </si>
  <si>
    <t>Правовая доктрина: пробл. формир. и реализации / В.Д.Перевалов - М.:Юр.Норма, НИЦ ИНФРА-М,2026 - 168 с.(П)</t>
  </si>
  <si>
    <t>ПРАВОВАЯ ДОКТРИНА: ПРОБЛЕМЫ ФОРМИРОВАНИЯ И РЕАЛИЗАЦИИ, ИЗД.1</t>
  </si>
  <si>
    <t>Перевалов В.Д.</t>
  </si>
  <si>
    <t>978-5-00156-206-1</t>
  </si>
  <si>
    <t>667390.08.01</t>
  </si>
  <si>
    <t>Правовая защита потерпев.в заруб. странах: Моногр. / В.Ю.Артемов - М.:НИЦ ИНФРА-М, ИЗиСП,2024 - 304 с.(П)</t>
  </si>
  <si>
    <t>ПРАВОВАЯ ЗАЩИТА ПОТЕРПЕВШИХ В ЗАРУБЕЖНЫХ СТРАНАХ, ИЗД.1</t>
  </si>
  <si>
    <t>978-5-16-013228-0</t>
  </si>
  <si>
    <t>667390.06.01</t>
  </si>
  <si>
    <t>Правовая защита потерпев.в заруб. странах: Моногр./ В.Ю.Артемов - М.:НИЦ ИНФРА-М, ИЗиСП,2024 - 304 с.(о)</t>
  </si>
  <si>
    <t>978-5-16-019617-6</t>
  </si>
  <si>
    <t>657399.06.01</t>
  </si>
  <si>
    <t>Правовая идеология совр. полит.организ.общ. / А.И.Клименко - М.:Юр.Норма, НИЦ ИНФРА-М,2027 - 384 с.(П)</t>
  </si>
  <si>
    <t>ПРАВОВАЯ ИДЕОЛОГИЯ СОВРЕМЕННОГО ПОЛИТИЧЕСКИ ОРГАНИЗОВАННОГО ОБЩЕСТВА, ИЗД.1</t>
  </si>
  <si>
    <t>Клименко А.И.</t>
  </si>
  <si>
    <t>978-5-91768-841-1</t>
  </si>
  <si>
    <t>40.03.01, 40.04.01, 40.05.01, 40.05.02, 41.03.01, 41.03.06, 41.04.02, 41.04.04, 44.03.05</t>
  </si>
  <si>
    <t>821481.01.01</t>
  </si>
  <si>
    <t>Правовая инициатива в механизме действ. совр. рос. права / А.А.Редько-М.:НИЦ ИНФРА-М,2025.-289 с.(п)</t>
  </si>
  <si>
    <t>ПРАВОВАЯ ИНИЦИАТИВА В МЕХАНИЗМЕ ДЕЙСТВИЯ СОВРЕМЕННОГО РОССИЙСКОГО ПРАВА, ИЗД.1</t>
  </si>
  <si>
    <t>Редько А.А.</t>
  </si>
  <si>
    <t>978-5-16-019684-8</t>
  </si>
  <si>
    <t>Волгоградская академия Министерства внутренних дел Российской Федерации</t>
  </si>
  <si>
    <t>803176.01.01</t>
  </si>
  <si>
    <t>Правовая культура и правовая традиция: Сб. статей памяти Н. А. Крашенинниковой-М.:Юр. НОРМА,2023.-148 с.(п)</t>
  </si>
  <si>
    <t>ПРАВОВАЯ КУЛЬТУРА И ПРАВОВАЯ ТРАДИЦИЯ: СБОРНИК СТАТЕЙ ПАМЯТИ НИНЫ АЛЕКСАНДРОВНЫ КРАШЕНИННИКОВОЙ, ИЗД.1</t>
  </si>
  <si>
    <t>978-5-00156-301-3</t>
  </si>
  <si>
    <t>294800.06.01</t>
  </si>
  <si>
    <t>Правовая культура: Моногр. / Э.С. Насурдинов; Отв. ред. Ф.Т. Тахиров. - М.: Норма, 2026. - 352 с. (п)</t>
  </si>
  <si>
    <t>ПРАВОВАЯ КУЛЬТУРА, ИЗД.1</t>
  </si>
  <si>
    <t>Насурдинов Э. С., Тахиров Ф. Т.</t>
  </si>
  <si>
    <t>978-5-91768-523-6</t>
  </si>
  <si>
    <t>Таджикский национальный университет</t>
  </si>
  <si>
    <t>659817.05.01</t>
  </si>
  <si>
    <t>Правовая организация механизма правосудия РФ:Моногр./М.И.Клеандров-М.:Юр.Норма,НИЦ ИНФРА-М,2021-288с</t>
  </si>
  <si>
    <t>ПРАВОВАЯ ОРГАНИЗАЦИЯ МЕХАНИЗМА ПРАВОСУДИЯ РФ: ПРОБЛЕМЫ СОВЕРШЕНСТВОВАНИЯ, ИЗД.1</t>
  </si>
  <si>
    <t>978-5-91768-846-6</t>
  </si>
  <si>
    <t>259500.04.01</t>
  </si>
  <si>
    <t>Правовая охрана ист.-культур. наслед. на нац. и... / И.Э.Мартыненко - 2 изд. - М.:ИЦ РИОР, НИЦ ИНФРА-М,2026 - 296 с.(о)</t>
  </si>
  <si>
    <t>ПРАВОВАЯ ОХРАНА ИСТОРИКО-КУЛЬТУРНОГО НАСЛЕДИЯ НА НАЦИОНАЛЬНОМ И МЕЖДУНАРОДНОМ УРОВНЯХ, ИЗД.2</t>
  </si>
  <si>
    <t>Мартыненко И.Э.</t>
  </si>
  <si>
    <t>978-5-369-03012-7</t>
  </si>
  <si>
    <t>40.05.02, 45.03.01, 51.03.01, 51.03.02, 51.03.04, 51.04.04, 54.04.04</t>
  </si>
  <si>
    <t>Гродненский государственный университет им. Я. Купалы</t>
  </si>
  <si>
    <t>632564.04.01</t>
  </si>
  <si>
    <t>Правовая охрана озера Байкал: Науч.-практ.пос. / Отв. ред. Щуплецова Ю.И.-М.:НИЦ ИНФРА-М,2023-184с.</t>
  </si>
  <si>
    <t>ПРАВОВАЯ ОХРАНА ОЗЕРА БАЙКАЛ, ИЗД.1</t>
  </si>
  <si>
    <t>Шуплецова Ю.И.</t>
  </si>
  <si>
    <t>978-5-16-012000-3</t>
  </si>
  <si>
    <t>40.02.02, 40.03.01, 40.04.01</t>
  </si>
  <si>
    <t>683158.06.01</t>
  </si>
  <si>
    <t>Правовая патопсихология: Уч.пос. / Б.Н.Алмазов - М.:НИЦ ИНФРА-М,2025 - 329 с.-(ВО) (П)</t>
  </si>
  <si>
    <t>ПРАВОВАЯ ПАТОПСИХОЛОГИЯ, ИЗД.1</t>
  </si>
  <si>
    <t>978-5-16-020228-0</t>
  </si>
  <si>
    <t>37.04.01, 40.03.01, 40.05.01, 40.05.02, 40.05.03, 40.05.04, 44.03.05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</si>
  <si>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40.00.00 «Юриспруденция» (протокол № 3 от 11.02.2019)</t>
  </si>
  <si>
    <t>770681.03.01</t>
  </si>
  <si>
    <t>Правовая политика и ее эффектив. в сфере...: Моногр. / А.Ю..Соколов - М.:Юр. НОРМА, НИЦ ИНФРА-М,2024 - 200 с.(П)</t>
  </si>
  <si>
    <t>ПРАВОВАЯ ПОЛИТИКА И ЕЕ ЭФФЕКТИВНОСТЬ В СФЕРЕ ОТДЕЛЬНЫХ ВИДОВ СУДЕБНЫХ ПРОИЗВОДСТВ, ИЗД.1</t>
  </si>
  <si>
    <t>Соколов А.Ю., Афанасьев С.Ф., Евстигнеева О.В. и др.</t>
  </si>
  <si>
    <t>978-5-00156-219-1</t>
  </si>
  <si>
    <t>168000.07.01</t>
  </si>
  <si>
    <t>Правовая система Европейского Союза: Моногр. / М.Н. Марченко - М.: Норма:  НИЦ Инфра-М, 2024-704с.(п)</t>
  </si>
  <si>
    <t>ПРАВОВАЯ СИСТЕМА ЕВРОПЕЙСКОГО СОЮЗА, ИЗД.1</t>
  </si>
  <si>
    <t>Марченко М.Н., Дерябина Е.М.</t>
  </si>
  <si>
    <t>846982.03.01</t>
  </si>
  <si>
    <t>Правовая урбанистика: Уч. / С.В.Нарутто - М.:Юр. НОРМА,2026. - 592 с.(п)</t>
  </si>
  <si>
    <t>ПРАВОВАЯ УРБАНИСТИКА, ИЗД.1</t>
  </si>
  <si>
    <t>Нарутто С.В., Филин А.Ю.</t>
  </si>
  <si>
    <t>978-5-00156-404-1</t>
  </si>
  <si>
    <t>38.03.04, 38.04.04, 40.03.01, 40.04.01</t>
  </si>
  <si>
    <t>422800.05.01</t>
  </si>
  <si>
    <t>Правовая экспертиза рос. законодат.: Уч.-практ. пос./Н.В.Мамитова - М: Норма: НИЦ Инфра-М,2017-208с.</t>
  </si>
  <si>
    <t>ПРАВОВАЯ ЭКСПЕРТИЗА РОССИЙСКОГО ЗАКОНОДАТЕЛЬСТВА, ИЗД.1</t>
  </si>
  <si>
    <t>Мамитова Н. В.</t>
  </si>
  <si>
    <t>978-5-91768-319-5</t>
  </si>
  <si>
    <t>Допущено УМО по юридическому образованию вузов РФ в качестве учебно-практического пособия для студентов высших учебных заведений, обучающихся по специальности и направлению подготовки «Юриспруденция»</t>
  </si>
  <si>
    <t>422800.09.01</t>
  </si>
  <si>
    <t>Правовая экспертиза рос. законодат.: Уч.практ.пос. / Н.В.Мамитова, - 2 изд. - М.:Юр.Норма, НИЦ ИНФРА-М,2026. - 224 с.(о)</t>
  </si>
  <si>
    <t>ПРАВОВАЯ ЭКСПЕРТИЗА РОССИЙСКОГО ЗАКОНОДАТЕЛЬСТВА, ИЗД.2</t>
  </si>
  <si>
    <t>978-5-00156-097-5</t>
  </si>
  <si>
    <t>776711.04.01</t>
  </si>
  <si>
    <t>Правоведение: Уч. / Г.С.Працко - М.:ИЦ РИОР, НИЦ ИНФРА-М,2026. - 435 с.(ВО)(П)</t>
  </si>
  <si>
    <t>ПРАВОВЕДЕНИЕ, ИЗД.1</t>
  </si>
  <si>
    <t>978-5-369-01909-2</t>
  </si>
  <si>
    <t>23.03.01, 38.03.01, 38.03.02, 38.03.03, 41.03.04</t>
  </si>
  <si>
    <t>157700.08.01</t>
  </si>
  <si>
    <t>Правоведение: Уч. / М.Б.Смоленский - 3 изд. - М.:ИЦ РИОР,НИЦ ИНФРА-М,2021 - 422 с.(ВО:Бакалавр.)(п)</t>
  </si>
  <si>
    <t>ПРАВОВЕДЕНИЕ, ИЗД.3</t>
  </si>
  <si>
    <t>Смоленский М. Б.</t>
  </si>
  <si>
    <t>978-5-369-01534-6</t>
  </si>
  <si>
    <t>Рекомендовано Министерством образования РФ в качестве учебника для студентов высших учебных заведений, обучающихся по неюридическим специальностям и направлениям</t>
  </si>
  <si>
    <t>157700.11.01</t>
  </si>
  <si>
    <t>Правоведение: Уч. / М.Б.Смоленский, - 4 изд. - М.:ИЦ РИОР, НИЦ ИНФРА-М,2026. - 421 с.(ВО: Бакалавр.)(п)</t>
  </si>
  <si>
    <t>ПРАВОВЕДЕНИЕ, ИЗД.4</t>
  </si>
  <si>
    <t>978-5-369-01893-4</t>
  </si>
  <si>
    <t>651591.06.01</t>
  </si>
  <si>
    <t>Правоведение: Уч. / Т.Ю.Епифанцева  - М.:НИЦ ИНФРА-М,2027 - 428 с.-(ВО)(П)</t>
  </si>
  <si>
    <t>Епифанцева Т.Ю., Загвозкина М.Я., Захарова О.Н. и др.</t>
  </si>
  <si>
    <t>978-5-16-021475-7</t>
  </si>
  <si>
    <t>00.03.08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</si>
  <si>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основным образовательным программам высшего образования по неюридическим направлениям подготовки бакалавриата (протокол № 2 от 17.02.2021)</t>
  </si>
  <si>
    <t>764496.04.01</t>
  </si>
  <si>
    <t>Правоведение: Уч. / Т.Ю.Епифанцева и др. - М.:НИЦ ИНФРА-М,2027 - 428 с.-(СПО)(П)</t>
  </si>
  <si>
    <t>978-5-16-017162-3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</si>
  <si>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профессиональную образовательную программу СПО (протокол от 21.04.2021 № 4)</t>
  </si>
  <si>
    <t>431400.07.01</t>
  </si>
  <si>
    <t>Правовое обесп. созд. скважин как горного. недвиж. имущ.: Моногр. /П.П.Гончаров -М.:Юр.Норма, НИЦ ИНФРА-М, 2024-384с.(п)</t>
  </si>
  <si>
    <t>ПРАВОВОЕ ОБЕСПЕЧЕНИЕ СОЗДАНИЯ СКВАЖИН КАК ГОРНОГО НЕДВИЖИМОГО ИМУЩЕСТВА: ЗЕМЕЛЬНЫЙ, ГРАДОСТРОИТЕЛЬНЫЙ И УЧЕТНО-РЕГИСТРАЦИОННЫЙ АСПЕКТЫ, ИЗД.1</t>
  </si>
  <si>
    <t>Гончаров П. П.</t>
  </si>
  <si>
    <t>978-5-91768-349-2</t>
  </si>
  <si>
    <t>21.03.01, 21.05.05, 21.05.06, 40.03.01, 40.04.01</t>
  </si>
  <si>
    <t>232900.12.01</t>
  </si>
  <si>
    <t>Правовое обеспеч. проф. деят.: Уч. / А.И.Тыщенко, - 4 изд.-М.:ИЦ РИОР, НИЦ ИНФРА-М,2022.-221 с.(СПО)(П)</t>
  </si>
  <si>
    <t>ПРАВОВОЕ ОБЕСПЕЧЕНИЕ ПРОФЕССИОНАЛЬНОЙ ДЕЯТЕЛЬНОСТИ, ИЗД.4</t>
  </si>
  <si>
    <t>Тыщенко А. И.</t>
  </si>
  <si>
    <t>978-5-369-01657-2</t>
  </si>
  <si>
    <t>00.02.08, 08.02.14</t>
  </si>
  <si>
    <t>Котовский промышленно-экономический техникум</t>
  </si>
  <si>
    <t>232900.15.01</t>
  </si>
  <si>
    <t>Правовое обеспеч. проф. деят.: Уч. / А.И.Тыщенко, - 5 изд. - М.:ИЦ РИОР, НИЦ ИНФРА-М,2025. - 212 с.(СПО)(п)</t>
  </si>
  <si>
    <t>ПРАВОВОЕ ОБЕСПЕЧЕНИЕ ПРОФЕССИОНАЛЬНОЙ ДЕЯТЕЛЬНОСТИ, ИЗД.5</t>
  </si>
  <si>
    <t>978-5-369-01944-3</t>
  </si>
  <si>
    <t>632622.04.01</t>
  </si>
  <si>
    <t>Правовое обеспеч.соц.работы: Уч.пос. / Е.П.Агапов - М.:ИЦ РИОР,НИЦ ИНФРА-М,2021 - 267 с.(ВО:Бакалавр.)(П)</t>
  </si>
  <si>
    <t>ПРАВОВОЕ ОБЕСПЕЧЕНИЕ СОЦИАЛЬНОЙ РАБОТЫ, ИЗД.1</t>
  </si>
  <si>
    <t>Агапов Е.П.</t>
  </si>
  <si>
    <t>978-5-369-01554-4</t>
  </si>
  <si>
    <t>795828.01.01</t>
  </si>
  <si>
    <t>Правовое обеспечение гос. управ. в...: Моногр. / С.В.Иванова-М.:НИЦ ИНФРА-М,2023.-180 с.(Науч.мысль)(п)</t>
  </si>
  <si>
    <t>ПРАВОВОЕ ОБЕСПЕЧЕНИЕ ГОСУДАРСТВЕННОГО УПРАВЛЕНИЯ В ОБЛАСТИ ОХРАНЫ И ИСПОЛЬЗОВАНИЯ ОБЪЕКТОВ ЖИВОТНОГО МИРА, ИЗД.1</t>
  </si>
  <si>
    <t>Иванова С.В., Ястребов О.А.</t>
  </si>
  <si>
    <t>978-5-16-018127-1</t>
  </si>
  <si>
    <t>38.05.02, 40.05.02, 40.05.03, 40.05.04, 40.06.01</t>
  </si>
  <si>
    <t>649240.03.01</t>
  </si>
  <si>
    <t>Правовое обеспечение гостиничной деят.: Уч.пос. /Н.А.Вотинцева-М.:ИЦ РИОР, НИЦ ИНФРА-М,2020-299с(ВО)</t>
  </si>
  <si>
    <t>ПРАВОВОЕ ОБЕСПЕЧЕНИЕ ГОСТИНИЧНОЙ ДЕЯТЕЛЬНОСТИ, ИЗД.1</t>
  </si>
  <si>
    <t>Вотинцева Н.А.</t>
  </si>
  <si>
    <t>978-5-369-01653-4</t>
  </si>
  <si>
    <t>Удмуртский государственный университет, ф-л в г. Можге</t>
  </si>
  <si>
    <t>763892.06.01</t>
  </si>
  <si>
    <t>Правовое обеспечение землеустройства и кадастров: Уч.пос. / С.А.Липски, - 2  изд., - М.:НИЦ ИНФРА-М,2026. - 200 с.(п)</t>
  </si>
  <si>
    <t>ПРАВОВОЕ ОБЕСПЕЧЕНИЕ ЗЕМЛЕУСТРОЙСТВА И КАДАСТРОВ, ИЗД.2</t>
  </si>
  <si>
    <t>978-5-16-021671-3</t>
  </si>
  <si>
    <t>763892.04.01</t>
  </si>
  <si>
    <t>Правовое обеспечение землеустройства и кадастров: Уч.пос. / С.А.Липски-М.:НИЦ ИНФРА-М,2022.-187с(ВО)(П)</t>
  </si>
  <si>
    <t>ПРАВОВОЕ ОБЕСПЕЧЕНИЕ ЗЕМЛЕУСТРОЙСТВА И КАДАСТРОВ, ИЗД.1</t>
  </si>
  <si>
    <t>978-5-16-018659-7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</si>
  <si>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21.03.02 «Землеустройство и кадастры» (квалификация (степень) «бакалавр») (протокол № 1 от 12.01.2022)</t>
  </si>
  <si>
    <t>687319.05.01</t>
  </si>
  <si>
    <t>Правовое обеспечение индустрии моды: Уч.пос. / Н.А.Шебанова - М.:Юр.Норма,НИЦ ИНФРА-М,2025-192 с.(П)</t>
  </si>
  <si>
    <t>ПРАВОВОЕ ОБЕСПЕЧЕНИЕ ИНДУСТРИИ МОДЫ, ИЗД.1</t>
  </si>
  <si>
    <t>978-5-91768-950-0</t>
  </si>
  <si>
    <t>40.03.01, 40.05.01, 40.05.02, 40.05.03, 40.05.04, 43.03.01</t>
  </si>
  <si>
    <t>406400.08.01</t>
  </si>
  <si>
    <t>Правовое обеспечение инновац. деят.: Моногр./ О.А.Городов-М.:НИЦ ИНФРА-М,2025.-209 с.(Науч.мысль)(о)</t>
  </si>
  <si>
    <t>ПРАВОВОЕ ОБЕСПЕЧЕНИЕ ИННОВАЦИОННОЙ ДЕЯТЕЛЬНОСТИ, ИЗД.1</t>
  </si>
  <si>
    <t>Городов О. А.</t>
  </si>
  <si>
    <t>978-5-16-005798-9</t>
  </si>
  <si>
    <t>38.03.01, 38.03.02, 38.03.04, 38.04.01, 38.04.02, 40.03.01, 40.04.01, 41.03.06, 44.03.05</t>
  </si>
  <si>
    <t>871255.01.01</t>
  </si>
  <si>
    <t>Правовое обеспечение обороны...: Моногр. / А.А.Дерюгин - М.:НИЦ ИНФРА-М,2026. - 271 с.(п)</t>
  </si>
  <si>
    <t>ПРАВОВОЕ ОБЕСПЕЧЕНИЕ ОБОРОНЫ: ЧРЕЗВЫЧАЙНОЕ ВОЕННОЕ ЗАКОНОДАТЕЛЬСТВО СССР В ПРЕДВОЕННЫЕ ГОДЫ И НАЧАЛЬНЫЙ ПЕРИОД ВОЙНЫ, ИЗД.1</t>
  </si>
  <si>
    <t>Дерюгин А.А., Лысенков С.Г., Назарова И.С. и др.</t>
  </si>
  <si>
    <t>978-5-16-021854-0</t>
  </si>
  <si>
    <t>114050.22.01</t>
  </si>
  <si>
    <t>Правовое обеспечение проф. деят.: Уч. / А.Г.Хабибулин - 2 изд. - М.:ИД Форум, НИЦ ИНФРА-М,2026 - 364 с.(П)(СПО)</t>
  </si>
  <si>
    <t>ПРАВОВОЕ ОБЕСПЕЧЕНИЕ ПРОФЕССИОНАЛЬНОЙ ДЕЯТЕЛЬНОСТИ, ИЗД.2</t>
  </si>
  <si>
    <t>Хабибулин А.Г., Мурсалимов К.Р.</t>
  </si>
  <si>
    <t>978-5-8199-0874-7</t>
  </si>
  <si>
    <t>00.02.08, 08.02.08, 08.02.14, 21.02.09, 34.02.02, 40.02.04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</si>
  <si>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неюридическим специальностям (протокол № 17 от 11.11.2019)</t>
  </si>
  <si>
    <t>758549.02.01</t>
  </si>
  <si>
    <t>Правовое обеспечение проф. деят.: Уч. / Г.С.Працко - М.:ИЦ РИОР, НИЦ ИНФРА-М,2025 - 177 с.(СПО)(П)</t>
  </si>
  <si>
    <t>ПРАВОВОЕ ОБЕСПЕЧЕНИЕ ПРОФЕССИОНАЛЬНОЙ ДЕЯТЕЛЬНОСТИ, ИЗД.1</t>
  </si>
  <si>
    <t>978-5-369-01869-9</t>
  </si>
  <si>
    <t>00.02.08, 12.02.01, 43.02.16, 51.02.03</t>
  </si>
  <si>
    <t>753340.05.01</t>
  </si>
  <si>
    <t>Правовое обеспечение проф. деят.: Уч. / Г.С.Працко - М.:ИЦ РИОР, НИЦ ИНФРА-М,2026. - 311 с.(ВО)(П)</t>
  </si>
  <si>
    <t>978-5-369-01867-5</t>
  </si>
  <si>
    <t>00.03.08, 12.03.01, 37.04.01, 43.03.03, 51.04.06</t>
  </si>
  <si>
    <t>428050.17.01</t>
  </si>
  <si>
    <t>Правовое обеспечение проф. деят.: Уч. / М.А.Гуреева - М:,НИЦ ИНФРА-М,2026 - 239 с.(СПО)</t>
  </si>
  <si>
    <t>Гуреева М. А.</t>
  </si>
  <si>
    <t>978-5-16-021240-1</t>
  </si>
  <si>
    <t>00.02.08, 08.02.14, 21.02.09</t>
  </si>
  <si>
    <t>Рекомендовано в качестве учебника для студентов учреждений среднего профессионального образования</t>
  </si>
  <si>
    <t>094870.14.01</t>
  </si>
  <si>
    <t>Правовое обеспечение проф. деятельности: Крат.курс / Р.Ф.Матвеев - М:Форум,НИЦ ИНФРА-М,2026 - 128 с.(о)</t>
  </si>
  <si>
    <t>ПРАВОВОЕ ОБЕСПЕЧЕНИЕ ПРОФЕССИОНАЛЬНОЙ ДЕЯТЕЛЬНОСТИ, ИЗД.3</t>
  </si>
  <si>
    <t>978-5-00091-063-4</t>
  </si>
  <si>
    <t>00.02.08, 08.02.14, 34.02.02, 40.02.04</t>
  </si>
  <si>
    <t>233100.04.01</t>
  </si>
  <si>
    <t>Правовое обеспечение проф.деят.: Уч. пос./А.И.Тыщенко -2 изд.-М.:ИЦ РИОР, НИЦ ИНФРА-М,2020-203с(О)</t>
  </si>
  <si>
    <t>Тыщенко А.И.</t>
  </si>
  <si>
    <t>978-5-369-01466-0</t>
  </si>
  <si>
    <t>00.02.08, 13.02.07, 15.02.18, 21.02.13</t>
  </si>
  <si>
    <t>114050.14.01</t>
  </si>
  <si>
    <t>Правовое обеспечение проф.деятел.: Уч. / А.Г.Хабибулин - М.:ИД ФОРУМ,НИЦ ИНФРА-М,2019-336с.(ПО)(п)</t>
  </si>
  <si>
    <t>Хабибулин А. Г., Мурсалимов К. Р.</t>
  </si>
  <si>
    <t>978-5-8199-0717-7</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</si>
  <si>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t>
  </si>
  <si>
    <t>336700.06.01</t>
  </si>
  <si>
    <t>Правовое обеспечение соц. работы: Уч. / А.А.Акмалова - М.:НИЦ ИНФРА-М,2023 - 289 с.(ВО: Бакалавр.)(П)</t>
  </si>
  <si>
    <t>978-5-16-010698-4</t>
  </si>
  <si>
    <t>39.03.02, 40.05.01, 40.05.02, 40.05.03, 40.05.04</t>
  </si>
  <si>
    <t>Рекомендовано УМО по образованию в области социальной работы в качестве учебника для студентов высших учебных заведений, обучающихся по направлению подготовки 39.03.02 «Социальнаяработа» (квалификация (степень) «бакалавр»)</t>
  </si>
  <si>
    <t>775476.02.01</t>
  </si>
  <si>
    <t>Правовое обеспечение социальной работы: Уч. / А.А.Акмалова - М.:НИЦ ИНФРА-М,2022 - 289 с.-(СПО)(П)</t>
  </si>
  <si>
    <t>978-5-16-017561-4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</si>
  <si>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39.02.01 «Социальная работа» (протокол № 10 от 15.12.2021)</t>
  </si>
  <si>
    <t>671266.02.01</t>
  </si>
  <si>
    <t>Правовое положение, труд и повседневная жизнь детей..: Моногр. / И.В.Синова - М.:НИЦ ИНФРА-М,2022 - 280 с.(П)</t>
  </si>
  <si>
    <t>ПРАВОВОЕ ПОЛОЖЕНИЕ, ТРУД И ПОВСЕДНЕВНАЯ ЖИЗНЬ ДЕТЕЙ ВО ВТОРОЙ ПОЛОВИНЕ XIX - НАЧАЛЕ XX ВЕКА, ИЗД.1</t>
  </si>
  <si>
    <t>Синова И.В.</t>
  </si>
  <si>
    <t>978-5-16-013742-1</t>
  </si>
  <si>
    <t>39.04.01, 39.04.02, 40.04.01, 42.04.02, 44.03.01, 46.03.01, 46.04.01, 51.03.01</t>
  </si>
  <si>
    <t>700569.03.01</t>
  </si>
  <si>
    <t>Правовое пространство: границы и динамика: Моногр. / Ю.А.Тихомиров.-М.:НИЦ ИНФРА-М,2021.-240 с.(ИЗиСП)(П)</t>
  </si>
  <si>
    <t>ПРАВОВОЕ ПРОСТРАНСТВО: ГРАНИЦЫ И ДИНАМИКА, ИЗД.1</t>
  </si>
  <si>
    <t>Тихомиров Ю.А., Головина А.А., Плюгина И.В. и др.</t>
  </si>
  <si>
    <t>978-5-16-014736-9</t>
  </si>
  <si>
    <t>645639.02.01</t>
  </si>
  <si>
    <t>Правовое регул. использ. и охраны биол..: Науч.-практ.пос./ С.А.Боголюбов-М:НИЦ ИНФРА-М,2018-328с(п)</t>
  </si>
  <si>
    <t>ПРАВОВОЕ РЕГУЛИРОВАНИЕ ИСПОЛЬЗОВАНИЯ И ОХРАНЫ БИОЛОГИЧЕСКИХ РЕСУРСОВ, ИЗД.1</t>
  </si>
  <si>
    <t>978-5-16-012417-9</t>
  </si>
  <si>
    <t>20.03.02, 40.02.02, 40.03.01</t>
  </si>
  <si>
    <t>664199.02.01</t>
  </si>
  <si>
    <t>Правовое регул.расходов бюдж.субъекта РФ: Моногр. / А.Пятковская-М.:Юр.Норма, НИЦ ИНФРА-М,2019-288с.</t>
  </si>
  <si>
    <t>ПРАВОВОЕ РЕГУЛИРОВАНИЕ РАСХОДОВ БЮДЖЕТА СУБЪЕКТА РФ, ИЗД.1</t>
  </si>
  <si>
    <t>Пятковская А.</t>
  </si>
  <si>
    <t>978-5-91768-852-7</t>
  </si>
  <si>
    <t>670770.05.01</t>
  </si>
  <si>
    <t>Правовое регулир. аудит. деят.: Уч.пос. / Е.Ю.Грачева - 2 изд. - М.:Юр. НОРМА, НИЦ ИНФРА-М,2026. - 144 с.(П)</t>
  </si>
  <si>
    <t>ПРАВОВОЕ РЕГУЛИРОВАНИЕ АУДИТОРСКОЙ ДЕЯТЕЛЬНОСТИ, ИЗД.2</t>
  </si>
  <si>
    <t>Грачева Е.Ю., Арзуманова Л.Л., Лагкуева И.В. и др.</t>
  </si>
  <si>
    <t>978-5-00156-325-9</t>
  </si>
  <si>
    <t>38.04.01, 38.04.02, 38.04.08, 38.04.09, 38.05.01, 40.03.01, 40.04.01, 40.05.01, 40.05.02, 40.05.03, 40.05.04, 44.03.05</t>
  </si>
  <si>
    <t>854144.03.01</t>
  </si>
  <si>
    <t>Правовое регулир. бережного и устой. оборота данных: Моногр. / Н.Н.Ковалева - М.:НИЦ ИНФРА-М,2027 - 215 с.(п)</t>
  </si>
  <si>
    <t>ПРАВОВОЕ РЕГУЛИРОВАНИЕ БЕРЕЖНОГО И УСТОЙЧИВОГО ОБОРОТА ДАННЫХ, ИЗД.1</t>
  </si>
  <si>
    <t>Ковалева Н.Н., Холодная Е.В., Федоров Д.А. и др.</t>
  </si>
  <si>
    <t>978-5-16-020996-8</t>
  </si>
  <si>
    <t>09.03.01, 09.06.01, 10.03.01, 10.04.01, 10.05.01, 10.05.02, 10.05.03, 10.05.05, 10.05.07, 10.06.01, 38.04.03</t>
  </si>
  <si>
    <t>301500.10.01</t>
  </si>
  <si>
    <t>Правовое регулир. внешнеэконом. деят...: Уч.пос. / Л.М.Позднякова, - 3 изд., - М.:Юр.Норма, НИЦ ИНФРА-М,2026 - 192 с.(П)</t>
  </si>
  <si>
    <t>ПРАВОВОЕ РЕГУЛИРОВАНИЕ ВНЕШНЕЭКОНОМИЧЕСКОЙ ДЕЯТЕЛЬНОСТИ (РОССИЙСКОЕ ГРАЖДАНСКОЕ И МЕЖДУНАРОДНОЕ ЧАСТНОЕ ПРАВО), ИЗД.3</t>
  </si>
  <si>
    <t>Позднякова Л.М.</t>
  </si>
  <si>
    <t>978-5-00156-004-3</t>
  </si>
  <si>
    <t>38.03.01, 38.03.06, 38.04.01, 38.04.06, 40.03.01, 40.04.01, 40.05.01, 40.05.02, 40.05.03, 40.05.04</t>
  </si>
  <si>
    <t>649240.06.01</t>
  </si>
  <si>
    <t>Правовое регулир. гостинич. деят.: Уч.пос. / Н.А.Вотинцева, - 2 изд. - М.:ИЦ РИОР, НИЦ ИНФРА-М,2025 - 279 с.(ВО)(п)</t>
  </si>
  <si>
    <t>ПРАВОВОЕ РЕГУЛИРОВАНИЕ ГОСТИНИЧНОЙ ДЕЯТЕЛЬНОСТИ, ИЗД.2</t>
  </si>
  <si>
    <t>978-5-369-01948-1</t>
  </si>
  <si>
    <t>649240.07.01</t>
  </si>
  <si>
    <t>Правовое регулир. гостиничной деят.: Уч.пос. / Н.А.Вотинцева, - 3 изд. - М.:ИЦ РИОР, НИЦ ИНФРА-М,2026. - 289 с.(ВО)(п)</t>
  </si>
  <si>
    <t>ПРАВОВОЕ РЕГУЛИРОВАНИЕ ГОСТИНИЧНОЙ ДЕЯТЕЛЬНОСТИ, ИЗД.3</t>
  </si>
  <si>
    <t>978-5-369-03006-6</t>
  </si>
  <si>
    <t>636922.07.01</t>
  </si>
  <si>
    <t>Правовое регулир. денежного обращения: Моногр. / Н.М.Артемов - М.:Юр.Норма,НИЦ ИНФРА-М,2027 - 96 с.(О)</t>
  </si>
  <si>
    <t>ПРАВОВОЕ РЕГУЛИРОВАНИЕ ДЕНЕЖНОГО ОБРАЩЕНИЯ (ДЕНЕЖНОЕ ПРАВО), ИЗД.1</t>
  </si>
  <si>
    <t>Артемов Н.М., Лагутин И.Б., Ситник А.А. и др.</t>
  </si>
  <si>
    <t>978-5-91768-756-8</t>
  </si>
  <si>
    <t>38.04.01, 38.04.08, 38.06.01, 40.06.01, 44.03.05</t>
  </si>
  <si>
    <t>684235.03.01</t>
  </si>
  <si>
    <t>Правовое регулир. иностранных инвест. в экономике России.../ М.В.Мельничук.-М.:НИЦ ИНФРА-М,2021-138с(О)</t>
  </si>
  <si>
    <t>ПРАВОВОЕ РЕГУЛИРОВАНИЕ ИНОСТРАННЫХ ИНВЕСТИЦИЙ В ЭКОНОМИКЕ РОССИИ: ОПЫТ КИТАЯ, ИЗД.1</t>
  </si>
  <si>
    <t>Мельничук М.В., Демченко М.В., Ручкина Г.Ф. и др.</t>
  </si>
  <si>
    <t>978-5-16-016883-8</t>
  </si>
  <si>
    <t>38.03.01, 38.03.02, 38.04.08, 38.04.09, 40.03.01, 41.03.06, 44.03.01, 44.03.05</t>
  </si>
  <si>
    <t>645634.05.01</t>
  </si>
  <si>
    <t>Правовое регулир. испол. охраны лесов по законод. РФ: Моногр. / Кочнов Д.И.-М.:НИЦ ИНФРА-М,2023-272с(о)</t>
  </si>
  <si>
    <t>ПРАВОВОЕ РЕГУЛИРОВАНИЕ ИСПОЛЬЗОВАНИЯ И ОХРАНЫ ЛЕСОВ ПО ЗАКОНОДАТЕЛЬСТВУ РОССИЙСКОЙ ФЕДЕРАЦИИ И ЗАРУБЕЖНЫХ СТРАН, ИЗД.1</t>
  </si>
  <si>
    <t>Кочнов Д.И., Шуплецова Ю.И.</t>
  </si>
  <si>
    <t>978-5-16-012416-2</t>
  </si>
  <si>
    <t>768621.02.01</t>
  </si>
  <si>
    <t>Правовое регулир. межнац. отнош. в РФ...: Науч.-прак. пос. / Л.В.Андриченко- М.:Юр. НОРМА, НИЦ ИНФРА-М, 2024. - 296 с.(П)</t>
  </si>
  <si>
    <t>ПРАВОВОЕ РЕГУЛИРОВАНИЕ МЕЖНАЦИОНАЛЬНЫХ ОТНОШЕНИЙ В РОССИЙСКОЙ ФЕДЕРАЦИИ: ПРОБЛЕМЫ ТЕОРИИ И ПРАКТИКИ, ИЗД.1</t>
  </si>
  <si>
    <t>Андриченко Л.В., Постников А.Е., Васильева Л.Н. и др.</t>
  </si>
  <si>
    <t>978-5-00156-214-6</t>
  </si>
  <si>
    <t>38.04.04, 40.03.01, 40.04.01, 40.05.01, 40.05.02, 40.05.04, 40.06.01</t>
  </si>
  <si>
    <t>798325.01.01</t>
  </si>
  <si>
    <t>Правовое регулир. оказания ветеринарных услуг: Моногр. / Р.И.Алиев-М.:НИЦ ИНФРА-М,2023.-128 с.(о)</t>
  </si>
  <si>
    <t>ПРАВОВОЕ РЕГУЛИРОВАНИЕ ОКАЗАНИЯ ВЕТЕРИНАРНЫХ УСЛУГ, ИЗД.1</t>
  </si>
  <si>
    <t>Алиев Р.И.</t>
  </si>
  <si>
    <t>978-5-16-018269-8</t>
  </si>
  <si>
    <t>36.03.01, 36.04.01, 36.05.01, 36.06.01, 40.04.01, 40.06.01</t>
  </si>
  <si>
    <t>Новосибирский государственный университет</t>
  </si>
  <si>
    <t>844898.06.01</t>
  </si>
  <si>
    <t>Правовое регулир. предуп. изм. климата в России: Моногр. / С.А.Боголюбов - М.:НИЦ ИНФРА-М,2026 - 248 с.(п)</t>
  </si>
  <si>
    <t>ПРАВОВОЕ РЕГУЛИРОВАНИЕ ПРЕДУПРЕЖДЕНИЯ ИЗМЕНЕНИЙ КЛИМАТА В РОССИИ И ЗАРУБЕЖНЫХ СТРАНАХ, ИЗД.1</t>
  </si>
  <si>
    <t>Боголюбов С.А., Никонов Р.В., Боголюбов С.А.</t>
  </si>
  <si>
    <t>978-5-16-020440-6</t>
  </si>
  <si>
    <t>20.03.01, 40.05.01, 40.05.02, 40.05.04</t>
  </si>
  <si>
    <t>715620.05.01</t>
  </si>
  <si>
    <t>Правовое регулир. расторжения брака: опыт США: Моногр. / Е.В.Розанова - М.:НИЦ ИНФРА-М,2024-212с.(Науч.мысль)(о)</t>
  </si>
  <si>
    <t>ПРАВОВОЕ РЕГУЛИРОВАНИЕ РАСТОРЖЕНИЯ БРАКА: ОПЫТ СОЕДИНЕННЫХ ШТАТОВ АМЕРИКИ, ИЗД.1</t>
  </si>
  <si>
    <t>Розанова Е.В.</t>
  </si>
  <si>
    <t>978-5-16-015522-7</t>
  </si>
  <si>
    <t>700292.05.01</t>
  </si>
  <si>
    <t>Правовое регулир. трансформации рос. образов...:Моногр. / А.Г.Чернявский и др. - М.ИНФРА-М,2027 - 174 c.(О)</t>
  </si>
  <si>
    <t>ПРАВОВОЕ РЕГУЛИРОВАНИЕ ТРАНСФОРМАЦИИ РОССИЙСКОГО ОБРАЗОВАНИЯ В УСЛОВИЯХ ГЛОБАЛИЗАЦИИ В СОЦИАЛЬНО-КУЛЬТУРНОЙ СРЕДЕ, ИЗД.1</t>
  </si>
  <si>
    <t>Чернявский А.Г., Бурьянов С.А., Кривенький А.И.</t>
  </si>
  <si>
    <t>978-5-16-014864-9</t>
  </si>
  <si>
    <t>871016.01.01</t>
  </si>
  <si>
    <t>Правовое регулир. финанс. контроля в странах - членах БРИКС.. / Е.Ю.Грачева - М.:Юр. НОРМА, НИЦ ИНФРА-М,2026. - 232 с.(п)</t>
  </si>
  <si>
    <t>ПРАВОВОЕ РЕГУЛИРОВАНИЕ ФИНАНСОВОГО КОНТРОЛЯ В СТРАНАХ - ЧЛЕНАХ БРИКС (БРАЗИЛИЯ, ИНДИЯ, КИТАЙ, ЮАР), ИЗД.1</t>
  </si>
  <si>
    <t>Грачева Е.Ю., Ситник А.А., Горлова Е. и др.</t>
  </si>
  <si>
    <t>978-5-00156-472-0</t>
  </si>
  <si>
    <t>38.04.09, 38.05.01, 40.03.01, 40.04.01, 40.05.01, 40.05.02, 40.05.04, 40.06.01, 44.03.05</t>
  </si>
  <si>
    <t>692967.06.01</t>
  </si>
  <si>
    <t>Правовое регулир. финанс. контроля...: Уч. / Е.Ю.Грачева - 3 изд. - М.:Юр.Норма, НИЦ ИНФРА-М,2026 - 204 с.(П)</t>
  </si>
  <si>
    <t>ПРАВОВОЕ РЕГУЛИРОВАНИЕ ФИНАНСОВОГО КОНТРОЛЯ. ВИДЫ, ФОРМЫ И МЕТОДЫ ФИНАНСОВОГО КОНТРОЛЯ И НАДЗОРА, ИЗД.3</t>
  </si>
  <si>
    <t>Грачева Е.Ю., Болтинова О.В.</t>
  </si>
  <si>
    <t>978-5-00156-450-8</t>
  </si>
  <si>
    <t>684236.05.01</t>
  </si>
  <si>
    <t>Правовое регулир. финанс. поддержки субъектов малого..: Моногр. / Г.Ф.Ручкина - М.:НИЦ ИНФРА-М,2024-154с(О)</t>
  </si>
  <si>
    <t>ПРАВОВОЕ РЕГУЛИРОВАНИЕ ФИНАНСОВОЙ ПОДДЕРЖКИ СУБЪЕКТОВ МАЛОГО И СРЕДНЕГО ПРЕДПРИНИМАТЕЛЬСТВА, ИЗД.1</t>
  </si>
  <si>
    <t>Ручкина Г.Ф., Демченко М.В., Ключникова Я.А. и др.</t>
  </si>
  <si>
    <t>978-5-16-014207-4</t>
  </si>
  <si>
    <t>38.03.01, 40.03.01, 40.04.01, 44.03.01, 44.03.05</t>
  </si>
  <si>
    <t>792935.03.01</t>
  </si>
  <si>
    <t>Правовое регулир. цифр. нац. платеж. сис. РФ: Уч. / Е.Г.Хоменко - М.:Юр. НОРМА, НИЦ ИНФРА-М,2025. - 248 с.(п)</t>
  </si>
  <si>
    <t>ПРАВОВОЕ РЕГУЛИРОВАНИЕ ЦИФРОВОЙ НАЦИОНАЛЬНОЙ ПЛАТЕЖНОЙ СИСТЕМЫ РФ, ИЗД.1</t>
  </si>
  <si>
    <t>978-5-00156-276-4</t>
  </si>
  <si>
    <t>10.05.04, 38.04.01, 38.04.05, 40.04.01, 40.05.03</t>
  </si>
  <si>
    <t>865417.01.01</t>
  </si>
  <si>
    <t>Правовое регулир. цифровизации сферы градостроит... / Е.С.Болтанова - М.:ИЦ РИОР, НИЦ ИНФРА-М,2026. - 138 с.(о)</t>
  </si>
  <si>
    <t>ПРАВОВОЕ РЕГУЛИРОВАНИЕ ЦИФРОВИЗАЦИИ СФЕРЫ ГРАДОСТРОИТЕЛЬСТВА И НЕДВИЖИМОСТИ, ИЗД.1</t>
  </si>
  <si>
    <t>978-5-369-02002-9</t>
  </si>
  <si>
    <t>301500.04.01</t>
  </si>
  <si>
    <t>Правовое регулир.внешнеэконом.деят.: Уч.пос. /Л.М.Позднякова-2изд.-М.:Юр.Норма,НИЦ ИНФРА-М,2018-192с</t>
  </si>
  <si>
    <t>ПРАВОВОЕ РЕГУЛИРОВАНИЕ ВНЕШНЕЭКОНОМИЧЕСКОЙ ДЕЯТЕЛЬНОСТИ (РОССИЙСКОЕ ГРАЖДАНСКОЕ И МЕЖДУНАРОДНОЕ ЧАСТНОЕ ПРАВО), ИЗД.2</t>
  </si>
  <si>
    <t>978-5-91768-535-9</t>
  </si>
  <si>
    <t>679406.06.01</t>
  </si>
  <si>
    <t>Правовое регулир.возмещения экол.вреда: Научно-практ.пос. / С.А.Боголюбов-М.:НИЦ ИНФРА-М, ИЗиСП,2024-368с(П)</t>
  </si>
  <si>
    <t>ПРАВОВОЕ РЕГУЛИРОВАНИЕ ВОЗМЕЩЕНИЯ ЭКОЛОГИЧЕСКОГО ВРЕДА, ИЗД.1</t>
  </si>
  <si>
    <t>Боголюбов С.А., Болтанова Е.С., Бринчук М.М. и др.</t>
  </si>
  <si>
    <t>978-5-16-013702-5</t>
  </si>
  <si>
    <t>700571.02.01</t>
  </si>
  <si>
    <t>Правовое регулиров.стратег. планиров.в сфере...: Моногр. / Е.В. Кудряшова - М.:НИЦ ИНФРА-М,2023-304с</t>
  </si>
  <si>
    <t>ПРАВОВОЕ РЕГУЛИРОВАНИЕ СТРАТЕГИЧЕСКОГО ПЛАНИРОВАНИЯ В СФЕРЕ ГОСУДАРСТВЕННЫХ ФИНАНСОВ, ИЗД.1</t>
  </si>
  <si>
    <t>Кудряшова Е.В.</t>
  </si>
  <si>
    <t>978-5-16-014732-1</t>
  </si>
  <si>
    <t>670770.03.01</t>
  </si>
  <si>
    <t>Правовое регулирование аудиторской деят.: Уч.пос./ Е.Ю.Грачева-М.:Юр.Норма, НИЦ ИНФРА-М,2020-128с(О)</t>
  </si>
  <si>
    <t>ПРАВОВОЕ РЕГУЛИРОВАНИЕ АУДИТОРСКОЙ ДЕЯТЕЛЬНОСТИ, ИЗД.1</t>
  </si>
  <si>
    <t>978-5-91768-876-3</t>
  </si>
  <si>
    <t>632597.03.01</t>
  </si>
  <si>
    <t>Правовое регулирование бух.учета: Уч. / Отв. ред. Грачева Е.Ю.-М.:Юр.Норма, НИЦ ИНФРА-М,2019-320с(П)</t>
  </si>
  <si>
    <t>ПРАВОВОЕ РЕГУЛИРОВАНИЕ БУХГАЛТЕРСКОГО УЧЕТА, ИЗД.1</t>
  </si>
  <si>
    <t>38.03.01, 40.03.01, 40.05.01, 40.05.02, 40.05.03, 40.05.04, 44.03.05</t>
  </si>
  <si>
    <t>632597.07.01</t>
  </si>
  <si>
    <t>Правовое регулирование бух.учета: Уч./ Отв. ред. Грачева Е.Ю. - 2 изд. - М.:Юр.Норма, НИЦ ИНФРА-М,2026 - 336 с.(П)</t>
  </si>
  <si>
    <t>ПРАВОВОЕ РЕГУЛИРОВАНИЕ БУХГАЛТЕРСКОГО УЧЕТА, ИЗД.2</t>
  </si>
  <si>
    <t>978-5-00156-316-7</t>
  </si>
  <si>
    <t>203800.10.01</t>
  </si>
  <si>
    <t>Правовое регулирование городской деят. и жилищ...: Уч./В.И.Римшин - 4 изд.-НИЦ Инфра-М,2024-479с.(п)</t>
  </si>
  <si>
    <t>ПРАВОВОЕ РЕГУЛИРОВАНИЕ ГОРОДСКОЙ ДЕЯТЕЛЬНОСТИ И ЖИЛИЩНОЕ ЗАКОНОДАТЕЛЬСТВО, ИЗД.4</t>
  </si>
  <si>
    <t>Римшин В.И., Греджев В.А., Римшин В.И.</t>
  </si>
  <si>
    <t>978-5-16-013643-1</t>
  </si>
  <si>
    <t>07.03.04, 07.04.04, 40.03.01, 40.04.01, 40.05.01, 40.05.02, 40.05.03, 40.05.04, 44.03.05</t>
  </si>
  <si>
    <t>Рекомендовано  Учебно-методическим объединением вузов Российской Федерации по образованию в области строительства в качестве учебника для студентов, обучающихся по направлению подготовки 08.04.01 «Строительство»</t>
  </si>
  <si>
    <t>684386.03.01</t>
  </si>
  <si>
    <t>Правовое регулирование деят. институтов развития: Моногр. / М.В.Демченко-М.:НИЦ ИНФРА-М,2023-168с(О)</t>
  </si>
  <si>
    <t>ПРАВОВОЕ РЕГУЛИРОВАНИЕ ДЕЯТЕЛЬНОСТИ ИНСТИТУТОВ РАЗВИТИЯ, ИЗД.1</t>
  </si>
  <si>
    <t>Демченко М.В., Ручкина Г.Ф., Петюкова О.Н. и др.</t>
  </si>
  <si>
    <t>978-5-16-014215-9</t>
  </si>
  <si>
    <t>686027.06.01</t>
  </si>
  <si>
    <t>Правовое регулирование огранич.оборотоспособ...: Моногр. / У.В.Корнилова-М.:НИЦ ИНФРА-М,2024-109с(О)</t>
  </si>
  <si>
    <t>ПРАВОВОЕ РЕГУЛИРОВАНИЕ ОГРАНИЧЕНИЙ ОБОРОТОСПОСОБНОСТИ ЗЕМЕЛЬНЫХ УЧАСТКОВ, ИЗД.1</t>
  </si>
  <si>
    <t>Корнилова У.В., Мельников Н.Н.</t>
  </si>
  <si>
    <t>978-5-16-014265-4</t>
  </si>
  <si>
    <t>695063.03.01</t>
  </si>
  <si>
    <t>Правовое регулирование судеб. нормоконтроля..: Моногр./ А.А.Соловьёв-М.:НИЦ ИНФРА-М,2020.-219 с.(Науч.мысль)(О)</t>
  </si>
  <si>
    <t>ПРАВОВОЕ РЕГУЛИРОВАНИЕ СУДЕБНОГО НОРМОКОНТРОЛЯ: ОПЫТ ЗАРУБЕЖНЫХ ГОСУДАРСТВ, ИЗД.1</t>
  </si>
  <si>
    <t>978-5-16-014635-5</t>
  </si>
  <si>
    <t>692967.05.01</t>
  </si>
  <si>
    <t>Правовое регулирование финанс. контроля...: Уч. / Е.Ю.Грачева - 2 изд. - М.:Юр.Норма, НИЦ ИНФРА-М,2024-208с.(П)</t>
  </si>
  <si>
    <t>ПРАВОВОЕ РЕГУЛИРОВАНИЕ ФИНАНСОВОГО КОНТРОЛЯ. ВИДЫ, ФОРМЫ И МЕТОДЫ ФИНАНСОВОГО КОНТРОЛЯ И НАДЗОРА, ИЗД.2</t>
  </si>
  <si>
    <t>978-5-00156-224-5</t>
  </si>
  <si>
    <t>692967.02.01</t>
  </si>
  <si>
    <t>Правовое регулирование финансового контроля...: Уч. / Е.Ю.Грачева-М.:Юр.Норма, НИЦ ИНФРА-М,2020-208с.(П)</t>
  </si>
  <si>
    <t>ПРАВОВОЕ РЕГУЛИРОВАНИЕ ФИНАНСОВОГО КОНТРОЛЯ. ВИДЫ, ФОРМЫ И МЕТОДЫ ФИНАНСОВОГО КОНТРОЛЯ И НАДЗОРА, ИЗД.1</t>
  </si>
  <si>
    <t>978-5-91768-964-7</t>
  </si>
  <si>
    <t>650521.09.01</t>
  </si>
  <si>
    <t>Правовое регулирование эконом. отнош...: Моногр. / Н.Г.Доронина - М.:Юр.Норма,НИЦ ИНФРА-М,2022-160с.(П)</t>
  </si>
  <si>
    <t>ПРАВОВОЕ РЕГУЛИРОВАНИЕ ЭКОНОМИЧЕСКИХ ОТНОШЕНИЙ: ГЛОБАЛЬНОЕ, НАЦИОНАЛЬНОЕ, РЕГИОНАЛЬНОЕ, ИЗД.1</t>
  </si>
  <si>
    <t>Доронина Н.Г., Казанцев Н.М., Семилютина Н.Г.</t>
  </si>
  <si>
    <t>978-5-91768-812-1</t>
  </si>
  <si>
    <t>876984.01.01</t>
  </si>
  <si>
    <t>Правовой институт морского пространственного планир. в РФ / В.А.Майборода - М.:НИЦ ИНФРА-М,2026. - 242 с.(п)</t>
  </si>
  <si>
    <t>ПРАВОВОЙ ИНСТИТУТ МОРСКОГО ПРОСТРАНСТВЕННОГО ПЛАНИРОВАНИЯ В РОССИЙСКОЙ ФЕДЕРАЦИИ, ИЗД.1</t>
  </si>
  <si>
    <t>Майборода В.А.</t>
  </si>
  <si>
    <t>978-5-16-022088-8</t>
  </si>
  <si>
    <t>Российская академия народного хозяйства и государственной службы при Президенте РФ, ф-л Северо-Кавказский институт</t>
  </si>
  <si>
    <t>699386.04.01</t>
  </si>
  <si>
    <t>Правовой механизм обеспеч. рационал...: Моногр. / Е.А.Галиновская - М.:НИЦ ИНФРА-М,2022 - 312 с.(П)</t>
  </si>
  <si>
    <t>ПРАВОВОЙ МЕХАНИЗМ ОБЕСПЕЧЕНИЯ РАЦИОНАЛЬНОГО ИСПОЛЬЗОВАНИЯ ПРИРОДНЫХ РЕСУРСОВ, ИЗД.1</t>
  </si>
  <si>
    <t>Галиновская Е.А., Агафонов В.Б., Боголюбов C.А. и др.</t>
  </si>
  <si>
    <t>978-5-16-014692-8</t>
  </si>
  <si>
    <t>775348.02.01</t>
  </si>
  <si>
    <t>Правовой механизм реализации амнистии в РФ...: Моногр. / Н.И.Полищук-М.:НИЦ ИНФРА-М,2024.-205с(О)</t>
  </si>
  <si>
    <t>ПРАВОВОЙ МЕХАНИЗМ РЕАЛИЗАЦИИ АМНИСТИИ В РОССИЙСКОЙ ФЕДЕРАЦИИ И СОЦИАЛЬНЫЕ ПОСЛЕДСТВИЯ ЕЕ ПРИМЕНЕНИЯ, ИЗД.1</t>
  </si>
  <si>
    <t>Полищук Н.И., Кохман Д.В.</t>
  </si>
  <si>
    <t>978-5-16-017608-6</t>
  </si>
  <si>
    <t>855179.01.01</t>
  </si>
  <si>
    <t>Правовой прогресс: Моногр. / С.И.Архипов - М.:Юр. НОРМА, НИЦ ИНФРА-М,2025. - 272 с.(п)</t>
  </si>
  <si>
    <t>ПРАВОВОЙ ПРОГРЕСС, ИЗД.1</t>
  </si>
  <si>
    <t>Архипов С.И.</t>
  </si>
  <si>
    <t>978-5-00156-435-5</t>
  </si>
  <si>
    <t>773133.01.01</t>
  </si>
  <si>
    <t>Правовой режим земель и его регулирование: Уч.пос. / С.А.Липски-М.:НИЦ ИНФРА-М,2023.-236 с.(СПО)(п)</t>
  </si>
  <si>
    <t>ПРАВОВОЙ РЕЖИМ ЗЕМЕЛЬ И ЕГО РЕГУЛИРОВАНИЕ, ИЗД.1</t>
  </si>
  <si>
    <t>978-5-16-017552-2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</si>
  <si>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21.02.04 «Землеустройство» (протокол № 7 от 21.09.2022)</t>
  </si>
  <si>
    <t>845503.01.01</t>
  </si>
  <si>
    <t>Правовой режим цифровых финан. активов и цифр. валют: Уч.пос. / Г.Ф.Ручкина - М.:НИЦ ИНФРА-М,2026. - 301 с.(п)</t>
  </si>
  <si>
    <t>ПРАВОВОЙ РЕЖИМ ЦИФРОВЫХ ФИНАНСОВЫХ АКТИВОВ И ЦИФРОВЫХ ВАЛЮТ, ИЗД.1</t>
  </si>
  <si>
    <t>Ручкина Г.Ф., Баракина Е.Ю., Демченко М.В. и др.</t>
  </si>
  <si>
    <t>978-5-16-020771-1</t>
  </si>
  <si>
    <t>38.04.01, 38.04.08, 38.05.01, 40.03.01, 40.04.01, 40.05.01</t>
  </si>
  <si>
    <t>694122.01.01</t>
  </si>
  <si>
    <t>Правовой режим Шпицбергена и прилегающих морских районов / А.Н.Вылегжанин.-М.:Юр.Норма,2019.-288с(П)</t>
  </si>
  <si>
    <t>ПРАВОВОЙ РЕЖИМ ШПИЦБЕРГЕНА И ПРИЛЕГАЮЩИХ МОРСКИХ РАЙОНОВ, ИЗД.1</t>
  </si>
  <si>
    <t>Вылегжанин А.Н., Зиланов В.К., Савва В.М.</t>
  </si>
  <si>
    <t>978-5-91768-975-3</t>
  </si>
  <si>
    <t>38.05.02, 40.03.01, 40.04.01, 40.05.01, 40.05.02, 40.05.03, 40.05.04, 41.03.01, 41.03.05, 41.04.01, 41.04.04, 41.04.05, 46.04.01</t>
  </si>
  <si>
    <t>846410.01.01</t>
  </si>
  <si>
    <t>Правовой статус граждан в сфере обороны и безопас. РФ: Уч. / Ю.Г.Федотова - М.:НИЦ ИНФРА-М,2025. - 343 с.(ВО)(п)</t>
  </si>
  <si>
    <t>ПРАВОВОЙ СТАТУС ГРАЖДАН В СФЕРЕ ОБОРОНЫ И БЕЗОПАСНОСТИ РОССИЙСКОЙ ФЕДЕРАЦИИ, ИЗД.1</t>
  </si>
  <si>
    <t>978-5-16-020631-8</t>
  </si>
  <si>
    <t>56.04.02</t>
  </si>
  <si>
    <t>489550.01.01</t>
  </si>
  <si>
    <t>Правовой статус должностных лиц органов гос. власти субъектов РФ: Моногр./П.А.Виноградова-М.:ИЦ РИОР, НИЦ ИНФРА-М,2015.</t>
  </si>
  <si>
    <t>ПРАВОВОЙ СТАТУС ДОЛЖНОСТНЫХ ЛИЦ ОРГАНОВ ГОСУДАРСТВЕННОЙ ВЛАСТИ СУБЪЕКТОВ РОССИЙСКОЙ ФЕДЕРАЦИИ, ИЗД.1</t>
  </si>
  <si>
    <t>Виноградова П.А.</t>
  </si>
  <si>
    <t>978-5-369-01435-6</t>
  </si>
  <si>
    <t>38.03.04, 38.04.04, 40.03.01, 40.04.01, 44.03.05</t>
  </si>
  <si>
    <t>800729.01.01</t>
  </si>
  <si>
    <t>Правовой статус личности на совр...: Науч.-прак. пос. / Н.Антонова - М.:НИЦ ИНФРА-М,2024. - 200 с.(п)</t>
  </si>
  <si>
    <t>ПРАВОВОЙ СТАТУС ЛИЧНОСТИ НА СОВРЕМЕННОМ ЭТАПЕ НАУЧНО-ТЕХНОЛОГИЧЕСКОГО ПРОГРЕССА: ФОРМИРОВАНИЕ, РЕАЛИЗАЦИЯ, ЗАЩИТА, ИЗД.1</t>
  </si>
  <si>
    <t>Антонова Н., Гаджиев Х.И., Грачева С.А. и др.</t>
  </si>
  <si>
    <t>978-5-16-018300-8</t>
  </si>
  <si>
    <t>674981.10.01</t>
  </si>
  <si>
    <t>Правовой статус оперуполномоч. при провед.опер.-розыск..: Моногр. / В.Ф.Луговик - М.:НИЦ ИНФРА-М,2026 - 156 с.(О)</t>
  </si>
  <si>
    <t>ПРАВОВОЙ СТАТУС ОПЕРУПОЛНОМОЧЕННОГО ПРИ ПРОВЕДЕНИИ ОПЕРАТИВНО-РОЗЫСКНЫХ МЕРОПРИЯТИЙ, ИЗД.1</t>
  </si>
  <si>
    <t>Луговик В.Ф., Лугович С.М.</t>
  </si>
  <si>
    <t>978-5-16-013526-7</t>
  </si>
  <si>
    <t>800252.01.01</t>
  </si>
  <si>
    <t>Правовой статус субъектов образоват. отнош. и его влияние.../ Е.Е.Кречетова-М.:НИЦ ИНФРА-М,2024.-197 с.(о)</t>
  </si>
  <si>
    <t>ПРАВОВОЙ СТАТУС СУБЪЕКТОВ ОБРАЗОВАТЕЛЬНЫХ ОТНОШЕНИЙ И ЕГО ВЛИЯНИЕ НА СОСТОЯНИЕ СОВРЕМЕННОГО ОБРАЗОВАНИЯ В РОССИИ И ДРУГИХ ГОСУДАРСТВАХ, ИЗД.1</t>
  </si>
  <si>
    <t>Кречетова Е.Е., Кривенький А.И., Рублевская Л.В.</t>
  </si>
  <si>
    <t>978-5-16-018339-8</t>
  </si>
  <si>
    <t>40.04.01, 40.06.01, 44.03.05, 44.04.01, 44.04.02, 44.04.03, 44.04.04, 44.06.01</t>
  </si>
  <si>
    <t>Школа № 1542</t>
  </si>
  <si>
    <t>795337.04.01</t>
  </si>
  <si>
    <t>Правовой статус чел. и гражданина в меняющемся мире / А.Е.Постников - М.:Юр.НОРМА, НИЦ ИНФРА-М,2025 - 248 с.(П)</t>
  </si>
  <si>
    <t>ПРАВОВОЙ СТАТУС ЧЕЛОВЕКА И ГРАЖДАНИНА В МЕНЯЮЩЕМСЯ МИРЕ, ИЗД.1</t>
  </si>
  <si>
    <t>Постников А.Е.</t>
  </si>
  <si>
    <t>978-5-00156-280-1</t>
  </si>
  <si>
    <t>717573.03.01</t>
  </si>
  <si>
    <t>Правовые аспекты бух. дела: теор. основы и...: Моногр. / М.Д.Акатьева - М.:НИЦ ИНФРА-М,2025. - 147 с.(О)</t>
  </si>
  <si>
    <t>ПРАВОВЫЕ АСПЕКТЫ БУХГАЛТЕРСКОГО ДЕЛА: ТЕОРЕТИЧЕСКИЕ ОСНОВЫ И ПРАКТИЧЕСКАЯ РЕАЛИЗАЦИЯ, ИЗД.1</t>
  </si>
  <si>
    <t>978-5-16-015575-3</t>
  </si>
  <si>
    <t>38.03.01, 38.03.02, 38.04.01, 38.04.02, 40.04.01</t>
  </si>
  <si>
    <t>838039.02.01</t>
  </si>
  <si>
    <t>Правовые аспекты участия врача  в...: Уч.пос. / И.В.Буромский - М.:Юр. НОРМА, НИЦ ИНФРА-М,2027 - 96 с.(о)</t>
  </si>
  <si>
    <t>ПРАВОВЫЕ АСПЕКТЫ УЧАСТИЯ ВРАЧА  В ПРОЦЕССУАЛЬНЫХ ДЕЙСТВИЯХ, ИЗД.1</t>
  </si>
  <si>
    <t>Буромский И.В.</t>
  </si>
  <si>
    <t>978-5-00156-386-0</t>
  </si>
  <si>
    <t>30.05.03, 31.05.01, 31.05.02, 31.05.03, 32.05.01, 40.03.01, 40.05.01, 40.05.02, 40.05.03, 40.05.04</t>
  </si>
  <si>
    <t>786684.02.01</t>
  </si>
  <si>
    <t>Правовые и орг. основы борьбы с незакон. оборот...: Уч. / М.Л.Прохорова - М.:НИЦ ИНФРА-М,2027 - 298 с.(ВО)(п)</t>
  </si>
  <si>
    <t>ПРАВОВЫЕ И ОРГАНИЗАЦИОННЫЕ ОСНОВЫ БОРЬБЫ С НЕЗАКОННЫМ ОБОРОТОМ НАРКОТИКОВ, ИЗД.1</t>
  </si>
  <si>
    <t>Прохорова М.Л., Михайлов А.Е., Пикин И.В. и др.</t>
  </si>
  <si>
    <t>978-5-16-017969-8</t>
  </si>
  <si>
    <t>40.05.01, 40.05.02</t>
  </si>
  <si>
    <t>788751.03.01</t>
  </si>
  <si>
    <t>Правовые и орг. основы деят. исправит. центров: Моногр. / Л.Ю.Буданова - М.:НИЦ ИНФРА-М,2026. - 178 с.(о)</t>
  </si>
  <si>
    <t>ПРАВОВЫЕ И ОРГАНИЗАЦИОННЫЕ ОСНОВЫ ДЕЯТЕЛЬНОСТИ ИСПРАВИТЕЛЬНЫХ ЦЕНТРОВ, ИЗД.1</t>
  </si>
  <si>
    <t>Буданова Л.Ю., Казак Б.Б., Смирнова И.Н. и др.</t>
  </si>
  <si>
    <t>978-5-16-018078-6</t>
  </si>
  <si>
    <t>Псковский юридический институт Федеральной службы исполнения наказаний</t>
  </si>
  <si>
    <t>736620.05.01</t>
  </si>
  <si>
    <t>Правовые категории. Методологические аспекты... / А.М.Васильев - М.:Юр.Норма, НИЦ ИНФРА-М,2026. - 264 с.(П)</t>
  </si>
  <si>
    <t>ПРАВОВЫЕ КАТЕГОРИИ. МЕТОДОЛОГИЧЕСКИЕ АСПЕКТЫ РАЗРАБОТКИ СИСТЕМЫ КАТЕГОРИЙ ТЕОРИИ ПРАВА, ИЗД.1</t>
  </si>
  <si>
    <t>Васильев А.М.</t>
  </si>
  <si>
    <t>978-5-00156-068-5</t>
  </si>
  <si>
    <t>698505.02.01</t>
  </si>
  <si>
    <t>Правовые льготы: Моногр. / И.С.Барзилова - М.:НИЦ ИНФРА-М,2023 - 207 с.-(Науч.мысль)(О)</t>
  </si>
  <si>
    <t>ПРАВОВЫЕ ЛЬГОТЫ, ИЗД.1</t>
  </si>
  <si>
    <t>Барзилова И.С.</t>
  </si>
  <si>
    <t>978-5-16-014799-4</t>
  </si>
  <si>
    <t>325300.10.01</t>
  </si>
  <si>
    <t>Правовые модели и реальность: Моногр. / О.А.Акопян и др. - М.:НИЦ ИНФРА-М,2025 - 280 с.(ИЗиСП)(о)</t>
  </si>
  <si>
    <t>ПРАВОВЫЕ МОДЕЛИ И РЕАЛЬНОСТЬ, ИЗД.1</t>
  </si>
  <si>
    <t>Акопян О.А., Власова Н.В., Грачева С.А. и др.</t>
  </si>
  <si>
    <t>978-5-16-010542-0</t>
  </si>
  <si>
    <t>695391.03.01</t>
  </si>
  <si>
    <t>Правовые модели управления: Монография / Д.В.Осинцев-М.:НИЦ ИНФРА-М,2023.-309 с..-(Науч.мысль)(П)</t>
  </si>
  <si>
    <t>ПРАВОВЫЕ МОДЕЛИ УПРАВЛЕНИЯ, ИЗД.1</t>
  </si>
  <si>
    <t>Осинцев Д.В.</t>
  </si>
  <si>
    <t>978-5-16-014628-7</t>
  </si>
  <si>
    <t>810915.03.01</t>
  </si>
  <si>
    <t>Правовые основы деят. уголов.-исполнит. инспекций: Уч.пос. / Ф.В.Грушин - М.:НИЦ ИНФРА-М,2026. - 156 с.(ВО)(п)</t>
  </si>
  <si>
    <t>ПРАВОВЫЕ ОСНОВЫ ДЕЯТЕЛЬНОСТИ УГОЛОВНО-ИСПОЛНИТЕЛЬНЫХ ИНСПЕКЦИЙ, ИЗД.1</t>
  </si>
  <si>
    <t>Грушин Ф.В., Карханина Л.В., Бякина С.И.</t>
  </si>
  <si>
    <t>978-5-16-019229-1</t>
  </si>
  <si>
    <t>682408.03.01</t>
  </si>
  <si>
    <t>Правовые основы механизма реализации конституц. права.. /Добрынин Н.М.-М.:НИЦ ИНФРА-М,2023-177с(О)</t>
  </si>
  <si>
    <t>ПРАВОВЫЕ ОСНОВЫ МЕХАНИЗМА РЕАЛИЗАЦИИ КОНСТИТУЦИОННОГО ПРАВА НА СОЦИАЛЬНОЕ ОБЕСПЕЧЕНИЕ В РОССИЙСКОЙ ФЕДЕРАЦИИ, ИЗД.1</t>
  </si>
  <si>
    <t>Байматов П.Н., Добрынин Н.М., Добрынин Н.М. и др.</t>
  </si>
  <si>
    <t>978-5-16-014559-4</t>
  </si>
  <si>
    <t>38.04.04, 40.04.01, 41.04.02, 41.04.04, 44.04.01, 46.04.01</t>
  </si>
  <si>
    <t>147250.16.01</t>
  </si>
  <si>
    <t>Правовые основы опер.-розыск. меропр.: Уч.пос. / О.В.Фирсов - 5 изд.-М.:Юр.Норма, НИЦ ИНФРА-М,2025.-208с(П)</t>
  </si>
  <si>
    <t>ПРАВОВЫЕ ОСНОВЫ ОПЕРАТИВНО-РОЗЫСКНЫХ МЕРОПРИЯТИЙ, ИЗД.5</t>
  </si>
  <si>
    <t>978-5-00156-028-9</t>
  </si>
  <si>
    <t>Рекомендовано Учебно-методическим объединением по юридическому образованию высших учебных заведений РФ в качестве учебного пособия для студентов высших учебных заведений, обучающихся по направлению "Юриспруденция" и специальности "Юриспруденция"</t>
  </si>
  <si>
    <t>147250.19.01</t>
  </si>
  <si>
    <t>Правовые основы опер.-розыск. меропр.: Уч.пос. / О.В.Фирсов - 6 изд. - М.:Юр.Норма, НИЦ ИНФРА - М,2027 - 256 с.(П)</t>
  </si>
  <si>
    <t>ПРАВОВЫЕ ОСНОВЫ ОПЕРАТИВНО-РОЗЫСКНЫХ МЕРОПРИЯТИЙ, ИЗД.6</t>
  </si>
  <si>
    <t>978-5-00156-426-3</t>
  </si>
  <si>
    <t>147250.08.01</t>
  </si>
  <si>
    <t>Правовые основы опер.-розыск. меропр.: Уч.пос. /О.В.Фирсов-4изд. -М.: Юр.Норма,НИЦ ИНФРА-М,2019-208с</t>
  </si>
  <si>
    <t>ПРАВОВЫЕ ОСНОВЫ ОПЕРАТИВНО-РОЗЫСКНЫХ МЕРОПРИЯТИЙ, ИЗД.4</t>
  </si>
  <si>
    <t>978-5-91768-700-1</t>
  </si>
  <si>
    <t>694254.01.01</t>
  </si>
  <si>
    <t>Правовые основы орг. взаимного страхов. в России...: Моногр. / В.М.Бартош - М.:НИЦ ИНФРА-М,2019-252с</t>
  </si>
  <si>
    <t>ПРАВОВЫЕ ОСНОВЫ ОРГАНИЗАЦИИ ВЗАИМНОГО СТРАХОВАНИЯ В РОССИИ: ПРОБЛЕМЫ ТЕОРИИ И ПРАКТИКИ, ИЗД.1</t>
  </si>
  <si>
    <t>Бартош В.М.</t>
  </si>
  <si>
    <t>978-5-16-014603-4</t>
  </si>
  <si>
    <t>171950.11.01</t>
  </si>
  <si>
    <t>Правовые основы производства по уголовным делам..: Монгр. / О.В.Левченко - М.:НИЦ ИНФРА-М,2025 - 124 с.(О)</t>
  </si>
  <si>
    <t>ПРАВОВЫЕ ОСНОВЫ ПРОИЗВОДСТВА ПО УГОЛОВНЫМ ДЕЛАМ В ОТНОШЕНИИ НЕСОВЕРШЕННОЛЕТНИХ, ИЗД.1</t>
  </si>
  <si>
    <t>Левченко О.В., Мищенко Е.В.</t>
  </si>
  <si>
    <t>978-5-16-005311-0</t>
  </si>
  <si>
    <t>776761.02.01</t>
  </si>
  <si>
    <t>Правовые основы противодействия пенитенциарной...: Уч.пос. / Расторопов С.В. - М.:НИЦ ИНФРА-М,2027. - 237 с.(п)</t>
  </si>
  <si>
    <t>ПРАВОВЫЕ ОСНОВЫ ПРОТИВОДЕЙСТВИЯ ПЕНИТЕНЦИАРНОЙ ПРЕСТУПНОСТИ, ИЗД.1</t>
  </si>
  <si>
    <t>Расторопов С.В., Пикин И.В., Тараканов И.А. и др.</t>
  </si>
  <si>
    <t>978-5-16-017827-1</t>
  </si>
  <si>
    <t>773668.01.01</t>
  </si>
  <si>
    <t>Правовые основы расторжения брака в Респ. Узбекистан: Моногр./ Э.Х.Эгамбердиев-М.:НИЦ ИНФРА-М,2022-230с(О)</t>
  </si>
  <si>
    <t>ПРАВОВЫЕ ОСНОВЫ РАСТОРЖЕНИЯ БРАКА В РЕСПУБЛИКЕ УЗБЕКИСТАН, ИЗД.1</t>
  </si>
  <si>
    <t>Эгамбердиев Э.Х.</t>
  </si>
  <si>
    <t>978-5-16-017582-9</t>
  </si>
  <si>
    <t>690280.06.01</t>
  </si>
  <si>
    <t>Правовые основы рос. революц. преобр. 1917 г.: Моногр./Под ред. Пашенцева Д.А.-М.:НИЦ ИНФРА-М,2024-199с.(Науч.мысль)(о)</t>
  </si>
  <si>
    <t>ПРАВОВЫЕ ОСНОВЫ РОССИЙСКИХ РЕВОЛЮЦИОННЫХ ПРЕОБРАЗОВАНИЙ 1917 ГОДА, ИЗД.1</t>
  </si>
  <si>
    <t>Пашенцев Д.А., Боголюбов С.А., Алексеева Л.Л. и др.</t>
  </si>
  <si>
    <t>978-5-16-014751-2</t>
  </si>
  <si>
    <t>40.03.01, 40.04.01, 46.04.01</t>
  </si>
  <si>
    <t>851048.02.01</t>
  </si>
  <si>
    <t>Правовые основы соц. раб. с отдельными категор. граждан: Уч.пос. / Т.А.Сережко - М.:НИЦ ИНФРА-М,2026 -270с(п)</t>
  </si>
  <si>
    <t>ПРАВОВЫЕ ОСНОВЫ СОЦИАЛЬНОЙ РАБОТЫ С ОТДЕЛЬНЫМИ КАТЕГОРИЯМИ ГРАЖДАН, ИЗД.1</t>
  </si>
  <si>
    <t>978-5-16-020789-6</t>
  </si>
  <si>
    <t>Рекомендовано кафедрой гуманитарных и социальных дисциплин Белгородского университета кооперации, экономики и права в качестве учебника для учебных заведений, реализующих программу среднего профессионального образования по специальности 40.02.04 «Юриспруденция» (протокол № 1 от 29.08.2025)</t>
  </si>
  <si>
    <t>730121.02.01</t>
  </si>
  <si>
    <t>Правовые основы участия органов публичной власти...: Моногр. / Н.П.Поставная - М.:НИЦ ИНФРА-М,2022 - 159 с.(О)</t>
  </si>
  <si>
    <t>ПРАВОВЫЕ ОСНОВЫ УЧАСТИЯ ОРГАНОВ ПУБЛИЧНОЙ ВЛАСТИ В ГРАДОСТРОИТЕЛЬНОЙ ДЕЯТЕЛЬНОСТИ, ИЗД.1</t>
  </si>
  <si>
    <t>Поставная Н.П., Боголюбов С.А.</t>
  </si>
  <si>
    <t>978-5-16-016023-8</t>
  </si>
  <si>
    <t>645370.10.01</t>
  </si>
  <si>
    <t>Правовые основы физ. культуры и спорта: Уч.пос. / Т.Э.Зульфугарзаде - М.:НИЦ ИНФРА-М, 2026 - 140 с.(ВО)(О)</t>
  </si>
  <si>
    <t>ПРАВОВЫЕ ОСНОВЫ ФИЗИЧЕСКОЙ КУЛЬТУРЫ И СПОРТА, ИЗД.1</t>
  </si>
  <si>
    <t>Зульфугарзаде Т.Э.</t>
  </si>
  <si>
    <t>978-5-16-012700-2</t>
  </si>
  <si>
    <t>40.03.01, 49.03.01, 49.03.02</t>
  </si>
  <si>
    <t>Рекомендовано в качестве учебного пособия для студентов высших учебных заведений, обучающихся по направлениям подготовки 40.03.01 «Юриспруденция», 49.03.01 «Физическая культура», 49.03.02 «Физическая культура для лиц с отклонениями в состоянии здоровья» (квалификация (степень) «бакалавр»)</t>
  </si>
  <si>
    <t>846460.04.01</t>
  </si>
  <si>
    <t>Правовые очерки технологич. революции: Моногр. / Т.Я.Хабриева - М.:Юр. НОРМА, НИЦ ИНФРА-М,2026 - 144 с.(о)</t>
  </si>
  <si>
    <t>ПРАВОВЫЕ ОЧЕРКИ ТЕХНОЛОГИЧЕСКОЙ РЕВОЛЮЦИИ, ИЗД.1</t>
  </si>
  <si>
    <t>978-5-00156-401-0</t>
  </si>
  <si>
    <t>15.04.02, 38.05.01, 40.04.01, 40.05.01, 40.05.02, 40.05.03, 40.05.04</t>
  </si>
  <si>
    <t>777880.03.01</t>
  </si>
  <si>
    <t>Правовые пробл. устойчивого пространств. развития гос. - участников СНГ / Е.А.Галиновская -М.:НИЦ ИНФРА-М,2024-456с.(П)</t>
  </si>
  <si>
    <t>ПРАВОВЫЕ ПРОБЛЕМЫ УСТОЙЧИВОГО ПРОСТРАНСТВЕННОГО РАЗВИТИЯ ГОСУДАРСТВ - УЧАСТНИКОВ СНГ, ИЗД.1</t>
  </si>
  <si>
    <t>Галиновская Е.А., Пономарев М.В., Азимзода А.Ш. и др.</t>
  </si>
  <si>
    <t>978-5-16-017681-9</t>
  </si>
  <si>
    <t>05.03.02, 05.06.01, 40.04.01, 40.06.01</t>
  </si>
  <si>
    <t>880993.01.01</t>
  </si>
  <si>
    <t>Правовые средства обеспеч. эффектив. процедур несост. в России... / Т.П.Шишмарева - М.:Юр. НОРМА,2026. - 404 с.(п)</t>
  </si>
  <si>
    <t>ПРАВОВЫЕ СРЕДСТВА ОБЕСПЕЧЕНИЯ ЭФФЕКТИВНОСТИ ПРОЦЕДУР НЕСОСТОЯТЕЛЬНОСТИ В РОССИИ И ГЕРМАНИИ, ИЗД.1</t>
  </si>
  <si>
    <t>Шишмарева Т.П.</t>
  </si>
  <si>
    <t>978-5-00156-488-1</t>
  </si>
  <si>
    <t>718663.04.01</t>
  </si>
  <si>
    <t>Правовые средства обеспечения финансовой безоп.: Моногр. / И.И.Кучеров-М.:Юр.Норма, НИЦ ИНФРА-М,2022-240с(П)</t>
  </si>
  <si>
    <t>ПРАВОВЫЕ СРЕДСТВА ОБЕСПЕЧЕНИЯ ФИНАНСОВОЙ БЕЗОПАСНОСТИ, ИЗД.1</t>
  </si>
  <si>
    <t>Кучеров И.И., Поветкина Н.А.</t>
  </si>
  <si>
    <t>978-5-00156-022-7</t>
  </si>
  <si>
    <t>38.04.08, 38.04.09, 40.04.01</t>
  </si>
  <si>
    <t>456400.05.01</t>
  </si>
  <si>
    <t>Правовые средства противодействия коррупции: Науч.-прак. пос. / Н.А.Власенко - М.:НИЦ ИНФРА-М,2025 - 344 с.(п)</t>
  </si>
  <si>
    <t>ПРАВОВЫЕ СРЕДСТВА ПРОТИВОДЕЙСТВИЯ КОРРУПЦИИ, ИЗД.1</t>
  </si>
  <si>
    <t>Власенко Н.А., Грачева С.А., Рафалюк Е.Е. и др.</t>
  </si>
  <si>
    <t>978-5-16-014640-9</t>
  </si>
  <si>
    <t>40.02.02, 40.02.04, 40.03.01, 40.04.01, 40.05.01, 40.05.02, 40.05.03, 44.03.05</t>
  </si>
  <si>
    <t>786373.01.01</t>
  </si>
  <si>
    <t>Правообразующая деят. государства: теория...: Моногр. / К.Р.Мурсалимов-М.:ИНФРА-М,2024-185с.(п)</t>
  </si>
  <si>
    <t>ПРАВООБРАЗУЮЩАЯ ДЕЯТЕЛЬНОСТЬ ГОСУДАРСТВА: ТЕОРИЯ, МЕТОДОЛОГИЯ, ПРАКТИКА, ИЗД.1</t>
  </si>
  <si>
    <t>Мурсалимов К.Р.</t>
  </si>
  <si>
    <t>978-5-16-019236-9</t>
  </si>
  <si>
    <t>733756.06.01</t>
  </si>
  <si>
    <t>Правоотношение (нравственность совр. правового регулир.): Моногр. / П.П.Серков - М.:Юр.Норма,2025-688 с.(П)</t>
  </si>
  <si>
    <t>ПРАВООТНОШЕНИЕ (НРАВСТВЕННОСТЬ СОВРЕМЕННОГО ПРАВОВОГО РЕГУЛИРОВАНИЯ), ИЗД.1</t>
  </si>
  <si>
    <t>Серков П.П.</t>
  </si>
  <si>
    <t>978-5-00156-063-0</t>
  </si>
  <si>
    <t>782710.02.01</t>
  </si>
  <si>
    <t>Правоотношение (теория и прак. совр...): В 2 т.Т.2 / П.П.Серков - М.:Юр. НОРМА, НИЦ ИНФРА-М,2025. - 672 с.(П)</t>
  </si>
  <si>
    <t>ПРАВООТНОШЕНИЕ (ТЕОРИЯ И ПРАКТИКА СОВРЕМЕННОЙ ПРАВОВОЙ ПОЛИТИКИ), Т.2</t>
  </si>
  <si>
    <t>978-5-00156-247-4</t>
  </si>
  <si>
    <t>781313.01.01</t>
  </si>
  <si>
    <t>Правоотношение (теория и прак. совр...): Т. 1 / П.П.Серков-М.:Юр. НОРМА, НИЦ ИНФРА-М,2023.-872 с.(П)</t>
  </si>
  <si>
    <t>ПРАВООТНОШЕНИЕ (ТЕОРИЯ И ПРАКТИКА СОВРЕМЕННОЙ ПРАВОВОЙ ПОЛИТИКИ), Т.1</t>
  </si>
  <si>
    <t>978-5-00156-234-4</t>
  </si>
  <si>
    <t>853088.01.01</t>
  </si>
  <si>
    <t>Правоотношение (Теория и прак..): Ч. 1: Моногр. / П.П.Серков-М.:Юр. НОРМА,2025.-1056 с.(п)</t>
  </si>
  <si>
    <t>ПРАВООТНОШЕНИЕ (ТЕОРИЯ И ПРАКТИКА ПРАВОВОГО РЕГУЛИРОВАНИЯ ЭКОНОМИКИ), Т.1</t>
  </si>
  <si>
    <t>978-5-00156-429-4</t>
  </si>
  <si>
    <t>38.04.01, 38.05.01, 38.06.01, 40.04.01, 40.05.01, 40.05.02, 40.06.01</t>
  </si>
  <si>
    <t>685030.06.01</t>
  </si>
  <si>
    <t>Правоотношение (теория и практ.совр.прав.регулир.) Ч.1: Моногр. / А.И.Серков - М.:Юр.Норма,2025 - 512 с.(П)</t>
  </si>
  <si>
    <t>ПРАВООТНОШЕНИЕ (ТЕОРИЯ И ПРАКТИКА СОВРЕМЕННОГО ПРАВОВОГО РЕГУЛИРОВАНИЯ), Т.1</t>
  </si>
  <si>
    <t>978-5-91768-941-8</t>
  </si>
  <si>
    <t>685031.06.01</t>
  </si>
  <si>
    <t>Правоотношение(теория и практ.соврем.правов.регулир.):Части 2,3 / П.П.Серков - М.:Юр.Норма,2025 - 1088 с.(П)</t>
  </si>
  <si>
    <t>ПРАВООТНОШЕНИЕ (ТЕОРИЯ И ПРАКТИКА СОВРЕМЕННОГО ПРАВОВОГО РЕГУЛИРОВАНИЯ) ЧАСТИ ВТОРАЯ И ТРЕТЬЯ, Т.2</t>
  </si>
  <si>
    <t>978-5-91768-940-1</t>
  </si>
  <si>
    <t>855182.01.01</t>
  </si>
  <si>
    <t>Правоотношения (Теория и прак...). Ч. 2: Моногр. / П.П.Серков-М.:Юр. НОРМА,2025.-1176 с.(п)</t>
  </si>
  <si>
    <t>ПРАВООТНОШЕНИЯ (ТЕОРИЯ И ПРАКТИКА ПРАВОВОГО РЕГУЛИРОВАНИЯ ЭКОНОМИКИ), Т.2</t>
  </si>
  <si>
    <t>978-5-00156-437-9</t>
  </si>
  <si>
    <t>38.04.01, 38.05.01, 40.04.01, 40.05.01, 40.05.02, 40.05.04</t>
  </si>
  <si>
    <t>804565.02.01</t>
  </si>
  <si>
    <t>Правоохранительная деят. военной полиции Вооруженных Сил РФ/ С.А.Минтягов - М.:НИЦ ИНФРА-М,2026. - 318 с.(П)</t>
  </si>
  <si>
    <t>ПРАВООХРАНИТЕЛЬНАЯ ДЕЯТЕЛЬНОСТЬ ВОЕННОЙ ПОЛИЦИИ ВООРУЖЕННЫХ СИЛ РОССИЙСКОЙ ФЕДЕРАЦИИ, ИЗД.1</t>
  </si>
  <si>
    <t>978-5-16-018574-3</t>
  </si>
  <si>
    <t>848911.04.01</t>
  </si>
  <si>
    <t>Правоохранительные и судеб. органы: Уч. / Г.Б.Романовский - М.:ИЦ РИОР, НИЦ ИНФРА-М,2026. - 300 с.(СПО)(п)</t>
  </si>
  <si>
    <t>ПРАВООХРАНИТЕЛЬНЫЕ И СУДЕБНЫЕ ОРГАНЫ, ИЗД.1</t>
  </si>
  <si>
    <t>Романовский Г. Б., Романовская О. В.</t>
  </si>
  <si>
    <t>978-5-369-01975-7</t>
  </si>
  <si>
    <t>Всероссийский государственный университет юстиции (РПА Минюста России), ф-л Средне-Волжский</t>
  </si>
  <si>
    <t>870314.01.01</t>
  </si>
  <si>
    <t>Правоохранительные и судебные органы: Уч. / О.В.Овчинникова и др. - М.:НИЦ ИНФРА-М,2026. - 274 с.(СПО)(п)</t>
  </si>
  <si>
    <t>Овчинникова О.В., Классен А.Н., Ульянов А.Ю. и др.</t>
  </si>
  <si>
    <t>978-5-16-021660-7</t>
  </si>
  <si>
    <t>855586.01.01</t>
  </si>
  <si>
    <t>Правоохранительные и судебные органы: Уч. / О.В.Овчинникова. - М.:НИЦ ИНФРА-М,2026. -  274 с.(ВО)(п)</t>
  </si>
  <si>
    <t>978-5-16-021129-9</t>
  </si>
  <si>
    <t>10.05.05, 40.03.01, 40.05.01, 40.05.02, 40.05.03, 40.05.04, 40.03.02</t>
  </si>
  <si>
    <t>771447.02.01</t>
  </si>
  <si>
    <t>Правоохранительные и судебные органы: Уч.пос. / Р.Г.Миронов - М.:НИЦ ИНФРА-М,2025. - 252 с.(СПО)(п)</t>
  </si>
  <si>
    <t>978-5-16-017833-2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</si>
  <si>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юридическим специальностям (протокол № 8 от 19.10.2022)</t>
  </si>
  <si>
    <t>672425.12.01</t>
  </si>
  <si>
    <t>Правоохранительные органы РФ: Уч. / Ю.Б.Чупилкин - 2 изд. - М.:Юр.Норма, НИЦ ИНФРА-М,2025 - 432 с.(П)</t>
  </si>
  <si>
    <t>ПРАВООХРАНИТЕЛЬНЫЕ ОРГАНЫ РОССИЙСКОЙ ФЕДЕРАЦИИ, ИЗД.2</t>
  </si>
  <si>
    <t>Чупилкин Ю.Б., Воронцов С.А., Ляхов Ю.А. и др.</t>
  </si>
  <si>
    <t>978-5-00156-246-7</t>
  </si>
  <si>
    <t>778410.06.01</t>
  </si>
  <si>
    <t>Правоохранительные органы РФ: Уч. / Ю.Б.Чупилкин - М.:Юр. НОРМА, НИЦ ИНФРА-М,2025 - 432 с.(П)</t>
  </si>
  <si>
    <t>ПРАВООХРАНИТЕЛЬНЫЕ ОРГАНЫ РОССИЙСКОЙ ФЕДЕРАЦИИ, ИЗД.1</t>
  </si>
  <si>
    <t>Чупилкин Ю.Б., Ляхов Ю.А., Воронцов С.А. и др.</t>
  </si>
  <si>
    <t>978-5-00156-248-1</t>
  </si>
  <si>
    <t>672425.04.01</t>
  </si>
  <si>
    <t>Правоохранительные органы РФ: Уч. / Ю.Б.Чупилкин - М.:Юр.Норма, НИЦ ИНФРА-М,2020 - 416 с.(П)</t>
  </si>
  <si>
    <t>978-5-91768-882-4</t>
  </si>
  <si>
    <t>774156.01.01</t>
  </si>
  <si>
    <t>Правоохранительные органы: Уч.пос. / А.Г.Чернявский и др.-М.:НИЦ ИНФРА-М,2022.-287 с.(СПО)(П)</t>
  </si>
  <si>
    <t>ПРАВООХРАНИТЕЛЬНЫЕ ОРГАНЫ, ИЗД.1</t>
  </si>
  <si>
    <t>Чернявский А.Г., Воронцова С.В., Зотов А.Т.</t>
  </si>
  <si>
    <t>978-5-16-017658-1</t>
  </si>
  <si>
    <t>104650.13.01</t>
  </si>
  <si>
    <t>Правоохранительные органы: Уч.пос. / Г.Б.Романовский, - 4 изд. - М.:ИЦ РИОР, НИЦ ИНФРА-М,2026. - 300 с.(ВО)(п)</t>
  </si>
  <si>
    <t>ПРАВООХРАНИТЕЛЬНЫЕ ОРГАНЫ, ИЗД.4</t>
  </si>
  <si>
    <t>978-5-369-01945-0</t>
  </si>
  <si>
    <t>Рекомендовано Московской государственной юридической академией в качестве учебного пособия для студентов высших образовательных учреждений, реализующих образовательные программы высшего и дополнительного профессионального образования по дисциплине «П</t>
  </si>
  <si>
    <t>796065.06.01</t>
  </si>
  <si>
    <t>Правоохранительные органы: Уч.пос. / Р.Г.Миронов, - 2 изд. - М.:НИЦ ИНФРА-М,2026. - 280 с.(ВО)(п)</t>
  </si>
  <si>
    <t>ПРАВООХРАНИТЕЛЬНЫЕ ОРГАНЫ, ИЗД.2</t>
  </si>
  <si>
    <t>978-5-16-019565-0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</si>
  <si>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«Юриспруденция»¶(квалификация (степень) «бакалавр») (протокол № 6 от 08.06.2022</t>
  </si>
  <si>
    <t>477750.05.01</t>
  </si>
  <si>
    <t>Правоохранительные органы: Уч.пос. / Р.Г.Миронов-М.:ИД ФОРУМ, НИЦ ИНФРА-М,2019.-256 с..-(СПО)(п)</t>
  </si>
  <si>
    <t>978-5-8199-0762-7</t>
  </si>
  <si>
    <t>Рекомендовано в качестве учебного пособия для студентов средних специальных учебных заведений, обучающихся по направлению и специальности «Юриспруденция»</t>
  </si>
  <si>
    <t>104650.11.01</t>
  </si>
  <si>
    <t>Правоохранительные органы: Уч.пос. /Г.Б.Романовский- 3 изд.-М.:ИЦ РИОР,НИЦ ИНФРА-М,2022-298с.(ВО)(П)</t>
  </si>
  <si>
    <t>ПРАВООХРАНИТЕЛЬНЫЕ ОРГАНЫ, ИЗД.3</t>
  </si>
  <si>
    <t>978-5-369-01632-9</t>
  </si>
  <si>
    <t>682232.01.01</t>
  </si>
  <si>
    <t>Правоприменительная практика в области бюджета:: Моногр. / Х.В.Пешкова-М.:НИЦ ИНФРА-М,2022.-239 с.(Науч.мысль)(П)</t>
  </si>
  <si>
    <t>ПРАВОПРИМЕНИТЕЛЬНАЯ ПРАКТИКА В ОБЛАСТИ БЮДЖЕТА: ТЕОРЕТИКО-ПРАВОВЫЕ И СУДЕБНО-АРБИТРАЖНЫЕ АСПЕКТЫ, ИЗД.1</t>
  </si>
  <si>
    <t>Пешкова Х.В., Пачкун В.В.</t>
  </si>
  <si>
    <t>978-5-16-017084-8</t>
  </si>
  <si>
    <t>38.03.01, 38.03.04, 38.04.01, 38.04.08, 38.06.01, 40.03.01, 40.04.01, 40.06.01</t>
  </si>
  <si>
    <t>853435.01.01</t>
  </si>
  <si>
    <t>Православие и русская литература: Моногр. / Р.А.Алексеев. - М.:НИЦ ИНФРА-М,2026. - 234 с.(Науч.мысль)(п)</t>
  </si>
  <si>
    <t>ПРАВОСЛАВИЕ И РУССКАЯ ЛИТЕРАТУРА, ИЗД.1</t>
  </si>
  <si>
    <t>Алексеев Р.А., Козьякова Н.С., Шакурова Н.Е.</t>
  </si>
  <si>
    <t>978-5-16-020919-7</t>
  </si>
  <si>
    <t>44.03.01, 44.03.05, 48.03.01</t>
  </si>
  <si>
    <t>665872.06.01</t>
  </si>
  <si>
    <t>Православная символика в ист. рус. словесности: Моногр. / И.В.Волосков - М.:НИЦ ИНФРА-М,2027. - 130 с.(О)</t>
  </si>
  <si>
    <t>ПРАВОСЛАВНАЯ СИМВОЛИКА В ИСТОРИИ РУССКОЙ СЛОВЕСНОСТИ, ИЗД.1</t>
  </si>
  <si>
    <t>978-5-16-013503-8</t>
  </si>
  <si>
    <t>45.03.01, 51.03.01, 51.03.06, 52.03.04, 52.03.05</t>
  </si>
  <si>
    <t>304400.04.01</t>
  </si>
  <si>
    <t>Православная социология: Уч.пос. / В.В.Афанасьев, - 2 изд. - М.:НИЦ ИНФРА-М,2026. - 162 с.(ВО)(о)</t>
  </si>
  <si>
    <t>ПРАВОСЛАВНАЯ СОЦИОЛОГИЯ, ИЗД.2</t>
  </si>
  <si>
    <t>978-5-16-021244-9</t>
  </si>
  <si>
    <t>39.03.01, 39.03.02, 41.03.04, 41.03.06, 47.03.02, 47.03.03, 48.03.01</t>
  </si>
  <si>
    <t>776402.02.01</t>
  </si>
  <si>
    <t>Православное вероучение...: Уч.пос. / А.А.Карпиков - М.:НИЦ ИНФРА-М,2027 - 268 с.-(ВО)(П)</t>
  </si>
  <si>
    <t>ПРАВОСЛАВНОЕ ВЕРОУЧЕНИЕ: ДУХОВНО-НРАВСТВЕННЫЕ ОСНОВЫ РОССИЙСКОГО КАЗАЧЕСТВА, ИЗД.1</t>
  </si>
  <si>
    <t>Карпиков А.А., Кондратьев С.В.</t>
  </si>
  <si>
    <t>978-5-16-017600-0</t>
  </si>
  <si>
    <t>48.03.01, 48.04.01</t>
  </si>
  <si>
    <t>698024.03.01</t>
  </si>
  <si>
    <t>Православное вероучение: духовно-нравств. основы...: Уч.пос. / А.А.Карпиков - М.:НИЦ ИНФРА-М,2026. - 268 с.(П)</t>
  </si>
  <si>
    <t>978-5-16-015143-4</t>
  </si>
  <si>
    <t>838556.01.01</t>
  </si>
  <si>
    <t>Правосознание как источник права: из истории философии...: Моногр. / А.М.Михайлов - М.:НИЦ ИНФРА-М,2025. - 431 с.(п)</t>
  </si>
  <si>
    <t>ПРАВОСОЗНАНИЕ КАК ИСТОЧНИК ПРАВА: ИЗ ИСТОРИИ ФИЛОСОФИИ ПРАВА И ОБЩЕЙ ТЕОРИИ ПРАВА, ИЗД.1</t>
  </si>
  <si>
    <t>Михайлов А.М.</t>
  </si>
  <si>
    <t>978-5-16-020292-1</t>
  </si>
  <si>
    <t>158000.05.01</t>
  </si>
  <si>
    <t>Правосудие в современном мире: Моногр. / Под ред.Хабриевой Т.Я. - 2 изд. - М.:Юр.Норма,2018-704с(П)</t>
  </si>
  <si>
    <t>ПРАВОСУДИЕ В СОВРЕМЕННОМ МИРЕ, ИЗД.2</t>
  </si>
  <si>
    <t>Хабриева Т.Я., Лебедев В.М.</t>
  </si>
  <si>
    <t>978-5-91768-883-1</t>
  </si>
  <si>
    <t>764227.03.01</t>
  </si>
  <si>
    <t>Правосудие и справедливость: Моногр. / М.И.Клеандров - М.:Юр.Норма, НИЦ ИНФРА-М,2022 - 364 с.(П)</t>
  </si>
  <si>
    <t>ПРАВОСУДИЕ И СПРАВЕДЛИВОСТЬ, ИЗД.1</t>
  </si>
  <si>
    <t>978-5-00156-194-1</t>
  </si>
  <si>
    <t>764227.04.01</t>
  </si>
  <si>
    <t>Правосудие и справедливость: Моногр. / М.И.Клеандров, - 2-е изд.-М.:Юр. НОРМА, НИЦ ИНФРА-М,2023.-424 с.(п)</t>
  </si>
  <si>
    <t>ПРАВОСУДИЕ И СПРАВЕДЛИВОСТЬ, ИЗД.2</t>
  </si>
  <si>
    <t>978-5-00156-286-3</t>
  </si>
  <si>
    <t>764227.05.01</t>
  </si>
  <si>
    <t>Правосудие и справедливость: Моногр. / М.И.Клеандров, - 3 изд. - М.:Юр. НОРМА, НИЦ ИНФРА-М,2025. - 656 с.(п)</t>
  </si>
  <si>
    <t>ПРАВОСУДИЕ И СПРАВЕДЛИВОСТЬ, ИЗД.3</t>
  </si>
  <si>
    <t>978-5-00156-417-1</t>
  </si>
  <si>
    <t>670757.06.01</t>
  </si>
  <si>
    <t>Правосудие: ориентация на Конституцию: Моногр. / Н.С.Бондарь - М.:Юр.Норма,НИЦ ИНФРА-М,2024-224с.(П)</t>
  </si>
  <si>
    <t>ПРАВОСУДИЕ: ОРИЕНТАЦИЯ НА КОНСТИТУЦИЮ, ИЗД.1</t>
  </si>
  <si>
    <t>Бондарь Н.С., Джагарян А.А.</t>
  </si>
  <si>
    <t>978-5-91768-870-1</t>
  </si>
  <si>
    <t>775902.04.01</t>
  </si>
  <si>
    <t>Правотворчество в XXI в.: эволюц. доктрины и прак. / В.В.Лазарев - М.:Юр. НОРМА, НИЦ ИНФРА-М,2027 - 344 с.(П)</t>
  </si>
  <si>
    <t>ПРАВОТВОРЧЕСТВО В XXI ВЕКЕ: ЭВОЛЮЦИЯ ДОКТРИНЫ И ПРАКТИКИ (К 90-ЛЕТИЮ СО ДНЯ РОЖДЕНИЯ А.С.ПИГОЛКИНА), ИЗД.1</t>
  </si>
  <si>
    <t>Лазарев В.В.</t>
  </si>
  <si>
    <t>978-5-00156-240-5</t>
  </si>
  <si>
    <t>40.03.01, 40.05.01, 40.05.02, 40.05.04, 40.06.01</t>
  </si>
  <si>
    <t>851834.03.01</t>
  </si>
  <si>
    <t>Правотворчество в условиях международной регионализации / А.И.Абрамова - М.:НИЦ ИНФРА-М,2026. - 224 с.(п)</t>
  </si>
  <si>
    <t>ПРАВОТВОРЧЕСТВО В УСЛОВИЯХ МЕЖДУНАРОДНОЙ РЕГИОНАЛИЗАЦИИ, ИЗД.1</t>
  </si>
  <si>
    <t>Абрамова А.И., Андриченко Л.В., Бондарь Н.С. и др.</t>
  </si>
  <si>
    <t>978-5-16-020773-5</t>
  </si>
  <si>
    <t>811240.01.01</t>
  </si>
  <si>
    <t>Практика гостиничного и туристич. менеджмента: Уч.пос. / С.С.Скобин.-М.:Магистр, НИЦ ИНФРА-М,2024.-352 с.(п)</t>
  </si>
  <si>
    <t>ПРАКТИКА ГОСТИНИЧНОГО И ТУРИСТИЧЕСКОГО МЕНЕДЖМЕНТА, ИЗД.1</t>
  </si>
  <si>
    <t>Скобкин С.С., Попов Л.А., Ковальчук А.П.</t>
  </si>
  <si>
    <t>978-5-9776-0557-1</t>
  </si>
  <si>
    <t>277400.09.01</t>
  </si>
  <si>
    <t>Практика зарубежного регионоведения и мировой...: Уч. / А.Д.Воскресенский - М.: Магистр:ИНФРА-М,2025 - 560 с.(П)</t>
  </si>
  <si>
    <t>ПРАКТИКА ЗАРУБЕЖНОГО РЕГИОНОВЕДЕНИЯ И МИРОВОЙ ПОЛИТИКИ, ИЗД.1</t>
  </si>
  <si>
    <t>Воскресенский А. Д., Байков А. А., Белокреницкий В. Я., Ермолаев А. О., Воскресенский А. Д.</t>
  </si>
  <si>
    <t>978-5-9776-0312-6</t>
  </si>
  <si>
    <t>41.03.01, 41.03.04, 41.03.05, 41.03.06, 41.04.01, 41.04.04, 41.04.05</t>
  </si>
  <si>
    <t>673986.04.01</t>
  </si>
  <si>
    <t>Практико-ориентир. научно-технич. клубы: Моногр. / Под ред. Мальцевой А.А. - М.:НИЦ ИНФРА-М,2026. - 372 с.(о)</t>
  </si>
  <si>
    <t>ПРАКТИКО-ОРИЕНТИРОВАННЫЕ НАУЧНО-ТЕХНИЧЕСКИЕ КЛУБЫ КАК НОВЫЙ ФОРМАТ ОРГАНИЗАЦИИ ДОПОЛНИТЕЛЬНОГО ИНЖЕНЕРНОГО ОБРАЗОВАНИЯ, ИЗД.1</t>
  </si>
  <si>
    <t>Барсукова Н.Е., Веселов И.Н., Каплунов И.А. и др.</t>
  </si>
  <si>
    <t>978-5-16-014831-1</t>
  </si>
  <si>
    <t>39.04.03, 39.06.01, 44.04.04, 44.06.01</t>
  </si>
  <si>
    <t>460950.06.01</t>
  </si>
  <si>
    <t>Практико-ориентированные подходы  к  разраб. и оцен.совр..: Моногр./Т.Р.Орехова-ИНФРА-М, 2024-84с(о)</t>
  </si>
  <si>
    <t>ПРАКТИКО-ОРИЕНТИРОВАННЫЕ ПОДХОДЫ  К  РАЗРАБОТКЕ  И ОЦЕНКЕ  СОВРЕМЕННОЙ МОДЕЛИ РОСТА ЭКОНОМИКИ РОССИИ, ИЗД.1</t>
  </si>
  <si>
    <t>Орехова Т. Р., Карагодина О. В., Орехов В. И., Орехова Т. Р.</t>
  </si>
  <si>
    <t>978-5-16-009505-9</t>
  </si>
  <si>
    <t>401950.12.01</t>
  </si>
  <si>
    <t>Практикум по Microsoft Office 2007 / Л.В.Кравченко - 2 изд. - М.:НИЦ ИНФРА-М,2026 - 168 с.(ПО)(о)</t>
  </si>
  <si>
    <t>ПРАКТИКУМ ПО MICROSOFT OFFICE 2007 (WORD, EXCEL, ACCESS), PHOTOSHOP, ИЗД.2</t>
  </si>
  <si>
    <t>Кравченко Л.В.</t>
  </si>
  <si>
    <t>978-5-16-021324-8</t>
  </si>
  <si>
    <t>15.02.03, 15.02.10, 15.02.17</t>
  </si>
  <si>
    <t>445500.06.01</t>
  </si>
  <si>
    <t>Практикум по анализу бух.(фин.) отчет.: Уч.пос. / С.В.Панкова - М.:ИЦ РИОР,НИЦ ИНФРА-М,2024 - 165 с.(ВО)(о)</t>
  </si>
  <si>
    <t>ПРАКТИКУМ ПО АНАЛИЗУ БУХГАЛТЕРСКОЙ (ФИНАНСОВОЙ) ОТЧЕТНОСТИ, ИЗД.1</t>
  </si>
  <si>
    <t>Панкова С.В., АндрееваТ.В., РомановаТ.В.</t>
  </si>
  <si>
    <t>978-5-369-01491-2</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</si>
  <si>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подготовки «Экономика»</t>
  </si>
  <si>
    <t>Оренбургский государственный университет, ф-л Орский гуманитарно-технологический институт</t>
  </si>
  <si>
    <t>081850.06.01</t>
  </si>
  <si>
    <t>Практикум по бизнес-планированию с исп. Project..: Уч.пос./В.С.Алиев-2изд-Форум:ИНФРА-М,2019-288(ВО)(П)</t>
  </si>
  <si>
    <t>ПРАКТИКУМ ПО БИЗНЕС-ПЛАНИРОВАНИЮ С ИСПОЛЬЗОВАНИЕМ ПРОГРАММЫ PROJECT EXPERT, ИЗД.2</t>
  </si>
  <si>
    <t>Алиев В. С.</t>
  </si>
  <si>
    <t>978-5-91134-394-1</t>
  </si>
  <si>
    <t>Допущено УМО по образованию в области финансов, учета и мировой экономики в качестве учебного пособия для студентов, обуч. по спец: "Финансы и кредит",  "Бухгалтерский учет, анализ и аудит", "Налоги и налогообложение</t>
  </si>
  <si>
    <t>462700.03.01</t>
  </si>
  <si>
    <t>Практикум по бух. учету и анализу: Уч.пос. / М.В.Мельник - М.:Форум,НИЦ ИНФРА-М,2019-120с.(ВО)(о)</t>
  </si>
  <si>
    <t>ПРАКТИКУМ ПО БУХГАЛТЕРСКОМУ УЧЕТУ И АНАЛИЗУ, ИЗД.1</t>
  </si>
  <si>
    <t>978-5-00091-147-1</t>
  </si>
  <si>
    <t>325400.05.01</t>
  </si>
  <si>
    <t>Практикум по ветеринарной микробиол. и иммун.: Уч.пос. / В.Н.Кисленко-М.:НИЦ ИНФРА-М,2023.-232 с.(П)</t>
  </si>
  <si>
    <t>ПРАКТИКУМ ПО ВЕТЕРИНАРНОЙ МИКРОБИОЛОГИИ И ИММУНОЛОГИИ, ИЗД.1</t>
  </si>
  <si>
    <t>978-5-16-010543-7</t>
  </si>
  <si>
    <t>Рекомендовано в качестве учебного пособия для студентов высших учебных заведений, обучающихся по направлению подготовки 36.05.01 «Ветеринария» (квалификация «ветеринарный врач»)</t>
  </si>
  <si>
    <t>094362.08.01</t>
  </si>
  <si>
    <t>Практикум по внешнеэк.деят.предприятий: Уч.пос. / Н.А.Сберегаев - М.:Вуз.уч.,ИНФРА-М,2018.-268 с.(п)</t>
  </si>
  <si>
    <t>ПРАКТИКУМ ПО ВНЕШНЕЭКОНОМИЧЕСКОЙ ДЕЯТЕЛЬНОСТИ ПРЕДПРИЯТИЙ, ИЗД.6</t>
  </si>
  <si>
    <t>Сберегаев Н.А.</t>
  </si>
  <si>
    <t>978-5-9558-0408-8</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</si>
  <si>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38.03.02 «Менеджмент» (профиль «Производственный менеджмент»)</t>
  </si>
  <si>
    <t>0615</t>
  </si>
  <si>
    <t>094362.13.01</t>
  </si>
  <si>
    <t>Практикум по внешнеэконом. деят.предпр.: Уч.пос. / Н.А.Сберегаев - 7 изд. - М.:НИЦ ИНФРА-М,2025 - 369 с.(п)</t>
  </si>
  <si>
    <t>ПРАКТИКУМ ПО ВНЕШНЕЭКОНОМИЧЕСКОЙ ДЕЯТЕЛЬНОСТИ ПРЕДПРИЯТИЙ, ИЗД.7</t>
  </si>
  <si>
    <t>978-5-16-014202-9</t>
  </si>
  <si>
    <t>449750.06.01</t>
  </si>
  <si>
    <t>Практикум по гидравлике: Уч. пос. Н.Г. Кожевникова - М.: НИЦ ИНФРА-М, 2023. - 248 с. (ВО) (п)</t>
  </si>
  <si>
    <t>ПРАКТИКУМ ПО ГИДРАВЛИКЕ, ИЗД.1</t>
  </si>
  <si>
    <t>Кожевникова Н. Г., Тогунова Н. П., Ещин А. В., Шевкун Н. А.</t>
  </si>
  <si>
    <t>978-5-16-009119-8</t>
  </si>
  <si>
    <t>20.03.02, 20.04.02, 35.03.06, 35.04.06</t>
  </si>
  <si>
    <t>Рекомендовано Учебно-методическим объединением вузов Российской Федерации по агроинженерному образованию в качестве учебного пособия для студентов высших учебных заведений, обучающихся по направлению «Агроинженерия»</t>
  </si>
  <si>
    <t>087900.23.01</t>
  </si>
  <si>
    <t>Практикум по инф.: Уч.пос.Комп.гр. и Web-дизайн. / Т.И.Немцова - М.:ИД ФОРУМ, НИЦ ИНФРА-М,2027 - 288 с.(СПО)(п)</t>
  </si>
  <si>
    <t>ПРАКТИКУМ ПО ИНФОРМАТИКЕ, ИЗД.1</t>
  </si>
  <si>
    <t>Немцова Т. И., Назарова Ю. В., Гагарина Л. Г.</t>
  </si>
  <si>
    <t>978-5-8199-0800-6</t>
  </si>
  <si>
    <t>00.02.03, 09.02.07, 10.02.05, 13.02.07</t>
  </si>
  <si>
    <t>243700.11.01</t>
  </si>
  <si>
    <t>Практикум по клинич.диагностике с рентгенологией: Уч.пос. / Е.С.Воронин - М.:НИЦ ИНФРА-М,2026 - 336 с.(ВО)(П)</t>
  </si>
  <si>
    <t>ПРАКТИКУМ ПО КЛИНИЧЕСКОЙ ДИАГНОСТИКЕ С РЕНТГЕНОЛОГИЕЙ, ИЗД.1</t>
  </si>
  <si>
    <t>Воронин Е.С., Ковалев С.П., Сноз Г.В. и др.</t>
  </si>
  <si>
    <t>978-5-16-022045-1</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</si>
  <si>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36.05.01 «Ветеринария»</t>
  </si>
  <si>
    <t>171150.10.01</t>
  </si>
  <si>
    <t>Практикум по коллоидной химии: Уч. пос. / В.Г.Куличихин - М.:Вуз. уч.:НИЦ Инфра-М, 2025 - 288с. (П)</t>
  </si>
  <si>
    <t>ПРАКТИКУМ ПО КОЛЛОИДНОЙ ХИМИИ, ИЗД.1</t>
  </si>
  <si>
    <t>Должикова В.Д., Задымова Н.М., Лопатина Л.И. и др.</t>
  </si>
  <si>
    <t>978-5-9558-0217-6</t>
  </si>
  <si>
    <t>04.04.01, 04.05.01, 18.03.01, 18.03.02, 19.03.04, 44.03.05</t>
  </si>
  <si>
    <t>Допущено УМО по классическому университетскому образованию в качестве учебного пособия для студентов вузов, обучающихся в магистратуре по направлению  ВПО 020100.62 - Химия и специальности 020101 - Химия</t>
  </si>
  <si>
    <t>724861.02.01</t>
  </si>
  <si>
    <t>Практикум по конструир. изделий из кожи: Уч.пос. / В.В.Костылева - М.:НИЦ ИНФРА-М,2026. - 459 с.(ВО)(п)</t>
  </si>
  <si>
    <t>ПРАКТИКУМ ПО КОНСТРУИРОВАНИЮ ИЗДЕЛИЙ ИЗ КОЖИ, ИЗД.1</t>
  </si>
  <si>
    <t>978-5-16-016682-7</t>
  </si>
  <si>
    <t>020332.18.01</t>
  </si>
  <si>
    <t>Практикум по логистике: Уч.пос. / Под ред. Аникина Б.А., - 2 изд. - М.:НИЦ ИНФРА-М,2026. - 275 с.(ВО)(п)</t>
  </si>
  <si>
    <t>ПРАКТИКУМ ПО ЛОГИСТИКЕ, ИЗД.2</t>
  </si>
  <si>
    <t>Аникин Б.А., Дыбская В.В., Плоткин Б.К. и др.</t>
  </si>
  <si>
    <t>978-5-16-019772-2</t>
  </si>
  <si>
    <t>0202</t>
  </si>
  <si>
    <t>152850.12.01</t>
  </si>
  <si>
    <t>Практикум по матер. для одежды и кон.: Уч. пос./В.И.Стельмашенко - М.:ИД ФОРУМ,НИЦ Инфра-М,2026 - 144 с.(ВО) (о)</t>
  </si>
  <si>
    <t>ПРАКТИКУМ ПО МАТЕРИАЛАМ ДЛЯ ОДЕЖДЫ И КОНФЕКЦИОНИРОВАНИЮ, ИЗД.1</t>
  </si>
  <si>
    <t>Стельмашенко В. И., Смирнова Н. А., Розаренова Т. В., Назарова Ю. В.</t>
  </si>
  <si>
    <t>978-5-8199-0473-2</t>
  </si>
  <si>
    <t>Рек. УМО  по обр. в области технол., конструир. изд. лег. промышлен. в кач. уч. пос.  по дисц. Матер. для одежды и конфекционир. и Конфекц. матер. для одежды для студ вузов, обуч. по напр ПДС 260900 Технол. и констр. изд. лег. пром.(спец 260901,260)</t>
  </si>
  <si>
    <t>036590.15.01</t>
  </si>
  <si>
    <t>Практикум по международному праву / Г.В.Игнатенко и др. - М.: Юр.Норма, НИЦ ИНФРА-М, 2026. - 352 с.(о)</t>
  </si>
  <si>
    <t>ПРАКТИКУМ ПО МЕЖДУНАРОДНОМУ ПРАВУ, ИЗД.4</t>
  </si>
  <si>
    <t>Игнатенко Г.В., Марочкин С.Ю., Тиунов О.И.</t>
  </si>
  <si>
    <t>978-5-91768-546-5</t>
  </si>
  <si>
    <t>Допущено Министерством образования РФ в качестве учебного пособия для студентов высших учебных заведений, обучающихся по направлению подготовки бакалавров и магистров 521400 "Юриспруденция" и по специальности 022100 "Юриспруденция"</t>
  </si>
  <si>
    <t>085610.10.01</t>
  </si>
  <si>
    <t>Практикум по менеджменту туризма. Ситуации и тесты: Уч. пос. / Н.А. Зайцева - 2 изд. - М.:Форум,2025 - 168 с.(о)</t>
  </si>
  <si>
    <t>ПРАКТИКУМ ПО МЕНЕДЖМЕНТУ ТУРИЗМА. СИТУАЦИИ И ТЕСТЫ, ИЗД.2</t>
  </si>
  <si>
    <t>978-5-91134-491-7</t>
  </si>
  <si>
    <t>Рекомендовано УМО учебных заведений РФ по образованию в области сервиса и туризма Министерства образования и науки России в качестве учебного пособия для студентов высших учебных заведений</t>
  </si>
  <si>
    <t>280900.10.01</t>
  </si>
  <si>
    <t>Практикум по методам оптимизации: Прак. / О.А.Сдвижков - М.:Вуз. уч., НИЦ ИНФРА-М,2027 - 200 с.(П)</t>
  </si>
  <si>
    <t>ПРАКТИКУМ ПО МЕТОДАМ ОПТИМИЗАЦИИ, ИЗД.1</t>
  </si>
  <si>
    <t>978-5-9558-0372-2</t>
  </si>
  <si>
    <t>38.03.01, 38.03.02, 38.03.05, 38.04.01, 38.04.02, 38.04.05, 41.03.06</t>
  </si>
  <si>
    <t>398900.07.01</t>
  </si>
  <si>
    <t>Практикум по общей теории статистики: Уч.пос. /В.Б.Яковлев - М.: НИЦ ИНФРА-М, 2026 - 382 с. (ВО)(п)</t>
  </si>
  <si>
    <t>ПРАКТИКУМ ПО ОБЩЕЙ ТЕОРИИ СТАТИСТИКИ, ИЗД.1</t>
  </si>
  <si>
    <t>Яковлев В.Б., Яковлева О.А.</t>
  </si>
  <si>
    <t>978-5-16-011272-5</t>
  </si>
  <si>
    <t>Допущено Учебно-методическим объединением Российской Федерации по образованию в области ветеринарии и зоотехнии в качестве учебного пособия для студентов высших учебных заведений по направлению подготовки 36.03.02 «Зоотехния» (квалификация (степень) «бакалавр») и по направлению подготовки 36.04.02 «Зоотехния» (квалификация (степень) «магистр»)</t>
  </si>
  <si>
    <t>685775.09.01</t>
  </si>
  <si>
    <t>Практикум по овощеводству: Уч.пос. / Н.Н.Чернышева - М.:Форум, НИЦ ИНФРА-М,2026. - 288 с.(СПО)(П)</t>
  </si>
  <si>
    <t>ПРАКТИКУМ ПО ОВОЩЕВОДСТВУ, ИЗД.1</t>
  </si>
  <si>
    <t>Чернышева Н.Н., Колпаков Н.А.</t>
  </si>
  <si>
    <t>978-5-00091-600-1</t>
  </si>
  <si>
    <t>085670.15.01</t>
  </si>
  <si>
    <t>Практикум по овощеводству: Уч.пос. / Н.Н.Чернышева-М.:Форум, НИЦ ИНФРА-М,2024.-288 с.(ВО)(п)</t>
  </si>
  <si>
    <t>978-5-00091-788-6</t>
  </si>
  <si>
    <t>35.03.04, 35.03.05, 35.04.04, 35.04.05</t>
  </si>
  <si>
    <t>Допущено Учебно-методическим объединением вузов Российской Федерации по агрономическому образованию в качестве учебного пособия для студентов, обучающихся по направлению 35.03.04 «Агрономия»</t>
  </si>
  <si>
    <t>121300.10.01</t>
  </si>
  <si>
    <t>Практикум по отечественной истории: Уч.пос. / Е.А.Назырова - М.: Вуз. уч.: НИЦ ИНФРА-М, 2026 - 239 с.(о)</t>
  </si>
  <si>
    <t>ПРАКТИКУМ ПО ОТЕЧЕСТВЕННОЙ ИСТОРИИ, ИЗД.1</t>
  </si>
  <si>
    <t>Назырова Е.А.</t>
  </si>
  <si>
    <t>978-5-9558-0396-8</t>
  </si>
  <si>
    <t>873967.01.01</t>
  </si>
  <si>
    <t>Практикум по подготовке консолидир. финанс. отчет...: Практ. / А.А.Векшина-М.:НИЦ ИНФРА-М,2026.-138 с.(о)</t>
  </si>
  <si>
    <t>ПРАКТИКУМ ПО ПОДГОТОВКЕ КОНСОЛИДИРОВАННОЙ ФИНАНСОВОЙ ОТЧЕТНОСТИ ГРУППЫ КОМПАНИЙ, ИЗД.1</t>
  </si>
  <si>
    <t>Векшина А.А.</t>
  </si>
  <si>
    <t>978-5-16-021927-1</t>
  </si>
  <si>
    <t>683092.04.01</t>
  </si>
  <si>
    <t>Практикум по реш.задач на ЭВМ в среде Delphi: Уч.пос. / П.Ю.Бунаков - М.:Форум, НИЦ ИНФРА-М,2026 - 304 с.(П)</t>
  </si>
  <si>
    <t>ПРАКТИКУМ ПО РЕШЕНИЮ ЗАДАЧ НА ЭВМ В СРЕДЕ DELPHI, ИЗД.1</t>
  </si>
  <si>
    <t>Бунаков П.Ю., Лопатин А.К.</t>
  </si>
  <si>
    <t>978-5-00091-554-7</t>
  </si>
  <si>
    <t>09.02.03, 09.02.07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</si>
  <si>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5 от 11.03.2019)</t>
  </si>
  <si>
    <t>177950.10.01</t>
  </si>
  <si>
    <t>Практикум по философии: Уч. пос. / И.Ю. Медакова. - М.: Форум:  НИЦ ИНФРА-М, 2024. - 192 с.(ПрофОбр)(О)</t>
  </si>
  <si>
    <t>ПРАКТИКУМ ПО ФИЛОСОФИИ, ИЗД.1</t>
  </si>
  <si>
    <t>Медакова И. Ю.</t>
  </si>
  <si>
    <t>978-5-91134-586-0</t>
  </si>
  <si>
    <t>ГБОУ школа № 1349</t>
  </si>
  <si>
    <t>177950.11.01</t>
  </si>
  <si>
    <t>Практикум по философии: Уч. пос. / И.Ю. Медакова. - М.: Форум:  НИЦ ИНФРА-М, 2024. - 192 с.(ПрофОбр)(П)</t>
  </si>
  <si>
    <t>051935.07.01</t>
  </si>
  <si>
    <t>Практикум по фин.менеджменту: технология..: Уч.пос./ В.А.Морошкин- 2изд.-М.:НИЦ ИНФРА-М,2017-120с(О)</t>
  </si>
  <si>
    <t>ПРАКТИКУМ ПО ФИНАНСОВОМУ МЕНЕДЖМЕНТУ: ТЕХНОЛОГИЯ ФИНАНСОВЫХ РАСЧЕТОВ С ПРОЦЕНТАМИ, ИЗД.2</t>
  </si>
  <si>
    <t>Морошкин В.А.</t>
  </si>
  <si>
    <t>978-5-16-012547-3</t>
  </si>
  <si>
    <t>25.04.04, 38.03.01, 38.03.02, 38.03.03, 38.03.04, 38.03.05, 38.03.06, 38.03.07, 38.04.01, 38.04.02, 38.04.03, 38.04.04, 38.04.05, 38.04.06, 38.04.07, 38.04.08, 38.04.09, 38.05.01, 38.05.02, 41.03.06</t>
  </si>
  <si>
    <t>051935.13.02</t>
  </si>
  <si>
    <t>Практикум по финанс. менеджменту: технология фин...: Уч.пос. / В.А.Морошкин - 3 изд.-М.:НИЦ ИНФРА-М,2024-131с.(О)</t>
  </si>
  <si>
    <t>ПРАКТИКУМ ПО ФИНАНСОВОМУ МЕНЕДЖМЕНТУ: ТЕХНОЛОГИЯ ФИНАНСОВЫХ РАСЧЕТОВ С ПРОЦЕНТАМИ, ИЗД.3</t>
  </si>
  <si>
    <t>Морошкин В. А., Сметанкин А.С.</t>
  </si>
  <si>
    <t>978-5-16-013070-5</t>
  </si>
  <si>
    <t>302500.03.01</t>
  </si>
  <si>
    <t>Практикум по химии почв: Уч.пос. / В.Г.Мамонтов -М.:Форум, НИЦ ИНФРА-М,2019.-272 с..-(ВО)(О)</t>
  </si>
  <si>
    <t>ПРАКТИКУМ ПО ХИМИИ ПОЧВ, ИЗД.1</t>
  </si>
  <si>
    <t>Мамонтов В.Г., Гладков А.А.</t>
  </si>
  <si>
    <t>978-5-91134-954-7</t>
  </si>
  <si>
    <t>06.03.02, 35.03.03</t>
  </si>
  <si>
    <t>Допущено Учебно-методическим объединением вузов Российской Федерации по агрономическому образованию в качестве учебного пособия для студентов и бакалавров высших учебных заведений, обучающихся по направлению 35.03.03 «Агрохимия и агропочвоведение»</t>
  </si>
  <si>
    <t>289300.05.01</t>
  </si>
  <si>
    <t>Практикум по юр. консультированию / Под ред. Г.Н.Чеботарева - Норма:НИЦ ИНФРА-М,2025 - 208 с.(Для юр. вузов) (о)</t>
  </si>
  <si>
    <t>ПРАКТИКУМ ПО ЮРИДИЧЕСКОМУ КОНСУЛЬТИРОВАНИЮ, ИЗД.1</t>
  </si>
  <si>
    <t>Чеботарев Г.Н.</t>
  </si>
  <si>
    <t>978-5-91768-513-7</t>
  </si>
  <si>
    <t>031119.18.01</t>
  </si>
  <si>
    <t>Практическая граммат. нем. яз.: Уч.пос. / М.М.Васильева, - 15 изд.-М.:НИЦ ИНФРА-М,2024.-255с.(ВО)(п)</t>
  </si>
  <si>
    <t>ПРАКТИЧЕСКАЯ ГРАММАТИКА НЕМЕЦКОГО ЯЗЫКА, ИЗД.15</t>
  </si>
  <si>
    <t>978-5-16-019012-9</t>
  </si>
  <si>
    <t>Рекомендовано Министерством образования и науки Российской Федерации в качестве учебного пособия для студентов неязыковых высших учебных заведений</t>
  </si>
  <si>
    <t>1518</t>
  </si>
  <si>
    <t>031119.14.01</t>
  </si>
  <si>
    <t>Практическая граммат.нем.яз.: Уч. пос./М.М.Васильева -14 изд. -М.:Альфа-М, НИЦ ИНФРА-М,2017-240с(П)</t>
  </si>
  <si>
    <t>ПРАКТИЧЕСКАЯ ГРАММАТИКА НЕМЕЦКОГО ЯЗЫКА, ИЗД.14</t>
  </si>
  <si>
    <t>978-5-98281-413-5</t>
  </si>
  <si>
    <t>Рекомендовано Министерством образования РФ в качестве учебного пособия для студентов неязыковых высших учебных заведений</t>
  </si>
  <si>
    <t>1415</t>
  </si>
  <si>
    <t>681800.01.01</t>
  </si>
  <si>
    <t>Практическая грамматика английского яз.: Практ. пос. / Е.И.Белякова - М.:НИЦ ИНФРА-М,2025. - 242 с.(ВО)(п)</t>
  </si>
  <si>
    <t>ПРАКТИЧЕСКАЯ ГРАММАТИКА АНГЛИЙСКОГО ЯЗЫКА, ИЗД.1</t>
  </si>
  <si>
    <t>Белякова Е.И.</t>
  </si>
  <si>
    <t>978-5-16-017666-6</t>
  </si>
  <si>
    <t>860863.01.01</t>
  </si>
  <si>
    <t>Практическая грамматика испанского яз.: Уч.пос. / Ю.А.Горностаева - М.:НИЦ ИНФРА-М, СФУ,2026. - 122 с.(ВО)(п)</t>
  </si>
  <si>
    <t>ПРАКТИЧЕСКАЯ ГРАММАТИКА ИСПАНСКОГО ЯЗЫКА, ИЗД.1</t>
  </si>
  <si>
    <t>Горностаева Ю.А.</t>
  </si>
  <si>
    <t>978-5-16-021391-0</t>
  </si>
  <si>
    <t>00.03.02, 00.05.02, 44.03.05, 45.03.02, 45.05.01</t>
  </si>
  <si>
    <t>720443.03.01</t>
  </si>
  <si>
    <t>Практическая грамматика нем. яз.: Уч.пос. / М.М.Васильева - 15 изд. - М.:НИЦ ИНФРА-М,2023-255 с.(П)</t>
  </si>
  <si>
    <t>978-5-16-015704-7</t>
  </si>
  <si>
    <t>00.01.02, 00.02.02, 23.01.08</t>
  </si>
  <si>
    <t>1520</t>
  </si>
  <si>
    <t>364500.07.01</t>
  </si>
  <si>
    <t>Практическая девиантология: Уч.мет.пос. / Н.П.Фетискин - М., НИЦ ИНФРА-М,2026. - 272 с.(ВО)(П)</t>
  </si>
  <si>
    <t>ПРАКТИЧЕСКАЯ ДЕВИАНТОЛОГИЯ, ИЗД.1</t>
  </si>
  <si>
    <t>Фетискин Н.П.</t>
  </si>
  <si>
    <t>978-5-16-021613-3</t>
  </si>
  <si>
    <t>364500.03.01</t>
  </si>
  <si>
    <t>Практическая девиантология: уч.мет.пос. / Н.П.Фетискин-М.:Форум, НИЦ ИНФРА-М,2018.-272 с.(О. КБС)</t>
  </si>
  <si>
    <t>978-5-00091-080-1</t>
  </si>
  <si>
    <t>Учебно-методическое пособие Рекомендовано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t>
  </si>
  <si>
    <t>773445.02.01</t>
  </si>
  <si>
    <t>Практическая методика обуч. в условиях цифр...: Уч.мет.пос. / С.В.Лонская-М.:НИЦ ИНФРА-М,2024.-219 с.(п)</t>
  </si>
  <si>
    <t>ПРАКТИЧЕСКАЯ МЕТОДИКА ОБУЧЕНИЯ В УСЛОВИЯХ ЦИФРОВОЙ ТРАНСФОРМАЦИИ: ИСТОРИЯ ПРАВА В ВЫСШЕЙ ШКОЛЕ, ИЗД.1</t>
  </si>
  <si>
    <t>Лонская С.В.</t>
  </si>
  <si>
    <t>978-5-16-017525-6</t>
  </si>
  <si>
    <t>851490.02.01</t>
  </si>
  <si>
    <t>Практическая семантика: вертикал. семантич. анализ...: Уч. / М.Э.Конурбаев - М.:НИЦ ИНФРА-М,2025 - 432 с.(п)</t>
  </si>
  <si>
    <t>ПРАКТИЧЕСКАЯ СЕМАНТИКА: ВЕРТИКАЛЬНЫЙ СЕМАНТИЧЕСКИЙ АНАЛИЗ И ИНТЕРПРЕТАЦИЯ ТЕКСТОВ НА АНГЛИЙСКОМ ЯЗЫКЕ, ИЗД.1</t>
  </si>
  <si>
    <t>978-5-16-020801-5</t>
  </si>
  <si>
    <t>45.03.04, 45.04.02</t>
  </si>
  <si>
    <t>633182.08.01</t>
  </si>
  <si>
    <t>Практическая эконометрика в кейсах: Уч.пос. / В.П.Невежин - М.:ИД ФОРУМ, НИЦ ИНФРА-М,2026 - 317 с.(п)</t>
  </si>
  <si>
    <t>ПРАКТИЧЕСКАЯ ЭКОНОМЕТРИКА В КЕЙСАХ, ИЗД.1</t>
  </si>
  <si>
    <t>978-5-8199-0958-4</t>
  </si>
  <si>
    <t>38.03.01, 38.03.02, 38.03.03, 38.03.04, 38.03.06, 38.03.07, 38.05.01</t>
  </si>
  <si>
    <t>Рекомендовано кафедрой «Системный анализ и моделирование экономических процессов» Финансового университета при Правительстве Российской Федерации в качестве учебного пособия по дисциплинам «Экономика» и «Экономическое моделирование»</t>
  </si>
  <si>
    <t>714115.04.01</t>
  </si>
  <si>
    <t>Практические навыки адвоката: Практикум / П.Е.Короткова - М.:Юр.Норма, НИЦ ИНФРА-М,2026 - 192 с.(П)</t>
  </si>
  <si>
    <t>ПРАКТИЧЕСКИЕ НАВЫКИ АДВОКАТА, ИЗД.1</t>
  </si>
  <si>
    <t>Короткова П.Е.</t>
  </si>
  <si>
    <t>978-5-00156-006-7</t>
  </si>
  <si>
    <t>675838.10.01</t>
  </si>
  <si>
    <t>Практические навыки адвоката: Уч.пос. / П.Е.Короткова - М.:Юр.Норма,НИЦ ИНФРА-М,2027 - 144 с.(П)</t>
  </si>
  <si>
    <t>978-5-91768-894-7</t>
  </si>
  <si>
    <t>796844.05.01</t>
  </si>
  <si>
    <t>Практические основы бух. учета актив. орг.в1С: Предпр.: Уч.пос. / Л.В.Пермитина - М.:НИЦ ИНФРА-М,2027 - 155 с.(п)</t>
  </si>
  <si>
    <t>ПРАКТИЧЕСКИЕ ОСНОВЫ БУХГАЛТЕРСКОГО УЧЕТА АКТИВОВ ОРГАНИЗАЦИИ В 1С: ПРЕДПРИЯТИЕ, ИЗД.1</t>
  </si>
  <si>
    <t>978-5-16-018580-4</t>
  </si>
  <si>
    <t>38.01.02, 38.02.01, 38.02.07, 40.02.04, 43.01.09, 51.02.02</t>
  </si>
  <si>
    <t>685001.07.01</t>
  </si>
  <si>
    <t>Практические основы бух. учета активов орг.: Уч. / Л.М.Белова - М.:НИЦ ИНФРА-М,2027. - 352 с.(СПО)(П)</t>
  </si>
  <si>
    <t>ПРАКТИЧЕСКИЕ ОСНОВЫ БУХГАЛТЕРСКОГО УЧЕТА АКТИВОВ ОРГАНИЗАЦИИ, ИЗД.1</t>
  </si>
  <si>
    <t>Белова Л.М., Кондрашова О.Р., Никандрова Р.С.</t>
  </si>
  <si>
    <t>978-5-16-014794-9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</si>
  <si>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5 от 16.03.2020)</t>
  </si>
  <si>
    <t>719475.03.01</t>
  </si>
  <si>
    <t>Практические основы бух. учета активов орг.: Уч.пос. / Н.А.Качан, - 2 изд. - М.:НИЦ ИНФРА-М,2026. - 541 с.-(СПО)(п)</t>
  </si>
  <si>
    <t>ПРАКТИЧЕСКИЕ ОСНОВЫ БУХГАЛТЕРСКОГО УЧЕТА АКТИВОВ ОРГАНИЗАЦИИ, ИЗД.2</t>
  </si>
  <si>
    <t>Качан Н.А., Тресницкий А.Б.</t>
  </si>
  <si>
    <t>978-5-16-015742-9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</si>
  <si>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8 от 22.06.2020)</t>
  </si>
  <si>
    <t>703553.04.01</t>
  </si>
  <si>
    <t>Практические основы бух. учета имущества организации: Уч. / М.Д.Акатьева-М.:НИЦ ИНФРА-М,2022.-319 с.(СПО)(П)</t>
  </si>
  <si>
    <t>ПРАКТИЧЕСКИЕ ОСНОВЫ БУХГАЛТЕРСКОГО УЧЕТА ИМУЩЕСТВА ОРГАНИЗАЦИИ, ИЗД.1</t>
  </si>
  <si>
    <t>978-5-16-014951-6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</si>
  <si>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8 от 29.04.2019)</t>
  </si>
  <si>
    <t>706589.09.01</t>
  </si>
  <si>
    <t>Практические основы бух. учета источ. формир...: Уч. / М.Д.Акатьева - М.:НИЦ ИНФРА-М,2026 - 241 с.(П)(СПО)</t>
  </si>
  <si>
    <t>ПРАКТИЧЕСКИЕ ОСНОВЫ БУХГАЛТЕРСКОГО УЧЕТА ИСТОЧНИКОВ ФОРМИРОВАНИЯ ИМУЩЕСТВА ОРГАНИЗАЦИИ, ИЗД.1</t>
  </si>
  <si>
    <t>Акатьева М.Д., Никандрова Л.К.</t>
  </si>
  <si>
    <t>978-5-16-015325-4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</si>
  <si>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12 от 24.06.2019)</t>
  </si>
  <si>
    <t>708462.02.01</t>
  </si>
  <si>
    <t>Практические приложения анализа среды функц...: Моногр./ С.В.Ратнер-Москва:ИНФРА-М,2023-231с.(Науч. мысль)(О)</t>
  </si>
  <si>
    <t>ПРАКТИЧЕСКИЕ ПРИЛОЖЕНИЯ АНАЛИЗА СРЕДЫ ФУНКЦИОНИРОВАНИЯ (DATA ENVELOPMENT ANALYSIS) К РЕШЕНИЮ ЗАДАЧ ЭКОЛОГИЧЕСКОГО МЕНЕДЖМЕНТА, ИЗД.1</t>
  </si>
  <si>
    <t>Ратнер С.В.</t>
  </si>
  <si>
    <t>978-5-16-015288-2</t>
  </si>
  <si>
    <t>705815.01.01</t>
  </si>
  <si>
    <t>Практический аудит: Уч. / М.Ф.Сафонова и др.-М.:НИЦ ИНФРА-М,2023.-309 с.(ВО)(п)</t>
  </si>
  <si>
    <t>ПРАКТИЧЕСКИЙ АУДИТ, ИЗД.1</t>
  </si>
  <si>
    <t>Сафонова М.Ф., Калинина И.Н., Петух А.В.</t>
  </si>
  <si>
    <t>978-5-16-017218-7</t>
  </si>
  <si>
    <t>683159.09.01</t>
  </si>
  <si>
    <t>Практический курс персидского яз.: Уч. / А.Н.Сухоруков - М.:НИЦ ИНФРА-М,2026 - 218 с.(ВО)(п)</t>
  </si>
  <si>
    <t>ПРАКТИЧЕСКИЙ КУРС ПЕРСИДСКОГО ЯЗЫКА, ИЗД.1</t>
  </si>
  <si>
    <t>Сухоруков А.Н.</t>
  </si>
  <si>
    <t>978-5-16-019302-1</t>
  </si>
  <si>
    <t>45.00.00, 45.03.02</t>
  </si>
  <si>
    <t>Рекомендовано Учебно-методическим советом ВО в качестве учебника для студентов высших учебных заведений, обучающихся по направлению подготовки 45.03.01 «Филология» (квалификация (степень) «бакалавр»)</t>
  </si>
  <si>
    <t>682645.02.01</t>
  </si>
  <si>
    <t>Предметные компетенции общего матем. образования...: Моногр./ В.И.Горбачев-М.:НИЦ ИНФРА-М,2023-403с.(О)</t>
  </si>
  <si>
    <t>ПРЕДМЕТНЫЕ КОМПЕТЕНЦИИ ОБЩЕГО МАТЕМАТИЧЕСКОГО ОБРАЗОВАНИЯ В КАТЕГОРИИ СУБЪЕКТНОГО РАЗВИТИЯ, ИЗД.1</t>
  </si>
  <si>
    <t>Горбачев В.И.</t>
  </si>
  <si>
    <t>978-5-16-015403-9</t>
  </si>
  <si>
    <t>44.03.01, 44.03.04, 44.03.05, 44.04.01, 44.04.02, 44.04.03, 44.04.04, 44.06.01</t>
  </si>
  <si>
    <t>429950.14.01</t>
  </si>
  <si>
    <t>Предотвращение хим. и бактер.загрязн.полосы отв.ЖД: Моногр./Н.И.Зубрев-М:ИНФРА-М,2024-142(Науч.мыс.)(о)</t>
  </si>
  <si>
    <t>ПРЕДОТВРАЩЕНИЕ ХИМИЧЕСКОГО И БАКТЕРИАЛЬНОГО ЗАГРЯЗНЕНИЯ ПОЛОСЫ ОТВОДА ЖЕЛЕЗНЫХ ДОРОГ, ИЗД.1</t>
  </si>
  <si>
    <t>Зубрев Н.И., Крошечкина И.Ю.</t>
  </si>
  <si>
    <t>978-5-16-006645-5</t>
  </si>
  <si>
    <t>06.03.02, 20.03.01, 20.04.01</t>
  </si>
  <si>
    <t>659148.05.01</t>
  </si>
  <si>
    <t>Предпринимательские риски: Моногр. / Н.Г.Синявский - М.:НИЦ ИНФРА-М,2026 - 177 с.(О)</t>
  </si>
  <si>
    <t>ПРЕДПРИНИМАТЕЛЬСКИЕ РИСКИ, ИЗД.1</t>
  </si>
  <si>
    <t>Синявский Н.Г., Дадалко В.А.</t>
  </si>
  <si>
    <t>978-5-16-015172-4</t>
  </si>
  <si>
    <t>795917.01.01</t>
  </si>
  <si>
    <t>Предпринимательские экосистемы и сети в экономике...: Моног./Ю.Д.Белкин.-М.:НИЦ ИНФРА-М,2023.-217 с.(о)</t>
  </si>
  <si>
    <t>ПРЕДПРИНИМАТЕЛЬСКИЕ ЭКОСИСТЕМЫ И СЕТИ В ЭКОНОМИКЕ РАСПРЕДЕЛЕННОГО ПОЛЬЗОВАНИЯ: МЕХАНИЗМЫ УСТОЙЧИВОГО РАЗВИТИЯ В СФЕРЕ ТОВАРНОГО ОБРАЩЕНИЯ, ИЗД.1</t>
  </si>
  <si>
    <t>Белкин Ю.Д., Завьялов Д.В., Завьялова Н.Б. и др.</t>
  </si>
  <si>
    <t>978-5-16-018160-8</t>
  </si>
  <si>
    <t>38.04.06, 38.06.01</t>
  </si>
  <si>
    <t>098200.10.01</t>
  </si>
  <si>
    <t>Предпринимательское  право: Уч. / В.Ф.Попондопуло - 5 изд . -  М.:Норма:ИНФРА-М,2026 - 752 с.(п)</t>
  </si>
  <si>
    <t>ПРЕДПРИНИМАТЕЛЬСКОЕ ПРАВО, ИЗД.5</t>
  </si>
  <si>
    <t>Попондопуло В.Ф.</t>
  </si>
  <si>
    <t>978-5-00156-374-7</t>
  </si>
  <si>
    <t>807277.05.01</t>
  </si>
  <si>
    <t>Предпринимательское право РФ: Уч.: В 2 т.Т.1 / Губин Е.П. - 4 изд. - М.:Юр. НОРМА, НИЦ ИНФРА-М,2026 - 808 с.(п)</t>
  </si>
  <si>
    <t>ПРЕДПРИНИМАТЕЛЬСКОЕ ПРАВО РОССИЙСКОЙ ФЕДЕРАЦИИ, Т.1</t>
  </si>
  <si>
    <t>Губин Е.П., Лахно П.Г., Вайпан В.А. и др.</t>
  </si>
  <si>
    <t>978-5-00156-314-3</t>
  </si>
  <si>
    <t>38.04.01, 40.03.01, 40.05.01, 40.05.02, 40.05.04</t>
  </si>
  <si>
    <t>807889.06.01</t>
  </si>
  <si>
    <t>Предпринимательское право РФ: Уч.: В 2 т.Т.2. / Губин Е.П. - 4 изд. - М.:Юр. НОРМА, НИЦ ИНФРА-М,2026 - 440 с.(п)</t>
  </si>
  <si>
    <t>ПРЕДПРИНИМАТЕЛЬСКОЕ ПРАВО РОССИЙСКОЙ ФЕДЕРАЦИИ, Т.2</t>
  </si>
  <si>
    <t>978-5-00156-318-1</t>
  </si>
  <si>
    <t>085872.03.01</t>
  </si>
  <si>
    <t>Предпринимательское право: Практ. курс / Отв. ред. Е.П. Губин. - 4 изд. - М.: НОРМА, 2025. - 608с.(п)</t>
  </si>
  <si>
    <t>ПРЕДПРИНИМАТЕЛЬСКОЕ ПРАВО, ИЗД.4</t>
  </si>
  <si>
    <t>Афанасьева Е.Г., Вайпан В.А., Лаутс Е.Б. и др.</t>
  </si>
  <si>
    <t>978-5-00156-393-8</t>
  </si>
  <si>
    <t>23.03.03, 40.03.01, 40.04.01</t>
  </si>
  <si>
    <t>706542.10.01</t>
  </si>
  <si>
    <t>Предпринимательское право: Уч. / Под ред. Пчелкина А.В. - М.:НИЦ ИНФРА-М,2026 - 478 с.(ВО)(п)</t>
  </si>
  <si>
    <t>ПРЕДПРИНИМАТЕЛЬСКОЕ ПРАВО, ИЗД.1</t>
  </si>
  <si>
    <t>Демичев А.А., Карпычев М.В., Леонов А.И. и др.</t>
  </si>
  <si>
    <t>978-5-16-019653-4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</si>
  <si>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5 от 19.05.2021)</t>
  </si>
  <si>
    <t>109750.17.01</t>
  </si>
  <si>
    <t>Предпринимательство в сфере сервиса: Уч.пос. / О.Н.Гукова - М., НИЦ ИНФРА-М,2027 - 176 с.(СПО)(О)</t>
  </si>
  <si>
    <t>ПРЕДПРИНИМАТЕЛЬСТВО В СФЕРЕ СЕРВИСА, ИЗД.1</t>
  </si>
  <si>
    <t>978-5-16-021417-7</t>
  </si>
  <si>
    <t>08.02.14, 38.01.01, 38.01.02, 43.01.01, 43.01.02, 43.01.03, 43.01.04, 43.01.05, 43.01.06, 43.01.07, 43.01.08, 43.01.09, 43.01.11, 43.02.01, 43.02.02, 43.02.04, 43.02.06, 43.02.07, 43.02.09, 43.02.11, 43.02.15, 43.02.16, 43.02.17</t>
  </si>
  <si>
    <t>088800.23.01</t>
  </si>
  <si>
    <t>Предпринимательство: Уч. / М.Г.Лапуста - М.:НИЦ ИНФРА-М,2026 - 384 с.(ВО: Бакалавр.) (П)</t>
  </si>
  <si>
    <t>ПРЕДПРИНИМАТЕЛЬСТВО, ИЗД.1</t>
  </si>
  <si>
    <t>Лапуста М.Г.</t>
  </si>
  <si>
    <t>978-5-16-006602-8</t>
  </si>
  <si>
    <t>35.02.12, 38.03.01, 38.03.02, 38.03.03, 38.03.04, 38.03.05, 38.03.06, 38.03.07, 38.03.10</t>
  </si>
  <si>
    <t>Рекомендовано Советом Учебно-методического объединения вузов России по образованию в области менеджмента в качестве учебника по управленческим дисциплинам</t>
  </si>
  <si>
    <t>689267.01.01</t>
  </si>
  <si>
    <t>Предпринимательство: Уч. / Под ред. Ползуновой Н.Н.-М.:НИЦ ИНФРА-М,2023.-413 с..-(ВО)(п)</t>
  </si>
  <si>
    <t>Ползунова Н.Н., Родионова Н.В., Моргунова Н.В. и др.</t>
  </si>
  <si>
    <t>978-5-16-017418-1</t>
  </si>
  <si>
    <t>38.03.01, 38.03.02, 38.04.02, 38.04.06</t>
  </si>
  <si>
    <t>676152.05.01</t>
  </si>
  <si>
    <t>Представление и визуал. результатов науч. исслед.: Уч. / Логунов О.С. - М.:НИЦ ИНФРА-М,2025. - 156 с.(П)</t>
  </si>
  <si>
    <t>ПРЕДСТАВЛЕНИЕ И ВИЗУАЛИЗАЦИЯ РЕЗУЛЬТАТОВ НАУЧНЫХ ИССЛЕДОВАНИЙ, ИЗД.1</t>
  </si>
  <si>
    <t>Логунова О.С., Романов П.Ю., Егорова Л.Г. и др.</t>
  </si>
  <si>
    <t>978-5-16-020620-2</t>
  </si>
  <si>
    <t>02.04.02, 44.04.02</t>
  </si>
  <si>
    <t>Рекомендовано Учебно-методическим советом ВО в качестве учебника для аспирантов, обучающихся в высших учебных заведениях</t>
  </si>
  <si>
    <t>434550.08.01</t>
  </si>
  <si>
    <t>Предупреждение и ликвидац.чрезвыч.ситуац.: Уч.пос. / И.И.Суторьма-М.:НИЦ ИНФРА-М,Нов.зн.,2023-270с.</t>
  </si>
  <si>
    <t>ПРЕДУПРЕЖДЕНИЕ И ЛИКВИДАЦИЯ ЧРЕЗВЫЧАЙНЫХ СИТУАЦИЙ, ИЗД.1</t>
  </si>
  <si>
    <t>Суторьма И.И., Загор В.В., Жукалов В.И.</t>
  </si>
  <si>
    <t>978-5-16-006693-6</t>
  </si>
  <si>
    <t>Допущено Министерством образования Республики Беларусь в качестве учебного пособия для курсантов и слушателей высших учебных заведений по специальности «Предупреждение и ликвидация чрезвычайных ситуаций»</t>
  </si>
  <si>
    <t>779559.03.01</t>
  </si>
  <si>
    <t>Преемственное формир. стохастической культуры...: Моногр. / А.Ю.Полякова-М.:НИЦ ИНФРА-М,2023.-212 с.(О)</t>
  </si>
  <si>
    <t>ПРЕЕМСТВЕННОЕ ФОРМИРОВАНИЕ СТОХАСТИЧЕСКОЙ КУЛЬТУРЫ ШКОЛЬНИКОВ В УСЛОВИЯХ ЦИФРОВОЙ ТРАНСФОРМАЦИИ ОБЩЕГО ОБРАЗОВАНИЯ, ИЗД.1</t>
  </si>
  <si>
    <t>Полякова А.Ю.</t>
  </si>
  <si>
    <t>978-5-16-017792-2</t>
  </si>
  <si>
    <t>482150.05.01</t>
  </si>
  <si>
    <t>Президентская власть в США и ее представ...: Моногр. / А.Ю.Саломатин - М.:Юр.Норма,НИЦ ИНФРА-М,2025 - 240 с.(о)</t>
  </si>
  <si>
    <t>ПРЕЗИДЕНТСКАЯ ВЛАСТЬ В США И ЕЕ ПРЕДСТАВИТЕЛИ (СРАВНИТЕЛЬНЫЕ ПОЛИТОЛОГИЧЕСКИЕ И КОНСТИТУЦИОННО-ПРАВОВЫЕ ОЧЕРКИ), ИЗД.1</t>
  </si>
  <si>
    <t>978-5-91768-565-6</t>
  </si>
  <si>
    <t>40.03.01, 40.04.01, 41.03.01, 41.03.04, 41.03.06, 41.04.01, 41.04.04</t>
  </si>
  <si>
    <t>666707.05.01</t>
  </si>
  <si>
    <t>Прекращение гос.-служебных отнош...: Моногр. / Р.С.Сорокин - М:ИЦ РИОР,НИЦ ИНФРА-М,2021 - 118 с.(О)</t>
  </si>
  <si>
    <t>ПРЕКРАЩЕНИЕ ГОСУДАРСТВЕННО-СЛУЖЕБНЫХ ОТНОШЕНИЙ ВСЛЕДСТВИЕ НЕСОБЛЮДЕНИЯ ЗАКОНОДАТЕЛЬСТВА О ПРОТИВОДЕЙСТВИИ КОРРУПЦИИ, ИЗД.1</t>
  </si>
  <si>
    <t>Сорокин Р.С.</t>
  </si>
  <si>
    <t>978-5-369-01713-5</t>
  </si>
  <si>
    <t>38.03.01, 38.03.04, 38.04.04, 44.03.05</t>
  </si>
  <si>
    <t>632541.04.01</t>
  </si>
  <si>
    <t>Преобразование измерительных сигналов: Уч. / С.В.Нефедов - М.:КУРС, НИЦ ИНФРА-М,2025 - 224 с.(ВО)(П)</t>
  </si>
  <si>
    <t>ПРЕОБРАЗОВАНИЕ ИЗМЕРИТЕЛЬНЫХ СИГНАЛОВ, ИЗД.1</t>
  </si>
  <si>
    <t>Нефедов С.В., Тарасенко А.П., Чернова В.М.</t>
  </si>
  <si>
    <t>978-5-906923-41-7</t>
  </si>
  <si>
    <t>12.03.01</t>
  </si>
  <si>
    <t>438300.09.01</t>
  </si>
  <si>
    <t>Преодоление артикул.-акуст.дисграфии у шк.: Уч.-мет.пос. / О.Г.Ивановская - М.: НИЦ ИНФРА-М,2027 - 160 с.(ВО)(о)</t>
  </si>
  <si>
    <t>ПРЕОДОЛЕНИЕ АРТИКУЛЯТОРНО-АКУСТИЧЕСКОЙ ДИСГРАФИИ У ШКОЛЬНИКОВ, ИЗД.1</t>
  </si>
  <si>
    <t>Ивановская О.Г., Куликова Н.С., Хвостова О.А. и др.</t>
  </si>
  <si>
    <t>978-5-16-022429-9</t>
  </si>
  <si>
    <t>Рекомендовано кафедрой логопедии ЛГУ им. А. С. Пушкина в качестве учебно-методического пособия для студентов высших учебных заведений, обучающихся по направлениям 050700.62 «Специальное (дефектологическое) образование» (бакалавриат), по профилю подготовки «Логопедия» и 050700.68 «Специальное (дефектологическое) образование» (магистратура)</t>
  </si>
  <si>
    <t>734780.04.01</t>
  </si>
  <si>
    <t>Преодоление артикул.-акустич. дисграфии у шк.: Уч.мет.пос. / Елецкая О.В. - М.:Форум, НИЦ ИНФРА-М,2025 - 160 с.(П)</t>
  </si>
  <si>
    <t>978-5-00091-729-9</t>
  </si>
  <si>
    <t>39.02.01, 44.02.04, 44.02.05, 49.02.02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</si>
  <si>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44.02.04 «Специальное дошкольное образование», 44.02.05 «Коррекционная педагогика в начальном образовании» (протокол № 5 от 16.03.2020)</t>
  </si>
  <si>
    <t>795711.02.01</t>
  </si>
  <si>
    <t>Преподавание общевоенных и тактич. дисциплин в уч. воен. центрах: Уч.мет.пос.-М.:НИЦ ИНФРА-М,2024-64с.(ВО)(о)</t>
  </si>
  <si>
    <t>ПРЕПОДАВАНИЕ ОБЩЕВОЕННЫХ И ТАКТИЧЕСКИХ ДИСЦИПЛИН В УЧЕБНЫХ ВОЕННЫХ ЦЕНТРАХ, ИЗД.1</t>
  </si>
  <si>
    <t>Байрамуков Ю.Б.</t>
  </si>
  <si>
    <t>978-5-16-018973-4</t>
  </si>
  <si>
    <t>56.04.01, 56.04.02, 56.04.03, 56.04.04, 56.04.05, 56.04.06, 56.04.07, 56.04.08, 56.04.09, 56.04.10, 56.04.11, 56.04.12, 56.05.01, 56.05.02, 56.05.03, 56.05.04, 56.05.05</t>
  </si>
  <si>
    <t>489400.06.01</t>
  </si>
  <si>
    <t>Преподаватели вузов России: формир. и развитие: Моногр./ С.Д.Резник, - 2 изд.,-М.:НИЦ ИНФРА-М,2022-140с.(О)</t>
  </si>
  <si>
    <t>ПРЕПОДАВАТЕЛИ ВУЗОВ РОССИИ: ФОРМИРОВАНИЕ И РАЗВИТИЕ ПРОФЕССИОНАЛЬНЫХ КОМПЕТЕНЦИЙ, ИЗД.2</t>
  </si>
  <si>
    <t>Резник С.Д., Вдовина О.А.</t>
  </si>
  <si>
    <t>978-5-16-015900-3</t>
  </si>
  <si>
    <t>38.06.01, 40.06.01, 44.06.01</t>
  </si>
  <si>
    <t>489400.02.01</t>
  </si>
  <si>
    <t>Преподаватели вузов России: формир.и развитие...: Моногр./ С.Д.Резник-М.:НИЦ ИНФРА-М,2017-140с(О)</t>
  </si>
  <si>
    <t>ПРЕПОДАВАТЕЛИ ВУЗОВ РОССИИ: ФОРМИРОВАНИЕ И РАЗВИТИЕ ПРОФЕССИОНАЛЬНЫХ КОМПЕТЕНЦИЙ, ИЗД.1</t>
  </si>
  <si>
    <t>978-5-16-011756-0</t>
  </si>
  <si>
    <t>113800.17.01</t>
  </si>
  <si>
    <t>Преподаватель вуза: технологии и орг. деят.: Уч. / С.Д.Резник, - 3 изд. - М.:НИЦ ИНФРА-М,2026. - 334 с.(п)</t>
  </si>
  <si>
    <t>ПРЕПОДАВАТЕЛЬ ВУЗА: ТЕХНОЛОГИИ И ОРГАНИЗАЦИЯ ДЕЯТЕЛЬНОСТИ, ИЗД.3</t>
  </si>
  <si>
    <t>978-5-16-019992-4</t>
  </si>
  <si>
    <t>38.04.01, 38.04.02, 38.04.03, 38.04.04, 38.04.08, 38.04.09, 38.05.01, 38.05.02, 38.06.01</t>
  </si>
  <si>
    <t>113800.11.01</t>
  </si>
  <si>
    <t>Преподаватель вуза: технологии и организ. деят.: Уч. / С.Д.Резник и др. -М.:НИЦ ИНФРА-М,2018-372с(П)</t>
  </si>
  <si>
    <t>ПРЕПОДАВАТЕЛЬ ВУЗА: ТЕХНОЛОГИИ И ОРГАНИЗАЦИЯ ДЕЯТЕЛЬНОСТИ, ИЗД.1</t>
  </si>
  <si>
    <t>Резник С.Д., Вдовина О.А., Резник С.Д.</t>
  </si>
  <si>
    <t>978-5-16-013077-4</t>
  </si>
  <si>
    <t>113800.15.01</t>
  </si>
  <si>
    <t>Преподаватель вуза: технологии и организ. деят.: Уч. / С.Д.Резник,-2 изд.-М:НИЦ ИНФРА-М,2024-339с(п)</t>
  </si>
  <si>
    <t>ПРЕПОДАВАТЕЛЬ ВУЗА: ТЕХНОЛОГИИ И ОРГАНИЗАЦИЯ ДЕЯТЕЛЬНОСТИ, ИЗД.2</t>
  </si>
  <si>
    <t>978-5-16-014781-9</t>
  </si>
  <si>
    <t>348100.08.01</t>
  </si>
  <si>
    <t>Пресноводная аквакультура: Уч.пос. / В.А.Власов - М.:КУРС, НИЦ ИНФРА-М,2019 - 384 с.(П)</t>
  </si>
  <si>
    <t>ПРЕСНОВОДНАЯ АКВАКУЛЬТУРА, ИЗД.1</t>
  </si>
  <si>
    <t>Власов В.А.</t>
  </si>
  <si>
    <t>978-5-905554-88-9</t>
  </si>
  <si>
    <t>35.03.08, 35.03.09, 35.04.07, 35.04.08, 36.03.02, 36.04.02, 44.03.01, 44.03.05</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</si>
  <si>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направлениям 36.03.02 «Зоотехния» и 35.03.08 «Водные биоресурсы и аквакультура»</t>
  </si>
  <si>
    <t>747877.01.01</t>
  </si>
  <si>
    <t>Пресса становится властью: Политич. дискус..: Моногр. / М.А.Филимонова, - 2 изд.-М.:НИЦ ИНФРА-М,2021.-203 с.(О)</t>
  </si>
  <si>
    <t>ПРЕССА СТАНОВИТСЯ ВЛАСТЬЮ: ПОЛИТИЧЕСКИЕ ДИСКУССИИ НА СТРАНИЦАХ ПЕРИОДИЧЕСКОЙ ПЕЧАТИ США В КОНЦЕ XVIII ВЕКА, ИЗД.2</t>
  </si>
  <si>
    <t>978-5-16-016672-8</t>
  </si>
  <si>
    <t>41.03.06, 41.04.04, 41.06.01</t>
  </si>
  <si>
    <t>128450.09.01</t>
  </si>
  <si>
    <t>Преступление и борьба с ним. Уголовная психология...: Моногр. / Г.Ашаффенбург.-М.:НИЦ ИНФРА-М,2021.-249 с.(П)</t>
  </si>
  <si>
    <t>ПРЕСТУПЛЕНИЕ И БОРЬБА С НИМ, ИЗД.1</t>
  </si>
  <si>
    <t>Ашаффенбург Г., Овчинский В. С., Федоров А. В.</t>
  </si>
  <si>
    <t>978-5-16-016775-6</t>
  </si>
  <si>
    <t>285700.10.01</t>
  </si>
  <si>
    <t>Преступление и наказание...: Моногр. / Ю.М.Антонян - М.:Юр.Норма, НИЦ ИНФРА-М,2026. - 304 с.(п)</t>
  </si>
  <si>
    <t>ПРЕСТУПЛЕНИЕ И НАКАЗАНИЕ: КРИМИНОЛОГО-ПСИХОЛОГИЧЕСКИЙ АНАЛИЗ, ИЗД.1</t>
  </si>
  <si>
    <t>978-5-91768-498-7</t>
  </si>
  <si>
    <t>31.08.24, 37.04.01, 40.03.01, 40.04.01, 40.05.02, 40.06.01</t>
  </si>
  <si>
    <t>673893.05.01</t>
  </si>
  <si>
    <t>Преступление, обреченное на провал...: Моногр. / В.Н.Некрасов - М.:НИЦ ИНФРА-М,2025 - 172 с.(О)</t>
  </si>
  <si>
    <t>ПРЕСТУПЛЕНИЕ, ОБРЕЧЕННОЕ НА ПРОВАЛ: ОСОБЕННОСТИ ЗАКОНОДАТЕЛЬНОГО КОНСТРУИРОВАНИЯ, ИЗД.1</t>
  </si>
  <si>
    <t>Некрасов В.Н.</t>
  </si>
  <si>
    <t>978-5-16-013611-0</t>
  </si>
  <si>
    <t>051100.14.01</t>
  </si>
  <si>
    <t>Преступление. Новейшие успехи науки о преступнике. Анархисты / Ч.Ломброзо - М.:НИЦ ИНФРА-М,2026. - 314 с.(П)</t>
  </si>
  <si>
    <t>ПРЕСТУПЛЕНИЕ. НОВЕЙШИЕ УСПЕХИ НАУКИ О ПРЕСТУПНИКЕ. АНАРХИСТЫ, ИЗД.1</t>
  </si>
  <si>
    <t>Ломброзо Ч., Овчинский В.С.</t>
  </si>
  <si>
    <t>978-5-16-001715-0</t>
  </si>
  <si>
    <t>863951.01.01</t>
  </si>
  <si>
    <t>Преступления против жизни и здоровья: Уч.пос. / А.М.Ораздурдыев - М.:Юр. НОРМА, НИЦ ИНФРА-М,2026. - 168 с.(п)</t>
  </si>
  <si>
    <t>ПРЕСТУПЛЕНИЯ ПРОТИВ ЖИЗНИ И ЗДОРОВЬЯ, ИЗД.1</t>
  </si>
  <si>
    <t>978-5-00156-456-0</t>
  </si>
  <si>
    <t>40.05.01, 40.05.02, 40.05.03, 40.05.04, 44.03.05, 40.03.02</t>
  </si>
  <si>
    <t>862092.01.01</t>
  </si>
  <si>
    <t>Преступления против правосудия: Уч.пос. / П.Л.Сурихин - М.:НИЦ ИНФРА-М, СФУ,2026. - 126 с.(ВО (СФУ))(п)</t>
  </si>
  <si>
    <t>ПРЕСТУПЛЕНИЯ ПРОТИВ ПРАВОСУДИЯ, ИЗД.1</t>
  </si>
  <si>
    <t>Сурихин П.Л.</t>
  </si>
  <si>
    <t>978-5-16-021404-7</t>
  </si>
  <si>
    <t>054270.10.01</t>
  </si>
  <si>
    <t>Преступник и преступление. Сравн. преступн. Преступл. толпы / Г. де Тард. - ИНФРА-М, 2024. - 391 с. (п)</t>
  </si>
  <si>
    <t>ПРЕСТУПНИК И ПРЕСТУПЛЕНИЕ. СРАВНИТЕЛЬНАЯ ПРЕСТУПНОСТЬ. ПРЕСТУПЛЕНИЯ ТОЛПЫ, ИЗД.1</t>
  </si>
  <si>
    <t>Тард Г., Овчинский В. С.</t>
  </si>
  <si>
    <t>5-16-001978-2</t>
  </si>
  <si>
    <t>054270.09.01</t>
  </si>
  <si>
    <t>Преступник и преступление. Сравнит. преступ. Преступл. толпы / Г. Тард - М.: НИЦ ИНФРА-М, 2021-391с. (о)</t>
  </si>
  <si>
    <t>978-5-16-003793-6</t>
  </si>
  <si>
    <t>687050.06.01</t>
  </si>
  <si>
    <t>Преступник. Основные понятия и черты личности: Моногр. / В.Е.Эминов - М.:Юр. НОРМА, НИЦ ИНФРА-М,2026. - 384 с.(п)</t>
  </si>
  <si>
    <t>ПРЕСТУПНИК. ОСНОВНЫЕ ПОНЯТИЯ И ЧЕРТЫ ЛИЧНОСТИ, ИЗД.1</t>
  </si>
  <si>
    <t>Эминов В.Е., Антонян Ю.М.</t>
  </si>
  <si>
    <t>978-5-91768-946-3</t>
  </si>
  <si>
    <t>085650.10.01</t>
  </si>
  <si>
    <t>Преступное насилие. Преступность в городах /Сост. и вступ. ст. А.С.Овчинского.-ИНФРА-М, 2024- 408 с. (п)</t>
  </si>
  <si>
    <t>ПРЕСТУПНОЕ НАСИЛИЕ. ПРЕСТУПНОСТЬ В ГОРОДАХ, ИЗД.1</t>
  </si>
  <si>
    <t>Овчинский А. С., Овчинский В. С.</t>
  </si>
  <si>
    <t>978-5-16-003139-2</t>
  </si>
  <si>
    <t>792931.02.01</t>
  </si>
  <si>
    <t>Преступное сообщество..: Моногр. / М.П.Клеймёнов - М.:Юр. НОРМА, НИЦ ИНФРА-М,2026. - 232 с.(П)</t>
  </si>
  <si>
    <t>ПРЕСТУПНОЕ СООБЩЕСТВО:КРИМИНОЛОГО-ПРАВОВОЙ АНАЛИЗ, ИЗД.1</t>
  </si>
  <si>
    <t>Клеймёнов М.П., Клейменов И.М., Козловская М.Г.</t>
  </si>
  <si>
    <t>978-5-00156-273-3</t>
  </si>
  <si>
    <t>00.05.08, 10.05.05, 40.02.02, 40.03.01, 40.05.01, 40.05.02, 40.05.03, 40.05.04, 44.05.01</t>
  </si>
  <si>
    <t>409300.12.01</t>
  </si>
  <si>
    <t>Преступность в истории человечества: Моногр. / Ю.М.Антонян - М.:Юр.Норма, НИЦ ИНФРА-М,2026. - 208 с.(О)</t>
  </si>
  <si>
    <t>ПРЕСТУПНОСТЬ В ИСТОРИИ ЧЕЛОВЕЧЕСТВА, ИЗД.1</t>
  </si>
  <si>
    <t>Антонян Ю.М., Звизжова О.Ю.</t>
  </si>
  <si>
    <t>978-5-91768-320-1</t>
  </si>
  <si>
    <t>642078.08.01</t>
  </si>
  <si>
    <t>Преступность и нравы переходного общ.: Моногр. / В.Н.Кудрявцев - М.:Юр.Норма,НИЦ ИНФРА-М,2025 - 240 с.(П)</t>
  </si>
  <si>
    <t>ПРЕСТУПНОСТЬ И НРАВЫ ПЕРЕХОДНОГО ОБЩЕСТВА, ИЗД.1</t>
  </si>
  <si>
    <t>978-5-91768-772-8</t>
  </si>
  <si>
    <t>072500.11.01</t>
  </si>
  <si>
    <t>Преступность и преступники. Учение о преступ... / Д.А.Дриль - М.:ИНФРА-М Изд. Дом,2024 - 770 с.(П)</t>
  </si>
  <si>
    <t>ПРЕСТУПНОСТЬ И ПРЕСТУПНИКИ. УЧЕНИЕ О ПРЕСТУПНОСТИ И МЕРАХ БОРЬБЫ С НЕЮ, ИЗД.1</t>
  </si>
  <si>
    <t>Дриль Д. А., Овчинский В. С.</t>
  </si>
  <si>
    <t>978-5-16-002683-1</t>
  </si>
  <si>
    <t>680550.13.01</t>
  </si>
  <si>
    <t>Прецедентное право: Моногр. / И.Ю.Богдановская - М.:Юр.Норма, НИЦ ИНФРА-М,2026 - 240 с.(П)</t>
  </si>
  <si>
    <t>ПРЕЦЕДЕНТНОЕ ПРАВО, ИЗД.1</t>
  </si>
  <si>
    <t>Богдановская И.Ю.</t>
  </si>
  <si>
    <t>978-5-91768-901-2</t>
  </si>
  <si>
    <t>844587.01.01</t>
  </si>
  <si>
    <t>Преюдиции в уголов.-исполнит. праве: Моногр. / А.Я.Гришко - М.:НИЦ ИНФРА-М,2025. - 128 с.(о)</t>
  </si>
  <si>
    <t>ПРЕЮДИЦИИ В УГОЛОВНО-ИСПОЛНИТЕЛЬНОМ ПРАВЕ, ИЗД.1</t>
  </si>
  <si>
    <t>Гришко А.Я., Даланов Д.С.</t>
  </si>
  <si>
    <t>978-5-16-020531-1</t>
  </si>
  <si>
    <t>704209.06.01</t>
  </si>
  <si>
    <t>Преюдиция в уголовном судопроизводстве РФ: Моногр. / С.А.Лопатин - М.:Юр.Норма,2026.-208 с.(П)</t>
  </si>
  <si>
    <t>ПРЕЮДИЦИЯ В УГОЛОВНОМ СУДОПРОИЗВОДСТВЕ РОССИЙСКОЙ ФЕДЕРАЦИИ, ИЗД.1</t>
  </si>
  <si>
    <t>Лопатин С.А.</t>
  </si>
  <si>
    <t>978-5-91768-610-3</t>
  </si>
  <si>
    <t>670047.03.01</t>
  </si>
  <si>
    <t>Преюдиция как институциональное  явление: Монография / Р.А.Бурганов - М.:НИЦ ИНФРА-М,2022 - 134 с(О)</t>
  </si>
  <si>
    <t>ПРЕЮДИЦИЯ КАК ИНСТИТУЦИОНАЛЬНОЕ  ЯВЛЕНИЕ, ИЗД.1</t>
  </si>
  <si>
    <t>Бурганов Р.А., Бурганов Б.Р.</t>
  </si>
  <si>
    <t>978-5-16-013343-0</t>
  </si>
  <si>
    <t>436950.07.01</t>
  </si>
  <si>
    <t>Приборостроение. Введение в специальность: Уч. пос. / Б.Ю. Каплан. - М.: ИНФРА-М, 2025. - 112 с. (ВО) (о)</t>
  </si>
  <si>
    <t>ПРИБОРОСТРОЕНИЕ. ВВЕДЕНИЕ В СПЕЦИАЛЬНОСТЬ, ИЗД.1</t>
  </si>
  <si>
    <t>Каплан Б. Ю.</t>
  </si>
  <si>
    <t>978-5-16-006719-3</t>
  </si>
  <si>
    <t>12.03.01, 12.04.01</t>
  </si>
  <si>
    <t>Рекомендовано Учебно-методическим объединением вузов Российской Федерации по образованию в области приборостроения и оптотехники для студентов высших учебных заведений, обучающихся по направлению подготовки бакалавриата 200100 - Приборостроение</t>
  </si>
  <si>
    <t>430250.04.01</t>
  </si>
  <si>
    <t>Привлеченный персонал на предпр.: теор. и практ..:Моногр./ М.М.Иванова-М.:ИЦ РИОР:ИНФРА-М,2023-155с. (о)</t>
  </si>
  <si>
    <t>ПРИВЛЕЧЕННЫЙ ПЕРСОНАЛ НА ПРЕДПРИЯТИИ: ТЕОРЕТИЧЕСКИЕ И ПРАКТИЧЕСКИЕ АСПЕКТЫ ПРИМЕНЕНИЯ, ИЗД.1</t>
  </si>
  <si>
    <t>Иванова М. М., Родинова Н. П.</t>
  </si>
  <si>
    <t>978-5-369-01189-8</t>
  </si>
  <si>
    <t>38.03.01, 38.03.03, 38.03.04, 38.04.03, 40.03.01, 40.04.01, 41.03.06, 44.03.01, 44.03.05, 46.03.02</t>
  </si>
  <si>
    <t>735530.04.01</t>
  </si>
  <si>
    <t>Прием граждан и рассмотр. обращ. в след.органах: Моногр./ Под ред. Цветкова Ю.А.-М.:НИЦ ИНФРА-М,2024-399 с(П)</t>
  </si>
  <si>
    <t>ПРИЕМ ГРАЖДАН И РАССМОТРЕНИЕ ОБРАЩЕНИЙ В СЛЕДСТВЕННЫХ ОРГАНАХ, ИЗД.1</t>
  </si>
  <si>
    <t>Цветков Ю.А., Валов С.В., Бурынин С.С. и др.</t>
  </si>
  <si>
    <t>978-5-16-016228-7</t>
  </si>
  <si>
    <t>719239.04.01</t>
  </si>
  <si>
    <t>Приемники и потреб. электрич. энергии сис. электроснаб.: Уч.пос. / А.В.Суворин-М.:НИЦ ИНФРА-М,2024.-354с(П)</t>
  </si>
  <si>
    <t>ПРИЕМНИКИ И ПОТРЕБИТЕЛИ ЭЛЕКТРИЧЕСКОЙ ЭНЕРГИИ СИСТЕМ ЭЛЕКТРОСНАБЖЕНИЯ, ИЗД.1</t>
  </si>
  <si>
    <t>978-5-16-015610-1</t>
  </si>
  <si>
    <t>667543.07.01</t>
  </si>
  <si>
    <t>Приемники и потреб. электрич. энергии сист.электр..: Уч.пос. / А.В.Суворин - М.:НИЦ ИНФРА-М,СФУ,2025-354с(П)</t>
  </si>
  <si>
    <t>978-5-16-017274-3</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</si>
  <si>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направлению подготовки бакалавров 13.03.02 «Электроэнергетика и электротехника» (профиль «Электроснабжение»)</t>
  </si>
  <si>
    <t>464400.03.01</t>
  </si>
  <si>
    <t>Прикладная механика: применение...: Уч.пос. /Г.С.Варданян -М.:НИЦ ИНФРА-М,2023-174с.(ВО:Бакалавр.)(о)</t>
  </si>
  <si>
    <t>ПРИКЛАДНАЯ МЕХАНИКА: ПРИМЕНЕНИЕ МЕТОДОВ ТЕОРИИ ПОДОБИЯ И АНАЛИЗА РАЗМЕРНОСТЕЙ К МОДЕЛИРОВАНИЮ ЗАДАЧ МЕХАНИКИ ДЕФОРМИРУЕМОГО ТВЕРДОГО ТЕЛА, ИЗД.1</t>
  </si>
  <si>
    <t>Варданян Г.С.</t>
  </si>
  <si>
    <t>978-5-16-011532-0</t>
  </si>
  <si>
    <t>01.03.03, 01.04.03, 02.03.03, 03.03.03, 04.03.02, 08.03.01, 08.04.01, 08.05.01, 12.03.01, 15.03.03, 15.04.03</t>
  </si>
  <si>
    <t>Рекомендовано в качестве учебного пособия для студентов высших учебных заведений, обучающихся по направлениям подготовки 01.03.03 «Механика и математическое моделирование», 15.03.03 «Прикладная механика» (квалификация (степень) «бакалавр»)</t>
  </si>
  <si>
    <t>632558.08.01</t>
  </si>
  <si>
    <t>Прикладная механика: Уч.: В 2 ч.Ч.1: Основы расчета... / А.Н.Соболев - М.:КУРС,НИЦ ИНФРА-М,2026 - 224 с.(п)</t>
  </si>
  <si>
    <t>ПРИКЛАДНАЯ МЕХАНИКА. В 2-Х Ч., Т.1</t>
  </si>
  <si>
    <t>Соболев А.Н., Некрасов А.Я., Схиртладзе А.Г. и др.</t>
  </si>
  <si>
    <t>978-5-906818-58-4</t>
  </si>
  <si>
    <t>12.03.01, 15.03.01, 15.03.05, 15.05.01</t>
  </si>
  <si>
    <t>Московский государственный технологический университет "Станкин", ф-л Егорьевский технологический ин</t>
  </si>
  <si>
    <t>632559.05.01</t>
  </si>
  <si>
    <t>Прикладная механика: Уч.: В 2 ч.Ч.2: / А.Н.Соболев - М.:КУРС, НИЦ ИНФРА-М,2026 - 160 с.(ВО)(п)</t>
  </si>
  <si>
    <t>ПРИКЛАДНАЯ МЕХАНИКА. В 2-Х Ч., Т.2</t>
  </si>
  <si>
    <t>Соболев А.Н., Некрасов А.Я., Бровкина Ю.И. и др.</t>
  </si>
  <si>
    <t>978-5-906818-57-7</t>
  </si>
  <si>
    <t>Допущено УМО вузов по образованию в области автоматизированного машиностроения (УМО АМ) в качестве учебника для студентов высших учебных заведений, обучающихся по направлениям подготовки "Конструкторско-технологическое обеспечение машиностроительных производств", "Автоматизация технологических процессов и производств"</t>
  </si>
  <si>
    <t>147400.07.01</t>
  </si>
  <si>
    <t>Прикладная механика: Уч.пос.для вуз./ В.Т.Батиенков- 2 изд.-М.:ИЦ РИОР, НИЦ ИНФРА-М,2023-339с(ВО)(П)</t>
  </si>
  <si>
    <t>ПРИКЛАДНАЯ МЕХАНИКА, ИЗД.2</t>
  </si>
  <si>
    <t>978-5-369-01660-2</t>
  </si>
  <si>
    <t>20.03.02, 20.04.02</t>
  </si>
  <si>
    <t>086190.17.01</t>
  </si>
  <si>
    <t>Прикладная психология: Уч.пос. / Н.П.Рапохин, - 2 изд. - М.:НИЦ ИНФРА-М,2026. - 471 с.(ВО)(п)</t>
  </si>
  <si>
    <t>ПРИКЛАДНАЯ ПСИХОЛОГИЯ, ИЗД.2</t>
  </si>
  <si>
    <t>Рапохин Н. П.</t>
  </si>
  <si>
    <t>978-5-16-019204-8</t>
  </si>
  <si>
    <t>38.03.02, 44.03.01, 44.03.02, 44.03.05, 44.04.02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</si>
  <si>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38.03.02 «Менеджмент», 41.03.05 «Международные отношения» (квалификация (степень) «бакалавр») (протокол № 3 от 17.03.2021)</t>
  </si>
  <si>
    <t>086190.10.01</t>
  </si>
  <si>
    <t>Прикладная психология: Уч.пос. / Н.П.Рапохин-М.:Форум, ИНФРА-М Изд. Дом,2018.-432 с..-(ВО)(П)</t>
  </si>
  <si>
    <t>ПРИКЛАДНАЯ ПСИХОЛОГИЯ, ИЗД.1</t>
  </si>
  <si>
    <t>978-5-91134-153-4</t>
  </si>
  <si>
    <t>861039.01.01</t>
  </si>
  <si>
    <t>Прикладная физическая культура и спорт... : Уч.пос. / Е.Н.Данилова. - М.:НИЦ ИНФРА-М, СФУ,2026. - 196 с.(ВО)(п)</t>
  </si>
  <si>
    <t>ПРИКЛАДНАЯ ФИЗИЧЕСКАЯ КУЛЬТУРА И СПОРТ. АТЛЕТИЧЕСКАЯ ГИМНАСТИКА, ОЗДОРОВИТЕЛЬНАЯ ФИЗИЧЕСКАЯ КУЛЬТУРА, ИЗД.1</t>
  </si>
  <si>
    <t>Данилова Е.Н., Черепанова А.А., Черепанов А.Ю. и др.</t>
  </si>
  <si>
    <t>978-5-16-021393-4</t>
  </si>
  <si>
    <t>00.03.14, 00.05.14</t>
  </si>
  <si>
    <t>733752.06.01</t>
  </si>
  <si>
    <t>Прикладная филология: Моногр. / В.К.Харченко - М.:НИЦ ИНФРА-М,2027 - 217 с.-(Науч.мысль)(О)</t>
  </si>
  <si>
    <t>ПРИКЛАДНАЯ ФИЛОЛОГИЯ, ИЗД.1</t>
  </si>
  <si>
    <t>978-5-16-016117-4</t>
  </si>
  <si>
    <t>45.03.01, 50.03.01</t>
  </si>
  <si>
    <t>797841.02.01</t>
  </si>
  <si>
    <t>Прикладная химия: Уч.пос. / И.В.Кротова-М.:НИЦ ИНФРА-М, Сибирский федеральный универ.,2023.-148 с.(ВО)(о)</t>
  </si>
  <si>
    <t>ПРИКЛАДНАЯ ХИМИЯ, ИЗД.1</t>
  </si>
  <si>
    <t>Кротова И.В.</t>
  </si>
  <si>
    <t>978-5-16-018651-1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</si>
  <si>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38.03.07 «Товароведение» (квалификация (степень) «бакалавр») (протокол № 7 от 21.09.2022)</t>
  </si>
  <si>
    <t>656372.12.01</t>
  </si>
  <si>
    <t>Прикладная электроника: Уч. / А.В.Ситников - М.:КУРС, НИЦ ИНФРА-М,2026 - 272 с.-(СПО)(П)</t>
  </si>
  <si>
    <t>ПРИКЛАДНАЯ ЭЛЕКТРОНИКА, ИЗД.1</t>
  </si>
  <si>
    <t>Ситников А.В., Ситников И.А.</t>
  </si>
  <si>
    <t>978-5-906923-28-8</t>
  </si>
  <si>
    <t>08.02.01, 09.02.01, 15.01.05, 35.01.27</t>
  </si>
  <si>
    <t>867250.02.01</t>
  </si>
  <si>
    <t>Прикладной ИИ и цифр. трансформ. бизнеса: Кн.1: Моногр. / Л.В.Лапидус - М.:НИЦ ИНФРА-М,2025. - 501 с.(п)</t>
  </si>
  <si>
    <t>ПРИКЛАДНОЙ ИСКУССТВЕННЫЙ ИНТЕЛЛЕКТ И ЦИФРОВАЯ ТРАНСФОРМАЦИЯ БИЗНЕСА, Т.1</t>
  </si>
  <si>
    <t>Лапидус Л.В.</t>
  </si>
  <si>
    <t>978-5-16-021509-9</t>
  </si>
  <si>
    <t>01.04.02, 02.04.02, 03.03.03, 07.04.04, 09.04.01, 09.04.03, 11.03.01, 12.04.01, 16.04.03, 19.04.02, 24.04.04, 27.04.03, 27.04.07, 27.04.08, 37.03.01, 37.04.01, 45.04.04</t>
  </si>
  <si>
    <t>871515.02.01</t>
  </si>
  <si>
    <t>Прикладной искусств. интеллект и цифр. трансформ. бизнеса: Кн.2 /Л.В.Лапидус - М.:НИЦ ИНФРА-М,2027-390с(п)</t>
  </si>
  <si>
    <t>ПРИКЛАДНОЙ ИСКУССТВЕННЫЙ ИНТЕЛЛЕКТ И ЦИФРОВАЯ ТРАНСФОРМАЦИЯ БИЗНЕСА. КНИГА 2: ИИ-ТРАНСФОРМАЦИЯ И РОБОТИЗАЦИЯ В ОТРАСЛЯХ ЭКОНОМИКИ, Т.2</t>
  </si>
  <si>
    <t>978-5-16-021855-7</t>
  </si>
  <si>
    <t>27.04.07, 38.03.01, 38.03.02, 38.04.01, 38.04.02, 38.04.03, 38.04.04, 38.04.05, 38.04.06, 38.04.07, 38.04.08, 38.04.09, 38.04.10, 38.05.01, 38.05.02, 38.06.01</t>
  </si>
  <si>
    <t>870582.02.01</t>
  </si>
  <si>
    <t>Прикладной искусств. интеллект и цифр. трансформация..: Уч. / Л.В.Лапидус-М.:НИЦ ИНФРА-М,2026.-786 с.(ВО)(п)</t>
  </si>
  <si>
    <t>ПРИКЛАДНОЙ ИСКУССТВЕННЫЙ ИНТЕЛЛЕКТ И ЦИФРОВАЯ ТРАНСФОРМАЦИЯ БИЗНЕСА, ИЗД.1</t>
  </si>
  <si>
    <t>978-5-16-021762-8</t>
  </si>
  <si>
    <t>27.04.07, 27.04.08, 38.03.01, 38.03.02, 38.04.01, 38.04.02</t>
  </si>
  <si>
    <t>АКАДЕМУС-2025, Победитель, I место
АКАДЕМУС-2025, Победитель, I место</t>
  </si>
  <si>
    <t>661225.02.01</t>
  </si>
  <si>
    <t>Прикладные воп.оценки тех.сос.судовых...: Моногр./ А.В.Неменко-М.:Вуз.уч., НИЦ ИНФРА-М,2018.-174с(О)</t>
  </si>
  <si>
    <t>ПРИКЛАДНЫЕ ВОПРОСЫ ОЦЕНКИ ТЕХНИЧЕСКОГО СОСТОЯНИЯ СУДОВЫХ МЕХАНИЧЕСКИХ СИСТЕМ, ИЗД.1</t>
  </si>
  <si>
    <t>Неменко А.В., Никитин М.М.</t>
  </si>
  <si>
    <t>978-5-9558-0579-5</t>
  </si>
  <si>
    <t>13.03.02, 15.03.04, 15.03.05, 15.04.05, 17.03.01, 26.03.02</t>
  </si>
  <si>
    <t>200800.12.01</t>
  </si>
  <si>
    <t>Прикладные информ. технологии: Уч.пос. / Е.Л.Федотова - М.:ИД ФОРУМ, НИЦ ИНФРА-М,2025 - 336 с.(ВО)(П)</t>
  </si>
  <si>
    <t>ПРИКЛАДНЫЕ ИНФОРМАЦИОННЫЕ ТЕХНОЛОГИИ, ИЗД.1</t>
  </si>
  <si>
    <t>Федотова Е. Л., Портнов Е. М.</t>
  </si>
  <si>
    <t>978-5-8199-0538-8</t>
  </si>
  <si>
    <t>38.03.02, 38.03.04, 41.03.06</t>
  </si>
  <si>
    <t>Рекомендовано Научно-методическим советом Московского социально-гуманитарного института в качестве учебного пособия для студентов, обучающихся по профилю «Информационный менеджмент» направления 080200.62 «Менеджмент»</t>
  </si>
  <si>
    <t>719224.03.01</t>
  </si>
  <si>
    <t>Прикладные информац. технологии: Уч.пос./ Е.Л.Федотова-М.:ИД ФОРУМ, НИЦ ИНФРА-М,2023-335 с.(СПО)(П)</t>
  </si>
  <si>
    <t>978-5-8199-0897-6</t>
  </si>
  <si>
    <t>296400.06.01</t>
  </si>
  <si>
    <t>Прикладные методы для реш. задач электроэн..: Уч.пос. / В.Я.Хорольский-М.:Форум, НИЦ ИНФРА-М,2024-176с.(ВО)(о)</t>
  </si>
  <si>
    <t>ПРИКЛАДНЫЕ МЕТОДЫ ДЛЯ РЕШЕНИЯ ЗАДАЧ ЭЛЕКТРОЭНЕРГЕТИКИ И АГРОИНЖЕНЕРИИ, ИЗД.1</t>
  </si>
  <si>
    <t>Хорольский В.Я., Таранов М.А., Шемякин В.Н. и др.</t>
  </si>
  <si>
    <t>978-5-91134-940-0</t>
  </si>
  <si>
    <t>13.04.02, 35.04.06</t>
  </si>
  <si>
    <t>787430.01.01</t>
  </si>
  <si>
    <t>Прикладные нейро-нечеткие вычислит. сис..: Моногр. / М.В.Бобырь.-М.:НИЦ ИНФРА-М,2023.-263 с.(п)</t>
  </si>
  <si>
    <t>ПРИКЛАДНЫЕ НЕЙРО-НЕЧЕТКИЕ ВЫЧИСЛИТЕЛЬНЫЕ СИСТЕМЫ И УСТРОЙСТВА, ИЗД.1</t>
  </si>
  <si>
    <t>Бобырь М.В., Емельянов С.Г., Архипов А.Е. и др.</t>
  </si>
  <si>
    <t>978-5-16-017976-6</t>
  </si>
  <si>
    <t>345200.05.01</t>
  </si>
  <si>
    <t>Применение интеллект.материалов при произв., диагностиров.../ В.А.Зорин - 2 изд. - М:НИЦ ИНФРА-М,2024-110с.(О)</t>
  </si>
  <si>
    <t>ПРИМЕНЕНИЕ ИНТЕЛЛЕКТУАЛЬНЫХ МАТЕРИАЛОВ ПРИ ПРОИЗВОДСТВЕ, ДИАГНОСТИРОВАНИИ И РЕМОНТЕ МАШИН, ИЗД.2</t>
  </si>
  <si>
    <t>В.А.Зорин, Н.И.Баурова</t>
  </si>
  <si>
    <t>978-5-16-010801-8</t>
  </si>
  <si>
    <t>15.00.00, 23.00.00, 15.03.01, 15.03.02, 15.03.03, 15.03.05, 15.04.01, 15.04.02, 15.04.03, 15.04.05, 15.05.01, 15.06.01, 23.03.03, 23.04.03, 23.06.01</t>
  </si>
  <si>
    <t>776424.01.01</t>
  </si>
  <si>
    <t>Применение информ. сис. в экономике: Уч.пос. / А.М.Карминский - 2 изд.-М.:ИД Форум, НИЦ ИНФРА-М,2022-320 с.(П)</t>
  </si>
  <si>
    <t>ПРИМЕНЕНИЕ ИНФОРМАЦИОННЫХ СИСТЕМ В ЭКОНОМИКЕ, ИЗД.2</t>
  </si>
  <si>
    <t>Карминский А.М., Черников Б.В.</t>
  </si>
  <si>
    <t>978-5-8199-0932-4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</si>
  <si>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10 от 15.12.2021)</t>
  </si>
  <si>
    <t>169700.08.01</t>
  </si>
  <si>
    <t>Применение информ. систем в эконом.: Уч. пос. / А.М.Карминский - 2изд. - М.:ИД ФОРУМ:  ИНФРА-М, 2025 - 320 с.(ВО) (п)</t>
  </si>
  <si>
    <t>978-5-8199-0495-4</t>
  </si>
  <si>
    <t>670742.03.01</t>
  </si>
  <si>
    <t>Применение метода динам. упруг. для контр.качест..:Моногр./ А.М.Капитонов-М.:НИЦ ИНФРА-М,СФУ,2023-191с</t>
  </si>
  <si>
    <t>ПРИМЕНЕНИЕ МЕТОДА ДИНАМИЧЕСКОЙ УПРУГОСТИ ДЛЯ КОНТРОЛЯ КАЧЕСТВА ТВЕРДОСПЛАВНОГО ИНСТРУМЕНТА, ИЗД.1</t>
  </si>
  <si>
    <t>Капитонов А.М., Теремов С.Г., Редькин В.Е.</t>
  </si>
  <si>
    <t>978-5-16-013403-1</t>
  </si>
  <si>
    <t>15.04.02</t>
  </si>
  <si>
    <t>180350.13.01</t>
  </si>
  <si>
    <t>Применение молекуляр. методов исслед. в генетике: Уч.пос. / Л.Н.Нефедова - М.:НИЦ ИНФРА-М,2026. - 104 с.(о)</t>
  </si>
  <si>
    <t>ПРИМЕНЕНИЕ МОЛЕКУЛЯРНЫХ МЕТОДОВ ИССЛЕДОВАНИЯ В ГЕНЕТИКЕ, ИЗД.1</t>
  </si>
  <si>
    <t>Нефедова Л.Н.</t>
  </si>
  <si>
    <t>978-5-16-019028-0</t>
  </si>
  <si>
    <t>06.03.01, 06.04.01, 44.03.05</t>
  </si>
  <si>
    <t>Рекомендовано в качестве учебного пособия для студентов высших учебных заведений, обучающихся по направлению подготовки 06.03.01 «Биология» (квалификация (степень) «бакалавр») и УГС 30.00.00 «Фундаментальная медицина» (квалификация (степень) «специалист»)</t>
  </si>
  <si>
    <t>458200.01.01</t>
  </si>
  <si>
    <t>Применение насилия. Понятие и квалификация: Науч.-практ.пос. /А.В.Галахова -М.:Юр.Норма,2016-336с(п)</t>
  </si>
  <si>
    <t>ПРИМЕНЕНИЕ НАСИЛИЯ. ПОНЯТИЕ И КВАЛИФИКАЦИЯ, ИЗД.1</t>
  </si>
  <si>
    <t>ГалаховаА.В.</t>
  </si>
  <si>
    <t>978-5-91768-683-7</t>
  </si>
  <si>
    <t>801686.02.01</t>
  </si>
  <si>
    <t>Применение неодимового лазера в хирург. стоматологии: Моногр. / Е.А.Морозова - М.:НИЦ ИНФРА-М,2026. - 164 с.(п) цв.</t>
  </si>
  <si>
    <t>ПРИМЕНЕНИЕ НЕОДИМОВОГО ЛАЗЕРА В ХИРУРГИЧЕСКОЙ СТОМАТОЛОГИИ, ИЗД.1</t>
  </si>
  <si>
    <t>Морозова Е.А., Тарасенко С.В., Тарасенко И.В.</t>
  </si>
  <si>
    <t>978-5-16-019682-4</t>
  </si>
  <si>
    <t>31.05.03, 31.08.74</t>
  </si>
  <si>
    <t>649006.06.01</t>
  </si>
  <si>
    <t>Применение полимерных композиц.материалов в...: Уч.пос./ Н.И.Баурова-М.:НИЦ ИНФРА-М,2024.-301с(ВО)(п)</t>
  </si>
  <si>
    <t>ПРИМЕНЕНИЕ ПОЛИМЕРНЫХ КОМПОЗИЦИОННЫХ МАТЕРИАЛОВ В МАШИНОСТРОЕНИИ, ИЗД.1</t>
  </si>
  <si>
    <t>Баурова Н.И., Зорин В.А.</t>
  </si>
  <si>
    <t>978-5-16-019889-7</t>
  </si>
  <si>
    <t>15.03.01, 15.03.02, 23.05.01, 23.05.02</t>
  </si>
  <si>
    <t>Рекомендовано в качестве учебного пособия для студентов высших учебных заведений, обучающихся по направлениям подготовки 15.03.01 «Машиностроение», 15.03.02 «Технологические машины и оборудование» (квалификация (степень) «бакалавр»)</t>
  </si>
  <si>
    <t>812891.01.01</t>
  </si>
  <si>
    <t>Применение совр. педагог. технолог. при орг. военно-профес.../Г.Я.Асакаев-М.:НИЦ ИНФРА-М,2024-162 с(о)</t>
  </si>
  <si>
    <t>ПРИМЕНЕНИЕ СОВРЕМЕННЫХ ПЕДАГОГИЧЕСКИХ ТЕХНОЛОГИЙ ПРИ ОРГАНИЗАЦИИ ВОЕННО-ПРОФЕССИОНАЛЬНОЙ ПОДГОТОВКИ КУРСАНТОВ В ВОЕННЫХ ИНСТИТУТАХ ВНГ РФ, ИЗД.1</t>
  </si>
  <si>
    <t>Асакаев Г.Я., Ермаков С.А., Ставицкий Д.В. и др.</t>
  </si>
  <si>
    <t>978-5-16-019388-5</t>
  </si>
  <si>
    <t>56.04.01, 56.04.09, 56.05.04</t>
  </si>
  <si>
    <t>858457.01.01</t>
  </si>
  <si>
    <t>Применение судами иностранных процессуальных норм: Моногр. / А.А.Максуров - М.:НИЦ ИНФРА-М,2026. - 171 с.(п)</t>
  </si>
  <si>
    <t>ПРИМЕНЕНИЕ СУДАМИ ИНОСТРАННЫХ ПРОЦЕССУАЛЬНЫХ НОРМ, ИЗД.1</t>
  </si>
  <si>
    <t>978-5-16-021125-1</t>
  </si>
  <si>
    <t>38.05.01, 40.04.01, 40.05.01, 40.05.02, 40.05.04, 40.06.01</t>
  </si>
  <si>
    <t>641996.07.01</t>
  </si>
  <si>
    <t>Применение теории схем для формир. культурных фон...: Моногр./ Е.А.Макарова-М:НИЦ ИНФРА-М,2024-104с.(Научная мысль)(О)</t>
  </si>
  <si>
    <t>ПРИМЕНЕНИЕ ТЕОРИИ СХЕМ ДЛЯ ФОРМИРОВАНИЯ КУЛЬТУРНЫХ ФОНОВЫХ ЗНАНИЙ СТУДЕНТОВ И ИХ ИСПОЛЬЗОВАНИЕ В ПРЕПОДАВАНИИ ИНОСТРАННЫХ ЯЗЫКОВ, ИЗД.1</t>
  </si>
  <si>
    <t>Макарова Е.А.</t>
  </si>
  <si>
    <t>978-5-16-010347-1</t>
  </si>
  <si>
    <t>649815.07.01</t>
  </si>
  <si>
    <t>Применение цифровой инфр. и телемат. сис. на городском пассаж. трансп.: Уч. / В.М.Власов - М.:НИЦ ИНФРА-М,2025 - 352 с.(п)</t>
  </si>
  <si>
    <t>ПРИМЕНЕНИЕ ЦИФРОВОЙ ИНФРАСТРУКТУРЫ И ТЕЛЕМАТИЧЕСКИХ СИСТЕМ НА ГОРОДСКОМ ПАССАЖИРСКОМ ТРАНСПОРТЕ, ИЗД.1</t>
  </si>
  <si>
    <t>Власов В.М., Ефименко Д.Б., Богумил В.Н.</t>
  </si>
  <si>
    <t>978-5-16-013194-8</t>
  </si>
  <si>
    <t>23.03.01, 23.04.03</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</si>
  <si>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направлениям подготовки 23.03.03 «Эксплуатация транспортно-технологических машин и комплексов» (квалификация (степень) «бакалавр»); 23.04.01 «Технология транспортных процессов», 23.04.03 «Эксплуатация транспортно-технологических машин и комплексов» (квалификация (степень) «магистр»); 23.05.01 «Наземные транспортно-технологические средства» (квалификация «инженер»)</t>
  </si>
  <si>
    <t>846430.01.01</t>
  </si>
  <si>
    <t>Применение электрохимич. активир. средств в растениевод.: Моногр. / И.В.Юдаев. - М.:НИЦ ИНФРА-М,2026. - 143 с.(о)</t>
  </si>
  <si>
    <t>ПРИМЕНЕНИЕ ЭЛЕКТРОХИМИЧЕСКИ АКТИВИРОВАННЫХ СРЕДСТВ В РАСТЕНИЕВОДСТВЕ, ИЗД.1</t>
  </si>
  <si>
    <t>Юдаев И.В., Белицкая М.Н., Нефедьева Е.Э. и др.</t>
  </si>
  <si>
    <t>978-5-16-020634-9</t>
  </si>
  <si>
    <t>775619.01.01</t>
  </si>
  <si>
    <t>Применение энтропии при моделир. процессов принятия...: Моногр. / А.В.Сигал.-М.:НИЦ ИНФРА-М,2022.-202 с.(О)</t>
  </si>
  <si>
    <t>ПРИМЕНЕНИЕ ЭНТРОПИИ ПРИ МОДЕЛИРОВАНИИ ПРОЦЕССОВ ПРИНЯТИЯ РЕШЕНИЙ В ЭКОНОМИКЕ, ИЗД.1</t>
  </si>
  <si>
    <t>Королев О.Л., Куссый М.Ю., Сигал А.В. и др.</t>
  </si>
  <si>
    <t>978-5-16-017653-6</t>
  </si>
  <si>
    <t>38.04.01, 38.04.02, 38.04.04, 38.05.01, 38.05.02, 38.06.01</t>
  </si>
  <si>
    <t>776547.04.01</t>
  </si>
  <si>
    <t>Применение ядерных и радиац. технологий в медицине: Уч. / Ю.Н.Анохин - М.:НИЦ ИНФРА-М,2025. - 233 с.(ВО)(П)</t>
  </si>
  <si>
    <t>ПРИМЕНЕНИЕ ЯДЕРНЫХ И РАДИАЦИОННЫХ ТЕХНОЛОГИЙ В МЕДИЦИНЕ, ИЗД.1</t>
  </si>
  <si>
    <t>Анохин Ю.Н.</t>
  </si>
  <si>
    <t>978-5-16-020745-2</t>
  </si>
  <si>
    <t>03.04.02, 30.05.02, 31.05.01</t>
  </si>
  <si>
    <t>Российская государственная библиотека для молодежи</t>
  </si>
  <si>
    <t>688530.03.01</t>
  </si>
  <si>
    <t>Приморские зоны России на Балтике...: Моногр. / Под ред. Дружинина А.Г. -М.:НИЦ ИНФРА-М,2021-216с(П)</t>
  </si>
  <si>
    <t>ПРИМОРСКИЕ ЗОНЫ РОССИИ НА БАЛТИКЕ: ФАКТОРЫ, ОСОБЕННОСТИ, ПЕРСПЕКТИВЫ И СТРАТЕГИИ ТРАНСГРАНИЧНОЙ КЛАСТЕРИЗАЦИИ, ИЗД.1</t>
  </si>
  <si>
    <t>Дружинин А.Г., Клемешев А.П., Федоров Г.М. и др.</t>
  </si>
  <si>
    <t>978-5-16-014395-8</t>
  </si>
  <si>
    <t>38.03.01, 38.04.01, 38.04.04, 38.05.01, 44.03.01</t>
  </si>
  <si>
    <t>688530.04.01</t>
  </si>
  <si>
    <t>Приморские зоны России на Балтике...: Моногр. / Под ред. Дружинина А.Г. -М.:НИЦ ИНФРА-М,2023-216с(о)</t>
  </si>
  <si>
    <t>978-5-16-018618-4</t>
  </si>
  <si>
    <t>241700.05.01</t>
  </si>
  <si>
    <t>Принцип оценочной актуализации в совр. англ. яз.: Моногр./И.В.Чекулай - М:НИЦ ИНФРА-М,2023-160с (о)</t>
  </si>
  <si>
    <t>ПРИНЦИП ОЦЕНОЧНОЙ АКТУАЛИЗАЦИИ В СОВРЕМЕННОМ АНГЛИЙСКОМ ЯЗЫКЕ, ИЗД.1</t>
  </si>
  <si>
    <t>Чекулай И. В., Прохорова О. Н., Багана Ж., Куприева И. А.</t>
  </si>
  <si>
    <t>978-5-16-009254-6</t>
  </si>
  <si>
    <t>829428.01.01</t>
  </si>
  <si>
    <t>Принцип эффектив. орг. и функционир. публич. власти: Моногр. / А.Ю.Ульянов - М.:НИЦ ИНФРА-М,2025. - 340 с.(п)</t>
  </si>
  <si>
    <t>ПРИНЦИП ЭФФЕКТИВНОСТИ ОРГАНИЗАЦИИ И ФУНКЦИОНИРОВАНИЯ ПУБЛИЧНОЙ ВЛАСТИ, ИЗД.1</t>
  </si>
  <si>
    <t>Ульянов А.Ю.</t>
  </si>
  <si>
    <t>978-5-16-020374-4</t>
  </si>
  <si>
    <t>40.04.01, 40.05.04, 40.06.01, 41.03.06</t>
  </si>
  <si>
    <t>756610.01.01</t>
  </si>
  <si>
    <t>Принципы бюджетной системы РФ: Моногр. / Под ред. Поветкиной Н.А.-М.:НИЦ ИНФРА-М,2021.-225 с.(О)</t>
  </si>
  <si>
    <t>ПРИНЦИПЫ БЮДЖЕТНОЙ СИСТЕМЫ РОССИЙСКОЙ ФЕДЕРАЦИИ: ТЕОРЕТИКО-ПРАВОВЫЕ ОСНОВЫ РЕАЛИЗАЦИИ, ИЗД.1</t>
  </si>
  <si>
    <t>Воронцов О.Г.</t>
  </si>
  <si>
    <t>978-5-16-016925-5</t>
  </si>
  <si>
    <t>38.03.01, 38.03.04, 38.04.01, 38.04.04, 38.04.08, 38.06.01, 40.03.01, 40.04.01, 40.06.01</t>
  </si>
  <si>
    <t>254700.07.01</t>
  </si>
  <si>
    <t>Принципы и инструменты финанс. иннов. в РФ: Моногр. / В.Е.Леонтьев - М.:ИНФРА-М, 2024-194с.(о)</t>
  </si>
  <si>
    <t>ПРИНЦИПЫ И ИНСТРУМЕНТЫ ФИНАНСИРОВАНИЯ ИННОВАЦИЙ В РОССИЙСКОЙ ФЕДЕРАЦИИ, ИЗД.1</t>
  </si>
  <si>
    <t>Леонтьев В. Е., Баранова А. Ю.</t>
  </si>
  <si>
    <t>978-5-16-009440-3</t>
  </si>
  <si>
    <t>764228.04.01</t>
  </si>
  <si>
    <t>Принципы права: Моногр. / А.В.Коновалов - М.:Юр.Норма,2026 - 792 с.(П)</t>
  </si>
  <si>
    <t>ПРИНЦИПЫ ПРАВА, ИЗД.1</t>
  </si>
  <si>
    <t>Коновалов А.В.</t>
  </si>
  <si>
    <t>978-5-00156-195-8</t>
  </si>
  <si>
    <t>764228.01.01</t>
  </si>
  <si>
    <t>Принципы права: Монография / А.В.Коновалов - М.:Юр.Норма,2022 - 792 с.(О)</t>
  </si>
  <si>
    <t>807431.03.01</t>
  </si>
  <si>
    <t>Принципы справедливой войны: Моногр. / Н.А.Шавеко - М.:НИЦ ИНФРА-М,2026. - 217 с.(Науч.мысль)(п)</t>
  </si>
  <si>
    <t>ПРИНЦИПЫ СПРАВЕДЛИВОЙ ВОЙНЫ, ИЗД.1</t>
  </si>
  <si>
    <t>978-5-16-018935-2</t>
  </si>
  <si>
    <t>41.04.04, 47.06.01</t>
  </si>
  <si>
    <t>675394.04.01</t>
  </si>
  <si>
    <t>Принципы уголовн. судопр. в сист. принцип. национ. права.../Т.Ю.Вилкова-М.:Юр.Норма,ИНФРА-М,2024-192с</t>
  </si>
  <si>
    <t>ПРИНЦИПЫ УГОЛОВНОГО СУДОПРОИЗВОДСТВА В СИСТЕМЕ ПРИНЦИПОВ НАЦИОНАЛЬНОГО ПРАВА: ОБЩЕПРАВОВЫЕ И МЕЖОТРАСЛЕВЫЕ АСПЕКТЫ, ИЗД.1</t>
  </si>
  <si>
    <t>Вилкова Т.Ю.</t>
  </si>
  <si>
    <t>978-5-91768-887-9</t>
  </si>
  <si>
    <t>465200.04.01</t>
  </si>
  <si>
    <t>Принципы функц. системы управ.в чрезв. ситуациях: Уч.пос./С.Ю.Монинец-М:НИЦ ИНФРА-М,2024-104с(ВО)(о)</t>
  </si>
  <si>
    <t>ПРИНЦИПЫ ФУНКЦИОНИРОВАНИЯ СИСТЕМЫ УПРАВЛЕНИЯ В ЧРЕЗВЫЧАЙНЫХ СИТУАЦИЯХ И ЕЕ ЭЛЕМЕНТЫ, ИЗД.1</t>
  </si>
  <si>
    <t>Монинец С.Ю.</t>
  </si>
  <si>
    <t>978-5-16-019238-3</t>
  </si>
  <si>
    <t>Рекомендовано в качестве учебного пособия для студентов высших учебных заведений, обучающихся по направлениям подготовки бакалавриата 20.03.01 и магистратуры 20.04.01 по специальности «Техносферная безопасность»</t>
  </si>
  <si>
    <t>167450.11.01</t>
  </si>
  <si>
    <t>Принятие роли матери: клинико-психологический анализ / Т.Д. Василенко - М.: Форум, 2026 -176 с.(о)</t>
  </si>
  <si>
    <t>ПРИНЯТИЕ РОЛИ МАТЕРИ: КЛИНИКО-ПСИХОЛОГИЧЕСКИЙ АНАЛИЗ, ИЗД.1</t>
  </si>
  <si>
    <t>Василенко Т. Д., Земзюлина И. Н.</t>
  </si>
  <si>
    <t>978-5-91134-592-1</t>
  </si>
  <si>
    <t>37.00.00, 37.03.01, 37.03.02, 37.04.01, 37.04.02, 37.05.01, 37.06.01</t>
  </si>
  <si>
    <t>Курский государственный медицинский университет</t>
  </si>
  <si>
    <t>872001.01.01</t>
  </si>
  <si>
    <t>Приоритеты рос. конституционализма..: Моногр. / С.Н.Бабурин - М.:Юр. НОРМА, НИЦ ИНФРА-М,2026. - 200 с.(п)</t>
  </si>
  <si>
    <t>ПРИОРИТЕТЫ РОССИЙСКОГО КОНСТИТУЦИОНАЛИЗМА: ВОЗВРАЩЕНИЕ ДУХОВНЫХ ЦЕННОСТЕЙ, ИЗД.1</t>
  </si>
  <si>
    <t>978-5-00156-478-2</t>
  </si>
  <si>
    <t>776631.01.01</t>
  </si>
  <si>
    <t>Приоритеты социально-экономич. развития сельских территорий... / З.В.Брагина.-М.:НИЦ ИНФРА-М,2022.-198с(О)</t>
  </si>
  <si>
    <t>ПРИОРИТЕТЫ СОЦИАЛЬНО-ЭКОНОМИЧЕСКОГО РАЗВИТИЯ СЕЛЬСКИХ ТЕРРИТОРИЙ В УСЛОВИЯХ ГЛОБАЛЬНЫХ ВЫЗОВОВ, ИЗД.1</t>
  </si>
  <si>
    <t>Брагина З.В., Василькова Т.М., Горбина Н.Н. и др.</t>
  </si>
  <si>
    <t>978-5-16-017730-4</t>
  </si>
  <si>
    <t>38.04.01, 38.04.02, 38.04.04, 38.06.01, 41.04.02, 41.06.01</t>
  </si>
  <si>
    <t>211300.06.01</t>
  </si>
  <si>
    <t>Природа и механизмы связ.атомов: Моногр. / А.А.Потапов - М.:ИЦ РИОР,НИЦ ИНФРА-М,2025 - 299с(Науч.мысль)(о)</t>
  </si>
  <si>
    <t>ПРИРОДА И МЕХАНИЗМЫ СВЯЗЫВАНИЯ АТОМОВ, ИЗД.1</t>
  </si>
  <si>
    <t>Потапов А.А.</t>
  </si>
  <si>
    <t>978-5-369-01220-8</t>
  </si>
  <si>
    <t>667542.02.01</t>
  </si>
  <si>
    <t>Природа кризиса созн.в эпоху глобализ.: Моногр./ Л.Д.Рассказов,- 5изд.-М.:ИНФРА-М; Красноярск:Сиб.федер.ун-т.2020-203с</t>
  </si>
  <si>
    <t>ПРИРОДА КРИЗИСА СОЗНАНИЯ В ЭПОХУ ГЛОБАЛИЗАЦИИ: СОЦИАЛЬНО-ФИЛОСОФСКИЙ АНАЛИЗ АКТУАЛЬНЫХ ОБЩЕСТВЕННЫХ ЯВЛЕНИЙ, ИЗД.5</t>
  </si>
  <si>
    <t>978-5-16-013201-3</t>
  </si>
  <si>
    <t>744964.02.01</t>
  </si>
  <si>
    <t>Природная среда и жизнедеят. чел.: Моногр. / В.Е.Ходаков - М.:НИЦ ИНФРА-М,2023 - 421 с.-(Науч.мысль)(О)</t>
  </si>
  <si>
    <t>ПРИРОДНАЯ СРЕДА И ЖИЗНЕДЕЯТЕЛЬНОСТЬ ЧЕЛОВЕКА, ИЗД.1</t>
  </si>
  <si>
    <t>Ходаков В.Е.</t>
  </si>
  <si>
    <t>978-5-16-016596-7</t>
  </si>
  <si>
    <t>00.03.01, 20.06.01</t>
  </si>
  <si>
    <t>389200.08.01</t>
  </si>
  <si>
    <t>Природные и техногенные потоки углевод..: Моногр. / Ю.И.Пиковский - М.: НИЦ ИНФРА-М, 2024-207 с. (П)</t>
  </si>
  <si>
    <t>ПРИРОДНЫЕ И ТЕХНОГЕННЫЕ ПОТОКИ УГЛЕВОДОРОДОВ В ОКРУЖАЮЩЕЙ СРЕДЕ, ИЗД.1</t>
  </si>
  <si>
    <t>978-5-16-011190-2</t>
  </si>
  <si>
    <t>21.03.01, 21.04.01, 21.05.02, 21.05.03, 21.05.04, 21.05.05</t>
  </si>
  <si>
    <t>0193</t>
  </si>
  <si>
    <t>389200.10.01</t>
  </si>
  <si>
    <t>Природные и техногенные потоки углеводородов в окруж. среде: Моногр./ Ю.И.Пиковский - М.:НИЦ ИНФРА-М,2027. - 207 с.(о)</t>
  </si>
  <si>
    <t>978-5-16-022517-3</t>
  </si>
  <si>
    <t>447350.04.01</t>
  </si>
  <si>
    <t>Природные факторы оздоровления: Уч.пос. / М.Г.Ясовеев-М.:НИЦ ИНФРА-М,2023.-259 с.(ВО: Бакалавриат)(п)</t>
  </si>
  <si>
    <t>ПРИРОДНЫЕ ФАКТОРЫ ОЗДОРОВЛЕНИЯ, ИЗД.1</t>
  </si>
  <si>
    <t>Ясовеев М. Г., Досин Ю. М.</t>
  </si>
  <si>
    <t>978-5-16-009044-3</t>
  </si>
  <si>
    <t>05.03.01, 05.03.02, 05.03.06, 05.04.01, 05.04.02, 05.04.06, 20.03.02, 31.05.01</t>
  </si>
  <si>
    <t>438650.06.01</t>
  </si>
  <si>
    <t>Природоохранные технологии разраб. рудн. месторожд.: Уч. пос./В.И.Голик - М.:ИНФРА-М, 2023-192с.(ВО) (п)</t>
  </si>
  <si>
    <t>ПРИРОДООХРАННЫЕ ТЕХНОЛОГИИ РАЗРАБОТКИ РУДНЫХ МЕСТОРОЖДЕНИЙ, ИЗД.1</t>
  </si>
  <si>
    <t>978-5-16-006749-0</t>
  </si>
  <si>
    <t>21.02.12, 21.05.04, 21.05.05</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</si>
  <si>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высших учебных заведений, обучающихся по направлениям подготовки «Горное дело» и «Физические процессы</t>
  </si>
  <si>
    <t>260100.05.01</t>
  </si>
  <si>
    <t>Природоресурсное законод. в усл. модерн...: Моногр. / Г.В.Выпханова - М.:Юр.Норма,НИЦ ИНФРА-М,2025 - 160 с.(О)</t>
  </si>
  <si>
    <t>ПРИРОДОРЕСУРСНОЕ ЗАКОНОДАТЕЛЬСТВО В УСЛОВИЯХ МОДЕРНИЗАЦИИ ЭКОНОМИКИ РОССИИ: СОВРЕМЕННЫЕ ПРОБЛЕМЫ РАЗВИТИЯ, ИЗД.1</t>
  </si>
  <si>
    <t>Выпханова Г. В., Ершова И. В., Шпаковский Ю. Г., Агафонов В. Б., Жаворонкова Н. Г.</t>
  </si>
  <si>
    <t>978-5-91768-457-4</t>
  </si>
  <si>
    <t>05.03.06, 13.03.01, 13.04.01</t>
  </si>
  <si>
    <t>877013.01.01</t>
  </si>
  <si>
    <t>Причинная связь в праве: Моногр. / И.А.Клепицкий - М.:ИЦ РИОР, НИЦ ИНФРА-М,2026. - 310 с.(Науч.мысль)(о)</t>
  </si>
  <si>
    <t>ПРИЧИННАЯ СВЯЗЬ В ПРАВЕ, ИЗД.1</t>
  </si>
  <si>
    <t>Клепицкий И.А.</t>
  </si>
  <si>
    <t>978-5-369-03015-8</t>
  </si>
  <si>
    <t>694246.08.01</t>
  </si>
  <si>
    <t>Причинность в криминологии...: Моногр. / В.Н.Кудрявцев - М.:Юр.Норма,НИЦ ИНФРА-М,2026 - 176 с.(П)</t>
  </si>
  <si>
    <t>ПРИЧИННОСТЬ В КРИМИНОЛОГИИ (О СТРУКТУРЕ ИНДИВИДУАЛЬНОГО ПРЕСТУПНОГО ПОВЕДЕНИЯ), ИЗД.1</t>
  </si>
  <si>
    <t>978-5-91768-976-0</t>
  </si>
  <si>
    <t>40.03.01, 40.05.02, 40.05.03</t>
  </si>
  <si>
    <t>352600.08.01</t>
  </si>
  <si>
    <t>Причинность и объект.сторона преступл.: Моногр. / З.Б.Соктоев - 2 изд. - М.:Юр.Норма,НИЦ ИНФРА-М,2026 - 272 с.(п)</t>
  </si>
  <si>
    <t>ПРИЧИННОСТЬ И ОБЪЕКТИВНАЯ СТОРОНА ПРЕСТУПЛЕНИЯ, ИЗД.2</t>
  </si>
  <si>
    <t>Соктоев З.Б.</t>
  </si>
  <si>
    <t>978-5-00156-364-8</t>
  </si>
  <si>
    <t>352600.06.01</t>
  </si>
  <si>
    <t>Причинность и объект.сторона преступления: Моногр. / З.Б.Соктоев - М.:Юр.Норма,НИЦ ИНФРА-М,2023 - 256 с(О)</t>
  </si>
  <si>
    <t>ПРИЧИННОСТЬ И ОБЪЕКТИВНАЯ СТОРОНА ПРЕСТУПЛЕНИЯ, ИЗД.1</t>
  </si>
  <si>
    <t>978-5-91768-606-6</t>
  </si>
  <si>
    <t>642075.08.01</t>
  </si>
  <si>
    <t>Причины правонарушений: Моногр. / В.Н.Кудрявцев - М.:Юр.Норма, НИЦ ИНФРА-М,2025 - 288 с.(П)</t>
  </si>
  <si>
    <t>ПРИЧИНЫ ПРАВОНАРУШЕНИЙ, ИЗД.1</t>
  </si>
  <si>
    <t>978-5-91768-775-9</t>
  </si>
  <si>
    <t>152070.10.01</t>
  </si>
  <si>
    <t>Причины преступности в России... / В.Е.Эминов - М.:Юр.Норма, ИНФРА-М Изд. Дом,2025. - 128 с.(о)</t>
  </si>
  <si>
    <t>ПРИЧИНЫ ПРЕСТУПНОСТИ В РОССИИ, ИЗД.1</t>
  </si>
  <si>
    <t>Эминов В. Е.</t>
  </si>
  <si>
    <t>978-5-91768-176-4</t>
  </si>
  <si>
    <t>737831.08.01</t>
  </si>
  <si>
    <t>Проактивная б-ка в информац.-образоват. среде универ.: Моногр. / Р.А.Барышев - М.:НИЦ ИНФРА-М,2026 - 261 с.(о)</t>
  </si>
  <si>
    <t>ПРОАКТИВНАЯ БИБЛИОТЕКА В ИНФОРМАЦИОННО-ОБРАЗОВАТЕЛЬНОЙ СРЕДЕ УНИВЕРСИТЕТА, ИЗД.1</t>
  </si>
  <si>
    <t>Барышев Р.А.</t>
  </si>
  <si>
    <t>978-5-16-017585-0</t>
  </si>
  <si>
    <t>51.04.06, 51.06.01</t>
  </si>
  <si>
    <t>737831.05.01</t>
  </si>
  <si>
    <t>Проактивная б-ка в информационно-обр. среде универ.: Моногр. / Р.А.Барышев - М.:НИЦ ИНФРА-М,2024 - 261 с.(П)</t>
  </si>
  <si>
    <t>978-5-16-016381-9</t>
  </si>
  <si>
    <t>703671.06.01</t>
  </si>
  <si>
    <t>Пробелы в праве и пути их устранения: Моногр. / В.В.Лазарев - М.:Юр.Норма, НИЦ ИНФРА-М,2025 - 184 с.(П)</t>
  </si>
  <si>
    <t>ПРОБЕЛЫ В ПРАВЕ И ПУТИ ИХ УСТРАНЕНИЯ, ИЗД.1</t>
  </si>
  <si>
    <t>978-5-91768-560-1</t>
  </si>
  <si>
    <t>805483.02.01</t>
  </si>
  <si>
    <t>Проблема аддиктивного поведения в юриспруденции: Моногр. / А.В.Мякушкин - М.:НИЦ ИНФРА-М,2026. - 204 с.(о)</t>
  </si>
  <si>
    <t>ПРОБЛЕМА АДДИКТИВНОГО ПОВЕДЕНИЯ В ЮРИСПРУДЕНЦИИ: ТЕОРЕТИКО-ПРАВОВОЕ ИССЛЕДОВАНИЕ, ИЗД.1</t>
  </si>
  <si>
    <t>Мякушкин А.В.</t>
  </si>
  <si>
    <t>978-5-16-018701-3</t>
  </si>
  <si>
    <t>37.05.02, 37.06.01, 40.04.01, 40.05.02, 40.05.03, 40.06.01</t>
  </si>
  <si>
    <t>363800.05.01</t>
  </si>
  <si>
    <t>Проблема безбилетника: модель процесса и ...: Моногр. / Е.Г.Беккер. - М.:Вуз.уч, НИЦ ИНФРА-М,2025 - 157 с.(о)</t>
  </si>
  <si>
    <t>ПРОБЛЕМА БЕЗБИЛЕТНИКА: МОДЕЛЬ ПРОЦЕССА И РЕЦЕПТЫ ПОДАВЛЕНИЯ, ИЗД.1</t>
  </si>
  <si>
    <t>Беккер Е.Г., Денежкина И.Е., Набатова Д.С. и др.</t>
  </si>
  <si>
    <t>978-5-9558-0439-2</t>
  </si>
  <si>
    <t>874009.01.01</t>
  </si>
  <si>
    <t>Проблема выбора пространств. конфигурации молекуляр. сис. / К.Э.Плохотников - М.:НИЦ ИНФРА-М,2026. - 207 с.(п)</t>
  </si>
  <si>
    <t>ПРОБЛЕМА ВЫБОРА ПРОСТРАНСТВЕННОЙ КОНФИГУРАЦИИ МОЛЕКУЛЯРНОЙ СИСТЕМЫ, ИЗД.1</t>
  </si>
  <si>
    <t>Плохотников К.Э.</t>
  </si>
  <si>
    <t>978-5-16-021996-7</t>
  </si>
  <si>
    <t>181450.05.01</t>
  </si>
  <si>
    <t>Проблема духовного в запад. и восточ. культуре...: Моногр. / С.А.Нижников - М.:НИЦ ИНФРА-М,2026 - 168 с.(о)</t>
  </si>
  <si>
    <t>ПРОБЛЕМА ДУХОВНОГО В ЗАПАДНОЙ И ВОСТОЧНОЙ КУЛЬТУРЕ И ФИЛОСОФИИ, ИЗД.1</t>
  </si>
  <si>
    <t>978-5-16-005502-2</t>
  </si>
  <si>
    <t>376900.04.01</t>
  </si>
  <si>
    <t>Проблема начала в правопонимании: Моногр./Е.З.Бекбаев-М.:НИЦ ИНФРА-М,2023.-94 с.(О)</t>
  </si>
  <si>
    <t>ПРОБЛЕМА НАЧАЛА В ПРАВОПОНИМАНИИ, ИЗД.1</t>
  </si>
  <si>
    <t>Бекбаев Е.З.</t>
  </si>
  <si>
    <t>978-5-16-011107-0</t>
  </si>
  <si>
    <t>817795.01.01</t>
  </si>
  <si>
    <t>Проблема сознания: Моногр. / В.Н.Рубцов-М.:НИЦ ИНФРА-М,2023.-191 с.(п)</t>
  </si>
  <si>
    <t>ПРОБЛЕМА СОЗНАНИЯ, ИЗД.1</t>
  </si>
  <si>
    <t>Рубцов В.Н.</t>
  </si>
  <si>
    <t>978-5-16-019391-5</t>
  </si>
  <si>
    <t>706847.03.01</t>
  </si>
  <si>
    <t>Проблема становления романтич. историзма и...: Моногр. / Г.Х.Казаков - М.: ИНФРА-М, 2026. - 198 с.(О)</t>
  </si>
  <si>
    <t>ПРОБЛЕМА СТАНОВЛЕНИЯ РОМАНТИЧЕСКОГО ИСТОРИЗМА И РЕАБИЛИТАЦИИ СРЕДНЕВЕКОВОЙ КУЛЬТУРЫ В ТВОРЧЕСКОМ НАСЛЕДИИ Ф.Р. ДЕ ШАТОБРИАНА, ИЗД.1</t>
  </si>
  <si>
    <t>Казакова Г.Х.</t>
  </si>
  <si>
    <t>978-5-16-015635-4</t>
  </si>
  <si>
    <t>780689.01.01</t>
  </si>
  <si>
    <t>Проблема формир. ответств. в развитии чел. капитала / В.Г.Пичугин-М.:НИЦ ИНФРА-М,2022.-170 с.(О)</t>
  </si>
  <si>
    <t>ПРОБЛЕМА ФОРМИРОВАНИЯ ОТВЕТСТВЕННОСТИ В РАЗВИТИИ ЧЕЛОВЕЧЕСКОГО КАПИТАЛА, ИЗД.1</t>
  </si>
  <si>
    <t>Пичугин В.Г.</t>
  </si>
  <si>
    <t>978-5-16-017768-7</t>
  </si>
  <si>
    <t>37.03.01, 38.03.03, 38.04.03, 39.03.01, 39.04.01</t>
  </si>
  <si>
    <t>400600.10.01</t>
  </si>
  <si>
    <t>Проблемно-модульное обучение: Уч.пос. / Е.А.Соколков - М.:Вуз.уч., НИЦ ИНФРА-М,2024 - 392 с.(П)</t>
  </si>
  <si>
    <t>ПРОБЛЕМНО-МОДУЛЬНОЕ ОБУЧЕНИЕ, ИЗД.1</t>
  </si>
  <si>
    <t>978-5-9558-0261-9</t>
  </si>
  <si>
    <t>Рекомендовано Советом Учебно-методического объединения по образованию в области менеджмента в качестве учебного пособия для студентов всех уровней обучения</t>
  </si>
  <si>
    <t>775336.01.01</t>
  </si>
  <si>
    <t>Проблемы взаимодействия юр. ответств...: Моногр. / Д.А.Липинский - М.:ИЦ РИОР, НИЦ ИНФРА-М,2022 - 392 с.(П)</t>
  </si>
  <si>
    <t>ПРОБЛЕМЫ ВЗАИМОДЕЙСТВИЯ ЮРИДИЧЕСКОЙ ОТВЕТСТВЕННОСТИ И МЕХАНИЗМА ОБЕСПЕЧЕНИЯ НАЦИОНАЛЬНОЙ БЕЗОПАСНОСТИ, ИЗД.1</t>
  </si>
  <si>
    <t>Липинский Д.А., Макарейко Н.В., Фомин А.А. и др.</t>
  </si>
  <si>
    <t>978-5-369-01904-7</t>
  </si>
  <si>
    <t>40.05.01, 41.03.01, 41.04.05</t>
  </si>
  <si>
    <t>854008.02.01</t>
  </si>
  <si>
    <t>Проблемы внедрения проектно-ориентир. обуч...: Моногр. / В.С.Хамидулин - М.:НИЦ ИНФРА-М,2025. - 171 с.(о)</t>
  </si>
  <si>
    <t>ПРОБЛЕМЫ ВНЕДРЕНИЯ ПРОЕКТНО-ОРИЕНТИРОВАННОГО ОБУЧЕНИЯ В ПЕДАГОГИЧЕСКОЕ ОБРАЗОВАНИЕ, ИЗД.1</t>
  </si>
  <si>
    <t>Хамидулин В.С.</t>
  </si>
  <si>
    <t>978-5-16-020942-5</t>
  </si>
  <si>
    <t>749702.06.01</t>
  </si>
  <si>
    <t>Проблемы гос. упр. с позиций теории систем: Моногр. / Б.В.Россинский - М.:Юр.Норма, НИЦ ИНФРА-М,2025 - 264 с.(П)</t>
  </si>
  <si>
    <t>ПРОБЛЕМЫ ГОСУДАРСТВЕННОГО УПРАВЛЕНИЯ С ПОЗИЦИЙ ТЕОРИИ СИСТЕМ, ИЗД.1</t>
  </si>
  <si>
    <t>978-5-00156-143-9</t>
  </si>
  <si>
    <t>633167.09.01</t>
  </si>
  <si>
    <t>Проблемы детско-родительских отношен.: Моногр. / Е.М.Ижванова - М.:НИЦ ИНФРА-М,2026 - 89 с.(о)</t>
  </si>
  <si>
    <t>ПРОБЛЕМЫ ДЕТСКО-РОДИТЕЛЬСКИХ ОТНОШЕНИЙ, ИЗД.1</t>
  </si>
  <si>
    <t>Ижванова Е.М.</t>
  </si>
  <si>
    <t>978-5-16-012045-4</t>
  </si>
  <si>
    <t>37.03.01, 44.03.05</t>
  </si>
  <si>
    <t>726681.04.01</t>
  </si>
  <si>
    <t>Проблемы жестокого обр. с детьми в совр. рос. семье: Уч.пос. / О.В.Бессчетнова-М.:НИЦ ИНФРА-М,2024-178с(П)</t>
  </si>
  <si>
    <t>ПРОБЛЕМЫ ЖЕСТОКОГО ОБРАЩЕНИЯ С ДЕТЬМИ В СОВРЕМЕННОЙ РОССИЙСКОЙ СЕМЬЕ, ИЗД.1</t>
  </si>
  <si>
    <t>Бессчетнова О.В.</t>
  </si>
  <si>
    <t>978-5-16-020038-5</t>
  </si>
  <si>
    <t>39.03.02, 44.03.01, 44.03.02, 44.03.05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</si>
  <si>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39.03.02 «Социальная работа», 44.03.02 «Психолого-педагогическое образование», 44.03.05 «Педагогическое образование» (квалификация (степень) «бакалавр») (протокол № 6 от 06.04.2020)</t>
  </si>
  <si>
    <t>180150.07.01</t>
  </si>
  <si>
    <t>Проблемы и тенден.разв.малоэтаж.жилищ..: Моногр. / С.А.Баронин - М.:НИЦ ИНФРА-М,2026 - 239 с.(Науч.мысль)(о)</t>
  </si>
  <si>
    <t>ПРОБЛЕМЫ И ТЕНДЕНЦИИ РАЗВИТИЯ МАЛОЭТАЖНОГО ЖИЛИЩНОГО СТРОИТЕЛЬСТВА РОССИИ, ИЗД.1</t>
  </si>
  <si>
    <t>Баронин С.А., Николаева Е.Л., Черных А.Г. и др.</t>
  </si>
  <si>
    <t>978-5-16-006265-5</t>
  </si>
  <si>
    <t>08.03.01, 08.04.01, 08.06.01, 08.02.16</t>
  </si>
  <si>
    <t>870549.02.01</t>
  </si>
  <si>
    <t>Проблемы иска и исковой формы защиты права: Моногр. / С.Ф.Афанасьев. - М.:НИЦ ИНФРА-М,2027. - 151 с.(о)</t>
  </si>
  <si>
    <t>ПРОБЛЕМЫ ИСКА И ИСКОВОЙ ФОРМЫ ЗАЩИТЫ ПРАВА, ИЗД.1</t>
  </si>
  <si>
    <t>Афанасьев С.Ф., Галковская Н.Г., Князев Д.В. и др.</t>
  </si>
  <si>
    <t>978-5-16-021852-6</t>
  </si>
  <si>
    <t>40.04.01, 40.05.02, 40.05.03, 40.05.04, 40.06.01</t>
  </si>
  <si>
    <t>645479.07.01</t>
  </si>
  <si>
    <t>Проблемы истории, методолог.и теории юрид..: Моногр. /А.В.Корнев - М.:Юр.Норма,НИЦ ИНФРА-М,2026 - 528 с.(П)</t>
  </si>
  <si>
    <t>ПРОБЛЕМЫ ИСТОРИИ, МЕТОДОЛОГИИ И ТЕОРИИ ЮРИДИЧЕСКОЙ НАУКИ, ИЗД.1</t>
  </si>
  <si>
    <t>Корнев А.В., Веденеев Ю.А., Завьялов Ю.С. и др.</t>
  </si>
  <si>
    <t>978-5-91768-789-6</t>
  </si>
  <si>
    <t>803836.01.01</t>
  </si>
  <si>
    <t>Проблемы квалификации нефин. активов в орг. бюджетной сферы: Моногр. / Т.И.Кришталева-М.:НИЦ ИНФРА-М,2024.-228 с.(о)</t>
  </si>
  <si>
    <t>ПРОБЛЕМЫ КВАЛИФИКАЦИИ НЕФИНАНСОВЫХ АКТИВОВ В ОРГАНИЗАЦИЯХ БЮДЖЕТНОЙ СФЕРЫ, ИЗД.1</t>
  </si>
  <si>
    <t>978-5-16-018575-0</t>
  </si>
  <si>
    <t>38.04.09, 38.06.01</t>
  </si>
  <si>
    <t>169600.07.01</t>
  </si>
  <si>
    <t>Проблемы назначения наказания: Уч.пос. / Т.В. Непомнящая - М.: Форум, 2025.- 592 с.(ВО) (п)</t>
  </si>
  <si>
    <t>ПРОБЛЕМЫ НАЗНАЧЕНИЯ НАКАЗАНИЯ, ИЗД.1</t>
  </si>
  <si>
    <t>Непомнящая Т. В., Степашин В. М.</t>
  </si>
  <si>
    <t>978-5-91134-571-6</t>
  </si>
  <si>
    <t>40.03.01, 40.04.01, 40.05.02, 40.05.04</t>
  </si>
  <si>
    <t>427600.07.01</t>
  </si>
  <si>
    <t>Проблемы образования в совр. зарубеж. психологии: Уч.пос. / Л.В.Губанова-М.:НИЦ ИНФРА-М,2024.-58 с.(ВО)(О)</t>
  </si>
  <si>
    <t>ПРОБЛЕМЫ ОБРАЗОВАНИЯ В СОВРЕМЕННОЙ ЗАРУБЕЖНОЙ ПСИХОЛОГИИ, ИЗД.1</t>
  </si>
  <si>
    <t>Губанова Л. В.</t>
  </si>
  <si>
    <t>978-5-16-006364-5</t>
  </si>
  <si>
    <t>021500.18.01</t>
  </si>
  <si>
    <t>Проблемы общ. теории права и гос-ва: Уч. / Под общ. ред. В.С. Нерсесянца. - Норма:ИНФРА-М,2026. - 816 с..(п)</t>
  </si>
  <si>
    <t>ПРОБЛЕМЫ ОБЩЕЙ ТЕОРИИ ПРАВА И ГОСУДАРСТВА, ИЗД.2</t>
  </si>
  <si>
    <t>978-5-91768-116-0</t>
  </si>
  <si>
    <t>40.03.01, 40.04.01, 40.05.01, 40.05.02, 40.05.03, 40.05.04, 41.03.06, 44.03.05</t>
  </si>
  <si>
    <t>178900.12.01</t>
  </si>
  <si>
    <t>Проблемы общей теории jus: Уч. / В.В. Лазарев - М.: Норма: НИЦ Инфра-М, 2025 - 656 с. (п)</t>
  </si>
  <si>
    <t>ПРОБЛЕМЫ ОБЩЕЙ ТЕОРИИ JUS, ИЗД.1</t>
  </si>
  <si>
    <t>Лазарев В. В., Липень С. В., Саидов А. Х., Лазарев В. В.</t>
  </si>
  <si>
    <t>978-5-91768-256-3</t>
  </si>
  <si>
    <t>379100.07.01</t>
  </si>
  <si>
    <t>Проблемы правовой неопределенности: курс лекций / Н.А.Власенко-М.:НИЦ ИНФРА-М,2023.-176 с.(ИЗиСП)(П)</t>
  </si>
  <si>
    <t>ПРОБЛЕМЫ ПРАВОВОЙ НЕОПРЕДЕЛЕННОСТИ, ИЗД.1</t>
  </si>
  <si>
    <t>978-5-16-011136-0</t>
  </si>
  <si>
    <t>682704.06.01</t>
  </si>
  <si>
    <t>Проблемы природопользования в Арктике..: Моногр. / Под ред. Кочурова Б.И. - М.:НИЦ ИНФРА-М,2024 - 151с(О)</t>
  </si>
  <si>
    <t>ПРОБЛЕМЫ ПРИРОДОПОЛЬЗОВАНИЯ В АРКТИКЕ: АНАЛИЗ И РЕШЕНИЕ., ИЗД.1</t>
  </si>
  <si>
    <t>Кочемасов Ю.В., Кочемасова Е.Ю., Седова Н.Б. и др.</t>
  </si>
  <si>
    <t>978-5-16-014272-2</t>
  </si>
  <si>
    <t>Некоммерческое партнерство «Технологическая платформа «Технологии экологического развития»</t>
  </si>
  <si>
    <t>826041.01.01</t>
  </si>
  <si>
    <t>Проблемы развития экономики совр. России: Моногр. / Л.Е.Басовский - М.:НИЦ ИНФРА-М,2025. - 181 с.(о)</t>
  </si>
  <si>
    <t>ПРОБЛЕМЫ РАЗВИТИЯ ЭКОНОМИКИ СОВРЕМЕННОЙ РОССИИ, ИЗД.1</t>
  </si>
  <si>
    <t>978-5-16-019965-8</t>
  </si>
  <si>
    <t>814145.02.01</t>
  </si>
  <si>
    <t>Проблемы реализации принципов гражданского судопроизвод.../В.М.Жуйков - М.:Юр.НОРМА, НИЦ ИНФРА-М,2026 - 416 с.(п)</t>
  </si>
  <si>
    <t>ПРОБЛЕМЫ РЕАЛИЗАЦИИ ПРИНЦИПОВ ГРАЖДАНСКОГО СУДОПРОИЗВОДСТВА В ПРАВОПРИМЕНИТЕЛЬНОЙ ДЕЯТЕЛЬНОСТИ, ИЗД.1</t>
  </si>
  <si>
    <t>Жуйков В.М., Алексеева Н.В., Багыллы С.Т. и др.</t>
  </si>
  <si>
    <t>978-5-00156-333-4</t>
  </si>
  <si>
    <t>40.03.01, 40.04.01, 40.05.01, 40.05.03, 40.05.04</t>
  </si>
  <si>
    <t>666942.08.01</t>
  </si>
  <si>
    <t>Проблемы рос. государственности. Опыт сис..исслед. / В.А.Черепанов - М.:Юр.Норма,НИЦ ИНФРА-М,2026 - 336 с.(п)</t>
  </si>
  <si>
    <t>ПРОБЛЕМЫ РОССИЙСКОЙ ГОСУДАРСТВЕННОСТИ. ОПЫТ СИСТЕМНОГО ИССЛЕДОВАНИЯ, ИЗД.1</t>
  </si>
  <si>
    <t>978-5-91768-878-7</t>
  </si>
  <si>
    <t>697231.06.01</t>
  </si>
  <si>
    <t>Проблемы совершенств. финанс. методов и моделей..: Моногр. / А.С.Макаров - М.:НИЦ ИНФРА-М,2025 - 175 с.(О)</t>
  </si>
  <si>
    <t>ПРОБЛЕМЫ СОВЕРШЕНСТВОВАНИЯ ФИНАНСОВЫХ МЕТОДОВ И МОДЕЛЕЙ ОБЕСПЕЧЕНИЯ УСТОЙЧИВОГО РАЗВИТИЯ КОМПАНИИ, ИЗД.1</t>
  </si>
  <si>
    <t>Макаров А.С., Рябова Е.В., Хвостова И.Е.</t>
  </si>
  <si>
    <t>978-5-16-014625-6</t>
  </si>
  <si>
    <t>744592.01.01</t>
  </si>
  <si>
    <t>Проблемы стандартизации при реализации положений технич. регламентов РФ / В.О.Икрянников-М.:НИЦ ИНФРА-М,2021.-202 с.(О)</t>
  </si>
  <si>
    <t>ПРОБЛЕМЫ СТАНДАРТИЗАЦИИ ПРИ РЕАЛИЗАЦИИ ПОЛОЖЕНИЙ ТЕХНИЧЕСКИХ РЕГЛАМЕНТОВ РОССИЙСКОЙ ФЕДЕРАЦИИ, ИЗД.1</t>
  </si>
  <si>
    <t>Икрянников В.О., Барыкин А.Н.</t>
  </si>
  <si>
    <t>978-5-16-016593-6</t>
  </si>
  <si>
    <t>744592.03.01</t>
  </si>
  <si>
    <t>Проблемы стандартизации при реализации положений технич. регламентов РФ / В.О.Икрянников-М.:НИЦ ИНФРА-М,2022.-202 с.(П)</t>
  </si>
  <si>
    <t>978-5-16-017019-0</t>
  </si>
  <si>
    <t>710158.07.01</t>
  </si>
  <si>
    <t>Проблемы теор. и прак. админ. ответств.: Уч.пос. / Б.В.Россинский. - М.:Юр.Норма, НИЦ ИНФРА-М,2025 - 256 с.(П)</t>
  </si>
  <si>
    <t>ПРОБЛЕМЫ ТЕОРИИ И ПРАКТИКИ АДМИНИСТРАТИВНОЙ ОТВЕТСТВЕННОСТИ, ИЗД.1</t>
  </si>
  <si>
    <t>Россинский Б.В., Попов Л.Л., Сладкова А.В. и др.</t>
  </si>
  <si>
    <t>978-5-00156-001-2</t>
  </si>
  <si>
    <t>745620.05.01</t>
  </si>
  <si>
    <t>Проблемы теории государства и права: Уч. / Е.Г.Лукьянова - М.:Юр.Норма, НИЦ ИНФРА-М,2027 -  296 с.(П)</t>
  </si>
  <si>
    <t>ПРОБЛЕМЫ ТЕОРИИ ГОСУДАРСТВА И ПРАВА, ИЗД.1</t>
  </si>
  <si>
    <t>Лукьянова Е.Г.</t>
  </si>
  <si>
    <t>978-5-00156-099-9</t>
  </si>
  <si>
    <t>855285.01.01</t>
  </si>
  <si>
    <t>Проблемы теории государства и права: Уч. / И.А.Иванников - М.:НИЦ ИНФРА-М,2026. - 246 с.(ВО)(п)</t>
  </si>
  <si>
    <t>978-5-16-021025-4</t>
  </si>
  <si>
    <t>734796.07.01</t>
  </si>
  <si>
    <t>Проблемы теории государства и права: Уч. / Н.А.Власенко - М.:Юр.Норма, НИЦ ИНФРА-М,2026 - 544 с.(П)</t>
  </si>
  <si>
    <t>978-5-00156-067-8</t>
  </si>
  <si>
    <t>745033.02.01</t>
  </si>
  <si>
    <t>Проблемы территориал. орг. нац. экономики и финансов: Моногр. / В.М.Пищулов-М.:НИЦ ИНФРА-М,2025.-269 с.(О)</t>
  </si>
  <si>
    <t>ПРОБЛЕМЫ ТЕРРИТОРИАЛЬНОЙ ОРГАНИЗАЦИИ НАЦИОНАЛЬНОЙ ЭКОНОМИКИ И ФИНАНСОВ, ИЗД.1</t>
  </si>
  <si>
    <t>978-5-16-016563-9</t>
  </si>
  <si>
    <t>847551.01.01</t>
  </si>
  <si>
    <t>Проблемы управления техносферой: Моногр. / А.А.Липаев - М.:НИЦ ИНФРА-М,2026. - 341 с.(Науч.мысль)(п)</t>
  </si>
  <si>
    <t>ПРОБЛЕМЫ УПРАВЛЕНИЯ ТЕХНОСФЕРОЙ, ИЗД.1</t>
  </si>
  <si>
    <t>Липаев А.А.</t>
  </si>
  <si>
    <t>978-5-16-020722-3</t>
  </si>
  <si>
    <t>20.03.01, 20.04.01, 20.06.01</t>
  </si>
  <si>
    <t>Уральский государственный горный университет</t>
  </si>
  <si>
    <t>753307.03.01</t>
  </si>
  <si>
    <t>Проблемы участия юр. лиц в гражданском обороте: Уч.пос. / А.В.Качалова-М.:Юр.Норма, НИЦ ИНФРА-М,2025-224 с.(П)</t>
  </si>
  <si>
    <t>ПРОБЛЕМЫ УЧАСТИЯ ЮРИДИЧЕСКИХ ЛИЦ В ГРАЖДАНСКОМ ОБОРОТЕ, ИЗД.1</t>
  </si>
  <si>
    <t>Качалова А.В., Сойфер Т.В.</t>
  </si>
  <si>
    <t>978-5-00156-154-5</t>
  </si>
  <si>
    <t>483750.04.01</t>
  </si>
  <si>
    <t>Проблемы функционир. автотр. бизнеса..: Моног. / А.Д.Хмельницкий-М.:ИЦ РИОР,НИЦ ИНФРА-М,2024-244с(о)</t>
  </si>
  <si>
    <t>ПРОБЛЕМЫ ФУНКЦИОНИРОВАНИЯ АВТОТРАНСПОРТНОГО БИЗНЕСА: ЭВОЛЮЦИЯ ПРЕОБРАЗОВАНИЙ И СТРАТЕГИЧЕСКИЕ ОРИЕНТИРЫ РАЗВИТИЯ, ИЗД.1</t>
  </si>
  <si>
    <t>Хмельницкий А. Д.</t>
  </si>
  <si>
    <t>978-5-369-01405-9</t>
  </si>
  <si>
    <t>23.03.01, 23.04.01, 38.03.02, 38.04.02, 44.03.01</t>
  </si>
  <si>
    <t>766877.01.01</t>
  </si>
  <si>
    <t>Проверка судебных решений по уголовным делам: Моногр. / А.М.Панокин-М.:Юр.Норма, НИЦ ИНФРА-М,2022.-168 с.(П)</t>
  </si>
  <si>
    <t>ПРОВЕРКА СУДЕБНЫХ РЕШЕНИЙ ПО УГОЛОВНЫМ ДЕЛАМ: ИСТОРИЯ И СОВРЕМЕННОСТЬ, ИЗД.1</t>
  </si>
  <si>
    <t>Панокин А.М.</t>
  </si>
  <si>
    <t>978-5-00156-202-3</t>
  </si>
  <si>
    <t>806323.01.01</t>
  </si>
  <si>
    <t>Проверочные производства в уголов. процессе Чехии: Моногр. / А.Г.Тузов-М.:НИЦ ИНФРА-М,2024.-192 с.(п)</t>
  </si>
  <si>
    <t>ПРОВЕРОЧНЫЕ ПРОИЗВОДСТВА В УГОЛОВНОМ ПРОЦЕССЕ ЧЕХИИ, ИЗД.1</t>
  </si>
  <si>
    <t>Тузов А.Г., Стойко Н.Г.</t>
  </si>
  <si>
    <t>978-5-16-018779-2</t>
  </si>
  <si>
    <t>472250.03.01</t>
  </si>
  <si>
    <t>Проветривание промышл. площадок: Аэро..: Моногр./В.Т.Самсонов-НИЦ ИНФРА-М,2019-171(Науч.мысль)(О)</t>
  </si>
  <si>
    <t>ПРОВЕТРИВАНИЕ ПРОМЫШЛЕННЫХ ПЛОЩАДОК: АЭРОДИНАМИЧЕСКИЕ РАСЧЁТЫ ПРИ ПРОЕКТИРОВАНИИ ВЕНТИЛЯЦИОННЫХ ВЫБРОСОВ, ИЗД.1</t>
  </si>
  <si>
    <t>978-5-16-010092-0</t>
  </si>
  <si>
    <t>166774.02.01</t>
  </si>
  <si>
    <t>Прогноз возврата инвестиций в интернет-маркетинг / А. Баранов - М.: ИЦ РИОР, 2017. - 85 с. (о)</t>
  </si>
  <si>
    <t>ПРОГНОЗ ВОЗВРАТА ИНВЕСТИЦИЙ В ИНТЕРНЕТ-МАРКЕТИНГ: НАСТОЛЬНАЯ КНИГА МАРКЕТОЛОГА. ВЗГЛЯД ПРАКТИКА, ИЗД.1</t>
  </si>
  <si>
    <t>Баранов А.Е.</t>
  </si>
  <si>
    <t>978-5-369-00776-1</t>
  </si>
  <si>
    <t>38.03.01, 38.03.02, 38.03.05, 38.04.01, 38.04.02, 38.04.06, 38.04.07, 41.03.06</t>
  </si>
  <si>
    <t>765988.05.01</t>
  </si>
  <si>
    <t>Прогноз послеоперационного течения мочекаменной болезни / С.С.Дунаевская. - М.:НИЦ ИНФРА-М,2026. - 199 с.(О)</t>
  </si>
  <si>
    <t>ПРОГНОЗ ПОСЛЕОПЕРАЦИОННОГО ТЕЧЕНИЯ МОЧЕКАМЕННОЙ БОЛЕЗНИ, ИЗД.1</t>
  </si>
  <si>
    <t>Бережной А.Г., Дунаевская С.С., Винник Ю.С.</t>
  </si>
  <si>
    <t>978-5-16-017604-8</t>
  </si>
  <si>
    <t>31.05.01, 31.05.02, 31.06.01, 31.07.01, 31.08.68, 32.05.01</t>
  </si>
  <si>
    <t>679964.02.01</t>
  </si>
  <si>
    <t>Прогнозирование долговеч. конструкц. бетона...: Моногр. / Леонович С.Н.-М.:НИЦ ИНФРА-М,2024.-211 с.(о)</t>
  </si>
  <si>
    <t>ПРОГНОЗИРОВАНИЕ ДОЛГОВЕЧНОСТИ КОНСТРУКЦИОННОГО БЕТОНА ПРИ АГРЕССИВНЫХ ВОЗДЕЙСТВИЯХ, ИЗД.1</t>
  </si>
  <si>
    <t>Леонович С.Н., Доркин В.В., Чернякевич О.Ю. и др.</t>
  </si>
  <si>
    <t>978-5-16-014361-3</t>
  </si>
  <si>
    <t>123550.05.01</t>
  </si>
  <si>
    <t>Прогнозирование долгоср. тенденц. в разв. мир. хоз.: Уч.пос./В.Г.Клинов -М:Магистр, ИНФРА-М,2019-142с(О)</t>
  </si>
  <si>
    <t>ПРОГНОЗИРОВАНИЕ ДОЛГОСРОЧНЫХ ТЕНДЕНЦИЙ В РАЗВИТИИ МИРОВОГО ХОЗЯЙСТВА, ИЗД.1</t>
  </si>
  <si>
    <t>978-5-9776-0131-3</t>
  </si>
  <si>
    <t>38.03.01, 38.03.02, 38.03.04, 38.03.06, 38.04.01, 38.04.02, 38.04.04, 38.04.06, 38.05.01, 41.03.05, 44.03.05</t>
  </si>
  <si>
    <t>Рекомендовано УМО вузов России по образованию в области финансов, учета и мировой экономики в качестве учебного пособия для студентов высших учебных заведений, обучающихся по специальности "Мировая экономика"</t>
  </si>
  <si>
    <t>766546.05.01</t>
  </si>
  <si>
    <t>Прогнозирование долгосроч. тенденций развития мир. хоз.: Уч.пос. / В.Клинов - М.:Магистр, НИЦ ИНФРА-М,2025 - 216 с.(П)</t>
  </si>
  <si>
    <t>ПРОГНОЗИРОВАНИЕ ДОЛГОСРОЧНЫХ ТЕНДЕНЦИЙ РАЗВИТИЯ МИРОВОГО ХОЗЯЙСТВА, ИЗД.1</t>
  </si>
  <si>
    <t>Клинов В.Г., Сидоров А.А., Сидорова Е.А.</t>
  </si>
  <si>
    <t>978-5-9776-0537-3</t>
  </si>
  <si>
    <t>38.03.01, 38.04.01, 38.06.01, 38.07.02</t>
  </si>
  <si>
    <t>021900.28.01</t>
  </si>
  <si>
    <t>Прогнозирование и планирование в усл. рынка: Уч.пос. / Л.Е.Басовский-М.:НИЦ ИНФРА-М,2027-260с(ВО)(П)</t>
  </si>
  <si>
    <t>ПРОГНОЗИРОВАНИЕ И ПЛАНИРОВАНИЕ В УСЛОВИЯХ РЫНКА, ИЗД.1</t>
  </si>
  <si>
    <t>978-5-16-004198-8</t>
  </si>
  <si>
    <t>371900.07.01</t>
  </si>
  <si>
    <t>Прогнозирование фин.кризисов..: Моногр. / И.Я.Лукасевич - М.:Вуз.уч.,НИЦ ИНФРА-М,2023 - 126с.(Науч.книга)(О)</t>
  </si>
  <si>
    <t>ПРОГНОЗИРОВАНИЕ ФИНАНСОВЫХ КРИЗИСОВ:МЕТОДЫ,МОДЕЛИ,ИНДИКАТОРЫ, ИЗД.1</t>
  </si>
  <si>
    <t>Лукасевич И.Я., Федорова Е.А.</t>
  </si>
  <si>
    <t>978-5-9558-0443-9</t>
  </si>
  <si>
    <t>38.03.01, 38.03.04, 38.04.01, 38.04.04, 38.04.08, 38.04.09, 38.06.01, 38.07.02</t>
  </si>
  <si>
    <t>796951.03.01</t>
  </si>
  <si>
    <t>Программа прикладного политич. исслед.: Уч.пос. / Е.В.Бродовская - М.:НИЦ ИНФРА-М,2026. - 188 с.(ВО)(п)</t>
  </si>
  <si>
    <t>ПРОГРАММА ПРИКЛАДНОГО ПОЛИТИЧЕСКОГО ИССЛЕДОВАНИЯ, ИЗД.1</t>
  </si>
  <si>
    <t>978-5-16-018345-9</t>
  </si>
  <si>
    <t>41.03.01, 41.03.02, 41.03.04, 41.03.05, 41.04.04</t>
  </si>
  <si>
    <t>694403.03.01</t>
  </si>
  <si>
    <t>Программирование в САПР...: Уч.пос. / В.Ф.Лянг - Москва:НИЦ ИНФРА-М,2023 - 249 с.(П)</t>
  </si>
  <si>
    <t>ПРОГРАММИРОВАНИЕ В САПР: ПРОСТРАНСТВЕННОЕ МОДЕЛИРОВАНИЕ КОЛОННОГО АППАРАТА В СРЕДЕ AUTODESK INVENTOR, ИЗД.1</t>
  </si>
  <si>
    <t>Лянг В.Ф.</t>
  </si>
  <si>
    <t>978-5-16-014573-0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</si>
  <si>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09.03.00 «Информатика и вычислительная техника» (квалификация (степень) «бакалавр») (протокол № 3 от 17.03.2021)</t>
  </si>
  <si>
    <t>694402.01.01</t>
  </si>
  <si>
    <t>Программирование в САПР: Уч.пос. / В.Ф.Лянг-М.:НИЦ ИНФРА-М,2022.-476 с.(П)</t>
  </si>
  <si>
    <t>ПРОГРАММИРОВАНИЕ В САПР: ПРОСТРАНСТВЕННОЕ МОДЕЛИРОВАНИЕ АППАРАТА ВОЗДУШНОГО ОХЛАЖДЕНИЯ В СРЕДЕ AUTODESK INVENTOR, ИЗД.1</t>
  </si>
  <si>
    <t>978-5-16-014572-3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</si>
  <si>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09.03.00 «Информатика и вычислительная техника» (квалификация (степень) «бакалавр») (протокол № 3 от 09.03.2022)</t>
  </si>
  <si>
    <t>683097.07.01</t>
  </si>
  <si>
    <t>Программирование в среде Lazarus: Уч.пос. / С.Р.Гуриков - М.:Форум, НИЦ ИНФРА-М,2026. - 336 с.(СПО)(П)</t>
  </si>
  <si>
    <t>ПРОГРАММИРОВАНИЕ В СРЕДЕ LAZARUS, ИЗД.1</t>
  </si>
  <si>
    <t>978-5-00091-555-4</t>
  </si>
  <si>
    <t>637286.14.01</t>
  </si>
  <si>
    <t>Программирование графики на С++. Теор...: Уч.пос. / В.И.Корнеев - М.:НИЦ ИНФРА-М,2026 - 517 с.(ВО)(п)</t>
  </si>
  <si>
    <t>ПРОГРАММИРОВАНИЕ ГРАФИКИ НА С++. ТЕОРИЯ И ПРИМЕРЫ, ИЗД.1</t>
  </si>
  <si>
    <t>978-5-16-017914-8</t>
  </si>
  <si>
    <t>01.03.02, 01.03.04, 02.03.02, 02.03.03, 03.03.02, 04.03.02, 09.03.04, 09.04.04</t>
  </si>
  <si>
    <t>Рекомендовано федеральным государственным автономным образовательным учреждением высшего образования «Национальный исследовательский университет "Московский институт электронной техники"» в качестве учебного пособия для студентов, обучающихся по направлению подготовки 09.04.04 «Программная инженерия» и группам направлений 11.03.04 «Электроника и наноэлектроника» и 11.03.02 «Инфокоммуникационные технологии и системы связи»</t>
  </si>
  <si>
    <t>432450.07.01</t>
  </si>
  <si>
    <t>Программирование и основы алгоритмизации..: Уч.пос. / А.В.Затонский - 2 изд. - РИОР:ИНФРА-М,2024-167с.(п)</t>
  </si>
  <si>
    <t>ПРОГРАММИРОВАНИЕ И ОСНОВЫ АЛГОРИТМИЗАЦИИ. ТЕОРЕТИЧЕСКИЕ ОСНОВЫ И ПРИМЕРЫ РЕАЛИЗАЦИИ ЧИСЛЕННЫХ МЕТОДОВ, ИЗД.2</t>
  </si>
  <si>
    <t>Затонский А.В., Бильфельд Н.В.</t>
  </si>
  <si>
    <t>978-5-369-01195-9</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</si>
  <si>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дипломированных специалисто</t>
  </si>
  <si>
    <t>832185.01.01</t>
  </si>
  <si>
    <t>Программирование на примере С++: Уч.пос. / В.Н.Шитов - М.:НИЦ ИНФРА-М,2025 - 412 с.(ВО)(п)</t>
  </si>
  <si>
    <t>ПРОГРАММИРОВАНИЕ НА ПРИМЕРЕ С++, ИЗД.1</t>
  </si>
  <si>
    <t>978-5-16-020168-9</t>
  </si>
  <si>
    <t>832957.01.01</t>
  </si>
  <si>
    <t>Программирование на яз. Java. Практич. курс: Уч.пос. / М.В.Бобырь - М.:НИЦ ИНФРА-М,2025. - 189 с.(ВО)(п)</t>
  </si>
  <si>
    <t>ПРОГРАММИРОВАНИЕ НА ЯЗЫКЕ JAVA. ПРАКТИЧЕСКИЙ КУРС, ИЗД.1</t>
  </si>
  <si>
    <t>Бобырь М.В.</t>
  </si>
  <si>
    <t>978-5-16-020136-8</t>
  </si>
  <si>
    <t>09.03.01, 09.03.02, 09.03.03, 09.04.01, 09.04.02, 09.04.03, 09.05.01</t>
  </si>
  <si>
    <t>719617.02.01</t>
  </si>
  <si>
    <t>Программирование на яз. высокого уровня....: Уч.пос. / Под ред. Гагариной Л.Г.-М.:ИД ФОРУМ, НИЦ ИНФРА-М,2023-496с(П)</t>
  </si>
  <si>
    <t>ПРОГРАММИРОВАНИЕ НА ЯЗЫКЕ ВЫСОКОГО УРОВНЯ. ПРОГРАММИРОВАНИЕ НА ЯЗЫКЕ OBJECT PASCAL, ИЗД.1</t>
  </si>
  <si>
    <t>Немцова Т.И., Голова С.Ю., Абрамова И.В. и др.</t>
  </si>
  <si>
    <t>978-5-8199-0901-0</t>
  </si>
  <si>
    <t>01.03.02, 02.03.02, 03.03.02, 04.03.02, 05.03.04, 09.03.01, 09.03.02, 09.03.03, 09.03.04, 11.03.02, 22.03.01, 38.03.05, 38.04.05, 45.03.04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</si>
  <si>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09.03.00 «Информатика и вычислительная техника» (квалификация (степень) «бакалавр») (протокол № 12 от 24.06.2019)</t>
  </si>
  <si>
    <t>101650.17.01</t>
  </si>
  <si>
    <t>Программирование на яз.высокого уров.: Уч.пос. /Т.И.Немцова - М.:ИД ФОРУМ,НИЦ ИНФРА-М,2026 - 496 c.(ПО)(п)</t>
  </si>
  <si>
    <t>Немцова Т. И., Голова С. Ю., Абрамова И. В., Гагарина Л. Г.</t>
  </si>
  <si>
    <t>978-5-8199-0753-5</t>
  </si>
  <si>
    <t>09.02.03, 09.02.05</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</si>
  <si>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группе специальностей  "Информатика и вычислительная техника"</t>
  </si>
  <si>
    <t>092600.14.01</t>
  </si>
  <si>
    <t>Программирование на языках высокого уровня: Уч.пос. / О.Л.Голицына - М.:Форум,2026. - 496 с.(СПО)(п)</t>
  </si>
  <si>
    <t>ПРОГРАММИРОВАНИЕ НА ЯЗЫКАХ ВЫСОКОГО УРОВНЯ, ИЗД.1</t>
  </si>
  <si>
    <t>Голицына О. Л., Попов И. И.</t>
  </si>
  <si>
    <t>978-5-91134-209-8</t>
  </si>
  <si>
    <t>09.02.01, 09.02.02, 09.02.03, 09.02.04, 09.02.05, 10.02.01, 10.02.02, 10.02.03</t>
  </si>
  <si>
    <t>868064.01.01</t>
  </si>
  <si>
    <t>Программирование на языке Python: Уч.пос. / С.Р.Гуриков - М.:НИЦ ИНФРА-М,2026. - 332 с.(ВО)(п)</t>
  </si>
  <si>
    <t>ПРОГРАММИРОВАНИЕ НА ЯЗЫКЕ PYTHON, ИЗД.1</t>
  </si>
  <si>
    <t>978-5-16-021562-4</t>
  </si>
  <si>
    <t>01.03.02, 03.03.02, 09.03.01, 09.03.02, 09.03.03, 09.03.04, 10.05.05, 21.05.06, 27.03.04, 27.05.01</t>
  </si>
  <si>
    <t>869404.01.01</t>
  </si>
  <si>
    <t>Программирование на языке Python: Уч.пос. / С.Р.Гуриков - М.:НИЦ ИНФРА-М,2027. - 332 с.(СПО)(п)</t>
  </si>
  <si>
    <t>978-5-16-021589-1</t>
  </si>
  <si>
    <t>355100.11.01</t>
  </si>
  <si>
    <t>Программирование на языке Си: Уч.пос. / А.В.Кузин - М., НИЦ ИНФРА-М,2026 - 144 с.(ВО)(О)</t>
  </si>
  <si>
    <t>ПРОГРАММИРОВАНИЕ НА ЯЗЫКЕ СИ, ИЗД.1</t>
  </si>
  <si>
    <t>978-5-16-021242-5</t>
  </si>
  <si>
    <t>01.03.02, 01.03.04, 01.04.02, 02.03.01, 02.03.02, 02.04.01, 02.04.02, 03.03.02</t>
  </si>
  <si>
    <t>683098.04.01</t>
  </si>
  <si>
    <t>Программирование на языке Си: Уч.пос. / А.В.Кузин - М.:Форум, НИЦ ИНФРА-М,2025. - 143 с.(СПО)(о)</t>
  </si>
  <si>
    <t>978-5-00091-556-1</t>
  </si>
  <si>
    <t>09.02.01, 09.02.02, 09.02.03, 09.02.04, 09.02.05, 09.02.06, 09.02.07, 10.02.01, 10.02.02, 10.02.03, 10.02.04, 10.02.05, 11.02.17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</si>
  <si>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09.02.00 «Информатика и вычислительная техника» (протокол № 14 от 30.09.2019)</t>
  </si>
  <si>
    <t>165400.15.01</t>
  </si>
  <si>
    <t>Программирование на языке...: Уч.пос. / Под ред. Гагариной Л.Г. - М.:ИД Форум, НИЦ ИНФРА-М,2026. - 512 с.(П)</t>
  </si>
  <si>
    <t>ПРОГРАММИРОВАНИЕ НА ЯЗЫКЕ ВЫСОКОГО УРОВНЯ. ПРОГРАММИРОВАНИЕ НА ЯЗЫКЕ С++, ИЗД.1</t>
  </si>
  <si>
    <t>Немцова Т.И., Голова С.Ю., Терентьев А.И. и др.</t>
  </si>
  <si>
    <t>978-5-8199-0699-6</t>
  </si>
  <si>
    <t>09.02.03, 09.02.05, 09.02.07</t>
  </si>
  <si>
    <t>Рекомендовано Научно-методическим советом Московского государственного института электронной техники (технического университета) в качестве учебного пособия для студентов, обучающихся по направлениям подготовки 09.03.01 «Информатика и вычислительная техника», 09.03.03 «Прикладная информатика», 09.03.04 «Программная инженерия»</t>
  </si>
  <si>
    <t>711164.10.01</t>
  </si>
  <si>
    <t>Программируемые контроллеры в сис. промыш. автоматизации: Уч. /  О.В.Шишов - М.:НИЦ ИНФРА-М,2026 - 365 с.(СПО)(П)</t>
  </si>
  <si>
    <t>ПРОГРАММИРУЕМЫЕ КОНТРОЛЛЕРЫ В СИСТЕМАХ ПРОМЫШЛЕННОЙ АВТОМАТИЗАЦИИ, ИЗД.1</t>
  </si>
  <si>
    <t>Шишов О.В.</t>
  </si>
  <si>
    <t>978-5-16-015321-6</t>
  </si>
  <si>
    <t>09.02.01, 09.02.08, 11.02.03, 11.02.06, 11.02.14, 11.02.15, 11.02.16, 11.02.17, 15.02.18, 55.02.01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</si>
  <si>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11.02.00 «Электроника, радиотехника и системы связи» (протокол № 13 от 16.09.2019)</t>
  </si>
  <si>
    <t>391600.14.01</t>
  </si>
  <si>
    <t>Программируемые контроллеры в сис. промышл...: Уч. / О.В.Шишов - М.:НИЦ ИНФРА-М,2026. - 365 с.(ВО)(п)</t>
  </si>
  <si>
    <t>978-5-16-019101-0</t>
  </si>
  <si>
    <t>11.03.04</t>
  </si>
  <si>
    <t>Рекомендовано Федеральным государственным бюджетным образовательным учреждением высшего образования «Московский государственный технологический университет «СТАНКИН» в качестве учебника для студентов высших учебных заведений, обучающихся по направлению подготовки 11.03.04 «Электроника и наноэлектроника» (квалификация (степень) «бакалавр»)</t>
  </si>
  <si>
    <t>815045.01.01</t>
  </si>
  <si>
    <t>Программируемые логич. интеграл. схемы: Уч.пос. / Н.Ю.Сиротинина - М.:НИЦ ИНФРА-М, СФУ,2024. - 224с(ВО)(п)</t>
  </si>
  <si>
    <t>ПРОГРАММИРУЕМЫЕ ЛОГИЧЕCКИЕ ИНТЕГРАЛЬНЫЕ СХЕМЫ, ИЗД.1</t>
  </si>
  <si>
    <t>Сиротинина Н.Ю., Непомнящий О.В., Постников А.И. и др.</t>
  </si>
  <si>
    <t>978-5-16-019188-1</t>
  </si>
  <si>
    <t>803205.02.01</t>
  </si>
  <si>
    <t>Программируемые логические контроллеры: Уч. / О.В.Шишов - М.:НИЦ ИНФРА-М,2026. - 461 с.(ВО)(п)</t>
  </si>
  <si>
    <t>ПРОГРАММИРУЕМЫЕ ЛОГИЧЕСКИЕ КОНТРОЛЛЕРЫ, ИЗД.1</t>
  </si>
  <si>
    <t>978-5-16-018581-1</t>
  </si>
  <si>
    <t>11.05.01, 12.03.02, 12.04.01, 28.04.01</t>
  </si>
  <si>
    <t>653848.03.01</t>
  </si>
  <si>
    <t>Программная инженерия информ.- упр. сис. в свете...: Уч.пос. / В.М.Трояновский-М.:ИД ФОРУМ,2024-325с.(п)</t>
  </si>
  <si>
    <t>ПРОГРАММНАЯ ИНЖЕНЕРИЯ ИНФОРМАЦИОННО-УПРАВЛЯЮЩИХ СИСТЕМ В СВЕТЕ ПРИКЛАДНОЙ ТЕОРИИ СЛУЧАЙНЫХ ПРОЦЕССОВ, ИЗД.1</t>
  </si>
  <si>
    <t>Трояновский В.М.</t>
  </si>
  <si>
    <t>Высшее образование : Магистратура</t>
  </si>
  <si>
    <t>978-5-8199-0824-2</t>
  </si>
  <si>
    <t>09.04.01, 09.04.02, 09.04.03, 09.04.04, 11.04.01, 11.04.02, 11.04.03, 11.04.04, 15.04.04, 27.04.02, 27.04.03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</si>
  <si>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09.04.04 «Программная инженерия», 11.04.01 «Радиотехника», 27.04.02 «Управление качеством» (квалификация (степень) «магистр»)</t>
  </si>
  <si>
    <t>683100.07.01</t>
  </si>
  <si>
    <t>Программно-аппарат.защита инфор.: Уч.пос. / П.Б.Хорев, - 2 изд., - М.:Форум, НИЦ ИНФРА-М,2026 - 352 с.(СПО)(п)</t>
  </si>
  <si>
    <t>ПРОГРАММНО-АППАРАТНАЯ ЗАЩИТА ИНФОРМАЦИИ, ИЗД.2</t>
  </si>
  <si>
    <t>978-5-00091-557-8</t>
  </si>
  <si>
    <t>09.01.05, 09.02.01, 09.02.02, 09.02.03, 09.02.04, 09.02.05, 09.02.06, 09.02.07, 10.02.01, 10.02.02, 10.02.03, 10.02.04, 10.02.05, 11.02.15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</si>
  <si>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t>
  </si>
  <si>
    <t>112450.15.01</t>
  </si>
  <si>
    <t>Программно-аппаратная защита информ.: Уч.пос. / П.Б.Хорев, - 3 изд. - М.:НИЦ ИНФРА-М,2026. - 327 с.(ВО)(П)</t>
  </si>
  <si>
    <t>ПРОГРАММНО-АППАРАТНАЯ ЗАЩИТА ИНФОРМАЦИИ, ИЗД.3</t>
  </si>
  <si>
    <t>978-5-16-015471-8</t>
  </si>
  <si>
    <t>09.03.01, 09.03.03, 09.04.03, 10.03.01, 10.04.01, 10.05.01</t>
  </si>
  <si>
    <t>Рекомендовано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«Информационная безопасность»</t>
  </si>
  <si>
    <t>112450.10.01</t>
  </si>
  <si>
    <t>Программно-аппаратная защита информ.: Уч.пос. / П.Б.Хорев-2 изд., испр. и доп.-М.:Форум, НИЦ ИНФРА-М,2019-352с(ВО)</t>
  </si>
  <si>
    <t>978-5-00091-709-1</t>
  </si>
  <si>
    <t>694507.07.01</t>
  </si>
  <si>
    <t>Программное обесп. комп.сетей и web-серверов: Уч.пос. / Г.А.Лисьев - М.:НИЦ ИНФРА-М,2026 - 145 с.(СПО)(П)</t>
  </si>
  <si>
    <t>ПРОГРАММНОЕ ОБЕСПЕЧЕНИЕ КОМПЬЮТЕРНЫХ СЕТЕЙ И WEB-СЕРВЕРОВ, ИЗД.1</t>
  </si>
  <si>
    <t>Лисьев Г.А., Романов П.Ю., Аскерко Ю.И.</t>
  </si>
  <si>
    <t>978-5-16-014514-3</t>
  </si>
  <si>
    <t>09.02.01, 09.02.02, 09.02.03, 09.02.04, 09.02.05, 09.02.06, 09.02.07, 11.02.15, 11.02.16</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</si>
  <si>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и 44.02.00 «Образование и педагогические науки»</t>
  </si>
  <si>
    <t>665679.07.01</t>
  </si>
  <si>
    <t>Программное обесп.компьютерных сетей и web-серверов: Уч.пос. / Г.А.Лисьев - М.:НИЦ ИНФРА-М,2026 - 145 с.(П)</t>
  </si>
  <si>
    <t>978-5-16-013565-6</t>
  </si>
  <si>
    <t>09.03.01, 09.03.02, 09.03.03, 09.03.04, 10.03.01, 10.05.01, 10.05.02, 10.05.03, 10.05.04, 10.05.05, 10.05.07, 44.03.04, 44.03.05</t>
  </si>
  <si>
    <t>Рекомендовано Учебно-методическим советом высшего образования в качестве учебного пособия  для студентов высших учебных заведений, обучающихся по направлениям подготовки 44.03.04 «Профессиональное обучение», 09.03.01 «Информатика и вычислительная техника», 09.03.03 «Прикладная информатика» (квалификация (степень) «бакалавр»)</t>
  </si>
  <si>
    <t>156650.21.01</t>
  </si>
  <si>
    <t>Программное обеспеч. компьютерных сетей: Уч.пос. / О.В.Исаченко - 2 изд. - М.:НИЦ ИНФРА-М,2026 -158 с.(О)</t>
  </si>
  <si>
    <t>ПРОГРАММНОЕ ОБЕСПЕЧЕНИЕ КОМПЬЮТЕРНЫХ СЕТЕЙ, ИЗД.2</t>
  </si>
  <si>
    <t>978-5-16-015447-3</t>
  </si>
  <si>
    <t>09.02.01, 09.02.02, 09.02.03, 09.02.04, 09.02.05, 09.02.06, 09.02.07, 10.02.03, 11.02.15, 11.02.16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</si>
  <si>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(протокол № 16 от 28.10.2019)</t>
  </si>
  <si>
    <t>156650.11.01</t>
  </si>
  <si>
    <t>Программное обеспечение компьютерных сетей: Уч.пос. / О.В.Исаченко-М.:НИЦ ИНФРА-М,2019.-117с(СПО)(о)</t>
  </si>
  <si>
    <t>ПРОГРАММНОЕ ОБЕСПЕЧЕНИЕ КОМПЬЮТЕРНЫХ СЕТЕЙ, ИЗД.1</t>
  </si>
  <si>
    <t>978-5-16-004858-1</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</si>
  <si>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t>
  </si>
  <si>
    <t>069600.14.01</t>
  </si>
  <si>
    <t>Программное обеспечение: Уч. пос. / О.Л.Голицына - 4 изд. - М.: Форум: НИЦ Инфра-М, 2026 - 448 с.(ПО) (п)</t>
  </si>
  <si>
    <t>ПРОГРАММНОЕ ОБЕСПЕЧЕНИЕ, ИЗД.4</t>
  </si>
  <si>
    <t>Голицына О. Л., Партыка Т. Л., Попов И. И.</t>
  </si>
  <si>
    <t>978-5-91134-711-6</t>
  </si>
  <si>
    <t>08.02.03, 09.02.01, 09.02.02, 09.02.03, 09.02.04, 09.02.05, 09.02.06, 09.02.07, 11.02.15, 11.02.16, 18.02.07, 18.02.12, 35.02.12, 55.02.01</t>
  </si>
  <si>
    <t>Рекомендовано Министерством образования РФ в качестве учебного пособия для студентов учреждений среднего профессионального образования, обучающихся по группе  специальностей  "Информатика и вычислительная техника"</t>
  </si>
  <si>
    <t>432550.04.01</t>
  </si>
  <si>
    <t>Программные средства глобал. оптим.систем..:Моногр./ А.В.Затонский-М.:ИЦ РИОР,НИЦ ИНФРА-М,2024-136с.</t>
  </si>
  <si>
    <t>ПРОГРАММНЫЕ СРЕДСТВА ГЛОБАЛЬНОЙ ОПТИМИЗАЦИИ СИСТЕМ АВТОМАТИЧЕСКОГО РЕГУЛИРОВАНИЯ, ИЗД.1</t>
  </si>
  <si>
    <t>978-5-369-01196-6</t>
  </si>
  <si>
    <t>01.03.02, 01.04.02, 09.03.01, 09.03.02, 09.03.03, 09.03.04, 09.04.01, 09.04.02, 09.04.03, 09.04.04, 09.05.01, 12.03.01, 15.03.04, 15.04.04</t>
  </si>
  <si>
    <t>189900.06.01</t>
  </si>
  <si>
    <t>Программный бюджет: Уч. пос. / Под ред. М.П. Афанасьева - М.: Магистр:  НИЦ Инфра-М, 2025 - 384 с. (п)</t>
  </si>
  <si>
    <t>ПРОГРАММНЫЙ БЮДЖЕТ, ИЗД.1</t>
  </si>
  <si>
    <t>Афанасьев М. П., Беленчук А. А., Березкин Д. И., Афанасьев М. П.</t>
  </si>
  <si>
    <t>978-5-9776-0231-0</t>
  </si>
  <si>
    <t>142650.08.01</t>
  </si>
  <si>
    <t>Прогресс и производительность труда: Моногр. / Э.Н.Кузьбожев-М.:НИЦ ИНФРА-М,2024.-174с(Науч.мысль)(о)</t>
  </si>
  <si>
    <t>ПРОГРЕСС И ПРОИЗВОДИТЕЛЬНОСТЬ ТРУДА, ИЗД.1</t>
  </si>
  <si>
    <t>Кузьбожев Э.Н., Рябцева И.Ф.</t>
  </si>
  <si>
    <t>978-5-16-004632-7</t>
  </si>
  <si>
    <t>38.03.01, 38.03.02, 38.03.03, 38.03.04, 38.04.01, 38.04.02, 38.04.03, 38.04.04, 38.06.01</t>
  </si>
  <si>
    <t>839792.01.01</t>
  </si>
  <si>
    <t>Продвижение гостинич. предпр. в новых экономич..: Моногр. / И.С.Ключевская - М.:НИЦ ИНФРА-М,2025. - 219 с.(о)</t>
  </si>
  <si>
    <t>ПРОДВИЖЕНИЕ ГОСТИНИЧНОГО ПРЕДПРИЯТИЯ В НОВЫХ ЭКОНОМИЧЕСКИХ УСЛОВИЯХ РАЗВИТИЯ РЫНКА: ТРЕНДЫ И ОСОБЕННОСТИ, ИЗД.1</t>
  </si>
  <si>
    <t>978-5-16-020331-7</t>
  </si>
  <si>
    <t>866530.01.01</t>
  </si>
  <si>
    <t>Продовольственная безопас. населения аркт. терр. Сев. Америки / О.И.Солдатенкова - М.:НИЦ ИНФРА-М,2026 - 170 с.(п)</t>
  </si>
  <si>
    <t>ПРОДОВОЛЬСТВЕННАЯ БЕЗОПАСНОСТЬ НАСЕЛЕНИЯ АРКТИЧЕСКИХ ТЕРРИТОРИЙ СЕВЕРНОЙ АМЕРИКИ, ИЗД.1</t>
  </si>
  <si>
    <t>Солдатенкова О.И.</t>
  </si>
  <si>
    <t>978-5-16-021493-1</t>
  </si>
  <si>
    <t>38.05.01, 38.06.01, 41.03.01, 41.03.05, 41.04.05, 41.06.01</t>
  </si>
  <si>
    <t>876136.01.01</t>
  </si>
  <si>
    <t>Продовольственная пробл. стран и террит...: Моногр. / Н.С.Ревенко - М.:НИЦ ИНФРА-М,2027. - 202 с.(п)</t>
  </si>
  <si>
    <t>ПРОДОВОЛЬСТВЕННАЯ ПРОБЛЕМА СТРАН И ТЕРРИТОРИЙ С ОСОБЫМИ ПРИРОДНО-ГЕОГРАФИЧЕСКИМИ УСЛОВИЯМИ, ИЗД.1</t>
  </si>
  <si>
    <t>Ревенко Л.С., Солдатенкова О.И., Ревенко Н.С.</t>
  </si>
  <si>
    <t>978-5-16-022069-7</t>
  </si>
  <si>
    <t>19.04.02, 38.05.01, 38.06.01, 41.03.01, 41.03.05, 41.04.05, 41.06.01</t>
  </si>
  <si>
    <t>185400.09.01</t>
  </si>
  <si>
    <t>Проектирование автоматизир. сис. манипулир..: Уч. пос. / А.А.Иванов - М.:Форум,2025 - 352 с.(ВО) (п)</t>
  </si>
  <si>
    <t>ПРОЕКТИРОВАНИЕ АВТОМАТИЗИРОВАННЫХ СИСТЕМ МАНИПУЛИРОВАНИЯ ОБЪЕКТАМИ ОБРАБОТКИ И СБОРКИ, ИЗД.1</t>
  </si>
  <si>
    <t>978-5-91134-642-3</t>
  </si>
  <si>
    <t>Доп. УМО по образованию в обл. автоматизир. машиностроения (УМО АМ) в качестве уч. пос. для студ. вузов, обуч. по напр. подготовки дипломир. специалистов Автоматизир. технологии и производства, Конструкт.-технологич. обеспечение машиностроит. произ-в</t>
  </si>
  <si>
    <t>463450.09.01</t>
  </si>
  <si>
    <t>Проектирование автоматизир. сис. производст.: Уч.пос. / В.Л.Конюх-М.:КУРС,НИЦ ИНФРА-М,2023 - 312с(П)</t>
  </si>
  <si>
    <t>ПРОЕКТИРОВАНИЕ АВТОМАТИЗИРОВАННЫХ СИСТЕМ ПРОИЗВОДСТВА, ИЗД.1</t>
  </si>
  <si>
    <t>Конюх В. Л.</t>
  </si>
  <si>
    <t>978-5-905554-53-7</t>
  </si>
  <si>
    <t>15.02.16, 15.03.04, 15.04.04, 18.02.05, 20.02.02, 29.02.11, 43.01.09</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</si>
  <si>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«Автоматизированные технологии и произ</t>
  </si>
  <si>
    <t>233300.12.01</t>
  </si>
  <si>
    <t>Проектирование аналог. и цифр. устройств: Уч.пос. / М.В.Бобырь - 2 изд.-М.:НИЦ ИНФРА-М,2024.-245 с.(ВО)(П)</t>
  </si>
  <si>
    <t>ПРОЕКТИРОВАНИЕ АНАЛОГОВЫХ И ЦИФРОВЫХ УСТРОЙСТВ, ИЗД.2</t>
  </si>
  <si>
    <t>Бобырь М.В., Титов В.С., Иванов В.И. и др.</t>
  </si>
  <si>
    <t>978-5-16-015937-9</t>
  </si>
  <si>
    <t>09.02.01, 09.03.01, 09.04.01, 11.03.01</t>
  </si>
  <si>
    <t>Рекомендовано Учебно-методическим объединением по образованию в области прикладной информатики в качестве учебного пособия для студентов, обучающихся по направлению «Прикладная информатика»</t>
  </si>
  <si>
    <t>233300.15.01</t>
  </si>
  <si>
    <t>Проектирование аналог. и цифр. устройств: Уч.пос. / М.В.Бобырь - 3 изд. - М.:НИЦ ИНФРА-М,2026. - 281 с.(ВО)(П)</t>
  </si>
  <si>
    <t>ПРОЕКТИРОВАНИЕ АНАЛОГОВЫХ И ЦИФРОВЫХ УСТРОЙСТВ, ИЗД.3</t>
  </si>
  <si>
    <t>978-5-16-019932-0</t>
  </si>
  <si>
    <t>233300.06.01</t>
  </si>
  <si>
    <t>Проектирование аналоговых и цифр. устройств: Уч.пос. / В.С.Титов.-М.:НИЦ ИНФРА-М,2019.-143 с.(ВО)(О)</t>
  </si>
  <si>
    <t>ПРОЕКТИРОВАНИЕ АНАЛОГОВЫХ И ЦИФРОВЫХ УСТРОЙСТВ, ИЗД.1</t>
  </si>
  <si>
    <t>Титов В. С., Иванов В. И., Бобырь М. В.</t>
  </si>
  <si>
    <t>978-5-16-009101-3</t>
  </si>
  <si>
    <t>Рекомендовано Учебно-методическим объединением по образованию в области прикладной информатики в качестве учебного пособия для студентов, обучающихся по направлению "Прикладная информатика» и другим экономическим специальностям</t>
  </si>
  <si>
    <t>652160.06.01</t>
  </si>
  <si>
    <t>Проектирование и 3D моделир. в средах CATIA V5..: Уч.пос. / И.И.Косенко - М.:НИЦ ИНФРА-М,2026 - 183 с.(ВО)(П)</t>
  </si>
  <si>
    <t>ПРОЕКТИРОВАНИЕ И 3D МОДЕЛИРОВАНИЕ В СРЕДАХ CATIA V5, ANSYS И DYMOLA 7.3, ИЗД.1</t>
  </si>
  <si>
    <t>Косенко И.И., Кузнецова Л.В., Николаев А.В. и др.</t>
  </si>
  <si>
    <t>978-5-16-021977-6</t>
  </si>
  <si>
    <t>15.03.01, 15.03.02, 15.03.03, 15.03.04, 15.03.05, 23.03.03</t>
  </si>
  <si>
    <t>Рекомендовано в качестве учебного пособия для студентов высших учебных заведений, обучающихся по направлениям подготовки укрупненной группы специальностей 15.00.00 «Машиностроение» (квалификация (степень) «бакалавр», «специалист»)</t>
  </si>
  <si>
    <t>720385.05.01</t>
  </si>
  <si>
    <t>Проектирование и архитектура програм. сис.: Уч.пос. / Л.Г.Гагарина - 2 изд. - М.:НИЦ ИНФРА-М,2025. - 334 с.(п)</t>
  </si>
  <si>
    <t>ПРОЕКТИРОВАНИЕ И АРХИТЕКТУРА ПРОГРАММНЫХ СИСТЕМ, ИЗД.2</t>
  </si>
  <si>
    <t>978-5-16-020565-6</t>
  </si>
  <si>
    <t>241000.09.01</t>
  </si>
  <si>
    <t>Проектирование и архитектура програм. сис.: Уч.пос. / Л.Г.Гагарина - 2 изд. - М.:НИЦ ИНФРА-М,2026. - 334 с.(ВО)(п)</t>
  </si>
  <si>
    <t>978-5-16-016016-0</t>
  </si>
  <si>
    <t>653735.05.01</t>
  </si>
  <si>
    <t>Проектирование и расчет мультисервис. кабельных сис.: Уч.пос. / Семенов А.Б. - М.:НИЦ ИНФРА-М,2027-174с(п)</t>
  </si>
  <si>
    <t>ПРОЕКТИРОВАНИЕ И РАСЧЕТ МУЛЬТИСЕРВИСНЫХ КАБЕЛЬНЫХ СИСТЕМ, ИЗД.1</t>
  </si>
  <si>
    <t>Артюшенко В.М., Семенов А.Б., Аббасова Т.С. и др.</t>
  </si>
  <si>
    <t>978-5-16-014173-2</t>
  </si>
  <si>
    <t>09.03.02, 09.03.03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</si>
  <si>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09.03.02 «Информационные системы и технологии», 09.03.03 «Прикладная информатика» (квалификация (степень) «бакалавр») (протокол № 12 от 24.06.2019)</t>
  </si>
  <si>
    <t>248700.06.01</t>
  </si>
  <si>
    <t>Проектирование и расчёт стал.ферм покрытий...: Уч.пос. / Н.Я.Кузин-2изд.-М.:НИЦ ИНФРА-М,2023-288с(П)</t>
  </si>
  <si>
    <t>ПРОЕКТИРОВАНИЕ И РАСЧЁТ СТАЛЬНЫХ ФЕРМ ПОКРЫТИЙ ПРОМЫШЛЕННЫХ ЗДАНИЙ, ИЗД.2</t>
  </si>
  <si>
    <t>Кузин Н.Я.</t>
  </si>
  <si>
    <t>978-5-16-009334-5</t>
  </si>
  <si>
    <t>684896.06.01</t>
  </si>
  <si>
    <t>Проектирование и реализ.баз данных в СУБД MySQL. / С.А.Мартишин-М.:ИД ФОРУМ,НИЦ ИНФРА-М,2023-160(СПО)</t>
  </si>
  <si>
    <t>ПРОЕКТИРОВАНИЕ И РЕАЛИЗАЦИЯ БАЗ ДАННЫХ В СУБД MYSQL С ИСПОЛЬЗОВАНИЕМ MYSQL WORKBENCH, ИЗД.1</t>
  </si>
  <si>
    <t>978-5-8199-0811-2</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</si>
  <si>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09.02.01 «Компьютерные системы и комплексы», 09.02.02 «Компьютерные сети», 09.02.03 «Программирование в компьютерных системах», 09.02.04 «Информационные системы (по отраслям)», 09.02.05 «Прикладная информатика (по отраслям)», 09.02.06 «Сетевое и системное администрирование», 09.02.07 «Информационные системы и программирование»</t>
  </si>
  <si>
    <t>188850.09.01</t>
  </si>
  <si>
    <t>Проектирование и реализация баз данных в СУБД MySQL...: Уч.пос.: / С.А.Мартишин - М.:ИД Форум, НИЦ ИНФРА-М,2025. - 160 с.(п)</t>
  </si>
  <si>
    <t>978-5-8199-0517-3</t>
  </si>
  <si>
    <t>09.03.01, 09.03.02, 09.04.01, 09.04.02, 27.03.04, 27.04.04</t>
  </si>
  <si>
    <t>452450.05.01</t>
  </si>
  <si>
    <t>Проектирование и ремонт шпиндельных узлов: Уч. пос./П.М.Чернянский - М.: НИЦ ИНФРА-М, 2023-272с.(ВО) (п)</t>
  </si>
  <si>
    <t>ПРОЕКТИРОВАНИЕ И РЕМОНТ ШПИНДЕЛЬНЫХ УЗЛОВ, ИЗД.1</t>
  </si>
  <si>
    <t>Чернянский П. М., Схиртладзе А. Г.</t>
  </si>
  <si>
    <t>978-5-16-005361-5</t>
  </si>
  <si>
    <t>15.03.01, 15.03.03, 15.03.05, 15.04.05</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</si>
  <si>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«Конструкторско-технологиче</t>
  </si>
  <si>
    <t>728181.02.01</t>
  </si>
  <si>
    <t>Проектирование и управ. геолого-разведоч. раб. на нефть..: Уч. / В.Ю.Керимов - М.:НИЦ ИНФРА-М,2027. - 286 с.[цв].(п)</t>
  </si>
  <si>
    <t>ПРОЕКТИРОВАНИЕ И УПРАВЛЕНИЕ ГЕОЛОГО-РАЗВЕДОЧНЫМИ РАБОТАМИ НА НЕФТЬ И ГАЗ, ИЗД.1</t>
  </si>
  <si>
    <t>Керимов В.Ю., Косьянов В.А., Мустаев Р.Н.</t>
  </si>
  <si>
    <t>978-5-16-016416-8</t>
  </si>
  <si>
    <t>21.04.01, 21.05.02</t>
  </si>
  <si>
    <t>Рекомендовано Ученым советом ФГБОУ ВО «Российский государственный геологоразведочный университет имени Серго Орджоникидзе» (МГРИ) для обучающихся по направлениям 21.05.02 «Прикладная геология» (специалитет) и 21.04.01 «Нефтегазовое дело» (магистратура)</t>
  </si>
  <si>
    <t>432950.11.01</t>
  </si>
  <si>
    <t>Проектирование изделий легкой промышл. в САПР..: Уч. пос. / Г.И.Сурикова - ФОРУМ:ИНФРА-М,2025 - 336 с.(ВО) (п)</t>
  </si>
  <si>
    <t>ПРОЕКТИРОВАНИЕ ИЗДЕЛИЙ ЛЕГКОЙ ПРОМЫШЛЕННОСТИ В САПР (САПР ОДЕЖДЫ), ИЗД.1</t>
  </si>
  <si>
    <t>Сурикова Г. И., Сурикова О. В., Кузьмичев В. Е., Гниденко А. В.</t>
  </si>
  <si>
    <t>978-5-8199-0546-3</t>
  </si>
  <si>
    <t>Рекомендовано Учебно-методическим объединением по образованию в области технологии, конструирования изделий легкой промышленности в качестве учебного пособия по дисциплинам «САПР одежды», «Конструирование одежды», «Конструкторско-технологическая подг</t>
  </si>
  <si>
    <t>684897.01.01</t>
  </si>
  <si>
    <t>Проектирование изделий легкой промышленности в САПР (САПР одежды):Уч.пос. / Г.И.Сурикова и др.-М., НИЦ ИНФРА-М,2026.-336 с..-(Среднее</t>
  </si>
  <si>
    <t>Сурикова Г.И., Сурикова О.В., Кузьмичев В.Е. и др.</t>
  </si>
  <si>
    <t>978-5-8199-0813-6</t>
  </si>
  <si>
    <t>732747.03.01</t>
  </si>
  <si>
    <t>Проектирование инновац. технологий и моделир...: Уч.мет.пос. / В.П.Сергеева-М.:НИЦ ИНФРА-М,2023.-240с(П)</t>
  </si>
  <si>
    <t>ПРОЕКТИРОВАНИЕ ИННОВАЦИОННЫХ ТЕХНОЛОГИЙ И МОДЕЛИРОВАНИЕ В ОБРАЗОВАТЕЛЬНОМ ПРОЦЕССЕ ВУЗА, ИЗД.1</t>
  </si>
  <si>
    <t>Сергеева В.П.</t>
  </si>
  <si>
    <t>978-5-16-016179-2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</si>
  <si>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44.04.00 «Образование и педагогические науки» (квалификация (степень) «магистр») (протокол № 5 от 16.03.2020)</t>
  </si>
  <si>
    <t>162700.10.01</t>
  </si>
  <si>
    <t>Проектирование информ. систем: Уч.пос. / В.В.Коваленко - 2 изд. - М.:Форум, НИЦ ИНФРА-М,2025 - 357 с.(П)</t>
  </si>
  <si>
    <t>ПРОЕКТИРОВАНИЕ ИНФОРМАЦИОННЫХ СИСТЕМ, ИЗД.2</t>
  </si>
  <si>
    <t>Коваленко В.В.</t>
  </si>
  <si>
    <t>978-5-00091-783-1</t>
  </si>
  <si>
    <t>09.03.02, 09.03.03, 09.04.02</t>
  </si>
  <si>
    <t>Рекомендовано Учебно-методическим объединением учебных заведений Российской Федерации по образованию в области прикладной информатики в качестве учебного пособия для студентов (бакалавров и специалистов) и магистров высших учебных заведений, обучающихся по направлению 09.03.03 «Прикладная информатика» (профиль «Прикладная информатика в экономике»)</t>
  </si>
  <si>
    <t>162700.05.01</t>
  </si>
  <si>
    <t>Проектирование информ.систем: Уч.пос. / В.В.Коваленко-М.:Форум, НИЦ ИНФРА-М,2018-320с(ВО)(П)</t>
  </si>
  <si>
    <t>ПРОЕКТИРОВАНИЕ ИНФОРМАЦИОННЫХ СИСТЕМ, ИЗД.1</t>
  </si>
  <si>
    <t>978-5-00091-628-5</t>
  </si>
  <si>
    <t>Рекомендовано Учебно-методическим объединением учебных заведений Российской Федерации по образованию в области прикладной информатики в качестве учебного пособия для студентов (бакалавров и специалистов) высших учебных заведений, обучающихся по направлению 09.03.03 «Прикладная информатика»</t>
  </si>
  <si>
    <t>140800.10.01</t>
  </si>
  <si>
    <t>Проектирование информац. систем: Уч. пос./ Н.Н.Заботина-М:НИЦ ИНФРА-М,2024-331с-(ВО:Бакалавриат) (п)</t>
  </si>
  <si>
    <t>978-5-16-004509-2</t>
  </si>
  <si>
    <t>09.03.02, 09.03.03, 09.04.02, 09.04.03, 38.03.02, 38.04.02, 41.03.06</t>
  </si>
  <si>
    <t>Рекомендовано Учебно-методическим объединением по образованию в области прикладной информатики в качестве уч. пос. для студентов вузов, обучающихся по спец. 09.03.03 «Прикладная информатика (по областям)» и другим экономическим специальностям</t>
  </si>
  <si>
    <t>774196.06.01</t>
  </si>
  <si>
    <t>Проектирование информац.-библиотечных сис.: Уч. / М.А.Рахматуллаев - М.:НИЦ ИНФРА-М,2026. - 287 с.(ВО)(п)</t>
  </si>
  <si>
    <t>ПРОЕКТИРОВАНИЕ ИНФОРМАЦИОННО-БИБЛИОТЕЧНЫХ СИСТЕМ, ИЗД.1</t>
  </si>
  <si>
    <t>Рахматуллаев М.А.</t>
  </si>
  <si>
    <t>978-5-16-018041-0</t>
  </si>
  <si>
    <t>Ташкентский университет информационных технологий</t>
  </si>
  <si>
    <t>063750.13.01</t>
  </si>
  <si>
    <t>Проектирование конструкций шв. изделий...: Уч.пос. / Н.И. Смирнова - М.:ИД ФОРУМ,ИНФРА-М,2026-432с(п)</t>
  </si>
  <si>
    <t>ПРОЕКТИРОВАНИЕ КОНСТРУКЦИЙ ШВЕЙНЫХ ИЗДЕЛИЙ ДЛЯ ИНДИВИДУАЛЬНОГО ПОТРЕБИТЕЛЯ, ИЗД.1</t>
  </si>
  <si>
    <t>Смирнова Н. И., Конопальцева Н. М.</t>
  </si>
  <si>
    <t>5-8199-0187-8</t>
  </si>
  <si>
    <t>29.03.05, 29.04.01</t>
  </si>
  <si>
    <t>687944.08.01</t>
  </si>
  <si>
    <t>Проектирование конструкций швейных изделий...: Уч.пос. / Н.И.Смирнова - М.:НИЦ ИНФРА-М,2027 - 430 с.(СПО)(п)</t>
  </si>
  <si>
    <t>Смирнова Н.И., Конопальцева Н.М.</t>
  </si>
  <si>
    <t>978-5-16-014906-6</t>
  </si>
  <si>
    <t>27.02.04, 29.01.04, 29.01.33, 29.02.05, 29.02.10</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</si>
  <si>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t>
  </si>
  <si>
    <t>234200.11.01</t>
  </si>
  <si>
    <t>Проектирование костюма: Уч. / Л.А.Сафина. - М.:НИЦ ИНФРА-М,2026. - 239 с.(ВО)(п)</t>
  </si>
  <si>
    <t>ПРОЕКТИРОВАНИЕ КОСТЮМА, ИЗД.1</t>
  </si>
  <si>
    <t>978-5-16-019058-7</t>
  </si>
  <si>
    <t>29.03.02</t>
  </si>
  <si>
    <t>Рекомендовано ГОУ ВПО «Московский государственный текстильный университет имени А.Н. Косыгина» в качестве учебника для студентов образовательных учреждений высшего профессионального образования, обучающихся по специальности 54.03.01 «Дизайн»</t>
  </si>
  <si>
    <t>689702.05.01</t>
  </si>
  <si>
    <t>Проектирование машиностроит. цехов и участков: Уч.пос. / А.Ф.Бойко - М.:НИЦ ИНФРА-М,2025 - 264 с.(СПО)(П)</t>
  </si>
  <si>
    <t>ПРОЕКТИРОВАНИЕ МАШИНОСТРОИТЕЛЬНЫХ ЦЕХОВ И УЧАСТКОВ, ИЗД.1</t>
  </si>
  <si>
    <t>Бойко А.Ф., Погонин А.А., Афанасьев А.А. и др.</t>
  </si>
  <si>
    <t>978-5-16-014324-8</t>
  </si>
  <si>
    <t>15.01.26, 15.01.27, 15.01.35, 15.01.36, 15.01.38, 15.02.06, 15.02.07, 15.02.16, 15.02.18, 23.02.05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</si>
  <si>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15.02.01 «Монтаж и техническая эксплуатация промышленного оборудования (по отраслям)», 15.02.07 «Автоматизация технологических процессов и производств (по отраслям), 15.02.08 «Технология машиностроения»</t>
  </si>
  <si>
    <t>657320.06.01</t>
  </si>
  <si>
    <t>Проектирование машиностроит. цехов и участков: Уч.пос. / А.Ф.Бойко - М.:НИЦ ИНФРА-М,2026. - 264 с.(ВО)(П)</t>
  </si>
  <si>
    <t>978-5-16-012840-5</t>
  </si>
  <si>
    <t>15.03.01, 15.03.03, 15.03.05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</si>
  <si>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15.03.01 «Машиностроение», 15.03.02 «Технологические машины и оборудование», 15.03.05 «Конструкторско-технологическое обеспечение машиностроительных производств» (квалификация (степень) «бакалавр»)</t>
  </si>
  <si>
    <t>377100.04.01</t>
  </si>
  <si>
    <t>Проектирование механизмов и машин: эффективность.: Уч.пос. / Ю.А.Остяков -М.:НИЦ ИНФРА-М,2022-260с.(п)</t>
  </si>
  <si>
    <t>ПРОЕКТИРОВАНИЕ МЕХАНИЗМОВ И МАШИН: ЭФФЕКТИВНОСТЬ, НАДЕЖНОСТЬ И ТЕХНОГЕННАЯ БЕЗОПАСНОСТЬ, ИЗД.1</t>
  </si>
  <si>
    <t>Остяков Ю.А., Шевченко И.В.</t>
  </si>
  <si>
    <t>978-5-16-011108-7</t>
  </si>
  <si>
    <t>Рекомендовано в качестве учебного пособия для студентов высших учебных заведений, 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t>
  </si>
  <si>
    <t>121748.11.01</t>
  </si>
  <si>
    <t>Проектирование механич. передач: Уч.пос. / С.А.Чернавский - 7 изд. - М.:НИЦ ИНФРА-М,2025. - 536 с.(ВО)(п)</t>
  </si>
  <si>
    <t>ПРОЕКТИРОВАНИЕ МЕХАНИЧЕСКИХ ПЕРЕДАЧ, ИЗД.7</t>
  </si>
  <si>
    <t>Чернавский С. А., Снесарев Г. А., Козинцов Б. С.</t>
  </si>
  <si>
    <t>978-5-16-004470-5</t>
  </si>
  <si>
    <t>15.03.01, 15.03.05, 15.04.05, 27.03.01</t>
  </si>
  <si>
    <t>Допущено Министерством высшего образования в качестве учебного пособия для студентов высших технических учебных заведений</t>
  </si>
  <si>
    <t>0713</t>
  </si>
  <si>
    <t>308500.04.01</t>
  </si>
  <si>
    <t>Проектирование механосборочных участков и цехов: Уч. / В.А.Горохов - М.:ИНФРА-М, ,2026-540 с.(П)</t>
  </si>
  <si>
    <t>ПРОЕКТИРОВАНИЕ МЕХАНОСБОРОЧНЫХ УЧАСТКОВ И ЦЕХОВ, ИЗД.1</t>
  </si>
  <si>
    <t>Горохов В.А., Беляков Н.В., Схиртладзе А.Г. и др.</t>
  </si>
  <si>
    <t>978-5-16-010300-6</t>
  </si>
  <si>
    <t>15.03.05, 15.04.04, 24.02.01</t>
  </si>
  <si>
    <t>838521.01.01</t>
  </si>
  <si>
    <t>Проектирование организационной культуры: Уч. / М.В.Полевая - М.:НИЦ ИНФРА-М,2025. - 258 с.(ВО)(п)</t>
  </si>
  <si>
    <t>ПРОЕКТИРОВАНИЕ ОРГАНИЗАЦИОННОЙ КУЛЬТУРЫ, ИЗД.1</t>
  </si>
  <si>
    <t>Полевая М.В., Бадмаева С.В., Богомаз С.Л. и др.</t>
  </si>
  <si>
    <t>978-5-16-020384-3</t>
  </si>
  <si>
    <t>37.03.01, 37.03.02, 38.03.01, 38.03.03, 41.03.06, 42.04.05, 51.03.03, 51.04.05</t>
  </si>
  <si>
    <t>346900.08.01</t>
  </si>
  <si>
    <t>Проектирование поиск.-развед.работ..: Уч.пос. / В.Ю.Керимов - М.:НИЦ ИНФРА-М,2025 - 200 с.(ВО:Магистр.)(п)</t>
  </si>
  <si>
    <t>ПРОЕКТИРОВАНИЕ ПОИСКОВО-РАЗВЕДОЧНЫХ РАБОТ НА НЕФТЬ И ГАЗ, ИЗД.1</t>
  </si>
  <si>
    <t>КеримовВ.Ю., МустаевР.Н., СериковаУ.С.</t>
  </si>
  <si>
    <t>978-5-16-010821-6</t>
  </si>
  <si>
    <t>21.02.10, 21.04.01, 21.05.02</t>
  </si>
  <si>
    <t>Рекомендовано в качестве учебного пособия для студентов высших учебных заведений по направлениям подготовки 21.05.02 «Прикладная геология» (специалитет) и 21.04.01 «Нефтегазовое дело» (магистратура)</t>
  </si>
  <si>
    <t>112540.13.01</t>
  </si>
  <si>
    <t>Проектирование предпр. сахарной и крахмало...: Уч. / А.А.Славянски - 2 изд. - М.:НИЦ ИНФРА-М,2026 - 364 с.(П)</t>
  </si>
  <si>
    <t>ПРОЕКТИРОВАНИЕ ПРЕДПРИЯТИЙ САХАРНОЙ И КРАХМАЛО-ПАТОЧНОЙ ОТРАСЛЕЙ, ИЗД.2</t>
  </si>
  <si>
    <t>Славянский А.А.</t>
  </si>
  <si>
    <t>978-5-16-015621-7</t>
  </si>
  <si>
    <t>19.03.02, 19.03.04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</si>
  <si>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19.03.02 «Продукты питания из растительного сырья», 19.03.04 «Технология продукции и организация общественного питания» (протокол  № 11 от 10.06.2019)</t>
  </si>
  <si>
    <t>860581.01.01</t>
  </si>
  <si>
    <t>Проектирование свайных фундаментов: Уч.пос. / В.С.Урсаки - М.:НИЦ ИНФРА-М,2026. - 166 с.-(ВО)(п)</t>
  </si>
  <si>
    <t>ПРОЕКТИРОВАНИЕ СВАЙНЫХ ФУНДАМЕНТОВ, ИЗД.1</t>
  </si>
  <si>
    <t>Урсаки В.С., Хузин З.М.</t>
  </si>
  <si>
    <t>978-5-16-021563-1</t>
  </si>
  <si>
    <t>283400.07.01</t>
  </si>
  <si>
    <t>Проектирование систем автоматизир. машиностроения: Уч. / А.А.Иванов - М:Форум:ИНФРА-М,2026 - 320с.(ВО)(П)</t>
  </si>
  <si>
    <t>ПРОЕКТИРОВАНИЕ СИСТЕМ АВТОМАТИЗИРОВАННОГО МАШИНОСТРОЕНИЯ, ИЗД.1</t>
  </si>
  <si>
    <t>978-5-91134-899-1</t>
  </si>
  <si>
    <t>Допущено Учебно-методическим объединением вузов по образованию в области автоматизированного машиностроения (УМО AM) в качестве учебника для студентов высших учебных заведений, обучающихся по направлениям подготовки «Конструкторско-технологическое об</t>
  </si>
  <si>
    <t>649715.08.01</t>
  </si>
  <si>
    <t>Проектирование системы распределения в логистике: Моногр. / В.В.Дыбская-М.:НИЦ ИНФРА-М,2024-235с(П)</t>
  </si>
  <si>
    <t>ПРОЕКТИРОВАНИЕ СИСТЕМЫ РАСПРЕДЕЛЕНИЯ В ЛОГИСТИКЕ, ИЗД.1</t>
  </si>
  <si>
    <t>978-5-16-012614-2</t>
  </si>
  <si>
    <t>23.03.01, 29.04.02, 38.03.01, 42.03.03</t>
  </si>
  <si>
    <t>469950.06.01</t>
  </si>
  <si>
    <t>Проектирование скважин на твердые полез..: Уч.пос. / В.В.Нескоромных - 2 изд. - М.:ИНФРА-М;СФУ,2025 - 327 с.(п)</t>
  </si>
  <si>
    <t>ПРОЕКТИРОВАНИЕ СКВАЖИН НА ТВЕРДЫЕ ПОЛЕЗНЫЕ ИСКОПАЕМЫЕ, ИЗД.2</t>
  </si>
  <si>
    <t>978-5-16-009988-0</t>
  </si>
  <si>
    <t>05.03.01, 05.04.01, 21.05.02, 21.05.03, 44.03.05</t>
  </si>
  <si>
    <t>Рекомендовано уполномоченным Министерством образования и науки РФ ФГБОУ ВПО «Национальный минерально-сырьевой университет ”Горный"» в качестве учебного пособия для студентов высших учебных заведений, обучающихся по направлению подготовки 130200 «Техн</t>
  </si>
  <si>
    <t>407550.06.01</t>
  </si>
  <si>
    <t>Проектирование студ.индивид.образов.: Моногр./С.И.Осипова-М.:НИЦ ИНФРА-М,СФУ,2024-140с(Науч.мысль)(о)</t>
  </si>
  <si>
    <t>ПРОЕКТИРОВАНИЕ СТУДЕНТОМ ИНДИВИДУАЛЬНОЙ ОБРАЗОВАТЕЛЬНОЙ ТРАЕКТОРИИ В УСЛОВИЯХ ИНФОРМАТИЗАЦИИ ОБРАЗОВАНИЯ, ИЗД.1</t>
  </si>
  <si>
    <t>Осипова С. И., Соловьева Т. В.</t>
  </si>
  <si>
    <t>978-5-16-006375-1</t>
  </si>
  <si>
    <t>257000.05.01</t>
  </si>
  <si>
    <t>Проектирование тех. произв. хлопчатобум. пряжи: Уч.пос. /В.О.Симонян - М.: НИЦ ИНФРА-М, 2025 -155с (ВО)</t>
  </si>
  <si>
    <t>ПРОЕКТИРОВАНИЕ ТЕХНОЛОГИИ ПРОИЗВОДСТВА ХЛОПЧАТОБУМАЖНОЙ ПРЯЖИ, ИЗД.1</t>
  </si>
  <si>
    <t>Симонян В.О., Галкин В.Ф., Тарасов В.Л. и др.</t>
  </si>
  <si>
    <t>978-5-16-020484-0</t>
  </si>
  <si>
    <t>Допущено к изданию редакционно-издательским советом университета в качестве учебного пособия для подготовки бакалавров по направлению 29.03.02 « Технологии и проектирование текстильных изделий</t>
  </si>
  <si>
    <t>659642.02.01</t>
  </si>
  <si>
    <t>Проектирование технологич. схем и оснастки: Уч.пос. / А.А.Погонин - 2 изд.-Москва:НИЦ ИНФРА-М,2023.-337 с.(ВО)(П)</t>
  </si>
  <si>
    <t>ПРОЕКТИРОВАНИЕ ТЕХНОЛОГИЧЕСКИХ СХЕМ И ОСНАСТКИ, ИЗД.2</t>
  </si>
  <si>
    <t>Погонин А.А., Шрубченко И.В., Афанасьев А.А.</t>
  </si>
  <si>
    <t>978-5-16-017027-5</t>
  </si>
  <si>
    <t>РекомендованоУчебно-методическим объединением по образованию в области автоматизированного машиностроения в качестве учебного пособия для студентов высших учебных заведений, обучающихся по специальности «Технология машиностроения» направления подготовки «Конструкторско-технологическое обеспечение машиностроительных производств»</t>
  </si>
  <si>
    <t>823039.01.01</t>
  </si>
  <si>
    <t>Проектирование тонкопленочных  интеграл. схем с..: Уч.пос. / В.И.Крючатов - М.:НИЦ ИНФРА-М,2025. - 184 с.(ВО)(п)</t>
  </si>
  <si>
    <t>ПРОЕКТИРОВАНИЕ ТОНКОПЛЕНОЧНЫХ  ИНТЕГРАЛЬНЫХ СХЕМ С ПОВЫШЕННОЙ НАДЕЖНОСТЬЮ, ИЗД.1</t>
  </si>
  <si>
    <t>Крючатов В.И.</t>
  </si>
  <si>
    <t>978-5-16-020043-9</t>
  </si>
  <si>
    <t>Казанский национальный исследовательский технический университет им. А.Н. Туполева</t>
  </si>
  <si>
    <t>701113.06.01</t>
  </si>
  <si>
    <t>Проектирование туристских кластеров: Моногр. / Д.А.Кощеев - М.:НИЦ ИНФРА-М,2024 - 326 с.(Науч.мысль)(О)</t>
  </si>
  <si>
    <t>ПРОЕКТИРОВАНИЕ ТУРИСТСКИХ КЛАСТЕРОВ: СИСТЕМНО-АГЛОМЕРАЦИОННЫЙ ПОДХОД, ИЗД.1</t>
  </si>
  <si>
    <t>978-5-16-015195-3</t>
  </si>
  <si>
    <t>38.06.01, 43.04.01, 43.04.02, 43.04.03</t>
  </si>
  <si>
    <t>632116.10.01</t>
  </si>
  <si>
    <t>Проектирование цифровых устройств: Уч. / А.В.Кистрин. - М.:КУРС, НИЦ ИНФРА-М,2027 - 352 с.(СПО)(П)</t>
  </si>
  <si>
    <t>ПРОЕКТИРОВАНИЕ ЦИФРОВЫХ УСТРОЙСТВ, ИЗД.1</t>
  </si>
  <si>
    <t>Кистрин А.В., Костров Б.В., Никифоров М.Б. и др.</t>
  </si>
  <si>
    <t>978-5-906818-59-1</t>
  </si>
  <si>
    <t>09.02.01, 11.02.16, 12.02.01</t>
  </si>
  <si>
    <t>683101.12.01</t>
  </si>
  <si>
    <t>Проектирование швейных изд. в САПР: Уч. / Л.П.Шершнева - М.:НИЦ ИНФРА-М,2027 - 286 с.(СПО)(П)</t>
  </si>
  <si>
    <t>ПРОЕКТИРОВАНИЕ ШВЕЙНЫХ ИЗДЕЛИЙ В САПР, ИЗД.1</t>
  </si>
  <si>
    <t>Шершнева Л.П., Сунаева С.Г.</t>
  </si>
  <si>
    <t>978-5-16-021305-7</t>
  </si>
  <si>
    <t>29.01.04, 29.01.33, 29.02.10, 54.01.05</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</si>
  <si>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t>
  </si>
  <si>
    <t>381000.06.01</t>
  </si>
  <si>
    <t>Проектирование швейных изделий в САПР: Уч. / Л.П.Шершнева - М.:ИД ФОРУМ, НИЦ ИНФРА-М,2023.-286 с.(П)</t>
  </si>
  <si>
    <t>978-5-8199-0818-1</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</si>
  <si>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направлению подготовки 29.03.05 «Конструирование изделий легкой промышленности» (профиль «Конструирование швейных изделий»)</t>
  </si>
  <si>
    <t>070490.14.01</t>
  </si>
  <si>
    <t>Проектирование швейных предприятий. Технол...: Уч.пос. / Т.Ю.Воронкова - М.:НИЦ ИНФРА-М,2026. - 128 с.(ВО)(о)</t>
  </si>
  <si>
    <t>ПРОЕКТИРОВАНИЕ ШВЕЙНЫХ ПРЕДПРИЯТИЙ. ТЕХНОЛОГИЧЕСКИЕ ПРОЦЕССЫ ПОШИВА ОДЕЖДЫ НА ПРЕДПРИЯТИЯХ СЕРВИСА, ИЗД.1</t>
  </si>
  <si>
    <t>Воронкова Т.Ю.</t>
  </si>
  <si>
    <t>978-5-16-021715-4</t>
  </si>
  <si>
    <t>29.03.01, 29.03.05, 29.04.01</t>
  </si>
  <si>
    <t>Рекомендовано Учебно-методическим объединением учебных заведений Российской Федерации по образованию в области сервиса Минобрнауки России в качестве учебного пособия для студентов высших учебных заведений, обучающихся по направлению подготовки 43.03.01 «Сервис»</t>
  </si>
  <si>
    <t>766462.07.01</t>
  </si>
  <si>
    <t>Проектирование швейных предприятий...: Уч.пос. / Т.Ю.Воронкова - М., НИЦ ИНФРА-М,2027 - 128 с.(О)</t>
  </si>
  <si>
    <t>978-5-16-021714-7</t>
  </si>
  <si>
    <t>29.01.04, 29.01.31, 29.01.33, 29.02.05, 29.02.10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</si>
  <si>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29.02.04 «Конструирование, моделирование и технология швейных изделий», 29.02.05 «Технология текстильных изделий (по видам)» (протокол № 5 от 19.05.2021)</t>
  </si>
  <si>
    <t>667541.04.01</t>
  </si>
  <si>
    <t>Проектирование электроснаб. цехов обогатит. фабрик: Уч.пос. / А.И.Герасимов-М.:НИЦ ИНФРА-М,СФУ,2023-304с(ВО)</t>
  </si>
  <si>
    <t>ПРОЕКТИРОВАНИЕ ЭЛЕКТРОСНАБЖЕНИЯ ЦЕХОВ ОБОГАТИТЕЛЬНЫХ ФАБРИК, ИЗД.1</t>
  </si>
  <si>
    <t>Герасимов А.И., Кузьмин С.В.</t>
  </si>
  <si>
    <t>978-5-16-019544-5</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</si>
  <si>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(специальности) «Горное дело» (специализация «Электрификация и автоматизация горного производства»)</t>
  </si>
  <si>
    <t>690880.09.01</t>
  </si>
  <si>
    <t>Проектирование, строит. и эксплуатация зданий...: Уч.пос. / В.Н.Алексеенко - М.:НИЦ ИНФРА-М,2026. - 226 с(П)</t>
  </si>
  <si>
    <t>ПРОЕКТИРОВАНИЕ, СТРОИТЕЛЬСТВО И ЭКСПЛУАТАЦИЯ ЗДАНИЙ В СЕЙСМИЧЕСКИХ РАЙОНАХ, ИЗД.1</t>
  </si>
  <si>
    <t>978-5-16-018652-8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</si>
  <si>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 (протокол № 8 от 22.06.2020)</t>
  </si>
  <si>
    <t>768722.02.01</t>
  </si>
  <si>
    <t>Проектное обучение спец. по работе с молодежью: Моногр. / И.С.Крутько. - М.:НИЦ ИНФРА-М,2026. - 246 с.(О)</t>
  </si>
  <si>
    <t>ПРОЕКТНОЕ ОБУЧЕНИЕ СПЕЦИАЛИСТОВ ПО РАБОТЕ С МОЛОДЕЖЬЮ, ИЗД.1</t>
  </si>
  <si>
    <t>Бедулева М.А., Боронина Л.Н., Зверева Е.В. и др.</t>
  </si>
  <si>
    <t>978-5-16-017407-5</t>
  </si>
  <si>
    <t>39.00.00, 39.03.03, 39.04.03, 39.06.01, 39.07.01</t>
  </si>
  <si>
    <t>Университетская книга 2024-2024, Победитель</t>
  </si>
  <si>
    <t>661228.04.01</t>
  </si>
  <si>
    <t>Проектное упр. в коммерч.и публичной сферах:Уч. / Х.А.Константиниди-М.:Вуз.уч.,НИЦ ИНФРА-М,2023-364с</t>
  </si>
  <si>
    <t>ПРОЕКТНОЕ УПРАВЛЕНИЕ В КОММЕРЧЕСКОЙ И ПУБЛИЧНОЙ СФЕРАХ, ИЗД.1</t>
  </si>
  <si>
    <t>Константиниди Х.А., Берлин С.И., Бугакова Н.П. и др.</t>
  </si>
  <si>
    <t>978-5-9558-0590-0</t>
  </si>
  <si>
    <t>27.03.05, 38.03.02, 39.03.03, 41.03.06</t>
  </si>
  <si>
    <t>Рекомендовано в качестве учебника для студентов высших учебных заведений, обучающихся по направлению подготовки 38.03.02 «Менеджмент» (квалификация (степень) «бакалавр»)</t>
  </si>
  <si>
    <t>771270.07.01</t>
  </si>
  <si>
    <t>Проектное управление: Уч. / Г.Д.Антонов - М.:НИЦ ИНФРА-М,2026. - 294 с.(ВО)(П)</t>
  </si>
  <si>
    <t>ПРОЕКТНОЕ УПРАВЛЕНИЕ, ИЗД.1</t>
  </si>
  <si>
    <t>978-5-16-018458-6</t>
  </si>
  <si>
    <t>38.03.01, 38.03.02, 38.03.04, 38.03.05, 38.03.06, 38.03.07, 38.03.10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</si>
  <si>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и техническим направлениям подготовки (квалификация (степень) «бакалавр») (протокол № 2 от 09.02.2022)</t>
  </si>
  <si>
    <t>476450.05.01</t>
  </si>
  <si>
    <t>Проектное финансирование: синергетический аспект: Уч.пос./Г.А.Поташева - М.: ИНФРА-М, 2024 - 384 с(П)</t>
  </si>
  <si>
    <t>ПРОЕКТНОЕ ФИНАНСИРОВАНИЕ: СИНЕРГЕТИЧЕСКИЙ АСПЕКТ, ИЗД.1</t>
  </si>
  <si>
    <t>Поташева Г.А.</t>
  </si>
  <si>
    <t>978-5-16-005631-9</t>
  </si>
  <si>
    <t>646046.06.01</t>
  </si>
  <si>
    <t>Проектно-организаторская функция воспит..: Моногр. / В.П.Сергеева - 2 изд. - М.:НИЦ ИНФРА-М,2026 - 128 с.(О)</t>
  </si>
  <si>
    <t>ПРОЕКТНО-ОРГАНИЗАТОРСКАЯ ФУНКЦИЯ ВОСПИТАТЕЛЬНОЙ ДЕЯТЕЛЬНОСТИ УЧИТЕЛЯ (ТЕОРИЯ  И МЕТОДИКА), ИЗД.2</t>
  </si>
  <si>
    <t>978-5-16-012446-9</t>
  </si>
  <si>
    <t>44.03.01, 44.03.02, 44.03.04, 44.03.05, 44.04.01, 44.04.02</t>
  </si>
  <si>
    <t>095450.20.01</t>
  </si>
  <si>
    <t>Проектно-сметное дело: Уч.пос. / Д.А.Гаврилов - М.:НИЦ ИНФРА-М,2024 - 352 с.-(СПО)(П)</t>
  </si>
  <si>
    <t>ПРОЕКТНО-СМЕТНОЕ ДЕЛО, ИЗД.1</t>
  </si>
  <si>
    <t>Гаврилов Д.А.</t>
  </si>
  <si>
    <t>978-5-16-015426-8</t>
  </si>
  <si>
    <t>08.01.30, 08.02.01, 08.02.02, 08.02.13</t>
  </si>
  <si>
    <t>Допущено Минобрнауки России в качестве учебного пособия для студентов образовательных учреждений среднего профессионального образования, обучающихся по специальности «Строительство и эксплуатация зданий и сооружений»</t>
  </si>
  <si>
    <t>095450.23.01</t>
  </si>
  <si>
    <t>Проектно-сметное дело: Уч.пос. / Д.А.Гаврилов, - 2 изд. - М.:НИЦ ИНФРА-М,2026. - 323 с.(СПО)(п)</t>
  </si>
  <si>
    <t>ПРОЕКТНО-СМЕТНОЕ ДЕЛО, ИЗД.2</t>
  </si>
  <si>
    <t>978-5-16-019303-8</t>
  </si>
  <si>
    <t>800108.01.01</t>
  </si>
  <si>
    <t>Проектный менеджмент: Уч./ С.А.Полевой - М.:НИЦ ИНФРА-М,2025-575 с. - (ВО (Финансовый университет))(п)</t>
  </si>
  <si>
    <t>ПРОЕКТНЫЙ МЕНЕДЖМЕНТ, ИЗД.1</t>
  </si>
  <si>
    <t>Полевой С.А., Аверин А.В., Астафьева О.В. и др.</t>
  </si>
  <si>
    <t>978-5-16-018508-8</t>
  </si>
  <si>
    <t>27.04.07, 27.04.08, 38.03.02, 38.04.02</t>
  </si>
  <si>
    <t>632668.04.01</t>
  </si>
  <si>
    <t>Проектный подход к реализации концепции..: Моногр. / В.М.Аньшин.-М.:НИЦ ИНФРА-М,2024-267с.(П)</t>
  </si>
  <si>
    <t>ПРОЕКТНЫЙ ПОДХОД К РЕАЛИЗАЦИИ КОНЦЕПЦИИ УСТОЙЧИВОГО РАЗВИТИЯ В КОМПАНИИ, ИЗД.1</t>
  </si>
  <si>
    <t>Аньшин В.М., Глазовская Е.С., Перцева Е.Ю.</t>
  </si>
  <si>
    <t>978-5-16-012011-9</t>
  </si>
  <si>
    <t>401700.09.01</t>
  </si>
  <si>
    <t>Производительность труда и техн.полит.пред.:Моногр./И.Ф.Рябцева-НИЦ ИНФРА-М,2024-199с(Науч.мысль)(о)</t>
  </si>
  <si>
    <t>ПРОИЗВОДИТЕЛЬНОСТЬ ТРУДА И ТЕХНИЧЕСКАЯ ПОЛИТИКА ПРЕДПРИЯТИЯ, ИЗД.1</t>
  </si>
  <si>
    <t>Рябцева И. Ф., Кузьбожев Э. Н.</t>
  </si>
  <si>
    <t>978-5-16-005685-2</t>
  </si>
  <si>
    <t>38.03.01, 38.03.02, 38.04.01, 38.04.02, 44.03.01</t>
  </si>
  <si>
    <t>144300.13.01</t>
  </si>
  <si>
    <t>Производные финансовые инструменты: Уч. / В.А.Галанов - 2 изд. - М.:НИЦ ИНФРА-М,2026 - 221 с.(ВО)(О)</t>
  </si>
  <si>
    <t>ПРОИЗВОДНЫЕ ФИНАНСОВЫЕ ИНСТРУМЕНТЫ, ИЗД.2</t>
  </si>
  <si>
    <t>Галанов В.А.</t>
  </si>
  <si>
    <t>978-5-16-012272-4</t>
  </si>
  <si>
    <t>38.03.01, 38.03.02, 38.03.05, 38.03.06, 38.04.01, 38.04.02, 38.04.05, 38.04.06, 38.04.08, 44.03.05</t>
  </si>
  <si>
    <t>251200.07.01</t>
  </si>
  <si>
    <t>Производственная безопасность. Практикум: Уч.пос. / С.С.Тимофеева - М.:НИЦ ИНФРА-М,2025 - 581 с.(ВО)(п)</t>
  </si>
  <si>
    <t>ПРОИЗВОДСТВЕННАЯ БЕЗОПАСНОСТЬ. ПРАКТИКУМ, ИЗД.1</t>
  </si>
  <si>
    <t>Тимофеева С.С., Миронова С.А.</t>
  </si>
  <si>
    <t>978-5-16-016764-0</t>
  </si>
  <si>
    <t>20.03.01, 20.03.02</t>
  </si>
  <si>
    <t>261800.08.01</t>
  </si>
  <si>
    <t>Производственная безопасность: Уч. пос. / С.С. Тимофеева - М.: Форум: ИНФРА-М, 2026. - 336 с.(ВО) (п)</t>
  </si>
  <si>
    <t>ПРОИЗВОДСТВЕННАЯ БЕЗОПАСНОСТЬ, ИЗД.1</t>
  </si>
  <si>
    <t>Тимофеева С. С., Шешуков Ю. В.</t>
  </si>
  <si>
    <t>978-5-91134-845-8</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</si>
  <si>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направлению подготовки дипломированных специалистов «Горное дело»</t>
  </si>
  <si>
    <t>837254.01.01</t>
  </si>
  <si>
    <t>Производственная логистика приборостроит. предприятия: Уч.пос. / Р.Г.Галеев - М.:НИЦ ИНФРА-М, СФУ,2025. - 258 с.(п)</t>
  </si>
  <si>
    <t>ПРОИЗВОДСТВЕННАЯ ЛОГИСТИКА ПРИБОРОСТРОИТЕЛЬНОГО ПРЕДПРИЯТИЯ, ИЗД.1</t>
  </si>
  <si>
    <t>Галеев Р.Г., Капулин Д.В., Казанцев М.А.</t>
  </si>
  <si>
    <t>978-5-16-020278-5</t>
  </si>
  <si>
    <t>12.03.01, 12.03.02, 12.03.03, 12.03.04, 12.03.05, 12.04.01, 12.04.02, 12.04.03, 12.04.04, 12.04.05, 12.05.01</t>
  </si>
  <si>
    <t>465650.10.01</t>
  </si>
  <si>
    <t>Производственная санитария и гигиена труда: Уч. / Б.М.Азизов - М.:НИЦ ИНФРА-М,2026 - 433 с.(ВО)(п)</t>
  </si>
  <si>
    <t>ПРОИЗВОДСТВЕННАЯ САНИТАРИЯ И ГИГИЕНА ТРУДА, ИЗД.1</t>
  </si>
  <si>
    <t>Азизов Б. М., Чепегин И. В.</t>
  </si>
  <si>
    <t>978-5-16-019228-4</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</si>
  <si>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технический университет имени Н.Э. Баумана» в качестве учебника для студентов высших учебных заведений, обучающихся по направлению подготовки 20.03.01 «Техносферная безопасность»</t>
  </si>
  <si>
    <t>413200.13.01</t>
  </si>
  <si>
    <t>Производственная санитария и гигиена труда: Уч.пос. / Т.Г.Феоктистова - М:ИНФРА-М,2026-382 с.(ВО)(п)</t>
  </si>
  <si>
    <t>Феоктистова Т.Г., Феоктистова О.Г., Наумова Т.В.</t>
  </si>
  <si>
    <t>978-5-16-018584-2</t>
  </si>
  <si>
    <t>32.08.03</t>
  </si>
  <si>
    <t>Рекомендовано Учебно-методическим объединением вузов по образованию в области эксплуатации авиационной и космической техники для межвузовского использования</t>
  </si>
  <si>
    <t>712373.01.01</t>
  </si>
  <si>
    <t>Производственная стратегия предприятия: Уч. / Е.С.Григорян - М.:НИЦ ИНФРА-М,2022 - 374 с.(ВО)(П)</t>
  </si>
  <si>
    <t>ПРОИЗВОДСТВЕННАЯ СТРАТЕГИЯ ПРЕДПРИЯТИЯ, ИЗД.1</t>
  </si>
  <si>
    <t>978-5-16-016005-4</t>
  </si>
  <si>
    <t>222300.10.01</t>
  </si>
  <si>
    <t>Производственный контроль молоч. продукции: Уч. / В.И.Ганина - 2 изд. - М.:НИЦ ИНФРА-М,2026. - 256 с.(ВО)(п)</t>
  </si>
  <si>
    <t>ПРОИЗВОДСТВЕННЫЙ КОНТРОЛЬ МОЛОЧНОЙ ПРОДУКЦИИ, ИЗД.2</t>
  </si>
  <si>
    <t>Ганина В.И., Борисова Л.А., Морозова В.В.</t>
  </si>
  <si>
    <t>978-5-16-022320-9</t>
  </si>
  <si>
    <t>19.03.03, 19.04.03, 35.03.07</t>
  </si>
  <si>
    <t>Допущено Министерством образования Российской Федерации в качестве учебника для студентов высших учебных заведений, обучающихся по направлению подготовки бакалавров и магистрантов 19.03.03 «Продукты питания животного происхождения», а также аспирантов</t>
  </si>
  <si>
    <t>222300.06.01</t>
  </si>
  <si>
    <t>Производственный контроль молочной продукции: Уч. / В.И.Ганина.-М.:НИЦ ИНФРА-М,2021.-248 с.(ВО)(П)</t>
  </si>
  <si>
    <t>ПРОИЗВОДСТВЕННЫЙ КОНТРОЛЬ МОЛОЧНОЙ ПРОДУКЦИИ, ИЗД.1</t>
  </si>
  <si>
    <t>Ганина В. И., Борисова Л. А., Морозова В. В.</t>
  </si>
  <si>
    <t>978-5-16-008981-2</t>
  </si>
  <si>
    <t>Допущено Министерством образования Российской Федерации в качестве учебника для студентов высших учебных заведений,обучающихся по направлению подготовки бакалавров и магистрантов 19.03.03 «Продукты питания животного происхождения», а также аспирантов</t>
  </si>
  <si>
    <t>121100.13.01</t>
  </si>
  <si>
    <t>Производственный менедж.: орг. произв.: Уч. / М.И.Бухалков - 2 изд. - М.:НИЦ ИНФРА-М,2025 - 395 с.(ВО)(П)</t>
  </si>
  <si>
    <t>ПРОИЗВОДСТВЕННЫЙ МЕНЕДЖМЕНТ: ОРГАНИЗАЦИЯ ПРОИЗВОДСТВА, ИЗД.2</t>
  </si>
  <si>
    <t>978-5-16-009610-0</t>
  </si>
  <si>
    <t>08.01.28, 26.02.04, 38.03.02, 38.04.02, 41.03.06</t>
  </si>
  <si>
    <t>Допущено Учебно-методическим объединением по образованию в области менеджмента в качестве учебника для студентов высших учебных заведений, обучающихся по направлению подготовки 38.03.02 «Менеджмент»</t>
  </si>
  <si>
    <t>361800.06.01</t>
  </si>
  <si>
    <t>Производственный менеджмент в строит.: Уч. /О.В.Михненков - М.:НИЦ ИНФРА-М,2026 - 352 с.(ВО:Бакалавр.)(п)</t>
  </si>
  <si>
    <t>ПРОИЗВОДСТВЕННЫЙ МЕНЕДЖМЕНТ В СТРОИТЕЛЬСТВЕ, ИЗД.1</t>
  </si>
  <si>
    <t>МихненковО.В., ШемякинаТ.Ю., КоготковаИ.З. и др.</t>
  </si>
  <si>
    <t>978-5-16-010965-7</t>
  </si>
  <si>
    <t>Рекомендовано Советом Учебно-методического объединения по образованию в области менеджмента в качестве учебника для обучающихся по программам высшего образования направления подготовки 38.03.02 «Менеджмент» (квалификация (степень) «бакалавр»)</t>
  </si>
  <si>
    <t>742729.02.01</t>
  </si>
  <si>
    <t>Производственный менеджмент предприятия: Уч.: Т.1 / З.В.Якобсон. - М.:НИЦ ИНФРА-М,2027.- 424 с.(ВО)(п)</t>
  </si>
  <si>
    <t>ПРОИЗВОДСТВЕННЫЙ МЕНЕДЖМЕНТ ПРЕДПРИЯТИЯ. В 2-Х Т., Т.1</t>
  </si>
  <si>
    <t>Якобсон З.В., Симаков Д.Б., Баскакова Н.Т.</t>
  </si>
  <si>
    <t>978-5-16-016741-1</t>
  </si>
  <si>
    <t>742730.02.01</t>
  </si>
  <si>
    <t>Производственный менеджмент предприятия: Уч.: Т.2 / З.В.Якобсон. - М.:НИЦ ИНФРА-М,2027. - 749 с.(ВО)(п)</t>
  </si>
  <si>
    <t>ПРОИЗВОДСТВЕННЫЙ МЕНЕДЖМЕНТ ПРЕДПРИЯТИЯ. В 2-Х Т., Т.2</t>
  </si>
  <si>
    <t>978-5-16-016743-5</t>
  </si>
  <si>
    <t>15.03.06, 21.04.01, 23.03.03, 24.05.03, 38.03.01, 38.03.02, 38.03.04, 38.04.06</t>
  </si>
  <si>
    <t>407800.07.01</t>
  </si>
  <si>
    <t>Производственный менеджмент: управ. качества...:Уч.пос. / Т.Ю.Шемякина - М.:Альфа-М:НИЦ Инфра-М,2026 - 272 с. (п)</t>
  </si>
  <si>
    <t>ПРОИЗВОДСТВЕННЫЙ МЕНЕДЖМЕНТ: УПРАВЛЕНИЕ КАЧЕСТВОМ (В СТРОИТЕЛЬСТВЕ), ИЗД.1</t>
  </si>
  <si>
    <t>Шемякина Т. Ю., Селивохин М. Ю.</t>
  </si>
  <si>
    <t>978-5-98281-321-3</t>
  </si>
  <si>
    <t>08.03.01, 38.03.02, 38.04.02</t>
  </si>
  <si>
    <t>412600.07.01</t>
  </si>
  <si>
    <t>Производственный менеджмент: Уч. / В.Я.Поздняков. - 2 изд. - М.:НИЦ ИНФРА-М,2026. - 412 с.(ВО)(П)</t>
  </si>
  <si>
    <t>ПРОИЗВОДСТВЕННЫЙ МЕНЕДЖМЕНТ, ИЗД.2</t>
  </si>
  <si>
    <t>Поздняков В.Я., Поздняков В.Я., Прудников В.М.</t>
  </si>
  <si>
    <t>978-5-16-006203-7</t>
  </si>
  <si>
    <t>Рекомендовано Учебно-методическим объединением вузов России в качестве учебника для студентов, обучающихся по направлению 080100 «Экономика»</t>
  </si>
  <si>
    <t>258200.05.01</t>
  </si>
  <si>
    <t>Производственный потенциал предпр.машиностр.: Моногр. / О.В.Корсунцева-М.:НИЦ ИНФРА-М,2024-211с(о)</t>
  </si>
  <si>
    <t>ПРОИЗВОДСТВЕННЫЙ ПОТЕНЦИАЛ ПРЕДПРИЯТИЙ МАШИНОСТРОЕНИЯ: ОЦЕНКА, ДИНАМИКА, РЕЗЕРВЫ ПОВЫШЕНИЯ, ИЗД.1</t>
  </si>
  <si>
    <t>Корсунцева О. В.</t>
  </si>
  <si>
    <t>978-5-16-009482-3</t>
  </si>
  <si>
    <t>460700.13.01</t>
  </si>
  <si>
    <t>Производство деталей летател. аппаратов: Уч. / В.В.Овчинников - М.:ИД ФОРУМ, НИЦ ИНФРА-М,2026 - 367 с.(П)</t>
  </si>
  <si>
    <t>ПРОИЗВОДСТВО ДЕТАЛЕЙ ЛЕТАТЕЛЬНЫХ АППАРАТОВ, ИЗД.1</t>
  </si>
  <si>
    <t>978-5-8199-0817-4</t>
  </si>
  <si>
    <t>12.02.01, 25.02.01, 25.02.03, 25.02.06, 25.02.07</t>
  </si>
  <si>
    <t>444600.12.01</t>
  </si>
  <si>
    <t>Производство и переработка продукции животноводства: Уч. / А.И.Чикалев - М.:КУРС, НИЦ ИНФРА-М,2027 - 188 с.(П)</t>
  </si>
  <si>
    <t>ПРОИЗВОДСТВО И ПЕРЕРАБОТКА ПРОДУКЦИИ ЖИВОТНОВОДСТВА, ИЗД.1</t>
  </si>
  <si>
    <t>978-5-906818-03-4</t>
  </si>
  <si>
    <t>35.03.07, 36.03.02, 36.04.02</t>
  </si>
  <si>
    <t>Допущено Министерством сельского хозяйства Российской Федерации в качестве учебника для студентов высших аграрных учебных заведений, обучающихся по направлению подготовки 35.03.07 "Технология производства и переработки сельскохозяйственной продукции" (квалификация (степень) "бакалавр")</t>
  </si>
  <si>
    <t>807275.01.01</t>
  </si>
  <si>
    <t>Производство по делам об админ. правонаруш. в судах...: Моногр. / С.В.Щепалов-М.:Юр. НОРМА,2023.-220 с.(п)</t>
  </si>
  <si>
    <t>ПРОИЗВОДСТВО ПО ДЕЛАМ ОБ АДМИНИСТРАТИВНЫХ ПРАВОНАРУШЕНИЯХ В СУДАХ ОБЩЕЙ ЮРИСДИКЦИИ, ИЗД.1</t>
  </si>
  <si>
    <t>978-5-00156-313-6</t>
  </si>
  <si>
    <t>00.05.08</t>
  </si>
  <si>
    <t>809267.02.01</t>
  </si>
  <si>
    <t>Производство продукции животноводства. Прак.: Уч.пос. / А.Г.Агейкин - М.:НИЦ ИНФРА-М,2026. - 405 с.(ВО)(п)</t>
  </si>
  <si>
    <t>ПРОИЗВОДСТВО ПРОДУКЦИИ ЖИВОТНОВОДСТВА. ПРАКТИКУМ, ИЗД.1</t>
  </si>
  <si>
    <t>978-5-16-019396-0</t>
  </si>
  <si>
    <t>488250.12.01</t>
  </si>
  <si>
    <t>Производство сварных конструкций: Уч. /В.В. Овчинников - М.: ИД ФОРУМ, НИЦ ИНФРА-М, 2027 - 288 с.(ПО)(п)</t>
  </si>
  <si>
    <t>ПРОИЗВОДСТВО СВАРНЫХ КОНСТРУКЦИЙ, ИЗД.1</t>
  </si>
  <si>
    <t>978-5-8199-0622-4</t>
  </si>
  <si>
    <t>15.03.01, 15.05.01</t>
  </si>
  <si>
    <t>634154.14.01</t>
  </si>
  <si>
    <t>Производство сварных конструкций: Уч.пос. / В.В.Овчинников - М.:, НИЦ ИНФРА-М,2026 - 216 с.(СПО)</t>
  </si>
  <si>
    <t>ПРОИЗВОДСТВО СВАРНЫХ КОНСТРУКЦИЙ. СВАРНЫЕ СОЕДИНЕНИЯ С ПОЛИМЕРНЫМИ ПРОСЛОЙКАМИ И ПОКРЫТИЯМИ, ИЗД.1</t>
  </si>
  <si>
    <t>Овчинников В.В., Рязанцев В.И., Гуреева М.А.</t>
  </si>
  <si>
    <t>978-5-16-022296-7</t>
  </si>
  <si>
    <t>15.01.36, 15.02.16, 15.02.19, 18.02.07, 18.02.13, 24.02.01, 26.01.01, 26.02.02</t>
  </si>
  <si>
    <t>Рекомендовано федеральным государственным учреждением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t>
  </si>
  <si>
    <t>826009.02.01</t>
  </si>
  <si>
    <t>Производство сварных конструкций: Уч.пос. / В.В.Овчинников - М.:ИД Форум, НИЦ ИНФРА-М,2027 - 288 с.(СПО)(п)</t>
  </si>
  <si>
    <t>978-5-8199-0960-7</t>
  </si>
  <si>
    <t>15.01.05, 15.01.36, 15.02.16, 15.02.19, 26.01.01, 26.02.02</t>
  </si>
  <si>
    <t>708904.06.01</t>
  </si>
  <si>
    <t>Производство ювелир. изд. из драг. металлов..: Уч. / С.Б.Сидельников - 2 изд. - М.:НИЦ ИНФРА-М,2026. - 375 с.(П)</t>
  </si>
  <si>
    <t>ПРОИЗВОДСТВО ЮВЕЛИРНЫХ ИЗДЕЛИЙ ИЗ ДРАГОЦЕННЫХ МЕТАЛЛОВ И ИХ СПЛАВОВ, ИЗД.2</t>
  </si>
  <si>
    <t>Сидельников С.Б., Константинов И.Л., Довженко Н.Н. и др.</t>
  </si>
  <si>
    <t>978-5-16-015274-5</t>
  </si>
  <si>
    <t>22.01.06, 22.02.08, 54.01.02, 54.01.06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</si>
  <si>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22.02.02 «Металлургия цветных металлов», 22.02.03 «Литейное производство черных и цветных металлов», 22.02.04 «Металловедение и термическая обработка металлов», 22.02.05 «Обработка металлов давлением» (протокол № 8 от 22.06.2020)</t>
  </si>
  <si>
    <t>474200.07.01</t>
  </si>
  <si>
    <t>Производство ювелир.изделий из драг.металлов...: Уч. / С.Б.Сидельников - 2 изд. - М:НИЦ ИНФРА-М,2027 - 375 с.(п)</t>
  </si>
  <si>
    <t>978-5-16-019977-1</t>
  </si>
  <si>
    <t>22.03.02, 22.04.02, 29.03.04, 29.04.04</t>
  </si>
  <si>
    <t>Рекомендовано НИТУ «МИСиС» к использованию в качестве учебника в образовательных учреждениях, реализующих образовательные программы ВО, ДПО профессиональной подготовки по направлению 22.03.02 «Металлургия»</t>
  </si>
  <si>
    <t>709017.05.01</t>
  </si>
  <si>
    <t>Прокатно-прессово-волочильное произв.: Уч. / И.Л.Константинов - 2 изд. - М.:НИЦ ИНФРА-М,2027 - 511 с.-(СПО)</t>
  </si>
  <si>
    <t>ПРОКАТНО-ПРЕССОВО-ВОЛОЧИЛЬНОЕ ПРОИЗВОДСТВО, ИЗД.2</t>
  </si>
  <si>
    <t>Константинов И.Л., Сидельников С.Б., Иванов Е.В.</t>
  </si>
  <si>
    <t>978-5-16-015280-6</t>
  </si>
  <si>
    <t>22.02.08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</si>
  <si>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22.02.00 «Технологии  материалов»  (протокол № 8 от 29.04.2019)</t>
  </si>
  <si>
    <t>281300.07.01</t>
  </si>
  <si>
    <t>Прокатно-прессово-волочильное производ.: Уч. / И.Л.Константинов  - 2 изд. - М:ИНФРА-М - Краснояр.:СФУ,2027 - 511 с.(п)</t>
  </si>
  <si>
    <t>Константинов И. Л., Сидельников С. Б., Иванов Е. В.</t>
  </si>
  <si>
    <t>978-5-16-009848-7</t>
  </si>
  <si>
    <t>Рекомендовано Национальным исследовательским технологическим университетом «МИСиС» к использованию в образовательных учреждениях, реализующих образовательные программы ВПО, ДПО, профессиональной подготовки по направлению подготовки 22.04.02 (150400)</t>
  </si>
  <si>
    <t>641998.02.01</t>
  </si>
  <si>
    <t>Проконкурентный порядок как инст.эконом.знаний: Моногр./ Е.М.Рождественская-М.:НИЦ ИНФРА-М,2020-100с</t>
  </si>
  <si>
    <t>ПРОКОНКУРЕНТНЫЙ ПОРЯДОК КАК ИНСТИТУТ ЭКОНОМИКИ ЗНАНИЙ, ИЗД.1</t>
  </si>
  <si>
    <t>Рождественская Е.М.</t>
  </si>
  <si>
    <t>978-5-16-012756-9</t>
  </si>
  <si>
    <t>38.03.01, 38.04.01, 38.04.02, 44.03.01</t>
  </si>
  <si>
    <t>647837.10.01</t>
  </si>
  <si>
    <t>Прокурорский надзор в РФ (в схемах): Уч.пос. / Под ред. Лазаревой В.А. - 2 изд. - М.:НИЦ ИНФРА-М,2026 - 118 с.(О)</t>
  </si>
  <si>
    <t>ПРОКУРОРСКИЙ НАДЗОР В РОССИЙСКОЙ ФЕДЕРАЦИИ (В СХЕМАХ), ИЗД.2</t>
  </si>
  <si>
    <t>Лобачев Д.А., Лазарева В.А.</t>
  </si>
  <si>
    <t>978-5-16-018465-4</t>
  </si>
  <si>
    <t>861401.01.01</t>
  </si>
  <si>
    <t>Прокурорский надзор: общие и...: Уч.пос. / Е.А.Дубынин. - М.:НИЦ ИНФРА-М, СФУ,2026. - 212 с.(ВО)(п)</t>
  </si>
  <si>
    <t>ПРОКУРОРСКИЙ НАДЗОР: ОБЩИЕ И МЕЖОТРАСЛЕВЫЕ ПРОБЛЕМЫ РЕАЛИЗАЦИИ, ИЗД.1</t>
  </si>
  <si>
    <t>Дубынин Е.А., Майорова Л.В., Назаров А.Д. и др.</t>
  </si>
  <si>
    <t>978-5-16-021336-1</t>
  </si>
  <si>
    <t>38.05.02, 40.03.01, 40.05.01, 40.05.02, 40.05.04</t>
  </si>
  <si>
    <t>042150.25.01</t>
  </si>
  <si>
    <t>Прокурорский надзор: Уч. / А.Я.Сухарев и др., - 4 изд. - М.:Юр. НОРМА, НИЦ ИНФРА-М,2026. - 480 с.(п)</t>
  </si>
  <si>
    <t>ПРОКУРОРСКИЙ НАДЗОР, ИЗД.4</t>
  </si>
  <si>
    <t>Сухарев А.Я., Анкудинов О.Т., Викторов И.С. и др.</t>
  </si>
  <si>
    <t>978-5-91768-213-6</t>
  </si>
  <si>
    <t>40.03.01, 40.04.01, 40.05.02, 40.05.03, 40.05.04</t>
  </si>
  <si>
    <t>047960.16.01</t>
  </si>
  <si>
    <t>Прокурорский надзор: Уч.пос. / Н.В.Григорьева - 8 изд. - М.:ИЦ РИОР, НИЦ ИНФРА-М,2025 - 222 с.(ВО)(о)</t>
  </si>
  <si>
    <t>ПРОКУРОРСКИЙ НАДЗОР, ИЗД.8</t>
  </si>
  <si>
    <t>Григорьева Н.В.</t>
  </si>
  <si>
    <t>978-5-369-01955-9</t>
  </si>
  <si>
    <t>047960.14.01</t>
  </si>
  <si>
    <t>Прокурорский надзор: Уч.пос. / Н.В.Григорьева- 7 изд.-М.:ИЦ РИОР, НИЦ ИНФРА-М,2023-218с.(ВО)(о)</t>
  </si>
  <si>
    <t>ПРОКУРОРСКИЙ НАДЗОР, ИЗД.7</t>
  </si>
  <si>
    <t>Григорьева Н. В.</t>
  </si>
  <si>
    <t>978-5-369-01900-9</t>
  </si>
  <si>
    <t>0722</t>
  </si>
  <si>
    <t>047960.11.01</t>
  </si>
  <si>
    <t>Прокурорский надзор: Уч.пос./Н.В.Григорьева-6изд.-М.:ИЦ РИОР,НИЦ ИНФРА-М,2020-215с.(ВО:Бакалавр.)(о)</t>
  </si>
  <si>
    <t>ПРОКУРОРСКИЙ НАДЗОР, ИЗД.6</t>
  </si>
  <si>
    <t>978-5-369-01518-6</t>
  </si>
  <si>
    <t>104440.14.01</t>
  </si>
  <si>
    <t>Промышленная логистика: Уч. пос. / А.М. Афонин. - М.: Форум, 2026. - 304 с.(Проф. обр.) (п)</t>
  </si>
  <si>
    <t>ПРОМЫШЛЕННАЯ ЛОГИСТИКА, ИЗД.1</t>
  </si>
  <si>
    <t>Афонин А. М., Царегородцев Ю. Н., Петрова А. М.</t>
  </si>
  <si>
    <t>978-5-91134-283-8</t>
  </si>
  <si>
    <t>639386.04.01</t>
  </si>
  <si>
    <t>Промышленная полит. и антикриз. упр. предпр.: Моногр. / А.С.Лифшиц  - М.:ИЦ РИОР, НИЦ ИНФРА-М,2026. - 246 с.(о)</t>
  </si>
  <si>
    <t>ПРОМЫШЛЕННАЯ ПОЛИТИКА И АНТИКРИЗИСНОЕ УПРАВЛЕНИЕ ПРЕДПРИЯТИЯМИ, ИЗД.1</t>
  </si>
  <si>
    <t>Лифшиц А.С., Ибрагимова Р.С., Новиков В.А. и др.</t>
  </si>
  <si>
    <t>978-5-369-01597-1</t>
  </si>
  <si>
    <t>464050.08.01</t>
  </si>
  <si>
    <t>Промышленная экология. Прак.: Уч.пос. / С.С.Тимофеева - М.:Форум, НИЦ ИНФРА-М,2026. - 128 с.(ВО)(О)</t>
  </si>
  <si>
    <t>ПРОМЫШЛЕННАЯ ЭКОЛОГИЯ. ПРАКТИКУМ, ИЗД.1</t>
  </si>
  <si>
    <t>Тимофеева С.С., Тюкалова О.В.</t>
  </si>
  <si>
    <t>978-5-00091-733-6</t>
  </si>
  <si>
    <t>18.03.02</t>
  </si>
  <si>
    <t>Рекомендовано к изданию редакционно-издательским советом Иркутского государственного технического университета в качестве учебного пособия для студентов высших учебных заведений, обучающихся по направлению подготовки 20.03.01 «Техносферная безопасность»</t>
  </si>
  <si>
    <t>719236.03.01</t>
  </si>
  <si>
    <t>Промышленная экология. Практикум: Уч.пос. / С.С.Тимофеева - М.:Форум, НИЦ ИНФРА-М,2024.-128 с.(СПО)(О)</t>
  </si>
  <si>
    <t>978-5-00091-719-0</t>
  </si>
  <si>
    <t>15.01.29, 15.02.16, 18.02.02, 18.02.14, 18.02.15, 20.02.01, 23.02.04, 23.02.08, 27.02.03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</si>
  <si>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20.02.01 «Рациональное использование природохозяйственных комплексов», 20.02.03 «Природоохранное обустройство территорий» (протокол № 13 от 16.09.2019)</t>
  </si>
  <si>
    <t>140100.10.01</t>
  </si>
  <si>
    <t>Промышленная экология: Уч. / Ф.Ф.Брюхань - М.:Форум, НИЦ ИНФРА-М,2026 - 208 с.(ВО)(П)</t>
  </si>
  <si>
    <t>ПРОМЫШЛЕННАЯ ЭКОЛОГИЯ, ИЗД.1</t>
  </si>
  <si>
    <t>Брюхань Ф. Ф., Графкина М. В., Сдобнякова Е. Е.</t>
  </si>
  <si>
    <t>978-5-00091-762-6</t>
  </si>
  <si>
    <t>08.03.01, 08.04.01, 18.03.02</t>
  </si>
  <si>
    <t>Рекомендовано Учебно-методическим объединением вузов РФ по образованию в облати строительства в качестве учебника для студентов, обучающихся по направлению подготовки «Строительство»</t>
  </si>
  <si>
    <t>710012.06.01</t>
  </si>
  <si>
    <t>Промышленная экология: Уч. / Ф.Ф.Брюхань - М.:Форум, НИЦ ИНФРА-М,2026 - 208 с.(СПО)(П)</t>
  </si>
  <si>
    <t>Брюхань Ф.Ф., Графкина М.В., Сдобнякова Е.Е.</t>
  </si>
  <si>
    <t>978-5-00091-698-8</t>
  </si>
  <si>
    <t>05.02.02, 15.01.29, 20.02.01, 20.02.02, 23.02.08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</si>
  <si>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05.02.00 «Науки о Земле», 08.02.00 «Техника и технологии строительства», 20.02.00 «Техносферная безопасность и природообустройство» (протокол № 10 от 27.05.2019)</t>
  </si>
  <si>
    <t>434450.08.01</t>
  </si>
  <si>
    <t>Промышленная экология: Уч. пос./М.Г.Ясовеев - М.: НИЦ ИНФРА-М; Мн.: Нов. знание, 2024-292с.(ВО) (п)</t>
  </si>
  <si>
    <t>Ясовеев М. Г., Какарека Э. В., Шевцова Н. С., Шершнев О. В., Ясовеев М. Г.</t>
  </si>
  <si>
    <t>978-5-16-006692-9</t>
  </si>
  <si>
    <t>05.03.02, 05.04.02, 18.03.02, 20.03.01, 20.03.02, 20.04.01</t>
  </si>
  <si>
    <t>404450.10.01</t>
  </si>
  <si>
    <t>Промышленная экология: Уч.пос. / Б.С.Ксенофонтов - 2 изд. - М.:НИЦ ИНФРА-М,2023-193 с(ВО: Бакалавр.)(П)</t>
  </si>
  <si>
    <t>ПРОМЫШЛЕННАЯ ЭКОЛОГИЯ, ИЗД.2</t>
  </si>
  <si>
    <t>Ксенофонтов Б.С., Павлихин Г.П., Симакова Е.Н.</t>
  </si>
  <si>
    <t>978-5-16-015109-0</t>
  </si>
  <si>
    <t>Допущено Научно-методическим советом по безопасности жизнедеятельности в качестве учебного пособия для студентов высших учебных заведений, обучающихся по всем направлениям образовательной области техники и технологий (квалификация/степень — бакалавр)</t>
  </si>
  <si>
    <t>315700.07.01</t>
  </si>
  <si>
    <t>Промышленная экология: Уч.пос. / Л.Л.Никифоров - 2 изд. - М.:НИЦ ИНФРА-М,2022 - 322 с.(ВО: Бакалавр.)(П)</t>
  </si>
  <si>
    <t>Никифоров Л.Л.</t>
  </si>
  <si>
    <t>978-5-16-014983-7</t>
  </si>
  <si>
    <t>15.03.02, 19.03.01, 19.03.03</t>
  </si>
  <si>
    <t>Рекомендовано УМО по образованию в области технологии сырья и продуктов животного происхождения для студентов высших учебных заведений, обучающихся по направлению 19.03.03 «Продукты питания животного происхождения» для бакалавров по профилям: технология мяса и мясных продуктов; технология рыбы и рыбных продуктов; технология молока и молочных продуктов, а также по направлению 19.03.01 «Биотехнология» и направлению 15.03.02 «Технологические машины и оборудование»</t>
  </si>
  <si>
    <t>741393.03.01</t>
  </si>
  <si>
    <t>Промышленная экология: Уч.пос. / Л.Л.Никифоров - 2 изд. - М.:НИЦ ИНФРА-М,2024 - 322 с.-(СПО)(П)</t>
  </si>
  <si>
    <t>978-5-16-016376-5</t>
  </si>
  <si>
    <t>15.01.29, 20.02.01, 23.02.08, 27.02.03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</si>
  <si>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19.02.00 «Промышленная экология и биотехнологии» (протокол № 6 от 06.04.2020)</t>
  </si>
  <si>
    <t>315700.10.01</t>
  </si>
  <si>
    <t>Промышленная экология: Уч.пос. / Л.Л.Никифоров, - 3 изд. - М.:НИЦ ИНФРА-М,2026. - 383 с.(ВО)(п)</t>
  </si>
  <si>
    <t>ПРОМЫШЛЕННАЯ ЭКОЛОГИЯ, ИЗД.3</t>
  </si>
  <si>
    <t>978-5-16-018860-7</t>
  </si>
  <si>
    <t>741393.05.01</t>
  </si>
  <si>
    <t>Промышленная экология: Уч.пос. / Л.Л.Никифоров, - 3 изд. - М.:НИЦ ИНФРА-М,2026. - 383 с.(СПО)(п)</t>
  </si>
  <si>
    <t>978-5-16-020145-0</t>
  </si>
  <si>
    <t>709946.02.01</t>
  </si>
  <si>
    <t>Промышленная экология: Уч.пос. / Под ред. Ясовеева М.Г.-М.:НИЦ ИНФРА-М, ,2023.-292 с..-(СПО)(П)</t>
  </si>
  <si>
    <t>Ясовеев М.Г., Какарека Э.В., Шевцова Н.С. и др.</t>
  </si>
  <si>
    <t>978-5-16-015301-8</t>
  </si>
  <si>
    <t>05.01.01, 05.02.01, 05.02.02, 05.02.03, 15.01.29, 20.01.01, 20.02.01, 20.02.02, 27.02.03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</si>
  <si>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05.02.00 «Науки о Земле», 20.02.00 «Техносферная безопасность и природообустройство» (протокол № 5 от 11.03.2019)</t>
  </si>
  <si>
    <t>776750.05.01</t>
  </si>
  <si>
    <t>Промышленное производ. крахмала и крахмалопрод.: Уч.пос. / А.А.Славянский - М.:НИЦ ИНФРА-М,2026 - 271с.(СПО)(П)</t>
  </si>
  <si>
    <t>ПРОМЫШЛЕННОЕ ПРОИЗВОДСТВО КРАХМАЛА И КРАХМАЛОПРОДУКТОВ, ИЗД.1</t>
  </si>
  <si>
    <t>Славянский А.А., Лукин Н.Д., Лебедева Н.Н.</t>
  </si>
  <si>
    <t>978-5-16-017633-8</t>
  </si>
  <si>
    <t>19.01.18, 19.02.11, 19.02.12, 22.02.08, 35.02.18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</si>
  <si>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19.02.04 «Технология сахаристых продуктов» (протокол № 1 от 12.01.2022)</t>
  </si>
  <si>
    <t>648223.03.01</t>
  </si>
  <si>
    <t>Промышленное производ. крахмала и крахмалопродуктов: Уч.пос. / А.А.Славянский - М.:НИЦ ИНФРА-М,2026 - 271 с.(П)</t>
  </si>
  <si>
    <t>978-5-16-021847-2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</si>
  <si>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19.03.02 «Продукты питания из растительного сырья» (квалификация (степень) «бакалавр») (протокол № 1 от 12.01.2022)</t>
  </si>
  <si>
    <t>719785.04.01</t>
  </si>
  <si>
    <t>Промышленное строительство...: Монография / А.Д.Жуков -М.:НИЦ ИНФРА-М,2024.-395 с.(П)</t>
  </si>
  <si>
    <t>ПРОМЫШЛЕННОЕ СТРОИТЕЛЬСТВО. ЗДАНИЯ И СООРУЖЕНИЯ. ЗАЩИТА ОТ КОРРОЗИИ И ЭКОЛОГИЯ, ИЗД.1</t>
  </si>
  <si>
    <t>Жуков А.Д., Асташкин В.М., Жолудов В.С. и др.</t>
  </si>
  <si>
    <t>978-5-16-015879-2</t>
  </si>
  <si>
    <t>667703.02.01</t>
  </si>
  <si>
    <t>Промышленные кластеры и их роль в разв.промыш.полит.региона: Моногр. / И.С.Ферова - М.:НИЦ ИНФРА-М, СФУ,2025 - 247 с.(п)</t>
  </si>
  <si>
    <t>ПРОМЫШЛЕННЫЕ КЛАСТЕРЫ И ИХ РОЛЬ В РАЗВИТИИ ПРОМЫШЛЕННОЙ ПОЛИТИКИ РЕГИОНА, ИЗД.1</t>
  </si>
  <si>
    <t>Ферова И.С., Кожинова Т.В., Шорохов Р.Г. и др.</t>
  </si>
  <si>
    <t>978-5-16-020809-1</t>
  </si>
  <si>
    <t>00.03.13, 27.04.06, 38.03.02, 38.04.02</t>
  </si>
  <si>
    <t>362200.04.01</t>
  </si>
  <si>
    <t>Прономинализация как тип ступенчатой транспозиции...: Моногр. /В.В.Шигуров.-2 изд.-М.:НИЦ ИНФРА-М, 2024-160с</t>
  </si>
  <si>
    <t>ПРОНОМИНАЛИЗАЦИЯ КАК ТИП СТУПЕНЧАТОЙ ТРАНСПОЗИЦИИ ЯЗЫКОВЫХ ЕДИНИЦ В СИСТЕМЕ ЧАСТЕЙ РЕЧИ: ТЕОРИЯ ТРАНСПОЗИЦИОННОЙ ГРАММАТИКИ РУССКОГО ЯЗЫКА, ИЗД.2</t>
  </si>
  <si>
    <t>В.В.Шигуров</t>
  </si>
  <si>
    <t>978-5-16-010968-8</t>
  </si>
  <si>
    <t>44.03.05, 45.03.02, 45.03.03, 45.03.04, 45.04.02, 45.04.03, 51.03.01</t>
  </si>
  <si>
    <t>703983.08.01</t>
  </si>
  <si>
    <t>Пропедевтика (основы композиции): Уч. / Л.М.Тухбатуллина - М.:НИЦ ИНФРА-М,2026 - 116 с.(ВО)(О)</t>
  </si>
  <si>
    <t>ПРОПЕДЕВТИКА (ОСНОВЫ КОМПОЗИЦИИ), ИЗД.1</t>
  </si>
  <si>
    <t>Тухбатуллина Л.М., Сафина Л.А., Хамматова В.В.</t>
  </si>
  <si>
    <t>978-5-16-018638-2</t>
  </si>
  <si>
    <t>44.03.01, 51.03.02, 54.03.01, 54.04.01</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</si>
  <si>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направлению подготовки 54.03.01 «Дизайн»</t>
  </si>
  <si>
    <t>839215.03.01</t>
  </si>
  <si>
    <t>Пропедевтика (основы композиции): Уч. / Л.М.Тухбатуллина. - М.:НИЦ ИНФРА-М,2026. - 116 с.:цв.ил. (СПО)(о)</t>
  </si>
  <si>
    <t>978-5-16-022163-2</t>
  </si>
  <si>
    <t>29.01.09, 42.02.01, 54.01.02, 54.01.05, 54.01.13</t>
  </si>
  <si>
    <t>832221.01.01</t>
  </si>
  <si>
    <t>Пропедевтика внутренних болезней: Уч.пос. / А.Л.Калинин - М.:НИЦ ИНФРА-М, ГомГМУ,2025 - 1107 с.(ВО (ГомГМУ))(п)</t>
  </si>
  <si>
    <t>ПРОПЕДЕВТИКА ВНУТРЕННИХ БОЛЕЗНЕЙ, ИЗД.1</t>
  </si>
  <si>
    <t>Калинин А.Л., Друян Л.И., Кривелевич Н.Б. и др.</t>
  </si>
  <si>
    <t>978-5-16-020041-5</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</si>
  <si>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«Лечебное дело», «Медико-профилактическое дело», «Медико-диагностическое дело»</t>
  </si>
  <si>
    <t>814978.01.01</t>
  </si>
  <si>
    <t>Пространственная экономика...: Моногр. / В.М.Пищулов-М.:НИЦ ИНФРА-М,2024.-206 с.(Науч.мысль)(п)</t>
  </si>
  <si>
    <t>ПРОСТРАНСТВЕННАЯ ЭКОНОМИКА: СТАНОВЛЕНИЕ И РАЗВИТИЕ ИНСТИТУТОВ РЫНКА, ИЗД.1</t>
  </si>
  <si>
    <t>978-5-16-019322-9</t>
  </si>
  <si>
    <t>825364.01.01</t>
  </si>
  <si>
    <t>Пространственные коды ключ. текстов рус. культ.: Моногр. / В.И.Хайруллин - М.:НИЦ ИНФРА-М,2025. - 197 с.(о)</t>
  </si>
  <si>
    <t>ПРОСТРАНСТВЕННЫЕ КОДЫ КЛЮЧЕВЫХ ТЕКСТОВ РУССКОЙ КУЛЬТУРЫ, ИЗД.1</t>
  </si>
  <si>
    <t>Хайруллин В.И.</t>
  </si>
  <si>
    <t>978-5-16-019837-8</t>
  </si>
  <si>
    <t>45.04.01, 45.05.01, 45.06.01</t>
  </si>
  <si>
    <t>Всероссийский (с международным участием) конкурс учебно-методических, учебных и научных работ "Добросвет"-2025, Победитель, II место
АИСТ'ИЯ-2025, Лауреат</t>
  </si>
  <si>
    <t>680302.03.01</t>
  </si>
  <si>
    <t>Протеинурия в клинической практике: Моногр. / Е.С.Крутиков - М.:НИЦ ИНФРА-М,2026 - 139 с.(О)</t>
  </si>
  <si>
    <t>ПРОТЕИНУРИЯ В КЛИНИЧЕСКОЙ ПРАКТИКЕ, ИЗД.1</t>
  </si>
  <si>
    <t>Крутиков Е.С., Кошукова Г.Н., Польская Л.В. и др.</t>
  </si>
  <si>
    <t>978-5-16-017544-7</t>
  </si>
  <si>
    <t>12.03.04, 31.05.01, 31.05.02</t>
  </si>
  <si>
    <t>820097.02.01</t>
  </si>
  <si>
    <t>Противодейст. использов. информац.-коммуникац. техн...: Моногр/Ю.В.Пузырева-М.:НИЦ ИНФРА-М,2027-226 с.(о)</t>
  </si>
  <si>
    <t>ПРОТИВОДЕЙСТВИЕ ИСПОЛЬЗОВАНИЮ ИНФОРМАЦИОННО-КОММУНИКАЦИОННЫХ ТЕХНОЛОГИЙ В ПРЕСТУПНЫХ ЦЕЛЯХ: ПРИОРИТЕТЫ МЕЖДУНАРОДНОГО СОТРУДНИЧЕСТВА РФ, ИЗД.1</t>
  </si>
  <si>
    <t>Пузырева Ю.В., Бардина Е.Е., Мысина А.И. и др.</t>
  </si>
  <si>
    <t>978-5-16-019636-7</t>
  </si>
  <si>
    <t>632563.09.01</t>
  </si>
  <si>
    <t>Противодействие коррупции в федеральных..: Науч.-практ.пос. / А.Ф.Ноздрачев - М.:НИЦ ИНФРА-М,2025 - 184 с.(О)</t>
  </si>
  <si>
    <t>ПРОТИВОДЕЙСТВИЕ КОРРУПЦИИ В ФЕДЕРАЛЬНЫХ ОРГАНАХ ИСПОЛНИТЕЛЬНОЙ ВЛАСТИ, ИЗД.1</t>
  </si>
  <si>
    <t>Едкова Т.А., Кичигин Н.В., Ноздрачев А.Ф. и др.</t>
  </si>
  <si>
    <t>978-5-16-016790-9</t>
  </si>
  <si>
    <t>38.03.01, 40.03.01, 40.04.01, 40.05.01, 40.05.02</t>
  </si>
  <si>
    <t>632563.03.01</t>
  </si>
  <si>
    <t>Противодействие коррупции в федеральных..: Науч.-практ.пос. / А.Ф.Ноздрачев-М.:НИЦ ИНФРА-М,2018-184с(П)</t>
  </si>
  <si>
    <t>978-5-16-011999-1</t>
  </si>
  <si>
    <t>169850.11.01</t>
  </si>
  <si>
    <t>Противодействие легализации (отмыванию)..: Прак. пос. / Н.В.Кобозева - М.:Магистр:ИНФРА-М,2026 -128 с.(о)</t>
  </si>
  <si>
    <t>ПРОТИВОДЕЙСТВИЕ ЛЕГАЛИЗАЦИИ (ОТМЫВАНИЮ) ДОХОДОВ, ПОЛУЧЕННЫХ ПРЕСТУПНЫМ ПУТЕМ И ФИНАНСИРОВАНИЮ ТЕРРОРИЗМА В АУДИТОРСКОЙ ДЕЯТЕЛЬНОСТИ, ИЗД.1</t>
  </si>
  <si>
    <t>Кобозева Н. В.</t>
  </si>
  <si>
    <t>978-5-9776-0215-0</t>
  </si>
  <si>
    <t>769538.06.01</t>
  </si>
  <si>
    <t>Противодействие нацизму:  Моногр. / Ю.С.Жариков - М.:НИЦ ИНФРА-М,2025. - 187 с.(Науч.мысль)(П)</t>
  </si>
  <si>
    <t>ПРОТИВОДЕЙСТВИЕ НАЦИЗМУ: УГОЛОВНО-ПРАВОВОЙ И КРИМИНОЛОГИЧЕСКИЙ АСПЕКТЫ, ИЗД.1</t>
  </si>
  <si>
    <t>Жариков Ю.С., Цветков Р.Н.</t>
  </si>
  <si>
    <t>978-5-16-017550-8</t>
  </si>
  <si>
    <t>784562.02.01</t>
  </si>
  <si>
    <t>Противодействие незакон. археолог. деят. в РФ... / А.Н.Панфилов-М.:НИЦ ИНФРА-М,2024.-210 с.(о)</t>
  </si>
  <si>
    <t>ПРОТИВОДЕЙСТВИЕ НЕЗАКОННОЙ АРХЕОЛОГИЧЕСКОЙ ДЕЯТЕЛЬНОСТИ В РОССИЙСКОЙ ФЕДЕРАЦИИ: ВОПРОСЫ ПРАВОВОГО РЕГУЛИРОВАНИЯ И ПРАВОПРИМЕНЕНИЯ., ИЗД.1</t>
  </si>
  <si>
    <t>Панфилов А.Н.</t>
  </si>
  <si>
    <t>978-5-16-017881-3</t>
  </si>
  <si>
    <t>823415.03.01</t>
  </si>
  <si>
    <t>Противодействие преступл. в сфере информац. тех.: Уч. / Под ред. Калиниченко И.А. - М.:НИЦ ИНФРА-М,2026 - 806 с.(п)</t>
  </si>
  <si>
    <t>ПРОТИВОДЕЙСТВИЕ ПРЕСТУПЛЕНИЯМ В СФЕРЕ ИНФОРМАЦИОННЫХ ТЕХНОЛОГИЙ, ИЗД.1</t>
  </si>
  <si>
    <t>Андреев А.В., Галиев Д.В., Гончар В.В. и др.</t>
  </si>
  <si>
    <t>978-5-16-019807-1</t>
  </si>
  <si>
    <t>10.05.03, 10.05.04, 10.05.05, 40.05.01, 40.05.02, 40.05.03</t>
  </si>
  <si>
    <t>780076.03.01</t>
  </si>
  <si>
    <t>Противодействие преступл., совершаемым в сфере информац...: Уч. / А.В.Андреев.-М.:НИЦ ИНФРА-М,2024.-642 с.(П)</t>
  </si>
  <si>
    <t>ПРОТИВОДЕЙСТВИЕ ПРЕСТУПЛЕНИЯМ, СОВЕРШАЕМЫМ В СФЕРЕ ИНФОРМАЦИОННЫХ ТЕХНОЛОГИЙ, ИЗД.1</t>
  </si>
  <si>
    <t>Андреев А.В., Гончар В.В., Горач Н.Н. и др.</t>
  </si>
  <si>
    <t>978-5-16-017838-7</t>
  </si>
  <si>
    <t>10.05.05, 40.03.01, 40.04.01, 40.05.01, 40.05.02, 40.05.03, 40.05.04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</si>
  <si>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специальностям 40.05.01 «Правовое обеспечение национальной безопасности», 40.05.02 «Правоохранительная деятельность» (квалификация «юрист»), 40.05.03 «Судебная экспертиза» (квалификация «судебный эксперт»), 10.05.01 «Компьютерная безопасность», 10.05.05 «Безопасность информационных технологий в правоохранительной сфере» (квалификация «специалист по защите информации») (протокол № 6 от 08.06.2022)</t>
  </si>
  <si>
    <t>776864.05.01</t>
  </si>
  <si>
    <t>Противодействие преступлениям, совер. в сфере...: Уч.пос. / Е.А.Русскевич. - М.:НИЦ ИНФРА-М,2026. - 211 с.(П)</t>
  </si>
  <si>
    <t>ПРОТИВОДЕЙСТВИЕ ПРЕСТУПЛЕНИЯМ, СОВЕРШАЕМЫМ В СФЕРЕ ОБОРОТА КРИПТОВАЛЮТЫ, ИЗД.1</t>
  </si>
  <si>
    <t>Русскевич Е.А., Андреев А.В., Галиев Д.В. и др.</t>
  </si>
  <si>
    <t>978-5-16-017725-0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</si>
  <si>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3 от 09.03.2022)</t>
  </si>
  <si>
    <t>750716.09.01</t>
  </si>
  <si>
    <t>Противодействие экстремист. деят.: Уч.пос. / Отв.ред.А.М.Будаев - М.:Юр.Норма, НИЦ ИНФРА-М,2026. - 128 с.(П)</t>
  </si>
  <si>
    <t>ПРОТИВОДЕЙСТВИЕ ЭКСТРЕМИСТСКОЙ ДЕЯТЕЛЬНОСТИ, ИЗД.1</t>
  </si>
  <si>
    <t>Будаев А.М.</t>
  </si>
  <si>
    <t>978-5-00156-146-0</t>
  </si>
  <si>
    <t>730830.03.01</t>
  </si>
  <si>
    <t>Противоречия медийной глобализации: Уч.пос. / В.И.Сапунов-М.:НИЦ ИНФРА-М,2023.-233 с.(ВО)(П)</t>
  </si>
  <si>
    <t>ПРОТИВОРЕЧИЯ МЕДИЙНОЙ ГЛОБАЛИЗАЦИИ: ПОЛИТЭКОНОМИЧЕСКИЕ И СОЦИОКУЛЬТУРНЫЕ АСПЕКТЫ, ИЗД.1</t>
  </si>
  <si>
    <t>Сапунов В.И., Хорольский В.В.</t>
  </si>
  <si>
    <t>978-5-16-018647-4</t>
  </si>
  <si>
    <t>42.04.02, 42.04.04, 42.04.05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</si>
  <si>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42.03.02 «Журналистика» (квалификация (степень) «бакалавр») (протокол № 7 от 21.09.2022)</t>
  </si>
  <si>
    <t>284000.08.01</t>
  </si>
  <si>
    <t>Протозойные болезни домашних животных: Моногр. / В.В.Белименко - М.:НИЦ ИНФРА-М,2026. - 176 с.(Науч.мысль)(о)</t>
  </si>
  <si>
    <t>ПРОТОЗОЙНЫЕ БОЛЕЗНИ ДОМАШНИХ ЖИВОТНЫХ, ИЗД.1</t>
  </si>
  <si>
    <t>Белименко В.В.</t>
  </si>
  <si>
    <t>978-5-16-018684-9</t>
  </si>
  <si>
    <t>284000.04.01</t>
  </si>
  <si>
    <t>Протозойные болезни домашних животных: Моногр. / В.В.Белименко-М.:НИЦ ИНФРА-М,2022.-176с(Науч.мысль)(П)</t>
  </si>
  <si>
    <t>БелименкоВ.В.</t>
  </si>
  <si>
    <t>978-5-16-011809-3</t>
  </si>
  <si>
    <t>633402.07.01</t>
  </si>
  <si>
    <t>Профессиограмма социального работника: Уч. / С.Н.Козловская - 2 изд. - М.:НИЦ ИНФРА-М,2026 - 174 с.(ВО)</t>
  </si>
  <si>
    <t>ПРОФЕССИОГРАММА СОЦИАЛЬНОГО РАБОТНИКА, ИЗД.2</t>
  </si>
  <si>
    <t>978-5-16-021444-3</t>
  </si>
  <si>
    <t>39.03.02, 39.04.02</t>
  </si>
  <si>
    <t>Рекомендовано в качестве учебника для студентов высших учебных заведений, обучающихся по направлению подготовки 39.03.02 «Социальная работа» (квалификация (степень) «бакалавр»)</t>
  </si>
  <si>
    <t>675298.02.01</t>
  </si>
  <si>
    <t>Профессиология: психологический контент: Уч.пос. / Э.Ф.Зеер - М.:НИЦ ИНФРА-М,2020 - 194 с.(ВО)(П)</t>
  </si>
  <si>
    <t>ПРОФЕССИОЛОГИЯ: ПСИХОЛОГИЧЕСКИЙ КОНТЕНТ, ИЗД.1</t>
  </si>
  <si>
    <t>Зеер Э.Ф., Сыманюк Э.Э.</t>
  </si>
  <si>
    <t>978-5-16-014407-8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</si>
  <si>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44.04.00 «Образование и педагогические науки» (квалификация (степень) «магистр») (протокол № 12 от 24.06.2019)</t>
  </si>
  <si>
    <t>681488.05.01</t>
  </si>
  <si>
    <t>Профессионализм педагога: успешность и карьера: Моногр. / Н.А.Глузман -М.:НИЦ ИНФРА-М,2023-314 с.(О)</t>
  </si>
  <si>
    <t>ПРОФЕССИОНАЛИЗМ ПЕДАГОГА: УСПЕШНОСТЬ И КАРЬЕРА, ИЗД.1</t>
  </si>
  <si>
    <t>Глузман Н.А., Горбунова Н.В.</t>
  </si>
  <si>
    <t>978-5-16-015830-3</t>
  </si>
  <si>
    <t>37.03.01, 44.03.01, 44.03.03, 44.03.04, 44.03.05, 44.04.02</t>
  </si>
  <si>
    <t>681488.01.01</t>
  </si>
  <si>
    <t>Профессионализм педагога: успешность и карьера: Монография / Н.А.Глузман-М.:НИЦ ИНФРА-М,2019-314с(П)</t>
  </si>
  <si>
    <t>978-5-16-014352-1</t>
  </si>
  <si>
    <t>632296.09.01</t>
  </si>
  <si>
    <t>Профессиональная нейросенсорная тугоухость: Моногр. / С.А.Бабанов - М.:Вуз. уч., НИЦ ИНФРА-М,2025. - 98 с.(О)</t>
  </si>
  <si>
    <t>ПРОФЕССИОНАЛЬНАЯ НЕЙРОСЕНСОРНАЯ ТУГОУХОСТЬ, ИЗД.1</t>
  </si>
  <si>
    <t>Бабанов С.А., Лотков В.С., Вакурова Н.В. и др.</t>
  </si>
  <si>
    <t>978-5-9558-0501-6</t>
  </si>
  <si>
    <t>810094.02.01</t>
  </si>
  <si>
    <t>Профессиональная подготовка сотруд. полиции к межлич. общению... / Т.Г.Мухина - М.:НИЦ ИНФРА-М,2025 - 199 с.(о)</t>
  </si>
  <si>
    <t>ПРОФЕССИОНАЛЬНАЯ ПОДГОТОВКА СОТРУДНИКОВ ПОЛИЦИИ К МЕЖЛИЧНОСТНОМУ ОБЩЕНИЮ В УСЛОВИЯХ МНОГОНАЦИОНАЛЬНОЙ СРЕДЫ, ИЗД.1</t>
  </si>
  <si>
    <t>Мусина Н.И., Мухина Т.Г., Мухина Т.Г.</t>
  </si>
  <si>
    <t>978-5-16-019469-1</t>
  </si>
  <si>
    <t>775860.02.01</t>
  </si>
  <si>
    <t>Профессиональная реабилитация лиц с инвалидностью...: Моногр. / Е.М.Старобина - М.:НИЦ ИНФРА-М,2026. - 235 с.(О)</t>
  </si>
  <si>
    <t>ПРОФЕССИОНАЛЬНАЯ РЕАБИЛИТАЦИЯ ЛИЦ С ИНВАЛИДНОСТЬЮ:  СОСТОЯНИЕ И НАПРАВЛЕНИЯ РАЗВИТИЯ, ИЗД.1</t>
  </si>
  <si>
    <t>Старобина Е.М., Рябоконь А.Г., Гордиевская Е.О.</t>
  </si>
  <si>
    <t>978-5-16-017614-7</t>
  </si>
  <si>
    <t>31.05.01, 31.06.01, 31.08.41, 31.08.44, 37.04.01, 39.04.02</t>
  </si>
  <si>
    <t>091650.17.01</t>
  </si>
  <si>
    <t>Профессиональная речь юриста: Уч.пос. / Н.Н.Ивакина - М.:Юр.Норма, НИЦ ИНФРА-М,2026. - 448 с.(П)</t>
  </si>
  <si>
    <t>ПРОФЕССИОНАЛЬНАЯ РЕЧЬ ЮРИСТА, ИЗД.1</t>
  </si>
  <si>
    <t>978-5-91768-374-4</t>
  </si>
  <si>
    <t>698270.08.01</t>
  </si>
  <si>
    <t>Профессиональная речь: культ., публичная, деловая: Уч. / А.К.Михальская - М.:НИЦ ИНФРА-М,2026 - 359 с.(П)</t>
  </si>
  <si>
    <t>ПРОФЕССИОНАЛЬНАЯ РЕЧЬ: КУЛЬТУРНАЯ, ПУБЛИЧНАЯ, ДЕЛОВАЯ, ИЗД.1</t>
  </si>
  <si>
    <t>978-5-16-014642-3</t>
  </si>
  <si>
    <t>00.02.34, 29.01.04, 32.02.01, 34.01.01, 35.01.23, 35.01.24, 38.01.01, 38.01.02, 54.01.02, 54.01.12, 54.01.14, 54.01.16, 54.01.17, 54.01.19</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</si>
  <si>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укрупненным группам специальностей 38.02.00 «Экономика и управление», 40.02.00 «Юриспруденция», 42.02.00 «Средства массовой информации», 43.02.00 «Сервис и туризм», 44.02.00 «Образование и педагогические науки»</t>
  </si>
  <si>
    <t>674712.07.01</t>
  </si>
  <si>
    <t>Профессиональная самоидентификация личности: Моногр. / А.Г.Наймушина - М.:НИЦ ИНФРА-М,2027 - 76 с.(О)</t>
  </si>
  <si>
    <t>ПРОФЕССИОНАЛЬНАЯ САМОИДЕНТИФИКАЦИЯ ЛИЧНОСТИ, ИЗД.1</t>
  </si>
  <si>
    <t>Наймушина А.Г., Моложавенко В.Л.</t>
  </si>
  <si>
    <t>978-5-16-013655-4</t>
  </si>
  <si>
    <t>21.03.01, 21.04.01, 21.05.05, 21.05.06, 37.04.01, 37.05.02, 38.04.03, 39.04.01, 44.04.01, 44.04.02, 44.04.04</t>
  </si>
  <si>
    <t>095940.20.01</t>
  </si>
  <si>
    <t>Профессиональная этика и психология дел. общ.: Уч. пос. / И.П.Кошевая - М.:ИНФРА-М, 2026 - 304 с.(СПО)</t>
  </si>
  <si>
    <t>ПРОФЕССИОНАЛЬНАЯ ЭТИКА И ПСИХОЛОГИЯ ДЕЛОВОГО ОБЩЕНИЯ, ИЗД.1</t>
  </si>
  <si>
    <t>978-5-16-021748-2</t>
  </si>
  <si>
    <t>00.02.15, 08.02.14, 09.02.06, 13.02.05, 23.02.01, 26.02.04, 38.02.02, 38.02.08, 39.02.01, 39.02.03, 40.02.02, 43.02.02, 43.02.06, 43.02.09, 43.02.11, 43.02.16, 44.02.01, 44.02.02, 44.02.03, 44.02.04, 46.02.01, 51.02.03</t>
  </si>
  <si>
    <t>437500.10.01</t>
  </si>
  <si>
    <t>Профессиональное обучение детей..: Уч.-мет. пос. / М.В.Матвеева - М.: Форум, НИЦ ИНФРА-М, 2027 - 191 с.(ВО)(О)</t>
  </si>
  <si>
    <t>ПРОФЕССИОНАЛЬНОЕ ОБУЧЕНИЕ ДЕТЕЙ С ИНТЕЛЛЕКТУАЛЬНЫМИ НАРУШЕНИЯМИ В УСЛОВИЯХ ОБРАЗОВАТЕЛЬНОГО УЧРЕЖДЕНИЯ, ИЗД.1</t>
  </si>
  <si>
    <t>Матвеева М.В., Станпакова С.Д.</t>
  </si>
  <si>
    <t>978-5-00091-605-6</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</si>
  <si>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(бакалавриат),по профилю подготовки «Логопедия» и 44.04.03 «Специальное (дефектологическое) образование» (магистратура)</t>
  </si>
  <si>
    <t>249800.09.01</t>
  </si>
  <si>
    <t>Профессиональное общение: Уч.пос. / О.Н. Гарькуша. - М.: ИЦ РИОР: НИЦ ИНФРА-М, 2026 - 110 с.(ПО)(п)</t>
  </si>
  <si>
    <t>ПРОФЕССИОНАЛЬНОЕ ОБЩЕНИЕ, ИЗД.1</t>
  </si>
  <si>
    <t>Гарькуша О.Н.</t>
  </si>
  <si>
    <t>978-5-369-01311-3</t>
  </si>
  <si>
    <t>13.02.05, 13.02.13, 15.02.07, 15.02.17, 15.02.18, 19.02.10, 19.02.11, 19.02.12, 23.02.07</t>
  </si>
  <si>
    <t>846818.01.01</t>
  </si>
  <si>
    <t>Профессиональное становление учителя-дефектолога: Моногр. / Е.А.Шилова - М.:НИЦ ИНФРА-М,2025. - 184 с.(п)</t>
  </si>
  <si>
    <t>ПРОФЕССИОНАЛЬНОЕ СТАНОВЛЕНИЕ УЧИТЕЛЯ-ДЕФЕКТОЛОГА, ИЗД.1</t>
  </si>
  <si>
    <t>Шилова Е.А.</t>
  </si>
  <si>
    <t>978-5-16-020546-5</t>
  </si>
  <si>
    <t>44.04.03, 44.07.01</t>
  </si>
  <si>
    <t>424450.06.01</t>
  </si>
  <si>
    <t>Профессионально-личностные  ориент. в совр. выс. образ.: Уч.пос./В.В.Рубцов - ИНФРА-М,2024-304с.(ВО) (п)</t>
  </si>
  <si>
    <t>ПРОФЕССИОНАЛЬНО-ЛИЧНОСТНЫЕ  ОРИЕНТАЦИИ В СОВРЕМЕННОМ ВЫСШЕМ ОБРАЗОВАНИИ, ИЗД.1</t>
  </si>
  <si>
    <t>Рубцов В. В., Столяренко А. М., Пузанов Ю. П., Рубцов В. В.</t>
  </si>
  <si>
    <t>978-5-16-006583-0</t>
  </si>
  <si>
    <t>38.03.02, 38.04.02, 44.03.01, 44.03.04, 44.03.05, 44.04.01, 44.04.02, 44.04.04</t>
  </si>
  <si>
    <t>144850.11.01</t>
  </si>
  <si>
    <t>Профессиональные болезни: Уч. пос. / В.В. Косарев - М.: Вуз.уч.,2025 - 252 с. (п)</t>
  </si>
  <si>
    <t>ПРОФЕССИОНАЛЬНЫЕ БОЛЕЗНИ, ИЗД.1</t>
  </si>
  <si>
    <t>978-5-9558-0178-0</t>
  </si>
  <si>
    <t>31.05.01, 31.06.01, 31.07.01, 31.08.44, 32.05.01, 34.03.01</t>
  </si>
  <si>
    <t>Рекомендовано Учебно-методическим объединением по медицинскому и фармацевтическому образованию вузов России в качестве учебного пособия для системы послевузовского профессионального образования врачей</t>
  </si>
  <si>
    <t>227800.09.01</t>
  </si>
  <si>
    <t>Профессиональные забол. нерв. системы: Практ. рук. /В.В. Косарев - М.: НИЦ ИНФРА-М, 2026 -142 с. (о)</t>
  </si>
  <si>
    <t>ПРОФЕССИОНАЛЬНЫЕ ЗАБОЛЕВАНИЯ НЕРВНОЙ СИСТЕМЫ, ИЗД.1</t>
  </si>
  <si>
    <t>978-5-16-009027-6</t>
  </si>
  <si>
    <t>31.05.01, 31.05.02, 32.05.01, 34.03.01</t>
  </si>
  <si>
    <t>414600.12.01</t>
  </si>
  <si>
    <t>Профессиональные заболев.мед.работников: Моногр. / В.В.Косарев - М.:НИЦ ИНФРА-М,2026 - 174 с.(Науч.мысль)(о)</t>
  </si>
  <si>
    <t>ПРОФЕССИОНАЛЬНЫЕ ЗАБОЛЕВАНИЯ МЕДИЦИНСКИХ РАБОТНИКОВ, ИЗД.1</t>
  </si>
  <si>
    <t>Косарев В.В., Бабанов С.А.</t>
  </si>
  <si>
    <t>978-5-16-006220-4</t>
  </si>
  <si>
    <t>403250.08.01</t>
  </si>
  <si>
    <t>Профессиональные заболевания органов дыхания:Уч.пос. / В.В.Косарев-М.:НИЦ ИНФРА-М,2024.-112 с.(ВО)(О)</t>
  </si>
  <si>
    <t>ПРОФЕССИОНАЛЬНЫЕ ЗАБОЛЕВАНИЯ ОРГАНОВ ДЫХАНИЯ, ИЗД.1</t>
  </si>
  <si>
    <t>978-5-16-006221-1</t>
  </si>
  <si>
    <t>31.05.01, 31.06.01, 31.07.01, 31.08.44, 31.08.45</t>
  </si>
  <si>
    <t>Рекомендовано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специальностям 060101 65 Лечебное дело 060103 65 Педиатрия 060105 060104 65 Медико-профилактическое дело</t>
  </si>
  <si>
    <t>820930.01.01</t>
  </si>
  <si>
    <t>Профессиональные навыки и этика юриста: Уч.пос. / О.Г.Иванова.-М.:НИЦ ИНФРА-М, СФУ,2024.-148 с.(ВО)(п)</t>
  </si>
  <si>
    <t>ПРОФЕССИОНАЛЬНЫЕ НАВЫКИ И ЭТИКА ЮРИСТА, ИЗД.1</t>
  </si>
  <si>
    <t>Иванова О.Г., Майорова Л.В., Назаров А.Д. и др.</t>
  </si>
  <si>
    <t>978-5-16-019599-5</t>
  </si>
  <si>
    <t>648389.12.01</t>
  </si>
  <si>
    <t>Профессиональные навыки юриста.: Уч.пос. / Под ред. Рубинштейна Е.А. - М.:Юр.Норма,НИЦ ИНФРА-М,2026 - 112 с.(О)</t>
  </si>
  <si>
    <t>ПРОФЕССИОНАЛЬНЫЕ НАВЫКИ ЮРИСТА В УГОЛОВНОМ СУДОПРОИЗВОДСТВЕ, ИЗД.1</t>
  </si>
  <si>
    <t>Максимова Т.Ю., Рубинштейн Е.А.</t>
  </si>
  <si>
    <t>978-5-91768-798-8</t>
  </si>
  <si>
    <t>837236.01.01</t>
  </si>
  <si>
    <t>Профессиональный англ. яз. для спец. горного дела...: Уч. / Т.С.Галич - М.:НИЦ ИНФРА-М, СФУ,2025. - 231 с.(ВО)(п)</t>
  </si>
  <si>
    <t>ПРОФЕССИОНАЛЬНЫЙ АНГЛИЙСКИЙ ЯЗЫК ДЛЯ СПЕЦИАЛИСТОВ ГОРНОГО ДЕЛА, ГЕОЛОГИИ И ГЕОЛОГОРАЗВЕДКИ, ИЗД.1</t>
  </si>
  <si>
    <t>Галич Т.С., Богданова А.И., Белова Е.Н. и др.</t>
  </si>
  <si>
    <t>978-5-16-020283-9</t>
  </si>
  <si>
    <t>21.03.01, 21.03.03, 21.04.01, 21.04.03, 21.05.01, 21.05.02, 21.05.03, 21.05.04, 21.05.05, 21.05.06</t>
  </si>
  <si>
    <t>Допущено учебно-методическим советом Сибирского федерального университета в качестве учебника для студентов, обучающихся по специальностям 21.05.02 «Прикладная геология», 21.05.04 «Горное дело», 21.05.03 «Технология геологической разведки», протокол № 1 от 24 января 2022 года</t>
  </si>
  <si>
    <t>805395.02.01</t>
  </si>
  <si>
    <t>Профессиональный англ. яз.: экономика и...: Уч. / М.В.Мельничук - М.:НИЦ ИНФРА-М,2026. - 217 с.(ВО)(п)</t>
  </si>
  <si>
    <t>ПРОФЕССИОНАЛЬНЫЙ АНГЛИЙСКИЙ ЯЗЫК: ЭКОНОМИКА И МЕНЕДЖМЕНТ, ИЗД.1</t>
  </si>
  <si>
    <t>Мельничук М.В., Белогаш М.А.</t>
  </si>
  <si>
    <t>978-5-16-019145-4</t>
  </si>
  <si>
    <t>688828.04.01</t>
  </si>
  <si>
    <t>Профилактика и лечение непроходимости пищевода после хим...: Уч.пос. / В.И.Белоконев - М.:НИЦ ИНФРА-М,2026 - 147 с.(П)</t>
  </si>
  <si>
    <t>ПРОФИЛАКТИКА И ЛЕЧЕНИЕ НЕПРОХОДИМОСТИ ПИЩЕВОДА ПОСЛЕ ХИМИЧЕСКИХ ОЖОГОВ КОРРОЗИВНЫМИ ЖИДКОСТЯМИ, ИЗД.1</t>
  </si>
  <si>
    <t>Белоконев В.И., Пушкин С.Ю., Никольский В.И. и др.</t>
  </si>
  <si>
    <t>978-5-16-014580-8</t>
  </si>
  <si>
    <t>798335.04.01</t>
  </si>
  <si>
    <t>Профилактика правонаруш. несовершеннолет.: Уч.пос. / А.А.Беженцев - М.:Вуз.уч.,НИЦ ИНФРА-М,2026 - 272 с.(п)</t>
  </si>
  <si>
    <t>ПРОФИЛАКТИКА ПРАВОНАРУШЕНИЙ НЕСОВЕРШЕННОЛЕТНИХ, ИЗД.1</t>
  </si>
  <si>
    <t>Беженцев А. А.</t>
  </si>
  <si>
    <t>978-5-9558-0656-3</t>
  </si>
  <si>
    <t>479750.13.01</t>
  </si>
  <si>
    <t>Профилактика правонарушений несовершеннолетних: Уч. / А.А.Беженцев - М.:НИЦ ИНФРА-М,2026. - 484 с.(ВО)(п)</t>
  </si>
  <si>
    <t>978-5-16-022014-7</t>
  </si>
  <si>
    <t>39.03.02, 39.04.02, 40.03.01, 40.04.01, 40.05.01, 40.05.02, 40.05.03, 40.05.04, 44.03.05</t>
  </si>
  <si>
    <t>457154.0061.01</t>
  </si>
  <si>
    <t>Профильная школа, 2024, № 4 (127)</t>
  </si>
  <si>
    <t>ПРОФИЛЬНАЯ ШКОЛА, 2024, № 4 (127), ИЗД.</t>
  </si>
  <si>
    <t>457154.0072.01</t>
  </si>
  <si>
    <t>Профильная школа, 2026, № 3 (138)</t>
  </si>
  <si>
    <t>ПРОФИЛЬНАЯ ШКОЛА, 2026, № 3 (138), ИЗД.1</t>
  </si>
  <si>
    <t>700701.08.01</t>
  </si>
  <si>
    <t>Профориентация и соц. обуч. со сложными наруш. развития: Уч.пос. / Ткачёва В.В. - М.:НИЦ ИНФРА-М,2026 - 198 с.(П)</t>
  </si>
  <si>
    <t>ПРОФОРИЕНТАЦИЯ И СОЦИАЛИЗАЦИЯ ОБУЧАЮЩИХСЯ СО СЛОЖНЫМИ НАРУШЕНИЯМИ РАЗВИТИЯ, ИЗД.1</t>
  </si>
  <si>
    <t>Ткачёва В.В., Евтушенко И.В., Жигорева М.В. и др.</t>
  </si>
  <si>
    <t>978-5-16-015004-8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</si>
  <si>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 (протокол № 18 от 25.11.2019)</t>
  </si>
  <si>
    <t>741929.06.01</t>
  </si>
  <si>
    <t>Профориентация и соц. обучающ. со слож. наруш. развит.: Уч.пос. / Ткачёва В.В. - М.:НИЦ ИНФРА-М,2027 - 198 с.(П)</t>
  </si>
  <si>
    <t>978-5-16-016409-0</t>
  </si>
  <si>
    <t>39.02.01, 44.02.03, 44.02.04, 44.02.05, 44.02.06, 49.02.02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</si>
  <si>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дефектологического профиля (протокол № 5 от 16.03.2020)</t>
  </si>
  <si>
    <t>215300.07.01</t>
  </si>
  <si>
    <t>Процесс формирования научного знания..: Моногр./В.И.Кондауров-М.:НИЦ ИНФРА-М,2024-128(Науч.мысль)(о)</t>
  </si>
  <si>
    <t>ПРОЦЕСС ФОРМИРОВАНИЯ НАУЧНОГО ЗНАНИЯ (ОНТОЛОГИЧЕСКИЙ, ГНОСЕОЛОГИЧЕСКИЙ И ЛОГИЧЕСКИЙ АСПЕКТЫ), ИЗД.1</t>
  </si>
  <si>
    <t>Кондауров В. И.</t>
  </si>
  <si>
    <t>978-5-16-006902-9</t>
  </si>
  <si>
    <t>01.04.01, 01.04.03, 02.04.01, 07.04.01, 14.04.02, 38.04.08, 42.04.03, 44.04.02, 44.04.04, 46.04.02, 47.03.01, 47.04.01, 51.03.03</t>
  </si>
  <si>
    <t>757840.05.01</t>
  </si>
  <si>
    <t>Процессы и аппараты биотехнологич. очистки сточ. вод: Уч.пос. / А.В.Луканин - М.:НИЦ ИНФРА-М,2027. - 242 с.(П)</t>
  </si>
  <si>
    <t>ПРОЦЕССЫ И АППАРАТЫ БИОТЕХНОЛОГИЧЕСКОЙ ОЧИСТКИ СТОЧНЫХ ВОД, ИЗД.1</t>
  </si>
  <si>
    <t>978-5-16-016926-2</t>
  </si>
  <si>
    <t>08.02.04, 14.02.01, 15.02.01, 19.01.01, 19.02.15, 20.02.01, 20.02.03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</si>
  <si>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20.02.01 «Рациональное использование природохозяйственных комплексов», 20.02.03 «Природоохранное обустройство территорий» (протокол № 11 от 09.11.2020)</t>
  </si>
  <si>
    <t>436400.10.01</t>
  </si>
  <si>
    <t>Процессы и аппараты биотехнологич. очистки..: Уч.пос. / А.В.Луканин - М.:НИЦ ИНФРА-М,2025 - 242 с.(ВО)(П)</t>
  </si>
  <si>
    <t>978-5-16-020424-6</t>
  </si>
  <si>
    <t>Рекомендовано в качестве учебного пособия для студентов высших учебных заведений, обучающихся по направлениям подготовки 20.03.01 «Техносферная безопасность», 20.03.02 «Природообустройство и водопользование» (квалификация (степень) «бакалавр»)</t>
  </si>
  <si>
    <t>413550.11.01</t>
  </si>
  <si>
    <t>Процессы и аппараты переработки отходов: Уч..пос. / Б.Б.Бобович - М.:Форум, НИЦ ИНФРА-М,2025. - 287 с.(ВО)(п)</t>
  </si>
  <si>
    <t>ПРОЦЕССЫ И АППАРАТЫ ПЕРЕРАБОТКИ ОТХОДОВ, ИЗД.1</t>
  </si>
  <si>
    <t>978-5-91134-720-8</t>
  </si>
  <si>
    <t>797755.01.01</t>
  </si>
  <si>
    <t>Процессы и аппараты пищевых производств. Курс. проект: Уч.пос. / В.Тепляшин.-М.:НИЦ ИНФРА-М,2023.-273 с.(ВО)(п)</t>
  </si>
  <si>
    <t>ПРОЦЕССЫ И АППАРАТЫ ПИЩЕВЫХ ПРОИЗВОДСТВ. КУРСОВОЙ ПРОЕКТ, ИЗД.1</t>
  </si>
  <si>
    <t>Тепляшин В., Ченцова Л., Невзоров В.Н. и др.</t>
  </si>
  <si>
    <t>978-5-16-018414-2</t>
  </si>
  <si>
    <t>15.03.02, 19.03.02, 19.03.03, 19.03.04, 35.03.07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</si>
  <si>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15.03.02 «Технологические машины и оборудование», 19.03.02 «Продукты питания из растительного сырья», 19.03.03 «Продукты питания животного происхождения», 35.03.07 «Технология производства и переработки сельскохозяйственной продукции»</t>
  </si>
  <si>
    <t>664682.03.01</t>
  </si>
  <si>
    <t>Процессы и аппараты текстильных тех. в примерах..:Уч.пос. / М.К.Кошелева-М.:НИЦ ИНФРА-М,2023-321с(П)</t>
  </si>
  <si>
    <t>ПРОЦЕССЫ И АППАРАТЫ ТЕКСТИЛЬНЫХ ТЕХНОЛОГИЙ В ПРИМЕРАХ, ЛАБОРАТОРНЫХ РАБОТАХ И ТЕСТАХ, ИЗД.1</t>
  </si>
  <si>
    <t>978-5-16-014420-7</t>
  </si>
  <si>
    <t>18.03.01, 20.03.01, 29.03.01, 29.03.05</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</si>
  <si>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18.03.01 и 18.04.01 «Химическая технология», 20.03.01 и 20.04.01 «Техносферная безопасность»</t>
  </si>
  <si>
    <t>709014.04.01</t>
  </si>
  <si>
    <t>Процессы и аппараты текстильных технологий...: Уч.пос. / М.К.Кошелева - М.:НИЦ ИНФРА-М,2027. - 321 с.(П)</t>
  </si>
  <si>
    <t>978-5-16-015277-6</t>
  </si>
  <si>
    <t>18.02.02, 29.02.05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</si>
  <si>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18.02.02 «Химическая технология отделочного производства и обработки изделий», 29.02.05 «Технология текстильных изделий (по видам)» (протокол № 15 от 14.10.2019)</t>
  </si>
  <si>
    <t>449600.09.01</t>
  </si>
  <si>
    <t>Процессы и аппараты хим.технологий...: Уч.пос. / Д.А.Макаренков - М:НИЦ ИНФРА-М,2026 - 211 с.(ВО.) (п)</t>
  </si>
  <si>
    <t>ПРОЦЕССЫ И АППАРАТЫ ХИМИЧЕСКИХ ТЕХНОЛОГИЙ. ОСНОВНЫЕ ПРОЦЕССЫ И ОБОРУДОВАНИЕ ПРОИЗВОДСТВА ПИГМЕНТОВ, СУСПЕНЗИЙ И ПАСТ В ЛАКОКРАСОЧНОЙ ПРОДУКЦИИ, ИЗД.1</t>
  </si>
  <si>
    <t>Макаренков Д.А., Назаров В.И., Баринский Е.А. и др.</t>
  </si>
  <si>
    <t>978-5-16-020426-0</t>
  </si>
  <si>
    <t>16.05.01, 18.03.01, 18.03.02, 18.04.01, 18.04.02</t>
  </si>
  <si>
    <t>Рекомендовано в качестве учебного пособия для студентов высших учебных заведений, обучающихся по направлениям подготовки 18.03.01 «Химические технологии» и 18.03.02 «Энерго- и ресурсосберегающие процессы в химической технологии, нефтехимии и биотехнологии» (степень бакалавр)</t>
  </si>
  <si>
    <t>452750.09.01</t>
  </si>
  <si>
    <t>Процессы и аппараты химической технологии...: Уч.пос. / К.Р.Таранцева - М.:НИЦ ИНФРА-М,2025 - 412 с.(П)</t>
  </si>
  <si>
    <t>ПРОЦЕССЫ И АППАРАТЫ ХИМИЧЕСКОЙ ТЕХНОЛОГИИ В ТЕХНИКЕ ЗАЩИТЫ ОКРУЖАЮЩЕЙ СРЕДЫ, ИЗД.1</t>
  </si>
  <si>
    <t>Таранцева К. Р., Таранцев К. В.</t>
  </si>
  <si>
    <t>978-5-16-009258-4</t>
  </si>
  <si>
    <t>18.03.01, 18.03.02, 18.04.01</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</si>
  <si>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20.03.01 (280200)</t>
  </si>
  <si>
    <t>767432.04.01</t>
  </si>
  <si>
    <t>Процессы пригот. и подг. к реализ. горячих блюд....: Уч.пос. / Т.И.Медведь - М.:НИЦ ИНФРА-М,2026. - 203 с.(СПО)(п)</t>
  </si>
  <si>
    <t>ПРОЦЕССЫ ПРИГОТОВЛЕНИЯ И ПОДГОТОВКИ К РЕАЛИЗАЦИИ ГОРЯЧИХ БЛЮД, КУЛИНАРНЫХ ИЗДЕЛИЙ, ЗАКУСОК СЛОЖНОГО АССОРТИМЕНТА, ИЗД.1</t>
  </si>
  <si>
    <t>Медведь Т.И.</t>
  </si>
  <si>
    <t>978-5-16-017889-9</t>
  </si>
  <si>
    <t>19.01.18, 19.02.10, 19.02.13, 35.01.23, 35.02.10, 43.01.04, 43.01.09, 43.02.15</t>
  </si>
  <si>
    <t>Севастопольский торгово-экономический техникум</t>
  </si>
  <si>
    <t>801761.01.01</t>
  </si>
  <si>
    <t>Процессы термодиффузии и упроч. металлов...: Моногр. / Под ред. Пряхина Е.И. - М.:НИЦ ИНФРА-М,2024. - 250 с.(п)</t>
  </si>
  <si>
    <t>ПРОЦЕССЫ ТЕРМОДИФФУЗИИ И УПРОЧНЕНИЯ МЕТАЛЛОВ В ПЕРЕМЕННОМ ЭЛЕКТРОМАГНИТНОМ ПОЛЕ, ИЗД.1</t>
  </si>
  <si>
    <t>Кубанцев В.И., Трачевский М.Л., Пущанский В.В. и др.</t>
  </si>
  <si>
    <t>978-5-16-018702-0</t>
  </si>
  <si>
    <t>15.03.01, 15.06.01, 22.03.01, 22.03.02, 22.04.01, 22.06.01</t>
  </si>
  <si>
    <t>Металлресурс</t>
  </si>
  <si>
    <t>364000.07.01</t>
  </si>
  <si>
    <t>Процессы формообразования и инструменты: Уч. / А.А.Черепахин - М.:КУРС, НИЦ ИНФРА-М,2026 - 224 с(СПО)(П)</t>
  </si>
  <si>
    <t>ПРОЦЕССЫ ФОРМООБРАЗОВАНИЯ И ИНСТРУМЕНТЫ, ИЗД.1</t>
  </si>
  <si>
    <t>Черепахин А.А., Клепиков В.В.</t>
  </si>
  <si>
    <t>978-5-906818-43-0</t>
  </si>
  <si>
    <t>12.02.04, 15.02.01, 15.02.09, 15.02.16, 15.02.17, 15.02.18</t>
  </si>
  <si>
    <t>657075.01.01</t>
  </si>
  <si>
    <t>Процессы формообразования и инструменты: Уч./ М.А.Федоренко и др. - М.:НИЦ ИНФРА-М,2025. - 371 с.(ВО)(п)</t>
  </si>
  <si>
    <t>Федоренко М.А., Бондаренко Ю.А., Дуюн Т.А. и др.</t>
  </si>
  <si>
    <t>978-5-16-016684-1</t>
  </si>
  <si>
    <t>642426.08.01</t>
  </si>
  <si>
    <t>Прочность, трещиностойк.и долговеч.конструкц.бетона: Моногр. / С.Н.Леонович - М.:НИЦ ИНФРА-М,2027 - 258 с.(п)</t>
  </si>
  <si>
    <t>ПРОЧНОСТЬ, ТРЕЩИНОСТОЙКОСТЬ И ДОЛГОВЕЧНОСТЬ КОНСТРУКЦИОННОГО БЕТОНА ПРИ ТЕМПЕРАТУРНЫХ И ВЛАЖНОСТНЫХ ВОЗДЕЙСТВИЯХ, ИЗД.1</t>
  </si>
  <si>
    <t>Леонович С.Н., Зайцев Ю.В., Доркин В.В. и др.</t>
  </si>
  <si>
    <t>978-5-16-013191-7</t>
  </si>
  <si>
    <t>721143.01.01</t>
  </si>
  <si>
    <t>Прямые иностранные инвестиции в электроэнерг. России: Моногр. / Я.Н.Зубкова - М.:Магистр,2019 - 204 с.(О)</t>
  </si>
  <si>
    <t>ПРЯМЫЕ ИНОСТРАННЫЕ ИНВЕСТИЦИИ В ЭЛЕКТРОЭНЕРГЕТИКЕ РОССИИ, ИЗД.1</t>
  </si>
  <si>
    <t>Зубкова Я.Н.</t>
  </si>
  <si>
    <t>978-5-9776-0510-6</t>
  </si>
  <si>
    <t>38.04.01, 38.04.04, 38.05.01, 41.04.05</t>
  </si>
  <si>
    <t>148900.11.01</t>
  </si>
  <si>
    <t>Психодиагностика ребенка: Уч. / В.Г.Каменская - 2 изд. - М.:НИЦ ИНФРА-М,2026. - 350 с.(ВО)(П)</t>
  </si>
  <si>
    <t>ПСИХОДИАГНОСТИКА РЕБЕНКА, ИЗД.2</t>
  </si>
  <si>
    <t>Каменская В.Г., Драганова О.А., Томанов Л.В.</t>
  </si>
  <si>
    <t>978-5-16-015132-8</t>
  </si>
  <si>
    <t>37.03.01, 37.04.01, 44.03.01, 44.03.02, 44.03.03, 44.03.04, 44.03.05, 44.04.02, 44.05.01</t>
  </si>
  <si>
    <t>Допущено Учебно-методическим объединением по направлениям педагогического образования в качестве учебника для студентов высших учебных заведений, обучающихся по направлению 44.03.01 «Педагогическое образование»</t>
  </si>
  <si>
    <t>638311.10.01</t>
  </si>
  <si>
    <t>Психокоррекционная работа с семьями детей с огр. возм...: уч.мет.пос. / Под ред. Ткачева В.В. - М.:НИЦ ИНФРА-М,2026. - 191 с.:цв.вкл[12]-(Практ.пед.)</t>
  </si>
  <si>
    <t>ПСИХОКОРРЕКЦИОННАЯ РАБОТА С СЕМЬЯМИ ДЕТЕЙ С ОГРАНИЧЕННЫМИ ВОЗМОЖНОСТЯМИ  ЗДОРОВЬЯ, ИЗД.1</t>
  </si>
  <si>
    <t>Ткачева В.В., Устинова Е.В., Болотова Н.П. и др.</t>
  </si>
  <si>
    <t>978-5-16-012626-5</t>
  </si>
  <si>
    <t>725292.02.01</t>
  </si>
  <si>
    <t>Психолингвистика для дефектологов: Уч.пос. / О.Г.Ивановская - М.:НИЦ ИНФРА-М,2026. - 279 с.(ВО)(п)</t>
  </si>
  <si>
    <t>ПСИХОЛИНГВИСТИКА ДЛЯ ДЕФЕКТОЛОГОВ, ИЗД.1</t>
  </si>
  <si>
    <t>Ивановская О.Г., Шулекина Ю.А.</t>
  </si>
  <si>
    <t>978-5-16-017371-9</t>
  </si>
  <si>
    <t>44.03.03, 45.03.03</t>
  </si>
  <si>
    <t>641123.04.01</t>
  </si>
  <si>
    <t>Психолог в материнской школе: Уч.пос. / Т.И.Чиркова - М.:Вуз. уч., НИЦ ИНФРА-М,2025 - 268 с.(П)</t>
  </si>
  <si>
    <t>ПСИХОЛОГ В МАТЕРИНСКОЙ ШКОЛЕ, ИЗД.1</t>
  </si>
  <si>
    <t>Чиркова Т.И.</t>
  </si>
  <si>
    <t>978-5-9558-0132-2</t>
  </si>
  <si>
    <t>37.03.01, 37.04.01, 44.03.01, 44.03.02, 44.03.03, 44.03.05, 44.04.01, 44.04.02</t>
  </si>
  <si>
    <t>683168.07.01</t>
  </si>
  <si>
    <t>Психологическая готовность к действ. в чрезв. ситуац.: Уч.пос. / В.Д.Ширшов - М.:НИЦ ИНФРА-М,2026. - 329 с.(ВО)(П)</t>
  </si>
  <si>
    <t>ПСИХОЛОГИЧЕСКАЯ ГОТОВНОСТЬ К ДЕЙСТВИЯМ В ЧРЕЗВЫЧАЙНЫХ СИТУАЦИЯХ, ИЗД.1</t>
  </si>
  <si>
    <t>978-5-16-018634-4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</si>
  <si>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44.03.00 «Образование и педагогические науки» (квалификация (степень) «бакалавр») (протокол № 2 от 03.02.2020)</t>
  </si>
  <si>
    <t>863942.01.01</t>
  </si>
  <si>
    <t>Психологическая интервенция (развитие...): Уч. / А.Г.Караяни и др. - М.:НИЦ ИНФРА-М,2026. - 233 с.(ВО)(п)</t>
  </si>
  <si>
    <t>ПСИХОЛОГИЧЕСКАЯ ИНТЕРВЕНЦИЯ (РАЗВИТИЕ, КОРРЕКЦИЯ И РЕАБИЛИТАЦИЯ), ИЗД.1</t>
  </si>
  <si>
    <t>Караяни А.Г., Караяни Ю.М., Кийко А.Ю.</t>
  </si>
  <si>
    <t>978-5-16-021484-9</t>
  </si>
  <si>
    <t>37.05.01, 56.04.09, 56.05.04</t>
  </si>
  <si>
    <t>846299.04.01</t>
  </si>
  <si>
    <t>Психологическая помощь в кризисной ситуации / О.О.Андронникова - М.:НИЦ ИНФРА-М,2025. - 378 с. [16+](п)</t>
  </si>
  <si>
    <t>ПСИХОЛОГИЧЕСКАЯ ПОМОЩЬ В КРИЗИСНОЙ СИТУАЦИИ, ИЗД.1</t>
  </si>
  <si>
    <t>978-5-16-020489-5</t>
  </si>
  <si>
    <t>37.04.01, 37.05.02, 44.03.01, 44.03.02</t>
  </si>
  <si>
    <t>733609.04.01</t>
  </si>
  <si>
    <t>Психологическая помощь в кризисной ситуации: Уч.пос. / О.О.Андронникова - М.:НИЦ ИНФРА-М,2026 - 454 с.(ВО.Сп)(п)</t>
  </si>
  <si>
    <t>978-5-16-017134-0</t>
  </si>
  <si>
    <t>37.04.01, 44.03.01, 44.03.02</t>
  </si>
  <si>
    <t>391200.09.01</t>
  </si>
  <si>
    <t>Психологическая помощь в спец.обр.: Уч. / И.Ю.Левченко - М.:НИЦ ИНФРА-М,2026 - 314 с.(ВО: Бакалавр.)(П)</t>
  </si>
  <si>
    <t>ПСИХОЛОГИЧЕСКАЯ ПОМОЩЬ В СПЕЦИАЛЬНОМ ОБРАЗОВАНИИ, ИЗД.1</t>
  </si>
  <si>
    <t>Левченко И.Ю., Волковская Т.Н., Ковалева Г.А.</t>
  </si>
  <si>
    <t>978-5-16-011199-5</t>
  </si>
  <si>
    <t>Рекомендовано в качестве учебника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(квалификация (степень) «бакалавр»)</t>
  </si>
  <si>
    <t>645377.04.01</t>
  </si>
  <si>
    <t>Психологическая фасилит. раб. шк. учителя: Уч.пос./Р.В.Овчарова,-2изд.-М.:ИЦ РИОР, НИЦ ИНФРА-М,2023-275с</t>
  </si>
  <si>
    <t>ПСИХОЛОГИЧЕСКАЯ ФАСИЛИТАЦИЯ РАБОТЫ ШКОЛЬНОГО УЧИТЕЛЯ, ИЗД.2</t>
  </si>
  <si>
    <t>Овчарова Р.В.</t>
  </si>
  <si>
    <t>978-5-369-01647-3</t>
  </si>
  <si>
    <t>37.03.01, 37.04.01, 44.03.01, 44.03.05, 44.04.01</t>
  </si>
  <si>
    <t>066460.12.01</t>
  </si>
  <si>
    <t>Психологическая экономика: Уч. пос. / Б.А. Райзберг. - М.: ИНФРА-М, 2026. - 432 с. (п)</t>
  </si>
  <si>
    <t>ПСИХОЛОГИЧЕСКАЯ ЭКОНОМИКА, ИЗД.1</t>
  </si>
  <si>
    <t>5-16-002454-9</t>
  </si>
  <si>
    <t>854764.02.01</t>
  </si>
  <si>
    <t>Психологические исслед. конспиратив. ментальности..: Моногр. / В.И.Пищик - М.:НИЦ ИНФРА-М,2026. - 136 с.(о)</t>
  </si>
  <si>
    <t>ПСИХОЛОГИЧЕСКИЕ ИССЛЕДОВАНИЯ КОНСПИРАТИВИСТСКОЙ МЕНТАЛЬНОСТИ: В ЗАГОВОРЕ ПРОТИВ СЕБЯ И МИРА, ИЗД.1</t>
  </si>
  <si>
    <t>Пищик В.И., Постникова М.И.</t>
  </si>
  <si>
    <t>978-5-16-020923-4</t>
  </si>
  <si>
    <t>37.04.01, 37.04.02, 37.05.01, 37.06.01, 40.04.01, 40.05.03, 40.06.01</t>
  </si>
  <si>
    <t>862036.01.01</t>
  </si>
  <si>
    <t>Психологические основы структурир..: Уч.пос. / Г.Р.Рыбакова. - М.:НИЦ ИНФРА-М, СФУ,2026. - 118 с.(о)</t>
  </si>
  <si>
    <t>ПСИХОЛОГИЧЕСКИЕ ОСНОВЫ СТРУКТУРИРОВАНИЯ ИНФОРМАЦИИ В ПРОФЕССИОНАЛЬНОЙ ДЕЯТЕЛЬНОСТИ, ИЗД.1</t>
  </si>
  <si>
    <t>Рыбакова Г.Р., Федченко Е.А., Кротова И.В. и др.</t>
  </si>
  <si>
    <t>978-5-16-021399-6</t>
  </si>
  <si>
    <t>110300.09.01</t>
  </si>
  <si>
    <t>Психологические основы экономического поведения / Ю.Я. Ольсевич - М.: ИНФРА-М, 2025 - 413 с. (П)</t>
  </si>
  <si>
    <t>ПСИХОЛОГИЧЕСКИЕ ОСНОВЫ ЭКОНОМИЧЕСКОГО ПОВЕДЕНИЯ, ИЗД.1</t>
  </si>
  <si>
    <t>Ольсевич Ю. Я.</t>
  </si>
  <si>
    <t>978-5-16-003628-1</t>
  </si>
  <si>
    <t>639924.10.01</t>
  </si>
  <si>
    <t>Психологические типы: Моногр. / С.Ю.Поройков - 2 изд. - М.:НИЦ ИНФРА-М,2026 - 306 с.-(Науч.мысль)(П)</t>
  </si>
  <si>
    <t>ПСИХОЛОГИЧЕСКИЕ ТИПЫ, ИЗД.2</t>
  </si>
  <si>
    <t>978-5-16-012255-7</t>
  </si>
  <si>
    <t>37.03.01, 37.05.01</t>
  </si>
  <si>
    <t>300200.07.01</t>
  </si>
  <si>
    <t>Психологические типы: Моногр. / С.Ю.Поройков - М.:НИЦ ИНФРА-М,2027 - 262 с.-(Науч.мысль)(п)</t>
  </si>
  <si>
    <t>ПСИХОЛОГИЧЕСКИЕ ТИПЫ, ИЗД.1</t>
  </si>
  <si>
    <t>978-5-16-010153-8</t>
  </si>
  <si>
    <t>844886.01.01</t>
  </si>
  <si>
    <t>Психологические факторы реабилитац. потенциала у...: Моногр. / В.С.Сорокина - М.:НИЦ ИНФРА-М,2025. -167 с.(о)</t>
  </si>
  <si>
    <t>ПСИХОЛОГИЧЕСКИЕ ФАКТОРЫ РЕАБИЛИТАЦИОННОГО ПОТЕНЦИАЛА У ПАЦИЕНТОВ С ДЕПРЕССИВНЫМ СИНДРОМОМ, ИЗД.1</t>
  </si>
  <si>
    <t>Сорокина В.С., Иванова Е.М., Ениколопов С.Н.</t>
  </si>
  <si>
    <t>978-5-16-020700-1</t>
  </si>
  <si>
    <t>37.04.01, 37.05.01, 37.06.01</t>
  </si>
  <si>
    <t>Федеральный научно-клинический центр реаниматологии и реабилитологии</t>
  </si>
  <si>
    <t>698472.12.01</t>
  </si>
  <si>
    <t>Психологический профайлинг. Практикум: Уч.пос. / Т.В.Мальцева - М.:ИЦ РИОР, НИЦ ИНФРА-М,2027 - 95 с.(ВО)(О)</t>
  </si>
  <si>
    <t>ПСИХОЛОГИЧЕСКИЙ ПРОФАЙЛИНГ, ИЗД.1</t>
  </si>
  <si>
    <t>Мальцева Т.В., Петров В.Е.</t>
  </si>
  <si>
    <t>978-5-369-01856-9</t>
  </si>
  <si>
    <t>666975.08.01</t>
  </si>
  <si>
    <t>Психологическое консульт. личности...: Уч.пос. /Т.В.Мальцева - М.:ИЦ РИОР,НИЦ ИНФРА-М,2026 - 136 с.(ВО)(О)</t>
  </si>
  <si>
    <t>ПСИХОЛОГИЧЕСКОЕ КОНСУЛЬТИРОВАНИЕ ЛИЧНОСТИ В ПРОЦЕССЕ ПРОФЕССИОНАЛИЗАЦИИ, ИЗД.1</t>
  </si>
  <si>
    <t>Мальцева Т.В., Реуцкая И.Е., Петров В.Е.</t>
  </si>
  <si>
    <t>978-5-369-01836-1</t>
  </si>
  <si>
    <t>37.05.02, 44.05.01</t>
  </si>
  <si>
    <t>849851.01.01</t>
  </si>
  <si>
    <t>Психология в деят. сотруд. правоохранит. органов: Уч. / Т.В.Мальцева - М.:ИЦ РИОР, НИЦ ИНФРА-М,2025. - 280 с.(п)</t>
  </si>
  <si>
    <t>ПСИХОЛОГИЯ В ДЕЯТЕЛЬНОСТИ СОТРУДНИКОВ ПРАВООХРАНИТЕЛЬНЫХ ОРГАНОВ, ИЗД.1</t>
  </si>
  <si>
    <t>Мальцева Т.В.</t>
  </si>
  <si>
    <t>978-5-369-01982-5</t>
  </si>
  <si>
    <t>665058.07.01</t>
  </si>
  <si>
    <t>Психология в медицине: Уч.пос. / Г.С.Абрамова - 2 изд. - М.:НИЦ ИНФРА-М,2026 - 273 с.-(ВО: Спец.)(П)</t>
  </si>
  <si>
    <t>ПСИХОЛОГИЯ В МЕДИЦИНЕ, ИЗД.2</t>
  </si>
  <si>
    <t>Абрамова Г.С., Юдчиц Ю.А.</t>
  </si>
  <si>
    <t>978-5-16-013836-7</t>
  </si>
  <si>
    <t>31.05.02, 34.03.01, 37.05.01</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</si>
  <si>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31.05.02 «Педиатрия» (квалификация  «врач-педиатр общей практики»), 37.05.01 «Клиническая психология» (квалификация «клинический психолог»)</t>
  </si>
  <si>
    <t>847682.01.01</t>
  </si>
  <si>
    <t>Психология в фотоискусстве...: Уч.пос. / Ю.В.Харланова - М.:НИЦ ИНФРА-М,2026. - 196 с.(ВО)(п)</t>
  </si>
  <si>
    <t>ПСИХОЛОГИЯ В ФОТОИСКУССТВЕ: СОЦИАЛЬНЫЙ И ВИЗУАЛЬНЫЙ АСПЕКТЫ, ИЗД.1</t>
  </si>
  <si>
    <t>978-5-16-020947-0</t>
  </si>
  <si>
    <t>42.03.02, 42.03.05, 42.04.05, 50.03.03, 51.03.02</t>
  </si>
  <si>
    <t>363400.10.01</t>
  </si>
  <si>
    <t>Психология воспитания стрес. поведения: Уч.пос. / Н.П.Фетискин - М.:Форум, НИЦ ИНФРА-М,2026  - 240 с.(ВО)(О)</t>
  </si>
  <si>
    <t>ПСИХОЛОГИЯ ВОСПИТАНИЯ СТРЕССОСОВЛАДАЮЩЕГО ПОВЕДЕНИЯ, ИЗД.1</t>
  </si>
  <si>
    <t>978-5-00091-483-0</t>
  </si>
  <si>
    <t>Рекомендовано в качестве учебного пособия для студентов высших учебных заведений, обучающихся по направлениям подготовки 37.03.01 «Психология», 37.03.02 «Конфликтология» (квалификация (степень) «бакалавр»)</t>
  </si>
  <si>
    <t>845607.05.01</t>
  </si>
  <si>
    <t>Психология воспитания стрессосовладающего поведения / Н.П.Фетискин - М.:Форум, НИЦ ИНФРА-М,2026 - 240с(п)</t>
  </si>
  <si>
    <t>978-5-00091-816-6</t>
  </si>
  <si>
    <t>37.03.02, 37.05.01</t>
  </si>
  <si>
    <t>443050.11.01</t>
  </si>
  <si>
    <t>Психология высших достижений личности..: Моногр. / Т.Ф.Базылевич - М.:НИЦ ИНФРА-М,2025 - 330 с.(Науч.мысль)(О)</t>
  </si>
  <si>
    <t>ПСИХОЛОГИЯ ВЫСШИХ ДОСТИЖЕНИЙ ЛИЧНОСТИ (ПСИХОАКМЕОЛОГИЯ), ИЗД.1</t>
  </si>
  <si>
    <t>978-5-16-006851-0</t>
  </si>
  <si>
    <t>37.03.01, 37.03.02, 37.04.01, 37.04.02, 37.05.01, 37.05.02, 44.03.01, 44.03.05</t>
  </si>
  <si>
    <t>807286.01.01</t>
  </si>
  <si>
    <t>Психология геополитических отношений..: Уч.пос. / А.Л.Журавлев. - М.:НИЦ ИНФРА-М,2025. - 313 с.(ВО)(п)</t>
  </si>
  <si>
    <t>ПСИХОЛОГИЯ ГЕОПОЛИТИЧЕСКИХ ОТНОШЕНИЙ: ПОНЯТИЯ, ФАКТОРЫ, ТЕХНОЛОГИИ, ИЗД.1</t>
  </si>
  <si>
    <t>Журавлев А.Л., Китова Д.А., Ковалева Ю.В. и др.</t>
  </si>
  <si>
    <t>978-5-16-019804-0</t>
  </si>
  <si>
    <t>37.03.01, 41.04.04</t>
  </si>
  <si>
    <t>011511.23.01</t>
  </si>
  <si>
    <t>Психология делового общения: Уч. / Г.В.Бороздина - 3 изд. - М.:НИЦ ИНФРА-М,2026 - 320 с.(ВО)(П)</t>
  </si>
  <si>
    <t>ПСИХОЛОГИЯ ДЕЛОВОГО ОБЩЕНИЯ, ИЗД.3</t>
  </si>
  <si>
    <t>Бороздина Г.В.</t>
  </si>
  <si>
    <t>978-5-16-013292-1</t>
  </si>
  <si>
    <t>37.03.01, 37.03.02, 38.03.01, 38.03.02, 38.03.03, 40.03.01, 42.03.01, 42.03.02, 42.03.04, 42.03.05, 43.03.01, 43.03.02, 43.03.03, 44.03.01, 44.03.02</t>
  </si>
  <si>
    <t>Рекомендовано Учебно-методическим советом ВО в качестве учебника для студентов высших учебных заведений, обучающихся по укрупненным группам специальностей 38.00.00 «Экономика и управление», 40.00.00 «Юриспруденция» (квалификация (степень) «бакалавр»)</t>
  </si>
  <si>
    <t>Белорусский государственный экономический университет</t>
  </si>
  <si>
    <t>712986.10.01</t>
  </si>
  <si>
    <t>Психология делового общения: Уч. / Г.В.Бороздина - 3 изд. - М.:НИЦ ИНФРА-М,2026 - 320 с.-(СПО)(П)</t>
  </si>
  <si>
    <t>978-5-16-015397-1</t>
  </si>
  <si>
    <t>00.01.04, 00.02.15, 05.02.01, 05.02.02, 08.02.14, 20.02.05, 24.02.01, 38.02.02, 38.02.08, 39.02.03, 43.02.02, 43.02.06, 43.02.16, 46.02.01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</si>
  <si>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6 от 25.03.2019)</t>
  </si>
  <si>
    <t>758048.07.01</t>
  </si>
  <si>
    <t>Психология дошкольника: Прак.: Уч.пос. / Г.А.Урунтаева - 4 изд. - М.:НИЦ ИНФРА-М,2027 - 401 с(СПО)(П)</t>
  </si>
  <si>
    <t>ПСИХОЛОГИЯ ДОШКОЛЬНИКА: ПРАКТИКУМ, ИЗД.4</t>
  </si>
  <si>
    <t>978-5-16-016967-5</t>
  </si>
  <si>
    <t>39.02.01, 44.02.01, 44.02.03, 44.02.04, 44.02.05, 49.02.02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</si>
  <si>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12 от 14.12.2020)</t>
  </si>
  <si>
    <t>666532.05.01</t>
  </si>
  <si>
    <t>Психология дошкольника: прак.: Уч.пос. / Г.А.Урунтаева - 4 изд. - М.:НИЦ ИНФРА-М,2027 - 401 с.(ВО)(п)</t>
  </si>
  <si>
    <t>978-5-16-019435-6</t>
  </si>
  <si>
    <t>44.03.02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</si>
  <si>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44.03.02 «Психолого-педагогическое образование» (квалификация (степень) «бакалавр») (протокол № 10 от 12.10.2020)</t>
  </si>
  <si>
    <t>183300.14.01</t>
  </si>
  <si>
    <t>Психология зависимостей (аддиктология): Уч.пос. / Б.Р.Мандель - 2 изд. - М.:НИЦ ИНФРА-М,2027 - 334 с.(ВО)(п)</t>
  </si>
  <si>
    <t>ПСИХОЛОГИЯ ЗАВИСИМОСТЕЙ (АДДИКТОЛОГИЯ), ИЗД.2</t>
  </si>
  <si>
    <t>978-5-16-019884-2</t>
  </si>
  <si>
    <t>37.03.01, 44.03.02, 44.03.03, 44.04.02, 44.04.03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</si>
  <si>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37.00.00 «Психологические науки», 44.00.00 «Образование и педагогические науки» (квалификация (степень) «бакалавр») и 31.05.00 «Клиническая медицина» (протокол № 19 от 09.12.2019)</t>
  </si>
  <si>
    <t>183300.06.01</t>
  </si>
  <si>
    <t>Психология зависимостей (аддиктология):Уч.пос. / Б.Р.Мандель-М.:Вузовский учебник, НИЦ ИНФРА-М,2019.-320 с.(п)</t>
  </si>
  <si>
    <t>ПСИХОЛОГИЯ ЗАВИСИМОСТЕЙ (АДДИКТОЛОГИЯ), ИЗД.1</t>
  </si>
  <si>
    <t>978-5-9558-0406-4</t>
  </si>
  <si>
    <t>085750.12.01</t>
  </si>
  <si>
    <t>Психология и педагогика: Уч. / А.И.Кравченко-М.:НИЦ ИНФРА-М,2024.-352 с..-(ВО)(п)</t>
  </si>
  <si>
    <t>ПСИХОЛОГИЯ И ПЕДАГОГИКА, ИЗД.1</t>
  </si>
  <si>
    <t>Кравченко А. И.</t>
  </si>
  <si>
    <t>978-5-16-019278-9</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</si>
  <si>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направлению 39.03.01 "Социология"</t>
  </si>
  <si>
    <t>116750.10.01</t>
  </si>
  <si>
    <t>Психология и педагогика: Уч.пос. / А.И.Кравченко - М.:ИЦ РИОР,НИЦ ИНФРА-М,2026 - 112 с.(ВО:Бакалавр.)(о)</t>
  </si>
  <si>
    <t>978-5-369-00544-6</t>
  </si>
  <si>
    <t>00.03.15, 00.05.15, 39.03.01</t>
  </si>
  <si>
    <t>Допущено УМО по классическому университетскому образованию в качестве учебного пособия для студентов вузов, обучающихся по направлению 040200 "Социология"</t>
  </si>
  <si>
    <t>405850.09.01</t>
  </si>
  <si>
    <t>Психология и педагогика: Уч.пос. / О.В.Пастюк - М.:НИЦ ИНФРА-М,2025. - 160 с.(ВО)(п)</t>
  </si>
  <si>
    <t>Пастюк О.В.</t>
  </si>
  <si>
    <t>978-5-16-020990-6</t>
  </si>
  <si>
    <t>00.03.15, 00.05.15, 38.03.02, 38.03.06, 39.03.02, 42.03.01</t>
  </si>
  <si>
    <t>Рекомендовано в качестве учебного пособия для студентов высших учебных заведений, обучающихся по направлениям подготовки 38.03.02 «Менеджмент», 42.03.01 «Реклама и связи с общественностью», 38.03.06 «Торговое дело» (квалификация (степень) «бакалавр»)</t>
  </si>
  <si>
    <t>061950.18.01</t>
  </si>
  <si>
    <t>Психология и педагогика: Уч.пос. / Э.В.Островский, - 2 изд. - М.:Вуз. уч., НИЦ ИНФРА-М,2025 - 368 с.(п)</t>
  </si>
  <si>
    <t>ПСИХОЛОГИЯ И ПЕДАГОГИКА, ИЗД.2</t>
  </si>
  <si>
    <t>Островский Э. В., Чернышова Л. И.</t>
  </si>
  <si>
    <t>978-5-9558-0538-2</t>
  </si>
  <si>
    <t>Допущено Мин. обр. и науки РФ в качестве учебного пособия для студентов высших учебных заведений, обучающихся по экономическим специальностям</t>
  </si>
  <si>
    <t>471900.10.01</t>
  </si>
  <si>
    <t>Психология и психопат. познав. деят.: Уч.пос. / Г.Н.Носачев - М.: Форум, НИЦ ИНФРА-М, 2026 - 240 с.(ВО)(О)</t>
  </si>
  <si>
    <t>ПСИХОЛОГИЯ И ПСИХОПАТОЛОГИЯ ПОЗНАВАТЕЛЬНОЙ ДЕЯТЕЛЬНОСТИ (ОСНОВНЫЕ СИМПТОМЫ И СИНДРОМЫ), ИЗД.1</t>
  </si>
  <si>
    <t>Носачев Г.Н., Носачев И.Г.</t>
  </si>
  <si>
    <t>978-5-16-013634-9</t>
  </si>
  <si>
    <t>31.05.01, 37.03.01, 37.05.01</t>
  </si>
  <si>
    <t>Рекомендовано в качестве учебного пособия для студентов высших учебных заведений, обучающихся по направлению подготовки «Психология»</t>
  </si>
  <si>
    <t>Национальный медицинский исследовательский центр психиатрии и наркологии им. В.П. Сербского</t>
  </si>
  <si>
    <t>172350.10.01</t>
  </si>
  <si>
    <t>Психология и социология в рекламе: Уч.пос. / В.Л.Музыкант - М.:ИЦ РИОР, НИЦ ИНФРА-М,2025. - 218 с.(ВО)(п)</t>
  </si>
  <si>
    <t>ПСИХОЛОГИЯ И СОЦИОЛОГИЯ В РЕКЛАМЕ, ИЗД.1</t>
  </si>
  <si>
    <t>978-5-369-00990-1</t>
  </si>
  <si>
    <t>Допущено Учебно-методическим объединением по образованию в области коммерции и маркетинга в качестве учебного пособия для студентов высших учебных заведений, обучающихся по спец. 032401-Реклама, 080111-Маркетинг и по напр 100700-Торг. дело</t>
  </si>
  <si>
    <t>487500.05.01</t>
  </si>
  <si>
    <t>Психология личности и деятел. педагога: Уч.пос. / С.В.Духновский-М.:ИЦ РИОР,НИЦ ИНФРА-М,2024-300(ВО)</t>
  </si>
  <si>
    <t>ПСИХОЛОГИЯ ЛИЧНОСТИ И ДЕЯТЕЛЬНОСТИ ПЕДАГОГА, ИЗД.1</t>
  </si>
  <si>
    <t>Духновский С.В.</t>
  </si>
  <si>
    <t>978-5-369-01537-7</t>
  </si>
  <si>
    <t>37.03.01, 44.04.02</t>
  </si>
  <si>
    <t>271900.12.01</t>
  </si>
  <si>
    <t>Психология личности: Уч. / П.С.Гуревич, - 2 изд. - М.:НИЦ ИНФРА-М,2026. -  479 с.(ВО)(п)</t>
  </si>
  <si>
    <t>ПСИХОЛОГИЯ ЛИЧНОСТИ, ИЗД.2</t>
  </si>
  <si>
    <t>978-5-16-019349-6</t>
  </si>
  <si>
    <t>Рекомендовано в качестве учебника для студентов высших учебных заведений, обучающихся по направлениям подготовки 37.03.01 «Психология», 47.03.01 «Философия» (квалификация (степень) «бакалавр»)</t>
  </si>
  <si>
    <t>482350.08.01</t>
  </si>
  <si>
    <t>Психология массового поведения: Монография / В.А.Соснин - М.:Форум, НИЦ ИНФРА-М,2024 - 159 с.(о)</t>
  </si>
  <si>
    <t>ПСИХОЛОГИЯ МАССОВОГО ПОВЕДЕНИЯ, ИЗД.1</t>
  </si>
  <si>
    <t>Соснин В.А.</t>
  </si>
  <si>
    <t>978-5-00091-003-0</t>
  </si>
  <si>
    <t>651246.07.01</t>
  </si>
  <si>
    <t>Психология массовых коммуникаций: Уч. / А.М.Руденко - М.:ИЦ РИОР, НИЦ ИНФРА-М,2023 - 303 с.(ВО)(п)</t>
  </si>
  <si>
    <t>ПСИХОЛОГИЯ МАССОВЫХ КОММУНИКАЦИЙ, ИЗД.1</t>
  </si>
  <si>
    <t>Руденко А.М., Литвинова А.В.</t>
  </si>
  <si>
    <t>978-5-369-01663-3</t>
  </si>
  <si>
    <t>639469.08.01</t>
  </si>
  <si>
    <t>Психология межнац. отношений: Курс лекций / В.Г.Крысько - 2 изд. - М.:Вуз.уч.,НИЦ ИНФРА-М,2026 - 228 с.(П)</t>
  </si>
  <si>
    <t>ПСИХОЛОГИЯ МЕЖНАЦИОНАЛЬНЫХ ОТНОШЕНИЙ, ИЗД.2</t>
  </si>
  <si>
    <t>978-5-16-020191-7</t>
  </si>
  <si>
    <t>37.03.01, 37.04.01, 41.04.01, 51.03.02</t>
  </si>
  <si>
    <t>240200.07.01</t>
  </si>
  <si>
    <t>Психология менеджмента: Уч. пос. / Э.В. Островский - М.: Вуз. уч.:  НИЦ ИНФРА-М, 2023 - 240 с. (П)</t>
  </si>
  <si>
    <t>ПСИХОЛОГИЯ МЕНЕДЖМЕНТА, ИЗД.1</t>
  </si>
  <si>
    <t>978-5-9558-0340-1</t>
  </si>
  <si>
    <t>37.03.01, 37.04.01, 38.03.02, 38.04.02, 41.03.06, 42.03.01, 44.03.02, 44.04.02</t>
  </si>
  <si>
    <t>641989.05.01</t>
  </si>
  <si>
    <t>Психология обучения и воспитания...: Моногр./ Под ред. Кондратьева С.В.-М.:НИЦ ИНФРА-М,2024.-256 с(п)</t>
  </si>
  <si>
    <t>ПСИХОЛОГИЯ ОБУЧЕНИЯ И ВОСПИТАНИЯ: ГУМАНИТАРНАЯ ХРИСТИАНСКАЯ ПАРАДИГМА, ИЗД.1</t>
  </si>
  <si>
    <t>Карпиков А.А., Кондратьев С.В., Кондратьев С.В.</t>
  </si>
  <si>
    <t>978-5-16-012719-4</t>
  </si>
  <si>
    <t>37.03.01, 44.03.05, 44.04.02</t>
  </si>
  <si>
    <t>071870.22.01</t>
  </si>
  <si>
    <t>Психология общения. Практ.по психолог.: Уч.пос. / Н.С.Ефимова - М.:ИД ФОРУМ,НИЦ ИНФРА-М,2026 - 192 с.(СПО)(П)</t>
  </si>
  <si>
    <t>ПСИХОЛОГИЯ ОБЩЕНИЯ. ПРАКТИКУМ ПО ПСИХОЛОГИИ, ИЗД.1</t>
  </si>
  <si>
    <t>978-5-8199-0693-4</t>
  </si>
  <si>
    <t>00.01.04, 00.02.15, 09.02.06, 13.02.05, 26.02.04, 27.02.06, 38.02.02, 39.02.01, 43.02.15, 44.02.01, 44.02.02, 44.02.03, 44.02.04, 44.02.05, 44.02.06, 49.02.03</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</si>
  <si>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группе специальностей "Образование и педагогические науки"</t>
  </si>
  <si>
    <t>705966.11.01</t>
  </si>
  <si>
    <t>Психология общения. Практикум по психологии: Уч.пос. / Н.С.Ефимова - М.:НИЦ ИНФРА-М,2026. - 192 с.(ВО)(п)</t>
  </si>
  <si>
    <t>978-5-16-021555-6</t>
  </si>
  <si>
    <t>01.03.02, 07.03.01, 08.03.01, 19.03.03, 37.03.01, 37.04.01, 37.05.02, 38.03.01, 38.03.02, 38.03.03, 38.03.04, 38.03.06, 38.04.01, 38.04.02, 38.04.03, 38.04.04, 38.04.06, 38.05.02, 39.03.01, 39.03.02, 42.03.01, 42.04.01, 43.04.01, 44.03.05, 46.03.02, 51.03.03, 51.04.03</t>
  </si>
  <si>
    <t>Рекомендовано Учебно-методическим советом ВО в качестве учебного пособия для студентов высших учебных заведений, обучающихся по укрупненной группе специальностей 44.03.00 «Образование и педагогические науки» (квалификация (степень) «бакалавр»)</t>
  </si>
  <si>
    <t>664241.06.01</t>
  </si>
  <si>
    <t>Психология отношений на раб.: Практ.пос. / И.А.Шувалова - М.:ИЦ РИОР, НИЦ ИНФРА-М,2023-176с(Наука и прак.)(П)</t>
  </si>
  <si>
    <t>ПСИХОЛОГИЯ ОТНОШЕНИЙ НА РАБОТЕ, ИЗД.1</t>
  </si>
  <si>
    <t>978-5-369-01738-8</t>
  </si>
  <si>
    <t>21.02.18, 35.02.12, 37.03.01, 37.05.01, 38.02.03, 38.02.07, 43.02.16, 43.03.02, 43.03.03, 44.03.01, 44.03.05</t>
  </si>
  <si>
    <t>639844.06.01</t>
  </si>
  <si>
    <t>Психология познавательных процессов: Уч.пос. / З.А.Киреева - М.:ИЦ РИОР, НИЦ ИНФРА-М,2025. - 137 с.(О)</t>
  </si>
  <si>
    <t>ПСИХОЛОГИЯ ПОЗНАВАТЕЛЬНЫХ ПРОЦЕССОВ, ИЗД.1</t>
  </si>
  <si>
    <t>Киреева З.А.</t>
  </si>
  <si>
    <t>978-5-369-01613-8</t>
  </si>
  <si>
    <t>37.03.01, 44.03.04, 44.03.05</t>
  </si>
  <si>
    <t>726499.04.01</t>
  </si>
  <si>
    <t>Психология познания дош. в проф.-педагог. деят... / Г.А.Урунтаева - М.:НИЦ ИНФРА-М,2026 - 215 с.(О)</t>
  </si>
  <si>
    <t>ПСИХОЛОГИЯ ПОЗНАНИЯ ДОШКОЛЬНИКА В ПРОФЕССИОНАЛЬНО-ПЕДАГОГИЧЕСКОЙ ДЕЯТЕЛЬНОСТИ ВОСПИТАТЕЛЯ, ИЗД.1</t>
  </si>
  <si>
    <t>Урунтаева Г.А., Гошева Е.Н.</t>
  </si>
  <si>
    <t>978-5-16-015994-2</t>
  </si>
  <si>
    <t>275000.09.01</t>
  </si>
  <si>
    <t>Психология потребител. поведения...: Уч.пос. / Н.В.Антонова - М.:НИЦ ИНФРА-М,2027. - 325 с.(ВО)(п)</t>
  </si>
  <si>
    <t>ПСИХОЛОГИЯ ПОТРЕБИТЕЛЬСКОГО ПОВЕДЕНИЯ, РЕКЛАМЫ И PR, ИЗД.1</t>
  </si>
  <si>
    <t>Антонова Н.В., Патоша О.И.</t>
  </si>
  <si>
    <t>978-5-16-020792-6</t>
  </si>
  <si>
    <t>37.03.01, 37.04.01, 38.03.02, 38.04.02, 42.03.01, 42.04.01</t>
  </si>
  <si>
    <t>Рекомендовано в качестве учебного пособия для студентов высших учебных заведений, обучающихся по направлениям подготовки 37.04.01 «Психология», 42.04.01 «Реклама и связи с общественностью», 38.04.02 «Менеджмент» (квалификация (степень) «магистр»)</t>
  </si>
  <si>
    <t>657341.07.01</t>
  </si>
  <si>
    <t>Психология развит. и возраст. психология: Уч.пос. / Е.Е.Сапогова - 2 изд.-М.:НИЦ ИНФРА-М,2027-638с.(ВО)(п)</t>
  </si>
  <si>
    <t>ПСИХОЛОГИЯ РАЗВИТИЯ И ВОЗРАСТНАЯ ПСИХОЛОГИЯ, ИЗД.2</t>
  </si>
  <si>
    <t>978-5-16-020453-6</t>
  </si>
  <si>
    <t>37.03.01, 37.05.01, 37.05.02, 44.03.01, 44.03.05, 44.04.01</t>
  </si>
  <si>
    <t>473650.04.01</t>
  </si>
  <si>
    <t>Психология разрушения: Моногр. / Т.И.Чиркова - М.:Вуз.уч.:НИЦ ИНФРА-М,2025 - 192 с.(Науч. книга) (о)</t>
  </si>
  <si>
    <t>ПСИХОЛОГИЯ РАЗРУШЕНИЯ, ИЗД.1</t>
  </si>
  <si>
    <t>978-5-9558-0385-2</t>
  </si>
  <si>
    <t>727258.02.01</t>
  </si>
  <si>
    <t>Психология разрушения: Уч.пос. / Т.И.Чиркова - М.:НИЦ ИНФРА-М,2025 - 230 с.(ВО: Магистратура)(П)</t>
  </si>
  <si>
    <t>978-5-16-016099-3</t>
  </si>
  <si>
    <t>37.04.01, 37.05.01, 37.05.02, 47.04.01</t>
  </si>
  <si>
    <t>742521.06.01</t>
  </si>
  <si>
    <t>Психология региональных выборов: Моногр. / И.В.Грошев. - М.:НИЦ ИНФРА-М,2026. - 251 с.(Науч.мысль)(О)</t>
  </si>
  <si>
    <t>ПСИХОЛОГИЯ РЕГИОНАЛЬНЫХ ВЫБОРОВ: КАНДИДАТЫ И ИЗБИРАТЕЛИ, ИЗД.1</t>
  </si>
  <si>
    <t>Грошев И.В., Горбенко А.В., Давыдова Ю.А.</t>
  </si>
  <si>
    <t>978-5-16-016484-7</t>
  </si>
  <si>
    <t>39.04.01, 39.06.01, 41.04.04, 41.06.01</t>
  </si>
  <si>
    <t>Научно-исследовательский институт образования и науки</t>
  </si>
  <si>
    <t>239100.10.01</t>
  </si>
  <si>
    <t>Психология рекламы: Уч. пос. / Е.В. Маркова. - М.: Форум, 2026. - 152 с. (о)</t>
  </si>
  <si>
    <t>ПСИХОЛОГИЯ РЕКЛАМЫ, ИЗД.1</t>
  </si>
  <si>
    <t>Маркова Е. В.</t>
  </si>
  <si>
    <t>978-5-91134-815-1</t>
  </si>
  <si>
    <t>37.03.01, 38.03.01, 38.03.02, 42.03.01, 42.03.04, 42.03.05</t>
  </si>
  <si>
    <t>083840.12.01</t>
  </si>
  <si>
    <t>Психология рекламы: Уч. пос./ М.И. Тимофеев. - 2 изд. - М.: РИОР: ИНФРА-М, 2025. - 224 с. (ВО)</t>
  </si>
  <si>
    <t>ПСИХОЛОГИЯ РЕКЛАМЫ, ИЗД.2</t>
  </si>
  <si>
    <t>Тимофеев М. И.</t>
  </si>
  <si>
    <t>978-5-369-01373-1</t>
  </si>
  <si>
    <t>38.03.02, 38.03.06, 38.04.02, 41.03.06, 42.03.01, 42.03.05, 42.04.01, 42.04.05</t>
  </si>
  <si>
    <t>654724.03.01</t>
  </si>
  <si>
    <t>Психология российского и международного бизнеса: Моногр. / Е.А.Руднев-М.:НИЦ ИНФРА-М,2019-139с(О)</t>
  </si>
  <si>
    <t>ПСИХОЛОГИЯ РОССИЙСКОГО И МЕЖДУНАРОДНОГО БИЗНЕСА, ИЗД.1</t>
  </si>
  <si>
    <t>Руднев Е.А.</t>
  </si>
  <si>
    <t>978-5-16-012797-2</t>
  </si>
  <si>
    <t>38.03.01, 38.03.02, 38.03.03, 38.03.04, 38.04.01, 38.04.02, 38.04.03, 38.04.04, 43.03.02, 43.03.03</t>
  </si>
  <si>
    <t>795915.05.01</t>
  </si>
  <si>
    <t>Психология русского народа: Моногр. / Д.А.Севостьянов - М.:НИЦ ИНФРА-М,2027. - 356 с.(Науч.мысль)(п)</t>
  </si>
  <si>
    <t>ПСИХОЛОГИЯ РУССКОГО НАРОДА, ИЗД.1</t>
  </si>
  <si>
    <t>978-5-16-018304-6</t>
  </si>
  <si>
    <t>37.04.01, 37.04.02, 37.06.01, 39.04.01, 39.04.03, 39.06.01, 39.07.01, 41.04.02, 41.04.04, 41.04.05, 41.04.06, 41.06.01, 41.07.01, 47.04.01, 47.06.01, 47.07.01</t>
  </si>
  <si>
    <t>444950.12.01</t>
  </si>
  <si>
    <t>Психология самопрезентации личности: Моногр. / О.А.Пикулева - М.:НИЦ ИНФРА-М,2026 - 320 с.(Науч.мысль)(П)</t>
  </si>
  <si>
    <t>ПСИХОЛОГИЯ САМОПРЕЗЕНТАЦИИ ЛИЧНОСТИ, ИЗД.1</t>
  </si>
  <si>
    <t>Пикулева О.А.</t>
  </si>
  <si>
    <t>978-5-16-006926-5</t>
  </si>
  <si>
    <t>37.03.01, 38.03.01, 38.03.03, 38.04.03, 41.03.06, 42.03.01, 42.04.01</t>
  </si>
  <si>
    <t>117970.19.01</t>
  </si>
  <si>
    <t>Психология современного терроризма: Уч.пос. / В.А.Соснин, - 2 изд. - М.:НИЦ ИНФРА-М,2026. - 160 с.(ВО)(о)</t>
  </si>
  <si>
    <t>ПСИХОЛОГИЯ СОВРЕМЕННОГО ТЕРРОРИЗМА, ИЗД.2</t>
  </si>
  <si>
    <t>978-5-16-021552-5</t>
  </si>
  <si>
    <t>37.03.01, 37.03.02, 37.05.01, 37.05.02, 39.03.01, 39.03.02, 39.03.03</t>
  </si>
  <si>
    <t>Рекомендовано в качестве учебного пособия для студентов высших учебных заведений, обучающихся по направлениям подготовки 37.03.01 «Психология», 39.03.01 «Социология» (квалификация (степень) «бакалавр»)</t>
  </si>
  <si>
    <t>814943.02.01</t>
  </si>
  <si>
    <t>Психология стрессоуст. поведения в схемах и рисунках: Уч.пос. / М.А.Мадоян - М.:НИЦ ИНФРА-М,2026 - 185 с.(ВО)(п)</t>
  </si>
  <si>
    <t>ПСИХОЛОГИЯ СТРЕССОУСТОЙЧИВОГО ПОВЕДЕНИЯ В СХЕМАХ И РИСУНКАХ, ИЗД.1</t>
  </si>
  <si>
    <t>978-5-16-019327-4</t>
  </si>
  <si>
    <t>37.03.01, 37.03.02, 37.04.01, 37.04.02, 37.05.01, 37.05.02, 40.03.01, 40.04.01, 40.05.01, 40.05.02, 40.05.04, 44.05.01</t>
  </si>
  <si>
    <t>185050.11.01</t>
  </si>
  <si>
    <t>Психология суицидального терроризма...:Моногр./ Под ред. Журавлева А.Л.-М.:Форум, НИЦ ИНФРА-М,2023-256с.(О)</t>
  </si>
  <si>
    <t>ПСИХОЛОГИЯ СУИЦИДАЛЬНОГО ТЕРРОРИЗМА: ИСТОРИЧЕСКИЕ АНАЛОГИИ И ГЕОПОЛИТИЧЕСКИЕ ТЕНДЕНЦИИ В XXI ВЕКЕ, ИЗД.1</t>
  </si>
  <si>
    <t>Соснин В. А., Журавлев А. Л.</t>
  </si>
  <si>
    <t>978-5-00091-643-8</t>
  </si>
  <si>
    <t>642517.08.01</t>
  </si>
  <si>
    <t>Психология творческого мышления: Уч.пос. / М.М.Кашапов - М.:НИЦ ИНФРА-М,2027. - 436 с.(ВО)(п)</t>
  </si>
  <si>
    <t>ПСИХОЛОГИЯ ТВОРЧЕСКОГО МЫШЛЕНИЯ, ИЗД.1</t>
  </si>
  <si>
    <t>Кашапов М.М., Серова Ю.А., Жихарева Ю.Н. и др.</t>
  </si>
  <si>
    <t>978-5-16-019262-8</t>
  </si>
  <si>
    <t>37.03.01, 37.04.01, 44.03.01, 44.03.02, 44.03.04, 44.03.05, 44.04.01, 44.04.02, 44.04.04</t>
  </si>
  <si>
    <t>Рекомендовано в качестве учебного пособия для студентов высших учебных заведений, обучающихся по направлениям подготовки 37.03.01 «Психология» (квалификация (степень) «бакалавр»), 44.04.04 «Профессиональное обучение» (квалификация (степень) «магистр»)</t>
  </si>
  <si>
    <t>821916.02.01</t>
  </si>
  <si>
    <t>Психология телесности: Прак. пос. / В.В.Гребнева - М.:НИЦ ИНФРА-М,2026. - 184 с.(Наука и практика)(п)</t>
  </si>
  <si>
    <t>ПСИХОЛОГИЯ ТЕЛЕСНОСТИ, ИЗД.1</t>
  </si>
  <si>
    <t>978-5-16-020778-0</t>
  </si>
  <si>
    <t>37.03.01, 37.05.01, 37.06.01</t>
  </si>
  <si>
    <t>185800.13.01</t>
  </si>
  <si>
    <t>Психология эмоции. Классич. и совр. теории и исслед.: Уч.пос. / Ю.Е.Кравченко - М.:НИЦ ИНФРА-М,2026. - 544 с.(п)</t>
  </si>
  <si>
    <t>ПСИХОЛОГИЯ ЭМОЦИИ. КЛАССИЧЕСКИЕ И СОВРЕМЕННЫЕ ТЕОРИИ И ИССЛЕДОВАНИЯ, ИЗД.1</t>
  </si>
  <si>
    <t>Кравченко Ю.Е.</t>
  </si>
  <si>
    <t>978-5-16-021086-5</t>
  </si>
  <si>
    <t>37.03.01, 37.03.02, 37.04.01, 37.04.02, 37.05.01, 37.05.02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</si>
  <si>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37.00.00 «Психологические науки» (квалификация (степень) «бакалавр») (протокол № 5 от 11.03.2019)</t>
  </si>
  <si>
    <t>407300.10.01</t>
  </si>
  <si>
    <t>Психология. Курс лекций: Уч.пос. / В.Г.Крысько - М.:Вуз. уч.,НИЦ ИНФРА-М,2023 - 251 с.(П)</t>
  </si>
  <si>
    <t>ПСИХОЛОГИЯ. КУРС ЛЕКЦИЙ, ИЗД.1</t>
  </si>
  <si>
    <t>978-5-9558-0249-7</t>
  </si>
  <si>
    <t>719348.03.01</t>
  </si>
  <si>
    <t>Психология. Курс лекций: Уч.пос. / В.Г.Крысько-М.:Вуз. уч., НИЦ ИНФРА-М,2023-251 с.(СПО)(П)</t>
  </si>
  <si>
    <t>978-5-9558-0638-9</t>
  </si>
  <si>
    <t>00.01.04, 00.02.15</t>
  </si>
  <si>
    <t>270400.10.01</t>
  </si>
  <si>
    <t>Психология: Уч. / П.С. Гуревич. - 2 изд. - М.: НИЦ ИНФРА-М, 2025. - 332 с.(ВО:Бакалавр.)(п)</t>
  </si>
  <si>
    <t>ПСИХОЛОГИЯ, ИЗД.2</t>
  </si>
  <si>
    <t>978-5-16-009651-3</t>
  </si>
  <si>
    <t>646175.06.01</t>
  </si>
  <si>
    <t>Психология: Уч. пос. / Т.В.Мальцева - М.:ИЦ РИОР, НИЦ ИНФРА-М,2025. - 275 с..-(ВО)(п)</t>
  </si>
  <si>
    <t>ПСИХОЛОГИЯ, ИЗД.1</t>
  </si>
  <si>
    <t>978-5-369-01639-8</t>
  </si>
  <si>
    <t>640360.07.01</t>
  </si>
  <si>
    <t>Психолого-педагог. поддержка  семьи ребенка с...: Уч. / Е.А.Стребелева - М.:НИЦ ИНФРА-М,2026. - 184 с.(П)</t>
  </si>
  <si>
    <t>ПСИХОЛОГО-ПЕДАГОГИЧЕСКАЯ ПОДДЕРЖКА  СЕМЬИ РЕБЕНКА С ОГРАНИЧЕННЫМИ ВОЗМОЖНОСТЯМИ ЗДОРОВЬЯ, ИЗД.1</t>
  </si>
  <si>
    <t>Стребелева Е.А., Мишина Г.А.</t>
  </si>
  <si>
    <t>978-5-16-018799-0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</si>
  <si>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(квалификация (степень) «бакалавр») (протокол № 13 от 16.09.2019)</t>
  </si>
  <si>
    <t>695781.02.01</t>
  </si>
  <si>
    <t>Психолого-педагог. теории и технологии нач. обр.: Уч.метод. пос. / С.В.Пазухина-М.:НИЦ ИНФРА-М,2023-231 с.(ВО)(П)</t>
  </si>
  <si>
    <t>ПСИХОЛОГО-ПЕДАГОГИЧЕСКИЕ ТЕОРИИ И ТЕХНОЛОГИИ НАЧАЛЬНОГО ОБРАЗОВАНИЯ, ИЗД.1</t>
  </si>
  <si>
    <t>Пазухина С.В., Шайденкова Т.Н.</t>
  </si>
  <si>
    <t>978-5-16-014737-6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</si>
  <si>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 (протокол № 11 от 26.10.2020)</t>
  </si>
  <si>
    <t>864803.01.01</t>
  </si>
  <si>
    <t>Психолого-педагогич. основы профилактики экстремизма...: Уч.пос. / В.В.Киселев - М.:НИЦ ИНФРА-М,2027. - 188 с.(п)</t>
  </si>
  <si>
    <t>ПСИХОЛОГО-ПЕДАГОГИЧЕСКИЕ ОСНОВЫ ПРОФИЛАКТИКИ ЭКСТРЕМИЗМА И ТЕРРОРИЗМА В МОЛОДЕЖНОЙ СРЕДЕ, ИЗД.1</t>
  </si>
  <si>
    <t>Киселев В.В., Климова Е.М.</t>
  </si>
  <si>
    <t>978-5-16-021701-7</t>
  </si>
  <si>
    <t>37.04.02, 39.03.03, 44.03.01, 44.03.02, 44.03.05, 44.04.01, 44.04.02, 48.04.01</t>
  </si>
  <si>
    <t>729725.07.01</t>
  </si>
  <si>
    <t>Психолого-педагогич. поддержка семьи ребенка с огранич....: Уч. / Е.А.Стребелева - М.:НИЦ ИНФРА-М,2026. - 178 с.(П)</t>
  </si>
  <si>
    <t>ПСИХОЛОГО-ПЕДАГОГИЧЕСКАЯ ПОДДЕРЖКА СЕМЬИ РЕБЕНКА С ОГРАНИЧЕННЫМИ ВОЗМОЖНОСТЯМИ ЗДОРОВЬЯ, ИЗД.1</t>
  </si>
  <si>
    <t>978-5-16-015921-8</t>
  </si>
  <si>
    <t>39.02.01, 44.02.01, 44.02.02, 44.02.03, 44.02.04, 44.02.05, 44.02.06, 49.02.01, 49.02.02, 51.02.01, 53.02.01, 54.02.06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</si>
  <si>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14 от 30.09.2019)</t>
  </si>
  <si>
    <t>479400.08.01</t>
  </si>
  <si>
    <t>Психолого-педагогич. сопровождение образоват..: Уч.пос. / Б.Р.Мандель - М.:НИЦ ИНФРА-М,2026. - 152 с.(ВО)(о)</t>
  </si>
  <si>
    <t>ПСИХОЛОГО-ПЕДАГОГИЧЕСКОЕ СОПРОВОЖДЕНИЕ ОБРАЗОВАТЕЛЬНОГО ПРОЦЕССА, ИЗД.1</t>
  </si>
  <si>
    <t>978-5-16-021132-9</t>
  </si>
  <si>
    <t>44.04.02</t>
  </si>
  <si>
    <t>843030.01.01</t>
  </si>
  <si>
    <t>Психолого-педагогич. техн. раб. с субъект. инклюзив..: Уч.пос. / П.И.Беляева - М.:НИЦ ИНФРА-М,2025 - 239 с.(ВО)(п)</t>
  </si>
  <si>
    <t>ПСИХОЛОГО-ПЕДАГОГИЧЕСКИЕ ТЕХНОЛОГИИ РАБОТЫ С СУБЪЕКТАМИ ИНКЛЮЗИВНОГО ОБРАЗОВАНИЯ, ИЗД.1</t>
  </si>
  <si>
    <t>Александрова Л.Ю., Беляева П.И., Березина П.А. и др.</t>
  </si>
  <si>
    <t>978-5-16-020549-6</t>
  </si>
  <si>
    <t>44.03.03, 44.04.01</t>
  </si>
  <si>
    <t>426150.06.01</t>
  </si>
  <si>
    <t>Психолого-педагогические осн. подгот. препод. иностр. яз..:Моногр./ Л.В.Губанова-ИНФРА-М,2024-289с(О)</t>
  </si>
  <si>
    <t>ПСИХОЛОГО-ПЕДАГОГИЧЕСКИЕ ОСНОВЫ ПОДГОТОВКИ ПРЕПОДАВАТЕЛЕЙ ИНОСТРАННЫХ ЯЗЫКОВ (В УСЛОВИЯХ РАБОТЫ В НЕЯЗЫКОВЫХ УЧЕБНЫХ ЗАВЕДЕНИЯХ), ИЗД.1</t>
  </si>
  <si>
    <t>978-5-16-006603-5</t>
  </si>
  <si>
    <t>44.03.02, 44.04.02, 45.03.01, 45.04.01</t>
  </si>
  <si>
    <t>642420.12.01</t>
  </si>
  <si>
    <t>Психофизиология проф. деят.: умственный труд: Уч.пос. / Е.В.Сухова - М.:НИЦ ИНФРА-М,2027 - 155 с.(ВО)(о)</t>
  </si>
  <si>
    <t>ПСИХОФИЗИОЛОГИЯ ПРОФЕССИОНАЛЬНОЙ ДЕЯТЕЛЬНОСТИ: УМСТВЕННЫЙ ТРУД, ИЗД.1</t>
  </si>
  <si>
    <t>978-5-16-021094-0</t>
  </si>
  <si>
    <t>Рекомендовано в качестве учебного пособия для студентов высших учебных заведений, обучающихся по направлениям подготовки 38.03.03 «Управление персоналом», 38.03.02 «Менеджмент» (квалификация (степень) «бакалавр»)</t>
  </si>
  <si>
    <t>346500.15.01</t>
  </si>
  <si>
    <t>Психофизиология: общая, возрастная, дифференц...: Уч. / Т.М.Марютина - М.:НИЦ ИНФРА-М,2026 - 436 с.(ВО)(п)</t>
  </si>
  <si>
    <t>ПСИХОФИЗИОЛОГИЯ: ОБЩАЯ, ВОЗРАСТНАЯ, ДИФФЕРЕНЦИАЛЬНАЯ, КЛИНИЧЕСКАЯ, ИЗД.1</t>
  </si>
  <si>
    <t>Марютина Т.М.</t>
  </si>
  <si>
    <t>978-5-16-018805-8</t>
  </si>
  <si>
    <t>Рекомендовано в качестве учебника для студентов высших учебных заведений, обучающихся по направлению подготовки 37.03.01 «Психология» (квалификация (степень) «бакалавр»)</t>
  </si>
  <si>
    <t>464650.11.01</t>
  </si>
  <si>
    <t>Психофизиология: Уч.пос. / С.Г.Кривощеков - М.:НИЦ ИНФРА-М,2026 - 249 с.-(ВО)(П)</t>
  </si>
  <si>
    <t>ПСИХОФИЗИОЛОГИЯ, ИЗД.1</t>
  </si>
  <si>
    <t>С.Г.Кривощеков, Р.И.Айзман</t>
  </si>
  <si>
    <t>978-5-16-009649-0</t>
  </si>
  <si>
    <t>31.05.01, 31.05.02, 32.04.01, 32.05.01, 33.05.01, 34.03.01, 37.03.01, 37.03.02, 37.05.01, 37.05.02, 44.03.01, 44.04.01</t>
  </si>
  <si>
    <t>Рекомендовано Региональным центром Сибирского федерального округа по развитию преподавания безопасности жизнедеятельности в качестве учебного пособия для студентов педагогического направления 44.03.01, 44.04.01, профилей «Безопасность жизнедеятельности», «Биология» и «Психология»</t>
  </si>
  <si>
    <t>227900.16.01</t>
  </si>
  <si>
    <t>Психофизиология: Уч.пос. / Ю.Н.Самко - М.:НИЦ ИНФРА-М,2026 - 155 с.(ВО)(П)</t>
  </si>
  <si>
    <t>978-5-16-011402-6</t>
  </si>
  <si>
    <t>06.03.01, 06.04.01, 30.05.02, 31.05.01, 31.05.02, 37.03.01, 37.04.01, 37.05.01</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</si>
  <si>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06.03.01 «Биология», 37.03.01 «Психология» (квалификация (степень) «бакалавр»)</t>
  </si>
  <si>
    <t>866529.01.01</t>
  </si>
  <si>
    <t>Психофизическое единство в психолого - педагог. сис./ Е.А.Макарова - М.:НИЦ ИНФРА-М,2026. - 212 с.(о)</t>
  </si>
  <si>
    <t>ПСИХОФИЗИЧЕСКОЕ ЕДИНСТВО В ПСИХОЛОГО-ПЕДАГОГИЧЕСКОЙ СИСТЕМЕ П.Ф. ЛЕСГАФТА: ОТ ТЕОРИИ К СОВРЕМЕННОЙ ПРАКТИКЕ, ИЗД.1</t>
  </si>
  <si>
    <t>Макарова Е.А., Потапова А.А.</t>
  </si>
  <si>
    <t>978-5-16-021594-5</t>
  </si>
  <si>
    <t>689984.08.01</t>
  </si>
  <si>
    <t>Птицеводство: Уч. / Под общ. ред. В.А.Реймера - М.:НИЦ ИНФРА-М,2026 - 389 с.(ВО)(П)</t>
  </si>
  <si>
    <t>ПТИЦЕВОДСТВО, ИЗД.1</t>
  </si>
  <si>
    <t>Реймер В.А.</t>
  </si>
  <si>
    <t>978-5-16-020063-7</t>
  </si>
  <si>
    <t>35.03.07, 36.03.02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</si>
  <si>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36.03.02 «Зоотехния», 35.03.07 «Технология производства и переработки сельскохозяйственной продукции» (квалификация (степень) «бакалавр») (протокол № 11 от 10.06.2019)</t>
  </si>
  <si>
    <t>704207.03.01</t>
  </si>
  <si>
    <t>Публичная собственность: опыт конст.-прав. осмысления: Моногр./ М.В.Бородач - М.:Юр.Норма,2022 - 576 с(П)</t>
  </si>
  <si>
    <t>ПУБЛИЧНАЯ СОБСТВЕННОСТЬ: ОПЫТ КОНСТИТУЦИОННО-ПРАВОВОГО ОСМЫСЛЕНИЯ, ИЗД.1</t>
  </si>
  <si>
    <t>Бородач М.В.</t>
  </si>
  <si>
    <t>978-5-91768-608-0</t>
  </si>
  <si>
    <t>768264.01.01</t>
  </si>
  <si>
    <t>Публично-правовое значение актов гражданского сост...: Моногр. / И.А.Трофимец - М.:НИЦ ИНФРА-М,2022 - 160с(О)</t>
  </si>
  <si>
    <t>ПУБЛИЧНО-ПРАВОВОЕ ЗНАЧЕНИЕ АКТОВ ГРАЖДАНСКОГО СОСТОЯНИЯ (НА ПРИМЕРЕ ЗАКОНОДАТЕЛЬСТВА РОССИИ И ИСПАНИИ), ИЗД.1</t>
  </si>
  <si>
    <t>Трофимец И.А.</t>
  </si>
  <si>
    <t>978-5-16-017357-3</t>
  </si>
  <si>
    <t>141750.08.01</t>
  </si>
  <si>
    <t>Публично-правовое образование / В.Е. Чиркин. - М.: Норма:  ИНФРА-М, 2026. - 336 с. (п)</t>
  </si>
  <si>
    <t>ПУБЛИЧНО-ПРАВОВОЕ ОБРАЗОВАНИЕ, ИЗД.1</t>
  </si>
  <si>
    <t>978-5-91768-140-5</t>
  </si>
  <si>
    <t>825375.03.01</t>
  </si>
  <si>
    <t>Публично-правовое регулир. миграции в РФ: Моногр. / О.В.Катаева - М.:НИЦ ИНФРА-М,2026. - 261 с.(п)</t>
  </si>
  <si>
    <t>ПУБЛИЧНО-ПРАВОВОЕ РЕГУЛИРОВАНИЕ МИГРАЦИИ В РОССИЙСКОЙ ФЕДЕРАЦИИ, ИЗД.1</t>
  </si>
  <si>
    <t>Катаева О.В.</t>
  </si>
  <si>
    <t>978-5-16-019899-6</t>
  </si>
  <si>
    <t>40.04.01, 40.06.01, 41.04.01, 41.04.04, 41.06.01</t>
  </si>
  <si>
    <t>867047.01.01</t>
  </si>
  <si>
    <t>Публично-правовое регулир. тамож. контроля и надзора в РФ...: Моногр. / С.А.Агамагомедова - М.:НИЦ ИНФРА-М,2026. - 431 с.(п)</t>
  </si>
  <si>
    <t>ПУБЛИЧНО-ПРАВОВОЕ РЕГУЛИРОВАНИЕ ТАМОЖЕННОГО КОНТРОЛЯ И НАДЗОРА В РОССИЙСКОЙ ФЕДЕРАЦИИ В УСЛОВИЯХ ЕВРАЗИЙСКОЙ ИНТЕГРАЦИИ, ИЗД.1</t>
  </si>
  <si>
    <t>978-5-16-021566-2</t>
  </si>
  <si>
    <t>38.04.01, 38.05.02, 38.06.01, 40.04.01, 40.05.01, 40.06.01</t>
  </si>
  <si>
    <t>871359.01.01</t>
  </si>
  <si>
    <t>Публично-правовое регулирование информационных технологий: монография / Е.В.Холодная-М.:НИЦ ИНФРА-М,2027.-179 с..-(Науч.мысль)(п)</t>
  </si>
  <si>
    <t>ПУБЛИЧНО-ПРАВОВОЕ РЕГУЛИРОВАНИЕ ИНФОРМАЦИОННЫХ ТЕХНОЛОГИЙ, ИЗД.1</t>
  </si>
  <si>
    <t>Холодная Е.В.</t>
  </si>
  <si>
    <t>978-5-16-021822-9</t>
  </si>
  <si>
    <t>10.05.03, 10.05.04, 10.05.05, 38.03.01, 38.03.05, 38.04.05, 38.05.02, 40.05.02, 40.05.04, 40.06.01, 46.03.02</t>
  </si>
  <si>
    <t>664198.02.01</t>
  </si>
  <si>
    <t>Публичные доходы в РФ: фин.-прав.аспект: Моногр. / Н.В.Васильева-М.:Юр.Норма, НИЦ ИНФРА-М,2019-304с.</t>
  </si>
  <si>
    <t>ПУБЛИЧНЫЕ ДОХОДЫ В РФ: ФИНАНСОВО-ПРАВОВОЙ АСПЕКТ, ИЗД.1</t>
  </si>
  <si>
    <t>Васильева Н.В., Грачева Е.Ю.</t>
  </si>
  <si>
    <t>978-5-91768-851-0</t>
  </si>
  <si>
    <t>38.04.01, 38.04.02, 38.04.04, 38.04.08, 40.04.01</t>
  </si>
  <si>
    <t>699390.02.01</t>
  </si>
  <si>
    <t>Публичный контроль во Франции: Моногр. / А.Н.Пилипенко - М.:НИЦ ИНФРА-М,2023 - 256 с.-(ИЗиСП)(П)</t>
  </si>
  <si>
    <t>ПУБЛИЧНЫЙ КОНТРОЛЬ ВО ФРАНЦИИ, ИЗД.1</t>
  </si>
  <si>
    <t>Пилипенко А.Н.</t>
  </si>
  <si>
    <t>978-5-16-014700-0</t>
  </si>
  <si>
    <t>774775.01.01</t>
  </si>
  <si>
    <t>Пути и средства обеспечения преемственности обуч... / М.А.Родионов-М.:НИЦ ИНФРА-М,2023.-216 с.(о)</t>
  </si>
  <si>
    <t>ПУТИ И СРЕДСТВА ОБЕСПЕЧЕНИЯ ПРЕЕМСТВЕННОСТИ ОБУЧЕНИЯ МЕЖДУ ШКОЛОЙ И ВОЕННЫМ ВУЗОМ (НА МАТЕРИАЛЕ МАТЕМАТИКИ И ИНФОРМАТИКИ), ИЗД.1</t>
  </si>
  <si>
    <t>Родионов М.А., Гусева Е.В., Шабанов Г.И.</t>
  </si>
  <si>
    <t>978-5-16-017700-7</t>
  </si>
  <si>
    <t>680118.02.01</t>
  </si>
  <si>
    <t>Пути развития словацкой литер. XIX -начала XXI века: Моногр./А.Г.Машкова-М.:НИЦ ИНФРА-М,2019-289с(П)</t>
  </si>
  <si>
    <t>ПУТИ РАЗВИТИЯ СЛОВАЦКОЙ ЛИТЕРАТУРЫ XIX - НАЧАЛА XXI ВЕКА, ИЗД.1</t>
  </si>
  <si>
    <t>Машкова А.Г.</t>
  </si>
  <si>
    <t>978-5-16-013769-8</t>
  </si>
  <si>
    <t>44.03.05, 51.03.01, 51.03.06, 52.03.04, 52.03.05</t>
  </si>
  <si>
    <t>636876.07.01</t>
  </si>
  <si>
    <t>Пути формирования наглядных форм мышления...: Моногр. / Е.А.Стребелева - М.:НИЦ ИНФРА-М,2026 - 210 с.(П)</t>
  </si>
  <si>
    <t>ПУТИ ФОРМИРОВАНИЯ  НАГЛЯДНЫХ ФОРМ МЫШЛЕНИЯ У ДОШКОЛЬНИКОВ С НАРУШЕНИЕМ ИНТЕЛЛЕКТА, ИЗД.1</t>
  </si>
  <si>
    <t>Стребелева Е.А.</t>
  </si>
  <si>
    <t>978-5-16-012184-0</t>
  </si>
  <si>
    <t>306900.11.01</t>
  </si>
  <si>
    <t>Пчеловодство: Уч. / Н.Н.Харченко - 2 изд. - М.:НИЦ ИНФРА-М,2026. - 383 с.(ВО)</t>
  </si>
  <si>
    <t>ПЧЕЛОВОДСТВО, ИЗД.2</t>
  </si>
  <si>
    <t>Н.Н.Харченко, В.Е.Рындин</t>
  </si>
  <si>
    <t>978-5-16-022230-1</t>
  </si>
  <si>
    <t>Рекомендовано в качестве учебника для студентов высших учебных заведений, обучающихся по направлениям подготовки 35.03.03 «Агрохимия и почвоведение", 35.03.05 «Агрохимия», 35.03.06 «Садоводство", 35.03.01 «Лесное дело", 05.03.06 «Экология и природопо</t>
  </si>
  <si>
    <t>828958.02.01</t>
  </si>
  <si>
    <t>Работа номеров расчета Д-30 при подг. матер. части..: Уч.пос. / В.А.Мельничук - М.:НИЦ ИНФРА-М,2026 - 140 с.(ВО)(п)</t>
  </si>
  <si>
    <t>РАБОТА НОМЕРОВ РАСЧЕТА Д-30 ПРИ ПОДГОТОВКЕ МАТЕРИАЛЬНОЙ ЧАСТИ ГАУБИЦЫ И БОЕПРИПАСОВ К БОЕВОМУ ПРИМЕНЕНИЮ, ИЗД.1</t>
  </si>
  <si>
    <t>978-5-16-019959-7</t>
  </si>
  <si>
    <t>56.04.02, 56.04.03, 56.04.04, 56.07.01</t>
  </si>
  <si>
    <t>153750.09.01</t>
  </si>
  <si>
    <t>Работа психолога в многонациональной школе: Уч. пос. / О.В.Хухлаева - М.: Форум, 2026-176с. (ВО) (о)</t>
  </si>
  <si>
    <t>РАБОТА ПСИХОЛОГА В МНОГОНАЦИОНАЛЬНОЙ ШКОЛЕ, ИЗД.1</t>
  </si>
  <si>
    <t>Хухлаева О. В., Чибисова М. Ю.</t>
  </si>
  <si>
    <t>978-5-91134-537-2</t>
  </si>
  <si>
    <t>37.03.01, 37.04.01, 44.03.02, 44.03.04, 44.03.05, 44.04.02</t>
  </si>
  <si>
    <t>210300.14.01</t>
  </si>
  <si>
    <t>Работа с командой: психологические возможности. Практ. / В.В.Авдеев - М.:КУРС: ИНФРА-М,2025-152с.(П)</t>
  </si>
  <si>
    <t>РАБОТА С КОМАНДОЙ: ПСИХОЛОГИЧЕСКИЕ ВОЗМОЖНОСТИ: ПРАКТИКУМ, ИЗД.1</t>
  </si>
  <si>
    <t>Авдеев В.В.</t>
  </si>
  <si>
    <t>978-5-905554-35-3</t>
  </si>
  <si>
    <t>23.03.01, 31.02.04, 37.03.01, 37.04.01, 38.02.03, 38.02.07, 38.02.08, 38.03.01, 38.03.03, 41.03.06, 44.03.01, 44.03.02, 44.04.02, 51.03.02</t>
  </si>
  <si>
    <t>210300.16.01</t>
  </si>
  <si>
    <t>Работа с командой: психологические возможности. Практ. / В.В.Авдеев - М.:КУРС: ИНФРА-М,2026 - 152 с.(О)</t>
  </si>
  <si>
    <t>243900.07.01</t>
  </si>
  <si>
    <t>Рабочая тетр. по первой, общей части технич. графики: Уч. пос. / Е.А.Василенко - М:ИНФРА-М,2024-112с.(СПО)(О)</t>
  </si>
  <si>
    <t>РАБОЧАЯ ТЕТРАДЬ ПО ПЕРВОЙ, ОБЩЕЙ ЧАСТИ ТЕХНИЧЕСКОЙ ГРАФИКИ, ИЗД.1</t>
  </si>
  <si>
    <t>Василенко Е. А., Перегуд М. В., Чекмарев А. А.</t>
  </si>
  <si>
    <t>978-5-16-009273-7</t>
  </si>
  <si>
    <t>00.02.31, 26.02.04, 54.02.01</t>
  </si>
  <si>
    <t>073770.07.01</t>
  </si>
  <si>
    <t>Рабочая тетрадь по курсу макроэкономики / Р.М. Нуреев,Н.А. Нуреева - М.: НОРМА, 2026. - 112 с.(о)</t>
  </si>
  <si>
    <t>РАБОЧАЯ ТЕТРАДЬ ПО КУРСУ МАКРОЭКОНОМИКИ, ИЗД.1</t>
  </si>
  <si>
    <t>Нуреев Р.М., Нуреева Н.А.</t>
  </si>
  <si>
    <t>978-5-468-00008-3</t>
  </si>
  <si>
    <t>073740.10.01</t>
  </si>
  <si>
    <t>Рабочая тетрадь по курсу микроэкономики / Р.М.Нуреев - М.:Юр.Норма, НИЦ ИНФРА-М,2026. - 176 с.(О)</t>
  </si>
  <si>
    <t>РАБОЧАЯ ТЕТРАДЬ ПО КУРСУ МИКРОЭКОНОМИКИ, ИЗД.1</t>
  </si>
  <si>
    <t>978-5-91768-563-2</t>
  </si>
  <si>
    <t>842762.01.01</t>
  </si>
  <si>
    <t>Рабочее время по труд. праву России: Моногр. / И.И.Андриановская - М.:НИЦ ИНФРА-М,2025. - 178 с.(Науч.мысль)(о)</t>
  </si>
  <si>
    <t>РАБОЧЕЕ ВРЕМЯ ПО ТРУДОВОМУ ПРАВУ РОССИИ (ПРОДОЛЖИТЕЛЬНОСТЬ, РАСПРЕДЕЛЕНИЕ, УЧЁТ), ИЗД.1</t>
  </si>
  <si>
    <t>Андриановская И.И.</t>
  </si>
  <si>
    <t>978-5-16-020375-1</t>
  </si>
  <si>
    <t>38.03.01, 38.03.03, 38.03.04, 38.05.01, 38.05.02, 40.03.01, 40.05.01, 40.05.02, 40.05.03, 40.05.04</t>
  </si>
  <si>
    <t>Российская государственная академия интеллектуальной собственности</t>
  </si>
  <si>
    <t>475500.10.01</t>
  </si>
  <si>
    <t>Равноправие и равенство: Моногр. / В.Н.Кудрявцев - М.:Юр.Норма, НИЦ ИНФРА-М,2026 - 184 с.(П)</t>
  </si>
  <si>
    <t>РАВНОПРАВИЕ И РАВЕНСТВО, ИЗД.1</t>
  </si>
  <si>
    <t>978-5-91768-705-6</t>
  </si>
  <si>
    <t>39.04.01</t>
  </si>
  <si>
    <t>701970.12.01</t>
  </si>
  <si>
    <t>Радиационная, химическая и биолог. защита: Уч.пос. / И.Ю.Лепешинский - М.:НИЦ ИНФРА-М,2027 - 242 с.(П)</t>
  </si>
  <si>
    <t>РАДИАЦИОННАЯ, ХИМИЧЕСКАЯ И БИОЛОГИЧЕСКАЯ ЗАЩИТА, ИЗД.1</t>
  </si>
  <si>
    <t>Лепешинский И.Ю., Кутепов В.А., Погодаев В.П.</t>
  </si>
  <si>
    <t>978-5-16-014997-4</t>
  </si>
  <si>
    <t>32.05.01, 56.05.01, 56.05.02, 56.05.03, 56.05.05, 57.05.01, 57.05.02, 57.05.03</t>
  </si>
  <si>
    <t>795714.07.01</t>
  </si>
  <si>
    <t>Радиационная, химическая и биологическая защита: Уч. / Ю.Б.Байрамуков - М.:НИЦ ИНФРА-М,2027. - 224 с.(п)</t>
  </si>
  <si>
    <t>Байрамуков Ю.Б., Анакин М.Ф., Янович В.С. и др.</t>
  </si>
  <si>
    <t>978-5-16-018093-9</t>
  </si>
  <si>
    <t>20.03.01, 23.04.02, 56.05.01, 56.05.02, 56.05.03, 56.05.04, 56.05.05, 57.05.01, 57.05.02, 57.05.03</t>
  </si>
  <si>
    <t>Рекомендуется федеральным государственным казенным военным образовательным учреждением высшего профессионального образования Военным учебно-научным центром Сухопутных войск «Общевойсковая академия Вооруженных Сил Российской Федерации» в качестве учебника для курсантов учебных военных центров и студентов военных кафедр при высших учебных заведениях, обучающихся по военно-учетным специальностям 444000 и 445000</t>
  </si>
  <si>
    <t>398400.11.01</t>
  </si>
  <si>
    <t>Радиоавтоматика: Уч. / Г.Н.Арсеньев - 2 изд. - М.:ИД Форум, НИЦ ИНФРА-М,2026 - 592 с.(ВО)(П)</t>
  </si>
  <si>
    <t>РАДИОАВТОМАТИКА, ИЗД.2</t>
  </si>
  <si>
    <t>Арсеньев Г.Н., Замуруев С.Н.</t>
  </si>
  <si>
    <t>978-5-8199-0823-5</t>
  </si>
  <si>
    <t>11.03.01, 11.03.02, 11.03.03</t>
  </si>
  <si>
    <t>Допущено Министерством обороны Российской Федерации в качестве учебника для курсантов и слушателей высших военно-учебных заведений Космических войск, обучающихся по направлению подготовки «Радиотехника»</t>
  </si>
  <si>
    <t>658927.13.01</t>
  </si>
  <si>
    <t>Радиолокационные системы: Уч. / В.П.Бердышев. - М.:НИЦ ИНФРА-М, СФУ,2027 - 400 с.(Военное обр. (СФУ))(П)</t>
  </si>
  <si>
    <t>РАДИОЛОКАЦИОННЫЕ СИСТЕМЫ, ИЗД.1</t>
  </si>
  <si>
    <t>Бердышев В.П., Гарин Е.Н., Фомин А.Н. и др.</t>
  </si>
  <si>
    <t>978-5-16-016103-7</t>
  </si>
  <si>
    <t>11.03.01, 11.03.04</t>
  </si>
  <si>
    <t>Допущено Министерством обороны Российской Федерации в качестве учебника для студентов военных кафедр и курсантов учебных военных центров Военно-воздушных сил, обучающихся по военно-учетной специальности «Эксплуатация и ремонт радиолокационных комплексов противовоздушной обороны Военно-воздушных сил»</t>
  </si>
  <si>
    <t>687325.07.01</t>
  </si>
  <si>
    <t>Радионавигационные сис. аэропортов и воздуш. трасс: Уч. / О.Н.Скрыпник - М.:НИЦ ИНФРА-М,2026 - 325 с.(ВО)(П)</t>
  </si>
  <si>
    <t>РАДИОНАВИГАЦИОННЫЕ СИСТЕМЫ АЭРОПОРТОВ И ВОЗДУШНЫХ ТРАСС, ИЗД.1</t>
  </si>
  <si>
    <t>Скрыпник О.Н.</t>
  </si>
  <si>
    <t>978-5-16-021111-4</t>
  </si>
  <si>
    <t>11.03.01, 11.04.01, 11.05.01, 25.05.03</t>
  </si>
  <si>
    <t>Белорусская государственная академия авиации</t>
  </si>
  <si>
    <t>843790.01.01</t>
  </si>
  <si>
    <t>Радионавигационные сис. аэропортов и воздушных трасс: Уч. / О.Н.Скрыпник - М.:НИЦ ИНФРА-М,2025. - 325 с.(СПО)(п)</t>
  </si>
  <si>
    <t>978-5-16-020402-4</t>
  </si>
  <si>
    <t>11.02.06, 11.02.07, 11.02.18, 12.02.03, 25.02.03, 25.02.04, 25.02.05</t>
  </si>
  <si>
    <t>203600.14.01</t>
  </si>
  <si>
    <t>Радионавигационные системы воздушных судов: Уч. / О.Н.Скрыпник  - М.:НИЦ ИНФРА-М,2026. - 348 с.(ВО)(П)</t>
  </si>
  <si>
    <t>РАДИОНАВИГАЦИОННЫЕ СИСТЕМЫ ВОЗДУШНЫХ СУДОВ, ИЗД.1</t>
  </si>
  <si>
    <t>Скрыпник О. Н.</t>
  </si>
  <si>
    <t>978-5-16-016434-2</t>
  </si>
  <si>
    <t>25.03.02, 25.03.03, 25.04.03, 25.05.03</t>
  </si>
  <si>
    <t>Рекомендовано советом УМО вузов по образованию в области эксплуатации авиационной и космической техники для межвузовского использования в качестве учебного пособия для студентов высших учебных заведений по специальности 25.05.03  «Техническая эксплуатация транспортного радиооборудования»</t>
  </si>
  <si>
    <t>203600.07.01</t>
  </si>
  <si>
    <t>Радионавигационные системы воздушных судов: Уч. / О.Н.Скрыпник-М.:НИЦ ИНФРА-М,2020.-348с(ВО)(О)</t>
  </si>
  <si>
    <t>978-5-16-006610-3</t>
  </si>
  <si>
    <t>244500.08.01</t>
  </si>
  <si>
    <t>Радионуклидная диагностика с нейротропными..: Моногр. / В.Б.Сергиенко - ИНФРА-М,2027 - 112 с.(о)</t>
  </si>
  <si>
    <t>РАДИОНУКЛИДНАЯ ДИАГНОСТИКА С НЕЙРОТРОПНЫМИ РАДИОФАРМПРЕПАРАТАМИ, ИЗД.1</t>
  </si>
  <si>
    <t>Сергиенко В. Б., Аншелес А. А.</t>
  </si>
  <si>
    <t>978-5-16-009170-9</t>
  </si>
  <si>
    <t>361400.10.01</t>
  </si>
  <si>
    <t>Радиотехника: от истоков до наших дней: Уч.пос. / В.И.Каганов - М.: НИЦ ИНФРА-М,2026 - 352 с.(ВО)(П)</t>
  </si>
  <si>
    <t>РАДИОТЕХНИКА: ОТ ИСТОКОВ ДО НАШИХ ДНЕЙ, ИЗД.1</t>
  </si>
  <si>
    <t>Каганов В.И.</t>
  </si>
  <si>
    <t>978-5-16-021482-5</t>
  </si>
  <si>
    <t>Рекомендовано Региональным отделением УрФО учебно-методического объединения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направлениям подготовки 11.03.01, 11.04.01 «Радиотехника» и 11.05.01 «Радиоэлектронные системы и комплексы»</t>
  </si>
  <si>
    <t>842822.01.01</t>
  </si>
  <si>
    <t>Радиотехника: от истоков до наших дней: Уч.пос. / В.И.Каганов - М.:Форум, НИЦ ИНФРА-М,2025 - 352 с.(СПО)(п)</t>
  </si>
  <si>
    <t>978-5-00091-813-5</t>
  </si>
  <si>
    <t>11.02.07, 12.02.03, 55.02.01</t>
  </si>
  <si>
    <t>057700.15.01</t>
  </si>
  <si>
    <t>Радиотехнические цепи и сигналы...: Уч. пос. / В.И.Каганов - 4 изд. - М: ИНФРА-М, 2027 - 498 с.(П)</t>
  </si>
  <si>
    <t>РАДИОТЕХНИЧЕСКИЕ ЦЕПИ И СИГНАЛЫ. КОМПЬЮТЕРИЗИРОВАННЫЙ КУРС, ИЗД.4</t>
  </si>
  <si>
    <t>978-5-16-022378-0</t>
  </si>
  <si>
    <t>Допущено Министерством образования  и науки РФ в качестве учебного пособия для студентов высших учебных заведений, обучающихся по направлению "Радиотехника"</t>
  </si>
  <si>
    <t>057700.08.01</t>
  </si>
  <si>
    <t>Радиотехнические цепи и сигналы...: Уч. пос. /В.И.Каганов -3 изд. - М:Форум: ИНФРА-М, 2017-432с.(п)</t>
  </si>
  <si>
    <t>РАДИОТЕХНИЧЕСКИЕ ЦЕПИ И СИГНАЛЫ. КОМПЬЮТЕРИЗИРОВАННЫЙ КУРС, ИЗД.3</t>
  </si>
  <si>
    <t>Каганов В. И.</t>
  </si>
  <si>
    <t>978-5-91134-913-4</t>
  </si>
  <si>
    <t>733667.04.01</t>
  </si>
  <si>
    <t>Радиотехническое обеспеч. полетов воздуш. судов...: Уч.пос. / Под ред. Кудрякова С.А. - М.:НИЦ ИНФРА-М,2025. - 299 с.(П)</t>
  </si>
  <si>
    <t>РАДИОТЕХНИЧЕСКОЕ ОБЕСПЕЧЕНИЕ ПОЛЕТОВ ВОЗДУШНЫХ СУДОВ И АВИАЦИОННАЯ ЭЛЕКТРОСВЯЗЬ, ИЗД.1</t>
  </si>
  <si>
    <t>Кудряков С.А., Кульчицкий В.К., Поваренкин Н.В. и др.</t>
  </si>
  <si>
    <t>978-5-16-016820-3</t>
  </si>
  <si>
    <t>25.03.04, 25.04.03, 25.04.04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</si>
  <si>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25.05.05 «Эксплуатация воздушных судов и организация воздушного движения» (квалификация  «инженер») (протокол № 11 от 09.11.2020)</t>
  </si>
  <si>
    <t>480100.06.01</t>
  </si>
  <si>
    <t>Радиоэлектронные методы и средства исп..: Уч.пос. /М.Д.Мосесов-М:Форум,НИЦ ИНФРА-М,2023-160с(ВО)(о)</t>
  </si>
  <si>
    <t>РАДИОЭЛЕКТРОННЫЕ МЕТОДЫ И СРЕДСТВА ИСПЫТАНИЙ СТРОИТЕЛЬНЫХ КОНСТРУКЦИЙ И СООРУЖЕНИЙ, ИЗД.1</t>
  </si>
  <si>
    <t>978-5-00091-186-0</t>
  </si>
  <si>
    <t>Рекомендовано в качестве учебного пособия для студентов высших учебных заведений, обучающихся по специальностям 08.06.01 «Техника и технология строительства», 08.04.01 «Строительство» и 06.06.01 «Метрология, стандартизация и сертификация»</t>
  </si>
  <si>
    <t>661456.04.01</t>
  </si>
  <si>
    <t>Разведение с основами частной зоотехнии: Уч. / А.И.Чикалев - 2 изд.-М.:КУРС,НИЦ ИНФРА-М,2023-256с(П)</t>
  </si>
  <si>
    <t>РАЗВЕДЕНИЕ С ОСНОВАМИ ЧАСТНОЙ ЗООТЕХНИИ, ИЗД.2</t>
  </si>
  <si>
    <t>Чикалев А.И., Юлдашбаев Ю.А., Фейзуллаев Ф.Р.</t>
  </si>
  <si>
    <t>978-5-906923-50-9</t>
  </si>
  <si>
    <t>810184.02.01</t>
  </si>
  <si>
    <t>Развертывание функции качества: Уч.пос. / А.А.Попов - М.:НИЦ ИНФРА-М,2026. - 255 с.(ВО)(п)</t>
  </si>
  <si>
    <t>РАЗВЕРТЫВАНИЕ ФУНКЦИИ КАЧЕСТВА, ИЗД.1</t>
  </si>
  <si>
    <t>Попов А.А.</t>
  </si>
  <si>
    <t>978-5-16-019291-8</t>
  </si>
  <si>
    <t>27.03.02, 27.03.03, 27.03.04, 27.03.05, 27.04.02, 27.04.03, 27.04.04, 27.04.05, 27.04.06, 27.04.07</t>
  </si>
  <si>
    <t>664713.10.01</t>
  </si>
  <si>
    <t>Развиваем соц. умения: родителям детей с ОВЗ: Уч. прак.пос. / А.В.Закрепина - М.:НИЦ ИНФРА-М,2026 - 162 с.(П)</t>
  </si>
  <si>
    <t>РАЗВИВАЕМ СОЦИАЛЬНЫЕ УМЕНИЯ: РОДИТЕЛЯМ ДЕТЕЙ С ОВЗ, ИЗД.1</t>
  </si>
  <si>
    <t>Закрепина А.В.</t>
  </si>
  <si>
    <t>978-5-16-014382-8</t>
  </si>
  <si>
    <t>44.02.01, 44.02.04, 44.03.03, 44.04.03, 44.05.01</t>
  </si>
  <si>
    <t>2024</t>
  </si>
  <si>
    <t>871128.01.01</t>
  </si>
  <si>
    <t>Развитие аграрной экономики в условиях смены...: Моногр. / Ю.В.Чутчева. - М.:НИЦ ИНФРА-М,2027. - 150 с.(о)</t>
  </si>
  <si>
    <t>РАЗВИТИЕ АГРАРНОЙ ЭКОНОМИКИ В УСЛОВИЯХ СМЕНЫ ТЕХНОЛОГИЧЕСКИХ УКЛАДОВ, ИЗД.1</t>
  </si>
  <si>
    <t>Чутчева Ю.В., Борисова О.В., Быков А.А. и др.</t>
  </si>
  <si>
    <t>978-5-16-021991-2</t>
  </si>
  <si>
    <t>674506.02.01</t>
  </si>
  <si>
    <t>Развитие аутопсихологической компетентности....: Моногр./ О.В.Полетаева.-М.:ИНФРА-М, 2024-124с(О)</t>
  </si>
  <si>
    <t>РАЗВИТИЕ АУТОПСИХОЛОГИЧЕСКОЙ КОМПЕТЕНТНОСТИ В ПРОФЕССИОНАЛЬНОЙ ПОДГОТОВКЕ СПЕЦИАЛИСТОВ С  УЧЕТОМ СПЕЦИФИКИ РАБОТЫ В АРКТИКЕ, ИЗД.1</t>
  </si>
  <si>
    <t>Полетаева О.В.</t>
  </si>
  <si>
    <t>978-5-16-013677-6</t>
  </si>
  <si>
    <t>23.03.01, 37.03.01, 44.03.01, 44.03.02, 44.04.01, 44.04.02</t>
  </si>
  <si>
    <t>Тюменский индустриальный университет, ф-л Ноябрьский институт нефти и газа</t>
  </si>
  <si>
    <t>766912.01.01</t>
  </si>
  <si>
    <t>Развитие бизнеса в странах Азиатско-Тихоокеанского региона: уч. / Г.В.Подбиралина - М.:НИЦ ИНФРА-М,2024. - 253 с.-(ВО)(п)</t>
  </si>
  <si>
    <t>РАЗВИТИЕ БИЗНЕСА В СТРАНАХ АЗИАТСКО-ТИХООКЕАНСКОГО РЕГИОНА, ИЗД.1</t>
  </si>
  <si>
    <t>Подбиралина Г.В., Ромашкина В.А.</t>
  </si>
  <si>
    <t>978-5-16-018328-2</t>
  </si>
  <si>
    <t>38.03.01, 38.03.02, 38.03.06, 38.04.01, 38.04.02, 38.04.06, 38.04.08, 38.05.01</t>
  </si>
  <si>
    <t>425400.05.01</t>
  </si>
  <si>
    <t>Развитие вероят. стиля мышления в процессе...: Моногр. / С.Н.Дворяткина-М.:НИЦ ИНФРА-М,2022-271с.(О)</t>
  </si>
  <si>
    <t>РАЗВИТИЕ ВЕРОЯТНОСТНОГО СТИЛЯ МЫШЛЕНИЯ В ПРОЦЕССЕ ОБУЧЕНИЯ МАТЕМАТИКЕ: ТЕОРИЯ И ПРАКТИКА, ИЗД.1</t>
  </si>
  <si>
    <t>Дворяткина С. Н.</t>
  </si>
  <si>
    <t>978-5-16-006337-9</t>
  </si>
  <si>
    <t>765040.02.01</t>
  </si>
  <si>
    <t>Развитие внутр. контроля в сис. управ. с/х производ.: Моногр. / Г.С.Клычова.-М.:ИЦ РИОР, НИЦ ИНФРА-М,2024.-213с(О)</t>
  </si>
  <si>
    <t>РАЗВИТИЕ ВНУТРЕННЕГО КОНТРОЛЯ В СИСТЕМЕ УПРАВЛЕНИЯ СЕЛЬСКОХОЗЯЙСТВЕННЫМ ПРОИЗВОДСТВОМ, ИЗД.1</t>
  </si>
  <si>
    <t>Клычова Г.С., Закирова А.Р., Валиев А.Р. и др.</t>
  </si>
  <si>
    <t>978-5-369-01877-4</t>
  </si>
  <si>
    <t>Казанский государственный аграрный университет</t>
  </si>
  <si>
    <t>670758.06.01</t>
  </si>
  <si>
    <t>Развитие демократич. принципов и институтов... / В.И.Васильев - М.:Юр.Норма, НИЦ ИНФРА-М,2026 - 288 с.(П)</t>
  </si>
  <si>
    <t>РАЗВИТИЕ ДЕМОКРАТИЧЕСКИХ ПРИНЦИПОВ И ИНСТИТУТОВ НА МУНИЦИПАЛЬНОМ УРОВНЕ: ПРАВОВЫЕ АСПЕКТЫ, ИЗД.1</t>
  </si>
  <si>
    <t>Васильев В.И., Постников А.Е., Помазанский А.Е.</t>
  </si>
  <si>
    <t>978-5-91768-868-8</t>
  </si>
  <si>
    <t>38.03.04, 38.04.01, 38.04.04, 40.03.01, 40.04.01, 40.06.01</t>
  </si>
  <si>
    <t>Северо-Восточный федеральный университет им. М.К.Аммосова, Чукотский ф-л</t>
  </si>
  <si>
    <t>674446.04.01</t>
  </si>
  <si>
    <t>Развитие дет. изо. творчества под влиянием...: Моногр. / С.В.Погодина - М.:НИЦ ИНФРА-М,2026. - 361 с.(П)</t>
  </si>
  <si>
    <t>РАЗВИТИЕ ДЕТСКОГО ИЗОБРАЗИТЕЛЬНОГО ТВОРЧЕСТВА ПОД ВЛИЯНИЕМ ХУДОЖЕСТВЕННЫХ ЭТАЛОНОВ В РАМКАХ КОНЦЕПЦИИ ТРАНСФОРМИРУЕМЫХ ЭСТЕТИЧЕСКИХ АРХЕТИПОВ, ИЗД.1</t>
  </si>
  <si>
    <t>Погодина С.В.</t>
  </si>
  <si>
    <t>978-5-16-017482-2</t>
  </si>
  <si>
    <t>432150.03.01</t>
  </si>
  <si>
    <t>Развитие идеи гос.регулир. дефект.рынка..:Моногр. /В.С.Гродский -М.:ИЦ РИОР,НИЦ ИНФРА-М,2019-116с(О)</t>
  </si>
  <si>
    <t>РАЗВИТИЕ ИДЕИ ГОСУДАРСТВЕННОГО РЕГУЛИРОВАНИЯ ДЕФЕКТОВ РЫНКА ДЖ. М. КЕЙНСА, ИЗД.1</t>
  </si>
  <si>
    <t>Гродский В. С.</t>
  </si>
  <si>
    <t>978-5-369-01193-5</t>
  </si>
  <si>
    <t>38.04.01, 38.04.04, 44.03.01</t>
  </si>
  <si>
    <t>773010.01.01</t>
  </si>
  <si>
    <t>Развитие идей творческой деят. учащихся в теории...: Моногр. / К.Ю.Герасимова-М.:НИЦ ИНФРА-М,2022.-183 с.(О)</t>
  </si>
  <si>
    <t>РАЗВИТИЕ ИДЕЙ ТВОРЧЕСКОЙ ДЕЯТЕЛЬНОСТИ УЧАЩИХСЯ В ТЕОРИИ И ПРАКТИКЕ РОССИЙСКОЙ И НЕМЕЦКОЙ ПЕДАГОГИКИ КОНЦА XIX - НАЧАЛА XX ВЕКА, ИЗД.1</t>
  </si>
  <si>
    <t>Герасимова К.Ю., Аллагулов А.М.</t>
  </si>
  <si>
    <t>978-5-16-017510-2</t>
  </si>
  <si>
    <t>44.03.01, 44.03.02, 44.03.05, 44.04.01, 44.06.01</t>
  </si>
  <si>
    <t>780143.01.01</t>
  </si>
  <si>
    <t>Развитие интеллект.способ.детей старш.дошк.возр...: Моногр. / М.Ю.Стожарова.-М.:НИЦ ИНФРА-М,2023.-274с(п)</t>
  </si>
  <si>
    <t>РАЗВИТИЕ ИНТЕЛЛЕКТУАЛЬНЫХ СПОСОБНОСТЕЙ ДЕТЕЙ СТАРШЕГО ДОШКОЛЬНОГО ВОЗРАСТА В РАЗЛИЧНЫХ ФОРМАХ МАТЕМАТИЧЕСКОЙ РАБОТЫ, ИЗД.1</t>
  </si>
  <si>
    <t>Стожарова М.Ю., Сидорова Ю.Ю., Нуртдинова Л.Б. и др.</t>
  </si>
  <si>
    <t>978-5-16-018371-8</t>
  </si>
  <si>
    <t>44.03.01, 44.03.05, 44.04.01, 44.04.04, 44.06.01</t>
  </si>
  <si>
    <t>Ульяновский государственный педагогический университет им. И.Н. Ульянова</t>
  </si>
  <si>
    <t>665757.05.01</t>
  </si>
  <si>
    <t>Развитие исслед. культуры совр. студ. в вузе: Моногр. / О.Н.Шихова - М.:НИЦ ИНФРА-М,2027 - 126 с.(О)</t>
  </si>
  <si>
    <t>РАЗВИТИЕ ИССЛЕДОВАТЕЛЬСКОЙ КУЛЬТУРЫ СОВРЕМЕННЫХ СТУДЕНТОВ В ВУЗЕ, ИЗД.1</t>
  </si>
  <si>
    <t>Шихова О.Н.</t>
  </si>
  <si>
    <t>978-5-16-013186-3</t>
  </si>
  <si>
    <t>44.00.00, 44.03.01, 44.03.02, 44.03.03, 44.03.04, 44.03.05, 44.04.01, 44.04.02, 44.04.03, 44.04.04, 44.05.01</t>
  </si>
  <si>
    <t>651838.02.01</t>
  </si>
  <si>
    <t>Развитие историч. информатики в США..: Моногр. / О.В.Рагунштейн-М.:НИЦ ИНФРА-М,2020-184с(Науч.мысль)</t>
  </si>
  <si>
    <t>РАЗВИТИЕ ИСТОРИЧЕСКОЙ ИНФОРМАТИКИ В США (50 - 90-Е ГГ. XXВ.), ИЗД.1</t>
  </si>
  <si>
    <t>Рагунштейн О.В.</t>
  </si>
  <si>
    <t>978-5-16-012637-1</t>
  </si>
  <si>
    <t>44.03.01, 44.03.05, 44.04.01, 46.03.01, 46.04.01</t>
  </si>
  <si>
    <t>651322.08.01</t>
  </si>
  <si>
    <t>Развитие конструкций, параметры и режимы мощных...: Уч.пос. / Ф.Л.Коган - М.:НИЦ ИНФРА-М,2026. - 325 с.(П)</t>
  </si>
  <si>
    <t>РАЗВИТИЕ КОНСТРУКЦИЙ, ПАРАМЕТРЫ И РЕЖИМЫ МОЩНЫХ ТУРБОГЕНЕРАТОРОВ, ИЗД.1</t>
  </si>
  <si>
    <t>Коган Ф.Л.</t>
  </si>
  <si>
    <t>978-5-16-019268-0</t>
  </si>
  <si>
    <t>13.03.02, 13.03.03, 13.04.02</t>
  </si>
  <si>
    <t>775338.01.01</t>
  </si>
  <si>
    <t>Развитие концепции формирования личности учителя..: Моногр. / А.В.Леонова-М.:НИЦ ИНФРА-М,2023.-229 с.(О)</t>
  </si>
  <si>
    <t>РАЗВИТИЕ КОНЦЕПЦИИ ФОРМИРОВАНИЯ ЛИЧНОСТИ УЧИТЕЛЯ В ИСТОРИИ И ТЕОРИИ ВЫСШЕГО ПЕДАГОГИЧЕСКОГО ОБРАЗОВАНИЯ В 90-Е ГГ. ХХ ВЕКА, ИЗД.1</t>
  </si>
  <si>
    <t>Леонова А.В.</t>
  </si>
  <si>
    <t>978-5-16-017794-6</t>
  </si>
  <si>
    <t>278600.09.01</t>
  </si>
  <si>
    <t>Развитие лидерского потенциала рук.: Моногр. / О.В.Евтихов - М.:НИЦ ИНФРА-М,2027 - 198 с.(Науч.мысль)(О)</t>
  </si>
  <si>
    <t>РАЗВИТИЕ ЛИДЕРСКОГО ПОТЕНЦИАЛА РУКОВОДИТЕЛЯ, ИЗД.1</t>
  </si>
  <si>
    <t>Евтихов О. В.</t>
  </si>
  <si>
    <t>978-5-16-009811-1</t>
  </si>
  <si>
    <t>668701.05.01</t>
  </si>
  <si>
    <t>Развитие логического мышления у дош.: Уч.пос. / А.В.Белошистая - 2 изд. - М.:НИЦ ИНФРА-М,2026 - 300 с(ВО)</t>
  </si>
  <si>
    <t>РАЗВИТИЕ ЛОГИЧЕСКОГО МЫШЛЕНИЯ У ДОШКОЛЬНИКОВ, ИЗД.2</t>
  </si>
  <si>
    <t>978-5-16-018921-5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</si>
  <si>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</si>
  <si>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720106.06.01</t>
  </si>
  <si>
    <t>Развитие логического мышления у дош.: Уч.пос. / А.В.Белошистая, - 2 изд. - М.:НИЦ ИНФРА-М,2026. - 300 с.(П)</t>
  </si>
  <si>
    <t>978-5-16-015664-4</t>
  </si>
  <si>
    <t>468400.11.01</t>
  </si>
  <si>
    <t>Развитие матем. мышл. ребенка...: Моногр. /А.В.Белошистая - М.:НИЦ ИНФРА-М,2026 - 234 c.(Науч.мысль)(О)</t>
  </si>
  <si>
    <t>РАЗВИТИЕ  МАТЕМАТИЧЕСКОГО МЫШЛЕНИЯ РЕБЕНКА ДОШКОЛЬНОГО И  МЛАДШЕГО ШКОЛЬНОГО ВОЗРАСТА В ПРОЦЕССЕ ОБУЧЕНИЯ, ИЗД.1</t>
  </si>
  <si>
    <t>978-5-16-016787-9</t>
  </si>
  <si>
    <t>468400.04.01</t>
  </si>
  <si>
    <t>Развитие матем. мышл. ребенка...: Моногр. /А.В.Белошистая -М.:НИЦ ИНФРА-М,2018-234c.(Науч.мысль)(п)</t>
  </si>
  <si>
    <t>978-5-16-011549-8</t>
  </si>
  <si>
    <t>807617.02.01</t>
  </si>
  <si>
    <t>Развитие матем. способностей реб. дош. возраста.: Моногр. / А.В.Белошистая - М.:НИЦ ИНФРА-М,2026. - 178 с.(п)</t>
  </si>
  <si>
    <t>РАЗВИТИЕ МАТЕМАТИЧЕСКИХ СПОСОБНОСТЕЙ РЕБЕНКА ДОШКОЛЬНОГО ВОЗРАСТА., ИЗД.1</t>
  </si>
  <si>
    <t>978-5-16-018975-8</t>
  </si>
  <si>
    <t>874580.01.01</t>
  </si>
  <si>
    <t>Развитие межмышечной и внутримышечной координации...: Моногр. / И.О.Черепанова - М.:НИЦ ИНФРА-М,2026. - 109 с.(о)</t>
  </si>
  <si>
    <t>РАЗВИТИЕ МЕЖМЫШЕЧНОЙ И ВНУТРИМЫШЕЧНОЙ КООРДИНАЦИИ ФИГУРИСТОВ, ИЗД.1</t>
  </si>
  <si>
    <t>Черепанова И.О.</t>
  </si>
  <si>
    <t>978-5-16-022066-6</t>
  </si>
  <si>
    <t>49.03.01, 49.04.01, 49.06.01</t>
  </si>
  <si>
    <t>699901.04.01</t>
  </si>
  <si>
    <t>Развитие мысл. деят. детей дошк.возраста: Уч.пос./Л.Н.Вахрушева-М.:Форум,НИЦ ИНФРА-М,2024-189(СПО)(П)</t>
  </si>
  <si>
    <t>РАЗВИТИЕ МЫСЛИТЕЛЬНОЙ ДЕЯТЕЛЬНОСТИ ДЕТЕЙ ДОШКОЛЬНОГО ВОЗРАСТА, ИЗД.1</t>
  </si>
  <si>
    <t>Вахрушева Л.Н.</t>
  </si>
  <si>
    <t>978-5-00091-648-3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</si>
  <si>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44.02.01 «Дошкольное образование»</t>
  </si>
  <si>
    <t>22</t>
  </si>
  <si>
    <t>111880.12.01</t>
  </si>
  <si>
    <t>Развитие мыслит. деят.детей дош.возраста: Уч.пос. / Л.Н. Вахрушева - 2 изд. - М.:Форум,ИНФРА-М,2026 - 197 с.(П)</t>
  </si>
  <si>
    <t>РАЗВИТИЕ МЫСЛИТЕЛЬНОЙ ДЕЯТЕЛЬНОСТИ ДЕТЕЙ ДОШКОЛЬНОГО ВОЗРАСТА, ИЗД.2</t>
  </si>
  <si>
    <t>978-5-16-016281-2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</si>
  <si>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10 от 12.10.2020)</t>
  </si>
  <si>
    <t>846620.03.01</t>
  </si>
  <si>
    <t>Развитие мыслительной деят. детей дош. возраста / Л.Н.Вахрушева - 2 изд. - М.:НИЦ ИНФРА-М,2026-175с[16+](п)</t>
  </si>
  <si>
    <t>978-5-16-020507-6</t>
  </si>
  <si>
    <t>111880.08.01</t>
  </si>
  <si>
    <t>Развитие мыслительной деят.детей дошк.возраста: Уч.пос. / Л.Н. Вахрушева-М.:Форум,ИНФРА-М,2019-188с.</t>
  </si>
  <si>
    <t>978-5-91134-354-5</t>
  </si>
  <si>
    <t>485150.09.01</t>
  </si>
  <si>
    <t>Развитие организации на основе риск-менеджмента: Моногр. / Н.В.Капустина - М.:НИЦ ИНФРА-М,2026. - 179 с.(О)</t>
  </si>
  <si>
    <t>РАЗВИТИЕ ОРГАНИЗАЦИИ НА ОСНОВЕ РИСК-МЕНЕДЖМЕНТА: ТЕОРИЯ, МЕТОДОЛОГИЯ И ПРАКТИКА, ИЗД.1</t>
  </si>
  <si>
    <t>Капустина Н.В.</t>
  </si>
  <si>
    <t>978-5-16-010571-0</t>
  </si>
  <si>
    <t>467200.03.01</t>
  </si>
  <si>
    <t>Развитие основных идей эконом. теории / В.С.Гродский - М.:ИЦ РИОР, НИЦ ИНФРА-М,2025 - 464 с.(Науч.мысль)(О)</t>
  </si>
  <si>
    <t>РАЗВИТИЕ ОСНОВНЫХ ИДЕЙ ЭКОНОМИЧЕСКОЙ ТЕОРИИ, ИЗД.1</t>
  </si>
  <si>
    <t>978-5-369-01552-0</t>
  </si>
  <si>
    <t>38.03.01, 38.03.03, 38.04.01</t>
  </si>
  <si>
    <t>757648.06.01</t>
  </si>
  <si>
    <t>Развитие осязания и мелкой моторики у детей с наруш. зрения: Уч.мет.пос. / Л.Б.Осипова - М.:НИЦ ИНФРА-М,2024. - 248 с.(П)</t>
  </si>
  <si>
    <t>РАЗВИТИЕ ОСЯЗАНИЯ И МЕЛКОЙ МОТОРИКИ У ДЕТЕЙ С НАРУШЕНИЯМИ ЗРЕНИЯ, ИЗД.1</t>
  </si>
  <si>
    <t>Осипова Л.Б.</t>
  </si>
  <si>
    <t>978-5-16-016904-0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</si>
  <si>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44.02.04 «Специальное дошкольное образование» (протокол № 10 от 12.10.2020)</t>
  </si>
  <si>
    <t>714355.03.01</t>
  </si>
  <si>
    <t>Развитие осязания и мелкой моторики у детей...: Уч.мет.пос. / Л.Б.Осипова - М.:НИЦ ИНФРА-М,2025. - 248 с.(ВО)(П)</t>
  </si>
  <si>
    <t>978-5-16-020641-7</t>
  </si>
  <si>
    <t>44.03.01, 44.03.02, 44.03.03, 44.04.03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</si>
  <si>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 (протокол № 8 от 22.06.2020)</t>
  </si>
  <si>
    <t>732707.07.01</t>
  </si>
  <si>
    <t>Развитие предмет. представ. у детей дош. возраста: Уч.мет.пос. / Л.Б.Осипова - М.:НИЦ ИНФРА-М,2026 - 158 с.(П)</t>
  </si>
  <si>
    <t>РАЗВИТИЕ ПРЕДМЕТНЫХ ПРЕДСТАВЛЕНИЙ У ДЕТЕЙ ДОШКОЛЬНОГО ВОЗРАСТА С НАРУШЕНИЯМИ ЗРЕНИЯ В ПРОЦЕССЕ ТВОРЧЕСКОГО КОНСТРУИРОВАНИЯ В УСЛОВИЯХ ИНКЛЮЗИВНОГО ОБРАЗОВАНИЯ, ИЗД.1</t>
  </si>
  <si>
    <t>Осипова Л.Б., Дружинина Л.А., Власова О.И. и др.</t>
  </si>
  <si>
    <t>978-5-16-015916-4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</si>
  <si>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8 от 28.09.2020)</t>
  </si>
  <si>
    <t>714353.07.01</t>
  </si>
  <si>
    <t>Развитие предметных представлений у детей дошк. возраста... / Л.Б.Осипова - М.:ИНФРА-М,2025 - 158 с.(ВО)(П)</t>
  </si>
  <si>
    <t>978-5-16-021001-8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</si>
  <si>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15 от 14.10.2019)</t>
  </si>
  <si>
    <t>800519.01.01</t>
  </si>
  <si>
    <t>Развитие проф. умений у студ. инж. спец.  в условиях...: Моногр. / И.Г.Шамшина-М.:НИЦ ИНФРА-М,2024-207с(о)</t>
  </si>
  <si>
    <t>РАЗВИТИЕ ПРОФЕССИОНАЛЬНЫХ УМЕНИЙ У СТУДЕНТОВ ИНЖЕНЕРНЫХ СПЕЦИАЛЬНОСТЕЙ  В УСЛОВИЯХ МОДУЛЬНОГО ОБУЧЕНИЯ, ИЗД.1</t>
  </si>
  <si>
    <t>Шамшина И.Г.</t>
  </si>
  <si>
    <t>978-5-16-019505-6</t>
  </si>
  <si>
    <t>434950.08.01</t>
  </si>
  <si>
    <t>Развитие регионал. инфраструктуры и связей между округами РФ / О.В.Рыкалина-М.:НИЦ ИНФРА-М,2024.-228 с.(О)</t>
  </si>
  <si>
    <t>РАЗВИТИЕ РЕГИОНАЛЬНОЙ ИНФРАСТРУКТУРЫ И СВЯЗЕЙ МЕЖДУ ОКРУГАМИ РОССИЙСКОЙ ФЕДЕРАЦИИ, ИЗД.1</t>
  </si>
  <si>
    <t>Рыкалина О. В.</t>
  </si>
  <si>
    <t>978-5-16-009795-4</t>
  </si>
  <si>
    <t>455350.08.01</t>
  </si>
  <si>
    <t>Развитие регионов:диагн.регион.различий: Моногр./З.В.Брагина-М.:НИЦ ИНФРА-М,2025-152с(Науч.мысль)(о)</t>
  </si>
  <si>
    <t>РАЗВИТИЕ РЕГИОНОВ: ДИАГНОСТИКА РЕГИОНАЛЬНЫХ РАЗЛИЧИЙ, ИЗД.1</t>
  </si>
  <si>
    <t>Брагина З.В., Киселев И.К.</t>
  </si>
  <si>
    <t>978-5-16-009274-4</t>
  </si>
  <si>
    <t>38.03.01, 38.03.02, 38.03.04, 38.04.01, 38.04.02, 38.04.04, 41.03.06, 44.03.01</t>
  </si>
  <si>
    <t>796038.03.01</t>
  </si>
  <si>
    <t>Развитие российского законодательства в 1930-е г.: Моногр. / Л.Л.Алексеева - М.:НИЦ ИНФРА-М,2025 - 338 с.(п)</t>
  </si>
  <si>
    <t>РАЗВИТИЕ РОССИЙСКОГО ЗАКОНОДАТЕЛЬСТВА В 1930-Е ГОДЫ, ИЗД.1</t>
  </si>
  <si>
    <t>Алексеева Л.Л., Боголюбов С.А., Васильева Л.Н. и др.</t>
  </si>
  <si>
    <t>978-5-16-018239-1</t>
  </si>
  <si>
    <t>818555.02.01</t>
  </si>
  <si>
    <t>Развитие российского права в 1940 г.: Моногр. / С.А.Боголюбов. - М.:НИЦ ИНФРА-М,2026. - 321 с.(п)</t>
  </si>
  <si>
    <t>РАЗВИТИЕ РОССИЙСКОГО ПРАВА В 1940-Е ГОДЫ, ИЗД.1</t>
  </si>
  <si>
    <t>Боголюбов С.А., Пашенцев Д.А., Алексеева Л.Л. и др.</t>
  </si>
  <si>
    <t>978-5-16-019609-1</t>
  </si>
  <si>
    <t>419500.06.01</t>
  </si>
  <si>
    <t>Развитие саморегулируемых орг. в РФ: Уч. пос. /А.Г.Чернявский - М: Альфа-М: НИЦ Инфра-М, 2026 - 224 с. (п)</t>
  </si>
  <si>
    <t>РАЗВИТИЕ САМОРЕГУЛИРУЕМЫХ ОРГАНИЗАЦИЙ В РОССИЙСКОЙ ФЕДЕРАЦИИ, ИЗД.1</t>
  </si>
  <si>
    <t>Чернявский А. Г.</t>
  </si>
  <si>
    <t>978-5-98281-316-9</t>
  </si>
  <si>
    <t>775289.02.01</t>
  </si>
  <si>
    <t>Развитие сис. финанс. контроля внешнеэкономич...: Моногр. / В.А.Якимова - М.:ИЦ РИОР, НИЦ ИНФРА-М,2026. - 345 с.(П)</t>
  </si>
  <si>
    <t>РАЗВИТИЕ СИСТЕМЫ ФИНАНСОВОГО КОНТРОЛЯ ВНЕШНЕЭКОНОМИЧЕСКОЙ ДЕЯТЕЛЬНОСТИ ОРГАНИЗАЦИЙ, ИЗД.1</t>
  </si>
  <si>
    <t>Якимова В.А., Панкова С.В., Хмура С.В.</t>
  </si>
  <si>
    <t>978-5-369-01906-1</t>
  </si>
  <si>
    <t>38.02.06, 38.04.01, 38.04.06</t>
  </si>
  <si>
    <t>855140.01.01</t>
  </si>
  <si>
    <t>Развитие системы гос. управления...: Моногр. / Б.В.Россинский-М.:Юр. НОРМА,2025.-532 с.(п)</t>
  </si>
  <si>
    <t>РАЗВИТИЕ СИСТЕМЫ ГОСУДАРСТВЕННОГО УПРАВЛЕНИЯ: ВОСПОМИНАНИЯ И РАЗМЫШЛЕНИЯ АДМИНИСТРАТИВИСТА, ИЗД.1</t>
  </si>
  <si>
    <t>978-5-00156-432-4</t>
  </si>
  <si>
    <t>38.04.04, 38.05.02, 38.06.01, 40.04.01, 40.05.01, 40.05.02, 40.05.03, 40.05.04, 40.06.01</t>
  </si>
  <si>
    <t>788295.05.01</t>
  </si>
  <si>
    <t>Развитие сов. общеобраз. шк. в первые послевоен. годы..: Моногр. / А.Е.Смирницкий - М.:НИЦ ИНФРА-М,2026 - 172 с.(о)</t>
  </si>
  <si>
    <t>РАЗВИТИЕ СОВЕТСКОЙ ОБЩЕОБРАЗОВАТЕЛЬНОЙ ШКОЛЫ В ПЕРВЫЕ ПОСЛЕВОЕННЫЕ ГОДЫ (1946-1952), ИЗД.1</t>
  </si>
  <si>
    <t>978-5-16-017974-2</t>
  </si>
  <si>
    <t>44.04.01, 44.06.01, 46.04.01, 46.06.01</t>
  </si>
  <si>
    <t>457650.10.01</t>
  </si>
  <si>
    <t>Развитие стран БРИКС в глобал. пространстве:Ч.I.Ч.II: Моногр. / Л.Н.Борисоглебская - ИНФРА-М,2025 - 224 с.(О)</t>
  </si>
  <si>
    <t>РАЗВИТИЕ СТРАН БРИКС В ГЛОБАЛЬНОМ ПРОСТРАНСТВЕ, ИЗД.1</t>
  </si>
  <si>
    <t>Борисоглебская Л.Н., Борисоглебская Л.Н., Четвериков В.М. и др.</t>
  </si>
  <si>
    <t>978-5-16-009403-8</t>
  </si>
  <si>
    <t>38.03.01, 38.03.04, 38.04.01, 44.03.05, 47.03.03, 47.04.03</t>
  </si>
  <si>
    <t>853100.01.01</t>
  </si>
  <si>
    <t>Развитие сферы платформенной занятости: проблемы..: Моногр. / О.В.Забелина - М.:НИЦ ИНФРА-М,2025. - 162 с.(п)</t>
  </si>
  <si>
    <t>РАЗВИТИЕ СФЕРЫ ПЛАТФОРМЕННОЙ ЗАНЯТОСТИ: ПРОБЛЕМЫ, РИСКИ, ПАРТНЕРСТВО, ИЗД.1</t>
  </si>
  <si>
    <t>978-5-16-020839-8</t>
  </si>
  <si>
    <t>38.03.01, 38.03.03, 38.04.01, 38.04.02, 38.04.03, 38.04.04, 38.04.09, 38.06.01, 39.04.01, 41.03.06</t>
  </si>
  <si>
    <t>800250.01.01</t>
  </si>
  <si>
    <t>Развитие сферы услуг на основе клиентоориентир. подхода: Моногр. / Ю.С.Клюева.-М.:НИЦ ИНФРА-М,2023.-172 с.(о)</t>
  </si>
  <si>
    <t>РАЗВИТИЕ СФЕРЫ УСЛУГ НА ОСНОВЕ КЛИЕНТООРИЕНТИРОВАННОГО ПОДХОДА, ИЗД.1</t>
  </si>
  <si>
    <t>Груздева В.В., Груздев Г.В., Клюева Ю.С. и др.</t>
  </si>
  <si>
    <t>978-5-16-018322-0</t>
  </si>
  <si>
    <t>Нижегородский государственный инженерно-экономический университет</t>
  </si>
  <si>
    <t>852659.02.01</t>
  </si>
  <si>
    <t>Развитие теорий денег и денеж. сис. в экон. мысли России... / И.А.Назарова - М.:НИЦ ИНФРА-М,2025. - 286 с.(п)</t>
  </si>
  <si>
    <t>РАЗВИТИЕ ТЕОРИЙ ДЕНЕГ И ДЕНЕЖНЫХ СИСТЕМ В ЭКОНОМИЧЕСКОЙ МЫСЛИ РОССИИ (XVII - НАЧАЛО XX ВВ.), ИЗД.1</t>
  </si>
  <si>
    <t>Назарова И.А.</t>
  </si>
  <si>
    <t>978-5-16-020964-7</t>
  </si>
  <si>
    <t>375300.01.01</t>
  </si>
  <si>
    <t>Развитие труд. потенциала: Уч. пос./ А.М.Асалиев-М.: НИЦ ИНФРА-М,2016.-281 с..-(ВО: Бакалавриат) (п)</t>
  </si>
  <si>
    <t>РАЗВИТИЕ ТРУДОВОГО ПОТЕНЦИАЛА, ИЗД.1</t>
  </si>
  <si>
    <t>Асалиев А.М., Мирзабалаева Ф.И., Алиева П.Р.</t>
  </si>
  <si>
    <t>978-5-16-011074-5</t>
  </si>
  <si>
    <t>Рекомендовано в качестве учебного пособия для студентов высших учебных заведений, обучающихся по направлениям подготовки 38.03.01 «Экономика», 38.03.03 «Управление персоналом» (квалификация (степень) «бакалавр»)</t>
  </si>
  <si>
    <t>375300.05.01</t>
  </si>
  <si>
    <t>Развитие труд. потенциала: Уч.пос. / А.М.Асалиев - 2 изд. - М.:НИЦ ИНФРА-М,2026 - 281 с.(ВО) (П)</t>
  </si>
  <si>
    <t>РАЗВИТИЕ ТРУДОВОГО ПОТЕНЦИАЛА, ИЗД.2</t>
  </si>
  <si>
    <t>978-5-16-013470-3</t>
  </si>
  <si>
    <t>452100.07.01</t>
  </si>
  <si>
    <t>Развитие упр. учета в рамках концепции кайдзен: Моногр. / Ю.И.Сигидов-М.:НИЦ ИНФРА-М,2024-179с.(Науч.мысль)(о)</t>
  </si>
  <si>
    <t>РАЗВИТИЕ УПРАВЛЕНЧЕСКОГО УЧЕТА В РАМКАХ КОНЦЕПЦИИ КАЙДЗЕН, ИЗД.1</t>
  </si>
  <si>
    <t>978-5-16-011453-8</t>
  </si>
  <si>
    <t>38.03.01, 38.03.02, 38.03.03, 38.03.04, 38.03.06, 38.03.07, 38.04.01, 38.04.02, 38.04.03, 38.04.04, 38.04.06, 38.04.07, 38.04.08</t>
  </si>
  <si>
    <t>708220.04.01</t>
  </si>
  <si>
    <t>Развитие учета населения Рос. империи (XVIII—XIX в.): Моногр. / Н.Д.Борщик-М.:НИЦ ИНФРА-М,2023.-170с(О)</t>
  </si>
  <si>
    <t>РАЗВИТИЕ УЧЕТА НАСЕЛЕНИЯ РОССИЙСКОЙ ИМПЕРИИ (XVIII—XIX ВЕКА), ИЗД.1</t>
  </si>
  <si>
    <t>Борщик Н.Д., Пархоменко А.А.</t>
  </si>
  <si>
    <t>978-5-16-015530-2</t>
  </si>
  <si>
    <t>870415.01.01</t>
  </si>
  <si>
    <t>Развитие федератив. основ конституц. права России / Л.В.Андриченко. - М.:Юр. НОРМА, НИЦ ИНФРА-М,2026. - 280 с.(п)</t>
  </si>
  <si>
    <t>РАЗВИТИЕ ФЕДЕРАТИВНЫХ ОСНОВ КОНСТИТУЦИОННОГО ПРАВА РОССИИ, ИЗД.1</t>
  </si>
  <si>
    <t>Андриченко Л.В., Агеев А., Васильева Л.Н. и др.</t>
  </si>
  <si>
    <t>978-5-00156-469-0</t>
  </si>
  <si>
    <t>38.05.01, 40.03.01, 40.04.01, 40.05.01, 40.05.02, 40.05.04, 40.06.01, 40.03.02</t>
  </si>
  <si>
    <t>439750.04.01</t>
  </si>
  <si>
    <t>Развитие фин.в жилищ.-коммунал.хоз.: Моногр. / Ряховская А.Н. - М.:Магистр,НИЦ ИНФРА-М,2019-256с.(П)</t>
  </si>
  <si>
    <t>РАЗВИТИЕ ФИНАНСИРОВАНИЯ В ЖИЛИЩНО-КОММУНАЛЬНОМ ХОЗЯЙСТВЕ, ИЗД.1</t>
  </si>
  <si>
    <t>Ряховская А. Н., Шрейбер А. К., Кириллова А. Н., Кован С. Е., Ряховская А. Н.</t>
  </si>
  <si>
    <t>978-5-9776-0271-6</t>
  </si>
  <si>
    <t>38.03.01, 38.03.04, 38.04.01, 38.04.04, 38.04.08, 44.03.05</t>
  </si>
  <si>
    <t>408750.13.01</t>
  </si>
  <si>
    <t>Развитие худ. умений и навыков у молодежи...: Моногр. / М.В.Кернерман - М.:НИЦ ИНФРА-М,2026. - 116 с.(О)</t>
  </si>
  <si>
    <t>РАЗВИТИЕ ХУДОЖЕСТВЕННЫХ УМЕНИЙ И НАВЫКОВ У МОЛОДЕЖИ В УЧРЕЖДЕНИЯХ КУЛЬТУРЫ, ИЗД.1</t>
  </si>
  <si>
    <t>Кернерман М. В.</t>
  </si>
  <si>
    <t>978-5-16-006409-3</t>
  </si>
  <si>
    <t>39.03.03, 39.04.03, 44.04.01, 51.03.03</t>
  </si>
  <si>
    <t>818957.02.01</t>
  </si>
  <si>
    <t>Развитие цифр. экономики с элементами бережливого...: Моногр. / А.Г.Ташкинов - М.:НИЦ ИНФРА-М,2026. - 193 с(п)</t>
  </si>
  <si>
    <t>РАЗВИТИЕ ЦИФРОВОЙ ЭКОНОМИКИ С ЭЛЕМЕНТАМИ БЕРЕЖЛИВОГО ПРОИЗВОДСТВА НА ПРЕДПРИЯТИИ, ИЗД.1</t>
  </si>
  <si>
    <t>Ташкинов А.Г.</t>
  </si>
  <si>
    <t>978-5-16-019622-0</t>
  </si>
  <si>
    <t>38.03.01, 38.04.01, 38.04.02, 38.04.05, 38.06.01</t>
  </si>
  <si>
    <t>753341.02.01</t>
  </si>
  <si>
    <t>Развитие чел. ресурсов в цифр. эпоху:: Моногр. / Под ред. Забелиной О.В.-М.:НИЦ ИНФРА-М,2024.-253 с.(П)</t>
  </si>
  <si>
    <t>РАЗВИТИЕ ЧЕЛОВЕЧЕСКИХ РЕСУРСОВ В ЦИФРОВУЮ ЭПОХУ: СТРАТЕГИЧЕСКИЕ ВЫЗОВЫ, ПРОБЛЕМЫ И ВОЗМОЖНОСТИ, ИЗД.1</t>
  </si>
  <si>
    <t>Забелина О.В., Омельченко И.Б., Майорова А.В. и др.</t>
  </si>
  <si>
    <t>978-5-16-016840-1</t>
  </si>
  <si>
    <t>38.03.01, 38.03.03, 38.04.01, 38.04.02, 38.04.03, 38.06.01</t>
  </si>
  <si>
    <t>743882.02.01</t>
  </si>
  <si>
    <t>Развитие экологич. права на евразийском пространстве: Моногр. / С.А.Боголюбов-М.:НИЦ ИНФРА-М,2021.-432 с.(ИЗиСП)(П)</t>
  </si>
  <si>
    <t>РАЗВИТИЕ ЭКОЛОГИЧЕСКОГО ПРАВА НА ЕВРАЗИЙСКОМ ПРОСТРАНСТВЕ, ИЗД.1</t>
  </si>
  <si>
    <t>978-5-16-016477-9</t>
  </si>
  <si>
    <t>40.02.02, 40.04.01, 40.06.01</t>
  </si>
  <si>
    <t>331800.09.01</t>
  </si>
  <si>
    <t>Разговорный китайский: практикум по устной речи: Уч.пос. / Я.Лисинь - М.:НИЦ ИНФРА-М,2026 - 115 с.(ВО)(О)</t>
  </si>
  <si>
    <t>РАЗГОВОРНЫЙ КИТАЙСКИЙ: ПРАКТИКУМ ПО УСТНОЙ РЕЧИ, ИЗД.1</t>
  </si>
  <si>
    <t>Лисинь Я., Цайхун Ч., Комендровская Ю.Г. и др.</t>
  </si>
  <si>
    <t>978-5-16-018665-8</t>
  </si>
  <si>
    <t>00.03.02, 00.05.02, 45.03.02, 45.03.03, 45.03.04, 45.05.01</t>
  </si>
  <si>
    <t>756467.03.01</t>
  </si>
  <si>
    <t>Разграничение предметов ведения и полномоч. в сис..: Уч.пос. / А.М.Осавелюк.-М.:Юр.Норма, НИЦ ИНФРА-М,2025.-184 с.(П)</t>
  </si>
  <si>
    <t>РАЗГРАНИЧЕНИЕ ПРЕДМЕТОВ ВЕДЕНИЯ И ПОЛНОМОЧИЙ В СИСТЕМЕ ПУБЛИЧНОЙ ВЛАСТИ, ИЗД.1</t>
  </si>
  <si>
    <t>Осавелюк А.М., Забелина Е.П., Невинский В.В. и др.</t>
  </si>
  <si>
    <t>978-5-00156-172-9</t>
  </si>
  <si>
    <t>786196.01.01</t>
  </si>
  <si>
    <t>Размерные эффекты в фазовых переходах и...: Моногр. / А.В.Шуба-М.:НИЦ ИНФРА-М,2023.-384 с.(П)</t>
  </si>
  <si>
    <t>РАЗМЕРНЫЕ ЭФФЕКТЫ В ФАЗОВЫХ ПЕРЕХОДАХ И ФИЗИЧЕСКИХ СВОЙСТВАХ ФЕРРОИКОВ, ИЗД.1</t>
  </si>
  <si>
    <t>Нечаев В.Н., Шуба А.В.</t>
  </si>
  <si>
    <t>978-5-16-017937-7</t>
  </si>
  <si>
    <t>03.03.01, 03.04.01, 03.04.02, 03.05.02, 03.06.01</t>
  </si>
  <si>
    <t>673761.04.01</t>
  </si>
  <si>
    <t>Размышления об эмпатическом познании: Моногр. / С.В.Бочкарёва - М.:НИЦ ИНФРА-М,2024 - 149 с.(Науч.мысль)(О)</t>
  </si>
  <si>
    <t>РАЗМЫШЛЕНИЯ ОБ ЭМПАТИЧЕСКОМ ПОЗНАНИИ, ИЗД.1</t>
  </si>
  <si>
    <t>Бочкарёва С.В.</t>
  </si>
  <si>
    <t>978-5-16-013590-8</t>
  </si>
  <si>
    <t>Гимназия № 19 г. Курган</t>
  </si>
  <si>
    <t>060300.16.01</t>
  </si>
  <si>
    <t>Разработка баз данных в сис. Microsoft Access: Уч. / А.В.Кузин - 4 изд. - М., НИЦ ИНФРА-М,2026 - 224с(П)</t>
  </si>
  <si>
    <t>РАЗРАБОТКА БАЗ ДАННЫХ В СИСТЕМЕ MICROSOFT ACCESS, ИЗД.4</t>
  </si>
  <si>
    <t>Кузин А. В., Демин В. М.</t>
  </si>
  <si>
    <t>978-5-16-021228-9</t>
  </si>
  <si>
    <t>00.02.03, 09.01.03, 09.02.03, 09.02.07</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</si>
  <si>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специальностям «Автоматизированные системы обработки информации и управления (по отраслям)», «Программное обеспечение вычислительной техники и автоматизированных систем»</t>
  </si>
  <si>
    <t>845218.01.01</t>
  </si>
  <si>
    <t>Разработка бизнес-плана проекта: Уч.пос./ Т.С.Бронникова, - 2 изд. - М.:НИЦ ИНФРА-М,2025. - 215 с.(СПО)(п)</t>
  </si>
  <si>
    <t>РАЗРАБОТКА БИЗНЕС-ПЛАНА ПРОЕКТА, ИЗД.2</t>
  </si>
  <si>
    <t>Бронникова Т.С.</t>
  </si>
  <si>
    <t>978-5-16-020455-0</t>
  </si>
  <si>
    <t>08.02.01, 09.02.04, 09.02.07, 18.02.13, 19.02.13, 24.02.02, 43.02.02, 43.02.16</t>
  </si>
  <si>
    <t>171350.08.01</t>
  </si>
  <si>
    <t>Разработка бизнес-плана...: Уч.пос. / Т.С.Бронникова, - 2 изд. - М.:НИЦ ИНФРА-М,2025 - 215 с.(ВО)(П)</t>
  </si>
  <si>
    <t>978-5-16-020613-4</t>
  </si>
  <si>
    <t>38.03.01, 38.03.02, 38.03.04, 38.04.02, 38.04.04, 41.03.06, 44.03.01</t>
  </si>
  <si>
    <t>Допущено УМО по образованию в области производственного менеджмента в качестве учебного пособия для бакалавров высших учебных заведений, обучающихся по направлению подготовки 38.03.02 «Менеджмент»</t>
  </si>
  <si>
    <t>307200.14.01</t>
  </si>
  <si>
    <t>Разработка бизнес-прил. на платф."1С:Предпр.": Уч.пос. / Э.Г.Дадян - 2 изд. - М.:НИЦ ИНФРА-М,2027 - 305 с.(ВО)(п)</t>
  </si>
  <si>
    <t>РАЗРАБОТКА БИЗНЕС-ПРИЛОЖЕНИЙ НА ПЛАТФОРМЕ "1С:ПРЕДПРИЯТИЕ", ИЗД.2</t>
  </si>
  <si>
    <t>978-5-16-019434-9</t>
  </si>
  <si>
    <t>Рекомендовано УМО вузов России по образованию в области финансов, учета и мировой экономики в качестве учебного пособия для студентов, обучающихся по направлению подготовки 38.03.01 «Экономика» (квалификация (степень) «бакалавр)</t>
  </si>
  <si>
    <t>682798.06.01</t>
  </si>
  <si>
    <t>Разработка бизнес-приложений на платформе "1С: Предпр.": Уч.пос. / Э.Г.Дадян - М.:НИЦ ИНФРА-М,2026. - 305 с.(П)</t>
  </si>
  <si>
    <t>РАЗРАБОТКА БИЗНЕС-ПРИЛОЖЕНИЙ НА ПЛАТФОРМЕ "1С: ПРЕДПРИЯТИЕ", ИЗД.1</t>
  </si>
  <si>
    <t>978-5-16-016648-3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</si>
  <si>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8 от 22.06.2020)</t>
  </si>
  <si>
    <t>845026.01.01</t>
  </si>
  <si>
    <t>Разработка и использование низкоуглерод. технологич. схем.../ Б.С.Ксенофонтов - М.:НИЦ ИНФРА-М,2025. - 200 с.(п)</t>
  </si>
  <si>
    <t>РАЗРАБОТКА И ИСПОЛЬЗОВАНИЕ НИЗКОУГЛЕРОДНЫХ ТЕХНОЛОГИЧЕСКИХ СХЕМ ОЧИСТКИ СТОЧНЫХ ВОД, ИЗД.1</t>
  </si>
  <si>
    <t>978-5-16-020533-5</t>
  </si>
  <si>
    <t>082200.18.01</t>
  </si>
  <si>
    <t>Разработка и эксплуат. автомат. информ. сис.: Уч.пос. / Л.Г.Гагарина, - 2 изд. - М.:НИЦ ИНФРА-М,2026 - 358 с.(п)</t>
  </si>
  <si>
    <t>РАЗРАБОТКА И ЭКСПЛУАТАЦИЯ АВТОМАТИЗИРОВАННЫХ ИНФОРМАЦИОННЫХ СИСТЕМ, ИЗД.2</t>
  </si>
  <si>
    <t>978-5-16-018360-2</t>
  </si>
  <si>
    <t>09.01.03, 09.01.04, 09.02.01, 09.02.02, 09.02.04, 09.02.05, 09.02.06, 09.02.08, 10.02.03, 10.02.05</t>
  </si>
  <si>
    <t>082200.15.01</t>
  </si>
  <si>
    <t>Разработка и эксплуат. автомат.информ.систем: Уч.пос./Л.Г.Гагарина-М.:ИД ФОРУМ,НИЦ ИНФРА-М,2021-384с</t>
  </si>
  <si>
    <t>РАЗРАБОТКА И ЭКСПЛУАТАЦИЯ АВТОМАТИЗИРОВАННЫХ ИНФОРМАЦИОННЫХ СИСТЕМ, ИЗД.1</t>
  </si>
  <si>
    <t>978-5-8199-0735-1</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</si>
  <si>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09.00.00 «Информатика и вычислительная техника»</t>
  </si>
  <si>
    <t>767206.01.01</t>
  </si>
  <si>
    <t>Разработка информац. контента (по отраслям): Уч.пос. / В.Н.Шитов-М.:НИЦ ИНФРА-М,2022.-178 с.(СПО)(П)</t>
  </si>
  <si>
    <t>РАЗРАБОТКА ИНФОРМАЦИОННОГО КОНТЕНТА (ПО ОТРАСЛЯМ), ИЗД.1</t>
  </si>
  <si>
    <t>978-5-16-017434-1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</si>
  <si>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09.02.07 «Информационные системы и программирование» (протокол № 2 от 09.02.2022)</t>
  </si>
  <si>
    <t>845299.01.01</t>
  </si>
  <si>
    <t>Разработка месторождений полезных ископаемых: Уч. пос. / В.И.Голик - М.: НИЦ ИНФРА-М, 2025 - 136 с.(СПО)(о)</t>
  </si>
  <si>
    <t>РАЗРАБОТКА МЕСТОРОЖДЕНИЙ ПОЛЕЗНЫХ ИСКОПАЕМЫХ, ИЗД.1</t>
  </si>
  <si>
    <t>978-5-16-020460-4</t>
  </si>
  <si>
    <t>21.02.12</t>
  </si>
  <si>
    <t>438950.09.01</t>
  </si>
  <si>
    <t>Разработка месторождений полезных ископаемых: Уч. пос./В.И.Голик - М.: НИЦ ИНФРА-М, 2024 - 136с.(ВО) (о)</t>
  </si>
  <si>
    <t>978-5-16-018781-5</t>
  </si>
  <si>
    <t>05.03.01, 05.04.01, 21.02.12, 21.05.04, 21.05.05</t>
  </si>
  <si>
    <t>126600.14.01</t>
  </si>
  <si>
    <t>Разработка рекламного продукта: Уч. пос. / А.А. Романов. - М.: Вуз. уч.: ИНФРА-М, 2027 - 256 с (п)</t>
  </si>
  <si>
    <t>РАЗРАБОТКА РЕКЛАМНОГО ПРОДУКТА, ИЗД.1</t>
  </si>
  <si>
    <t>Романов А. А., Васильев Г. А., Поляков В. А.</t>
  </si>
  <si>
    <t>978-5-9558-0124-7</t>
  </si>
  <si>
    <t>42.03.01</t>
  </si>
  <si>
    <t>Допущено УМО по образованию в области коммерции в качестве доп. литературы для студентов высших учебных заведений, обучающихся по специальности 032401 "Реклама"</t>
  </si>
  <si>
    <t>657057.04.01</t>
  </si>
  <si>
    <t>Разработка технологич. процес. в машиностроении: Уч.пос. / И.В.Шрубченко - 2 изд. - М.:НИЦ ИНФРА-М,2026 - 176 с.(П)</t>
  </si>
  <si>
    <t>РАЗРАБОТКА ТЕХНОЛОГИЧЕСКИХ ПРОЦЕССОВ В МАШИНОСТРОЕНИИ, ИЗД.2</t>
  </si>
  <si>
    <t>978-5-16-021850-2</t>
  </si>
  <si>
    <t>Допущено Учебно-методическим объединением вузов по образованию в области автоматизированного машиностроения (УМО AM) в качестве учебного пособиядля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t>
  </si>
  <si>
    <t>167250.11.01</t>
  </si>
  <si>
    <t>Разработка управленческих решений: Уч. пос. / Е.В. Строева - М.: НИЦ ИНФРА-М, 2025-128с.(ВО) (о)</t>
  </si>
  <si>
    <t>РАЗРАБОТКА УПРАВЛЕНЧЕСКИХ РЕШЕНИЙ, ИЗД.1</t>
  </si>
  <si>
    <t>Строева Е. В., Лаврова Е. В.</t>
  </si>
  <si>
    <t>978-5-16-005222-9</t>
  </si>
  <si>
    <t>38.03.02, 38.03.04, 38.04.04, 41.03.06, 46.04.02</t>
  </si>
  <si>
    <t>Допущено Советом Учебно-методического объединения вузов России по образованию в области менеджмента в качестве учебного пособия для студентов высшего профессионального образования, обучающихся по специальности 080507 «Менеджмент организации», дисципл</t>
  </si>
  <si>
    <t>362000.16.01</t>
  </si>
  <si>
    <t>Разработка,внедр.и адаптация программного...: Уч.пос. / Г.Н.Федорова - М.:КУРС,НИЦ ИНФРА-М,2026 - 336с.(П)</t>
  </si>
  <si>
    <t>РАЗРАБОТКА, ВНЕДРЕНИЕ И АДАПТАЦИЯ ПРОГРАММНОГО ОБЕСПЕЧЕНИЯ ОТРАСЛЕВОЙ НАПРАВЛЕННОСТИ, ИЗД.1</t>
  </si>
  <si>
    <t>Федорова Г.Н.</t>
  </si>
  <si>
    <t>978-5-906818-41-6</t>
  </si>
  <si>
    <t>09.02.05, 09.02.07, 09.02.10</t>
  </si>
  <si>
    <t>Рекомендовано Экспертным советом при Государственном бюджетном образовательном учреждении дополнительного профессионального образования (повышения квалификации) специалистов города Москвы учебно-методический центр по профессиональному образованию Департамента образования города Москвы в качестве учебного пособия (09.02.05 Прикладная информатика (по отраслям), ПМ "Разработка, внедрение и адаптация программного обеспечения отраслевой направленности) для профессиональных образовательных организаций</t>
  </si>
  <si>
    <t>Белебеевский Медицинский колледж</t>
  </si>
  <si>
    <t>733549.02.01</t>
  </si>
  <si>
    <t>Разрешение споров в международном и европ. праве: Уч.пос. / Ю.В.Самович-М.:ИЦ РИОР, НИЦ ИНФРА-М,2022-148 с.(ВО)(О)</t>
  </si>
  <si>
    <t>РАЗРЕШЕНИЕ СПОРОВ В МЕЖДУНАРОДНОМ И ЕВРОПЕЙСКОМ ПРАВЕ, ИЗД.1</t>
  </si>
  <si>
    <t>978-5-369-01842-2</t>
  </si>
  <si>
    <t>733549.03.01</t>
  </si>
  <si>
    <t>Разрешение споров в международном и..: Уч.пос. / Ю.В.Самович, - 2 изд. - М.:ИЦ РИОР, НИЦ ИНФРА-М,2026 - 155 с.(ВО)(о)</t>
  </si>
  <si>
    <t>РАЗРЕШЕНИЕ СПОРОВ В МЕЖДУНАРОДНОМ И ЕВРОПЕЙСКОМ ПРАВЕ, ИЗД.2</t>
  </si>
  <si>
    <t>978-5-369-01999-3</t>
  </si>
  <si>
    <t>800728.05.01</t>
  </si>
  <si>
    <t>Разрешительная деятельность в механизме гос. упр.: Моногр. / Л.В.Андриченко - М.:НИЦ ИНФРА-М,2026 - 600 с.(ИЗиСП)(п)</t>
  </si>
  <si>
    <t>РАЗРЕШИТЕЛЬНАЯ ДЕЯТЕЛЬНОСТЬ В МЕХАНИЗМЕ ГОСУДАРСТВЕННОГО УПРАВЛЕНИЯ, ИЗД.1</t>
  </si>
  <si>
    <t>Андриченко Л.В., Горенская Е.В., Емельянов А.С. и др.</t>
  </si>
  <si>
    <t>978-5-16-018299-5</t>
  </si>
  <si>
    <t>466250.04.01</t>
  </si>
  <si>
    <t>Разрушение горных пород при бурении скважин: Уч. пос. / В.В.Нескоромных-М.:НИЦ ИНФРА-М,2023.-336 с(ВО)(П)</t>
  </si>
  <si>
    <t>РАЗРУШЕНИЕ ГОРНЫХ ПОРОД ПРИ БУРЕНИИ СКВАЖИН, ИЗД.1</t>
  </si>
  <si>
    <t>978-5-16-009729-9</t>
  </si>
  <si>
    <t>05.03.01, 05.04.01, 21.03.01, 21.04.01, 21.05.04, 21.05.05</t>
  </si>
  <si>
    <t>395800.05.01</t>
  </si>
  <si>
    <t>Разрушение горных пород при проведении..: Уч.пос. / В.В.Нескоромных - 2 изд. - М.:НИЦ ИНФРА-М,2025 - 392 с.(ВО)(п)</t>
  </si>
  <si>
    <t>РАЗРУШЕНИЕ ГОРНЫХ ПОРОД ПРИ ПРОВЕДЕНИИ ГЕОЛОГОРАЗВЕДОЧНЫХ РАБОТ, ИЗД.2</t>
  </si>
  <si>
    <t>В.В.Нескоромных</t>
  </si>
  <si>
    <t>978-5-16-011235-0</t>
  </si>
  <si>
    <t>Рекомендовано Федеральным государственным бюджетным образовательным учреждением высшего профессионального образования «Национальный минерально-сырьевой университет "Горный"» в качестве учебного пособия для студентов высших учебных заведений, обучаюши</t>
  </si>
  <si>
    <t>748153.01.01</t>
  </si>
  <si>
    <t>Разрушение угольных пластов при добыче выемочными машинами: Моногр. / Ю.Н.Линник-М.:НИЦ ИНФРА-М,2022.-319 с.(Науч.мысль)(О)</t>
  </si>
  <si>
    <t>РАЗРУШЕНИЕ УГОЛЬНЫХ ПЛАСТОВ ПРИ ДОБЫЧЕ ВЫЕМОЧНЫМИ МАШИНАМИ, ИЗД.1</t>
  </si>
  <si>
    <t>Линник Ю.Н., Линник В.Ю.</t>
  </si>
  <si>
    <t>978-5-16-016705-3</t>
  </si>
  <si>
    <t>634290.07.01</t>
  </si>
  <si>
    <t>Ракетно-космич. промышл. России...: Моногр. / Под ред. Эскиндарова М.А. - М.:НИЦ ИНФРА-М,2024 - 309 с.(O)</t>
  </si>
  <si>
    <t>РАКЕТНО-КОСМИЧЕСКАЯ ПРОМЫШЛЕННОСТЬ РОССИИ: ИНСТИТУЦИОНАЛЬНОЕ И ЭКОНОМИЧЕСКОЕ РАЗВИТИЕ, ИЗД.1</t>
  </si>
  <si>
    <t>Эскиндаров М.А., Комаров И.А.</t>
  </si>
  <si>
    <t>978-5-16-020052-1</t>
  </si>
  <si>
    <t>24.03.01, 24.03.02, 24.03.03, 24.03.05, 24.04.01, 24.04.02, 24.04.03, 24.04.05, 24.05.01</t>
  </si>
  <si>
    <t>634290.06.01</t>
  </si>
  <si>
    <t>Ракетно-космич.промышл.России...: Моногр. / Под ред. Эскиндарова М.А. - М.:НИЦ ИНФРА-М,2024-309с.(П)</t>
  </si>
  <si>
    <t>978-5-16-012107-9</t>
  </si>
  <si>
    <t>813118.01.01</t>
  </si>
  <si>
    <t>Распознавание образов. Нач. курс теории: Уч.пос. / Н.С.Бондаренко - М.:НИЦ ИНФРА-М,2025. - 185 с.(ВО)(п)</t>
  </si>
  <si>
    <t>РАСПОЗНАВАНИЕ ОБРАЗОВ. НАЧАЛЬНЫЙ КУРС ТЕОРИИ, ИЗД.1</t>
  </si>
  <si>
    <t>Бондаренко Н.С.</t>
  </si>
  <si>
    <t>978-5-16-019365-6</t>
  </si>
  <si>
    <t>09.04.01, 09.04.02, 09.04.03, 09.04.04, 09.05.01</t>
  </si>
  <si>
    <t>798673.06.01</t>
  </si>
  <si>
    <t>Расследование налоговых преступлений: Уч.пос. / Е.Г.Быкова - 3 изд. - М.:НИЦ ИНФРА-М,2026. - 322 с.(ВО)(п)</t>
  </si>
  <si>
    <t>РАССЛЕДОВАНИЕ НАЛОГОВЫХ ПРЕСТУПЛЕНИЙ, ИЗД.3</t>
  </si>
  <si>
    <t>Быкова Е.Г., Вахмянина Н.Б., Вдовцев П.В. и др.</t>
  </si>
  <si>
    <t>978-5-16-018252-0</t>
  </si>
  <si>
    <t>40.03.01, 40.05.01, 40.05.02, 40.05.04, 44.03.05</t>
  </si>
  <si>
    <t>853084.01.01</t>
  </si>
  <si>
    <t>Расследование преступ., связанных с фальсификацией... / Н.В.Кручинина - М.:Юр. НОРМА, НИЦ ИНФРА-М,2025 - 168 с.(п)</t>
  </si>
  <si>
    <t>РАССЛЕДОВАНИЕ ПРЕСТУПЛЕНИЙ, СВЯЗАННЫХ С ФАЛЬСИФИКАЦИЕЙ ДОКАЗАТЕЛЬСТВ, ИЗД.1</t>
  </si>
  <si>
    <t>Кручинина Н.В., Попов В.П.</t>
  </si>
  <si>
    <t>978-5-00156-428-7</t>
  </si>
  <si>
    <t>866732.01.01</t>
  </si>
  <si>
    <t>Расследование преступных наруш. правил охраны труда...: Моногр. / Е.Г.Быкова. - М.:НИЦ ИНФРА-М,2026. - 360 с.(п)</t>
  </si>
  <si>
    <t>РАССЛЕДОВАНИЕ ПРЕСТУПНЫХ НАРУШЕНИЙ ПРАВИЛ ОХРАНЫ ТРУДА И БЕЗОПАСНОГО ВЕДЕНИЯ РАБОТ, ИЗД.1</t>
  </si>
  <si>
    <t>Быкова Е.Г., Казаков А.А., Карагодин В.Н. и др.</t>
  </si>
  <si>
    <t>978-5-16-021498-6</t>
  </si>
  <si>
    <t>38.03.03, 38.03.04, 40.03.01, 40.04.01, 40.05.01, 40.05.02, 40.05.03, 40.05.04</t>
  </si>
  <si>
    <t>765066.01.01</t>
  </si>
  <si>
    <t>Рассмотрение споров, вытекающих из.... Практ.: Уч.пос. / Е.А.Позднякова-М.:НИЦ ИНФРА-М,2023.-210 с(п)</t>
  </si>
  <si>
    <t>РАССМОТРЕНИЕ СПОРОВ, ВЫТЕКАЮЩИХ ИЗ ЗЕМЕЛЬНЫХ ПРАВООТНОШЕНИЙ. ПРАКТИКУМ, ИЗД.1</t>
  </si>
  <si>
    <t>Позднякова Е.А., Тарнавский О.А.</t>
  </si>
  <si>
    <t>978-5-16-017718-2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</si>
  <si>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юридическим направлениям подготовки (квалификация (степень) «магистр») (протокол № 8 от 19.10.2022)</t>
  </si>
  <si>
    <t>244800.13.01</t>
  </si>
  <si>
    <t>Расстройства шизофренического спектра: Уч.пос. / Л.М.Барденштейн - М.:НИЦ ИНФРА-М,2026 - 112 с.(ВО)(О)</t>
  </si>
  <si>
    <t>РАССТРОЙСТВА ШИЗОФРЕНИЧЕСКОГО СПЕКТРА, ИЗД.1</t>
  </si>
  <si>
    <t>Барденштейн Л.М., Щербакова И.В., Алешкина Г.А.</t>
  </si>
  <si>
    <t>978-5-16-019031-0</t>
  </si>
  <si>
    <t>31.05.01, 34.03.01</t>
  </si>
  <si>
    <t>Рекомендовано к изданию Ученым советом ГБОУ ВПО «Московский государственный медико-стоматологический университет имени А.И. Евдокимова» Министерства здравоохранения РФ</t>
  </si>
  <si>
    <t>473950.08.01</t>
  </si>
  <si>
    <t>Растениеводство: практикум: Уч.пос. / Г.С.Посыпанов - М.:НИЦ ИНФРА-М,2025 - 255 с.(ВО)(п)</t>
  </si>
  <si>
    <t>РАСТЕНИЕВОДСТВО: ПРАКТИКУМ, ИЗД.1</t>
  </si>
  <si>
    <t>Посыпанов Г.С.</t>
  </si>
  <si>
    <t>978-5-16-019451-6</t>
  </si>
  <si>
    <t>РекомендованоМинистерством сельского хозяйства Российской Федерации в качестве учебного пособия для студентов высших учебных заведений по агрономическим специальностям</t>
  </si>
  <si>
    <t>469700.07.01</t>
  </si>
  <si>
    <t>Растениеводство: Уч. / Под ред. Гатаулиной Г.Г. - М.:НИЦ ИНФРА-М,2026 - 608 с.(ВО: Бакалавр.)(П)</t>
  </si>
  <si>
    <t>РАСТЕНИЕВОДСТВО, ИЗД.1</t>
  </si>
  <si>
    <t>Гатаулина Г.Г., Бугаев П.Д., Долгодворов В.Е. и др.</t>
  </si>
  <si>
    <t>978-5-16-011564-1</t>
  </si>
  <si>
    <t>Рекомендовано в качестве учебника для студентов высших учебных заведений, обучающихся по направлению подготовки 35.03.04 «Агрономия» (квалификация (степень) «бакалавр»)</t>
  </si>
  <si>
    <t>329500.09.01</t>
  </si>
  <si>
    <t>Растениеводство: Уч. / Под ред. Посыпанова Г.С. - М.:НИЦ ИНФРА-М,2026 - 612 с.(ВО)(п)</t>
  </si>
  <si>
    <t>Посыпанов Г.С., Долгодворов В.Е., Жеруков Б.Х. и др.</t>
  </si>
  <si>
    <t>978-5-16-018475-3</t>
  </si>
  <si>
    <t>359800.04.01</t>
  </si>
  <si>
    <t>Растительные сообщества Памира, их структура,динамика.../С.Сабоиев-НИЦ ИНФРА-М,2024-319с(Науч.мысль)</t>
  </si>
  <si>
    <t>РАСТИТЕЛЬНЫЕ СООБЩЕСТВА ПАМИРА, ИХ СТРУКТУРА, ДИНАМИКА И ПРОДУКТИВНОСТЬ, ИЗД.1</t>
  </si>
  <si>
    <t>Сабоиев С.</t>
  </si>
  <si>
    <t>978-5-16-010774-5</t>
  </si>
  <si>
    <t>05.03.02, 05.04.02, 06.03.01, 06.06.01, 44.03.01, 44.03.05</t>
  </si>
  <si>
    <t>656348.09.01</t>
  </si>
  <si>
    <t>Расчет и основы конструир. деталей машин: Уч.: В 2 т.Т.1 / Ю.Е.Гуревич - М.:КУРС,НИЦ ИНФРА-М,2027 - 240 с.(П)</t>
  </si>
  <si>
    <t>РАСЧЕТ И ОСНОВЫ КОНСТРУИРОВАНИЯ ДЕТАЛЕЙ МАШИН. В 2 ТОМАХ, Т.1</t>
  </si>
  <si>
    <t>Гуревич Ю.Е., Схиртладзе А.Г.</t>
  </si>
  <si>
    <t>978-5-906923-29-5</t>
  </si>
  <si>
    <t>668065.08.01</t>
  </si>
  <si>
    <t>Расчет и основы конструир. деталей машин: Уч.: В 2 т.Т.2 / Ю.Е.Гуревич - М.:КУРС,НИЦ ИНФРА-М,2026 - 248 с.(п)</t>
  </si>
  <si>
    <t>РАСЧЕТ И ОСНОВЫ КОНСТРУИРОВАНИЯ ДЕТАЛЕЙ МАШИН, Т.2</t>
  </si>
  <si>
    <t>978-5-906923-60-8</t>
  </si>
  <si>
    <t>044540.25.01</t>
  </si>
  <si>
    <t>Расчет и проект.схем электроснаб..: Уч.пос. / В.П.Шеховцов - 3 изд. - М.:НИЦ ИНФРА-М,2026 - 214 с.(СПО)(О)</t>
  </si>
  <si>
    <t>РАСЧЕТ И ПРОЕКТИРОВАНИЕ СХЕМ ЭЛЕКТРОСНАБЖЕНИЯ. МЕТОДИЧЕСКОЕ ПОСОБИЕ ДЛЯ КУРСОВОГО ПРОЕКТИРОВАНИЯ, ИЗД.3</t>
  </si>
  <si>
    <t>Шеховцов В.П.</t>
  </si>
  <si>
    <t>978-5-16-018405-0</t>
  </si>
  <si>
    <t>08.02.09, 13.02.07, 13.02.13, 15.01.26, 15.01.27, 15.01.35, 15.01.36, 15.01.38, 15.02.07, 15.02.16, 15.02.18</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</si>
  <si>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13.02.11 «Техническая эксплуатация и обслуживание электрического и электромеханического оборудования (по отраслям)»</t>
  </si>
  <si>
    <t>820924.01.01</t>
  </si>
  <si>
    <t>Расчет и проектир. сис. обеспеч. безопас.: Уч.пос. / В.В.Коростовенко-М.:НИЦ ИНФРА-М, СФУ,2024.-108 с.(ВО)(о)</t>
  </si>
  <si>
    <t>РАСЧЕТ И ПРОЕКТИРОВАНИЕ СИСТЕМ ОБЕСПЕЧЕНИЯ БЕЗОПАСНОСТИ, ИЗД.1</t>
  </si>
  <si>
    <t>Коростовенко В.В., Стрекалова Т.А., Гронь В.А. и др.</t>
  </si>
  <si>
    <t>978-5-16-019592-6</t>
  </si>
  <si>
    <t>120500.11.01</t>
  </si>
  <si>
    <t>Расчет и проектирование ОУ...: Уч.пос. / В.П.Шеховцов - 2 изд. - М.:Форум, НИЦ ИНФРА-М,2025 - 352 с.(СПО)(П)</t>
  </si>
  <si>
    <t>РАСЧЕТ И ПРОЕКТИРОВАНИЕ ОУ И ЭЛЕКТРОУСТАНОВОК ПРОМЫШЛЕННЫХ МЕХАНИЗМОВ, ИЗД.2</t>
  </si>
  <si>
    <t>978-5-00091-652-0</t>
  </si>
  <si>
    <t>08.01.31, 13.02.12, 13.02.13, 15.01.26, 15.01.27, 15.01.35, 15.01.36, 15.01.38, 15.02.07, 15.02.16, 15.02.18, 23.01.03, 23.02.06</t>
  </si>
  <si>
    <t>435750.06.01</t>
  </si>
  <si>
    <t>Расчет и проектирование технолог. оснаст. в машиностр.: Уч.пос. / И.С.Иванов - ИНФРА-М,2025 - 198 с.(ВО)</t>
  </si>
  <si>
    <t>РАСЧЕТ И ПРОЕКТИРОВАНИЕ ТЕХНОЛОГИЧЕСКОЙ ОСНАСТКИ В МАШИНОСТРОЕНИИ, ИЗД.1</t>
  </si>
  <si>
    <t>Иванов И.С.</t>
  </si>
  <si>
    <t>978-5-16-006705-6</t>
  </si>
  <si>
    <t>15.03.02, 15.03.05, 15.04.01, 15.04.02, 15.04.05</t>
  </si>
  <si>
    <t>405050.09.01</t>
  </si>
  <si>
    <t>Расчет источ. втор. питания элект. уст.: Уч.пос. / О.Н.Остапенкова, 2изд.-М.:Форум, НИЦ ИНФРА-М,2024.-95 с(О)</t>
  </si>
  <si>
    <t>РАСЧЕТ ИСТОЧНИКОВ ВТОРИЧНОГО ПИТАНИЯ ЭЛЕКТРОННЫХ УСТРОЙСТВ, ИЗД.2</t>
  </si>
  <si>
    <t>Остапенкова О.Н.</t>
  </si>
  <si>
    <t>978-5-00091-748-0</t>
  </si>
  <si>
    <t>11.02.06, 11.02.14, 11.02.17, 13.02.07, 15.01.26, 15.01.27, 15.01.35, 15.01.36, 15.01.38, 15.02.07, 15.02.16, 15.02.18, 23.01.03, 23.02.06</t>
  </si>
  <si>
    <t>Рекомендовано Учебно-методическим советом Учебно-методического центра по профессиональному образованию Департамента образования г. Москвы в качестве учебного пособия для студентов образовательных учреждений среднего профессионального образования</t>
  </si>
  <si>
    <t>Политехнический колледж им. Н.Н. Годовикова</t>
  </si>
  <si>
    <t>694920.03.01</t>
  </si>
  <si>
    <t>Расчет кинематики и динамики рядных поршневых двиг.: Уч.пос. / М.П.Вальехо-М.:НИЦ ИНФРА-М,2024.-259с(ВО)(п)</t>
  </si>
  <si>
    <t>РАСЧЕТ КИНЕМАТИКИ И ДИНАМИКИ РЯДНЫХ ПОРШНЕВЫХ ДВИГАТЕЛЕЙ, ИЗД.1</t>
  </si>
  <si>
    <t>978-5-16-019265-9</t>
  </si>
  <si>
    <t>Допущено Федеральным УМО по укрупненной группе специальностей и направлений подготовки 23.00.00 «Техника и технологии наземного транспорта» в качестве учебного пособия для обучающихся по направлению подготовки 23.03.03 «Эксплуатация транспортно-технологических машин и комплексов» (уровень образования «бакалавриат»)</t>
  </si>
  <si>
    <t>775682.02.01</t>
  </si>
  <si>
    <t>Расчет тепл. схем парогазовых установок...: Уч.пос. / А.А.Кудинов. - М.:НИЦ ИНФРА-М,2027. - 256 с.(ВО)(п)</t>
  </si>
  <si>
    <t>РАСЧЕТ ТЕПЛОВЫХ СХЕМ ПАРОГАЗОВЫХ УСТАНОВОК ТЕПЛОВЫХ ЭЛЕКТРОСТАНЦИЙ, ИЗД.1</t>
  </si>
  <si>
    <t>Кудинов А.А., Зиганшина С.К., Хусаинов К.Р.</t>
  </si>
  <si>
    <t>978-5-16-017660-4</t>
  </si>
  <si>
    <t>13.03.01, 13.03.03</t>
  </si>
  <si>
    <t>063050.19.01</t>
  </si>
  <si>
    <t>Расчет электр. и магн. цепей...: Уч.пос. / Е.А.Лоторейчук, - 2 изд. - М.:ИД ФОРУМ, НИЦ ИНФРА-М,2026 - 272 с.(СПО)(П)</t>
  </si>
  <si>
    <t>РАСЧЕТ ЭЛЕКТРИЧЕСКИХ И МАГНИТНЫХ ЦЕПЕЙ И ПОЛЕЙ. РЕШЕНИЕ ЗАДАЧ, ИЗД.2</t>
  </si>
  <si>
    <t>Лоторейчук Е.А.</t>
  </si>
  <si>
    <t>978-5-8199-0821-1</t>
  </si>
  <si>
    <t>00.02.39, 08.02.02, 11.02.03, 12.02.04, 13.02.02, 13.02.07, 15.02.18, 23.02.02, 23.02.05, 23.02.07, 35.02.16</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</si>
  <si>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«Энергетика», «Электротехника», «Приборостроение», «Электроника и микроэлектроника», «Радиотехника и телекоммуникации», «Автоматизация и управление», «Информатика и вычислительная техника»</t>
  </si>
  <si>
    <t>326500.05.01</t>
  </si>
  <si>
    <t>Расчетно-кредитные отношения во внешнеэкономич..: Уч.пос. / Ю.Г.Вешкин - М.:Магистр:ИНФРА-М,2025 - 272 с.(о)</t>
  </si>
  <si>
    <t>РАСЧЕТНО-КРЕДИТНЫЕ ОТНОШЕНИЯ ВО ВНЕШНЕЭКОНОМИЧЕСКОЙ ДЕЯТЕЛЬНОСТИ, ИЗД.1</t>
  </si>
  <si>
    <t>Вешкин Ю. Г., Авагян Г. Л.</t>
  </si>
  <si>
    <t>978-5-9776-0347-8</t>
  </si>
  <si>
    <t>326500.03.01</t>
  </si>
  <si>
    <t>Расчетно-кредитные отношения во внешнеэкономич..:Уч.пос./Ю.Г.Вешкин-М.:Магистр:ИНФРА-М,2018-272с.</t>
  </si>
  <si>
    <t>719199.03.01</t>
  </si>
  <si>
    <t>Расчетные модели конструкционных строит. матер...: Моногр. / Й.Эберхардштайнер.-М.:НИЦ ИНФРА-М,2024.-320 с.(О)</t>
  </si>
  <si>
    <t>РАСЧЕТНЫЕ МОДЕЛИ КОНСТРУКЦИОННЫХ СТРОИТЕЛЬНЫХ МАТЕРИАЛОВ ПРИ МНОГООСНОМ НАПРЯЖЕНИИ, ИЗД.1</t>
  </si>
  <si>
    <t>Эберхардштайнер Й., Леонович С.Н., Доркин В.В. и др.</t>
  </si>
  <si>
    <t>978-5-16-016129-7</t>
  </si>
  <si>
    <t>15.04.01</t>
  </si>
  <si>
    <t>Венский технический университет</t>
  </si>
  <si>
    <t>438050.06.01</t>
  </si>
  <si>
    <t>Расчеты на прочность деталей ДВС..: Уч.пос. / А.Н.Гоц  - 3 изд  - М:Форум: НИЦ ИНФРА-М, 2026  - 208 с. (ВО) (о)</t>
  </si>
  <si>
    <t>РАСЧЕТЫ НА ПРОЧНОСТЬ ДЕТАЛЕЙ ДВС ПРИ НАПРЯЖЕНИЯХ, ПЕРЕМЕННЫХ ВО ВРЕМЕНИ, ИЗД.3</t>
  </si>
  <si>
    <t>978-5-91134-746-8</t>
  </si>
  <si>
    <t>13.03.03, 23.03.02</t>
  </si>
  <si>
    <t>427800.08.01</t>
  </si>
  <si>
    <t>Расчеты на прочность и жесткость статич. опред...: Уч. пос./Н.А.Дроздова - ИНФРА-М;СФУ,2027-224с(ВО) (п)</t>
  </si>
  <si>
    <t>РАСЧЕТЫ НА ПРОЧНОСТЬ И ЖЕСТКОСТЬ СТАТИЧЕСКИ ОПРЕДЕЛИМЫХ И СТАТИЧЕСКИ  НЕОПРЕДЕЛИМЫХ  СИСТЕМ, ИЗД.1</t>
  </si>
  <si>
    <t>Дроздова Н. А., Какурина С. К.</t>
  </si>
  <si>
    <t>978-5-16-006368-3</t>
  </si>
  <si>
    <t>15.04.01, 15.04.02, 15.04.03, 15.04.04, 15.04.05</t>
  </si>
  <si>
    <t>Допущено Учебно-методическим объединением по образованию в области металлургии в качестве учебного пособия для студентов вузов, обучающихся по специальности 150404 «Металлургические машины и оборудование» направления 150400 «Технологические машины и</t>
  </si>
  <si>
    <t>683104.02.01</t>
  </si>
  <si>
    <t>Рациональное исп. натур. меха на швейных предпр..:Уч.пос. / И.Н.Каграманова-М.:ИД ФОРУМ,2023.-160 с</t>
  </si>
  <si>
    <t>РАЦИОНАЛЬНОЕ ИСПОЛЬЗОВАНИЕ НАТУРАЛЬНОГО МЕХА НА ШВЕЙНЫХ ПРЕДПРИЯТИЯХ. ТЕХНОЛОГИЧЕСКИЕ ПРОЦЕССЫ В СЕРВИСЕ, ИЗД.1</t>
  </si>
  <si>
    <t>Каграманова И.Н.</t>
  </si>
  <si>
    <t>978-5-8199-0942-3</t>
  </si>
  <si>
    <t>29.00.00, 29.01.31, 54.02.03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</si>
  <si>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29.02.03 «Конструирование, моделирование и технология изделий из меха», 29.02.02 «Технология кожи и меха», 38.02.05 «Товароведение и экспертиза качества потребительских товаров», 54.02.01 «Дизайн (по отраслям)», 54.02.02 «Декоративно-прикладное искусство и народные промыслы (по видам)»</t>
  </si>
  <si>
    <t>072230.07.01</t>
  </si>
  <si>
    <t>Рациональное использ.натурал.меха...: Уч.пос./И.Н.Каграманова -М.:ИД ФОРУМ,ИНФРА-М,2024-160с.(ВО)(П)</t>
  </si>
  <si>
    <t>978-5-8199-0861-7</t>
  </si>
  <si>
    <t>Допущено Министерством образования Российской Федерации в качестве учебного пособия для студентов высших учебных заведений, обучающихся по специальности 43.03.01 «Сервис»</t>
  </si>
  <si>
    <t>667702.02.01</t>
  </si>
  <si>
    <t>Рациональность как фундамент.характерист.соц.сис./ Д.О.Труфанов-М.:НИЦ ИНФРА-М,СФУ,2020-123с.(О)</t>
  </si>
  <si>
    <t>РАЦИОНАЛЬНОСТЬ КАК ФУНДАМЕНТАЛЬНАЯ ХАРАКТЕРИСТИКА СОЦИАЛЬНЫХ СИСТЕМ. ПОСТНЕКЛАССИЧЕСКИЙ (УНИВЕРСУМНЫЙ) ПОДХОД, ИЗД.1</t>
  </si>
  <si>
    <t>Труфанов Д.О.</t>
  </si>
  <si>
    <t>978-5-16-013254-9</t>
  </si>
  <si>
    <t>765723.03.01</t>
  </si>
  <si>
    <t>Реализация гос. экономич. политики в эпоху формир...: Моногр. / Е.В.Агамагомедова.-М.:НИЦ ИНФРА-М,2025-207с(О)</t>
  </si>
  <si>
    <t>РЕАЛИЗАЦИЯ ГОСУДАРСТВЕННОЙ ЭКОНОМИЧЕСКОЙ ПОЛИТИКИ В ЭПОХУ ФОРМИРОВАНИЯ НЕОИНДУСТРИАЛЬНОГО ОБЩЕСТВА, ИЗД.1</t>
  </si>
  <si>
    <t>Агамагомедова Е.В., Андросова И.В., Бабич Т.Н. и др.</t>
  </si>
  <si>
    <t>978-5-16-017248-4</t>
  </si>
  <si>
    <t>Белгородский государственный технологический университет им. В.Г. Шухова, Новороссийский ф-л</t>
  </si>
  <si>
    <t>757839.03.01</t>
  </si>
  <si>
    <t>Реализация Закона об ответственном обращении с животными.../ В.Р.Авхадеев - М.:НИЦ ИНФРА-М,2023 - 176 с.(О)</t>
  </si>
  <si>
    <t>РЕАЛИЗАЦИЯ ЗАКОНА ОБ ОТВЕТСТВЕННОМ ОБРАЩЕНИИ С ЖИВОТНЫМИ: ОТ КАЧЕСТВА НОРМ К ЭФФЕКТИВНОМУ ПРАВОПРИМЕНЕНИЮ, ИЗД.1</t>
  </si>
  <si>
    <t>Авхадеев В.Р., Биткова Л.А., Боголюбов C.А. и др.</t>
  </si>
  <si>
    <t>978-5-16-016948-4</t>
  </si>
  <si>
    <t>814110.01.01</t>
  </si>
  <si>
    <t>Реализация и защита прав граждан в сфере обороны и безоп. РФ: Моногр./ Ю.Г.Федотова-М.:ИНФРА-М,2024-568с.(п)</t>
  </si>
  <si>
    <t>РЕАЛИЗАЦИЯ И ЗАЩИТА ПРАВ ГРАЖДАН В СФЕРЕ ОБОРОНЫ И БЕЗОПАСНОСТИ РОССИЙСКОЙ ФЕДЕРАЦИИ, ИЗД.1</t>
  </si>
  <si>
    <t>978-5-16-019311-3</t>
  </si>
  <si>
    <t>762030.05.01</t>
  </si>
  <si>
    <t>Реализация конституц. прав и свобод чел. и...: Уч.пос. / С.В.Нарутто - М.:Юр.Норма, НИЦ ИНФРА-М,2026 - 360 с .(П)</t>
  </si>
  <si>
    <t>РЕАЛИЗАЦИЯ КОНСТИТУЦИОННЫХ ПРАВ И СВОБОД ЧЕЛОВЕКА И ГРАЖДАНИНА, ИЗД.1</t>
  </si>
  <si>
    <t>Нарутто С.В., Колмаков С.Ю.</t>
  </si>
  <si>
    <t>978-5-00156-189-7</t>
  </si>
  <si>
    <t>00.03.08, 40.03.01, 40.05.04, 44.03.05</t>
  </si>
  <si>
    <t>186950.14.01</t>
  </si>
  <si>
    <t>Реализация молодежной политики в РФ: Моногр. / А.Я.Кибанов. - М.:НИЦ ИНФРА-М,2026 - 149 с.(Науч.мысль)(о)</t>
  </si>
  <si>
    <t>РЕАЛИЗАЦИЯ МОЛОДЕЖНОЙ ПОЛИТИКИ В РОССИЙСКОЙ ФЕДЕРАЦИИ, ИЗД.1</t>
  </si>
  <si>
    <t>Кибанов А.Я., Ловчева М.В., Лукьянова Т.В.</t>
  </si>
  <si>
    <t>978-5-16-005615-9</t>
  </si>
  <si>
    <t>38.03.01, 38.03.03, 38.04.03, 39.03.03, 41.03.06</t>
  </si>
  <si>
    <t>713312.05.01</t>
  </si>
  <si>
    <t>Реализация нац. интересов РФ в сотруд. со странами АТР: Моногр. / Под ред. Перской В.В.-М.:НИЦ ИНФРА-М,2024-187с.(О)</t>
  </si>
  <si>
    <t>РЕАЛИЗАЦИЯ НАЦИОНАЛЬНЫХ ИНТЕРЕСОВ РОССИЙСКОЙ ФЕДЕРАЦИИ В СОТРУДНИЧЕСТВЕ СО СТРАНАМИ АТР, ИЗД.1</t>
  </si>
  <si>
    <t>Абрамов В.Л., Алексеев П.В., Кузнецов А.В. и др.</t>
  </si>
  <si>
    <t>978-5-16-015462-6</t>
  </si>
  <si>
    <t>38.03.01, 38.04.01, 38.06.01, 41.06.01</t>
  </si>
  <si>
    <t>797599.05.01</t>
  </si>
  <si>
    <t>Реализация образоват. процесса в вузах: Уч.пос. / С.Е.Прокофьев. - М.:НИЦ ИНФРА-М,2026. - 267 с.(П)</t>
  </si>
  <si>
    <t>РЕАЛИЗАЦИЯ ОБРАЗОВАТЕЛЬНОГО ПРОЦЕССА В ВУЗАХ: ПРАКТИКА РАЗРЕШЕНИЯ СУДЕБНЫХ СПОРОВ. КОММЕНТАРИЙ, ИЗД.1</t>
  </si>
  <si>
    <t>Прокофьев С.Е., Ручкина Г.Ф., Горохова С.С. и др.</t>
  </si>
  <si>
    <t>978-5-16-018217-9</t>
  </si>
  <si>
    <t>40.03.01, 40.04.01, 40.06.01, 44.03.01, 44.03.05</t>
  </si>
  <si>
    <t>795916.01.01</t>
  </si>
  <si>
    <t>Реализация полномочий орг. дознания сис. МВД Рос... / И.А.Фадеев-М.:НИЦ ИНФРА-М,2023.-238 с.(о)</t>
  </si>
  <si>
    <t>РЕАЛИЗАЦИЯ ПОЛНОМОЧИЙ ОРГАНОВ ДОЗНАНИЯ СИСТЕМЫ МВД РОССИИ В УГОЛОВНОМ ПРОЦЕССЕ, ИЗД.1</t>
  </si>
  <si>
    <t>Фадеев И.А.</t>
  </si>
  <si>
    <t>978-5-16-018119-6</t>
  </si>
  <si>
    <t>10.05.04, 38.05.01, 38.05.02, 40.05.01, 40.05.03, 40.05.04, 40.06.01</t>
  </si>
  <si>
    <t>862175.01.01</t>
  </si>
  <si>
    <t>Реализация функции предварит. расслед. в угол. судопроизв./ -М.:Юр. НОРМА, НИЦ ИНФРА-М,2026-192 с.(п)</t>
  </si>
  <si>
    <t>РЕАЛИЗАЦИЯ ФУНКЦИИ ПРЕДВАРИТЕЛЬНОГО РАССЛЕДОВАНИЯ В УГОЛОВНОМ СУДОПРОИЗВОДСТВЕ, ИЗД.1</t>
  </si>
  <si>
    <t>Максимов О.А., Попов Д.П.</t>
  </si>
  <si>
    <t>978-5-00156-451-5</t>
  </si>
  <si>
    <t>463600.05.01</t>
  </si>
  <si>
    <t>Реализация эколог. политики посредством права: Моногр./ С.А.Боголюбов-М.:НИЦ ИНФРА-М,2020.-320 с.(ИЗиСП)(П)</t>
  </si>
  <si>
    <t>РЕАЛИЗАЦИЯ ЭКОЛОГИЧЕСКОЙ ПОЛИТИКИ ПОСРЕДСТВОМ ПРАВА, ИЗД.1</t>
  </si>
  <si>
    <t>978-5-16-011523-8</t>
  </si>
  <si>
    <t>653105.03.01</t>
  </si>
  <si>
    <t>Реальные инвестиции: Уч.пос. / М.В.Чараева-М.:НИЦ ИНФРА-М,2023.-265 с..-(ВО: Бакалавриат)(П)</t>
  </si>
  <si>
    <t>РЕАЛЬНЫЕ ИНВЕСТИЦИИ, ИЗД.1</t>
  </si>
  <si>
    <t>978-5-16-013086-6</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</si>
  <si>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</si>
  <si>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753691.01.01</t>
  </si>
  <si>
    <t>Ревизионные и экспертно-аналитич. методы выявления наруш...: Уч.пос. / Н.Г.Гаджиев-М.:НИЦ ИНФРА-М,2022.-218 с.(П)</t>
  </si>
  <si>
    <t>РЕВИЗИОННЫЕ И ЭКСПЕРТНО-АНАЛИТИЧЕСКИЕ МЕТОДЫ ВЫЯВЛЕНИЯ НАРУШЕНИЙ В УЧЕТЕ И ОТЧЕТНОСТИ ОРГАНИЗАЦИЙ, ИЗД.1</t>
  </si>
  <si>
    <t>Гаджиев Н.Г., Коноваленко С.А.</t>
  </si>
  <si>
    <t>978-5-16-016993-4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</si>
  <si>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специальностям 38.05.01 «Экономическая безопасность» (квалификация «экономист»), 40.05.03 Судебная экспертиза (квалификация «судебный эксперт») (протокол № 1 от 12.01.2022)</t>
  </si>
  <si>
    <t>657635.04.01</t>
  </si>
  <si>
    <t>Революция 1917 г. в России и литература США: Моногр. / Б.А.Гиленсон - М.:НИЦ ИНФРА-М,2026  - 172 с.(О)</t>
  </si>
  <si>
    <t>РЕВОЛЮЦИЯ 1917 ГОДА В РОССИИ И ЛИТЕРАТУРА США: ПРОБЛЕМЫ, УРОКИ, ИТОГИ, ИЗД.1</t>
  </si>
  <si>
    <t>978-5-16-012842-9</t>
  </si>
  <si>
    <t>102600.09.01</t>
  </si>
  <si>
    <t>Региональная и национальная безопасность: Уч.пос. / А.Б.Логунов - 4 изд. - М.:НИЦ ИНФРА-М,2026 - 481 с.(П)</t>
  </si>
  <si>
    <t>РЕГИОНАЛЬНАЯ И НАЦИОНАЛЬНАЯ БЕЗОПАСНОСТЬ, ИЗД.4</t>
  </si>
  <si>
    <t>Логунов А.Б.</t>
  </si>
  <si>
    <t>978-5-16-020715-5</t>
  </si>
  <si>
    <t>38.03.04, 38.04.04, 38.05.01, 41.03.02, 41.04.02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</si>
  <si>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41.00.00 «Политические науки и регионоведение» (квалификация (степень) «бакалавр») (протокол № 6 от 08.06.2022)</t>
  </si>
  <si>
    <t>823420.01.01</t>
  </si>
  <si>
    <t>Региональная интеграция в админ.-правовой доктрине и прак./ А.С.Емельянов-М.:НИЦ ИНФРА-М,2024.-264 с.(п)</t>
  </si>
  <si>
    <t>РЕГИОНАЛЬНАЯ ИНТЕГРАЦИЯ В АДМИНИСТРАТИВНО-ПРАВОВОЙ ДОКТРИНЕ И ПРАКТИКЕ, ИЗД.1</t>
  </si>
  <si>
    <t>Емельянов А.С., Ефремов А.А., Зырянов С.М. и др.</t>
  </si>
  <si>
    <t>978-5-16-019736-4</t>
  </si>
  <si>
    <t>633231.02.01</t>
  </si>
  <si>
    <t>Региональная сист.в усл. инновац. сценария...: Моногр./Л.Д.Киянова-М.:ИЦ РИОР,НИЦ ИНФРА-М,2020-179(о)</t>
  </si>
  <si>
    <t>РЕГИОНАЛЬНАЯ СИСТЕМА В УСЛОВИЯХ ИННОВАЦИОННОГО СЦЕНАРИЯ РАЗВИТИЯ, ИЗД.1</t>
  </si>
  <si>
    <t>Киянова Л.Д., Литвиненко И.Л.</t>
  </si>
  <si>
    <t>978-5-369-01637-4</t>
  </si>
  <si>
    <t>815052.01.01</t>
  </si>
  <si>
    <t>Региональная эконом. и упр. соц.-экономич. развит..: Уч.пос. / К.Ю.Коновалова - М.:НИЦ ИНФРА-М,2025 - 258 с.(п)</t>
  </si>
  <si>
    <t>РЕГИОНАЛЬНАЯ ЭКОНОМИКА И УПРАВЛЕНИЕ СОЦИАЛЬНО-ЭКОНОМИЧЕСКИМ РАЗВИТИЕМ ТЕРРИТОРИЙ, ИЗД.1</t>
  </si>
  <si>
    <t>978-5-16-019307-6</t>
  </si>
  <si>
    <t>05.03.02, 05.04.02, 38.03.01, 38.03.02, 38.03.04, 38.04.01, 38.04.02, 38.04.04, 38.04.09, 38.05.01, 38.05.02, 41.03.02, 41.04.02</t>
  </si>
  <si>
    <t>114550.11.01</t>
  </si>
  <si>
    <t>Региональная экономика и упр.: Уч.пос. / О.С.Белокрылова, - 2 изд. - М:НИЦ ИНФРА-М,2025 - 289 с.(ВО)(П)</t>
  </si>
  <si>
    <t>РЕГИОНАЛЬНАЯ ЭКОНОМИКА И УПРАВЛЕНИЕ, ИЗД.2</t>
  </si>
  <si>
    <t>Белокрылова О.С., Киселева Н.Н., Хубулова В.В.</t>
  </si>
  <si>
    <t>978-5-16-010877-3</t>
  </si>
  <si>
    <t>38.03.01, 38.03.04, 38.04.01, 38.04.04, 44.03.01</t>
  </si>
  <si>
    <t>Допущено Советом Учебно-методического объединения по образованию в области менеджмента в качестве учебного пособия по направлению подготовки "Государственное и муниципальное управление"</t>
  </si>
  <si>
    <t>700577.05.01</t>
  </si>
  <si>
    <t>Региональная экономика. Уч. и прак.: Уч. / А.А.Урунов - М.:НИЦ ИНФРА-М,2025. - 366 с.(ВО)(п)</t>
  </si>
  <si>
    <t>РЕГИОНАЛЬНАЯ ЭКОНОМИКА, ИЗД.1</t>
  </si>
  <si>
    <t>Урунов А.А.</t>
  </si>
  <si>
    <t>978-5-16-020155-9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</si>
  <si>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38.03.04 «Государственное и муниципальное управление» (квалификация (степень) «бакалавр») (протокол № 18 от 25.11.2019)</t>
  </si>
  <si>
    <t>849708.03.01</t>
  </si>
  <si>
    <t>Региональная экономика: стратег. реш..: Моногр. / О.П.Иванова. - М.:НИЦ ИНФРА-М,2026. - 380 с.(Науч.мысль)(п)</t>
  </si>
  <si>
    <t>РЕГИОНАЛЬНАЯ ЭКОНОМИКА: СТРАТЕГИЧЕСКИЕ РЕШЕНИЯ, РАЗВИТИЕ И УПРАВЛЕНИЕ, ИЗД.1</t>
  </si>
  <si>
    <t>Иванова О.П., Тумин В.М., Трифонов В.А. и др.</t>
  </si>
  <si>
    <t>978-5-16-020736-0</t>
  </si>
  <si>
    <t>38.04.01, 38.04.04, 38.06.01</t>
  </si>
  <si>
    <t>335900.08.01</t>
  </si>
  <si>
    <t>Региональная экономика: Уч. / Т.А.Селищева - М.:НИЦ ИНФРА-М,2024.-469 с..-(ВО)(п)</t>
  </si>
  <si>
    <t>Селищева Т.А.</t>
  </si>
  <si>
    <t>978-5-16-019099-0</t>
  </si>
  <si>
    <t>Рекомендовано Учебно-методическим объединением по образованию в области экономики и экономической теории, национальной экономики в качестве учебника для студентов высших учебных заведений, обучающихся по направлению 38.03.01 «Экономика» (квалификация (степень) «бакалавр»)</t>
  </si>
  <si>
    <t>269500.07.01</t>
  </si>
  <si>
    <t>Региональная экономика: Уч. пос. / А.Л. Полтарыхин - М.:Альфа-М:  НИЦ ИНФРА-М, 2025. - 400 с. (п)</t>
  </si>
  <si>
    <t>Полтарыхин А. Л., Сычева И. Н.</t>
  </si>
  <si>
    <t>978-5-98281-388-6</t>
  </si>
  <si>
    <t>38.03.01, 38.03.04, 44.03.01</t>
  </si>
  <si>
    <t>Рекомендовано уполномоченным учреждением ФГБОУ «Государственный университет управления» в качестве учебного пособия для студентов высших учебных заведений, обучающихся по направлению подготовки 080100.62 «Эконом ика» (квалификация (степень) «бакалавр</t>
  </si>
  <si>
    <t>480900.03.01</t>
  </si>
  <si>
    <t>Региональная экономика: Уч.пос. / В.Д.Никифорова-М.:ИЦ РИОР, НИЦ ИНФРА-М,2020-304с.(ВО:Бакалавр.)(П)</t>
  </si>
  <si>
    <t>Никифорова В.Д., Путихин Ю.Е., Никифоров А.А.</t>
  </si>
  <si>
    <t>978-5-369-01553-7</t>
  </si>
  <si>
    <t>Финансовый университет при Правительстве Российской Федерации, Санкт-Петербургский ф-л</t>
  </si>
  <si>
    <t>646501.05.01</t>
  </si>
  <si>
    <t>Региональное природопользование: Уч.пос. / П.В.Большаник - 2 изд. - М.:НИЦ ИНФРА-М,2025 - 177 с.(ВО)(П)</t>
  </si>
  <si>
    <t>РЕГИОНАЛЬНОЕ ПРИРОДОПОЛЬЗОВАНИЕ, ИЗД.2</t>
  </si>
  <si>
    <t>978-5-16-013085-9</t>
  </si>
  <si>
    <t>Рекомендовано в качестве учебного пособия для студентов высших учебных заведений, обучающихся по направлению подготовки 05.03.06 «Экология и природопользование» (квалификация (степень) «бакалавр»)</t>
  </si>
  <si>
    <t>203900.07.01</t>
  </si>
  <si>
    <t>Региональное упр. и территор.планирование: Уч. / Р.А.Попов - М.:НИЦ ИНФРА-М,2022-288с.(ВО:Бакалавр.)(п)</t>
  </si>
  <si>
    <t>РЕГИОНАЛЬНОЕ УПРАВЛЕНИЕ И ТЕРРИТОРИАЛЬНОЕ ПЛАНИРОВАНИЕ, ИЗД.1</t>
  </si>
  <si>
    <t>Попов Р. А.</t>
  </si>
  <si>
    <t>978-5-16-005662-3</t>
  </si>
  <si>
    <t>38.03.01, 38.03.02, 38.03.04, 38.04.01, 38.04.02, 38.04.04, 41.03.06</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</si>
  <si>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38.03.04 (081100.62) «Государственное и муниципальное управление» (квалификация (степень) - "бакалавр")</t>
  </si>
  <si>
    <t>861297.01.01</t>
  </si>
  <si>
    <t>Региональное управ. и территориал. планир. Прак.: Уч.пос. / Р.Н.Шпакова - 2 изд. - М.:НИЦ ИНФРА-М,2026 - 134 с.(о)</t>
  </si>
  <si>
    <t>РЕГИОНАЛЬНОЕ УПРАВЛЕНИЕ И ТЕРРИТОРИАЛЬНОЕ ПЛАНИРОВАНИЕ.ПРАКТИКУМ, ИЗД.2</t>
  </si>
  <si>
    <t>Шпакова Р.Н.</t>
  </si>
  <si>
    <t>978-5-16-021438-2</t>
  </si>
  <si>
    <t>203900.09.01</t>
  </si>
  <si>
    <t>Региональное управ. и территориал. планир.: Уч. / Р.А.Попов, - 2 изд. - М.:НИЦ ИНФРА-М,2026. - 305 с.(ВО)(п)</t>
  </si>
  <si>
    <t>РЕГИОНАЛЬНОЕ УПРАВЛЕНИЕ И ТЕРРИТОРИАЛЬНОЕ ПЛАНИРОВАНИЕ, ИЗД.2</t>
  </si>
  <si>
    <t>978-5-16-019933-7</t>
  </si>
  <si>
    <t>Утвержден методическим советом ФГБОУ ВО «Кубанский государственный технологический университет» в качестве учебника для обучающихся по направлению подготовки 38.03.04 «Государственное и муниципальное управление»</t>
  </si>
  <si>
    <t>729119.02.01</t>
  </si>
  <si>
    <t>Региональное управление и терр. планирование: Практ.: Уч.пос. / Р.Н.Шпакова - М.:Магистр, НИЦ ИНФРА-М,2022-128 с.(О)</t>
  </si>
  <si>
    <t>978-5-9776-0516-8</t>
  </si>
  <si>
    <t>344700.08.01</t>
  </si>
  <si>
    <t>Региональное управление и территор. планир.: Уч.пос. / Г.А.Хмелева - М.:НИЦ ИНФРА-М,2026 - 224 с.(ВО)(п)</t>
  </si>
  <si>
    <t>Г.А. Хмелева, В.К. Семенычев</t>
  </si>
  <si>
    <t>978-5-16-022118-2</t>
  </si>
  <si>
    <t>Рекомендовано Советом Учебно-методического объединения по образованию в области менеджмента в качестве учебного пособия для обучающихся в высших учебных заведениях по направлению подготовки 38.03.04 «Государственное и муниципальное управление» (квалификация (степень) «бакалавр»)</t>
  </si>
  <si>
    <t>642207.08.01</t>
  </si>
  <si>
    <t>Региональное управление и территор. планир.: Уч.пос. / Н.А.Каменских-М.:НИЦ ИНФРА-М,2023-127с(ВО)(О)</t>
  </si>
  <si>
    <t>РЕГИОНАЛЬНОЕ УПРАВЛЕНИЕ И ТЕРРИТОРИАЛЬНОЕ ПЛАНИРОВАНИЕ: СТРАТЕГИЧЕСКОЕ ПАРТНЁРСТВО В  СИСТЕМЕ  РЕГИОНАЛЬНОГО РАЗВИТИЯ, ИЗД.1</t>
  </si>
  <si>
    <t>Каменских Н.А.</t>
  </si>
  <si>
    <t>978-5-16-012400-1</t>
  </si>
  <si>
    <t>38.03.01, 38.03.02, 38.03.04, 44.03.05</t>
  </si>
  <si>
    <t>Рекомендовано в качестве учебного пособия для студентов высших учебных заведений, обучающихся по направлениям подготовки 38.03.04 «Государственное и муниципальное управление», 38.03.01 «Экономика», 38.03.02 «Менеджмент» (квалификация (степень) «бакалавр»)</t>
  </si>
  <si>
    <t>Государственный гуманитарно-технологический университет</t>
  </si>
  <si>
    <t>632386.02.01</t>
  </si>
  <si>
    <t>Региональные технологические платформы - как инструмент инновационного развития территории: монография / В.В.Куимов и др.-М.:НИЦ ИНФРА-М,2018.-343 с..</t>
  </si>
  <si>
    <t>РЕГИОНАЛЬНЫЕ ТЕХНОЛОГИЧЕСКИЕ ПЛАТФОРМЫ - КАК ИНСТРУМЕНТ ИННОВАЦИОННОГО РАЗВИТИЯ ТЕРРИТОРИИ, ИЗД.1</t>
  </si>
  <si>
    <t>978-5-16-011985-4</t>
  </si>
  <si>
    <t>632386.03.01</t>
  </si>
  <si>
    <t>Региональные технологические платформы...: Моногр. / В.В.Куимов-М.:НИЦ ИНФРА-М,2022.-343 с.(О)</t>
  </si>
  <si>
    <t>978-5-16-017083-1</t>
  </si>
  <si>
    <t>323600.04.01</t>
  </si>
  <si>
    <t>Регионы России: факторы устойчив. и институц..: Моногр. /А.А.Чуб -М.:ИЦ РИОР, НИЦ ИНФРА-М,2019-232с.</t>
  </si>
  <si>
    <t>РЕГИОНЫ РОССИИ: ФАКТОРЫ УСТОЙЧИВОСТИ И ИНСТИТУЦИОНАЛЬНЫЕ ПРЕДПОСЫЛКИ РАЗВИТИЯ В УСЛОВИЯХ ГЛОБАЛИЗАЦИИ, ИЗД.1</t>
  </si>
  <si>
    <t>Чуб А.А.</t>
  </si>
  <si>
    <t>978-5-369-01410-3</t>
  </si>
  <si>
    <t>38.03.01, 38.04.01, 38.04.04, 38.06.01, 44.03.01</t>
  </si>
  <si>
    <t>666944.03.01</t>
  </si>
  <si>
    <t>Регистрационное производство: Уч.пос. / М.Ю.Шамрин-М.:Юр.Норма, НИЦ ИНФРА-М,2024.-240 с.(П)</t>
  </si>
  <si>
    <t>РЕГИСТРАЦИОННОЕ ПРОИЗВОДСТВО, ИЗД.1</t>
  </si>
  <si>
    <t>Шамрин М.Ю.</t>
  </si>
  <si>
    <t>978-5-91768-864-0</t>
  </si>
  <si>
    <t>38.05.01, 38.05.02, 40.03.01, 40.04.01, 40.05.01, 40.05.02, 40.05.03, 40.05.04</t>
  </si>
  <si>
    <t>245200.10.01</t>
  </si>
  <si>
    <t>Регламентация  и нормирование труда: Уч. пос. / В.Б. Бычин - М.:НИЦ ИНФРА-М, 2025 - 188 с. (ВО) (П)</t>
  </si>
  <si>
    <t>РЕГЛАМЕНТАЦИЯ  И НОРМИРОВАНИЕ ТРУДА, ИЗД.1</t>
  </si>
  <si>
    <t>Бычин В. Б., Шубенкова Е. В.</t>
  </si>
  <si>
    <t>978-5-16-021011-7</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</si>
  <si>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«Экономика» (квалификация (степень) «бакалавр»)</t>
  </si>
  <si>
    <t>699350.02.01</t>
  </si>
  <si>
    <t>Регламентация и нормир. совр. труд. процессов: Уч.пос. / Е.А.Савельева-М.:НИЦ ИНФРА-М,2021.-383 с.(ВО)(П)</t>
  </si>
  <si>
    <t>РЕГЛАМЕНТАЦИЯ И НОРМИРОВАНИЕ СОВРЕМЕННЫХ ТРУДОВЫХ ПРОЦЕССОВ, ИЗД.1</t>
  </si>
  <si>
    <t>978-5-16-014766-6</t>
  </si>
  <si>
    <t>38.03.01, 38.03.02, 38.03.03, 38.03.04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</si>
  <si>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38.03.03 «Управление персоналом» (квалификация (степень) «бакалавр») (протокол № 8 от 22.06.2020)</t>
  </si>
  <si>
    <t>775997.01.01</t>
  </si>
  <si>
    <t>Регрессионный анализ динамических систем: Моногр. / А.П.Сарычев - М.:НИЦ ИНФРА-М,2022 - 229 с.(О)</t>
  </si>
  <si>
    <t>РЕГРЕССИОННЫЙ АНАЛИЗ ДИНАМИЧЕСКИХ СИСТЕМ, ИЗД.1</t>
  </si>
  <si>
    <t>Сарычев А.П.</t>
  </si>
  <si>
    <t>978-5-16-017656-7</t>
  </si>
  <si>
    <t>01.05.01, 02.04.01, 02.04.02, 02.04.03, 02.06.01, 09.04.03</t>
  </si>
  <si>
    <t>Институт технической механики НАН Украины</t>
  </si>
  <si>
    <t>747583.01.01</t>
  </si>
  <si>
    <t>Регулирование межд. торговли объектами интеллект....: Моногр. / Д.М. Солдатенко-Таллин: EurAsian Scientific Editions OÜ; М.: ИНФРА-М,2020-206(П)</t>
  </si>
  <si>
    <t>РЕГУЛИРОВАНИЕ МЕЖДУНАРОДНОЙ ТОРГОВЛИ ОБЪЕКТАМИ ИНТЕЛЛЕКТУАЛЬНОЙ СОБСТВЕННОСТИ В УСЛОВИЯХ ГЛОБАЛЬНОЙ ЭКОНОМИКИ, ИЗД.1</t>
  </si>
  <si>
    <t>Солдатенко Д.М.</t>
  </si>
  <si>
    <t>EurAsian Scientific Editions</t>
  </si>
  <si>
    <t>978-9949-7201-7-0</t>
  </si>
  <si>
    <t>38.03.01, 38.04.01, 38.05.01, 38.06.01, 41.04.05</t>
  </si>
  <si>
    <t>127400.06.01</t>
  </si>
  <si>
    <t>Регулирование мирового финансового рынка. Теория, практика, инструменты: монография / О.А.Гришина-М.:НИЦ ИНФРА-М,2018.-410 с..-(Науч.мысль)(Переплё</t>
  </si>
  <si>
    <t>РЕГУЛИРОВАНИЕ МИРОВОГО ФИНАНСОВОГО РЫНКА, ИЗД.1</t>
  </si>
  <si>
    <t>Гришина О.А., Звонова Е.А.</t>
  </si>
  <si>
    <t>978-5-16-009920-0</t>
  </si>
  <si>
    <t>38.03.01, 38.03.02, 38.04.01, 38.04.08, 38.06.01, 38.07.02, 44.03.01</t>
  </si>
  <si>
    <t>127400.10.01</t>
  </si>
  <si>
    <t>Регулирование мирового финансового рынка...: Моногр. / О.А.Гришина - 2 изд. - М.:НИЦ ИНФРА-М,2026 - 410 с.(П)</t>
  </si>
  <si>
    <t>РЕГУЛИРОВАНИЕ МИРОВОГО ФИНАНСОВОГО РЫНКА, ИЗД.2</t>
  </si>
  <si>
    <t>805080.03.01</t>
  </si>
  <si>
    <t>Регулирование новых форм занятости..: Моногр. / Под ред. Забелиной О.В. - М.:НИЦ ИНФРА-М,2025. - 325 с.(п)</t>
  </si>
  <si>
    <t>РЕГУЛИРОВАНИЕ НОВЫХ ФОРМ ЗАНЯТОСТИ: ТЕОРИЯ И ПРАКТИКА, ИЗД.1</t>
  </si>
  <si>
    <t>Забелина О.В., Мирзабалаева Ф.И., Пашкова С.Е. и др.</t>
  </si>
  <si>
    <t>978-5-16-018606-1</t>
  </si>
  <si>
    <t>38.04.01, 38.04.02, 38.04.03, 38.04.04, 38.06.01, 40.04.01, 40.06.01</t>
  </si>
  <si>
    <t>655196.03.01</t>
  </si>
  <si>
    <t>Режи Дебре и Латиноамериканская революция XX в.: Моногр. / М.С.Колесов-М.:НИЦ ИНФРА-М,2022.-257 с.(П)</t>
  </si>
  <si>
    <t>РЕЖИ ДЕБРЕ И ЛАТИНОАМЕРИКАНСКАЯ РЕВОЛЮЦИЯ XX ВЕКА, ИЗД.1</t>
  </si>
  <si>
    <t>978-5-16-012798-9</t>
  </si>
  <si>
    <t>719157.01.01</t>
  </si>
  <si>
    <t>Режим запрещения ядерного оружия: пробл. формир..: Моногр./ Т.В.Вербицкая-М.:НИЦ ИНФРА-М,2020-164с.(Науч. мысль)(О)</t>
  </si>
  <si>
    <t>РЕЖИМ ЗАПРЕЩЕНИЯ ЯДЕРНОГО ОРУЖИЯ: ПРОБЛЕМЫ ФОРМИРОВАНИЯ И ВОЗМОЖНЫЕ ПУТИ ИХ РЕШЕНИЯ, ИЗД.1</t>
  </si>
  <si>
    <t>Вербицкая Т.В.</t>
  </si>
  <si>
    <t>978-5-16-015717-7</t>
  </si>
  <si>
    <t>168500.07.01</t>
  </si>
  <si>
    <t>Режущий инструмент. Эксплуатация: Уч.пос. / Е.Э.Фельдштейн - М:НИЦ ИНФРА-М,2026 - 256 с.(ВО) (п)</t>
  </si>
  <si>
    <t>РЕЖУЩИЙ ИНСТРУМЕНТ. ЭКСПЛУАТАЦИЯ, ИЗД.1</t>
  </si>
  <si>
    <t>Фельдштейн Е. Э., Корниевич М. А.</t>
  </si>
  <si>
    <t>978-5-16-005287-8</t>
  </si>
  <si>
    <t>Допущено Министерством образования Республики Беларусь в качестве учебного пособия для студентов вузов по машиностроительным специальностям</t>
  </si>
  <si>
    <t>084611.14.01</t>
  </si>
  <si>
    <t>Резание металлов и режущие инструменты: Уч.пос. / В.Г.Солоненко - М.:НИЦ ИНФРА-М,2026. - 415 с.(ВО)(П)</t>
  </si>
  <si>
    <t>РЕЗАНИЕ МЕТАЛЛОВ И РЕЖУЩИЕ ИНСТРУМЕНТЫ, ИЗД.1</t>
  </si>
  <si>
    <t>Солоненко В.Г., Рыжкин А.А.</t>
  </si>
  <si>
    <t>978-5-16-004719-5</t>
  </si>
  <si>
    <t>15.03.01, 15.03.05, 15.04.05</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</si>
  <si>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заведений,обучающихся по направлениям подготовки бакалавров и магистров 15.03.05, 15.04.05 «Конструкторско-технологическое обеспечение машиностроительных производств»</t>
  </si>
  <si>
    <t>Дагестанский государственный технический университет</t>
  </si>
  <si>
    <t>708388.03.01</t>
  </si>
  <si>
    <t>Резание металлов и режущие инструменты: Уч.пос. / В.Г.Солоненко-М.:НИЦ ИНФРА-М,2022.-415 с.-(СПО)(П)</t>
  </si>
  <si>
    <t>978-5-16-015247-9</t>
  </si>
  <si>
    <t>12.02.04, 15.01.22, 15.01.35, 15.01.37, 15.02.01, 15.02.16, 15.02.17, 15.02.18, 27.02.02, 27.02.07</t>
  </si>
  <si>
    <t>726019.02.01</t>
  </si>
  <si>
    <t>Результативность и эффект. уголовно-исп. сис.: Моногр. / В.И.Терёхин - М.:НИЦ ИНФРА-М,2024 - 217 с.(О)</t>
  </si>
  <si>
    <t>РЕЗУЛЬТАТИВНОСТЬ И ЭФФЕКТИВНОСТЬ УГОЛОВНО-ИСПОЛНИТЕЛЬНОЙ СИСТЕМЫ: ОЦЕНИВАНИЕ И ПЛАНИРОВАНИЕ, ИЗД.1</t>
  </si>
  <si>
    <t>Терёхин В.И., Чернышов В.В.</t>
  </si>
  <si>
    <t>978-5-16-016055-9</t>
  </si>
  <si>
    <t>40.03.01, 40.04.01, 40.06.01, 56.04.08, 56.05.01</t>
  </si>
  <si>
    <t>855545.01.01</t>
  </si>
  <si>
    <t>Результаты интеллектуальной деятельности в творческих индустриях: уч. / Э.А.Соснин-М.:НИЦ ИНФРА-М,2027.-448 с..-(ВО)(п)</t>
  </si>
  <si>
    <t>РЕЗУЛЬТАТЫ ИНТЕЛЛЕКТУАЛЬНОЙ ДЕЯТЕЛЬНОСТИ В ТВОРЧЕСКИХ ИНДУСТРИЯХ, ИЗД.1</t>
  </si>
  <si>
    <t>978-5-16-021778-9</t>
  </si>
  <si>
    <t>27.03.05, 38.04.02, 50.04.03, 50.04.04, 51.03.02, 51.03.03, 51.04.03</t>
  </si>
  <si>
    <t>184750.13.01</t>
  </si>
  <si>
    <t>Резюме, характеристика, рекомендация: как подгот... / Н.А.Добрина - РИОР:ИНФРА-М,2025 - 128 с.(о)</t>
  </si>
  <si>
    <t>РЕЗЮМЕ, ХАРАКТЕРИСТИКА, РЕКОМЕНДАЦИЯ: КАК ПОДГОТОВИТЬ ПРАВИЛЬНО И БЫСТРО, ИЗД.1</t>
  </si>
  <si>
    <t>Добрина Н.А., Мустафина И.В.</t>
  </si>
  <si>
    <t>978-5-369-01076-1</t>
  </si>
  <si>
    <t>636794.04.01</t>
  </si>
  <si>
    <t>Реинжиниринг процессов организации: Моногр. / Б.Н.Герасимов - М.:Вуз.уч.,НИЦ ИНФРА-М,2025 - 256 с.(О)</t>
  </si>
  <si>
    <t>РЕИНЖИНИРИНГ ПРОЦЕССОВ ОРГАНИЗАЦИИ, ИЗД.1</t>
  </si>
  <si>
    <t>Герасимов Б.Н.</t>
  </si>
  <si>
    <t>978-5-9558-0518-4</t>
  </si>
  <si>
    <t>27.03.02, 27.04.05, 38.03.02, 38.04.02, 38.04.03</t>
  </si>
  <si>
    <t>Международный институт рынка</t>
  </si>
  <si>
    <t>175100.12.01</t>
  </si>
  <si>
    <t>Реклама в туризме: Уч.  /  Под ред. Богданова Е.И. - М.:НИЦ ИНФРА-М,2026 - 170 с.-(ВО)(П)</t>
  </si>
  <si>
    <t>РЕКЛАМА В ТУРИЗМЕ, ИЗД.1</t>
  </si>
  <si>
    <t>978-5-16-022147-2</t>
  </si>
  <si>
    <t>43.03.02, 43.03.03, 49.03.03</t>
  </si>
  <si>
    <t>Рекомендовано Учебно-методическим объединением по образованию в области производственного менеджмента Министерства образования и науки Российской Федерации в качестве учебника для студентов высших учебных заведений, обучающихся по специальности «Экономика и управление на предприятии туризма» и направлению 38.03.02 «Менеджмент» (профиль «Производственный менеджмент в туризме»)</t>
  </si>
  <si>
    <t>027756.18.01</t>
  </si>
  <si>
    <t>Реклама в туризме: Уч.пос. / А.П.Дурович - 5 изд. - М.:НИЦ ИНФРА-М,2027 - 158 с.-(ВО)(п)</t>
  </si>
  <si>
    <t>РЕКЛАМА В ТУРИЗМЕ, ИЗД.5</t>
  </si>
  <si>
    <t>978-5-16-019702-9</t>
  </si>
  <si>
    <t>43.03.01, 43.03.02, 43.03.03, 43.04.01, 43.04.02, 43.04.03</t>
  </si>
  <si>
    <t>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 обучающихся по специальности 100103 «Социально-культурный сервис и туризм»</t>
  </si>
  <si>
    <t>0510</t>
  </si>
  <si>
    <t>152650.08.01</t>
  </si>
  <si>
    <t>Реклама: Уч.пос. / В.Л.Музыкант-М.:ИЦ РИОР, НИЦ ИНФРА-М,2019-208с.(ВО:Бакалавриат.Азбука рекламы)(П)</t>
  </si>
  <si>
    <t>РЕКЛАМА, ИЗД.1</t>
  </si>
  <si>
    <t>Высшее образование: Азбука рекламы</t>
  </si>
  <si>
    <t>978-5-369-00780-8</t>
  </si>
  <si>
    <t>38.03.02, 38.03.04, 38.03.06, 38.04.02, 38.04.04, 38.04.06, 41.03.06, 43.03.01, 43.03.03, 43.04.01, 43.04.03</t>
  </si>
  <si>
    <t>Допущено УМО по образованию в области коммерции в качестве учебного пособия для студентов вузов, обучающихся по специальностям 032401 - "Реклама" и 080111 - "Маркетинг"</t>
  </si>
  <si>
    <t>421800.06.01</t>
  </si>
  <si>
    <t>Рекламная деятельность в торговле: Уч. / В.Н.Хапенков. - М.: ИД ФОРУМ:НИЦ ИНФРА-М, 2024-368с.(ВО) (п)</t>
  </si>
  <si>
    <t>РЕКЛАМНАЯ ДЕЯТЕЛЬНОСТЬ В ТОРГОВЛЕ, ИЗД.1</t>
  </si>
  <si>
    <t>Хапенков В. Н., Иванов Г. Г., Федюнин Д. В.</t>
  </si>
  <si>
    <t>978-5-8199-0533-3</t>
  </si>
  <si>
    <t>38.03.06, 42.03.01</t>
  </si>
  <si>
    <t>842133.01.01</t>
  </si>
  <si>
    <t>Рекламная деятельность: Уч. / Под ред. В.Д. Секерина. - М.: НИЦ ИНФРА-М, 2025 - 282 с.(СПО)(п)</t>
  </si>
  <si>
    <t>РЕКЛАМНАЯ ДЕЯТЕЛЬНОСТЬ, ИЗД.1</t>
  </si>
  <si>
    <t>Секерин В.Д., Измайлова М.А., Матвеев Э.Ю. и др.</t>
  </si>
  <si>
    <t>978-5-16-020314-0</t>
  </si>
  <si>
    <t>29.02.05, 38.02.08, 42.02.01</t>
  </si>
  <si>
    <t>204500.08.01</t>
  </si>
  <si>
    <t>Рекламная деятельность: Уч. / Под ред. Секерина В.Д. - М.:НИЦ ИНФРА-М,2025 - 282 с.(ВО: Бакалавр.)(п)</t>
  </si>
  <si>
    <t>978-5-16-005684-5</t>
  </si>
  <si>
    <t>38.03.01, 38.03.06, 38.04.01, 41.03.06, 42.03.01, 42.04.01</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</si>
  <si>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080200.68 «Менеджмент» (квалификация (степень) — «магистр»)</t>
  </si>
  <si>
    <t>205700.09.01</t>
  </si>
  <si>
    <t>Рекламная деятельность: Уч. / Ю.В.Гусаров - М.: НИЦ ИНФРА-М, 2027 - 313 с.(ВО:Бакалавр.) (П)</t>
  </si>
  <si>
    <t>Гусаров Ю. В., Гусарова Л. Ф.</t>
  </si>
  <si>
    <t>978-5-16-005525-1</t>
  </si>
  <si>
    <t>38.03.01, 38.03.02, 38.03.06, 38.04.01, 38.04.02, 41.03.06</t>
  </si>
  <si>
    <t>Рекомендовано ФГБОУ ВПО «Санкт-Петербургский государственный университет сервиса и экономики» в качестве учебника для студентов высших учебных заведений, обучающихся по направлению 100700.62 «Торговое дело».</t>
  </si>
  <si>
    <t>766719.02.01</t>
  </si>
  <si>
    <t>Рекламная и PR-деят. гостиничного предпр.: Уч.пос. / И.С.Ключевская - М.:НИЦ ИНФРА-М,2026. - 359 с.(ВО)(п)</t>
  </si>
  <si>
    <t>РЕКЛАМНАЯ И PR-ДЕЯТЕЛЬНОСТЬ ГОСТИНИЧНОГО ПРЕДПРИЯТИЯ, ИЗД.1</t>
  </si>
  <si>
    <t>978-5-16-017423-5</t>
  </si>
  <si>
    <t>806129.03.01</t>
  </si>
  <si>
    <t>Рекламная и PR-деят. гостиничного предпр.: Уч.пос. / И.С.Ключевская - М.:НИЦ ИНФРА-М,2026. - 359 с.(СПО)(п)</t>
  </si>
  <si>
    <t>978-5-16-018645-0</t>
  </si>
  <si>
    <t>42.02.01, 43.02.11, 43.02.16</t>
  </si>
  <si>
    <t>632123.09.01</t>
  </si>
  <si>
    <t>Рекламная коммуникация в сфере туризма: Моногр. / Л.М.Гончарова - М.:НИЦ ИНФРА-М,2027 - 158 с.(П)</t>
  </si>
  <si>
    <t>РЕКЛАМНАЯ КОММУНИКАЦИЯ В СФЕРЕ ТУРИЗМА, ИЗД.1</t>
  </si>
  <si>
    <t>Гончарова Л.М.</t>
  </si>
  <si>
    <t>978-5-16-011969-4</t>
  </si>
  <si>
    <t>42.03.01, 42.04.01</t>
  </si>
  <si>
    <t>174050.13.01</t>
  </si>
  <si>
    <t>Рекламный менеджмент: Уч.пос. / В.А.Поляков - М.:КУРС, НИЦ ИНФРА-М,2024 - 352 с.(П)</t>
  </si>
  <si>
    <t>РЕКЛАМНЫЙ МЕНЕДЖМЕНТ, ИЗД.1</t>
  </si>
  <si>
    <t>Поляков В. А., Романов А. А.</t>
  </si>
  <si>
    <t>978-5-905554-07-0</t>
  </si>
  <si>
    <t>38.03.02, 38.03.06</t>
  </si>
  <si>
    <t>Рекомендовано Учебно-методическим объединением по образованию в области статистики в качестве учебного пособия для студентов высших учебных заведений, обучающихся по направлению «Статистика» и другим экономическим специальностям (Бакалавр)</t>
  </si>
  <si>
    <t>Финансовый университет при Правительстве Российской Федерации, Тульский ф-л</t>
  </si>
  <si>
    <t>717653.04.01</t>
  </si>
  <si>
    <t>Реконструктивная хирургия опериров. желудка: Моногр. / Д.В.Ручкин - М.:НИЦ ИНФРА-М,2025 - 194 с.(О)</t>
  </si>
  <si>
    <t>РЕКОНСТРУКТИВНАЯ ХИРУРГИЯ ОПЕРИРОВАННОГО ЖЕЛУДКА, ИЗД.1</t>
  </si>
  <si>
    <t>Ручкин Д.В., Козлов В.А.</t>
  </si>
  <si>
    <t>978-5-16-015584-5</t>
  </si>
  <si>
    <t>Национальный медицинский исследовательский центр хирургии имени А.В. Вишневского Минздрава России.</t>
  </si>
  <si>
    <t>666948.07.01</t>
  </si>
  <si>
    <t>Реконструкция зданий и коммун. сооруж. в системе...: Уч.пос. / В.М.Лебедев - М.:НИЦ ИНФРА-М,2025 - 191с.(ВО)(П)</t>
  </si>
  <si>
    <t>РЕКОНСТРУКЦИЯ ЗДАНИЙ И КОММУНАЛЬНЫХ СООРУЖЕНИЙ В СИСТЕМЕ ГОРОДСКОЙ ЗАСТРОЙКИ (УПРАВЛЕНИЕ ПРОЕКТАМИ), ИЗД.1</t>
  </si>
  <si>
    <t>Лебедев В.М.</t>
  </si>
  <si>
    <t>978-5-16-013561-8</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</si>
  <si>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t>
  </si>
  <si>
    <t>089890.16.01</t>
  </si>
  <si>
    <t>Реконструкция зданий, сооруж. и город.застр.: Уч.пос. / В.В.Федоров - М.:НИЦ ИНФРА-М,2026 - 224 с.(ВО)(п)</t>
  </si>
  <si>
    <t>РЕКОНСТРУКЦИЯ ЗДАНИЙ, СООРУЖЕНИЙ И ГОРОДСКОЙ ЗАСТРОЙКИ, ИЗД.1</t>
  </si>
  <si>
    <t>Федоров В. В., Федорова Н. Н., Сухарев Ю. В.</t>
  </si>
  <si>
    <t>978-5-16-003265-8</t>
  </si>
  <si>
    <t>Рекомендовано УМО в области строительства в качестве учебного пособия для студентов высших учебных заведений, обучающихся по строительным специальностям</t>
  </si>
  <si>
    <t>707356.07.01</t>
  </si>
  <si>
    <t>Реконструкция зданий, сооружений и городской застройки: Уч.пос. / В.В.Федоров - М.:НИЦ ИНФРА-М,2026 - 224 с.(П)</t>
  </si>
  <si>
    <t>Федоров В.В., Федорова Н.Н., Сухарев Ю.В.</t>
  </si>
  <si>
    <t>978-5-16-015155-7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</si>
  <si>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5 от 11.03.2019)</t>
  </si>
  <si>
    <t>718179.09.01</t>
  </si>
  <si>
    <t>Реконструкция и реставрация зданий: Уч. / В.В.Федоров - М.:НИЦ ИНФРА-М,2026. - 208 с.(ВО)(п)</t>
  </si>
  <si>
    <t>РЕКОНСТРУКЦИЯ И РЕСТАВРАЦИЯ ЗДАНИЙ, ИЗД.1</t>
  </si>
  <si>
    <t>Федоров В.В.</t>
  </si>
  <si>
    <t>978-5-16-018621-4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</si>
  <si>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08.03.00 «Техника и технологии строительства» (квалификация (степень) «бакалавр») (протокол № 10 от 27.05.2019)</t>
  </si>
  <si>
    <t>047460.24.01</t>
  </si>
  <si>
    <t>Реконструкция и реставрация зданий: Уч. / В.В.Федоров - М.:НИЦ ИНФРА-М,2026. - 208 с.-(СПО)(П)</t>
  </si>
  <si>
    <t>978-5-16-009091-7</t>
  </si>
  <si>
    <t>08.02.01, 08.02.02, 08.02.04, 08.02.08, 08.02.09, 08.02.13, 08.02.14</t>
  </si>
  <si>
    <t>Допущено Государственным комитетом РФ по строительству и жилищно-коммунальному комплексу в качестве учебника для учащихся средних специальных учебных заведений, обучающихся по специальности 08.02.01 «Строительство и эксплуатация зданий и сооружений»</t>
  </si>
  <si>
    <t>085860.18.01</t>
  </si>
  <si>
    <t>Реконструкция трубопровод. инженер. сетей и сооруж.: Уч.пос. / В.И.Краснов - М.:НИЦ ИНФРА-М,2026. - 238 с.(П)</t>
  </si>
  <si>
    <t>РЕКОНСТРУКЦИЯ ТРУБОПРОВОДНЫХ ИНЖЕНЕРНЫХ СЕТЕЙ И СООРУЖЕНИЙ, ИЗД.1</t>
  </si>
  <si>
    <t>978-5-16-009263-8</t>
  </si>
  <si>
    <t>08.01.02, 08.01.29, 08.02.01, 08.02.02, 08.02.04, 08.02.08, 18.01.27, 19.01.01, 21.01.17</t>
  </si>
  <si>
    <t>Допущено Федеральным агентством по строительству и жилищно-коммунальному хозяйству в качестве учебного пособия для студентов средних специальных учебных заведений, обучающихся по специальности 08.02.01 «Строительство и эксплуатация зданий и сооружений»</t>
  </si>
  <si>
    <t>798139.02.01</t>
  </si>
  <si>
    <t>Рекреационное природопользование: Уч.пос. / Г.А.Демиденко - М.:НИЦ ИНФРА-М,2027. - 280 с.(ВО (КрГАУ))(п)</t>
  </si>
  <si>
    <t>РЕКРЕАЦИОННОЕ ПРИРОДОПОЛЬЗОВАНИЕ, ИЗД.1</t>
  </si>
  <si>
    <t>Демиденко Г.А.</t>
  </si>
  <si>
    <t>978-5-16-018997-0</t>
  </si>
  <si>
    <t>05.03.06, 05.04.06, 06.03.01</t>
  </si>
  <si>
    <t>783576.01.01</t>
  </si>
  <si>
    <t>Рекреационный туризм: крымские перспективы: Уч.пос. / В.В.Селиванов-М.:НИЦ ИНФРА-М,2024.-207 с.(П)</t>
  </si>
  <si>
    <t>РЕКРЕАЦИОННЫЙ ТУРИЗМ: КРЫМСКИЕ ПЕРСПЕКТИВЫ, ИЗД.1</t>
  </si>
  <si>
    <t>Селиванов В.В.</t>
  </si>
  <si>
    <t>978-5-16-017887-5</t>
  </si>
  <si>
    <t>43.03.02, 43.03.03, 43.04.02, 49.03.03</t>
  </si>
  <si>
    <t>Крымский федеральный университет им. В.И. Вернадского, ф-л Гуманитарно-педагогическая академия</t>
  </si>
  <si>
    <t>788018.01.01</t>
  </si>
  <si>
    <t>Рекрутинг персонала: Уч.пос. / В.А.Виниченко и др.-М.:НИЦ ИНФРА-М,2024.-245 с.(ВО:Магистр)(п)</t>
  </si>
  <si>
    <t>РЕКРУТИНГ ПЕРСОНАЛА, ИЗД.1</t>
  </si>
  <si>
    <t>Виниченко В.А., Борисова А.А., Озерникова Т.Г.</t>
  </si>
  <si>
    <t>978-5-16-018379-4</t>
  </si>
  <si>
    <t>409400.03.01</t>
  </si>
  <si>
    <t>Ректоры России: сист. и мех. проф..: Моногр. / С.Д.Резник-2изд.-М.:НИЦ ИНФРА-М,2017-232с(Науч.мысль)</t>
  </si>
  <si>
    <t>РЕКТОРЫ РОССИИ: СИСТЕМА И МЕХАНИЗМЫ ПРОФЕССИОНАЛЬНОГО СТАНОВЛЕНИЯ, ИЗД.2</t>
  </si>
  <si>
    <t>Резник С. Д., Сазыкина О. А., Фомин Г. Б., Резник С. Д.</t>
  </si>
  <si>
    <t>978-5-16-006171-9</t>
  </si>
  <si>
    <t>38.03.01, 38.03.02, 38.03.03, 38.04.02, 41.03.06, 44.03.01</t>
  </si>
  <si>
    <t>409400.05.01</t>
  </si>
  <si>
    <t>Ректоры России: сист. и мех. проф..: Моногр. / С.Д.Резник-2изд.-М.:НИЦ ИНФРА-М,2023-232с(Науч.мысль)</t>
  </si>
  <si>
    <t>978-5-16-015268-4</t>
  </si>
  <si>
    <t>721773.10.01</t>
  </si>
  <si>
    <t>Релейная защита и автоматизация электоэнергетич. сис.: Уч.пос. / В.И.Бирюлин - М.:НИЦ ИНФРА-М,2026-197с(ВО)(п)</t>
  </si>
  <si>
    <t>РЕЛЕЙНАЯ ЗАЩИТА И АВТОМАТИЗАЦИЯ ЭЛЕКТРОЭНЕРГЕТИЧЕСКИХ СИСТЕМ, ИЗД.1</t>
  </si>
  <si>
    <t>Бирюлин В.И., Горлов А.Н., Куделина Д.В. и др.</t>
  </si>
  <si>
    <t>978-5-16-018834-8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</si>
  <si>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18 от 25.11.2019)</t>
  </si>
  <si>
    <t>712505.09.01</t>
  </si>
  <si>
    <t>Релейная защита и автоматизация электроэнергетич. сис.: Уч.пос. / С.А.Горемыкин - М.:НИЦ ИНФРА-М,2026 - 191 с.(ВО)(п)</t>
  </si>
  <si>
    <t>Горемыкин С.А.</t>
  </si>
  <si>
    <t>978-5-16-019240-6</t>
  </si>
  <si>
    <t>13.03.02, 35.03.06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</si>
  <si>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13.03.02 ≪Электроэнергетика и электротехника≫, 35.03.06 ≪Агроинженерия≫ (квалификация (степень) «бакалавр») (протокол № 10 от 12.10.2020)</t>
  </si>
  <si>
    <t>829245.01.01</t>
  </si>
  <si>
    <t>Религии в современной России: Уч.пос. / Т.С.Пронина и др. - М.:НИЦ ИНФРА-М,2027. - 324 с.(ВО)(п)</t>
  </si>
  <si>
    <t>РЕЛИГИИ В СОВРЕМЕННОЙ РОССИИ, ИЗД.1</t>
  </si>
  <si>
    <t>Пронина Т.С., Мирошникова Е.М., Курилов В.А. и др.</t>
  </si>
  <si>
    <t>978-5-16-021523-5</t>
  </si>
  <si>
    <t>00.03.04, 00.03.11, 00.05.04, 00.05.11, 39.03.01, 44.03.01, 44.04.02, 46.03.01, 46.03.02, 46.04.01, 47.03.01, 47.03.03</t>
  </si>
  <si>
    <t>109455.10.01</t>
  </si>
  <si>
    <t>Религиоведение: Уч. / О.Г.Данильян, - 2 изд. - М.:НИЦ ИНФРА-М,2026. - 335 с.(ВО: Бакалавр.)(п)</t>
  </si>
  <si>
    <t>РЕЛИГИОВЕДЕНИЕ, ИЗД.2</t>
  </si>
  <si>
    <t>978-5-16-010564-2</t>
  </si>
  <si>
    <t>37.03.01, 44.03.05, 47.03.01, 47.03.03</t>
  </si>
  <si>
    <t>345900.10.01</t>
  </si>
  <si>
    <t>Религиоведение: Уч.пос. / К.А.Соловьев - М.:НИЦ ИНФРА-М,2026. - 370 с.(ВО)(п)</t>
  </si>
  <si>
    <t>РЕЛИГИОВЕДЕНИЕ, ИЗД.1</t>
  </si>
  <si>
    <t>СоловьевК.А.</t>
  </si>
  <si>
    <t>978-5-16-019149-2</t>
  </si>
  <si>
    <t>44.03.05, 47.03.03</t>
  </si>
  <si>
    <t>Рекомендовано в качестве учебного пособия для студентов высших учебных заведений, обучающихся по направлениям подготовки 47.03.03 «Религиоведение», 50.03.03 «История искусств» (квалификация (степень) "бакалавр")</t>
  </si>
  <si>
    <t>841422.02.01</t>
  </si>
  <si>
    <t>Религиозно-нравств. ценности в конституц... / А.М.Осавелюк - М.:Юр. НОРМА, НИЦ ИНФРА-М,2026 -192 с.(п)</t>
  </si>
  <si>
    <t>РЕЛИГИОЗНО-НРАВСТВЕННЫЕ ЦЕННОСТИ В КОНСТИТУЦИОННОМ ПРОСТРАНСТВЕ РОССИИ, ИЗД.1</t>
  </si>
  <si>
    <t>Осавелюк А.М.</t>
  </si>
  <si>
    <t>978-5-00156-391-4</t>
  </si>
  <si>
    <t>844760.01.01</t>
  </si>
  <si>
    <t>Религиозные орг. как субъекты граждан. права в России.: Моногр. / А.А.Максуров - М.:НИЦ ИНФРА-М,2025 - 153 с.(о)</t>
  </si>
  <si>
    <t>РЕЛИГИОЗНЫЕ ОРГАНИЗАЦИИ КАК СУБЪЕКТЫ ГРАЖДАНСКОГО ПРАВА В РОССИИ, ФРАНЦИИ И ИТАЛИИ, ИЗД.1</t>
  </si>
  <si>
    <t>978-5-16-020560-1</t>
  </si>
  <si>
    <t>40.04.01, 40.05.04, 40.06.01, 48.04.01</t>
  </si>
  <si>
    <t>466650.07.01</t>
  </si>
  <si>
    <t>Религиозные преступл.в Моисеевом угол.праве...: Моногр. / В.Г.Беспалько-М.:НИЦ ИНФРА-М,2024-231c.(о)</t>
  </si>
  <si>
    <t>РЕЛИГИОЗНЫЕ ПРЕСТУПЛЕНИЯ В МОИСЕЕВОМ УГОЛОВНОМ ПРАВЕ И ИХ ПРОЕКЦИИ В РОССИЙСКОМ ЗАКОНОДАТЕЛЬСТВЕ X-XXI ВВ, ИЗД.1</t>
  </si>
  <si>
    <t>Беспалько В. Г.</t>
  </si>
  <si>
    <t>978-5-16-009780-0</t>
  </si>
  <si>
    <t>862597.01.01</t>
  </si>
  <si>
    <t>Религия в советском обществе в 1917-1939 гг.: Моногр. / А.В.Сипейкин - М.:НИЦ ИНФРА-М,2026. - 404 с.(п)</t>
  </si>
  <si>
    <t>РЕЛИГИЯ В СОВЕТСКОМ ОБЩЕСТВЕ В 1917-1939 ГГ., ИЗД.1</t>
  </si>
  <si>
    <t>Сипейкин А.В.</t>
  </si>
  <si>
    <t>978-5-16-021350-7</t>
  </si>
  <si>
    <t>00.03.04, 00.03.11, 00.05.04, 00.05.11, 46.03.01, 46.03.02, 46.06.01, 47.03.01, 47.03.03, 47.04.03, 47.06.01, 48.03.01, 50.03.03, 51.03.01</t>
  </si>
  <si>
    <t>375700.06.01</t>
  </si>
  <si>
    <t>Религия в условиях совр. глобализац. процесса: Моногр. / Ю.А.Бабинов - М.:Вуз.уч.,НИЦ ИНФРА-М,2024-262с.(О)</t>
  </si>
  <si>
    <t>РЕЛИГИЯ В УСЛОВИЯХ СОВРЕМЕННОГО ГЛОБАЛИЗАЦИОННОГО ПРОЦЕССА, ИЗД.1</t>
  </si>
  <si>
    <t>Бабинов Ю.А.</t>
  </si>
  <si>
    <t>978-5-9558-0448-4</t>
  </si>
  <si>
    <t>37.03.01, 44.03.05, 47.03.01, 47.03.03, 47.04.01, 47.04.03, 48.03.01, 51.03.01, 51.04.01</t>
  </si>
  <si>
    <t>675150.01.01</t>
  </si>
  <si>
    <t>Религия и мифология Древней Греции: Уч.пос. / Ю.Б.Циркин-М.:НИЦ ИНФРА-М,2024.-188 с..-(ВО)(п)</t>
  </si>
  <si>
    <t>РЕЛИГИЯ И МИФОЛОГИЯ ДРЕВНЕЙ ГРЕЦИИ, ИЗД.1</t>
  </si>
  <si>
    <t>978-5-16-016675-9</t>
  </si>
  <si>
    <t>45.03.01, 46.03.01, 46.04.01, 51.03.02</t>
  </si>
  <si>
    <t>684799.06.01</t>
  </si>
  <si>
    <t>Ремонт автомобилей и двигателей: Уч.пос. / К.А.Давдиев - М.:НИЦ ИНФРА-М,2026. - 358 с.(СПО)(П)</t>
  </si>
  <si>
    <t>РЕМОНТ АВТОМОБИЛЕЙ И ДВИГАТЕЛЕЙ: ВЫПУСКНАЯ КВАЛИФИКАЦИОННАЯ РАБОТА, ИЗД.1</t>
  </si>
  <si>
    <t>978-5-16-014999-8</t>
  </si>
  <si>
    <t>23.02.02, 23.02.03, 23.02.07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</si>
  <si>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23.02.03 «Техническое обслуживание и ремонт автомобильного транспорта» (протокол № 2 от 09.02.2022)</t>
  </si>
  <si>
    <t>148450.09.01</t>
  </si>
  <si>
    <t>Ремонт автомобилей. Курс. проектир.: Уч.пос. / С.А.Скепьян - ИНФРА-М ,2024-235с(СПО)(п)</t>
  </si>
  <si>
    <t>РЕМОНТ АВТОМОБИЛЕЙ. КУРСОВОЕ ПРОЕКТИРОВАНИЕ, ИЗД.1</t>
  </si>
  <si>
    <t>Скепьян С. А.</t>
  </si>
  <si>
    <t>978-5-16-004759-1</t>
  </si>
  <si>
    <t>Рекомендовано учреждением образования «Республиканский институт профессионального образования» в качестве пособия для учащихся учреждений, обеспечивающих получение среднего специального образования по специальности «Техническая эксплуатация автомобилей»</t>
  </si>
  <si>
    <t>Республиканский институт профессионального образования, ф-л Минский государственный автомеханический</t>
  </si>
  <si>
    <t>705277.05.01</t>
  </si>
  <si>
    <t>Ремонт бронетанковой техники. Практикум: Уч.пос. / И.Ю.Лепешинский. - М.:НИЦ ИНФРА-М,2026. - 102 с.(О)</t>
  </si>
  <si>
    <t>РЕМОНТ БРОНЕТАНКОВОЙ ТЕХНИКИ. ПРАКТИКУМ, ИЗД.1</t>
  </si>
  <si>
    <t>978-5-16-017992-6</t>
  </si>
  <si>
    <t>15.02.04, 23.03.01, 56.04.04</t>
  </si>
  <si>
    <t>Рекомендовано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учебных заведений, обучающихся по направлению подготовки «Транспортные машины и транспортно-технологические комплексы»</t>
  </si>
  <si>
    <t>701962.09.01</t>
  </si>
  <si>
    <t>Ремонт бронетанковой техники: Уч. / И.Ю.Лепешинский - М.:НИЦ ИНФРА-М,2026 - 320 с.(Военное обр.)(П)</t>
  </si>
  <si>
    <t>РЕМОНТ БРОНЕТАНКОВОЙ ТЕХНИКИ, ИЗД.1</t>
  </si>
  <si>
    <t>Лепешинский И.Ю., Костин К.В., Ануфриев Е.В. и др.</t>
  </si>
  <si>
    <t>978-5-16-015061-1</t>
  </si>
  <si>
    <t>15.02.04, 23.03.03, 23.04.03, 23.05.01, 23.05.02</t>
  </si>
  <si>
    <t>Рекомендуется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учебника для студентов высших учебных заведений, обучающихся по направлению подготовки «Транспортные машины и транспортно-технологические комплексы»</t>
  </si>
  <si>
    <t>690028.09.01</t>
  </si>
  <si>
    <t>Ремонт военной автомобильной техники..: Уч.пос. / Под ред. Ефремова В.В. - М.:НИЦ ИНФРА-М,2026 - 184 с.(П)</t>
  </si>
  <si>
    <t>РЕМОНТ ВОЕННОЙ АВТОМОБИЛЬНОЙ ТЕХНИКИ. ВОЙСКОВЫЕ РЕМОНТНО-ВОССТАНОВИТЕЛЬНЫЕ ОРГАНЫ АВТОМОБИЛЬНОЙ ТЕХНИКИ, ИЗД.1</t>
  </si>
  <si>
    <t>Ухалин А.С., Яркин В.Р., Латыфов Х.Х. и др.</t>
  </si>
  <si>
    <t>978-5-16-014524-2</t>
  </si>
  <si>
    <t>Рекомендуется федеральным государственным казенным военным образовательным учреждением высшего профессионального образования «Военный учебно-научный центр Сухопутных войск "Общевойсковая академия Вооруженных Сил Российской Федерации”» в качестве учебного пособия для курсантов Рязанского высшего воздушно-десантного командного училища имени генерала армии В.Ф. Маргелова, обучающихся по специальностям «Техническое обслуживание и ремонт автомобильного транспорта», «Автомобили и автомобильное хозяйство»</t>
  </si>
  <si>
    <t>655204.04.01</t>
  </si>
  <si>
    <t>Ремонт и утилизация наземных транспортно-технологич. средств: Уч. / Н.Н.Митрохин - М.:НИЦ ИНФРА-М,2026 - 264 с.(П)</t>
  </si>
  <si>
    <t>РЕМОНТ И УТИЛИЗАЦИЯ НАЗЕМНЫХ ТРАНСПОРТНО-ТЕХНОЛОГИЧЕСКИХ СРЕДСТВ, ИЗД.1</t>
  </si>
  <si>
    <t>Митрохин Н.Н., Павлов А.П.</t>
  </si>
  <si>
    <t>978-5-16-014871-7</t>
  </si>
  <si>
    <t>15.03.01, 23.03.03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</si>
  <si>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23.03.03 «Эксплуатация транспортно-технологических машин и комплексов», 15.03.01 «Машиностроение» (квалификация (степень) «бакалавр») (протокол № 2 от 03.02.2020)</t>
  </si>
  <si>
    <t>188700.08.01</t>
  </si>
  <si>
    <t>Ремонт кузовов легковых автомобилей: Уч.пос. /Е.Л.Савич-М:НИЦ Инфра-М;Мн.:Нов.знан.,2021-320с(ВО)(п)</t>
  </si>
  <si>
    <t>РЕМОНТ КУЗОВОВ ЛЕГКОВЫХ АВТОМОБИЛЕЙ, ИЗД.1</t>
  </si>
  <si>
    <t>Савич Е. Л., Ивашко В. С., Савич А. С., под. общ.ред. Савич Е. Л.</t>
  </si>
  <si>
    <t>978-5-16-006027-9</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</si>
  <si>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«Техническая эксплуатация автомобилей», «Профессиональное обучение», «Автосервис»</t>
  </si>
  <si>
    <t>791517.05.01</t>
  </si>
  <si>
    <t>Ремонт основных сис., узлов и агрегатов танка Т-72: Уч.пос. / С.Д.Герасимов. - М.:НИЦ ИНФРА-М,2026. - 275 с(п)</t>
  </si>
  <si>
    <t>РЕМОНТ ОСНОВНЫХ СИСТЕМ, УЗЛОВ И АГРЕГАТОВ ТАНКА Т-72, ИЗД.1</t>
  </si>
  <si>
    <t>Герасимов С.Д., Ядров В.И., Кульша А.Н. и др.</t>
  </si>
  <si>
    <t>978-5-16-018000-7</t>
  </si>
  <si>
    <t>791516.05.01</t>
  </si>
  <si>
    <t>Ремонт основных сис., узлов и агрегатов..: Уч.пос. / И.Ю.Лепешинский - М.:НИЦ ИНФРА-М,2026. - 187 с.(п)</t>
  </si>
  <si>
    <t>РЕМОНТ ОСНОВНЫХ СИСТЕМ, УЗЛОВ И АГРЕГАТОВ БРОНЕТРАНСПОРТЕРА БТР-80, ИЗД.1</t>
  </si>
  <si>
    <t>Лепешинский И.Ю., Пепеляев А.В., Герасимов С.Д. и др.</t>
  </si>
  <si>
    <t>978-5-16-017999-5</t>
  </si>
  <si>
    <t>23.03.03, 23.04.03, 56.04.04</t>
  </si>
  <si>
    <t>674750.07.01</t>
  </si>
  <si>
    <t>Ремонт технологического оборудования: Уч. / А.Г.Схиртладзе - М.:КУРС,НИЦ ИНФРА-М,2025 - 352 с.(П)</t>
  </si>
  <si>
    <t>РЕМОНТ ТЕХНОЛОГИЧЕСКОГО ОБОРУДОВАНИЯ, ИЗД.1</t>
  </si>
  <si>
    <t>Схиртладзе А.Г., Скрябин В.А.</t>
  </si>
  <si>
    <t>978-5-906923-80-6</t>
  </si>
  <si>
    <t>15.03.05, 21.02.12</t>
  </si>
  <si>
    <t>806676.01.01</t>
  </si>
  <si>
    <t>Ремонт электрооборудования: Уч.пос. / А.А.Василенко-М.:НИЦ ИНФРА-М,2024.-164 с.(ВО (КрГАУ))(п)</t>
  </si>
  <si>
    <t>РЕМОНТ ЭЛЕКТРООБОРУДОВАНИЯ, ИЗД.1</t>
  </si>
  <si>
    <t>Василенко А.А.</t>
  </si>
  <si>
    <t>978-5-16-019140-9</t>
  </si>
  <si>
    <t>Рекомендовано Научно-методическим советом по технологиям, средствам механизации и энергетическому оборудованию в сельском хозяйстве Федерального УМО по сельскому, лесному и рыбному хозяйству для использования в учебном процессе при подготовке бакалавров по направлению «Агроинженерия»</t>
  </si>
  <si>
    <t>704978.04.01</t>
  </si>
  <si>
    <t>Ремонт электроспецоборуд. бронетанковой техники..: Уч.пос. / И.Ю.Лепешинский - М.:НИЦ ИНФРА-М,2026 - 360 с.(п)</t>
  </si>
  <si>
    <t>РЕМОНТ ЭЛЕКТРОСПЕЦОБОРУДОВАНИЯ БРОНЕТАНКОВОЙ ТЕХНИКИ И ВООРУЖЕНИЯ, ИЗД.1</t>
  </si>
  <si>
    <t>Лепешинский И.Ю., Погодаев В.П.</t>
  </si>
  <si>
    <t>978-5-16-015060-4</t>
  </si>
  <si>
    <t>15.02.04, 17.05.02, 56.04.04</t>
  </si>
  <si>
    <t>Рекомендуется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</si>
  <si>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652302.04.01</t>
  </si>
  <si>
    <t>Реновация природных систем и ликвид. объектов..: Моногр. / В.М.Питулько-М.:НИЦ ИНФРА-М,2023-497с(П)</t>
  </si>
  <si>
    <t>РЕНОВАЦИЯ ПРИРОДНЫХ СИСТЕМ И ЛИКВИДАЦИЯ ОБЪЕКТОВ ПРОШЛОГО ЭКОЛОГИЧЕСКОГО УЩЕРБА, ИЗД.1</t>
  </si>
  <si>
    <t>Питулько В.М., Кулибаба В.В.</t>
  </si>
  <si>
    <t>978-5-16-012836-8</t>
  </si>
  <si>
    <t>482550.09.01</t>
  </si>
  <si>
    <t>Реорганизация и ликвидация юр. лиц: Науч.-практ. комм. / А.В.Габов - ИНФРА-М,2026-XVI, 2026 - 203 с. (о)</t>
  </si>
  <si>
    <t>РЕОРГАНИЗАЦИЯ И ЛИКВИДАЦИЯ ЮРИДИЧЕСКИХ ЛИЦ, ИЗД.1</t>
  </si>
  <si>
    <t>Габов А. В.</t>
  </si>
  <si>
    <t>978-5-16-010466-9</t>
  </si>
  <si>
    <t>38.03.04, 40.02.04, 40.03.01, 40.04.01, 44.03.05, 46.03.02</t>
  </si>
  <si>
    <t>682628.08.01</t>
  </si>
  <si>
    <t>Репрезентация образа матери в рос. ментальности: Моногр. / Н.Н.Васягина - М.:НИЦ ИНФРА-М,2027 - 181с(О)</t>
  </si>
  <si>
    <t>РЕПРЕЗЕНТАЦИЯ ОБРАЗА МАТЕРИ В РОССИЙСКОЙ МЕНТАЛЬНОСТИ, ИЗД.1</t>
  </si>
  <si>
    <t>Васягина Н.Н., Газизова Ю.С.</t>
  </si>
  <si>
    <t>978-5-16-014062-9</t>
  </si>
  <si>
    <t>37.03.01, 44.03.02, 44.03.05, 44.04.02</t>
  </si>
  <si>
    <t>764301.01.01</t>
  </si>
  <si>
    <t>Репутационный менеджмент в рос. универ...: Моногр. / С.Д.Резник - 2 изд.-М.:НИЦ ИНФРА-М,2022-228с.(О)</t>
  </si>
  <si>
    <t>РЕПУТАЦИОННЫЙ МЕНЕДЖМЕНТ В РОССИЙСКОМ УНИВЕРСИТЕТЕ: ПРОБЛЕМЫ И РЕШЕНИЯ, ИЗД.2</t>
  </si>
  <si>
    <t>Резник С.Д., Юдина Т.А., Резник С.Д.</t>
  </si>
  <si>
    <t>978-5-16-017156-2</t>
  </si>
  <si>
    <t>38.03.01, 38.03.02, 38.03.03, 38.04.01, 38.04.02, 38.04.03, 38.06.01</t>
  </si>
  <si>
    <t>853011.01.01</t>
  </si>
  <si>
    <t>Ресоциализация отдельных категорий осужденных, освобождаемых... / А.В.Акчурин. - М.:НИЦ ИНФРА-М,2026. - 174 с.(п)</t>
  </si>
  <si>
    <t>РЕСОЦИАЛИЗАЦИЯ ОТДЕЛЬНЫХ КАТЕГОРИЙ ОСУЖДЕННЫХ, ОСВОБОЖДАЕМЫХ ИЛИ ОСВОБОЖДЕННЫХ ИЗ ИСПРАВИТЕЛЬНЫХ УЧРЕЖДЕНИЙ, ИЗД.1</t>
  </si>
  <si>
    <t>Акчурин А.В., Воронин М.Ю., Давыдова И.А. и др.</t>
  </si>
  <si>
    <t>978-5-16-021495-5</t>
  </si>
  <si>
    <t>37.05.02, 40.03.01, 40.05.01, 40.05.02, 40.05.04</t>
  </si>
  <si>
    <t>158450.18.01</t>
  </si>
  <si>
    <t>Ресурс и ремонтопригодность колесных пар..: Моногр. / Под ред. Иванова И.А. - М.:НИЦ ИНФРА-М,2027 - 264 с.(о)</t>
  </si>
  <si>
    <t>РЕСУРС И РЕМОНТОПРИГОДНОСТЬ КОЛЕСНЫХ ПАР ПОДВИЖНОГО СОСТАВА ЖЕЛЕЗНЫХ ДОРОГ, ИЗД.1</t>
  </si>
  <si>
    <t>Воробьев А.А., Губенко С.И., Иванов И.А. и др.</t>
  </si>
  <si>
    <t>978-5-16-005039-3</t>
  </si>
  <si>
    <t>162900.07.01</t>
  </si>
  <si>
    <t>Ресурсо- и энергосбережение в литейном произв.: Уч. / Г.Я.Вагин - 2 изд. - М.:Форум,НИЦ ИНФРА-М,2025 - 254 с.(ВО)(П)</t>
  </si>
  <si>
    <t>РЕСУРСО- И ЭНЕРГОСБЕРЕЖЕНИЕ В ЛИТЕЙНОМ ПРОИЗВОДСТВЕ, ИЗД.2</t>
  </si>
  <si>
    <t>Вагин Г.Я., Коровин В.А., Леушин И.О. и др.</t>
  </si>
  <si>
    <t>978-5-00091-625-4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</si>
  <si>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22.03.02 «Металлургия» (квалификация (степень) «бакалавр») (протокол № 13 от 16.09.2019)</t>
  </si>
  <si>
    <t>162900.05.01</t>
  </si>
  <si>
    <t>Ресурсо- и энергосбережение в литейном производстве: Уч. / Г.Я.Вагин - М.:Форум,2019 - 272 с.(П)</t>
  </si>
  <si>
    <t>РЕСУРСО- И ЭНЕРГОСБЕРЕЖЕНИЕ В ЛИТЕЙНОМ ПРОИЗВОДСТВЕ, ИЗД.1</t>
  </si>
  <si>
    <t>978-5-91134-517-4</t>
  </si>
  <si>
    <t>Допущено учебно-методическим объединением по образованию в области металлургии в качестве учебнка для студентов высших учебных заведений, обучающихся по направлению  "Металлургия"</t>
  </si>
  <si>
    <t>725338.02.01</t>
  </si>
  <si>
    <t>Ресурсосберегающие плазменные технологии при...:Моногр. / И.Н.Кравченко.-М.:НИЦ ИНФРА-М,2021.-200 с.(О)</t>
  </si>
  <si>
    <t>РЕСУРСОСБЕРЕГАЮЩИЕ ПЛАЗМЕННЫЕ ТЕХНОЛОГИИ ПРИ РЕМОНТЕ ПЕРЕРАБАТЫВАЮЩЕГО ОБОРУДОВАНИЯ, ИЗД.1</t>
  </si>
  <si>
    <t>Кравченко И.Н., Глинский М.А., Карцев С.В. и др.</t>
  </si>
  <si>
    <t>978-5-16-016135-8</t>
  </si>
  <si>
    <t>15.06.01, 35.04.06, 35.06.01</t>
  </si>
  <si>
    <t>652449.03.01</t>
  </si>
  <si>
    <t>Ретроэкономикс, или Закономерности...: Моногр. / В.С.Гродский - М.:ИЦ РИОР, НИЦ ИНФРА-М,2022 - 208 с.(О)</t>
  </si>
  <si>
    <t>РЕТРОЭКОНОМИКС, ИЛИ ЗАКОНОМЕРНОСТИ ИСТОРИИ МИРОВОЙ ЭКОНОМИЧЕСКОЙ МЫСЛИ, ИЗД.1</t>
  </si>
  <si>
    <t>978-5-369-01656-5</t>
  </si>
  <si>
    <t>02.03.03, 27.04.05, 38.03.01</t>
  </si>
  <si>
    <t>675030.03.01</t>
  </si>
  <si>
    <t>Реферирование и аннотир. науч. текстов на англ. яз.: Уч.пос./З.В.Маньковская-М:НИЦ ИНФРА-М,2023-144с</t>
  </si>
  <si>
    <t>РЕФЕРИРОВАНИЕ И АННОТИРОВАНИЕ НАУЧНЫХ ТЕКСТОВ НА АНГЛИЙСКОМ ЯЗЫКЕ, ИЗД.1</t>
  </si>
  <si>
    <t>978-5-16-014472-6</t>
  </si>
  <si>
    <t>00.03.02, 00.04.16, 00.05.02, 44.04.01, 45.03.02, 45.04.02, 51.03.06</t>
  </si>
  <si>
    <t>Рекомендовано Учебно-методическим советом ВО в качестве учебного пособия для студентов высших учебных заведений, обучающихся по техническим направлениям подготовки бакалавриата</t>
  </si>
  <si>
    <t>729914.05.01</t>
  </si>
  <si>
    <t>Реферирование иноязычных текстов: Уч.пос. / Л.В.Дудник - М.:НИЦ ИНФРА-М,2027 - 153 с.(ВО.)(П)</t>
  </si>
  <si>
    <t>РЕФЕРИРОВАНИЕ ИНОЯЗЫЧНЫХ ТЕКСТОВ, ИЗД.1</t>
  </si>
  <si>
    <t>Дудник Л.В.</t>
  </si>
  <si>
    <t>978-5-16-020261-7</t>
  </si>
  <si>
    <t>27.04.05, 38.04.01, 38.04.02, 38.04.03, 38.04.04, 39.04.01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</si>
  <si>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«магистр») (протокол № 6 от 16.06.2021)</t>
  </si>
  <si>
    <t>800426.01.01</t>
  </si>
  <si>
    <t>Рефинансирование торг. кредитов - технологии и..: Моногр. / Покаместов И.Е.-М.:НИЦ ИНФРА-М,2024-143с(о)</t>
  </si>
  <si>
    <t>РЕФИНАНСИРОВАНИЕ ТОРГОВЫХ КРЕДИТОВ - ТЕХНОЛОГИИ И ФИНАНСОВЫЕ МОДЕЛИ, ИЗД.1</t>
  </si>
  <si>
    <t>Покаместов И.Е., Гамиловская А.А., Леднев М.В. и др.</t>
  </si>
  <si>
    <t>978-5-16-019912-2</t>
  </si>
  <si>
    <t>38.04.06, 38.04.08, 38.05.01, 38.06.01</t>
  </si>
  <si>
    <t>666949.05.01</t>
  </si>
  <si>
    <t>Рефлексивная педагогика вуза: Моногр. / Ю.Д.Красовский - М.:НИЦ ИНФРА-М,2024. - 190 с.(Науч.мысль)(П)</t>
  </si>
  <si>
    <t>РЕФЛЕКСИВНАЯ ПЕДАГОГИКА ВУЗА, ИЗД.1</t>
  </si>
  <si>
    <t>Красовский Ю.Д.</t>
  </si>
  <si>
    <t>978-5-16-013275-4</t>
  </si>
  <si>
    <t>11.04.02, 44.05.01</t>
  </si>
  <si>
    <t>838147.01.01</t>
  </si>
  <si>
    <t>Реформа образ. в России и ее результаты: Моногр. / Н.А.Сальков - М.:НИЦ ИНФРА-М,2025. - 230 с.(Науч.мысль)(п)</t>
  </si>
  <si>
    <t>РЕФОРМА ОБРАЗОВАНИЯ В РОССИИ И ЕЕ РЕЗУЛЬТАТЫ, ИЗД.1</t>
  </si>
  <si>
    <t>978-5-16-020448-2</t>
  </si>
  <si>
    <t>767425.04.01</t>
  </si>
  <si>
    <t>Реформа организации публичной власти: основные напр...: Моногр. / Л.В.Андриченко. - М.:Юр.Норма, НИЦ ИНФРА-М,2026. - 200 с.(П)</t>
  </si>
  <si>
    <t>РЕФОРМА ОРГАНИЗАЦИИ ПУБЛИЧНОЙ ВЛАСТИ: ОСНОВНЫЕ НАПРАВЛЕНИЯ РЕАЛИЗАЦИИ, ИЗД.1</t>
  </si>
  <si>
    <t>Андриченко Л.В., Постников А.Е., Васильева Л. и др.</t>
  </si>
  <si>
    <t>978-5-00156-209-2</t>
  </si>
  <si>
    <t>799031.01.01</t>
  </si>
  <si>
    <t>Реформаторы, нонконформисты, диссиденты в США (XVII - XIX вв.): Моногр. / Т.В.Алентьева-М.:НИЦ ИНФРА-М,2024-412 с.(п)</t>
  </si>
  <si>
    <t>РЕФОРМАТОРЫ, НОНКОНФОРМИСТЫ, ДИССИДЕНТЫ В США (XVII - XIX ВВ.), ИЗД.1</t>
  </si>
  <si>
    <t>Алентьева Т.В., Филимонова М.А.</t>
  </si>
  <si>
    <t>978-5-16-018262-9</t>
  </si>
  <si>
    <t>41.04.01, 41.04.04, 41.06.01, 41.07.01</t>
  </si>
  <si>
    <t>276100.08.01</t>
  </si>
  <si>
    <t>Реформирование высш.образ.на основе замещения...: Моногр./В.И.Подлесных-М.:НИЦ ИНФРА-М,2024-188с.(о)</t>
  </si>
  <si>
    <t>РЕФОРМИРОВАНИЕ ВЫСШЕГО ОБРАЗОВАНИЯ НА ОСНОВЕ ЗАМЕЩЕНИЯ ТЕХНОЛОГИЧЕСКОГО УКЛАДА (НОВЫЕ ПОДХОДЫ И МЕТОДЫ), ИЗД.1</t>
  </si>
  <si>
    <t>Подлесных В. И.</t>
  </si>
  <si>
    <t>978-5-16-009731-2</t>
  </si>
  <si>
    <t>38.04.01, 38.04.02, 44.03.05</t>
  </si>
  <si>
    <t>108100.11.01</t>
  </si>
  <si>
    <t>Реформы в России XVIII-XX вв.: опыт...: Уч. пос. / С.Л.Анохина - 3 изд. - М.:Вуз.уч..: ИНФРА-М,2026 - 512 с. (п)</t>
  </si>
  <si>
    <t>РЕФОРМЫ В РОССИИ XVIII-XX ВВ.: ОПЫТ И УРОКИ, ИЗД.3</t>
  </si>
  <si>
    <t>Анохина С. Л., Нестеренко Е. И., Петухова Н. Е., Пляйс Я. А.</t>
  </si>
  <si>
    <t>978-5-9558-0339-5</t>
  </si>
  <si>
    <t>003000.26.01</t>
  </si>
  <si>
    <t>Речевая коммуникация: Уч. / О.Я.Гойхман - 3 изд. - М.:НИЦ ИНФРА-М,2026 - 286 с.(ВО)(П)</t>
  </si>
  <si>
    <t>РЕЧЕВАЯ КОММУНИКАЦИЯ, ИЗД.3</t>
  </si>
  <si>
    <t>Гойхман О.Я., Надеина Т.М.</t>
  </si>
  <si>
    <t>978-5-16-018500-2</t>
  </si>
  <si>
    <t>Допущено Мин. обр. и науки РФ в качестве учебника для студентов высших учебных заведений, обучающихся по специальностям сервиса</t>
  </si>
  <si>
    <t>758050.04.01</t>
  </si>
  <si>
    <t>Речевая коммуникация: Уч. / О.Я.Гойхман - 3 изд. - М.:НИЦ ИНФРА-М,2026 - 286 с.(СПО)(П)</t>
  </si>
  <si>
    <t>978-5-16-016969-9</t>
  </si>
  <si>
    <t>00.02.15, 00.02.34, 38.02.02, 43.02.17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</si>
  <si>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профессиональную программу среднего профессионального образования (протокол № 12 от 14.12.2020)</t>
  </si>
  <si>
    <t>719748.06.01</t>
  </si>
  <si>
    <t>Речевое и предречевое разв. детей раннего возраста: Уч.мет.пос. / Т.А.Титова - М.:НИЦ ИНФРА-М,2025 - 192 с.(СПО)</t>
  </si>
  <si>
    <t>РЕЧЕВОЕ И ПРЕДРЕЧЕВОЕ РАЗВИТИЕ ДЕТЕЙ РАННЕГО ВОЗРАСТА, ИЗД.1</t>
  </si>
  <si>
    <t>Титова Т.А., Елецкая О.В., Матвеева М.В. и др.</t>
  </si>
  <si>
    <t>978-5-16-015652-1</t>
  </si>
  <si>
    <t>44.02.01, 44.02.02, 44.02.04</t>
  </si>
  <si>
    <t>Рекомендовано Межрегиональным учебно-методическим советом профессионального образования в качестве учебно-методического пособия для учебных заведений, реализующих программу среднего профессионального образования по специальности 44.02.04 «Специальное дошкольное образование» (протокол № 12 от 24.06.2019)</t>
  </si>
  <si>
    <t>383200.10.01</t>
  </si>
  <si>
    <t>Речевое и псих.развитие детей ран. возраста: Уч.-мет. пос. / Т.А.Титова - М.,НИЦ ИНФРА-М,2026 - 192 с.(ВО)(о)</t>
  </si>
  <si>
    <t>РЕЧЕВОЕ И ПСИХИЧЕСКОЕ РАЗВИТИЕ ДЕТЕЙ РАННЕГО ВОЗРАСТА, ИЗД.1</t>
  </si>
  <si>
    <t>978-5-16-022248-6</t>
  </si>
  <si>
    <t>37.03.01, 37.04.01, 44.03.01, 44.03.02, 44.03.03, 44.03.04, 44.03.05, 44.04.02, 44.04.03</t>
  </si>
  <si>
    <t>Рекомендовано кафедрой логопедии Ленинградского государственного университета им. А.С. Пушкина для студентов образовательных учреждений высшего образования, обучающихся по направлениям 44.04.03 «Специальное (дефектологическое) образование» (магистратура) и 44.03.03 «Специальное (дефектологическое) образование (бакалавриат) по профилю подготовки «Логопедия»</t>
  </si>
  <si>
    <t>817786.01.01</t>
  </si>
  <si>
    <t>Речные наносы и почвенная эрозия: методы и модели: Моногр. / М.В.Шмакова-М.:НИЦ ИНФРА-М,2024.-292 с.(п)</t>
  </si>
  <si>
    <t>РЕЧНЫЕ НАНОСЫ И ПОЧВЕННАЯ ЭРОЗИЯ: МЕТОДЫ И МОДЕЛИ, ИЗД.1</t>
  </si>
  <si>
    <t>Шмакова М.В.</t>
  </si>
  <si>
    <t>978-5-16-019497-4</t>
  </si>
  <si>
    <t>05.03.04, 05.04.04, 05.04.05, 05.06.01</t>
  </si>
  <si>
    <t>СПИИРАН</t>
  </si>
  <si>
    <t>788002.03.01</t>
  </si>
  <si>
    <t>Речные наносы: Уч. / С.Р.Чалов-М.:НИЦ ИНФРА-М,2026.-473 с.[цв].-(ВО)(п)</t>
  </si>
  <si>
    <t>РЕЧНЫЕ НАНОСЫ, ИЗД.1</t>
  </si>
  <si>
    <t>Чалов С.Р.</t>
  </si>
  <si>
    <t>978-5-16-018358-9</t>
  </si>
  <si>
    <t>05.04.02, 05.04.04, 05.04.06</t>
  </si>
  <si>
    <t>Допущено Учебно-методическим объединением по классическому университетскому образованию РФ в качестве учебного пособия для студентов высших учебных заведений, обучающихся по направлениям «Гидрометеорология» и «География»</t>
  </si>
  <si>
    <t>654703.05.01</t>
  </si>
  <si>
    <t>Решение деловых проблем на англ. языке: Уч.пос. / Л.В.Дудник - М.:НИЦ ИНФРА-М,2026 - 127 с.-(ВО)(П)</t>
  </si>
  <si>
    <t>РЕШЕНИЕ ДЕЛОВЫХ ПРОБЛЕМ НА АНГЛИЙСКОМ ЯЗЫКЕ (КОММУНИКАТИВНЫЙ АСПЕКТ), ИЗД.1</t>
  </si>
  <si>
    <t>Дудник Л.В., Путиловская Т.С.</t>
  </si>
  <si>
    <t>978-5-16-013733-9</t>
  </si>
  <si>
    <t>00.03.02, 00.05.02, 27.04.05, 38.04.01, 38.04.02, 38.04.03, 38.04.04, 38.04.05, 38.04.08, 38.04.09, 39.04.01, 43.04.03</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</si>
  <si>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38.04.01 «Экономика», 38.04.02 «Менеджмент», 38.04.03 «Управление персоналом», 38.04.04 «Государственное и муниципальное управление» (квалификация (степень) «магистр»)</t>
  </si>
  <si>
    <t>124800.10.01</t>
  </si>
  <si>
    <t>Решения в уголовном судопроизвод. теория... / П.А.Лупинская - 3 изд. - М.:Юр.Норма, НИЦ ИНФРА-М,2026 - 240 с.(П)</t>
  </si>
  <si>
    <t>РЕШЕНИЯ В УГОЛОВНОМ СУДОПРОИЗВОДСТВЕ, ИЗД.3</t>
  </si>
  <si>
    <t>Лупинская П. А.</t>
  </si>
  <si>
    <t>978-5-91768-581-6</t>
  </si>
  <si>
    <t>40.04.01, 40.05.01, 40.05.02, 40.05.03, 40.06.01</t>
  </si>
  <si>
    <t>326800.07.01</t>
  </si>
  <si>
    <t>Решения задач по теоретической механике: Уч.пос. / М.Н.Кирсанов, - 2 изд.-М.:НИЦ ИНФРА-М,2024.-222 с.(о)</t>
  </si>
  <si>
    <t>РЕШЕНИЯ ЗАДАЧ ПО ТЕОРЕТИЧЕСКОЙ МЕХАНИКЕ, ИЗД.2</t>
  </si>
  <si>
    <t>978-5-16-016344-4</t>
  </si>
  <si>
    <t>01.03.01, 02.03.01, 03.03.02</t>
  </si>
  <si>
    <t>326800.03.01</t>
  </si>
  <si>
    <t>Решения задач по теоретической механике: Уч.пос. / М.Н.Кирсанов-М.:НИЦ ИНФРА-М,2019.-216с(ВО)(о)</t>
  </si>
  <si>
    <t>РЕШЕНИЯ ЗАДАЧ ПО ТЕОРЕТИЧЕСКОЙ МЕХАНИКЕ, ИЗД.1</t>
  </si>
  <si>
    <t>978-5-16-010558-1</t>
  </si>
  <si>
    <t>Рекомендовано качестве учебного пособия для студентов высших учебных заведений, обучающихся по техническим направлениям подготовки (квалификация (степень) «бакалавр»)</t>
  </si>
  <si>
    <t>108400.14.01</t>
  </si>
  <si>
    <t>Римское частное право: практ. курс / Д.В. Дождев. - М.: НОРМА, 2026. - 576 с. (п)</t>
  </si>
  <si>
    <t>РИМСКОЕ ЧАСТНОЕ ПРАВО, ИЗД.1</t>
  </si>
  <si>
    <t>Дождев Д. В.</t>
  </si>
  <si>
    <t>978-5-468-00251-3</t>
  </si>
  <si>
    <t>002023.25.01</t>
  </si>
  <si>
    <t>Римское частное право: Уч. / Д.В.Дождев - 3 изд. - М.:НОРМА, НИЦ ИНФРА-М,2026 - 784 с.(П)</t>
  </si>
  <si>
    <t>РИМСКОЕ ЧАСТНОЕ ПРАВО, ИЗД.3</t>
  </si>
  <si>
    <t>Дождев Д. В., Нерсесянц В. С.</t>
  </si>
  <si>
    <t>978-5-91768-506-9</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</si>
  <si>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"Юриспруденция”</t>
  </si>
  <si>
    <t>132150.09.01</t>
  </si>
  <si>
    <t>Риски организации и внутренний эконом.контроль: Моногр. /Т.Ю.Серебрякова-М.:НИЦ ИНФРА-М,2024-111с(О)</t>
  </si>
  <si>
    <t>РИСКИ ОРГАНИЗАЦИИ И ВНУТРЕННИЙ ЭКОНОМИЧЕСКИЙ КОНТРОЛЬ, ИЗД.1</t>
  </si>
  <si>
    <t>Серебрякова Т. Ю.</t>
  </si>
  <si>
    <t>978-5-16-004364-7</t>
  </si>
  <si>
    <t>27.04.07, 38.03.01, 38.03.02, 38.03.03, 38.03.06, 38.03.07, 38.04.01, 38.04.02, 38.04.06, 38.04.07, 38.04.08, 38.04.09, 38.05.01, 38.05.02</t>
  </si>
  <si>
    <t>698148.03.01</t>
  </si>
  <si>
    <t>Риски организации: их учет, анализ и контроль: Моногр. / Т.Ю.Серебрякова-М.:НИЦ ИНФРА-М,2020-233с(О)</t>
  </si>
  <si>
    <t>РИСКИ ОРГАНИЗАЦИИ: ИХ УЧЕТ, АНАЛИЗ И КОНТРОЛЬ, ИЗД.1</t>
  </si>
  <si>
    <t>Серебрякова Т.Ю., Гордеева О.Г.</t>
  </si>
  <si>
    <t>978-5-16-014777-2</t>
  </si>
  <si>
    <t>848715.02.01</t>
  </si>
  <si>
    <t>Риски организаций и территорий: Уч. / О.П.Иванова. - М.:НИЦ ИНФРА-М,2027 - 275 с.(ВО)(п)</t>
  </si>
  <si>
    <t>РИСКИ ОРГАНИЗАЦИЙ И ТЕРРИТОРИЙ, ИЗД.1</t>
  </si>
  <si>
    <t>Тумин В.М., Иванова О.П., Зенкина Е.В. и др.</t>
  </si>
  <si>
    <t>978-5-16-020699-8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</si>
  <si>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«Экономика и управление» (протокол № 6 от 18.12.2024)</t>
  </si>
  <si>
    <t>732494.01.01</t>
  </si>
  <si>
    <t>Риски социальной адаптации военнослужащих, уволенных в запас... / П.В.Разов.-М.:ИНФРА-М,2020-254с(О)</t>
  </si>
  <si>
    <t>РИСКИ СОЦИАЛЬНОЙ АДАПТАЦИИ ВОЕННОСЛУЖАЩИХ, УВОЛЕННЫХ В ЗАПАС, К УСЛОВИЯМ ГРАЖДАНСКОЙ ЖИЗНИ В РОССИИ И СТРАТЕГИИ ИХ ПРЕОДОЛЕНИЯ, ИЗД.1</t>
  </si>
  <si>
    <t>Разов П.В., Евенко С.Л.</t>
  </si>
  <si>
    <t>978-5-16-016044-3</t>
  </si>
  <si>
    <t>39.03.01, 39.04.01, 39.06.01</t>
  </si>
  <si>
    <t>416050.05.01</t>
  </si>
  <si>
    <t>Риски хозяйствующих субъектов..: Уч.пос./ В.И.Авдийский-М:Альфа-М:НИЦ ИНФРА-М,2024-368с(Магистр.) (п)</t>
  </si>
  <si>
    <t>РИСКИ ХОЗЯЙСТВУЮЩИХ СУБЪЕКТОВ: ТЕОРЕТИЧЕСКИЕ ОСНОВЫ, МЕТОДОЛОГИИ АНАЛИЗА, ПРОГНОЗИРОВАНИЯ И УПРАВЛЕНИЯ, ИЗД.1</t>
  </si>
  <si>
    <t>Авдийский В. И., Безденежных В. М.</t>
  </si>
  <si>
    <t>978-5-98281-333-6</t>
  </si>
  <si>
    <t>38.03.01, 38.03.02, 38.03.03, 38.04.01, 38.04.02, 38.04.03, 41.03.06</t>
  </si>
  <si>
    <t>689167.07.01</t>
  </si>
  <si>
    <t>Риск-менеджмент - основа устойч. бизнеса: Уч.пос./ А.Н.Ряховская - М.,НИЦ ИНФРА-М,2026 - 256 с.(П)</t>
  </si>
  <si>
    <t>РИСК-МЕНЕДЖМЕНТ - ОСНОВА УСТОЙЧИВОСТИ БИЗНЕСА, ИЗД.1</t>
  </si>
  <si>
    <t>Ряховская А.Н., Крюкова О.Г., Кузнецова М.О.</t>
  </si>
  <si>
    <t>978-5-16-022241-7</t>
  </si>
  <si>
    <t>713207.04.01</t>
  </si>
  <si>
    <t>Риск-менеджмент в строительстве: Моногр. / О.Е.Астафьева. - М.:НИЦ ИНФРА-М,2027. - 183 с.(Науч.мысль)(О)</t>
  </si>
  <si>
    <t>РИСК-МЕНЕДЖМЕНТ В СТРОИТЕЛЬСТВЕ, ИЗД.1</t>
  </si>
  <si>
    <t>Астафьева О.Е., Моисеенко Н.А., Козловский А.В. и др.</t>
  </si>
  <si>
    <t>978-5-16-017320-7</t>
  </si>
  <si>
    <t>08.04.01, 08.06.01, 38.04.02, 38.06.01</t>
  </si>
  <si>
    <t>786991.01.01</t>
  </si>
  <si>
    <t>Рискология: Уч.пос. / А.В.Сигал и др.-М.:НИЦ ИНФРА-М,2024.-463 с.(ВО)(п)</t>
  </si>
  <si>
    <t>РИСКОЛОГИЯ, ИЗД.1</t>
  </si>
  <si>
    <t>Сигал А.В., Бакуменко М.А., Ремесник Е.С.</t>
  </si>
  <si>
    <t>978-5-16-017989-6</t>
  </si>
  <si>
    <t>38.03.01, 38.03.02, 38.03.04, 38.03.05, 38.04.01, 38.04.02, 38.04.05, 38.04.06, 38.05.01</t>
  </si>
  <si>
    <t>189750.07.01</t>
  </si>
  <si>
    <t>Рисунок в Московской архитектурной школе... : Уч.пос. / З.В. Жилкина -М.:КУРС:НИЦ ИНФРА-М,2023-112с.(О)</t>
  </si>
  <si>
    <t>РИСУНОК В МОСКОВСКОЙ АРХИТЕКТУРНОЙ ШКОЛЕ. ИСТОРИЯ. ТЕОРИЯ. ПРАКТИКА, ИЗД.1</t>
  </si>
  <si>
    <t>Жилкина З.В.</t>
  </si>
  <si>
    <t>978-5-905554-18-6</t>
  </si>
  <si>
    <t>07.03.01, 07.04.01, 44.03.01, 50.03.03, 50.04.03, 51.03.02, 54.03.03, 54.04.02</t>
  </si>
  <si>
    <t>Допущено УМО по образованию в области архитектуры Министерства образования и науки РФ в качестве учебного пособия для студентов вузов, обучающихся по направлению "Архитектура"</t>
  </si>
  <si>
    <t>074240.22.01</t>
  </si>
  <si>
    <t>Рисунок: Уч.пос. / В.И.Жабинский - М.:НИЦ ИНФРА-М,2025 - 256 с(СПО)(П)</t>
  </si>
  <si>
    <t>РИСУНОК, ИЗД.1</t>
  </si>
  <si>
    <t>Жабинский В.И., Винтова А.В.</t>
  </si>
  <si>
    <t>978-5-16-002693-0</t>
  </si>
  <si>
    <t>07.02.01, 08.01.28, 29.01.04, 29.01.09, 29.01.33, 43.01.11, 43.02.02, 43.02.04, 53.02.09, 54.01.01, 54.01.05, 54.01.06, 54.01.08, 54.01.12, 54.01.16, 54.01.20, 54.02.01, 54.02.02, 54.02.04, 54.02.05, 54.02.06, 54.02.07, 54.02.08, 55.02.03</t>
  </si>
  <si>
    <t>Допущено Государственным комитетом Российской Федерации по строительству в качестве учебного пособия для студентов средних специальных заведений, обучающихся по специальности 07.02.01 «Архитектура»</t>
  </si>
  <si>
    <t>838284.01.01</t>
  </si>
  <si>
    <t>Риторика в юриспруденции..: Прак. пос. / В.Н.Некрасов - М.:НИЦ ИНФРА-М,2025. - 194 с.(ВО)(п)</t>
  </si>
  <si>
    <t>РИТОРИКА В ЮРИСПРУДЕНЦИИ: ОСОБЕННОСТИ ПУБЛИЧНОГО ВЫСТУПЛЕНИЯ, ИЗД.1</t>
  </si>
  <si>
    <t>978-5-16-020377-5</t>
  </si>
  <si>
    <t>653171.12.01</t>
  </si>
  <si>
    <t>Риторика: Уч. / А.К.Михальская - М.:НИЦ ИНФРА-М,2026 - 480 с.(ВО)(п)</t>
  </si>
  <si>
    <t>РИТОРИКА, ИЗД.1</t>
  </si>
  <si>
    <t>978-5-16-019373-1</t>
  </si>
  <si>
    <t>37.03.01, 38.03.02, 38.03.03, 38.03.04, 40.03.01, 42.03.01, 42.03.02, 42.03.04, 42.03.05, 44.03.01, 44.03.05, 45.03.01, 45.03.02</t>
  </si>
  <si>
    <t>Рекомендовано Учебно-методическим советом ВО в качестве учебника для студентов высших учебных заведений, обучающихся по направлениям подготовки 45.03.01 «Филолгия», 42.03.02 «Журналистика», 38.03.02 «Менеджмент» (квалификация (степень) «бакалавр»)</t>
  </si>
  <si>
    <t>828407.03.01</t>
  </si>
  <si>
    <t>Розыскная раб. подразделений уголов. розыска: Моногр. / Р.В.Глубоковских - М.:НИЦ ИНФРА-М,2026 - 206 с.(п)</t>
  </si>
  <si>
    <t>РОЗЫСКНАЯ РАБОТА ПОДРАЗДЕЛЕНИЙ УГОЛОВНОГО РОЗЫСКА (СИТУАЦИОННЫЙ ПОДХОД), ИЗД.1</t>
  </si>
  <si>
    <t>Глубоковских Р.В.</t>
  </si>
  <si>
    <t>978-5-16-019966-5</t>
  </si>
  <si>
    <t>Санкт-Петербургский университет Министерства внутренних дел  России, Калининградский ф-л</t>
  </si>
  <si>
    <t>236400.06.01</t>
  </si>
  <si>
    <t>Роль гос. программ в развитии моногородов: Моногр. /А.Н.Ряховская-М.:Магистр, НИЦ ИНФРА-М,2024-272 с.(п)</t>
  </si>
  <si>
    <t>РОЛЬ ГОСУДАРСТВЕННЫХ ПРОГРАММ В РАЗВИТИИ МОНОГОРОДОВ, ИЗД.1</t>
  </si>
  <si>
    <t>Ряховская А. Н., Кован С. Е., Крюкова О. Г., Ряховская А. Н.</t>
  </si>
  <si>
    <t>978-5-9776-0289-1</t>
  </si>
  <si>
    <t>473600.04.01</t>
  </si>
  <si>
    <t>Роль и значение идеол. для гос. и права: Моногр./ А.Г.Чернявский, -2 изд.,-М.:НИЦ ИНФРА-М,2023-302 с.(Науч.мысль)(П)</t>
  </si>
  <si>
    <t>РОЛЬ И ЗНАЧЕНИЕ ИДЕОЛОГИИ ДЛЯ ГОСУДАРСТВА И ПРАВА, ИЗД.2</t>
  </si>
  <si>
    <t>978-5-16-015491-6</t>
  </si>
  <si>
    <t>38.03.04, 38.04.04, 40.03.01, 41.03.01, 44.03.05, 46.03.02, 46.04.02</t>
  </si>
  <si>
    <t>473600.02.01</t>
  </si>
  <si>
    <t>Роль и значение идеол.для гос.и права:Моногр./А.Г.Чернявский-М.:НИЦ ИНФРА-М,2018-287с(Науч.мысль)(п)</t>
  </si>
  <si>
    <t>РОЛЬ И ЗНАЧЕНИЕ ИДЕОЛОГИИ ДЛЯ ГОСУДАРСТВА И ПРАВА, ИЗД.1</t>
  </si>
  <si>
    <t>978-5-16-011615-0</t>
  </si>
  <si>
    <t>707434.02.01</t>
  </si>
  <si>
    <t>Роль и место общей полиц. в сис. местного упр...: Моногр. / И.А.Коновалов-М.:НИЦ ИНФРА-М,2022.-311 с.(О)</t>
  </si>
  <si>
    <t>РОЛЬ И МЕСТО ОБЩЕЙ ПОЛИЦИИ В СИСТЕМЕ МЕСТНОГО УПРАВЛЕНИЯ СИБИРИ (XVIII - НАЧАЛО ХХ ВЕКА), ИЗД.1</t>
  </si>
  <si>
    <t>Коновалов И.А.</t>
  </si>
  <si>
    <t>978-5-16-016223-2</t>
  </si>
  <si>
    <t>823421.02.01</t>
  </si>
  <si>
    <t>Роль легистики в нормотворческой работе (заруб. опыт) / Д.А.Пашенцев - М.:НИЦ ИНФРА-М,2025. - 200 с.(п)</t>
  </si>
  <si>
    <t>РОЛЬ ЛЕГИСТИКИ В НОРМОТВОРЧЕСКОЙ РАБОТЕ (ЗАРУБЕЖНЫЙ ОПЫТ), ИЗД.1</t>
  </si>
  <si>
    <t>Пашенцев Д.А., Пилипенко А.Н., Залоило М.В. и др.</t>
  </si>
  <si>
    <t>978-5-16-019735-7</t>
  </si>
  <si>
    <t>668726.03.01</t>
  </si>
  <si>
    <t>Роль моделей в теории познания: Уч.пос. / Н.С.Дуреева-М.:НИЦ ИНФРА-М, СФУ,2023.-192 с.(ВО)(П)</t>
  </si>
  <si>
    <t>РОЛЬ МОДЕЛЕЙ В ТЕОРИИ ПОЗНАНИЯ, ИЗД.1</t>
  </si>
  <si>
    <t>Дуреева Н.С., Галиахметов М.Р.</t>
  </si>
  <si>
    <t>978-5-16-013311-9</t>
  </si>
  <si>
    <t>834828.02.01</t>
  </si>
  <si>
    <t>Роль муниципального контроля в развитиию...: Моногр. / С.В.Нарутто - М.:Юр. НОРМА, НИЦ ИНФРА-М,2026 - 204 с.(п)</t>
  </si>
  <si>
    <t>РОЛЬ МУНИЦИПАЛЬНОГО КОНТРОЛЯ В РАЗВИТИИ КОМФОРТНОЙ ГОРОДСКОЙ СРЕДЫ, ИЗД.1</t>
  </si>
  <si>
    <t>Нарутто С.В., Ряшин М.П.</t>
  </si>
  <si>
    <t>978-5-00156-382-2</t>
  </si>
  <si>
    <t>38.04.04, 38.04.10, 40.03.01, 40.04.01, 40.06.01</t>
  </si>
  <si>
    <t>694972.02.01</t>
  </si>
  <si>
    <t>Роль общественного мнения в «джексоновскую эпоху» в США: Моногр. / Т.В.Алентьева - 2 изд.-М.:НИЦ ИНФРА-М,2023-356с(П)</t>
  </si>
  <si>
    <t>РОЛЬ ОБЩЕСТВЕННОГО МНЕНИЯ В «ДЖЕКСОНОВСКУЮ ЭПОХУ» В США, ИЗД.2</t>
  </si>
  <si>
    <t>978-5-16-014690-4</t>
  </si>
  <si>
    <t>41.04.01, 41.04.04, 41.06.01, 46.04.01, 46.06.01</t>
  </si>
  <si>
    <t>147950.16.01</t>
  </si>
  <si>
    <t>Роль отца в психич. развитии ребенка: Моногр. / О.Г.Калина, - 2 изд. - М.:НИЦ ИНФРА-М,2026.- 112 с.(о)</t>
  </si>
  <si>
    <t>РОЛЬ ОТЦА В ПСИХИЧЕСКОМ РАЗВИТИИ РЕБЕНКА, ИЗД.2</t>
  </si>
  <si>
    <t>Калина О. Г., Холмогорова А. Б.</t>
  </si>
  <si>
    <t>978-5-16-021110-7</t>
  </si>
  <si>
    <t>684336.04.01</t>
  </si>
  <si>
    <t>Роман Г.Д. Гребенщикова «Чураевы»  социокульт.: Моногр./ С.С.Царегородцева-М.:НИЦ ИНФРА-М,2024-127 с.(О)</t>
  </si>
  <si>
    <t>РОМАН Г.Д. ГРЕБЕНЩИКОВА «ЧУРАЕВЫ»  СОЦИОКУЛЬТУРНОМ КОНТЕКСТЕ ЭПОХИ, ИЗД.1</t>
  </si>
  <si>
    <t>Царегородцева С.С.</t>
  </si>
  <si>
    <t>978-5-16-016031-3</t>
  </si>
  <si>
    <t>42.03.02, 45.03.01, 45.04.01</t>
  </si>
  <si>
    <t>632777.09.01</t>
  </si>
  <si>
    <t>Роман Э.Хемингуэя "По ком звонит колокол".: Моногр. / Б.А.Гиленсон - М.:НИЦ ИНФРА-М,2025 - 195 с.(О)</t>
  </si>
  <si>
    <t>РОМАН Э.ХЕМИНГУЭЯ "ПО КОМ ЗВОНИТ КОЛОКОЛ". ИСТОРИЯ И СОВРЕМЕННОСТЬ, ИЗД.1</t>
  </si>
  <si>
    <t>978-5-16-016884-5</t>
  </si>
  <si>
    <t>45.00.00, 41.03.06, 42.03.02, 42.03.03, 42.03.04, 45.03.01, 52.03.04, 52.03.05</t>
  </si>
  <si>
    <t>632777.05.01</t>
  </si>
  <si>
    <t>Роман Э.Хемингуэя "По ком звонит колокол".: Моногр. / Б.А.Гиленсон-М.:НИЦ ИНФРА-М,2021-195с-(П)</t>
  </si>
  <si>
    <t>978-5-16-012026-3</t>
  </si>
  <si>
    <t>652104.05.01</t>
  </si>
  <si>
    <t>Романские языки в Тропической Африке и ..: Моногр. / О.А.Сапрыкина - М.:НИЦ ИНФРА-М,2024 - 106 с.(О)</t>
  </si>
  <si>
    <t>РОМАНСКИЕ ЯЗЫКИ В ТРОПИЧЕСКОЙ АФРИКЕ И ПОСТКОЛОНИАЛЬНЫЙ ХУДОЖЕСТВЕННЫЙ ДИСКУРС, ИЗД.1</t>
  </si>
  <si>
    <t>Сапрыкина О.А., Найденова Н.С.</t>
  </si>
  <si>
    <t>978-5-16-012638-8</t>
  </si>
  <si>
    <t>45.03.03</t>
  </si>
  <si>
    <t>845815.04.01</t>
  </si>
  <si>
    <t>Российская геральдика: Науч.-поп. изд. / А.А.Корников - М.:НИЦ ИНФРА-М,2025. - 196 с.:цв.ил.[16+](п)</t>
  </si>
  <si>
    <t>РОССИЙСКАЯ ГЕРАЛЬДИКА, ИЗД.1</t>
  </si>
  <si>
    <t>Корников А.А.</t>
  </si>
  <si>
    <t>978-5-16-020486-4</t>
  </si>
  <si>
    <t>767186.03.01</t>
  </si>
  <si>
    <t>Российская геральдика: Уч.пос. / А.А.Корников - М.:НИЦ ИНФРА-М,2026. - 212 с. (ВО: Бакалавриат)(п)</t>
  </si>
  <si>
    <t>978-5-16-017419-8</t>
  </si>
  <si>
    <t>46.03.01, 46.03.02, 46.04.01</t>
  </si>
  <si>
    <t>717861.07.01</t>
  </si>
  <si>
    <t>Российская журналистика сегодня...: Моногр. / Под ред. Фотиевой И.В. - М.:НИЦ ИНФРА-М,2026 - 256 с..(О)</t>
  </si>
  <si>
    <t>РОССИЙСКАЯ ЖУРНАЛИСТИКА СЕГОДНЯ: СОЦИАЛЬНАЯ МИССИЯ И ПРОФЕССИОНАЛЬНОЕ МАСТЕРСТВО, ИЗД.1</t>
  </si>
  <si>
    <t>Фотиева И.В., Семилет Т.А., Лукашевич Е.В. и др.</t>
  </si>
  <si>
    <t>978-5-16-015637-8</t>
  </si>
  <si>
    <t>41.00.00, 41.03.06, 42.03.02, 42.03.04, 42.04.02, 42.04.04, 42.04.05</t>
  </si>
  <si>
    <t>433550.05.01</t>
  </si>
  <si>
    <t>Российская социально-эконом. Система реал..: Моногр. / П.В.Савченко,-2изд.-М.:НИЦ ИНФРА-М,2018-460с.</t>
  </si>
  <si>
    <t>РОССИЙСКАЯ СОЦИАЛЬНО-ЭКОНОМИЧЕСКАЯ СИСТЕМА: РЕАЛИИ И ВЕКТОРЫ РАЗВИТИЯ, ИЗД.2</t>
  </si>
  <si>
    <t>Савченко П.В., Гринберг Р.С.</t>
  </si>
  <si>
    <t>978-5-16-011842-0</t>
  </si>
  <si>
    <t>433550.07.01</t>
  </si>
  <si>
    <t>Российская социально-эконом. система: реал..: Моногр. / П.В.Савченко,-3изд.-М.:НИЦ ИНФРА-М,2019-598с.</t>
  </si>
  <si>
    <t>РОССИЙСКАЯ СОЦИАЛЬНО-ЭКОНОМИЧЕСКАЯ СИСТЕМА: РЕАЛИИ И ВЕКТОРЫ РАЗВИТИЯ, ИЗД.3</t>
  </si>
  <si>
    <t>978-5-16-013990-6</t>
  </si>
  <si>
    <t>433550.10.01</t>
  </si>
  <si>
    <t>Российская социально-эконом. система: реал..: Моногр. / П.В.Савченко,-4изд.-М.:НИЦ ИНФРА-М,2024-596с.</t>
  </si>
  <si>
    <t>РОССИЙСКАЯ СОЦИАЛЬНО-ЭКОНОМИЧЕСКАЯ СИСТЕМА: РЕАЛИИ И ВЕКТОРЫ РАЗВИТИЯ, ИЗД.4</t>
  </si>
  <si>
    <t>Гринберг Р.С., Гринберг Р.С., Савченко П.В.</t>
  </si>
  <si>
    <t>978-5-16-016215-7</t>
  </si>
  <si>
    <t>863549.02.01</t>
  </si>
  <si>
    <t>Российская социология: парадигма цивилизац...: Уч. / С.А.Кравченко - М.:НИЦ ИНФРА-М,2026. - 307 с.(ВО)(п)</t>
  </si>
  <si>
    <t>РОССИЙСКАЯ СОЦИОЛОГИЯ: ПАРАДИГМА ЦИВИЛИЗАЦИОННОЙ ИДЕНТИЧНОСТИ, ИЗД.1</t>
  </si>
  <si>
    <t>Кравченко С.А.</t>
  </si>
  <si>
    <t>978-5-16-021360-6</t>
  </si>
  <si>
    <t>657148.05.01</t>
  </si>
  <si>
    <t>Российская экономика за 30 лет-путь от преобр. к разоч.: Моногр. / А.В.Вакурин - М.:НИЦ ИНФРА-М,2022-214с(П)</t>
  </si>
  <si>
    <t>РОССИЙСКАЯ ЭКОНОМИКА ЗА 30 ЛЕТ - ПУТЬ ОТ ПРЕОБРАЗОВАНИЙ К РАЗОЧАРОВАНИЯМ, ИЗД.1</t>
  </si>
  <si>
    <t>Вакурин А.В., Ковнир В.Н.</t>
  </si>
  <si>
    <t>978-5-16-017030-5</t>
  </si>
  <si>
    <t>Московский международный университет</t>
  </si>
  <si>
    <t>657148.03.01</t>
  </si>
  <si>
    <t>Российская экономика за 30 лет–путь от преобр. к разоч.:Моногр./А.В.Вакурин-М.:НИЦ ИНФРА-М,2018-214с</t>
  </si>
  <si>
    <t>РОССИЙСКАЯ ЭКОНОМИКА ЗА 30 ЛЕТ – ПУТЬ ОТ ПРЕОБРАЗОВАНИЙ К РАЗОЧАРОВАНИЯМ, ИЗД.1</t>
  </si>
  <si>
    <t>978-5-16-012867-2</t>
  </si>
  <si>
    <t>451350.05.01</t>
  </si>
  <si>
    <t>Российские нормы взимания НДС в свете заруб...: Моногр./К.К.Семкин - Магистр: ИНФРА-М, 2023-160с. (о)</t>
  </si>
  <si>
    <t>РОССИЙСКИЕ НОРМЫ ВЗИМАНИЯ НДС В СВЕТЕ ЗАРУБЕЖНОГО ЗАКОНОДАТЕЛЬСТВА, ИЗД.1</t>
  </si>
  <si>
    <t>978-5-9776-0290-7</t>
  </si>
  <si>
    <t>38.03.01, 38.03.04, 38.04.04, 38.04.08, 40.03.01, 44.03.01, 44.03.05</t>
  </si>
  <si>
    <t>252000.12.01</t>
  </si>
  <si>
    <t>Российские судьи: соц. исслед. профессии: Моногр. / В.В.Волков - М.:Юр.Норма, НИЦ ИНФРА-М,2026-272с(О)</t>
  </si>
  <si>
    <t>РОССИЙСКИЕ СУДЬИ: СОЦИОЛОГИЧЕСКОЕ ИССЛЕДОВАНИЕ ПРОФЕССИИ, ИЗД.1</t>
  </si>
  <si>
    <t>Волков В.В., Дмитриева А., Титаев К.Д.</t>
  </si>
  <si>
    <t>978-5-91768-721-6</t>
  </si>
  <si>
    <t>39.03.01, 40.03.01, 40.04.01, 40.05.02</t>
  </si>
  <si>
    <t>404600.13.01</t>
  </si>
  <si>
    <t>Российский железнодорож.комплекс...: Моногр. /Ю.А.Харламова -М.:НИЦ ИНФРА-М,2024-182с(Науч.мысль)(О)</t>
  </si>
  <si>
    <t>РОССИЙСКИЙ ЖЕЛЕЗНОДОРОЖНЫЙ КОМПЛЕКС: ПОЛИТИЧЕСКИЙ АНАЛИЗ, ИЗД.1</t>
  </si>
  <si>
    <t>978-5-16-005799-6</t>
  </si>
  <si>
    <t>23.03.02, 23.05.04, 40.03.01, 41.03.02, 41.03.04, 41.04.04, 44.03.01, 44.03.05, 46.03.01, 46.04.01</t>
  </si>
  <si>
    <t>837256.01.01</t>
  </si>
  <si>
    <t>Российский метаэтнич. менталитет в аспекте...: Моногр. / А.А.Лагунов - М.:НИЦ ИНФРА-М,2025 -189 с.(п)</t>
  </si>
  <si>
    <t>РОССИЙСКИЙ МЕТАЭТНИЧЕСКИЙ МЕНТАЛИТЕТ В АСПЕКТЕ ФИЛОСОФСКОГО ПЕРСОНАЛИЗМА, ИЗД.1</t>
  </si>
  <si>
    <t>Лагунов А.А., Ющенко В.Н.</t>
  </si>
  <si>
    <t>978-5-16-020219-8</t>
  </si>
  <si>
    <t>41.04.02, 41.06.01, 46.06.01, 47.06.01</t>
  </si>
  <si>
    <t>673958.04.01</t>
  </si>
  <si>
    <t>Российский опыт взаимодействия усилий гос...: Моногр. / Н.К.Мартыненко — М. : ИНФРА-М, 2019.-320с(П)</t>
  </si>
  <si>
    <t>РОССИЙСКИЙ ОПЫТ ВЗАИМОДЕЙСТВИЯ УСИЛИЙ ГОСУДАРСТВА И ОБЩЕСТВА В УПРЕЖДЕНИИ СОЦИАЛЬНЫХ ДЕВИАЦИЙ (КОНЕЦ XIX - НАЧАЛО XX ВЕКА), ИЗД.1</t>
  </si>
  <si>
    <t>Мартыненко Н.К.</t>
  </si>
  <si>
    <t>978-5-16-013755-1</t>
  </si>
  <si>
    <t>633836.04.01</t>
  </si>
  <si>
    <t>Российский политический консалтинг..: Моногр. / Л.В.Федорченко-М.:НИЦ ИНФРА-М,2022-166с.(Науч.мысль) (П)</t>
  </si>
  <si>
    <t>РОССИЙСКИЙ ПОЛИТИЧЕСКИЙ КОНСАЛТИНГ: КОНСЬЮМЕРИЗАЦИЯ И ТЕХНОЛОГИИ, ИЗД.1</t>
  </si>
  <si>
    <t>Федорченко Л.В., Федорченко С.Н.</t>
  </si>
  <si>
    <t>978-5-16-012082-9</t>
  </si>
  <si>
    <t>41.00.00, 41.03.04</t>
  </si>
  <si>
    <t>638290.10.01</t>
  </si>
  <si>
    <t>Российский следователь: призвание, проф...: Моногр. / К.Д.Титаев - М.:Юр. НОРМА, НИЦ ИНФРА-М,2026. - 192 с.(о)</t>
  </si>
  <si>
    <t>РОССИЙСКИЙ СЛЕДОВАТЕЛЬ: ПРИЗВАНИЕ, ПРОФЕССИЯ, ПОВСЕДНЕВНОСТЬ, ИЗД.1</t>
  </si>
  <si>
    <t>Титаев К.Д., Шклярук М.С.</t>
  </si>
  <si>
    <t>978-5-91768-847-3</t>
  </si>
  <si>
    <t>638290.01.01</t>
  </si>
  <si>
    <t>Российский следователь: призвание, проф..:Моногр. / К.Д.Титаев-М.:Юр.Норма, НИЦ ИНФРА-М,2016-192с(П)</t>
  </si>
  <si>
    <t>978-5-91768-759-9</t>
  </si>
  <si>
    <t>835309.01.01</t>
  </si>
  <si>
    <t>Российское мировоззрение и ценности рос. цивилизации: Уч.пос./Е.Е.Несмеянов -М.:ИЦ РИОР, НИЦ ИНФРА-М,2025-184 с.(п)</t>
  </si>
  <si>
    <t>РОССИЙСКОЕ МИРОВОЗЗРЕНИЕ И ЦЕННОСТИ РОССИЙСКОЙ ЦИВИЛИЗАЦИИ, ИЗД.1</t>
  </si>
  <si>
    <t>Несмеянов Е.Е., Сорокин Г.В., Петрова Ю.А. и др.</t>
  </si>
  <si>
    <t>978-5-369-01963-4</t>
  </si>
  <si>
    <t>653231.10.01</t>
  </si>
  <si>
    <t>Россия - Запад: цивилизационная война: Моногр. / В.Э.Багдасарян - М.:НИЦ ИНФРА-М,2027. - 410 с.(п)</t>
  </si>
  <si>
    <t>РОССИЯ - ЗАПАД: ЦИВИЛИЗАЦИОННАЯ ВОЙНА, ИЗД.1</t>
  </si>
  <si>
    <t>978-5-16-022462-6</t>
  </si>
  <si>
    <t>751025.01.01</t>
  </si>
  <si>
    <t>Россия в глобальной политике: Уч. / Н.Р.Балынская.-М.:НИЦ ИНФРА-М,2023.-254 с..-(ВО: Бакалавр.)(П)</t>
  </si>
  <si>
    <t>РОССИЯ В ГЛОБАЛЬНОЙ ПОЛИТИКЕ, ИЗД.1</t>
  </si>
  <si>
    <t>Балынская Н.Р., Гафурова В.М., Зиновьева Е.Г. и др.</t>
  </si>
  <si>
    <t>978-5-16-017026-8</t>
  </si>
  <si>
    <t>38.05.01, 39.03.01, 41.03.01, 41.03.04, 41.03.05, 41.03.06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</si>
  <si>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социальным и политическим направлениям подготовки (квалификация (степень) «бакалавр») (протокол № 9 от 17.11.2022)</t>
  </si>
  <si>
    <t>Южно-Уральский государственный институт искусств имени П.И. Чайковского</t>
  </si>
  <si>
    <t>317400.06.01</t>
  </si>
  <si>
    <t>Россия в Евразийском эконом.союзе и Всем..:Моногр./А.А.Каширкина-НИЦ ИНФРА-М,ИЗиСП,2019-295(ИЗиСП)</t>
  </si>
  <si>
    <t>РОССИЯ, ЕВРАЗИЙСКИЙ ЭКОНОМИЧЕСКИЙ СОЮЗ И ВСЕМИРНАЯ ТОРГОВАЯ ОРГАНИЗАЦИЯ, ИЗД.1</t>
  </si>
  <si>
    <t>Каширкина А.А., Морозов А.Н.</t>
  </si>
  <si>
    <t>978-5-16-010392-1</t>
  </si>
  <si>
    <t>370700.05.01</t>
  </si>
  <si>
    <t>Россия в кризисе и современ. налогооблож.: Моногр. /В.А.Кашин -М.:Магистр, НИЦ ИНФРА-М,2018-368с(О)</t>
  </si>
  <si>
    <t>РОССИЯ В КРИЗИСЕ И СОВРЕМЕННОЕ НАЛОГООБЛОЖЕНИЕ: ПРОБЛЕМЫ, ТЕНДЕНЦИИ, ПЕРСПЕКТИВЫ, ИЗД.1</t>
  </si>
  <si>
    <t>Кашин В.А., Пономарева Н.В.</t>
  </si>
  <si>
    <t>978-5-9776-0383-6</t>
  </si>
  <si>
    <t>800188.01.01</t>
  </si>
  <si>
    <t>Россия в мировой финансовой архитектуре: Моногр/ / П.В.Алексеев.-М.:НИЦ ИНФРА-М,2023.-203 с.(п)</t>
  </si>
  <si>
    <t>РОССИЯ В МИРОВОЙ ФИНАНСОВОЙ АРХИТЕКТУРЕ, ИЗД.1</t>
  </si>
  <si>
    <t>Алексеев П.В., Антропов В.В., Аршакуни А.А. и др.</t>
  </si>
  <si>
    <t>978-5-16-018355-8</t>
  </si>
  <si>
    <t>38.04.01, 38.04.08, 38.05.01, 38.06.01, 38.07.02</t>
  </si>
  <si>
    <t>321300.04.01</t>
  </si>
  <si>
    <t>Россия и Европа: взгляд на культур. и полит..: Моногр. / Н.Я.Данилевский - М: НИЦ ИНФРА-М, 2027 - 431с.(П)</t>
  </si>
  <si>
    <t>РОССИЯ И ЕВРОПА: ВЗГЛЯД НА КУЛЬТУРНЫЕ И ПОЛИТИЧЕСКИЕ ОТНОШЕНИЯ СЛАВЯНСКОГО МИРА К ГЕРМАНО-РОМАНСКОМУ, ИЗД.1</t>
  </si>
  <si>
    <t>Данилевский Н.Я.</t>
  </si>
  <si>
    <t>978-5-16-010447-8</t>
  </si>
  <si>
    <t>745138.06.01</t>
  </si>
  <si>
    <t>Россия и мир в Первой мировой войне...: Моногр. / С.А.Агуреев - М.:НИЦ ИНФРА-М,2027 - 331 с.(Науч.мысль)(О)</t>
  </si>
  <si>
    <t>РОССИЯ И МИР В ПЕРВОЙ МИРОВОЙ ВОЙНЕ: ДИПЛОМАТИЯ, ВОЙНА НА ЗАПАДНОМ ФРОНТЕ, КУЛЬТУРА И МОДЕРНИЗАЦИЯ ВОЕННОЙ ТЕХНИКИ, ИЗД.1</t>
  </si>
  <si>
    <t>Агуреев С.А., Болтаевский А.А., Прядко И.П.</t>
  </si>
  <si>
    <t>978-5-16-016592-9</t>
  </si>
  <si>
    <t>716649.01.01</t>
  </si>
  <si>
    <t>Россия. XXI век: Энц.: В 2 т.Т.2 / Гл. ред. В.И.Данилов-Данильян - М.:Энциклопедия,2019 - 528 с.(П)</t>
  </si>
  <si>
    <t>РОССИЯ. XXI ВЕК, Т.2</t>
  </si>
  <si>
    <t>Данилов-Данильян В.И.</t>
  </si>
  <si>
    <t>978-5-94802-117-1</t>
  </si>
  <si>
    <t>112700.10.01</t>
  </si>
  <si>
    <t>Россия: особенности институцион. разв.: Моногр. / Р.М.Нуреев - М.:Юр.Норма, НИЦ ИНФРА-М,2025. - 448 с.(П)</t>
  </si>
  <si>
    <t>РОССИЯ: ОСОБЕННОСТИ ИНСТИТУЦИОНАЛЬНОГО РАЗВИТИЯ, ИЗД.1</t>
  </si>
  <si>
    <t>978-5-91768-019-4</t>
  </si>
  <si>
    <t>486350.09.01</t>
  </si>
  <si>
    <t>Руководство по микробиол.и иммунол.: Уч.пос. /Н.М.Колычев - М.:НИЦ ИНФРА-М,2027 - 230 с.(ВО)(О)</t>
  </si>
  <si>
    <t>РУКОВОДСТВО ПО МИКРОБИОЛОГИИ И ИММУНОЛОГИИ, ИЗД.2</t>
  </si>
  <si>
    <t>Белов Л.Г., Госманов Р.Г., Кисленко В.Н. и др.</t>
  </si>
  <si>
    <t>978-5-16-010624-3</t>
  </si>
  <si>
    <t>06.03.01, 34.03.01, 35.03.04, 35.03.08, 36.03.01, 36.03.02, 38.03.07, 44.03.05</t>
  </si>
  <si>
    <t>Допущено Министерством сельского хозяйства в качестве учебного пособия для студентов высших учебных заведений, обучающихся по специальностям «Ветеринария», «Ветеринарно-санитарная экспертиза»</t>
  </si>
  <si>
    <t>814120.02.01</t>
  </si>
  <si>
    <t>Руководство по следственной тактике: Моногр. / Е.Е.Центров - М.:Юр. НОРМА, НИЦ ИНФРА-М,2026. - 576 с.(п)</t>
  </si>
  <si>
    <t>РУКОВОДСТВО ПО СЛЕДСТВЕННОЙ ТАКТИКЕ, ИЗД.1</t>
  </si>
  <si>
    <t>Центров Е.Е.</t>
  </si>
  <si>
    <t>978-5-00156-331-0</t>
  </si>
  <si>
    <t>10.05.04, 38.04.01, 38.05.01, 40.02.02, 40.03.01, 40.04.01, 40.05.01, 40.05.02, 40.05.03, 40.05.04</t>
  </si>
  <si>
    <t>233200.17.01</t>
  </si>
  <si>
    <t>Руководство по суд. медицине: Практ.пос. / Под ред. Буромского И.В. - М.:Юр.Норма,НИЦ ИНФРА-М,2027 - 656 с.(п)</t>
  </si>
  <si>
    <t>РУКОВОДСТВО ПО СУДЕБНОЙ МЕДИЦИНЕ, ИЗД.1</t>
  </si>
  <si>
    <t>Крюков В.Н., Буромский И.В., Ардашкин А.П. и др.</t>
  </si>
  <si>
    <t>978-5-91768-420-8</t>
  </si>
  <si>
    <t>31.05.01, 40.02.02, 40.02.04, 40.03.01, 40.04.01, 40.05.01, 40.05.02, 40.05.03, 40.05.04</t>
  </si>
  <si>
    <t>Рекомендовано Учебно-методической комиссией по судебной медицине Учебно-методического объединения по медицинскому и фармацевтическому образованию вузов России в качестве учебного пособия по специальности 14.03.05 «Судебно-медицинская экспертиза»</t>
  </si>
  <si>
    <t>733507.05.01</t>
  </si>
  <si>
    <t>Рукопашный бой в условиях огранич. пространства: Уч.пос. / А.А.Тарасенко - М.:НИЦ ИНФРА-М,2026 - 178 с.(П)</t>
  </si>
  <si>
    <t>РУКОПАШНЫЙ БОЙ В УСЛОВИЯХ ОГРАНИЧЕННОГО ПРОСТРАНСТВА, ИЗД.1</t>
  </si>
  <si>
    <t>Тарасенко А.А., Войнов П.Н.</t>
  </si>
  <si>
    <t>978-5-16-016203-4</t>
  </si>
  <si>
    <t>00.01.05, 00.02.14, 40.02.02, 40.03.01, 40.05.01, 40.05.02</t>
  </si>
  <si>
    <t>371700.07.01</t>
  </si>
  <si>
    <t>Русловые процессы (русловедение): Уч. / Р.С.Чалов - М.:НИЦ ИНФРА-М,2023 - 569 с.()(П)</t>
  </si>
  <si>
    <t>РУСЛОВЫЕ ПРОЦЕССЫ (РУСЛОВЕДЕНИЕ), ИЗД.1</t>
  </si>
  <si>
    <t>Чалов Р.С.</t>
  </si>
  <si>
    <t>978-5-16-011036-3</t>
  </si>
  <si>
    <t>05.03.02, 05.03.04, 05.04.02, 05.04.04</t>
  </si>
  <si>
    <t>Допущено Учебно-методическим объединением по классическому университетскому образованию РФ в качестве учебника для студентов высших учебных заведений, обучающихся по направлениям 05.03.04, 05.04.04 "Гидрометеорология» и 05.03.02, 05.04.02 «География»</t>
  </si>
  <si>
    <t>742683.04.01</t>
  </si>
  <si>
    <t>Русофобия: история одной химеры: Моногр. / П.Л.Карабущенко - М.:НИЦ ИНФРА-М,2025. - 327 с.(Науч.мысль)(О)</t>
  </si>
  <si>
    <t>РУСОФОБИЯ: ИСТОРИЯ ОДНОЙ ХИМЕРЫ, ИЗД.1</t>
  </si>
  <si>
    <t>978-5-16-016637-7</t>
  </si>
  <si>
    <t>41.00.00, 41.03.06, 41.04.04, 41.04.05, 41.06.01</t>
  </si>
  <si>
    <t>157500.16.01</t>
  </si>
  <si>
    <t>Русская и зарубежная литература: Уч. / Под ред. Сигова В.К. - М.:НИЦ ИНФРА-М,2026 - 512 с.(СПО)(п)</t>
  </si>
  <si>
    <t>РУССКАЯ И ЗАРУБЕЖНАЯ ЛИТЕРАТУРА, ИЗД.1</t>
  </si>
  <si>
    <t>Сигов В.К.</t>
  </si>
  <si>
    <t>978-5-16-010582-6</t>
  </si>
  <si>
    <t>00.02.09, 51.02.03</t>
  </si>
  <si>
    <t>450150.10.01</t>
  </si>
  <si>
    <t>Русская классика в мировом литерат. процессе...: Уч. пос. / Б.А.Гиленсон - М.:Вуз. уч.:ИНФРА-М,2026 - 395 с.(о)</t>
  </si>
  <si>
    <t>РУССКАЯ КЛАССИКА В МИРОВОМ ЛИТЕРАТУРНОМ ПРОЦЕССЕ: ХIX - НАЧАЛО ХХ ВЕКОВ, ИЗД.1</t>
  </si>
  <si>
    <t>Гиленсон Б. А.</t>
  </si>
  <si>
    <t>978-5-9558-0333-3</t>
  </si>
  <si>
    <t>41.03.06, 42.03.02, 42.03.03, 42.04.02, 45.03.01, 45.04.02, 50.04.01, 50.04.03, 51.04.01</t>
  </si>
  <si>
    <t>668758.06.01</t>
  </si>
  <si>
    <t>Русская литератур. критика на рубеже ХХ-ХХI в.: Моногр. /  Ю.А.Говорухина - М.:НИЦ ИНФРА-М, СФУ,2025. - 358 с(П)</t>
  </si>
  <si>
    <t>РУССКАЯ ЛИТЕРАТУРНАЯ КРИТИКА НА РУБЕЖЕ ХХ-ХХI ВЕКОВ, ИЗД.1</t>
  </si>
  <si>
    <t>Говорухина Ю.А.</t>
  </si>
  <si>
    <t>978-5-16-016578-3</t>
  </si>
  <si>
    <t>849500.01.01</t>
  </si>
  <si>
    <t>Русская литература и Марсель Пруст: влияния..: Моногр. / А.Н.Таганов - М.:НИЦ ИНФРА-М,2025. - 398 с.(п)</t>
  </si>
  <si>
    <t>РУССКАЯ ЛИТЕРАТУРА И МАРСЕЛЬ ПРУСТ: ВЛИЯНИЯ, РЕЦЕПЦИЯ, ТИПОЛОГИЯ, ИЗД.1</t>
  </si>
  <si>
    <t>978-5-16-020704-9</t>
  </si>
  <si>
    <t>, 45.04.01, 45.06.01</t>
  </si>
  <si>
    <t>667639.09.01</t>
  </si>
  <si>
    <t>Русская музыка с древ.времен до сер.XX в.: Моногр. / В.П.Лозинская - М.:НИЦ ИНФРА-М, СФУ,2026 - 136 с.(О)</t>
  </si>
  <si>
    <t>РУССКАЯ МУЗЫКА С ДРЕВНЕЙШИХ ВРЕМЕН ДО СЕРЕДИНЫ XX ВЕКА, ИЗД.1</t>
  </si>
  <si>
    <t>Лозинская В.П.</t>
  </si>
  <si>
    <t>978-5-16-016220-1</t>
  </si>
  <si>
    <t>44.03.01, 53.04.01, 53.04.02, 53.04.03, 53.04.04, 53.04.06, 53.05.05</t>
  </si>
  <si>
    <t>420200.08.01</t>
  </si>
  <si>
    <t>Русская Православ. церковь в России в конце ХХ в.: Моногр. / Л.А.Королева - М.:НИЦ ИНФРА-М,2026 - 223 с(О)</t>
  </si>
  <si>
    <t>РУССКАЯ ПРАВОСЛАВНАЯ ЦЕРКОВЬ В РОССИИ В КОНЦЕ ХХ ВЕКА, ИЗД.1</t>
  </si>
  <si>
    <t>Королева Л.А., Королев А.А., Мельниченко О.В.</t>
  </si>
  <si>
    <t>978-5-16-006023-1</t>
  </si>
  <si>
    <t>44.03.01, 44.03.05, 46.03.01, 46.04.01, 47.03.03, 47.04.03</t>
  </si>
  <si>
    <t>862070.01.01</t>
  </si>
  <si>
    <t>Русская речь в ХХI в. Языковая сис...: Моногр. / В.Н.Шапошников - М.:НИЦ ИНФРА-М,2026. - 290 с.(п)</t>
  </si>
  <si>
    <t>РУССКАЯ РЕЧЬ В ХХI ВЕКЕ. ЯЗЫКОВАЯ СИСТЕМА В СИНХРОНИИ ФОРМ, ИЗД.1</t>
  </si>
  <si>
    <t>Шапошников В.Н.</t>
  </si>
  <si>
    <t>978-5-16-021278-4</t>
  </si>
  <si>
    <t>45.03.01, 45.03.02, 45.03.03, 45.04.01, 45.04.02, 45.06.01</t>
  </si>
  <si>
    <t>333500.04.01</t>
  </si>
  <si>
    <t>Русская социология: Уч.пос. / В.В.Афанасьев - М.:НИЦ ИНФРА-М,2025 - 199 с.(ВО: Бакалавр.)(о)</t>
  </si>
  <si>
    <t>РУССКАЯ СОЦИОЛОГИЯ, ИЗД.1</t>
  </si>
  <si>
    <t>978-5-16-010645-8</t>
  </si>
  <si>
    <t>304300.05.01</t>
  </si>
  <si>
    <t>Русская социология: Уч.пос. /В.В.Афанасьев - М.:НИЦ ИНФРА-М,2024. - 159 с.(ВО:Бакалавр.)(о)</t>
  </si>
  <si>
    <t>В.В.Афанасьев</t>
  </si>
  <si>
    <t>978-5-16-010236-8</t>
  </si>
  <si>
    <t>295900.11.01</t>
  </si>
  <si>
    <t>Русская цивилизация и фольклор. Мир сказки: Моногр. / А.А.Гагаев - М.:ИЦ РИОР,НИЦ ИНФРА-М,2026-202с(О)</t>
  </si>
  <si>
    <t>РУССКАЯ ЦИВИЛИЗАЦИЯ И ФОЛЬКЛОР. МИР СКАЗКИ, ИЗД.1</t>
  </si>
  <si>
    <t>978-5-369-01340-3</t>
  </si>
  <si>
    <t>45.03.01, 45.04.01, 46.03.01, 46.04.01</t>
  </si>
  <si>
    <t>638756.02.01</t>
  </si>
  <si>
    <t>Русский мир и северокавказ.зарубеж.в ХХ-нач. XXIв.:Моногр. / В.Ф.Ершов-М.:НИЦ ИНФРА-М,2017-420с.(П)</t>
  </si>
  <si>
    <t>РУССКИЙ МИР И СЕВЕРОКАВКАЗСКОЕ ЗАРУБЕЖЬЕ В ХХ - НАЧАЛЕ XXI ВЕКА, ИЗД.1</t>
  </si>
  <si>
    <t>Ершов В.Ф.</t>
  </si>
  <si>
    <t>978-5-16-012237-3</t>
  </si>
  <si>
    <t>46.00.00, 44.03.01, 44.03.05, 46.03.01, 46.04.01</t>
  </si>
  <si>
    <t>796337.01.01</t>
  </si>
  <si>
    <t>Русский символизм как философия личности: Моногр. / Д.Д.Романов-М.:НИЦ ИНФРА-М,2023.-252 с.(П)</t>
  </si>
  <si>
    <t>РУССКИЙ СИМВОЛИЗМ КАК ФИЛОСОФИЯ ЛИЧНОСТИ. КОНЦЕПТУАЛЬНЫЙ АНАЛИЗ СОЦИАЛЬНОЙ ЭСТЕТИКИ, ИЗД.1</t>
  </si>
  <si>
    <t>Романов Д.Д.</t>
  </si>
  <si>
    <t>978-5-16-018161-5</t>
  </si>
  <si>
    <t>720049.01.01</t>
  </si>
  <si>
    <t>Русский яз. и культура речи для сотруд. полиции: Уч.пос. / Ю.А.Воронцова-М.:НИЦ ИНФРА-М,2024-225 с.(СПО)(п)</t>
  </si>
  <si>
    <t>РУССКИЙ ЯЗЫК И КУЛЬТУРА РЕЧИ ДЛЯ СОТРУДНИКОВ ПОЛИЦИИ, ИЗД.1</t>
  </si>
  <si>
    <t>Воронцова Ю.А., Хорошко Е.Ю.</t>
  </si>
  <si>
    <t>978-5-16-019800-2</t>
  </si>
  <si>
    <t>845810.04.01</t>
  </si>
  <si>
    <t>Русский язык в деловой документации / М.В.Марьева - М.:НИЦ ИНФРА-М,2026 - 323 с.(Интересно знать) (п)</t>
  </si>
  <si>
    <t>РУССКИЙ ЯЗЫК В ДЕЛОВОЙ ДОКУМЕНТАЦИИ, ИЗД.1</t>
  </si>
  <si>
    <t>Марьева М.В.</t>
  </si>
  <si>
    <t>978-5-16-020483-3</t>
  </si>
  <si>
    <t>00.02.34, 31.02.01, 40.02.02, 40.02.04, 46.02.01</t>
  </si>
  <si>
    <t>874066.01.01</t>
  </si>
  <si>
    <t>Русский язык в деловой документации: Практ.: Уч.пос. / М.В.Марьева - М.:НИЦ ИНФРА-М,2026 - 224 с.(СПО)(п)</t>
  </si>
  <si>
    <t>РУССКИЙ ЯЗЫК В ДЕЛОВОЙ ДОКУМЕНТАЦИИ: ПРАКТИКУМ, ИЗД.1</t>
  </si>
  <si>
    <t>978-5-16-021922-6</t>
  </si>
  <si>
    <t>08.02.03, 11.02.12, 19.02.10, 19.02.12, 21.02.19, 22.02.08, 24.02.02, 27.02.04, 29.02.10, 35.02.14, 35.02.15, 39.02.02, 40.02.02, 43.01.11, 46.02.01, 46.02.02, 49.02.01, 49.02.02, 51.02.03</t>
  </si>
  <si>
    <t>827077.01.01</t>
  </si>
  <si>
    <t>Русский язык в деловой документации: практикум: Уч.пос. / М.В.Марьева - М.:НИЦ ИНФРА-М,2025. - 224 с.(ВО)(п)</t>
  </si>
  <si>
    <t>978-5-16-020130-6</t>
  </si>
  <si>
    <t>00.03.09, 00.05.09, 38.03.01, 38.03.02, 38.03.03, 38.03.04, 38.04.02, 40.05.01, 40.05.02, 40.05.03, 40.05.04</t>
  </si>
  <si>
    <t>473700.10.01</t>
  </si>
  <si>
    <t>Русский язык в деловой документации: Уч. / М.В.Марьева - М.:НИЦ ИНФРА-М,2026 - 323 с.(ВО:.)(П)</t>
  </si>
  <si>
    <t>978-5-16-021688-1</t>
  </si>
  <si>
    <t>38.05.02, 40.03.01, 40.05.02</t>
  </si>
  <si>
    <t>Рекомендовано в качестве учебника для студентов высших учебных заведений, обучающихся по направлениям подготовки 38.05.02 «Таможенное дело» (квалификация «специалист таможенного дела»), 40.03.01 «Юриспруденция» (квалификация (степень) «бакалавр»), 40.05.02 «Правоохранительная деятельность» (квалификация «юрист»)</t>
  </si>
  <si>
    <t>683405.09.01</t>
  </si>
  <si>
    <t>Русский язык в деловой документации: Уч. / М.В.Марьева - М.:НИЦ ИНФРА-М,2026 - 323 с.(СПО)(П)</t>
  </si>
  <si>
    <t>978-5-16-014047-6</t>
  </si>
  <si>
    <t>00.02.34, 31.02.01, 40.02.02, 40.02.04, 44.02.01, 44.02.02, 44.02.03, 44.02.04, 44.02.05, 44.02.06, 46.02.01, 46.02.02, 49.02.02, 51.02.03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</si>
  <si>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t>
  </si>
  <si>
    <t>745706.06.01</t>
  </si>
  <si>
    <t>Русский язык в деловой документации: Уч. / М.В.Марьева - М.:НИЦ ИНФРА-М,2027 - 323 с.-(ВО: Спец.)(П)</t>
  </si>
  <si>
    <t>978-5-16-016549-3</t>
  </si>
  <si>
    <t>38.05.01, 38.05.02, 40.05.01, 40.05.02, 40.05.03, 40.05.04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</si>
  <si>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40.05.00 «Юриспруденция», 38.05.00 «Экономика и управление»  (протокол № 8 от 22.06.2020)</t>
  </si>
  <si>
    <t>673693.05.01</t>
  </si>
  <si>
    <t>Русский язык и культура речи с основами стилистики: Уч.пос. / И.В.Волосков - М.:НИЦ ИНФРА-М,2026 - 56 с.(О)</t>
  </si>
  <si>
    <t>РУССКИЙ ЯЗЫК И КУЛЬТУРА РЕЧИ С ОСНОВАМИ СТИЛИСТИКИ, ИЗД.1</t>
  </si>
  <si>
    <t>978-5-16-019109-6</t>
  </si>
  <si>
    <t>Рекомендовано Учебно-методическим советом ВО в качестве учебного пособия для студентов высших учебных заведений, обучающихся по всем направлениям подготовки бакалавриата</t>
  </si>
  <si>
    <t>685716.01.01</t>
  </si>
  <si>
    <t>Русский язык и культура речи. Практикум: Уч.пос. / Л.Я.Ковадло-М.:НИЦ ИНФРА-М,2023.-630 с.(СПО)(П)</t>
  </si>
  <si>
    <t>РУССКИЙ ЯЗЫК И КУЛЬТУРА РЕЧИ. ПРАКТИКУМ, ИЗД.1</t>
  </si>
  <si>
    <t>Ковадло Л.Я.</t>
  </si>
  <si>
    <t>978-5-16-015036-9</t>
  </si>
  <si>
    <t>00.02.09, 00.02.34, 44.02.01, 44.02.02, 44.02.03, 44.02.04, 44.02.05, 44.02.06, 46.02.01, 46.02.02, 49.02.02, 51.02.03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</si>
  <si>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программу среднего профессионального образования (протокол № 6 от 08.06.2022)</t>
  </si>
  <si>
    <t>654515.02.01</t>
  </si>
  <si>
    <t>Русский язык и культура речи. Теория: Уч. / Л.Я.Ковадло-М.:НИЦ ИНФРА-М,2023.- 823 с.(СПО)(П)</t>
  </si>
  <si>
    <t>РУССКИЙ ЯЗЫК И КУЛЬТУРА РЕЧИ. ТЕОРИЯ, ИЗД.1</t>
  </si>
  <si>
    <t>978-5-16-014980-6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</si>
  <si>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основную профессиональную программу среднего профессионального образования (протокол № 6 от 08.06.2022)</t>
  </si>
  <si>
    <t>719923.02.01</t>
  </si>
  <si>
    <t>Русский язык и культура речи: ист...: Уч.пос. / Б.Р.Мандель - М.:Вуз.уч.,НИЦ ИНФРА-М,2023-267 с.(П)</t>
  </si>
  <si>
    <t>РУССКИЙ ЯЗЫК И КУЛЬТУРА РЕЧИ: ИСТОРИЯ, ТЕОРИЯ, ПРАКТИКА, ИЗД.1</t>
  </si>
  <si>
    <t>978-5-9558-0646-4</t>
  </si>
  <si>
    <t>00.02.09, 00.02.34, 44.02.01, 46.02.01, 46.02.02, 51.02.03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</si>
  <si>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гуманитарным специальностям (протокол № 12 от 24.06.2019)</t>
  </si>
  <si>
    <t>100050.13.01</t>
  </si>
  <si>
    <t>Русский язык и культура речи: история...: Уч. пос. / Б.Р.Мандель - М.: Вуз. уч., 2027 - 267 с.(п)</t>
  </si>
  <si>
    <t>978-5-9558-0079-0</t>
  </si>
  <si>
    <t>169750.10.01</t>
  </si>
  <si>
    <t>Русский язык и культура речи: Практ. / Т.В. Губернская. - М.: Форум, 2025 - 256 с. (о)</t>
  </si>
  <si>
    <t>РУССКИЙ ЯЗЫК И КУЛЬТУРА РЕЧИ, ИЗД.1</t>
  </si>
  <si>
    <t>Губернская Т. В.</t>
  </si>
  <si>
    <t>978-5-91134-598-3</t>
  </si>
  <si>
    <t>066400.20.01</t>
  </si>
  <si>
    <t>Русский язык и культура речи: Уч. / Н.В.Кузнецова, - 3 изд. - М.:НИЦ ИНФРА-М,2025 - 368 с.(СПО)(п)</t>
  </si>
  <si>
    <t>РУССКИЙ ЯЗЫК И КУЛЬТУРА РЕЧИ, ИЗД.3</t>
  </si>
  <si>
    <t>Кузнецова Н.В.</t>
  </si>
  <si>
    <t>978-5-16-016335-2</t>
  </si>
  <si>
    <t>00.02.34, 44.02.01, 44.02.02, 44.02.03, 44.02.04, 44.02.05, 44.02.06, 46.02.01, 46.02.02, 49.02.02, 51.02.03</t>
  </si>
  <si>
    <t>Допущено Министерством образования Российской Федерации в качестве учебника для студентов учреждений среднего профессионального образования</t>
  </si>
  <si>
    <t>034270.27.01</t>
  </si>
  <si>
    <t>Русский язык и культура речи: Уч. / Под ред. Гойхмана О.Я. - 2 изд. - М.:НИЦ ИНФРА-М,2025 - 240 с.(ВО)</t>
  </si>
  <si>
    <t>РУССКИЙ ЯЗЫК И КУЛЬТУРА РЕЧИ, ИЗД.2</t>
  </si>
  <si>
    <t>Гойхман О.Я., Гончарова Л.М., Лапшина О.Н. и др.</t>
  </si>
  <si>
    <t>978-5-16-020673-8</t>
  </si>
  <si>
    <t>00.03.09, 00.05.09, 43.03.01, 43.03.02, 43.03.03</t>
  </si>
  <si>
    <t>Рекомендовано Учебно-методическим объединением учебных заведений Российской Федерации по образованию в области сервиса в качестве учебника для студентов высших учебных заведений, обучающихся по сервисным специальностям 43.00.00 «Сервис и туризм»</t>
  </si>
  <si>
    <t>719359.07.01</t>
  </si>
  <si>
    <t>Русский язык и культура речи: Уч. / Под ред. Гойхмана О.Я. -2 изд. -М.:НИЦ ИНФРА-М,2024-240с.(СПО)(П)</t>
  </si>
  <si>
    <t>978-5-16-015627-9</t>
  </si>
  <si>
    <t>00.02.34, 38.02.01, 44.02.01, 44.02.02, 44.02.03, 44.02.04, 44.02.05, 44.02.06, 46.02.01, 46.02.02, 49.02.02, 51.02.03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</si>
  <si>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11 от 10.06.2019)</t>
  </si>
  <si>
    <t>751086.06.01</t>
  </si>
  <si>
    <t>Русский язык и культура речи: Уч. и практикум / Ф.В.Авджан - М.:НИЦ ИНФРА-М,2027. - 373 с.(ВО)(п)</t>
  </si>
  <si>
    <t>РУССКИЙ ЯЗЫК И КУЛЬТУРА РЕЧИ. УЧЕБНИК И ПРАКТИКУМ, ИЗД.1</t>
  </si>
  <si>
    <t>Авджан Ф.В.</t>
  </si>
  <si>
    <t>978-5-16-017369-6</t>
  </si>
  <si>
    <t>108450.15.01</t>
  </si>
  <si>
    <t>Русский язык и культура речи: Уч.пос. / Е.А.Самойлова - М.,НИЦ ИНФРА-М,2027 - 144 с. (ПО)(П)</t>
  </si>
  <si>
    <t>Самойлова Е. А.</t>
  </si>
  <si>
    <t>978-5-16-021923-3</t>
  </si>
  <si>
    <t>00.02.34, 20.02.05, 44.02.01, 44.02.02, 44.02.03, 44.02.04, 44.02.05, 44.02.06, 46.02.01, 46.02.02, 49.02.02, 51.02.03</t>
  </si>
  <si>
    <t>Допущено Государственным университетом гуманитарных наук в качестве учебного пособия для студентов учреждений среднего профессионального образования</t>
  </si>
  <si>
    <t>719412.04.01</t>
  </si>
  <si>
    <t>Русский язык и культура речи: Уч.пос. / О.Ю.Машина - М.:ИЦ РИОР, НИЦ ИНФРА-М,2026 - 170 с.(СПО)(П)</t>
  </si>
  <si>
    <t>Машина О. Ю.</t>
  </si>
  <si>
    <t>978-5-369-01825-5</t>
  </si>
  <si>
    <t>00.02.34, 44.02.01, 44.02.02, 44.02.03, 44.02.05, 44.02.06, 46.02.01, 46.02.02, 51.02.03</t>
  </si>
  <si>
    <t>155350.10.01</t>
  </si>
  <si>
    <t>Русский язык и культура речи: Уч.пос. / О.Ю.Машина, - 2 изд. - М.:ИЦ РИОР, ИНФРА-М,2027. - 168 с.(ВО)(п)</t>
  </si>
  <si>
    <t>978-5-369-00784-6</t>
  </si>
  <si>
    <t>Допущено Министерством образования Российской Федерации в качестве учебного пособия для студентов высших учебных заведений</t>
  </si>
  <si>
    <t>683170.05.01</t>
  </si>
  <si>
    <t>Русский язык и литература: Практикум: В 2 ч.Ч.1 / Под ред. Алексеева А.В. - М.:НИЦ ИНФРА-М,2024 - 195 с.(СПО)(П)</t>
  </si>
  <si>
    <t>РУССКИЙ ЯЗЫК И ЛИТЕРАТУРА, ИЗД.1</t>
  </si>
  <si>
    <t>Алексеев А.В., Лапутина Т.В., Михайлова И.Д. и др.</t>
  </si>
  <si>
    <t>978-5-16-014498-6</t>
  </si>
  <si>
    <t>00.02.09, 31.02.01, 46.02.01, 46.02.02, 51.02.03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</si>
  <si>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6 от 25.03.2019)</t>
  </si>
  <si>
    <t>641800.05.01</t>
  </si>
  <si>
    <t>Русский язык и литература: Уч.: Ч.1: Рус. яз. / Под ред. Алексеева А.В. - М.:НИЦ ИНФРА-М,2026. - 363 с.(СПО)(П)</t>
  </si>
  <si>
    <t>978-5-16-014499-3</t>
  </si>
  <si>
    <t>00.02.09, 46.02.01, 46.02.02, 51.02.03</t>
  </si>
  <si>
    <t>652141.07.01</t>
  </si>
  <si>
    <t>Русский язык и литература: Уч.: Ч.2: Литература / В.К.Сигов - М.:НИЦ ИНФРА-М,2027-491с(СПО)(П)</t>
  </si>
  <si>
    <t>Сигов В.К., Иванова Е.В., Колядич Т.М. и др.</t>
  </si>
  <si>
    <t>978-5-16-013325-6</t>
  </si>
  <si>
    <t>853515.01.01</t>
  </si>
  <si>
    <t>Русский язык: изуч. экономич. текст в иностр. аудитории: Уч.пос. / Ш.Мяо. - М.:НИЦ ИНФРА-М,2026. - 332 с.(п)</t>
  </si>
  <si>
    <t>РУССКИЙ ЯЗЫК: ИЗУЧАЕМ ЭКОНОМИЧЕСКИЙ ТЕКСТ В ИНОСТРАННОЙ АУДИТОРИИ, ИЗД.1</t>
  </si>
  <si>
    <t>Мяо Ш., Баландина Л.А., Ганина Е.В. и др.</t>
  </si>
  <si>
    <t>978-5-16-021887-8</t>
  </si>
  <si>
    <t>38.03.01, 38.03.02, 38.03.04, 38.03.06, 38.04.01, 38.04.02, 38.04.04</t>
  </si>
  <si>
    <t>Пекинский университет иностранных языков</t>
  </si>
  <si>
    <t>707070.05.01</t>
  </si>
  <si>
    <t>Русский язык: между неприязнью и любовью: Моногр. / Я.С.Турбовской - М.:НИЦ ИНФРА-М,2027 - 247 с.(П)</t>
  </si>
  <si>
    <t>РУССКИЙ ЯЗЫК: МЕЖДУ НЕПРИЯЗНЬЮ И ЛЮБОВЬЮ, ИЗД.1</t>
  </si>
  <si>
    <t>978-5-16-015259-2</t>
  </si>
  <si>
    <t>44.04.01, 44.04.04, 45.04.01</t>
  </si>
  <si>
    <t>681866.04.01</t>
  </si>
  <si>
    <t>Русский язык: Уч.пос. / А.В.Сухотинская - М.:НИЦ ИНФРА-М,2024 - 215 с.(СПО)(П)</t>
  </si>
  <si>
    <t>РУССКИЙ ЯЗЫК, ИЗД.1</t>
  </si>
  <si>
    <t>Сухотинская А.В.</t>
  </si>
  <si>
    <t>978-5-16-014533-4</t>
  </si>
  <si>
    <t>00.02.34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</si>
  <si>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программу среднего профессионального образования (протокол № 5 от 19.05.2021)</t>
  </si>
  <si>
    <t>185200.15.01</t>
  </si>
  <si>
    <t>Русское искусство XIX в.: Уч.пос. / И.Е.Печенкин - М.:КУРС, НИЦ ИНФРА-М,2026. - 360 с.(п)</t>
  </si>
  <si>
    <t>РУССКОЕ ИСКУССТВО XIX ВЕКА, ИЗД.1</t>
  </si>
  <si>
    <t>Печенкин И. Е.</t>
  </si>
  <si>
    <t>978-5-905554-11-7</t>
  </si>
  <si>
    <t>07.03.01, 07.04.01, 50.03.04, 50.04.04, 51.04.04, 53.04.05, 54.03.01, 54.03.04, 54.04.01, 54.04.04</t>
  </si>
  <si>
    <t>Допущено УМО по образованию в области архитектуры в качестве учебного пособия для студентов вузов, обучающихся по направлению "Архитектура"</t>
  </si>
  <si>
    <t>667638.07.01</t>
  </si>
  <si>
    <t>Русское искусство конца XIX - нач. XX в.: Уч.пос. / М.В.Москалюк - М.:НИЦ ИНФРА-М, СФУ,2026 - 257 с.(ВО)(П)</t>
  </si>
  <si>
    <t>РУССКОЕ ИСКУССТВО КОНЦА XIX - НАЧАЛА XX ВЕКА, ИЗД.1</t>
  </si>
  <si>
    <t>Москалюк М.В.</t>
  </si>
  <si>
    <t>978-5-16-018521-7</t>
  </si>
  <si>
    <t>50.03.03, 50.03.04, 50.04.03, 50.04.04, 51.03.01, 51.04.01</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</si>
  <si>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50.03.03 «История искусства»</t>
  </si>
  <si>
    <t>Сибирский Государственный Институт Искусств имени Дмитрия Хворостовского</t>
  </si>
  <si>
    <t>420850.06.01</t>
  </si>
  <si>
    <t>Русское финансовое право / Э.Н. Берендтс - М.: ИЦ РИОР:  НИЦ ИНФРА-М, 2026 - 397с.(Науч. мысль)(о)</t>
  </si>
  <si>
    <t>РУССКОЕ ФИНАНСОВОЕ ПРАВО, ИЗД.1</t>
  </si>
  <si>
    <t>Берендтс Э. Н., Куракин Р. С., Семенова Е. В., Зиноватный П. С., Зиноватная И. В.</t>
  </si>
  <si>
    <t>978-5-369-01176-8</t>
  </si>
  <si>
    <t>633162.07.01</t>
  </si>
  <si>
    <t>Рынки информационно-коммуникац. тех. и орг.продаж: Уч. / В.Н.Наумов - М.:НИЦ ИНФРА-М,2025 - 404 с.(ВО)(п)</t>
  </si>
  <si>
    <t>РЫНКИ ИНФОРМАЦИОННО-КОММУНИКАЦИОННЫХ ТЕХНОЛОГИЙ И ОРГАНИЗАЦИЯ ПРОДАЖ, ИЗД.1</t>
  </si>
  <si>
    <t>978-5-16-012042-3</t>
  </si>
  <si>
    <t>09.03.02, 38.03.02, 38.03.05</t>
  </si>
  <si>
    <t>Рекомендовано Научно-методическим советом федерального государственного бюджетного образовательного учреждения высшего образования «Санкт-Петербургский государственный экономический университет» в качестве учебника для студентов, обучающихся по направлению подготовки 38.03.05 «Бизнес-информатика» (квалификация (степень) «бакалавр»)</t>
  </si>
  <si>
    <t>694120.05.01</t>
  </si>
  <si>
    <t>Рынки капитала и криптоактивов...: Моногр. / А.Ю.Михайлов-М.:НИЦ ИНФРА-М,2023.-219 с.(П)</t>
  </si>
  <si>
    <t>РЫНКИ КАПИТАЛА И КРИПТОАКТИВОВ: ТРЕНДЫ И ПОВЕДЕНИЕ ИНВЕСТОРОВ, ИЗД.1</t>
  </si>
  <si>
    <t>Михайлов А.Ю.</t>
  </si>
  <si>
    <t>978-5-16-014667-6</t>
  </si>
  <si>
    <t>440100.04.01</t>
  </si>
  <si>
    <t>Рынки труда и образоват. услуг России...: Моногр. / Д.Р.Амирова - 2 изд.-М.:НИЦ ИНФРА-М,2021.-324с(П)</t>
  </si>
  <si>
    <t>РЫНКИ ТРУДА И ОБРАЗОВАТЕЛЬНЫХ УСЛУГ РОССИИ: РЕАЛИИ И ПЕРСПЕКТИВЫ, ИЗД.2</t>
  </si>
  <si>
    <t>Амирова Д.Р., Вдовина О.А., Курдова М.А. и др.</t>
  </si>
  <si>
    <t>978-5-16-011365-4</t>
  </si>
  <si>
    <t>38.03.02, 38.04.01, 38.06.01</t>
  </si>
  <si>
    <t>440100.02.01</t>
  </si>
  <si>
    <t>Рынки труда и образоват. услуг России...: Моногр./ Под ред. Резника С.Д.-М.:НИЦ ИНФРА-М,2017-324с(П)</t>
  </si>
  <si>
    <t>РЫНКИ ТРУДА И ОБРАЗОВАТЕЛЬНЫХ УСЛУГ РОССИИ: РЕАЛИИ И ПЕРСПЕКТИВЫ, ИЗД.1</t>
  </si>
  <si>
    <t>Резник С.Д., Нижегородцев Р.М., Резник Г.А.</t>
  </si>
  <si>
    <t>825980.01.01</t>
  </si>
  <si>
    <t>Рынок труда соц. уязвимых категорий населения...: Моногр. / О.В.Забелина. - М.:НИЦ ИНФРА-М,2024. - 307 с.(п)</t>
  </si>
  <si>
    <t>РЫНОК ТРУДА СОЦИАЛЬНО УЯЗВИМЫХ КАТЕГОРИЙ НАСЕЛЕНИЯ: ПОТЕНЦИАЛ, НОВЫЕ ТРЕНДЫ И ПРОБЛЕМЫ РЕГУЛИРОВАНИЯ, ИЗД.1</t>
  </si>
  <si>
    <t>Забелина О.В., Мирзабалаева Ф.И., Санкова Л.В. и др.</t>
  </si>
  <si>
    <t>978-5-16-019872-9</t>
  </si>
  <si>
    <t>38.04.01, 38.04.02, 38.04.03, 38.06.01, 39.03.02</t>
  </si>
  <si>
    <t>768261.01.01</t>
  </si>
  <si>
    <t>Рынок труда угольной промышленности (проф. срез): Моногр. / И.А.Волошина-М.:НИЦ ИНФРА-М,2022-147 с.(Науч.мысль)(О)</t>
  </si>
  <si>
    <t>РЫНОК ТРУДА УГОЛЬНОЙ ПРОМЫШЛЕННОСТИ (ПРОФЕССИОНАЛЬНЫЙ СРЕЗ), ИЗД.1</t>
  </si>
  <si>
    <t>Волошина И.А., Бесфамильная С.В., Забелина О.В. и др.</t>
  </si>
  <si>
    <t>978-5-16-017351-1</t>
  </si>
  <si>
    <t>711874.04.01</t>
  </si>
  <si>
    <t>Рынок халяль в России: теория, практика..: Моногр. / Ш.А.Шовхалов - М.:НИЦ ИНФРА-М,2025 - 243 с.(О)</t>
  </si>
  <si>
    <t>РЫНОК ХАЛЯЛЬ В РОССИИ: ТЕОРИЯ, ПРАКТИКА И ПЕРСПЕКТИВЫ РАЗВИТИЯ, ИЗД.1</t>
  </si>
  <si>
    <t>Шовхалов Ш.А.</t>
  </si>
  <si>
    <t>978-5-16-015646-0</t>
  </si>
  <si>
    <t>072100.22.01</t>
  </si>
  <si>
    <t>Рынок ценных бумаг: Уч. / В.А.Галанов - 2 изд. - М.:НИЦ ИНФРА-М,2027 - 414 с.-(ВО)(п)</t>
  </si>
  <si>
    <t>РЫНОК ЦЕННЫХ БУМАГ, ИЗД.2</t>
  </si>
  <si>
    <t>978-5-16-018868-3</t>
  </si>
  <si>
    <t>38.02.01, 38.02.06, 38.03.01, 38.04.01</t>
  </si>
  <si>
    <t>692979.02.01</t>
  </si>
  <si>
    <t>Рыночная инфраструктура...: Моногр. / Ю.Ю.Суслова.-М.:НИЦ ИНФРА-М,2023.-159 с.(Науч.мысль (СФУ))(О)</t>
  </si>
  <si>
    <t>РЫНОЧНАЯ ИНФРАСТРУКТУРА: ОРГАНИЗАЦИОННО-ПРАКТИЧЕСКИЙ АСПЕКТ, ИЗД.1</t>
  </si>
  <si>
    <t>Суслова Ю.Ю., Щербенко Е.В., Волошин А.В.</t>
  </si>
  <si>
    <t>978-5-16-014548-8</t>
  </si>
  <si>
    <t>38.03.01, 38.03.04, 38.04.01, 38.04.02, 38.04.04, 44.03.01</t>
  </si>
  <si>
    <t>682916.04.01</t>
  </si>
  <si>
    <t>Сабриентология: наука о трезвом сознании: Моногр. / В.Д.Ширшов-М.:НИЦ ИНФРА-М,2023.-210 с.(Науч.мысль)(О)</t>
  </si>
  <si>
    <t>САБРИЕНТОЛОГИЯ: НАУКА О ТРЕЗВОМ СОЗНАНИИ, ИЗД.1</t>
  </si>
  <si>
    <t>978-5-16-014052-0</t>
  </si>
  <si>
    <t>44.03.01, 44.05.01</t>
  </si>
  <si>
    <t>869906.01.01</t>
  </si>
  <si>
    <t>Савицкий П.Н.: Жизнь и труды основателя евразийства: Моногр. / О.А.Черемных - М.:НИЦ ИНФРА-М,2027. - 225 с.(п)</t>
  </si>
  <si>
    <t>САВИЦКИЙ П.Н.: ЖИЗНЬ И ТРУДЫ ОСНОВАТЕЛЯ ЕВРАЗИЙСТВА, ИЗД.1</t>
  </si>
  <si>
    <t>Черемных О.А.</t>
  </si>
  <si>
    <t>978-5-16-021680-5</t>
  </si>
  <si>
    <t>41.03.05, 41.03.06, 41.04.01, 41.04.02, 41.04.05, 41.06.01</t>
  </si>
  <si>
    <t>782290.02.01</t>
  </si>
  <si>
    <t>Садово-парковое искусство: Уч.пос. / Н.В.Кригер - М.:НИЦ ИНФРА-М,2027. - 376 с.[цв].-(ВО)(п)</t>
  </si>
  <si>
    <t>САДОВО-ПАРКОВОЕ ИСКУССТВО, ИЗД.1</t>
  </si>
  <si>
    <t>Кригер Н.В., Фомина Н.В.</t>
  </si>
  <si>
    <t>978-5-16-018079-3</t>
  </si>
  <si>
    <t>35.03.05, 35.03.10</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</si>
  <si>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35.03.10 «Ландшафтная архитектура»</t>
  </si>
  <si>
    <t>842464.02.01</t>
  </si>
  <si>
    <t>Садово-парковое искусство: Уч.пос. / Н.В.Кригер - М.:НИЦ ИНФРА-М,2027. - 376 с.[цв].-(СПО)(п)</t>
  </si>
  <si>
    <t>978-5-16-020347-8</t>
  </si>
  <si>
    <t>640857.08.01</t>
  </si>
  <si>
    <t>Садово-парковый и ландшаф. дизайн на англ. яз.: Уч.пос.. / В.Н.Новикова - М.:КУРС, НИЦ ИНФРА-М,2026 - 112 с.(О)</t>
  </si>
  <si>
    <t>САДОВО-ПАРКОВЫЙ И ЛАНДШАФТНЫЙ ДИЗАЙН НА АНГЛИЙСКОМ ЯЗЫКЕ = HORTICULURAL AND LANDSCAPE DESIGN IN ENGLISH, ИЗД.1</t>
  </si>
  <si>
    <t>Новикова В.Н.</t>
  </si>
  <si>
    <t>978-5-906818-89-8</t>
  </si>
  <si>
    <t>35.02.12, 35.03.10</t>
  </si>
  <si>
    <t>012656.08.01</t>
  </si>
  <si>
    <t>Самое святое, что есть у Бога на земле.: Моногр./ С.С.Алексеев, - 2 изд. - М.:Юр.Норма, НИЦ ИНФРА-М,2025 - 448 с.(П)</t>
  </si>
  <si>
    <t>САМОЕ СВЯТОЕ, ЧТО ЕСТЬ У БОГА НА ЗЕМЛЕ. ИММАНУИЛ КАНТ И ПРОБЛЕМЫ ПРАВА В СОВРЕМЕННУЮ ЭПОХУ, ИЗД.2</t>
  </si>
  <si>
    <t>Алексеев С. С.</t>
  </si>
  <si>
    <t>978-5-91768-358-4</t>
  </si>
  <si>
    <t>00.03.40, 40.03.01, 40.04.01, 40.05.01, 40.05.02, 40.05.03, 40.05.04, 40.06.01</t>
  </si>
  <si>
    <t>837232.01.01</t>
  </si>
  <si>
    <t>Самоидентификация рос. молодежи в трансформир. мире: Моногр. / М.Л.Галас - М.:НИЦ ИНФРА-М,2024. - 227 с. ( п)</t>
  </si>
  <si>
    <t>САМОИДЕНТИФИКАЦИЯ РОССИЙСКОЙ МОЛОДЕЖИ В ТРАНСФОРМИРУЮЩЕМСЯ МИРЕ, ИЗД.1</t>
  </si>
  <si>
    <t>Галас М.Л., Брушкова Л.А.</t>
  </si>
  <si>
    <t>978-5-16-020199-3</t>
  </si>
  <si>
    <t>37.04.01, 37.04.02, 37.06.01, 39.04.01, 39.04.03, 39.06.01</t>
  </si>
  <si>
    <t>674951.09.01</t>
  </si>
  <si>
    <t>Самоорганизация и личная эффектив.: секреты и уроки .. / С.Д.Резник - 2 изд. - М.:ИНФРА-М,2024 - 286с.(п)</t>
  </si>
  <si>
    <t>САМООРГАНИЗАЦИЯ И ЛИЧНАЯ ЭФФЕКТИВНОСТЬ: СЕКРЕТЫ И УРОКИ ЖИЗНИ ОРГАНИЗОВАННОГО ЧЕЛОВЕКА, ИЗД.2</t>
  </si>
  <si>
    <t>Резник С.Д., Усов В.Р.</t>
  </si>
  <si>
    <t>978-5-16-014138-1</t>
  </si>
  <si>
    <t>674951.15.01</t>
  </si>
  <si>
    <t>Самоорганизация и личная эффектив.: секреты и уроки .. / С.Д.Резник, - 3 изд. - М.:НИЦ ИНФРА-М,2026. - 290 с.[цв].(п)</t>
  </si>
  <si>
    <t>САМООРГАНИЗАЦИЯ И ЛИЧНАЯ ЭФФЕКТИВНОСТЬ: СЕКРЕТЫ И УРОКИ ЖИЗНИ ОРГАНИЗОВАННОГО ЧЕЛОВЕКА, ИЗД.3</t>
  </si>
  <si>
    <t>978-5-16-022240-0</t>
  </si>
  <si>
    <t>734798.05.01</t>
  </si>
  <si>
    <t>Самосознание и личностный адаптац. потенциал при нормал. и... / Т.И.Кузьмина - М.:НИЦ ИНФРА-М,2026. - 210 с.(О)</t>
  </si>
  <si>
    <t>САМОСОЗНАНИЕ И ЛИЧНОСТНЫЙ АДАПТАЦИОННЫЙ ПОТЕНЦИАЛ ПРИ НОРМАЛЬНОМ И НАРУШЕННОМ РАЗВИТИИ, ИЗД.1</t>
  </si>
  <si>
    <t>Кузьмина Т.И.</t>
  </si>
  <si>
    <t>978-5-16-016201-0</t>
  </si>
  <si>
    <t>37.03.01, 37.05.01, 37.06.01, 44.06.01</t>
  </si>
  <si>
    <t>132700.09.01</t>
  </si>
  <si>
    <t>Санаторно-курортное дело: Уч. / Г.И.Молчанов, - М.: Альфа-М: ИНФРА-М, 2026 - 400 с.(п)</t>
  </si>
  <si>
    <t>САНАТОРНО-КУРОРТНОЕ ДЕЛО, ИЗД.1</t>
  </si>
  <si>
    <t>Молчанов Г. И., Бондаренко Н. Г., Дегтярева И. Н., Кубалова Л. М., Молчанов А. А.</t>
  </si>
  <si>
    <t>978-5-98281-171-4</t>
  </si>
  <si>
    <t>43.03.03, 49.03.03</t>
  </si>
  <si>
    <t>683107.02.01</t>
  </si>
  <si>
    <t>Санаторно-курортное дело: Уч. / Под ред. Молчанова Г.И. - М.:НИЦ ИНФРА-М,2023 - 397 с.(СПО)(П)</t>
  </si>
  <si>
    <t>Молчанов Г.И., Бондаренко Н.Г., Дегтярева И.Н. и др.</t>
  </si>
  <si>
    <t>978-5-16-016935-4</t>
  </si>
  <si>
    <t>43.02.01, 43.02.11, 43.02.16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</si>
  <si>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43.02.10 «Туризм», 43.02.11 «Гостиничный сервис» (протокол № 11 от 09.11.2020)</t>
  </si>
  <si>
    <t>686658.09.01</t>
  </si>
  <si>
    <t>Санитария и гигиена парикмахерских услуг: Уч.пос. / И.С.Тундалева - М.:НИЦ ИНФРА-М,2027 - 205 с.(СПО)(П)</t>
  </si>
  <si>
    <t>САНИТАРИЯ И ГИГИЕНА ПАРИКМАХЕРСКИХ УСЛУГ, ИЗД.1</t>
  </si>
  <si>
    <t>978-5-16-014391-0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</si>
  <si>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43.02.13 «Технология парикмахерского искусства» (протокол № 8 от 22.06.2020)</t>
  </si>
  <si>
    <t>681885.08.01</t>
  </si>
  <si>
    <t>Санитария и гигиена питания: Уч. / Т.А.Джум и др. - М.:Магистр, НИЦ ИНФРА-М,2024 - 544 с.(П)</t>
  </si>
  <si>
    <t>САНИТАРИЯ И ГИГИЕНА ПИТАНИЯ, ИЗД.1</t>
  </si>
  <si>
    <t>Джум Т.А., Тамова М.Ю., Букалова М.В.</t>
  </si>
  <si>
    <t>978-5-9776-0475-8</t>
  </si>
  <si>
    <t>19.03.04, 19.04.04</t>
  </si>
  <si>
    <t>476200.02.01</t>
  </si>
  <si>
    <t>Санитарно-защитная зона предпр. как...: Моногр. /Н.Н.Крупина -М.:НИЦ ИНФРА-М,2019-271с.(Науч.мысль)(п)</t>
  </si>
  <si>
    <t>САНИТАРНО-ЗАЩИТНАЯ ЗОНА ПРЕДПРИЯТИЯ КАК ЧАСТЬ УРБАНИЗИРОВАННОЙ СРЕДЫ (СТАНДАРТЫ, ИННОВАЦИИ, ЭКОНОМИКА, УПРАВЛЕНИЕ), ИЗД.1</t>
  </si>
  <si>
    <t>КрупинаН.Н.</t>
  </si>
  <si>
    <t>978-5-16-011649-5</t>
  </si>
  <si>
    <t>07.03.01, 20.03.02, 35.04.09, 38.03.07, 44.03.01</t>
  </si>
  <si>
    <t>476200.06.01</t>
  </si>
  <si>
    <t>Санитарно-защитная зона предприятия как...: Моногр. / Н.Н.Крупина - М.:НИЦ ИНФРА-М,2027 - 271 с.(О)</t>
  </si>
  <si>
    <t>978-5-16-015673-6</t>
  </si>
  <si>
    <t>062300.23.01</t>
  </si>
  <si>
    <t>Санитарно-техническое оборудование зданий: Уч. / Ю.М.Варфоломеев - М.:НИЦ ИНФРА-М,2027 - 249 с.(СПО)(П)</t>
  </si>
  <si>
    <t>САНИТАРНО-ТЕХНИЧЕСКОЕ ОБОРУДОВАНИЕ ЗДАНИЙ, ИЗД.1</t>
  </si>
  <si>
    <t>Варфоломеев Ю.М., Орлов В.А., Варфоломеев Ю.М.</t>
  </si>
  <si>
    <t>978-5-16-012602-9</t>
  </si>
  <si>
    <t>08.01.29, 08.02.04, 08.02.13, 08.02.14, 38.01.02</t>
  </si>
  <si>
    <t>Допущено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08.02.08 «Монтаж и эксплуатация оборудования и систем газоснабжения»</t>
  </si>
  <si>
    <t>796037.03.01</t>
  </si>
  <si>
    <t>Санкционный фактор трансформации рос. и мир. экономики: Моногр. /Логинов Б.Б.-М.:НИЦ ИНФРА-М,2024.-235 с.(п)</t>
  </si>
  <si>
    <t>САНКЦИОННЫЙ ФАКТОР ТРАНСФОРМАЦИИ РОССИЙСКОЙ И МИРОВОЙ ЭКОНОМИКИ, ИЗД.1</t>
  </si>
  <si>
    <t>Логинов Б.Б., Толмачев П.И., Сурма И.В. и др.</t>
  </si>
  <si>
    <t>978-5-16-018195-0</t>
  </si>
  <si>
    <t>339500.08.01</t>
  </si>
  <si>
    <t>САПР конструктора машиностроителя / Э.М.Берлинер - М.:Форум, НИЦ ИНФРА-М,2026. - 288 с.(ВО)(П)</t>
  </si>
  <si>
    <t>САПР КОНСТРУКТОРА МАШИНОСТРОИТЕЛЯ, ИЗД.1</t>
  </si>
  <si>
    <t>Э.М.Берлинер, О.В.Таратынов</t>
  </si>
  <si>
    <t>978-5-00091-042-9</t>
  </si>
  <si>
    <t>15.03.01, 15.03.05, 24.02.01</t>
  </si>
  <si>
    <t>683108.08.01</t>
  </si>
  <si>
    <t>САПР конструктора машиностроителя: Уч. / Э.М.Берлинер - М.:Форум, НИЦ ИНФРА-М,2025 - 288 с.-(СПО)(П)</t>
  </si>
  <si>
    <t>Берлинер Э.М., Таратынов О.В.</t>
  </si>
  <si>
    <t>978-5-00091-558-5</t>
  </si>
  <si>
    <t>15.02.03, 15.02.16, 15.02.17, 15.02.18, 24.02.01</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</si>
  <si>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УГС 15.02.00 «Машиностроение»</t>
  </si>
  <si>
    <t>339600.09.01</t>
  </si>
  <si>
    <t>САПР технолога машиностроителя: Уч. / Э.М.Берлинер - М.:Форум, НИЦ ИНФРА-М,2026. - 336 с.(ВО)(п)</t>
  </si>
  <si>
    <t>САПР ТЕХНОЛОГА МАШИНОСТРОИТЕЛЯ, ИЗД.1</t>
  </si>
  <si>
    <t>978-5-00091-043-6</t>
  </si>
  <si>
    <t>15.03.01, 15.03.03, 15.04.01, 15.04.06, 24.02.01</t>
  </si>
  <si>
    <t>843813.02.01</t>
  </si>
  <si>
    <t>САПР технолога-машиностроителя: Уч. /Э.М.Берлинер - М.: НИЦ ИНФРА-М,2026 - 336 с.(СПО)(п)</t>
  </si>
  <si>
    <t>САПР ТЕХНОЛОГА-МАШИНОСТРОИТЕЛЯ, ИЗД.1</t>
  </si>
  <si>
    <t>978-5-16-022224-0</t>
  </si>
  <si>
    <t>15.02.04, 15.02.09, 15.02.16, 15.02.18, 15.02.19</t>
  </si>
  <si>
    <t>689678.05.01</t>
  </si>
  <si>
    <t>Сборник алгоритмов стоматолог. манипуляций к итог.гос. аттестации: Уч.пос. / К.А.Колесник-М.:НИЦ ИНФРА-М,2024-199с</t>
  </si>
  <si>
    <t>СБОРНИК АЛГОРИТМОВ СТОМАТОЛОГИЧЕСКИХ МАНИПУЛЯЦИЙ К ИТОГОВОЙ ГОСУДАРСТВЕННОЙ АТТЕСТАЦИИ, ИЗД.1</t>
  </si>
  <si>
    <t>Колесник К.А., Райда А.И., Каладзе Н.Н. и др.</t>
  </si>
  <si>
    <t>Высшее образование: Специалитет (КрымФУ)</t>
  </si>
  <si>
    <t>978-5-16-017327-6</t>
  </si>
  <si>
    <t>Рекомендовано Межрегиональным учебно-методическим советом профессионального образования для использования в учебном процессе в качестве учебного пособия для студентов высших учебных заведений, обучающихся по специальности 31.05.03 Стоматология» (квалификация «врач-стоматолог») (протокол № 6 от 16.06.2021)</t>
  </si>
  <si>
    <t>253200.08.01</t>
  </si>
  <si>
    <t>Сборник заданий по технической графике: Уч. пос. / Е.А. Василенко - М.: НИЦ ИНФРА-М, 2022-392с.(СПО)</t>
  </si>
  <si>
    <t>СБОРНИК ЗАДАНИЙ ПО ТЕХНИЧЕСКОЙ ГРАФИКЕ, ИЗД.1</t>
  </si>
  <si>
    <t>Василенко Е. А., Чекмарев А. А.</t>
  </si>
  <si>
    <t>978-5-16-009402-1</t>
  </si>
  <si>
    <t>08.01.22, 08.01.23, 08.01.29, 08.01.32, 09.02.08, 10.02.04, 11.02.09, 11.02.11, 11.02.18, 13.01.03, 13.01.04, 13.01.06, 13.01.07, 13.01.13, 15.01.13, 15.01.17, 15.01.18, 15.01.22, 15.01.29, 15.01.35, 15.01.36, 15.01.37, 15.01.38, 18.01.06, 18.01.08, 18.01.26, 18.01.27, 18.02.13, 21.01.01, 21.01.02, 21.01.03, 21.01.04, 21.01.17, 23.01.07, 23.01.13, 23.01.14, 23.01.15, 24.01.01, 26.02.04, 29.01.28, 35.01.05, 35.01.06, 35.01.15, 35.01.28, 35.01.30</t>
  </si>
  <si>
    <t>633379.04.01</t>
  </si>
  <si>
    <t>Сборник задач и вопросов по агрометеорологии: Уч.пос. / А.П.Лосев-М.:НИЦ ИНФРА-М,2023.-170 с.(ВО)(П)</t>
  </si>
  <si>
    <t>СБОРНИК ЗАДАЧ И ВОПРОСОВ ПО АГРОМЕТЕОРОЛОГИИ, ИЗД.1</t>
  </si>
  <si>
    <t>Лосев А.П.</t>
  </si>
  <si>
    <t>978-5-16-012065-2</t>
  </si>
  <si>
    <t>083410.10.01</t>
  </si>
  <si>
    <t>Сборник задач и упр. по информатике: Уч.пос. / Под ред. Гагариной Л.Г. - М.:ИД Форум, НИЦ ИНФРА-М,2025. - 255 с.(П)</t>
  </si>
  <si>
    <t>СБОРНИК ЗАДАЧ И УПРАЖНЕНИЙ ПО ИНФОРМАТИКЕ, ИЗД.1</t>
  </si>
  <si>
    <t>В.Д.Колдаев, Л.Г.Гагарина</t>
  </si>
  <si>
    <t>978-5-8199-0928-7</t>
  </si>
  <si>
    <t>09.02.05, 10.02.04, 10.02.05, 11.02.06, 12.02.07, 12.02.09, 12.02.10, 15.02.09, 25.02.01, 25.02.02, 25.02.03, 25.02.04, 25.02.06, 25.02.07, 26.02.02, 26.02.03, 26.02.05, 26.02.06, 27.02.03</t>
  </si>
  <si>
    <t>390300.07.01</t>
  </si>
  <si>
    <t>Сборник задач и упр. по орг. химии: Уч. пос. / В.Г.Иванов - 3 изд. - М.:НИЦ ИНФРА-М,2024-319c(ВО)(п)</t>
  </si>
  <si>
    <t>СБОРНИК ЗАДАЧ И УПРАЖНЕНИЙ ПО ОРГАНИЧЕСКОЙ ХИМИИ, ИЗД.3</t>
  </si>
  <si>
    <t>Иванов В.Г, Гева О.Н, Гаверова Ю.Г.</t>
  </si>
  <si>
    <t>978-5-16-019154-6</t>
  </si>
  <si>
    <t>Рекомендуется для студентов высших учебных заведений, обучающихся по направлению подготовки 44.03.01 «Педагогическое образование"</t>
  </si>
  <si>
    <t>400250.09.01</t>
  </si>
  <si>
    <t>Сборник задач по курсу начертательной геометрии: Уч.пос. / Н.А.Сальков -М:НИЦ Инфра-М,2023-127с.(ВО)</t>
  </si>
  <si>
    <t>СБОРНИК ЗАДАЧ ПО КУРСУ НАЧЕРТАТЕЛЬНОЙ ГЕОМЕТРИИ, ИЗД.1</t>
  </si>
  <si>
    <t>978-5-16-005772-9</t>
  </si>
  <si>
    <t>845365.01.01</t>
  </si>
  <si>
    <t>Сборник задач по курсу начертательной геометрии: Уч.пос. / Н.А.Сальков, - 2 изд. - М.:НИЦ ИНФРА-М,2025-127 с.(СПО)(П)</t>
  </si>
  <si>
    <t>СБОРНИК ЗАДАЧ ПО КУРСУ НАЧЕРТАТЕЛЬНОЙ ГЕОМЕТРИИ, ИЗД.2</t>
  </si>
  <si>
    <t>978-5-16-020466-6</t>
  </si>
  <si>
    <t>400250.11.01</t>
  </si>
  <si>
    <t>Сборник задач по курсу начертательной..: Уч.пос. / Н.А.Сальков - 2 изд. - М.:НИЦ ИНФРА-М,2026. - 127 с.(о)</t>
  </si>
  <si>
    <t>978-5-16-020800-8</t>
  </si>
  <si>
    <t>Допущено УМО по образованию в области архитектуры в качестве учебного пособия для студентов вузов, обучающихся по направлению подготовки 07.03.01 «Архитектура»</t>
  </si>
  <si>
    <t>449800.07.01</t>
  </si>
  <si>
    <t>Сборник задач по матем. логике и теории алгор.: Уч.пос. / В.И.Игошин - М.:КУРС, НИЦ ИНФРА-М,2027 -392 с.(П)</t>
  </si>
  <si>
    <t>СБОРНИК ЗАДАЧ ПО МАТЕМАТИЧЕСКОЙ ЛОГИКЕ И ТЕОРИИ АЛГОРИТМОВ, ИЗД.1</t>
  </si>
  <si>
    <t>978-5-906818-08-9</t>
  </si>
  <si>
    <t>09.03.03, 09.04.03, 44.03.01, 44.03.04, 44.04.01, 44.04.04</t>
  </si>
  <si>
    <t>063100.17.01</t>
  </si>
  <si>
    <t>Сборник задач по математике: Уч. пос./А.А.Дадаян - 3 изд. - М.:Форум, ИНФРА-М,2027. - 352 с.(П)</t>
  </si>
  <si>
    <t>СБОРНИК ЗАДАЧ ПО МАТЕМАТИКЕ, ИЗД.3</t>
  </si>
  <si>
    <t>978-5-91134-803-8</t>
  </si>
  <si>
    <t>00.02.06, 49.02.03</t>
  </si>
  <si>
    <t>Рекомендововно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t>
  </si>
  <si>
    <t>034180.19.01</t>
  </si>
  <si>
    <t>Сборник задач по микроэконом.: К "Курсу микроэк."Р. М.Нуреева /Р.М.Нуреев -М:Норма:ИНФРА-М,2023-432с(П)</t>
  </si>
  <si>
    <t>СБОРНИК ЗАДАЧ ПО МИКРОЭКОНОМИКЕ, ИЗД.1</t>
  </si>
  <si>
    <t>Нуреев Р.М., Латов Ю.В., Пястолов С.М. и др.</t>
  </si>
  <si>
    <t>978-5-91768-252-5</t>
  </si>
  <si>
    <t>328200.05.01</t>
  </si>
  <si>
    <t>Сборник задач по сопротивл. материалов: Уч.пос. / А.Н.Муморцев - М.:Форум, НИЦ ИНФРА-М,2026. - 112 с.(ВО)(О)</t>
  </si>
  <si>
    <t>СБОРНИК ЗАДАЧ ПО СОПРОТИВЛЕНИЮ МАТЕРИАЛОВ, ИЗД.1</t>
  </si>
  <si>
    <t>Муморцев А.Н., Фролов Е.А.</t>
  </si>
  <si>
    <t>978-5-00091-022-1</t>
  </si>
  <si>
    <t>07.03.04, 08.03.01</t>
  </si>
  <si>
    <t>664842.04.01</t>
  </si>
  <si>
    <t>Сборник задач по сопротивлению материалов: Уч.пос. / А.М.Лукьянов - М.:НИЦ ИНФРА-М,2027. - 546 с.(ВО)(П)</t>
  </si>
  <si>
    <t>Лукьянов А.М., Лукьянов М.А.</t>
  </si>
  <si>
    <t>978-5-16-014537-2</t>
  </si>
  <si>
    <t>08.05.01, 08.05.02, 08.05.03, 23.05.03, 23.05.04, 23.05.05, 23.05.06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</si>
  <si>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23.05.03 «Подвижной состав железных дорог», 23.05.04 «Эксплуатация железных дорог», 23.05.05 «Системы обеспечения движения поездов», 23.05.06 «Строительство железных дорог, мостов и транспортных тоннелей» (квалификация «инженер путей сообщения») (протокол № 3 от 17.02.2020)</t>
  </si>
  <si>
    <t>060860.22.01</t>
  </si>
  <si>
    <t>Сборник задач по строительным конструкциям: Уч.пос. / А.И.Павлова - М.:НИЦ ИНФРА-М,2026 - 143 с.(СПО)(П)</t>
  </si>
  <si>
    <t>СБОРНИК ЗАДАЧ ПО СТРОИТЕЛЬНЫМ КОНСТРУКЦИЯМ, ИЗД.1</t>
  </si>
  <si>
    <t>Павлова А.И.</t>
  </si>
  <si>
    <t>978-5-16-005374-5</t>
  </si>
  <si>
    <t>08.02.01, 08.02.02, 08.02.03</t>
  </si>
  <si>
    <t>Допущено Государственным комитетом Российской Федерации по строительству и жилищно-коммунальному комплексу в качестве учебного пособия для студентов средних специальных учебных заведений, обучающихся по направлению 08.02.01 «Строительство и эксплуатация зданий и сооружений»</t>
  </si>
  <si>
    <t>804833.02.01</t>
  </si>
  <si>
    <t>Сборник задач по химии: Уч.пос. / Н.Л.Багнавец и др. - М.:НИЦ ИНФРА-М,2026. - 238 с.(ВО)(п)</t>
  </si>
  <si>
    <t>СБОРНИК ЗАДАЧ ПО ХИМИИ, ИЗД.1</t>
  </si>
  <si>
    <t>Багнавец Н.Л., Дмитревская И.И., Осипова А.В. и др.</t>
  </si>
  <si>
    <t>978-5-16-018812-6</t>
  </si>
  <si>
    <t>03.03.02, 05.03.01, 05.03.02, 05.03.04, 05.03.06, 06.03.01, 06.03.02, 06.05.01, 08.03.01, 09.03.02, 10.05.04, 11.03.01, 11.03.03, 11.03.04, 12.03.01, 12.03.02, 12.03.03, 12.03.04, 12.03.05, 13.03.02, 13.03.03, 14.03.01, 15.03.01, 15.03.03, 15.03.05, 15.03.06, 16.03.01, 16.03.02, 16.03.03, 20.03.01, 20.03.02, 21.05.06, 22.03.01, 24.03.01, 24.03.02, 24.03.04, 24.03.05, 26.05.01, 26.05.02, 27.03.01, 28.03.01, 29.03.02, 35.03.01, 35.03.02, 35.03.03, 35.03.10</t>
  </si>
  <si>
    <t>Учебное пособие содержит сведения, необходимые для формирования профессиональных компетенций при подготовке бакалавров по направлениям 35.03.03 «Агрохимия и агропочвоведение», 35.03.04 «Агрономия» и рекомендуется Федеральным УМО для использования в учебном процессе</t>
  </si>
  <si>
    <t>661024.02.01</t>
  </si>
  <si>
    <t>Сборник прикладных задач по математ.: Уч.пос. / В.А.Шершнева - 2изд.-М.:НИЦ ИНФРА-М,СФУ,2019-220(ВО)</t>
  </si>
  <si>
    <t>СБОРНИК ПРИКЛАДНЫХ ЗАДАЧ ПО МАТЕМАТИКЕ, ИЗД.2</t>
  </si>
  <si>
    <t>Шершнева В.А., Карнаухова О.А.</t>
  </si>
  <si>
    <t>978-5-16-012967-9</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</si>
  <si>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машиностроительным и приборостроительным направлениям подготовки</t>
  </si>
  <si>
    <t>778953.01.01</t>
  </si>
  <si>
    <t>Сборник эссе по банковскому регулированию: Монография / Н.В.Громова-М.:НИЦ ИНФРА-М,2022.-115 с.(О)</t>
  </si>
  <si>
    <t>СБОРНИК ЭССЕ ПО БАНКОВСКОМУ РЕГУЛИРОВАНИЮ, ИЗД.1</t>
  </si>
  <si>
    <t>Громова Н.В.</t>
  </si>
  <si>
    <t>978-5-16-017716-8</t>
  </si>
  <si>
    <t>38.02.07, 38.03.01, 38.04.01, 38.04.04, 38.04.08, 38.05.01, 38.06.01</t>
  </si>
  <si>
    <t>795892.01.01</t>
  </si>
  <si>
    <t>Сварка и методология научных исслед.: лаб. прак.: Уч.пос. / Р.А.Мейстер-М.:НИЦ ИНФРА-М,2023.-146 с.(ВО(п)</t>
  </si>
  <si>
    <t>СВАРКА И МЕТОДОЛОГИЯ НАУЧНЫХ ИССЛЕДОВАНИЙ: ЛАБОРАТОРНЫЙ ПРАКТИКУМ, ИЗД.1</t>
  </si>
  <si>
    <t>Мейстер Р.А., Мейстер А.Р.</t>
  </si>
  <si>
    <t>978-5-16-018092-2</t>
  </si>
  <si>
    <t>15.03.01, 15.04.01, 15.05.01, 22.03.02, 24.05.01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</si>
  <si>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7 от 21.09.2022)</t>
  </si>
  <si>
    <t>272800.10.01</t>
  </si>
  <si>
    <t>Сварка и резка цветных металлов: Уч.пос. / О.Г.Быковский - М.:Альфа-М,НИЦ ИНФРА-М,2026 - 336 с.(Бакалавр.)(п)</t>
  </si>
  <si>
    <t>СВАРКА И РЕЗКА ЦВЕТНЫХ МЕТАЛЛОВ, ИЗД.1</t>
  </si>
  <si>
    <t>Быковский О.Г., Фролов В.А., Пешков В.В.</t>
  </si>
  <si>
    <t>978-5-98281-392-3</t>
  </si>
  <si>
    <t>Допущено Учебно-методическим объединением высших учебных заведений РФ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бакалавров 150100 "Материаловедение и технологии материалов"</t>
  </si>
  <si>
    <t>706358.05.01</t>
  </si>
  <si>
    <t>Сварка: введение в специальность: Уч.пос. / М.П.Шалимов - М.:НИЦ ИНФРА-М,2026. - 309 с.(ВО)(П)</t>
  </si>
  <si>
    <t>СВАРКА: ВВЕДЕНИЕ В СПЕЦИАЛЬНОСТЬ, ИЗД.1</t>
  </si>
  <si>
    <t>Шалимов М.П., Панов В.И., Вотинова Е.Б.</t>
  </si>
  <si>
    <t>978-5-16-020213-6</t>
  </si>
  <si>
    <t>Рекомендовано методическим советом УрФУ для студентов направлений 15.03.01 «Машиностроение», 12.03.05 «Лазерная техника и лазерные технологии и специальности», 15.05.01 «Проектирование технологических машин и комплексов»</t>
  </si>
  <si>
    <t>741932.11.01</t>
  </si>
  <si>
    <t>Сварка: введение в специальность: Уч.пос. / М.П.Шалимов - М.:НИЦ ИНФРА-М,2027 - 309 с.-(СПО)(П)</t>
  </si>
  <si>
    <t>978-5-16-016700-8</t>
  </si>
  <si>
    <t>15.00.00, 12.02.04, 15.01.05, 15.01.06, 15.01.07, 15.01.29, 15.01.35, 15.01.36, 15.01.37, 15.02.01, 15.02.04, 15.02.16, 15.02.17, 15.02.18, 15.02.19, 23.01.03, 26.01.01, 26.02.02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</si>
  <si>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15.00.00 «Машиностроение» (протокол № 9 от 28.09.2020)</t>
  </si>
  <si>
    <t>814862.01.01</t>
  </si>
  <si>
    <t>Сварочное производство: Уч.пос. / Л.С.Мальцева - М.:НИЦ ИНФРА-М,2026. - 443 с.(СПО)(п)</t>
  </si>
  <si>
    <t>СВАРОЧНОЕ ПРОИЗВОДСТВО, ИЗД.1</t>
  </si>
  <si>
    <t>Мальцева Л.С.</t>
  </si>
  <si>
    <t>978-5-16-020846-6</t>
  </si>
  <si>
    <t>15.01.05, 15.02.19, 23.01.03, 26.01.01, 26.02.02</t>
  </si>
  <si>
    <t>Челябинский механико-технологический техникум</t>
  </si>
  <si>
    <t>670467.05.01</t>
  </si>
  <si>
    <t>Сварочные свойства однофазных выпрямителей: Моногр. / Р.А.Мейстер - М.:НИЦ ИНФРА-М, СФУ,2026 - 170 с.(П)</t>
  </si>
  <si>
    <t>СВАРОЧНЫЕ СВОЙСТВА ОДНОФАЗНЫХ ВЫПРЯМИТЕЛЕЙ, ИЗД.1</t>
  </si>
  <si>
    <t>978-5-16-013383-6</t>
  </si>
  <si>
    <t>15.03.01, 15.03.02, 15.03.04, 15.03.05, 15.04.01, 15.04.02, 15.04.04, 15.04.05, 15.06.01</t>
  </si>
  <si>
    <t>475700.08.01</t>
  </si>
  <si>
    <t>Свобода слова: Моногр. / В.Н.Кудрявцев - М.:Юр.Норма, НИЦ ИНФРА-М,2026 - 204 с.(П)</t>
  </si>
  <si>
    <t>СВОБОДА СЛОВА, ИЗД.1</t>
  </si>
  <si>
    <t>978-5-91768-708-7</t>
  </si>
  <si>
    <t>432050.09.01</t>
  </si>
  <si>
    <t>Свободные эконом.и офшорные зоны: Уч.пос. / В.И.Баронов-М.:Магистр,НИЦ ИНФРА-М,2024-560с(Магистр.)(п)</t>
  </si>
  <si>
    <t>СВОБОДНЫЕ ЭКОНОМИЧЕСКИЕ И ОФШОРНЫЕ ЗОНЫ (ЭКОНОМИКО-ПРАВОВЫЕ ВОПРОСЫ ЗАРУБЕЖНОЙ И РОССИЙСКОЙ ПРАКТИКИ), ИЗД.1</t>
  </si>
  <si>
    <t>Баронов В.И., Костюнина Г.М.</t>
  </si>
  <si>
    <t>978-5-9776-0267-9</t>
  </si>
  <si>
    <t>414100.09.01</t>
  </si>
  <si>
    <t>Связи с общественностью в органах власти: Уч./ А.А. Марков. - М.: НИЦ ИНФРА-М, 2026. - 190 с. (ВО)(о)</t>
  </si>
  <si>
    <t>СВЯЗИ С ОБЩЕСТВЕННОСТЬЮ В ОРГАНАХ ВЛАСТИ, ИЗД.1</t>
  </si>
  <si>
    <t>Марков А. А.</t>
  </si>
  <si>
    <t>978-5-16-006212-9</t>
  </si>
  <si>
    <t>38.03.04, 38.04.04, 41.03.06, 42.03.01, 42.04.01</t>
  </si>
  <si>
    <t>Допущено Учебно-методическим объединением вузов Российской Федерации по образованию в области международных отношений в качестве учебного пособия для студентов вузов, обучающихся по направлению подготовки (специальности) «Реклама и связи с общественн</t>
  </si>
  <si>
    <t>763768.01.01</t>
  </si>
  <si>
    <t>Священное в мирском: конфесс. прочтение межд. отношений: Моногр. / Л.О.Терновая-М.:НИЦ ИНФРА-М,2022.-300 с.(Науч.мысль)(О)</t>
  </si>
  <si>
    <t>СВЯЩЕННОЕ В МИРСКОМ: КОНФЕССИОНАЛЬНОЕ ПРОЧТЕНИЕ МЕЖДУНАРОДНЫХ ОТНОШЕНИЙ, ИЗД.1</t>
  </si>
  <si>
    <t>978-5-16-017168-5</t>
  </si>
  <si>
    <t>47.00.00, 00.03.05, 00.05.05, 41.03.04, 41.04.05, 46.04.01, 47.04.03, 48.04.01</t>
  </si>
  <si>
    <t>468500.08.01</t>
  </si>
  <si>
    <t>Северская земля: этнодинамика...: Моногр. / Н.М.Багновская - М.:НИЦ ИНФРА-М,2026. - 214 с.(о)</t>
  </si>
  <si>
    <t>СЕВЕРСКАЯ ЗЕМЛЯ: ЭТНОДИНАМИКА НАСЕЛЕНИЯ В VIII-XVIII В, ИЗД.1</t>
  </si>
  <si>
    <t>Багновская Н.М.</t>
  </si>
  <si>
    <t>978-5-16-019443-1</t>
  </si>
  <si>
    <t>44.03.01, 44.03.05, 46.03.01, 46.03.03, 46.04.03</t>
  </si>
  <si>
    <t>468500.05.01</t>
  </si>
  <si>
    <t>Северская земля:этнодинам.насел.в VIII-XVIII в.: Моногр. / Н.М.Багновская-М:НИЦ ИНФРА-М,2024-214с(п)</t>
  </si>
  <si>
    <t>978-5-16-011550-4</t>
  </si>
  <si>
    <t>482650.10.01</t>
  </si>
  <si>
    <t>Секреты успешных банков: бизнес-процессы и технологии / Р.А.Исаев, - 2 изд. - М.:НИЦ ИНФРА-М,2026 - 222 с.(П)</t>
  </si>
  <si>
    <t>СЕКРЕТЫ УСПЕШНЫХ БАНКОВ: БИЗНЕС-ПРОЦЕССЫ И ТЕХНОЛОГИИ, ИЗД.2</t>
  </si>
  <si>
    <t>978-5-16-010471-3</t>
  </si>
  <si>
    <t>780325.02.01</t>
  </si>
  <si>
    <t>Сельскохозяйственная микробиология...: Уч.пос. / О.Д.Сидоренко - М.:НИЦ ИНФРА-М,2026. - 245 с.(ВО)(п)</t>
  </si>
  <si>
    <t>СЕЛЬСКОХОЗЯЙСТВЕННАЯ МИКРОБИОЛОГИЯ. ВВЕДЕНИЕ В СПЕЦИАЛЬНОСТЬ, ИЗД.1</t>
  </si>
  <si>
    <t>978-5-16-018057-1</t>
  </si>
  <si>
    <t>35.03.03, 35.03.04, 35.03.05, 35.03.07</t>
  </si>
  <si>
    <t>806678.01.01</t>
  </si>
  <si>
    <t>Сельскохозяйственная экология: Уч.пос. / Г.А.Демиденко-М.:НИЦ ИНФРА-М,2024.-330 с.(ВО (КрГАУ))(п)</t>
  </si>
  <si>
    <t>СЕЛЬСКОХОЗЯЙСТВЕННАЯ ЭКОЛОГИЯ, ИЗД.1</t>
  </si>
  <si>
    <t>Демиденко Г.А., Фомина Н.В.</t>
  </si>
  <si>
    <t>978-5-16-019231-4</t>
  </si>
  <si>
    <t>05.04.05, 05.04.06, 35.03.03, 35.03.04, 35.03.05, 35.03.06, 35.03.07, 35.04.04</t>
  </si>
  <si>
    <t>Рекомендовано Научно-методическим советом по сельскому хозяйству Федерального УМО по сельскому, лесному и рыбному хозяйству для использования в учебном процессе при подготовке бакалавров по направлению 35.03.03 «Агрохимия и агропочвоведение»</t>
  </si>
  <si>
    <t>818375.02.01</t>
  </si>
  <si>
    <t>Сельскохозяйственное водоснабжение и...: Уч.пос. / А.И.Матюшенко - М.:НИЦ ИНФРА-М, СФУ,2026. - 152 с.(ВО)(п)</t>
  </si>
  <si>
    <t>СЕЛЬСКОХОЗЯЙСТВЕННОЕ ВОДОСНАБЖЕНИЕ И ОБВОДНЕНИЕ ТЕРРИТОРИЙ, ИЗД.1</t>
  </si>
  <si>
    <t>Матюшенко А.И., Пазенко Т.Я., Курилина Т.А.</t>
  </si>
  <si>
    <t>978-5-16-019510-0</t>
  </si>
  <si>
    <t>480150.11.01</t>
  </si>
  <si>
    <t>Сельскохозяйственные машины: Уч. пос. / В.П.Капустин - М.:НИЦ ИНФРА-М,2026 - 280 с.(ВО: Бакалавр.)(п)</t>
  </si>
  <si>
    <t>СЕЛЬСКОХОЗЯЙСТВЕННЫЕ МАШИНЫ, ИЗД.1</t>
  </si>
  <si>
    <t>Капустин В.П., Глазков Ю.Е.</t>
  </si>
  <si>
    <t>978-5-16-020121-4</t>
  </si>
  <si>
    <t>Допущено Учебно-методическим объединением вузов России по агроинженерному образованию в качестве учебного пособия для студентов высших учебных заведений, обучающихся по направлению подготовки 35.03.06 «Агроинженерия»</t>
  </si>
  <si>
    <t>732744.08.01</t>
  </si>
  <si>
    <t>Семейная педагогика и домашнее воспитание: Уч. / Под ред. Сергеевой В.П. - М.:НИЦ ИНФРА-М,2027. - 197 с.(СПО)(п)</t>
  </si>
  <si>
    <t>СЕМЕЙНАЯ ПЕДАГОГИКА И ДОМАШНЕЕ ВОСПИТАНИЕ, ИЗД.1</t>
  </si>
  <si>
    <t>Сергеева В.П., Никитина Э.К., Недвецкая М.Н. и др.</t>
  </si>
  <si>
    <t>978-5-16-016178-5</t>
  </si>
  <si>
    <t>44.02.01, 44.02.03, 44.02.04, 44.02.06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</si>
  <si>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44.02.00 «Образование и педагогические науки»  (протокол № 10 от 12.10.2020)</t>
  </si>
  <si>
    <t>758603.01.01</t>
  </si>
  <si>
    <t>Семейная педагогика: Уч.пос. /  Е.Н.Приступа - М.:НИЦ ИНФРА-М,2025. - 235 с.(ВО)(п)</t>
  </si>
  <si>
    <t>СЕМЕЙНАЯ ПЕДАГОГИКА, ИЗД.1</t>
  </si>
  <si>
    <t>Приступа Е.Н.</t>
  </si>
  <si>
    <t>978-5-16-017971-1</t>
  </si>
  <si>
    <t>673849.05.01</t>
  </si>
  <si>
    <t>Семейно-детный образ жизни: результаты соц.-демогр..: Моногр. / А.И.Антонов - М.:НИЦ ИНФРА-М,2026 - 540 с.(п)</t>
  </si>
  <si>
    <t>СЕМЕЙНО-ДЕТНЫЙ ОБРАЗ ЖИЗНИ: РЕЗУЛЬТАТЫ СОЦИОЛОГО-ДЕМОГРАФИЧЕСКОГО ИССЛЕДОВАНИЯ, ИЗД.1</t>
  </si>
  <si>
    <t>Антонов А.И., Синельников А.Б., Новоселова Е.Н. и др.</t>
  </si>
  <si>
    <t>978-5-16-013618-9</t>
  </si>
  <si>
    <t>38.03.01, 38.03.04, 39.03.01, 39.03.03, 39.04.01, 39.04.03, 44.03.01, 44.03.05</t>
  </si>
  <si>
    <t>856783.01.01</t>
  </si>
  <si>
    <t>Семейное право России и Китая в воп. и отв.: Справ. пос. / А.Г.Малинова-М.:Юр. НОРМА,2025.-200 с.(п)</t>
  </si>
  <si>
    <t>СЕМЕЙНОЕ ПРАВО РОССИИ И КИТАЯ В ВОПРОСАХ И ОТВЕТАХ, ИЗД.1</t>
  </si>
  <si>
    <t>Малинова А.Г., Османова Д.О.</t>
  </si>
  <si>
    <t>978-5-00156-441-6</t>
  </si>
  <si>
    <t>40.03.01, 40.05.01, 40.05.02, 40.05.04, 44.03.05, 44.05.01</t>
  </si>
  <si>
    <t>127900.10.01</t>
  </si>
  <si>
    <t>Семейное право: Уч. / Под ред. Демичева А.А. - 2 изд. - М.:ИД ФОРУМ, НИЦ ИНФРА-М,2019 - 301 с.(П)</t>
  </si>
  <si>
    <t>СЕМЕЙНОЕ ПРАВО, ИЗД.2</t>
  </si>
  <si>
    <t>Демичев А.А., Голованова О.В., Карпычев М.В. и др.</t>
  </si>
  <si>
    <t>978-5-8199-0761-0</t>
  </si>
  <si>
    <t>Рекомендовано в качестве учебника для студентов высших и средних специальных учебных заведений, обучающихся по специальностям «Юриспруденция» и «Правоохранительная деятельность»</t>
  </si>
  <si>
    <t>683109.05.01</t>
  </si>
  <si>
    <t>Семейное право: Уч. / Под ред. Демичева А.А. - 2 изд.-М.:ИД Форум, НИЦ ИНФРА-М,2023-301 с.-(СПО)(П)</t>
  </si>
  <si>
    <t>978-5-8199-0803-7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</si>
  <si>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40.02.01 «Право и организация социального обеспечения», 40.02.02 «Правоохранительная деятельность», 40.02.03 «Право и судебное администрирование»</t>
  </si>
  <si>
    <t>683109.07.01</t>
  </si>
  <si>
    <t>Семейное право: Уч. / Под ред. Демичева А.А. - 3 изд. - М., НИЦ ИНФРА-М,2026 - 291 с.(СПО)(п)</t>
  </si>
  <si>
    <t>СЕМЕЙНОЕ ПРАВО, ИЗД.3</t>
  </si>
  <si>
    <t>978-5-16-019393-9</t>
  </si>
  <si>
    <t>127900.14.01</t>
  </si>
  <si>
    <t>Семейное право: Уч. / Под ред. Демичева А.А., - 3 изд. - М.:НИЦ ИНФРА-М,2026. - 291 с.-(ВО)(п)</t>
  </si>
  <si>
    <t>Демичев А.А., Грачева О.С., Демичев К.А. и др.</t>
  </si>
  <si>
    <t>978-5-16-018794-5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</si>
  <si>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40.00.00 «Юриспруденция» (квалификация (степень) «бакалавр») (протокол № 8 от 22.06.2020)</t>
  </si>
  <si>
    <t>741389.07.01</t>
  </si>
  <si>
    <t>Семейное право: Уч. / Под ред. Тагаевой С.Н. - М.:НИЦ ИНФРА-М,2026. -  501 с.(ВО)(п)</t>
  </si>
  <si>
    <t>СЕМЕЙНОЕ ПРАВО, ИЗД.1</t>
  </si>
  <si>
    <t>Аблятипова Н.А., Аминова Ф.М., Бодурова Г.Г. и др.</t>
  </si>
  <si>
    <t>978-5-16-021174-9</t>
  </si>
  <si>
    <t>710097.03.01</t>
  </si>
  <si>
    <t>Семейное право: Уч./ С.А.Муратова - 6 изд. - М.:Юр.Норма,НИЦ ИНФРА-М,2023 - 368 с.(П)</t>
  </si>
  <si>
    <t>СЕМЕЙНОЕ ПРАВО, ИЗД.6</t>
  </si>
  <si>
    <t>Муратова С.А.</t>
  </si>
  <si>
    <t>978-5-00156-000-5</t>
  </si>
  <si>
    <t>710097.06.01</t>
  </si>
  <si>
    <t>Семейное право: Уч./ С.А.Муратова - 7 изд. - М.:Юр.Норма,НИЦ ИНФРА-М,2027 - 384 с.(П)</t>
  </si>
  <si>
    <t>СЕМЕЙНОЕ ПРАВО, ИЗД.7</t>
  </si>
  <si>
    <t>978-5-00156-372-3</t>
  </si>
  <si>
    <t>832852.02.01</t>
  </si>
  <si>
    <t>Семейно-правовая политика РФ: традиц..: Уч.пос. / А.А.Бердникова - М.:НИЦ ИНФРА-М,2026 - 203 с.(ВО)(п)</t>
  </si>
  <si>
    <t>СЕМЕЙНО-ПРАВОВАЯ ПОЛИТИКА РОССИЙСКОЙ ФЕДЕРАЦИИ: ТРАДИЦИОННЫЕ ЦЕННОСТИ И НРАВСТВЕННЫЕ НОРМЫ, ИЗД.1</t>
  </si>
  <si>
    <t>Бердникова А.А., Бочкова С.С., Васильева О.Н. и др.</t>
  </si>
  <si>
    <t>978-5-16-020226-6</t>
  </si>
  <si>
    <t>40.05.02, 40.05.04, 44.03.05, 44.05.01</t>
  </si>
  <si>
    <t>792933.02.01</t>
  </si>
  <si>
    <t>Семейные отнош. с участием иностранцев...: Моногр. / Н.И.Марышева-2изд.М.:Юр. НОРМА, НИЦ ИНФРА-М,2025.-328 с.(П)</t>
  </si>
  <si>
    <t>СЕМЕЙНЫЕ ОТНОШЕНИЯ С УЧАСТИЕМ ИНОСТРАНЦЕВ: ПРАВОВОЕ РЕГУЛИРОВАНИЕ В РОССИИ, ИЗД.1</t>
  </si>
  <si>
    <t>Марышева Н.И.</t>
  </si>
  <si>
    <t>978-5-00156-274-0</t>
  </si>
  <si>
    <t>792933.03.01</t>
  </si>
  <si>
    <t>Семейные отношения с участием иностранцев: правовое регулирование в России: монография / Н.И.Марышева, - 2-е изд.-М.:Юр. НОРМА, НИЦ ИНФРА-М,2025.-328</t>
  </si>
  <si>
    <t>СЕМЕЙНЫЕ ОТНОШЕНИЯ С УЧАСТИЕМ ИНОСТРАНЦЕВ: ПРАВОВОЕ РЕГУЛИРОВАНИЕ В РОССИИ, ИЗД.2</t>
  </si>
  <si>
    <t>430200.12.01</t>
  </si>
  <si>
    <t>Семейные трад. восп. детей в культуре и быту народ. России: Уч.мет.пос. / Г.И.Репринцева - М.:Форум,2027. - 304 с.(О)</t>
  </si>
  <si>
    <t>СЕМЕЙНЫЕ ТРАДИЦИИ ВОСПИТАНИЯ ДЕТЕЙ В КУЛЬТУРЕ И БЫТУ НАРОДОВ РОССИИ, ИЗД.1</t>
  </si>
  <si>
    <t>Репринцева Г.И., Азизова Н.Р.</t>
  </si>
  <si>
    <t>978-5-91134-714-7</t>
  </si>
  <si>
    <t>39.03.02, 39.04.02, 44.03.01, 44.03.02, 44.04.02</t>
  </si>
  <si>
    <t>Рекомендовано к изданию Ученым и Экспертно-редакционным советами ФГНУ «Институт социальной педагогики» Российской академии образования в качестве учебно-методического пособия</t>
  </si>
  <si>
    <t>Институт Экономики и Управления в промышленности</t>
  </si>
  <si>
    <t>761784.06.01</t>
  </si>
  <si>
    <t>Семейный лад, или ценности семейного воспитания в России: Моногр. / Л.О.Володина - М.:НИЦ ИНФРА-М,2026 -231с(О)</t>
  </si>
  <si>
    <t>СЕМЕЙНЫЙ ЛАД, ИЛИ ЦЕННОСТИ СЕМЕЙНОГО ВОСПИТАНИЯ В РОССИИ, ИЗД.1</t>
  </si>
  <si>
    <t>Володина Л.О.</t>
  </si>
  <si>
    <t>978-5-16-017167-8</t>
  </si>
  <si>
    <t>44.04.01, 44.04.02, 44.05.01, 44.06.01</t>
  </si>
  <si>
    <t>Вологодский государственный университет</t>
  </si>
  <si>
    <t>780861.04.01</t>
  </si>
  <si>
    <t>Семеноводство картофеля: Уч.пос. / А.И.Усков - М.:НИЦ ИНФРА-М,2026. - 162 с.(ВО)(п)</t>
  </si>
  <si>
    <t>СЕМЕНОВОДСТВО КАРТОФЕЛЯ, ИЗД.1</t>
  </si>
  <si>
    <t>Усков А.И., Овэс Е.В., Ускова Л.Б. и др.</t>
  </si>
  <si>
    <t>978-5-16-017803-5</t>
  </si>
  <si>
    <t>06.04.01, 35.03.04</t>
  </si>
  <si>
    <t>АКАДЕМУС-2021, Победитель, II место
Учебник года-2026, Лауреат</t>
  </si>
  <si>
    <t>372300.04.01</t>
  </si>
  <si>
    <t>Семиотика псих.заболеваний. Общая психопатол.: Уч.пос./ Г.Н.Носачев-Форум,НИЦ ИНФРА-М,2019-336с.(ВО)</t>
  </si>
  <si>
    <t>СЕМИОТИКА ПСИХИЧЕСКИХ ЗАБОЛЕВАНИЙ. ОБЩАЯ ПСИХОПАТОЛОГИЯ, ИЗД.1</t>
  </si>
  <si>
    <t>Носачев Г.Н., Романов Д.В., Носачев И.Г.</t>
  </si>
  <si>
    <t>978-5-00091-086-3</t>
  </si>
  <si>
    <t>31.05.01, 37.03.01, 37.04.01</t>
  </si>
  <si>
    <t>Рекомендовано в качестве учебного пособия для студентов высших учебных заведений, обучающихся по направлению подготовки 31.05.01 «Лечебное дело» (квалификация (степень) «врач общей практики»)</t>
  </si>
  <si>
    <t>372300.11.01</t>
  </si>
  <si>
    <t>Семиотика психических заболеваний...: Уч.пос. / Г.Н.Носачев - 2 изд. - М.:НИЦ ИНФРА-М,2026. - 420 с.(ВО)(п)</t>
  </si>
  <si>
    <t>СЕМИОТИКА ПСИХИЧЕСКИХ ЗАБОЛЕВАНИЙ. ОБЩАЯ ПСИХОПАТОЛОГИЯ, ИЗД.2</t>
  </si>
  <si>
    <t>978-5-16-021684-3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</si>
  <si>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медицинским и психологическим специальностям (протокол № 6 от 16.06.2021)</t>
  </si>
  <si>
    <t>655201.04.01</t>
  </si>
  <si>
    <t>Семьеведение: Уч.пос. / Е.П.Агапов и др. - М.:ИЦ РИОР, НИЦ ИНФРА-М,2026 - 224 с.(П)</t>
  </si>
  <si>
    <t>СЕМЬЕВЕДЕНИЕ, ИЗД.1</t>
  </si>
  <si>
    <t>Агапов Е.П., Пендюрина Л.П., Нор-Аревян О.А.</t>
  </si>
  <si>
    <t>978-5-369-01732-6</t>
  </si>
  <si>
    <t>39.03.02, 39.03.03</t>
  </si>
  <si>
    <t>112550.09.01</t>
  </si>
  <si>
    <t>Семьеведение: Уч.пос. / И.Е.Лукьянова, - 2 изд. - М.:НИЦ ИНФРА-М,2026. - 242 с.-(ВО)(п)</t>
  </si>
  <si>
    <t>СЕМЬЕВЕДЕНИЕ, ИЗД.2</t>
  </si>
  <si>
    <t>Лукьянова И.Е., Утенкова С.Н.</t>
  </si>
  <si>
    <t>978-5-16-020737-7</t>
  </si>
  <si>
    <t>39.03.01, 39.03.02, 39.03.03, 39.04.02, 44.03.01, 44.03.02, 44.03.03, 44.03.04, 44.04.03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</si>
  <si>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направлений подготовки 39.00.00 «Социология и социальная работа» и 44.00.00 «Образование и педагогические науки» (квалификация (степень) «бакалавр») (протокол № 6 от 08.06.2022)</t>
  </si>
  <si>
    <t>112550.06.01</t>
  </si>
  <si>
    <t>Семьеведение: Уч.пос. / Под ред. Сигиды Е.А. - М.:НИЦ ИНФРА-М,2017 - 265 с.-(ВО: Бакалавриат)(П)</t>
  </si>
  <si>
    <t>Лукьянова И.Е., Прохорова Э.М., Шиповская Л.П. и др.</t>
  </si>
  <si>
    <t>978-5-16-003602-1</t>
  </si>
  <si>
    <t>Допущено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и специальности "Социальная работа"</t>
  </si>
  <si>
    <t>681847.09.01</t>
  </si>
  <si>
    <t>Семья и частная жизнь русского купечества...: Моногр. / И.Н.Лобачева - М.:НИЦ ИНФРА-М,2026 - 227 с.(О)</t>
  </si>
  <si>
    <t>СЕМЬЯ И ЧАСТНАЯ ЖИЗНЬ РУССКОГО КУПЕЧЕСТВА ВО ВТОРОЙ ПОЛОВИНЕ XIX - НАЧАЛЕ XX ВЕКА (ПО МАТЕРИАЛАМ ТУЛЬСКОЙ ГУБЕРНИИ), ИЗД.1</t>
  </si>
  <si>
    <t>Лобачева И.Н.</t>
  </si>
  <si>
    <t>978-5-16-013853-4</t>
  </si>
  <si>
    <t>44.03.01, 44.03.05, 46.03.01, 46.04.01, 51.03.01, 51.03.03, 51.04.01, 51.04.03</t>
  </si>
  <si>
    <t>428400.09.01</t>
  </si>
  <si>
    <t>Сенсорика. Совр. технологии микро- и...: Уч.пос. / Т.Н.Патрушева - М.:НИЦ ИНФРА-М, СФУ,2027. - 260 с.(П)</t>
  </si>
  <si>
    <t>СЕНСОРИКА. СОВРЕМЕННЫЕ ТЕХНОЛОГИИ МИКРО- И НАНОЭЛЕКТРОНИКИ, ИЗД.1</t>
  </si>
  <si>
    <t>Патрушева Т. Н.</t>
  </si>
  <si>
    <t>978-5-16-020936-4</t>
  </si>
  <si>
    <t>11.03.03, 11.04.03, 12.03.01, 12.03.02, 12.03.05, 28.03.02, 28.04.01, 28.04.02</t>
  </si>
  <si>
    <t>Рекомендовано Учебно-методическим объединением по образованию в области радиотехники, электроники, биомедицинской техники и автоматизации в качестве учебного пособия для студентов вузов по направлению 210200</t>
  </si>
  <si>
    <t>367000.11.01</t>
  </si>
  <si>
    <t>Сенсорный анализ продовольсв. товаров на предпр..: Уч. / Н.В.Заворохина - 2 изд. - М: ИНФРА-М, 2026 - 172 с.(ВО)(п)</t>
  </si>
  <si>
    <t>СЕНСОРНЫЙ АНАЛИЗ ПРОДОВОЛЬСТВЕННЫХ ТОВАРОВ НА ПРЕДПРИЯТИЯХ ПИЩЕВОЙ ПРОМЫШЛЕННОСТИ, ТОРГОВЛИ И ОБЩЕСТВЕННОГО ПИТАНИЯ, ИЗД.2</t>
  </si>
  <si>
    <t>Заворохина Н.В., Голуб О.В., Позняковский В.М.</t>
  </si>
  <si>
    <t>978-5-16-017965-0</t>
  </si>
  <si>
    <t>19.03.04, 19.04.04, 38.03.06, 38.03.07, 38.04.07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</si>
  <si>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38.03.07 «Товароведение», 19.03.04 «Технология продукции и организация общественного питания», 38.03.06 «Торговое дело», 19.03.01 «Пищевая биотехнология» (квалификация (степень) «бакалавр») (протокол № 7 от 21.09.2022)</t>
  </si>
  <si>
    <t>367000.06.01</t>
  </si>
  <si>
    <t>Сенсорный анализ продовольств. товаров на предпр.: Уч. / Н.В.Заворохина-М.:НИЦ ИНФРА-М,2021-144с(ВО)(О)</t>
  </si>
  <si>
    <t>СЕНСОРНЫЙ АНАЛИЗ ПРОДОВОЛЬСТВЕННЫХ ТОВАРОВ НА ПРЕДПРИЯТИЯХ ПИЩЕВОЙ ПРОМЫШЛЕННОСТИ, ТОРГОВЛИ И ОБЩЕСТВЕННОГО ПИТАНИЯ, ИЗД.1</t>
  </si>
  <si>
    <t>978-5-16-011493-4</t>
  </si>
  <si>
    <t>Рекомендовано в качестве учебника для студентов высших учебных заведений, обучающихся по направлениям подготовки 38.03.07 «Товароведение», 19.03.04 «Технология продукции и организация общественного питания», 38.03.06 «Торговое дело» (квалификация (степень) «бакалавр»)</t>
  </si>
  <si>
    <t>654677.04.01</t>
  </si>
  <si>
    <t>Сервис: термины и понятия: Сл. / Под ред. Гойхмана О.Я. - М.:НИЦ ИНФРА-М,2026 - 239 с.(Б-ка сл. ИНФРА-М)(П)</t>
  </si>
  <si>
    <t>СЕРВИС: ТЕРМИНЫ И ПОНЯТИЯ, ИЗД.1</t>
  </si>
  <si>
    <t>Гойхман О.Я., Зворыкина Т.И., Гончарова Л.М. и др.</t>
  </si>
  <si>
    <t>978-5-16-014474-0</t>
  </si>
  <si>
    <t>43.02.06, 43.02.16, 43.03.01, 43.03.02, 43.03.03, 43.04.01, 43.04.02, 43.04.03</t>
  </si>
  <si>
    <t>736523.08.01</t>
  </si>
  <si>
    <t>Сервисная деятельность: Уч. / Г.А.Резник - М.:НИЦ ИНФРА-М,2026 - 202 с.-(СПО)(П)</t>
  </si>
  <si>
    <t>СЕРВИСНАЯ ДЕЯТЕЛЬНОСТЬ, ИЗД.1</t>
  </si>
  <si>
    <t>Резник Г.А., Маскаева А.И., Пономаренко Ю.С.</t>
  </si>
  <si>
    <t>978-5-16-016211-9</t>
  </si>
  <si>
    <t>08.02.14, 42.02.08, 42.02.12, 43.02.02, 43.02.04, 43.02.06, 43.02.07, 43.02.16, 43.02.17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</si>
  <si>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43.02.00 «Сервис и туризм» (протокол № 3 от 17.02.2020)</t>
  </si>
  <si>
    <t>426700.08.01</t>
  </si>
  <si>
    <t>Сервисная деятельность: Уч. / Г.А.Резник и др. - М.:НИЦ ИНФРА-М,2024 - 202 с.-(ВО: Бакалавриат)(П)</t>
  </si>
  <si>
    <t>978-5-16-005710-1</t>
  </si>
  <si>
    <t>38.03.02, 38.04.02, 41.03.06, 43.03.01, 43.03.03, 43.04.01</t>
  </si>
  <si>
    <t>Рекомендуется в качестве учебника для студентов высших учебных заведений, обучающихся по направлению подготовки 43.03.01 «Сервис»</t>
  </si>
  <si>
    <t>132550.20.01</t>
  </si>
  <si>
    <t>Сервисное обслуж. автомобильного транспорта: Уч.пос. / В.А.Стуканов - М.:НИЦ ИНФРА-М,2026. - 207 с.(СПО)(п)</t>
  </si>
  <si>
    <t>СЕРВИСНОЕ ОБСЛУЖИВАНИЕ АВТОМОБИЛЬНОГО ТРАНСПОРТА, ИЗД.1</t>
  </si>
  <si>
    <t>978-5-16-021146-6</t>
  </si>
  <si>
    <t>23.01.03, 23.01.17, 23.02.03, 23.02.07, 43.02.06</t>
  </si>
  <si>
    <t>Рекомендовано в качестве учебного пособия для студентов учреждений среднего профессионального образования, обучающихся по специальности 23.02.03 «Техническое обслуживание и ремонт автомобильного транспорта»</t>
  </si>
  <si>
    <t>100100.18.01</t>
  </si>
  <si>
    <t>Сестринское дело в терапии с курсом первич..: Уч.пос. / В.Г.Лычев - 3 изд. - ИНФРА-М, 2027 - 432 с.(СПО)(п)</t>
  </si>
  <si>
    <t>СЕСТРИНСКОЕ ДЕЛО В ТЕРАПИИ С КУРСОМ ПЕРВИЧНОЙ МЕДИЦИНСКОЙ ПОМОЩИ. РУКОВОДСТВО ПО ПРОВЕДЕНИЮ ПРАКТИЧЕСКИХ ЗАНЯТИЙ, ИЗД.3</t>
  </si>
  <si>
    <t>978-5-16-022433-6</t>
  </si>
  <si>
    <t>31.02.01, 31.02.02, 34.01.01, 34.02.01, 34.02.02</t>
  </si>
  <si>
    <t>083350.14.01</t>
  </si>
  <si>
    <t>Сестринское дело в терапии. С курсом...: Уч. пос. / В.Г.Лычев - 2 изд. - М.:Форум: Инфра-М, 2026 - 543 с.(ПО) (п)</t>
  </si>
  <si>
    <t>СЕСТРИНСКОЕ ДЕЛО В ТЕРАПИИ. С КУРСОМ ПЕРВИЧНОЙ МЕДИЦИНСКОЙ ПОМОЩИ, ИЗД.2</t>
  </si>
  <si>
    <t>Лычев В. Г., Карманов В. К.</t>
  </si>
  <si>
    <t>978-5-16-021450-4</t>
  </si>
  <si>
    <t>210400.09.01</t>
  </si>
  <si>
    <t>Сестринское дело при инфекц. забол.: Уч.пос. / И.В.Колмаков - М.:ИЦ РИОР:НИЦ ИНФРА-М,2026 - 256 с.(ПО) (п)</t>
  </si>
  <si>
    <t>СЕСТРИНСКОЕ ДЕЛО ПРИ ИНФЕКЦИОННЫХ ЗАБОЛЕВАНИЯХ, ИЗД.1</t>
  </si>
  <si>
    <t>Колмаков И.В.</t>
  </si>
  <si>
    <t>978-5-369-01219-2</t>
  </si>
  <si>
    <t>31.02.01, 31.02.02, 32.02.01</t>
  </si>
  <si>
    <t>Рекомендовано в качестве учебного пособия для студентов, обучающихся в учебных заведениях, рализующих программы среднего профессионального образования по специальностям 060501 «Сестринское дело», 060101 «Лечебное дело» (повышенный уровень), 060102 «А</t>
  </si>
  <si>
    <t>375900.02.98</t>
  </si>
  <si>
    <t>Сетевая модель формирования рос нац. иннов..: Моногр./ А.Е.Суглобов-М.:ИЦ РИОР,НИЦ ИНФРА-М,2017-137с</t>
  </si>
  <si>
    <t>СЕТЕВАЯ МОДЕЛЬ ФОРМИРОВАНИЯ РОССИЙСКОЙ НАЦИОНАЛЬНОЙ ИННОВАЦИОННОЙ СИСТЕМЫ, ИЗД.1</t>
  </si>
  <si>
    <t>Суглобов А.Е., Смирнова Е.В.</t>
  </si>
  <si>
    <t>978-5-369-01442-4</t>
  </si>
  <si>
    <t>02.04.03, 19.04.02, 22.04.02, 23.04.03, 25.04.01, 25.04.02, 25.04.03, 25.04.04, 27.03.05, 27.04.07, 38.03.01</t>
  </si>
  <si>
    <t>Объединенный центр исследований и разработок</t>
  </si>
  <si>
    <t>375900.06.01</t>
  </si>
  <si>
    <t>Сетевая модель формирования рос нац..: Моногр./ А.Е.Суглобов - 2 изд. - М.:ИЦ РИОР,НИЦ ИНФРА-М,2022-137с(О)</t>
  </si>
  <si>
    <t>СЕТЕВАЯ МОДЕЛЬ РОС. НАЦ.  ИННОВАЦИОННОЙ СИСТЕМЫ: ФОРМИРОВАНИЕ И РАЗВИТИЕ, ИЗД.2</t>
  </si>
  <si>
    <t>978-5-369-01755-5</t>
  </si>
  <si>
    <t>670750.03.01</t>
  </si>
  <si>
    <t>Сибирский текст в нац. сюжетном пространстве: Моногр. / И.А.Айзикова.-М.:НИЦ ИНФРА-М, СФУ,2021.-237 с.(П)</t>
  </si>
  <si>
    <t>СИБИРСКИЙ ТЕКСТ В НАЦИОНАЛЬНОМ СЮЖЕТНОМ ПРОСТРАНСТВЕ, ИЗД.1</t>
  </si>
  <si>
    <t>Айзикова И.А., Анисимов К.В., Замятин Д.Н. и др.</t>
  </si>
  <si>
    <t>978-5-16-016947-7</t>
  </si>
  <si>
    <t>779602.01.01</t>
  </si>
  <si>
    <t>Сибирь-2021. Развитие продолжается: Моногр. / В.В.Куимов-М.:НИЦ ИНФРА-М,2022.-420 с.(Науч.мысль)(П)</t>
  </si>
  <si>
    <t>СИБИРЬ-2021. РАЗВИТИЕ ПРОДОЛЖАЕТСЯ, ИЗД.1</t>
  </si>
  <si>
    <t>Куимов В.В., Жиронкин С.А., Демченко С.К. и др.</t>
  </si>
  <si>
    <t>978-5-16-017834-9</t>
  </si>
  <si>
    <t>05.04.02, 38.04.01, 38.04.04, 38.05.01, 38.05.02, 38.06.01, 44.04.04</t>
  </si>
  <si>
    <t>809296.01.01</t>
  </si>
  <si>
    <t>Сибирь-2023. На пути соц.-экономич. трансформации: Моногр. / В.В.Куимов-М.:НИЦ ИНФРА-М,2024.-222 с.(п)</t>
  </si>
  <si>
    <t>СИБИРЬ-2023. НА ПУТИ СОЦИАЛЬНО-ЭКОНОМИЧЕСКОЙ ТРАНСФОРМАЦИИ, ИЗД.1</t>
  </si>
  <si>
    <t>Куимов В.В., Сердюк С.С., Ямщиков А.С. и др.</t>
  </si>
  <si>
    <t>978-5-16-019164-5</t>
  </si>
  <si>
    <t>05.04.02, 05.06.01, 38.03.01, 38.04.01, 38.04.04, 38.05.01, 38.06.01, 41.03.02, 41.06.01, 44.04.04</t>
  </si>
  <si>
    <t>768437.01.01</t>
  </si>
  <si>
    <t>Сигналы и процессы в радиоэлектронике: Уч. / Ю.Б.Гимпилевич-М.:НИЦ ИНФРА-М,2024.-245 с.(ВО (СевГУ))(п)</t>
  </si>
  <si>
    <t>СИГНАЛЫ И ПРОЦЕССЫ В РАДИОЭЛЕКТРОНИКЕ, ИЗД.1</t>
  </si>
  <si>
    <t>Гимпилевич Ю.Б.</t>
  </si>
  <si>
    <t>Высшее образование (СевГУ)</t>
  </si>
  <si>
    <t>978-5-16-017413-6</t>
  </si>
  <si>
    <t>11.03.01, 11.03.02, 11.03.03, 11.03.04, 11.05.01</t>
  </si>
  <si>
    <t>Рекомендовано Учебно-методическим объединением для бакалавров высших учебных заведений, обучающихся по направлениям и специальностям УГСН 11.00.00 «Электроника, радиотехника и системы связи»</t>
  </si>
  <si>
    <t>377800.11.01</t>
  </si>
  <si>
    <t>Силовая электроника...: Уч.поc. / Г.Б.Онищенко - М.:НИЦ ИНФРА-М,2027 - 122 c.(ВО:Бакалавр.)(о)</t>
  </si>
  <si>
    <t>СИЛОВАЯ ЭЛЕКТРОНИКА: СИЛОВЫЕ ПОЛУПРОВОДНИКОВЫЕ ПРЕОБРАЗОВАТЕЛИ ДЛЯ ЭЛЕКТРОПРИВОДА И ЭЛЕКТРОСНАБЖЕНИЯ, ИЗД.1</t>
  </si>
  <si>
    <t>Онищенко Г.Б., Соснин О.М.</t>
  </si>
  <si>
    <t>978-5-16-011120-9</t>
  </si>
  <si>
    <t>Рекомендовано в качестве учебного пособия для бакалавров и магистров, обучающихся по направлениям 13.03.02 и 13.04.02 «Электроэнергетика и электротехника»</t>
  </si>
  <si>
    <t>723348.06.01</t>
  </si>
  <si>
    <t>Силовая электроника: Уч.пос. / Г.Б.Онищенко - М.:НИЦ ИНФРА-М,2026 - 122 c.(О)</t>
  </si>
  <si>
    <t>978-5-16-015776-4</t>
  </si>
  <si>
    <t>13.02.01, 13.02.02, 13.02.07, 13.02.08, 13.02.09, 13.02.12, 13.02.13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</si>
  <si>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8 от 22.06.2020)</t>
  </si>
  <si>
    <t>860844.01.01</t>
  </si>
  <si>
    <t>Силовые агрегаты: Уч.пос. / В.А.Ганжа и др. - М.:НИЦ ИНФРА-М, СФУ,2026. - 156 с.(ВО (СФУ))(п)</t>
  </si>
  <si>
    <t>СИЛОВЫЕ АГРЕГАТЫ, ИЗД.1</t>
  </si>
  <si>
    <t>Ганжа В.А., Безбородов Ю.Н., Сатышев А.С.</t>
  </si>
  <si>
    <t>978-5-16-021386-6</t>
  </si>
  <si>
    <t>806477.01.01</t>
  </si>
  <si>
    <t>Силосование: совр. подходы к консервир..: Моногр./ Е.В.Косолапова-М.:НИЦ ИНФРА-М,2024.-216 с(Науч.мысль)(о)</t>
  </si>
  <si>
    <t>СИЛОСОВАНИЕ: СОВРЕМЕННЫЕ ПОДХОДЫ К КОНСЕРВИРОВАНИЮ ТРУДНОСИЛОСУЕМЫХ РАСТЕНИЙ, ИЗД.1</t>
  </si>
  <si>
    <t>Косолапова Е.В., Кучин Н.Н., Косолапов В.В.</t>
  </si>
  <si>
    <t>978-5-16-018792-1</t>
  </si>
  <si>
    <t>36.04.02, 36.05.01, 36.06.01</t>
  </si>
  <si>
    <t>651699.11.01</t>
  </si>
  <si>
    <t>Сильное гос. как опред. фактор общ. прогресса: Моногр. / А.Д.Керимов - М:Норма,НИЦ ИНФРА-М,2025 - 96 с(О)</t>
  </si>
  <si>
    <t>СИЛЬНОЕ ГОСУДАРСТВО КАК ОПРЕДЕЛЯЮЩИЙ ФАКТОР ОБЩЕСТВЕННОГО ПРОГРЕССА, ИЗД.1</t>
  </si>
  <si>
    <t>Керимов А.Д., Куксин И.Н.</t>
  </si>
  <si>
    <t>978-5-91768-816-9</t>
  </si>
  <si>
    <t>772066.05.01</t>
  </si>
  <si>
    <t>Символы в праве, правовой науке и юридич. образ.: Моногр. / И.В.Мальцев - М.:НОРМА,2027. - 256 с.(П)</t>
  </si>
  <si>
    <t>СИМВОЛЫ В ПРАВЕ, ПРАВОВОЙ НАУКЕ И ЮРИДИЧЕСКОМ ОБРАЗОВАНИИ, ИЗД.1</t>
  </si>
  <si>
    <t>Мальцев И.В.</t>
  </si>
  <si>
    <t>978-5-00156-221-4</t>
  </si>
  <si>
    <t>727003.01.01</t>
  </si>
  <si>
    <t>Симметрия заблуждений: Факторы неопределенности...: Моногр. / В.Д.Миловидов - М.:Магистр,2019 - 336с(П)</t>
  </si>
  <si>
    <t>СИММЕТРИЯ ЗАБЛУЖДЕНИЙ: ФАКТОРЫ НЕОПРЕДЕЛЕННОСТИ ФИНАНСОВОГО РЫНКА В УСЛОВИЯХ ТЕХНОЛОГИЧЕСКОЙ РЕВОЛЮЦИИ, ИЗД.1</t>
  </si>
  <si>
    <t>Миловидов В.Д.</t>
  </si>
  <si>
    <t>978-5-9776-0509-0</t>
  </si>
  <si>
    <t>051900.19.01</t>
  </si>
  <si>
    <t>Синдромная патология, дифференц. диагност...: Уч.пос. / Г.Д.Тобулток - 3 изд. - М.:НИЦ ИНФРА-М,2026 - 336 с.(П)</t>
  </si>
  <si>
    <t>СИНДРОМНАЯ ПАТОЛОГИЯ, ДИФФЕРЕНЦИАЛЬНАЯ ДИАГНОСТИКА И ФАРМАКОТЕРАПИЯ, ИЗД.3</t>
  </si>
  <si>
    <t>Тобулток Г. Д., Иванова Н. А.</t>
  </si>
  <si>
    <t>978-5-16-016861-6</t>
  </si>
  <si>
    <t>31.02.01, 31.02.02, 31.02.03, 32.02.01, 33.02.01, 34.02.01</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</si>
  <si>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специальности 31.02.01 «Лечебное дело»</t>
  </si>
  <si>
    <t>718665.06.01</t>
  </si>
  <si>
    <t>Синергетика и герменевтика в правовед. и соц.-правовом.../ Малинова И.П.-М.:Юр.Норма, НИЦ ИНФРА-М,2024-216с.(П)</t>
  </si>
  <si>
    <t>СИНЕРГЕТИКА И ГЕРМЕНЕВТИКА В ПРАВОВЕДЕНИИ И СОЦИАЛЬНО-ПРАВОВОМ РЕГУЛИРОВАНИИ, ИЗД.1</t>
  </si>
  <si>
    <t>Малинова И.П., Абушенко Д.Б., Безбородов Ю.С. и др.</t>
  </si>
  <si>
    <t>978-5-00156-023-4</t>
  </si>
  <si>
    <t>273300.05.01</t>
  </si>
  <si>
    <t>Синергетический эффект интеграции компаний: Моногр. / А.Е.Иванов - РИОР: ИНФРА-М, 2026 -156 с.(о)</t>
  </si>
  <si>
    <t>СИНЕРГЕТИЧЕСКИЙ ЭФФЕКТ ИНТЕГРАЦИИ КОМПАНИЙ: МЕХАНИЗМ ФОРМИРОВАНИЯ, ОЦЕНКА, УЧЕТ, ИЗД.1</t>
  </si>
  <si>
    <t>Иванов А.Е.</t>
  </si>
  <si>
    <t>978-5-369-01342-7</t>
  </si>
  <si>
    <t>851298.01.01</t>
  </si>
  <si>
    <t>Синергия в соц. процессах: постдисциплинарный подход: Уч. / С.А.Кравченко - М.:НИЦ ИНФРА-М,2025. - 270 с.(ВО)(п)</t>
  </si>
  <si>
    <t>СИНЕРГИЯ В СОЦИАЛЬНЫХ ПРОЦЕССАХ: ПОСТДИСЦИПЛИНАРНЫЙ ПОДХОД, ИЗД.1</t>
  </si>
  <si>
    <t>978-5-16-020864-0</t>
  </si>
  <si>
    <t>39.03.01, 39.03.03, 41.03.06, 47.04.02</t>
  </si>
  <si>
    <t>Утверждено редакционно-издательским советом МГИМО МИД России в качестве учебника</t>
  </si>
  <si>
    <t>180400.12.01</t>
  </si>
  <si>
    <t>Синтаксис современного русского языка: Уч.пос. / М.Ю.Федосюк - М.:НИЦ ИНФРА-М,2026. - 245 с.(ВО)(п)</t>
  </si>
  <si>
    <t>СИНТАКСИС СОВРЕМЕННОГО РУССКОГО ЯЗЫКА, ИЗД.1</t>
  </si>
  <si>
    <t>Федосюк М. Ю.</t>
  </si>
  <si>
    <t>978-5-16-004872-7</t>
  </si>
  <si>
    <t>00.03.09, 44.03.01, 44.03.05, 45.03.01</t>
  </si>
  <si>
    <t>Рекомендовано УМО по образованию в области подготовки педагогических  кадров в качестве учебного пособия для студентов вузов, обучающихся по направлению 050100 "Педагогическое образование" и специальности 050301 "Русский язык и литература"</t>
  </si>
  <si>
    <t>664258.02.01</t>
  </si>
  <si>
    <t>Синтез дискретно-логических систем упр.: Уч.пос. / Н.Г.Чикуров - М.:НИЦ ИНФРА-М,2020 - 229 с.(ВО)(П)</t>
  </si>
  <si>
    <t>СИНТЕЗ ДИСКРЕТНО-ЛОГИЧЕСКИХ СИСТЕМ УПРАВЛЕНИЯ, ИЗД.1</t>
  </si>
  <si>
    <t>978-5-16-013169-6</t>
  </si>
  <si>
    <t>15.03.01, 15.03.04, 15.03.06</t>
  </si>
  <si>
    <t>Рекомендовано в качестве учебного пособия для студентов высших учебных заведений, обучающихся по направлениям подготовки 15.03.04 «Автоматизация технологических процессов и производств», 15.03.06 «Механотроника и робототехника» (квалификация (степень) «бакалавр»)</t>
  </si>
  <si>
    <t>664258.03.01</t>
  </si>
  <si>
    <t>Синтез дискретно-логических систем упр.: Уч.пос. / Н.Г.Чикуров - М.:НИЦ ИНФРА-М,2023 - 229 с.(ВО)(о)</t>
  </si>
  <si>
    <t>978-5-16-018031-1</t>
  </si>
  <si>
    <t>760953.02.01</t>
  </si>
  <si>
    <t>Система «морской порт - «сухой» порт»: Моногр. / Д.С.Муравьев - М.:НИЦ ИНФРА-М,2027 - 176 с.(Науч.мысль)(О)</t>
  </si>
  <si>
    <t>СИСТЕМА «МОРСКОЙ ПОРТ - «СУХОЙ» ПОРТ», ИЗД.1</t>
  </si>
  <si>
    <t>Муравьев Д.С., Рахмангулов А.Н., Осинцев Н.А. и др.</t>
  </si>
  <si>
    <t>978-5-16-017155-5</t>
  </si>
  <si>
    <t>23.03.01, 23.04.01, 23.06.01, 27.04.04, 27.06.01, 38.04.02, 38.06.01</t>
  </si>
  <si>
    <t>Шанхайского университета транспорта</t>
  </si>
  <si>
    <t>245400.08.01</t>
  </si>
  <si>
    <t>Система адм.права (методология, наука, регл.): Моногр. / Д.В.Осинцев - НИЦ ИНФРА-М,2025 - 228с(Науч.мысль)(О)</t>
  </si>
  <si>
    <t>СИСТЕМА АДМИНИСТРАТИВНОГО ПРАВА (МЕТОДОЛОГИЯ, НАУКА, РЕГЛАМЕНТАЦИЯ), ИЗД.1</t>
  </si>
  <si>
    <t>Осинцев Д. В.</t>
  </si>
  <si>
    <t>978-5-16-009289-8</t>
  </si>
  <si>
    <t>800901.01.01</t>
  </si>
  <si>
    <t>Система взаим. страх. в Тульской губернии во втор. пол... / Е.И.Зубарева-М.:НИЦ ИНФРА-М,2023.-173 с.(п)</t>
  </si>
  <si>
    <t>СИСТЕМА ВЗАИМНОГО СТРАХОВАНИЯ В ТУЛЬСКОЙ ГУБЕРНИИ ВО ВТОРОЙ ПОЛОВИНЕ XIX - НАЧАЛЕ XX ВЕКА, ИЗД.1</t>
  </si>
  <si>
    <t>Зубарева Е.И.</t>
  </si>
  <si>
    <t>978-5-16-018472-2</t>
  </si>
  <si>
    <t>870425.01.01</t>
  </si>
  <si>
    <t>Система высш. образования: научно-методол...: Моногр. / Под ред. Ручкина Г.Ф. - М.:НИЦ ИНФРА-М,2027. - 335 с.(п)</t>
  </si>
  <si>
    <t>СИСТЕМА ВЫСШЕГО ОБРАЗОВАНИЯ: НАУЧНО-МЕТОДОЛОГИЧЕСКОЕ И ПРАВОВОЕ ОБЕСПЕЧЕНИЕ ОБРАЗОВАТЕЛЬНОГО ПРОЦЕССА, ИЗД.1</t>
  </si>
  <si>
    <t>Ручкина Г.Ф., Попова А.В., Эскиндаров М.А. и др.</t>
  </si>
  <si>
    <t>978-5-16-021994-3</t>
  </si>
  <si>
    <t>40.04.01, 40.06.01, 44.04.01, 44.06.01</t>
  </si>
  <si>
    <t>090600.08.01</t>
  </si>
  <si>
    <t>Система гос. и муниц. управления: Уч. / В.Е.Чиркин - 5 изд. - М.:Юр.Норма,НИЦ ИНФРА-М,2018-432с.(П)</t>
  </si>
  <si>
    <t>СИСТЕМА ГОСУДАРСТВЕННОГО И МУНИЦИПАЛЬНОГО УПРАВЛЕНИЯ, ИЗД.5</t>
  </si>
  <si>
    <t>978-5-91768-365-2</t>
  </si>
  <si>
    <t>Допущено Советом Учебно-методического объединения вузов России по образованию в области менеджмента в качестве учебника по специальности "Государственное и муниципальное управление"</t>
  </si>
  <si>
    <t>090600.14.01</t>
  </si>
  <si>
    <t>Система гос. и муниц. управления: Уч. / В.Е.Чиркин - 6 изд. - М.:Юр.Норма,НИЦ ИНФРА-М,2025 - 400 с.(П)</t>
  </si>
  <si>
    <t>СИСТЕМА ГОСУДАРСТВЕННОГО И МУНИЦИПАЛЬНОГО УПРАВЛЕНИЯ, ИЗД.6</t>
  </si>
  <si>
    <t>978-5-91768-612-7</t>
  </si>
  <si>
    <t>646247.04.01</t>
  </si>
  <si>
    <t>Система гос. и муниципального управления: Уч. / А.А.Акмалова - М.:НИЦ ИНФРА-М,2026  - 414 с (П)</t>
  </si>
  <si>
    <t>СИСТЕМА ГОСУДАРСТВЕННОГО И МУНИЦИПАЛЬНОГО УПРАВЛЕНИЯ, ИЗД.1</t>
  </si>
  <si>
    <t>978-5-16-018453-1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</si>
  <si>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38.03.04 «Государственное и муниципальное управление» (квалификация (степень) «бакалавр») (протокол № 8 от 22.06.2020)</t>
  </si>
  <si>
    <t>237500.06.01</t>
  </si>
  <si>
    <t>Система договоров в гражд. праве России: Моногр. / Ю.В.Романец - 2 изд. - М.:Юр.Норма, НИЦ ИНФРА-М,2025. - 496 с.(П)</t>
  </si>
  <si>
    <t>СИСТЕМА ДОГОВОРОВ В ГРАЖДАНСКОМ ПРАВЕ РОССИИ, ИЗД.2</t>
  </si>
  <si>
    <t>Романец Ю. В., Яковлев В. Ф.</t>
  </si>
  <si>
    <t>978-5-91768-434-5</t>
  </si>
  <si>
    <t>276700.08.01</t>
  </si>
  <si>
    <t>Система интенсивного обуч. в высших учебных...: Моногр. / А.О.Горбенко - М:КУРС: ИНФРА-М,2024-240с.(О)</t>
  </si>
  <si>
    <t>СИСТЕМА ИНТЕНСИВНОГО ОБУЧЕНИЯ В ВЫСШИХ УЧЕБНЫХ ЗАВЕДЕНИЯХ. ТЕОРИЯ И ПРАКТИКА, ИЗД.1</t>
  </si>
  <si>
    <t>Горбенко А. О., Мамасуев А. В.</t>
  </si>
  <si>
    <t>Наука</t>
  </si>
  <si>
    <t>978-5-905554-56-8</t>
  </si>
  <si>
    <t>423250.10.01</t>
  </si>
  <si>
    <t>Система качества вуза: Моногр. / В.В.Левшина - М.:НИЦ ИНФРА-М,2026.- 280 с.(Научная мысль)(П)</t>
  </si>
  <si>
    <t>СИСТЕМА КАЧЕСТВА ВУЗА, ИЗД.1</t>
  </si>
  <si>
    <t>Левшина В.В.</t>
  </si>
  <si>
    <t>978-5-16-006574-8</t>
  </si>
  <si>
    <t>708099.07.01</t>
  </si>
  <si>
    <t>Система контроля в сфере гос. упр.: Моногр. / С.М.Зубарев - М.:Юр.Норма, НИЦ ИНФРА-М,2026 - 152 с.(П)</t>
  </si>
  <si>
    <t>СИСТЕМА КОНТРОЛЯ В СФЕРЕ ГОСУДАРСТВЕННОГО УПРАВЛЕНИЯ, ИЗД.1</t>
  </si>
  <si>
    <t>Зубарев С.М.</t>
  </si>
  <si>
    <t>978-5-91768-659-2</t>
  </si>
  <si>
    <t>764847.01.01</t>
  </si>
  <si>
    <t>Система контроля экологич. устой. экономич. субъектов: Моногр. / Л.В.Чхутиашвили-М.:НИЦ ИНФРА-М,2022.-226 с(О)</t>
  </si>
  <si>
    <t>СИСТЕМА КОНТРОЛЯ ЭКОЛОГИЧЕСКОЙ УСТОЙЧИВОСТИ ЭКОНОМИЧЕСКИХ СУБЪЕКТОВ, ИЗД.1</t>
  </si>
  <si>
    <t>Чхутиашвили Л.В.</t>
  </si>
  <si>
    <t>978-5-16-017196-8</t>
  </si>
  <si>
    <t>05.04.06, 05.06.01, 38.04.01, 38.06.01</t>
  </si>
  <si>
    <t>668759.01.01</t>
  </si>
  <si>
    <t>Система культуры: новые детерминанты... Моногр. / Е.А.Ноздренко-М.:НИЦ ИНФРА-М, СФУ,2018-156с</t>
  </si>
  <si>
    <t>СИСТЕМА КУЛЬТУРЫ: НОВЫЕ ДЕТЕРМИНАНТЫ. РЕКЛАМА КАК ФАКТОР СОВРЕМЕННОГО КУЛЬТУРНО-ИСТОРИЧЕСКОГО ПРОЦЕССА, ИЗД.1</t>
  </si>
  <si>
    <t>Ноздренко Е.А., Копцева Н.П.</t>
  </si>
  <si>
    <t>978-5-16-013317-1</t>
  </si>
  <si>
    <t>161150.10.01</t>
  </si>
  <si>
    <t>Система менеджм.качества организации: Уч.пос. / С.М.Вдовин - М.:НИЦ ИНФРА-М,2024 - 299 с.(ВО)(п)</t>
  </si>
  <si>
    <t>СИСТЕМА МЕНЕДЖМЕНТА КАЧЕСТВА ОРГАНИЗАЦИИ, ИЗД.1</t>
  </si>
  <si>
    <t>Вдовин С.М., Салимова Т.А., Бирюкова Л.И.</t>
  </si>
  <si>
    <t>978-5-16-019496-7</t>
  </si>
  <si>
    <t>27.03.01, 27.03.02, 27.04.01, 27.04.02, 27.04.05, 38.04.04, 43.02.06, 43.02.16, 55.02.01</t>
  </si>
  <si>
    <t>Рекомендовано в качестве учебного пособия для студентов высших учебных заведений, обучающихся по направлениям  38.03.02 «Менеджмент», 27.03.02 «Управление качеством»</t>
  </si>
  <si>
    <t>161150.11.01</t>
  </si>
  <si>
    <t>Система менеджмента качества организации: Уч.пос. / С.М.Вдовин - 2 изд. - М.:НИЦ ИНФРА-М,2026. - 343 с.(ВО)(п)</t>
  </si>
  <si>
    <t>СИСТЕМА МЕНЕДЖМЕНТА КАЧЕСТВА ОРГАНИЗАЦИИ, ИЗД.2</t>
  </si>
  <si>
    <t>978-5-16-019548-3</t>
  </si>
  <si>
    <t>800198.01.01</t>
  </si>
  <si>
    <t>Система налогообложения физ. лиц в РФ: Моногр./ Д.Ю.Бобошко-М.:НИЦ ИНФРА-М,2024.-225 с.(Науч.мысль)(о)</t>
  </si>
  <si>
    <t>СИСТЕМА НАЛОГООБЛОЖЕНИЯ ФИЗИЧЕСКИХ ЛИЦ В РОССИЙСКОЙ ФЕДЕРАЦИИ, ИЗД.1</t>
  </si>
  <si>
    <t>Бобошко Д.Ю.</t>
  </si>
  <si>
    <t>978-5-16-019066-2</t>
  </si>
  <si>
    <t>260600.08.01</t>
  </si>
  <si>
    <t>Система письма в англ. яз. и совр. узус: Моногр. / Н.К.Иванова. - М.:ИЦ РИОР, НИЦ ИНФРА-М,2026  - 238 с.(о)</t>
  </si>
  <si>
    <t>СИСТЕМА ПИСЬМА В АНГЛИЙСКОМ ЯЗЫКЕ И СОВРЕМЕННЫЙ УЗУС: ЯЗЫК, ВИРТУАЛЬНАЯ КОММУНИКАЦИЯ, РЕКЛАМА, ИЗД.1</t>
  </si>
  <si>
    <t>Иванова Н.К., Кузьмина Р.В., Мощева С.В.</t>
  </si>
  <si>
    <t>978-5-369-01324-3</t>
  </si>
  <si>
    <t>838344.02.01</t>
  </si>
  <si>
    <t>Система подготов. сотр. полиции к раб. с подрост. в центр..: Моногр. / М.А.Ерофеева - М.:ИНФРА-М,2027 - 185 с.(п)</t>
  </si>
  <si>
    <t>СИСТЕМА ПОДГОТОВКИ СОТРУДНИКОВ ПОЛИЦИИ К РАБОТЕ С ПОДРОСТКАМИ В ЦЕНТРАХ ВРЕМЕННОГО СОДЕРЖАНИЯ ДЛЯ НЕСОВЕРШЕННОЛЕТНИХ ПРАВОНАРУШИТЕЛЕЙ, ИЗД.1</t>
  </si>
  <si>
    <t>Ерофеева М.А., Мироненкова О.Л.</t>
  </si>
  <si>
    <t>978-5-16-020329-4</t>
  </si>
  <si>
    <t>858717.01.01</t>
  </si>
  <si>
    <t>Система риторических фигур мысли в совр. православ. публиц. / М.И.Тарасов - М.:НИЦ ИНФРА-М,2026. - 271 с.(п)</t>
  </si>
  <si>
    <t>СИСТЕМА РИТОРИЧЕСКИХ ФИГУР МЫСЛИ В СОВРЕМЕННОЙ ПРАВОСЛАВНОЙ ПУБЛИЦИСТИКЕ, ИЗД.1</t>
  </si>
  <si>
    <t>Тарасов М.И.</t>
  </si>
  <si>
    <t>978-5-16-021207-4</t>
  </si>
  <si>
    <t>42.04.02, 42.04.05, 45.04.02, 45.06.01, 48.04.01, 48.06.01, 52.05.04</t>
  </si>
  <si>
    <t>837078.01.01</t>
  </si>
  <si>
    <t>Система сбора и подготовки скважин. продук.: Уч.пос.: Ч.1 / Н.В.Чухарева-М.:НИЦ ИНФРА-М, СФУ,2025.-188 с.(ВО)(п)</t>
  </si>
  <si>
    <t>СИСТЕМА СБОРА И ПОДГОТОВКИ СКВАЖИННОЙ ПРОДУКЦИИ: В 2 Ч.Ч.1. ОБЕСПЕЧЕНИЕ СБОРА, ПОДГОТОВКИ, ТРАНСПОРТА И ХРАНЕНИЯ УГЛЕВОДОРОДОВ НА МЕСТОРОЖДЕНИЯХ НЕФТИ, Т.1</t>
  </si>
  <si>
    <t>Чухарева Н.В., Квеско Н.Г.</t>
  </si>
  <si>
    <t>978-5-16-020173-3</t>
  </si>
  <si>
    <t>837069.01.01</t>
  </si>
  <si>
    <t>Система сбора и подготовки скважинной прод.: Уч.пос. Ч.2 / Н.В.Чухарева - М.:НИЦ ИНФРА-М, СФУ,2025-190с(п)</t>
  </si>
  <si>
    <t>СИСТЕМА СБОРА И ПОДГОТОВКИ СКВАЖИННОЙ ПРОДУКЦИИ: В 2 Ч. Ч. 2. ПОДГОТОВКА НЕФТИ И ГАЗА С УТИЛИЗАЦИЕЙ ОТХОДОВ ПРОИЗВОДСТВА, Т.2</t>
  </si>
  <si>
    <t>978-5-16-020174-0</t>
  </si>
  <si>
    <t>418500.09.01</t>
  </si>
  <si>
    <t>Система способов защиты вещных прав: Моногр. / С.А.Краснова - М.: НИЦ Инфра-М, 2026 - 148 с.(О)</t>
  </si>
  <si>
    <t>СИСТЕМА СПОСОБОВ ЗАЩИТЫ ВЕЩНЫХ ПРАВ, ИЗД.1</t>
  </si>
  <si>
    <t>Краснова С.А.</t>
  </si>
  <si>
    <t>978-5-16-006264-8</t>
  </si>
  <si>
    <t>700863.02.01</t>
  </si>
  <si>
    <t>Система средств индивидуализации физ. лиц как...: Моногр. / С.В.Лукашевич-М.:НИЦ ИНФРА-М,2023.-197с(О)</t>
  </si>
  <si>
    <t>СИСТЕМА СРЕДСТВ ИНДИВИДУАЛИЗАЦИИ ФИЗИЧЕСКИХ ЛИЦ КАК СУБЪЕКТОВ ГРАЖДАНСКОГО ПРАВА, ИЗД.1</t>
  </si>
  <si>
    <t>Лукашевич С.В.</t>
  </si>
  <si>
    <t>978-5-16-014865-6</t>
  </si>
  <si>
    <t>776555.01.01</t>
  </si>
  <si>
    <t>Система управ. рисками в таможенном деле: Уч. / В.И.Бережной.-М.:НИЦ ИНФРА-М,2024.-213 с.(ВО.Сп)(п)</t>
  </si>
  <si>
    <t>СИСТЕМА УПРАВЛЕНИЯ РИСКАМИ В ТАМОЖЕННОМ ДЕЛЕ, ИЗД.1</t>
  </si>
  <si>
    <t>Бережной В.И., Марцева Т.Г., Бережная О.В. и др.</t>
  </si>
  <si>
    <t>978-5-16-018152-3</t>
  </si>
  <si>
    <t>646391.04.01</t>
  </si>
  <si>
    <t>Система управления регион.развитием..: Моногр. / И.Л.Литвиненко - М.:ИЦ РИОР, НИЦ ИНФРА-М,2025 - 204 с.(О)</t>
  </si>
  <si>
    <t>СИСТЕМА УПРАВЛЕНИЯ РЕГИОНАЛЬНЫМ РАЗВИТИЕМ НА ОСНОВЕ ИННОВАЦИОННО-ИНВЕСТИЦИОННОЙ МОДЕЛИ, ИЗД.1</t>
  </si>
  <si>
    <t>Литвиненко И.Л.</t>
  </si>
  <si>
    <t>978-5-369-01630-5</t>
  </si>
  <si>
    <t>27.04.05, 27.04.07, 38.03.01</t>
  </si>
  <si>
    <t>656208.06.01</t>
  </si>
  <si>
    <t>Система финанс.контроллинга бизнес-процессов в пром.холдингах: Моногр. / Е.А.Хлевная - М.:НИЦ ИНФРА-М,2024-289с(П)</t>
  </si>
  <si>
    <t>СИСТЕМА ФИНАНСОВОГО КОНТРОЛЛИНГА БИЗНЕС-ПРОЦЕССОВ В ПРОМЫШЛЕННЫХ ХОЛДИНГАХ, ИЗД.1</t>
  </si>
  <si>
    <t>Хлевная Е.А.</t>
  </si>
  <si>
    <t>978-5-16-012868-9</t>
  </si>
  <si>
    <t>474800.06.01</t>
  </si>
  <si>
    <t>Система формир. уч. деят. мл. школ.: Уч.пос. /Г.И.Вергелес -3 изд. -М.: НИЦ ИНФРА-М, 2023 -174с(П)</t>
  </si>
  <si>
    <t>СИСТЕМА ФОРМИРОВАНИЯ УЧЕБНОЙ ДЕЯТЕЛЬНОСТИ МЛАДШИХ ШКОЛЬНИКОВ, ИЗД.3</t>
  </si>
  <si>
    <t>Вергелес Г.И.</t>
  </si>
  <si>
    <t>978-5-16-011636-5</t>
  </si>
  <si>
    <t>Допущено Учебно-методическим объединением по направлению «Педагогическое образование» Министерства образования и науки Российской Федерации в качестве учебного пособия для высших учебных заведений, ведущих подготовку по направлению 44.03.01 «Педагогическое образование»</t>
  </si>
  <si>
    <t>706848.05.01</t>
  </si>
  <si>
    <t>Система формирования учеб. деят. младших шк.: Уч.пос. / Г.И.Вергелес - 3 изд. - М.:НИЦ ИНФРА-М,2026 - 174 с.(П)</t>
  </si>
  <si>
    <t>978-5-16-015122-9</t>
  </si>
  <si>
    <t>44.02.02, 44.02.03, 44.02.04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</si>
  <si>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44.02.02 «Преподавание в начальных классах» (протокол № 12 от 24.06.2019)</t>
  </si>
  <si>
    <t>398700.07.01</t>
  </si>
  <si>
    <t>Система экол. восп. дошкольников: Уч.пос. / С.Н.Николаева - 2 изд.-М.:НИЦ ИНФРА-М,2022-255 с.(ВО)(П)</t>
  </si>
  <si>
    <t>СИСТЕМА ЭКОЛОГИЧЕСКОГО ВОСПИТАНИЯ ДОШКОЛЬНИКОВ, ИЗД.2</t>
  </si>
  <si>
    <t>978-5-16-011275-6</t>
  </si>
  <si>
    <t>Рекомендовано в качестве учебного пособия студентам высших учебных заведений, обучающимся по направлению подготовки 44.03.01 «Педагогическое образование» (квалификация (степень) «бакалавр»)</t>
  </si>
  <si>
    <t>398700.10.01</t>
  </si>
  <si>
    <t>Система экол. воспит. дошкольников: Уч.пос. / С.Н.Николаева  - 3 изд - М.:НИЦ ИНФРА-М,2026  -  247 с.(ВО:Магистр)(п)</t>
  </si>
  <si>
    <t>СИСТЕМА ЭКОЛОГИЧЕСКОГО ВОСПИТАНИЯ ДОШКОЛЬНИКОВ, ИЗД.3</t>
  </si>
  <si>
    <t>978-5-16-017537-9</t>
  </si>
  <si>
    <t>827990.03.01</t>
  </si>
  <si>
    <t>Система экономич. безопас. организации: Уч.пос. / Н.Г.Гаджиев. - М.:НИЦ ИНФРА-М,2026. - 300 с.(ВО)(п)</t>
  </si>
  <si>
    <t>СИСТЕМА ЭКОНОМИЧЕСКОЙ БЕЗОПАСНОСТИ ОРГАНИЗАЦИИ, ИЗД.1</t>
  </si>
  <si>
    <t>Гаджиев Н.Г., Коноваленко С.А., Торженова Т.В. и др.</t>
  </si>
  <si>
    <t>978-5-16-020018-7</t>
  </si>
  <si>
    <t>10.05.04, 38.03.01, 38.04.01, 38.05.01, 38.05.02</t>
  </si>
  <si>
    <t>868800.01.01</t>
  </si>
  <si>
    <t>Систематизация ведомств. норматив. правовых актов: Моногр. / Г.А.Шитов - М.:НИЦ ИНФРА-М,2027. - 186 с.(п)</t>
  </si>
  <si>
    <t>СИСТЕМАТИЗАЦИЯ ВЕДОМСТВЕННЫХ НОРМАТИВНЫХ ПРАВОВЫХ АКТОВ: СОДЕРЖАНИЕ И ПРОЦЕДУРЫ, ИЗД.1</t>
  </si>
  <si>
    <t>Шитов Г.А.</t>
  </si>
  <si>
    <t>978-5-16-021691-1</t>
  </si>
  <si>
    <t>38.04.04, 38.06.01, 40.04.01, 40.05.01, 40.05.02, 40.05.03, 40.05.04, 40.06.01</t>
  </si>
  <si>
    <t>801692.01.01</t>
  </si>
  <si>
    <t>Системная поддержка творческой деятельности...: Уч./ Э.А.Соснин - М.:НИЦ ИНФРА-М,2025. - 390 с.(ВО)(п)</t>
  </si>
  <si>
    <t>СИСТЕМНАЯ ПОДДЕРЖКА ТВОРЧЕСКОЙ ДЕЯТЕЛЬНОСТИ: ЗАДАЧИ, ИНСТРУМЕНТЫ, МЕТОДОЛОГИЯ, ИЗД.1</t>
  </si>
  <si>
    <t>978-5-16-018478-4</t>
  </si>
  <si>
    <t>665723.08.01</t>
  </si>
  <si>
    <t>Системное упр.перевозочным процес.на ж/д транспорте: Моногр./ Д.Ю.Левин - М.:НИЦ ИНФРА-М,2026 - 313 с.(П)</t>
  </si>
  <si>
    <t>СИСТЕМНОЕ УПРАВЛЕНИЕ ПЕРЕВОЗОЧНЫМ ПРОЦЕССОМ НА ЖЕЛЕЗНОДОРОЖНОМ ТРАНСПОРТЕ, ИЗД.1</t>
  </si>
  <si>
    <t>978-5-16-012368-4</t>
  </si>
  <si>
    <t>270600.08.01</t>
  </si>
  <si>
    <t>Системное управ. качеством и экологич. аспектами: Уч. / И.Т.Заика - М.:Вуз. уч.:ИНФРА-М,2025 - 384 с. (п)</t>
  </si>
  <si>
    <t>СИСТЕМНОЕ УПРАВЛЕНИЕ КАЧЕСТВОМ И ЭКОЛОГИЧЕСКИМИ АСПЕКТАМИ, ИЗД.1</t>
  </si>
  <si>
    <t>Заика И. Т., Смоленцев В. М., Федулов Ю. П.</t>
  </si>
  <si>
    <t>978-5-9558-0364-7</t>
  </si>
  <si>
    <t>27.04.02, 27.04.05, 38.03.02</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</si>
  <si>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080200.68 «Менеджмент» (квалификация (степень) «Магистр»)</t>
  </si>
  <si>
    <t>753522.01.01</t>
  </si>
  <si>
    <t>Системно-синергетич. аспект энерго- и ресурсосб. в строит..: Моногр. / Р.А.Попов-М.:НИЦ ИНФРА-М,2022.-187с(О)</t>
  </si>
  <si>
    <t>СИСТЕМНО-СИНЕРГЕТИЧЕСКИЙ АСПЕКТ ЭНЕРГО- И РЕСУРСОСБЕРЕЖЕНИЯ В СТРОИТЕЛЬСТВЕ И ЖКХ В УСЛОВИЯХ ЭКОЛОГИЗАЦИИ, ИЗД.1</t>
  </si>
  <si>
    <t>978-5-16-016897-5</t>
  </si>
  <si>
    <t>08.04.01, 08.06.01, 38.03.10, 38.06.01</t>
  </si>
  <si>
    <t>848712.01.01</t>
  </si>
  <si>
    <t>Системные исслед. экономич. объектов: Моногр. / А.И.Гурко - М.:НИЦ ИНФРА-М,2025. - 401 с.(Науч.мысль)(п)</t>
  </si>
  <si>
    <t>СИСТЕМНЫЕ ИССЛЕДОВАНИЯ ЭКОНОМИЧЕСКИХ ОБЪЕКТОВ, ИЗД.1</t>
  </si>
  <si>
    <t>Гурко А.И., Сахнович Т.А.</t>
  </si>
  <si>
    <t>978-5-16-020723-0</t>
  </si>
  <si>
    <t>03.04.01, 38.03.01, 38.04.01, 38.05.01, 38.06.01</t>
  </si>
  <si>
    <t>633630.04.01</t>
  </si>
  <si>
    <t>Системные методы анализа и синтеза интеллектуал... / С.О.Крамаров - М.:ИЦ РИОР, НИЦ ИНФРА-М,2025. - 238 с.(О)</t>
  </si>
  <si>
    <t>СИСТЕМНЫЕ МЕТОДЫ АНАЛИЗА И СИНТЕЗА ИНТЕЛЛЕКТУАЛЬНО-АДАПТИВНОГО УПРАВЛЕНИЯ., ИЗД.1</t>
  </si>
  <si>
    <t>Крамаров С.О., Смирнов Ю.А., Соколов С.В., Таран  В.Н.</t>
  </si>
  <si>
    <t>978-5-369-01571-1</t>
  </si>
  <si>
    <t>09.03.03, 10.04.01, 12.03.04, 20.04.01, 27.03.05, 38.04.01, 38.04.02, 38.04.05</t>
  </si>
  <si>
    <t>825535.01.01</t>
  </si>
  <si>
    <t>Системные связи норм законодательства об адм. правонаруш. РФ / С.А.Малахов - М.:НИЦ ИНФРА-М,2025. - 229 с.(О)</t>
  </si>
  <si>
    <t>СИСТЕМНЫЕ СВЯЗИ НОРМ ЗАКОНОДАТЕЛЬСТВА ОБ АДМИНИСТРАТИВНЫХ ПРАВОНАРУШЕНИЯХ РОССИЙСКОЙ ФЕДЕРАЦИИ, ИЗД.1</t>
  </si>
  <si>
    <t>Малахов С.А.</t>
  </si>
  <si>
    <t>978-5-16-019854-5</t>
  </si>
  <si>
    <t>035389.03.01</t>
  </si>
  <si>
    <t>Системный анализ в управлении: Уч.пос. / А.А.Кукушкин - 3 изд. - М.:НИЦ ИНФРА-М,2027 - 298 с.(ВО)(п)</t>
  </si>
  <si>
    <t>СИСТЕМНЫЙ АНАЛИЗ В УПРАВЛЕНИИ, ИЗД.3</t>
  </si>
  <si>
    <t>Кукушкин А.А.</t>
  </si>
  <si>
    <t>978-5-16-017968-1</t>
  </si>
  <si>
    <t>09.04.01</t>
  </si>
  <si>
    <t>Рекомендовано учебно-методическим советом по направлению подготовки «Прикладная информатика» Федерального УМО по образованию в области Информатики и вычислительной техники для студентов направления «Прикладная информатика» с профилем «Экономика и управление»</t>
  </si>
  <si>
    <t>ЗАДВОЕН АКАДЕМИЯ ФЕДЕРАЛЬНОЙ СЛУЖБЫ ОХРАНЫ РОССИЙСКОЙ ФЕДЕРАЦИИ</t>
  </si>
  <si>
    <t>634142.08.01</t>
  </si>
  <si>
    <t>Системный анализ, оптимизация и принятие реш.:Уч. / В.А.Кузнецов - М..:КУРС,НИЦ ИНФРА-М,2026 - 256 с.(п)</t>
  </si>
  <si>
    <t>СИСТЕМНЫЙ АНАЛИЗ, ОПТИМИЗАЦИЯ И ПРИНЯТИЕ РЕШЕНИЙ., ИЗД.1</t>
  </si>
  <si>
    <t>Кузнецов В.А., Черепахин А.А.</t>
  </si>
  <si>
    <t>978-5-906818-95-9</t>
  </si>
  <si>
    <t>27.03.03, 27.03.05</t>
  </si>
  <si>
    <t>351000.06.01</t>
  </si>
  <si>
    <t>Системный анализ: Уч. / А.В.Антонов - 4 изд. - М.:НИЦ ИНФРА-М,2024 - 366 с.(ВО)(п)</t>
  </si>
  <si>
    <t>СИСТЕМНЫЙ АНАЛИЗ, ИЗД.4</t>
  </si>
  <si>
    <t>Антонов А.В.</t>
  </si>
  <si>
    <t>978-5-16-019847-7</t>
  </si>
  <si>
    <t>09.03.01, 09.03.03, 09.04.01, 09.04.03, 09.04.04, 10.04.01</t>
  </si>
  <si>
    <t>Рекомендовано в качестве учебника для студентов высших учебных заведений, обучающихся по направлению подготовки 09.03.01 "Информатика и вычислительная техника" (квалификация (степень) "бакалавр"</t>
  </si>
  <si>
    <t>477100.04.01</t>
  </si>
  <si>
    <t>Системный анализ: Уч. / Г.Н.Корнев-М.:ИЦ РИОР, НИЦ ИНФРА-М,2023.-308 с.(ВО: Бакалавр.)(п)</t>
  </si>
  <si>
    <t>СИСТЕМНЫЙ АНАЛИЗ, ИЗД.1</t>
  </si>
  <si>
    <t>Корнев Г.Н., Яковлев В.Б.</t>
  </si>
  <si>
    <t>978-5-369-01532-2</t>
  </si>
  <si>
    <t>09.03.03, 10.04.01, 12.03.04, 20.04.01, 27.03.05</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</si>
  <si>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направлению подготовки «Экономика и управление»</t>
  </si>
  <si>
    <t>Верхневолжский государственный агробиотехнологический университет</t>
  </si>
  <si>
    <t>861398.01.01</t>
  </si>
  <si>
    <t>Системный анализ: Уч.пос. / Д.И.Ликсонова - М.:НИЦ ИНФРА-М, СФУ,2026 - 126 с.(ВО (СФУ))(п)</t>
  </si>
  <si>
    <t>Ликсонова Д.И., Медведев А.В.</t>
  </si>
  <si>
    <t>978-5-16-021397-2</t>
  </si>
  <si>
    <t>09.03.03, 27.03.03</t>
  </si>
  <si>
    <t>769799.02.01</t>
  </si>
  <si>
    <t>Системный геоэкологический анализ: Моногр. / И.П.Капитальчук - М.:НИЦ ИНФРА-М,2024 - 296 с.(О)(Научная мысль)</t>
  </si>
  <si>
    <t>СИСТЕМНЫЙ ГЕОЭКОЛОГИЧЕСКИЙ АНАЛИЗ, ИЗД.1</t>
  </si>
  <si>
    <t>Капитальчук И.П., Кочуров Б.И.</t>
  </si>
  <si>
    <t>978-5-16-017424-2</t>
  </si>
  <si>
    <t>05.03.06, 05.04.02, 05.06.01</t>
  </si>
  <si>
    <t>670469.03.01</t>
  </si>
  <si>
    <t>Системный подход к оценке параметров заземляющих сетей/ М.А.Авербух-М.:НИЦ ИНФРА-М, СФУ,2024-271с(П)</t>
  </si>
  <si>
    <t>СИСТЕМНЫЙ ПОДХОД К ОЦЕНКЕ ПАРАМЕТРОВ ЗАЗЕМЛЯЮЩИХ СЕТЕЙ ЭЛЕКТРОУСТАНОВОК СЕВЕРНЫХ ПРОМЫШЛЕННЫХ КОМПЛЕКСОВ, ИЗД.1</t>
  </si>
  <si>
    <t>Авербух М.А., Забусов В.В., Пантелеев В.И.</t>
  </si>
  <si>
    <t>978-5-16-019420-2</t>
  </si>
  <si>
    <t>00.03.31, 13.03.02, 13.04.02</t>
  </si>
  <si>
    <t>666733.03.01</t>
  </si>
  <si>
    <t>Системокванты технолог.процессов в поточном строит..: Моногр. / В.М.Лебедев - М.:НИЦ ИНФРА-М,2026 - 203 с.(о)</t>
  </si>
  <si>
    <t>СИСТЕМОКВАНТЫ ТЕХНОЛОГИЧЕСКИХ ПРОЦЕССОВ В ПОТОЧНОМ СТРОИТЕЛЬСТВЕ ОБЪЕКТОВ И КОМПЛЕКСОВ, ИЗД.1</t>
  </si>
  <si>
    <t>978-5-16-018130-1</t>
  </si>
  <si>
    <t>666733.01.01</t>
  </si>
  <si>
    <t>Системокванты технолог.процессов в поточном строит.объектов и компл.:Моногр. / В.М.Лебедев-М.:НИЦ ИНФРА-М,2018-203с</t>
  </si>
  <si>
    <t>978-5-16-013338-6</t>
  </si>
  <si>
    <t>666729.04.01</t>
  </si>
  <si>
    <t>Системотехника и системокванты строит. произв.: Моногр. / В.М.Лебедев - М.:НИЦ ИНФРА-М,2026. - 226 с.(П)</t>
  </si>
  <si>
    <t>СИСТЕМОТЕХНИКА И СИСТЕМОКВАНТЫ СТРОИТЕЛЬНОГО ПРОИЗВОДСТВА, ИЗД.1</t>
  </si>
  <si>
    <t>978-5-16-013333-1</t>
  </si>
  <si>
    <t>820927.01.01</t>
  </si>
  <si>
    <t>Системы автоматизир. проектир. авто. и..: Уч. / Д.Л.Окладников-М.:НИЦ ИНФРА-М, СФУ,2024.-274 с.(ВО)(п)</t>
  </si>
  <si>
    <t>СИСТЕМЫ АВТОМАТИЗИРОВАННОГО ПРОЕКТИРОВАНИЯ АВТОМОБИЛЕЙ И ТРАКТОРОВ, ИЗД.1</t>
  </si>
  <si>
    <t>Окладников Д.Л., Гражданцев Е.В., Ахпашев А.Ю.</t>
  </si>
  <si>
    <t>978-5-16-019598-8</t>
  </si>
  <si>
    <t>23.03.02, 23.03.03, 23.04.02, 23.05.01, 27.04.07</t>
  </si>
  <si>
    <t>Допущено Учебно-методическим советом Сибирского федерального университета в качестве учебника для студентов, обучающихся по направлениям подготовки бакалавров 23.03.02 «Наземные транспортно-технологические комплексы»¶и специалистов 23.05.01 «Наземные транспортно-технологические средства»</t>
  </si>
  <si>
    <t>049550.22.01</t>
  </si>
  <si>
    <t>Системы автоматизир. управ. электропривода: Уч. / В.В.Москаленко - М.:НИЦ ИНФРА-М,2027. - 208 с.(СПО)(П)</t>
  </si>
  <si>
    <t>СИСТЕМЫ АВТОМАТИЗИРОВАННОГО УПРАВЛЕНИЯ ЭЛЕКТРОПРИВОДА, ИЗД.1</t>
  </si>
  <si>
    <t>Москаленко В. В.</t>
  </si>
  <si>
    <t>978-5-16-005116-1</t>
  </si>
  <si>
    <t>08.02.09, 08.02.13, 13.01.10, 13.02.13, 15.01.37, 15.02.01, 15.02.03, 15.02.04, 15.02.06, 15.02.07, 15.02.17, 15.02.18</t>
  </si>
  <si>
    <t>Рекомендовано Государственным комитетом Российской Федерации по строительству и жилищно-коммунальному комплексу в качестве учебника для студентов средних специальных учебных заведений, обучающихся по специальности «Монтаж, наладка и эксплуатация электрооборудования промышленных и гражданских зданий»</t>
  </si>
  <si>
    <t>353000.11.01</t>
  </si>
  <si>
    <t>Системы безопасности автомобилей: Уч.пос. / Е.Л.Савич - М.:НИЦ ИНФРА-М,2026 - 445 с.(ВО: Бакалавр.)(П)</t>
  </si>
  <si>
    <t>СИСТЕМЫ БЕЗОПАСНОСТИ АВТОМОБИЛЕЙ, ИЗД.1</t>
  </si>
  <si>
    <t>Савич Е.Л., Капустин В.В.</t>
  </si>
  <si>
    <t>978-5-16-019151-5</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</si>
  <si>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t>
  </si>
  <si>
    <t>663945.05.01</t>
  </si>
  <si>
    <t>Системы борьбы с шумом и вибрацией: Уч.пос. / А.Ю.Курмышева - М.:НИЦ ИНФРА-М,2022 - 211 с(ВО(П)</t>
  </si>
  <si>
    <t>СИСТЕМЫ БОРЬБЫ С ШУМОМ И ВИБРАЦИЕЙ, ИЗД.1</t>
  </si>
  <si>
    <t>Курмышева А.Ю., Рязанцева А.В.</t>
  </si>
  <si>
    <t>978-5-16-013799-5</t>
  </si>
  <si>
    <t>13.03.01, 20.03.01, 20.04.01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</si>
  <si>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20.03.01 «Техносферная безопасность», 13.03.01 «Теплоэнергетика и теплотехника» (квалификация (степень) «бакалавр») (протокол № 6 от 25.03.2019)</t>
  </si>
  <si>
    <t>334900.03.01</t>
  </si>
  <si>
    <t>Системы в праве и правовые процессы: Моногр. / М.Ю.Осипов -2 изд.-М.:ИЦ РИОР,НИЦ ИНФРА-М,2019-276(О)</t>
  </si>
  <si>
    <t>СИСТЕМЫ В ПРАВЕ И ПРАВОВЫЕ ПРОЦЕССЫ, ИЗД.2</t>
  </si>
  <si>
    <t>Осипов М.Ю.</t>
  </si>
  <si>
    <t>978-5-369-01804-0</t>
  </si>
  <si>
    <t>334900.07.01</t>
  </si>
  <si>
    <t>Системы в праве и правовые процессы: Моногр. / М.Ю.Осипов-3 изд.-М.:ИЦ РИОР, НИЦ ИНФРА-М,2024-348 с.(Науч.мысль)(о)</t>
  </si>
  <si>
    <t>СИСТЕМЫ В ПРАВЕ И ПРАВОВЫЕ ПРОЦЕССЫ, ИЗД.3</t>
  </si>
  <si>
    <t>978-5-369-01820-0</t>
  </si>
  <si>
    <t>334900.02.01</t>
  </si>
  <si>
    <t>Системы в праве и правовые процессы:Моногр./М.Ю.Осипов-М.:ИЦ РИОР, НИЦ ИНФРА-М,2017-282с(Науч.мысль)</t>
  </si>
  <si>
    <t>СИСТЕМЫ В ПРАВЕ И ПРАВОВЫЕ ПРОЦЕССЫ, ИЗД.1</t>
  </si>
  <si>
    <t>978-5-369-01419-6</t>
  </si>
  <si>
    <t>134550.05.01</t>
  </si>
  <si>
    <t>Системы документальной электросвязи: Уч.пос. / В.С.Тоискин - М.:ИЦ РИОР, НИЦ ИНФРА-М,2021 - 352 с.(ВО)(П)</t>
  </si>
  <si>
    <t>СИСТЕМЫ ДОКУМЕНТАЛЬНОЙ ЭЛЕКТРОСВЯЗИ, ИЗД.1</t>
  </si>
  <si>
    <t>Тоискин В.С., Жук А.П.</t>
  </si>
  <si>
    <t>978-5-369-00609-2</t>
  </si>
  <si>
    <t>Рекомендовано УМО по образованию в области телекоммуникации в качестве учебного пособия для студентов высших учебных заведений, обучающихся по направлению подготовки дипломированных специалистов 210400 "Телекоммуникации"</t>
  </si>
  <si>
    <t>402350.09.01</t>
  </si>
  <si>
    <t>Системы защиты среды обитания: Уч.пос. / Л.Ю.Фирсова-М.:Форум, НИЦ ИНФРА-М,2024-80с-(ВО:Бакалавр)(о)</t>
  </si>
  <si>
    <t>СИСТЕМЫ ЗАЩИТЫ СРЕДЫ ОБИТАНИЯ. СХЕМЫ, СООРУЖЕНИЯ И АППАРАТЫ ДЛЯ ОЧИСТКИ ГАЗОВЫХ ВЫБРОСОВ И СТОЧНЫХ ВОД, ИЗД.1</t>
  </si>
  <si>
    <t>Фирсова Л. Ю.</t>
  </si>
  <si>
    <t>978-5-00091-689-6</t>
  </si>
  <si>
    <t>Рекомендовано Дальневосточным региональным учебно-методическим центром в качестве учебного пособия для студентов направления подготовки 20.03.01 «Техносферная безопасность»</t>
  </si>
  <si>
    <t>085550.18.01</t>
  </si>
  <si>
    <t>Системы и оборуд. для созд. микроклим. помещ.: Уч. / О.Я.Кокорин - 2 изд. - НИЦ ИНФРА-М,2026 - 218 с.(СПО)(п)</t>
  </si>
  <si>
    <t>СИСТЕМЫ И ОБОРУДОВАНИЕ ДЛЯ СОЗДАНИЯ МИКРОКЛИМАТА ПОМЕЩЕНИЙ, ИЗД.2</t>
  </si>
  <si>
    <t>Кокорин О.Я.</t>
  </si>
  <si>
    <t>978-5-16-006509-0</t>
  </si>
  <si>
    <t>08.01.29, 08.02.01, 08.02.02, 08.02.13, 08.02.14, 15.02.06</t>
  </si>
  <si>
    <t>Допущено Федеральным агентством по строительству и жилищно-коммунальному хозяйству в качестве учебника для студентов средних специальных учебных заведений, обучающихся по специальности 08.02.07 «Монтаж и эксплуатация внутренних сантехнических устройств и вентиляции»</t>
  </si>
  <si>
    <t>766527.02.01</t>
  </si>
  <si>
    <t>Системы и оборуд. для созд. микроклимата помещений: Уч. / О.Я.Кокорин - 2 изд. - М.:НИЦ ИНФРА-М,2027. - 219 с.(ВО)(П)</t>
  </si>
  <si>
    <t>978-5-16-017234-7</t>
  </si>
  <si>
    <t>08.02.14, 08.03.01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</si>
  <si>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строительным направлениям подготовки (квалификация (степень) «бакалавр») (протокол № 6 от 16.06.2021)</t>
  </si>
  <si>
    <t>450400.08.01</t>
  </si>
  <si>
    <t>Системы обесп. эколог. безоп. природопол.: Уч.пос. / В.П.Селедец - М.:Форум, НИЦ ИНФРА-М,2024-311с.(ВО)(О)</t>
  </si>
  <si>
    <t>СИСТЕМЫ ОБЕСПЕЧЕНИЯ ЭКОЛОГИЧЕСКОЙ БЕЗОПАСНОСТИ ПРИРОДОПОЛЬЗОВАНИЯ, ИЗД.1</t>
  </si>
  <si>
    <t>Селедец В.П.</t>
  </si>
  <si>
    <t>978-5-00091-765-7</t>
  </si>
  <si>
    <t>05.03.06, 13.04.01, 20.03.01, 21.03.01</t>
  </si>
  <si>
    <t>Рекомендовано Дальневосточным региональным учебно-методическим центром в качестве учебного пособия для студентов направления подготовки бакалавров 20.03.01 «Техносферная безопасность»</t>
  </si>
  <si>
    <t>Тихоокеанский институт географии Дальневосточного отделения Российской Академии Наук</t>
  </si>
  <si>
    <t>484500.08.01</t>
  </si>
  <si>
    <t>Системы органов животных: Уч.пос. / Л.Н.Ердаков - 2 изд. - М.:НИЦ ИНФРА-М,2026 - 162 с.(ВО.)(О)</t>
  </si>
  <si>
    <t>СИСТЕМЫ ОРГАНОВ ЖИВОТНЫХ. СРАВНИТЕЛЬНАЯ МОРФОЛОГИЯ ОТДЕЛЬНЫХ СИСТЕМ ОРГАНОВ У РАЗЛИЧНЫХ ТИПОВ ЖИВОТНЫХ, ИЗД.2</t>
  </si>
  <si>
    <t>Ердаков Л.Н., Прусевич Н.А.</t>
  </si>
  <si>
    <t>978-5-16-019979-5</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</si>
  <si>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36.03.02 «Зоотехния»</t>
  </si>
  <si>
    <t>777410.02.01</t>
  </si>
  <si>
    <t>Системы радионавигации и посадки: Уч./ О.Н.Скрыпник - М.:НИЦ ИНФРА-М,2026 - 491 с.(ВО)(п)</t>
  </si>
  <si>
    <t>СИСТЕМЫ РАДИОНАВИГАЦИИ И ПОСАДКИ, ИЗД.1</t>
  </si>
  <si>
    <t>978-5-16-017772-4</t>
  </si>
  <si>
    <t>11.03.01, 11.04.01, 11.05.01, 25.03.03, 25.04.03, 25.05.03, 25.05.05</t>
  </si>
  <si>
    <t>703552.06.01</t>
  </si>
  <si>
    <t>Системы счисления, алгоритмизация и программир.: Уч.пос. / Е.П.Игнашева - М.:НИЦ ИНФРА-М,2026. - 224 с/(П)</t>
  </si>
  <si>
    <t>СИСТЕМЫ СЧИСЛЕНИЯ, АЛГОРИТМИЗАЦИЯ И ПРОГРАММИРОВАНИЕ, ИЗД.1</t>
  </si>
  <si>
    <t>Игнашева Е.П.</t>
  </si>
  <si>
    <t>978-5-16-015295-0</t>
  </si>
  <si>
    <t>768834.02.01</t>
  </si>
  <si>
    <t>Ситология и лактотерапия: Уч.пос. / О.Д.Сидоренко - М.:НИЦ ИНФРА-М,2026. - 218 с.(ВО: Бакалавр.)(п)</t>
  </si>
  <si>
    <t>СИТОЛОГИЯ И ЛАКТОТЕРАПИЯ, ИЗД.1</t>
  </si>
  <si>
    <t>Сидоренко О.Д., Жукова Е.В.</t>
  </si>
  <si>
    <t>978-5-16-017421-1</t>
  </si>
  <si>
    <t>19.03.04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</si>
  <si>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19.00.00 «Промышленная экология и биотехнологии» (квалификация (степень) «бакалавр») (протокол № 6 от 08.06.2022)</t>
  </si>
  <si>
    <t>800820.02.01</t>
  </si>
  <si>
    <t>Скетчи и спектакли на англ. яз.: Уч.пос. / З.В.Маньковская - М.:НИЦ ИНФРА-М,2026. - 225 с.(ВО)(п)</t>
  </si>
  <si>
    <t>СКЕТЧИ И СПЕКТАКЛИ НА АНГЛИЙСКОМ ЯЗЫКЕ, ИЗД.1</t>
  </si>
  <si>
    <t>978-5-16-018346-6</t>
  </si>
  <si>
    <t>470600.10.01</t>
  </si>
  <si>
    <t>Складская логистика: Уч. / Г.Г.Иванов - М.:,НИЦ ИНФРА-М,2026 - 192 с.(ВО)(о)</t>
  </si>
  <si>
    <t>СКЛАДСКАЯ ЛОГИСТИКА, ИЗД.1</t>
  </si>
  <si>
    <t>Иванов Г.Г., Киреева Н.С.</t>
  </si>
  <si>
    <t>978-5-16-021323-1</t>
  </si>
  <si>
    <t>15.04.04, 23.03.01, 29.04.02, 38.03.01, 42.03.03</t>
  </si>
  <si>
    <t>Рекомендовано УМС УМО по направлению «Торговое дело» в качестве учебника для студентов, обучающихся по направлению «Торговое дело»</t>
  </si>
  <si>
    <t>842370.02.01</t>
  </si>
  <si>
    <t>Складская логистика: Уч. / Г.Г.Иванов - М.:,НИЦ ИНФРА-М,2026 - 192 с.(СПО)(о)</t>
  </si>
  <si>
    <t>978-5-16-021610-2</t>
  </si>
  <si>
    <t>08.02.01, 38.02.03, 38.02.08</t>
  </si>
  <si>
    <t>357500.13.01</t>
  </si>
  <si>
    <t>Следственные действия - основа раскрытия...: Практ. пос. / В.Е.Эминов - М.:Юр.Норма,НИЦ ИНФРА-М,2027 - 208 с.(о)</t>
  </si>
  <si>
    <t>СЛЕДСТВЕННЫЕ ДЕЙСТВИЯ - ОСНОВА РАСКРЫТИЯ ПРЕСТУПЛЕНИЙ: ПСИХОЛОГО-КРИМИНАЛИСТИЧЕСКИЙ АНАЛИЗ, ИЗД.1</t>
  </si>
  <si>
    <t>Эминов В.Е., Ищенко Е.П.</t>
  </si>
  <si>
    <t>978-5-91768-619-6</t>
  </si>
  <si>
    <t>40.02.02, 40.03.01, 40.04.01, 40.05.01, 40.05.02, 40.05.03, 40.06.01</t>
  </si>
  <si>
    <t>801570.01.01</t>
  </si>
  <si>
    <t>Следственные действия в России первой четверти XXI в.: Моногр. / Е.С.Лапин-М.:НИЦ ИНФРА-М,2024.-223 с.(п)</t>
  </si>
  <si>
    <t>СЛЕДСТВЕННЫЕ ДЕЙСТВИЯ В РОССИИ ПЕРВОЙ ЧЕТВЕРТИ XXI ВЕКА, ИЗД.1</t>
  </si>
  <si>
    <t>978-5-16-018373-2</t>
  </si>
  <si>
    <t>675396.10.01</t>
  </si>
  <si>
    <t>Следственные действия: Моногр. / С.Б.Россинский - М.:Юр.Норма, НИЦ ИНФРА-М,2023 - 240 с.(П)</t>
  </si>
  <si>
    <t>СЛЕДСТВЕННЫЕ ДЕЙСТВИЯ, ИЗД.1</t>
  </si>
  <si>
    <t>978-5-91768-889-3</t>
  </si>
  <si>
    <t>705356.09.01</t>
  </si>
  <si>
    <t>Следственные действия: Уч.пос. / В.Ю.Стельмах, - 2 изд. - М.:Юр. НОРМА, НИЦ ИНФРА-М,2026. - 208 с.(п)</t>
  </si>
  <si>
    <t>СЛЕДСТВЕННЫЕ ДЕЙСТВИЯ, ИЗД.2</t>
  </si>
  <si>
    <t>Стельмах В.Ю.</t>
  </si>
  <si>
    <t>978-5-00156-459-1</t>
  </si>
  <si>
    <t>Уральский юридический институт Министерства внутренних дел Российской Федерации</t>
  </si>
  <si>
    <t>705356.08.01</t>
  </si>
  <si>
    <t>Следственные действия: Уч.пос. для бакалавр. / В.Ю.Стельмах - М.:Юр.Норма, НИЦ ИНФРА-М,2025 - 208 с.(П)</t>
  </si>
  <si>
    <t>978-5-91768-629-5</t>
  </si>
  <si>
    <t>481650.12.01</t>
  </si>
  <si>
    <t>Словарь аббревиатур и акронимов рус. яз. / И.А.Елисеев - М.:НИЦ ИНФРА-М,2026 - 718 с.(Б-ка сл."ИНФРА-М")(П)</t>
  </si>
  <si>
    <t>СЛОВАРЬ АББРЕВИАТУР И АКРОНИМОВ РУССКОГО ЯЗЫКА, ИЗД.1</t>
  </si>
  <si>
    <t>Елисеев И.А.</t>
  </si>
  <si>
    <t>978-5-16-010420-1</t>
  </si>
  <si>
    <t>415950.06.01</t>
  </si>
  <si>
    <t>Словарь аббревиатур испанского яз. / И.А.Елисеев - М.:НИЦ ИНФРА-М,2026. - 160 с.-(Б-ка малых слов."ИНФРА-М")(О)</t>
  </si>
  <si>
    <t>СЛОВАРЬ АББРЕВИАТУР ИСПАНСКОГО ЯЗЫКА, ИЗД.1</t>
  </si>
  <si>
    <t>Елисеев И. А.</t>
  </si>
  <si>
    <t>978-5-16-006453-6</t>
  </si>
  <si>
    <t>764292.05.01</t>
  </si>
  <si>
    <t>Словарь диалектных слов в романе М. А. Шолохова "Тихий Дон" / В.Г.Маслов - М.:НИЦ ИНФРА-М,2026. - 176 с.(П)</t>
  </si>
  <si>
    <t>СЛОВАРЬ ДИАЛЕКТНЫХ СЛОВ В РОМАНЕ М. А. ШОЛОХОВА "ТИХИЙ ДОН", ИЗД.1</t>
  </si>
  <si>
    <t>Маслов В.Г., Маслов Д.Я., Мохова Е.М.</t>
  </si>
  <si>
    <t>978-5-16-017230-9</t>
  </si>
  <si>
    <t>45.03.01, 45.03.02, 45.03.03, 45.04.01, 45.04.02, 45.04.04, 45.06.01</t>
  </si>
  <si>
    <t>696632.04.01</t>
  </si>
  <si>
    <t>Словарь правовой аналитической графики: Уч.пос. / В.Б.Исаков - М.:Юр.Норма,НИЦ ИНФРА-М,2026 - 272 с.(П)</t>
  </si>
  <si>
    <t>СЛОВАРЬ ПРАВОВОЙ АНАЛИТИЧЕСКОЙ ГРАФИКИ, ИЗД.1</t>
  </si>
  <si>
    <t>978-5-91768-978-4</t>
  </si>
  <si>
    <t>003655.02.01</t>
  </si>
  <si>
    <t>Словарь современной экономич. теории Макмиллана /В.С.Автономов.-М.:ИНФРА-М, 2003. -608 с.(П)</t>
  </si>
  <si>
    <t>СЛОВАРЬ СОВРЕМЕННОЙ ЭКОНОМИЧЕСКОЙ ТЕОРИИ МАКМИЛЛАНА, ИЗД.1</t>
  </si>
  <si>
    <t>Автономов В. С., Пивовар А. Г., Пирс Д. У.</t>
  </si>
  <si>
    <t>5-86225-453-6</t>
  </si>
  <si>
    <t>098050.11.01</t>
  </si>
  <si>
    <t>Словарь терминов по акушерству, гинекологии..../ Г.Д.Некрасов - М.:Форум, НИЦ ИНФРА-М,2025 -112с.(О)</t>
  </si>
  <si>
    <t>СЛОВАРЬ ТЕРМИНОВ ПО АКУШЕРСТВУ, ГИНЕКОЛОГИИ И БИОТЕХНИКЕ РАЗМНОЖЕНИЯ ЖИВОТНЫХ, ИЗД.1</t>
  </si>
  <si>
    <t>978-5-91134-288-3</t>
  </si>
  <si>
    <t>19.02.11, 19.02.12, 36.01.01, 36.02.01, 36.02.03</t>
  </si>
  <si>
    <t>Рекомендовано Учебно-методическим объединением вузов РФ по образованию в области зоотехнии и ветеринарии в качестве учебного пособия для студентов вузов, обучающихся по специальности 110401 "Зоотехния"</t>
  </si>
  <si>
    <t>866778.01.01</t>
  </si>
  <si>
    <t>Словарь языковых заимствований, сокращений, жаргонных слов... / С.А.Кутякин-М.:НИЦ ИНФРА-М,2026.-73 с.(о)</t>
  </si>
  <si>
    <t>СЛОВАРЬ ЯЗЫКОВЫХ ЗАИМСТВОВАНИЙ, СОКРАЩЕНИЙ, ЖАРГОННЫХ СЛОВ, ИЗД.1</t>
  </si>
  <si>
    <t>Кутякин С.А.</t>
  </si>
  <si>
    <t>978-5-16-021683-6</t>
  </si>
  <si>
    <t>42.03.02, 45.04.01, 45.05.01, 45.06.01</t>
  </si>
  <si>
    <t>251700.05.01</t>
  </si>
  <si>
    <t>Словацкий экспрессионизм: Уч.пос. / А.Ю.Пескова-М.:НИЦ ИНФРА-М,2024.-143 с.(ВО: Бакалавриат)(о)</t>
  </si>
  <si>
    <t>СЛОВАЦКИЙ ЭКСПРЕССИОНИЗМ, ИЗД.1</t>
  </si>
  <si>
    <t>Пескова А. Ю.</t>
  </si>
  <si>
    <t>978-5-16-009374-1</t>
  </si>
  <si>
    <t>405300.05.01</t>
  </si>
  <si>
    <t>Словацко-русские межлитературные связи..: Уч.пос. / А.Г.Машкова - М.:НИЦ ИНФРА-М,2026. - 268 с.(ВО)(О)</t>
  </si>
  <si>
    <t>СЛОВАЦКО-РУССКИЕ МЕЖЛИТЕРАТУРНЫЕ СВЯЗИ: СТРАНИЦЫ ИСТОРИИ, ИЗД.1</t>
  </si>
  <si>
    <t>Машкова А. Г.</t>
  </si>
  <si>
    <t>978-5-16-005763-7</t>
  </si>
  <si>
    <t>51.03.01</t>
  </si>
  <si>
    <t>818812.01.01</t>
  </si>
  <si>
    <t>Слово и мысль: на один шаг вперед: Моногр. / В.К.Харченко-М.:НИЦ ИНФРА-М,2024.-219 с.(Науч.мысль)(п)</t>
  </si>
  <si>
    <t>СЛОВО И МЫСЛЬ: НА ОДИН ШАГ ВПЕРЕД, ИЗД.1</t>
  </si>
  <si>
    <t>978-5-16-019621-3</t>
  </si>
  <si>
    <t>45.03.03, 45.04.01, 45.04.02, 45.04.03, 45.06.01</t>
  </si>
  <si>
    <t>714974.05.01</t>
  </si>
  <si>
    <t>Словоизменение в словацком лит.  яз.: Моногр. / К.В.Лифанов - М.:НИЦ ИНФРА-М,2026. - 121 с.(Науч.мысль)(О)</t>
  </si>
  <si>
    <t>СЛОВОИЗМЕНЕНИЕ В СЛОВАЦКОМ ЛИТЕРАТУРНОМ ЯЗЫКЕ, ИЗД.1</t>
  </si>
  <si>
    <t>978-5-16-015692-7</t>
  </si>
  <si>
    <t>45.03.01, 45.04.01, 45.04.02, 45.06.01</t>
  </si>
  <si>
    <t>221700.05.01</t>
  </si>
  <si>
    <t>Словообразовательный потенциал соматизмов "сердце"...: Моногр. / Ж.Багана-М.:НИЦ ИНФРА-М,2024.-128 с.(О)</t>
  </si>
  <si>
    <t>СЛОВООБРАЗОВАТЕЛЬНЫЙ ПОТЕНЦИАЛ СОМАТИЗМОВ "СЕРДЦЕ" И "ГОЛОВА", ИЗД.1</t>
  </si>
  <si>
    <t>Багана Ж., Кравченко О. Н.</t>
  </si>
  <si>
    <t>978-5-16-008975-1</t>
  </si>
  <si>
    <t>489700.04.01</t>
  </si>
  <si>
    <t>Служебное право: Уч. / А.Г.Чернявский - 2 изд. - М.:НИЦ ИНФРА-М,2021 - 418 с.(ВО: Бакалавриат)(П)</t>
  </si>
  <si>
    <t>СЛУЖЕБНОЕ ПРАВО, ИЗД.2</t>
  </si>
  <si>
    <t>978-5-16-015936-2</t>
  </si>
  <si>
    <t>38.03.04, 40.02.04, 40.03.01, 40.05.01, 40.05.02, 40.05.03, 40.05.04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</si>
  <si>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38.03.04 «Государственное и муниципальное управление», 40.03.01 «Юриспруденция» (квалификация (степень) «бакалавр») (протокол № 18 от 25.11.2019)</t>
  </si>
  <si>
    <t>489700.02.01</t>
  </si>
  <si>
    <t>Служебное право: Уч. / А.Г.Чернявский - М.:НИЦ ИНФРА-М,2018-376с.(ВО:Бакалавр.)(п)</t>
  </si>
  <si>
    <t>СЛУЖЕБНОЕ ПРАВО, ИЗД.1</t>
  </si>
  <si>
    <t>978-5-16-011930-4</t>
  </si>
  <si>
    <t>722093.08.01</t>
  </si>
  <si>
    <t>Служители языческого культа в религиозной и...: Моногр. / М.Н.Козлов - М.:НИЦ ИНФРА-М,2025 - 173с(О)</t>
  </si>
  <si>
    <t>СЛУЖИТЕЛИ ЯЗЫЧЕСКОГО КУЛЬТА В РЕЛИГИОЗНОЙ И ПОЛИТИЧЕСКОЙ ЖИЗНИ ВОСТОЧНЫХ СЛАВЯН (IX-XI ВЕКА), ИЗД.1</t>
  </si>
  <si>
    <t>978-5-16-015799-3</t>
  </si>
  <si>
    <t>746317.09.01</t>
  </si>
  <si>
    <t>Смена технологич. укладов и правовое разв. России: Моногр. / Д.А.Пашенцев - М.:Юр.Норма, НИЦ ИНФРА-М,2026-184с(П)</t>
  </si>
  <si>
    <t>СМЕНА ТЕХНОЛОГИЧЕСКИХ УКЛАДОВ И ПРАВОВОЕ РАЗВИТИЕ РОССИИ, ИЗД.1</t>
  </si>
  <si>
    <t>Пашенцев Д.А., Залоило М.В., Дорская А.А.</t>
  </si>
  <si>
    <t>978-5-00156-107-1</t>
  </si>
  <si>
    <t>771268.05.01</t>
  </si>
  <si>
    <t>Снабжение и сбыт: Уч. / Г.Д.Антонов и др. - М.:НИЦ ИНФРА-М,2025 - 298 с.(ВО: Бакалавр.)(П)</t>
  </si>
  <si>
    <t>СНАБЖЕНИЕ И СБЫТ, ИЗД.1</t>
  </si>
  <si>
    <t>978-5-16-020741-4</t>
  </si>
  <si>
    <t>469050.16.01</t>
  </si>
  <si>
    <t>Снайперская подготовка: Уч. прак. пос. / М.Секулич - М.:НИЦ ИНФРА-М,2027 - 214 с.(П) [12+]</t>
  </si>
  <si>
    <t>СНАЙПЕРСКАЯ ПОДГОТОВКА, ИЗД.1</t>
  </si>
  <si>
    <t>Секулич М.</t>
  </si>
  <si>
    <t>978-5-16-009935-4</t>
  </si>
  <si>
    <t>40.02.02, 40.05.01, 40.05.02, 56.05.01, 56.05.03, 56.05.05, 57.04.01, 57.05.01, 57.05.02, 57.05.03</t>
  </si>
  <si>
    <t>323900.10.01</t>
  </si>
  <si>
    <t>Собирание доказательств по уголов. делу: пробл...: Моногр. / С.А.Шейфер - М:Норма:ИНФРА-М,2026 -112 с.(П)</t>
  </si>
  <si>
    <t>СОБИРАНИЕ ДОКАЗАТЕЛЬСТВ ПО УГОЛОВНОМУ ДЕЛУ: ПРОБЛЕМЫ ЗАКОНОДАТЕЛЬСТВА, ТЕОРИИ И ПРАКТИКИ, ИЗД.1</t>
  </si>
  <si>
    <t>Шейфер С.А.</t>
  </si>
  <si>
    <t>978-5-91768-571-7</t>
  </si>
  <si>
    <t>40.03.01, 40.05.01, 40.05.02, 40.06.01, 44.03.05</t>
  </si>
  <si>
    <t>323900.04.01</t>
  </si>
  <si>
    <t>Собирание доказательств по уголовному делу: проблемы...: Моногр. / С.А.Шейфер-М.:Юр.Норма, НИЦ ИНФРА-М,2020.-112 с.(П)</t>
  </si>
  <si>
    <t>453470.01.01</t>
  </si>
  <si>
    <t>Собрание сочинений. Т. 23. Ноябрь - декабрь 1990 / М.С. Горбачев - М.: Весь Мир, 2013. - 616 с. (п)</t>
  </si>
  <si>
    <t>СОБРАНИЕ СОЧИНЕНИЙ, ИЗД.1</t>
  </si>
  <si>
    <t>Горбачев М. С., Логинов В. Т., Королева Н. Ф.</t>
  </si>
  <si>
    <t>Весь Мир</t>
  </si>
  <si>
    <t>978-5-7777-0555-6</t>
  </si>
  <si>
    <t>416988.01.01</t>
  </si>
  <si>
    <t>Собрание сочинений. Т.21. Июль - август 1990 / М.С.Горбачев; Горбачев-Фонд -М.:Весь Мир,2012-648с(П)</t>
  </si>
  <si>
    <t>978-5-7777-0518-1</t>
  </si>
  <si>
    <t>404084.01.01</t>
  </si>
  <si>
    <t>Собрание сочинений: Т. 20: Май - июнь 1990. / М.С. Горбачев - М.: Весь Мир, 2011-608с. (п)</t>
  </si>
  <si>
    <t>Горбачев М. С., Логинов В. Т., Пучкова Л. Н., Королева Н. Ф.</t>
  </si>
  <si>
    <t>978-5-7777-0508-2</t>
  </si>
  <si>
    <t>421500.07.01</t>
  </si>
  <si>
    <t>Собственность и право собств.: цивилистич...: Моногр. /Ю.Н.Андреев -М.:Юр.Норма, НИЦ ИНФРА-М,2023.-320 с.(П)</t>
  </si>
  <si>
    <t>СОБСТВЕННОСТЬ И ПРАВО СОБСТВЕННОСТИ: ЦИВИЛИСТИЧЕСКИЕ АСПЕКТЫ, ИЗД.1</t>
  </si>
  <si>
    <t>978-5-91768-329-4</t>
  </si>
  <si>
    <t>776612.01.01</t>
  </si>
  <si>
    <t>Событие - это… События как фундамент. основа...: Моногр. / В.П.Бочарников-М.:НИЦ ИНФРА-М,2023.-173 с.(п)</t>
  </si>
  <si>
    <t>СОБЫТИЕ - ЭТО… СОБЫТИЯ КАК ФУНДАМЕНТАЛЬНАЯ ОСНОВА ДЛЯ АНАЛИЗА СЛОЖНЫХ СИСТЕМ, ИЗД.1</t>
  </si>
  <si>
    <t>Бочарников А.П., Свешников С.В.</t>
  </si>
  <si>
    <t>978-5-16-018313-8</t>
  </si>
  <si>
    <t>38.04.02, 38.04.05</t>
  </si>
  <si>
    <t>392900.06.01</t>
  </si>
  <si>
    <t>Совершенствование банковского регулир. и надзора в России....: моногр. / С.Ю.Хасянова - М.:НИЦ ИНФРА-М,2026. - 234 с.-(Науч.мысль)(п)</t>
  </si>
  <si>
    <t>СОВЕРШЕНСТВОВАНИЕ БАНКОВСКОГО РЕГУЛИРОВАНИЯ И НАДЗОРА В РОССИИ НА ОСНОВЕ МЕЖДУНАРОДНЫХ ПРИНЦИПОВ, ИЗД.1</t>
  </si>
  <si>
    <t>978-5-16-012435-3</t>
  </si>
  <si>
    <t>392900.04.01</t>
  </si>
  <si>
    <t>Совершенствование банковского регулирования и надзора в России на основе международных принципов: монография / С.Ю.Хасянова-М.:НИЦ ИНФРА-М,2018.-234 с</t>
  </si>
  <si>
    <t>ХасяноваС.Ю.</t>
  </si>
  <si>
    <t>978-5-16-011216-9</t>
  </si>
  <si>
    <t>718545.03.01</t>
  </si>
  <si>
    <t>Совершенствование информ. обеспеч. сис..: Моногр. / Под. общ. ред.Бондаренко В.В. - М:ИНФРА-М,2025 - 255 с.(О)</t>
  </si>
  <si>
    <t>СОВЕРШЕНСТВОВАНИЕ ИНФОРМАЦИОННОГО ОБЕСПЕЧЕНИЯ СИСТЕМЫ УПРАВЛЕНИЯ КАДРАМИ НА ОСНОВЕ КОМПЕТЕНТНОСТНОГО ПОДХОДА И ИНДИВИДУАЛЬНОГО ТРЕКИНГА КАРЬЕРЫ ГОСУДАРСТВЕННЫХ ГРАЖДАНСКИХ СЛУЖАЩИХ, ИЗД.1</t>
  </si>
  <si>
    <t>Алтухова Н.Ф., Беляев А.М., Бондаренко В.В. и др.</t>
  </si>
  <si>
    <t>978-5-16-015716-0</t>
  </si>
  <si>
    <t>38.04.01, 38.04.02, 38.04.03, 38.04.04, 38.06.01, 56.05.04</t>
  </si>
  <si>
    <t>641460.04.01</t>
  </si>
  <si>
    <t>Совершенствование образоват. процесса вуза...: Моногр. / М.В.Самсонова - М.:НИЦ ИНФРА-М,2026. - 138 с.(О)</t>
  </si>
  <si>
    <t>СОВЕРШЕНСТВОВАНИЕ ОБРАЗОВАТЕЛЬНОГО ПРОЦЕССА ВУЗА, ОСНОВАННОГО НА КОМПЕТЕНТНОСТНОМ ПОДХОДЕ, ИЗД.1</t>
  </si>
  <si>
    <t>978-5-16-013692-9</t>
  </si>
  <si>
    <t>669732.02.01</t>
  </si>
  <si>
    <t>Совершенствование сист.колокол.газоот.на мощ.электр.Содерберга: Моногр. /С.Г.Шахрай-М.:НИЦ ИНФРА-М,СФУ,2023-146с</t>
  </si>
  <si>
    <t>СОВЕРШЕНСТВОВАНИЕ СИСТЕМ КОЛОКОЛЬНОГО ГАЗООТСОСА НА МОЩНЫХ ЭЛЕКТРОЛИЗЕРАХ СОДЕРБЕРГА, ИЗД.1</t>
  </si>
  <si>
    <t>Шахрай С.Г., Коростовенко В.В., Ребрик И.И.</t>
  </si>
  <si>
    <t>978-5-16-013347-8</t>
  </si>
  <si>
    <t>786600.01.01</t>
  </si>
  <si>
    <t>Совершенствование скота костромской породы..: Моногр. / А.А.Королев.-М.:НИЦ ИНФРА-М,2023.-206 с.(о)</t>
  </si>
  <si>
    <t>СОВЕРШЕНСТВОВАНИЕ СКОТА КОСТРОМСКОЙ ПОРОДЫ ПРИ ИСПОЛЬЗОВАНИИ БЫКОВ-ПРОИЗВОДИТЕЛЕЙ ОТЕЧЕСТВЕННОЙ И ИМПОРТНОЙ СЕЛЕКЦИИ, ИЗД.1</t>
  </si>
  <si>
    <t>Королев А.А., Баранова Н.С., Королева Е.А.</t>
  </si>
  <si>
    <t>978-5-16-017975-9</t>
  </si>
  <si>
    <t>36.04.02, 36.06.01</t>
  </si>
  <si>
    <t>АКАДЕМУС-2022, Победитель, II место
Международный конкурс на лучшее учебное и научное издание, Омский ГАУ-2025, Победитель, III место</t>
  </si>
  <si>
    <t>814282.01.01</t>
  </si>
  <si>
    <t>Совместное предприним. на рынке возобновл. энергетики России: моногр. / А.И.Дудник-М.:НИЦ ИНФРА-М,2024.-181 с(о)</t>
  </si>
  <si>
    <t>СОВМЕСТНОЕ ПРЕДПРИНИМАТЕЛЬСТВО НА РЫНКЕ ВОЗОБНОВЛЯЕМОЙ ЭНЕРГЕТИКИ РОССИИ, ИЗД.1</t>
  </si>
  <si>
    <t>Дудник А.И.</t>
  </si>
  <si>
    <t>978-5-16-019389-2</t>
  </si>
  <si>
    <t>820888.01.01</t>
  </si>
  <si>
    <t>Совмещенные и комбинир. техн. в литейном производ.: Уч.пос. / С.В.Беляев-М.:НИЦ ИНФРА-М, СФУ,2024-140с(ВО)(п)</t>
  </si>
  <si>
    <t>СОВМЕЩЕННЫЕ И КОМБИНИРОВАННЫЕ ТЕХНОЛОГИИ В ЛИТЕЙНОМ ПРОИЗВОДСТВЕ, ИЗД.1</t>
  </si>
  <si>
    <t>Беляев С.В., Баранов В.Н., Лесив Е.М. и др.</t>
  </si>
  <si>
    <t>978-5-16-019578-0</t>
  </si>
  <si>
    <t>15.03.01, 15.05.01, 22.03.02, 22.04.02, 24.04.01</t>
  </si>
  <si>
    <t>750932.02.01</t>
  </si>
  <si>
    <t>Совр. демограф. процессы: здоровье и здравоохр.: Уч.пос. / А.А.Шабунова - изд.-М.:НИЦ ИНФРА-М,2024.-223 с(п)</t>
  </si>
  <si>
    <t>СОВРЕМЕННЫЕ ДЕМОГРАФИЧЕСКИЕ ПРОЦЕССЫ: ЗДОРОВЬЕ И ЗДРАВООХРАНЕНИЕ, ИЗД.2</t>
  </si>
  <si>
    <t>Шабунова А.А., Калачикова О.Н., Груздева М.А. и др.</t>
  </si>
  <si>
    <t>978-5-16-017290-3</t>
  </si>
  <si>
    <t>31.05.01, 31.05.02, 32.04.01, 32.05.01, 38.04.01, 39.04.01</t>
  </si>
  <si>
    <t>Вологодский научный центр Российской академии наук</t>
  </si>
  <si>
    <t>425900.18.01</t>
  </si>
  <si>
    <t>Современная автоматика в сист. упр. техн. процес.: Уч. / В.П.Ившин - 3 изд. - М.:НИЦ Инфра-М,2024-407с.(ВО)(П)</t>
  </si>
  <si>
    <t>СОВРЕМЕННАЯ АВТОМАТИКА В СИСТЕМАХ УПРАВЛЕНИЯ ТЕХНОЛОГИЧЕСКИМИ ПРОЦЕССАМИ, ИЗД.3</t>
  </si>
  <si>
    <t>Ившин В.П., Перухин М.Ю.</t>
  </si>
  <si>
    <t>978-5-16-016698-8</t>
  </si>
  <si>
    <t>13.03.01, 13.04.01, 15.03.04, 15.03.06, 15.04.04, 15.04.06, 18.03.01, 18.03.02, 18.04.01, 19.03.03, 19.04.03, 27.03.04, 27.04.04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</si>
  <si>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18.05.01 «Химическая технология энергонасыщенных материалов и изделий» (квалификация «специалист») (протокол № 11 от 09.11.2020)</t>
  </si>
  <si>
    <t>425900.11.01</t>
  </si>
  <si>
    <t>Современная автоматика в сист. упр. техн. процес.: Уч./ В.П.Ившин -М.:НИЦ Инфра-М,2020-402с.(ВО)</t>
  </si>
  <si>
    <t>СОВРЕМЕННАЯ АВТОМАТИКА В СИСТЕМАХ УПРАВЛЕНИЯ ТЕХНОЛОГИЧЕСКИМИ ПРОЦЕССАМИ, ИЗД.1</t>
  </si>
  <si>
    <t>978-5-16-013335-5</t>
  </si>
  <si>
    <t>Рекомендовано в качестве учебника для студентов высших учебных заведений, обучающихся по направлениям подготовки 18.03.01 «Химическая технология», 18.03.02 «Энерго- и ресурсосберегающие процессы в химической технологии, нефтехимии и биотехнологии» (квалификация (степень) «бакалавр»)</t>
  </si>
  <si>
    <t>425900.07.01</t>
  </si>
  <si>
    <t>Современная автоматика в сист. упр. техн. процес.: Уч.пос./ В.П.Ившин -М.:НИЦ Инфра-М,2018-400с.(ВО)</t>
  </si>
  <si>
    <t>СОВРЕМЕННАЯ АВТОМАТИКА В СИСТЕМАХ УПРАВЛЕНИЯ ТЕХНОЛОГИЧЕСКИМИ ПРОЦЕССАМИ, ИЗД.2</t>
  </si>
  <si>
    <t>978-5-16-012096-6</t>
  </si>
  <si>
    <t>Рекомендовано в качестве учебного пособия для студентов высших учебных заведений, обучающихся по направлениям подготовки 18.03.01 «Химическая технология», 18.03.02 «Энерго- и ресурсосберегающие процессы в химической технологии, нефтехимии и биотехнологии» (квалификация (степень) «бакалавр»)</t>
  </si>
  <si>
    <t>425900.19.01</t>
  </si>
  <si>
    <t>Современная автоматика в системах управления технологическими процессами: уч. / В.П.Ившин, - 4-е изд., испр. и доп.-М.:НИЦ ИНФРА-М,2026.-391 с.[цв].-(</t>
  </si>
  <si>
    <t>СОВРЕМЕННАЯ АВТОМАТИКА В СИСТЕМАХ УПРАВЛЕНИЯ ТЕХНОЛОГИЧЕСКИМИ ПРОЦЕССАМИ, ИЗД.4</t>
  </si>
  <si>
    <t>978-5-16-019112-6</t>
  </si>
  <si>
    <t>682553.07.01</t>
  </si>
  <si>
    <t>Современная англоязычная лит.: традиции и эксп.: Моногр. / Г.И.Лушникова - М.:НИЦ ИНФРА-М,2027 - 170 с.(о)</t>
  </si>
  <si>
    <t>СОВРЕМЕННАЯ АНГЛОЯЗЫЧНАЯ ЛИТЕРАТУРА: ТРАДИЦИИ И ЭКСПЕРИМЕНТ, ИЗД.1</t>
  </si>
  <si>
    <t>978-5-16-017904-9</t>
  </si>
  <si>
    <t>45.04.01, 45.04.02, 51.04.01</t>
  </si>
  <si>
    <t>682553.03.01</t>
  </si>
  <si>
    <t>Современная англоязычная литер.: традиции и эксп.: Моногр. / Г.И.Лушникова-М.:НИЦ ИНФРА-М,2020-170с</t>
  </si>
  <si>
    <t>978-5-16-014044-5</t>
  </si>
  <si>
    <t>701073.08.01</t>
  </si>
  <si>
    <t>Современная британская, ирландская и америк. лит..: Уч.пос. / Г.И.Лушникова - М.:НИЦ ИНФРА-М,2027. - 211с(ВО)(П)</t>
  </si>
  <si>
    <t>СОВРЕМЕННАЯ БРИТАНСКАЯ, ИРЛАНДСКАЯ И АМЕРИКАНСКАЯ ЛИТЕРАТУРА: КАЛЕЙДОСКОП ЖАНРОВ, ТЕМ, СТИЛЕЙ, ИЗД.1</t>
  </si>
  <si>
    <t>978-5-16-016095-5</t>
  </si>
  <si>
    <t>44.03.05, 45.03.01, 45.03.99, 45.04.01, 51.03.01, 51.03.06, 52.03.04, 52.03.05</t>
  </si>
  <si>
    <t>825796.04.01</t>
  </si>
  <si>
    <t>Современная денежно-кредит. политика..: Уч.пос. / М.А.Абрамова - М.:НИЦ ИНФРА-М,2026. - 200 с.(ВО)(п)</t>
  </si>
  <si>
    <t>СОВРЕМЕННАЯ ДЕНЕЖНО-КРЕДИТНАЯ ПОЛИТИКА: ОСОБЕННОСТИ РОССИИ, ИЗД.1</t>
  </si>
  <si>
    <t>Абрамова М.А., Зеленева Е.С., Печалова М.Ю. и др.</t>
  </si>
  <si>
    <t>978-5-16-020372-0</t>
  </si>
  <si>
    <t>860848.01.01</t>
  </si>
  <si>
    <t>Современная зарубежная архитектура: Уч.пос. / С.М.Геращенко - М.:НИЦ ИНФРА-М, СФУ,2026. - 354 с.(ВО (СФУ))(п)</t>
  </si>
  <si>
    <t>СОВРЕМЕННАЯ ЗАРУБЕЖНАЯ АРХИТЕКТУРА, ИЗД.1</t>
  </si>
  <si>
    <t>Геращенко С.М.</t>
  </si>
  <si>
    <t>978-5-16-021388-0</t>
  </si>
  <si>
    <t>846728.01.01</t>
  </si>
  <si>
    <t>Современная история добровольчества в России: Моногр. / Н.И.Горлова - М.:НИЦ ИНФРА-М,2025. - 194 с.(п)</t>
  </si>
  <si>
    <t>СОВРЕМЕННАЯ ИСТОРИЯ ДОБРОВОЛЬЧЕСТВА В РОССИИ: КОНЕЦ ХХ-ВТОРОЕ ДЕСЯТИЛЕТИЕ ХХI ВВ., ИЗД.1</t>
  </si>
  <si>
    <t>Горлова Н.И.</t>
  </si>
  <si>
    <t>978-5-16-020664-6</t>
  </si>
  <si>
    <t>39.03.03, 41.03.04, 41.03.06, 41.04.02, 41.04.04, 41.04.06, 46.03.01, 46.04.01</t>
  </si>
  <si>
    <t>798671.06.01</t>
  </si>
  <si>
    <t>Современная концепция взаимодействия междунар... / Капустин А.Я. - М.:Юр. НОРМА, НИЦ ИНФРА-М, 2026 - 336 с.(П)</t>
  </si>
  <si>
    <t>СОВРЕМЕННАЯ КОНЦЕПЦИЯ ВЗАИМОДЕЙСТВИЯ МЕЖДУНАРОДНОГО И ВНУТРИГОСУДАРСТВЕННОГО ПРАВА В СВЕТЕ ВНЕСЕННЫХ ПОПРАВОК В КОНСТИТУЦИЮ РФ, ИЗД.1</t>
  </si>
  <si>
    <t>Капустин А.Я., Авхадеев В.Р., Азнагулова Г.М. и др.</t>
  </si>
  <si>
    <t>978-5-00156-287-0</t>
  </si>
  <si>
    <t>732748.07.01</t>
  </si>
  <si>
    <t>Современная концепция применения...: Моногр. / А.Я.Капустин - М.:Юр.Норма, НИЦ ИНФРА-М,2027 - 224 с.(П)</t>
  </si>
  <si>
    <t>СОВРЕМЕННАЯ КОНЦЕПЦИЯ ПРИМЕНЕНИЯ МЕЖДУНАРОДНЫХ ДОГОВОРОВ, ИЗД.1</t>
  </si>
  <si>
    <t>Капустин А.Я., Шульга С.В., Шулятьев И.А. и др.</t>
  </si>
  <si>
    <t>978-5-00156-057-9</t>
  </si>
  <si>
    <t>774793.04.01</t>
  </si>
  <si>
    <t>Современная концепция социального государства: Моногр. / А.А.Клишас - М.:Юр. НОРМА,2026. - 288 с.(П)</t>
  </si>
  <si>
    <t>СОВРЕМЕННАЯ КОНЦЕПЦИЯ СОЦИАЛЬНОГО ГОСУДАРСТВА, ИЗД.1</t>
  </si>
  <si>
    <t>Клишас А.А.,</t>
  </si>
  <si>
    <t>978-5-00156-229-0</t>
  </si>
  <si>
    <t>767422.05.01</t>
  </si>
  <si>
    <t>Современная концепция толкования... / Под ред. Капустина А.Я. - М.:Юр. НОРМА, НИЦ ИНФРА-М,2026. - 432 с.(П)</t>
  </si>
  <si>
    <t>СОВРЕМЕННАЯ КОНЦЕПЦИЯ ТОЛКОВАНИЯ МЕЖДУНАРОДНЫХ ДОГОВОРОВ, ИЗД.1</t>
  </si>
  <si>
    <t>Капустин А.Я., Авхадеев В.Р., Азнагулова Г. и др.</t>
  </si>
  <si>
    <t>978-5-00156-208-5</t>
  </si>
  <si>
    <t>40.05.01, 40.05.02, 40.05.03, 40.05.04, 40.06.01, 41.03.01, 41.03.05, 41.04.05, 42.03.02</t>
  </si>
  <si>
    <t>774741.06.01</t>
  </si>
  <si>
    <t>Современная методика подготовки элит. пловцов: Уч.пос. / А.Р.Воронцов - М.:НИЦ ИНФРА-М,2027 - 184 с.(ВО)(п)</t>
  </si>
  <si>
    <t>СОВРЕМЕННАЯ МЕТОДИКА ПОДГОТОВКИ ЭЛИТНЫХ ПЛОВЦОВ, ИЗД.1</t>
  </si>
  <si>
    <t>Воронцов А.Р.</t>
  </si>
  <si>
    <t>978-5-16-017674-1</t>
  </si>
  <si>
    <t>814781.02.01</t>
  </si>
  <si>
    <t>Современная рус. оригинальная рок-поэзия: Моногр. / Е.В.Локтевич - М.:НИЦ ИНФРА-М,2027. - 199 с.(Науч.мысль)(п)</t>
  </si>
  <si>
    <t>СОВРЕМЕННАЯ РУССКАЯ ОРИГИНАЛЬНАЯ РОК-ПОЭЗИЯ: ТРАНСФОРМАЦИЯ СУБЪЕКТНОЙ ПАРАДИГМЫ, ИЗД.1</t>
  </si>
  <si>
    <t>Локтевич Е.В.</t>
  </si>
  <si>
    <t>978-5-16-019246-8</t>
  </si>
  <si>
    <t>44.04.01, 45.03.01, 45.03.99, 45.04.01, 45.06.01, 45.07.01, 52.05.04</t>
  </si>
  <si>
    <t>632781.03.01</t>
  </si>
  <si>
    <t>Современная теоретическая социология: Уч.пос. / В.Г.Немировский-М.:НИЦ ИНФРА-М,2024.-304 с..-(ВО)(п)</t>
  </si>
  <si>
    <t>СОВРЕМЕННАЯ ТЕОРЕТИЧЕСКАЯ СОЦИОЛОГИЯ, ИЗД.1</t>
  </si>
  <si>
    <t>Немировский В.Г.</t>
  </si>
  <si>
    <t>978-5-16-019574-2</t>
  </si>
  <si>
    <t>685793.02.01</t>
  </si>
  <si>
    <t>Современная теория разрушения деформируемых матер.: Моногр. / Л.Е.Басовский-М.:НИЦ ИНФРА-М,2022-141с</t>
  </si>
  <si>
    <t>СОВРЕМЕННАЯ ТЕОРИЯ РАЗРУШЕНИЯ ДЕФОРМИРУЕМЫХ МАТЕРИАЛОВ, ИЗД.1</t>
  </si>
  <si>
    <t>978-5-16-014281-4</t>
  </si>
  <si>
    <t>04.03.02, 22.03.01</t>
  </si>
  <si>
    <t>738107.07.01</t>
  </si>
  <si>
    <t>Современная технология обуч. ин. яз.: Моногр. / Т.Ю.Ломакина - М.:НИЦ ИНФРА-М,2026. - 194 с.(Науч.мысль)(О)</t>
  </si>
  <si>
    <t>СОВРЕМЕННАЯ ТЕХНОЛОГИЯ ОБУЧЕНИЯ ИНОСТРАННОМУ ЯЗЫКУ: ПРОЕКТИРОВАНИЕ И ОПЫТ, ИЗД.1</t>
  </si>
  <si>
    <t>Ломакина Т.Ю., Васильченко Н.В.</t>
  </si>
  <si>
    <t>978-5-16-016355-0</t>
  </si>
  <si>
    <t>44.03.01, 44.03.05, 44.04.01, 44.04.02, 44.04.04, 44.06.01</t>
  </si>
  <si>
    <t>853293.01.01</t>
  </si>
  <si>
    <t>Современная экономика в условиях геополитич. рисков..: Моногр. / М.В.Дубовик. - М.:НИЦ ИНФРА-М,2026. - 174 с.(о)</t>
  </si>
  <si>
    <t>СОВРЕМЕННАЯ ЭКОНОМИКА В УСЛОВИЯХ ГЕОПОЛИТИЧЕСКИХ РИСКОВ: ВЫЗОВЫ, АДАПТАЦИЯ, РАЗВИТИЕ, ИЗД.1</t>
  </si>
  <si>
    <t>Дубовик М.В., Бондаренко Н.Е., Горяинова Л.В. и др.</t>
  </si>
  <si>
    <t>978-5-16-021056-8</t>
  </si>
  <si>
    <t>38.04.01, 38.06.01, 41.03.05, 41.06.01</t>
  </si>
  <si>
    <t>677734.03.01</t>
  </si>
  <si>
    <t>Современная этика: Уч. / В.А.Канке - 2 изд. - М.:НИЦ ИНФРА-М,2024 - 277 с.(ВО)(п)</t>
  </si>
  <si>
    <t>СОВРЕМЕННАЯ ЭТИКА, ИЗД.2</t>
  </si>
  <si>
    <t>978-5-16-018852-2</t>
  </si>
  <si>
    <t>07.03.03, 21.05.04, 37.05.01, 44.03.01, 44.03.05, 47.03.01, 47.03.02, 47.03.03, 47.04.01, 47.04.02, 47.04.03, 51.03.01, 51.03.04</t>
  </si>
  <si>
    <t>823168.01.01</t>
  </si>
  <si>
    <t>Современное геополитическое положение РФ... / Под ред. Секушин В.И.-М.:НИЦ ИНФРА-М,2023.-94 с.(о)</t>
  </si>
  <si>
    <t>СОВРЕМЕННОЕ ГЕОПОЛИТИЧЕСКОЕ ПОЛОЖЕНИЕ РОССИЙСКОЙ ФЕДЕРАЦИИ: ИНФОРМАЦИОННО-АНАЛИТИЧЕСКИЙ ОБЗОР, ИЗД.1</t>
  </si>
  <si>
    <t>Секушин В.И.</t>
  </si>
  <si>
    <t>978-5-16-019716-6</t>
  </si>
  <si>
    <t>41.03.01, 41.03.02, 41.04.04, 41.04.06, 41.06.01</t>
  </si>
  <si>
    <t>083370.11.01</t>
  </si>
  <si>
    <t>Современное государство: вопросы теории / А.Д.Керимов - М.:Юр.Норма, НИЦ ИНФРА-М,2026. - 144 с.(П)</t>
  </si>
  <si>
    <t>СОВРЕМЕННОЕ ГОСУДАРСТВО, ИЗД.1</t>
  </si>
  <si>
    <t>978-5-91768-817-6</t>
  </si>
  <si>
    <t>826536.01.01</t>
  </si>
  <si>
    <t>Современное государство: подходы к осмыслению сущности...: Моногр. / А.Ю.Филин - М.:НИЦ ИНФРА-М,2025-174 с.(о)</t>
  </si>
  <si>
    <t>СОВРЕМЕННОЕ ГОСУДАРСТВО: ПОДХОДЫ К ОСМЫСЛЕНИЮ СУЩНОСТИ, ФОРМЫ И СОДЕРЖАНИЯ, ИЗД.1</t>
  </si>
  <si>
    <t>978-5-16-019856-9</t>
  </si>
  <si>
    <t>668783.08.01</t>
  </si>
  <si>
    <t>Современное доп. образование взрослых: Моногр. / Под ред. Данилова С.В. - М.:НИЦ ИНФРА-М,2026 - 203 с.(П)</t>
  </si>
  <si>
    <t>СОВРЕМЕННОЕ ДОПОЛНИТЕЛЬНОЕ ОБРАЗОВАНИЕ ВЗРОСЛЫХ, ИЗД.1</t>
  </si>
  <si>
    <t>Данилов С.В., Глебова З.В., Дуброва Т.И. и др.</t>
  </si>
  <si>
    <t>978-5-16-013484-0</t>
  </si>
  <si>
    <t>44.03.04, 44.03.05, 44.04.01</t>
  </si>
  <si>
    <t>668783.09.01</t>
  </si>
  <si>
    <t>Современное доп. образование взрослых: Моногр. / Под ред. Данилова С.В. - М.:НИЦ ИНФРА-М,2027. - 203 с. (о)</t>
  </si>
  <si>
    <t>978-5-16-022499-2</t>
  </si>
  <si>
    <t>404950.06.01</t>
  </si>
  <si>
    <t>Современное право: теория и методология: Моногр. / Под ред. Лапаева В.В.-М.:Юр. НОРМА, НИЦ ИНФРА-М,2024.-304 с.(п)</t>
  </si>
  <si>
    <t>СОВРЕМЕННОЕ ПРАВО: ТЕОРИЯ И МЕТОДОЛОГИЯ, ИЗД.1</t>
  </si>
  <si>
    <t>Нерсесян В. С., Лапаева В. В.</t>
  </si>
  <si>
    <t>978-5-91768-307-2</t>
  </si>
  <si>
    <t>38.04.04, 40.03.01, 40.04.01, 41.03.04, 41.03.06, 44.03.05</t>
  </si>
  <si>
    <t>396900.10.01</t>
  </si>
  <si>
    <t>Современное правопонимание: Курс лекций / М.Н.Марченко - М.:Юр.Норма, НИЦ ИНФРА-М,2026 - 368с.(п)</t>
  </si>
  <si>
    <t>СОВРЕМЕННОЕ ПРАВОПОНИМАНИЕ, ИЗД.1</t>
  </si>
  <si>
    <t>Марченко М.Н., Ершов В.В., Ершова Е.А. и др.</t>
  </si>
  <si>
    <t>978-5-91768-656-1</t>
  </si>
  <si>
    <t>395400.09.01</t>
  </si>
  <si>
    <t>Современное православие: Уч.пос. / Т.Л.Белкина - М.:ИЦ РИОР,НИЦ ИНФРА-М,2025 - 108 с.(ВО:Бакалавр.)(о)</t>
  </si>
  <si>
    <t>СОВРЕМЕННОЕ ПРАВОСЛАВИЕ, ИЗД.1</t>
  </si>
  <si>
    <t>БелкинаТ.Л.</t>
  </si>
  <si>
    <t>978-5-369-01487-5</t>
  </si>
  <si>
    <t>47.03.03, 47.04.03</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</si>
  <si>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033300(47.03.03) «Религиоведение» (бакалавриат)</t>
  </si>
  <si>
    <t>764218.06.01</t>
  </si>
  <si>
    <t>Современное российское государство: очерки: Моногр. / Н.А.Власенко - М.:Юр.Норма,ИНФРА-М,2026 - 152 с.(П)</t>
  </si>
  <si>
    <t>СОВРЕМЕННОЕ РОССИЙСКОЕ ГОСУДАРСТВО: ОЧЕРКИ, ИЗД.1</t>
  </si>
  <si>
    <t>978-5-00156-193-4</t>
  </si>
  <si>
    <t>779606.03.01</t>
  </si>
  <si>
    <t>Современное сост. и пробл. идентификации в судеб. баллистике/ А.В.Кокин - М.:НИЦ ИНФРА-М,2027. - 220 с.-[цв](п)</t>
  </si>
  <si>
    <t>СОВРЕМЕННОЕ СОСТОЯНИЕ И ПРОБЛЕМЫ ИДЕНТИФИКАЦИИ В СУДЕБНОЙ БАЛЛИСТИКЕ, ИЗД.1</t>
  </si>
  <si>
    <t>Кокин А.В.</t>
  </si>
  <si>
    <t>978-5-16-017763-2</t>
  </si>
  <si>
    <t>40.03.01, 40.04.01, 40.05.01, 40.05.03, 40.06.01</t>
  </si>
  <si>
    <t>694363.02.01</t>
  </si>
  <si>
    <t>Современное технологич. оборуд. кож. производ.: Уч.пос. / В.И.Чурсин-М.:НИЦ ИНФРА-М,2023.-185 с.(ВО)(П)</t>
  </si>
  <si>
    <t>СОВРЕМЕННОЕ ТЕХНОЛОГИЧЕСКОЕ ОБОРУДОВАНИЕ КОЖЕВЕННОГО ПРОИЗВОДСТВА, ИЗД.1</t>
  </si>
  <si>
    <t>Чурсин В.И., Хаустов В.Д.</t>
  </si>
  <si>
    <t>978-5-16-015542-5</t>
  </si>
  <si>
    <t>29.03.01, 29.03.02, 29.03.05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</si>
  <si>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29.03.01 «Технология изделий легкой промышленности» (квалификация (степень) «бакалавр») (протокол № 8 от 22.06.2020)</t>
  </si>
  <si>
    <t>766878.01.01</t>
  </si>
  <si>
    <t>Современное юридическое образование: Моногр. / В.В.Блажеев.-М.:Юр.Норма, НИЦ ИНФРА-М,2022.-400 с.(П)</t>
  </si>
  <si>
    <t>СОВРЕМЕННОЕ ЮРИДИЧЕСКОЕ ОБРАЗОВАНИЕ: ТРАДИЦИИ И ИННОВАЦИИ УНИВЕРСИТЕТА ИМЕНИ О.Е.КУТАФИНА (МГЮА), ИЗД.1</t>
  </si>
  <si>
    <t>Блажеев В.В., Мажорина М.В., Агафонов В.Б. и др.</t>
  </si>
  <si>
    <t>978-5-00156-203-0</t>
  </si>
  <si>
    <t>690261.02.01</t>
  </si>
  <si>
    <t>Современные аспекты экологической медицины...: Моногр. / Е.В.Евстафьева - М.:НИЦ ИНФРА-М,2026. - 251 с.(П)</t>
  </si>
  <si>
    <t>СОВРЕМЕННЫЕ АСПЕКТЫ ЭКОЛОГИЧЕСКОЙ МЕДИЦИНЫ: ТЕОРИЯ И ПРАКТИКА НА КРЫМСКОМ ПОЛУОСТРОВЕ, ИЗД.1</t>
  </si>
  <si>
    <t>Евстафьева Е.В., Артов А.М., Богданова А.М. и др.</t>
  </si>
  <si>
    <t>978-5-16-018182-0</t>
  </si>
  <si>
    <t>Академический научно-исследовательский институт физических методов лечения, медицинской климатологии</t>
  </si>
  <si>
    <t>465350.09.01</t>
  </si>
  <si>
    <t>Современные вопросы клинической фармакологии: Уч.пос. / Н.Б.Сидоренко - М: ИНФРА-М,2027 - 217с.(ВО)</t>
  </si>
  <si>
    <t>СОВРЕМЕННЫЕ ВОПРОСЫ КЛИНИЧЕСКОЙ ФАРМАКОЛОГИИ, ИЗД.1</t>
  </si>
  <si>
    <t>Сидоренко Н.Б., Терентьева Н.В., Титова З.А. и др.</t>
  </si>
  <si>
    <t>978-5-16-009499-1</t>
  </si>
  <si>
    <t>31.05.01, 31.05.02, 31.05.03, 34.03.01</t>
  </si>
  <si>
    <t>670292.02.01</t>
  </si>
  <si>
    <t>Современные вызовы юр. проф. и юрид.образования /Под ред. Тарасовой А.Е.-М.:НИЦ ИНФРА-М,2019-140с(О)</t>
  </si>
  <si>
    <t>СОВРЕМЕННЫЕ ВЫЗОВЫ ЮРИДИЧЕСКОЙ ПРОФЕССИИ И ЮРИДИЧЕСКОГО ОБРАЗОВАНИЯ, ИЗД.1</t>
  </si>
  <si>
    <t>Тарасова А.Е., Бардин Л.Н., Шимбарева Н.Г. и др.</t>
  </si>
  <si>
    <t>978-5-16-013481-9</t>
  </si>
  <si>
    <t>636338.07.01</t>
  </si>
  <si>
    <t>Современные информ. технологии в упр..: Уч.пос. / Б.Е.Одинцов. - М. ,НИЦ ИНФРА-М,2026 - 373 с.(П)</t>
  </si>
  <si>
    <t>СОВРЕМЕННЫЕ ИНФОРМАЦИОННЫЕ ТЕХНОЛОГИИ В УПРАВЛЕНИИ ЭКОНОМИЧЕСКОЙ ДЕЯТЕЛЬНОСТЬЮ (ТЕОРИЯ И ПРАКТИКА), ИЗД.1</t>
  </si>
  <si>
    <t>Одинцов Б.Е., Романов А.Н., Догучаева С.М.</t>
  </si>
  <si>
    <t>978-5-16-022040-6</t>
  </si>
  <si>
    <t>09.02.03, 09.03.01, 09.03.02, 09.03.03, 09.04.03, 38.03.01, 38.03.02, 38.03.05, 38.04.05, 40.03.01</t>
  </si>
  <si>
    <t>212700.05.01</t>
  </si>
  <si>
    <t>Современные информ.-коммуникац. технол. для успеш...: Уч.пос. / Ю.Д.Романова-М.:ИНФРА-М,2019-279с(п)</t>
  </si>
  <si>
    <t>СОВРЕМЕННЫЕ ИНФОРМАЦИОННО-КОММУНИКАЦИОННЫЕ ТЕХНОЛОГИИ ДЛЯ УСПЕШНОГО ВЕДЕНИЯ БИЗНЕСА, ИЗД.1</t>
  </si>
  <si>
    <t>Романова Ю.Д., Дьяконова Л.П., Женова Н.А. и др.</t>
  </si>
  <si>
    <t>978-5-16-006873-2</t>
  </si>
  <si>
    <t>09.03.02, 09.04.02, 37.04.02, 38.03.01, 38.03.02, 38.03.03, 38.03.04, 38.04.01, 38.04.02, 41.03.06</t>
  </si>
  <si>
    <t>Рекомендовано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t>
  </si>
  <si>
    <t>212700.08.01</t>
  </si>
  <si>
    <t>Современные информац.-коммуникац. технологии...: Уч.пос. / Ю.Д.Романова - 2 изд.-М.:НИЦ ИНФРА М,2024-257 с(П)</t>
  </si>
  <si>
    <t>СОВРЕМЕННЫЕ ИНФОРМАЦИОННО-КОММУНИКАЦИОННЫЕ ТЕХНОЛОГИИ ДЛЯ УСПЕШНОГО ВЕДЕНИЯ БИЗНЕСА, ИЗД.2</t>
  </si>
  <si>
    <t>978-5-16-017053-4</t>
  </si>
  <si>
    <t>818126.05.01</t>
  </si>
  <si>
    <t>Современные концеп. верхов. права и правового гос..../ Т.Я.Хабриева. - М.:Юр. НОРМА, НИЦ ИНФРА-М,2026. - 416 с.(п)</t>
  </si>
  <si>
    <t>СОВРЕМЕННЫЕ КОНЦЕПЦИИ ВЕРХОВЕНСТВА ПРАВА И ПРАВОВОГО ГОСУДАРСТВА:  СРАВНИТЕЛЬНО-ПРАВОВОЕ ИССЛЕДОВАНИЕ, ИЗД.1</t>
  </si>
  <si>
    <t>Хабриева Т.Я., Ковлер А.И., Чиркин С.В. и др.</t>
  </si>
  <si>
    <t>978-5-00156-346-4</t>
  </si>
  <si>
    <t>657127.03.01</t>
  </si>
  <si>
    <t>Современные концепции бух.учета и отчетности: Уч. / А.М.Петров-М.:Вуз.уч., НИЦ ИНФРА-М,2023-228с(ВО)</t>
  </si>
  <si>
    <t>СОВРЕМЕННЫЕ КОНЦЕПЦИИ БУХГАЛТЕРСКОГО УЧЕТА И ОТЧЕТНОСТИ, ИЗД.1</t>
  </si>
  <si>
    <t>978-5-9558-0573-3</t>
  </si>
  <si>
    <t>25.04.03, 38.04.01, 38.04.02, 38.04.04, 38.04.05, 38.04.06, 38.04.07, 38.04.08, 38.04.09, 38.05.01, 38.05.02</t>
  </si>
  <si>
    <t>818405.01.01</t>
  </si>
  <si>
    <t>Современные методы исслед. свойств продовольств...: Уч.пос. / Л.В.Наймушина-М.:НИЦ ИНФРА-М, СФУ,2024-116с(о)</t>
  </si>
  <si>
    <t>СОВРЕМЕННЫЕ МЕТОДЫ ИССЛЕДОВАНИЙ СВОЙСТВ ПРОДОВОЛЬСТВЕННОГО СЫРЬЯ, ПИЩЕВЫХ МАКРО- И МИКРОИНГРЕДИЕНТОВ, ТЕХНОЛОГИЧЕСКИХ ДОБАВОК И ПИЩЕВОЙ ПРОДУКЦИИ, ИЗД.1</t>
  </si>
  <si>
    <t>Наймушина Л.В., Зыкова И.Д.</t>
  </si>
  <si>
    <t>978-5-16-019511-7</t>
  </si>
  <si>
    <t>19.03.02, 19.04.04, 32.05.01, 35.03.07</t>
  </si>
  <si>
    <t>466500.03.01</t>
  </si>
  <si>
    <t>Современные методы орг. предприним.деят. в строит.: Уч./М.Н.Юденко-М.:ИЦ РИОР, НИЦ ИНФРА-М,2020-296с(ВО)(О)</t>
  </si>
  <si>
    <t>СОВРЕМЕННЫЕ МЕТОДЫ ОРГАНИЗАЦИИ ПРЕДПРИНИМАТЕЛЬСКОЙ ДЕЯТЕЛЬНОСТИ В СТРОИТЕЛЬСТВЕ, ИЗД.1</t>
  </si>
  <si>
    <t>Юденко М.Н.</t>
  </si>
  <si>
    <t>978-5-369-01492-9</t>
  </si>
  <si>
    <t>Допущено УМО по образованию в области производственного менеджмента в качестве учебника для студентов, обучающихся по направлению подготовки «Менеджмент» по магистерской программе «Производственный менеджмент»</t>
  </si>
  <si>
    <t>Санкт-Петербургский гуманитарный университет профсоюзов</t>
  </si>
  <si>
    <t>489850.08.01</t>
  </si>
  <si>
    <t>Современные методы упр. жилищ. строит.: Уч.пос. / В.В.Бузырев - М.: Вуз.уч., НИЦ ИНФРА-М, 2027 - 240 с.(П)</t>
  </si>
  <si>
    <t>СОВРЕМЕННЫЕ МЕТОДЫ УПРАВЛЕНИЯ ЖИЛИЩНЫМ СТРОИТЕЛЬСТВОМ, ИЗД.1</t>
  </si>
  <si>
    <t>БузыревВ.В., Селютина Л.Г., МартыновВ.Ф.</t>
  </si>
  <si>
    <t>978-5-9558-0428-6</t>
  </si>
  <si>
    <t>Допущено УМО по образованию в области производственного менеджмента в качестве учебного пособия для студентов, обучающихся по направлению подготовки 080200  Менеджмент по  магистерской программе «Предпринимательство и  управление строительством»</t>
  </si>
  <si>
    <t>861291.01.01</t>
  </si>
  <si>
    <t>Современные монологи: Моногр. / В.К.Харченко - М.:НИЦ ИНФРА-М,2026. - 177 с.(Науч.мысль)(п)</t>
  </si>
  <si>
    <t>СОВРЕМЕННЫЕ МОНОЛОГИ, ИЗД.1</t>
  </si>
  <si>
    <t>978-5-16-021209-8</t>
  </si>
  <si>
    <t>750651.01.01</t>
  </si>
  <si>
    <t>Современные отношения власти и бизнеса...: Монография / А.В.Брега-М.:НИЦ ИНФРА-М,2022.-209 с.(О)</t>
  </si>
  <si>
    <t>СОВРЕМЕННЫЕ ОТНОШЕНИЯ ВЛАСТИ И БИЗНЕСА: ЗАРУБЕЖНЫЙ И ОТЕЧЕСТВЕННЫЙ ОПЫТ, ИЗД.1</t>
  </si>
  <si>
    <t>Брега А.В., Брега Г.В.</t>
  </si>
  <si>
    <t>978-5-16-017300-9</t>
  </si>
  <si>
    <t>235400.05.01</t>
  </si>
  <si>
    <t>Современные парадигмы и методы анализа и контр. бюджет..: Моногр./Н.А.Казакова - ИНФРА-М, 2024-270с.</t>
  </si>
  <si>
    <t>СОВРЕМЕННЫЕ ПАРАДИГМЫ И МЕТОДЫ АНАЛИЗА И КОНТРОЛЯ БЮДЖЕТНОЙ ЭФФЕКТИВНОСТИ, ИЗД.1</t>
  </si>
  <si>
    <t>Казакова Н. А., Федченко Е. А., Трофимова Л. Б.</t>
  </si>
  <si>
    <t>978-5-16-009145-7</t>
  </si>
  <si>
    <t>38.03.01, 38.03.02, 38.04.01, 38.04.02, 38.04.04, 38.06.01</t>
  </si>
  <si>
    <t>773495.04.01</t>
  </si>
  <si>
    <t>Современные пробл. детства и психологич. помощь семье / А.М.Зинатуллина - М.:ИЦ РИОР, НИЦ ИНФРА-М,2027 - 350 с.(П)</t>
  </si>
  <si>
    <t>СОВРЕМЕННЫЕ ПРОБЛЕМЫ ДЕТСТВА И ПСИХОЛОГИЧЕСКАЯ ПОМОЩЬ СЕМЬЕ, ИЗД.1</t>
  </si>
  <si>
    <t>Зинатуллина А.М., Ульянина О.А., Любка Е.И.</t>
  </si>
  <si>
    <t>978-5-369-01896-5</t>
  </si>
  <si>
    <t>37.03.01, 37.04.01, 39.04.01, 44.03.01, 44.03.02, 44.03.05, 44.04.01, 44.04.02</t>
  </si>
  <si>
    <t>451250.05.01</t>
  </si>
  <si>
    <t>Современные пробл. менедж. в междун. бизнесе: Моногр./В.И.Королев - Магистр: ИНФРА-М, 2023-400с.(п)</t>
  </si>
  <si>
    <t>СОВРЕМЕННЫЕ ПРОБЛЕМЫ МЕНЕДЖМЕНТА В МЕЖДУНАРОДНОМ БИЗНЕСЕ, ИЗД.1</t>
  </si>
  <si>
    <t>Королев В. И., Зайцев Л. Г., Заикин А. Д., Королев В. И.</t>
  </si>
  <si>
    <t>978-5-9776-0291-4</t>
  </si>
  <si>
    <t>07.03.03, 19.03.04, 23.03.01, 27.03.02, 29.03.02, 35.03.03, 35.03.04, 35.03.09, 38.03.01, 38.03.02, 38.04.01, 38.04.02, 41.03.06, 42.03.01, 44.03.01, 44.03.05, 45.03.01, 45.03.03, 51.03.01, 51.03.02</t>
  </si>
  <si>
    <t>665755.03.01</t>
  </si>
  <si>
    <t>Современные проблемы естест.-матем. образ.в период.:Моногр./ В.В.Артемьева-М.:НИЦ ИНФРА-М,2023-200с.</t>
  </si>
  <si>
    <t>СОВРЕМЕННЫЕ ПРОБЛЕМЫ ЕСТЕСТВЕННО-МАТЕМАТИЧЕСКОГО ОБРАЗОВАНИЯ В ПЕРИОД ДЕТСТВА, ИЗД.1</t>
  </si>
  <si>
    <t>Артемьева В.В., Бывшева М.В., Волкова Н.А. и др.</t>
  </si>
  <si>
    <t>978-5-16-013271-6</t>
  </si>
  <si>
    <t>708392.02.01</t>
  </si>
  <si>
    <t>Современные проблемы педагогики и образ.: Моногр. / Я.С.Турбовской-М.:НИЦ ИНФРА-М,2023.-320 с.(П)</t>
  </si>
  <si>
    <t>СОВРЕМЕННЫЕ ПРОБЛЕМЫ ПЕДАГОГИКИ И ОБРАЗОВАНИЯ, ИЗД.1</t>
  </si>
  <si>
    <t>978-5-16-015285-1</t>
  </si>
  <si>
    <t>44.03.01, 44.03.02, 44.03.04, 44.03.05, 44.04.01, 44.04.02, 44.04.04, 44.06.01</t>
  </si>
  <si>
    <t>886385.01.01</t>
  </si>
  <si>
    <t>Современные проблемы юридической науки: уч.-М.:Юр. НОРМА, НИЦ ИНФРА-М,2027.-496 с.(п)</t>
  </si>
  <si>
    <t>СОВРЕМЕННЫЕ ПРОБЛЕМЫ ЮРИДИЧЕСКОЙ НАУКИ, ИЗД.1</t>
  </si>
  <si>
    <t>978-5-00156-499-7</t>
  </si>
  <si>
    <t>40.03.01, 40.04.01, 40.05.01, 40.05.04, 40.03.02</t>
  </si>
  <si>
    <t>448400.08.01</t>
  </si>
  <si>
    <t>Современные программы матем. обр. дош.: Моногр. / А.В.Белошистая - 2 изд. - М.:НИЦ ИНФРА-М,2025 - 252 с.(п)</t>
  </si>
  <si>
    <t>СОВРЕМЕННЫЕ ПРОГРАММЫ МАТЕМАТИЧЕСКОГО ОБРАЗОВАНИЯ ДОШКОЛЬНИКОВ, ИЗД.2</t>
  </si>
  <si>
    <t>978-5-16-011421-7</t>
  </si>
  <si>
    <t>44.02.01, 44.03.01, 44.03.05, 44.04.01, 44.04.04</t>
  </si>
  <si>
    <t>448400.09.01</t>
  </si>
  <si>
    <t>Современные программы матем. обр. дош.: Моногр. / А.В.Белошистая - 2 изд. - М.:НИЦ ИНФРА-М,2026 - 252 с. (о)</t>
  </si>
  <si>
    <t>978-5-16-019235-2</t>
  </si>
  <si>
    <t>654574.06.01</t>
  </si>
  <si>
    <t>Современные работники: личностные характер., особенности обуч.: Моногр. - М.:НИЦ ИНФРА-М,2023-142с(О)</t>
  </si>
  <si>
    <t>СОВРЕМЕННЫЕ РАБОТНИКИ: ЛИЧНОСТНЫЕ ХАРАКТЕРИСТИКИ, ОСОБЕННОСТИ ОБУЧЕНИЯ, ИЗД.1</t>
  </si>
  <si>
    <t>978-5-16-012747-7</t>
  </si>
  <si>
    <t>23.03.01, 38.03.01, 38.03.02, 38.03.03, 38.03.04, 38.04.02, 38.04.03, 41.03.06, 44.03.01, 51.03.02</t>
  </si>
  <si>
    <t>664231.06.01</t>
  </si>
  <si>
    <t>Современные системы упр. деятельностью: Уч. / Р.А.Попов - М.:НИЦ ИНФРА-М,2022-309 с.-(ВО: Магистратура)(П)</t>
  </si>
  <si>
    <t>СОВРЕМЕННЫЕ СИСТЕМЫ УПРАВЛЕНИЯ ДЕЯТЕЛЬНОСТЬЮ, ИЗД.1</t>
  </si>
  <si>
    <t>978-5-16-016191-4</t>
  </si>
  <si>
    <t>08.04.01, 38.04.01, 38.04.02, 38.04.04, 40.03.01</t>
  </si>
  <si>
    <t>Рекомендовано в качестве учебника для студентов высших учебных заведений, обучающихся по направлениям подготовки 08.04.01 «Строительство», 38.04.01 «Экономика», 38.04.02 «Менеджмент» (квалификация (степень) «магистр»)</t>
  </si>
  <si>
    <t>667069.05.01</t>
  </si>
  <si>
    <t>Современные средства реал. авт.сис. Раб. с Google табл.: Уч.пос. / Н.В.Бильфельд-М.:ИЦ РИОР, НИЦ ИНФРА-М,2024-171с.(О)</t>
  </si>
  <si>
    <t>СОВРЕМЕННЫЕ СРЕДСТВА РЕАЛИЗАЦИИ АВТОМАТИЗИРОВАННЫХ СИСТЕМ. РАБОТА С GOOGLE ТАБЛИЦАМИ, ИЗД.1</t>
  </si>
  <si>
    <t>Бильфельд Н.В., Володина Ю.И.</t>
  </si>
  <si>
    <t>978-5-369-01721-0</t>
  </si>
  <si>
    <t>02.03.02, 03.03.02, 04.03.02, 09.03.01, 23.03.01, 23.03.03</t>
  </si>
  <si>
    <t>698700.03.01</t>
  </si>
  <si>
    <t>Современные тенденции и инновац. методы...: Уч.пос. / Ш.Ф.Фарахутдинов-М.:НИЦ ИНФРА-М,2023.-231с(П)</t>
  </si>
  <si>
    <t>СОВРЕМЕННЫЕ ТЕНДЕНЦИИ И ИННОВАЦИОННЫЕ МЕТОДЫ В МАРКЕТИНГОВЫХ ИССЛЕДОВАНИЯХ, ИЗД.1</t>
  </si>
  <si>
    <t>Фарахутдинов Ш.Ф.</t>
  </si>
  <si>
    <t>978-5-16-018721-1</t>
  </si>
  <si>
    <t>38.03.01, 38.03.02, 38.03.03, 38.03.04, 38.03.06, 38.04.03, 39.03.01, 39.03.02, 39.03.03, 39.04.01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</si>
  <si>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направлениям подготовки 38.00.00 «Экономика и управление», 39.00.00 «Социология и социальная работа» (квалификация (степень) «бакалавр») (протокол № 8 от 22.06.2020)</t>
  </si>
  <si>
    <t>287700.04.01</t>
  </si>
  <si>
    <t>Современные тенденции развития и антикриз...: Моногр. / Под ред. Рубцова Б.Б.-М.:НИЦ ИНФРА-М,2021.-180 с.(П)</t>
  </si>
  <si>
    <t>СОВРЕМЕННЫЕ ТЕНДЕНЦИИ РАЗВИТИЯ И АНТИКРИЗИСНОГО РЕГУЛИРОВАНИЯ ФИНАНСОВО-ЭКОНОМИЧЕСКОЙ СИСТЕМЫ, ИЗД.1</t>
  </si>
  <si>
    <t>Рубцов Б.Б., Рубцов Б.Б., Селезнев П.С.</t>
  </si>
  <si>
    <t>978-5-16-009990-3</t>
  </si>
  <si>
    <t>177900.13.01</t>
  </si>
  <si>
    <t>Современные технол. и технич.средства информатизации: Уч. /О.В.Шишов -М.:НИЦ ИНФРА-М,2024-462с.(ВО)(п)</t>
  </si>
  <si>
    <t>СОВРЕМЕННЫЕ ТЕХНОЛОГИИ И ТЕХНИЧЕСКИЕ СРЕДСТВА ИНФОРМАТИЗАЦИИ, ИЗД.1</t>
  </si>
  <si>
    <t>978-5-16-019029-7</t>
  </si>
  <si>
    <t>43.03.01, 43.03.02, 46.02.02, 47.03.01, 47.04.01</t>
  </si>
  <si>
    <t>Рекомендовано УМО по образованию в качестве учебника для студентов вузов, обучающихся по направлению 02.03.02 "Фундаментальная информатика и информационные технологии" (квалификация (степень) "бакалавр")</t>
  </si>
  <si>
    <t>342700.06.01</t>
  </si>
  <si>
    <t>Современные технол.обраб.металлов и сплавов: Сб.науч.-тех.ст./Баберцян С.А. - М.:НИЦ ИНФРА-М,2025 - 252 с.(О)</t>
  </si>
  <si>
    <t>СОВРЕМЕННЫЕ ТЕХНОЛОГИИ ОБРАБОТКИ МЕТАЛЛОВ И СПЛАВОВ, ИЗД.1</t>
  </si>
  <si>
    <t>Баберцян С.А., Бекетов А.Б., Беспалов А.В. и др.</t>
  </si>
  <si>
    <t>978-5-16-010767-7</t>
  </si>
  <si>
    <t>15.02.01, 15.02.16, 15.02.17, 15.03.05, 15.06.01, 22.04.01, 22.04.02</t>
  </si>
  <si>
    <t>769775.03.01</t>
  </si>
  <si>
    <t>Современные технологии бурения на твердые полез..: Уч. / В.В.Нескоромных - М.:НИЦ ИНФРА-М, СФУ,2027 - 340 с.(П)</t>
  </si>
  <si>
    <t>СОВРЕМЕННЫЕ ТЕХНОЛОГИИ БУРЕНИЯ НА ТВЕРДЫЕ ПОЛЕЗНЫЕ ИСКОПАЕМЫЕ, ИЗД.1</t>
  </si>
  <si>
    <t>Нескоромных В.В., Попова М.С., Петенев П.Г. и др.</t>
  </si>
  <si>
    <t>978-5-16-017385-6</t>
  </si>
  <si>
    <t>21.05.02, 21.05.03</t>
  </si>
  <si>
    <t>Допущено учебно-методическим советом Сибирского федерального университета в качестве учебника для студентов, обучающихся по направлению подготовки 21.05.03 «Технология геологической разведки», специализация 21.05.03.00.03 «Технология и техника разведки месторождений полезных ископаемых» (протокол № 11 от 21.05.2019)</t>
  </si>
  <si>
    <t>708172.03.01</t>
  </si>
  <si>
    <t>Современные технологии дош. обр.: Уч.пос. / Под ред. Захаровой Л.М. - М.:НИЦ ИНФРА-М,2024-251с.(ВО)(п)</t>
  </si>
  <si>
    <t>СОВРЕМЕННЫЕ ТЕХНОЛОГИИ ДОШКОЛЬНОГО ОБРАЗОВАНИЯ, ИЗД.1</t>
  </si>
  <si>
    <t>Андрианова Е.И., Богомолова М.И., Гришина А.А. и др.</t>
  </si>
  <si>
    <t>978-5-16-019436-3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</si>
  <si>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17 от 11.11.2019)</t>
  </si>
  <si>
    <t>741958.08.01</t>
  </si>
  <si>
    <t>Современные технологии дош. обр.: Уч.пос. / Под ред. Захаровой Л.М. - М.:НИЦ ИНФРА-М,2026 - 251с (СПО)(П)</t>
  </si>
  <si>
    <t>978-5-16-016398-7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</si>
  <si>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 (протокол № 8 от 22.06.2020)</t>
  </si>
  <si>
    <t>763411.04.01</t>
  </si>
  <si>
    <t>Современные технологии и технич. средства информатизации: Уч. / О.В.Шишов - М.:НИЦ ИНФРА-М,2026 - 462 с.(П)</t>
  </si>
  <si>
    <t>978-5-16-017112-8</t>
  </si>
  <si>
    <t>00.02.03, 09.01.04, 09.01.05, 09.02.07, 46.02.01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</si>
  <si>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в области информационных технологий и техническим специальностям (протокол № 4 от 21.04.2021)</t>
  </si>
  <si>
    <t>654651.03.01</t>
  </si>
  <si>
    <t>Современные технологии кадрового менеджмента..: Моногр. / О.Л.Чуланова-М.:НИЦ ИНФРА-М,2020-364с(П)</t>
  </si>
  <si>
    <t>СОВРЕМЕННЫЕ ТЕХНОЛОГИИ КАДРОВОГО МЕНЕДЖМЕНТА: АКТУАЛИЗАЦИЯ В РОССИЙСКОЙ ПРАКТИКЕ, ВОЗМОЖНОСТИ, РИСКИ, ИЗД.1</t>
  </si>
  <si>
    <t>978-5-16-012782-8</t>
  </si>
  <si>
    <t>23.03.01, 38.03.01, 38.03.03, 38.04.03, 41.03.06, 44.03.01, 51.03.02</t>
  </si>
  <si>
    <t>174600.08.01</t>
  </si>
  <si>
    <t>Современные технологии менеджмента: Уч. / В.И.Королев - М.: Магистр: НИЦ Инфра-М, 2025 - 640 с.(п)</t>
  </si>
  <si>
    <t>СОВРЕМЕННЫЕ ТЕХНОЛОГИИ МЕНЕДЖМЕНТА, ИЗД.1</t>
  </si>
  <si>
    <t>Королев В. И., Уваров В. В., Заикин А. Д., Кочетков В. В., Королев В. И.</t>
  </si>
  <si>
    <t>978-5-9776-0218-1</t>
  </si>
  <si>
    <t>38.03.02, 38.03.05, 38.04.05, 41.03.06, 42.03.01, 44.03.01</t>
  </si>
  <si>
    <t>Рекомендовано ФГБОУ ВПО "Государственный университет управления" в качестве учебника для студентов вузов, обучающихся по специальности 080500 "Менеджмент"</t>
  </si>
  <si>
    <t>764804.04.01</t>
  </si>
  <si>
    <t>Современные технологии обуч. ин. яз. в сис. ВО: Уч.пос. / Т.А.Дмитренко - М.:НИЦ ИНФРА-М,2023-164с.(ВО)(П)</t>
  </si>
  <si>
    <t>СОВРЕМЕННЫЕ ТЕХНОЛОГИИ ОБУЧЕНИЯ ИНОСТРАННОМУ ЯЗЫКУ В СИСТЕМЕ ВЫСШЕГО ОБРАЗОВАНИЯ, ИЗД.1</t>
  </si>
  <si>
    <t>Дмитренко Т.А.</t>
  </si>
  <si>
    <t>978-5-16-017201-9</t>
  </si>
  <si>
    <t>764804.06.01</t>
  </si>
  <si>
    <t>Современные технологии обучения иностранному языку в системе высшего образования: уч.пос. / Т.А.Дмитренко, - 2-е изд., исп. и доп-М.:НИЦ ИНФРА-М,2026.</t>
  </si>
  <si>
    <t>СОВРЕМЕННЫЕ ТЕХНОЛОГИИ ОБУЧЕНИЯ ИНОСТРАННОМУ ЯЗЫКУ В СИСТЕМЕ ВЫСШЕГО ОБРАЗОВАНИЯ, ИЗД.2</t>
  </si>
  <si>
    <t>978-5-16-021978-3</t>
  </si>
  <si>
    <t>633958.06.01</t>
  </si>
  <si>
    <t>Современные технологии политичес...: Уч.пос. / С.Н.Федорченко - М.:НИЦ ИНФРА-М,2027. - 200 с.(ВО)(п)</t>
  </si>
  <si>
    <t>СОВРЕМЕННЫЕ ТЕХНОЛОГИИ ПОЛИТИЧЕСКОГО МЕНЕДЖМЕНТА, ИЗД.1</t>
  </si>
  <si>
    <t>978-5-16-018728-0</t>
  </si>
  <si>
    <t>Рекомендовано в качестве учебного пособия для студентов высших учебных заведений, обучающихся по направлениям подготовки 41.03.04 «Политология», 41.03.06 «Публичная политика и социальные науки» (квалификация (степень) «бакалавр»)</t>
  </si>
  <si>
    <t>641227.12.01</t>
  </si>
  <si>
    <t>Современные технологии программир. Яз. 1С 8.3: Уч. / Э.Г.Дадян - М.:НИЦ ИНФРА-М,2026 - 173 с.(ВО)(П)</t>
  </si>
  <si>
    <t>СОВРЕМЕННЫЕ ТЕХНОЛОГИИ ПРОГРАММИРОВАНИЯ. ЯЗЫК 1С 8.3, ИЗД.1</t>
  </si>
  <si>
    <t>978-5-16-019499-8</t>
  </si>
  <si>
    <t>742703.03.01</t>
  </si>
  <si>
    <t>Современные технологии программир. Язык С#: Уч.: Т.1 / Э.Г.Дадян - М.:НИЦ ИНФРА-М,2025 - 312 с.(П)</t>
  </si>
  <si>
    <t>СОВРЕМЕННЫЕ ТЕХНОЛОГИИ ПРОГРАММИРОВАНИЯ. ЯЗЫК С#. В ДВУХ ТОМАХ, Т.1</t>
  </si>
  <si>
    <t>978-5-16-020578-6</t>
  </si>
  <si>
    <t>09.03.03, 09.04.03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</si>
  <si>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09.03.03 «Прикладная информатика» (квалификация (степень) «бакалавр») (протокол № 2 от 17.02.2021)</t>
  </si>
  <si>
    <t>757947.01.01</t>
  </si>
  <si>
    <t>Современные технологии программир. Язык С#: Уч.: Т.2 / Э.Г.Дадян - М.:НИЦ ИНФРА-М,2021 - 335 с.(П)</t>
  </si>
  <si>
    <t>СОВРЕМЕННЫЕ ТЕХНОЛОГИИ ПРОГРАММИРОВАНИЯ. ЯЗЫК С#., Т.2</t>
  </si>
  <si>
    <t>978-5-16-016997-2</t>
  </si>
  <si>
    <t>819114.01.01</t>
  </si>
  <si>
    <t>Современные технологии толстокишечной эзофагопластики у детей/ М.Г.Чепурной-М.:НИЦ ИНФРА-М,2025.-180 с.(о)</t>
  </si>
  <si>
    <t>СОВРЕМЕННЫЕ ТЕХНОЛОГИИ ТОЛСТОКИШЕЧНОЙ ЭЗОФАГОПЛАСТИКИ У ДЕТЕЙ, ИЗД.1</t>
  </si>
  <si>
    <t>Чепурной М.Г.</t>
  </si>
  <si>
    <t>978-5-16-019685-5</t>
  </si>
  <si>
    <t>766634.01.01</t>
  </si>
  <si>
    <t>Современные технологии управ. персоналом: Уч. / А.А.Литвинюк.-М.:НИЦ ИНФРА-М,2023.-220 с.(ВО (РЭУ))(п)</t>
  </si>
  <si>
    <t>СОВРЕМЕННЫЕ ТЕХНОЛОГИИ УПРАВЛЕНИЯ ПЕРСОНАЛОМ, ИЗД.1</t>
  </si>
  <si>
    <t>Литвинюк А.А., Бабынина Л.С., Иванова-Швец Л.Н. и др.</t>
  </si>
  <si>
    <t>978-5-16-017618-5</t>
  </si>
  <si>
    <t>38.03.02, 38.03.03, 38.04.01, 38.04.02</t>
  </si>
  <si>
    <t>706585.02.01</t>
  </si>
  <si>
    <t>Современные технологии формообразования: Уч.пос. / В.А.Лебедев  - 2 изд.-М.:НИЦ ИНФРА-М,2023-320с(П)</t>
  </si>
  <si>
    <t>СОВРЕМЕННЫЕ ТЕХНОЛОГИИ ФОРМООБРАЗОВАНИЯ, ИЗД.2</t>
  </si>
  <si>
    <t>Лебедев В.А., Болдырев А.И., Тамаркин М.А. и др.</t>
  </si>
  <si>
    <t>978-5-16-015252-3</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</si>
  <si>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t>
  </si>
  <si>
    <t>782293.02.01</t>
  </si>
  <si>
    <t>Современные требования и принципы нормир. кормл...: Уч.пос. / А.Н.Лазаревич - М.:НИЦ ИНФРА-М,2027. - 478 с.(П)</t>
  </si>
  <si>
    <t>СОВРЕМЕННЫЕ ТРЕБОВАНИЯ И ПРИНЦИПЫ НОРМИРОВАННОГО КОРМЛЕНИЯ ПРИ ВЫРАЩИВАНИИ И ОТКОРМЕ СВИНЕЙ, ИЗД.1</t>
  </si>
  <si>
    <t>Лазаревич А.Н., Пыжикова Н.И., Козина Е.А. и др.</t>
  </si>
  <si>
    <t>978-5-16-018202-5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</si>
  <si>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36.00.00 «Ветеринария и зоотехния» (квалификация (степень) «бакалавр») (протокол № 8 от 19.10.2022)</t>
  </si>
  <si>
    <t>813801.01.01</t>
  </si>
  <si>
    <t>Современные упаковочные материалы и тара: Уч.пос. / А.И.Машанов.-М.:НИЦ ИНФРА-М,2024.-168 с.(ВО (КрГАУ))(п)</t>
  </si>
  <si>
    <t>СОВРЕМЕННЫЕ УПАКОВОЧНЫЕ МАТЕРИАЛЫ И ТАРА, ИЗД.1</t>
  </si>
  <si>
    <t>Машанов А.И., Величко Н.А., Речкина Е.А. и др.</t>
  </si>
  <si>
    <t>978-5-16-019671-8</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</si>
  <si>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19.04.03 «Продукты питания животного происхождения», 19.04.02 «Продукты питания из растительного сырья»</t>
  </si>
  <si>
    <t>354100.10.01</t>
  </si>
  <si>
    <t>Современные формы обслуживания..: Уч. пос. / Т.А. Джум - М.: Магистр, НИЦ ИНФРА-М, 2026. - 528 с.(П)</t>
  </si>
  <si>
    <t>СОВРЕМЕННЫЕ ФОРМЫ ОБСЛУЖИВАНИЯ В РЕСТОРАННОМ БИЗНЕСЕ, ИЗД.1</t>
  </si>
  <si>
    <t>Т.А.Джум, Г.М.Зайко</t>
  </si>
  <si>
    <t>978-5-9776-0369-0</t>
  </si>
  <si>
    <t>19.03.04, 19.04.04, 43.03.01, 43.04.01</t>
  </si>
  <si>
    <t>670732.06.01</t>
  </si>
  <si>
    <t>Современные электрические подстанции: Уч.пос. / Ю.Д.Сибикин - 2 изд. - М.:НИЦ ИНФРА-М,2027 - 417 с.(ВО)(п)</t>
  </si>
  <si>
    <t>СОВРЕМЕННЫЕ ЭЛЕКТРИЧЕСКИЕ ПОДСТАНЦИИ, ИЗД.2</t>
  </si>
  <si>
    <t>978-5-16-020064-4</t>
  </si>
  <si>
    <t>766525.04.01</t>
  </si>
  <si>
    <t>Современные электромонтаж. изделия и устройства... / Ю.Д.Сибикин, - 2 изд. - М.:НИЦ ИНФРА-М,2026. - 510 с.(п)</t>
  </si>
  <si>
    <t>СОВРЕМЕННЫЕ ЭЛЕКТРОМОНТАЖНЫЕ ИЗДЕЛИЯ И УСТРОЙСТВА НА НАПРЯЖЕНИЕ ДО 1000 ВОЛЬТ, ИЗД.2</t>
  </si>
  <si>
    <t>978-5-16-017538-6</t>
  </si>
  <si>
    <t>08.01.31</t>
  </si>
  <si>
    <t>733412.09.01</t>
  </si>
  <si>
    <t>Современные юр. техн. в правотворчестве: Науч.-практ. пос. / Залоило М.В. - М:ИЗиСП:Норма:ИНФРА-М,2025 - 184 с.(П)</t>
  </si>
  <si>
    <t>СОВРЕМЕННЫЕ ЮРИДИЧЕСКИЕ ТЕХНОЛОГИИ В ПРАВОТВОРЧЕСТВЕ: НАУЧНО-ПРАКТИЧЕСКОЕ ПОСОБИЕ, ИЗД.1</t>
  </si>
  <si>
    <t>Залоило М.В.</t>
  </si>
  <si>
    <t>978-5-00156-059-3</t>
  </si>
  <si>
    <t>289400.01.01</t>
  </si>
  <si>
    <t>Современный конституцион.: вызовы и перспективы /В.Д.Зорькин -М.:Юр.Норма,НИЦ ИНФРА-М,2016-480с.(П)</t>
  </si>
  <si>
    <t>СОВРЕМЕННЫЙ КОНСТИТУЦИОНАЛИЗМ: ВЫЗОВЫ И ПЕРСПЕКТИВЫ, ИЗД.1</t>
  </si>
  <si>
    <t>978-5-91768-514-4</t>
  </si>
  <si>
    <t>Материалы конференции (съезда, симпозиума)</t>
  </si>
  <si>
    <t>156850.09.01</t>
  </si>
  <si>
    <t>Современный менеджмент: Уч. / М.М.Максимцов-М.:Вуз. уч., НИЦ ИНФРА-М,2024.-299 с.(п)</t>
  </si>
  <si>
    <t>СОВРЕМЕННЫЙ МЕНЕДЖМЕНТ, ИЗД.1</t>
  </si>
  <si>
    <t>Максимцов М.М.</t>
  </si>
  <si>
    <t>978-5-9558-0383-8</t>
  </si>
  <si>
    <t>38.03.02, 38.04.02, 41.03.06, 44.03.01</t>
  </si>
  <si>
    <t>851837.01.01</t>
  </si>
  <si>
    <t>Современный механизм админ.-правового регулир.: новые подходы: Моногр. / Ю.Г.Арзамасов - М.:НИЦ ИНФРА-М,2026. - 288 с.(п)</t>
  </si>
  <si>
    <t>СОВРЕМЕННЫЙ МЕХАНИЗМ АДМИНИСТРАТИВНО-ПРАВОВОГО РЕГУЛИРОВАНИЯ: НОВЫЕ ПОДХОДЫ, ИЗД.1</t>
  </si>
  <si>
    <t>Арзамасов Ю.Г., Емельянов А.С., Ноздрачев А.Ф. и др.</t>
  </si>
  <si>
    <t>978-5-16-020775-9</t>
  </si>
  <si>
    <t>41.03.06</t>
  </si>
  <si>
    <t>776548.06.01</t>
  </si>
  <si>
    <t>Современный подход к инвентаризации: Моногр. / А.А.Позов - М.:НИЦ ИНФРА-М,2026. - 224 с.(п)</t>
  </si>
  <si>
    <t>СОВРЕМЕННЫЙ ПОДХОД К ИНВЕНТАРИЗАЦИИ: КАК ДОСТИЧЬ ВЫСОКОЙ ТОЧНОСТИ СКЛАДСКИХ ОСТАТКОВ?, ИЗД.1</t>
  </si>
  <si>
    <t>Позов А.А.</t>
  </si>
  <si>
    <t>978-5-16-021882-3</t>
  </si>
  <si>
    <t>460750.10.01</t>
  </si>
  <si>
    <t>Современный рус. яз. Лексикология..: Уч.пос. / Л.Н.Чурилина - 2 изд. - М.:ИЦ РИОР, НИЦ ИНФРА-М,2025. - 265 с.(п)</t>
  </si>
  <si>
    <t>СОВРЕМЕННЫЙ РУССКИЙ ЯЗЫК. ЛЕКСИКОЛОГИЯ: ЛЕКСИЧЕСКАЯ СЕМАНТИКА, ИЗД.2</t>
  </si>
  <si>
    <t>Чурилина Л. Н., Деревскова Е. Н.</t>
  </si>
  <si>
    <t>978-5-16-020875-6</t>
  </si>
  <si>
    <t>45.03.01, 45.03.02, 45.03.03, 45.04.01, 45.04.02, 45.04.03</t>
  </si>
  <si>
    <t>Допущено Учебно-методическим объединением по направлениям педагогического образования в качестве учебного пособия для студентов высших учебных заведений, обучающихся по направлению 540300(050300) "Филологическое образование»</t>
  </si>
  <si>
    <t>645038.09.01</t>
  </si>
  <si>
    <t>Современный рус. яз. Фонетика. Фонология...: Уч.пос. / А.Ф.Пантелеев. - М.:ИЦ РИОР, НИЦ ИНФРА-М,2026 - 132 с.(О)</t>
  </si>
  <si>
    <t>СОВРЕМЕННЫЙ РУССКИЙ ЯЗЫК. ФОНЕТИКА. ФОНОЛОГИЯ. ГРАФИКА. ОРФОГРАФИЯ, ИЗД.1</t>
  </si>
  <si>
    <t>Пантелеев А.Ф., Шейко Е.В., Белик Н.А.</t>
  </si>
  <si>
    <t>978-5-369-01623-7</t>
  </si>
  <si>
    <t>41.03.06, 42.03.02, 42.03.03, 42.03.04, 44.03.05, 45.03.01, 45.03.03</t>
  </si>
  <si>
    <t>781591.06.01</t>
  </si>
  <si>
    <t>Современный рус. яз.. Лексикология..: Уч.пос. / А.Ф.Пантелеев - М.:ИЦ РИОР, НИЦ ИНФРА-М,2026. - 318 с.(ВО)(п)</t>
  </si>
  <si>
    <t>СОВРЕМЕННЫЙ РУССКИЙ ЯЗЫК. ЛЕКСИКОЛОГИЯ. ФРАЗЕОЛОГИЯ, ИЗД.1</t>
  </si>
  <si>
    <t>Пантелеев А.Ф., Богуславская В.В., Белик Н.А.</t>
  </si>
  <si>
    <t>978-5-369-01912-2</t>
  </si>
  <si>
    <t>00.03.09, 41.03.06, 42.03.02, 42.03.03, 42.03.04, 45.03.01, 45.05.01, 56.05.05</t>
  </si>
  <si>
    <t>667540.09.01</t>
  </si>
  <si>
    <t>Современный русский язык. Актуал.вопросы..: Уч.пос. / И.В.Евсеева - М.:НИЦ ИНФРА-М, СФУ,2027 - 201 с.(П)</t>
  </si>
  <si>
    <t>СОВРЕМЕННЫЙ РУССКИЙ ЯЗЫК. АКТУАЛЬНЫЕ ВОПРОСЫ МОРФЕМИКИ, МОРФОНОЛОГИИ И СЛОВООБРАЗОВАНИЯ, ИЗД.1</t>
  </si>
  <si>
    <t>Евсеева И.В.</t>
  </si>
  <si>
    <t>978-5-16-016865-4</t>
  </si>
  <si>
    <t>45.03.01, 45.03.02, 45.03.99</t>
  </si>
  <si>
    <t>Рекомендовано федеральным государственным бюджетным образовательным учреждением высшего профессионального образования «Российский государственный педагогический университет им. А.И. Герцена» к использованию в образовательных учреждениях, реализующих образовательные программы по дисциплине «Современный русский язык. Словообразование» по направлениям бакалавриата «Филология», «Филологическое образование», «Педагогическое образование»</t>
  </si>
  <si>
    <t>460750.09.01</t>
  </si>
  <si>
    <t>Современный русский язык. Лексикология: Уч.пос. / Л.Н.Чурилина - М.:ИЦ РИОР, НИЦ ИНФРА-М,2024-163с.(О)</t>
  </si>
  <si>
    <t>СОВРЕМЕННЫЙ РУССКИЙ ЯЗЫК. ЛЕКСИКОЛОГИЯ: ЛЕКСИЧЕСКАЯ СЕМАНТИКА, ИЗД.1</t>
  </si>
  <si>
    <t>978-5-369-01320-5</t>
  </si>
  <si>
    <t>704226.10.01</t>
  </si>
  <si>
    <t>Современный русский язык. Морфемика..: Уч.пос. / А.Ф.Пантелеев - М.:ИЦ РИОР,НИЦ ИНФРА-М,2027 - 140 с.(ВО)(О)</t>
  </si>
  <si>
    <t>СОВРЕМЕННЫЙ РУССКИЙ ЯЗЫК. МОРФЕМИКА. СЛОВООБРАЗОВАНИЕ, ИЗД.1</t>
  </si>
  <si>
    <t>Пантелеев А.Ф., Ковтуненко И.В.</t>
  </si>
  <si>
    <t>978-5-369-01805-7</t>
  </si>
  <si>
    <t>42.03.02, 42.03.03, 44.03.01, 44.03.05, 45.03.01</t>
  </si>
  <si>
    <t>741548.03.01</t>
  </si>
  <si>
    <t>Современный русский язык. Морфология: Уч.пос. / А.Ф.Пантелеев - М.:ИЦ РИОР, НИЦ ИНФРА-М,2027. - 352 с.(ВО)(П)</t>
  </si>
  <si>
    <t>СОВРЕМЕННЫЙ РУССКИЙ ЯЗЫК. МОРФОЛОГИЯ, ИЗД.1</t>
  </si>
  <si>
    <t>978-5-369-01859-0</t>
  </si>
  <si>
    <t>42.03.03, 45.03.01, 45.04.01</t>
  </si>
  <si>
    <t>405950.13.01</t>
  </si>
  <si>
    <t>Современный словарь по общественным наукам / О.Г.Данильян - М.:НИЦ ИНФРА-М,2026 - 314 с(П)</t>
  </si>
  <si>
    <t>СОВРЕМЕННЫЙ СЛОВАРЬ ПО ОБЩЕСТВЕННЫМ НАУКАМ, ИЗД.1</t>
  </si>
  <si>
    <t>Данильян О.Г.</t>
  </si>
  <si>
    <t>978-5-16-005612-8</t>
  </si>
  <si>
    <t>109000.16.01</t>
  </si>
  <si>
    <t>Современный социоэкономич. словарь / Б.А. Райзберг. - ИНФРА-М, 2027 - 629 с.(Б-ка слов. "ИНФРА-М") (п)</t>
  </si>
  <si>
    <t>СОВРЕМЕННЫЙ СОЦИОЭКОНОМИЧЕСКИЙ СЛОВАРЬ, ИЗД.1</t>
  </si>
  <si>
    <t>978-5-16-003670-0</t>
  </si>
  <si>
    <t>38.03.01, 38.03.02, 39.03.01</t>
  </si>
  <si>
    <t>798638.02.01</t>
  </si>
  <si>
    <t>Современный стратегический анализ: Уч. / И.В.Зенкина - М.:НИЦ ИНФРА-М,2027. - 288 с.(ВО)(п)</t>
  </si>
  <si>
    <t>СОВРЕМЕННЫЙ СТРАТЕГИЧЕСКИЙ АНАЛИЗ, ИЗД.1</t>
  </si>
  <si>
    <t>Зенкина И.В.</t>
  </si>
  <si>
    <t>978-5-16-019484-4</t>
  </si>
  <si>
    <t>38.04.02, 38.04.06, 38.05.01</t>
  </si>
  <si>
    <t>418400.10.01</t>
  </si>
  <si>
    <t>Современный стратегический анализ: Уч./Л.Е.Басовский - М.: ИНФРА-М, 2026 - 256 с. (ВО: Магистратура)</t>
  </si>
  <si>
    <t>978-5-16-005655-5</t>
  </si>
  <si>
    <t>Рекомендовано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080200.68 «Менеджмент» (магистратура)</t>
  </si>
  <si>
    <t>002238.28.01</t>
  </si>
  <si>
    <t>Современный эконом. словарь / Б.А.Райзберг - 6 изд. - М.:НИЦ ИНФРА-М,2026  - 512 с.(Б-ка сл."ИНФРА-М")(П)</t>
  </si>
  <si>
    <t>СОВРЕМЕННЫЙ ЭКОНОМИЧЕСКИЙ СЛОВАРЬ, ИЗД.6</t>
  </si>
  <si>
    <t>Райзберг Б.А., Лозовский Л.Ш., Стародубцева Е.Б. и др.</t>
  </si>
  <si>
    <t>978-5-16-009966-8</t>
  </si>
  <si>
    <t>00.03.13, 00.05.13, 38.03.01, 38.03.02, 38.03.03, 38.03.04, 38.03.05, 38.03.06, 38.03.07, 38.03.10, 38.04.08, 38.04.09, 38.05.01, 38.05.02</t>
  </si>
  <si>
    <t>0608</t>
  </si>
  <si>
    <t>691911.03.01</t>
  </si>
  <si>
    <t>Создание защитных и упрочняющих покрытий...: Моногр. / М.В.Радченко.-М.:НИЦ ИНФРА-М,2024-252с.-(П)</t>
  </si>
  <si>
    <t>СОЗДАНИЕ ЗАЩИТНЫХ И УПРОЧНЯЮЩИХ ПОКРЫТИЙ МЕТОДАМИ ЭЛЕКТРОННО-ЛУЧЕВОЙ ОБРАБОТКИ В ВАКУУМЕ, ИЗД.1</t>
  </si>
  <si>
    <t>Радченко М.В., Шевцов Ю.О., Радченко Т.Б.</t>
  </si>
  <si>
    <t>978-5-16-014712-3</t>
  </si>
  <si>
    <t>22.03.01, 22.04.01, 22.06.01</t>
  </si>
  <si>
    <t>824531.01.01</t>
  </si>
  <si>
    <t>Создание условий для развития устойчивой и безопас. информ... / А.В.Барков. - М.:НИЦ ИНФРА-М,2025 - 177 с.(о)</t>
  </si>
  <si>
    <t>СОЗДАНИЕ УСЛОВИЙ ДЛЯ РАЗВИТИЯ УСТОЙЧИВОЙ И БЕЗОПАСНОЙ ИНФОРМАЦИОННО-ТЕЛЕКОММУНИКАЦИОННОЙ ИНФРАСТРУКТУРЫ, ИЗД.1</t>
  </si>
  <si>
    <t>Барков А.В., Белоусов А.Л., Ильин В.П. и др.</t>
  </si>
  <si>
    <t>978-5-16-020224-2</t>
  </si>
  <si>
    <t>40.04.01, 40.05.01, 40.05.02, 40.05.04</t>
  </si>
  <si>
    <t>821016.02.01</t>
  </si>
  <si>
    <t>Создание флорист. изд. из живых срезанных цветов..: Уч.пос. / И.С.Тундалева - М.:НИЦ ИНФРА-М,2026. - 201 с.(п)</t>
  </si>
  <si>
    <t>СОЗДАНИЕ ФЛОРИСТИЧЕСКИХ ИЗДЕЛИЙ ИЗ ЖИВЫХ СРЕЗАННЫХ ЦВЕТОВ, СУХОЦВЕТОВ, ИСКУССТВЕННЫХ ЦВЕТОВ И ДРУГИХ МАТЕРИАЛОВ, ИЗД.1</t>
  </si>
  <si>
    <t>978-5-16-019674-9</t>
  </si>
  <si>
    <t>001458.09.01</t>
  </si>
  <si>
    <t>Сократ: Моногр. / В.С. Нерсесянц. - 2 изд. - М.: Норма:  НИЦ Инфра-М, 2025. - 240 с. (о)</t>
  </si>
  <si>
    <t>СОКРАТ, ИЗД.2</t>
  </si>
  <si>
    <t>978-5-91768-305-8</t>
  </si>
  <si>
    <t>47.03.01, 47.03.02, 47.03.03, 47.04.01, 47.04.02, 47.04.03</t>
  </si>
  <si>
    <t>001458.11.01</t>
  </si>
  <si>
    <t>Сократ: Моногр. / В.С. Нерсесянц. - 2 изд. - М.:Норма: НИЦ Инфра-М, 2026. - 240 с. (о)</t>
  </si>
  <si>
    <t>СОКРАТ, ИЗД.1</t>
  </si>
  <si>
    <t>0196</t>
  </si>
  <si>
    <t>349900.0022.01</t>
  </si>
  <si>
    <t>Солнечно-земная физика, 2020, том 6, № 2</t>
  </si>
  <si>
    <t>СОЛНЕЧНО-ЗЕМНАЯ ФИЗИКА, 2020, ТОМ 6, № 2, ИЗД.</t>
  </si>
  <si>
    <t>Институт солнечно-земной физики СО РАН</t>
  </si>
  <si>
    <t>842043.01.01</t>
  </si>
  <si>
    <t>Сольфеджио и теория музыки: Практ.: Уч.пос. / М.В.Сиксимова - М.:НИЦ ИНФРА-М,2025. - 164 с.(СПО)(п)</t>
  </si>
  <si>
    <t>СОЛЬФЕДЖИО И ТЕОРИЯ МУЗЫКИ: ПРАКТИКУМ, ИЗД.1</t>
  </si>
  <si>
    <t>Сиксимова М.В.</t>
  </si>
  <si>
    <t>978-5-16-020302-7</t>
  </si>
  <si>
    <t>52.02.02, 53.01.01, 53.02.01, 53.02.02, 53.02.03, 53.02.04, 53.02.05, 53.02.07, 53.02.08</t>
  </si>
  <si>
    <t>Волгоградский государственный институт искусств и культуры</t>
  </si>
  <si>
    <t>797201.03.01</t>
  </si>
  <si>
    <t>Сольфеджио и теория музыки: практикум: Уч.пос. / М.В.Сиксимова - М.:НИЦ ИНФРА-М,2027. - 164 с.(ВО)(п)</t>
  </si>
  <si>
    <t>978-5-16-018309-1</t>
  </si>
  <si>
    <t>44.03.01, 44.03.05, 53.03.01, 53.03.02, 53.03.03, 53.03.04, 53.03.05, 53.03.06, 53.05.01, 53.05.02, 53.05.03, 53.05.04, 53.05.05, 53.05.06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</si>
  <si>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53.03.03 «Вокальное искусство», 53.03.04 «Искусство народного пения» (квалификация (степень) «бакалавр») (протокол № 10 от 21.12.2022)</t>
  </si>
  <si>
    <t>651688.08.01</t>
  </si>
  <si>
    <t>Сооружения и оборуд. для хранения сельскохоз. прод.: Уч. / Под ред.Зимнякова В.М. -М.:НИЦ ИНФРА-М,2023-202 с.(ВО)(п)</t>
  </si>
  <si>
    <t>СООРУЖЕНИЯ И ОБОРУДОВАНИЕ ДЛЯ ХРАНЕНИЯ СЕЛЬСКОХОЗЯЙСТВЕННОЙ ПРОДУКЦИИ, ИЗД.1</t>
  </si>
  <si>
    <t>Зимняков В.М., Курочкин А.А., Милюткин В.А. и др.</t>
  </si>
  <si>
    <t>978-5-16-019352-6</t>
  </si>
  <si>
    <t>Рекомендовано Научно-методическим советом по сельскому хозяйству Федерального учебно-методического объединения по сельскому, лесному и рыбному хозяйству в системе высшего образования в качестве учебника для студентов, обучающихся по направлению подготовки 35.03.07 «Технология производства и переработки сельскохозяйственной продукции» (квалификация (степень) «бакалавр»)</t>
  </si>
  <si>
    <t>146300.13.01</t>
  </si>
  <si>
    <t>Сопротивление мат. с прим. реш.зад. в сис. Microsoft Excel: Уч.пос. / А.В.Коргин - М:ИНФРА-М,2026-389с(П)</t>
  </si>
  <si>
    <t>СОПРОТИВЛЕНИЕ МАТЕРИАЛОВ С ПРИМЕРАМИ РЕШЕНИЯ ЗАДАЧ В СИСТЕМЕ MICROSOFT EXCEL, ИЗД.1</t>
  </si>
  <si>
    <t>Коргин А.В.</t>
  </si>
  <si>
    <t>978-5-16-004840-6</t>
  </si>
  <si>
    <t>07.03.03, 08.03.01, 08.04.01, 15.03.05, 15.04.05, 23.03.02, 23.04.02</t>
  </si>
  <si>
    <t>Рекомендовано УМО по образованию в области строительства в качестве учебного пособия для студентов вузов, обучающихся по направлениям  270100 - "Строительство" и 190200 - "Транспортные машины и транспортно-технологические комплексы"</t>
  </si>
  <si>
    <t>128050.15.01</t>
  </si>
  <si>
    <t>Сопротивление матер. в пример. и задачах: Уч.пос. / Н.М.Атаров, - 2 изд. - М.:НИЦ ИНФРА-М,2026. - 428 с.(ВО)(п)</t>
  </si>
  <si>
    <t>СОПРОТИВЛЕНИЕ МАТЕРИАЛОВ В ПРИМЕРАХ И ЗАДАЧАХ, ИЗД.2</t>
  </si>
  <si>
    <t>Атаров Н.М.</t>
  </si>
  <si>
    <t>978-5-16-018387-9</t>
  </si>
  <si>
    <t>07.03.03, 08.03.01, 08.04.01</t>
  </si>
  <si>
    <t>Рекомендовано Учебно-методическим объединением вузов России по образованию в области строительства в качестве учебного пособия для студентов, обучающихся по направлению «Строительство»</t>
  </si>
  <si>
    <t>660981.04.01</t>
  </si>
  <si>
    <t>Сопротивление матер.Расчёты при сл..: Уч.пос./Под ред. Шатохиной Л.П.-М.:НИЦ ИНФРА-М,СФУ,2023-140(П)</t>
  </si>
  <si>
    <t>СОПРОТИВЛЕНИЕ МАТЕРИАЛОВ. РАСЧЁТЫ ПРИ СЛОЖНОМ СОПРОТИВЛЕНИИ, ИЗД.1</t>
  </si>
  <si>
    <t>Шатохина Л.П., Сигова Е.М., Белозёрова Я.Ю. и др.</t>
  </si>
  <si>
    <t>978-5-16-012961-7</t>
  </si>
  <si>
    <t>00.03.37</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</si>
  <si>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техническим направлениям и специальностям</t>
  </si>
  <si>
    <t>694096.04.01</t>
  </si>
  <si>
    <t>Сопротивление материалов авиац. конструкций: Уч. / П.И.Чумак - М.:НИЦ ИНФРА-М,2026. - 420 с.(ВО)(П)</t>
  </si>
  <si>
    <t>СОПРОТИВЛЕНИЕ МАТЕРИАЛОВ АВИАЦИОННЫХ КОНСТРУКЦИЙ, ИЗД.1</t>
  </si>
  <si>
    <t>Чумак П.И., Кононова О.П.</t>
  </si>
  <si>
    <t>978-5-16-021888-5</t>
  </si>
  <si>
    <t>25.03.01, 25.03.02, 25.03.03, 25.03.04, 25.04.01, 25.04.02, 25.04.03, 25.04.04, 25.05.01, 25.05.02, 25.05.03, 25.05.04, 25.05.05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</si>
  <si>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25.05.00 «Аэронавигация и эксплуатация авиационной и ракетно-космической техники» (квалификация «инженер») (протокол № 2 от 09.02.2022)</t>
  </si>
  <si>
    <t>128050.13.01</t>
  </si>
  <si>
    <t>Сопротивление материалов в примерах и задачах: Уч.пос. / Н.М.Атаров - М.:НИЦ ИНФРА-М,2023 - 407 с.(ВО)(П)</t>
  </si>
  <si>
    <t>СОПРОТИВЛЕНИЕ МАТЕРИАЛОВ В ПРИМЕРАХ И ЗАДАЧАХ, ИЗД.1</t>
  </si>
  <si>
    <t>978-5-16-003871-1</t>
  </si>
  <si>
    <t>Рекомендовано Учебно-методическим объединением вузов России по образованию в области строительства в качестве учебного пособия для студентов, обучающихся по направлению 08.03.01 «Строительство» (квалификация (степень) «бакалавр»)</t>
  </si>
  <si>
    <t>047300.18.01</t>
  </si>
  <si>
    <t>Сопротивление материалов с основами строит..: Уч. / Г.С. Варданян - 2 изд. - М.:НИЦ ИНФРА-М,2026 - 416 с.(П)</t>
  </si>
  <si>
    <t>СОПРОТИВЛЕНИЕ МАТЕРИАЛОВ С ОСНОВАМИ СТРОИТЕЛЬНОЙ МЕХАНИКИ, ИЗД.2</t>
  </si>
  <si>
    <t>Варданян Г. С., Атаров Н. М., Горшков А. А., Варданян Г. С.</t>
  </si>
  <si>
    <t>978-5-16-021006-3</t>
  </si>
  <si>
    <t>07.03.03, 08.03.01, 54.03.04</t>
  </si>
  <si>
    <t>Допущено Министерством образования РФ в качестве учебника для студентов вузов, обуч. по напр. "Строительство"  и спец."Производство строит. материалов, изд. и конструкций",  "Теплогазоснабжение и вентилиция", "Водоснабжение и водоотведение"</t>
  </si>
  <si>
    <t>045477.13.01</t>
  </si>
  <si>
    <t>Сопротивление материалов с основами теории....: Уч. / В.И.Андреев - 2 изд. - М:ИНФРА-М,2025-512с.(ВО) (П)</t>
  </si>
  <si>
    <t>СОПРОТИВЛЕНИЕ МАТЕРИАЛОВ С ОСНОВАМИ ТЕОРИИ УПРУГОСТИ И ПЛАСТИЧНОСТИ, ИЗД.2</t>
  </si>
  <si>
    <t>Варданян Г. С., Андреев В. И., Горшков А. А., Варданян Г. С., Атаров Н. М.</t>
  </si>
  <si>
    <t>978-5-16-021104-6</t>
  </si>
  <si>
    <t>Рекомендовано ГОУ ВПО "Московский государственный строительный университет" в качестве учебника для студентов высших учебных заведений, обучающихся по направлению подготовки 270100 "Строительство" (рег. № рецензии 1100 от 09.11.10, МГУП)</t>
  </si>
  <si>
    <t>343400.04.01</t>
  </si>
  <si>
    <t>Сопротивление материалов..: Уч.пос. / Г.В.Пачурин и др. - М.:Форум, НИЦ ИНФРА-М,2023.-128с.(ВО)(о)</t>
  </si>
  <si>
    <t>СОПРОТИВЛЕНИЕ МАТЕРИАЛОВ. УСТАЛОСТЬ И ПОЛЗУЧЕСТЬ МАТЕРИАЛОВ ПРИ ВЫСОКИХ ТЕМПЕРАТУРАХ, ИЗД.1</t>
  </si>
  <si>
    <t>Пачурин Г.В., Шевченко С.М., Дубинский В.Н. и др.</t>
  </si>
  <si>
    <t>978-5-00091-053-5</t>
  </si>
  <si>
    <t>15.03.01, 15.03.03, 15.03.05, 15.04.01, 22.03.01, 22.04.01, 23.03.01, 23.03.02, 23.03.03</t>
  </si>
  <si>
    <t>Допущено УМО высших заведений РФ по образованию в области материаловедения, технологии материалов и покрытий в качестве учебного пособия для академических и прикладных бакалавров, магистрантов и специалистов, обучающихся по направлениям подготовки (у</t>
  </si>
  <si>
    <t>653220.06.01</t>
  </si>
  <si>
    <t>Сопротивление материалов..: Уч.пос. / С.Г.Сидорин - 2 изд. - М.:ИЦ РИОР, НИЦ ИНФРА-М,2026. - 191 с.(ВО)(П)</t>
  </si>
  <si>
    <t>СОПРОТИВЛЕНИЕ МАТЕРИАЛОВ: ТЕОРИЯ, ТЕСТОВЫЕ ЗАДАНИЯ, ПРИМЕРЫ РЕШЕНИЯ, ИЗД.2</t>
  </si>
  <si>
    <t>Сидорин С.Г., Хайруллин Ф.С.</t>
  </si>
  <si>
    <t>978-5-369-01916-0</t>
  </si>
  <si>
    <t>245500.01.01</t>
  </si>
  <si>
    <t>Сопротивление материалов: Сб. задач с реш.: Уч. пос./С.И.Евтушенко - РИОР:ИНФРА-М, 2014-210с.(ВО) (о) ISBN:978-5-369-01160-7</t>
  </si>
  <si>
    <t>СОПРОТИВЛЕНИЕ МАТЕРИАЛОВ: СБОРНИК ЗАДАЧ С РЕШЕНИЯМИ, ИЗД.1</t>
  </si>
  <si>
    <t>Евтушенко С. И., Дукмасова Т. А., Вильбицкая Н. А.</t>
  </si>
  <si>
    <t>978-5-369-01160-7</t>
  </si>
  <si>
    <t>01.03.03, 01.04.03, 02.03.03, 03.03.03, 07.03.03, 15.03.03, 15.03.05, 16.03.03, 23.03.01, 23.03.02, 23.03.03, 24.03.01, 24.03.03, 24.03.04, 24.03.05, 26.02.04, 35.03.02, 54.03.04</t>
  </si>
  <si>
    <t>245500.09.01</t>
  </si>
  <si>
    <t>Сопротивление материалов: Сб..: Уч.пос. / С.И.Евтушенко - 2 изд. - М.:ИЦ РИОР, НИЦ ИНФРА-М,2027 - 344 с.(ВО)(п)</t>
  </si>
  <si>
    <t>СОПРОТИВЛЕНИЕ МАТЕРИАЛОВ: СБОРНИК ЗАДАЧ С РЕШЕНИЯМИ, ИЗД.2</t>
  </si>
  <si>
    <t>Евтушенко С.И., Вильбицкая Н.А., Дукмасова Т.А.</t>
  </si>
  <si>
    <t>978-5-369-03019-6</t>
  </si>
  <si>
    <t>653220.03.01</t>
  </si>
  <si>
    <t>Сопротивление материалов: теория, тестовые..: Уч.пос. /С.Г.Сидорин-М.:ИЦ РИОР, НИЦ ИНФРА-М,2020-184с(СПО)(П)</t>
  </si>
  <si>
    <t>СОПРОТИВЛЕНИЕ МАТЕРИАЛОВ: ТЕОРИЯ, ТЕСТОВЫЕ ЗАДАНИЯ, ПРИМЕРЫ РЕШЕНИЯ, ИЗД.1</t>
  </si>
  <si>
    <t>978-5-369-01694-7</t>
  </si>
  <si>
    <t>205500.07.01</t>
  </si>
  <si>
    <t>Сопротивление материалов: Уч. / В.А.Волосухин, - 5 изд. - М.:ИЦ РИОР, НИЦ ИНФРА-М, 2025 - 543 с.(ВО)(П)</t>
  </si>
  <si>
    <t>СОПРОТИВЛЕНИЕ МАТЕРИАЛОВ, ИЗД.5</t>
  </si>
  <si>
    <t>Волосухин В.А., Логвинов В.Б., Евтушенко С.И.</t>
  </si>
  <si>
    <t>978-5-369-01159-1</t>
  </si>
  <si>
    <t>05.03.06, 05.04.06, 20.03.02, 20.04.02</t>
  </si>
  <si>
    <t>Допущено Министерством сельского хозяйства Российской Федерации в качестве учебника для студентов высших учебных заведений, обучающихся по направлению 280100 «Природоустройство и водопользование»</t>
  </si>
  <si>
    <t>667728.07.01</t>
  </si>
  <si>
    <t>Сопротивление материалов: Уч.: В 2 ч.Ч.1 / А.Г.Схиртладзе и др. - М.:КУРС, НИЦ ИНФРА-М,2026 - 272 с.(П)</t>
  </si>
  <si>
    <t>СОПРОТИВЛЕНИЕ МАТЕРИАЛОВ, Т.1</t>
  </si>
  <si>
    <t>Схиртладзе А.Г., Чеканин А.В., Волков В.В.</t>
  </si>
  <si>
    <t>978-5-906923-65-3</t>
  </si>
  <si>
    <t>667729.05.01</t>
  </si>
  <si>
    <t>Сопротивление материалов: Уч.: В 2 ч.Ч.2 / А.Г.Схиртладзе. - М.:КУРС, НИЦ ИНФРА-М,2026 - 192 с.(П)</t>
  </si>
  <si>
    <t>СОПРОТИВЛЕНИЕ МАТЕРИАЛОВ, Т.2</t>
  </si>
  <si>
    <t>978-5-906923-67-7</t>
  </si>
  <si>
    <t>736719.07.01</t>
  </si>
  <si>
    <t>Сопротивление материалов: Уч.пос. / Е.В.Кондратова - М.:НИЦ ИНФРА-М,2026 - 185 с.(П)</t>
  </si>
  <si>
    <t>СОПРОТИВЛЕНИЕ МАТЕРИАЛОВ, ИЗД.1</t>
  </si>
  <si>
    <t>Кондратова Е.В.</t>
  </si>
  <si>
    <t>978-5-16-016340-6</t>
  </si>
  <si>
    <t>Рекомендовано экспертным советом ЧВВМУ имени П.С. Нахимова в качестве учебного пособия для курсантов и студентов ЧВВМУ</t>
  </si>
  <si>
    <t>443250.06.01</t>
  </si>
  <si>
    <t>Сопротивление материалов: Уч.пос./В.Б.Логвинов-4изд.-М.:ИЦ РИОР,НИЦ ИНФРА-М,2019-212с.(ВО:Бакалавр.)</t>
  </si>
  <si>
    <t>СОПРОТИВЛЕНИЕ МАТЕРИАЛОВ. ЛАБОРАТОРНЫЕ РАБОТЫ, ИЗД.4</t>
  </si>
  <si>
    <t>Логвинов В.Б., Волосухин В.А., Евтушенко С.И.</t>
  </si>
  <si>
    <t>978-5-369-01528-5</t>
  </si>
  <si>
    <t>07.03.03, 15.03.03, 15.03.05, 16.03.03, 23.03.01, 23.03.02, 23.03.03, 24.03.01, 24.03.03, 24.03.04, 24.03.05, 35.03.02, 54.03.04</t>
  </si>
  <si>
    <t>670748.05.01</t>
  </si>
  <si>
    <t>Сорбционное извлеч. золота из растворов и пульп..: Моногр. / О.Н.Кононова - М.:НИЦ ИНФРА-М, СФУ,2027 - 198 с.(П)</t>
  </si>
  <si>
    <t>СОРБЦИОННОЕ ИЗВЛЕЧЕНИЕ ЗОЛОТА ИЗ РАСТВОРОВ И ПУЛЬП. ХИМИЗМ ПРОЦЕССА, СЕЛЕКТИВНОСТЬ, ТЕХНОЛОГИЯ, ИЗД.1</t>
  </si>
  <si>
    <t>Кононова О.Н., Холмогоров А.Г., Кононов Ю.С.</t>
  </si>
  <si>
    <t>978-5-16-017958-2</t>
  </si>
  <si>
    <t>22.04.01, 22.04.02</t>
  </si>
  <si>
    <t>736687.03.01</t>
  </si>
  <si>
    <t>Сортиментная заготовка древесины: Уч.пос. / В.А.Азаренок - М.:НИЦ ИНФРА-М,2026. - 140 с.(ВО: Бакалавр.)(П)</t>
  </si>
  <si>
    <t>СОРТИМЕНТНАЯ ЗАГОТОВКА ДРЕВЕСИНЫ, ИЗД.1</t>
  </si>
  <si>
    <t>Азаренок В.А., Герц Э.Ф., Мехренцев А.В. и др.</t>
  </si>
  <si>
    <t>978-5-16-016415-1</t>
  </si>
  <si>
    <t>Допущено УМО по образованию в области лесного дела в качестве учебного пособия для студентов высших учебных заведений, обучающихся по направлениям подготовки бакалавров и магистров 35.03.02, 35.04.02 «Технология лесозаготовительных и деревоперерабатывающих производств», 35.03.01, 35.04.01 «Лесное дело»</t>
  </si>
  <si>
    <t>775774.03.01</t>
  </si>
  <si>
    <t>Составление и использование бух. (финанс.) отчет.: Уч. / М.Н.Ермакова - М.:НИЦ ИНФРА-М,2027 - 302 с.(СПО)(п)</t>
  </si>
  <si>
    <t>СОСТАВЛЕНИЕ И ИСПОЛЬЗОВАНИЕ БУХГАЛТЕРСКОЙ (ФИНАНСОВОЙ) ОТЧЕТНОСТИ, ИЗД.1</t>
  </si>
  <si>
    <t>Ермакова М.Н.</t>
  </si>
  <si>
    <t>978-5-16-019367-0</t>
  </si>
  <si>
    <t>641742.03.01</t>
  </si>
  <si>
    <t>Состояние и перспект.внешнеторгового...: Моногр. / А.Е.Суглобов-М.:ИЦ РИОР,НИЦ ИНФРА-М,2020-140с.(О)</t>
  </si>
  <si>
    <t>СОСТОЯНИЕ И ПЕРСПЕКТИВЫ ВНЕШНЕТОРГОВОГО ПОТЕНЦИАЛА РОССИИ НА МИРОВОМ  РЫНКЕ ЛЕСА, ИЗД.1</t>
  </si>
  <si>
    <t>Суглобов А.Е., Мантусов В.Б., Кузминых Ю.В. и др.</t>
  </si>
  <si>
    <t>978-5-369-01602-2</t>
  </si>
  <si>
    <t>35.03.01, 35.04.01, 38.03.01, 38.03.04, 41.03.05, 44.03.05</t>
  </si>
  <si>
    <t>778301.02.01</t>
  </si>
  <si>
    <t>Состязательность в рос. гражданском процессе / М.А.Алиэскеров-М.:Юр. НОРМА, НИЦ ИНФРА-М,2024.-288 с.(П)</t>
  </si>
  <si>
    <t>СОСТЯЗАТЕЛЬНОСТЬ В РОССИЙСКОМ ГРАЖДАНСКОМ ПРОЦЕССЕ, ИЗД.1</t>
  </si>
  <si>
    <t>Алиэскеров М.А.</t>
  </si>
  <si>
    <t>978-5-00156-148-4</t>
  </si>
  <si>
    <t>Калужский областной суд</t>
  </si>
  <si>
    <t>693972.03.01</t>
  </si>
  <si>
    <t>Состязательный гражданский процесс в прав. соц. гос.: Моногр. / М.А.Алиэскеров-М.:Юр.Норма, НИЦ ИНФРА-М,2022.-240 с.(П)</t>
  </si>
  <si>
    <t>СОСТЯЗАТЕЛЬНЫЙ ГРАЖДАНСКИЙ ПРОЦЕСС В ПРАВОВОМ СОЦИАЛЬНОМ ГОСУДАРСТВЕ, ИЗД.1</t>
  </si>
  <si>
    <t>978-5-91768-971-5</t>
  </si>
  <si>
    <t>706936.05.01</t>
  </si>
  <si>
    <t>Сотворчество в муз. искусстве и муз. обр.: Моногр. / Е.Ю.Куприна - М.:НИЦ ИНФРА-М,2026 - 320 с.(Науч.мысль)(О)</t>
  </si>
  <si>
    <t>СОТВОРЧЕСТВО В МУЗЫКАЛЬНОМ ИСКУССТВЕ И МУЗЫКАЛЬНОМ ОБРАЗОВАНИИ, ИЗД.1</t>
  </si>
  <si>
    <t>Куприна Е.Ю.</t>
  </si>
  <si>
    <t>978-5-16-015179-3</t>
  </si>
  <si>
    <t>53.04.01, 53.04.02, 53.04.03, 53.04.04, 53.04.06, 53.05.01, 53.05.02, 53.05.05, 53.09.01, 53.09.02, 53.09.03, 53.09.04, 53.09.05</t>
  </si>
  <si>
    <t>639312.03.01</t>
  </si>
  <si>
    <t>Социалистическая и радикал.традиц.в литер.США:Моногр./Б.А.Гиленсон- 2 изд.-М.:НИЦ ИНФРА-М,2023-390с.</t>
  </si>
  <si>
    <t>СОЦИАЛИСТИЧЕСКАЯ И РАДИКАЛЬНАЯ ТРАДИЦИИ В ЛИТЕРАТУРЕ США, ИЗД.2</t>
  </si>
  <si>
    <t>978-5-16-012269-4</t>
  </si>
  <si>
    <t>651868.06.01</t>
  </si>
  <si>
    <t>Социалистические системы: / В.Парето - М.:ИЦ РИОР, НИЦ ИНФРА-М,2025 - 716 с.(Vilfredo Pareto)(П)</t>
  </si>
  <si>
    <t>СОЦИАЛИСТИЧЕСКИЕ СИСТЕМЫ, ИЗД.1</t>
  </si>
  <si>
    <t>Парето В.</t>
  </si>
  <si>
    <t>Vilfredo Pareto</t>
  </si>
  <si>
    <t>978-5-369-01774-6</t>
  </si>
  <si>
    <t>40.03.01, 40.04.01, 41.03.04, 41.03.06, 41.04.04, 44.03.01, 44.03.05, 47.03.01, 51.03.01</t>
  </si>
  <si>
    <t>059400.14.01</t>
  </si>
  <si>
    <t>Социальная антропология: Уч. / В.И.Добреньков - М.:НИЦ ИНФРА-М,2025.-688 с.(ВО)(п)</t>
  </si>
  <si>
    <t>СОЦИАЛЬНАЯ АНТРОПОЛОГИЯ, ИЗД.1</t>
  </si>
  <si>
    <t>978-5-16-018612-2</t>
  </si>
  <si>
    <t>39.03.01, 39.04.01, 44.03.05, 46.03.01, 51.03.01</t>
  </si>
  <si>
    <t>Рекомендовано Учебно-методическим объединением по классическому университетскому образованию РФ в качестве учебника для студентов высших учебных заведений, обучающихся по специальности 020300 "Социология"</t>
  </si>
  <si>
    <t>455300.08.01</t>
  </si>
  <si>
    <t>Социальная география РФ: Моногр. / В.В.Воронин - 2 изд. - М.:НИЦ ИНФРА-М,2024 - 307 с.(Науч.мысль)(О)</t>
  </si>
  <si>
    <t>СОЦИАЛЬНАЯ ГЕОГРАФИЯ РОССИЙСКОЙ ФЕДЕРАЦИИ, ИЗД.2</t>
  </si>
  <si>
    <t>Воронин В.В., Кочуров Б.И., Перстенева Н.П. и др.</t>
  </si>
  <si>
    <t>978-5-16-016091-7</t>
  </si>
  <si>
    <t>05.04.02, 38.04.01, 38.06.01, 39.04.01, 39.04.02, 39.06.01</t>
  </si>
  <si>
    <t>455300.05.01</t>
  </si>
  <si>
    <t>Социальная география РФ: Моногр. /В.В.Воронин и др.-2 изд.-М.:НИЦ ИНФРА-М,2018.-308с.(Науч.мысль)(п)</t>
  </si>
  <si>
    <t>978-5-16-011477-4</t>
  </si>
  <si>
    <t>171250.13.01</t>
  </si>
  <si>
    <t>Социальная геронтология: Уч.пос. / Г.Б.Хасанова - М.:НИЦ ИНФРА-М,2027. - 171 с. (ВО)</t>
  </si>
  <si>
    <t>СОЦИАЛЬНАЯ ГЕРОНТОЛОГИЯ, ИЗД.1</t>
  </si>
  <si>
    <t>Хасанова Г. Б.</t>
  </si>
  <si>
    <t>978-5-16-004950-2</t>
  </si>
  <si>
    <t>39.03.01, 39.03.02, 39.04.01, 39.04.02</t>
  </si>
  <si>
    <t>Допущено Министерством образования РФ в качестве учебного пособия для студентов высших учебных заведений, обучающихся по специальности "Социальная работа"</t>
  </si>
  <si>
    <t>462550.03.01</t>
  </si>
  <si>
    <t>Социальная грамматика: Моногр. / С.В.Борзых-М.:НИЦ ИНФРА-М,2019.-120 с..-(Науч.мысль)(О)</t>
  </si>
  <si>
    <t>СОЦИАЛЬНАЯ ГРАММАТИКА, ИЗД.1</t>
  </si>
  <si>
    <t>978-5-16-009567-7</t>
  </si>
  <si>
    <t>39.03.01, 39.03.02, 39.04.01, 39.04.02, 41.03.06</t>
  </si>
  <si>
    <t>726079.01.01</t>
  </si>
  <si>
    <t>Социальная диалектика предыстории: Моногр. / С.Н.Некрасов - М.:НИЦ ИНФРА-М,2021 - 640 с.(Науч.мысль)(П)</t>
  </si>
  <si>
    <t>СОЦИАЛЬНАЯ ДИАЛЕКТИКА ПРЕДЫСТОРИИ, ИЗД.1</t>
  </si>
  <si>
    <t>Некрасов С.Н., Ветошкин А.П.</t>
  </si>
  <si>
    <t>978-5-16-016024-5</t>
  </si>
  <si>
    <t>389100.05.01</t>
  </si>
  <si>
    <t>Социальная информатика: Уч.пос. / Е.П.Агапов - М.:ИЦ РИОР, НИЦ ИНФРА-М,2022.-144 с.(ВО: Бакалавр.)(П)</t>
  </si>
  <si>
    <t>СОЦИАЛЬНАЯ ИНФОРМАТИКА, ИЗД.1</t>
  </si>
  <si>
    <t>978-5-369-01456-1</t>
  </si>
  <si>
    <t>439600.09.01</t>
  </si>
  <si>
    <t>Социальная педагогика: Уч. / М.А.Галагузова. - М.:НИЦ ИНФРА-М,2026 - 319 с.-(ВО: Бакалавр.)(П)</t>
  </si>
  <si>
    <t>СОЦИАЛЬНАЯ ПЕДАГОГИКА, ИЗД.1</t>
  </si>
  <si>
    <t>ГалагузоваМ.А., БеляеваМ.А., ГалагузоваЮ.Н. и др.</t>
  </si>
  <si>
    <t>978-5-16-011362-3</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</si>
  <si>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</si>
  <si>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661025.04.01</t>
  </si>
  <si>
    <t>Социальная педагогика: Уч.пос. / А.К.Лукина -М.:НИЦ ИНФРА-М, СФУ,2024-306с.(ВО(СФУ))(п)</t>
  </si>
  <si>
    <t>Лукина А.К.</t>
  </si>
  <si>
    <t>978-5-16-019446-2</t>
  </si>
  <si>
    <t>39.03.02, 44.03.03</t>
  </si>
  <si>
    <t>Допущено Учебно-методическим объединением по направлениям педагогического образования и науки РФ в качестве учебно-методического пособия для преподавателей и студентов педагогических вузов</t>
  </si>
  <si>
    <t>110500.14.01</t>
  </si>
  <si>
    <t>Социальная политика: Уч.пос. / Г.А.Ахинов. - М.: НИЦ ИНФРА-М, 2024. - 272 с. (ВО)(п)</t>
  </si>
  <si>
    <t>СОЦИАЛЬНАЯ ПОЛИТИКА, ИЗД.1</t>
  </si>
  <si>
    <t>Ахинов Г.А., Калашников С.В.</t>
  </si>
  <si>
    <t>978-5-16-019333-5</t>
  </si>
  <si>
    <t>38.03.01, 38.03.02, 38.03.03, 38.03.04, 38.04.01, 38.04.02, 38.04.03, 38.04.04, 38.04.08, 38.04.09, 44.03.05</t>
  </si>
  <si>
    <t>Рекомендовано УМО вузов по образованию в области экономики и экономической теории в качестве учебного пособия для студентов, обучающихся по направлению 521600 "Экономика" и  экономические специальности</t>
  </si>
  <si>
    <t>405900.05.01</t>
  </si>
  <si>
    <t>Социальная политика: Уч.пос. / Е.П.Тавокин - М.:НИЦ ИНФРА-М,2020 - 157 с.(ВО)(П)</t>
  </si>
  <si>
    <t>978-5-16-006151-1</t>
  </si>
  <si>
    <t>38.03.01, 38.03.02, 38.03.03, 38.03.04, 38.04.01, 38.04.02, 38.04.03, 38.04.04, 39.03.02, 39.04.02, 41.03.06, 44.03.05</t>
  </si>
  <si>
    <t>Рекомендуется студентам высших учебных заведений, обучающихся по направлениям «Экономика», «Менеджмент», «Управление персоналом», «Социология»</t>
  </si>
  <si>
    <t>405900.07.01</t>
  </si>
  <si>
    <t>Социальная политика: Уч.пос. / Е.П.Тавокин, - 2 изд.-М.:НИЦ ИНФРА-М,2024.-184 с.(ВО)(п)</t>
  </si>
  <si>
    <t>СОЦИАЛЬНАЯ ПОЛИТИКА, ИЗД.2</t>
  </si>
  <si>
    <t>978-5-16-019183-6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</si>
  <si>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39.03.01 «Социология» (квалификация (степень) «бакалавр») (протокол № 11 от 09.11.2020)</t>
  </si>
  <si>
    <t>374600.08.01</t>
  </si>
  <si>
    <t>Социальная психология в схемах и коммент.: Уч.пос. / В.Г.Крысько - 4 изд. - М.:НИЦ ИНФРА-М,2026 - 227 с.(П)</t>
  </si>
  <si>
    <t>СОЦИАЛЬНАЯ ПСИХОЛОГИЯ В СХЕМАХ И КОММЕНТАРИЯХ, ИЗД.4</t>
  </si>
  <si>
    <t>978-5-9558-0445-3</t>
  </si>
  <si>
    <t>37.03.01, 37.03.02, 37.05.01, 37.05.02, 39.03.01, 39.03.02, 39.03.03, 42.03.01, 42.03.02, 44.03.01, 44.03.02, 44.03.03, 44.03.04, 44.03.05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</si>
  <si>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37.00.00 «Психологические науки», 38.00.00 «Экономика и управление», 39.00.00 «Социология и социальные науки» (квалификация (степень) «бакалавр») (протокол № 10 от 15.12.2021)</t>
  </si>
  <si>
    <t>632184.06.01</t>
  </si>
  <si>
    <t>Социальная психология детства: Уч. / В.В.Абраменкова - 2 изд. - М.:НИЦ ИНФРА-М,2023 - 511 с.(ВО)(П)</t>
  </si>
  <si>
    <t>СОЦИАЛЬНАЯ ПСИХОЛОГИЯ ДЕТСТВА, ИЗД.2</t>
  </si>
  <si>
    <t>Абраменкова В.В.</t>
  </si>
  <si>
    <t>978-5-16-012279-3</t>
  </si>
  <si>
    <t>37.03.01, 44.03.01, 44.03.02, 44.03.05</t>
  </si>
  <si>
    <t>Рекомендовано в качестве учебного пособия  для студентов высших учебных заведений, обучающихся по направлениям подготовки 37.03.01 «Психология», 44.03.01 «Педагогическое образование», 44.03.02 «Психолого-педагогическое образование» (квалификация (степень) «бакалавр»)</t>
  </si>
  <si>
    <t>285300.07.01</t>
  </si>
  <si>
    <t>Социальная психология обр.: Уч. пос. / Под. ред.О.Б.Крушельницкой. - М.:Вуз. уч.,НИЦ ИНФРА-М,2026 - 320 с.(П)</t>
  </si>
  <si>
    <t>СОЦИАЛЬНАЯ ПСИХОЛОГИЯ ОБРАЗОВАНИЯ, ИЗД.1</t>
  </si>
  <si>
    <t>Крушельницкая О.Б., Крушельницкая О.Б., Сачкова М.Е. и др.</t>
  </si>
  <si>
    <t>978-5-9558-0376-0</t>
  </si>
  <si>
    <t>37.03.01, 37.04.01, 39.03.01, 39.03.02, 39.04.01, 39.04.02, 44.03.01, 44.03.02, 44.03.05, 44.04.01, 44.04.02</t>
  </si>
  <si>
    <t>693433.06.01</t>
  </si>
  <si>
    <t>Социальная психология образ. Прак.: Уч.пос. / Под ред. Крушельницкой О.Б. - М.:НИЦ ИНФРА-М,2027 - 262 с.(п)</t>
  </si>
  <si>
    <t>СОЦИАЛЬНАЯ ПСИХОЛОГИЯ ОБРАЗОВАНИЯ. ПРАКТИКУМ, ИЗД.1</t>
  </si>
  <si>
    <t>Кожухарь Г.С., Кочетков Н.В., Красило Д.А. и др.</t>
  </si>
  <si>
    <t>978-5-16-022485-5</t>
  </si>
  <si>
    <t>37.03.01, 44.03.01, 44.03.02, 44.03.03, 44.03.04, 44.03.05, 44.04.02, 44.05.01</t>
  </si>
  <si>
    <t>Рекомендовано Ученым советом ФГБОУ ВО МГППУ в качестве учебного пособия для студентов бакалавриата, обучающихся по направлениям «Психология» и «Психолого-педагогическое образование»</t>
  </si>
  <si>
    <t>636896.12.01</t>
  </si>
  <si>
    <t>Социальная психология общения...: Моногр. / А.Л.Свенцицкий - 2 изд. - М.:НИЦ ИНФРА-М,2026. - 389 с.(П)</t>
  </si>
  <si>
    <t>СОЦИАЛЬНАЯ ПСИХОЛОГИЯ ОБЩЕНИЯ: ТЕОРИЯ И ПРАКТИКА, ИЗД.2</t>
  </si>
  <si>
    <t>Свенцицкий А.Л., Почебут Л.Г., Гуриева С.Д. и др.</t>
  </si>
  <si>
    <t>978-5-16-014192-3</t>
  </si>
  <si>
    <t>07.02.01, 08.02.01, 09.02.06, 26.02.04, 37.03.01, 38.03.04, 44.03.01, 44.03.05</t>
  </si>
  <si>
    <t>636896.03.01</t>
  </si>
  <si>
    <t>Социальная психология общения: Моногр. / Под ред. Свенцицкого А.Л.-М.:НИЦ ИНФРА-М,2018-256с.(П)</t>
  </si>
  <si>
    <t>СОЦИАЛЬНАЯ ПСИХОЛОГИЯ ОБЩЕНИЯ, ИЗД.1</t>
  </si>
  <si>
    <t>Свенцицкий А.Л., Панфёров В.Н., Куликов Л.В. и др.</t>
  </si>
  <si>
    <t>978-5-16-012186-4</t>
  </si>
  <si>
    <t>043364.19.01</t>
  </si>
  <si>
    <t>Социальная психология. Курс лекций: Уч.пос / В.Г.Крысько - 4 изд. - М.: НИЦ ИНФРА-М,2026  -  256 с.(П)</t>
  </si>
  <si>
    <t>СОЦИАЛЬНАЯ ПСИХОЛОГИЯ. КУРС ЛЕКЦИЙ, ИЗД.4</t>
  </si>
  <si>
    <t>978-5-16-021436-8</t>
  </si>
  <si>
    <t>37.03.01, 37.03.02, 37.05.01, 37.05.02, 38.03.02, 38.03.03, 39.03.01, 39.03.02, 39.03.03, 42.03.01, 42.03.02, 44.03.01, 44.03.02, 44.03.03, 44.03.04, 44.03.05</t>
  </si>
  <si>
    <t>Допущено Учебно-методическим объединением по специальностям педагогического образования в качестве учебного пособия для студентов высших учебных заведений, обучающихся по специальности 031000 - Педагогика и психология</t>
  </si>
  <si>
    <t>049850.20.01</t>
  </si>
  <si>
    <t>Социальная психология: Уч. / В.А.Соснин - 3 изд. - М.:Форум, ИНФРА-М Изд. Дом,2025 - 335 с.(СПО)(П)</t>
  </si>
  <si>
    <t>СОЦИАЛЬНАЯ ПСИХОЛОГИЯ, ИЗД.3</t>
  </si>
  <si>
    <t>Соснин В.А., Красникова Е.А.</t>
  </si>
  <si>
    <t>978-5-00091-492-2</t>
  </si>
  <si>
    <t>00.01.04, 00.02.15, 34.02.01, 39.02.01, 39.02.02, 39.02.03, 43.02.17, 44.02.06, 51.02.02, 51.02.03, 54.02.01, 49.02.03</t>
  </si>
  <si>
    <t>381400.07.01</t>
  </si>
  <si>
    <t>Социальная психология: Уч. / Ю.П.Платонов - М.:НИЦ ИНФРА-М,2026 - 336с.(ВО.)(п)</t>
  </si>
  <si>
    <t>СОЦИАЛЬНАЯ ПСИХОЛОГИЯ, ИЗД.1</t>
  </si>
  <si>
    <t>ПлатоновЮ.П.</t>
  </si>
  <si>
    <t>978-5-16-021435-1</t>
  </si>
  <si>
    <t>37.03.01, 44.03.01, 44.03.05</t>
  </si>
  <si>
    <t>Санкт-Петербургский государственный институт психологии и социальной работы</t>
  </si>
  <si>
    <t>074200.11.01</t>
  </si>
  <si>
    <t>Социальная психология: Уч. пос. / А.Л.Журавлев, В.А.Соснин - 2 изд.- М.: Форум, 2020-496с.(ВО) (п)</t>
  </si>
  <si>
    <t>СОЦИАЛЬНАЯ ПСИХОЛОГИЯ, ИЗД.2</t>
  </si>
  <si>
    <t>Журавлев А. Л., Соснин В. А., Красников М. А.</t>
  </si>
  <si>
    <t>978-5-91134-494-8</t>
  </si>
  <si>
    <t>Рекомендовано Советом по психологии УМО по классическому университетскому образованию в качестве учебного пособия для студентов вузов, обучающихся по направлению и специальностям "Психология"</t>
  </si>
  <si>
    <t>095240.20.01</t>
  </si>
  <si>
    <t>Социальная психология: Уч.пос. / Н.С.Ефимова - М.:ИД ФОРУМ, НИЦ ИНФРА-М,2025 - 192 с.(СПО)(П)</t>
  </si>
  <si>
    <t>978-5-8199-0723-8</t>
  </si>
  <si>
    <t>44.02.01, 44.02.02, 44.02.06, 52.02.01, 52.02.02, 52.02.05</t>
  </si>
  <si>
    <t>Допущено Министерством образования  и науки Российской Федерации в качестве учебного пособия для студентов образовательных учреждений среднего профессионального образования</t>
  </si>
  <si>
    <t>074200.14.01</t>
  </si>
  <si>
    <t>Социальная психология: Уч.пос. / Под ред. Журавлева А.Л., - 3 изд. - М.:НИЦ ИНФРА-М,2026. -  544 с.(ВО)(п)</t>
  </si>
  <si>
    <t>Грачев А.А., Емельянова Т.П., Журавлев А.Л. и др.</t>
  </si>
  <si>
    <t>978-5-16-016375-8</t>
  </si>
  <si>
    <t>Рекомендовано Советом по психологии УМО по классическому университетскому образованию в качестве учебного пособия для студентов высших учебных заведений, обучающихся по направлению и специальностям психологии</t>
  </si>
  <si>
    <t>327800.05.01</t>
  </si>
  <si>
    <t>Социальная раб. и подготовка соц. раб. за рубежом: Уч.пос. / В.А.Фокин-М.:Форум, НИЦ ИНФРА-М,2024.-272 с.(О)</t>
  </si>
  <si>
    <t>СОЦИАЛЬНАЯ РАБОТА И ПОДГОТОВКА СОЦИАЛЬНЫХ РАБОТНИКОВ ЗА РУБЕЖОМ, ИЗД.1</t>
  </si>
  <si>
    <t>Фокин В.А.</t>
  </si>
  <si>
    <t>978-5-00091-019-1</t>
  </si>
  <si>
    <t>Допущено УМО по образованию в области социальной работы в качестве дополнительного учебного пособия для студентов высших учебных заведений, обучающихся по направлению подготовки 39.03.02 «Социальная работа» (бакалавриат)</t>
  </si>
  <si>
    <t>683113.03.01</t>
  </si>
  <si>
    <t>Социальная работа с лицами и группами девиант. повед.: Уч.пос./ П.Д.Павленок-М.:НИЦ ИНФРА-М,2020-167 с.(СПО) (П)</t>
  </si>
  <si>
    <t>СОЦИАЛЬНАЯ РАБОТА С ЛИЦАМИ И ГРУППАМИ ДЕВИАНТНОГО ПОВЕДЕНИЯ, ИЗД.1</t>
  </si>
  <si>
    <t>Павленок П.Д., Руднева М.Я.</t>
  </si>
  <si>
    <t>978-5-16-014002-5</t>
  </si>
  <si>
    <t>31.02.01, 39.02.01, 40.02.04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</si>
  <si>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39.02.01 «Социальная работа»</t>
  </si>
  <si>
    <t>684802.13.01</t>
  </si>
  <si>
    <t>Социальная работа с лицами с огран. возм. здоровья: Уч.пос. / Е.Н.Приступа - М.:НИЦ ИНФРА-М,2026 - 159 с.(СПО)(п)</t>
  </si>
  <si>
    <t>СОЦИАЛЬНАЯ РАБОТА С ЛИЦАМИ С ОГРАНИЧЕННЫМИ ВОЗМОЖНОСТЯМИ ЗДОРОВЬЯ, ИЗД.1</t>
  </si>
  <si>
    <t>978-5-16-016386-4</t>
  </si>
  <si>
    <t>Рекомендовано в качестве учебного пособия для студентов учебных заведений, реализующих программу среднего профессионального образования по специальности 39.02.01 «Социальная работа»</t>
  </si>
  <si>
    <t>314100.11.01</t>
  </si>
  <si>
    <t>Социальная работа с лицами с огранич. возмож. здор.: Уч.пос. / Е.Н.Приступа- 2 изд.-М.:НИЦ ИНФРА-М,2024-191с.(ВО)(о)</t>
  </si>
  <si>
    <t>СОЦИАЛЬНАЯ РАБОТА С ЛИЦАМИ С ОГРАНИЧЕННЫМИ ВОЗМОЖНОСТЯМИ ЗДОРОВЬЯ, ИЗД.2</t>
  </si>
  <si>
    <t>978-5-16-019575-9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</si>
  <si>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39.03.02 «Социальная работа» (квалификация (степень) «бакалавр») (протокол № 2 от 17.02.2021)</t>
  </si>
  <si>
    <t>314100.07.01</t>
  </si>
  <si>
    <t>Социальная работа с лицами с огранич. возмож. здор.: Уч.пос. / Е.Н.Приступа-М.:НИЦ ИНФРА-М,2020-159 с.(ВО)(П)</t>
  </si>
  <si>
    <t>978-5-16-015567-8</t>
  </si>
  <si>
    <t>Рекомендовано в качестве учебного пособия для студентов высших учебных заведений, обучающихся по направлению подготовки 39.03.02 «Социальная работа» (квалификация (степень) «бакалавр»)</t>
  </si>
  <si>
    <t>085450.12.01</t>
  </si>
  <si>
    <t>Социальная работа с мигрантами и..: Уч пос. / Акмалова А.А. - М.:НИЦ ИНФРА-М,2025 - 220 с.(о)(ВО)</t>
  </si>
  <si>
    <t>СОЦИАЛЬНАЯ РАБОТА С МИГРАНТАМИ И БЕЖЕНЦАМИ, ИЗД.2</t>
  </si>
  <si>
    <t>Акмалова А. А., Капицын В. М.</t>
  </si>
  <si>
    <t>978-5-16-009919-4</t>
  </si>
  <si>
    <t>Рекомендовано Учебно-методическим объединением вузов России по образованию в области социальной работы Мин. обр. и науки РФ в качестве учебного пособия для студентов, обучающихся по направлению и специальности "Социальная работа"</t>
  </si>
  <si>
    <t>485250.11.01</t>
  </si>
  <si>
    <t>Социальная работа: Сл. терминов / Е.Н.Приступа - М, НИЦ ИНФРА-М,2026 - 232 с.(Б-ка сл. ИНФРА-М)(О)</t>
  </si>
  <si>
    <t>СОЦИАЛЬНАЯ РАБОТА: СЛОВАРЬ ТЕРМИНОВ, ИЗД.1</t>
  </si>
  <si>
    <t>Приступа Е.Н., Приступа Е.Н., Степичев П.А. и др.</t>
  </si>
  <si>
    <t>978-5-16-022027-7</t>
  </si>
  <si>
    <t>39.02.01, 39.03.01, 39.03.02, 39.03.03, 39.04.01, 39.04.02, 39.04.03, 40.02.04</t>
  </si>
  <si>
    <t>175200.12.01</t>
  </si>
  <si>
    <t>Социальная реабилитация: Уч. / Под ред. Валеевой Н.Ш. - М.:НИЦ ИНФРА-М,2024 - 320 с.(ВО: Бакалавр.)(П)</t>
  </si>
  <si>
    <t>СОЦИАЛЬНАЯ РЕАБИЛИТАЦИЯ, ИЗД.1</t>
  </si>
  <si>
    <t>Берецкая Е.А., Валеева Н.Ш., Валеева Э.Р. и др.</t>
  </si>
  <si>
    <t>978-5-16-005151-2</t>
  </si>
  <si>
    <t>Рекомендовано ФГОУ ВПО "Российским гос. универ. туризма и сервиса"  к использов. в образов. учрежд., реализ. обр. программы высшего проф. образов. по дисц. "Социальная реабилитология" по напр. подготовки "Социальная работа" и спец. "Социальная работ"</t>
  </si>
  <si>
    <t>645466.05.01</t>
  </si>
  <si>
    <t>Социальная реклама в системе соц. коммуникаций...: Моногр. / И.Б.Давыдкина - М.:НИЦ ИНФРА-М,2023-126 с.(О)</t>
  </si>
  <si>
    <t>СОЦИАЛЬНАЯ РЕКЛАМА В СИСТЕМЕ СОЦИАЛЬНЫХ КОММУНИКАЦИЙ И СОЦИАЛЬНОГО УПРАВЛЕНИЯ, ИЗД.1</t>
  </si>
  <si>
    <t>Давыдкина И.Б.</t>
  </si>
  <si>
    <t>978-5-16-012943-3</t>
  </si>
  <si>
    <t>38.03.02, 38.03.04, 38.04.02, 38.04.04, 44.03.01, 44.03.05</t>
  </si>
  <si>
    <t>Российский экономический университет им. Г.В. Плеханова, Волгоградский ф-л</t>
  </si>
  <si>
    <t>159250.10.01</t>
  </si>
  <si>
    <t>Социальная реклама: Уч.пос. / Б.Р.Мандель - М.:Вуз. уч.,ИНФРА-М,2026 - 302 с.(п)</t>
  </si>
  <si>
    <t>СОЦИАЛЬНАЯ РЕКЛАМА, ИЗД.1</t>
  </si>
  <si>
    <t>978-5-9558-0177-3</t>
  </si>
  <si>
    <t>38.03.06, 38.04.06, 39.03.01, 39.03.02, 39.04.01, 39.04.02, 41.03.06, 42.03.01</t>
  </si>
  <si>
    <t>Допущено Уебно-методическим объединением вузов России по образованию в области коммерции в качестве учебного пособия для студентов высших учебных заведений, обучающихся по специальности 03401 "Реклама"</t>
  </si>
  <si>
    <t>667047.04.01</t>
  </si>
  <si>
    <t>Социальная философия и философия истории: Уч.пос./ Под ред. Момджян К.Х.-М.:НИЦ ИНФРА-М,2024-478с(П)</t>
  </si>
  <si>
    <t>СОЦИАЛЬНАЯ ФИЛОСОФИЯ И ФИЛОСОФИЯ ИСТОРИИ, ИЗД.1</t>
  </si>
  <si>
    <t>Антоновский А.Ю., Бойцова О.Ю., Брызгалина Е.В. и др.</t>
  </si>
  <si>
    <t>978-5-16-013641-7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</si>
  <si>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47.04.01 «Философия» (протокол № 11 от 10.06.2019)</t>
  </si>
  <si>
    <t>703678.03.01</t>
  </si>
  <si>
    <t>Социальная экология: Уч. / В.В.Стрельников-М.:НИЦ ИНФРА-М,2023.-214 с.(ВО: Бакалавр.)(П)</t>
  </si>
  <si>
    <t>СОЦИАЛЬНАЯ ЭКОЛОГИЯ, ИЗД.1</t>
  </si>
  <si>
    <t>Стрельников В.В., Францева Т.П.</t>
  </si>
  <si>
    <t>978-5-16-015184-7</t>
  </si>
  <si>
    <t>05.03.06, 39.03.02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</si>
  <si>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05.03.06 «Экология и природопользование» (квалификация (степень) «бакалавр») (протокол № 11 от 26.10.2020)</t>
  </si>
  <si>
    <t>778243.01.01</t>
  </si>
  <si>
    <t>Социальная экология: Уч. / Л.О.Терновая - М.:НИЦ ИНФРА-М,2025. - 280 с.(ВО)(п)</t>
  </si>
  <si>
    <t>978-5-16-017714-4</t>
  </si>
  <si>
    <t>694494.01.01</t>
  </si>
  <si>
    <t>Социальная эффектив. орг. внутренних дел: Моногр. / Е.Г.Бунов - М.:НИЦ ИНФРА-М,2021 - 183 с.(Науч.мысль)(О)</t>
  </si>
  <si>
    <t>СОЦИАЛЬНАЯ ЭФФЕКТИВНОСТЬ ОРГАНОВ ВНУТРЕННИХ ДЕЛ, ИЗД.1</t>
  </si>
  <si>
    <t>Бунов Е.Г.</t>
  </si>
  <si>
    <t>978-5-16-016839-5</t>
  </si>
  <si>
    <t>694494.02.01</t>
  </si>
  <si>
    <t>Социальная эффектив. орг. внутренних дел: Моногр. / Е.Г.Бунов - М.:НИЦ ИНФРА-М,2022 - 183 с.(Науч.мысль)(П)</t>
  </si>
  <si>
    <t>978-5-16-017251-4</t>
  </si>
  <si>
    <t>832513.01.01</t>
  </si>
  <si>
    <t>Социально значимые отрасли экономики России....: Моногр. / А.В.Сигал - М.:НИЦ ИНФРА-М,2025. - 381 с.(п)</t>
  </si>
  <si>
    <t>СОЦИАЛЬНО ЗНАЧИМЫЕ ОТРАСЛИ ЭКОНОМИКИ РОССИИ: ФУНКЦИОНИРОВАНИЕ, ОПТИМИЗАЦИЯ ДЕЯТЕЛЬНОСТИ, МОДЕРНИЗАЦИЯ И ПЕРСПЕКТИВЫ РАЗВИТИЯ, ИЗД.1</t>
  </si>
  <si>
    <t>Сигал А.В., Апатова Н.В., Бакуменко М.А. и др.</t>
  </si>
  <si>
    <t>978-5-16-020075-0</t>
  </si>
  <si>
    <t>38.03.01, 38.04.04, 38.05.01, 38.06.01</t>
  </si>
  <si>
    <t>710223.03.01</t>
  </si>
  <si>
    <t>Социальное благополучие человека: Сб. науч. трудов / В.В.Комарова.-М.:Юр. НОРМА, НИЦ ИНФРА-М,2022.-240 с.(П)</t>
  </si>
  <si>
    <t>СОЦИАЛЬНОЕ БЛАГОПОЛУЧИЕ ЧЕЛОВЕКА, ИЗД.1</t>
  </si>
  <si>
    <t>Комарова В.В., Беше-Головко К., Чиркин В.Е. и др.</t>
  </si>
  <si>
    <t>978-5-00156-002-9</t>
  </si>
  <si>
    <t>39.03.02, 39.04.01, 39.04.02, 40.03.01, 40.04.01</t>
  </si>
  <si>
    <t>781097.02.01</t>
  </si>
  <si>
    <t>Социальное богатство инновац. сис.: Моногр. / М.А.Сажина-М.:НИЦ ИНФРА-М,2024.-110 с.(Науч.мысль)(о)</t>
  </si>
  <si>
    <t>СОЦИАЛЬНОЕ БОГАТСТВО ИННОВАЦИОННОЙ СИСТЕМЫ, ИЗД.1</t>
  </si>
  <si>
    <t>Сажина М.А., Каширова А.В., Сажина М.А.</t>
  </si>
  <si>
    <t>978-5-16-017787-8</t>
  </si>
  <si>
    <t>803606.03.01</t>
  </si>
  <si>
    <t>Социальное богатство человеческого общества: Моногр. / М.А.Сажина-М.:НИЦ ИНФРА-М,2024-148с.(Науч.мысль)(п)</t>
  </si>
  <si>
    <t>СОЦИАЛЬНОЕ БОГАТСТВО ЧЕЛОВЕЧЕСКОГО ОБЩЕСТВА, ИЗД.1</t>
  </si>
  <si>
    <t>978-5-16-018534-7</t>
  </si>
  <si>
    <t>38.03.02, 38.04.01, 38.04.02, 38.04.03, 38.04.04, 38.06.01</t>
  </si>
  <si>
    <t>864063.01.01</t>
  </si>
  <si>
    <t>Социальное взаимодействие: истоки, совр...: Моногр. / Л.О.Терновая - М.:НИЦ ИНФРА-М,2026. - 336 с.(п)</t>
  </si>
  <si>
    <t>СОЦИАЛЬНОЕ ВЗАИМОДЕЙСТВИЕ: ИСТОКИ, СОВРЕМЕННОСТЬ И БУДУЩЕЕ ВЫЗОВЫ, ИЗД.1</t>
  </si>
  <si>
    <t>978-5-16-021491-7</t>
  </si>
  <si>
    <t>39.03.02, 39.04.01, 39.04.02, 39.04.03, 39.06.01</t>
  </si>
  <si>
    <t>185850.13.01</t>
  </si>
  <si>
    <t>Социальное прогнозир. и проектир.: Уч.пос. / Р.В.Леньков, - 3 изд. - М:НИЦ ИНФРА-М,2026 - 189 с.(ВО)(О)</t>
  </si>
  <si>
    <t>СОЦИАЛЬНОЕ ПРОГНОЗИРОВАНИЕ И ПРОЕКТИРОВАНИЕ, ИЗД.3</t>
  </si>
  <si>
    <t>978-5-16-015828-0</t>
  </si>
  <si>
    <t>38.03.02, 38.03.03, 38.03.04, 39.03.01, 39.03.02, 39.03.03, 42.03.01, 42.03.02, 42.03.05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</si>
  <si>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гуманитарным направлениям подготовки (квалификация (степень) «бакалавр») (протокол № 3 от 17.02.2020)</t>
  </si>
  <si>
    <t>185850.05.01</t>
  </si>
  <si>
    <t>Социальное прогнозир. и проектир.: Уч.пос. /Р.В.Леньков,-2изд. -М:Форум,НИЦ ИНФРА-М,2019-192с(ВО)(О)</t>
  </si>
  <si>
    <t>СОЦИАЛЬНОЕ ПРОГНОЗИРОВАНИЕ И ПРОЕКТИРОВАНИЕ, ИЗД.2</t>
  </si>
  <si>
    <t>Леньков Р. В.</t>
  </si>
  <si>
    <t>978-5-91134-877-9</t>
  </si>
  <si>
    <t>Рекомендовано ФГВОУ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040100 «Социология»</t>
  </si>
  <si>
    <t>238300.07.01</t>
  </si>
  <si>
    <t>Социальное проектир. в социальной работе: Уч.пос. / А.В.Морозов - М.:НИЦ ИНФРА-М,2025 - 208 с.(ВО)(п)</t>
  </si>
  <si>
    <t>СОЦИАЛЬНОЕ ПРОЕКТИРОВАНИЕ В СОЦИАЛЬНОЙ РАБОТЕ, ИЗД.1</t>
  </si>
  <si>
    <t>Морозов А. В.</t>
  </si>
  <si>
    <t>978-5-16-018729-7</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</si>
  <si>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39.03.02 (040400) "Социальная работа" (квалификация (степень) «бакалавр")</t>
  </si>
  <si>
    <t>408650.07.01</t>
  </si>
  <si>
    <t>Социальное пространство имиджа: Моногр. / М.О.Кошлякова - М.:НИЦ ИНФРА-М,2022 - 153 с.(Науч.мысль)(О)</t>
  </si>
  <si>
    <t>СОЦИАЛЬНОЕ ПРОСТРАНСТВО ИМИДЖА, ИЗД.1</t>
  </si>
  <si>
    <t>Кошлякова М.О.</t>
  </si>
  <si>
    <t>978-5-16-006408-6</t>
  </si>
  <si>
    <t>39.03.01, 39.04.01, 41.03.06, 42.03.01, 42.04.01</t>
  </si>
  <si>
    <t>725299.02.01</t>
  </si>
  <si>
    <t>Социальное управ. институционал. изм. в рос. обществе: Моногр. / Д.В.Щёлоков - М.:ИНФРА-М,2022-167с(О)</t>
  </si>
  <si>
    <t>СОЦИАЛЬНОЕ УПРАВЛЕНИЕ ИНСТИТУЦИОНАЛЬНЫМИ ИЗМЕНЕНИЯМИ В РОССИЙСКОМ ОБЩЕСТВЕ: СОЦИОЛОГИЧЕСКИЙ АНАЛИЗ ТРАНСФОРМАЦИОННЫХ ПРОЦЕССОВ, ИЗД.1</t>
  </si>
  <si>
    <t>Щёлоков Д.В.</t>
  </si>
  <si>
    <t>978-5-16-015880-8</t>
  </si>
  <si>
    <t>38.04.04, 39.04.01, 39.04.03, 39.06.01</t>
  </si>
  <si>
    <t>706234.04.01</t>
  </si>
  <si>
    <t>Социальное управ. процес. конвергенции в совр. медиасфере / О.И.Молчанова - М.:НИЦ ИНФРА-М,2024-241с(О)</t>
  </si>
  <si>
    <t>СОЦИАЛЬНОЕ УПРАВЛЕНИЕ ПРОЦЕССАМИ КОНВЕРГЕНЦИИ В СОВРЕМЕННОЙ МЕДИАСФЕРЕ, ИЗД.1</t>
  </si>
  <si>
    <t>Молчанова О.И.</t>
  </si>
  <si>
    <t>978-5-16-015086-4</t>
  </si>
  <si>
    <t>38.04.02, 38.04.04, 39.04.01, 41.03.06, 42.04.01, 42.04.02, 42.04.04, 42.04.05</t>
  </si>
  <si>
    <t>773012.01.01</t>
  </si>
  <si>
    <t>Социальное управление профориентационной деят в...: Моногр. / Е.В.Тихонова-М.:НИЦ ИНФРА-М,2022.-171 с.(О)</t>
  </si>
  <si>
    <t>СОЦИАЛЬНОЕ УПРАВЛЕНИЕ ПРОФОРИЕНТАЦИОННОЙ ДЕЯТЕЛЬНОСТЬЮ В ОБЩЕОБРАЗОВАТЕЛЬНЫХ УЧРЕЖДЕНИЯХ СОВРЕМЕННОГО МЕГАПОЛИСА, ИЗД.1</t>
  </si>
  <si>
    <t>Тихонова Е.В., Дианина Е.В.</t>
  </si>
  <si>
    <t>978-5-16-017760-1</t>
  </si>
  <si>
    <t>39.03.01, 39.04.01, 39.06.01, 44.04.01, 44.06.01</t>
  </si>
  <si>
    <t>Аналитический центр ВЦИОМ</t>
  </si>
  <si>
    <t>767827.01.01</t>
  </si>
  <si>
    <t>Социально-правовая теория этнич. конфликта: Моногр. / Н.В.Кузьмина - М.:НИЦ ИНФРА-М,2022 - 173 с.(О)</t>
  </si>
  <si>
    <t>СОЦИАЛЬНО-ПРАВОВАЯ ТЕОРИЯ ЭТНИЧЕСКОГО КОНФЛИКТА, ИЗД.1</t>
  </si>
  <si>
    <t>978-5-16-017317-7</t>
  </si>
  <si>
    <t>39.04.01, 39.06.01, 40.04.01, 40.06.01</t>
  </si>
  <si>
    <t>706142.07.01</t>
  </si>
  <si>
    <t>Социально-проектная деят. как открытое воспитательное... / Л.С. Пастухова - М.: ИНФРА-М, 2026 - 232 с.(П)</t>
  </si>
  <si>
    <t>СОЦИАЛЬНО-ПРОЕКТНАЯ ДЕЯТЕЛЬНОСТЬ КАК ОТКРЫТОЕ ВОСПИТАТЕЛЬНОЕ ПРОСТРАНСТВО ФОРМИРОВАНИЯ ГРАЖДАНСКИХ КАЧЕСТВ МОЛОДЕЖИ, ИЗД.1</t>
  </si>
  <si>
    <t>Пастухова Л.С., Иванова С.В.</t>
  </si>
  <si>
    <t>978-5-16-015067-3</t>
  </si>
  <si>
    <t>761226.03.01</t>
  </si>
  <si>
    <t>Социально-психолог. феномены в совр. обр. пространстве / Кожухарь Г.С. - М.:НИЦ ИНФРА-М,2023-172 с.(О)</t>
  </si>
  <si>
    <t>СОЦИАЛЬНО-ПСИХОЛОГИЧЕСКИЕ ФЕНОМЕНЫ В СОВРЕМЕННОМ ОБРАЗОВАТЕЛЬНОМ ПРОСТРАНСТВЕ, ИЗД.1</t>
  </si>
  <si>
    <t>Кожухарь Г.С., Крушельницкая О.Б., Мешкова Н.В. и др.</t>
  </si>
  <si>
    <t>978-5-16-017096-1</t>
  </si>
  <si>
    <t>37.03.01, 37.04.01, 44.03.02, 44.04.02, 44.04.04, 44.06.01</t>
  </si>
  <si>
    <t>151450.10.01</t>
  </si>
  <si>
    <t>Социально-психологич. адаптация детей из семей мигрантов / В.В.Гриценко - 2 изд. - М.:Форум,2026. - 224 с.(О)</t>
  </si>
  <si>
    <t>СОЦИАЛЬНО-ПСИХОЛОГИЧЕСКАЯ АДАПТАЦИЯ ДЕТЕЙ ИЗ СЕМЕЙ МИГРАНТОВ, ИЗД.2</t>
  </si>
  <si>
    <t>Гриценко В. В., Шустова Н. Е.</t>
  </si>
  <si>
    <t>978-5-91134-512-9</t>
  </si>
  <si>
    <t>37.04.01, 39.04.02, 44.04.02</t>
  </si>
  <si>
    <t>865480.01.01</t>
  </si>
  <si>
    <t>Социально-психологич. проблемы совр. семьи: Моногр. / О.Б.Крушельницкая. - М.:НИЦ ИНФРА-М,2026. - 217 с.(п)</t>
  </si>
  <si>
    <t>СОЦИАЛЬНО-ПСИХОЛОГИЧЕСКИЕ ПРОБЛЕМЫ СОВРЕМЕННОЙ СЕМЬИ: ТЕОРЕТИЧЕСКИЕ ПОДХОДЫ И ЭМПИРИЧЕСКИЕ ИССЛЕДОВАНИЯ, ИЗД.1</t>
  </si>
  <si>
    <t>Крушельницкая О.Б., Кожухарь Г.С., Кочетков Н.В. и др.</t>
  </si>
  <si>
    <t>978-5-16-021565-5</t>
  </si>
  <si>
    <t>37.04.01, 37.05.01, 37.05.02, 37.06.01, 39.04.02, 39.04.03, 39.06.01, 44.05.01</t>
  </si>
  <si>
    <t>633961.08.01</t>
  </si>
  <si>
    <t>Социально-трудовые отношения: Уч.пос. / Н.М.Воловская,  - 3 изд. - М.:НИЦ ИНФРА-М,2026 - 185 с.(ВО)(О)</t>
  </si>
  <si>
    <t>СОЦИАЛЬНО-ТРУДОВЫЕ ОТНОШЕНИЯ, ИЗД.3</t>
  </si>
  <si>
    <t>Воловская Н.М.</t>
  </si>
  <si>
    <t>978-5-16-012090-4</t>
  </si>
  <si>
    <t>38.03.01, 38.03.03, 38.03.04, 38.04.03, 38.04.04, 39.03.01, 39.04.01, 41.03.06, 42.03.01, 42.04.01</t>
  </si>
  <si>
    <t>Для студентов очной и заочной форм обучения по направлениям подготовки 39.03.01 «Социология», 38.03.03 «Управление персоналом», 42.03.01 «Реклама и связи с общественностью», 38.03.04 «Государственное и муниципальное управление» (квалификация (степень) «бакалавр»)</t>
  </si>
  <si>
    <t>740306.01.01</t>
  </si>
  <si>
    <t>Социально-философ. анализ взаимодействия религиоз. фактора.../ В.О.Микрюков-М.:НИЦ ИНФРА-М,2022.-194 с.(О)</t>
  </si>
  <si>
    <t>СОЦИАЛЬНО-ФИЛОСОФСКИЙ АНАЛИЗ ВЗАИМОДЕЙСТВИЯ РЕЛИГИОЗНОГО ФАКТОРА И ТЕРРОРА: СОВРЕМЕННЫЕ ТЕНДЕНЦИИ И ПЕРСПЕКТИВЫ, ИЗД.1</t>
  </si>
  <si>
    <t>Микрюков В.О.</t>
  </si>
  <si>
    <t>978-5-16-016330-7</t>
  </si>
  <si>
    <t>785547.01.01</t>
  </si>
  <si>
    <t>Социально-философские теории в немецком идеализме: Уч.пос. / П.А.Горохов - М.:НИЦ ИНФРА-М,2025. - 219 с.(ВО)(п)</t>
  </si>
  <si>
    <t>СОЦИАЛЬНО-ФИЛОСОФСКИЕ ТЕОРИИ В НЕМЕЦКОМ ИДЕАЛИЗМЕ, ИЗД.1</t>
  </si>
  <si>
    <t>978-5-16-018714-3</t>
  </si>
  <si>
    <t>00.03.11, 39.03.01, 46.04.01, 47.03.01, 47.06.01</t>
  </si>
  <si>
    <t>292900.05.01</t>
  </si>
  <si>
    <t>Социально-эконом. история России: Уч.пос. / Под ред. Худокормова А.Г. - 2 изд. - М.:НИЦ ИНФРА-М,2023 - 600 с.(п)</t>
  </si>
  <si>
    <t>СОЦИАЛЬНО-ЭКОНОМИЧЕСКАЯ ИСТОРИЯ РОССИИ, ИЗД.2</t>
  </si>
  <si>
    <t>Худокормов А.Г., Розинская Н.А., Слудковская М.А. и др.</t>
  </si>
  <si>
    <t>978-5-16-010070-8</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</si>
  <si>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38.03.04 «Государственное и муниципальное управление» (квалификация (степень) «бакалавр»)</t>
  </si>
  <si>
    <t>684578.04.01</t>
  </si>
  <si>
    <t>Социально-эконом. обуслов. совр. ландшафтогенеза...: Моногр. / Е.А.Романова-М.:НИЦ ИНФРА-М,2018-151с</t>
  </si>
  <si>
    <t>СОЦИАЛЬНО-ЭКОНОМИЧЕСКАЯ ОБУСЛОВЛЕННОСТЬ СОВРЕМЕННОГО ЛАНДШАФТОГЕНЕЗА ОСВОЕННЫХ ТЕРРИТОРИЙ, ИЗД.1</t>
  </si>
  <si>
    <t>Романова Е.А.</t>
  </si>
  <si>
    <t>978-5-16-014174-9</t>
  </si>
  <si>
    <t>05.03.02, 05.03.03, 05.03.04, 05.03.06, 05.04.02</t>
  </si>
  <si>
    <t>684578.03.01</t>
  </si>
  <si>
    <t>Социально-эконом. обуслов. совр. ландшафтогенеза...: Моногр. / Е.А.Романова-М.:НИЦ ИНФРА-М,2023-151с(о)</t>
  </si>
  <si>
    <t>978-5-16-015690-3</t>
  </si>
  <si>
    <t>666290.03.01</t>
  </si>
  <si>
    <t>Социально-эконом.районирование в эпоху больших данных:Моногр./В.И.Блануца-М.:НИЦ ИНФРА-М,2019-194(П)</t>
  </si>
  <si>
    <t>СОЦИАЛЬНО-ЭКОНОМИЧЕСКОЕ РАЙОНИРОВАНИЕ В ЭПОХУ БОЛЬШИХ ДАННЫХ, ИЗД.1</t>
  </si>
  <si>
    <t>978-5-16-013259-4</t>
  </si>
  <si>
    <t>642149.05.01</t>
  </si>
  <si>
    <t>Социально-эконом.усл.перехода к новой модели: Моногр. / Под ред. Ахапкина Н.Ю. - М.:НИЦ ИНФРА-М,2025 - 298 с.(п)</t>
  </si>
  <si>
    <t>СОЦИАЛЬНО-ЭКОНОМИЧЕСКИЕ УСЛОВИЯ ПЕРЕХОДА К НОВОЙ МОДЕЛИ ЭКОНОМИЧЕСКОГО РОСТА, ИЗД.1</t>
  </si>
  <si>
    <t>Ахапкин Н.Ю., Биляк С.А., Бухвальд Е.М. и др.</t>
  </si>
  <si>
    <t>978-5-16-012349-3</t>
  </si>
  <si>
    <t>718599.02.01</t>
  </si>
  <si>
    <t>Социально-экономическая история Франции: Уч. / А.Г.Худокормов - М.:НИЦ ИНФРА-М,2022 - 286 с.(ВО: Бак.)(П)</t>
  </si>
  <si>
    <t>СОЦИАЛЬНО-ЭКОНОМИЧЕСКАЯ ИСТОРИЯ ФРАНЦИИ, ИЗД.1</t>
  </si>
  <si>
    <t>Худокормов А.Г.</t>
  </si>
  <si>
    <t>978-5-16-015769-6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</si>
  <si>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38.03.02 «Экономика» (квалификация (степень) «бакалавр») (протокол № 15 от 14.10.2019)</t>
  </si>
  <si>
    <t>087700.19.01</t>
  </si>
  <si>
    <t>Социально-экономическая статистика: Уч.пос. / Я.С.Мелкумов - 2 изд. - М.:НИЦ ИНФРА-М,2026 - 186 с.(ВО)</t>
  </si>
  <si>
    <t>СОЦИАЛЬНО-ЭКОНОМИЧЕСКАЯ СТАТИСТИКА, ИЗД.2</t>
  </si>
  <si>
    <t>978-5-16-021485-6</t>
  </si>
  <si>
    <t>Рекомендовано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t>
  </si>
  <si>
    <t>674023.02.01</t>
  </si>
  <si>
    <t>Социально-экономические трансформации региона...: Моногр./М.М.Махмудова -М.:НИЦ ИНФРА-М,2019-281с(П)</t>
  </si>
  <si>
    <t>СОЦИАЛЬНО-ЭКОНОМИЧЕСКИЕ ТРАНСФОРМАЦИИ РЕГИОНА В СОВРЕМЕННЫХ УСЛОВИЯХ, ИЗД.1</t>
  </si>
  <si>
    <t>Махмудова М.М., Ефремова В.В., Королева А.М.</t>
  </si>
  <si>
    <t>978-5-16-013679-0</t>
  </si>
  <si>
    <t>642077.08.01</t>
  </si>
  <si>
    <t>Социальные деформации (причины...): Моногр. / В.Н.Кудрявцев - М.:Юр.Норма,НИЦ ИНФРА-М,2025 - 136 с.(О)</t>
  </si>
  <si>
    <t>СОЦИАЛЬНЫЕ ДЕФОРМАЦИИ (ПРИЧИНЫ, МЕХАНИЗМЫ И ПУТИ ПРЕОДОЛЕНИЯ), ИЗД.1</t>
  </si>
  <si>
    <t>978-5-91768-773-5</t>
  </si>
  <si>
    <t>641915.06.01</t>
  </si>
  <si>
    <t>Социальные конфликты современности: Уч. / М.Ю.Зеленков - М.:НИЦ ИНФРА-М,2026. - 233 с.-(ВО)(п)</t>
  </si>
  <si>
    <t>СОЦИАЛЬНЫЕ КОНФЛИКТЫ СОВРЕМЕННОСТИ, ИЗД.1</t>
  </si>
  <si>
    <t>978-5-16-022192-2</t>
  </si>
  <si>
    <t>37.04.02, 38.03.03, 38.03.04, 39.03.01, 39.03.02, 39.03.03, 40.03.01, 41.03.01, 41.03.02, 41.03.03, 41.03.04, 41.03.05, 41.03.06, 42.03.02, 43.03.01, 43.03.02, 43.03.03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</si>
  <si>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направлений  «Науки об обществе» (квалификация (степень) «бакалавр») (протокол № 8 от 22.06.2020)</t>
  </si>
  <si>
    <t>850787.01.01</t>
  </si>
  <si>
    <t>Социальные механизмы формир. доверия в трансформирующихся... / Е.В.Фролова. - М.:НИЦ ИНФРА-М,2025. - 396 с.(п)</t>
  </si>
  <si>
    <t>СОЦИАЛЬНЫЕ МЕХАНИЗМЫ ФОРМИРОВАНИЯ ДОВЕРИЯ В ТРАНСФОРМИРУЮЩИХСЯ ЭКОНОМИЧЕСКИХ ОТНОШЕНИЯХ, ИЗД.1</t>
  </si>
  <si>
    <t>Фролова Е.В., Шихгафизов П.Ш., Тюриков А.Г. и др.</t>
  </si>
  <si>
    <t>978-5-16-021170-1</t>
  </si>
  <si>
    <t>38.04.01, 38.04.02, 38.04.04, 38.06.01, 39.04.01, 39.06.01</t>
  </si>
  <si>
    <t>790467.01.01</t>
  </si>
  <si>
    <t>Социальные насекомые, экология...: Моногр. / Е.К.Еськов-М.:НИЦ ИНФРА-М,2023.-369 с.(п)</t>
  </si>
  <si>
    <t>СОЦИАЛЬНЫЕ НАСЕКОМЫЕ, ЭКОЛОГИЯ, ЭТОЛОГИЯ, ЭВОЛЮЦИЯ, ИЗД.1</t>
  </si>
  <si>
    <t>978-5-16-018011-3</t>
  </si>
  <si>
    <t>06.04.01, 06.06.01, 44.04.01</t>
  </si>
  <si>
    <t>475050.04.01</t>
  </si>
  <si>
    <t>Социальные науки как предмет философ. и социолог. дискурса: Моногр./А.М.Орехов - ИНФРА-М, 2019-172с.</t>
  </si>
  <si>
    <t>СОЦИАЛЬНЫЕ НАУКИ КАК ПРЕДМЕТ ФИЛОСОФСКОГО И СОЦИОЛОГИЧЕСКОГО ДИСКУРСА, ИЗД.1</t>
  </si>
  <si>
    <t>Орехов А. М.</t>
  </si>
  <si>
    <t>978-5-16-010202-3</t>
  </si>
  <si>
    <t>39.03.01, 39.04.01, 40.03.01, 44.03.01, 44.03.05, 47.03.01, 47.04.01</t>
  </si>
  <si>
    <t>475050.06.01</t>
  </si>
  <si>
    <t>Социальные науки как предмет философ. и..: Моногр. / А.М.Орехов, - 2 изд.-М.:НИЦ ИНФРА-М,2023.-201с(О)</t>
  </si>
  <si>
    <t>СОЦИАЛЬНЫЕ НАУКИ КАК ПРЕДМЕТ ФИЛОСОФСКОГО И СОЦИОЛОГИЧЕСКОГО ДИСКУРСА, ИЗД.2</t>
  </si>
  <si>
    <t>978-5-16-014588-4</t>
  </si>
  <si>
    <t>087200.17.01</t>
  </si>
  <si>
    <t>Социальные основания права: Моногр. / Г.В. Мальцев. - М.: Норма: НИЦ ИНФРА-М, 2027. - 800 с.(П)</t>
  </si>
  <si>
    <t>СОЦИАЛЬНЫЕ ОСНОВАНИЯ ПРАВА, ИЗД.1</t>
  </si>
  <si>
    <t>978-5-91768-175-7</t>
  </si>
  <si>
    <t>39.03.01, 40.03.01, 40.04.01, 40.05.01, 40.05.02, 40.05.03, 44.03.05</t>
  </si>
  <si>
    <t>837239.01.01</t>
  </si>
  <si>
    <t>Социальные практики взросления ребенка: Уч. пос. / А.К.Лукина - М.:НИЦ ИНФРА-М, СФУ,2025. - 208 с.(ВО (СФУ))(п)</t>
  </si>
  <si>
    <t>СОЦИАЛЬНЫЕ ПРАКТИКИ ВЗРОСЛЕНИЯ РЕБЕНКА, ИЗД.1</t>
  </si>
  <si>
    <t>978-5-16-020282-2</t>
  </si>
  <si>
    <t>39.03.01, 39.03.03, 39.04.03</t>
  </si>
  <si>
    <t>161950.04.01</t>
  </si>
  <si>
    <t>Социальные смыслы: Моногр. / С.В.Борзых - М.:НИЦ ИНФРА-М,2026 - 123 с.-(Науч.мысль)(О)</t>
  </si>
  <si>
    <t>СОЦИАЛЬНЫЕ СМЫСЛЫ, ИЗД.1</t>
  </si>
  <si>
    <t>978-5-16-005149-9</t>
  </si>
  <si>
    <t>653024.05.01</t>
  </si>
  <si>
    <t>Социальные технологии и юрид. познание: Моногр. / Л.А.Воскобитова - М.:Юр.Норма,НИЦ ИНФРА-М,2025 - 192 с.(п)</t>
  </si>
  <si>
    <t>СОЦИАЛЬНЫЕ ТЕХНОЛОГИИ И ЮРИДИЧЕСКОЕ ПОЗНАНИЕ, ИЗД.1</t>
  </si>
  <si>
    <t>Воскобитова Л.А., Пржиленский В.И.</t>
  </si>
  <si>
    <t>978-5-91768-818-3</t>
  </si>
  <si>
    <t>230300.06.01</t>
  </si>
  <si>
    <t>Социальные технологии формиров. лидер. качеств..: Моногр./К.К.Оганян-ИНФРА-М, 2024-140с(Науч. мысль) (о)</t>
  </si>
  <si>
    <t>СОЦИАЛЬНЫЕ ТЕХНОЛОГИИ ФОРМИРОВАНИЯ ЛИДЕРСКИХ КАЧЕСТВ У БУДУЩИХ РУКОВОДИТЕЛЕЙ В ВУЗОВСКОЙ СРЕДЕ, ИЗД.1</t>
  </si>
  <si>
    <t>Оганян К. К.</t>
  </si>
  <si>
    <t>978-5-16-009058-0</t>
  </si>
  <si>
    <t>38.03.01, 38.03.03, 39.03.01, 39.04.01, 41.03.06</t>
  </si>
  <si>
    <t>396700.07.01</t>
  </si>
  <si>
    <t>Социальные технологии: фунд.и прикл.пробл.:Моногр./В.И.Пржиленский-Юр.Норма,НИЦ ИНФРА-М,2024-176с</t>
  </si>
  <si>
    <t>СОЦИАЛЬНЫЕ ТЕХНОЛОГИИ: ФУНДАМЕНТАЛЬНЫЕ И ПРИКЛАДНЫЕ ПРОБЛЕМЫ, ИЗД.1</t>
  </si>
  <si>
    <t>978-5-91768-653-0</t>
  </si>
  <si>
    <t>39.03.01, 39.03.03, 39.04.01, 39.04.03, 44.03.01, 44.03.05</t>
  </si>
  <si>
    <t>740995.01.01</t>
  </si>
  <si>
    <t>Социальные трансформации на рынке труда России...: Моногр. / И.А.Юрасов.-М.:НИЦ ИНФРА-М,2021.-164 с.(Науч.мысль)(О)</t>
  </si>
  <si>
    <t>СОЦИАЛЬНЫЕ ТРАНСФОРМАЦИИ НА РЫНКЕ ТРУДА РОССИИ: НЕФОРМАЛЬНАЯ ЗАНЯТОСТЬ, ИЗД.1</t>
  </si>
  <si>
    <t>Юрасов И.А., Кузнецова Е.В., Танина М.А. и др.</t>
  </si>
  <si>
    <t>978-5-16-014017-9</t>
  </si>
  <si>
    <t>700137.02.01</t>
  </si>
  <si>
    <t>Социальный дискурс: Монография / С.В.Борзых-М.:НИЦ ИНФРА-М,2023.-145 с..-(Науч.мысль)(О)</t>
  </si>
  <si>
    <t>СОЦИАЛЬНЫЙ ДИСКУРС, ИЗД.1</t>
  </si>
  <si>
    <t>978-5-16-014770-3</t>
  </si>
  <si>
    <t>850786.01.01</t>
  </si>
  <si>
    <t>Социальный капитал и человеч. потенциал в управ.: Уч. / Е.В.Фролова - М.:НИЦ ИНФРА-М,2026. - 219 с.(ВО)(п)</t>
  </si>
  <si>
    <t>СОЦИАЛЬНЫЙ КАПИТАЛ И ЧЕЛОВЕЧЕСКИЙ ПОТЕНЦИАЛ В УПРАВЛЕНИИ, ИЗД.1</t>
  </si>
  <si>
    <t>Рогач О.В., Фролова Е.В.</t>
  </si>
  <si>
    <t>978-5-16-020961-6</t>
  </si>
  <si>
    <t>447750.10.01</t>
  </si>
  <si>
    <t>Социальный капитал личности: Моногр. / Л.Г.Почебут и др. - М.:НИЦ ИНФРА-М,2025 - 250 с.(Науч.мысль)(П)</t>
  </si>
  <si>
    <t>СОЦИАЛЬНЫЙ КАПИТАЛ ЛИЧНОСТИ, ИЗД.1</t>
  </si>
  <si>
    <t>Почебут Л.Г., Свенцицкий А.Л., Марарица Л.В. и др.</t>
  </si>
  <si>
    <t>978-5-16-008977-5</t>
  </si>
  <si>
    <t>447750.11.01</t>
  </si>
  <si>
    <t>Социальный капитал личности: Моногр. / Л.Г.Почебут. - М.:НИЦ ИНФРА-М,2026. - 250 с.(Науч.мысль)(о)</t>
  </si>
  <si>
    <t>978-5-16-020898-5</t>
  </si>
  <si>
    <t>800723.03.01</t>
  </si>
  <si>
    <t>Социальный капитал организации: Моногр. / Д.С.Безносов. - М.:НИЦ ИНФРА-М,2026. - 271 с.(Науч.мысль)(п)</t>
  </si>
  <si>
    <t>СОЦИАЛЬНЫЙ КАПИТАЛ ОРГАНИЗАЦИИ, ИЗД.1</t>
  </si>
  <si>
    <t>Безносов Д.С., Волкова Н.В., Гуриева С.Д. и др.</t>
  </si>
  <si>
    <t>978-5-16-019006-8</t>
  </si>
  <si>
    <t>38.03.03, 38.04.03, 38.06.01</t>
  </si>
  <si>
    <t>789752.01.01</t>
  </si>
  <si>
    <t>Социальный подход к пробл. инвалидности: Моногр. / Е.Н.Приступа-М.:НИЦ ИНФРА-М,2023.-171 с.(Науч.мысль)(о)</t>
  </si>
  <si>
    <t>СОЦИАЛЬНЫЙ ПОДХОД К ПРОБЛЕМЕ ИНВАЛИДНОСТИ, ИЗД.1</t>
  </si>
  <si>
    <t>978-5-16-018077-9</t>
  </si>
  <si>
    <t>Всероссийский (с международным участием) конкурс учебно-методических, учебных и научных работ "Добросвет"-2024, Победитель, II место</t>
  </si>
  <si>
    <t>720243.04.01</t>
  </si>
  <si>
    <t>Социальный роман А. Слаповского...: Моногр. / Т.А.Дикун - М.:НИЦ ИНФРА-М,2024 - 178 с.(Науч.мысль)(О)</t>
  </si>
  <si>
    <t>СОЦИАЛЬНЫЙ РОМАН А. СЛАПОВСКОГО: ЖАНРОВЫЕ МОДИФИКАЦИИ И ЭВОЛЮЦИЯ ГЕРОЯ, ИЗД.1</t>
  </si>
  <si>
    <t>Дикун Т.А.</t>
  </si>
  <si>
    <t>978-5-16-015735-1</t>
  </si>
  <si>
    <t>347200.04.01</t>
  </si>
  <si>
    <t>Социобикультурная иноязыч. комп. шк.:Моногр./Н.В.Барышников-М.:Вуз. уч., НИЦ ИНФРА-М,2024.-222 с.(О)</t>
  </si>
  <si>
    <t>СОЦИОБИКУЛЬТУРНАЯ ИНОЯЗЫЧНАЯ КОМПЕТЕНЦИЯ ШКОЛЬНИКА, ИЗД.1</t>
  </si>
  <si>
    <t>Барышников Н.В., Богдан Н.А.</t>
  </si>
  <si>
    <t>978-5-9558-0429-3</t>
  </si>
  <si>
    <t>418300.07.01</t>
  </si>
  <si>
    <t>Социогуманитарный фон и факторы модерниз..: Моногр. / Л.Н.Даниленко - М.: НИЦ ИНФРА-М, 2026 - 160 с.(о)</t>
  </si>
  <si>
    <t>СОЦИОГУМАНИТАРНЫЙ ФОН И ФАКТОРЫ МОДЕРНИЗАЦИОННЫХ ПРОЦЕССОВ И СОЗДАНИЯ НОВОЙ ЭКОНОМИКИ В РОССИИ, ИЗД.1</t>
  </si>
  <si>
    <t>Даниленко Л.Н.</t>
  </si>
  <si>
    <t>978-5-16-006260-0</t>
  </si>
  <si>
    <t>38.03.01, 38.03.02, 38.03.04, 38.04.01, 38.04.02, 38.04.04, 38.04.09, 38.05.01, 40.03.01, 44.03.01, 44.03.05</t>
  </si>
  <si>
    <t>641155.07.01</t>
  </si>
  <si>
    <t>Социокультурная антропология: Уч. / А.И.Кравченко - М.:НИЦ ИНФРА-М,2027. - 333 с.(ВО)(п)</t>
  </si>
  <si>
    <t>СОЦИОКУЛЬТУРНАЯ АНТРОПОЛОГИЯ, ИЗД.1</t>
  </si>
  <si>
    <t>978-5-16-018533-0</t>
  </si>
  <si>
    <t>44.03.05, 46.03.01, 50.03.01, 51.03.01</t>
  </si>
  <si>
    <t>Рекомендовано ученым советом социологического факультета Московского государственного университета им. М.В. Ломоносова в качестве учебника для студентов гуманитарных направлений и специальностей</t>
  </si>
  <si>
    <t>776839.01.01</t>
  </si>
  <si>
    <t>Социокультурная динамика масс. праздников и зрелищ: Моногр. / М.В.Литвинова-М.:НИЦ ИНФРА-М,2023.-148 с.(о)</t>
  </si>
  <si>
    <t>СОЦИОКУЛЬТУРНАЯ ДИНАМИКА МАССОВЫХ ПРАЗДНИКОВ И ЗРЕЛИЩ, ИЗД.1</t>
  </si>
  <si>
    <t>Литвинова М.В.</t>
  </si>
  <si>
    <t>978-5-16-017704-5</t>
  </si>
  <si>
    <t>41.04.04, 41.06.01, 51.03.05, 51.04.05, 51.06.01</t>
  </si>
  <si>
    <t>651863.05.01</t>
  </si>
  <si>
    <t>Социокультурные (архетип и ментал.) основ.публ.-власт.../В.Я.Любашиц - М.:ИЦ РИОР,НИЦ ИНФРА-М,2026 - 187 с. (о)</t>
  </si>
  <si>
    <t>СОЦИОКУЛЬТУРНЫЕ (АРХЕТИПИЧЕСКИЕ И МЕНТАЛЬНЫЕ) ОСНОВАНИЯ ПУБЛИЧНО-ВЛАСТНОЙ ОРГАНИЗАЦИИ ОБЩЕСТВА, ИЗД.1</t>
  </si>
  <si>
    <t>Любашиц В.Я., Овчинников А.И., Мамычев А.Ю. и др.</t>
  </si>
  <si>
    <t>978-5-369-01676-3</t>
  </si>
  <si>
    <t>313600.07.01</t>
  </si>
  <si>
    <t>Социокультурные основания и специф. кича в графич..: Моногр. / Р.Ю.Овчинникова - Магистр, ИНФРА-М, 2026 - 136 с.(о)</t>
  </si>
  <si>
    <t>СОЦИОКУЛЬТУРНЫЕ ОСНОВАНИЯ И СПЕЦИФИКА КИЧА В ГРАФИЧЕСКОМ ДИЗАЙНЕ, ИЗД.1</t>
  </si>
  <si>
    <t>Овчинникова Р.Ю.</t>
  </si>
  <si>
    <t>978-5-9776-0335-5</t>
  </si>
  <si>
    <t>54.04.01</t>
  </si>
  <si>
    <t>670749.03.01</t>
  </si>
  <si>
    <t>Социокультурный потенциал высшего тех. образ.: Моногр. / С.А.Митасова-М.:НИЦ ИНФРА-М, СФУ,2023-113с.</t>
  </si>
  <si>
    <t>СОЦИОКУЛЬТУРНЫЙ ПОТЕНЦИАЛ ВЫСШЕГО ТЕХНИЧЕСКОГО ОБРАЗОВАНИЯ, ИЗД.1</t>
  </si>
  <si>
    <t>Митасова С.А., Евменова Л.Н., Куроленко Е.М.</t>
  </si>
  <si>
    <t>978-5-16-013419-2</t>
  </si>
  <si>
    <t>39.06.01, 39.07.01, 51.06.01</t>
  </si>
  <si>
    <t>786076.03.01</t>
  </si>
  <si>
    <t>Социолингвистика: хрестоматия: Уч.пос. / Т.М.Надеина - М.:Юр. НОРМА, НИЦ ИНФРА-М,2026. - 488 с.(П)</t>
  </si>
  <si>
    <t>СОЦИОЛИНГВИСТИКА: ХРЕСТОМАТИЯ, ИЗД.1</t>
  </si>
  <si>
    <t>978-5-00156-260-3</t>
  </si>
  <si>
    <t>40.05.03, 45.04.01, 45.04.03</t>
  </si>
  <si>
    <t>352800.09.01</t>
  </si>
  <si>
    <t>Социологические и психол.мет.исслед.в соц.работе: Уч.пос. / С.С.Новикова - М.:НИЦ ИНФРА-М,2026 - 496 с.(П)</t>
  </si>
  <si>
    <t>СОЦИОЛОГИЧЕСКИЕ И ПСИХОЛОГИЧЕСКИЕ МЕТОДЫ ИССЛЕДОВАНИЙ В СОЦИАЛЬНОЙ РАБОТЕ, ИЗД.1</t>
  </si>
  <si>
    <t>978-5-16-010885-8</t>
  </si>
  <si>
    <t>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39.03.02 «Социальная работа»</t>
  </si>
  <si>
    <t>691665.03.01</t>
  </si>
  <si>
    <t>Социологический анализ интегр. модели личности руковод.: Моногр./К.К.Оганян-М.:НИЦ ИНФРА-М,2024-166с</t>
  </si>
  <si>
    <t>СОЦИОЛОГИЧЕСКИЙ АНАЛИЗ ИНТЕГРАЛЬНОЙ МОДЕЛИ ЛИЧНОСТИ РУКОВОДИТЕЛЯ: ТЕОРИЯ И ПРАКТИКА, ИЗД.1</t>
  </si>
  <si>
    <t>978-5-16-014709-3</t>
  </si>
  <si>
    <t>099000.11.01</t>
  </si>
  <si>
    <t>Социологический словарь / Г.В.Осипов - М.:НОРМА, НИЦ ИНФРА-М,2026 - 608 с.(П)</t>
  </si>
  <si>
    <t>СОЦИОЛОГИЧЕСКИЙ СЛОВАРЬ, ИЗД.1</t>
  </si>
  <si>
    <t>Осипов Г. В., Москвичев Л. Н.</t>
  </si>
  <si>
    <t>978-5-91768-098-9</t>
  </si>
  <si>
    <t>636226.04.01</t>
  </si>
  <si>
    <t>Социология безопасности: Уч. / Под ред. Волков Ю.Г.-М.:ИЦ РИОР, НИЦ ИНФРА-М,2023.-264 с..-(П)</t>
  </si>
  <si>
    <t>СОЦИОЛОГИЯ БЕЗОПАСНОСТИ, ИЗД.1</t>
  </si>
  <si>
    <t>Верещагина А.В., Самыгин С.И., Гафиатулина Н.Х. и др.</t>
  </si>
  <si>
    <t>978-5-369-01582-7</t>
  </si>
  <si>
    <t>39.03.02, 39.03.03, 39.04.01, 39.04.02, 39.04.03</t>
  </si>
  <si>
    <t>Рекомендовано Российской социологической ассоциацией в качестве учебника для студентов высших учебных заведений, обучающихся по направлению «Социология»</t>
  </si>
  <si>
    <t>799336.01.01</t>
  </si>
  <si>
    <t>Социология благополучия: Моногр. / Л.С.Киселева-М.:НИЦ ИНФРА-М,2023.-251 с.(Науч.мысль)(п)</t>
  </si>
  <si>
    <t>СОЦИОЛОГИЯ БЛАГОПОЛУЧИЯ, ИЗД.1</t>
  </si>
  <si>
    <t>Киселева Л.С.</t>
  </si>
  <si>
    <t>978-5-16-018334-3</t>
  </si>
  <si>
    <t>641793.07.01</t>
  </si>
  <si>
    <t>Социология городской среды: Моногр. / В.П.Столбов - М.:НИЦ ИНФРА-М,2026 - 174 с.(Науч.мысль)(П)</t>
  </si>
  <si>
    <t>СОЦИОЛОГИЯ ГОРОДСКОЙ СРЕДЫ, ИЗД.1</t>
  </si>
  <si>
    <t>Столбов В.П., Starosta P.J.</t>
  </si>
  <si>
    <t>978-5-16-012338-7</t>
  </si>
  <si>
    <t>747746.06.01</t>
  </si>
  <si>
    <t>Социология для юристов: Уч. / О.Ю.Рыбаков и др. - М.:Юр.Норма, НИЦ ИНФРА-М,2026. - 400 с.(П)</t>
  </si>
  <si>
    <t>СОЦИОЛОГИЯ ДЛЯ ЮРИСТОВ, ИЗД.1</t>
  </si>
  <si>
    <t>Рыбаков О.Ю., Беляев М.А., Гунибский М.Ш. и др.</t>
  </si>
  <si>
    <t>978-5-00156-138-5</t>
  </si>
  <si>
    <t>333800.05.01</t>
  </si>
  <si>
    <t>Социология истории: Уч.пос. / В.В.Афанасьев - М.:НИЦ ИНФРА-М,2024 - 237 с.(ВО)(п)</t>
  </si>
  <si>
    <t>СОЦИОЛОГИЯ ИСТОРИИ, ИЗД.1</t>
  </si>
  <si>
    <t>978-5-16-019280-2</t>
  </si>
  <si>
    <t>39.03.01, 44.03.01, 44.03.05, 46.03.01, 46.04.01</t>
  </si>
  <si>
    <t>439250.05.01</t>
  </si>
  <si>
    <t>Социология коммуникации: Уч. пос. / А.С. Чамкин. - М.: НИЦ ИНФРА-М, 2023. - 295 с.(ВО: Бакалавр.) (п)</t>
  </si>
  <si>
    <t>СОЦИОЛОГИЯ КОММУНИКАЦИИ, ИЗД.1</t>
  </si>
  <si>
    <t>978-5-16-005544-2</t>
  </si>
  <si>
    <t>38.03.01, 38.03.02, 38.03.03, 38.04.01, 38.04.02, 38.04.03, 41.03.05, 41.03.06, 41.04.04, 41.04.05, 42.03.01, 42.03.02, 42.04.01, 42.04.02, 46.04.02</t>
  </si>
  <si>
    <t>117450.12.01</t>
  </si>
  <si>
    <t>Социология массовой коммуникации: Уч. / В.И.Гостенина - 2 изд. - М:Альфа-М:НИЦ ИНФРА-М,2027 - 336 с.(Бакалавр.) (П)</t>
  </si>
  <si>
    <t>СОЦИОЛОГИЯ МАССОВОЙ КОММУНИКАЦИИ, ИЗД.2</t>
  </si>
  <si>
    <t>Гостенина В. И., Киселев А. Г.</t>
  </si>
  <si>
    <t>978-5-98281-338-1</t>
  </si>
  <si>
    <t>41.03.06, 42.03.01, 42.03.02, 42.03.04, 42.03.05</t>
  </si>
  <si>
    <t>655200.11.01</t>
  </si>
  <si>
    <t>Социология молодежи: Уч. / К.В.Воденко - М.:ИЦ РИОР,НИЦ ИНФРА-М,2027 - 189 с.(ВО: Бакалавр.)(О)</t>
  </si>
  <si>
    <t>СОЦИОЛОГИЯ МОЛОДЕЖИ, ИЗД.1</t>
  </si>
  <si>
    <t>Воденко К.В.</t>
  </si>
  <si>
    <t>978-5-369-01939-9</t>
  </si>
  <si>
    <t>418100.08.01</t>
  </si>
  <si>
    <t>Социология морали: Уч. / Т.Ю.Кирилина. - М.: НИЦ ИНФРА-М, 2026. - 190 с.(ВО: Бакалавр.)(о)</t>
  </si>
  <si>
    <t>СОЦИОЛОГИЯ МОРАЛИ, ИЗД.1</t>
  </si>
  <si>
    <t>Кирилина Т. Ю.</t>
  </si>
  <si>
    <t>978-5-16-006257-0</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</si>
  <si>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в бакалавриате по направлению «Социология»</t>
  </si>
  <si>
    <t>632255.05.01</t>
  </si>
  <si>
    <t>Социология образования: Уч. / Е.В.Тихонова - М.:НИЦ ИНФРА-М,2024.-231 с..-(ВО)(п)</t>
  </si>
  <si>
    <t>СОЦИОЛОГИЯ ОБРАЗОВАНИЯ, ИЗД.1</t>
  </si>
  <si>
    <t>Тихонова Е.В., Мишина Г.Н.</t>
  </si>
  <si>
    <t>978-5-16-018948-2</t>
  </si>
  <si>
    <t>39.03.01, 39.03.03, 39.04.01, 39.04.03, 44.03.01, 44.03.02, 44.03.03, 44.03.04, 44.03.05, 44.04.01, 44.04.02, 44.04.03, 44.04.04</t>
  </si>
  <si>
    <t>Рекомендовано в качестве учебника для студентов высших учебных заведений, обучающихся по направлениям подготовки 39.03.01 «Социология», 44.03.01 «Педагогическое образование» (квалификация (степень) «бакалавр»)</t>
  </si>
  <si>
    <t>732495.02.01</t>
  </si>
  <si>
    <t>Социология образования: Уч.пос. / П.В.Разов. - М.:НИЦ ИНФРА-М,2025. - 224 с.(ВО (Финанс. универ.))(п)</t>
  </si>
  <si>
    <t>Разов П.В., Каменева Т.Н., Прохода В.А. и др.</t>
  </si>
  <si>
    <t>978-5-16-019677-0</t>
  </si>
  <si>
    <t>632256.05.01</t>
  </si>
  <si>
    <t>Социология общественного мнения: Уч. / Е.В.Тихонова - М.:НИЦ ИНФРА-М,2023-274с.-(ВО)(п)</t>
  </si>
  <si>
    <t>СОЦИОЛОГИЯ ОБЩЕСТВЕННОГО МНЕНИЯ, ИЗД.1</t>
  </si>
  <si>
    <t>Тихонова Е.В., Бунов Е.Г.</t>
  </si>
  <si>
    <t>978-5-16-018586-6</t>
  </si>
  <si>
    <t>38.03.04, 39.03.01, 39.04.01, 41.03.04, 41.03.06</t>
  </si>
  <si>
    <t>Рекомендовано в качестве учебника для студентов высших учебных заведений, обучающихся по направлениям подготовки 39.03.01 «Социология», 42.03.01 «Реклама и связи с общественностью» (квалификация (степень) «бакалавр»)</t>
  </si>
  <si>
    <t>293400.07.01</t>
  </si>
  <si>
    <t>Социология общественного мнения: Уч. пос. / Г.И.Козырев - М.: ИД ФОРУМ:  НИЦ ИНФРА-М, 2022-224с.(ВО)</t>
  </si>
  <si>
    <t>978-5-8199-0607-1</t>
  </si>
  <si>
    <t>634156.08.01</t>
  </si>
  <si>
    <t>Социология общественного мнения: Уч.пос. / Г.И.Козырев - М.:ИД Форум, НИЦ ИНФРА-М,2026. - 254 с.(ВО)(П)</t>
  </si>
  <si>
    <t>СОЦИОЛОГИЯ ОБЩЕСТВЕННОГО МНЕНИЯ: ОБРАЗ ВРАГА В ИСТОРИИ, ТЕОРИИ И ОБЩЕСТВЕННОМ СОЗНАНИИ, ИЗД.1</t>
  </si>
  <si>
    <t>978-5-8199-0918-8</t>
  </si>
  <si>
    <t>39.03.02, 39.03.03, 39.04.01, 39.04.03, 44.03.01, 44.03.05</t>
  </si>
  <si>
    <t>Рекомендовано учебно-методическими комиссиями кафедры социологии РХТУ им. Д.И. Менделеева и кафедры политической социологии РГГУ в качестве учебного пособия для студентов высших учебных заведений, обучающихся по специальности 39.03.01 и 39.04.01 «Социология» (бакалавриат, магистратура)</t>
  </si>
  <si>
    <t>025770.10.01</t>
  </si>
  <si>
    <t>Социология права: Уч.пос. / В.В.Лапаева, - 2 изд. - М.:НОРМА, НИЦ ИНФРА-М,2025. - 336 с.(О)</t>
  </si>
  <si>
    <t>СОЦИОЛОГИЯ ПРАВА, ИЗД.2</t>
  </si>
  <si>
    <t>Лапаева В. В.</t>
  </si>
  <si>
    <t>978-5-91768-519-9</t>
  </si>
  <si>
    <t>39.03.01, 40.03.01, 40.04.01, 40.05.01, 40.05.02, 40.05.03, 40.05.04</t>
  </si>
  <si>
    <t>172600.07.01</t>
  </si>
  <si>
    <t>Социология рекламной деятельности: Уч. / А.Б.Оришев - М:ИЦ РИОР:НИЦ Инфра-М,2025 - 235 с.(ВО:Бакалавр.) (п)</t>
  </si>
  <si>
    <t>СОЦИОЛОГИЯ РЕКЛАМНОЙ ДЕЯТЕЛЬНОСТИ, ИЗД.1</t>
  </si>
  <si>
    <t>978-5-369-01064-8</t>
  </si>
  <si>
    <t>Допущено Учебно-методическим объединением по образованию в области коммерции и по образованию в области маркетинга в качестве учебника для студентов высших учебных заведений, обучающихся по специальностям 032401 - Реклама, 080111 - Маркетинг и по нап</t>
  </si>
  <si>
    <t>135950.10.01</t>
  </si>
  <si>
    <t>Социология рекламы в соц.-культ. сервисе и туризме: Уч.пос. / О.С.Бухтерева - ИНФРА-М, 2027 - 128 с.(о)</t>
  </si>
  <si>
    <t>СОЦИОЛОГИЯ РЕКЛАМЫ В СОЦИАЛЬНО-КУЛЬТУРНОМ СЕРВИСЕ И ТУРИЗМЕ, ИЗД.1</t>
  </si>
  <si>
    <t>Бухтерева О. С.</t>
  </si>
  <si>
    <t>978-5-16-004409-5</t>
  </si>
  <si>
    <t>42.03.01, 43.03.03, 43.04.03</t>
  </si>
  <si>
    <t>059010.13.01</t>
  </si>
  <si>
    <t>Социология религии: Уч.пос. / В.И.Гараджа - 4 изд. - М.:НИЦ ИНФРА-М,2024 - 304 с.(П)</t>
  </si>
  <si>
    <t>СОЦИОЛОГИЯ РЕЛИГИИ, ИЗД.4</t>
  </si>
  <si>
    <t>Гараджа В.И.</t>
  </si>
  <si>
    <t>978-5-16-003765-3</t>
  </si>
  <si>
    <t>39.03.01, 39.04.01, 47.03.03, 48.03.01</t>
  </si>
  <si>
    <t>Рекомендовано Учебно-методическим объединением по классическому университетскому образованию РФ в качестве учебного пособия для студентов высших учебных заведений, обучающихся по специальности 020300 "Социология"</t>
  </si>
  <si>
    <t>395300.08.01</t>
  </si>
  <si>
    <t>Социология семьи: любовь и расчет...: Уч.пос. / Г.И.Козырев - М.:ИД ФОРУМ,НИЦ ИНФРА-М,2026 - 192 с.(ВО)(о)</t>
  </si>
  <si>
    <t>СОЦИОЛОГИЯ СЕМЬИ: ЛЮБОВЬ И РАСЧЕТ В БРАЧНО-СЕМЕЙНЫХ ОТНОШЕНИЯХ И НЕ ТОЛЬКО.., ИЗД.1</t>
  </si>
  <si>
    <t>978-5-8199-0636-1</t>
  </si>
  <si>
    <t>39.03.01, 39.03.03, 39.04.01, 39.04.03</t>
  </si>
  <si>
    <t>060200.09.01</t>
  </si>
  <si>
    <t>Социология семьи: Уч. / Под ред. Антонова А.И. - 2 изд., испр. - М.:НИЦ ИНФРА-М,2023 - 637 с.(ВО)(П)</t>
  </si>
  <si>
    <t>СОЦИОЛОГИЯ СЕМЬИ, ИЗД.2</t>
  </si>
  <si>
    <t>Антонов А.И., Дорохина О.В., Медков В.М. и др.</t>
  </si>
  <si>
    <t>978-5-16-014214-2</t>
  </si>
  <si>
    <t>Допущено Советом по социологии, антропологии и организации работы с молодежью учебно-методического обучения по классическому университетскому образованию в качестве учебника для студентов высших учебных заведений, обучающихся по направлению подготовки 39.03.01 «Социология»</t>
  </si>
  <si>
    <t>672656.02.01</t>
  </si>
  <si>
    <t>Социология социальных структур: Уч.пос. / И.И.Подойницына -М.:НИЦ ИНФРА-М,2023-265с.(ВО:Магистр.)(П)</t>
  </si>
  <si>
    <t>СОЦИОЛОГИЯ СОЦИАЛЬНЫХ СТРУКТУР, ИЗД.1</t>
  </si>
  <si>
    <t>Подойницына И.И.</t>
  </si>
  <si>
    <t>978-5-16-014293-7</t>
  </si>
  <si>
    <t>39.04.01, 41.04.04, 51.04.01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</si>
  <si>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39.04.01 «Социология», 41.04.01. «Политология», 51.04.01 «Культурология» (квалификация (степень) «магистр») (протокол № 9 от 13.05.2019)</t>
  </si>
  <si>
    <t>Северо-Восточный федеральный университет им. М.К. Аммосова</t>
  </si>
  <si>
    <t>449950.06.01</t>
  </si>
  <si>
    <t>Социология труда: Уч. пос. / К.Э. Оксинойд. - М.: НИЦ ИНФРА-М, 2025. - 350 с.(ВО) (п)</t>
  </si>
  <si>
    <t>СОЦИОЛОГИЯ ТРУДА, ИЗД.1</t>
  </si>
  <si>
    <t>Оксинойд К. Э.</t>
  </si>
  <si>
    <t>978-5-16-005498-8</t>
  </si>
  <si>
    <t>38.03.01, 38.03.02, 38.03.03, 38.04.02, 38.04.03, 41.03.06</t>
  </si>
  <si>
    <t>Допущено Советом учебно-методического объединения по образованию в области менеджмента в качестве учебного пособия по направлению «Менеджмент»</t>
  </si>
  <si>
    <t>801714.01.01</t>
  </si>
  <si>
    <t>Социология управ. в транзитивном обществе: теория...: Уч.пос. / В.И.Гостенина-М.:НИЦ ИНФРА-М,2025.-289 с.(ВО)(п)</t>
  </si>
  <si>
    <t>СОЦИОЛОГИЯ УПРАВЛЕНИЯ В ТРАНЗИТИВНОМ ОБЩЕСТВЕ: ТЕОРИЯ И ОПЫТ ЭМПИРИЧЕСКИХ ИССЛЕДОВАНИЙ, ИЗД.1</t>
  </si>
  <si>
    <t>Гостенина В.И.</t>
  </si>
  <si>
    <t>978-5-16-019093-8</t>
  </si>
  <si>
    <t>646273.08.01</t>
  </si>
  <si>
    <t>Социология управления: Уч. / А.А.Николаев - М.:НИЦ ИНФРА-М,2026 - 317 с.-(ВО)(п)</t>
  </si>
  <si>
    <t>СОЦИОЛОГИЯ УПРАВЛЕНИЯ, ИЗД.1</t>
  </si>
  <si>
    <t>Николаев А.А.</t>
  </si>
  <si>
    <t>978-5-16-019252-9</t>
  </si>
  <si>
    <t>38.03.02, 38.03.04, 39.03.01</t>
  </si>
  <si>
    <t>Рекомендовано в качестве учебника  для студентов высших учебных заведений, обучающихся по направлениям подготовки 38.03.02 «Менеджмент», 38.03.04 «Государственное и муниципальное управление», 39.03.01 «Социология» (квалификация (степень) «бакалавр»)</t>
  </si>
  <si>
    <t>009152.13.01</t>
  </si>
  <si>
    <t>Социология управления: Уч. / М.В.Удальцова - 2 изд. - М.:НИЦ ИНФРА-М,НГАЭиУ,2025 - 150 с.(ВО)(о)</t>
  </si>
  <si>
    <t>СОЦИОЛОГИЯ УПРАВЛЕНИЯ, ИЗД.2</t>
  </si>
  <si>
    <t>Удальцова М. В.</t>
  </si>
  <si>
    <t>978-5-16-011285-5</t>
  </si>
  <si>
    <t>27.04.07, 37.03.02, 38.03.02, 38.03.03, 38.03.04, 39.03.01, 41.03.06, 41.04.04, 42.03.01</t>
  </si>
  <si>
    <t>Рекомендовано в качестве учебника для студентов высших учебных заведений, обучающихся по направлению подготовки 38.03.02 «Менеджмент», (квалификация (степень) «бакалавр»)</t>
  </si>
  <si>
    <t>376300.05.01</t>
  </si>
  <si>
    <t>Социология управления: Уч.пос. / Е.П.Тавокин - М.:НИЦ ИНФРА-М,2026 - 202 с.(ВО:Бакалавр.)(п)</t>
  </si>
  <si>
    <t>ТавокинЕ.П.</t>
  </si>
  <si>
    <t>978-5-16-011094-3</t>
  </si>
  <si>
    <t>38.03.02, 38.03.03, 38.03.04, 39.03.01</t>
  </si>
  <si>
    <t>Рекомендовано в качестве учебного пособия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39.03.01 «Социология» (квалификация (степень) «бакалавр»)</t>
  </si>
  <si>
    <t>815046.01.01</t>
  </si>
  <si>
    <t>Социология управления: Уч.пос. / Р.В.Леньков - М.:НИЦ ИНФРА-М,2024. - 201 с.(ВО)(п)</t>
  </si>
  <si>
    <t>978-5-16-019343-4</t>
  </si>
  <si>
    <t>27.04.07, 37.03.02, 39.03.01, 41.03.06, 41.04.04</t>
  </si>
  <si>
    <t>821276.01.01</t>
  </si>
  <si>
    <t>Социология ценностей: методология исслед.: Моногр. / И.А.Газиева-М.:НИЦ ИНФРА-М,2024.-254 с.(Науч.мысль)(п)</t>
  </si>
  <si>
    <t>СОЦИОЛОГИЯ ЦЕННОСТЕЙ: МЕТОДОЛОГИЯ ИССЛЕДОВАНИЯ, ИЗД.1</t>
  </si>
  <si>
    <t>Газиева И.А.</t>
  </si>
  <si>
    <t>978-5-16-019683-1</t>
  </si>
  <si>
    <t>37.03.02, 39.03.01, 39.04.01, 39.06.01</t>
  </si>
  <si>
    <t>054840.13.01</t>
  </si>
  <si>
    <t>Социология. Общий курс: Уч. / В.И. Кондауров, А.С. Страданченков - М.: НИЦ Инфра-М, 2018-332с(ВО)(п)</t>
  </si>
  <si>
    <t>СОЦИОЛОГИЯ. ОБЩИЙ КУРС, ИЗД.1</t>
  </si>
  <si>
    <t>Кондауров В. И., Страданченков А. С., Багдасарова Н. В., Коханов Е. Ф., Ионцева М. В., Куртиков Н. А., Симоненко С. И., Захаров М. Ю.</t>
  </si>
  <si>
    <t>978-5-16-005720-0</t>
  </si>
  <si>
    <t>00.03.10, 00.05.10, 38.03.01, 38.03.02, 38.03.04</t>
  </si>
  <si>
    <t>Допущено Министерством образования РФ в качестве учебника для студентов высших учебных заведений</t>
  </si>
  <si>
    <t>054840.22.01</t>
  </si>
  <si>
    <t>Социология. Общий курс: Уч. / Под ред. Страданченкова А.С., - 2 изд. - М.:НИЦ ИНФРА-М,2026. - 391с(П)</t>
  </si>
  <si>
    <t>СОЦИОЛОГИЯ. ОБЩИЙ КУРС, ИЗД.2</t>
  </si>
  <si>
    <t>Багдасарова Н.В., Захаров М.Ю., Ионцева М.В. и др.</t>
  </si>
  <si>
    <t>978-5-16-018631-3</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</si>
  <si>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38.03.04 «Государственное и муниципальное управление», 38.03.01 «Экономика», 38.03.02 «Менеджмент» (квалификация (степень) «бакалавр»)</t>
  </si>
  <si>
    <t>035700.17.01</t>
  </si>
  <si>
    <t>Социология. Основы общей теории: Уч. / Отв. ред. Г.В.Осипов - 2 изд. - М.:НОРМА: НИЦ ИНФРА-М, 2026 - 912 с.(п)</t>
  </si>
  <si>
    <t>СОЦИОЛОГИЯ. ОСНОВЫ ОБЩЕЙ ТЕОРИИ, ИЗД.2</t>
  </si>
  <si>
    <t>Осипов Г.В., Москвичев Л.Н.</t>
  </si>
  <si>
    <t>978-5-91768-597-7</t>
  </si>
  <si>
    <t>374000.06.01</t>
  </si>
  <si>
    <t>Социология: соц. институты, структура...: Уч. / С.И.Самыгин - М.:ИЦ РИОР,НИЦ ИНФРА-М,2026 - 252 с.(ВО)(П)</t>
  </si>
  <si>
    <t>СОЦИОЛОГИЯ: СОЦИАЛЬНЫЕ ИНСТИТУТЫ, СТРУКТУРА И ПРОЦЕССЫ, ИЗД.1</t>
  </si>
  <si>
    <t>Самыгин С.И., Воденко К.В.</t>
  </si>
  <si>
    <t>978-5-369-01535-3</t>
  </si>
  <si>
    <t>00.03.10, 39.03.01, 39.03.02, 39.03.03, 39.04.01, 39.04.02, 39.04.03, 44.03.01, 44.03.05</t>
  </si>
  <si>
    <t>Рекомендовано У МО РАЕ по классичеекому университетскому и техническому образованию в качестве учебника для социально-экономических направлений подготовки (бакалавриат)</t>
  </si>
  <si>
    <t>657559.06.01</t>
  </si>
  <si>
    <t>Социология: теория, методолог., практ.: Уч. /Под ред. Кального И.И.-М.:Вуз.уч.,НИЦ ИНФРА-М,2023-348с</t>
  </si>
  <si>
    <t>СОЦИОЛОГИЯ: ТЕОРИЯ, МЕТОДОЛОГИЯ, ПРАКТИКА, ИЗД.1</t>
  </si>
  <si>
    <t>Чигрин В.А., Сурмин Ю.П., Щербина В.Н. и др.</t>
  </si>
  <si>
    <t>978-5-9558-0572-6</t>
  </si>
  <si>
    <t>050500.21.01</t>
  </si>
  <si>
    <t>Социология: Уч. / В.И.Добреньков - М.:НИЦ ИНФРА-М,2026 - 624 с.(ВО: Бакалавриат)(п)</t>
  </si>
  <si>
    <t>СОЦИОЛОГИЯ, ИЗД.1</t>
  </si>
  <si>
    <t>Добреньков В.И., Кравченко А.И.</t>
  </si>
  <si>
    <t>978-5-16-003522-2</t>
  </si>
  <si>
    <t>Допущено Министерством образования Российской Федерации в качестве учебника для студентов высших учебных заведений, обучающихся по социологическим специальностям</t>
  </si>
  <si>
    <t>120600.09.01</t>
  </si>
  <si>
    <t>Социология: Уч. / Ю.Г.Волков, - 5 изд.-М.:Альфа-М, НИЦ ИНФРА-М,2024.-512 с.(Бакалавриат)(п)</t>
  </si>
  <si>
    <t>СОЦИОЛОГИЯ, ИЗД.5</t>
  </si>
  <si>
    <t>Волков Ю. Г.</t>
  </si>
  <si>
    <t>978-5-98281-415-9</t>
  </si>
  <si>
    <t>Рекомендовано УМО по классическому университетскому образованию к изданию в качестве учебника для студентов высших учебных заведений, обучающихся по направлению "Социология"</t>
  </si>
  <si>
    <t>446650.04.01</t>
  </si>
  <si>
    <t>Социология: Уч.пос. / А.Б.Оришев - 2 изд. - М.:ИЦ РИОР, НИЦ ИНФРА-М,2018.-224 с.(ВО: Бакалавриат)</t>
  </si>
  <si>
    <t>СОЦИОЛОГИЯ, ИЗД.2</t>
  </si>
  <si>
    <t>Оришев А.Б.</t>
  </si>
  <si>
    <t>978-5-369-01457-8</t>
  </si>
  <si>
    <t>00.03.10, 00.05.10, 38.03.01, 38.03.02, 38.03.03, 39.03.01, 39.03.02, 39.03.03</t>
  </si>
  <si>
    <t>Допущено в качестве учебного пособия для студентов-бакалавров, обучающихся по направлениям подготовки 081100 «Государственное и муниципальное управление", 080400 «Управление персоналом», 080200 «Менеджмент», 040400 «Социальная работа», 040700 «Органи</t>
  </si>
  <si>
    <t>446650.08.01</t>
  </si>
  <si>
    <t>Социология: Уч.пос. / А.Б.Оришев, - 3 изд. - М.:ИЦ РИОР, НИЦ ИНФРА-М,2025. - 260 с.(ВО)(П)</t>
  </si>
  <si>
    <t>СОЦИОЛОГИЯ, ИЗД.3</t>
  </si>
  <si>
    <t>978-5-369-01863-7</t>
  </si>
  <si>
    <t>640223.08.01</t>
  </si>
  <si>
    <t>Социология: Уч.пос. / Г.А.Ельникова - 2 изд. - М.:НИЦ ИНФРА-М,2025 - 211 с.(ВО)(П)</t>
  </si>
  <si>
    <t>Ельникова Г.А., Лаамарти Ю.А.</t>
  </si>
  <si>
    <t>978-5-16-016199-0</t>
  </si>
  <si>
    <t>00.03.10, 00.05.10, 39.03.02, 39.03.03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</si>
  <si>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несоциологическим направлениям подготовки (квалификация (степень) «бакалавр») (протокол № 5 от 16.03.2020)</t>
  </si>
  <si>
    <t>745707.05.01</t>
  </si>
  <si>
    <t>Социология: Уч.пос. / Г.А.Ельникова - 2 изд. - М.:НИЦ ИНФРА-М,2026 - 211 с.(ВО: Специалитет)(П)</t>
  </si>
  <si>
    <t>978-5-16-016550-9</t>
  </si>
  <si>
    <t>00.05.10, 38.05.01, 38.05.02, 40.05.01, 40.05.02, 40.05.03, 40.05.04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</si>
  <si>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программам специалитета (протокол № 8 от 22.06.2020)</t>
  </si>
  <si>
    <t>640223.04.01</t>
  </si>
  <si>
    <t>Социология: Уч.пос. / Г.А.Ельникова - М.:НИЦ ИНФРА-М,2020 - 181 с.-(ВО: Бакалавриат)(О)</t>
  </si>
  <si>
    <t>Ельникова Г.А.</t>
  </si>
  <si>
    <t>978-5-16-010442-3</t>
  </si>
  <si>
    <t>Рекомендовано в качестве учебного пособия для студентов высших учебных заведений, обучающихся по несоциологическим направлениям подготовки (квалификация (степень) «бакалавр»)</t>
  </si>
  <si>
    <t>118150.09.01</t>
  </si>
  <si>
    <t>Социология: Уч.пос. / Г.И.Козырев, - 2 изд. - М.:ИД ФОРУМ, НИЦ ИНФРА-М,2026. - 320 с.(ВО)(П)</t>
  </si>
  <si>
    <t>978-5-8199-0405-3</t>
  </si>
  <si>
    <t>Допущено учебно-методическим объединением по классическому университетскому образованию РФ в качестве учебного пособия для студентов высших учебных заведений, обучающихся по специальности "Социология" и  "Социальная антропология"</t>
  </si>
  <si>
    <t>428600.09.01</t>
  </si>
  <si>
    <t>Социология: Уч.пос. / Е.П.Тавокин - М.:НИЦ ИНФРА-М,2026. - 202 с.(ВО: Бакалавр.)(п)</t>
  </si>
  <si>
    <t>978-5-16-006379-9</t>
  </si>
  <si>
    <t>38.03.01, 38.03.02, 38.03.03, 38.03.04, 39.03.01, 39.03.02, 39.03.03, 39.04.01, 44.03.01, 44.03.05</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</si>
  <si>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подготовки 080100 «Экономика». Квалификация (</t>
  </si>
  <si>
    <t>094350.09.01</t>
  </si>
  <si>
    <t>Социология: Уч.пос. / С.В.Соколов - М.:Форум,2025. - 400 с.-(ВО)(п)</t>
  </si>
  <si>
    <t>Соколов С. В.</t>
  </si>
  <si>
    <t>978-5-91134-219-7</t>
  </si>
  <si>
    <t>Рекомендовано социологическим факультетом Российского гуманитарного универститета в качестве учебного пособия для студентов высших учебных заведений</t>
  </si>
  <si>
    <t>186200.11.01</t>
  </si>
  <si>
    <t>Социология: Уч.пос. / Ф.А.Игебаева - М.:НИЦ ИНФРА-М,2026 - 236 с.(ВО)(П)</t>
  </si>
  <si>
    <t>Игебаева Ф. А.</t>
  </si>
  <si>
    <t>978-5-16-019026-6</t>
  </si>
  <si>
    <t>Допущено Учебно-методическим объединением по классическому университетскому образованию к изданию в качестве учебного пособия для студентов высших учебных заведений, обучающихся по специальности 39.03.01 (040200) "Социология"</t>
  </si>
  <si>
    <t>Башкирский государственный аграрный университет</t>
  </si>
  <si>
    <t>681552.02.01</t>
  </si>
  <si>
    <t>Социо-эколого-эконом.системы: теория и практика: Моногр. / Р.А.Жуков-М.:НИЦ ИНФРА-М,2023-186с(О)</t>
  </si>
  <si>
    <t>СОЦИО-ЭКОЛОГО-ЭКОНОМИЧЕСКИЕ СИСТЕМЫ: ТЕОРИЯ И ПРАКТИКА, ИЗД.1</t>
  </si>
  <si>
    <t>Жуков Р.А.</t>
  </si>
  <si>
    <t>978-5-16-014366-8</t>
  </si>
  <si>
    <t>05.03.06, 05.04.06, 38.03.01, 38.04.01, 39.03.01, 39.04.01, 44.03.01</t>
  </si>
  <si>
    <t>833267.01.01</t>
  </si>
  <si>
    <t>Специализированные муниципалитеты в РФ: Моногр. / В.Б.Евдокимов - М.:НИЦ ИНФРА-М,2024. - 164 с.(Науч.мысль)(о)</t>
  </si>
  <si>
    <t>СПЕЦИАЛИЗИРОВАННЫЕ МУНИЦИПАЛИТЕТЫ В РОССИЙСКОЙ ФЕДЕРАЦИИ (ОБЩЕЕ И ОСОБЕННОЕ), ИЗД.1</t>
  </si>
  <si>
    <t>Евдокимов В.Б., Петряев П.Н.</t>
  </si>
  <si>
    <t>978-5-16-020091-0</t>
  </si>
  <si>
    <t>381300.09.01</t>
  </si>
  <si>
    <t>Специализированный подвиж. состав автотранс.и... Практ. / А.О.Харченко -М.: Вуз.уч., НИЦ ИНФРА-М,2023-127с(о)</t>
  </si>
  <si>
    <t>СПЕЦИАЛИЗИРОВАННЫЙ ПОДВИЖНОЙ СОСТАВ АВТОТРАНСПОРТА И ПОГРУЗОЧНО-РАЗГРУЗОЧНЫЕ УСТРОЙСТВА. ПРАКТИКУМ, ИЗД.1</t>
  </si>
  <si>
    <t>Харченко А.О., Кияшко Л.А., Соустова Л.И.</t>
  </si>
  <si>
    <t>978-5-9558-0455-2</t>
  </si>
  <si>
    <t>788907.06.01</t>
  </si>
  <si>
    <t>Специальная дидактика цифр. обр. обуч. с огранич... / Т.Ю.Бутусова. - М.:НИЦ ИНФРА-М,2026 - 183 с.(О)</t>
  </si>
  <si>
    <t>СПЕЦИАЛЬНАЯ ДИДАКТИКА ЦИФРОВОГО ОБРАЗОВАНИЯ ОБУЧАЮЩИХСЯ С ОГРАНИЧЕННЫМИ ВОЗМОЖНОСТЯМИ ЗДОРОВЬЯ, ИЗД.1</t>
  </si>
  <si>
    <t>Бутусова Т.Ю., Гриншкун А.В., Закрепина А.В. и др.</t>
  </si>
  <si>
    <t>978-5-16-018305-3</t>
  </si>
  <si>
    <t>44.04.01, 44.04.02, 44.04.03, 44.06.01, 44.07.01</t>
  </si>
  <si>
    <t>646423.12.01</t>
  </si>
  <si>
    <t>Специальная и общая философия науки: Энц. словарь / В.А.Канке - М.:НИЦ ИНФРА-М,2025 - 630 с.(П)</t>
  </si>
  <si>
    <t>СПЕЦИАЛЬНАЯ И ОБЩАЯ ФИЛОСОФИЯ НАУКИ: ЭНЦИКЛОПЕДИЧЕСКИЙ СЛОВАРЬ, ИЗД.1</t>
  </si>
  <si>
    <t>978-5-16-012809-2</t>
  </si>
  <si>
    <t>44.00.00, 38.04.01, 38.04.02, 38.04.03, 38.04.04, 38.04.05, 40.04.01, 44.04.01, 44.04.02, 44.04.03, 44.04.04, 47.03.01, 47.04.01</t>
  </si>
  <si>
    <t>318200.15.01</t>
  </si>
  <si>
    <t>Специальная инженерная геология: Уч. / В.П.Ананьев. - М.:НИЦ ИНФРА-М,2026  - 263 с.(ВО)(o)</t>
  </si>
  <si>
    <t>СПЕЦИАЛЬНАЯ ИНЖЕНЕРНАЯ ГЕОЛОГИЯ, ИЗД.1</t>
  </si>
  <si>
    <t>Ананьев В.П., Потапов А.Д., Филькин Н.А.</t>
  </si>
  <si>
    <t>978-5-16-018843-0</t>
  </si>
  <si>
    <t>Рекомендовано Учебно-методическим объединением вузов РФ в области строительства в качестве учебника для студентов, обучающихся по направлению 08.03.01 «Строительство»</t>
  </si>
  <si>
    <t>795938.02.01</t>
  </si>
  <si>
    <t>Специальная педагогика: Уч.: В 3 т.Т. 2 / Н.М.Назарова - М.:НИЦ ИНФРА-М,2026. - 385 с.(ВО)(п)</t>
  </si>
  <si>
    <t>СПЕЦИАЛЬНАЯ ПЕДАГОГИКА В 3 Т., Т.2</t>
  </si>
  <si>
    <t>Назарова Н.М., Богданова Т.Г., Морозов С.А. и др.</t>
  </si>
  <si>
    <t>978-5-16-019243-7</t>
  </si>
  <si>
    <t>44.03.03, 44.03.05, 44.04.03, 49.03.02</t>
  </si>
  <si>
    <t>633717.07.01</t>
  </si>
  <si>
    <t>Специальная педагогика: Уч.: В 3 т.Т.1 / Под ред. Назаровой Н.М. - 2 изд. - М.:НИЦ ИНФРА-М,2026 - 357 с.(ВО)(П)</t>
  </si>
  <si>
    <t>СПЕЦИАЛЬНАЯ ПЕДАГОГИКА, Т.1</t>
  </si>
  <si>
    <t>Пенин Г.Н., Назарова Н.М., Назарова Н.М.</t>
  </si>
  <si>
    <t>978-5-16-018786-0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</si>
  <si>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№9 от 28.09.2020)</t>
  </si>
  <si>
    <t>825879.05.01</t>
  </si>
  <si>
    <t>Специальная подготовка сотруд. органов внутр. дел: Уч.пос. / Г.И.Плохих - М.:НИЦ ИНФРА-М,2026. - 235 с.(п)</t>
  </si>
  <si>
    <t>СПЕЦИАЛЬНАЯ ПОДГОТОВКА СОТРУДНИКОВ ОРГАНОВ ВНУТРЕННИХ ДЕЛ, ИЗД.1</t>
  </si>
  <si>
    <t>Плохих Г.И.</t>
  </si>
  <si>
    <t>978-5-16-019831-6</t>
  </si>
  <si>
    <t>873962.01.01</t>
  </si>
  <si>
    <t>Специальная подготовка сотруд. органов внутр. дел: Уч.пос. / Г.И.Плохих - М.:НИЦ ИНФРА-М,2026. - 362 с.(СПО)(п)</t>
  </si>
  <si>
    <t>978-5-16-021916-5</t>
  </si>
  <si>
    <t>783418.01.01</t>
  </si>
  <si>
    <t>Специальная подготовка: Уч.пос. / А.Н.Ковальчук-М.:НИЦ ИНФРА-М,2023.-368 с.(ВО: Спец. (КрГАУ))(п)</t>
  </si>
  <si>
    <t>СПЕЦИАЛЬНАЯ ПОДГОТОВКА, ИЗД.1</t>
  </si>
  <si>
    <t>978-5-16-018064-9</t>
  </si>
  <si>
    <t>37.05.02, 38.05.01, 40.05.01, 40.05.02, 40.05.03, 40.05.04, 56.05.01</t>
  </si>
  <si>
    <t>833331.03.01</t>
  </si>
  <si>
    <t>Специальная техника правоохран. органов: Уч.пос. / В.В.Горовой - М.:НИЦ ИНФРА-М,2026. - 337 с.(СПО)(п)</t>
  </si>
  <si>
    <t>СПЕЦИАЛЬНАЯ ТЕХНИКА ПРАВООХРАНИТЕЛЬНЫХ ОРГАНОВ, ИЗД.1</t>
  </si>
  <si>
    <t>Горовой В.В., Горовая Е.Ю.</t>
  </si>
  <si>
    <t>978-5-16-020034-7</t>
  </si>
  <si>
    <t>785765.06.01</t>
  </si>
  <si>
    <t>Специальная техника правоохранит. органов: Уч.пос. / В.В.Горовой - М.:НИЦ ИНФРА-М,2026. - 337 с.(ВО.Сп)(п)</t>
  </si>
  <si>
    <t>978-5-16-018228-5</t>
  </si>
  <si>
    <t>664183.03.01</t>
  </si>
  <si>
    <t>Специальные налоговые режимы и особые..: Уч.пос. / Под ред.Малис Н.И. - М.:Магистр,НИЦ ИНФРА-М,2026 - 120 с.(о)</t>
  </si>
  <si>
    <t>СПЕЦИАЛЬНЫЕ НАЛОГОВЫЕ РЕЖИМЫ И ОСОБЫЕ ЭКОНОМИЧЕСКИЕ ЗОНЫ, ИЗД.1</t>
  </si>
  <si>
    <t>978-5-9776-0465-9</t>
  </si>
  <si>
    <t>38.02.01, 38.02.03, 38.02.07, 38.03.01, 44.03.01, 44.03.05</t>
  </si>
  <si>
    <t>702813.04.01</t>
  </si>
  <si>
    <t>Специальные налоговые режимы: Уч.пос. / О.А.Ногина - М.:Юр.Норма,НИЦ ИНФРА-М,2023 - 144 с.(П)</t>
  </si>
  <si>
    <t>СПЕЦИАЛЬНЫЕ НАЛОГОВЫЕ РЕЖИМЫ, ИЗД.1</t>
  </si>
  <si>
    <t>Ногина О.А.</t>
  </si>
  <si>
    <t>978-5-91768-997-5</t>
  </si>
  <si>
    <t>38.03.01, 40.03.01</t>
  </si>
  <si>
    <t>429200.12.01</t>
  </si>
  <si>
    <t>Специальные пробл.психолог.консульт.: Уч.пос. / О.О.Андронникова - 2 изд. - М.:,НИЦ ИНФРА-М,2026 - 352 с.(П)</t>
  </si>
  <si>
    <t>СПЕЦИАЛЬНЫЕ ПРОБЛЕМЫ  ПСИХОЛОГИЧЕСКОГО КОНСУЛЬТИРОВАНИЯ, ИЗД.2</t>
  </si>
  <si>
    <t>978-5-16-020593-9</t>
  </si>
  <si>
    <t>37.03.01, 37.04.01, 37.05.01, 44.03.01, 44.03.02, 44.03.05, 44.04.01, 44.04.02</t>
  </si>
  <si>
    <t>429200.06.01</t>
  </si>
  <si>
    <t>Специальные пробл.психолог.консульт.:Уч.пос./О.О.Андронникова-Вуз.уч.,НИЦ ИНФРА-М,2019-348с(Вуз.уч.)</t>
  </si>
  <si>
    <t>СПЕЦИАЛЬНЫЕ ПРОБЛЕМЫ ПСИХОЛОГИЧЕСКОГО КОНСУЛЬТИРОВАНИЯ, ИЗД.1</t>
  </si>
  <si>
    <t>978-5-9558-0254-1</t>
  </si>
  <si>
    <t>632778.04.01</t>
  </si>
  <si>
    <t>Специальные разделы математики: Практикум / В.А.Крамарь.-М.:Вуз. уч., НИЦ ИНФРА-М,2019.-123 с.(О) (ВО)</t>
  </si>
  <si>
    <t>СПЕЦИАЛЬНЫЕ РАЗДЕЛЫ МАТЕМАТИКИ, ИЗД.1</t>
  </si>
  <si>
    <t>Крамарь В.А., Карапетьян В.А., Альчаков В.В.</t>
  </si>
  <si>
    <t>978-5-9558-0504-7</t>
  </si>
  <si>
    <t>01.04.04, 27.03.01</t>
  </si>
  <si>
    <t>443550.08.01</t>
  </si>
  <si>
    <t>Специальные способы разраб.и месторожд.: Уч.пос. / В.И.Голик - М.:НИЦ ИНФРА-М,2025 - 132 с.(ВО:Бакалавр.)(О)</t>
  </si>
  <si>
    <t>СПЕЦИАЛЬНЫЕ СПОСОБЫ РАЗРАБОТКИ МЕСТОРОЖДЕНИЙ, ИЗД.1</t>
  </si>
  <si>
    <t>978-5-16-005551-0</t>
  </si>
  <si>
    <t>21.02.17, 21.03.01, 21.04.01, 21.05.04</t>
  </si>
  <si>
    <t>Допущено Учебно-методическим объединением вузов России по образованию в области горного дела в качестве учебного пособия для студентов высших учебных заведений, обучающихся по направлению подготовки «Горное дело» и по направлению подготовки «Физическ</t>
  </si>
  <si>
    <t>666693.03.01</t>
  </si>
  <si>
    <t>Специальные технологии худ. обр. матер..: Уч.мет.пос. / В.Г.Березюк-М.:НИЦ ИНФРА-М, СФУ,2023-167с</t>
  </si>
  <si>
    <t>СПЕЦИАЛЬНЫЕ ТЕХНОЛОГИИ ХУДОЖЕСТВЕННОЙ ОБРАБОТКИ МАТЕРИАЛОВ (ПО ЛИТЕЙНЫМ МАТЕРИАЛАМ), ИЗД.1</t>
  </si>
  <si>
    <t>Березюк В.Г., Синичкин А.М., Лыткина С.И. и др.</t>
  </si>
  <si>
    <t>978-5-16-018215-5</t>
  </si>
  <si>
    <t>29.03.04</t>
  </si>
  <si>
    <t>Рекомендовано УМО РАЕ по классическому университетскому и техническому образованию в качестве учебно-методического пособия для студентов высших учебных заведений, обучающихся по направлению подготовки 29.03.04 «Технология художественной обработки материалов»</t>
  </si>
  <si>
    <t>679490.03.01</t>
  </si>
  <si>
    <t>Специфика культурологической интерпрет. от теор.:Моногр. /Н.А.Симбирцева-М.:НИЦ ИНФРА-М,2023-233с</t>
  </si>
  <si>
    <t>СПЕЦИФИКА КУЛЬТУРОЛОГИЧЕСКОЙ ИНТЕРПРЕТАЦИИ: ОТ ТЕОРИИ К ПРАКТИКЕ, ИЗД.1</t>
  </si>
  <si>
    <t>Симбирцева Н.А.</t>
  </si>
  <si>
    <t>978-5-16-013761-2</t>
  </si>
  <si>
    <t>51.03.01, 51.03.02, 51.03.03, 51.03.04</t>
  </si>
  <si>
    <t>263000.06.01</t>
  </si>
  <si>
    <t>Спортивная экология: уч. / С.А.Полиевский-М.:НИЦ ИНФРА-М,2024.-254 с..-(ВО)(п)</t>
  </si>
  <si>
    <t>СПОРТИВНАЯ ЭКОЛОГИЯ, ИЗД.1</t>
  </si>
  <si>
    <t>Полиевский С.А.</t>
  </si>
  <si>
    <t>978-5-16-019102-7</t>
  </si>
  <si>
    <t>Рекомендовано в качестве учебника для студентов высших учебных заведений, обучающихся по направлениям подготовки 49.03.01 «Физическая культура» и 49.03.02 «Физическая культура для лиц с отклонениями в состоянии здоровья (адаптивная физическая культура)» (квалификация (степень) «бакалавр»)</t>
  </si>
  <si>
    <t>823423.02.01</t>
  </si>
  <si>
    <t>Спортивное право: Уч.пос. / Н.В.Антонова. - М.:НИЦ ИНФРА-М,2027. -  232 с.(ИЗиСП)(п)</t>
  </si>
  <si>
    <t>СПОРТИВНОЕ ПРАВО, ИЗД.1</t>
  </si>
  <si>
    <t>Антонова Н.В., Астаева М.Г., Басангов Д.А. и др.</t>
  </si>
  <si>
    <t>978-5-16-019733-3</t>
  </si>
  <si>
    <t>837249.02.01</t>
  </si>
  <si>
    <t>Спортивно-оздоровительный туризм: Уч.пос. / С.В.Соболев. - М.:НИЦ ИНФРА-М,2027. - 178 с.(ВО (СФУ))(п)</t>
  </si>
  <si>
    <t>СПОРТИВНО-ОЗДОРОВИТЕЛЬНЫЙ ТУРИЗМ, ИЗД.1</t>
  </si>
  <si>
    <t>Соболев С.В., Пашкевич В.М., Соболева Н.В. и др.</t>
  </si>
  <si>
    <t>978-5-16-020277-8</t>
  </si>
  <si>
    <t>49.03.03, 49.03.04, 49.04.03</t>
  </si>
  <si>
    <t>470450.08.01</t>
  </si>
  <si>
    <t>Способы восполнения пробелов в праве: Моногр. / С.А.Дробышевский-М.:Юр. НОРМА, НИЦ ИНФРА-М,2024.-176 с.(о)</t>
  </si>
  <si>
    <t>СПОСОБЫ ВОСПОЛНЕНИЯ ПРОБЕЛОВ В ПРАВЕ, ИЗД.1</t>
  </si>
  <si>
    <t>Дробышевский С. А., Тихонравов Е. Ю.</t>
  </si>
  <si>
    <t>978-5-91768-508-3</t>
  </si>
  <si>
    <t>856585.02.01</t>
  </si>
  <si>
    <t>Способы утилизации избыточ. активного ила: Моногр. / Б.С.Ксенофонтов - М.:НИЦ ИНФРА-М,2026 -170 с.(о)</t>
  </si>
  <si>
    <t>СПОСОБЫ УТИЛИЗАЦИИ ИЗБЫТОЧНОГО АКТИВНОГО ИЛА, ИЗД.1</t>
  </si>
  <si>
    <t>978-5-16-020966-1</t>
  </si>
  <si>
    <t>08.04.01, 08.06.01, 18.03.02, 18.06.01, 20.04.01, 20.04.02, 20.06.01</t>
  </si>
  <si>
    <t>118500.15.01</t>
  </si>
  <si>
    <t>Справочник монтажника водяных тепловых сетей: Уч.пос. / В.И.Краснов - М.:НИЦ ИНФРА-М,2026 - 334 с.(СПО)(п)</t>
  </si>
  <si>
    <t>СПРАВОЧНИК МОНТАЖНИКА ВОДЯНЫХ ТЕПЛОВЫХ СЕТЕЙ, ИЗД.1</t>
  </si>
  <si>
    <t>Краснов В. И.</t>
  </si>
  <si>
    <t>978-5-16-010796-7</t>
  </si>
  <si>
    <t>08.02.13</t>
  </si>
  <si>
    <t>Рекомендовано Федеральным агентством по строительству и жилищно-коммунальному хозяйству в качестве учебного пособия для студентов средних специальных строительных учебных заведений, обучающихся по специальности «Теплогазоснабжение и вентиляция»</t>
  </si>
  <si>
    <t>034250.29.01</t>
  </si>
  <si>
    <t>Справочник по доказ. в гражд. судопроизв. / И.В.Решетникова - 7 изд.-М.:Норма,НИЦ ИНФРА-М,2025-472с.(П)</t>
  </si>
  <si>
    <t>СПРАВОЧНИК ПО ДОКАЗЫВАНИЮ В ГРАЖДАНСКОМ СУДОПРОИЗВОДСТВЕ, ИЗД.7</t>
  </si>
  <si>
    <t>Решетникова И.В., Закарлюка А.В., Звягинцева Л.М. и др.</t>
  </si>
  <si>
    <t>978-5-00156-077-7</t>
  </si>
  <si>
    <t>0720</t>
  </si>
  <si>
    <t>034250.32.01</t>
  </si>
  <si>
    <t>Справочник по доказ. в гражд. судопроизв. / И.В.Решетникова - 8 изд.- М.:Норма,НИЦ ИНФРА-М,2026 - 512 с.(П)</t>
  </si>
  <si>
    <t>СПРАВОЧНИК ПО ДОКАЗЫВАНИЮ В ГРАЖДАНСКОМ СУДОПРОИЗВОДСТВЕ, ИЗД.8</t>
  </si>
  <si>
    <t>Решетникова И.В., Малов А.А., Царегородцева Е.А. и др.</t>
  </si>
  <si>
    <t>978-5-00156-439-3</t>
  </si>
  <si>
    <t>0825</t>
  </si>
  <si>
    <t>485200.17.01</t>
  </si>
  <si>
    <t>Справочник по доказыванию в адм. судопроизв. / И.В.Решетников - 2 изд. - М.:Юр.Норма, НИЦ ИНФРА-М,2025 - 160 с.(П)</t>
  </si>
  <si>
    <t>СПРАВОЧНИК ПО ДОКАЗЫВАНИЮ В АДМИНИСТРАТИВНОМ СУДОПРОИЗВОДСТВЕ, ИЗД.2</t>
  </si>
  <si>
    <t>978-5-00156-060-9</t>
  </si>
  <si>
    <t>38.03.04, 40.02.02, 40.02.04, 40.03.01, 40.04.01, 40.06.01, 44.03.05</t>
  </si>
  <si>
    <t>485200.20.01</t>
  </si>
  <si>
    <t>Справочник по доказыванию в адм. судопроизв./ И.В.Решетникова - 3 изд. - М.:Юр.Норма, НИЦ ИНФРА-М,2026 - 164 с.(П)</t>
  </si>
  <si>
    <t>СПРАВОЧНИК ПО ДОКАЗЫВАНИЮ В АДМИНИСТРАТИВНОМ СУДОПРОИЗВОДСТВЕ, ИЗД.3</t>
  </si>
  <si>
    <t>Решетникова И.В., Царегородцева Е.А., Куликова М.А.</t>
  </si>
  <si>
    <t>978-5-00156-452-2</t>
  </si>
  <si>
    <t>485200.06.01</t>
  </si>
  <si>
    <t>Справочник по доказыванию в админ.судопроизв. /И.В.Решетникова -М.:Юр.Норма, НИЦ ИНФРА-М,2019-128(О)</t>
  </si>
  <si>
    <t>СПРАВОЧНИК ПО ДОКАЗЫВАНИЮ В АДМИНИСТРАТИВНОМ СУДОПРОИЗВОДСТВЕ, ИЗД.1</t>
  </si>
  <si>
    <t>978-5-91768-714-8</t>
  </si>
  <si>
    <t>718666.06.01</t>
  </si>
  <si>
    <t>Справочник по доказыванию в арбитраж. процес. / И.В.Решетникова - 2 изд.-М.:Юр. НОРМА, НИЦ ИНФРА-М,2023.-480 с.(П)</t>
  </si>
  <si>
    <t>СПРАВОЧНИК ПО ДОКАЗЫВАНИЮ В АРБИТРАЖНОМ ПРОЦЕССЕ, ИЗД.2</t>
  </si>
  <si>
    <t>Решетникова И.В., Куликова М.А., Вербенко Т.Л. и др.</t>
  </si>
  <si>
    <t>978-5-00156-225-2</t>
  </si>
  <si>
    <t>718666.03.01</t>
  </si>
  <si>
    <t>Справочник по доказыванию в арбитраж. процес. / И.В.Решетникова-М.:Юр.Норма, НИЦ ИНФРА-М,2020.-360 с.(П)</t>
  </si>
  <si>
    <t>СПРАВОЧНИК ПО ДОКАЗЫВАНИЮ В АРБИТРАЖНОМ ПРОЦЕССЕ, ИЗД.1</t>
  </si>
  <si>
    <t>978-5-00156-024-1</t>
  </si>
  <si>
    <t>718666.10.01</t>
  </si>
  <si>
    <t>Справочник по доказыванию в арбитраж... / И.В.Решетникова - 3 изд. - М.:Юр. НОРМА,НИЦ ИНФРА-М,2027 - 544 с.(П)</t>
  </si>
  <si>
    <t>СПРАВОЧНИК ПО ДОКАЗЫВАНИЮ В АРБИТРАЖНОМ ПРОЦЕССЕ, ИЗД.3</t>
  </si>
  <si>
    <t>Решетникова И.В., Вербенко Т.Л., Сердитова Е.Н. и др.</t>
  </si>
  <si>
    <t>978-5-00156-442-3</t>
  </si>
  <si>
    <t>319100.12.01</t>
  </si>
  <si>
    <t>Справочник по машиностроительному черчению / А.А.Чекмарев - 11 изд. - М.:НИЦ ИНФРА-М,2027. - 494 с.(п)</t>
  </si>
  <si>
    <t>СПРАВОЧНИК ПО МАШИНОСТРОИТЕЛЬНОМУ ЧЕРЧЕНИЮ, ИЗД.11</t>
  </si>
  <si>
    <t>Чекмарев А.А., Осипов В.К.</t>
  </si>
  <si>
    <t>978-5-16-010417-1</t>
  </si>
  <si>
    <t>15.01.13, 15.01.17, 15.01.18, 15.01.22, 15.01.29, 15.01.35, 15.01.36, 15.01.37, 15.01.38, 15.02.01, 15.02.03, 15.02.04, 15.02.06, 15.02.07, 15.02.09, 15.02.10, 15.02.16, 15.02.17, 15.02.18, 15.02.19, 15.03.01, 15.03.02, 15.03.03, 15.03.04, 15.03.05, 15.03.06, 23.02.07, 24.02.01</t>
  </si>
  <si>
    <t>1114</t>
  </si>
  <si>
    <t>462750.13.01</t>
  </si>
  <si>
    <t>Справочник по финансовой математике: Уч. пос. / П.Н. Брусов - М.: НИЦ ИНФРА-М, 2027. - 239 с.(ВО) (п)</t>
  </si>
  <si>
    <t>СПРАВОЧНИК ПО ФИНАНСОВОЙ МАТЕМАТИКЕ, ИЗД.1</t>
  </si>
  <si>
    <t>Брусов П. Н., Филатова Т. В., Орехова Н. П.</t>
  </si>
  <si>
    <t>978-5-16-009577-6</t>
  </si>
  <si>
    <t>38.03.01, 38.03.02, 38.03.04, 38.03.05, 38.04.08</t>
  </si>
  <si>
    <t>Рекомендовано в качестве учебного пособия для студентов высших учебных заведений, обучающихся по направлению подготовки 38.00.00 «Экономика и управление"</t>
  </si>
  <si>
    <t>458850.12.01</t>
  </si>
  <si>
    <t>Справочник по эксплуатации электроустановок..: Уч.пос. / Ю.Д.Сибикин - 7 изд. - Форум:ИНФРА-М,2026-400с(п)</t>
  </si>
  <si>
    <t>СПРАВОЧНИК ПО ЭКСПЛУАТАЦИИ ЭЛЕКТРОУСТАНОВОК ПРОМЫШЛЕННЫХ ПРЕДПРИЯТИЙ, ИЗД.7</t>
  </si>
  <si>
    <t>Сибикин Ю. Д., Сибикин М. Ю.</t>
  </si>
  <si>
    <t>978-5-91134-844-1</t>
  </si>
  <si>
    <t>00.02.39, 08.02.09, 11.01.02, 11.01.05, 11.02.16, 13.01.07, 13.01.10, 13.02.07, 13.02.09, 13.02.12, 13.02.13, 18.01.28, 21.01.15, 26.01.05, 26.02.04, 26.02.05, 26.02.06, 35.01.15</t>
  </si>
  <si>
    <t>0714</t>
  </si>
  <si>
    <t>273600.18.01</t>
  </si>
  <si>
    <t>Справочник техника-сварщика: Уч.пос. / В.В.Овчинников - М.:ИД Форум, НИЦ ИНФРА-М,2026. - 304 с.(СПО)(П)</t>
  </si>
  <si>
    <t>СПРАВОЧНИК ТЕХНИКА-СВАРЩИКА, ИЗД.1</t>
  </si>
  <si>
    <t>978-5-8199-0895-2</t>
  </si>
  <si>
    <t>15.01.05, 15.01.06, 15.01.07, 15.01.29, 15.02.16, 15.02.19, 26.01.01</t>
  </si>
  <si>
    <t>645768.13.01</t>
  </si>
  <si>
    <t>Справочник экономиста предпр.: Справ. / Под ред. Акуленко Н.Б. - М.:НИЦ ИНФРА-М,2027.- 424 с.(П)</t>
  </si>
  <si>
    <t>СПРАВОЧНИК ЭКОНОМИСТА ПРЕДПРИЯТИЯ, ИЗД.1</t>
  </si>
  <si>
    <t>Акуленко Н.Б., Кукушкин С.Н., Кучеренко А.И.</t>
  </si>
  <si>
    <t>978-5-16-012424-7</t>
  </si>
  <si>
    <t>38.03.01, 38.03.02, 38.03.03, 38.03.04, 38.03.05, 38.03.06, 38.04.01, 38.04.02, 38.04.03, 38.04.04, 38.04.05, 38.04.06, 38.04.08</t>
  </si>
  <si>
    <t>670735.07.01</t>
  </si>
  <si>
    <t>Справочник электрика по ремонту электрооборуд... / М.Ю.Сибикин, - 2 изд. - М.:НИЦ ИНФРА-М,2026. - 262 с.(п)</t>
  </si>
  <si>
    <t>СПРАВОЧНИК ЭЛЕКТРИКА ПО РЕМОНТУ ЭЛЕКТРООБОРУДОВАНИЯ ПРОМЫШЛЕННЫХ ПРЕДПРИЯТИЙ, ИЗД.2</t>
  </si>
  <si>
    <t>Сибикин М.Ю.</t>
  </si>
  <si>
    <t>978-5-16-017615-4</t>
  </si>
  <si>
    <t>00.02.39, 08.02.09, 11.01.02, 11.01.05, 11.01.06, 11.01.07, 11.02.14, 11.02.16, 12.02.04, 13.01.07, 13.01.10, 13.02.07, 13.02.09, 13.02.12, 13.02.13, 18.01.28, 21.01.15, 26.01.05, 26.02.04, 26.02.05, 26.02.06, 35.01.15</t>
  </si>
  <si>
    <t>646045.13.01</t>
  </si>
  <si>
    <t>Справочник электромонтажника: Уч.пос. / Ю.Д.Сибикин - 6 изд. - М.:НИЦ ИНФРА-М,2026 - 412 с.(СПО)(П)</t>
  </si>
  <si>
    <t>СПРАВОЧНИК ЭЛЕКТРОМОНТАЖНИКА, ИЗД.6</t>
  </si>
  <si>
    <t>978-5-16-012526-8</t>
  </si>
  <si>
    <t>08.01.22, 08.01.23, 08.01.30, 08.01.31, 13.02.12, 15.01.37, 15.02.07, 15.02.17, 23.01.03, 23.01.11, 23.01.13, 23.01.18, 23.02.06, 27.02.03, 27.02.05</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</si>
  <si>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программы начального профессионального образования</t>
  </si>
  <si>
    <t>077160.21.01</t>
  </si>
  <si>
    <t>Справочное пос. по электрооборуд. и электроснаб.: Уч.пос. / В.П.Шеховцов - 3 изд. - М.:НИЦ ИНФРА-М,2026 - 136 с.(О)</t>
  </si>
  <si>
    <t>СПРАВОЧНОЕ ПОСОБИЕ ПО ЭЛЕКТРООБОРУДОВАНИЮ И ЭЛЕКТРОСНАБЖЕНИЮ, ИЗД.3</t>
  </si>
  <si>
    <t>978-5-16-013424-6</t>
  </si>
  <si>
    <t>08.02.01, 11.02.15, 13.02.07, 13.02.12, 13.02.13</t>
  </si>
  <si>
    <t>Допущено Министерством образования и науки Российской Федерации для студентов учреждений среднего профессионального образования, обучающихся по специальности 13.02.11 «Техническая эксплуатация и обслуживание электрического и электромеханического оборудования»</t>
  </si>
  <si>
    <t>806116.04.01</t>
  </si>
  <si>
    <t>Сравнительная ист. зарубеж. права: Уч.: Т.1 / Д.Ю.Полдников - М.:Юр. НОРМА, НИЦ ИНФРА-М,2026. - 544 с.(п)</t>
  </si>
  <si>
    <t>СРАВНИТЕЛЬНАЯ ИСТОРИЯ ЗАРУБЕЖНОГО ПРАВА В 2-Х ТТ., Т.1</t>
  </si>
  <si>
    <t>Полдников Д.Ю.</t>
  </si>
  <si>
    <t>978-5-00156-308-2</t>
  </si>
  <si>
    <t>807641.04.01</t>
  </si>
  <si>
    <t>Сравнительная ист. зарубеж. права: Уч.: Т.2  / Д.Ю.Полдников - М.:Юр. НОРМА, НИЦ ИНФРА-М,2026 - 624 с.(п)</t>
  </si>
  <si>
    <t>СРАВНИТЕЛЬНАЯ ИСТОРИЯ ЗАРУБЕЖНОГО ПРАВА, Т.2</t>
  </si>
  <si>
    <t>978-5-00156-317-4</t>
  </si>
  <si>
    <t>411400.09.01</t>
  </si>
  <si>
    <t>Сравнительная криминология: Моногр. / И.М.Клейменов - М.:Юр.Норма, НИЦ ИНФРА-М,2026. - 368 с.(П)</t>
  </si>
  <si>
    <t>СРАВНИТЕЛЬНАЯ КРИМИНОЛОГИЯ, ИЗД.1</t>
  </si>
  <si>
    <t>Клейменов И. М.</t>
  </si>
  <si>
    <t>978-5-91768-322-5</t>
  </si>
  <si>
    <t>796852.02.01</t>
  </si>
  <si>
    <t>Сравнительное государствоведение: моногр. / А.Ю.Саломатин и др. - М.:ИЦ РИОР, НИЦ ИНФРА-М,2026. - 245 с.-(Науч.мысль)(п)</t>
  </si>
  <si>
    <t>СРАВНИТЕЛЬНОЕ ГОСУДАРСТВОВЕДЕНИЕ, ИЗД.1</t>
  </si>
  <si>
    <t>Саломатин А.Ю., Гуляков А.Д., Агеева Е.А. и др.</t>
  </si>
  <si>
    <t>978-5-369-01919-1</t>
  </si>
  <si>
    <t>40.04.01, 40.06.01, 41.04.04, 41.06.01</t>
  </si>
  <si>
    <t>142200.15.01</t>
  </si>
  <si>
    <t>Сравнительное государствоведение: Уч.пос. / В.Е.Чиркин - М.:Юр.Норма, ИНФРА-М,2026.-448 с.(П)</t>
  </si>
  <si>
    <t>978-5-91768-144-3</t>
  </si>
  <si>
    <t>846459.05.01</t>
  </si>
  <si>
    <t>Сравнительное конституционное право: Моногр. / Т.Я.Хабриева - М.:Юр. НОРМА,2026. - 264 с.(п)</t>
  </si>
  <si>
    <t>СРАВНИТЕЛЬНОЕ КОНСТИТУЦИОННОЕ ПРАВО, ИЗД.1</t>
  </si>
  <si>
    <t>978-5-00156-400-3</t>
  </si>
  <si>
    <t>718658.07.01</t>
  </si>
  <si>
    <t>Сравнительное правоведение: Уч. / А.Х.Саидов - М.:Юр.Норма, НИЦ ИНФРА-М,2026 - 320 с.(П)</t>
  </si>
  <si>
    <t>СРАВНИТЕЛЬНОЕ ПРАВОВЕДЕНИЕ, ИЗД.1</t>
  </si>
  <si>
    <t>Саидов А.Х.</t>
  </si>
  <si>
    <t>978-5-00156-021-0</t>
  </si>
  <si>
    <t>718658.09.01</t>
  </si>
  <si>
    <t>Сравнительное правоведение: уч. / А.Х.Саидов, - 2 изд. - М.:Юр. НОРМА, НИЦ ИНФРА-М,2027. - 352 с.-(Для юрид. вузов и фак.)(п)</t>
  </si>
  <si>
    <t>СРАВНИТЕЛЬНОЕ ПРАВОВЕДЕНИЕ, ИЗД.2</t>
  </si>
  <si>
    <t>978-5-00156-498-0</t>
  </si>
  <si>
    <t>357400.14.01</t>
  </si>
  <si>
    <t>Сравнительное правоведение: Уч. для магистр. / В.Е.Чиркин - М.:Юр.Норма,НИЦ ИНФРА-М,2026 - 320 с.(П)</t>
  </si>
  <si>
    <t>978-5-91768-618-9</t>
  </si>
  <si>
    <t>092850.10.01</t>
  </si>
  <si>
    <t>Сравнительное правоведение: Уч.-мет. комплекс / А.А.Малько-М.:НОРМА, НИЦ ИНФРА-М,2024.-352 с.(п)</t>
  </si>
  <si>
    <t>Малько А. В., Саломатин А. Ю.</t>
  </si>
  <si>
    <t>Серия учебно-методических комплексов</t>
  </si>
  <si>
    <t>978-5-468-00186-8</t>
  </si>
  <si>
    <t>662953.04.01</t>
  </si>
  <si>
    <t>Сравнительно-историческая риторика: Уч. / А.К.Михальская, - 2 изд. - М.:НИЦ ИНФРА-М,2026 - 294 с.(ВО)(П)</t>
  </si>
  <si>
    <t>СРАВНИТЕЛЬНО-ИСТОРИЧЕСКАЯ РИТОРИКА, ИЗД.2</t>
  </si>
  <si>
    <t>978-5-16-021655-3</t>
  </si>
  <si>
    <t>37.03.01, 44.03.05, 45.03.01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</si>
  <si>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52.05.04 «Литературное творчество» (квалификация «литературный работник») (протокол № 4 от 25.02.2019)</t>
  </si>
  <si>
    <t>436150.05.01</t>
  </si>
  <si>
    <t>Сравнительно-историческая риторика: Уч.пос. / А.К.Михальская-М.:Форум, НИЦ ИНФРА-М,2023.-320 с.(ВО)(О)</t>
  </si>
  <si>
    <t>СРАВНИТЕЛЬНО-ИСТОРИЧЕСКАЯ РИТОРИКА, ИЗД.1</t>
  </si>
  <si>
    <t>Михальская А. К.</t>
  </si>
  <si>
    <t>978-5-91134-740-6</t>
  </si>
  <si>
    <t>208700.08.01</t>
  </si>
  <si>
    <t>Средства и методы управления качеством: Уч. пос. / Л.В.Виноградов - М.: ИНФРА-М, 2024-220с.(ВО: Бакалавр.) (п)</t>
  </si>
  <si>
    <t>СРЕДСТВА И МЕТОДЫ УПРАВЛЕНИЯ КАЧЕСТВОМ, ИЗД.1</t>
  </si>
  <si>
    <t>Виноградов Л. В., Семенов В. П., Бурылов В. С.</t>
  </si>
  <si>
    <t>978-5-16-005584-8</t>
  </si>
  <si>
    <t>27.03.02, 27.04.02, 38.03.02, 38.04.02, 41.03.06</t>
  </si>
  <si>
    <t>Допущено УМО по образованию в области производственного менеджмента в качестве учебного пособия для студентов, обучающихся по направлению подготовки 080200 «Менеджмент" (профиль «Производственный менеджмент»)</t>
  </si>
  <si>
    <t>853724.01.01</t>
  </si>
  <si>
    <t>Средства обеспечения деят. органов внутр. дел: Уч.пос. / В.А.Мельничук - М.:НИЦ ИНФРА-М,2026. - 292 с.(п)</t>
  </si>
  <si>
    <t>СРЕДСТВА ОБЕСПЕЧЕНИЯ ДЕЯТЕЛЬНОСТИ ОРГАНОВ ВНУТРЕННИХ ДЕЛ: УСЛОВИЯ И ОГРАНИЧЕНИЯ ИХ ПРИМЕНЕНИЯ, ИЗД.1</t>
  </si>
  <si>
    <t>978-5-16-020909-8</t>
  </si>
  <si>
    <t>40.03.02</t>
  </si>
  <si>
    <t>706088.01.01</t>
  </si>
  <si>
    <t>Стабилизация как этап эволюции соц. сис.: Моногр. / И.В.Ситнова-М.:НИЦ ИНФРА-М,2022.-140 с.(О)</t>
  </si>
  <si>
    <t>СТАБИЛИЗАЦИЯ КАК ЭТАП ЭВОЛЮЦИИ СОЦИАЛЬНОЙ СИСТЕМЫ, ИЗД.1</t>
  </si>
  <si>
    <t>978-5-16-015583-8</t>
  </si>
  <si>
    <t>458900.04.01</t>
  </si>
  <si>
    <t>Стабильность элементов конструкций...: Уч.пос.: Ч.1: Стержни / М.Н.Кирсанов - М.:НИЦ ИНФРА-М,2026 - 184 с.(П)</t>
  </si>
  <si>
    <t>СТАБИЛЬНОСТЬ ЭЛЕМЕНТОВ КОНСТРУКЦИЙ В УСЛОВИИ ПОЛЗУЧЕСТИ, ИЗД.1</t>
  </si>
  <si>
    <t>978-5-16-011492-7</t>
  </si>
  <si>
    <t>15.03.01, 15.03.03</t>
  </si>
  <si>
    <t>Рекомендовано в качестве учебного пособия для студентов высших учебных заведений, обучающихся по направлениям подготовки 15.04.01 «Машиностроение», 15.04.03 «Прикладная механика» (квалификация (степень) «магистр»)</t>
  </si>
  <si>
    <t>705357.01.01</t>
  </si>
  <si>
    <t>Ставропольский край как субъект РФ...: Моногр. / В.А.Черепанов - М.:Юр.Норма,2019.-384 с.(П)</t>
  </si>
  <si>
    <t>СТАВРОПОЛЬСКИЙ КРАЙ КАК СУБЪЕКТ РОССИЙСКОЙ ФЕДЕРАЦИИ: КОНСТИТУЦИОННО-ПРАВОВОЕ ИССЛЕДОВАНИЕ, ИЗД.1</t>
  </si>
  <si>
    <t>978-5-91768-637-0</t>
  </si>
  <si>
    <t>635931.03.01</t>
  </si>
  <si>
    <t>Стадиальный анализ литогенеза: Уч.пос. / О.В.Япаскурт - 2изд. - М.:НИЦ ИНФРА-М,2022 - 161с.(ВО)(П)</t>
  </si>
  <si>
    <t>СТАДИАЛЬНЫЙ АНАЛИЗ ЛИТОГЕНЕЗА, ИЗД.2</t>
  </si>
  <si>
    <t>Япаскурт О.В., Карпова Е.В.</t>
  </si>
  <si>
    <t>978-5-16-012218-2</t>
  </si>
  <si>
    <t>Рекомендовано УМС геологического факультета МГУ имени М.В. Ломоносова в качестве учебного пособия для студентов, обучающихся по направлению 05.03.01 «Геология»</t>
  </si>
  <si>
    <t>313300.08.01</t>
  </si>
  <si>
    <t>Стандартизация и контроль качества турист.услуг: Уч.пос./О.М.Пахомова-НИЦ ИНФРА-М,2024-135с(ВО:Бак.)</t>
  </si>
  <si>
    <t>СТАНДАРТИЗАЦИЯ И КОНТРОЛЬ КАЧЕСТВА ТУРИСТСКИХ УСЛУГ, ИЗД.1</t>
  </si>
  <si>
    <t>Пахомова О.М.</t>
  </si>
  <si>
    <t>978-5-16-010354-9</t>
  </si>
  <si>
    <t>Рекомендуется ФГБОУ ВПО «Российский государственный университет туризма и сервиса» в качестве учебного пособия к использованию в образовательных учреждениях ВО, реализующих образовательную программу высшего профессионального образования по направлению 43.03.02 «Туризм» (регистрационный номер 3056 от 17.06.2015 МГУП)</t>
  </si>
  <si>
    <t>Санкт-Петербургский национальный исследовательский Академический университет имени Ж.И. Алфёрова</t>
  </si>
  <si>
    <t>126300.15.01</t>
  </si>
  <si>
    <t>Стандартизация, метрология и подтвер...: Уч. / М.А.Николаева - 3 изд. - М.:НИЦ ИНФРА-М, ИД Форум,2026 - 297 с.(П)</t>
  </si>
  <si>
    <t>СТАНДАРТИЗАЦИЯ, МЕТРОЛОГИЯ И ПОДТВЕРЖДЕНИЕ СООТВЕТСТВИЯ, ИЗД.3</t>
  </si>
  <si>
    <t>978-5-16-014761-1</t>
  </si>
  <si>
    <t>24.02.02, 38.03.06, 38.03.07, 38.04.06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</si>
  <si>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38.03.06 «Торговое дело», 38.03.07 «Товароведение» (квалификация (степень) «бакалавр») (протокол № 18 от 25.11.2019)</t>
  </si>
  <si>
    <t>683126.04.01</t>
  </si>
  <si>
    <t>Стандартизация, метрология и подтверждение соответств.: Уч. / М.А.Николаева - 3 изд. - М.:НИЦ ИНФРА-М,2026 - 297 с.(П)</t>
  </si>
  <si>
    <t>978-5-16-017008-4</t>
  </si>
  <si>
    <t>11.02.16, 38.02.08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</si>
  <si>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экономическим специальностям (протокол № 12 от 14.12.2020)</t>
  </si>
  <si>
    <t>126300.07.01</t>
  </si>
  <si>
    <t>Стандартизация, метрология и подтверждение соответствия: уч. / М.А.Николаева, - 2-е изд.-М.:ИД Форум, НИЦ ИНФРА-М,2019.-352 с..-(Высш</t>
  </si>
  <si>
    <t>СТАНДАРТИЗАЦИЯ, МЕТРОЛОГИЯ И ПОДТВЕРЖДЕНИЕ СООТВЕТСТВИЯ, ИЗД.2</t>
  </si>
  <si>
    <t>Николаева М. А., Карташова Л. В.</t>
  </si>
  <si>
    <t>978-5-8199-0623-1</t>
  </si>
  <si>
    <t>Допущено Учебно-методическим объединением по образованию в области коммерции и маркетинга в качестве учебника  для студентов высших учебных заведений, обучающихся по специальности 080301 - Коммерция (торговое дело) и 080111 - Маркетинг</t>
  </si>
  <si>
    <t>452550.06.01</t>
  </si>
  <si>
    <t>Стандартизация, метрология и... Прак.: Уч.пос. / М.А.Николаева - 2 изд.-М.:НИЦ ИНФРА-М,2024.-115с(О)</t>
  </si>
  <si>
    <t>СТАНДАРТИЗАЦИЯ, МЕТРОЛОГИЯ И ПОДТВЕРЖДЕНИЕ СООТВЕТСТВИЯ. ПРАКТИУМ, ИЗД.2</t>
  </si>
  <si>
    <t>Николаева М.А., Карташова Л.В., Лебедева Т.П.</t>
  </si>
  <si>
    <t>978-5-16-019643-5</t>
  </si>
  <si>
    <t>27.03.01, 38.03.06, 38.03.07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</si>
  <si>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38.03.06 «Торговое дело», 38.03.07 «Товароведение» (квалификация (степень) «бакалавр») (протокол № 7 от 22.09.2021)</t>
  </si>
  <si>
    <t>317800.09.01</t>
  </si>
  <si>
    <t>Стандартизация, метрология, подтв. соотв.: Уч. / Б.П.Боларев, - 2 изд. - М.:НИЦ ИНФРА-М,2026. - 365 с.(П)(ВО)</t>
  </si>
  <si>
    <t>СТАНДАРТИЗАЦИЯ, МЕТРОЛОГИЯ, ПОДТВЕРЖДЕНИЕ СООТВЕТСТВИЯ, ИЗД.2</t>
  </si>
  <si>
    <t>Боларев Б.П.</t>
  </si>
  <si>
    <t>978-5-16-016022-1</t>
  </si>
  <si>
    <t>Допущен УМО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38.03.06 «Торговое дело»</t>
  </si>
  <si>
    <t>410600.09.01</t>
  </si>
  <si>
    <t>Стандартизация, метрология, подтв. соответствия: Уч.пос. / Б.П.Боларев - 3 изд. - М.:НИЦ ИНФРА-М,2025 - 239 с.(П)</t>
  </si>
  <si>
    <t>СТАНДАРТИЗАЦИЯ, МЕТРОЛОГИЯ, ПОДТВЕРЖДЕНИЕ СООТВЕТСТВИЯ, ИЗД.3</t>
  </si>
  <si>
    <t>978-5-16-015956-0</t>
  </si>
  <si>
    <t>27.03.01, 38.03.06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</si>
  <si>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38.03.06 «Торговое дело», 19.03.02 «Продукты питания из растительного сырья», 19.03.03 «Продукты питания животного происхождения» (квалификация (степень) «бакалавр») (протокол № 4 от 02.03.2020)</t>
  </si>
  <si>
    <t>410600.05.01</t>
  </si>
  <si>
    <t>Стандартизация, метрология, подтв. соответствия: Уч.пос. / Б.П.Боларев-М.:НИЦ ИНФРА-М,2019-219с.(П)</t>
  </si>
  <si>
    <t>978-5-16-009799-2</t>
  </si>
  <si>
    <t>317800.04.01</t>
  </si>
  <si>
    <t>Стандартизация, метрология, подтв.соотв.: Уч. / Б.П.Боларев-М.:НИЦ ИНФРА-М,2020-304с.(ВО:Бакалавр.)(п)</t>
  </si>
  <si>
    <t>СТАНДАРТИЗАЦИЯ, МЕТРОЛОГИЯ, ПОДТВЕРЖДЕНИЕ СООТВЕТСТВИЯ, ИЗД.1</t>
  </si>
  <si>
    <t>БоларевБ.П.</t>
  </si>
  <si>
    <t>978-5-16-010398-3</t>
  </si>
  <si>
    <t>Допущен УМО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38.03.06 (100700) «Торговое дело»</t>
  </si>
  <si>
    <t>703554.08.01</t>
  </si>
  <si>
    <t>Стандартизация, сертификация и упр. качест..: Уч.пос. / Т.Н.Ананьева. - М.:НИЦ ИНФРА-М,2026 - 232 с.(СПО)(П)</t>
  </si>
  <si>
    <t>СТАНДАРТИЗАЦИЯ, СЕРТИФИКАЦИЯ И УПРАВЛЕНИЕ КАЧЕСТВОМ ПРОГРАММНОГО ОБЕСПЕЧЕНИЯ, ИЗД.1</t>
  </si>
  <si>
    <t>Ананьева Т.Н., Новикова Н.Г., Исаев Г.Н.</t>
  </si>
  <si>
    <t>978-5-16-014887-8</t>
  </si>
  <si>
    <t>09.02.01, 09.02.02, 09.02.03, 09.02.04, 09.02.05, 09.02.06, 09.02.07</t>
  </si>
  <si>
    <t>482300.09.01</t>
  </si>
  <si>
    <t>Стандартизация, сертификация и управление..: Уч.пос. / Т.Н.Ананьева - М.:НИЦ ИНФРА-М,2026 - 232с.(ВО)(П)</t>
  </si>
  <si>
    <t>978-5-16-021472-6</t>
  </si>
  <si>
    <t>02.03.02, 09.03.01, 09.03.02, 09.03.03, 09.03.04, 38.03.05</t>
  </si>
  <si>
    <t>Рекомендовано в качестве учебного пособия для студентов высших учебным заведений, обучающихся по направлению подготовки 38.03.05 «Бизнес-информатика» (квалификация (степень) «бакалавр»)</t>
  </si>
  <si>
    <t>452550.03.01</t>
  </si>
  <si>
    <t>Стандартизация,метрология и...:Уч.пос.Практ./ М.А.Николаева-М.:ИД ФОРУМ,НИЦ ИНФРА-М,2017-64с.(ВО)(О)</t>
  </si>
  <si>
    <t>СТАНДАРТИЗАЦИЯ, МЕТРОЛОГИЯ И ПОДТВЕРЖДЕНИЕ СООТВЕТСТВИЯ, ИЗД.1</t>
  </si>
  <si>
    <t>978-5-8199-0570-8</t>
  </si>
  <si>
    <t>Допущено Учебно-методическим объединением по образованию в области коммерции и маркетинга в качестве учебного пособия для студентов высших учебных заведений, обучающихся по специальностям 080301 «Коммерция» и 080111 «Маркетинг»</t>
  </si>
  <si>
    <t>778189.05.01</t>
  </si>
  <si>
    <t>Стандарты аудита ислам. финанс. учр. и Кодекс этики ...: Уч.пос. / Ф.И.Харисова - М.:НИЦ ИНФРА-М,2027 - 217 с.(п)</t>
  </si>
  <si>
    <t>СТАНДАРТЫ АУДИТА ИСЛАМСКИХ ФИНАНСОВЫХ УЧРЕЖДЕНИЙ И КОДЕКС ЭТИКИ ДЛЯ СПЕЦИАЛИСТОВ ПО ИСЛАМСКИМ ФИНАНСАМ (ААОИФИ - AAOIFI), ИЗД.1</t>
  </si>
  <si>
    <t>Харисова Ф.И., Дерзаева Г.Г., Харисов И.К. и др.</t>
  </si>
  <si>
    <t>978-5-16-017779-3</t>
  </si>
  <si>
    <t>459050.05.01</t>
  </si>
  <si>
    <t>Стандарты и качество продукции: Уч.- практ. пос. / Ю.Н. Берновский -М.: Форум,НИЦ ИНФРА-М,2023-256с.(ВО(о)</t>
  </si>
  <si>
    <t>СТАНДАРТЫ И КАЧЕСТВО ПРОДУКЦИИ, ИЗД.1</t>
  </si>
  <si>
    <t>Берновский Ю. Н.</t>
  </si>
  <si>
    <t>978-5-91134-838-0</t>
  </si>
  <si>
    <t>27.03.01</t>
  </si>
  <si>
    <t>Рекомендовано кафедрой «Стандартизация, метрология и сертификация» Московского государственного технического университета (МЛМИ) в качестве учебно-практического пособия для студентов высших учебных заведений, обучающихся по специальности «Стандартизация, метрология и сертификация»</t>
  </si>
  <si>
    <t>450810.0130.01</t>
  </si>
  <si>
    <t>Стандарты и мониторинг в образовании, 2023, № 6</t>
  </si>
  <si>
    <t>СТАНДАРТЫ И МОНИТОРИНГ В ОБРАЗОВАНИИ, 2023, № 6, ИЗД.</t>
  </si>
  <si>
    <t>450810.0145.01</t>
  </si>
  <si>
    <t>Стандарты и мониторинг в образовании, 2026, № 3</t>
  </si>
  <si>
    <t>СТАНДАРТЫ И МОНИТОРИНГ В ОБРАЗОВАНИИ, 2026, № 3, ИЗД.1</t>
  </si>
  <si>
    <t>684713.05.01</t>
  </si>
  <si>
    <t>Стандарты информац. безоп. Защита и обраб...: Уч.пос. / Ю.Н.Сычев - 2 изд - М.:НИЦ ИНФРА-М,2026 - 602 с.(ВО)(п)</t>
  </si>
  <si>
    <t>СТАНДАРТЫ ИНФОРМАЦИОННОЙ БЕЗОПАСНОСТИ. ЗАЩИТА И ОБРАБОТКА КОНФИДЕНЦИАЛЬНЫХ ДОКУМЕНТОВ, ИЗД.2</t>
  </si>
  <si>
    <t>978-5-16-019904-7</t>
  </si>
  <si>
    <t>10.03.01, 10.04.01, 10.05.01, 10.05.02, 10.05.03, 10.05.04, 10.05.05</t>
  </si>
  <si>
    <t>721001.04.01</t>
  </si>
  <si>
    <t>Стандарты информац. безоп. Защита и обработка...: Уч.пос. / Ю.Н.Сычев, - 2 изд.-М.:НИЦ ИНФРА-М,2024.-602 с.(п)</t>
  </si>
  <si>
    <t>978-5-16-018253-7</t>
  </si>
  <si>
    <t>10.02.01, 10.02.02, 10.02.03, 10.02.04, 10.02.05, 51.02.03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</si>
  <si>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10.02.00 «Информационная безопасность» (протокол № 12 от 24.06.2019)</t>
  </si>
  <si>
    <t>745641.04.01</t>
  </si>
  <si>
    <t>Стандарты информац. безоп. Защита...: Уч.пос. / Ю.Н.Сычев, - 2 изд.-М.:НИЦ ИНФРА-М,2024.-602 с.(ВО)(п)</t>
  </si>
  <si>
    <t>978-5-16-019905-4</t>
  </si>
  <si>
    <t>721001.05.01</t>
  </si>
  <si>
    <t>Стандарты информац. безопас. Защита и обработка..: Уч.пос. / Ю.Н.Сычев - М.:НИЦ ИНФРА-М,2023 - 223 с.(П)</t>
  </si>
  <si>
    <t>СТАНДАРТЫ ИНФОРМАЦИОННОЙ БЕЗОПАСНОСТИ. ЗАЩИТА И ОБРАБОТКА КОНФИДЕНЦИАЛЬНЫХ ДОКУМЕНТОВ, ИЗД.1</t>
  </si>
  <si>
    <t>978-5-16-015718-4</t>
  </si>
  <si>
    <t>684713.03.01</t>
  </si>
  <si>
    <t>Стандарты информационной безопасности...: Уч.пос. / Ю.Н.Сычев - М.:НИЦ ИНФРА-М,2023 - 223 с.-(П)</t>
  </si>
  <si>
    <t>978-5-16-014397-2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</si>
  <si>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10.03.00 «Информационная безопасность» (протокол № 7 от 15.04.2019)</t>
  </si>
  <si>
    <t>745641.03.01</t>
  </si>
  <si>
    <t>Стандарты информационной безопасности...: Уч.пос. / Ю.Н.Сычев - М.:НИЦ ИНФРА-М,2024 - 223 с.(П)</t>
  </si>
  <si>
    <t>978-5-16-016533-2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</si>
  <si>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10.05.00 «Информационная безопасность» (протокол № 8 от 22.06.2020)</t>
  </si>
  <si>
    <t>329200.07.01</t>
  </si>
  <si>
    <t>Стандарты качества проведения экскурсий: Уч.пос. / Л.В.Баумгартен - М.:Вуз. уч.,НИЦ ИНФРА-М,2026 - 96 с.(О)</t>
  </si>
  <si>
    <t>СТАНДАРТЫ КАЧЕСТВА ПРОВЕДЕНИЯ ЭКСКУРСИЙ, ИЗД.1</t>
  </si>
  <si>
    <t>978-5-9558-0412-5</t>
  </si>
  <si>
    <t>43.03.01, 43.03.02, 49.03.03</t>
  </si>
  <si>
    <t>169550.06.01</t>
  </si>
  <si>
    <t>Становление гос. Древнего Новгорода.: Моногр. / М.В.Амосов - 2 изд. - М.:ИЦ РИОР,НИЦ ИНФРА-М,2025 - 204 с.(о)</t>
  </si>
  <si>
    <t>СТАНОВЛЕНИЕ ГОСУДАРСТВЕННОСТИ ДРЕВНЕГО НОВГОРОДА И МОНУМЕНТАЛЬНОГО ЗОДЧЕСТВА, ИЗД.2</t>
  </si>
  <si>
    <t>Амосов М.В.</t>
  </si>
  <si>
    <t>978-5-369-01141-6</t>
  </si>
  <si>
    <t>07.03.01, 07.03.03, 07.04.01, 07.04.03, 44.03.01, 44.03.05, 46.03.01, 46.03.02, 46.04.01, 46.04.02, 51.03.04, 51.04.04, 54.03.04, 54.04.04</t>
  </si>
  <si>
    <t>Театр Классического Балета Наталии Касаткиной и Владимира Василёва</t>
  </si>
  <si>
    <t>301400.09.01</t>
  </si>
  <si>
    <t>Становление информационного общества в России...: Уч. пос. / Г.В.Осипов - Норма: ИНФРА-М, 2026-304с.(п)</t>
  </si>
  <si>
    <t>СТАНОВЛЕНИЕ ИНФОРМАЦИОННОГО ОБЩЕСТВА В РОССИИ И ЗА РУБЕЖОМ, ИЗД.1</t>
  </si>
  <si>
    <t>Осипов Г.В., Лисичкин В.А., Вирин М.М. и др.</t>
  </si>
  <si>
    <t>978-5-91768-534-2</t>
  </si>
  <si>
    <t>38.03.01, 38.03.02, 38.03.03, 38.03.04, 38.03.05, 38.03.06, 38.03.07, 38.04.01, 38.04.02, 38.04.03, 38.04.04, 38.04.05, 38.04.06, 38.04.07, 38.05.01, 38.05.02, 46.03.02</t>
  </si>
  <si>
    <t>399300.07.01</t>
  </si>
  <si>
    <t>Становление экол.культуры и разв.ребенка..: Моногр. / С.Н.Николаева - НИЦ ИНФРА-М,2026 - 198с.(Науч.мысль)(о)</t>
  </si>
  <si>
    <t>СТАНОВЛЕНИЕ ЭКОЛОГИЧЕСКОЙ КУЛЬТУРЫ И РАЗВИТИЕ РЕБЕНКА СТАРШЕГО ДОШКОЛЬНОГО ВОЗРАСТА, ИЗД.1</t>
  </si>
  <si>
    <t>НиколаеваС.Н.</t>
  </si>
  <si>
    <t>978-5-16-011279-4</t>
  </si>
  <si>
    <t>397800.08.01</t>
  </si>
  <si>
    <t>Станочные приспособления: Уч. / В.В.Клепиков - М.:Форум, НИЦ ИНФРА-М,2025 - 319 с.(ВО:Бакалавр.)(П)</t>
  </si>
  <si>
    <t>СТАНОЧНЫЕ ПРИСПОСОБЛЕНИЯ, ИЗД.1</t>
  </si>
  <si>
    <t>978-5-00091-672-8</t>
  </si>
  <si>
    <t>15.03.01, 15.03.02, 15.03.03, 15.03.04, 15.03.05, 15.04.01, 15.04.04, 15.04.05</t>
  </si>
  <si>
    <t>Допущено Учебно-методическим объединением вузов по образованию в области автоматизированного машиностроения (УМОАМ) в качестве учебника для студентов высших учебных заведений, обучающихся по направлениям подготовки 15.03.05 «Конструкторско-технологическое обеспечение машиностроительных производств», 15.03.04 «Автоматизация технологических процессов и производств»</t>
  </si>
  <si>
    <t>684801.07.01</t>
  </si>
  <si>
    <t>Станочные приспособления: Уч. / В.В.Клепиков и др. - М.:Форум, НИЦ ИНФРА-М,2026 - 319 с.(СПО)(П)</t>
  </si>
  <si>
    <t>978-5-00091-583-7</t>
  </si>
  <si>
    <t>15.02.04, 15.02.07, 15.02.16, 15.02.18, 27.02.01, 27.02.02, 27.02.07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</si>
  <si>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15.02.08 «Технология машиностроения», 15.02.07 «Автоматизация технологических процессов и производств (по отраслям)»</t>
  </si>
  <si>
    <t>801387.04.01</t>
  </si>
  <si>
    <t>Старообрядцы в России: ист. и совр., экономика...: Моногр. / В.П.Столбов - М.:НИЦ ИНФРА-М,2026. - 212 с.(п)</t>
  </si>
  <si>
    <t>СТАРООБРЯДЦЫ В РОССИИ: ИСТОРИЯ И СОВРЕМЕННОСТЬ, ЭКОНОМИКА, ЭТИКА, СОЦИАЛЬНАЯ БЛАГОТВОРИТЕЛЬНОСТЬ, ИЗД.1</t>
  </si>
  <si>
    <t>Столбов В.П.</t>
  </si>
  <si>
    <t>978-5-16-018695-5</t>
  </si>
  <si>
    <t>38.04.01, 38.06.01, 46.04.01</t>
  </si>
  <si>
    <t>777260.04.01</t>
  </si>
  <si>
    <t>Старославянский язык: Уч.пос. / Е.Н.Соколова - М.:НИЦ ИНФРА-М,2027. - 189 с.(ВО)(п)</t>
  </si>
  <si>
    <t>СТАРОСЛАВЯНСКИЙ ЯЗЫК, ИЗД.1</t>
  </si>
  <si>
    <t>Соколова Е.Н., Ушакова А.П.</t>
  </si>
  <si>
    <t>978-5-16-017720-5</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</si>
  <si>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45.03.01 «Филология»</t>
  </si>
  <si>
    <t>344400.06.01</t>
  </si>
  <si>
    <t>Статистика в примерах и задачах: Уч.пос. / В.И.Бережной - 2 изд. - М.:НИЦ ИНФРА-М,2026. - 290 с.(ВО)(п)</t>
  </si>
  <si>
    <t>СТАТИСТИКА В ПРИМЕРАХ И ЗАДАЧАХ, ИЗД.2</t>
  </si>
  <si>
    <t>Бережная Е.В., Бережная О.В., Бережной В.И.</t>
  </si>
  <si>
    <t>978-5-16-018154-7</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</si>
  <si>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Регистрационный номер рецензии 021 от 29 января 2015 г. (ФГАУ ФИРО)</t>
  </si>
  <si>
    <t>344400.03.01</t>
  </si>
  <si>
    <t>Статистика в примерах и задачах:Уч.пос./В.И.Бережной-М.:НИЦ ИНФРА-М,2023-288с.(ВО:Бакалавриат)(П)</t>
  </si>
  <si>
    <t>СТАТИСТИКА В ПРИМЕРАХ И ЗАДАЧАХ, ИЗД.1</t>
  </si>
  <si>
    <t>Бережной В.И., Бигдай О.Б., Бережная О.В., Киселева О.А.</t>
  </si>
  <si>
    <t>978-5-16-010785-1</t>
  </si>
  <si>
    <t>636188.03.01</t>
  </si>
  <si>
    <t>Статистика в управлении соц.-эконом.процессами: Уч.пос. / О.А.Гужова-М.:НИЦ ИНФРА-М,2024-172с(ВО)(о)</t>
  </si>
  <si>
    <t>СТАТИСТИКА В УПРАВЛЕНИИ СОЦИАЛЬНО-ЭКОНОМИЧЕСКИМИ ПРОЦЕССАМИ, ИЗД.1</t>
  </si>
  <si>
    <t>Гужова О.А., Токарев Ю.А.</t>
  </si>
  <si>
    <t>978-5-16-012151-2</t>
  </si>
  <si>
    <t>Рекомендовано в качестве учебного пособия для студентов высших учебных заведений, обучающихся по направлениям подготовки 38.03.01 «Экономика», 38.03.02 «Мереджмент», 38.03.03 «Управление персоналом» (квалификация (степень) «бакалавр»)</t>
  </si>
  <si>
    <t>474450.05.01</t>
  </si>
  <si>
    <t>Статистика природопользования: Уч.пос. / Л.И. Егоренков - М.:Форум:НИЦ ИНФРА-М, 2025 - 176 с.(ВО) (о)</t>
  </si>
  <si>
    <t>СТАТИСТИКА ПРИРОДОПОЛЬЗОВАНИЯ, ИЗД.1</t>
  </si>
  <si>
    <t>978-5-91134-949-3</t>
  </si>
  <si>
    <t>Рекомендовано в качестве учебного пособия для студентов и бакалавров высших учебных заведений, обучающихся по направлению подготовки 02200.62 «Экология и природопользование»</t>
  </si>
  <si>
    <t>689284.04.01</t>
  </si>
  <si>
    <t>Статистика природопользования: Уч.пос. / Л.И.Егоренков - М.:Форум, НИЦ ИНФРА-М,2025. - 174 с.(СПО)(П)</t>
  </si>
  <si>
    <t>978-5-00091-617-9</t>
  </si>
  <si>
    <t>05.02.02, 05.02.03, 20.02.01, 20.02.03, 20.02.04, 38.02.01, 38.02.02, 38.02.08</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</si>
  <si>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05.02.00 «Науки о Земле»</t>
  </si>
  <si>
    <t>711186.03.01</t>
  </si>
  <si>
    <t>Статистика туризма: Уч.пос. / А.В.Панова - М.:НИЦ ИНФРА-М,2027 - 248 с.-(СПО)(П)</t>
  </si>
  <si>
    <t>СТАТИСТИКА ТУРИЗМА, ИЗД.1</t>
  </si>
  <si>
    <t>Панова А.В.</t>
  </si>
  <si>
    <t>978-5-16-015326-1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</si>
  <si>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43.02.14 «Гостиничное дело» (протокол № 5 от 11.03.2019)</t>
  </si>
  <si>
    <t>276000.14.01</t>
  </si>
  <si>
    <t>Статистика туризма: Уч.пос. / А.В.Панова, - 2 изд. - М.:НИЦ ИНФРА-М,2027. - 287 с.(ВО)(П)</t>
  </si>
  <si>
    <t>СТАТИСТИКА ТУРИЗМА, ИЗД.2</t>
  </si>
  <si>
    <t>978-5-16-015481-7</t>
  </si>
  <si>
    <t>43.03.02, 43.03.03, 43.04.02, 43.04.03, 49.03.03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</si>
  <si>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43.03.02 «Туризм», 43.03.03 «Гостиничное дело» (квалификация (степень) «бакалавр») (протокол № 7 от 08.06.2020)</t>
  </si>
  <si>
    <t>276000.05.01</t>
  </si>
  <si>
    <t>Статистика туризма: Уч.пос. / А.В.Панова-М.:НИЦ ИНФРА-М,2020.-248 с..-(ВО: Бакалавриат)(П)</t>
  </si>
  <si>
    <t>978-5-16-011796-6</t>
  </si>
  <si>
    <t>455550.07.01</t>
  </si>
  <si>
    <t>Статистика финансов: Уч. пос. / Е.А.Саблина - М.:НИЦ ИНФРА-М,2026. - 288 с.(ВО: Бакалавриат)(п)</t>
  </si>
  <si>
    <t>СТАТИСТИКА ФИНАНСОВ, ИЗД.1</t>
  </si>
  <si>
    <t>Саблина Е. А.</t>
  </si>
  <si>
    <t>978-5-16-009092-4</t>
  </si>
  <si>
    <t>Рекомендовано Учебно-методическим объединением по образованию в области статистики и математических методов в экономике в качестве учебного пособия для студентов высших учебных заведений, обучающихся по направлению «Экономика»</t>
  </si>
  <si>
    <t>112190.13.01</t>
  </si>
  <si>
    <t>Статистика. Краткий курс лекций..: Уч.пос. / Е.М.Мусина - 2 изд. - М.:Форум, НИЦ ИНФРА-М,2024. - 72 с.(СПО)(О)</t>
  </si>
  <si>
    <t>СТАТИСТИКА. КРАТКИЙ КУРС ЛЕКЦИЙ И ТЕСТОВЫЕ ЗАДАНИЯ, ИЗД.2</t>
  </si>
  <si>
    <t>Мусина Е.М.</t>
  </si>
  <si>
    <t>978-5-00091-747-3</t>
  </si>
  <si>
    <t>842470.01.01</t>
  </si>
  <si>
    <t>Статистика: Уч. / В.В.Глинский - 5 изд. - М.:НИЦ ИНФРА-М,2025. - 372 с.(СПО)(п)</t>
  </si>
  <si>
    <t>СТАТИСТИКА, ИЗД.5</t>
  </si>
  <si>
    <t>Глинский В.В., Серга Л.К., Ионин В.Г. и др.</t>
  </si>
  <si>
    <t>978-5-16-020348-5</t>
  </si>
  <si>
    <t>38.02.03, 38.02.06</t>
  </si>
  <si>
    <t>027380.16.01</t>
  </si>
  <si>
    <t>Статистика: Уч. / В.В.Глинский - 5 изд. - М.:НИЦ ИНФРА-М,2026. - 372 с.(ВО: Бакалавриат)(п)</t>
  </si>
  <si>
    <t>978-5-16-018343-5</t>
  </si>
  <si>
    <t>Допущено Учебно-методическим объединением по образованию в области учреждений высшего образования в качестве учебника для студентов, обучающихся по экономическим специальностям и направлениям «Статистика», «Экономика» и «Менеджмент»</t>
  </si>
  <si>
    <t>758831.01.01</t>
  </si>
  <si>
    <t>Статистика: Уч. / В.Н.Едронова-М.:НИЦ ИНФРА-М,2024.-231 с.(ВО: Бакалавриат)(П)</t>
  </si>
  <si>
    <t>СТАТИСТИКА, ИЗД.1</t>
  </si>
  <si>
    <t>Едронова В.Н.</t>
  </si>
  <si>
    <t>978-5-16-017050-3</t>
  </si>
  <si>
    <t>00.03.13, 38.03.01, 38.03.02</t>
  </si>
  <si>
    <t>072660.18.01</t>
  </si>
  <si>
    <t>Статистика: Уч. / И.И.Сергеева - 2 изд. - М.:ИД ФОРУМ,НИЦ ИНФРА-М,2024 - 304 с.-(СПО)(П)</t>
  </si>
  <si>
    <t>СТАТИСТИКА, ИЗД.2</t>
  </si>
  <si>
    <t>Сергеева И. И., Чекулина Т. А., Тимофеева С. А.</t>
  </si>
  <si>
    <t>978-5-8199-0888-4</t>
  </si>
  <si>
    <t>31.02.01, 51.02.03</t>
  </si>
  <si>
    <t>027380.15.01</t>
  </si>
  <si>
    <t>Статистика: Уч. / Под ред. Ионина В.Г. - 4 изд. - М.:НИЦ ИНФРА-М,2023 - 355 с.(ВО: Бакалавр.)(П)</t>
  </si>
  <si>
    <t>СТАТИСТИКА, ИЗД.4</t>
  </si>
  <si>
    <t>Глинский В.В., Ионин В.Г., Серга Л.К. и др.</t>
  </si>
  <si>
    <t>978-5-16-012070-6</t>
  </si>
  <si>
    <t>176400.07.01</t>
  </si>
  <si>
    <t>Статистика: Уч. пос. / О.А.Шумак - М.:ИЦ РИОР, НИЦ ИНФРА-М,2025 - 311 с.(ВО: Бакалавр.)(п)</t>
  </si>
  <si>
    <t>Шумак О. А., Гераськин А. В.</t>
  </si>
  <si>
    <t>978-5-369-01048-8</t>
  </si>
  <si>
    <t>Рекомендовано Министерством образования РФ в качестве учебника для студентов высших учебных заведений, обучающихся по экономическим специальностям</t>
  </si>
  <si>
    <t>141800.05.01</t>
  </si>
  <si>
    <t>Статистика: Уч. пос. / Ю.С. Ивченко. - М.: ИЦ РИОР:  ИНФРА-М, 2020. - 375 с. (ВО) (п)</t>
  </si>
  <si>
    <t>Ивченко Ю. С.</t>
  </si>
  <si>
    <t>978-5-369-00636-8</t>
  </si>
  <si>
    <t>38.03.01, 38.03.03, 38.03.04, 38.04.01, 41.03.06</t>
  </si>
  <si>
    <t>175800.10.01</t>
  </si>
  <si>
    <t>Статистика: Уч.пос. / Е.В.Иода - М.:Вуз. уч., НИЦ ИНФРА-М,2025 - 303 с.(П)</t>
  </si>
  <si>
    <t>Иода Е. В.</t>
  </si>
  <si>
    <t>978-5-9558-0144-5</t>
  </si>
  <si>
    <t>38.03.01, 38.03.02, 38.03.03, 38.03.04, 38.04.01, 41.03.06</t>
  </si>
  <si>
    <t>085170.10.01</t>
  </si>
  <si>
    <t>Статистика: Уч.пос. / М.Г.Сидоренко - М.:Форум,2026. - 160 с.(о)(Проф.обр.)</t>
  </si>
  <si>
    <t>Сидоренко М. Г.</t>
  </si>
  <si>
    <t>978-5-91134-160-2</t>
  </si>
  <si>
    <t>31.02.03, 38.02.01, 38.02.02, 38.02.03, 38.02.06, 38.02.07, 38.02.08, 39.02.01, 40.02.04</t>
  </si>
  <si>
    <t>Допущено Мин. обр. и науки РФ в качестве учебного пособия для студентов учреждений среднего профессионального образования, обучаюищхся по экономическим специальностям</t>
  </si>
  <si>
    <t>223800.06.01</t>
  </si>
  <si>
    <t>Статистическая метод. в системе..: Уч. / Под ред. Едроновой В.Н. - М.:Магистр, НИЦ ИНФРА-М,2022-464с(П)</t>
  </si>
  <si>
    <t>СТАТИСТИЧЕСКАЯ МЕТОДОЛОГИЯ В СИСТЕМЕ НАУЧНЫХ МЕТОДОВ ФИНАНСОВЫХ И ЭКОНОМИЧЕСКИХ ИССЛЕДОВАНИЙ, ИЗД.1</t>
  </si>
  <si>
    <t>Едронова В. Н., Овчаров А. О., Едронова В. Н.</t>
  </si>
  <si>
    <t>978-5-9776-0283-9</t>
  </si>
  <si>
    <t>165750.10.01</t>
  </si>
  <si>
    <t>Статистическая обработка данных в учеб.-исслед. раб.: Уч.пос. / П.А.Волкова - М.:НИЦ ИНФРА-М,2026. - 96 с.(о)</t>
  </si>
  <si>
    <t>СТАТИСТИЧЕСКАЯ ОБРАБОТКА ДАННЫХ В УЧЕБНО-ИССЛЕДОВАТЕЛЬСКИХ РАБОТАХ, ИЗД.1</t>
  </si>
  <si>
    <t>Волкова П.А., Шипунов А.Б.</t>
  </si>
  <si>
    <t>978-5-16-021739-0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</si>
  <si>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(протокол № 6 от 25.03.2019)</t>
  </si>
  <si>
    <t>633745.04.01</t>
  </si>
  <si>
    <t>Статистические методы анализа дан.: Уч. /Под ред. Ниворожкиной Л.И.-М.:ИЦ РИОР,НИЦ ИНФРА-М,2023-333с</t>
  </si>
  <si>
    <t>СТАТИСТИЧЕСКИЕ МЕТОДЫ АНАЛИЗА ДАННЫХ, ИЗД.1</t>
  </si>
  <si>
    <t>Ниворожкина Л.И., Арженовский С.В., Рудяга А.А. и др.</t>
  </si>
  <si>
    <t>978-5-369-01612-1</t>
  </si>
  <si>
    <t>38.03.01, 38.03.03, 38.03.04, 41.03.06</t>
  </si>
  <si>
    <t>871282.01.01</t>
  </si>
  <si>
    <t>Статистические методы контроля и управ. качеством: Уч. / В.М.Клевлеев - М.:НИЦ ИНФРА-М,2026. - 547 с.(ВО)(п)</t>
  </si>
  <si>
    <t>СТАТИСТИЧЕСКИЕ МЕТОДЫ КОНТРОЛЯ И УПРАВЛЕНИЯ КАЧЕСТВОМ, ИЗД.1</t>
  </si>
  <si>
    <t>Клевлеев В.М., Кузнецова И.А.</t>
  </si>
  <si>
    <t>978-5-16-021975-2</t>
  </si>
  <si>
    <t>01.04.02, 14.03.02, 20.03.01, 20.03.02, 20.04.01, 21.05.06, 24.03.04, 25.03.01, 25.04.01, 25.05.05, 26.05.02, 27.03.01, 27.04.03, 27.04.05, 27.04.07, 27.04.08, 28.03.02, 29.03.03, 43.04.01</t>
  </si>
  <si>
    <t>364200.08.01</t>
  </si>
  <si>
    <t>Статистические методы обработки эксперимент.дан.с исп.: Уч.пос. / Ф.И.Карманов - КУРС,НИЦ ИНФРА-М,2025 - 208 с.(о)</t>
  </si>
  <si>
    <t>СТАТИСТИЧЕСКИЕ МЕТОДЫ ОБРАБОТКИ ЭКСПЕРИМЕНТАЛЬНЫХ ДАННЫХ С ИСПОЛЬЗОВАНИЕМ ПАКЕТА MATHCAD, ИЗД.1</t>
  </si>
  <si>
    <t>Ф.И.Карманов, В.А.Острейковский</t>
  </si>
  <si>
    <t>978-5-905554-96-4</t>
  </si>
  <si>
    <t>01.03.02, 01.04.02, 02.03.02, 02.04.02, 03.03.02, 09.03.01, 09.03.03, 09.04.01, 09.04.03</t>
  </si>
  <si>
    <t>Рекомендовано УМО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09.03.01 (230100) «Информатика и вычислительная техника», направлениям и специальн</t>
  </si>
  <si>
    <t>160850.16.01</t>
  </si>
  <si>
    <t>Статистический анализ данных в MS Excel: Уч.пос. / А.Ю.Козлов - М.:НИЦ ИНФРА-М,2026 - 320 с.(ВО)(П)</t>
  </si>
  <si>
    <t>СТАТИСТИЧЕСКИЙ АНАЛИЗ ДАННЫХ В MS EXCEL, ИЗД.1</t>
  </si>
  <si>
    <t>Козлов А.Ю., Мхитарян В.С., Шишов В.Ф.</t>
  </si>
  <si>
    <t>978-5-16-022099-4</t>
  </si>
  <si>
    <t>Рекомендовано УМО по образованию в области статистики в качестве учебного пособия для студентов высших учебных заведений, обучающихся по экономическим специальностям</t>
  </si>
  <si>
    <t>700866.03.01</t>
  </si>
  <si>
    <t>Стилевые проявления при обуч.  в усл. информ и цифровизации... / Г.А.Никулова - М.:НИЦ ИНФРА-М,2026 - 173 с.(П)</t>
  </si>
  <si>
    <t>СТИЛЕВЫЕ ПРОЯВЛЕНИЯ ПРИ ОБУЧЕНИИ  В УСЛОВИЯХ ИНФОРМАТИЗАЦИИ И ЦИФРОВИЗАЦИИ ОБРАЗОВАНИЯ, ИЗД.1</t>
  </si>
  <si>
    <t>Никулова Г.А., Боброва Л.Н.</t>
  </si>
  <si>
    <t>978-5-16-014837-3</t>
  </si>
  <si>
    <t>412950.08.01</t>
  </si>
  <si>
    <t>Стилистика и культура русской речи: Уч. /Т.Я.Анохина - М.: Форум: НИЦ ИНФРА-М, 2027 - 320 с.(ВО) (п)</t>
  </si>
  <si>
    <t>СТИЛИСТИКА И КУЛЬТУРА РУССКОЙ РЕЧИ, ИЗД.1</t>
  </si>
  <si>
    <t>Анохина Т. Я., Гонтарева О. П., Дашевская Е. И., Змазнева О. А., Анохина Т. Я.</t>
  </si>
  <si>
    <t>978-5-91134-717-8</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</si>
  <si>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университет печати имени Ивана Федорова» в качестве учебника для студентов высших учебных заведений, обучающихся по нефилологическим специальностям</t>
  </si>
  <si>
    <t>842943.02.01</t>
  </si>
  <si>
    <t>Стилистика служебных документов: Уч.пос. / Т.Н.Зайцева - М.:НИЦ ИНФРА-М,2026. - 254 с.(СПО)(п)</t>
  </si>
  <si>
    <t>СТИЛИСТИКА СЛУЖЕБНЫХ ДОКУМЕНТОВ, ИЗД.1</t>
  </si>
  <si>
    <t>Зайцева Т.Н., Ковина Т.П.</t>
  </si>
  <si>
    <t>978-5-16-020369-0</t>
  </si>
  <si>
    <t>10.02.01, 46.01.01, 51.02.03</t>
  </si>
  <si>
    <t>800894.03.01</t>
  </si>
  <si>
    <t>Стилистика служебных документов: Уч.пос. / Т.Н.Зайцева - М.:НИЦ ИНФРА-М,2027. - 254 с.(ВО (СТАНКИН))(п)</t>
  </si>
  <si>
    <t>978-5-16-019292-5</t>
  </si>
  <si>
    <t>681636.04.01</t>
  </si>
  <si>
    <t>Стимулирование перехода к низкоуглеродной экономике: Моногр./ И.С.Белик-М.:НИЦ ИНФРА-М,2024-104с(О)</t>
  </si>
  <si>
    <t>СТИМУЛИРОВАНИЕ ПЕРЕХОДА К НИЗКОУГЛЕРОДНОЙ ЭКОНОМИКЕ, ИЗД.1</t>
  </si>
  <si>
    <t>Белик И.С., Стародубец Н.В., Майорова Т.В. и др.</t>
  </si>
  <si>
    <t>978-5-16-013789-6</t>
  </si>
  <si>
    <t>454950.08.01</t>
  </si>
  <si>
    <t>Стимулирование продаж: принципы, методы, оценка: Уч. пос. / О.А.Шальнова - ИНФРА-М, 2026 - 107с.(ВО) (о)</t>
  </si>
  <si>
    <t>СТИМУЛИРОВАНИЕ ПРОДАЖ: ПРИНЦИПЫ, МЕТОДЫ, ОЦЕНКА, ИЗД.1</t>
  </si>
  <si>
    <t>Шальнова О. А.</t>
  </si>
  <si>
    <t>978-5-16-009345-1</t>
  </si>
  <si>
    <t>Допущено Учебно-методическим объединением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100700-62 — «Торговое дело" 1 по специал</t>
  </si>
  <si>
    <t>776813.01.01</t>
  </si>
  <si>
    <t>Стихотворение-каталог в немецкоязычной поэзии: Моногр. / Т.Н.Андреюшкина-М.:НИЦ ИНФРА-М,2022.-144 с.(О)</t>
  </si>
  <si>
    <t>СТИХОТВОРЕНИЕ-КАТАЛОГ В НЕМЕЦКОЯЗЫЧНОЙ ПОЭЗИИ XX ВЕКА, ИЗД.1</t>
  </si>
  <si>
    <t>Андреюшкина Т.Н.</t>
  </si>
  <si>
    <t>978-5-16-017703-8</t>
  </si>
  <si>
    <t>45.03.01, 45.06.01</t>
  </si>
  <si>
    <t>694769.05.01</t>
  </si>
  <si>
    <t>Стихотворный текст: междисциплин. интерпр.: Моногр. / Л.Н.Синельникова - М:НИЦ ИНФРА-М,2026 - 267 с.(о)</t>
  </si>
  <si>
    <t>СТИХОТВОРНЫЙ ТЕКСТ: МЕЖДИСЦИПЛИНАРНАЯ ИНТЕРПРЕТАЦИЯ, ИЗД.1</t>
  </si>
  <si>
    <t>Синельникова Л.Н.</t>
  </si>
  <si>
    <t>978-5-16-018909-3</t>
  </si>
  <si>
    <t>694769.03.01</t>
  </si>
  <si>
    <t>Стихотворный текст: междисциплин. интерпр.: Моногр. / Л.Н.Синельникова -М:НИЦ ИНФРА-М,2023-267с(П)</t>
  </si>
  <si>
    <t>978-5-16-014576-1</t>
  </si>
  <si>
    <t>813937.02.01</t>
  </si>
  <si>
    <t>Сто знаменитых дефектологов: биографиче. сл. / Т.А.Соловьева. - М.:НИЦ ИНФРА-М,2025. - 292 с [12+](п)</t>
  </si>
  <si>
    <t>СТО ЗНАМЕНИТЫХ ДЕФЕКТОЛОГОВ, ИЗД.1</t>
  </si>
  <si>
    <t>Соловьева Т.А., Коробейников И.А., Тимофеев М.А. и др.</t>
  </si>
  <si>
    <t>978-5-16-019320-5</t>
  </si>
  <si>
    <t>Биографический словарь</t>
  </si>
  <si>
    <t>431100.09.01</t>
  </si>
  <si>
    <t>Страдание и его роль в культуре: Моногр. / Ю.М. Антонян. - М.: Норма: НИЦ Инфра-М, 2026. - 224 с. (о)</t>
  </si>
  <si>
    <t>СТРАДАНИЕ И ЕГО РОЛЬ В КУЛЬТУРЕ, ИЗД.1</t>
  </si>
  <si>
    <t>Антонян Ю. М.</t>
  </si>
  <si>
    <t>978-5-91768-356-0</t>
  </si>
  <si>
    <t>47.03.01, 47.04.01, 51.04.01</t>
  </si>
  <si>
    <t>208400.12.01</t>
  </si>
  <si>
    <t>Страна своя и чужая: идея патриотизма.: Моногр. / С.Г.Воркачев - М.:НИЦ ИНФРА-М,2026 - 151 с.(Науч.мысль)(о)</t>
  </si>
  <si>
    <t>СТРАНА СВОЯ И ЧУЖАЯ: ИДЕЯ ПАТРИОТИЗМА В ЛИНГВОКУЛЬТУРЕ, ИЗД.1</t>
  </si>
  <si>
    <t>Воркачев С. Г.</t>
  </si>
  <si>
    <t>978-5-16-006811-4</t>
  </si>
  <si>
    <t>45.03.02, 45.03.03, 45.04.02</t>
  </si>
  <si>
    <t>411800.09.01</t>
  </si>
  <si>
    <t>Страны БРИКС в совр. мировой экономике: Моногр. / Е.Ф.Авдокушин -М.:Магистр, НИЦ ИНФРА-М, 2024-480с(п)</t>
  </si>
  <si>
    <t>СТРАНЫ БРИКС В СОВРЕМЕННОЙ МИРОВОЙ ЭКОНОМИКЕ, ИЗД.1</t>
  </si>
  <si>
    <t>Авдокушин Е. Ф., Жариков М. В.</t>
  </si>
  <si>
    <t>978-5-9776-0255-6</t>
  </si>
  <si>
    <t>38.03.01, 38.04.01, 41.04.05</t>
  </si>
  <si>
    <t>737697.01.01</t>
  </si>
  <si>
    <t>Страны БРИКС: сотрудничество и партнерство...: Монография / Красавина Л.Н.-М.:НИЦ ИНФРА-М, 2019-285с(П)</t>
  </si>
  <si>
    <t>СТРАНЫ БРИКС: СОТРУДНИЧЕСТВО И ПАРТНЕРСТВО В УСЛОВИЯХ МНОГОПОЛЯРНОГО МИРА, ИЗД.1</t>
  </si>
  <si>
    <t>Красавина Л.Н., Ревенко Н.С.</t>
  </si>
  <si>
    <t>978-9949-7201-8-7</t>
  </si>
  <si>
    <t>475400.08.01</t>
  </si>
  <si>
    <t>Стратегии  борьбы с преступностью: Моногр. / В.Н.Кудрявцев - 2 изд. - М.:Юр.Норма,НИЦ ИНФРА-М,2026 - 368 с.(П)</t>
  </si>
  <si>
    <t>СТРАТЕГИИ  БОРЬБЫ С ПРЕСТУПНОСТЬЮ, ИЗД.2</t>
  </si>
  <si>
    <t>978-5-91768-704-9</t>
  </si>
  <si>
    <t>781987.05.01</t>
  </si>
  <si>
    <t>Стратегии организаций: Уч. / Под ред. Ивановой О.П. - М.:НИЦ ИНФРА-М,2026. - 340 с.(ВО)(п)</t>
  </si>
  <si>
    <t>СТРАТЕГИИ ОРГАНИЗАЦИЙ, ИЗД.1</t>
  </si>
  <si>
    <t>978-5-16-018428-9</t>
  </si>
  <si>
    <t>27.04.02, 27.04.03, 38.03.01, 38.03.02, 38.04.01, 38.04.02, 38.04.03</t>
  </si>
  <si>
    <t>Допущено Учебно-методическим объединением вузов России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а также для подготовки студентов технологических направлений и специальностей по дисциплинам экономико-организационного и управленческого циклов</t>
  </si>
  <si>
    <t>851956.02.01</t>
  </si>
  <si>
    <t>Стратегическая культура студ. молодежи...: Моногр. / Е.М.Троицкая - М.:НИЦ ИНФРА-М,2025. - 177 с.(о)</t>
  </si>
  <si>
    <t>СТРАТЕГИЧЕСКАЯ КУЛЬТУРА СТУДЕНЧЕСКОЙ МОЛОДЕЖИ: НАУКА И ОБРАЗОВАНИЕ В ОБЕСПЕЧЕНИИ ВЫБОРА ПЕРСПЕКТИВНОГО РАЗВИТИЯ, ИЗД.1</t>
  </si>
  <si>
    <t>Троицкая Е.М., Беленькая Е.В., Голанова М.Н. и др.</t>
  </si>
  <si>
    <t>978-5-16-021206-7</t>
  </si>
  <si>
    <t>39.04.03, 39.06.01</t>
  </si>
  <si>
    <t>Мелитопольский государственный университет</t>
  </si>
  <si>
    <t>654194.04.01</t>
  </si>
  <si>
    <t>Стратегическая модель устойч. аграрного бизнеса: Моногр./ Д.Ю.Самыгин-М.:НИЦ ИНФРА-М,2020-161с.(П)</t>
  </si>
  <si>
    <t>СТРАТЕГИЧЕСКАЯ МОДЕЛЬ УСТОЙЧИВОСТИ АГРАРНОГО БИЗНЕСА: ПАРАМЕТРЫ, РИСКИ, РЕШЕНИЯ, ИЗД.1</t>
  </si>
  <si>
    <t>Самыгин Д.Ю., Барышников Н.Г.</t>
  </si>
  <si>
    <t>978-5-16-012744-6</t>
  </si>
  <si>
    <t>35.03.04, 38.03.01, 38.03.02, 38.04.01, 38.04.02</t>
  </si>
  <si>
    <t>148350.09.01</t>
  </si>
  <si>
    <t>Стратегические просчеты российск. полит. элиты: Моногр. / А.Д.Керимов-М.:Юр.Норма,НИЦ ИНФРА-М,2023-48(о)</t>
  </si>
  <si>
    <t>СТРАТЕГИЧЕСКИЕ ПРОСЧЕТЫ РОССИЙСКОЙ ПОЛИТИЧЕСКОЙ ЭЛИТЫ, ИЗД.1</t>
  </si>
  <si>
    <t>978-5-91768-156-6</t>
  </si>
  <si>
    <t>38.03.04, 40.03.01, 41.03.05, 41.03.06, 41.04.04, 44.03.01, 44.03.05, 47.03.01</t>
  </si>
  <si>
    <t>268300.08.01</t>
  </si>
  <si>
    <t>Стратегический анализ и бюджет. денеж..: Моногр. / Е.Б.Маевская - М.:НИЦ ИНФРА-М,2026 - 108 с.(Науч.мысль)(о)</t>
  </si>
  <si>
    <t>СТРАТЕГИЧЕСКИЙ АНАЛИЗ И БЮДЖЕТИРОВАНИЕ ДЕНЕЖНЫХ ПОТОКОВ КОММЕРЧЕСКИХ ОРГАНИЗАЦИЙ, ИЗД.1</t>
  </si>
  <si>
    <t>Маевская Е.Б.</t>
  </si>
  <si>
    <t>978-5-16-009615-5</t>
  </si>
  <si>
    <t>429300.06.01</t>
  </si>
  <si>
    <t>Стратегический контроллинг: Уч. пос. / В.Б. Ивашкевич - М.: Магистр: НИЦ Инфра-М, 2025-216с.(О)</t>
  </si>
  <si>
    <t>СТРАТЕГИЧЕСКИЙ КОНТРОЛЛИНГ, ИЗД.1</t>
  </si>
  <si>
    <t>978-5-9776-0260-0</t>
  </si>
  <si>
    <t>357800.07.01</t>
  </si>
  <si>
    <t>Стратегический маркетинг для магистров: Уч. / О.Н.Жильцова - М.: Вуз.уч., НИЦ ИНФРА-М, 2025 -354 с.(п)</t>
  </si>
  <si>
    <t>СТРАТЕГИЧЕСКИЙ МАРКЕТИНГ ДЛЯ МАГИСТРОВ, ИЗД.1</t>
  </si>
  <si>
    <t>ЖильцоваО.Н.</t>
  </si>
  <si>
    <t>978-5-9558-0434-7</t>
  </si>
  <si>
    <t>240400.11.01</t>
  </si>
  <si>
    <t>Стратегический маркетинг: Уч. / В.Н.Наумов - 2 изд. - М.:НИЦ ИНФРА-М,2026 - 356 с.(ВО: Магистр.)(П)</t>
  </si>
  <si>
    <t>СТРАТЕГИЧЕСКИЙ МАРКЕТИНГ, ИЗД.2</t>
  </si>
  <si>
    <t>978-5-16-015270-7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</si>
  <si>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38.00.00 «Экономика и управление» (квалификация (степень) «магистр») (протокол № 13 от 16.09.2019)</t>
  </si>
  <si>
    <t>240400.06.01</t>
  </si>
  <si>
    <t>Стратегический маркетинг: Уч. / В.Н.Наумов - М.:НИЦ ИНФРА-М,2019 - 272 с.-(ВО: Магистр.)(П)</t>
  </si>
  <si>
    <t>СТРАТЕГИЧЕСКИЙ МАРКЕТИНГ, ИЗД.1</t>
  </si>
  <si>
    <t>978-5-16-009232-4</t>
  </si>
  <si>
    <t>Рекомендовано Учебно-методическим объединением вузов России по образованию в области экономики, товароведения и торгового дела в качестве учебника для студентов высших учебных заведений, обучающихся по направлению 38.04.06 ( 100700) «Торговое дело» (</t>
  </si>
  <si>
    <t>402800.08.01</t>
  </si>
  <si>
    <t>Стратегический менеджм. в инновацион. орг...: Уч./А.В.Андрейчиков - М.:Вуз.уч:Инфра-М,2027 - 396 с.(п)</t>
  </si>
  <si>
    <t>СТРАТЕГИЧЕСКИЙ МЕНЕДЖМЕНТ В ИННОВАЦИОННЫХ ОРГАНИЗАЦИЯХ. СИСТЕМНЫЙ АНАЛИЗ И ПРИНЯТИЕ РЕШЕНИЙ, ИЗД.1</t>
  </si>
  <si>
    <t>Андрейчиков А. В., Андрейчикова О. Н.</t>
  </si>
  <si>
    <t>978-5-9558-0225-1</t>
  </si>
  <si>
    <t>09.03.03, 09.04.03, 27.03.02, 27.03.05, 27.04.02, 27.04.04, 27.04.05, 27.04.07</t>
  </si>
  <si>
    <t>Рекомендовано Учебно-методическим объединением по университетскому политехническому образованию в качестве учебника для студентов высших учебных заведений, обучающихся по направлению «Инноватика» и специальности «Управление инновациями»</t>
  </si>
  <si>
    <t>761289.02.01</t>
  </si>
  <si>
    <t>Стратегический менеджмент в гостинично-ресторан. сервисе.: Уч.пос. / Н.Н.Крупина - М.:НИЦ ИНФРА-М,2027. - 211 с.(П)</t>
  </si>
  <si>
    <t>СТРАТЕГИЧЕСКИЙ МЕНЕДЖМЕНТ В ГОСТИНИЧНО-РЕСТОРАННОМ СЕРВИСЕ., ИЗД.1</t>
  </si>
  <si>
    <t>978-5-16-017232-3</t>
  </si>
  <si>
    <t>43.03.01, 43.03.03, 43.04.01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</si>
  <si>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43.03.03 «Гостиничное дело» (квалификация (степень) «бакалавр») (протокол № 8 от 19.10.2022)</t>
  </si>
  <si>
    <t>757596.01.01</t>
  </si>
  <si>
    <t>Стратегический менеджмент в орган. проф. образования: Уч./С.Н.Рыжиков-М.:НИЦ ИНФРА-М,2025-471 с.(ВО:Магистр)(п)</t>
  </si>
  <si>
    <t>СТРАТЕГИЧЕСКИЙ МЕНЕДЖМЕНТ В ОРГАНИЗАЦИЯХ ПРОФЕССИОНАЛЬНОГО ОБРАЗОВАНИЯ, ИЗД.1</t>
  </si>
  <si>
    <t>Рыжиков С.Н., Патрахина Т.Н.</t>
  </si>
  <si>
    <t>978-5-16-018411-1</t>
  </si>
  <si>
    <t>44.03.05, 44.04.04</t>
  </si>
  <si>
    <t>Нижневартовский государственный университет</t>
  </si>
  <si>
    <t>425450.05.01</t>
  </si>
  <si>
    <t>Стратегический менеджмент на..: Уч.пос. / С.А.Сироткин-М.:НИЦ ИНФРА-М, Изд-во Урал. ун-та,2023.-246 с.(П)</t>
  </si>
  <si>
    <t>СТРАТЕГИЧЕСКИЙ МЕНЕДЖМЕНТ НА ПРЕДПРИЯТИИ, ИЗД.1</t>
  </si>
  <si>
    <t>Сироткин С. А., Кельчевская Н. Р.</t>
  </si>
  <si>
    <t>978-5-16-006589-2</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</si>
  <si>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080200.62 «Менеджмент» (квалификация (степень) «бака</t>
  </si>
  <si>
    <t>019226.21.01</t>
  </si>
  <si>
    <t>Стратегический менеджмент. Курс лекций: Уч. пос. / В.Д.Маркова - М:НИЦ Инфра-М,2026 - 288 с.(ВО) (о)</t>
  </si>
  <si>
    <t>СТРАТЕГИЧЕСКИЙ МЕНЕДЖМЕНТ. КУРС ЛЕКЦИЙ, ИЗД.1</t>
  </si>
  <si>
    <t>Маркова В. Д., Кузнецова С. А.</t>
  </si>
  <si>
    <t>978-5-16-002298-7</t>
  </si>
  <si>
    <t>38.03.01, 38.03.02, 38.03.03, 38.03.04, 38.03.05, 38.03.06, 38.03.07, 38.05.01, 38.05.02, 44.03.05</t>
  </si>
  <si>
    <t>Рекомендовано Министерством образования РФ в качестве учебного пособия для студентов высших учебных заведений, обучающихся по экономическим специальностям</t>
  </si>
  <si>
    <t>651574.05.01</t>
  </si>
  <si>
    <t>Стратегический менеджмент. Модели и процедуры: Моногр./ В.А.Агафонов - М.:НИЦ ИНФРА-М,2026 - 276 с.(П)</t>
  </si>
  <si>
    <t>СТРАТЕГИЧЕСКИЙ МЕНЕДЖМЕНТ. МОДЕЛИ И ПРОЦЕДУРЫ, ИЗД.1</t>
  </si>
  <si>
    <t>Агафонов В.А.</t>
  </si>
  <si>
    <t>978-5-16-012616-6</t>
  </si>
  <si>
    <t>38.03.01, 38.03.02, 38.03.04, 38.04.01, 38.04.02, 38.04.04, 41.03.06, 44.03.05</t>
  </si>
  <si>
    <t>159900.11.01</t>
  </si>
  <si>
    <t>Стратегический менеджмент: понятия, концепции...: Справ. пос. / В.Д.Маркова - М.: ИНФРА-М,2025-320с(о)</t>
  </si>
  <si>
    <t>СТРАТЕГИЧЕСКИЙ МЕНЕДЖМЕНТ: ПОНЯТИЯ, КОНЦЕПЦИИ, ИНСТРУМЕНТЫ ПРИНЯТИЯ РЕШЕНИЙ, ИЗД.1</t>
  </si>
  <si>
    <t>978-5-16-009860-9</t>
  </si>
  <si>
    <t>38.03.02, 38.03.04, 38.04.02, 38.04.04, 38.04.08, 41.03.06, 44.03.05</t>
  </si>
  <si>
    <t>836378.02.01</t>
  </si>
  <si>
    <t>Стратегический менеджмент: Уч. / А.Г.Дементьева - М.:НИЦ ИНФРА-М,2026. - 512 с.(п)</t>
  </si>
  <si>
    <t>СТРАТЕГИЧЕСКИЙ МЕНЕДЖМЕНТ, ИЗД.1</t>
  </si>
  <si>
    <t>978-5-16-021551-8</t>
  </si>
  <si>
    <t>38.03.01, 38.03.02, 38.03.03, 38.04.02</t>
  </si>
  <si>
    <t>652880.06.01</t>
  </si>
  <si>
    <t>Стратегический менеджмент: Уч. / А.П.Егоршин - 2 изд. - М.:НИЦ ИНФРА-М,2027 - 290 с.-(ВО)(П)</t>
  </si>
  <si>
    <t>СТРАТЕГИЧЕСКИЙ МЕНЕДЖМЕНТ, ИЗД.2</t>
  </si>
  <si>
    <t>Егоршин А.П., Гуськова И.В.</t>
  </si>
  <si>
    <t>978-5-16-018619-1</t>
  </si>
  <si>
    <t>38.03.01, 38.03.02, 38.03.03, 38.03.04, 38.03.05, 38.03.06, 38.03.07, 41.03.06, 44.03.05</t>
  </si>
  <si>
    <t>Допущено Советом Учебно-методического объединения вузов России по образованию в области менеджмента в качестве учебника для студентов вузов, обучающихся по направлениям «Менеджмент» и «Управление персоналом»</t>
  </si>
  <si>
    <t>675083.03.01</t>
  </si>
  <si>
    <t>Стратегический менеджмент: Уч. / Г.Н.Степанова - М.:НИЦ ИНФРА-М,2026. - 261 с.(ВО: Бакалавр.)(П)</t>
  </si>
  <si>
    <t>Степанова Г.Н., Бирюков В.А., Ливсон М.В.</t>
  </si>
  <si>
    <t>978-5-16-017616-1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</si>
  <si>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38.03.02 «Менеджмент» (квалификация (степень) «бакалавр») (протокол № 6 от 08.06.2022)</t>
  </si>
  <si>
    <t>171000.12.01</t>
  </si>
  <si>
    <t>Стратегический менеджмент: Уч. / Л.Е. Басовский. - М.: НИЦ Инфра-М, 2025. - 365 с.(ВО) (п)</t>
  </si>
  <si>
    <t>978-5-16-005115-4</t>
  </si>
  <si>
    <t>38.03.01, 38.03.02, 38.03.04, 38.04.02, 38.04.04, 41.03.06, 44.03.05</t>
  </si>
  <si>
    <t>Рекомендовано Советом Учебно-методического объединения ВУЗов России по образованию в области менеджмента в качестве учебника по направлению "Менеджмент"</t>
  </si>
  <si>
    <t>176700.12.01</t>
  </si>
  <si>
    <t>Стратегический менеджмент: Уч. / Н.А. Казакова - М.: НИЦ Инфра-М, 2026 - 320 с.(ВО) (п)</t>
  </si>
  <si>
    <t>Казакова Н. А., Александрова А. В., Курашова С. А., Кондрашева Н. Н., Казакова Н. А.</t>
  </si>
  <si>
    <t>978-5-16-005028-7</t>
  </si>
  <si>
    <t>38.03.01, 38.03.02, 38.03.03, 38.03.04, 38.03.05, 38.03.06, 38.03.07, 38.04.01, 38.04.02, 38.04.03, 38.04.04, 38.04.05, 38.04.06, 38.04.07, 38.04.08, 38.04.09, 38.05.01, 38.05.02, 41.03.06, 44.03.05</t>
  </si>
  <si>
    <t>Рекомендовано Советом Учебно-методического объединения вузов России по образованию в области менеджмента в качестве учебного пособия  по направлению 080200 "Менеджмент" и специальности 080507 "Менеджмент организации"</t>
  </si>
  <si>
    <t>661011.02.01</t>
  </si>
  <si>
    <t>Стратегический менеджмент: Уч. / С.А.Сироткин-М.:НИЦ ИНФРА-М,2023.-263 с.(ВО: Бакалавр. (УрФУ))(П)</t>
  </si>
  <si>
    <t>978-5-16-013815-2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</si>
  <si>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8 от 22.06.2020)</t>
  </si>
  <si>
    <t>155250.06.01</t>
  </si>
  <si>
    <t>Стратегический менеджмент: Уч. / Ю.В.Гуськов - М.:НИЦ ИНФРА-М,2024 - 271 с.(ВО: Бакалавриат)(П)</t>
  </si>
  <si>
    <t>Гуськов Ю.В., Гуськова Т.В.</t>
  </si>
  <si>
    <t>978-5-16-016310-9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</si>
  <si>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38.03.04 «Государственное и муниципальное управление» (квалификация (степень) «бакалавр») (протокол № 6 от 16.06.2021)</t>
  </si>
  <si>
    <t>175750.10.01</t>
  </si>
  <si>
    <t>Стратегический менеджмент: Уч. пос. / Е.В. Романов. - 2 изд. - М.: НИЦ Инфра-М, 2025 - 160 с.(ВО) (п)</t>
  </si>
  <si>
    <t>Романов Е. В.</t>
  </si>
  <si>
    <t>978-5-16-005135-2</t>
  </si>
  <si>
    <t>38.03.02, 38.03.04, 38.04.01, 38.04.02, 38.04.04, 41.03.06, 44.03.05</t>
  </si>
  <si>
    <t>Допущено Советом Учебно-методическим объединением в области менеджмента в качестве учебного пособия для студентов вузов, обучающихся по направлению "Менеджмент"</t>
  </si>
  <si>
    <t>078850.10.01</t>
  </si>
  <si>
    <t>Стратегический менеджмент: Уч. пос./ Ю.Н. Лапыгин. - 2 изд. - М.: НИЦ ИНФРА-М, 2024. - 208 с.(ВО)(П)</t>
  </si>
  <si>
    <t>Лапыгин Ю. Н.</t>
  </si>
  <si>
    <t>978-5-16-006592-2</t>
  </si>
  <si>
    <t>38.03.01, 38.03.02, 38.03.03, 38.03.04, 38.04.01, 38.04.02, 38.04.03, 38.04.04, 41.03.06, 42.04.01, 43.03.01, 44.03.05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</si>
  <si>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080200.62 «Менеджмент», 081100 «Государственное и м</t>
  </si>
  <si>
    <t>417850.04.01</t>
  </si>
  <si>
    <t>Стратегический менеджмент: Уч. пос./А.В.Курлыкова - М.: ИЦ РИОР: ИНФРА-М, 2020-176с.(ВО: Бакалавр.) (п)</t>
  </si>
  <si>
    <t>Курлыкова А. В.</t>
  </si>
  <si>
    <t>978-5-369-01143-0</t>
  </si>
  <si>
    <t>38.03.01, 38.03.02, 38.03.03, 38.03.04, 38.04.01, 38.04.02, 38.04.04, 38.05.01, 38.05.02, 41.03.06, 44.03.05</t>
  </si>
  <si>
    <t>Рекомендовано ФГБОУ ВПО «Государственный университет управлений" в качестве учебного пособия для студентов высших учебных заведений, обучающихся по направлению 080200.62 -Менеджмент» (квалификация (степень) «бакалавр»)</t>
  </si>
  <si>
    <t>249100.05.01</t>
  </si>
  <si>
    <t>Стратегический менеджмент: уч.пос. / А.Б.Савченко-М.:ИЦ РИОР, НИЦ ИНФРА-М,2024.-228 с..-(ВО: Бакалавриат)(о)</t>
  </si>
  <si>
    <t>Савченко А.Б.</t>
  </si>
  <si>
    <t>978-5-369-01305-2</t>
  </si>
  <si>
    <t>38.03.01, 38.03.02, 38.03.04, 38.04.01, 38.04.02, 38.04.04, 44.03.05</t>
  </si>
  <si>
    <t>074500.14.01</t>
  </si>
  <si>
    <t>Стратегический менеджмент: Уч.пос. / В.А.Баринов- 2 изд.-М.:НИЦ ИНФРА-М,2024.-294 с.(ВО: Бакалавр.)(П)</t>
  </si>
  <si>
    <t>Баринов В.А., Бусалов Д.Ю.</t>
  </si>
  <si>
    <t>978-5-16-016936-1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</si>
  <si>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6 от 16.06.2021)</t>
  </si>
  <si>
    <t>074500.11.01</t>
  </si>
  <si>
    <t>Стратегический менеджмент: уч.пос. / В.А.Баринов-М.:ИНФРА-М Издательский Дом,2019.-285 с..-(ВО)(П 7БЦ)</t>
  </si>
  <si>
    <t>Баринов В. А., Харченко В. Л.</t>
  </si>
  <si>
    <t>978-5-16-002589-6</t>
  </si>
  <si>
    <t>Рекомендовано УМО в области менеджмента в качестве учебного пособия по специальности 080507 "Менеджмент организации", 080503 "Антикризисное управление" и другим экономическим специальностям</t>
  </si>
  <si>
    <t>045080.11.01</t>
  </si>
  <si>
    <t>Стратегический менеджмент: Уч.пос. / В.Н.Родионова - 3 изд. - М.:ИЦ РИОР,НИЦ ИНФРА-М,2024 - 106с.(О)</t>
  </si>
  <si>
    <t>СТРАТЕГИЧЕСКИЙ МЕНЕДЖМЕНТ, ИЗД.3</t>
  </si>
  <si>
    <t>Родионова В. Н.</t>
  </si>
  <si>
    <t>978-5-369-01643-5</t>
  </si>
  <si>
    <t>17.03.01, 20.03.02, 23.03.03, 26.03.02, 27.04.05, 29.03.03, 35.03.02, 38.03.01, 38.03.02, 38.03.03, 38.03.04, 38.03.06, 38.03.07, 38.04.01, 38.04.02, 38.04.03, 38.04.04, 38.04.06, 38.05.01, 41.03.06, 44.03.01, 44.03.05</t>
  </si>
  <si>
    <t>140350.07.01</t>
  </si>
  <si>
    <t>Стратегический менеджмент: Уч.пос. / М.М.Купцов-3 изд.-М.:ИЦ РИОР, ИНФРА-М Издательский Дом,2024.-184 с.(ВО)(п)</t>
  </si>
  <si>
    <t>Купцов М. М.</t>
  </si>
  <si>
    <t>978-5-369-00634-4</t>
  </si>
  <si>
    <t>38.03.01, 38.03.02, 38.03.03, 38.03.04, 38.04.02, 38.04.03, 38.04.04, 41.03.06, 44.03.01, 44.03.05</t>
  </si>
  <si>
    <t>214600.09.01</t>
  </si>
  <si>
    <t>Стратегический управленческий учет для бизнеса: Уч. /  Л.В.Юрьева - М:НИЦ ИНФРА-М,2025 - 336 с.(ВО:Магистр.) (п)</t>
  </si>
  <si>
    <t>СТРАТЕГИЧЕСКИЙ УПРАВЛЕНЧЕСКИЙ УЧЕТ ДЛЯ БИЗНЕСА, ИЗД.1</t>
  </si>
  <si>
    <t>Юрьева Л. В., Илышева Н. Н., Караваева А. В., Быстрова А. Н.</t>
  </si>
  <si>
    <t>978-5-16-005513-8</t>
  </si>
  <si>
    <t>38.03.01, 38.03.02, 38.04.01, 38.04.08, 41.03.06</t>
  </si>
  <si>
    <t>763303.01.01</t>
  </si>
  <si>
    <t>Стратегический учет и анализ: Уч.пос. / С.А.Бороненкова-М.:НИЦ ИНФРА-М,2023.-272 с.(ВО: Магистр.)(П)</t>
  </si>
  <si>
    <t>СТРАТЕГИЧЕСКИЙ УЧЕТ И АНАЛИЗ, ИЗД.1</t>
  </si>
  <si>
    <t>Бороненкова С.А., Чепулянис А.В.</t>
  </si>
  <si>
    <t>978-5-16-017313-9</t>
  </si>
  <si>
    <t>38.04.02, 38.05.01</t>
  </si>
  <si>
    <t>Рекомендовано Методическим советом по учебно-методическим вопросам и качеству образования Уральского государственного экономического университета в качестве учебного пособия для обучающихся в высших учебных заведениях по направлениям подготовки УГСН 38.00.00 «Экономика и управление»</t>
  </si>
  <si>
    <t>277300.06.01</t>
  </si>
  <si>
    <t>Стратегическое взаимодействие рыноч. субъектов..: Моногр. / В.Н.Наумов - М.: НИЦ ИНФРА-М, 2024-270с.</t>
  </si>
  <si>
    <t>СТРАТЕГИЧЕСКОЕ ВЗАИМОДЕЙСТВИЕ РЫНОЧНЫХ СУБЪЕКТОВ В МАРКЕТИНГОВЫХ СИСТЕМАХ, ИЗД.1</t>
  </si>
  <si>
    <t>978-5-16-009782-4</t>
  </si>
  <si>
    <t>727930.05.01</t>
  </si>
  <si>
    <t>Стратегическое планир. в гос. секторе экономики/ Под ред. Сильвестрова С.Н.-М.:НИЦ ИНФРА-М,2024.-344 с.(П)</t>
  </si>
  <si>
    <t>СТРАТЕГИЧЕСКОЕ ПЛАНИРОВАНИЕ В ГОСУДАРСТВЕННОМ СЕКТОРЕ ЭКОНОМИКИ, ИЗД.1</t>
  </si>
  <si>
    <t>Сильвестров С.Н., Старовойтов В.Г., Бауэр В.П. и др.</t>
  </si>
  <si>
    <t>978-5-16-016105-1</t>
  </si>
  <si>
    <t>796114.05.01</t>
  </si>
  <si>
    <t>Стратегическое планир. развит. эконом. в условиях цифровиз. / А.В.Поволян - М.:Магистр, НИЦ ИНФРА-М,2025 - 304 с.(П)</t>
  </si>
  <si>
    <t>СТРАТЕГИЧЕСКОЕ ПЛАНИРОВАНИЕ РАЗВИТИЯ ЭКОНОМИКИ В УСЛОВИЯХ ЦИФРОВИЗАЦИИ: ИНСТРУМЕНТЫ, СПОСОБЫ, МЕТОДЫ, ИЗД.1</t>
  </si>
  <si>
    <t>Половян А.В., Синицына К.И.</t>
  </si>
  <si>
    <t>978-5-9776-0549-6</t>
  </si>
  <si>
    <t>27.04.07, 38.04.01, 38.04.02, 38.04.04, 38.04.09, 38.06.01</t>
  </si>
  <si>
    <t>823069.01.01</t>
  </si>
  <si>
    <t>Стратегическое планир. устойчивого развития агропродов. сектора / Д.Ю.Самыгин-М.:НИЦ ИНФРА-М,2025.-303 с.(о)</t>
  </si>
  <si>
    <t>СТРАТЕГИЧЕСКОЕ ПЛАНИРОВАНИЕ УСТОЙЧИВОГО РАЗВИТИЯ АГРОПРОДОВОЛЬСТВЕННОГО СЕКТОРА, ИЗД.1</t>
  </si>
  <si>
    <t>978-5-16-019789-0</t>
  </si>
  <si>
    <t>38.03.01, 38.06.01</t>
  </si>
  <si>
    <t>742793.02.01</t>
  </si>
  <si>
    <t>Стратегическое развит. материально-технич. обеспеч. ж/д транспорта / А.В.Цевелев - М.:НИЦ ИНФРА-М,2026. - 229 с.(О)</t>
  </si>
  <si>
    <t>СТРАТЕГИЧЕСКОЕ РАЗВИТИЕ МАТЕРИАЛЬНО-ТЕХНИЧЕСКОГО ОБЕСПЕЧЕНИЯ ЖЕЛЕЗНОДОРОЖНОГО ТРАНСПОРТА, ИЗД.1</t>
  </si>
  <si>
    <t>978-5-16-016594-3</t>
  </si>
  <si>
    <t>23.05.04, 23.05.05, 23.06.01</t>
  </si>
  <si>
    <t>760124.03.01</t>
  </si>
  <si>
    <t>Стратегическое развит. нефтегаз. компл. России: Моногр. / С.Е.Трофимов - М.:НИЦ ИНФРА-М,2025. - 157 с.(П)</t>
  </si>
  <si>
    <t>СТРАТЕГИЧЕСКОЕ РАЗВИТИЕ НЕФТЕГАЗОВОГО КОМПЛЕКСА РОССИИ: ТЕОРЕТИЧЕСКИЕ ОСНОВЫ, СПЕЦИФИКА И ГЛОБАЛИЗАЦИОННЫЕ АСПЕКТЫ ГОСУДАРСТВЕННОГО РЕГУЛИРОВАНИЯ, ИЗД.1</t>
  </si>
  <si>
    <t>978-5-16-017075-6</t>
  </si>
  <si>
    <t>689199.02.01</t>
  </si>
  <si>
    <t>Стратегическое рук. глобальным бизнесом: Уч. / А.Г.Дементьева - М.:Магистр,НИЦ ИНФРА-М,2020-608с(П)</t>
  </si>
  <si>
    <t>СТРАТЕГИЧЕСКОЕ РУКОВОДСТВО ГЛОБАЛЬНЫМ БИЗНЕСОМ, ИЗД.1</t>
  </si>
  <si>
    <t>978-5-9776-0477-2</t>
  </si>
  <si>
    <t>799030.02.01</t>
  </si>
  <si>
    <t>Стратегическое управ. развит. соц. сис.: Уч.пос. / А.В.Брыкин - М.:НИЦ ИНФРА-М,2027. - 459 с.(ВО: Магистр.)(п)</t>
  </si>
  <si>
    <t>СТРАТЕГИЧЕСКОЕ УПРАВЛЕНИЕ РАЗВИТИЕМ СОЦИАЛЬНЫХ СИСТЕМ, ИЗД.1</t>
  </si>
  <si>
    <t>Брыкин А.В., Перемибеда П.А., Тюриков А.Г.</t>
  </si>
  <si>
    <t>978-5-16-018881-2</t>
  </si>
  <si>
    <t>818392.01.01</t>
  </si>
  <si>
    <t>Стратегическое управ. эффектив. сферы туристско-рекреацион.../ Н.В.Рубцова-М.:НИЦ ИНФРА-М,2024.-359 с(п)</t>
  </si>
  <si>
    <t>СТРАТЕГИЧЕСКОЕ УПРАВЛЕНИЕ ЭФФЕКТИВНОСТЬЮ СФЕРЫ ТУРИСТСКО-РЕКРЕАЦИОННЫХ УСЛУГ РЕГИОНА, ИЗД.1</t>
  </si>
  <si>
    <t>Рубцова Н.В.</t>
  </si>
  <si>
    <t>978-5-16-019611-4</t>
  </si>
  <si>
    <t>43.03.02, 43.04.02, 49.03.03</t>
  </si>
  <si>
    <t>656555.02.01</t>
  </si>
  <si>
    <t>Стратегическое управление изменениями: Уч. / О.В.Кожевина - М.:НИЦ ИНФРА-М,2024 - 465 с.(ВО)(п)</t>
  </si>
  <si>
    <t>СТРАТЕГИЧЕСКОЕ УПРАВЛЕНИЕ ИЗМЕНЕНИЯМИ, ИЗД.1</t>
  </si>
  <si>
    <t>Кожевина О.В., Салиенко Н.В.</t>
  </si>
  <si>
    <t>978-5-16-019213-0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</si>
  <si>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(квалификация (степень) «бакалавр») (протокол № 7 от 22.09.2021)</t>
  </si>
  <si>
    <t>313800.06.01</t>
  </si>
  <si>
    <t>Стратегическое управление финансами: как добиться.. / В.А.Кашин - М.:Магистр,НИЦ ИНФРА-М,2025 - 176 с..(о)</t>
  </si>
  <si>
    <t>СТРАТЕГИЧЕСКОЕ УПРАВЛЕНИЕ ФИНАНСАМИ: КАК ДОБИТЬСЯ ЛИЧНОГО ФИНАНСОВОГО БЛАГОПОЛУЧИЯ, ИЗД.1</t>
  </si>
  <si>
    <t>Кашин В.А., Панков В.В., Перов В.И.</t>
  </si>
  <si>
    <t>978-5-9776-0346-1</t>
  </si>
  <si>
    <t>38.03.01, 38.03.02, 38.04.01, 38.04.02, 38.04.08, 38.06.01, 38.07.02</t>
  </si>
  <si>
    <t>633744.02.01</t>
  </si>
  <si>
    <t>Стратегия восстанов. конкурент..: Моногр. / В.А.Баринов-М.:ИЦ РИОР,НИЦ ИНФРА-М,2019-274с(Науч.мысль)</t>
  </si>
  <si>
    <t>СТРАТЕГИЯ ВОССТАНОВЛЕНИЯ КОНКУРЕНТОСПОСОБНОСТИ ОТЕЧЕСТВЕННОЙ РАКЕТНО-КОСМИЧЕСКОЙ ПРОМЫШЛЕННОСТИ, ИЗД.1</t>
  </si>
  <si>
    <t>Баринов В.А., Окатьев Н.А.</t>
  </si>
  <si>
    <t>978-5-369-01567-4</t>
  </si>
  <si>
    <t>25.00.00, 24.03.01, 24.04.01, 24.05.01, 24.05.04, 38.04.01, 38.04.02</t>
  </si>
  <si>
    <t>271800.09.01</t>
  </si>
  <si>
    <t>Стратегия и механизмы устойчив. развития региона: Моногр. / С.М.Вдовин - М.:НИЦ ИНФРА-М,2025 - 154с(О)</t>
  </si>
  <si>
    <t>СТРАТЕГИЯ И МЕХАНИЗМЫ УСТОЙЧИВОГО РАЗВИТИЯ РЕГИОНА, ИЗД.1</t>
  </si>
  <si>
    <t>Вдовин С. М.</t>
  </si>
  <si>
    <t>978-5-16-016804-3</t>
  </si>
  <si>
    <t>271800.04.01</t>
  </si>
  <si>
    <t>Стратегия и механизмы устойчив. развития.: Моногр. /С.М.Вдовин -М.:НИЦ ИНФРА-М,2019-176с(Науч.мысль)(п)</t>
  </si>
  <si>
    <t>978-5-16-009671-1</t>
  </si>
  <si>
    <t>449850.07.01</t>
  </si>
  <si>
    <t>Стратегия и эконом. политика государства: Уч.пос. / Е.Н.Ведута-2 изд.-М.:НИЦ ИНФРА-М,2023-320 с.(ВО)(П)</t>
  </si>
  <si>
    <t>СТРАТЕГИЯ И ЭКОНОМИЧЕСКАЯ ПОЛИТИКА ГОСУДАРСТВА, ИЗД.2</t>
  </si>
  <si>
    <t>Ведута Е. Н.</t>
  </si>
  <si>
    <t>978-5-16-009120-4</t>
  </si>
  <si>
    <t>665070.06.01</t>
  </si>
  <si>
    <t>Стратегия кадрового менеджмента: Уч.пос. / О.А.Вдовина и др. - М.:НИЦ ИНФРА-М,2020 - 210 с.-(ВО)(П)</t>
  </si>
  <si>
    <t>СТРАТЕГИЯ КАДРОВОГО МЕНЕДЖМЕНТА, ИЗД.1</t>
  </si>
  <si>
    <t>Вдовина О.А., Резник С.Д., Сазыкина О.А. и др.</t>
  </si>
  <si>
    <t>978-5-16-013089-7</t>
  </si>
  <si>
    <t>37.04.02, 38.03.01, 38.03.02, 38.03.03, 38.04.04, 41.03.06</t>
  </si>
  <si>
    <t>Рекомендовано советом Учебно-методического объединения по образованию в области менеджмента в качестве учебного пособия для обучающихся по программам высшего образования по направлению подготовки 38.04.02 «Менеджмент» (квалификация (степень) «магистр»)</t>
  </si>
  <si>
    <t>665070.09.01</t>
  </si>
  <si>
    <t>Стратегия кадрового менеджмента: Уч.пос. / С.Д.Резник - 2 изд. - М.:НИЦ ИНФРА-М,2025. - 211 с.(ВО: Магистр.)(П)</t>
  </si>
  <si>
    <t>СТРАТЕГИЯ КАДРОВОГО МЕНЕДЖМЕНТА, ИЗД.2</t>
  </si>
  <si>
    <t>Резник С.Д., Вдовина О.А., Сазыкина О.А. и др.</t>
  </si>
  <si>
    <t>978-5-16-017835-6</t>
  </si>
  <si>
    <t>176900.11.01</t>
  </si>
  <si>
    <t>Стратегия национал. безопасности России..: Моногр. / С.Н.Бабурин-М:Магистр,НИЦ ИНФРА-М,2023 -512с(О)</t>
  </si>
  <si>
    <t>СТРАТЕГИЯ НАЦИОНАЛЬНОЙ БЕЗОПАСНОСТИ РОССИИ: ТЕОРЕТИКО-МЕТОДОЛОГИЧЕСКИЕ АСПЕКТЫ, ИЗД.1</t>
  </si>
  <si>
    <t>Бабурин С.Н., Дзлиев М.И., Урсул А.Д.</t>
  </si>
  <si>
    <t>978-5-9776-0224-2</t>
  </si>
  <si>
    <t>656418.04.01</t>
  </si>
  <si>
    <t>Стратегия национальной безопасности РФ - 2 изд. - М.:НИЦ ИНФРА-М,2020 - 84 с.(О)</t>
  </si>
  <si>
    <t>СТРАТЕГИЯ НАЦИОНАЛЬНОЙ БЕЗОПАСНОСТИ РОССИЙСКОЙ ФЕДЕРАЦИИ, ИЗД.2</t>
  </si>
  <si>
    <t>978-5-16-012784-2</t>
  </si>
  <si>
    <t>38.03.01, 38.03.04, 38.04.01, 38.04.04, 38.05.01, 41.03.04, 41.03.05, 41.04.04, 41.04.05</t>
  </si>
  <si>
    <t>656418.03.01</t>
  </si>
  <si>
    <t>Стратегия национальной безопасности РФ - М.:НИЦ ИНФРА-М,2019 - 40 с.(О)</t>
  </si>
  <si>
    <t>СТРАТЕГИЯ НАЦИОНАЛЬНОЙ БЕЗОПАСНОСТИ РОССИЙСКОЙ ФЕДЕРАЦИИ, ИЗД.1</t>
  </si>
  <si>
    <t>656418.11.01</t>
  </si>
  <si>
    <t>Стратегия национальной безопасности РФ /  - 3 изд., доп. - М.:НИЦ ИНФРА-М,2024. - 101 с.(О)</t>
  </si>
  <si>
    <t>СТРАТЕГИЯ НАЦИОНАЛЬНОЙ БЕЗОПАСНОСТИ РОССИЙСКОЙ ФЕДЕРАЦИИ, ИЗД.3</t>
  </si>
  <si>
    <t>978-5-16-016495-3</t>
  </si>
  <si>
    <t>656418.16.01</t>
  </si>
  <si>
    <t>Стратегия национальной безопасности РФ. - 4 изд. - М.:НИЦ ИНФРА-М,2027. - 101 с.(О)</t>
  </si>
  <si>
    <t>СТРАТЕГИЯ НАЦИОНАЛЬНОЙ БЕЗОПАСНОСТИ РОССИЙСКОЙ ФЕДЕРАЦИИ, ИЗД.4</t>
  </si>
  <si>
    <t>978-5-16-019752-4</t>
  </si>
  <si>
    <t>655208.03.01</t>
  </si>
  <si>
    <t>Стратегия обеспеч.инвестиц.безопасности России: Моногр./ Ю.А.Шеховцова-М.:ИЦ РИОР,НИЦ ИНФРА-М,2022-346с.(О)</t>
  </si>
  <si>
    <t>СТРАТЕГИЯ ОБЕСПЕЧЕНИЯ ИНВЕСТИЦИОННОЙ БЕЗОПАСНОСТИ РОССИИ: ТЕОРИЯ И  МЕТОДОЛОГИЯ, ИЗД.1</t>
  </si>
  <si>
    <t>Шеховцова Ю.А.</t>
  </si>
  <si>
    <t>978-5-369-01670-1</t>
  </si>
  <si>
    <t>02.03.02, 10.04.01, 38.03.01, 38.03.04, 38.04.01, 38.04.04, 38.05.01, 40.03.01, 44.03.01, 44.03.05</t>
  </si>
  <si>
    <t>Саратовский военный ордена Жукова краснознаменный институт войск национальной гвардии Российской Федерации</t>
  </si>
  <si>
    <t>639394.04.01</t>
  </si>
  <si>
    <t>Стратегия разв.правосуд.в усл.глобализ.: Моногр. / Малько А.В. - М.:ИЦ РИОР,НИЦ ИНФРА-М,2022 - 227 с.(О)</t>
  </si>
  <si>
    <t>СТРАТЕГИЯ РАЗВИТИЯ ПРАВОСУДИЯ В УСЛОВИЯХ ГЛОБАЛИЗАЦИИ, ИЗД.1</t>
  </si>
  <si>
    <t>Саломатин А.Ю., Малько А.В., Терехин В.А. и др.</t>
  </si>
  <si>
    <t>978-5-369-01596-4</t>
  </si>
  <si>
    <t>794802.01.01</t>
  </si>
  <si>
    <t>Стратегия развития инфраструктуры массового спорта в России.../ А.В.Аверин-М.:НИЦ ИНФРА-М,2024.-215 с.(О)</t>
  </si>
  <si>
    <t>СТРАТЕГИЯ РАЗВИТИЯ ИНФРАСТРУКТУРЫ МАССОВОГО СПОРТА В РОССИИ НА ФЕДЕРАЛЬНОМ УРОВНЕ, ИЗД.1</t>
  </si>
  <si>
    <t>Аверин А.В., Алеева Г.И., Андреев Н.В. и др.</t>
  </si>
  <si>
    <t>978-5-16-018307-7</t>
  </si>
  <si>
    <t>38.04.01, 38.04.02, 38.04.04, 38.06.01, 43.04.01, 49.04.03, 49.06.01</t>
  </si>
  <si>
    <t>634683.01.98</t>
  </si>
  <si>
    <t>Стратегия развития ремонтных служб предпр.: Моногр. / Н.Т.Баскакова - М.:НИЦ ИНФРА-М,2016.-255 с.(П)</t>
  </si>
  <si>
    <t>СТРАТЕГИЯ РАЗВИТИЯ РЕМОНТНЫХ СЛУЖБ ПРЕДПРИЯТИЯ, ИЗД.1</t>
  </si>
  <si>
    <t>Баскакова Н.Т., Якобсон З.В., Симаков Д.Б.</t>
  </si>
  <si>
    <t>978-5-16-012113-0</t>
  </si>
  <si>
    <t>20.03.02, 23.03.03, 29.03.03, 38.03.01, 38.03.02, 38.03.03, 38.03.04, 38.03.05, 38.03.06, 38.03.07, 38.04.01, 38.04.02, 38.04.03, 38.04.04, 38.04.05, 38.04.06, 38.04.08, 41.03.06, 44.03.01</t>
  </si>
  <si>
    <t>634683.04.01</t>
  </si>
  <si>
    <t>Стратегия развития ремонтных служб предпр.: Моногр. / Н.Т.Баскакова. - М.:НИЦ ИНФРА-М,2027. - 255 с.(О)</t>
  </si>
  <si>
    <t>978-5-16-016298-0</t>
  </si>
  <si>
    <t>679811.10.01</t>
  </si>
  <si>
    <t>Стратегия сложных переговоров: Уч.пос. / А.Г.Рыбкин - М.:НИЦ ИНФРА-М,2027. - 260 с.(ВО)(п)</t>
  </si>
  <si>
    <t>СТРАТЕГИЯ СЛОЖНЫХ ПЕРЕГОВОРОВ, ИЗД.1</t>
  </si>
  <si>
    <t>Рыбкин А.Г., Эмих О.К.</t>
  </si>
  <si>
    <t>978-5-16-022345-2</t>
  </si>
  <si>
    <t>38.03.01, 38.03.02, 38.03.03, 38.03.04, 38.03.05, 38.03.06, 38.03.07, 38.04.01, 38.04.02, 38.04.03, 38.04.04, 38.04.05, 38.04.06, 38.04.07</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</si>
  <si>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38.04.02 «Менеджмент», 38.04.01 «Экономика», 38.04.04 «Государственное и муниципальное управление» (квалификация (степень) «магистр»)</t>
  </si>
  <si>
    <t>Международный институт менеджмента ЛИНК</t>
  </si>
  <si>
    <t>723065.01.01</t>
  </si>
  <si>
    <t>Стратегия управ. корпоративными финансами...: Моногр. / М.В.Чараева-М.:НИЦ ИНФРА-М,2021.-218 с.(Науч.мысль)(О)</t>
  </si>
  <si>
    <t>СТРАТЕГИЯ УПРАВЛЕНИЯ КОРПОРАТИВНЫМИ ФИНАНСАМИ: ИНВЕСТИЦИИ И РИСКИ, ИЗД.1</t>
  </si>
  <si>
    <t>978-5-16-015877-8</t>
  </si>
  <si>
    <t>670751.03.01</t>
  </si>
  <si>
    <t>Стратификационная система общества:...Моногр. /В.Х.Беленький-М.:НИЦ ИНФРА-М,СФУ,2023-244с(П)</t>
  </si>
  <si>
    <t>СТРАТИФИКАЦИОННАЯ СИСТЕМА ОБЩЕСТВА: НЕКОТОРЫЕ ВОПРОСЫ ТЕОРИИ И ПРАКТИКИ, ИЗД.1</t>
  </si>
  <si>
    <t>Беленький В.Х.</t>
  </si>
  <si>
    <t>978-5-16-013420-8</t>
  </si>
  <si>
    <t>39.04.01, 39.06.01, 39.07.01</t>
  </si>
  <si>
    <t>764144.08.01</t>
  </si>
  <si>
    <t>Страхование в условиях цифр. экономики / Под ред. Орланюка-Малицкой Л.А. - М.:НИЦ ИНФРА-М,2026. - 258 с.(О)</t>
  </si>
  <si>
    <t>СТРАХОВАНИЕ В УСЛОВИЯХ ЦИФРОВОЙ ЭКОНОМИКИ: НАУКА, ПРАКТИКА, ОБРАЗОВАНИЕ, ИЗД.1</t>
  </si>
  <si>
    <t>Адамчук Н.Г., Азимов Р.С., Белоусова Т.А. и др.</t>
  </si>
  <si>
    <t>978-5-16-016847-0</t>
  </si>
  <si>
    <t>871631.01.01</t>
  </si>
  <si>
    <t>Страхование как способ обеспеч. исполнения лизинг. обязательства / М.Г.Степин - М.:НИЦ ИНФРА-М,2026. - 170 с.(о)</t>
  </si>
  <si>
    <t>СТРАХОВАНИЕ КАК СПОСОБ ОБЕСПЕЧЕНИЯ ИСПОЛНЕНИЯ ЛИЗИНГОВОГО ОБЯЗАТЕЛЬСТВА, ИЗД.1</t>
  </si>
  <si>
    <t>Степин М.Г.</t>
  </si>
  <si>
    <t>978-5-16-021867-0</t>
  </si>
  <si>
    <t>38.03.01, 38.04.01, 38.05.01, 38.06.01, 40.03.01, 40.06.01</t>
  </si>
  <si>
    <t>ВСК САО</t>
  </si>
  <si>
    <t>854963.01.01</t>
  </si>
  <si>
    <t>Страхование: практикум: Уч.пос. / З.Ф.Шарифьянова. - М.:НИЦ ИНФРА-М,2026. - 147 с.(ВО (Финанс. универ.))(п)</t>
  </si>
  <si>
    <t>СТРАХОВАНИЕ: ПРАКТИКУМ, ИЗД.1</t>
  </si>
  <si>
    <t>Шарифьянова З.Ф., Сафуанов Р.М., Ханнанова Л.Р.</t>
  </si>
  <si>
    <t>978-5-16-020950-0</t>
  </si>
  <si>
    <t>795893.01.01</t>
  </si>
  <si>
    <t>Страхование: Уч.пос. / Л.В.Каячева.-М.:НИЦ ИНФРА-М,2023.-148 с.(ВО: Бакалавр. (СФУ))(о)</t>
  </si>
  <si>
    <t>СТРАХОВАНИЕ, ИЗД.1</t>
  </si>
  <si>
    <t>Каячева Л.В., Черных М.Н., Каячев Г.Ф.</t>
  </si>
  <si>
    <t>978-5-16-018084-7</t>
  </si>
  <si>
    <t>38.03.01, 38.03.02, 38.04.01, 38.05.01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</si>
  <si>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специальностям и направлениям подготовки (протокол № 7 от 21.09.2022)</t>
  </si>
  <si>
    <t>808639.01.01</t>
  </si>
  <si>
    <t>Страхование: Уч.пос. / М.В.Кучиева-М.:Магистр,2023.-100 с.(о)</t>
  </si>
  <si>
    <t>Кучиева М.В., Мардеян Н.А., Тегетаева О.Р.</t>
  </si>
  <si>
    <t>978-5-9776-0555-7</t>
  </si>
  <si>
    <t>036600.21.01</t>
  </si>
  <si>
    <t>Страхование: Уч.пос. / Ю.А.Сплетухов - 2 изд. - М.:НИЦ ИНФРА-М,2025 - 357 с. - (ВО: Бакалавриат)(п)</t>
  </si>
  <si>
    <t>СТРАХОВАНИЕ, ИЗД.2</t>
  </si>
  <si>
    <t>Сплетухов Ю.А., Дюжиков Е.Ф.</t>
  </si>
  <si>
    <t>978-5-16-003575-8</t>
  </si>
  <si>
    <t>Рекомендовано Государственным университетом управления в качестве учебного пособия для студ. вузов, обуч. по спец. 080109.65 "Бухгалтерский учет, анализ и аудит" и 080105.65 "Финансы" и 080107.65Налоги и налогообл. Р.н.р. 252 от 5 марта 2009г. МГУП</t>
  </si>
  <si>
    <t>777081.04.01</t>
  </si>
  <si>
    <t>Страхование: Уч.пос. / Ю.А.Сплетухов, - 2 изд.-М.:НИЦ ИНФРА-М,2024.-357 с.(СПО)(П)</t>
  </si>
  <si>
    <t>978-5-16-017747-2</t>
  </si>
  <si>
    <t>38.02.02, 38.02.07, 42.02.02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</si>
  <si>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38.02.02 «Страховое дело (по отраслям)» (протокол № 2 от 09.02.2022)</t>
  </si>
  <si>
    <t>876205.03.01</t>
  </si>
  <si>
    <t>Страховое дело: Практикум: Уч.пос. / З.Ф.Шарифьянова. - М.:НИЦ ИНФРА-М,2026. - 147 с.(СПО)(п)</t>
  </si>
  <si>
    <t>СТРАХОВОЕ ДЕЛО: ПРАКТИКУМ, ИЗД.1</t>
  </si>
  <si>
    <t>978-5-16-022024-6</t>
  </si>
  <si>
    <t>38.02.02, 40.02.04</t>
  </si>
  <si>
    <t>182800.06.01</t>
  </si>
  <si>
    <t>Страховое право: теоретические основы..: Моногр. /Ю.Б.Фогельсон-М.:Юр.Норма,НИЦ ИНФРА-М,2021-576с(П)</t>
  </si>
  <si>
    <t>СТРАХОВОЕ ПРАВО: ТЕОРЕТИЧЕСКИЕ ОСНОВЫ И ПРАКТИКА ПРИМЕНЕНИЯ, ИЗД.1</t>
  </si>
  <si>
    <t>Фогельсон Ю. Б.</t>
  </si>
  <si>
    <t>978-5-91768-268-6</t>
  </si>
  <si>
    <t>636919.05.01</t>
  </si>
  <si>
    <t>Страховой маркетинг: Уч. / Под ред. Синяева В.В.-М.:Вуз. уч., НИЦ ИНФРА-М,2023 - 380 с.(П)</t>
  </si>
  <si>
    <t>СТРАХОВОЙ МАРКЕТИНГ, ИЗД.1</t>
  </si>
  <si>
    <t>Жильцова О.Н., Жильцов Д.А., Земляк С.В. и др.</t>
  </si>
  <si>
    <t>978-5-9558-0537-5</t>
  </si>
  <si>
    <t>38.03.01, 38.03.02, 38.04.02, 44.03.01, 44.03.05</t>
  </si>
  <si>
    <t>678848.05.01</t>
  </si>
  <si>
    <t>Страховой надзор в РФ: Уч.пос. / А.А.Ситник - 2 изд. - М.:Юр.Норма, НИЦ ИНФРА-М,2025 - 176 с.(П)</t>
  </si>
  <si>
    <t>СТРАХОВОЙ НАДЗОР В РФ, ИЗД.2</t>
  </si>
  <si>
    <t>Ситник А.А., Рождественская Т.Э., Гузнов А.Г.</t>
  </si>
  <si>
    <t>978-5-00156-133-0</t>
  </si>
  <si>
    <t>678848.01.01</t>
  </si>
  <si>
    <t>Страховой надзор в РФ: Уч.пос. для магистр. / А.А.Ситник - М.:Юр.Норма,НИЦ ИНФРА-М,2018 - 160 с.(П)</t>
  </si>
  <si>
    <t>СТРАХОВОЙ НАДЗОР В РФ, ИЗД.1</t>
  </si>
  <si>
    <t>978-5-91768-898-5</t>
  </si>
  <si>
    <t>734795.04.01</t>
  </si>
  <si>
    <t>Страховой риск: сравнит.-правовое исслед.: Моногр. / М.В.Кратенко - М.:Юр.Норма,НИЦ ИНФРА-М,2026 - 272 с.(П)</t>
  </si>
  <si>
    <t>СТРАХОВОЙ РИСК: СРАВНИТЕЛЬНО-ПРАВОВОЕ ИССЛЕДОВАНИЕ, ИЗД.1</t>
  </si>
  <si>
    <t>978-5-00156-066-1</t>
  </si>
  <si>
    <t>863716.01.01</t>
  </si>
  <si>
    <t>Страховые операции: Уч.пос. / М.В.Кучиева - М.:НИЦ ИНФРА-М,2026. - 88 с.(о)</t>
  </si>
  <si>
    <t>СТРАХОВЫЕ ОПЕРАЦИИ, ИЗД.1</t>
  </si>
  <si>
    <t>978-5-16-021269-2</t>
  </si>
  <si>
    <t>38.03.01, 38.04.01, 38.05.01, 40.05.01</t>
  </si>
  <si>
    <t>803692.09.01</t>
  </si>
  <si>
    <t>Строевой устав Вооруженных Сил РФ - М.:НИЦ ИНФРА-М,2027. - 101 с.(о)</t>
  </si>
  <si>
    <t>СТРОЕВОЙ УСТАВ ВООРУЖЕННЫХ СИЛ РОССИЙСКОЙ ФЕДЕРАЦИИ, ИЗД.1</t>
  </si>
  <si>
    <t>978-5-16-018485-2</t>
  </si>
  <si>
    <t>460150.07.01</t>
  </si>
  <si>
    <t>Строительная механика плоских стерж.: Уч.пос. / Под ред. Трушина С.И. - 2 изд. - М.:НИЦ ИНФРА-М,2025 - 278 с.(п)</t>
  </si>
  <si>
    <t>СТРОИТЕЛЬНАЯ МЕХАНИКА ПЛОСКИХ СТЕРЖНЕВЫХ СИСТЕМ, ИЗД.2</t>
  </si>
  <si>
    <t>Ступишин Л.Ю., Трушин С.И., Трушин С.И.</t>
  </si>
  <si>
    <t>978-5-16-009451-9</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</si>
  <si>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строительный университет» в качестве учебного пособия для студентов ВПО, обучающихся по направлению подг</t>
  </si>
  <si>
    <t>449700.09.01</t>
  </si>
  <si>
    <t>Строительная механика: метод конечных элем.: Уч.пос. / С.И.Трушин - М.:НИЦ ИНФРА-М,2026 - 305 с.(ВО)(П)</t>
  </si>
  <si>
    <t>СТРОИТЕЛЬНАЯ МЕХАНИКА: МЕТОД КОНЕЧНЫХ ЭЛЕМЕНТОВ, ИЗД.1</t>
  </si>
  <si>
    <t>Трушин С.И.</t>
  </si>
  <si>
    <t>978-5-16-011428-6</t>
  </si>
  <si>
    <t>Рекомендовано Учебно-методическим объединением вузов РФ по образованию в области строительства в качестве учебного пособия для подготовки бакалавров по направлению 08.03.01 «Строительство», магистров по направлению 08.04.01 «Строительство» и специалистов по направлению 08.05.01 «Строительство уникальных зданий и сооружений»</t>
  </si>
  <si>
    <t>406050.11.01</t>
  </si>
  <si>
    <t>Строительная теплофизика: Уч. пос. / А.А.Кудинов - М.:НИЦ ИНФРА-М,2026. - 262 с.(ВО)(п)</t>
  </si>
  <si>
    <t>СТРОИТЕЛЬНАЯ ТЕПЛОФИЗИКА, ИЗД.1</t>
  </si>
  <si>
    <t>Кудинов А. А.</t>
  </si>
  <si>
    <t>978-5-16-019184-3</t>
  </si>
  <si>
    <t>Рекомендовано в качестве учебного пособия для студентов высших учебных заведений, обучающихся по направлению подготовки 08.03.01 «Строительство»</t>
  </si>
  <si>
    <t>057200.13.01</t>
  </si>
  <si>
    <t>Строительные конструкции. Расчет и проектир.: Уч. / В.И.Сетков- 3-изд.-М.:НИЦ ИНФРА-М,2017-444с(П)</t>
  </si>
  <si>
    <t>СТРОИТЕЛЬНЫЕ КОНСТРУКЦИИ. РАСЧЕТ И ПРОЕКТИРОВАНИЕ, ИЗД.3</t>
  </si>
  <si>
    <t>Сетков В.И., Сербин Е.П.</t>
  </si>
  <si>
    <t>978-5-16-003989-3</t>
  </si>
  <si>
    <t>08.02.01, 08.02.02, 08.02.03, 08.02.15, 35.02.12</t>
  </si>
  <si>
    <t>Санкт-Петербургский техникум отраслевых технологий, финансов и права</t>
  </si>
  <si>
    <t>057200.25.01</t>
  </si>
  <si>
    <t>Строительные конструкции. Расчет и проектир.: Уч. / Е.П.Сербин - 4 изд. - М.:НИЦ ИНФРА-М,2027 - 447 с.(П)</t>
  </si>
  <si>
    <t>СТРОИТЕЛЬНЫЕ КОНСТРУКЦИИ. РАСЧЕТ И ПРОЕКТИРОВАНИЕ, ИЗД.4</t>
  </si>
  <si>
    <t>Сербин Е.П., Сетков В.И.</t>
  </si>
  <si>
    <t>978-5-16-015382-7</t>
  </si>
  <si>
    <t>073930.20.01</t>
  </si>
  <si>
    <t>Строительные конструкции: Уч.пос. / Е.П.Сербин - М.:ИЦ РИОР, НИЦ ИНФРА-М,2027 - 236 с.(СПО)(О)</t>
  </si>
  <si>
    <t>СТРОИТЕЛЬНЫЕ КОНСТРУКЦИИ, ИЗД.1</t>
  </si>
  <si>
    <t>978-5-369-00011-3</t>
  </si>
  <si>
    <t>08.02.01, 08.02.02, 35.02.12</t>
  </si>
  <si>
    <t>Допущено Госстроем России в качестве учебного пособия для студентов средних специальных учебных заведений, обучающихся по специальности 2902 "Строительство и эксплуатация зданий и сооружений"</t>
  </si>
  <si>
    <t>430600.09.01</t>
  </si>
  <si>
    <t>Строительные материалы..: Уч.-мет.пос. / Я.Н.Ковалев - М.:НИЦ ИНФРА-М.,2025 - 633 с.(ВО)(п)</t>
  </si>
  <si>
    <t>СТРОИТЕЛЬНЫЕ МАТЕРИАЛЫ. ЛАБОРАТОРНЫЙ ПРАКТИКУМ, ИЗД.1</t>
  </si>
  <si>
    <t>Ковалев Я. Н., Галузо Г. С., Змачинский А. Э., Чистова Т. А., Ковалев Я. Н.</t>
  </si>
  <si>
    <t>978-5-16-006406-2</t>
  </si>
  <si>
    <t>Рекомендовано Учебно-методическим объединением по образованию в области строительства и архитектуры в качестве учебно-методического пособия для студентов специальностей 1-70 03 01 «Автомобильные дороги» и 1-70 01 02 «Мосты, транспортные тоннели и метрополитены»</t>
  </si>
  <si>
    <t>707352.10.01</t>
  </si>
  <si>
    <t>Строительные материалы: Уч.пос. / П.С.Красовский - М.: НИЦ ИНФРА-М,2026 - 256 с.(СПО)(П)</t>
  </si>
  <si>
    <t>СТРОИТЕЛЬНЫЕ МАТЕРИАЛЫ, ИЗД.1</t>
  </si>
  <si>
    <t>Красовский П.С.</t>
  </si>
  <si>
    <t>978-5-00091-683-4</t>
  </si>
  <si>
    <t>07.02.01, 08.01.27, 08.01.28, 08.02.01, 08.02.02, 08.02.08, 08.02.12, 08.02.13, 08.02.14, 23.02.08, 35.02.12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</si>
  <si>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3 от 17.02.2020)</t>
  </si>
  <si>
    <t>406300.13.01</t>
  </si>
  <si>
    <t>Строительные материалы: Уч.пос. / П.С.Красовский - М.:Форум, НИЦ ИНФРА-М,2026 - 256 с.(ВО) (П)</t>
  </si>
  <si>
    <t>978-5-00091-665-0</t>
  </si>
  <si>
    <t>08.03.01, 08.04.01, 20.03.02, 35.03.10</t>
  </si>
  <si>
    <t>Рекомендовано в качестве учебного пособия для бакалавров, магистров и специалистов, обучающихся по группе направлений подготовки 08.00.00 «Техника и технологии строительства»</t>
  </si>
  <si>
    <t>687867.14.01</t>
  </si>
  <si>
    <t>Строительные машины: Уч. / А.И.Доценко - М.:НИЦ ИНФРА-М,2027 - 533 с.(СПО)(П)</t>
  </si>
  <si>
    <t>СТРОИТЕЛЬНЫЕ МАШИНЫ, ИЗД.1</t>
  </si>
  <si>
    <t>Доценко А.И., Дронов В.Г.</t>
  </si>
  <si>
    <t>978-5-16-014250-0</t>
  </si>
  <si>
    <t>08.01.27, 08.01.28, 08.01.30, 08.02.01, 08.02.02, 08.02.03, 08.02.04, 08.02.09, 08.02.12</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</si>
  <si>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УГС 08.02.00 «Строительство»</t>
  </si>
  <si>
    <t>144000.17.01</t>
  </si>
  <si>
    <t>Строительные машины: Уч. / А.И.Доценко, - 2 изд. - М.:НИЦ ИНФРА-М,2026. - 400 с.(ВО)(П)</t>
  </si>
  <si>
    <t>СТРОИТЕЛЬНЫЕ МАШИНЫ, ИЗД.2</t>
  </si>
  <si>
    <t>Доценко А.И.</t>
  </si>
  <si>
    <t>978-5-16-021510-5</t>
  </si>
  <si>
    <t>Рекомендовано Учебно-методическим объединением вузов РФ по образованию в области строительства в качестве учебника для студентов, обучающихся по направлению 08.03.01 «Строительство»</t>
  </si>
  <si>
    <t>144000.07.01</t>
  </si>
  <si>
    <t>Строительные машины: Уч. для строит. вузов / А.И.Доценко - М.:НИЦ ИНФРА-М,2018-533с(ВО:Бакалавр.)(П)</t>
  </si>
  <si>
    <t>Доценко А. И., Дронов В. Г.</t>
  </si>
  <si>
    <t>978-5-16-004826-0</t>
  </si>
  <si>
    <t>264600.06.01</t>
  </si>
  <si>
    <t>Строительство автодор. и город.тоннел.: Уч. / Маковский Л.В. - М.:ИЦ РИОР,НИЦ ИНФРА-М,2026 - 397с/(о)</t>
  </si>
  <si>
    <t>СТРОИТЕЛЬСТВО АВТОДОРОЖНЫХ И ГОРОДСКИХ ТОННЕЛЕЙ, ИЗД.1</t>
  </si>
  <si>
    <t>Маковский Л.В., Щекудов Е.В., Петрова Е.Н. и др.</t>
  </si>
  <si>
    <t>978-5-369-01331-1</t>
  </si>
  <si>
    <t>Допущено УМО вузов РФ по образованию в области железнодорожного транспорта и транспортного строительства в качестве учебника для студентов вузов, обучающихся по специальностям «Автомобильные дороги и аэродромы» направления подготовки «Транспортное ст</t>
  </si>
  <si>
    <t>703455.07.01</t>
  </si>
  <si>
    <t>Строительство городских объектов озеленения: Уч. / М.М.Фатиев - М.:Форум,НИЦ ИНФРА-М,2026 - 205 с.(СПО)(П)</t>
  </si>
  <si>
    <t>СТРОИТЕЛЬСТВО ГОРОДСКИХ ОБЪЕКТОВ ОЗЕЛЕНЕНИЯ, ИЗД.1</t>
  </si>
  <si>
    <t>Фатиев М.М.</t>
  </si>
  <si>
    <t>978-5-00091-662-9</t>
  </si>
  <si>
    <t>07.02.01, 35.02.12</t>
  </si>
  <si>
    <t>Рекомендовано Учебно-методическим объединением по образованию в области лесного дела по специальности «Садово-парковое и ландшафтное строительство»</t>
  </si>
  <si>
    <t>403700.14.01</t>
  </si>
  <si>
    <t>Строительство городских объектов озеленения: Уч./М.М.Фатиев - М.: Форум: НИЦ Инфра-М, 2024-208с.(ВО) (п)</t>
  </si>
  <si>
    <t>978-5-91134-682-9</t>
  </si>
  <si>
    <t>08.03.01, 35.03.10, 35.04.09</t>
  </si>
  <si>
    <t>372000.09.01</t>
  </si>
  <si>
    <t>Строительство земл.полотна автом.дорог: Уч.пос. / Ю.Г.Бабаскин - М.:НИЦ ИНФРА-М,2026 - 333 с.(ВО)(п)</t>
  </si>
  <si>
    <t>СТРОИТЕЛЬСТВО ЗЕМЛЯНОГО ПОЛОТНА АВТОМОБИЛЬНЫХ ДОРОГ, ИЗД.1</t>
  </si>
  <si>
    <t>Бабаскин Ю.Г.</t>
  </si>
  <si>
    <t>978-5-16-022430-5</t>
  </si>
  <si>
    <t>07.03.04, 08.03.01, 08.04.01, 08.05.01, 08.05.02, 08.05.03</t>
  </si>
  <si>
    <t>432559.0028.01</t>
  </si>
  <si>
    <t>Строительство и архитектура, 2020, том 8, № 4 (29)</t>
  </si>
  <si>
    <t>СТРОИТЕЛЬСТВО И АРХИТЕКТУРА, 2020, ТОМ 8, № 4 (29), ИЗД.</t>
  </si>
  <si>
    <t>08.03.01, 08.04.01, 08.05.01, 08.05.02, 08.05.03, 08.06.01</t>
  </si>
  <si>
    <t>140950.12.01</t>
  </si>
  <si>
    <t>Строительство и экспл. объектов гор. озеленения: Уч.пос. / М.М.Фатиев - М.:НИЦ ИНФРА-М,2024-238 с.(ВО)(П)</t>
  </si>
  <si>
    <t>СТРОИТЕЛЬСТВО И ЭКСПЛУАТАЦИЯ ОБЪЕКТОВ ГОРОДСКОГО ОЗЕЛЕНЕНИЯ, ИЗД.1</t>
  </si>
  <si>
    <t>Фатиев М. М., Теодоронский В. С.</t>
  </si>
  <si>
    <t>978-5-16-019962-7</t>
  </si>
  <si>
    <t>07.03.01, 07.04.01, 35.03.01, 35.03.10, 35.04.09</t>
  </si>
  <si>
    <t>Рекомендовано Учебно-методическим объединением по образованию в области лесного дела по направлению подготовки 35.03.10 «Ландшафтная архитектура» (квалификация (степень) «бакалавр»)</t>
  </si>
  <si>
    <t>080250.20.01</t>
  </si>
  <si>
    <t>Строительство, реконструкция и ремонт водопровод...: Уч.пос. / В.А.Орлов - М.:НИЦ ИНФРА-М,2026-221с(П)</t>
  </si>
  <si>
    <t>СТРОИТЕЛЬСТВО, РЕКОНСТРУКЦИЯ И РЕМОНТ ВОДОПРОВОДНЫХ И ВОДООТВОДЯЩИХ СЕТЕЙ БЕСТРАНШЕЙНЫМИ МЕТОДАМИ, ИЗД.1</t>
  </si>
  <si>
    <t>Орлов В.А., Орлов Е.В.</t>
  </si>
  <si>
    <t>978-5-16-012603-6</t>
  </si>
  <si>
    <t>08.01.29, 08.02.02, 08.02.04, 08.02.14, 18.01.27, 19.01.01</t>
  </si>
  <si>
    <t>Допущено Федеральным агентством по строительству и жилищно-коммунальному хозяйству в качестве учебного пособия для студентов средних специальных учебных заведений, обучающихся по направлению (специальности) 08.02.04 «Водоснабжение и водоотведение»</t>
  </si>
  <si>
    <t>324800.04.01</t>
  </si>
  <si>
    <t>Структура и свойства неметал. материалов: Уч.пос. / Г.В.Пачурин-М.:Форум, НИЦ ИНФРА-М,2024.-104 с.(ВО)(о)</t>
  </si>
  <si>
    <t>СТРУКТУРА И СВОЙСТВА НЕМЕТАЛЛИЧЕСКИХ МАТЕРИАЛОВ, ИЗД.1</t>
  </si>
  <si>
    <t>Пачурин Г.В., Горшкова Т.А., Шевченко С.М. и др.</t>
  </si>
  <si>
    <t>978-5-00091-010-8</t>
  </si>
  <si>
    <t>15.03.01, 15.03.05, 20.03.01</t>
  </si>
  <si>
    <t>706118.03.01</t>
  </si>
  <si>
    <t>Структура и функции Центрального банка РФ: Уч. / А.А.Казимагомедов - М.:НИЦ ИНФРА-М,2026 - 204 с.(СПО)(П)</t>
  </si>
  <si>
    <t>СТРУКТУРА И ФУНКЦИИ ЦЕНТРАЛЬНОГО БАНКА РОССИЙСКОЙ ФЕДЕРАЦИИ, ИЗД.1</t>
  </si>
  <si>
    <t>978-5-16-015228-8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</si>
  <si>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38.02.06 «Финансы», 38.02.07 «Банковское дело» (протокол № 19 от 09.12.2019)</t>
  </si>
  <si>
    <t>647306.03.01</t>
  </si>
  <si>
    <t>Структура машин, механизмов и конструкций: Уч.пос. / А.И.Смелягин - М.:НИЦ ИНФРА-М,2025. - 387 с.(ВО)(П)</t>
  </si>
  <si>
    <t>СТРУКТУРА МАШИН, МЕХАНИЗМОВ И КОНСТРУКЦИЙ, ИЗД.1</t>
  </si>
  <si>
    <t>Смелягин А.И.</t>
  </si>
  <si>
    <t>978-5-16-013674-5</t>
  </si>
  <si>
    <t>11.03.03, 12.03.01, 12.03.02, 12.03.04, 12.03.05, 15.03.01, 15.03.05, 15.03.06, 16.03.02, 18.03.01, 18.03.02, 19.03.02, 21.05.04, 23.03.02, 23.03.03, 24.03.01, 24.03.05, 28.03.01, 28.03.02, 29.03.02, 29.03.03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</si>
  <si>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бакалавриата и специалитета (протокол № 9 от 13.05.2019)</t>
  </si>
  <si>
    <t>365900.08.01</t>
  </si>
  <si>
    <t>Структурная геология: Уч. / А.В.Тевелев - 2 изд. - М.:НИЦ ИНФРА-М,2027 - 342 с.(ВО)(п)</t>
  </si>
  <si>
    <t>СТРУКТУРНАЯ ГЕОЛОГИЯ, ИЗД.2</t>
  </si>
  <si>
    <t>Тевелев А.В.</t>
  </si>
  <si>
    <t>978-5-16-020159-7</t>
  </si>
  <si>
    <t>05.03.01, 21.02.09, 21.02.10</t>
  </si>
  <si>
    <t>Рекомендовано Учебно-методическим объединением по классическому университетскому образованию в качестве учебника для студентов, обучающихся по направлению 05.03.01 «Геология»</t>
  </si>
  <si>
    <t>824452.03.01</t>
  </si>
  <si>
    <t>Структурная модерн. рос. экономики: угрозы...: Моногр. / М.В.Дубовик - М.:НИЦ ИНФРА-М,2026 - 225 с.-(Науч.мысль)(п)</t>
  </si>
  <si>
    <t>СТРУКТУРНАЯ МОДЕРНИЗАЦИЯ РОССИЙСКОЙ ЭКОНОМИКИ: УГРОЗЫ, ВОЗМОЖНОСТИ,  ПЕРСПЕКТИВЫ, ИЗД.1</t>
  </si>
  <si>
    <t>Дубовик М.В., Осипов В.С., Бондаренко Н.Е. и др.</t>
  </si>
  <si>
    <t>978-5-16-019911-5</t>
  </si>
  <si>
    <t>464900.06.01</t>
  </si>
  <si>
    <t>Структурно-планиров. реорганиз.совр. городов: Уч.пос./Д.Б.Веретенников -М:НИЦ ИНФРА-М,2024-88с(ВО)(о)</t>
  </si>
  <si>
    <t>СТРУКТУРНО-ПЛАНИРОВОЧНАЯ РЕОРГАНИЗАЦИЯ СОВРЕМЕННЫХ ГОРОДОВ, ИЗД.1</t>
  </si>
  <si>
    <t>978-5-16-018883-6</t>
  </si>
  <si>
    <t>Рекомендовано в качестве учебного пособия для студентов высших учебных заведений, обучающихся по направлению подготовки 07.03.01 «Архитектура»</t>
  </si>
  <si>
    <t>341300.06.01</t>
  </si>
  <si>
    <t>Структурообразование в системах при производстве..: Уч.пос. / Л.Н.Попов - М.:НИЦ ИНФРА-М,2025 - 61 с.(О)</t>
  </si>
  <si>
    <t>СТРУКТУРООБРАЗОВАНИЕ В СИСТЕМАХ ПРИ ПРОИЗВОДСТВЕ СТРОИТЕЛЬНЫХ МАТЕРИАЛОВ, ИЗД.1</t>
  </si>
  <si>
    <t>Попов Л.Н., Аликина И.Б., Усов Б.А.</t>
  </si>
  <si>
    <t>978-5-16-010755-4</t>
  </si>
  <si>
    <t>465100.07.01</t>
  </si>
  <si>
    <t>Структуроформирование мегаполисов: Уч.пос. / Д.Б.Веретенников - М.:НИЦ ИНФРА-М,2025 -112 с.(ВО)(о)</t>
  </si>
  <si>
    <t>СТРУКТУРОФОРМИРОВАНИЕ МЕГАПОЛИСОВ, ИЗД.1</t>
  </si>
  <si>
    <t>978-5-16-016115-0</t>
  </si>
  <si>
    <t>Рекомендовано в качестве учебного пособия для студентов высших учебных заведений, обучающихся по специальности 07.04.01 «Архитектура»</t>
  </si>
  <si>
    <t>226500.12.01</t>
  </si>
  <si>
    <t>Структуры и алгоритмы обработки данных: Уч. пос. / В.Д. Колдаев. - ИЦ РИОР: ИНФРА-М, 2026 - 296 с.(ВО) (п)</t>
  </si>
  <si>
    <t>СТРУКТУРЫ И АЛГОРИТМЫ ОБРАБОТКИ ДАННЫХ, ИЗД.1</t>
  </si>
  <si>
    <t>978-5-369-01264-2</t>
  </si>
  <si>
    <t>09.03.01, 09.03.03, 09.03.04, 09.04.01, 09.04.03</t>
  </si>
  <si>
    <t>Рекомендовано Научно-методическим советом Национальното исследовательского университета Московского института электронной техники в качестве учебного пособия для студентов, обучающихся по специальностям: 230105 «Программное обеспечение вычислительной</t>
  </si>
  <si>
    <t>298800.04.01</t>
  </si>
  <si>
    <t>Студент вуза: технологии и орг. обуч. в вузе: Уч. / С.Д.Резник - 4 изд.-М.:НИЦ ИНФРА-М,2019-366с(ВО)</t>
  </si>
  <si>
    <t>СТУДЕНТ ВУЗА: ТЕХНОЛОГИИ И ОРГАНИЗАЦИЯ ОБУЧЕНИЯ В ВУЗЕ, ИЗД.4</t>
  </si>
  <si>
    <t>Резник С.Д., Резник С.Д.</t>
  </si>
  <si>
    <t>978-5-16-010134-7</t>
  </si>
  <si>
    <t>298800.08.01</t>
  </si>
  <si>
    <t>Студент вуза: технологии и орг. обуч: Уч. / С.Д.Резник - 5 изд.-М.:НИЦ ИНФРА-М,2024-391с(ВО)</t>
  </si>
  <si>
    <t>СТУДЕНТ ВУЗА: ТЕХНОЛОГИИ И ОРГАНИЗАЦИЯ ОБУЧЕНИЯ, ИЗД.5</t>
  </si>
  <si>
    <t>978-5-16-014782-6</t>
  </si>
  <si>
    <t>Допущено Советом Учебно-методического объединения вузов России по образованию в области менеджмента в качестве учебника для студентов высших учебных заведений, обучающихся по направлению подготовки 38.03.02 «Менеджмент» (квалификация (степень) «Бакалавр»)</t>
  </si>
  <si>
    <t>298800.10.01</t>
  </si>
  <si>
    <t>Студент вуза: технологии успеш. обучения: Уч. / С.Д.Резник - 6 изд. - М.:НИЦ ИНФРА-М,2025. - 341 с.(ВО)(п)</t>
  </si>
  <si>
    <t>СТУДЕНТ ВУЗА: ТЕХНОЛОГИИ УСПЕШНОГО ОБУЧЕНИЯ, ИЗД.6</t>
  </si>
  <si>
    <t>978-5-16-020326-3</t>
  </si>
  <si>
    <t>699204.05.01</t>
  </si>
  <si>
    <t>Студенты России: жизненные приоритеты...: Моногр. / С.Д.Резник -  2 изд. - М.:НИЦ ИНФРА-М,2024-242с(О)</t>
  </si>
  <si>
    <t>СТУДЕНТЫ РОССИИ: ЖИЗНЕННЫЕ ПРИОРИТЕТЫ И СОЦИАЛЬНАЯ УСТОЙЧИВОСТЬ, ИЗД.2</t>
  </si>
  <si>
    <t>Резник С.Д., Черниковская М.В.</t>
  </si>
  <si>
    <t>978-5-16-014743-7</t>
  </si>
  <si>
    <t>694887.04.01</t>
  </si>
  <si>
    <t>Студенческий корпоративизм: испытания на прочность: Моногр. / Л.О.Терновая - М.:НИЦ ИНФРА-М,2025 - 383 с.(п)</t>
  </si>
  <si>
    <t>СТУДЕНЧЕСКИЙ КОРПОРАТИВИЗМ: ИСПЫТАНИЯ НА ПРОЧНОСТЬ, ИЗД.1</t>
  </si>
  <si>
    <t>978-5-16-014587-7</t>
  </si>
  <si>
    <t>39.03.03, 39.04.02, 39.04.03</t>
  </si>
  <si>
    <t>681314.05.01</t>
  </si>
  <si>
    <t>Субъективные права и обязан.в частном и публ.праве: Моногр. / Т.А.Солодовниченко-М.:НИЦ ИНФРА-М,2023-111с(О)</t>
  </si>
  <si>
    <t>СУБЪЕКТИВНЫЕ ПРАВА И ОБЯЗАННОСТИ В ЧАСТНОМ И ПУБЛИЧНОМ ПРАВЕ, ИЗД.1</t>
  </si>
  <si>
    <t>Солодовниченко Т.А.</t>
  </si>
  <si>
    <t>978-5-16-013795-7</t>
  </si>
  <si>
    <t>749701.03.01</t>
  </si>
  <si>
    <t>Суд и право: евразийская интеграция: Моногр. / Т.Н.Нешатаева - М.:Юр. НОРМА, НИЦ ИНФРА-М,2024 - 336 с.(П)</t>
  </si>
  <si>
    <t>СУД И ПРАВО: ЕВРАЗИЙСКАЯ ИНТЕГРАЦИЯ, ИЗД.1</t>
  </si>
  <si>
    <t>Нешатаева Т.Н.</t>
  </si>
  <si>
    <t>978-5-00156-141-5</t>
  </si>
  <si>
    <t>782711.03.01</t>
  </si>
  <si>
    <t>Судебная автороведческая экспертиза: Уч.пос. / Т.П.Соколова - М.:Юр. НОРМА, НИЦ ИНФРА-М,2026. - 368 с.(п)</t>
  </si>
  <si>
    <t>СУДЕБНАЯ АВТОРОВЕДЧЕСКАЯ ЭКСПЕРТИЗА, ИЗД.1</t>
  </si>
  <si>
    <t>Соколова Т.П., Чубина Е.А.</t>
  </si>
  <si>
    <t>978-5-00156-251-1</t>
  </si>
  <si>
    <t>781791.01.01</t>
  </si>
  <si>
    <t>Судебная баллистика: рус.-англ. и англ.-рус. сл.: Словарь / А.В.Кокин-М.:НИЦ ИНФРА-М,2024.-486 с.(п)</t>
  </si>
  <si>
    <t>СУДЕБНАЯ БАЛЛИСТИКА: РУССКО-АНГЛИЙСКИЙ И АНГЛО-РУССКИЙ СЛОВАРЬ, ИЗД.1</t>
  </si>
  <si>
    <t>978-5-16-017798-4</t>
  </si>
  <si>
    <t>40.03.01, 40.04.01, 40.05.03</t>
  </si>
  <si>
    <t>158100.08.01</t>
  </si>
  <si>
    <t>Судебная защита исключительных прав..: Моногр./Ю.Н.Андреев-М.:Юр.Норма, ИНФРА-М Изд. Дом,2022.-400 с.(П)</t>
  </si>
  <si>
    <t>СУДЕБНАЯ ЗАЩИТА ИСКЛЮЧИТЕЛЬНЫХ ПРАВ: ЦИВИЛИСТИЧЕСКИЕ АСПЕКТЫ, ИЗД.1</t>
  </si>
  <si>
    <t>978-5-91768-203-7</t>
  </si>
  <si>
    <t>692964.08.01</t>
  </si>
  <si>
    <t>Судебная лингвист. экспертиза рекламы: Моногр. / Е.А.Чубина - М.:Юр.Норма,НИЦ ИНФРА-М,2026 -192 с(П)</t>
  </si>
  <si>
    <t>СУДЕБНАЯ ЛИНГВИСТИЧЕСКАЯ ЭКСПЕРТИЗА РЕКЛАМЫ, ИЗД.1</t>
  </si>
  <si>
    <t>Чубина Е.А.</t>
  </si>
  <si>
    <t>978-5-91768-962-3</t>
  </si>
  <si>
    <t>079700.20.01</t>
  </si>
  <si>
    <t>Судебная медицина и психиатрия: Уч. / А.В.Датий - 3 изд. - М.:ИЦ РИОР, НИЦ ИНФРА-М,2026 - 294 с.(ВО)(П)</t>
  </si>
  <si>
    <t>СУДЕБНАЯ МЕДИЦИНА И ПСИХИАТРИЯ, ИЗД.3</t>
  </si>
  <si>
    <t>Датий А. В.</t>
  </si>
  <si>
    <t>978-5-369-01091-4</t>
  </si>
  <si>
    <t>31.05.01, 31.05.02, 32.04.01, 32.05.01, 40.03.01, 40.04.01, 40.05.01, 40.05.02, 40.05.03, 40.05.04</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</si>
  <si>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"Юриспруденция" и направлению "Юриспруденция"</t>
  </si>
  <si>
    <t>061240.11.01</t>
  </si>
  <si>
    <t>Судебная медицина и психиатрия: Уч. пос. / А.В.Датий - 2 изд. - М.:ИЦ РИОР,НИЦ ИНФРА-М,2026 - 152 с.(ВО)(о)</t>
  </si>
  <si>
    <t>СУДЕБНАЯ МЕДИЦИНА И ПСИХИАТРИЯ, ИЗД.2</t>
  </si>
  <si>
    <t>978-5-369-01530-8</t>
  </si>
  <si>
    <t>31.05.01, 31.05.02, 32.05.01, 40.03.01, 40.05.01, 40.05.02, 40.05.03, 40.05.04</t>
  </si>
  <si>
    <t>185550.10.01</t>
  </si>
  <si>
    <t>Судебная медицина: Лекции / В.С. Пауков. - М.: Норма: НИЦ Инфра-М, 2027 - 288 с (о)</t>
  </si>
  <si>
    <t>СУДЕБНАЯ МЕДИЦИНА: ЛЕКЦИИ, ИЗД.1</t>
  </si>
  <si>
    <t>Пауков В. С.</t>
  </si>
  <si>
    <t>978-5-91768-288-4</t>
  </si>
  <si>
    <t>31.05.01, 31.05.02, 32.05.01, 40.03.01, 40.04.01, 40.05.01, 40.05.02, 40.05.03, 40.05.04</t>
  </si>
  <si>
    <t>Московская академия экономики и права</t>
  </si>
  <si>
    <t>717483.12.01</t>
  </si>
  <si>
    <t>Судебная медицина: Уч. / И.В.Буромский - 2 изд. - М.:Юр. НОРМА, НИЦ ИНФРА-М,2025. - 632 с.(п)</t>
  </si>
  <si>
    <t>СУДЕБНАЯ МЕДИЦИНА, ИЗД.2</t>
  </si>
  <si>
    <t>Буромский И.В., Макаров И.Ю., Кильдюшов Е.М. и др.</t>
  </si>
  <si>
    <t>978-5-00156-375-4</t>
  </si>
  <si>
    <t>717483.13.01</t>
  </si>
  <si>
    <t>Судебная медицина: Уч. / И.В.Буромский - 3 изд. - М.:Юр. НОРМА, НИЦ ИНФРА-М,2026. - 604 с.(п)</t>
  </si>
  <si>
    <t>СУДЕБНАЯ МЕДИЦИНА, ИЗД.3</t>
  </si>
  <si>
    <t>978-5-00156-463-8</t>
  </si>
  <si>
    <t>717483.09.01</t>
  </si>
  <si>
    <t>Судебная медицина: Уч. / И.В.Буромский и др. - М.:Юр.Норма, НИЦ ИНФРА-М,2023 - 688 с.(П)</t>
  </si>
  <si>
    <t>СУДЕБНАЯ МЕДИЦИНА, ИЗД.1</t>
  </si>
  <si>
    <t>978-5-00156-015-9</t>
  </si>
  <si>
    <t>049200.19.01</t>
  </si>
  <si>
    <t>Судебная медицина: Уч. / Под ред. В.Н. Крюкова. - 2 изд. - М.:Норма: НИЦ ИНФРА-М, 2026. - 432 с.(п)</t>
  </si>
  <si>
    <t>Крюков В.Н.</t>
  </si>
  <si>
    <t>978-5-91768-248-8</t>
  </si>
  <si>
    <t>Рекомендовано Учебно-методическим объединением образовательных учреждений профессионального образования в области судебной экспертизы в качестве учебника для студентов высших учебных заведений, обучающихся по специальности "Судебная экспертиза"</t>
  </si>
  <si>
    <t>811916.02.01</t>
  </si>
  <si>
    <t>Судебная налоговая экспертиза: Уч.пос. / В.А.Тимченко, - 2 изд. - М.:НИЦ ИНФРА-М,2026. - 186 с.(ВО)(п)</t>
  </si>
  <si>
    <t>СУДЕБНАЯ НАЛОГОВАЯ ЭКСПЕРТИЗА, ИЗД.2</t>
  </si>
  <si>
    <t>Тимченко В.А.</t>
  </si>
  <si>
    <t>978-5-16-020785-8</t>
  </si>
  <si>
    <t>648390.12.01</t>
  </si>
  <si>
    <t>Судебная почерковедческая экспертиза: Уч.пос. / И.Н.Подволоцкий - М.:Юр.Норма, НИЦ ИНФРА-М,2026 - 272 с.(П)</t>
  </si>
  <si>
    <t>СУДЕБНАЯ ПОЧЕРКОВЕДЧЕСКАЯ ЭКСПЕРТИЗА, ИЗД.1</t>
  </si>
  <si>
    <t>Подволоцкий И.Н.</t>
  </si>
  <si>
    <t>978-5-91768-799-5</t>
  </si>
  <si>
    <t>658966.04.01</t>
  </si>
  <si>
    <t>Судебная практика в механиз.прав.монитор.: Науч.-практ.пос. / М.Е.Глазкова - М.:НИЦ ИНФРА-М,ИЗиСП,2022-168с(О)</t>
  </si>
  <si>
    <t>СУДЕБНАЯ ПРАКТИКА В МЕХАНИЗМЕ ПРАВОВОГО МОНИТОРИНГА, ИЗД.1</t>
  </si>
  <si>
    <t>Глазкова М.Е., Павлушкин А.В., Севальнев В.В. и др.</t>
  </si>
  <si>
    <t>978-5-16-012886-3</t>
  </si>
  <si>
    <t>656123.05.01</t>
  </si>
  <si>
    <t>Судебная практика в совр. правовой сист. России / Т.Я.Хабриева-М.:Юр.Норма,НИЦ ИНФРА-М,2024-432с.(П)</t>
  </si>
  <si>
    <t>СУДЕБНАЯ ПРАКТИКА В СОВРЕМЕННОЙ ПРАВОВОЙ СИСТЕМЕ РОССИИ, ИЗД.1</t>
  </si>
  <si>
    <t>978-5-91768-835-0</t>
  </si>
  <si>
    <t>003921.23.01</t>
  </si>
  <si>
    <t>Судебная психиатрия: Уч. для вузов / Н.М. Жариков - 6 изд. - М.: Норма:НИЦ ИНФРА-М, 2025 - 632с.(п)</t>
  </si>
  <si>
    <t>СУДЕБНАЯ ПСИХИАТРИЯ, ИЗД.6</t>
  </si>
  <si>
    <t>Хритинин Д.Ф., Котов В.П., Полубинская С.В.</t>
  </si>
  <si>
    <t>978-5-91768-607-3</t>
  </si>
  <si>
    <t>31.05.01, 31.08.10, 31.08.20, 31.08.24, 33.05.01, 40.03.01, 40.04.01, 40.05.01, 40.05.02, 40.05.03, 40.05.04</t>
  </si>
  <si>
    <t>Рекомендовано Учебно-методическим объединением по медицинскому и фармацевтическому образованию в качестве учебника для студентов медицинских вузов</t>
  </si>
  <si>
    <t>650832.10.01</t>
  </si>
  <si>
    <t>Судебная фотография и видеозапись: Уч. / Г.П.Шамаев - М.:Юр.Норма, НИЦ ИНФРА-М,2023 - 528 с.(П)</t>
  </si>
  <si>
    <t>СУДЕБНАЯ ФОТОГРАФИЯ И ВИДЕОЗАПИСЬ, ИЗД.1</t>
  </si>
  <si>
    <t>Шамаев Г.П.</t>
  </si>
  <si>
    <t>978-5-91768-811-4</t>
  </si>
  <si>
    <t>766865.02.01</t>
  </si>
  <si>
    <t>Судебная экономическая экспертиза. Сб. задач.. Прак.: Уч.пос. / Н.Г.Гаджиев - М.:НИЦ ИНФРА-М,2024-167 с.(ВО)(П)</t>
  </si>
  <si>
    <t>СУДЕБНАЯ ЭКОНОМИЧЕСКАЯ ЭКСПЕРТИЗА. СБОРНИК ЗАДАЧ, СИТУАЦИЙ, ТЕСТОВ, ИЗД.1</t>
  </si>
  <si>
    <t>Гаджиев Н.Г., Киселева О.В., Коноваленко С.А. и др.</t>
  </si>
  <si>
    <t>978-5-16-017335-1</t>
  </si>
  <si>
    <t>Рекомендовано Межрегиональным учебно-методическим советом профессионального образования в качестве учебного пособия для курсантов, студентов, обучающихся в высших учебных заведениях по специальностям 38.05.01 «Экономическая безопасность» (квалификация «экономист»), 40.05.03 «Судебная экспертиза» (квалификация «судебный эксперт») (протокол № 1 от 12.01.2022)</t>
  </si>
  <si>
    <t>734289.07.01</t>
  </si>
  <si>
    <t>Судебная экономическая экспертиза: Уч. / Н.Г.Гаджиев. - М.:НИЦ ИНФРА-М,2026. - 200 с.(ВО)(П)</t>
  </si>
  <si>
    <t>СУДЕБНАЯ ЭКОНОМИЧЕСКАЯ ЭКСПЕРТИЗА, ИЗД.1</t>
  </si>
  <si>
    <t>Гаджиев Н.Г., Скрипкина О.В., Киселева О.В. и др.</t>
  </si>
  <si>
    <t>978-5-16-020696-7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</si>
  <si>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специальностям 38.05.01 «Экономическая безопасность» (квалификация «экономист»), 40.05.03 «Судебная экспертиза» (квалификация «судебный эксперт») (протокол № 2 от 17.02.2021)</t>
  </si>
  <si>
    <t>777231.01.01</t>
  </si>
  <si>
    <t>Судебная экономическая экспертиза: Уч.пос. / Е.В.Батурина-М.:НИЦ ИНФРА-М,2024.-515 с.(ВО.Сп)(п)</t>
  </si>
  <si>
    <t>978-5-16-018089-2</t>
  </si>
  <si>
    <t>058500.18.01</t>
  </si>
  <si>
    <t>Судебная экспертиза в гражд.,арбитр.,адм..: Моногр. / Е.Р.Россинская - 4 изд. - НОРМА:НИЦ ИНФРА-М,2026 - 576 с.(П)</t>
  </si>
  <si>
    <t>СУДЕБНАЯ ЭКСПЕРТИЗА В ГРАЖДАНСКОМ, АРБИТРАЖНОМ, АДМИНИСТРАТИВНОМ И УГОЛОВНОМ ПРОЦЕССЕ, ИЗД.4</t>
  </si>
  <si>
    <t>978-5-91768-955-5</t>
  </si>
  <si>
    <t>860944.02.01</t>
  </si>
  <si>
    <t>Судебная экспертиза в российском правосудии: Уч. / В.А.Прорвич-М.:НИЦ ИНФРА-М,2025.- 504 с.(п)</t>
  </si>
  <si>
    <t>СУДЕБНАЯ ЭКСПЕРТИЗА В РОССИЙСКОМ ПРАВОСУДИИ, ИЗД.1</t>
  </si>
  <si>
    <t>Прорвич В.А.</t>
  </si>
  <si>
    <t>978-5-16-021378-1</t>
  </si>
  <si>
    <t>38.04.01, 40.05.01, 40.05.02, 40.05.03, 40.05.04</t>
  </si>
  <si>
    <t>789310.01.01</t>
  </si>
  <si>
    <t>Судебная экспертиза контролируемых веществ: Уч. / Под ред. Ивановой Е.В.-М.:НИЦ ИНФРА-М,2023.-377 с.(ВО)(п)</t>
  </si>
  <si>
    <t>СУДЕБНАЯ ЭКСПЕРТИЗА КОНТРОЛИРУЕМЫХ ВЕЩЕСТВ, ИЗД.1</t>
  </si>
  <si>
    <t>Иванова Е.В., Майорова Е.И., Антихович О.К. и др.</t>
  </si>
  <si>
    <t>978-5-16-018018-2</t>
  </si>
  <si>
    <t>40.05.01, 40.05.03</t>
  </si>
  <si>
    <t>072260.15.01</t>
  </si>
  <si>
    <t>Судебная экспертиза: Курс общей теории: Моногр. / Т.В.Аверьянова - М.:Юр.Норма, НИЦ ИНФРА-М,2025 - 480 с.(П)</t>
  </si>
  <si>
    <t>СУДЕБНАЯ ЭКСПЕРТИЗА: КУРС ОБЩЕЙ ТЕОРИИ, ИЗД.1</t>
  </si>
  <si>
    <t>Аверьянова Т. В.</t>
  </si>
  <si>
    <t>978-5-91768-013-2</t>
  </si>
  <si>
    <t>Рекомендовано Учебно-методическим объединением образовательных учреждений профессионального образования в области судебной экспертизы для использования в учебном процессе по специальности  "Судебная экспертиза"</t>
  </si>
  <si>
    <t>823232.05.01</t>
  </si>
  <si>
    <t>Судебная юриспруденция...: Моногр. / Н.С.Бондарь - М.:Юр. НОРМА, НИЦ ИНФРА-М,2026. - 384 с.(п)</t>
  </si>
  <si>
    <t>СУДЕБНАЯ ЮРИСПРУДЕНЦИЯ: ОТ ДОКТРИНЫ К ЕДИНООБРАЗИЮ СУДЕБНОЙ ПРАКТИКИ, ИЗД.1</t>
  </si>
  <si>
    <t>Бондарь Н.С., Белякова А.В., Гаджиев Х.И. и др.</t>
  </si>
  <si>
    <t>978-5-00156-362-4</t>
  </si>
  <si>
    <t>771489.04.01</t>
  </si>
  <si>
    <t>Судебно-бухгалтерская экспертиза: Уч. / В.А.Тимченко - М.:НИЦ ИНФРА-М,2026. - 244 с.(ВО: Спец.)(П)</t>
  </si>
  <si>
    <t>СУДЕБНО-БУХГАЛТЕРСКАЯ ЭКСПЕРТИЗА, ИЗД.1</t>
  </si>
  <si>
    <t>978-5-16-017469-3</t>
  </si>
  <si>
    <t>717492.05.01</t>
  </si>
  <si>
    <t>Судебное речеведение: Уч. / Е.И.Галяшина - М.:Юр. НОРМА, НИЦ ИНФРА-М,2025. - 320 с.(П)</t>
  </si>
  <si>
    <t>СУДЕБНОЕ РЕЧЕВЕДЕНИЕ, ИЗД.1</t>
  </si>
  <si>
    <t>Галяшина Е.И.</t>
  </si>
  <si>
    <t>978-5-00156-016-6</t>
  </si>
  <si>
    <t>795914.01.01</t>
  </si>
  <si>
    <t>Судебно-мед. экспертиза в гражданском судопроизвод.: Моногр. / Е.Х.Баринов-М.:НИЦ ИНФРА-М,2024.-188 с.(п)</t>
  </si>
  <si>
    <t>СУДЕБНО-МЕДИЦИНСКАЯ ЭКСПЕРТИЗА В ГРАЖДАНСКОМ СУДОПРОИЗВОДСТВЕ: ПРЕДМЕТНАЯ ОБЛАСТЬ, ПРЕДЕЛЫ И ПУТИ СОВЕРШЕНСТВОВАНИЯ, ИЗД.1</t>
  </si>
  <si>
    <t>Баринов Е.Х., Калинин Р.Э., Каменева К.Ю.</t>
  </si>
  <si>
    <t>978-5-16-018287-2</t>
  </si>
  <si>
    <t>068450.13.01</t>
  </si>
  <si>
    <t>Судебно-мед. экспертиза. Термины..: Сл. / И.В.Буромский - М.:Юр.Норма, НИЦ ИНФРА-М,2026 - 256 с.(О)</t>
  </si>
  <si>
    <t>СУДЕБНО-МЕДИЦИНСКАЯ ЭКСПЕРТИЗА. ТЕРМИНЫ И ПОНЯТИЯ, ИЗД.1</t>
  </si>
  <si>
    <t>Буромский И.В., Клевно В.А., Пашинян Г.А.</t>
  </si>
  <si>
    <t>Словари для юристов-профессионалов</t>
  </si>
  <si>
    <t>978-5-91768-249-5</t>
  </si>
  <si>
    <t>31.05.01, 31.05.02, 31.05.03, 32.05.01, 33.05.01, 34.03.01, 40.03.01, 40.04.01, 40.05.02</t>
  </si>
  <si>
    <t>864008.01.01</t>
  </si>
  <si>
    <t>Судебно-мед.. диагностика давности наступл. смерти детей../ Е.М.Кильдюшов -М.:Юр. НОРМА, НИЦ ИНФРА-М,2026.-80 с.(о)</t>
  </si>
  <si>
    <t>СУДЕБНО-МЕДИЦИНСКАЯ ДИАГНОСТИКА ДАВНОСТИ НАСТУПЛЕНИЯ СМЕРТИ ДЕТЕЙ ПО ДИНАМИКЕ ПОКАЗАТЕЛЕЙ ВНУТРИГЛАЗНОГО ДАВЛЕНИЯ, ИЗД.1</t>
  </si>
  <si>
    <t>Кильдюшов Е.М., Услонцев Д.Н., Соколова З.Ю. и др.</t>
  </si>
  <si>
    <t>978-5-00156-455-3</t>
  </si>
  <si>
    <t>31.05.01, 31.05.02, 31.05.03, 32.05.01, 40.03.01, 40.05.01, 40.05.02, 40.05.03</t>
  </si>
  <si>
    <t>682623.03.01</t>
  </si>
  <si>
    <t>Судебно-экологическая экспертиза: Уч.пос. / Е.И.Майорова - М.:НИЦ ИНФРА-М,2025. - 197 с.(ВО)(п)</t>
  </si>
  <si>
    <t>СУДЕБНО-ЭКОЛОГИЧЕСКАЯ ЭКСПЕРТИЗА, ИЗД.1</t>
  </si>
  <si>
    <t>Майорова Е.И.</t>
  </si>
  <si>
    <t>978-5-16-020934-0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</si>
  <si>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естественно-научным направлениям подготовки (квалификация (степень) «бакалавр») (протокол № 19 от 09.12.2019)</t>
  </si>
  <si>
    <t>645480.10.01</t>
  </si>
  <si>
    <t>Судебно-экспертная деят.: правовое, теор...: Уч. / Е.Р.Россинская - М.:Юр.Норма, НИЦ ИНФРА-М,2026 - 400 с.(П)</t>
  </si>
  <si>
    <t>СУДЕБНО-ЭКСПЕРТНАЯ ДЕЯТЕЛЬНОСТЬ: ПРАВОВОЕ, ТЕОРЕТИЧЕСКОЕ И ОРГАНИЗАЦИОННОЕ ОБЕСПЕЧЕНИЕ, ИЗД.1</t>
  </si>
  <si>
    <t>978-5-91768-790-2</t>
  </si>
  <si>
    <t>37.05.01, 40.03.01, 40.04.01, 40.05.01, 40.05.02, 40.05.03, 40.05.04</t>
  </si>
  <si>
    <t>871015.01.01</t>
  </si>
  <si>
    <t>Судебные доказательства по уголовным делам: Моногр. / А.В.Смирнов - М.:Юр. НОРМА, НИЦ ИНФРА-М,2026. - 376 с.(п)</t>
  </si>
  <si>
    <t>СУДЕБНЫЕ ДОКАЗАТЕЛЬСТВА ПО УГОЛОВНЫМ ДЕЛАМ, ИЗД.1</t>
  </si>
  <si>
    <t>Смирнов А.В.</t>
  </si>
  <si>
    <t>978-5-00156-473-7</t>
  </si>
  <si>
    <t>746319.10.01</t>
  </si>
  <si>
    <t>Судебные доктрины в российском праве: теор. и практ. / В.В.Лазарев - М.:Юр.Норма, НИЦ ИНФРА-М,2027 - 344 с.(П)</t>
  </si>
  <si>
    <t>СУДЕБНЫЕ ДОКТРИНЫ В РОССИЙСКОМ ПРАВЕ: ТЕОРИЯ И ПРАКТИКА, ИЗД.1</t>
  </si>
  <si>
    <t>Лазарев В.В., Гаджиев Х. и др.</t>
  </si>
  <si>
    <t>978-5-00156-110-1</t>
  </si>
  <si>
    <t>670760.07.01</t>
  </si>
  <si>
    <t>Судебные системы зарубежных стран: Уч.пос. / А.Т.Гольцов. - М.:Юр.Норма, НИЦ ИНФРА-М,2026 - 160 с.(П)</t>
  </si>
  <si>
    <t>СУДЕБНЫЕ СИСТЕМЫ ЗАРУБЕЖНЫХ СТРАН, ИЗД.1</t>
  </si>
  <si>
    <t>Гольцов А.Т., Сушина Т.Е., Осипов А.Л. и др.</t>
  </si>
  <si>
    <t>978-5-91768-871-8</t>
  </si>
  <si>
    <t>141250.10.01</t>
  </si>
  <si>
    <t>Судебный конституционализм:доктрина..: Моногр. / Н.С.Бондарь - 2 изд. - М.:Юр.Норма,НИЦ ИНФРА-М,2026 - 528 с.(п)</t>
  </si>
  <si>
    <t>СУДЕБНЫЙ КОНСТИТУЦИОНАЛИЗМ: ДОКТРИНА И ПРАКТИКА, ИЗД.2</t>
  </si>
  <si>
    <t>Бондарь Н. С.</t>
  </si>
  <si>
    <t>978-5-91768-654-7</t>
  </si>
  <si>
    <t>675397.04.01</t>
  </si>
  <si>
    <t>Судебный конституционный нормоконтроль...: Моногр./ Е.В.Тарибо-М.:Юр.Норма, НИЦ ИНФРА-М,2023-256с(П)</t>
  </si>
  <si>
    <t>СУДЕБНЫЙ КОНСТИТУЦИОННЫЙ НОРМОКОНТРОЛЬ: ОСМЫСЛЕНИЕ РОССИЙСКОГО ОПЫТА, ИЗД.1</t>
  </si>
  <si>
    <t>Тарибо Е.В.</t>
  </si>
  <si>
    <t>978-5-91768-890-9</t>
  </si>
  <si>
    <t>708106.05.01</t>
  </si>
  <si>
    <t>Судейский корпус России: соверш...: Моногр. / М.И.Клеандров - М.:Юр.Норма, НИЦ ИНФРА-М,2026 - 320 с(П)</t>
  </si>
  <si>
    <t>СУДЕЙСКИЙ КОРПУС РОССИИ: СОВЕРШЕНСТВОВАНИЕ МЕХАНИЗМА ФОРМИРОВАНИЯ, ИЗД.1</t>
  </si>
  <si>
    <t>978-5-91768-692-9</t>
  </si>
  <si>
    <t>275600.05.01</t>
  </si>
  <si>
    <t>Судейское сообщество в России и других гос. СНГ / М.И.Клеандров-М:Юр.Норма, НИЦ ИНФРА-М,2019-256с(П)</t>
  </si>
  <si>
    <t>СУДЕЙСКОЕ СООБЩЕСТВО В РОССИИ И ДРУГИХ ГОСУДАРСТВАХ СНГ, ИЗД.1</t>
  </si>
  <si>
    <t>Клеандров М. И., Краснов Д. А.</t>
  </si>
  <si>
    <t>978-5-91768-488-8</t>
  </si>
  <si>
    <t>266600.08.01</t>
  </si>
  <si>
    <t>Судейское сообщество: структура, организ.-прав...: Моногр. / М.И.Клеандров - М:Норма:ИНФРА-М,2025 - 352 с. (о)</t>
  </si>
  <si>
    <t>СУДЕЙСКОЕ СООБЩЕСТВО: СТРУКТУРА, ОРГАНИЗАЦИОННО-ПРАВОВОЕ РАЗВИТИЕ, ИЗД.1</t>
  </si>
  <si>
    <t>Клеандров М. И.</t>
  </si>
  <si>
    <t>978-5-91768-464-2</t>
  </si>
  <si>
    <t>702852.04.01</t>
  </si>
  <si>
    <t>Судовой механик: уровень эксплуатации и управл.: Уч.пос. / Ю.Г.Дейнего - М.:НИЦ ИНФРА-М,2026. - 111 с.(П)</t>
  </si>
  <si>
    <t>СУДОВОЙ МЕХАНИК: УРОВЕНЬ ЭКСПЛУАТАЦИИ И УПРАВЛЕНИЯ, ИЗД.1</t>
  </si>
  <si>
    <t>Дейнего Ю.Г.</t>
  </si>
  <si>
    <t>978-5-16-017715-1</t>
  </si>
  <si>
    <t>15.02.16, 26.01.01, 26.01.02, 26.01.03, 26.01.05, 26.01.07, 26.01.09, 26.02.02, 26.02.03, 26.02.04, 26.05.06, 35.01.32, 35.02.11</t>
  </si>
  <si>
    <t>Рекомендовано экспертным советом ЧВВМУ имени П.С. Нахимова в качестве учебного пособия по дисциплине «Эксплуатация судовых энергетических установок»</t>
  </si>
  <si>
    <t>724403.07.01</t>
  </si>
  <si>
    <t>Судовые газотурбинные установки: Уч.пос. / А.Л.Кирюхин - М.:НИЦ ИНФРА-М,2026 - 256 с.-(ВО)(П)</t>
  </si>
  <si>
    <t>СУДОВЫЕ ГАЗОТУРБИННЫЕ УСТАНОВКИ, ИЗД.1</t>
  </si>
  <si>
    <t>Кирюхин А.Л.</t>
  </si>
  <si>
    <t>978-5-16-015858-7</t>
  </si>
  <si>
    <t>18.01.28, 26.01.01, 26.01.03, 26.01.05, 26.01.07, 26.01.09, 26.02.01, 26.02.03, 26.02.04, 26.02.05, 26.02.06, 35.01.32</t>
  </si>
  <si>
    <t>Допущено Ученым советом Черноморского высшего военно-морского училища имени П.С. Нахимова в качестве учебного пособия для студентов факультета судовождения и энергетики судов по дисциплинам «Судовые турбомашины», «Судовые пропульсивные комплексы» и «Эксплуатация СЭУ»</t>
  </si>
  <si>
    <t>723701.04.01</t>
  </si>
  <si>
    <t>Судовые котельные и паропроизв. установки..: Уч.пос. / В.В.Ажимов - М.:НИЦ ИНФРА-М,2026. - 49 с.(О)</t>
  </si>
  <si>
    <t>СУДОВЫЕ КОТЕЛЬНЫЕ И ПАРОПРОИЗВОДЯЩИЕ УСТАНОВКИ. ТЕПЛОВОЙ РАСЧЕТ ПАРОВОГО КОТЛА, ИЗД.1</t>
  </si>
  <si>
    <t>Ажимов В.В., Семенов В.Г., ЧВВМУ имени П.С Нахимова</t>
  </si>
  <si>
    <t>978-5-16-016449-6</t>
  </si>
  <si>
    <t>01.03.04, 18.01.28, 26.01.01, 26.01.03, 26.01.05, 26.01.07, 26.01.09, 26.02.01, 26.02.03, 26.02.04, 26.02.05, 26.02.06, 26.05.05, 26.05.06, 26.05.07, 35.01.32</t>
  </si>
  <si>
    <t>Рекомендовано экспертным советом ЧВВМУ имени П.С. Нахимова в качестве учебного пособия по дисциплинам «Судовые котельные и паропроизводящие установки», «Вспомогательные механизмы и системы» для студентов специальности 25.05.06 «Эксплуатация судовых энергетических установок»</t>
  </si>
  <si>
    <t>723714.02.01</t>
  </si>
  <si>
    <t>Судовые турбомашины. Основы теории судовых турбомашин: Уч.пос. / В.В.Кузнецов-М.:НИЦ ИНФРА-М,2021-176 с.-(П)</t>
  </si>
  <si>
    <t>СУДОВЫЕ ТУРБОМАШИНЫ. ОСНОВЫ ТЕОРИИ СУДОВЫХ ТУРБОМАШИН, ИЗД.1</t>
  </si>
  <si>
    <t>Кузнецов В.В., Польский Е.В.</t>
  </si>
  <si>
    <t>978-5-16-015859-4</t>
  </si>
  <si>
    <t>18.01.28, 26.01.01, 26.01.03, 26.01.05, 26.01.07, 26.01.09, 26.02.01, 26.02.03, 26.02.04, 26.02.05, 26.02.06, 26.05.06, 35.01.32</t>
  </si>
  <si>
    <t>Рекомендовано экспертным советом ЧВВМУ имени П.С. Нахимова в качестве учебного пособия по дисциплине «Судовые турбомашины». Может быть использовано в процессе выполнения курсового и дипломного проектирования студентами факультета судовождения и энергетики судов по специальности 26.05.06 «Эксплуатация судовых энергетических установок»</t>
  </si>
  <si>
    <t>756607.02.01</t>
  </si>
  <si>
    <t>Судовые холодильные установки и их эксплуатация: Уч.мет.пос. / Э.Н.Романов - М.:НИЦ ИНФРА-М,2026. - 227 с.(п)</t>
  </si>
  <si>
    <t>СУДОВЫЕ ХОЛОДИЛЬНЫЕ УСТАНОВКИ И ИХ ЭКСПЛУАТАЦИЯ. СПРАВОЧНЫЕ МАТЕРИАЛЫ, ИЗД.1</t>
  </si>
  <si>
    <t>Романов Э.</t>
  </si>
  <si>
    <t>978-5-16-018446-3</t>
  </si>
  <si>
    <t>01.03.04, 18.01.28, 26.01.01, 26.01.03, 26.01.05, 26.01.07, 26.01.09, 26.02.01, 26.02.03, 26.02.04, 26.02.05, 26.02.06, 26.03.02, 26.05.02, 26.05.06, 35.01.32</t>
  </si>
  <si>
    <t>734793.12.01</t>
  </si>
  <si>
    <t>Судоустройство и правоохр. орг. РФ в схемах: Уч.пос. / И.А.Даниленко - 2 изд. - М.:Юр.Норма, НИЦ ИНФРА-М,2027 - 108 с.(О)</t>
  </si>
  <si>
    <t>СУДОУСТРОЙСТВО И ПРАВООХРАНИТЕЛЬНЫЕ ОРГАНЫ РОССИЙСКОЙ ФЕДЕРАЦИИ В СХЕМАХ, ИЗД.2</t>
  </si>
  <si>
    <t>Даниленко И.А.</t>
  </si>
  <si>
    <t>978-5-00156-289-4</t>
  </si>
  <si>
    <t>734793.03.01</t>
  </si>
  <si>
    <t>Судоустройство и правоохранит. органы РФ в схемах: Уч.пос. / И.А.Даниленко - М.:Юр.Норма, НИЦ ИНФРА-М,2022-80с(О)</t>
  </si>
  <si>
    <t>СУДОУСТРОЙСТВО И ПРАВООХРАНИТЕЛЬНЫЕ ОРГАНЫ РОССИЙСКОЙ ФЕДЕРАЦИИ В СХЕМАХ, ИЗД.1</t>
  </si>
  <si>
    <t>978-5-00156-065-4</t>
  </si>
  <si>
    <t>724595.11.01</t>
  </si>
  <si>
    <t>Судоустройство и правоохранительные органы / Л.А.Воскобитова - М.:Юр.Норма, НИЦ ИНФРА-М,2026. - 80 с.(О)</t>
  </si>
  <si>
    <t>СУДОУСТРОЙСТВО И ПРАВООХРАНИТЕЛЬНЫЕ ОРГАНЫ, ИЗД.1</t>
  </si>
  <si>
    <t>Воскобитова Л.А., Сушина Т.Е.</t>
  </si>
  <si>
    <t>978-5-00156-035-7</t>
  </si>
  <si>
    <t>886436.01.01</t>
  </si>
  <si>
    <t>Судоустройство и правоохранительные органы: Практикум / Т.Е.Сушина - М.:Юр. НОРМА, НИЦ ИНФРА-М,2027. - 200 с.(п)</t>
  </si>
  <si>
    <t>Сушина Т.Е., Даниленко И.А., Ничипоренко А.А. и др.</t>
  </si>
  <si>
    <t>978-5-00156-501-7</t>
  </si>
  <si>
    <t>699274.05.01</t>
  </si>
  <si>
    <t>Судьба Евросоюза и уроки для Рос.: Моногр. / Под ред. Гулякова А.Д., - 2 изд.-М.:ИЦ РИОР, НИЦ ИНФРА-М,2023.-304 с.(П)</t>
  </si>
  <si>
    <t>СУДЬБА ЕВРОСОЮЗА И УРОКИ ДЛЯ РОССИИ, ИЗД.2</t>
  </si>
  <si>
    <t>Саломатин А.Ю., Гуляков А.Д., Малько А.В.</t>
  </si>
  <si>
    <t>978-5-369-01881-1</t>
  </si>
  <si>
    <t>38.04.01, 38.06.01, 40.04.01, 40.06.01, 41.04.01, 41.04.04, 41.04.05, 41.06.01</t>
  </si>
  <si>
    <t>699274.02.01</t>
  </si>
  <si>
    <t>Судьба Евросоюза и уроки для России / Под ред. Гулякова А.Д. - М.:ИЦ РИОР, НИЦ ИНФРА-М,2020-248с(П)</t>
  </si>
  <si>
    <t>СУДЬБА ЕВРОСОЮЗА И УРОКИ ДЛЯ РОССИИ, ИЗД.1</t>
  </si>
  <si>
    <t>978-5-369-01797-5</t>
  </si>
  <si>
    <t>250800.07.01</t>
  </si>
  <si>
    <t>Судьба континента Сибирь: пробл. разв..: Сб. стат./ Под ред. В.С.Ефимова - ИНФРА-М;СФУ, 2023-188 с.(О)</t>
  </si>
  <si>
    <t>СУДЬБА КОНТИНЕНТА СИБИРЬ: ПРОБЛЕМЫ РАЗВИТИЯ. ЭКСПЕРТНЫЙ ДИСКУРС, ИЗД.1</t>
  </si>
  <si>
    <t>Ефимов В. С.</t>
  </si>
  <si>
    <t>978-5-16-009359-8</t>
  </si>
  <si>
    <t>38.03.01, 38.04.01, 41.03.02, 41.04.02, 44.03.01</t>
  </si>
  <si>
    <t>221600.06.01</t>
  </si>
  <si>
    <t>Судьба французского языка в Африке..: Моногр. / Ж.Багана - М.: НИЦ ИНФРА-М, 2027 - 150 с.(Научная мысль) (о)</t>
  </si>
  <si>
    <t>СУДЬБА ФРАНЦУЗСКОГО ЯЗЫКА В АФРИКЕ: СОЦИОЛИНГВИСТИЧЕСКИЕ И ЛИНГВОКУЛЬТУРОЛОГИЧЕСКИЕ ОСОБЕННОСТИ, ИЗД.1</t>
  </si>
  <si>
    <t>Багана Ж., Лангнер А. Н.</t>
  </si>
  <si>
    <t>978-5-16-008974-4</t>
  </si>
  <si>
    <t>706520.03.01</t>
  </si>
  <si>
    <t>Суперэлементы. Моделир. разработки нефтяных...: Моногр. / А.Б.Мазо - М.:НИЦ ИНФРА-М,2026. - 220 с.(Науч.мысль)(О)</t>
  </si>
  <si>
    <t>СУПЕРЭЛЕМЕНТЫ. МОДЕЛИРОВАНИЕ РАЗРАБОТКИ НЕФТЯНЫХ МЕСТОРОЖДЕНИЙ, ИЗД.1</t>
  </si>
  <si>
    <t>Мазо А.Б., Поташев К.А.</t>
  </si>
  <si>
    <t>978-5-16-017150-0</t>
  </si>
  <si>
    <t>21.04.01, 21.05.05, 21.05.06, 21.06.01</t>
  </si>
  <si>
    <t>706520.01.01</t>
  </si>
  <si>
    <t>Суперэлементы. Моделирование разработки нефтяных месторождений: монография / А.Б.Мазо-М.:НИЦ ИНФРА-М,2020.-220 с.[цв].-(Науч.мысль)(п)</t>
  </si>
  <si>
    <t>978-5-16-015618-7</t>
  </si>
  <si>
    <t>868282.01.01</t>
  </si>
  <si>
    <t>Суставной синдром в практике врача общей прак.: Уч.мет.пос. / Н.Ф.Бакалец - М.:НИЦ ИНФРА-М, ГомГМУ,2026. - 124 с(п)</t>
  </si>
  <si>
    <t>СУСТАВНОЙ СИНДРОМ В ПРАКТИКЕ ВРАЧА ОБЩЕЙ ПРАКТИКИ, ИЗД.1</t>
  </si>
  <si>
    <t>Бакалец Н.Ф., Ковальчук П.Н., Ковальчук Л.С.</t>
  </si>
  <si>
    <t>978-5-16-021636-2</t>
  </si>
  <si>
    <t>30.05.01, 30.05.02, 30.05.03, 31.05.01, 31.05.02, 32.05.01</t>
  </si>
  <si>
    <t>695294.02.01</t>
  </si>
  <si>
    <t>США в новое время: общество, гос. и право: Уч.пос.: Ч.1 / Т.В.Алентьева-М.:НИЦ ИНФРА-М,2022.-235 с.(П)</t>
  </si>
  <si>
    <t>США В НОВОЕ ВРЕМЯ: ОБЩЕСТВО, ГОСУДАРСТВО И ПРАВО: ЧАСТЬ 1: XVII-XVIII ВЕКА, ИЗД.1</t>
  </si>
  <si>
    <t>978-5-16-014591-4</t>
  </si>
  <si>
    <t>40.03.01, 41.03.01, 41.03.05, 44.03.01, 44.03.05, 45.03.02, 46.03.01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</si>
  <si>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40.03.01 «Юриспруденция», 41.03.05 «Международные отношения», 46.03.01 «История» (квалификация (степень) «бакалавр») (протокол № 11 от 09.11.2020)</t>
  </si>
  <si>
    <t>694971.01.01</t>
  </si>
  <si>
    <t>США в Новое время: общество, гос. и право: Уч.пос.: Ч.2 / Т.В.Алентьева - М.:НИЦ ИНФРА-М,2022 - 355 с.(П)</t>
  </si>
  <si>
    <t>США В НОВОЕ ВРЕМЯ: ОБЩЕСТВО, ГОСУДАРСТВО И ПРАВО. ЧАСТЬ 2. 1800-1877 ГОДЫ, ИЗД.1</t>
  </si>
  <si>
    <t>978-5-16-014590-7</t>
  </si>
  <si>
    <t>40.03.01, 41.03.01, 41.03.05, 46.03.01</t>
  </si>
  <si>
    <t>849699.01.01</t>
  </si>
  <si>
    <t>США накануне Гражданской войны: Моногр. / Т.В.Алентьева - М.:НИЦ ИНФРА-М,2026. - 356 с.-(Науч.мысль)(п)</t>
  </si>
  <si>
    <t>США НАКАНУНЕ ГРАЖДАНСКОЙ ВОЙНЫ, ИЗД.1</t>
  </si>
  <si>
    <t>978-5-16-020735-3</t>
  </si>
  <si>
    <t>41.03.01, 41.04.01, 41.04.04, 41.04.05, 41.06.01</t>
  </si>
  <si>
    <t>670745.06.01</t>
  </si>
  <si>
    <t>Сюжетная типология рус. лит. XI-XX в.: Моногр. / В.К.Васильев - М.:НИЦ ИНФРА-М,2025 - 259 с.(П)</t>
  </si>
  <si>
    <t>СЮЖЕТНАЯ ТИПОЛОГИЯ РУССКОЙ ЛИТЕРАТУРЫ XI-XX ВЕКОВ (АРХЕТИПЫ РУССКОЙ КУЛЬТУРЫ). ОТ СРЕДНЕВЕКОВЬЯ К НОВОМУ ВРЕМЕНИ, ИЗД.1</t>
  </si>
  <si>
    <t>Васильев В.К.</t>
  </si>
  <si>
    <t>978-5-16-017631-4</t>
  </si>
  <si>
    <t>775007.08.01</t>
  </si>
  <si>
    <t>Тактика и тактико-специальная подготовка..: Уч.пос. / С.А.Савенко - М: ИНФРА-М,2026. -224 с.[цв].-(ВО)(п)</t>
  </si>
  <si>
    <t>ТАКТИКА И ТАКТИКО-СПЕЦИАЛЬНАЯ ПОДГОТОВКА. ВСЕСТОРОННЕЕ ОБЕСПЕЧЕНИЕ БОЕВЫХ ДЕЙСТВИЙ АРТИЛЛЕРИЙСКИХ ПОДРАЗДЕЛЕНИЙ (В СХЕМАХ И ТАБЛИЦАХ), ИЗД.1</t>
  </si>
  <si>
    <t>Савенко С.А., Ахметов М.Г., Гниленко В.Г.</t>
  </si>
  <si>
    <t>978-5-16-018527-9</t>
  </si>
  <si>
    <t>161800.16.01</t>
  </si>
  <si>
    <t>Тактика мед. сестры при неотложных...: Уч.пос. / В.Г.Лычев - 3 изд. - М.:НИЦ ИНФРА-М,2027 - 318 с.(СПО)(п)</t>
  </si>
  <si>
    <t>ТАКТИКА МЕДИЦИНСКОЙ СЕСТРЫ ПРИ НЕОТЛОЖНЫХ ЗАБОЛЕВАНИЯХ И СОСТОЯНИЯХ, ИЗД.3</t>
  </si>
  <si>
    <t>Лычев В.Г., Савельев В.М., Карманов В.К.</t>
  </si>
  <si>
    <t>978-5-16-014327-9</t>
  </si>
  <si>
    <t>Рекомендовано Методическим советом ГОУ ДПО «Учебно-методический центр по профессиональному образованию» Департамента образования города Москвы в качестве учебного пособия для студентов и учащихся образовательных учреждений среднего профессионального образования</t>
  </si>
  <si>
    <t>161800.06.01</t>
  </si>
  <si>
    <t>Тактика мед.сестры при неотложных...: Уч.пос./В.Г.Лычев-2изд.-М.:Форум,НИЦ ИНФРА-М,2018-352с.(ПО)(П)</t>
  </si>
  <si>
    <t>ТАКТИКА МЕДИЦИНСКОЙ СЕСТРЫ ПРИ НЕОТЛОЖНЫХ ЗАБОЛЕВАНИЯХ И СОСТОЯНИЯХ, ИЗД.2</t>
  </si>
  <si>
    <t>Лычев В. Г., Савельев В. М., Карманов В. К.</t>
  </si>
  <si>
    <t>978-5-00091-471-7</t>
  </si>
  <si>
    <t>Рекомендовано Методическим советом ГОУ ДПО Учебно-методический центр по профессиональному образованию Департамента образования города Москвы в качестве учебного пособия для студентов и учащихся образовательных учреждений среднего профессионального образования</t>
  </si>
  <si>
    <t>244700.13.01</t>
  </si>
  <si>
    <t>Тактика психиатрич.обслед.и алгоритм...: Уч.пос. / Л.М.Барденштейн - М.:НИЦ ИНФРА-М,2026 - 76 с.(ВО)(О)</t>
  </si>
  <si>
    <t>ТАКТИКА ПСИХИАТРИЧЕСКОГО ОБСЛЕДОВАНИЯ И АЛГОРИТМ НАПИСАНИЯ ИСТОРИИ БОЛЕЗНИ, ИЗД.1</t>
  </si>
  <si>
    <t>Барденштейн Л.М., Алешкина Г.А.</t>
  </si>
  <si>
    <t>978-5-16-020594-6</t>
  </si>
  <si>
    <t>31.05.01, 31.08.20</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</si>
  <si>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31.08.20 «Психиатрия» (квалификация «врач-психиатр»)</t>
  </si>
  <si>
    <t>756767.06.01</t>
  </si>
  <si>
    <t>Тактико-криминалистич. обеспеч. следств. деят.: практ.: Уч.пос. / Е.В.Шишкина - М.:НИЦ ИНФРА-М,2026. - 223 с.(ВО)(П)</t>
  </si>
  <si>
    <t>ТАКТИКО-КРИМИНАЛИСТИЧЕСКОЕ ОБЕСПЕЧЕНИЕ СЛЕДСТВЕННОЙ ДЕЯТЕЛЬНОСТИ: ПРАКТИКУМ, ИЗД.1</t>
  </si>
  <si>
    <t>978-5-16-017034-3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</si>
  <si>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6 от 16.06.2021)</t>
  </si>
  <si>
    <t>Конкурс на лучшее издание, посвященное деятельности следственных органов РФ-2025, Победитель, III место</t>
  </si>
  <si>
    <t>753351.05.01</t>
  </si>
  <si>
    <t>Тактико-криминалистич. обеспеч. следств. деят.: Уч.пос. / Е.В.Шишкина - М.:НИЦ ИНФРА-М,2025. - 199 с.(ВО)(П)</t>
  </si>
  <si>
    <t>ТАКТИКО-КРИМИНАЛИСТИЧЕСКОЕ ОБЕСПЕЧЕНИЕ СЛЕДСТВЕННОЙ ДЕЯТЕЛЬНОСТИ, ИЗД.1</t>
  </si>
  <si>
    <t>978-5-16-020720-9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</si>
  <si>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специальностям 40.05.01 "Правовое обеспечение национальной безопасности", 40.05.04 "Судебная и прокурорская деятельность" (квалификация «юрист») (протокол № 2 от 09.02.2022)</t>
  </si>
  <si>
    <t>810794.02.01</t>
  </si>
  <si>
    <t>Тактико-спец. подготовка подразд. автотехн. и...: Уч.пос. / И.А.Кудрявцев - М.:НИЦ ИНФРА-М,2026. - 128 с.(п)</t>
  </si>
  <si>
    <t>ТАКТИКО-СПЕЦИАЛЬНАЯ ПОДГОТОВКА ПОДРАЗДЕЛЕНИЙ АВТОТЕХНИЧЕСКОГО И ТАНКОТЕХНИЧЕСКОГО ОБЕСПЕЧЕНИЯ, ИЗД.1</t>
  </si>
  <si>
    <t>Кудрявцев И.А., Погодаев Д.В., Тенчурин А.Ю. и др.</t>
  </si>
  <si>
    <t>978-5-16-019017-4</t>
  </si>
  <si>
    <t>23.03.03, 56.05.01</t>
  </si>
  <si>
    <t>763266.07.01</t>
  </si>
  <si>
    <t>Тактико-специальная подготовка: Уч. / В.Л.Михайликов и др. - М.:НИЦ ИНФРА-М,2026 - 573 с.(СПО)(П)</t>
  </si>
  <si>
    <t>ТАКТИКО-СПЕЦИАЛЬНАЯ ПОДГОТОВКА, ИЗД.1</t>
  </si>
  <si>
    <t>Михайликов В.Л., Войнов П.Н., Тарасенко А.А. и др.</t>
  </si>
  <si>
    <t>978-5-16-017102-9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</si>
  <si>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40.02.02 «Правоохранительная деятельность» (протокол № 5 от 19.05.2021)</t>
  </si>
  <si>
    <t>733508.10.01</t>
  </si>
  <si>
    <t>Тактико-специальная подготовка: Уч. / В.Л.Михайликов и др. - М.:НИЦ ИНФРА-М,2027. -  573 с.(ВО)(п)</t>
  </si>
  <si>
    <t>978-5-16-020701-8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</si>
  <si>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специальностям 40.05.01 «Правовое обеспечение национальной безопасности», 40.05.02 «Правоохранительная деятельность» (квалификация «юрист») (протокол № 2 от 17.02.2021)</t>
  </si>
  <si>
    <t>733504.09.01</t>
  </si>
  <si>
    <t>Тактико-специальная подготовка: Уч.пос. / Г.В.Осетров - М.:НИЦ ИНФРА-М,2026 - 277 с.(ВО: Спец.)(П)</t>
  </si>
  <si>
    <t>Осетров Г.В.</t>
  </si>
  <si>
    <t>978-5-16-016185-3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</si>
  <si>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8 от 22.06.2020)</t>
  </si>
  <si>
    <t>856887.01.01</t>
  </si>
  <si>
    <t>Тактическая медицина: оказание первой помощи...: Уч.пос. / В.А.Мельничук - М.:НИЦ ИНФРА-М,2026. - 192 с.:цв.ил.(п)</t>
  </si>
  <si>
    <t>ТАКТИЧЕСКАЯ МЕДИЦИНА: ОКАЗАНИЕ ПЕРВОЙ ПОМОЩИ РАНЕНЫМ НА ПОЛЕ БОЯ, ИЗД.1</t>
  </si>
  <si>
    <t>Мельничук В.А., Пьянусов А.В.</t>
  </si>
  <si>
    <t>978-5-16-021038-4</t>
  </si>
  <si>
    <t>31.05.01, 34.04.01, 37.05.02, 40.05.01, 56.04.01, 56.04.02, 56.04.08, 56.04.11, 56.05.01, 40.03.02</t>
  </si>
  <si>
    <t>658936.13.01</t>
  </si>
  <si>
    <t>Тактическая подг. курсантов уч. воен.центр.: Уч. / Ю.Б.Байрамуков - М.:НИЦ ИНФРА-М, СФУ,2026 - 518 с.(П)</t>
  </si>
  <si>
    <t>ТАКТИЧЕСКАЯ ПОДГОТОВКА КУРСАНТОВ УЧЕБНЫХ ВОЕННЫХ ЦЕНТРОВ, ИЗД.1</t>
  </si>
  <si>
    <t>Байрамуков Ю.Б., Янович В.С., Драбатулин Е.А. и др.</t>
  </si>
  <si>
    <t>978-5-16-016653-7</t>
  </si>
  <si>
    <t>Рекомендовано федеральным государственным казенным военным образовательным учреждением высшего образования «Военный учебно-научный центр Сухопутных войск "Общевойсковая академия Вооруженных Сил Российской Федерации”» в качестве учебника для курсантов учебных военных центров и студентов военных кафедр при высших учебных заведениях, обучающихся по специальностям «Автоматизированные системы обработки информации и управления», «Радиотехника», «Радиоэлектронные системы»</t>
  </si>
  <si>
    <t>869460.01.01</t>
  </si>
  <si>
    <t>Тактические аспекты личной безоп. сотруд. ОВД.../ Ю.Н.Кириченко - М.:НИЦ ИНФРА-М,2026. - 187 с.:цв.ил.(о)</t>
  </si>
  <si>
    <t>ТАКТИЧЕСКИЕ АСПЕКТЫ ЛИЧНОЙ БЕЗОПАСНОСТИ СОТРУДНИКОВ ОРГАНОВ ВНУТРЕННИХ ДЕЛ В УСЛОВИЯХ ОГНЕВОГО КОНТАКТА, ИЗД.1</t>
  </si>
  <si>
    <t>Кириченко Ю.Н., Тарасенко А.А.</t>
  </si>
  <si>
    <t>978-5-16-021709-3</t>
  </si>
  <si>
    <t>37.05.02, 38.05.01, 40.02.02, 40.05.01, 40.05.02, 56.05.01</t>
  </si>
  <si>
    <t>Московский государственный университет спорта и туризма</t>
  </si>
  <si>
    <t>644320.03.01</t>
  </si>
  <si>
    <t>Таможенная статистика: Уч. / Е.С.Пожидаева - М.:НИЦ ИНФРА-М,2023 - 208 с.-(ВО: Бакалавриат)(П)</t>
  </si>
  <si>
    <t>ТАМОЖЕННАЯ СТАТИСТИКА, ИЗД.1</t>
  </si>
  <si>
    <t>Пожидаева Е.С.</t>
  </si>
  <si>
    <t>978-5-16-013793-3</t>
  </si>
  <si>
    <t>38.03.01, 38.03.06, 38.03.07, 38.05.02</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</si>
  <si>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38.03.01 «Экономика», 38.03.07 «Товароведение» (квалификация (степень) «бакалавр»)</t>
  </si>
  <si>
    <t>441100.04.01</t>
  </si>
  <si>
    <t>Таможенное оформ. морских контейн..: Уч.пос./Т.Н.Тимченко-2 изд.-М.:ИЦ РИОР,НИЦ ИНФРА-М,2018-123с(о)</t>
  </si>
  <si>
    <t>ТАМОЖЕННОЕ ОФОРМЛЕНИЕ МОРСКИХ КОНТЕЙНЕРНЫХ ПЕРЕВОЗОК, ИЗД.2</t>
  </si>
  <si>
    <t>Тимченко Т.Н., Филатова Е.В.</t>
  </si>
  <si>
    <t>978-5-369-01669-5</t>
  </si>
  <si>
    <t>441100.08.01</t>
  </si>
  <si>
    <t>Таможенное оформ. морских контейнер..: Уч.пос. / Т.Н.Тимченко -3изд.-М.:ИЦ РИОР, НИЦ ИНФРА-М,2025-134с(ВО)(О)</t>
  </si>
  <si>
    <t>ТАМОЖЕННОЕ ОФОРМЛЕНИЕ МОРСКИХ КОНТЕЙНЕРНЫХ ПЕРЕВОЗОК, ИЗД.3</t>
  </si>
  <si>
    <t>978-5-369-01886-6</t>
  </si>
  <si>
    <t>786376.01.01</t>
  </si>
  <si>
    <t>Таможенное право: Уч. / А.В.Зубач и др.-М.:НИЦ ИНФРА-М,2024.-522 с..-(ВО.Сп)(п)</t>
  </si>
  <si>
    <t>ТАМОЖЕННОЕ ПРАВО, ИЗД.1</t>
  </si>
  <si>
    <t>Зубач А.В., Вахитов А.К., Веретенцева И.В. и др.</t>
  </si>
  <si>
    <t>978-5-16-018117-2</t>
  </si>
  <si>
    <t>38.05.02, 40.03.01, 40.05.01, 40.05.02, 40.05.03</t>
  </si>
  <si>
    <t>870583.01.01</t>
  </si>
  <si>
    <t>Таможенное право: Уч. / Ю.Б.Аникеенко - М.:НИЦ ИНФРА-М,2027. - 365 с.(ВО)(п)</t>
  </si>
  <si>
    <t>978-5-16-021729-1</t>
  </si>
  <si>
    <t>092700.15.01</t>
  </si>
  <si>
    <t>Таможенное право: Уч.пос. / О.Ю.Бакаева - 3 изд., - М.:Юр.Норма, НИЦ ИНФРА-М,2026 - 592 с.(П)</t>
  </si>
  <si>
    <t>ТАМОЖЕННОЕ ПРАВО, ИЗД.3</t>
  </si>
  <si>
    <t>Бакаева О.Ю., Лайченкова Н.Н., Бакаева О.Ю.</t>
  </si>
  <si>
    <t>978-5-91768-641-7</t>
  </si>
  <si>
    <t>38.05.02, 40.03.01, 40.04.01, 40.05.01, 40.05.02, 40.05.03, 40.05.04</t>
  </si>
  <si>
    <t>Допущено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обучающихсяпо специальности и направлению подготовки «Юриспруденция»</t>
  </si>
  <si>
    <t>299700.07.01</t>
  </si>
  <si>
    <t>Таможенный контроль товаров, содерж....: Моногр. / С.А.Агамагомедова - М.:НИЦ ИНФРА-М,2023 - 160 с.(о)</t>
  </si>
  <si>
    <t>ТАМОЖЕННЫЙ КОНТРОЛЬ ТОВАРОВ, СОДЕРЖАЩИХ ОБЪЕКТЫ ИНТЕЛЛЕКТУАЛЬНОЙ СОБСТВЕННОСТИ, ИЗД.1</t>
  </si>
  <si>
    <t>978-5-16-010146-0</t>
  </si>
  <si>
    <t>666692.05.01</t>
  </si>
  <si>
    <t>Тампонажные смеси: Уч.пос. / В.И.Зварыгин-М.:НИЦ ИНФРА-М, СФУ,2023.-216 с..-(ВО)(П)</t>
  </si>
  <si>
    <t>ТАМПОНАЖНЫЕ СМЕСИ, ИЗД.1</t>
  </si>
  <si>
    <t>978-5-16-018209-4</t>
  </si>
  <si>
    <t>21.05.03</t>
  </si>
  <si>
    <t>Рекомендовано федеральным государственным бюджетным образовательным учреждением высшего профессионального образования «Национальный минерально-сырьевой университет "Горный”» в качестве учебного пособия для студентов специальности 21.05.03  «Технология геологической разведки» специализации «Технология и техника разведки месторождений полезных ископаемых»</t>
  </si>
  <si>
    <t>791518.04.01</t>
  </si>
  <si>
    <t>Танкотехническое обеспечение: Уч.пос. / В.А.Кутепов - М.:НИЦ ИНФРА-М,2026. - 260 с.(Военное обр.(ОмГТУ))(п)</t>
  </si>
  <si>
    <t>ТАНКОТЕХНИЧЕСКОЕ ОБЕСПЕЧЕНИЕ, ИЗД.1</t>
  </si>
  <si>
    <t>Кутепов В.А., Лепешинский И.Ю., Шмаков Е.А. и др.</t>
  </si>
  <si>
    <t>978-5-16-017997-1</t>
  </si>
  <si>
    <t>23.03.02, 23.03.03, 23.04.02, 23.04.03, 56.04.03, 56.04.04</t>
  </si>
  <si>
    <t>435700.05.01</t>
  </si>
  <si>
    <t>Тарифная и ценовая полит.в жилищ...:Моногр./А.Н.Ряховская-М.:НИЦ ИНФРА-М,2024-124с.(Науч.мысль)(о)</t>
  </si>
  <si>
    <t>ТАРИФНАЯ И ЦЕНОВАЯ ПОЛИТИКА В ЖИЛИЩНОЙ И КОММУНАЛЬНОЙ СФЕРАХ, ИЗД.1</t>
  </si>
  <si>
    <t>Ряховская А.Н., Таги-Заде Ф.Г.</t>
  </si>
  <si>
    <t>978-5-16-011333-3</t>
  </si>
  <si>
    <t>696565.04.01</t>
  </si>
  <si>
    <t>Творческое наследие К.Маркса и соврем. философия: Моногр. / С.А.Нижников - М.:НИЦ ИНФРА-М,2026 - 199 с(О)</t>
  </si>
  <si>
    <t>ТВОРЧЕСКОЕ НАСЛЕДИЕ К. МАРКСА И СОВРЕМЕННАЯ ФИЛОСОФИЯ, ИЗД.1</t>
  </si>
  <si>
    <t>Нижников С.А., Лагунов А.А., Гобозов И.А. и др.</t>
  </si>
  <si>
    <t>978-5-16-016393-2</t>
  </si>
  <si>
    <t>842847.01.01</t>
  </si>
  <si>
    <t>Творческое начало в разговорной речи...: Моногр. / В.К.Харченко - М.:НИЦ ИНФРА-М,2025. - 192 с.(Науч.мысль)(о)</t>
  </si>
  <si>
    <t>ТВОРЧЕСКОЕ НАЧАЛО В РАЗГОВОРНОЙ РЕЧИ: РЕДКИЕ ПРИЁМЫ, МАЛОИЗУЧЕННЫЕ ФАКТЫ, ИЗД.1</t>
  </si>
  <si>
    <t>978-5-16-020447-5</t>
  </si>
  <si>
    <t>Всероссийский (с международным участием) конкурс учебно-методических, учебных и научных работ "Добросвет"-2025, Лауреат</t>
  </si>
  <si>
    <t>678270.05.01</t>
  </si>
  <si>
    <t>Театр героев А.П.Чехова: Моногр. / К.В.Борисова - М.:НИЦ ИНФРА-М,2023 - 112 с.(Науч.мысль)(О)</t>
  </si>
  <si>
    <t>ТЕАТР ГЕРОЕВ А.П.ЧЕХОВА, ИЗД.1</t>
  </si>
  <si>
    <t>Борисова К.В.</t>
  </si>
  <si>
    <t>978-5-16-013647-9</t>
  </si>
  <si>
    <t>41.03.06, 42.03.02, 42.03.03, 42.03.04, 44.03.05, 45.03.01</t>
  </si>
  <si>
    <t>699334.04.01</t>
  </si>
  <si>
    <t>Театральная школа: современные смыслы: Уч.пос. / А.С.Кузин - М.:НИЦ ИНФРА-М,2026 - 284 с.(П)</t>
  </si>
  <si>
    <t>ТЕАТРАЛЬНАЯ ШКОЛА: СОВРЕМЕННЫЕ СМЫСЛЫ, ИЗД.1</t>
  </si>
  <si>
    <t>Кузин А.С.</t>
  </si>
  <si>
    <t>978-5-16-021474-0</t>
  </si>
  <si>
    <t>52.05.01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</si>
  <si>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52.00.00 «Сценические искусства и литературное творчество» (протокол № 5 от 11.03.2019)</t>
  </si>
  <si>
    <t>Ярославский государственный театральный институт</t>
  </si>
  <si>
    <t>818129.02.01</t>
  </si>
  <si>
    <t>Текстильное материаловедение в усл. Индустрии 4.0...: Моногр. / А.В.Абрамов - М.:НИЦ ИНФРА-М,2025 - 290 с.(п)</t>
  </si>
  <si>
    <t>ТЕКСТИЛЬНОЕ МАТЕРИАЛОВЕДЕНИЕ В УСЛОВИЯХ ИНДУСТРИИ 4.0: ЦИФРОВЫЕ ДВОЙНИКИ ТЕКСТИЛЬНЫХ МАТЕРИАЛОВ, ИЗД.1</t>
  </si>
  <si>
    <t>Абрамов А.В., Шустов Ю.С., Родичева М.В.</t>
  </si>
  <si>
    <t>978-5-16-019468-4</t>
  </si>
  <si>
    <t>09.03.02, 29.03.01, 29.04.05</t>
  </si>
  <si>
    <t>731119.04.01</t>
  </si>
  <si>
    <t>Текстильное материаловедение и упр. качеством: Уч. / Ю.С.Шустов - М.:НИЦ ИНФРА-М,2026. - 386 с.(ВО)(П)</t>
  </si>
  <si>
    <t>ТЕКСТИЛЬНОЕ МАТЕРИАЛОВЕДЕНИЕ И УПРАВЛЕНИЕ КАЧЕСТВОМ, ИЗД.1</t>
  </si>
  <si>
    <t>Шустов Ю.С., Кирюхин С.М.</t>
  </si>
  <si>
    <t>978-5-16-020410-9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</si>
  <si>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29.03.02 «Технологии и проектирование текстильных изделий» (квалификация (степень) «бакалавр») (протокол № 4 от 13.04.2022)</t>
  </si>
  <si>
    <t>483800.07.01</t>
  </si>
  <si>
    <t>Текстильное материаловедение: лаб. прак.: Уч.пос. / Ю.С.Шустов - 4 изд. - М.:НИЦ ИНФРА-М,2026. - 357 с.(П)</t>
  </si>
  <si>
    <t>ТЕКСТИЛЬНОЕ МАТЕРИАЛОВЕДЕНИЕ: ЛАБОРАТОРНЫЙ ПРАКТИКУМ, ИЗД.4</t>
  </si>
  <si>
    <t>Шустов Ю.С., Кирюхин С.М., Давыдов А.Ф. и др.</t>
  </si>
  <si>
    <t>978-5-16-021798-7</t>
  </si>
  <si>
    <t>29.03.01, 29.03.05, 54.03.03, 54.04.03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</si>
  <si>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29.03.02 «Технологии и проектирование текстильных изделий», 29.03.05 «Конструирование изделий легкой промышленности» (квалификация (степень) «бакалавр») (протокол № 12 от 14.12.2020)</t>
  </si>
  <si>
    <t>483800.04.01</t>
  </si>
  <si>
    <t>Текстильное материаловедение: лабор. практ.: Уч.пос. /Ю.С.Шустов -3 изд. -М.:НИЦ ИНФРА-М,2020-341(П)</t>
  </si>
  <si>
    <t>ТЕКСТИЛЬНОЕ МАТЕРИАЛОВЕДЕНИЕ: ЛАБОРАТОРНЫЙ ПРАКТИКУМ, ИЗД.3</t>
  </si>
  <si>
    <t>978-5-16-011720-1</t>
  </si>
  <si>
    <t>Рекомендовано в качестве учебного пособия для студентов высших учебных заведений, обучающихся по направлениям подготовки 29.03.05 «Конструирование изделий легкой промышленности», 29.03.01 «Технология изделий легкой промышленности» (квалификация (степень) «бакалавр»)</t>
  </si>
  <si>
    <t>773011.02.01</t>
  </si>
  <si>
    <t>Текстильные материалы: Терминологический сл.-справ. / А.В.Куличенко - М.:НИЦ ИНФРА-М,2025. - 176 с.(п)</t>
  </si>
  <si>
    <t>ТЕКСТИЛЬНЫЕ МАТЕРИАЛЫ, ИЗД.1</t>
  </si>
  <si>
    <t>Куличенко А.В.</t>
  </si>
  <si>
    <t>978-5-16-017830-1</t>
  </si>
  <si>
    <t>29.03.01, 29.03.05, 29.04.01, 29.04.02, 29.04.05</t>
  </si>
  <si>
    <t>477650.04.01</t>
  </si>
  <si>
    <t>Телевизионная индустрия США: Уч.пос. / А.С.Зубок - М.:Вуз.учеб., НИЦ ИНФРА-М,2023 - 256 с.(о)</t>
  </si>
  <si>
    <t>ТЕЛЕВИЗИОННАЯ ИНДУСТРИЯ США, ИЗД.1</t>
  </si>
  <si>
    <t>Зубок А.С.</t>
  </si>
  <si>
    <t>978-5-9558-0392-0</t>
  </si>
  <si>
    <t>35.03.01, 38.03.02, 38.04.02, 41.03.04, 41.03.05, 41.03.06, 41.04.04, 41.04.05, 42.03.01, 42.03.02, 42.03.04, 42.04.01, 42.04.02, 42.04.04, 46.03.01, 46.04.01, 51.03.01, 51.04.01</t>
  </si>
  <si>
    <t>НТС</t>
  </si>
  <si>
    <t>765725.05.01</t>
  </si>
  <si>
    <t>Телематика на городском пассажир. транспорте: Моногр. / В.Н.Богумил - М.:НИЦ ИНФРА-М,2025 - 200 с(О)</t>
  </si>
  <si>
    <t>ТЕЛЕМАТИКА НА ГОРОДСКОМ ПАССАЖИРСКОМ ТРАНСПОРТЕ, ИЗД.1</t>
  </si>
  <si>
    <t>Богумил В.Н., Дуке Саранго М.</t>
  </si>
  <si>
    <t>978-5-16-017210-1</t>
  </si>
  <si>
    <t>11.04.02, 11.05.01, 11.06.01, 23.04.01, 23.04.02, 23.04.03, 23.05.01, 23.06.01</t>
  </si>
  <si>
    <t>741580.03.01</t>
  </si>
  <si>
    <t>Тематический коммент. к Закону РФ О ПОПРАВКЕ К КОНСТИТУЦИИ.... / Т.Я.Хабриeва — М.: Норма : ИНФРА-М, 2022-240с(П)</t>
  </si>
  <si>
    <t>ТЕМАТИЧЕСКИЙ КОММЕНТАРИЙ К ЗАКОНУ РОССИЙСКОЙ ФЕДЕРАЦИИ О ПОПРАВКЕ К КОНСТИТУЦИИ РОССИЙСКОЙ ФЕДЕРАЦИИ ОТ 14 МАРТА 2020 Г. № 1-ФКЗ, ИЗД.1</t>
  </si>
  <si>
    <t>Хабриева Т.Я., Клишас А.А.</t>
  </si>
  <si>
    <t>978-5-00156-090-6</t>
  </si>
  <si>
    <t>733366.01.01</t>
  </si>
  <si>
    <t>Теор.-метод.оценка учетно-отчет. адаптац. процессов...: Моногр./ Акатьева М.Д-М:ИНФРА-М, 2021.-213с(Науч.мысль)(О)</t>
  </si>
  <si>
    <t>ТЕОРЕТИКО-МЕТОДОЛОГИЧЕСКАЯ ОЦЕНКА УЧЕТНО-ОТЧЕТНЫХ АДАПТАЦИОННЫХ ПРОЦЕССОВ В УСЛОВИЯХ МИРОВОЙ ИНТЕГРАЦИИ РОССИЙСКОГО И МЕЖДУНАРОДНОГО ЗАКОНОДАТЕЛЬСТВА, ИЗД.1</t>
  </si>
  <si>
    <t>Акатьева М.Д., Бескоровайная С.А.</t>
  </si>
  <si>
    <t>978-5-16-016082-5</t>
  </si>
  <si>
    <t>812232.03.01</t>
  </si>
  <si>
    <t>Теоретико-ист. правовые науки в сис. совр. юр. знания / Т.Ф.Ящук. - М.:Юр. НОРМА, НИЦ ИНФРА-М,2027 - 192 с.(п)</t>
  </si>
  <si>
    <t>ТЕОРЕТИКО-ИСТОРИЧЕСКИЕ ПРАВОВЫЕ НАУКИ В СИСТЕМЕ СОВРЕМЕННОГО ЮРИДИЧЕСКОГО ЗНАНИЯ, ИЗД.1</t>
  </si>
  <si>
    <t>Ящук Т.Ф., Бироков С.В., Евстратов А.Э. и др.</t>
  </si>
  <si>
    <t>978-5-00156-326-6</t>
  </si>
  <si>
    <t>658372.05.01</t>
  </si>
  <si>
    <t>Теоретико-методич. основы экономики природопользования.../ В.В.Хлебникова - М.:Вуз.уч.НИЦ ИНФРА-М,2026 - 120 с.(П)</t>
  </si>
  <si>
    <t>ТЕОРЕТИКО-МЕТОДИЧЕСКИЕ ОСНОВЫ ЭКОНОМИКИ ПРИРОДОПОЛЬЗОВАНИЯ ПО ПРЕДОТВРАЩЕНИЮ ЗАГРЯЗНЕНИЯ МОРЯ НЕФТЬЮ С СУДОВ, ИЗД.1</t>
  </si>
  <si>
    <t>Хлебникова В.В.</t>
  </si>
  <si>
    <t>978-5-9558-0577-1</t>
  </si>
  <si>
    <t>05.04.06, 05.06.01, 20.04.02, 20.06.01</t>
  </si>
  <si>
    <t>683914.04.01</t>
  </si>
  <si>
    <t>Теоретико-методологич. аспекты использования информац...: Уч.пос. / В.Д.Колдаев - М.:НИЦ ИНФРА-М,2025. - 333 с.(П)</t>
  </si>
  <si>
    <t>ТЕОРЕТИКО-МЕТОДОЛОГИЧЕСКИЕ АСПЕКТЫ ИСПОЛЬЗОВАНИЯ ИНФОРМАЦИОННЫХ ТЕХНОЛОГИЙ В ОБРАЗОВАНИИ, ИЗД.1</t>
  </si>
  <si>
    <t>978-5-16-015020-8</t>
  </si>
  <si>
    <t>00.03.03, 00.03.16, 00.05.03, 00.05.16, 44.03.05</t>
  </si>
  <si>
    <t>Рекомендовано научно-методическим советом Национального исследовательского университета «Московский институт электронной техники» в качестве учебного пособия для аспирантов, магистрантов и студентов любых направлений подготовки и специальностей</t>
  </si>
  <si>
    <t>739892.01.01</t>
  </si>
  <si>
    <t>Теоретико-методологич. основы развит. экономич. субъекта... / О.В.Лихтарова-М.:НИЦ ИНФРА-М,2023-181с(О)</t>
  </si>
  <si>
    <t>ТЕОРЕТИКО-МЕТОДОЛОГИЧЕСКИЕ ОСНОВЫ РАЗВИТИЯ ЭКОНОМИЧЕСКОГО СУБЪЕКТА НА ОСНОВЕ СТЕЙКХОЛДЕРСКОГО ПОДХОДА, ИЗД.1</t>
  </si>
  <si>
    <t>Лихтарова О.В.</t>
  </si>
  <si>
    <t>978-5-16-016329-1</t>
  </si>
  <si>
    <t>486050.04.01</t>
  </si>
  <si>
    <t>Теоретико-методологич. подходы риск-менеджмента: Моногр. / Н.В.Капустина - М.:НИЦ ИНФРА-М,2025 - 140 с.(О)</t>
  </si>
  <si>
    <t>ТЕОРЕТИКО-МЕТОДОЛОГИЧЕСКИЕ ПОДХОДЫ РИСК-МЕНЕДЖМЕНТА, ИЗД.1</t>
  </si>
  <si>
    <t>978-5-16-010601-4</t>
  </si>
  <si>
    <t>740307.01.01</t>
  </si>
  <si>
    <t>Теоретико-методологический анализ соц. рисков совр. общества: Моногр. / С.Н.Илюшин-М.:НИЦ ИНФРА-М,2022.-159с.(Науч.мысль)(О)</t>
  </si>
  <si>
    <t>ТЕОРЕТИКО-МЕТОДОЛОГИЧЕСКИЙ АНАЛИЗ СОЦИАЛЬНЫХ РИСКОВ СОВРЕМЕННОГО ОБЩЕСТВА, ИЗД.1</t>
  </si>
  <si>
    <t>Илюшин С.Н., Микрюков В.О.</t>
  </si>
  <si>
    <t>978-5-16-016359-8</t>
  </si>
  <si>
    <t>823419.04.01</t>
  </si>
  <si>
    <t>Теоретико-правовые задачи сохр. природного потенциала России / В.Б.Агафонов - М.:НИЦ ИНФРА-М,2026. - 296 с.(п)</t>
  </si>
  <si>
    <t>ТЕОРЕТИКО-ПРАВОВЫЕ ЗАДАЧИ СОХРАНЕНИЯ ПРИРОДНОГО ПОТЕНЦИАЛА РОССИИ, ИЗД.1</t>
  </si>
  <si>
    <t>Агафонов В.Б., Бобылев С.Н., Боголюбов С.А. и др.</t>
  </si>
  <si>
    <t>978-5-16-019737-1</t>
  </si>
  <si>
    <t>655194.05.01</t>
  </si>
  <si>
    <t>Теоретико-правовые основы бюджетного устр. гос.: Моногр. / Х.В.Пешкова - М.:НИЦ ИНФРА-М,2026 - 315 с.(П)</t>
  </si>
  <si>
    <t>ТЕОРЕТИКО-ПРАВОВЫЕ ОСНОВЫ БЮДЖЕТНОГО УСТРОЙСТВА ГОСУДАРСТВА, ИЗД.1</t>
  </si>
  <si>
    <t>978-5-16-012952-5</t>
  </si>
  <si>
    <t>797518.01.01</t>
  </si>
  <si>
    <t>Теоретиче положения учетно-аналитич. обеспеч...: Моногр. / Н.С.Нечеухина.-М.:НИЦ ИНФРА-М,2024.-198 с.(п)</t>
  </si>
  <si>
    <t>ТЕОРЕТИЧЕСКИЕ ПОЛОЖЕНИЯ УЧЕТНО-АНАЛИТИЧЕСКОГО ОБЕСПЕЧЕНИЯ РЕЗУЛЬТАТИВНОСТИ И ЭФФЕКТИВНОСТИ, ИЗД.1</t>
  </si>
  <si>
    <t>Нечеухина Н.С., Мустафина О.В., Чепулянис А.В.</t>
  </si>
  <si>
    <t>978-5-16-019492-9</t>
  </si>
  <si>
    <t>38.03.02, 38.04.01, 38.04.02, 38.04.04, 38.04.08, 38.05.01, 38.06.01</t>
  </si>
  <si>
    <t>803998.01.01</t>
  </si>
  <si>
    <t>Теоретическая и эксперимент. лазерная дозиметрия / Б.Н.Рахманов-М.:НИЦ ИНФРА-М,2024.-210 с.(о)</t>
  </si>
  <si>
    <t>ТЕОРЕТИЧЕСКАЯ И ЭКСПЕРИМЕНТАЛЬНАЯ ЛАЗЕРНАЯ ДОЗИМЕТРИЯ, ИЗД.1</t>
  </si>
  <si>
    <t>Рахманов Б.Н., Кибовский В.Т.</t>
  </si>
  <si>
    <t>978-5-16-018696-2</t>
  </si>
  <si>
    <t>12.03.05, 14.03.02, 14.04.02, 31.05.01, 31.08.08, 31.08.61, 32.04.01, 32.05.01, 32.06.01, 32.08.09</t>
  </si>
  <si>
    <t>158650.03.01</t>
  </si>
  <si>
    <t>Теоретическая механика. Кинематика. Практикум: Уч.пос. / В.А.Акимов - М.:ИНФРА-М, 2022 - 635 с.-(ВО)(п)</t>
  </si>
  <si>
    <t>ТЕОРЕТИЧЕСКАЯ МЕХАНИКА. КИНЕМАТИКА. ПРАКТИКУМ, ИЗД.1</t>
  </si>
  <si>
    <t>Акимов В. А., Скляр О. Н., Федута А. А., Чигарев А. В.</t>
  </si>
  <si>
    <t>978-5-16-005064-5</t>
  </si>
  <si>
    <t>01.03.03, 01.04.03, 02.03.03, 03.03.03, 08.03.01, 13.03.03, 15.03.01, 15.03.03</t>
  </si>
  <si>
    <t>Рекомендовано  Учебно-методическим центром "Профессиональный учебник" в качестве учебного пособия для студентов высших учебных заведений</t>
  </si>
  <si>
    <t>650088.05.01</t>
  </si>
  <si>
    <t>Теоретическая механика. Практ.: Уч.пос. / О.В.Мкртычев - М.:Вуз.уч.,НИЦ ИНФРА-М,2023 - 337 с.(П)</t>
  </si>
  <si>
    <t>ТЕОРЕТИЧЕСКАЯ МЕХАНИКА. ПРАКТИКУМ, ИЗД.1</t>
  </si>
  <si>
    <t>Мкртычев О.В.</t>
  </si>
  <si>
    <t>978-5-9558-0547-4</t>
  </si>
  <si>
    <t>15.03.03, 23.03.01, 23.03.03</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</si>
  <si>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15.00.00 «Машиностроение» в качестве учебного пособия для реализации основных профессиональных образовательных программ высшего образования по направлению подготовки бакалавров 15.03.02 «Технологические машины и оборудование»</t>
  </si>
  <si>
    <t>470750.07.01</t>
  </si>
  <si>
    <t>Теоретическая механика. Сб. задач: Уч.пос. / М.Н.Кирсанов-М.:НИЦ ИНФРА-М,2023.-430 с.(ВО)(п)</t>
  </si>
  <si>
    <t>ТЕОРЕТИЧЕСКАЯ МЕХАНИКА. СБОРНИК ЗАДАЧ, ИЗД.1</t>
  </si>
  <si>
    <t>Кирсанов М. Н.</t>
  </si>
  <si>
    <t>978-5-16-010026-5</t>
  </si>
  <si>
    <t>01.03.01, 01.03.02, 01.03.03, 01.04.03, 01.05.01, 02.03.01, 02.03.03, 03.03.02, 03.03.03, 03.05.01, 03.05.02, 04.05.01, 05.03.04, 05.03.05, 07.03.03, 08.03.01, 08.05.01, 08.05.02, 12.03.05, 13.03.03, 14.03.02, 14.05.01, 14.05.02, 15.03.01, 15.03.03, 15.03.05, 15.03.06, 15.05.01, 16.03.01, 16.03.02, 16.03.03, 16.05.01, 17.05.01, 17.05.02, 20.03.01, 20.03.02, 21.03.01, 21.05.03, 21.05.04, 23.03.01, 23.03.02, 23.03.03, 23.05.01, 23.05.02, 23.05.03, 23.05.04, 23.05.06, 24.03.01, 24.03.03, 24.03.04, 24.03.05, 24.05.01, 24.05.02, 24.05.03, 24.05.04, 24.05.05, 24.05.06, 24.05.07, 25.03.01, 26.03.01, 26.03.02, 26.05.01, 26.05.02, 26.05.03, 26.05.07, 27.03.04, 27.05.01, 28.03.01, 28.03.02, 28.03.03, 29.03.01, 29.03.02, 35.03.02, 35.03.06, 54.03.04</t>
  </si>
  <si>
    <t>255900.15.01</t>
  </si>
  <si>
    <t>Теоретическая механика: Уч. / В.Л.Цывильский - 5 изд. - М.:КУРС,НИЦ ИНФРА-М,2026 - 368 с.(П)</t>
  </si>
  <si>
    <t>ТЕОРЕТИЧЕСКАЯ МЕХАНИКА, ИЗД.5</t>
  </si>
  <si>
    <t>Цывильский В.Л.</t>
  </si>
  <si>
    <t>978-5-906923-71-4</t>
  </si>
  <si>
    <t>01.03.01, 02.03.01, 03.03.02, 08.03.01, 13.03.03, 15.03.01, 15.03.03, 15.03.05, 16.03.02, 16.03.03, 23.03.03, 24.03.01, 24.03.03, 24.03.04, 24.03.05, 25.03.01, 27.03.04, 29.03.02, 35.03.02</t>
  </si>
  <si>
    <t>Рекомендовано Министерством образования и науки РФ в качестве учебника для студентов высших технических учебных заведений</t>
  </si>
  <si>
    <t>Институт искусства реставрации</t>
  </si>
  <si>
    <t>650086.03.01</t>
  </si>
  <si>
    <t>Теоретическая механика: Уч. / О.В.Мкртычев - М.:Вуз.уч., НИЦ ИНФРА-М,2023-359 с.-(ВО:Бакалавр.)(П)</t>
  </si>
  <si>
    <t>ТЕОРЕТИЧЕСКАЯ МЕХАНИКА, ИЗД.1</t>
  </si>
  <si>
    <t>978-5-9558-0546-7</t>
  </si>
  <si>
    <t>08.03.01, 15.03.02</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</si>
  <si>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15.00.00 «Машиностроение» в качестве учебника для реализации основных профессиональных образовательных программ высшего образования по направлению подготовки бакалавров 15.03.02 «Технологические машины и оборудование»</t>
  </si>
  <si>
    <t>464550.07.01</t>
  </si>
  <si>
    <t>Теоретическая механика: Уч.пос. / Г.П.Бурчак-М.:НИЦ ИНФРА-М,2023.-271 с..-(ВО: Бакалавриат)(П)</t>
  </si>
  <si>
    <t>Бурчак Г.П., Винник Л.В.</t>
  </si>
  <si>
    <t>978-5-16-009648-3</t>
  </si>
  <si>
    <t>632506.08.01</t>
  </si>
  <si>
    <t>Теоретическая механика: Уч.пос. / М.И.Белов, - 2 изд. - М.:ИЦ РИОР, НИЦ ИНФРА-М,2026. - 336 с.(ВО)(п)</t>
  </si>
  <si>
    <t>ТЕОРЕТИЧЕСКАЯ МЕХАНИКА, ИЗД.2</t>
  </si>
  <si>
    <t>Белов М.И., Пылаев Б.В.</t>
  </si>
  <si>
    <t>978-5-369-01574-2</t>
  </si>
  <si>
    <t>670056.03.01</t>
  </si>
  <si>
    <t>Теоретическая строгость как соотв.сист.и метода.:Моногр. / Е.В.Карелина-М.:НИЦ ИНФРА-М,СФУ,2023-119с</t>
  </si>
  <si>
    <t>ТЕОРЕТИЧЕСКАЯ СТРОГОСТЬ КАК СООТВЕТСТВИЕ СИСТЕМЫ И МЕТОДА В ФИЛОСОФИИ, ИЗД.1</t>
  </si>
  <si>
    <t>Карелина Е.В.</t>
  </si>
  <si>
    <t>978-5-16-013360-7</t>
  </si>
  <si>
    <t>728008.01.01</t>
  </si>
  <si>
    <t>Теоретическая фонетика англ. языка: Уч.пос. / Е.Н.Митрофанова - М.:НИЦ ИНФРА-М,2025. - 212 с.(ВО)(п)</t>
  </si>
  <si>
    <t>ТЕОРЕТИЧЕСКАЯ ФОНЕТИКА АНГЛИЙСКОГО ЯЗЫКА, ИЗД.1</t>
  </si>
  <si>
    <t>Митрофанова Е.Н.</t>
  </si>
  <si>
    <t>978-5-16-016676-6</t>
  </si>
  <si>
    <t>766063.01.01</t>
  </si>
  <si>
    <t>Теоретические аспекты формир. и развития экол. экономики в России: Моногр. / Н.Г.Гаджиев, -М.:НИЦ ИНФРА-М,2022.-167 с.(О)</t>
  </si>
  <si>
    <t>ТЕОРЕТИЧЕСКИЕ АСПЕКТЫ ФОРМИРОВАНИЯ И РАЗВИТИЯ ЭКОЛОГИЧЕСКОЙ ЭКОНОМИКИ В РОССИИ, ИЗД.1</t>
  </si>
  <si>
    <t>978-5-16-017246-0</t>
  </si>
  <si>
    <t>20.06.01, 38.06.01, 38.07.02</t>
  </si>
  <si>
    <t>682851.08.01</t>
  </si>
  <si>
    <t>Теоретические и метод. осн. физ.восп..: Уч.пос. / Под ред.Козловой С.А. - 2 изд. - М.:НИЦ ИНФРА-М,2026 - 508 с.(СПО)(п)</t>
  </si>
  <si>
    <t>ТЕОРЕТИЧЕСКИЕ И МЕТОДИЧЕСКИЕ ОСНОВЫ ФИЗИЧЕСКОГО ВОСПИТАНИЯ И РАЗВИТИЯ ДЕТЕЙ РАННЕГО И ДОШКОЛЬНОГО ВОЗРАСТА, ИЗД.2</t>
  </si>
  <si>
    <t>978-5-16-013905-0</t>
  </si>
  <si>
    <t>44.02.01, 49.02.01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</si>
  <si>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 44.02.04 «Специальное дошкольное образование»</t>
  </si>
  <si>
    <t>641121.06.01</t>
  </si>
  <si>
    <t>Теоретические и прав. аспекты розыск. деят. след.: Моногр. / В.В.Гончар-М.:НИЦ ИНФРА-М,2024-162с.(О)</t>
  </si>
  <si>
    <t>ТЕОРЕТИЧЕСКИЕ И ПРАВОВЫЕ АСПЕКТЫ РОЗЫСКНОЙ ДЕЯТЕЛЬНОСТИ СЛЕДОВАТЕЛЯ, ИЗД.1</t>
  </si>
  <si>
    <t>Гончар В.В.</t>
  </si>
  <si>
    <t>978-5-16-011273-2</t>
  </si>
  <si>
    <t>682927.03.01</t>
  </si>
  <si>
    <t>Теоретические и прак. аспекты разработки пищевых продуктов.../ Е.В.Пастушкова - М.:НИЦ ИНФРА-М,2027 - 164 с.(п)</t>
  </si>
  <si>
    <t>ТЕОРЕТИЧЕСКИЕ И ПРАКТИЧЕСКИЕ АСПЕКТЫ РАЗРАБОТКИ ПИЩЕВЫХ ПРОДУКТОВ АНТИОКСИДАНТНОГО НАПРАВЛЕНИЯ, ИЗД.1</t>
  </si>
  <si>
    <t>Пастушкова Е.В., Фозилова В.В.</t>
  </si>
  <si>
    <t>978-5-16-013941-8</t>
  </si>
  <si>
    <t>19.03.02, 19.04.02, 19.04.05</t>
  </si>
  <si>
    <t>471100.03.01</t>
  </si>
  <si>
    <t>Теоретические и прикл.основы автоматиз.упр...: Уч.пос. /В.Я.Хорольский-М:Форум,НИЦ ИНФРА-М,2023-112с(О)</t>
  </si>
  <si>
    <t>ТЕОРЕТИЧЕСКИЕ И ПРИКЛАДНЫЕ ОСНОВЫ АВТОМАТИЗИРОВАННОГО УПРАВЛЕНИЯ ДЕЯТЕЛЬНОСТЬЮ ЭНЕРГЕТИЧЕСКИХ СЛУЖБ СЕЛЬСКОХОЗЯЙСТВЕННЫХ ПРЕДПРИЯТИЙ, ИЗД.1</t>
  </si>
  <si>
    <t>978-5-00091-167-9</t>
  </si>
  <si>
    <t>Допущено Министерством сельского хозяйства Российской Федерации в качестве учебного пособия для студентов высших учебных заведений, орбучающихся по направлению подготовки 35.03.06 «Агроинженерия»</t>
  </si>
  <si>
    <t>398300.07.01</t>
  </si>
  <si>
    <t>Теоретические и соц. основы техносферы: Моногр./ А.Д.Иоселиани-М:НИЦ ИНФРА-М,2024-395(Науч.мысль)(П)</t>
  </si>
  <si>
    <t>ТЕОРЕТИЧЕСКИЕ И СОЦИАЛЬНЫЕ ОСНОВЫ ТЕХНОСФЕРЫ, ИЗД.1</t>
  </si>
  <si>
    <t>Иоселиани А.Д.</t>
  </si>
  <si>
    <t>978-5-16-011276-3</t>
  </si>
  <si>
    <t>20.03.01, 20.04.01, 40.03.01, 44.03.01, 44.03.05, 47.03.01, 47.04.01</t>
  </si>
  <si>
    <t>798605.01.01</t>
  </si>
  <si>
    <t>Теоретические осн. технологии производ. ракет.-космич. тех.: Уч.пос. / А.Л.Галиновский-М.:НИЦ ИНФРА-М,2024-286с(п)</t>
  </si>
  <si>
    <t>ТЕОРЕТИЧЕСКИЕ ОСНОВЫ ТЕХНОЛОГИИ ПРОИЗВОДСТВА РАКЕТНО-КОСМИЧЕСКОЙ ТЕХНИКИ, ИЗД.1</t>
  </si>
  <si>
    <t>Галиновский А.Л., Бочкарев С.В., Абашин М.И.</t>
  </si>
  <si>
    <t>978-5-16-018290-2</t>
  </si>
  <si>
    <t>17.05.02, 24.04.03, 24.05.01, 24.05.02, 24.05.06</t>
  </si>
  <si>
    <t>670459.03.01</t>
  </si>
  <si>
    <t>Теоретические основы анализа параметр.алгоритмов: Моногр. / В.В.Быкова-М.:НИЦ ИНФРА-М,СФУ,2024-181с.</t>
  </si>
  <si>
    <t>ТЕОРЕТИЧЕСКИЕ ОСНОВЫ АНАЛИЗА ПАРАМЕТРИЗИРОВАННЫХ АЛГОРИТМОВ, ИЗД.1</t>
  </si>
  <si>
    <t>Быкова В.В.</t>
  </si>
  <si>
    <t>978-5-16-013364-5</t>
  </si>
  <si>
    <t>060600.14.01</t>
  </si>
  <si>
    <t>Теоретические основы анализа хоз. деят.: Уч.пос. / Г.В.Савицкая, - 3 изд. - М.:НИЦ ИНФРА-М,2025. - 217 с.(ВО)(П)</t>
  </si>
  <si>
    <t>ТЕОРЕТИЧЕСКИЕ ОСНОВЫ АНАЛИЗА ХОЗЯЙСТВЕННОЙ ДЕЯТЕЛЬНОСТИ, ИЗД.3</t>
  </si>
  <si>
    <t>978-5-16-013157-3</t>
  </si>
  <si>
    <t>836383.03.01</t>
  </si>
  <si>
    <t>Теоретические основы бух. учета: Уч. / Е.А.Мизиковский - М.:Магистр, НИЦ ИНФРА-М,2026. - 268 с.(п)</t>
  </si>
  <si>
    <t>ТЕОРЕТИЧЕСКИЕ ОСНОВЫ БУХГАЛТЕРСКОГО УЧЕТА, ИЗД.1</t>
  </si>
  <si>
    <t>978-5-16-021958-5</t>
  </si>
  <si>
    <t>648868.07.01</t>
  </si>
  <si>
    <t>Теоретические основы здоровья человека...: Уч.пос. / Н.Н.Каргин - М.:НИЦ ИНФРА-М,2026. - 243 с.(П)</t>
  </si>
  <si>
    <t>ТЕОРЕТИЧЕСКИЕ ОСНОВЫ ЗДОРОВЬЯ ЧЕЛОВЕКА И ЕГО ФОРМИРОВАНИЯ СРЕДСТВАМИ ФИЗИЧЕСКОЙ КУЛЬТУРЫ И СПОРТА, ИЗД.1</t>
  </si>
  <si>
    <t>978-5-16-021130-5</t>
  </si>
  <si>
    <t>32.04.01, 32.05.01, 44.03.01, 49.03.01, 49.03.03, 49.04.01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</si>
  <si>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направлениям подготовки 49.03.00 «Физическая культура и спорт», 43.03.00 «Сервис и туризм», 44.03.00 «Образование и педагогические науки» (квалификация (степень) «бакалавр») (протокол № 5 от 26.03.2020)</t>
  </si>
  <si>
    <t>270100.07.01</t>
  </si>
  <si>
    <t>Теоретические основы и технол.перераб.пласт.масс: Уч. / В.Г.Бортников - 3 изд. - М.:ИНФРА-М,2025. - 480с.-(ВО)</t>
  </si>
  <si>
    <t>ТЕОРЕТИЧЕСКИЕ ОСНОВЫ И ТЕХНОЛОГИЯ ПЕРЕРАБОТКИ ПЛАСТИЧЕСКИХ МАСС, ИЗД.3</t>
  </si>
  <si>
    <t>Бортников В.Г.</t>
  </si>
  <si>
    <t>978-5-16-009639-1</t>
  </si>
  <si>
    <t>04.03.02, 18.03.01</t>
  </si>
  <si>
    <t>147800.09.01</t>
  </si>
  <si>
    <t>Теоретические основы кадастра: Уч.пос. / В.А.Свитин - М.:НИЦ ИНФРА-М,2020 - 256 с.(ВО)(П)</t>
  </si>
  <si>
    <t>ТЕОРЕТИЧЕСКИЕ ОСНОВЫ КАДАСТРА, ИЗД.1</t>
  </si>
  <si>
    <t>Свитин В. А.</t>
  </si>
  <si>
    <t>978-5-16-009975-0</t>
  </si>
  <si>
    <t>21.03.02, 21.04.02, 40.05.01, 40.05.02, 40.05.03, 40.05.04</t>
  </si>
  <si>
    <t>Допущено Министерством образования Республики Беларусь в качестве учебного пособия для студентов высших учебных заведений  по специальности «Земельный кадастр»</t>
  </si>
  <si>
    <t>794686.01.01</t>
  </si>
  <si>
    <t>Теоретические основы квалификации преступлений: Уч.пос. / Д.Ж.Гостькова-М.:НИЦ ИНФРА-М,2024.-230 с.(ВО)(п)</t>
  </si>
  <si>
    <t>ТЕОРЕТИЧЕСКИЕ ОСНОВЫ КВАЛИФИКАЦИИ ПРЕСТУПЛЕНИЙ, ИЗД.1</t>
  </si>
  <si>
    <t>Гостькова Д.Ж.</t>
  </si>
  <si>
    <t>978-5-16-018479-1</t>
  </si>
  <si>
    <t>277500.07.01</t>
  </si>
  <si>
    <t>Теоретические основы обеспеч.  работоспособ...: Уч. пос. / Н.А.Кузьмин - М:Форум:ИНФРА-М,2023 - 272 с. (П)</t>
  </si>
  <si>
    <t>ТЕОРЕТИЧЕСКИЕ ОСНОВЫ ОБЕСПЕЧЕНИЯ  РАБОТОСПОСОБНОСТИ АВТОМОБИЛЕЙ, ИЗД.1</t>
  </si>
  <si>
    <t>Кузьмин Н. А.</t>
  </si>
  <si>
    <t>978-5-91134-881-6</t>
  </si>
  <si>
    <t>Допущено Министерством образования и науки Российской Федерации в качестве учебного пособия для студентов высших учебных заведений, обучающихся пи направлению подготовки бакалавров и магистров «Эксплуатация транспортных средств» и направлению подгото</t>
  </si>
  <si>
    <t>883233.01.01</t>
  </si>
  <si>
    <t>Теоретические основы принятия реш. по..: Уч.пос. / Л.Н.Масленникова - М.:Юр. НОРМА, НИЦ ИНФРА-М,2026 - 340 с.(п)</t>
  </si>
  <si>
    <t>ТЕОРЕТИЧЕСКИЕ ОСНОВЫ ПРИНЯТИЯ РЕШЕНИЙ ПО УГОЛОВНОМУ ДЕЛУ, ИЗД.1</t>
  </si>
  <si>
    <t>978-5-00156-491-1</t>
  </si>
  <si>
    <t>742953.02.01</t>
  </si>
  <si>
    <t>Теоретические основы разработки и моделир. сис..: Уч.пос. / А.М.Афонин - М.:НИЦ ИНФРА-М,2022 - 191 с.(ВО)(П)</t>
  </si>
  <si>
    <t>ТЕОРЕТИЧЕСКИЕ ОСНОВЫ РАЗРАБОТКИ И МОДЕЛИРОВАНИЯ СИСТЕМ АВТОМАТИЗАЦИИ, ИЗД.1</t>
  </si>
  <si>
    <t>Афонин А.М., Царегородцев Ю.Н., Петрова А.М. и др.</t>
  </si>
  <si>
    <t>978-5-16-016467-0</t>
  </si>
  <si>
    <t>15.03.01, 15.03.02, 15.03.03, 15.03.04, 38.03.05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</si>
  <si>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15.03.00 «Машиностроение», 38.03.05 «Бизнес-информатика» (квалификация (степень) «бакалавр») (протокол № 8 от 22.06.2020)</t>
  </si>
  <si>
    <t>147100.09.01</t>
  </si>
  <si>
    <t>Теоретические основы разработки и моделир..: Уч.пос. / А.М.Афонин - М.:Форум:ИНФРА-М,2027 - 192 с.(СПО)(П)</t>
  </si>
  <si>
    <t>978-5-00091-678-0</t>
  </si>
  <si>
    <t>15.01.26, 15.01.27, 15.01.35, 15.01.36, 15.01.38, 15.02.07, 15.02.09, 15.02.10, 15.02.16, 15.02.18</t>
  </si>
  <si>
    <t>147100.04.01</t>
  </si>
  <si>
    <t>Теоретические основы разработки и моделир..: Уч.пос. /А.М.Афонин -М.:Форум: ИНФРА-М, 2019 -192с(ПО)</t>
  </si>
  <si>
    <t>978-5-91134-479-5</t>
  </si>
  <si>
    <t>632300.05.01</t>
  </si>
  <si>
    <t>Теоретические основы реструкт. орг.: Уч.пос. / А.П.Балашов- 2изд.-М.:Вуз.уч.,НИЦ ИНФРА-М,2023.-254с.</t>
  </si>
  <si>
    <t>ТЕОРЕТИЧЕСКИЕ ОСНОВЫ РЕСТРУКТУРИЗАЦИИ ОРГАНИЗАЦИИ, ИЗД.2</t>
  </si>
  <si>
    <t>978-5-9558-0502-3</t>
  </si>
  <si>
    <t>38.03.01, 38.04.01, 38.04.02, 38.05.01, 40.03.01</t>
  </si>
  <si>
    <t>666518.03.01</t>
  </si>
  <si>
    <t>Теоретические основы соц. права: Моногр./ С.В.Бирюков-М.:НИЦ ИНФРА-М,2021-325с.(Науч.мысль)(П)</t>
  </si>
  <si>
    <t>ТЕОРЕТИЧЕСКИЕ ОСНОВЫ СОЦИОЛОГИИ ПРАВА, ИЗД.1</t>
  </si>
  <si>
    <t>Бирюков С.В.</t>
  </si>
  <si>
    <t>978-5-16-013141-2</t>
  </si>
  <si>
    <t>650517.10.01</t>
  </si>
  <si>
    <t>Теоретические основы судебной власти: Уч. / Л.А.Воскобитова - М.:Юр.Норма,НИЦ ИНФРА-М,2026. - 288 с.(П)</t>
  </si>
  <si>
    <t>ТЕОРЕТИЧЕСКИЕ ОСНОВЫ СУДЕБНОЙ ВЛАСТИ, ИЗД.1</t>
  </si>
  <si>
    <t>Воскобитова Л.А.</t>
  </si>
  <si>
    <t>978-5-91768-810-7</t>
  </si>
  <si>
    <t>333100.08.01</t>
  </si>
  <si>
    <t>Теоретические основы теплотехники / В.И.Ляшков - М.:КУРС, НИЦ ИНФРА-М,2026 - 328 с.(п)</t>
  </si>
  <si>
    <t>ТЕОРЕТИЧЕСКИЕ ОСНОВЫ ТЕПЛОТЕХНИКИ, ИЗД.1</t>
  </si>
  <si>
    <t>978-5-905554-85-8</t>
  </si>
  <si>
    <t>13.03.01, 13.04.01, 25.04.02</t>
  </si>
  <si>
    <t>271200.08.01</t>
  </si>
  <si>
    <t>Теоретические основы товаровед..: Уч.: В 2 ч.Ч.2 /М.А.Николаева-М.:Юр.Норма,НИЦ ИНФРА-М,2022-192с(П)</t>
  </si>
  <si>
    <t>ТЕОРЕТИЧЕСКИЕ ОСНОВЫ ТОВАРОВЕДЕНИЯ И ЭКСПЕРТИЗЫ ТОВАРОВ, Т.2</t>
  </si>
  <si>
    <t>Николаева М.А.</t>
  </si>
  <si>
    <t>978-5-91768-477-2</t>
  </si>
  <si>
    <t>38.03.01, 38.03.06, 38.03.07, 38.04.01, 38.04.06, 38.04.07, 38.06.01</t>
  </si>
  <si>
    <t>Допущено Учебно-методическим объединением по образованию в области коммерции и по образованию в области маркетинга в качестве учебника для студентов высших учебных заведений, обучающихся по направлению 100700.62 — Торговое дело</t>
  </si>
  <si>
    <t>271100.10.01</t>
  </si>
  <si>
    <t>Теоретические основы товароведения...: Уч.: В 2 ч.Ч.1 / М.А.Николаева - Норма: ИНФРА-М,2025 - 368 с. (п)</t>
  </si>
  <si>
    <t>ТЕОРЕТИЧЕСКИЕ ОСНОВЫ ТОВАРОВЕДЕНИЯ И ЭКСПЕРТИЗЫ ТОВАРОВ, Т.1</t>
  </si>
  <si>
    <t>978-5-91768-476-5</t>
  </si>
  <si>
    <t>38.03.06, 38.03.07</t>
  </si>
  <si>
    <t>067000.08.01</t>
  </si>
  <si>
    <t>Теоретические основы товароведения: Уч. / М.А.Николаева - М.:Юр.Норма, НИЦ ИНФРА-М,2015.-448 с.</t>
  </si>
  <si>
    <t>ТЕОРЕТИЧЕСКИЕ ОСНОВЫ ТОВАРОВЕДЕНИЯ, ИЗД.1</t>
  </si>
  <si>
    <t>Николаева М. А.</t>
  </si>
  <si>
    <t>978-5-91768-426-0</t>
  </si>
  <si>
    <t>Рекомендовано УМО по образованию в области товароведения и экспертизы товаров и УМО по образованию в области коммерции в качестве учебника для студентов вузов, обучающихся по специальности "Товароведение и экспертиза товаров" и "Коммерция"</t>
  </si>
  <si>
    <t>067000.11.01</t>
  </si>
  <si>
    <t>Теоретические основы товароведения: Уч. / М.А.Николаева, - 2 изд.-М.:Юр.Норма, НИЦ ИНФРА-М,2024.-424 с.(П)</t>
  </si>
  <si>
    <t>ТЕОРЕТИЧЕСКИЕ ОСНОВЫ ТОВАРОВЕДЕНИЯ, ИЗД.2</t>
  </si>
  <si>
    <t>978-5-00156-186-6</t>
  </si>
  <si>
    <t>754376.01.01</t>
  </si>
  <si>
    <t>Теоретические основы товароведения: Уч. / С.И.Жулидов - М.:НИЦ ИНФРА-М,2025. - 213 с.(СПО)(п)</t>
  </si>
  <si>
    <t>978-5-16-017796-0</t>
  </si>
  <si>
    <t>19.01.18, 19.01.19, 19.02.10, 19.02.13, 38.02.01, 38.02.08, 43.01.01, 43.01.04, 43.01.09, 43.02.15, 43.02.16</t>
  </si>
  <si>
    <t>795894.01.01</t>
  </si>
  <si>
    <t>Теоретические основы электротехники...: Уч.пос. / Е.А.Карпов.-М.:НИЦ ИНФРА-М,2023.-182 с.(П)</t>
  </si>
  <si>
    <t>ТЕОРЕТИЧЕСКИЕ ОСНОВЫ ЭЛЕКТРОТЕХНИКИ. ОСНОВЫ НЕЛИНЕЙНОЙ ЭЛЕКТРОТЕХНИКИ В УПРАЖНЕНИЯХ И ЗАДАЧАХ, ИЗД.1</t>
  </si>
  <si>
    <t>Карпов Е.А., Тимофеев В.Н., Хацаюк М.Ю.</t>
  </si>
  <si>
    <t>978-5-16-018085-4</t>
  </si>
  <si>
    <t>11.03.01, 11.05.01, 12.03.03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</si>
  <si>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электротехническим и радиотехническим направлениям подготовки (квалификация (степень) «бакалавр») (протокол № 7 от 21.09.2022)</t>
  </si>
  <si>
    <t>035580.29.01</t>
  </si>
  <si>
    <t>Теоретические основы электротехники: Уч. / Е.А.Лоторейчук - М., НИЦ ИНФРА-М,2026 - 317 с.(СПО)(п)</t>
  </si>
  <si>
    <t>ТЕОРЕТИЧЕСКИЕ ОСНОВЫ ЭЛЕКТРОТЕХНИКИ, ИЗД.1</t>
  </si>
  <si>
    <t>978-5-16-021371-2</t>
  </si>
  <si>
    <t>00.02.39, 08.02.04, 08.02.08, 08.02.12, 08.02.13, 11.02.06, 11.02.15, 12.02.10, 13.02.02, 13.02.07, 13.02.08, 13.02.12, 13.02.13, 15.02.01, 15.02.03, 15.02.06, 15.02.09, 15.02.10, 15.02.17, 15.02.19, 18.02.04, 19.02.14, 21.02.03, 23.02.03, 23.02.05, 23.02.07, 24.02.02, 25.02.02, 26.02.04, 26.02.05, 29.02.11, 35.02.08, 35.02.16</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</si>
  <si>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специальностям технического профиля</t>
  </si>
  <si>
    <t>432900.07.01</t>
  </si>
  <si>
    <t>Теоретические положения и тестир. базовых знаний...: Уч.пос. / А.В.Чесноков - М.:НИЦ ИНФРА-М,2026. - 164 с.(о)</t>
  </si>
  <si>
    <t>ТЕОРЕТИЧЕСКИЕ ПОЛОЖЕНИЯ И ТЕСТИРОВАНИЕ БАЗОВЫХ ЗНАНИЙ ПО ЭЛЕКТРОТЕХНИКЕ, ИЗД.1</t>
  </si>
  <si>
    <t>Чесноков А.В., Поляков А.Е., Филимонова Е.М.</t>
  </si>
  <si>
    <t>978-5-16-021220-3</t>
  </si>
  <si>
    <t>12.03.01, 12.03.02, 12.03.05, 13.03.02, 13.04.02, 15.03.05, 15.03.06, 21.03.01, 25.03.02, 25.03.04, 28.03.01, 28.03.02</t>
  </si>
  <si>
    <t>Допущено УМО по образованию в области технологии и проектирования текстильных изделий в качестве учебного пособия для студентов высших учебных заведений, обучающихся по направлениям подготовки 29.03.02 «Технологии и проектирование текстильных изделий», 15.03.04 «Автоматизация технологических процессов и производств», 13.03.01 «Теплоэнергетика и теплотехника», 15.03.02 «Технологические машины и оборудование», 09.03.01 «Информатика и вычислительная техника», 09.03.02 «Информационные системы и технологии»</t>
  </si>
  <si>
    <t>658462.03.01</t>
  </si>
  <si>
    <t>Теоретический  курс  англ. яз. Грамматика: Уч. / А.А.Джиоева-М.:НИЦ ИНФРА-М,2024.-146 с.(ВО)(п)</t>
  </si>
  <si>
    <t>ТЕОРЕТИЧЕСКИЙ  КУРС  АНГЛИЙСКОГО ЯЗЫКА. ГРАММАТИКА, ИЗД.1</t>
  </si>
  <si>
    <t>978-5-16-019866-8</t>
  </si>
  <si>
    <t>45.03.01, 45.03.02, 45.03.03, 45.03.04, 45.03.99, 45.04.04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</si>
  <si>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филологическим направлениям подготовки (квалификация (степень) «бакалавр») (протокол № 6 от 16.06.2021)</t>
  </si>
  <si>
    <t>481500.04.01</t>
  </si>
  <si>
    <t>Теоретическое обосн. прим. экструдир. сырья в..: Моногр. / П.К.Гарькина - 2 изд. - М.:НИЦ ИНФРА-М,2025. - 179 с.(о)</t>
  </si>
  <si>
    <t>ТЕОРЕТИЧЕСКОЕ ОБОСНОВАНИЕ ПРИМЕНЕНИЯ ЭКСТРУДИРОВАННОГО СЫРЬЯ В ТЕХНОЛОГИЯХ ПИЩЕВЫХ ПРОДУКТОВ, ИЗД.2</t>
  </si>
  <si>
    <t>Гарькина П.К., Курочкин А.А., Шабурова Г.В.</t>
  </si>
  <si>
    <t>978-5-16-020085-9</t>
  </si>
  <si>
    <t>19.03.02, 19.04.05</t>
  </si>
  <si>
    <t>481500.03.01</t>
  </si>
  <si>
    <t>Теоретическое обосн. прим.экструдир.сырья...: Моногр. / А.А.Курочкин - М.:НИЦ ИНФРА-М,2024-163с.(О)</t>
  </si>
  <si>
    <t>ТЕОРЕТИЧЕСКОЕ ОБОСНОВАНИЕ ПРИМЕНЕНИЯ ЭКСТРУДИРОВАННОГО СЫРЬЯ В ТЕХНОЛОГИЯХ ПИЩЕВЫХ ПРОДУКТОВ, ИЗД.1</t>
  </si>
  <si>
    <t>Курочкин А.А., Воронина В.П., Шабурова Г.В.</t>
  </si>
  <si>
    <t>978-5-16-011707-2</t>
  </si>
  <si>
    <t>832549.01.01</t>
  </si>
  <si>
    <t>Теория  дет. лит. и практика читательской деят.: Уч. / Г.М.Первова - М.:НИЦ ИНФРА-М,2025. - 443 с.(ВО)(п)</t>
  </si>
  <si>
    <t>ТЕОРИЯ ДЕТСКОЙ ЛИТЕРАТУРЫ И ПРАКТИКА ЧИТАТЕЛЬСКОЙ ДЕЯТЕЛЬНОСТИ, ИЗД.1</t>
  </si>
  <si>
    <t>978-5-16-020072-9</t>
  </si>
  <si>
    <t>44.03.01, 44.03.05, 52.05.04</t>
  </si>
  <si>
    <t>АКАДЕМУС-2025, Лауреат
Всероссийский (с международным участием) конкурс учебно-методических, учебных и научных работ "Добросвет"-2025, Победитель, I место
Учебник года-2026, Лауреат</t>
  </si>
  <si>
    <t>699377.06.01</t>
  </si>
  <si>
    <t>Теория автомат. управ. Линейные...: Уч. / А.И.Сеславин - М.:НИЦ ИНФРА-М,2026 - 314 с.(ВО: Бакалавр.)(П)</t>
  </si>
  <si>
    <t>ТЕОРИЯ АВТОМАТИЧЕСКОГО УПРАВЛЕНИЯ. ЛИНЕЙНЫЕ, НЕПРЕРЫВНЫЕ СИСТЕМЫ, ИЗД.1</t>
  </si>
  <si>
    <t>Сеславин А.И.</t>
  </si>
  <si>
    <t>978-5-16-015022-2</t>
  </si>
  <si>
    <t>15.03.01, 15.03.04, 15.03.05, 15.03.06, 15.04.04, 15.04.06, 15.05.01, 27.03.03, 27.03.04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</si>
  <si>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направлениям подготовки 23.00.00 «Управление в технических системах»,  15.00.00 «Машиностроение» (квалификация (степень) «бакалавр») (протокол №9 от 28.09.2020)</t>
  </si>
  <si>
    <t>060830.11.01</t>
  </si>
  <si>
    <t>Теория автомобилей и двигателей: Уч.пос. / В.П.Тарасик, - 2 изд. - М.:НИЦ ИНФРА-М,2025. - 448 с.(ВО)(П)</t>
  </si>
  <si>
    <t>ТЕОРИЯ АВТОМОБИЛЕЙ И ДВИГАТЕЛЕЙ, ИЗД.2</t>
  </si>
  <si>
    <t>Тарасик В.П., Бренч М.П.</t>
  </si>
  <si>
    <t>978-5-16-006210-5</t>
  </si>
  <si>
    <t>23.03.02, 23.03.03, 23.04.02, 23.04.03, 23.05.02</t>
  </si>
  <si>
    <t>163100.13.01</t>
  </si>
  <si>
    <t>Теория алгоритмов: Уч. пос. / В.И. Игошин. - М.: ИНФРА-М, 2026. - 318 с.(ВО) (п)</t>
  </si>
  <si>
    <t>ТЕОРИЯ АЛГОРИТМОВ, ИЗД.1</t>
  </si>
  <si>
    <t>Игошин В. И.</t>
  </si>
  <si>
    <t>978-5-16-005205-2</t>
  </si>
  <si>
    <t>01.03.01, 01.04.01, 02.03.01, 44.03.01, 44.03.05, 44.04.01</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</si>
  <si>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специальности 050201.65 - математика</t>
  </si>
  <si>
    <t>645773.04.01</t>
  </si>
  <si>
    <t>Теория бизнес-организации: Моногр. / С.Н.Кукушкин и др. - М.:НИЦ ИНФРА-М,2026 - 238 с.(Науч.мысль)(П)</t>
  </si>
  <si>
    <t>ТЕОРИЯ БИЗНЕС-ОРГАНИЗАЦИИ, ИЗД.1</t>
  </si>
  <si>
    <t>Кукушкин С.Н., Янковская В.В., Наумова Е.А., Ярчак И.Л.</t>
  </si>
  <si>
    <t>978-5-16-012423-0</t>
  </si>
  <si>
    <t>068200.09.01</t>
  </si>
  <si>
    <t>Теория бухгалтерского учета: Уч. / В.И. Щербакова. - М.: ИД ФОРУМ:НИЦ ИНФРА-М, 2024 - 352 с.(ПО) (п)</t>
  </si>
  <si>
    <t>ТЕОРИЯ БУХГАЛТЕРСКОГО УЧЕТА, ИЗД.1</t>
  </si>
  <si>
    <t>Щербакова В.И.</t>
  </si>
  <si>
    <t>978-5-8199-0229-5</t>
  </si>
  <si>
    <t>Допущено Министерством образования РФ в качестве учебника для студентов образовательных учреждений среднего профессионального образования обучающихся по группе специальностей "Экономика и управление"</t>
  </si>
  <si>
    <t>235200.07.01</t>
  </si>
  <si>
    <t>Теория бухгалтерского учета: Уч. пос. / Ю.И. Сигидов - 3 изд. - М.: НИЦ ИНФРА-М, 2025 - 326 с.(ВО) (п)</t>
  </si>
  <si>
    <t>ТЕОРИЯ БУХГАЛТЕРСКОГО УЧЕТА, ИЗД.3</t>
  </si>
  <si>
    <t>Сигидов Ю. И., Трубилин А. И.</t>
  </si>
  <si>
    <t>978-5-16-009143-3</t>
  </si>
  <si>
    <t>028438.19.01</t>
  </si>
  <si>
    <t>Теория бухгалтерского учета: Уч./ И.Е. Мизиковский - 2 изд. - М.: Магистр: ИНФРА-М, 2026 - 384 с. (п)</t>
  </si>
  <si>
    <t>ТЕОРИЯ БУХГАЛТЕРСКОГО УЧЕТА, ИЗД.2</t>
  </si>
  <si>
    <t>Мизиковский И. Е., Кемаева С. А., Ясенев В. Н., Мизиковский Е. А., Мельник М. В.</t>
  </si>
  <si>
    <t>978-5-9776-0088-0</t>
  </si>
  <si>
    <t>Допущено Мин. обр. и науки РФ в качестве учебника для студентов учреждений среднего профессионального образования, обучающихся по финансово-экономическим специальностям</t>
  </si>
  <si>
    <t>075080.10.01</t>
  </si>
  <si>
    <t>Теория вероятн. и матем. статистика: Уч. пос. / С.В. Павлов - М.: РИОР,ИНФРА-М, 2025. - 186 с.(о.к/ф)</t>
  </si>
  <si>
    <t>ТЕОРИЯ ВЕРОЯТНОСТЕЙ И МАТЕМАТИЧЕСКАЯ СТАТИСТИКА, ИЗД.1</t>
  </si>
  <si>
    <t>Павлов С. В.</t>
  </si>
  <si>
    <t>978-5-369-00679-5</t>
  </si>
  <si>
    <t>01.03.01, 01.03.02, 01.03.03, 01.03.04, 02.03.01, 02.03.02, 02.03.03, 03.03.02, 03.03.03, 04.03.02, 09.03.03, 09.03.04, 09.04.03, 11.03.02, 11.04.02, 38.03.01, 39.03.03, 45.03.04</t>
  </si>
  <si>
    <t>777837.03.01</t>
  </si>
  <si>
    <t>Теория вероятностей в примерах и задачах на языке R: Уч. / С.Я.Криволапов - М.:НИЦ ИНФРА-М,2025. - 412 с.(п)</t>
  </si>
  <si>
    <t>ТЕОРИЯ ВЕРОЯТНОСТЕЙ В ПРИМЕРАХ И ЗАДАЧАХ НА ЯЗЫКЕ R, ИЗД.1</t>
  </si>
  <si>
    <t>978-5-16-017941-4</t>
  </si>
  <si>
    <t>666735.05.01</t>
  </si>
  <si>
    <t>Теория вероятностей и матем. статистика: Уч. / Е.А.Коган - М.:НИЦ ИНФРА-М,2026 - 250 с.(ВО)(П)</t>
  </si>
  <si>
    <t>Коган Е.А., Юрченко А.А.</t>
  </si>
  <si>
    <t>978-5-16-014235-7</t>
  </si>
  <si>
    <t>15.03.01, 38.03.01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</si>
  <si>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15.03.01 «Машиностроение», 38.03.01 «Экономика» (протокол № 8 от 29.04.2019)</t>
  </si>
  <si>
    <t>719853.02.01</t>
  </si>
  <si>
    <t>Теория вероятностей и матем. статистика: Уч. / Е.А.Коган-М.:НИЦ ИНФРА-М,2024.-250 с.(СПО)(П)</t>
  </si>
  <si>
    <t>978-5-16-015649-1</t>
  </si>
  <si>
    <t>10.02.05, 21.02.02, 21.02.09, 21.02.10, 21.02.19, 21.02.20, 35.02.09, 35.02.10, 35.02.11, 35.02.17, 38.02.06, 43.02.06, 43.02.07, 49.02.02, 51.02.03, 52.02.01, 52.02.02, 53.02.02, 53.02.03, 53.02.04, 53.02.05, 53.02.07, 53.02.09, 54.02.01, 54.02.03, 49.02.03, 09.02.10, 35.02.19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</si>
  <si>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гуманитарным и естественно-научным специальностям (протокол № 12 от 24.06.2019)</t>
  </si>
  <si>
    <t>151300.07.01</t>
  </si>
  <si>
    <t>Теория вероятностей и матем. статистика: Уч.пос. / И.А.Палий, - 2-е изд.-М.:НИЦ ИНФРА-М,2021.-334 с.(ВО)(П)</t>
  </si>
  <si>
    <t>ТЕОРИЯ ВЕРОЯТНОСТЕЙ И МАТЕМАТИЧЕСКАЯ СТАТИСТИКА, ИЗД.2</t>
  </si>
  <si>
    <t>Палий И.А.</t>
  </si>
  <si>
    <t>978-5-16-015892-1</t>
  </si>
  <si>
    <t>01.03.01, 01.04.01, 02.03.01, 38.03.01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</si>
  <si>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и экономическим направлениям подготовки (квалификация (степень) «бакалавр») (протокол № 10 от 12.10.2020)</t>
  </si>
  <si>
    <t>Сибирский государственный автомобильно-дорожный университет</t>
  </si>
  <si>
    <t>151300.12.01</t>
  </si>
  <si>
    <t>Теория вероятностей и матем. статистика: Уч.пос. / И.А.Палий, - 3 изд. - М.:НИЦ ИНФРА-М,2026 - 426 с.(П)</t>
  </si>
  <si>
    <t>ТЕОРИЯ ВЕРОЯТНОСТЕЙ И МАТЕМАТИЧЕСКАЯ СТАТИСТИКА, ИЗД.3</t>
  </si>
  <si>
    <t>978-5-16-017505-8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</si>
  <si>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и экономическим направлениям подготовки (квалификация (степень) «бакалавр») (протокол № 4 от 13.04.2022)</t>
  </si>
  <si>
    <t>052100.10.01</t>
  </si>
  <si>
    <t>Теория вероятностей и матем. статистика: Уч.пос. / Под ред. Матвеева В.И., - 2 изд. - М.:НИЦ ИНФРА-М,2027. - 289 с.(ВО)(п)</t>
  </si>
  <si>
    <t>Бирюкова Л.Г., Бобрик Г.И., Сагитов Р.В. и др.</t>
  </si>
  <si>
    <t>978-5-16-018751-8</t>
  </si>
  <si>
    <t>02.03.02, 03.03.02, 09.03.03, 09.03.04, 11.03.02, 38.03.01</t>
  </si>
  <si>
    <t>Рекомендовано УМО по образованию в области экономики и экономической теории в качестве учебного пособия для студентов, обучающихся по направлению 521600 "Экономика" и др. экономическим специальностям</t>
  </si>
  <si>
    <t>720909.02.01</t>
  </si>
  <si>
    <t>Теория вероятностей и матем. статистика:Уч.пос. / Матвеев В.И. - 2 изд. - М.:НИЦ ИНФРА-М,2027 - 289 с.(П)</t>
  </si>
  <si>
    <t>978-5-16-015712-2</t>
  </si>
  <si>
    <t>08.02.15, 11.02.03, 11.02.06, 13.02.07, 13.02.12, 15.02.03, 15.02.10, 15.02.16, 15.02.17, 15.02.18, 18.02.04, 18.02.10, 18.02.14, 18.02.15, 20.02.01, 21.02.02, 21.02.09, 21.02.10, 21.02.19, 21.02.20, 24.02.01, 24.02.02, 25.02.09, 35.02.09, 35.02.16, 35.02.17, 09.02.10, 35.02.19</t>
  </si>
  <si>
    <t>767008.01.01</t>
  </si>
  <si>
    <t>Теория вероятностей с элементами матем. статистики...: Уч.пос. / А.В.Сигал-М.:НИЦ ИНФРА-М,2023.-385 с.(п)</t>
  </si>
  <si>
    <t>ТЕОРИЯ ВЕРОЯТНОСТЕЙ С ЭЛЕМЕНТАМИ МАТЕМАТИЧЕСКОЙ СТАТИСТИКИ, ТЕОРИИ СЛУЧАЙНЫХ ПРОЦЕССОВ И ЭКОНОМЕТРИКИ, ИЗД.1</t>
  </si>
  <si>
    <t>978-5-16-017314-6</t>
  </si>
  <si>
    <t>01.03.02, 38.03.05</t>
  </si>
  <si>
    <t>631778.07.01</t>
  </si>
  <si>
    <t>Теория вероятностей, матем.статистика...: Уч.пос.. / П.Н.Сапожников - М.:КУРС,НИЦ ИНФРА-М,2023-496с(П)</t>
  </si>
  <si>
    <t>ТЕОРИЯ ВЕРОЯТНОСТЕЙ, МАТЕМАТИЧЕСКАЯ СТАТИСТИКА В ПРИМЕРАХ, ЗАДАЧАХ И ТЕСТАХ, ИЗД.1</t>
  </si>
  <si>
    <t>Сапожников П.Н., Макаров А.А., Радионова М.В.</t>
  </si>
  <si>
    <t>Бакалавриат и магистратура</t>
  </si>
  <si>
    <t>978-5-906818-47-8</t>
  </si>
  <si>
    <t>01.03.02, 02.03.02, 02.03.03, 03.03.02, 04.03.02, 09.02.03, 09.03.03, 09.03.04, 11.03.02, 38.03.01</t>
  </si>
  <si>
    <t>Допущено НМС по математике Минобрнаут РФ в качестве учебного пособия для студентов высших учебных заведений, обучающихся по направлениям подготовки: 01.03.04,01.04.04 «Прикладная математика» (квалификация «Бакалавры», «Магистры» соответственно), 38.03.01,38.04.01 «Экономика» (квалификация «Бакалавры», «Магистры» соответственно)</t>
  </si>
  <si>
    <t>488800.06.01</t>
  </si>
  <si>
    <t>Теория вероятностей, математическая статистика, математическое программирование: уч.пос. / И.В.Белько и др.-М.:НИЦ ИНФРА-М,2025.-299 с..-(ВО)(п)</t>
  </si>
  <si>
    <t>ТЕОРИЯ ВЕРОЯТНОСТЕЙ, МАТЕМАТИЧЕСКАЯ СТАТИСТИКА, МАТЕМАТИЧЕСКОЕ ПРОГРАММИРОВАНИЕ, ИЗД.1</t>
  </si>
  <si>
    <t>Белько И.В., Морозова И.М., Криштапович Е.А.</t>
  </si>
  <si>
    <t>978-5-16-020397-3</t>
  </si>
  <si>
    <t>01.03.02, 02.03.02, 03.03.02, 04.03.02, 09.03.03, 09.03.04, 11.03.02, 38.03.01</t>
  </si>
  <si>
    <t>777836.02.01</t>
  </si>
  <si>
    <t>Теория вероятностей. Прак.: Уч.пос. / Т.Г.Апалькова.-М.:НИЦ ИНФРА-М,2024.-385 с.(ВО (Финанс.универ.))(п)</t>
  </si>
  <si>
    <t>ТЕОРИЯ ВЕРОЯТНОСТЕЙ. ПРАКТИКУМ, ИЗД.1</t>
  </si>
  <si>
    <t>978-5-16-017962-9</t>
  </si>
  <si>
    <t>38.04.01, 38.04.02, 38.04.08, 38.05.01, 38.05.02</t>
  </si>
  <si>
    <t>215900.07.01</t>
  </si>
  <si>
    <t>Теория вероятностей: Уч. / Р.Ш. Хуснутдинов. - М.: ИНФРА-М, 2025. - 175 с.(ВО: Бакалавриат) (о)</t>
  </si>
  <si>
    <t>ТЕОРИЯ ВЕРОЯТНОСТЕЙ, ИЗД.1</t>
  </si>
  <si>
    <t>Хуснутдинов Р. Ш.</t>
  </si>
  <si>
    <t>978-5-16-005312-7</t>
  </si>
  <si>
    <t>873993.01.01</t>
  </si>
  <si>
    <t>Теория вероятностей: Уч.пос. / В.С.Заболотский - М.:НИЦ ИНФРА-М,2027. - 133 с.(ВО)(п)</t>
  </si>
  <si>
    <t>Заболотский В.С., Лиховидов В.Н.</t>
  </si>
  <si>
    <t>978-5-16-022178-6</t>
  </si>
  <si>
    <t>01.03.01, 01.03.04, 01.05.01, 02.03.01, 03.03.01</t>
  </si>
  <si>
    <t>Рекомендовано Дальневосточным региональным учебно-методическим центром (ДВ РУМЦ) в качестве учебного пособия для студентов математических, естественно-научных, экономических и технических направлений подготовки и специальностей вузов региона</t>
  </si>
  <si>
    <t>151300.06.01</t>
  </si>
  <si>
    <t>Теория вероятностей: Уч.пос. / И.А.Палий - М.:ИНФРА-М Изд.Дом,2019 - 236 с.-(ВО)(П)</t>
  </si>
  <si>
    <t>Палий И. А.</t>
  </si>
  <si>
    <t>978-5-16-004940-3</t>
  </si>
  <si>
    <t>730055.01.01</t>
  </si>
  <si>
    <t>Теория возможного: Монография / С.В.Борзых - М.:НИЦ ИНФРА-М,2021 - 180 с.-(Науч.мысль)(О)</t>
  </si>
  <si>
    <t>ТЕОРИЯ ВОЗМОЖНОГО, ИЗД.1</t>
  </si>
  <si>
    <t>978-5-16-015992-8</t>
  </si>
  <si>
    <t>213100.04.01</t>
  </si>
  <si>
    <t>Теория глоб. систем и их имитационное упр.: Моногр. / Н.Б.Кобелев - М:Вуз.уч.,НИЦ ИНФРА-М,2022-278с(О)</t>
  </si>
  <si>
    <t>ТЕОРИЯ ГЛОБАЛЬНЫХ СИСТЕМ И ИХ ИМИТАЦИОННОЕ УПРАВЛЕНИЕ, ИЗД.1</t>
  </si>
  <si>
    <t>Кобелев Н. Б.</t>
  </si>
  <si>
    <t>978-5-9558-0309-8</t>
  </si>
  <si>
    <t>01.03.01, 01.03.02, 01.03.03, 01.04.01, 01.04.02, 01.04.03, 02.03.01, 02.03.02, 02.03.03, 03.03.01, 03.03.02, 03.03.03, 03.04.01, 04.03.02, 04.04.01</t>
  </si>
  <si>
    <t>166900.15.01</t>
  </si>
  <si>
    <t>Теория горения и взрыва: Прак.: Уч.пос. / В.А.Девисилов - 3 изд. - М.:НИЦ ИНФРА-М,2025. -  403 с.(ВО)(п)</t>
  </si>
  <si>
    <t>ТЕОРИЯ ГОРЕНИЯ И ВЗРЫВА: ПРАКТИКУМ, ИЗД.3</t>
  </si>
  <si>
    <t>Девисилов В.А., Дроздова Т.И., Тимофеева С.С.</t>
  </si>
  <si>
    <t>978-5-16-019651-0</t>
  </si>
  <si>
    <t>Рекомендовано федеральным учебно-методическим объединением по укрупненной группе специальностей и направлений 20.00.00 — «Техносферная безопасность и природообустройство» в качестве учебного пособия для студентов высших учебных заведений, обучающихся по направлению «Техносферная безопасность» и специальности «Пожарная безопасность»</t>
  </si>
  <si>
    <t>166900.14.01</t>
  </si>
  <si>
    <t>Теория горения и взрыва: практ.: Уч пос. / В.А.Девисилов - 2изд -М.Форум: НИЦ ИНФРА-М,2024-384с(ВО)(п)</t>
  </si>
  <si>
    <t>ТЕОРИЯ ГОРЕНИЯ И ВЗРЫВА: ПРАКТИКУМ, ИЗД.2</t>
  </si>
  <si>
    <t>978-5-00091-006-1</t>
  </si>
  <si>
    <t>Рекомендовано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«Техносферная безопасность»</t>
  </si>
  <si>
    <t>321800.09.01</t>
  </si>
  <si>
    <t>Теория горения и взрыва: Уч. / В.А.Девисилов и др. - М.:НИЦ ИНФРА-М,2027 - 262 с.(ВО: Бакалавр.)(П)</t>
  </si>
  <si>
    <t>ТЕОРИЯ ГОРЕНИЯ И ВЗРЫВА, ИЗД.1</t>
  </si>
  <si>
    <t>Девисилов В.А., Дроздова Т.И., Скушникова А.И.</t>
  </si>
  <si>
    <t>978-5-16-010477-5</t>
  </si>
  <si>
    <t>20.03.01, 20.05.01, 21.05.04, 21.05.05</t>
  </si>
  <si>
    <t>Рекомендовано Учебно-методическим объединением вузов по университетскому политехническому образованию в качестве учебника для студентов высших учебных заведений, обучающихся по направлению подготовки «Техносферная безопасность» (20.03.01 и 20.04.01)</t>
  </si>
  <si>
    <t>806621.01.01</t>
  </si>
  <si>
    <t>Теория горения и взрыва: Уч.пос. / С.Н.Орловский-М.:НИЦ ИНФРА-М,2024.-318 с..-(ВО (КрГАУ))(п)</t>
  </si>
  <si>
    <t>978-5-16-019141-6</t>
  </si>
  <si>
    <t>20.03.01, 20.05.01, 27.03.01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</si>
  <si>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специальности 20.03.01 «Техносферная безопасность», профиль «Безопасность технологических процессов и производств в АПК»</t>
  </si>
  <si>
    <t>484750.06.01</t>
  </si>
  <si>
    <t>Теория гос. и права. Практикум: Уч.пос. / В.Я.Любашиц - 3 изд.-М.:ИЦ РИОР, НИЦ ИНФРА-М,2023.-242 с.(П)</t>
  </si>
  <si>
    <t>ТЕОРИЯ ГОСУДАРСТВА И ПРАВА. ПРАКТИКУМ, ИЗД.3</t>
  </si>
  <si>
    <t>В.Я.Любашиц, А.Ю.Мордовцев, А.Ю.Мамычев</t>
  </si>
  <si>
    <t>978-5-369-01437-0</t>
  </si>
  <si>
    <t>40.03.01, 40.05.01, 40.05.02, 40.05.03, 40.05.04, 41.03.01, 41.03.06, 44.03.05</t>
  </si>
  <si>
    <t>Допущено УМО по юридическому образованию вузов Российской Федерации в качестве учебного пособия для студентов высших учебных заведений, обучающихся по направлению "Юриспруденция» и специальности «Юриспруденция»</t>
  </si>
  <si>
    <t>085620.17.01</t>
  </si>
  <si>
    <t>Теория гос. и права. Элемент. курс: Уч.пос. / М.Н.Марченко - 3 изд. - М.:Юр.Норма,НИЦ ИНФРА-М,2026-304с(П)</t>
  </si>
  <si>
    <t>ТЕОРИЯ ГОСУДАРСТВА И ПРАВА. ЭЛЕМЕНТАРНЫЙ КУРС, ИЗД.3</t>
  </si>
  <si>
    <t>978-5-91768-696-7</t>
  </si>
  <si>
    <t>40.02.02, 40.02.04, 40.03.01, 40.04.01, 40.05.01, 40.05.02, 40.05.03, 40.05.04, 41.03.01, 41.03.06, 44.03.05</t>
  </si>
  <si>
    <t>005504.24.01</t>
  </si>
  <si>
    <t>Теория гос. и права: Курс лекций / Под ред. Матузова Н.И., - 3 изд. - М.:Юр. НОРМА, НИЦ ИНФРА-М,2026. - 640 с.(п)</t>
  </si>
  <si>
    <t>ТЕОРИЯ ГОСУДАРСТВА И ПРАВА, ИЗД.3</t>
  </si>
  <si>
    <t>Матузов Н. И., Воротников А. А., Кулапов В. Л., Матузов Н. И., Малько А. В.</t>
  </si>
  <si>
    <t>978-5-91768-271-6</t>
  </si>
  <si>
    <t>Рекомендовано УМО по юридическому образованию высших учебных заведений в качестве учебника для студентов вузов, обучающихся по специальности и направлению подготовки "Юриспруденция"</t>
  </si>
  <si>
    <t>431050.09.01</t>
  </si>
  <si>
    <t>Теория гос. и права: Уч.пос. / А.В.Малько-3изд.-М.:ИЦ РИОР,НИЦ ИНФРА-М,2025-213с.(ВО:Бакалавр.)(п)</t>
  </si>
  <si>
    <t>МалькоА.В., СаломатинА.Ю.,</t>
  </si>
  <si>
    <t>978-5-369-01366-3</t>
  </si>
  <si>
    <t>40.03.01, 40.04.01, 40.05.01, 40.05.02, 40.05.03, 41.03.01, 41.03.06, 44.03.05</t>
  </si>
  <si>
    <t>Рекомендованно в качестве учебного пособия для студентов высших учебных заведений, обучающихся по направлению "Юриспруденция" (квалификация (степень)- бакалавр)</t>
  </si>
  <si>
    <t>377500.07.01</t>
  </si>
  <si>
    <t>Теория государства и права. Практ./Е.В.Сафронова - М.:ИЦ РИОР, НИЦ ИНФРА-М,2026 - 195 с.(ВО:Бакалавриат)(П)</t>
  </si>
  <si>
    <t>ТЕОРИЯ ГОСУДАРСТВА И ПРАВА. ПРАКТИКУМ, ИЗД.1</t>
  </si>
  <si>
    <t>Е.В.Сафронова, А.Ю.Кузубова, Л.Л.Соловьева</t>
  </si>
  <si>
    <t>978-5-369-01446-2</t>
  </si>
  <si>
    <t>Рекомендовано Научно-исследовательским институтом образования и науки в качестве учебного пособия для студентов высших учебных заведений, обучающихся по направлению подготовки "Юриспруденция'- (квалификация (степень) «бакалавр»)</t>
  </si>
  <si>
    <t>293600.10.01</t>
  </si>
  <si>
    <t>Теория государства и права. Углуб. курс: Уч. / Л.П.Рассказов - 2 изд. - М.:РИОР, НИЦ ИНФРА-М,2027 - 577 с.(П)</t>
  </si>
  <si>
    <t>ТЕОРИЯ ГОСУДАРСТВА И ПРАВА. УГЛУБЛЕННЫЙ КУРС, ИЗД.2</t>
  </si>
  <si>
    <t>978-5-369-01915-3</t>
  </si>
  <si>
    <t>293600.05.01</t>
  </si>
  <si>
    <t>Теория государства и права. Углубленный курс: Уч. / Л.П.Рассказов - М.:РИОР, НИЦ ИНФРА-М,2021 - 560 с.(П)</t>
  </si>
  <si>
    <t>ТЕОРИЯ ГОСУДАРСТВА И ПРАВА. УГЛУБЛЕННЫЙ КУРС, ИЗД.1</t>
  </si>
  <si>
    <t>РИОР</t>
  </si>
  <si>
    <t>978-5-369-01369-4</t>
  </si>
  <si>
    <t>720665.06.01</t>
  </si>
  <si>
    <t>Теория государства и права: игропрактикум / В.Б.Исаков - М.:Юр.Норма, НИЦ ИНФРА-М,2026 - 544 с.(П)</t>
  </si>
  <si>
    <t>ТЕОРИЯ ГОСУДАРСТВА И ПРАВА: ИГРОПРАКТИКУМ, ИЗД.1</t>
  </si>
  <si>
    <t>978-5-00156-032-6</t>
  </si>
  <si>
    <t>40.03.01, 40.05.01, 40.05.02, 40.05.03, 40.05.04, 41.03.01, 41.03.06</t>
  </si>
  <si>
    <t>726676.08.01</t>
  </si>
  <si>
    <t>Теория государства и права: Практикум / В.Б.Исаков - М.:Юр.Норма, НИЦ ИНФРА-М,2026 - 488 с.(П)</t>
  </si>
  <si>
    <t>ТЕОРИЯ ГОСУДАРСТВА И ПРАВА, ИЗД.1</t>
  </si>
  <si>
    <t>978-5-00156-043-2</t>
  </si>
  <si>
    <t>724597.06.01</t>
  </si>
  <si>
    <t>Теория государства и права: программа курса / В.Б.Исаков - М.:Юр.Норма,НИЦ ИНФРА-М,2026 - 176 с.(П)</t>
  </si>
  <si>
    <t>ТЕОРИЯ ГОСУДАРСТВА И ПРАВА: ПРОГРАММА КУРСА, ИЗД.1</t>
  </si>
  <si>
    <t>978-5-00156-037-1</t>
  </si>
  <si>
    <t>110850.22.01</t>
  </si>
  <si>
    <t>Теория государства и права: Уч. / А.В. Малько - М.: Норма: НИЦ ИНФРА-М, 2026. - 432 с. (Ab ovo) (П)</t>
  </si>
  <si>
    <t>Малько А. В., Нырков В. В., Шундиков К. В.</t>
  </si>
  <si>
    <t>978-5-91768-425-3</t>
  </si>
  <si>
    <t>724616.10.01</t>
  </si>
  <si>
    <t>Теория государства и права: Уч. / В.Б.Исаков - М.:Юр.Норма, НИЦ ИНФРА-М,2026 - 656 с.(П)</t>
  </si>
  <si>
    <t>Исаков В.Б. и др.</t>
  </si>
  <si>
    <t>978-5-00156-036-4</t>
  </si>
  <si>
    <t>003533.31.01</t>
  </si>
  <si>
    <t>Теория государства и права: Уч. / В.Д.Перевалов - 5 изд. - М.:Юр.Норма, НИЦ ИНФРА-М,2026 - 552 с.(П)</t>
  </si>
  <si>
    <t>ТЕОРИЯ ГОСУДАРСТВА И ПРАВА, ИЗД.5</t>
  </si>
  <si>
    <t>Перевалов В.Д., Архипов С.И., Белканов Е.А. и др.</t>
  </si>
  <si>
    <t>978-5-00156-149-1</t>
  </si>
  <si>
    <t>089900.14.01</t>
  </si>
  <si>
    <t>Теория государства и права: Уч. / В.Л.Кулапов - М.:Юр.Норма, НИЦ ИНФРА-М,2026 - 384 с.(П)</t>
  </si>
  <si>
    <t>Кулапов В. Л., Малько А. В.</t>
  </si>
  <si>
    <t>978-5-91768-192-4</t>
  </si>
  <si>
    <t>774605.04.01</t>
  </si>
  <si>
    <t>Теория государства и права: Уч. / Г.С.Працко - М.:ИЦ РИОР, НИЦ ИНФРА-М,2025 - 540 с.(ВО)(П)</t>
  </si>
  <si>
    <t>978-5-369-01899-6</t>
  </si>
  <si>
    <t>20.03.02, 38.05.01, 40.02.02, 40.02.04, 40.03.01, 40.05.01, 40.05.02, 40.05.03, 40.05.04, 41.03.01, 41.03.02, 41.03.06, 44.03.05</t>
  </si>
  <si>
    <t>732732.06.01</t>
  </si>
  <si>
    <t>Теория государства и права: Уч. / Е.Г.Лукьянова - М.:Юр.Норма, НИЦ ИНФРА-М,2026 - 232 с.(П)</t>
  </si>
  <si>
    <t>978-5-00156-053-1</t>
  </si>
  <si>
    <t>845233.01.01</t>
  </si>
  <si>
    <t>Теория государства и права: Уч. / И.Л.Честнов - М.:НИЦ ИНФРА-М,2025. - 165 с.(СПО)(п)</t>
  </si>
  <si>
    <t>978-5-16-020575-5</t>
  </si>
  <si>
    <t>Рекомендовано в качестве учебника для студентов высших учебных заведений, обучающихся по направлениям подготовки 40.03.01 «Юриспруденция» (квалификация (степень) «бакалавр»)</t>
  </si>
  <si>
    <t>649060.08.01</t>
  </si>
  <si>
    <t>Теория государства и права: Уч. / И.Л.Честнов - М.:НИЦ ИНФРА-М,2026. - 233 с.(ВО)(п)</t>
  </si>
  <si>
    <t>978-5-16-018425-8</t>
  </si>
  <si>
    <t>086550.09.01</t>
  </si>
  <si>
    <t>Теория государства и права: Уч. / К.Р.Мурсалимов, - 5 изд. - М.:НИЦ ИНФРА-М,2025. - 623 с.(ВО)(п)</t>
  </si>
  <si>
    <t>Мурсалимов К.Р., Хабибулин А.Г.</t>
  </si>
  <si>
    <t>978-5-16-017342-9</t>
  </si>
  <si>
    <t>839636.01.01</t>
  </si>
  <si>
    <t>Теория государства и права: Уч. / К.Р.Мурсалимов, - 5 изд. - М.:НИЦ ИНФРА-М,2025. - 623 с.(СПО)(п)</t>
  </si>
  <si>
    <t>978-5-16-020248-8</t>
  </si>
  <si>
    <t>085065.24.01</t>
  </si>
  <si>
    <t>Теория государства и права: Уч. / Л.А.Морозова - 6 изд. - М.:Юр.Норма, НИЦ ИНФРА-М,2027 - 464 с(П)</t>
  </si>
  <si>
    <t>ТЕОРИЯ ГОСУДАРСТВА И ПРАВА, ИЗД.6</t>
  </si>
  <si>
    <t>Морозова Л. А.</t>
  </si>
  <si>
    <t>978-5-91768-844-2</t>
  </si>
  <si>
    <t>201600.11.01</t>
  </si>
  <si>
    <t>Теория государства и права: Уч. / М.Б. Смоленский. - М.:НИЦ ИНФРА-М, 2027. - 272 с.(ВО: Бакалавр.) (п)</t>
  </si>
  <si>
    <t>978-5-16-006508-3</t>
  </si>
  <si>
    <t>Рекомендовано Министерством образования Российской Федерации в качестве учебника для студентов высших учебных заведений, обучающихся по специальности «Юриспруденция»</t>
  </si>
  <si>
    <t>683129.06.01</t>
  </si>
  <si>
    <t>Теория государства и права: Уч. / М.Б.Смоленский - М.:НИЦ ИНФРА-М,2023 - 272 с.-(СПО)(П)</t>
  </si>
  <si>
    <t>978-5-16-014006-3</t>
  </si>
  <si>
    <t>086550.08.01</t>
  </si>
  <si>
    <t>Теория государства и права: Уч. / Под ред.  А.Г.Хабибулина - М.:ИД ФОРУМ, НИЦ ИНФРА-М,2022 - 512 с.-(ВО)(П)</t>
  </si>
  <si>
    <t>ТЕОРИЯ ГОСУДАРСТВА И ПРАВА, ИЗД.4</t>
  </si>
  <si>
    <t>978-5-8199-0562-3</t>
  </si>
  <si>
    <t>088850.16.01</t>
  </si>
  <si>
    <t>Теория государства и права: Уч. для вузов / Л.П.Рассказов - 8 изд. - М.:ИЦ РИОР, НИЦ ИНФРА-М,2026 - 488 с.(п)</t>
  </si>
  <si>
    <t>ТЕОРИЯ ГОСУДАРСТВА И ПРАВА, ИЗД.8</t>
  </si>
  <si>
    <t>Рассказов Л. П.</t>
  </si>
  <si>
    <t>978-5-369-01914-6</t>
  </si>
  <si>
    <t>0823</t>
  </si>
  <si>
    <t>858436.01.01</t>
  </si>
  <si>
    <t>Теория государства и права: Уч. для СПО / Л.П.Рассказов - М.:ИЦ РИОР, НИЦ ИНФРА-М,2025. - 303 с.(п)</t>
  </si>
  <si>
    <t>Рассказов Л.П., Рассказов В.Л.</t>
  </si>
  <si>
    <t>978-5-369-01992-4</t>
  </si>
  <si>
    <t>088850.10.01</t>
  </si>
  <si>
    <t>Теория государства и права: Уч./ Л.П.Рассказов, - 7 изд.-М.:ИЦ РИОР, НИЦ ИНФРА-М,2020.-475 с.(ВО)(П)</t>
  </si>
  <si>
    <t>ТЕОРИЯ ГОСУДАРСТВА И ПРАВА, ИЗД.7</t>
  </si>
  <si>
    <t>978-5-369-01494-3</t>
  </si>
  <si>
    <t>646036.04.01</t>
  </si>
  <si>
    <t>Теория государства и права: Уч.пос. / А.А.Акмалова - 2 изд. - М.:НИЦ ИНФРА-М,2023 - 322 с.(П)</t>
  </si>
  <si>
    <t>ТЕОРИЯ ГОСУДАРСТВА И ПРАВА, ИЗД.2</t>
  </si>
  <si>
    <t>978-5-16-018449-4</t>
  </si>
  <si>
    <t>Рекомендовано в качестве учебного пособия для студентов высших учебных заведений, обучающихся по направлениям подготовки 40.03.01 «Юриспруденция», 38.03.04 «Государственное и муниципальное управление», 41.03.06 «Публичная политика и социальные науки» (квалификация (степень) «бакалавр»)</t>
  </si>
  <si>
    <t>431050.11.01</t>
  </si>
  <si>
    <t>Теория государства и права: Уч.пос. / А.В.Малько - 4 изд. - М.:ИЦ РИОР, НИЦ ИНФРА-М,2026. - 217 с.(ВО)(п)</t>
  </si>
  <si>
    <t>978-5-369-01993-1</t>
  </si>
  <si>
    <t>654952.05.01</t>
  </si>
  <si>
    <t>Теория государства и права: Уч.пос. / А.В.Попова - М.:НИЦ ИНФРА-М,2025 - 365 с.-(ВО: Бакалавр.)(П)</t>
  </si>
  <si>
    <t>Попова А.В.</t>
  </si>
  <si>
    <t>978-5-16-014069-8</t>
  </si>
  <si>
    <t>845366.01.01</t>
  </si>
  <si>
    <t>Теория государства и права: Уч.пос. / А.В.Попова - М.:НИЦ ИНФРА-М,2025 - 365 с.-(СПО)(п)</t>
  </si>
  <si>
    <t>978-5-16-020467-3</t>
  </si>
  <si>
    <t>770332.01.01</t>
  </si>
  <si>
    <t>Теория государства и права: Уч.пос. / Е.Ю.Калинина - М.:НИЦ ИНФРА-М,2024 - 343 с.(СПО)(п)</t>
  </si>
  <si>
    <t>Калинина Е.Ю.</t>
  </si>
  <si>
    <t>978-5-16-017665-9</t>
  </si>
  <si>
    <t>670762.08.01</t>
  </si>
  <si>
    <t>Теория государства и права: Уч.пос. / Н.А.Власенко - 3 изд. - М.:Юр.Норма, НИЦ ИНФРА-М,2026 - 480 с.(П)</t>
  </si>
  <si>
    <t>978-5-91768-869-5</t>
  </si>
  <si>
    <t>084670.17.01</t>
  </si>
  <si>
    <t>Теория государства и права: Уч.пос. / Р.В. Енгибарян - 3 изд. - М.:НОРМА, 2025 - 560 с.(П)</t>
  </si>
  <si>
    <t>Енгибарян Р. В., Краснов Ю. К.</t>
  </si>
  <si>
    <t>978-5-91768-945-6</t>
  </si>
  <si>
    <t>084670.10.01</t>
  </si>
  <si>
    <t>Теория государства и права: Уч.пос. / Р.В.Енгибарян - 2 изд. - М.:Юр.Норма,НИЦ ИНФРА-М,2017 -576с(П)</t>
  </si>
  <si>
    <t>978-5-91768-906-7</t>
  </si>
  <si>
    <t>043690.20.01</t>
  </si>
  <si>
    <t>Теория государства и права: Уч.пос. / Т.А.Клепицкая, - 3 изд. - М.:ИЦ РИОР, НИЦ ИНФРА-М,2026. - 126 с.(ВО)(о)</t>
  </si>
  <si>
    <t>Клепицкая Т.А.</t>
  </si>
  <si>
    <t>978-5-369-01664-0</t>
  </si>
  <si>
    <t>326700.05.01</t>
  </si>
  <si>
    <t>Теория государства и права:Уч. пос./ В.Я.Любашиц- 3изд.-М.:ИЦ РИОР, НИЦ ИНФРА-М, 2024.- 526 с.(п)</t>
  </si>
  <si>
    <t>978-5-369-01418-9</t>
  </si>
  <si>
    <t>694855.06.01</t>
  </si>
  <si>
    <t>Теория государственного управления: Уч. / И.В.Понкин - М.:НИЦ ИНФРА-М,2023 - 529 с.(ВО: Магистр.)(П)</t>
  </si>
  <si>
    <t>ТЕОРИЯ ГОСУДАРСТВЕННОГО УПРАВЛЕНИЯ, ИЗД.1</t>
  </si>
  <si>
    <t>978-5-16-014592-1</t>
  </si>
  <si>
    <t>38.04.04, 40.04.01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</si>
  <si>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38.04.04 «Государственное и муниципальное управление», 40.04.01 «Юриспруденция» (квалификация (степень) «магистр») (протокол № 5 от 11.03.2019)</t>
  </si>
  <si>
    <t>694855.08.01</t>
  </si>
  <si>
    <t>Теория государственного управления: Уч. / И.В.Понкин, - 2 изд. - М.:НИЦ ИНФРА-М,2026. - 566 с.(ВО)(п)</t>
  </si>
  <si>
    <t>ТЕОРИЯ ГОСУДАРСТВЕННОГО УПРАВЛЕНИЯ, ИЗД.2</t>
  </si>
  <si>
    <t>978-5-16-022280-6</t>
  </si>
  <si>
    <t>723672.02.01</t>
  </si>
  <si>
    <t>Теория дискретных устройств: Уч. / В.М.Филиппов - М.:НИЦ ИНФРА-М,2024 - 253 с.(ВО: Специалитет)(П)</t>
  </si>
  <si>
    <t>ТЕОРИЯ ДИСКРЕТНЫХ УСТРОЙСТВ, ИЗД.1</t>
  </si>
  <si>
    <t>Филиппов В.М., Чертков И.Е.</t>
  </si>
  <si>
    <t>978-5-16-015810-5</t>
  </si>
  <si>
    <t>13.03.02, 23.05.05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</si>
  <si>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23.05.05 «Системы обеспечения движения поездов» (квалификация «инженер путей сообщения») (протокол № 15 от 14.10.2019)</t>
  </si>
  <si>
    <t>820923.01.01</t>
  </si>
  <si>
    <t>Теория и конструк. назем. транспорт.-технологич. машин...: Уч.пос. / Г.С.Гришко-М.:НИЦ ИНФРА-М, СФУ,2024-132с(ВО)(п)</t>
  </si>
  <si>
    <t>ТЕОРИЯ И КОНСТРУКЦИЯ НАЗЕМНЫХ ТРАНСПОРТНО-ТЕХНОЛОГИЧЕСКИХ МАШИН. РАСЧЕТ И ПРОЕКТИРОВАНИЕ МЕХАНИЗМОВ ГРУЗОПОДЪЕМНЫХ МАШИН, ИЗД.1</t>
  </si>
  <si>
    <t>Гришко Г.С.</t>
  </si>
  <si>
    <t>978-5-16-019591-9</t>
  </si>
  <si>
    <t>23.03.02, 23.05.01</t>
  </si>
  <si>
    <t>701110.09.01</t>
  </si>
  <si>
    <t>Теория и конструкция силовых установок: Уч.пос. / К.С.Крюков - М.:НИЦ ИНФРА-М,2026 - 211 с.(ВО (ОмГТУ))(П)</t>
  </si>
  <si>
    <t>ТЕОРИЯ И КОНСТРУКЦИЯ СИЛОВЫХ УСТАНОВОК, ИЗД.1</t>
  </si>
  <si>
    <t>Крюков К.С.</t>
  </si>
  <si>
    <t>978-5-16-014822-9</t>
  </si>
  <si>
    <t>15.02.04, 23.03.03, 23.04.03, 56.04.04</t>
  </si>
  <si>
    <t>379500.12.01</t>
  </si>
  <si>
    <t>Теория и метод.ознакомл. дош. с соц. миром: Уч. / С.А.Козлова - М.:НИЦ ИНФРА-М,2026 - 146 с.(ВО.)(о)</t>
  </si>
  <si>
    <t>ТЕОРИЯ И МЕТОДИКА ОЗНАКОМЛЕНИЯ ДОШКОЛЬНИКОВ С СОЦИАЛЬНЫМ МИРОМ, ИЗД.1</t>
  </si>
  <si>
    <t>Козлова С.А., Кожокарь С.В., Шукшина С.Е. и др.</t>
  </si>
  <si>
    <t>978-5-16-019944-3</t>
  </si>
  <si>
    <t>834606.03.01</t>
  </si>
  <si>
    <t>Теория и метод.ознакомл. дош. с соц. миром: Уч. / С.А.Козлова - М.:НИЦ ИНФРА-М,2026 - 146 с.(СПО)(о)</t>
  </si>
  <si>
    <t>978-5-16-020296-9</t>
  </si>
  <si>
    <t>632259.09.01</t>
  </si>
  <si>
    <t>Теория и методика восп. и обуч. детей раннего и дошк. возраста: Уч. / С.А.Козлова - М.:НИЦ ИНФРА-М,2026 - 237 с.(П)</t>
  </si>
  <si>
    <t>ТЕОРИЯ И МЕТОДИКА ВОСПИТАНИЯ И ОБУЧЕНИЯ ДЕТЕЙ РАННЕГО И ДОШКОЛЬНОГО ВОЗРАСТА, ИЗД.1</t>
  </si>
  <si>
    <t>Козлова С.А., Шахманова А.Ш., Полосухина Е.О. и др.</t>
  </si>
  <si>
    <t>978-5-16-014068-1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</si>
  <si>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5 от 11.03.2019)</t>
  </si>
  <si>
    <t>734794.08.01</t>
  </si>
  <si>
    <t>Теория и методика восп. и обуч. детей раннего и...: Уч. / С.А.Козлова. - М.:НИЦ ИНФРА-М,2026. - 236 с.(П)</t>
  </si>
  <si>
    <t>978-5-16-016153-2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</si>
  <si>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44.02.01 «Дошкольное образование» (протокол № 19 от 09.12.2019)</t>
  </si>
  <si>
    <t>714624.06.01</t>
  </si>
  <si>
    <t>Теория и методика воспитания: Уч. / Под ред. Пидкасистого П.И. - М.:НИЦ ИНФРА-М,2025. - 483 с.(ВО)(П)</t>
  </si>
  <si>
    <t>ТЕОРИЯ И МЕТОДИКА ВОСПИТАНИЯ, ИЗД.1</t>
  </si>
  <si>
    <t>Маленкова Л.И., Пидкасистый П.И.</t>
  </si>
  <si>
    <t>978-5-16-018657-3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</si>
  <si>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направлениий 44.03.00 «Образование и педагогические науки» (квалификация (степень) «бакалавр») (протокол № 12 от 24.06.2019)</t>
  </si>
  <si>
    <t>786285.04.01</t>
  </si>
  <si>
    <t>Теория и методика матем. развития детей дош...: Уч.пос. / М.Ю.Стожарова - М.:НИЦ ИНФРА-М,2027 - 242 с.(п)</t>
  </si>
  <si>
    <t>ТЕОРИЯ И МЕТОДИКА МАТЕМАТИЧЕСКОГО РАЗВИТИЯ ДЕТЕЙ ДОШКОЛЬНОГО ВОЗРАСТА, ИЗД.1</t>
  </si>
  <si>
    <t>Стожарова М.Ю.</t>
  </si>
  <si>
    <t>978-5-16-017902-5</t>
  </si>
  <si>
    <t>852510.02.01</t>
  </si>
  <si>
    <t>Теория и методика обуч. иноязыч. научной публич. речи...: Моногр. / С.О.Даминова - М.:НИЦ ИНФРА-М,2026 - 323 с.(п)</t>
  </si>
  <si>
    <t>ТЕОРИЯ И МЕТОДИКА ОБУЧЕНИЯ ИНОЯЗЫЧНОЙ НАУЧНОЙ ПУБЛИЧНОЙ РЕЧИ НА ОСНОВЕ АУДИОВИЗУАЛИЗАЦИИ, ИЗД.1</t>
  </si>
  <si>
    <t>978-5-16-020868-8</t>
  </si>
  <si>
    <t>00.05.02, 45.04.02, 45.05.01, 45.06.01</t>
  </si>
  <si>
    <t>806233.05.01</t>
  </si>
  <si>
    <t>Теория и методика обуч. матем. в сред. шк.: Уч.пос. / М.И.Денисова - М.:ИЦ РИОР, НИЦ ИНФРА-М,2025. - 166 с.(ВО)(п)</t>
  </si>
  <si>
    <t>ТЕОРИЯ И МЕТОДИКА ОБУЧЕНИЯ МАТЕМАТИКЕ В СРЕДНЕЙ ШКОЛЕ, ИЗД.1</t>
  </si>
  <si>
    <t>Денисова Мария Ивановна</t>
  </si>
  <si>
    <t>978-5-369-01931-3</t>
  </si>
  <si>
    <t>702822.07.01</t>
  </si>
  <si>
    <t>Теория и методология  юридической науки: Уч.: В 2 ч.Ч.1 / М.Н.Марченко - М:Юр.Норма,,2026 - 320 с.(П)</t>
  </si>
  <si>
    <t>ТЕОРИЯ И МЕТОДОЛОГИЯ  ЮРИДИЧЕСКОЙ НАУКИ. В 2 ЧАСТЯХ, Т.1</t>
  </si>
  <si>
    <t>Марченко М.Н., Абросимова Е.А., Полянский П.Л. и др.</t>
  </si>
  <si>
    <t>978-5-91768-561-8</t>
  </si>
  <si>
    <t>644440.05.01</t>
  </si>
  <si>
    <t>Теория и методология исслед.взаимосвязи эконом.: Моногр. / Н.В.Родионова-М.:НИЦ ИНФРА-М,2025-317с(П)</t>
  </si>
  <si>
    <t>ТЕОРИЯ И МЕТОДОЛОГИЯ ИССЛЕДОВАНИЯ ВЗАИМОСВЯЗИ ЭКОНОМИЧЕСКИХ И СОЦИАЛЬНЫХ ПОКАЗАТЕЛЕЙ В СИСТЕМАХ УПРАВЛЕНИЯ ПРЕДПРИЯТИЯМИ, ИЗД.1</t>
  </si>
  <si>
    <t>Родионова Н.В.</t>
  </si>
  <si>
    <t>978-5-16-012965-5</t>
  </si>
  <si>
    <t>38.03.01, 38.03.02, 38.03.03, 38.03.04, 38.03.05, 38.03.06, 38.04.01, 38.04.02, 38.04.03, 38.04.04, 38.04.05, 38.04.06, 38.04.08, 41.03.06</t>
  </si>
  <si>
    <t>281600.08.01</t>
  </si>
  <si>
    <t>Теория и методология истории: Уч. пос. / М.Н.Потемкина - 2 изд. - М.:РИОР, ИЦ РИОР,2025 - 198 с.(П)</t>
  </si>
  <si>
    <t>ТЕОРИЯ И МЕТОДОЛОГИЯ ИСТОРИИ, ИЗД.2</t>
  </si>
  <si>
    <t>Потемкина М.Н.</t>
  </si>
  <si>
    <t>978-5-369-01351-9</t>
  </si>
  <si>
    <t>296300.07.01</t>
  </si>
  <si>
    <t>Теория и методология современной логистики: Моногр./ О.В.Рыкалина-М.:НИЦ ИНФРА-М,2022.-208 с.(Науч.мысль)(О)</t>
  </si>
  <si>
    <t>ТЕОРИЯ И МЕТОДОЛОГИЯ СОВРЕМЕННОЙ ЛОГИСТИКИ, ИЗД.1</t>
  </si>
  <si>
    <t>Рыкалина О.В.</t>
  </si>
  <si>
    <t>978-5-16-010098-2</t>
  </si>
  <si>
    <t>38.03.01, 38.03.02, 38.04.02, 41.03.06</t>
  </si>
  <si>
    <t>451550.05.01</t>
  </si>
  <si>
    <t>Теория и методология управ. конкурентоспос. бизнес..: Моногр./ С.А.Баронин - ИНФРА-М, 2023-329 с.(О)</t>
  </si>
  <si>
    <t>ТЕОРИЯ И МЕТОДОЛОГИЯ УПРАВЛЕНИЯ КОНКУРЕНТОСПОСОБНОСТЬЮ БИЗНЕС-СИСТЕМ, ИЗД.1</t>
  </si>
  <si>
    <t>Баронин С. А., Андреев В. А., Ботнарюк М. В., Баронин С. А., Семеркова Л. Н.</t>
  </si>
  <si>
    <t>978-5-16-009211-9</t>
  </si>
  <si>
    <t>634681.03.01</t>
  </si>
  <si>
    <t>Теория и методология форм. стратегий разв. горно-хим..: Моногр. /А.Л.Гендон-М.:НИЦ ИНФРА-М,2022-360с.(П)</t>
  </si>
  <si>
    <t>ТЕОРИЯ И МЕТОДОЛОГИЯ ФОРМИРОВАНИЯ СТРАТЕГИЙ РАЗВИТИЯ ГОРНО-ХИМИЧЕСКИХ ХОЛДИНГОВ, ИЗД.1</t>
  </si>
  <si>
    <t>Гендон А.Л.</t>
  </si>
  <si>
    <t>978-5-16-012112-3</t>
  </si>
  <si>
    <t>27.04.05, 38.03.02, 38.04.01, 38.04.02, 44.03.05</t>
  </si>
  <si>
    <t>705358.08.01</t>
  </si>
  <si>
    <t>Теория и методология юридической науки: Ч.2 / М.Н.Марченко - М.:Юр.Норма, НИЦ ИНФРА-М,2026 - 288 с.(П)</t>
  </si>
  <si>
    <t>ТЕОРИЯ И МЕТОДОЛОГИЯ ЮРИДИЧЕСКОЙ НАУКИ, Т.2</t>
  </si>
  <si>
    <t>978-5-91768-638-7</t>
  </si>
  <si>
    <t>372200.07.01</t>
  </si>
  <si>
    <t>Теория и методы зимнего бетонирования: Уч.пос. / Ю.И.Доладов - М.: Форум,НИЦ ИНФРА-М,2026 - 176 с.(ВО) (о)</t>
  </si>
  <si>
    <t>ТЕОРИЯ И МЕТОДЫ ЗИМНЕГО БЕТОНИРОВАНИЯ, ИЗД.1</t>
  </si>
  <si>
    <t>Ю.И.Доладов</t>
  </si>
  <si>
    <t>978-5-00091-088-7</t>
  </si>
  <si>
    <t>Рекомендовано для студентов высших учебных заведений, обучающихся по специальностям 08.03.01 «Строительство» и 23.05.06 «Строительство мостов и транспортных тоннелей»</t>
  </si>
  <si>
    <t>695513.02.01</t>
  </si>
  <si>
    <t>Теория и методы стоимостной оценки машин и..: Уч.пос. / С.А.Смоляк - М.:НИЦ ИНФРА-М,2026 - 390 с.(ВО)(П)</t>
  </si>
  <si>
    <t>ТЕОРИЯ И МЕТОДЫ СТОИМОСТНОЙ ОЦЕНКИ МАШИН И ОБОРУДОВАНИЯ, ИЗД.1</t>
  </si>
  <si>
    <t>Смоляк С.А.</t>
  </si>
  <si>
    <t>978-5-16-021440-5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</si>
  <si>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 (протокол № 1 от 12.01.2022)</t>
  </si>
  <si>
    <t>466950.08.01</t>
  </si>
  <si>
    <t>Теория и механизмы совр. гос. управ.: Уч.пос. / Д.А.Гайнанов. - М.:НИЦ ИНФРА-М,2026 - 288 с.(ВО)(п)</t>
  </si>
  <si>
    <t>ТЕОРИЯ И МЕХАНИЗМЫ СОВРЕМЕННОГО ГОСУДАРСТВЕННОГО УПРАВЛЕНИЯ, ИЗД.1</t>
  </si>
  <si>
    <t>Гайнанов Д. А., Атаева А. Г., Закиров И. Д.</t>
  </si>
  <si>
    <t>978-5-16-020655-4</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</si>
  <si>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38.04.04 «Государственное и муниципальное управление» (квалификация (степень) «магистр»)</t>
  </si>
  <si>
    <t>Уфимский федеральный исследовательский центр Российской академии наук</t>
  </si>
  <si>
    <t>468600.04.01</t>
  </si>
  <si>
    <t>Теория и организация экологического аудита: Моногр. / Л.В.Чхутиашвили - М.:НИЦ ИНФРА-М,2022 - 308 с.(П)</t>
  </si>
  <si>
    <t>ТЕОРИЯ И ОРГАНИЗАЦИЯ ЭКОЛОГИЧЕСКОГО АУДИТА, ИЗД.1</t>
  </si>
  <si>
    <t>978-5-16-011552-8</t>
  </si>
  <si>
    <t>05.03.06, 21.02.10, 38.03.01, 38.04.01, 38.04.08, 38.04.09</t>
  </si>
  <si>
    <t>646043.05.01</t>
  </si>
  <si>
    <t>Теория и политика идентичности: Уч.пос. / В.М.Капицын - М.:НИЦ ИНФРА-М,2024-219 с.-(ВО: Магистр.)(П)</t>
  </si>
  <si>
    <t>ТЕОРИЯ И ПОЛИТИКА ИДЕНТИЧНОСТИ, ИЗД.1</t>
  </si>
  <si>
    <t>978-5-16-013183-2</t>
  </si>
  <si>
    <t>39.04.01, 40.03.01, 41.03.06, 41.04.01, 41.04.04, 44.03.01, 44.03.05, 46.04.01, 46.04.03</t>
  </si>
  <si>
    <t>Рекомендовано в качестве учебного пособия для студентов высших учебных заведений, обучающихся по направлениям подготовки 41.04.04 «Политология», 39.04.01 «Социология», 46.04.03 «Антропология и этнология» (квалификация (степень) «магистр»)</t>
  </si>
  <si>
    <t>123200.11.01</t>
  </si>
  <si>
    <t>Теория и прак. анализа финанс...: Уч.пос. / Парушина Н.В., - 2 изд. - М.:ИД Форум, НИЦ ИНФРА-М,2027 - 430 с.(П)</t>
  </si>
  <si>
    <t>ТЕОРИЯ И ПРАКТИКА АНАЛИЗА ФИНАНСОВОЙ ОТЧЕТНОСТИ ОРГАНИЗАЦИЙ, ИЗД.2</t>
  </si>
  <si>
    <t>Бутенко И.В., Губин В.Е., Губина О.В. и др.</t>
  </si>
  <si>
    <t>978-5-8199-0892-1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</si>
  <si>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7 от 22.09.2021)</t>
  </si>
  <si>
    <t>773496.06.01</t>
  </si>
  <si>
    <t>Теория и прак. возбуждения уголов. дела: Уч.пос. / Л.Н.Масленникова - М.:Юр. НОРМА, НИЦ ИНФРА-М,2026. - 288 с.(П)</t>
  </si>
  <si>
    <t>ТЕОРИЯ И ПРАКТИКА ВОЗБУЖДЕНИЯ УГОЛОВНОГО ДЕЛА, ИЗД.1</t>
  </si>
  <si>
    <t>978-5-00156-227-6</t>
  </si>
  <si>
    <t>149050.10.01</t>
  </si>
  <si>
    <t>Теория и прак. интегр. процес.в промышл.: Моногр. / О.Ю.Мичурина - М.:НИЦ ИНФРА-М,2026 - 287 с.(Науч.мысль)(о)</t>
  </si>
  <si>
    <t>ТЕОРИЯ И ПРАКТИКА ИНТЕГРАЦИОННЫХ ПРОЦЕССОВ В ПРОМЫШЛЕННОСТИ, ИЗД.1</t>
  </si>
  <si>
    <t>Мичурина О. Ю.</t>
  </si>
  <si>
    <t>978-5-16-009838-8</t>
  </si>
  <si>
    <t>Астраханский государственный технический университет</t>
  </si>
  <si>
    <t>869279.03.01</t>
  </si>
  <si>
    <t>Теория и прак. правового регулир. мир. интеграц. процес.: Уч.: Т.1 / М.Л.Энтин - М.:Юр. НОРМА, НИЦ ИНФРА-М,2026. - 912 с.(п)</t>
  </si>
  <si>
    <t>ТЕОРИЯ И ПРАКТИКА ПРАВОВОГО РЕГУЛИРОВАНИЯ МИРОВЫХ ИНТЕГРАЦИОННЫХ ПРОЦЕССОВ. ТОМ 1, Т.1</t>
  </si>
  <si>
    <t>Энтин М.Л., Войников В.В., Галушко Д.В. и др.</t>
  </si>
  <si>
    <t>978-5-00156-468-3</t>
  </si>
  <si>
    <t>40.03.01, 40.04.01, 40.05.01, 40.05.04, 41.03.06, 41.04.01, 41.04.02, 41.04.05</t>
  </si>
  <si>
    <t>881003.01.01</t>
  </si>
  <si>
    <t>Теория и прак. правового регулир. мир. интеграц...: Уч. Т.2 / М.Л.Энтин. - М.:Юр. НОРМА, НИЦ ИНФРА-М,2027 - 604 с.(п)</t>
  </si>
  <si>
    <t>ТЕОРИЯ И ПРАКТИКА ПРАВОВОГО РЕГУЛИРОВАНИЯ МИРОВЫХ ИНТЕГРАЦИОННЫХ ПРОЦЕССОВ. Т.2, Т.2</t>
  </si>
  <si>
    <t>978-5-00156-489-8</t>
  </si>
  <si>
    <t>38.05.02, 40.03.01, 40.04.01, 40.05.01, 40.05.04, 41.03.05, 41.03.06, 41.04.01, 41.04.02, 41.04.05</t>
  </si>
  <si>
    <t>432700.04.01</t>
  </si>
  <si>
    <t>Теория и практ.прогноз.цен на энергорес.:Моногр./Ю.Н.Линник-М.:НИЦ ИНФРА-М,2024-339с.(Науч.мысль)(п)</t>
  </si>
  <si>
    <t>ТЕОРИЯ И ПРАКТИКА ПРОГНОЗИРОВАНИЯ ЦЕН НА ЭНЕРГОРЕСУРСЫ, ИЗД.1</t>
  </si>
  <si>
    <t>ЛинникЮ.Н., АфанасьевВ.Я., КазакА.С.</t>
  </si>
  <si>
    <t>978-5-16-011298-5</t>
  </si>
  <si>
    <t>13.03.01, 13.04.01, 13.06.01, 38.03.01, 38.04.01, 38.06.01</t>
  </si>
  <si>
    <t>669358.05.01</t>
  </si>
  <si>
    <t>Теория и практика абразив. разрезки труб: Моногр. / Е.А.Левченко - М.:Вуз.уч.,НИЦ ИНФРА-М,2026 - 142 с.(О)</t>
  </si>
  <si>
    <t>ТЕОРИЯ И ПРАКТИКА АБРАЗИВНОЙ РАЗРЕЗКИ ТРУБ, ИЗД.1</t>
  </si>
  <si>
    <t>Левченко Е.А., Покинтелица Н.И., Харченко А.О.</t>
  </si>
  <si>
    <t>978-5-9558-0599-3</t>
  </si>
  <si>
    <t>15.03.01, 15.03.02, 22.03.01, 22.04.01</t>
  </si>
  <si>
    <t>123200.07.01</t>
  </si>
  <si>
    <t>Теория и практика анализа финансовой отчетности организаций: уч.пос. / Н.В.Парушина и др.-М.:ИД Форум, ИНФРА-М Издательский Дом,2018.-432 с..-(Высшее</t>
  </si>
  <si>
    <t>ТЕОРИЯ И ПРАКТИКА АНАЛИЗА ФИНАНСОВОЙ ОТЧЕТНОСТИ ОРГАНИЗАЦИЙ, ИЗД.1</t>
  </si>
  <si>
    <t>Парушина Н. В., Бутенко И. В., Губин В. Е., Губина О. В., Деминова С. В., Сучкова Н. А., Тимофеева Т. А.</t>
  </si>
  <si>
    <t>978-5-8199-0423-7</t>
  </si>
  <si>
    <t>Рекомендовано УМО по образ. в области финансов, учета и мировой экономики в кач-ве учеб. пос. для студ., обуч. по спец.: 080105 "Финансы и кредит", 080109 "Бухгалтерский учет, анализ и аудит", 080107 "Налоги и налогообл."</t>
  </si>
  <si>
    <t>084750.18.01</t>
  </si>
  <si>
    <t>Теория и практика аргументации: Уч.пос. / Д.В.Зайцев - М.:ИД Форум, НИЦ ИНФРА-М,2026 - 224 с.(ВО)(П)</t>
  </si>
  <si>
    <t>ТЕОРИЯ И ПРАКТИКА АРГУМЕНТАЦИИ, ИЗД.1</t>
  </si>
  <si>
    <t>Зайцев Д.В.</t>
  </si>
  <si>
    <t>978-5-8199-0926-3</t>
  </si>
  <si>
    <t>41.03.04, 41.03.06, 41.04.04, 47.03.01, 47.04.01</t>
  </si>
  <si>
    <t>Рекомендовано УМО по классическому университетскому образованию в качестве учебного пособия для студентов вузов, обучающихся по направлениям подготовки 47.03.01 «Философия», 41.03.04 «Политология»</t>
  </si>
  <si>
    <t>474650.10.01</t>
  </si>
  <si>
    <t>Теория и практика аргументации: Уч.пос. / Л.А.Демина - М.:Юр.Норма,НИЦ ИНФРА-М,2026 - 272 с.(п)</t>
  </si>
  <si>
    <t>Демина Л. А.</t>
  </si>
  <si>
    <t>978-5-91768-529-8</t>
  </si>
  <si>
    <t>38.03.02, 38.03.03, 38.03.04, 38.04.02, 38.04.03, 38.04.04, 41.03.04, 41.03.06, 41.04.04</t>
  </si>
  <si>
    <t>740752.01.01</t>
  </si>
  <si>
    <t>Теория и практика внедрения  высокоэнергоэфф. технологий в строит.на основе.... Моногр / В.С.Казейкин.-Москва:ИНФРА-М,2021-301c(О)</t>
  </si>
  <si>
    <t>ТЕОРИЯ И ПРАКТИКА ВНЕДРЕНИЯ  ВЫСОКОЭНЕРГОЭФФЕКТИВНЫХ ТЕХНОЛОГИЙ В СТРОИТЕЛЬСТВЕ НА ОСНОВЕ ТЕПЛОГЕНЕРАТОРОВ ТЕРМАРОН, ИЗД.1</t>
  </si>
  <si>
    <t>Казейкин В.С., Толстолугов В.А., Толстолугова И.И. и др.</t>
  </si>
  <si>
    <t>978-5-16-016441-0</t>
  </si>
  <si>
    <t>794850.01.01</t>
  </si>
  <si>
    <t>Теория и практика интегрир. планирования: Уч. / Н.Р.Кельчевская-М.:НИЦ ИНФРА-М,2024.-271 с.(ВО)(п)</t>
  </si>
  <si>
    <t>ТЕОРИЯ И ПРАКТИКА ИНТЕГРИРОВАННОГО ПЛАНИРОВАНИЯ, ИЗД.1</t>
  </si>
  <si>
    <t>Кельчевская Н.Р., Пелымская И.С., Черненко И.М.</t>
  </si>
  <si>
    <t>978-5-16-018201-8</t>
  </si>
  <si>
    <t>678595.03.01</t>
  </si>
  <si>
    <t>Теория и практика комбинир.электротехнологий создания...: Моногр./ В.С.Чередниченко-М.:НИЦ ИНФРА-М,2023.-258с(П)</t>
  </si>
  <si>
    <t>ТЕОРИЯ И ПРАКТИКА КОМБИНИРОВАННЫХ ЭЛЕКТРОТЕХНОЛОГИЙ СОЗДАНИЯ ЗАЩИТНЫХ ПОКРЫТИЙ, ИЗД.1</t>
  </si>
  <si>
    <t>Чередниченко В.С., Радченко М.В., Радченко Т.Б. и др.</t>
  </si>
  <si>
    <t>978-5-16-013684-4</t>
  </si>
  <si>
    <t>642419.11.01</t>
  </si>
  <si>
    <t>Теория и практика консультирования: Уч.пос. / С.Ю.Макаров - М.:Юр.Норма, НИЦ ИНФРА-М,2026 -112 с.(О)</t>
  </si>
  <si>
    <t>ТЕОРИЯ И ПРАКТИКА КОНСУЛЬТИРОВАНИЯ, ИЗД.1</t>
  </si>
  <si>
    <t>Макаров С.Ю.</t>
  </si>
  <si>
    <t>978-5-91768-780-3</t>
  </si>
  <si>
    <t>667636.09.01</t>
  </si>
  <si>
    <t>Теория и практика креативной деят.: Уч.пос. / О.А.Карлова. - М.:НИЦ ИНФРА-М, СФУ,2027 - 372 с.-(ВО)(П)</t>
  </si>
  <si>
    <t>ТЕОРИЯ И ПРАКТИКА КРЕАТИВНОЙ ДЕЯТЕЛЬНОСТИ, ИЗД.1</t>
  </si>
  <si>
    <t>Карлова О.А., Ноздренко Е.А., Пантелеева И.А. и др.</t>
  </si>
  <si>
    <t>978-5-16-019131-7</t>
  </si>
  <si>
    <t>Рекомендовано ФГОУ ВПО «Государственный университет управления» в качестве учебного пособия для студентов высших учебных заведений, обучающихся по направлению 42.03.01 «Реклама и связи с общественностью»</t>
  </si>
  <si>
    <t>417250.10.01</t>
  </si>
  <si>
    <t>Теория и практика массовой информации: Уч./ А.А.Марков - М.: ИНФРА-М, 2026 - 252 с.(ВО: Бакалавр.) (п)</t>
  </si>
  <si>
    <t>ТЕОРИЯ И ПРАКТИКА МАССОВОЙ ИНФОРМАЦИИ, ИЗД.1</t>
  </si>
  <si>
    <t>Марков А. А., Молчанова О. И., Полякова Н. В.</t>
  </si>
  <si>
    <t>978-5-16-006505-2</t>
  </si>
  <si>
    <t>38.03.02, 38.03.04, 38.04.02, 38.04.04, 41.03.06, 42.03.01, 42.04.01</t>
  </si>
  <si>
    <t>Допущено Учебно-методическим объединением вузов Российской Федерации по образованию в области международных отношений в качестве учебника для студентов вузов, обучающихся по направлению подготовки (специальности) «Реклама и связи с общественностью»</t>
  </si>
  <si>
    <t>740304.02.01</t>
  </si>
  <si>
    <t>Теория и практика персонифицированного обучения: Моногр. / С.В.Кондратьев-М.:НИЦ ИНФРА-М,2021.-273 с.(О)</t>
  </si>
  <si>
    <t>ТЕОРИЯ И ПРАКТИКА ПЕРСОНИФИЦИРОВАННОГО ОБУЧЕНИЯ, ИЗД.1</t>
  </si>
  <si>
    <t>Кондратьев С.В.</t>
  </si>
  <si>
    <t>978-5-16-016331-4</t>
  </si>
  <si>
    <t>774803.05.01</t>
  </si>
  <si>
    <t>Теория и практика психолог. тренинга: Уч.пос. / О.О.Андронникова - М.:НИЦ ИНФРА-М,2026. - 300 с.(ВО)(п)</t>
  </si>
  <si>
    <t>ТЕОРИЯ И ПРАКТИКА ПСИХОЛОГИЧЕСКОГО ТРЕНИНГА, ИЗД.1</t>
  </si>
  <si>
    <t>978-5-16-018076-2</t>
  </si>
  <si>
    <t>413650.06.01</t>
  </si>
  <si>
    <t>Теория и практика психосоциал. работы: Уч. пос./Т.И.Целевич - М.:Форум: НИЦ Инфра-М,2024-352с(ВО)(п)</t>
  </si>
  <si>
    <t>ТЕОРИЯ И ПРАКТИКА ПСИХОСОЦИАЛЬНОЙ РАБОТЫ, ИЗД.1</t>
  </si>
  <si>
    <t>Целевич Т. И., Белобородова Е. А.</t>
  </si>
  <si>
    <t>978-5-91134-722-2</t>
  </si>
  <si>
    <t>632248.06.01</t>
  </si>
  <si>
    <t>Теория и практика развития проф..: Моногр. / С.Н.Козловская, - 2 изд.-М.:НИЦ ИНФРА-М,2023.-145с.(О)</t>
  </si>
  <si>
    <t>ТЕОРИЯ И ПРАКТИКА РАЗВИТИЯ ПРОФЕССИОНАЛЬНОГО САМООПРЕДЕЛЕНИЯ СТУДЕНТОВ, ИЗД.2</t>
  </si>
  <si>
    <t>978-5-16-011977-9</t>
  </si>
  <si>
    <t>44.03.01, 44.04.01, 44.04.04, 44.06.01</t>
  </si>
  <si>
    <t>299300.07.01</t>
  </si>
  <si>
    <t>Теория и практика рекламы: Уч. пос. / Н.В.Шишова и др. - М.:НИЦ ИНФРА-М,2026. - 299 с.(О)</t>
  </si>
  <si>
    <t>ТЕОРИЯ И ПРАКТИКА РЕКЛАМЫ, ИЗД.1</t>
  </si>
  <si>
    <t>Шишова Н.В., Подопригора А.С., Акулич Т.В.</t>
  </si>
  <si>
    <t>978-5-16-004794-2</t>
  </si>
  <si>
    <t>38.03.06, 42.03.01, 42.03.02, 42.04.01, 42.04.02</t>
  </si>
  <si>
    <t>089000.09.01</t>
  </si>
  <si>
    <t>Теория и практика решения техн. задач:Уч.пос./А.В.Ревенков - 3изд.-М:Форум:НИЦ ИНФРА-М,2024-384с(ВО) (п)</t>
  </si>
  <si>
    <t>ТЕОРИЯ И ПРАКТИКА РЕШЕНИЯ ТЕХНИЧЕСКИХ ЗАДАЧ, ИЗД.3</t>
  </si>
  <si>
    <t>Ревенков А. В., Резчикова Е. В.</t>
  </si>
  <si>
    <t>978-5-91134-750-5</t>
  </si>
  <si>
    <t>08.04.01, 13.03.01, 13.03.02, 13.03.03, 14.03.01, 14.03.02, 15.03.01, 15.03.02, 15.03.03, 15.03.04, 15.03.05, 15.03.06, 16.03.01, 16.03.02, 16.03.03</t>
  </si>
  <si>
    <t>Допущено Методическим объединением вузов по университетскому политехническому образованию в качестве учебного пособия для студентов высших технических учебных заведений</t>
  </si>
  <si>
    <t>860687.01.01</t>
  </si>
  <si>
    <t>Теория и практика судебной экспертизы...: Моногр. / Н.П.Майлис. - М.:НИЦ ИНФРА-М,2026. - 197 с.(Науч.мысль)(п)</t>
  </si>
  <si>
    <t>ТЕОРИЯ И ПРАКТИКА СУДЕБНОЙ ЭКСПЕРТИЗЫ: ПРОБЛЕМЫ И ТЕНДЕНЦИИ РАЗВИТИЯ, ИЗД.1</t>
  </si>
  <si>
    <t>Майлис Н.П., Федорович В.Ю., Харламова О.А. и др.</t>
  </si>
  <si>
    <t>978-5-16-021313-2</t>
  </si>
  <si>
    <t>40.03.01, 40.05.02, 40.05.03, 40.05.04, 40.06.01, 40.03.02</t>
  </si>
  <si>
    <t>804951.01.01</t>
  </si>
  <si>
    <t>Теория и практика судебно-экономич. экспертизы: Моногр. / В.А.Тимченко-М.:НИЦ ИНФРА-М,2024.-209 с.(п)</t>
  </si>
  <si>
    <t>ТЕОРИЯ И ПРАКТИКА СУДЕБНО-ЭКОНОМИЧЕСКОЙ ЭКСПЕРТИЗЫ: ПРОБЛЕМЫ И ПЕРСПЕКТИВЫ, ИЗД.1</t>
  </si>
  <si>
    <t>978-5-16-018699-3</t>
  </si>
  <si>
    <t>40.05.01, 40.06.01</t>
  </si>
  <si>
    <t>700977.05.01</t>
  </si>
  <si>
    <t>Теория и практика экспертных методов: Моногр. / Под ред. Кочурова Б.И. - М.:НИЦ ИНФРА-М,2026  - 281 с.(П)</t>
  </si>
  <si>
    <t>ТЕОРИЯ И ПРАКТИКА ЭКСПЕРТНЫХ МЕТОДОВ, ИЗД.1</t>
  </si>
  <si>
    <t>Коробов В.Б., Кочуров Б.И.</t>
  </si>
  <si>
    <t>978-5-16-015053-6</t>
  </si>
  <si>
    <t>Институт океанологии им. П.П. Ширшова Российской академии наук</t>
  </si>
  <si>
    <t>425500.08.01</t>
  </si>
  <si>
    <t>Теория и расчет транспорт. газотурб. двиг.: Уч./ Ю.А.Чумаков - М:Форум:НИЦ Инфра-М,2026 - 448 с.(ВО) (п)</t>
  </si>
  <si>
    <t>ТЕОРИЯ И РАСЧЕТ ТРАНСПОРТНЫХ ГАЗОТУРБИННЫХ ДВИГАТЕЛЕЙ, ИЗД.1</t>
  </si>
  <si>
    <t>Чумаков Ю. А.</t>
  </si>
  <si>
    <t>978-5-91134-673-7</t>
  </si>
  <si>
    <t>141000.07.01</t>
  </si>
  <si>
    <t>Теория и технол. литейн. произв.: Уч.: В 2 ч.Ч.1: Формов. матер... /Д.М.Кукуй - ИНФРА-М,2022 - 384 с. (п)</t>
  </si>
  <si>
    <t>ТЕОРИЯ И ТЕХНОЛОГИЯ ЛИТЕЙНОГО ПРОИЗВОДСТВА, Т.1</t>
  </si>
  <si>
    <t>Кукуй Д.М., Скворцов В.А., Андрианов Н.В.</t>
  </si>
  <si>
    <t>978-5-16-004762-1</t>
  </si>
  <si>
    <t>15.03.01, 15.03.05, 15.04.01</t>
  </si>
  <si>
    <t>Рекомендовано Учебно-методическим центром "Профессиональный учебник" в качестве учебника для студентов высших учебных заведений, обучающихся по специальности "Машины и технология литейного производства"</t>
  </si>
  <si>
    <t>142000.07.01</t>
  </si>
  <si>
    <t>Теория и технол. литейн. произв.: Уч.: В 2 ч.Ч.2: Технол. изготов.. / Д.М.Кукуй - ИНФРА-М,2022 - 406 с. (п)</t>
  </si>
  <si>
    <t>ТЕОРИЯ И ТЕХНОЛОГИЯ ЛИТЕЙНОГО ПРОИЗВОДСТВА. В 2 ЧАСТЯХ., Т.2</t>
  </si>
  <si>
    <t>978-5-16-004787-4</t>
  </si>
  <si>
    <t>15.03.01, 15.04.01, 22.04.02</t>
  </si>
  <si>
    <t>Рекомендовано Учебно.методическим центром «Профессиональный учебник» в качестве учебника для студентов высших учебных заведений, обучающихся по специальности «Машины и технология литейного производства»</t>
  </si>
  <si>
    <t>734602.02.01</t>
  </si>
  <si>
    <t>Теория и технологии матем. развития детей дош...: Уч.пос. / М.Ю.Стожарова - М.:НИЦ ИНФРА-М,2025-240с(ВО)(П)</t>
  </si>
  <si>
    <t>ТЕОРИЯ И ТЕХНОЛОГИИ МАТЕМАТИЧЕСКОГО РАЗВИТИЯ ДЕТЕЙ ДОШКОЛЬНОГО ВОЗРАСТА, ИЗД.1</t>
  </si>
  <si>
    <t>978-5-16-016976-7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</si>
  <si>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1 от 12.01.2022</t>
  </si>
  <si>
    <t>427500.10.01</t>
  </si>
  <si>
    <t>Теория и технология реш. психологич. проблем: Уч.пос. / В.В.Гребнева - М.:НИЦ ИНФРА-М,2026. - 192 с.(ВО)(П)</t>
  </si>
  <si>
    <t>ТЕОРИЯ И ТЕХНОЛОГИЯ РЕШЕНИЯ ПСИХОЛОГИЧЕСКИХ ПРОБЛЕМ, ИЗД.1</t>
  </si>
  <si>
    <t>Гребнева В. В.</t>
  </si>
  <si>
    <t>978-5-16-006363-8</t>
  </si>
  <si>
    <t>37.03.01, 37.03.02, 37.05.01, 44.03.02, 44.04.03, 44.05.01</t>
  </si>
  <si>
    <t>Рекомендовано в качестве учебного пособия для студентов высших учебных заведений, обучающихся по направлениям подготовки 050400 "Психолого-педагогическое образование" и 030300 «Психология»</t>
  </si>
  <si>
    <t>458100.07.01</t>
  </si>
  <si>
    <t>Теория и технология физического воспитания..: Уч. / М.М.Борисова - М.:НИЦ ИНФРА-М,2024-299с.(ВО)(п)</t>
  </si>
  <si>
    <t>ТЕОРИЯ И ТЕХНОЛОГИЯ ФИЗИЧЕСКОГО ВОСПИТАНИЯ И РАЗВИТИЯ РЕБЕНКА, ИЗД.1</t>
  </si>
  <si>
    <t>Борисова М.М.</t>
  </si>
  <si>
    <t>978-5-16-019440-0</t>
  </si>
  <si>
    <t>852290.01.01</t>
  </si>
  <si>
    <t>Теория игр в производственном менеджменте: Уч.пос. / Д.А.Власов - М.:НИЦ ИНФРА-М,2026. - 217 с.(ВО)(п)</t>
  </si>
  <si>
    <t>ТЕОРИЯ ИГР В ПРОИЗВОДСТВЕННОМ МЕНЕДЖМЕНТЕ, ИЗД.1</t>
  </si>
  <si>
    <t>978-5-16-020834-3</t>
  </si>
  <si>
    <t>682197.03.01</t>
  </si>
  <si>
    <t>Теория игр и ее экономические приложения: Уч.пос. / А.В.Сигал-М.:НИЦ ИНФРА-М,2024 - 418 с.(ВО (КрымФУ))(п)</t>
  </si>
  <si>
    <t>ТЕОРИЯ ИГР И ЕЕ ЭКОНОМИЧЕСКИЕ ПРИЛОЖЕНИЯ, ИЗД.1</t>
  </si>
  <si>
    <t>978-5-16-019035-8</t>
  </si>
  <si>
    <t>10.04.01, 38.03.01, 38.03.02, 41.03.06</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</si>
  <si>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38.03.05 «Бизнес-информатика» (квалификация (степень) «бакалавр»)</t>
  </si>
  <si>
    <t>182950.13.01</t>
  </si>
  <si>
    <t>Теория игр. Примеры и задачи: Уч.пос. / В.П.Невежин - М.:Форум, НИЦ ИНФРА-М,2026 - 128 с.(ВО (ФинУн))(О)</t>
  </si>
  <si>
    <t>ТЕОРИЯ ИГР. ПРИМЕРЫ И ЗАДАЧИ, ИЗД.1</t>
  </si>
  <si>
    <t>Невежин В.П.</t>
  </si>
  <si>
    <t>Высшее образование (ФинУн)</t>
  </si>
  <si>
    <t>978-5-00091-563-9</t>
  </si>
  <si>
    <t>38.03.01, 38.03.02, 38.03.04, 38.03.06, 38.04.01, 38.04.02, 38.04.04, 38.04.06, 38.04.09, 41.03.06</t>
  </si>
  <si>
    <t>Рекомендовано кафедрой математического моделирования экономических процессов Финансового университета при Правительстве Российской Федерации ¶в качестве учебного пособия для студентов, обучающихся по направлению подготовки бакалавров и магистров</t>
  </si>
  <si>
    <t>734294.04.01</t>
  </si>
  <si>
    <t>Теория квантовой химии: Уч.пос. / В.В.Костюков - М.:НИЦ ИНФРА-М,2025 - 236 с.(ВО: Бакалавр. (СевГУ))(П)</t>
  </si>
  <si>
    <t>ТЕОРИЯ КВАНТОВОЙ ХИМИИ, ИЗД.1</t>
  </si>
  <si>
    <t>978-5-16-020416-1</t>
  </si>
  <si>
    <t>04.03.01, 04.03.02, 06.03.01, 33.05.01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</si>
  <si>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химическим и биологическим направлениям подготовки (квалификация (степень) «бакалавр») (протокол № 6 от 16.06.2021)</t>
  </si>
  <si>
    <t>802558.01.01</t>
  </si>
  <si>
    <t>Теория коммуникации: основные направ. и концепции: Уч.пос. / Л.Д.Подгорная - М.:НИЦ ИНФРА-М,2025. - 259 с.(ВО)(п)</t>
  </si>
  <si>
    <t>ТЕОРИЯ КОММУНИКАЦИИ: ОСНОВНЫЕ НАПРАВЛЕНИЯ И КОНЦЕПЦИИ, ИЗД.1</t>
  </si>
  <si>
    <t>Подгорная Л.Д.</t>
  </si>
  <si>
    <t>978-5-16-019894-1</t>
  </si>
  <si>
    <t>41.04.05, 41.04.06, 42.03.01, 42.04.01, 42.04.02, 42.04.05, 42.06.01, 45.04.01, 45.04.03</t>
  </si>
  <si>
    <t>777243.04.01</t>
  </si>
  <si>
    <t>Теория корабля. Плавучесть и остойчивость: Уч. / Е.В.Никитин - М.:НИЦ ИНФРА-М,2026. - 372 с.(ВО)(П)</t>
  </si>
  <si>
    <t>ТЕОРИЯ КОРАБЛЯ. ПЛАВУЧЕСТЬ И ОСТОЙЧИВОСТЬ, ИЗД.1</t>
  </si>
  <si>
    <t>Никитин Е.В.</t>
  </si>
  <si>
    <t>978-5-16-017983-4</t>
  </si>
  <si>
    <t>26.03.02, 26.05.01, 26.05.03</t>
  </si>
  <si>
    <t>666691.08.01</t>
  </si>
  <si>
    <t>Теория культуры: Уч.пос. / Н.П.Копцева - М.:НИЦ ИНФРА-М, СФУ,2026. - 150 с.-(ВО: Бакалавриат (СФУ))(П)</t>
  </si>
  <si>
    <t>ТЕОРИЯ КУЛЬТУРЫ, ИЗД.1</t>
  </si>
  <si>
    <t>Копцева Н.П., Резникова К.В.</t>
  </si>
  <si>
    <t>978-5-16-020096-5</t>
  </si>
  <si>
    <t>44.03.01, 51.03.01</t>
  </si>
  <si>
    <t>Допущено Учебно-методическим объединением вузов Российской Федерации по образованию в области историко-архивоведения в качестве учебного пособия для студентов высших учебных заведений, обучающихся по направлению «Культурология» («Культуроведение и социокультурные проекты»)</t>
  </si>
  <si>
    <t>813259.03.01</t>
  </si>
  <si>
    <t>Теория ландшафт. архитектуры и методология проектир.: Уч.пос. / Н.В.Кригер - М.:НИЦ ИНФРА-М,2026. - 270 с.(ВО)(п)</t>
  </si>
  <si>
    <t>ТЕОРИЯ ЛАНДШАФТНОЙ АРХИТЕКТУРЫ И МЕТОДОЛОГИЯ ПРОЕКТИРОВАНИЯ, ИЗД.1</t>
  </si>
  <si>
    <t>978-5-16-019489-9</t>
  </si>
  <si>
    <t>Рекомендовано Научно-методическим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35.03.10 «Ландшафтная архитектура», профиль «Садово-парковое и ландшафтное строительство»</t>
  </si>
  <si>
    <t>176150.07.01</t>
  </si>
  <si>
    <t>Теория личности (по материалам рукописи):Моногр./А.И.Стронин, 2 изд.-М.:НИЦ ИНФРА-М,2018.-188 с.(п)</t>
  </si>
  <si>
    <t>ТЕОРИЯ ЛИЧНОСТИ (ПО МАТЕРИАЛАМ РУКОПИСИ), ИЗД.2</t>
  </si>
  <si>
    <t>Стронин А. И., Оганян К. К.</t>
  </si>
  <si>
    <t>978-5-16-011790-4</t>
  </si>
  <si>
    <t>39.03.01, 39.04.01, 44.03.02, 44.04.02, 47.03.01, 47.04.01</t>
  </si>
  <si>
    <t>448350.05.01</t>
  </si>
  <si>
    <t>Теория менеджмента: Ист.упр.мысли..: Уч.пос./А.Г.Фаррахов-М.:НИЦ ИНФРА-М,2023-272с.(ВО:Бакалавр.)(п)</t>
  </si>
  <si>
    <t>ТЕОРИЯ МЕНЕДЖМЕНТА: ИСТОРИЯ УПРАВЛЕНЧЕСКОЙ МЫСЛИ, ТЕОРИЯ ОРГАНИЗАЦИИ, ОРГАНИЗАЦИОННОЕ ПОВЕДЕНИЕ, ИЗД.1</t>
  </si>
  <si>
    <t>Фаррахов А. Г.</t>
  </si>
  <si>
    <t>978-5-16-009073-3</t>
  </si>
  <si>
    <t>38.03.02, 41.03.06, 44.03.01</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</si>
  <si>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38.03.02 (080200.62) «Менеджмент» (квалификация (степень) «бакалавр») Регистрационный номер рецензии 017 от 8 февраля 2013 г. (ФГАУ ФИРО)</t>
  </si>
  <si>
    <t>Казанский государственный архитектурно-строительный университет</t>
  </si>
  <si>
    <t>202400.09.01</t>
  </si>
  <si>
    <t>Теория менеджмента: история управл. мысли: Уч. /Т.П.Хохлова - М: Магистр, НИЦ ИНФРА-М, 2023-384с.(п)</t>
  </si>
  <si>
    <t>ТЕОРИЯ МЕНЕДЖМЕНТА: ИСТОРИЯ УПРАВЛЕНЧЕСКОЙ МЫСЛИ, ИЗД.1</t>
  </si>
  <si>
    <t>978-5-9776-0268-6</t>
  </si>
  <si>
    <t>Рекомендовано ФГБОУ ВПО «Государственный университет управления» в качестве учебника для студентов высших учебных заведений, обучающихся по направлению подготовки 080200 «Менеджмент» квалификация (степень) бакалавр</t>
  </si>
  <si>
    <t>460050.07.01</t>
  </si>
  <si>
    <t>Теория менеджмента: теория организации: Уч. пос. / Л.А.Жигун - М: ИНФРА-М, 2024 - 320 с. (ВО) (п)</t>
  </si>
  <si>
    <t>ТЕОРИЯ МЕНЕДЖМЕНТА: ТЕОРИЯ ОРГАНИЗАЦИИ, ИЗД.1</t>
  </si>
  <si>
    <t>Жигун Л. А.</t>
  </si>
  <si>
    <t>978-5-16-009449-6</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</si>
  <si>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направлениям подготовки 38.03.02 «Менеджмент», 38.03.04 «Государственное и муниципа</t>
  </si>
  <si>
    <t>213300.07.01</t>
  </si>
  <si>
    <t>Теория менеджмента: Уч. / А.П.Агарков - М.: Альфа-М:  НИЦ ИНФРА-М, 2026. - 272 с.(Бакалавр.) (п)</t>
  </si>
  <si>
    <t>ТЕОРИЯ МЕНЕДЖМЕНТА, ИЗД.1</t>
  </si>
  <si>
    <t>Голов Р. С., Агарков А. П.</t>
  </si>
  <si>
    <t>978-5-98281-352-7</t>
  </si>
  <si>
    <t>Допущено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080200.62 «Менеджмент» (квалификация (степень) «бакалавр»)</t>
  </si>
  <si>
    <t>247100.07.01</t>
  </si>
  <si>
    <t>Теория менеджмента: Уч. / В.А.Баринов - М.: НИЦ ИНФРА-М, 2024-207с.(ВО: Бакалавриат) (п)</t>
  </si>
  <si>
    <t>978-5-16-006009-5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</si>
  <si>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направлению подготовки 080200.62 «Менеджмент» (квалификация (степень) «бакалавр»)</t>
  </si>
  <si>
    <t>419700.07.01</t>
  </si>
  <si>
    <t>Теория менеджмента: Уч. / Ю.В. Гусаров. - М.: НИЦ ИНФРА-М, 2024 - 263 с. (ВО:Бакалавр.) (п)</t>
  </si>
  <si>
    <t>978-5-16-005526-8</t>
  </si>
  <si>
    <t>38.03.01, 38.03.02, 38.03.03, 38.03.04, 38.04.02, 38.04.03, 38.04.04, 41.03.05, 41.03.06, 44.03.01</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</si>
  <si>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080200 «Менеджмент» (квалификация (степень) - «бакалавр»)</t>
  </si>
  <si>
    <t>438350.08.01</t>
  </si>
  <si>
    <t>Теория менеджмента: Уч. пос. / А.П. Балашов. - М.: Вузовский уч.: НИЦ ИНФРА-М, 2026. - 352 с. (п)</t>
  </si>
  <si>
    <t>978-5-9558-0307-4</t>
  </si>
  <si>
    <t>237700.08.01</t>
  </si>
  <si>
    <t>Теория менеджмента: Уч. пос./ В.Д. Грибов. - М.: НИЦ ИНФРА-М, 2025. - 357 с. (ВО: Бакалавриат) (п)</t>
  </si>
  <si>
    <t>Грибов В. Д., Веснин В. Р.</t>
  </si>
  <si>
    <t>978-5-16-009193-8</t>
  </si>
  <si>
    <t>439100.05.01</t>
  </si>
  <si>
    <t>Теория менеджмента: Уч.пос. / О.Б.Угурчиев - М.:ИЦ РИОР,НИЦ ИНФРА-М,2023 - 268с.(ВО:Бакалавр.)(п)</t>
  </si>
  <si>
    <t>УгурчиевО.Б., БероеваЗ.М.</t>
  </si>
  <si>
    <t>978-5-369-01480-6</t>
  </si>
  <si>
    <t>Рекомендовано Советом Учебно-методического объединения по образованию в области менеджмента в качестве учебного пособия для обучающихся по программам высшего образования направления подготовки «Менеджмент» (квалификация (степень) «бакалавр»)</t>
  </si>
  <si>
    <t>650085.04.01</t>
  </si>
  <si>
    <t>Теория механизмов  и машин: Уч. / О.В.Мкртычев - М.:Вуз. уч., НИЦ ИНФРА-М,2024. - 553 с.-(ВО)(П)</t>
  </si>
  <si>
    <t>ТЕОРИЯ МЕХАНИЗМОВ  И МАШИН, ИЗД.1</t>
  </si>
  <si>
    <t>978-5-9558-0540-5</t>
  </si>
  <si>
    <t>15.03.01, 15.03.05, 23.03.03</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</si>
  <si>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15.00.00 «Машиностроение» в качестве учебного пособия для подготовки бакалавров по направлению 15.03.02 «Технологические машины и оборудование»</t>
  </si>
  <si>
    <t>631488.09.01</t>
  </si>
  <si>
    <t>Теория механизмов и  машин: Уч. / А.Н.Соболев - М.:КУРС, НИЦ ИНФРА-М,2025. - 256 с.(ВО)(п)</t>
  </si>
  <si>
    <t>ТЕОРИЯ МЕХАНИЗМОВ И МАШИН (ПРОЕКТИРОВАНИЕ И МОДЕЛИРОВАНИЕ МЕХАНИЗМОВ И ИХ ЭЛЕМЕНТОВ), ИЗД.1</t>
  </si>
  <si>
    <t>Соболев А.Н., Некрасов А.Я., Схиртладзе А.Г.</t>
  </si>
  <si>
    <t>978-5-906818-44-7</t>
  </si>
  <si>
    <t>15.03.01, 15.03.05, 15.05.01</t>
  </si>
  <si>
    <t>Допущено Учебно-методическим объединением (УМО AM)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«Конструкторско-технологическое обеспечение машиностроительных производств, автоматизации технологических процессов и производств»</t>
  </si>
  <si>
    <t>047250.17.01</t>
  </si>
  <si>
    <t>Теория механизмов и машин. Курсовое проектир.: Уч.пос. / А.И.Смелягин - М.:НИЦ ИНФРА-М,2025 - 263 с.(ВО(П)</t>
  </si>
  <si>
    <t>ТЕОРИЯ МЕХАНИЗМОВ И МАШИН. КУРСОВОЕ ПРОЕКТИРОВАНИЕ, ИЗД.1</t>
  </si>
  <si>
    <t>978-5-16-009237-9</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</si>
  <si>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направлениям подготовки бакалавров и магистров «Технология, оборудование и автоматизация машиностроительных производств», дипломированных специалистов — «Конструкторско. технологическое обеспечение машиностроительных производств»</t>
  </si>
  <si>
    <t>650089.05.01</t>
  </si>
  <si>
    <t>Теория механизмов и машин: Практикум / О.В.Мкртычев - М.:НИЦ ИНФРА-М,2025. - 327 с.(ВО)(п)</t>
  </si>
  <si>
    <t>ТЕОРИЯ МЕХАНИЗМОВ И МАШИН, ИЗД.1</t>
  </si>
  <si>
    <t>978-5-16-021153-4</t>
  </si>
  <si>
    <t>01.05.01, 15.03.05, 23.03.02</t>
  </si>
  <si>
    <t>676522.05.01</t>
  </si>
  <si>
    <t>Теория механизмов и машин: Уч.пос. / М.И.Белов - 2 изд. - М.:ИЦ РИОР, НИЦ ИНФРА-М,2023-322 с.(П)</t>
  </si>
  <si>
    <t>ТЕОРИЯ МЕХАНИЗМОВ И МАШИН, ИЗД.2</t>
  </si>
  <si>
    <t>Белов М.И., Сорокин С.В.</t>
  </si>
  <si>
    <t>978-5-369-01742-5</t>
  </si>
  <si>
    <t>15.03.05, 23.03.02, 23.03.03, 35.03.06</t>
  </si>
  <si>
    <t>795895.01.01</t>
  </si>
  <si>
    <t>Теория механизмов и машин: Уч.пос. / О.В.Конищева.-М.:НИЦ ИНФРА-М,2023.-229 с.(ВО: Бакалавр. (СФУ))(п)</t>
  </si>
  <si>
    <t>Конищева О.В., Брюховецкая Е.В., Сильченко П.Н.</t>
  </si>
  <si>
    <t>978-5-16-018086-1</t>
  </si>
  <si>
    <t>08.03.01, 12.03.05, 15.03.01, 15.03.02, 15.03.03, 15.03.05, 15.05.01, 20.03.01, 23.03.02, 23.03.03, 23.05.01, 23.05.02, 23.05.03, 26.03.02, 26.05.02, 26.05.06, 26.05.07, 29.03.01, 35.03.06</t>
  </si>
  <si>
    <t>140600.11.01</t>
  </si>
  <si>
    <t>Теория механизмов, машин и манипуляторов: Уч.пос. / Л.А.Борисенко - М.:НИЦ ИНФРА-М,2026. - 285 с.(ВО)(п)</t>
  </si>
  <si>
    <t>ТЕОРИЯ МЕХАНИЗМОВ, МАШИН И МАНИПУЛЯТОРОВ, ИЗД.1</t>
  </si>
  <si>
    <t>Борисенко Л. А.</t>
  </si>
  <si>
    <t>978-5-16-004690-7</t>
  </si>
  <si>
    <t>15.03.05, 16.03.02, 23.03.02, 23.03.03, 24.03.01, 24.03.05</t>
  </si>
  <si>
    <t>306800.07.01</t>
  </si>
  <si>
    <t>Теория надежности. Статистич. модели: Уч.пос. / А.В.Антонов.-М.:НИЦ ИНФРА-М,2022.-576 с.(ВО)(П)</t>
  </si>
  <si>
    <t>ТЕОРИЯ НАДЕЖНОСТИ. СТАТИСТИЧЕСКИЕ МОДЕЛИ, ИЗД.1</t>
  </si>
  <si>
    <t>Антонов А.В., Никулин М.С., Никулин А.М.и др.</t>
  </si>
  <si>
    <t>978-5-16-010264-1</t>
  </si>
  <si>
    <t>09.03.01, 09.04.01, 09.05.01</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</si>
  <si>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09.03.01 «Информатика и вычислительная техника»</t>
  </si>
  <si>
    <t>687085.01.01</t>
  </si>
  <si>
    <t>Теория обучения: Уч.пос. / Н.А.Шайденко - М.:НИЦ ИНФРА-М,2022 - 195 с.(ВО: Бакалавриат)(П)</t>
  </si>
  <si>
    <t>ТЕОРИЯ ОБУЧЕНИЯ, ИЗД.1</t>
  </si>
  <si>
    <t>978-5-16-016014-6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</si>
  <si>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психолого-педагогическим направлениям подготовки (квалификация (степень) «бакалавр») (протокол № 6 от 16.06.2021)</t>
  </si>
  <si>
    <t>070650.12.01</t>
  </si>
  <si>
    <t>Теория опер.- розыск. деят.: Крат.уч.курс / Под ред.Горяинова К.К. - 5 изд.-М:Норма,НИЦ ИНФРА-М,2024-352(О)</t>
  </si>
  <si>
    <t>ТЕОРИЯ ОПЕРАТИВНО-РОЗЫСКНОЙ ДЕЯТЕЛЬНОСТИ, ИЗД.5</t>
  </si>
  <si>
    <t>Овчинский В.С., Горяинов К.К., Синилов Г.К.</t>
  </si>
  <si>
    <t>978-5-00156-183-5</t>
  </si>
  <si>
    <t>070650.07.01</t>
  </si>
  <si>
    <t>Теория опер.-розыск.деят.:Крат.уч.курс/Под ред.Горяинова К.К.-4 изд.-М:Норма,НИЦ ИНФРА-М,2020-384(О)</t>
  </si>
  <si>
    <t>ТЕОРИЯ ОПЕРАТИВНО-РОЗЫСКНОЙ ДЕЯТЕЛЬНОСТИ, ИЗД.4</t>
  </si>
  <si>
    <t>Горяинов К.К., Овчинский В.С., Синилов Г.К.</t>
  </si>
  <si>
    <t>978-5-91768-809-1</t>
  </si>
  <si>
    <t>071200.26.01</t>
  </si>
  <si>
    <t>Теория оператив.-розыск. деят.: Уч. / Под ред. Горяинова К.К. - 5 изд. - М.:НИЦ ИНФРА-М,2026. - 795 с.(ВО)(П)</t>
  </si>
  <si>
    <t>Вагин О.А., Горяинов К.К., Земскова А.В. и др.</t>
  </si>
  <si>
    <t>978-5-16-019618-3</t>
  </si>
  <si>
    <t>244100.07.01</t>
  </si>
  <si>
    <t>Теория организации и орг. поведение: Уч.пос. / А.П.Балашов - М.:Вуз.уч., НИЦ ИНФРА-М,2024 - 304с.(П)</t>
  </si>
  <si>
    <t>ТЕОРИЯ ОРГАНИЗАЦИИ И ОРГАНИЗАЦИОННОЕ ПОВЕДЕНИЕ, ИЗД.1</t>
  </si>
  <si>
    <t>978-5-9558-0343-2</t>
  </si>
  <si>
    <t>38.03.01, 38.03.02, 38.03.03, 38.03.04, 38.04.02, 38.04.03, 38.04.04, 41.03.06, 44.03.05</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</si>
  <si>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080200-68 «Менеджмент» (квалификация (степень) «маги</t>
  </si>
  <si>
    <t>640190.06.01</t>
  </si>
  <si>
    <t>Теория организации и организ.деят.: моногр.тезаур.: Сл./ Л.А.Жигун- 2 изд.-М.:НИЦ ИНФРА-М,2023-240с.(п)</t>
  </si>
  <si>
    <t>ТЕОРИЯ ОРГАНИЗАЦИИ И ОРГАНИЗАЦИОННАЯ ДЕЯТЕЛЬНОСТЬ: МОНОГРАФИЯ ТЕЗАУРУСА, ИЗД.2</t>
  </si>
  <si>
    <t>Жигун Л.А.</t>
  </si>
  <si>
    <t>978-5-16-012625-8</t>
  </si>
  <si>
    <t>38.03.02, 38.03.04, 38.03.05, 38.03.06, 38.04.02, 38.04.03, 38.04.09, 38.05.01, 41.03.06</t>
  </si>
  <si>
    <t>144400.15.01</t>
  </si>
  <si>
    <t>Теория организации и организац. повед.: Уч.пос. / Ю.Н.Лапыгин, - 2 изд. - М.: ИНФРА-М,2026 - 360 с.(ВО)(П)</t>
  </si>
  <si>
    <t>ТЕОРИЯ ОРГАНИЗАЦИИ И ОРГАНИЗАЦИОННОЕ ПОВЕДЕНИЕ, ИЗД.2</t>
  </si>
  <si>
    <t>Лапыгин Ю.Н.</t>
  </si>
  <si>
    <t>978-5-16-012559-6</t>
  </si>
  <si>
    <t>38.03.02, 38.04.02, 38.04.03, 41.03.06, 44.03.05</t>
  </si>
  <si>
    <t>Допущено советом Учебно-методического объединения вузов России по образованию в области менеджмента в качестве учебного пособия по направлению подготовки 38.04.02 «Менеджмент»</t>
  </si>
  <si>
    <t>144400.06.98</t>
  </si>
  <si>
    <t>Теория организации и организац. поведение: Уч.пос. / Ю.Н.Лапыгин-М.:НИЦ ИНФРА-М,2017-329с.(ВО)(П)</t>
  </si>
  <si>
    <t>978-5-16-004495-8</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</si>
  <si>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"Менеджмент организации"</t>
  </si>
  <si>
    <t>177850.08.01</t>
  </si>
  <si>
    <t>Теория организации: Словарь / Л.А.Жигун-М.:НИЦ ИНФРА-М,2024.-116 с.(Б-ка малых сл."ИНФРА-М")(О)(О) [12+]</t>
  </si>
  <si>
    <t>ТЕОРИЯ ОРГАНИЗАЦИИ, ИЗД.1</t>
  </si>
  <si>
    <t>978-5-16-005242-7</t>
  </si>
  <si>
    <t>35.02.12, 38.03.02, 38.04.02, 38.04.08, 41.03.06, 44.03.05</t>
  </si>
  <si>
    <t>012000.30.01</t>
  </si>
  <si>
    <t>Теория организации: Уч. / Б.З.Мильнер - 8 изд. - М.:НИЦ ИНФРА-М,2026 - 848 с.(ВО: Бакалавр.)(П)</t>
  </si>
  <si>
    <t>ТЕОРИЯ ОРГАНИЗАЦИИ, ИЗД.8</t>
  </si>
  <si>
    <t>Мильнер Б. З.</t>
  </si>
  <si>
    <t>978-5-16-004700-3</t>
  </si>
  <si>
    <t>Рекомендовано Министерством образования РФ в качестве учебника для студентов высших учебных заведений, обучающихся по направлению 080200 "Менеджмент"</t>
  </si>
  <si>
    <t>0812</t>
  </si>
  <si>
    <t>420300.08.01</t>
  </si>
  <si>
    <t>Теория организации: Уч.пос. / А.П.Балашов-М.:Вузовский учебник, НИЦ ИНФРА-М,2024.-208 с.(п)</t>
  </si>
  <si>
    <t>978-5-9558-0288-6</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</si>
  <si>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080200 «Менеджмент», 081100 «Государственное и муниципальное управление» (квалификация (степень) — «бакалавр»)</t>
  </si>
  <si>
    <t>168050.09.01</t>
  </si>
  <si>
    <t>Теория организации: Уч.пос. / В.И.Подлесных. - 4 изд. - М.: НИЦ ИНФРА-М,2024 - 345 с.(ВО:Бакалавр.) (п)</t>
  </si>
  <si>
    <t>ТЕОРИЯ ОРГАНИЗАЦИИ, ИЗД.4</t>
  </si>
  <si>
    <t>Подлесных В. И., Кузнецов Н. В., Подлесных В. И.</t>
  </si>
  <si>
    <t>978-5-16-006013-2</t>
  </si>
  <si>
    <t>38.03.02, 38.03.04, 38.04.04</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</si>
  <si>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специальности 080507.65 «Менеджмент организации»</t>
  </si>
  <si>
    <t>078650.12.01</t>
  </si>
  <si>
    <t>Теория организаций: Уч. пос. / Ю.Н.Лапыгин - 2 изд. - М.:НИЦ ИНФРА-М,2025 - 324 с. - (ВО:Бакалавриат)(П)</t>
  </si>
  <si>
    <t>ТЕОРИЯ ОРГАНИЗАЦИЙ, ИЗД.2</t>
  </si>
  <si>
    <t>978-5-16-012296-0</t>
  </si>
  <si>
    <t>Допущено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обучающихся по направлению «Менеджмент»</t>
  </si>
  <si>
    <t>847406.05.01</t>
  </si>
  <si>
    <t>Теория очередей и машинное обучение: Моногр. / В.М.Вишневский - М.:НИЦ ИНФРА-М,2027. - 370 с: цв.ил.(п)</t>
  </si>
  <si>
    <t>ТЕОРИЯ ОЧЕРЕДЕЙ И МАШИННОЕ ОБУЧЕНИЕ, ИЗД.1</t>
  </si>
  <si>
    <t>Вишневский В.М., Ефросинин Д.В.</t>
  </si>
  <si>
    <t>978-5-16-020572-4</t>
  </si>
  <si>
    <t>01.03.01, 01.04.02, 01.06.01, 02.06.01, 09.04.01, 09.04.03, 09.06.01</t>
  </si>
  <si>
    <t>Конкурс Ассоциации книгоиздателей России "Лучшие книги года - 2023"-2025, Лауреат
Учебник года-2025, Лауреат</t>
  </si>
  <si>
    <t>150250.12.01</t>
  </si>
  <si>
    <t>Теория права и государства..: Уч.пос. / Е.Г.Лукьянова - М.:Юр. НОРМА, НИЦ ИНФРА-М,2026. - 208 с.(п)</t>
  </si>
  <si>
    <t>ТЕОРИЯ ПРАВА И ГОСУДАРСТВА. ВВЕДЕНИЕ В ЕСТЕСТВЕННО-ПРАВОВОЙ КУРС, ИЗД.1</t>
  </si>
  <si>
    <t>Лукьянова Е. Г.</t>
  </si>
  <si>
    <t>978-5-91768-163-4</t>
  </si>
  <si>
    <t>150250.07.01</t>
  </si>
  <si>
    <t>Теория права и государства..: Уч.пос. / Е.Г.Лукьянова - М.:Юр.Норма, ИНФРА-М Изд.Дом,2018.-208 с.(О)</t>
  </si>
  <si>
    <t>027480.19.01</t>
  </si>
  <si>
    <t>Теория права и государства: Краткий учебный курс / В.С.Нерсесянц - М.:НОРМА, ИНФРА-М,2026. - 272 с.(о)</t>
  </si>
  <si>
    <t>ТЕОРИЯ ПРАВА И ГОСУДАРСТВА, ИЗД.1</t>
  </si>
  <si>
    <t>978-5-89123-489-5</t>
  </si>
  <si>
    <t>408450.08.01</t>
  </si>
  <si>
    <t>Теория процессного управления: Монография / Ю.В.Ляндау-М.:НИЦ ИНФРА-М,2024.-118 с.(Науч.мысль)(о)</t>
  </si>
  <si>
    <t>ТЕОРИЯ ПРОЦЕССНОГО УПРАВЛЕНИЯ, ИЗД.1</t>
  </si>
  <si>
    <t>Ляндау Ю.В., Стасевич Д.И.</t>
  </si>
  <si>
    <t>978-5-16-006400-0</t>
  </si>
  <si>
    <t>38.03.02, 38.03.05, 38.04.02, 38.04.05</t>
  </si>
  <si>
    <t>340700.05.01</t>
  </si>
  <si>
    <t>Теория равновесий и регуляторов эк..:Уч.пос. / В.С.Гродский - М.: ИЦ РИОР,НИЦ ИНФРА-М,2025 - 195 с. (ВО:Магистр.)</t>
  </si>
  <si>
    <t>ТЕОРИЯ РАВНОВЕСИЙ И РЕГУЛЯТОРОВ ЭКОНОМИКИ, ИЗД.1</t>
  </si>
  <si>
    <t>978-5-369-01422-6</t>
  </si>
  <si>
    <t>38.04.01, 38.04.02, 38.06.01, 38.07.02</t>
  </si>
  <si>
    <t>408200.07.01</t>
  </si>
  <si>
    <t>Теория развития экономич. интересов объектов..: Моногр. / А.Ю.Баранова - М.:НИЦ ИНФРА-М,2022 - 150 с.(О)</t>
  </si>
  <si>
    <t>ТЕОРИЯ РАЗВИТИЯ ЭКОНОМИЧЕСКИХ ИНТЕРЕСОВ ОБЪЕКТОВ ТУРИЗМОЛОГИИ, ИЗД.1</t>
  </si>
  <si>
    <t>Баранова А.Ю.</t>
  </si>
  <si>
    <t>978-5-16-005757-6</t>
  </si>
  <si>
    <t>735735.01.01</t>
  </si>
  <si>
    <t>Теория разума: Монография / С.В.Борзых - М.:НИЦ ИНФРА-М,2021 - 228 с.-(Науч.мысль)(О)</t>
  </si>
  <si>
    <t>ТЕОРИЯ РАЗУМА, ИЗД.1</t>
  </si>
  <si>
    <t>978-5-16-016232-4</t>
  </si>
  <si>
    <t>647889.05.01</t>
  </si>
  <si>
    <t>Теория ресурсных сетей: Моногр. / Л.Ю.Жилякова - М.:ИЦ РИОР, НИЦ ИНФРА-М,2026. - 283 с.(Науч.мысль)(О)</t>
  </si>
  <si>
    <t>ТЕОРИЯ РЕСУРСНЫХ СЕТЕЙ, ИЗД.1</t>
  </si>
  <si>
    <t>Жилякова Л.Ю., Кузнецов О.П.</t>
  </si>
  <si>
    <t>978-5-369-01645-9</t>
  </si>
  <si>
    <t>01.03.04, 02.03.02, 09.03.03, 09.04.04, 10.04.01, 11.04.02, 27.03.05, 38.04.05</t>
  </si>
  <si>
    <t>Институт социально-экономических проблем народонаселения Российской академии наук</t>
  </si>
  <si>
    <t>274100.09.01</t>
  </si>
  <si>
    <t>Теория сестринского дела: Уч. / Н.Н.Камынина - 2 изд  - М.:НИЦ ИНФРА-М,2026 - 214 с.(ВО:Бакалавр.) (п)</t>
  </si>
  <si>
    <t>ТЕОРИЯ СЕСТРИНСКОГО ДЕЛА, ИЗД.2</t>
  </si>
  <si>
    <t>Камынина Н.Н., Островская И.В., Пьяных А.В.</t>
  </si>
  <si>
    <t>978-5-16-009579-0</t>
  </si>
  <si>
    <t>34.03.01</t>
  </si>
  <si>
    <t>Рекомендовано ГОУ ВПО "Московская медицинская академия им. ИМ. Сеченова" в качестве учебника для студентов высшего профессионального образования, обучающихся по специальности 060109.65 «Сестринское дело"</t>
  </si>
  <si>
    <t>705354.04.01</t>
  </si>
  <si>
    <t>Теория сестринского дела: Уч. / Н.Н.Камынина - 2 изд. - М.:НИЦ ИНФРА-М,2025. - 214 с.(СПО)(п)</t>
  </si>
  <si>
    <t>Камынина Н.Н., Островская И.В., Пьяных А.В. и др.</t>
  </si>
  <si>
    <t>978-5-16-015034-5</t>
  </si>
  <si>
    <t>31.02.01, 31.02.02, 34.01.01, 34.02.01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</si>
  <si>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34.02.00 «Сестринское дело» (протокол № 5 от 11.03.2019)</t>
  </si>
  <si>
    <t>214400.13.01</t>
  </si>
  <si>
    <t>Теория систем и системный анализ: Уч.пос. / А.М.Кориков - М.:НИЦ ИНФРА-М,2026 - 288 с.(ВО)(П)</t>
  </si>
  <si>
    <t>ТЕОРИЯ СИСТЕМ И СИСТЕМНЫЙ АНАЛИЗ, ИЗД.1</t>
  </si>
  <si>
    <t>Кориков А. М., Павлов С. Н.</t>
  </si>
  <si>
    <t>978-5-16-005770-5</t>
  </si>
  <si>
    <t>01.03.02, 01.04.02, 02.03.02, 03.03.02, 04.03.02, 09.03.03, 27.03.03, 27.04.03</t>
  </si>
  <si>
    <t>Рекомендовано Учебно-методическим объединением по образованию в области прикладной информатики в качестве учебного пособия для студентов высших учебных заведений, обучающихся по специальности 09.03.03 «Прикладная  информатика» (квалификация (степень) «бакалавр») и другим экономическим специальностям</t>
  </si>
  <si>
    <t>678061.03.01</t>
  </si>
  <si>
    <t>Теория социализма: Моногр. / В.С.Соловьев - М.:НИЦ ИНФРА-М,2023 - 609 с.(П)</t>
  </si>
  <si>
    <t>ТЕОРИЯ СОЦИАЛИЗМА, ИЗД.1</t>
  </si>
  <si>
    <t>Соловьев В.С.</t>
  </si>
  <si>
    <t>978-5-16-014349-1</t>
  </si>
  <si>
    <t>38.04.01, 38.04.04, 38.06.01, 39.04.01, 41.04.04</t>
  </si>
  <si>
    <t>330500.05.01</t>
  </si>
  <si>
    <t>Теория социального управления в высшей школе: монография / Р.В.Леньков-М.:НИЦ ИНФРА-М,2018.-91 с..-(Науч.мысль)(о)</t>
  </si>
  <si>
    <t>ТЕОРИЯ СОЦИАЛЬНОГО УПРАВЛЕНИЯ В ВЫСШЕЙ ШКОЛЕ, ИЗД.1</t>
  </si>
  <si>
    <t>978-5-16-010609-0</t>
  </si>
  <si>
    <t>39.03.01, 39.04.01, 39.04.02, 39.04.03</t>
  </si>
  <si>
    <t>800292.02.01</t>
  </si>
  <si>
    <t>Теория социальных регуляторов: Моногр. / Под ред. Перфильевой М.Б. - М.:НИЦ ИНФРА-М,2026. - 241 с.(п)</t>
  </si>
  <si>
    <t>ТЕОРИЯ СОЦИАЛЬНЫХ РЕГУЛЯТОРОВ, ИЗД.1</t>
  </si>
  <si>
    <t>Захаров Н.Л., Перфильева М.Б.</t>
  </si>
  <si>
    <t>978-5-16-019447-9</t>
  </si>
  <si>
    <t>015495.21.01</t>
  </si>
  <si>
    <t>Теория статистики: Практикум / Г.Л.Громыко - 5 изд. - М.:НИЦ ИНФРА-М,2025 - 238 с.(ВО)(п)</t>
  </si>
  <si>
    <t>ТЕОРИЯ СТАТИСТИКИ, ИЗД.5</t>
  </si>
  <si>
    <t>Громыко Г. Л.</t>
  </si>
  <si>
    <t>978-5-16-019075-4</t>
  </si>
  <si>
    <t>38.03.01, 38.03.02, 38.03.04, 38.03.05, 38.03.06, 38.03.10, 38.04.08</t>
  </si>
  <si>
    <t>Рекомендовано Учебно-методическим объединением по классическому университетскому образованию в качестве учебного пособия по дисциплине федерального компонента для студентов высших учебных заведений, обучающихся по направлению подготовки 38.03.01 «Экономика»</t>
  </si>
  <si>
    <t>024500.14.01</t>
  </si>
  <si>
    <t>Теория статистики: Уч. / Под ред. Громыко Г.Л. - 3 изд.-М.:НИЦ ИНФРА-М,2018-476 с.-(ВО:Бакалавр.)(П)</t>
  </si>
  <si>
    <t>ТЕОРИЯ СТАТИСТИКИ, ИЗД.3</t>
  </si>
  <si>
    <t>Громыко Г.Л.</t>
  </si>
  <si>
    <t>978-5-16-004857-4</t>
  </si>
  <si>
    <t>38.03.01, 38.03.02, 38.03.05, 38.03.06, 38.03.07, 38.04.01, 38.04.02, 38.04.05, 38.04.06, 38.04.07, 38.04.08, 38.04.09, 39.03.03, 41.03.06</t>
  </si>
  <si>
    <t>024500.22.01</t>
  </si>
  <si>
    <t>Теория статистики: Уч. / Под ред. Громыко Г.Л. - 4 изд. - М.:НИЦ ИНФРА-М,2026 - 465 с.-(ВО)(п)</t>
  </si>
  <si>
    <t>ТЕОРИЯ СТАТИСТИКИ, ИЗД.4</t>
  </si>
  <si>
    <t>Громыко Г.Л., Воробьев А.Н., Иванов Ю.Н. и др.</t>
  </si>
  <si>
    <t>978-5-16-019084-6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</si>
  <si>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10 от 27.05.2019)</t>
  </si>
  <si>
    <t>874470.01.01</t>
  </si>
  <si>
    <t>Теория субъективного правосознания. Гражд. правосознание: Моногр. / В.Е.Карнушин - М.:НИЦ ИНФРА-М,2027. - 245 с.(п)</t>
  </si>
  <si>
    <t>ТЕОРИЯ СУБЪЕКТИВНОГО ПРАВОСОЗНАНИЯ. ГРАЖДАНСКОЕ ПРАВОСОЗНАНИЕ, ИЗД.1</t>
  </si>
  <si>
    <t>Карнушин В.Е.</t>
  </si>
  <si>
    <t>978-5-16-022011-6</t>
  </si>
  <si>
    <t>Всероссийский государственный университет юстиции (РПА Минюста России), Ростовский ф-л</t>
  </si>
  <si>
    <t>109800.19.01</t>
  </si>
  <si>
    <t>Теория суд. эксперт. (Суд.эксперт..): Уч. /Е.Р.Россинская - 2 изд. - М.:Юр.Норма, НИЦ ИНФРА-М, 2026 - 368 с. (П)</t>
  </si>
  <si>
    <t>ТЕОРИЯ СУДЕБНОЙ ЭКСПЕРТИЗЫ (СУДЕБНАЯ ЭКСПЕРТОЛОГИЯ), ИЗД.2</t>
  </si>
  <si>
    <t>РоссинскаяЕ.Р., ГаляшинаЕ.И., ЗининА.М. и др.</t>
  </si>
  <si>
    <t>978-5-91768-716-2</t>
  </si>
  <si>
    <t>Рекомендовано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«Судебная экспертиза», квалификация «судебный эксперт»</t>
  </si>
  <si>
    <t>648467.05.01</t>
  </si>
  <si>
    <t>Теория судебного права и орг. судеб. сис.: Уч. / Под ред. Клишас А.А.-М.:НИЦ ИНФРА-М,2024.-312 с.(ВО)(п)</t>
  </si>
  <si>
    <t>ТЕОРИЯ СУДЕБНОГО ПРАВА И ОРГАНИЗАЦИИ СУДЕБНЫХ СИСТЕМ, ИЗД.1</t>
  </si>
  <si>
    <t>Клишас А.А., Гребенников В.В., Грудцына Л.Ю. и др.</t>
  </si>
  <si>
    <t>978-5-16-012737-8</t>
  </si>
  <si>
    <t>705523.01.01</t>
  </si>
  <si>
    <t>Теория текста: нарративное конструирование: Уч.пос. / М.И.Тарасов - М.:НИЦ ИНФРА-М,2025. - 378 с.(ВО)(п)</t>
  </si>
  <si>
    <t>ТЕОРИЯ ТЕКСТА: НАРРАТИВНОЕ КОНСТРУИРОВАНИЕ, ИЗД.1</t>
  </si>
  <si>
    <t>978-5-16-016504-2</t>
  </si>
  <si>
    <t>00.03.09, 45.03.01</t>
  </si>
  <si>
    <t>682655.01.01</t>
  </si>
  <si>
    <t>Теория технологического потока: Уч. / В.А.Панфилов, - 3 изд.-М.:НИЦ ИНФРА-М,2019.-320с(ВО: Спец.)(П)</t>
  </si>
  <si>
    <t>ТЕОРИЯ ТЕХНОЛОГИЧЕСКОГО ПОТОКА, ИЗД.3</t>
  </si>
  <si>
    <t>Панфилов В.А.</t>
  </si>
  <si>
    <t>978-5-16-013844-2</t>
  </si>
  <si>
    <t>Рекомендовано Министерством образования и науки Российской Федерации в качестве учебного пособия для студентов высших учебных заведений, обучающихся по направлению подготовки дипломированных специалистов «Пищевая инженерия»</t>
  </si>
  <si>
    <t>822817.01.01</t>
  </si>
  <si>
    <t>Теория транспозиционной грамматики рус. яз. / В.В.Шигуров - М.:НИЦ ИНФРА-М,2025. - 1063 с.(п)</t>
  </si>
  <si>
    <t>ТЕОРИЯ ТРАНСПОЗИЦИОННОЙ ГРАММАТИКИ РУССКОГО ЯЗЫКА:, ИЗД.1</t>
  </si>
  <si>
    <t>Шигуров В.В.</t>
  </si>
  <si>
    <t>978-5-16-020847-3</t>
  </si>
  <si>
    <t>489800.05.01</t>
  </si>
  <si>
    <t>Теория управления в пример. и задачах: Уч.пос. / А.В.Пантелеев-2 изд.-М.:НИЦ ИНФРА-М,2020-584с(ВО)(П)</t>
  </si>
  <si>
    <t>ТЕОРИЯ УПРАВЛЕНИЯ В ПРИМЕРАХ И ЗАДАЧАХ, ИЗД.2</t>
  </si>
  <si>
    <t>Пантелеев А.В., Бортаковский А.С.</t>
  </si>
  <si>
    <t>978-5-16-011862-8</t>
  </si>
  <si>
    <t>644160.05.01</t>
  </si>
  <si>
    <t>Теория управления: Уч. / Н.Б.Костина и др. - М.:НИЦ ИНФРА-М,2023 - 252 с.-(ВО: Бакалавриат)(П)</t>
  </si>
  <si>
    <t>ТЕОРИЯ УПРАВЛЕНИЯ, ИЗД.1</t>
  </si>
  <si>
    <t>Костина Н.Б., Дуран Т.В., Калугина Д.А.</t>
  </si>
  <si>
    <t>978-5-16-012629-6</t>
  </si>
  <si>
    <t>38.03.04, 39.03.01, 41.03.04, 41.03.06</t>
  </si>
  <si>
    <t>Рекомендовано в качестве учебника для студентов высших учебных заведений, обучающихся по направлениям подготовки 38.03.04 «Государственное  и муниципальное управление», 38.03.02 «Менеджмент» (квалификация (степень) «бакалавр»)</t>
  </si>
  <si>
    <t>686648.03.01</t>
  </si>
  <si>
    <t>Теория управления: Уч.пос. / Е.П.Тавокин - М.:НИЦ ИНФРА-М,2025 - 202 с.(ВО: Бакалавр.)(П)</t>
  </si>
  <si>
    <t>978-5-16-014220-3</t>
  </si>
  <si>
    <t>37.04.02, 38.03.02, 38.03.04, 38.04.02, 38.04.03, 38.04.04, 39.03.02, 39.04.02, 39.04.03, 41.03.06, 43.03.01, 43.03.02, 43.03.03, 44.03.05</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</si>
  <si>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направлениям подготовки 38.03.02 «Менеджмент», 38.03.04 «Государственное и муниципальное управление», 38.03.03 «Управление персоналом»</t>
  </si>
  <si>
    <t>33</t>
  </si>
  <si>
    <t>057390.17.01</t>
  </si>
  <si>
    <t>Теория управления: Уч.пос. / Л.А.Бурганова, - 3 изд.-М.:НИЦ ИНФРА-М,2024.-160 с.(ВО: Бакалавр.)(О)</t>
  </si>
  <si>
    <t>ТЕОРИЯ УПРАВЛЕНИЯ, ИЗД.3</t>
  </si>
  <si>
    <t>Бурганова Л. А.</t>
  </si>
  <si>
    <t>978-5-16-005576-3</t>
  </si>
  <si>
    <t>04.03.02, 07.03.03, 19.03.04, 23.03.01, 27.03.02, 29.03.02, 35.03.03, 35.03.04, 35.03.09, 36.03.02, 38.03.01, 38.03.02, 38.03.04, 38.04.01, 38.04.02, 38.04.04, 41.03.06, 42.03.01, 44.03.05, 45.03.01, 45.03.03, 51.03.01, 51.03.04, 52.03.01</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</si>
  <si>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"Государственное и муниципальное управление"</t>
  </si>
  <si>
    <t>481150.11.01</t>
  </si>
  <si>
    <t>Теория функций комплексного переменного: Уч. / Е.С.Половинкин - 2 изд. - М.:НИЦ ИНФРА-М,2026 - 253 с.(ВО)(П)</t>
  </si>
  <si>
    <t>ТЕОРИЯ ФУНКЦИЙ КОМПЛЕКСНОГО ПЕРЕМЕННОГО, ИЗД.2</t>
  </si>
  <si>
    <t>Половинкин Е.С.</t>
  </si>
  <si>
    <t>978-5-16-021629-4</t>
  </si>
  <si>
    <t>03.03.01, 24.03.01, 24.03.02, 24.03.03, 24.03.04, 24.03.05</t>
  </si>
  <si>
    <t>Рекомендовано Учебно-методическим советом  высших учебных заведений Российской Федерации по образованию в области авиации, ракетостроения и космоса в качестве учебника для студентов высших технических учебных заведений</t>
  </si>
  <si>
    <t>481150.06.01</t>
  </si>
  <si>
    <t>Теория функций комплексного переменного: Уч. / Е.С.Половинкин-М.:НИЦ ИНФРА - М,2022-254с(ВО:Бак.)(П)</t>
  </si>
  <si>
    <t>ТЕОРИЯ ФУНКЦИЙ КОМПЛЕКСНОГО ПЕРЕМЕННОГО, ИЗД.1</t>
  </si>
  <si>
    <t>978-5-16-013608-0</t>
  </si>
  <si>
    <t>719251.01.01</t>
  </si>
  <si>
    <t>Теория функций комплексной переменной и операц. исчисление: Уч.пос. / Е.А.Коган-М.:НИЦ ИНФРА-М,2020.-180 с.(ВО)(П)</t>
  </si>
  <si>
    <t>ТЕОРИЯ ФУНКЦИЙ КОМПЛЕКСНОЙ ПЕРЕМЕННОЙ И ОПЕРАЦИОННОЕ ИСЧИСЛЕНИЕ, ИЗД.1</t>
  </si>
  <si>
    <t>Коган Е.А., Жукова Г.С.</t>
  </si>
  <si>
    <t>978-5-16-015816-7</t>
  </si>
  <si>
    <t>01.03.01, 01.03.02, 01.03.04, 02.03.01, 04.03.02, 09.03.01, 10.05.03, 15.03.01, 15.03.03, 15.03.04, 27.03.04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</si>
  <si>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01.03.02 «Прикладная математика и информатика», 15.03.03 «Прикладная механика», 15.03.01 «Машиностроение» (квалификация (степень) «бакалавр») (протокол № 18 от 25.11.2019)</t>
  </si>
  <si>
    <t>653166.05.01</t>
  </si>
  <si>
    <t>Теория цифрового компьютера: Уч.пос. / А.Б.Барский - М.:ИД ФОРУМ, НИЦ ИНФРА-М,2027 - 304 с.(П)</t>
  </si>
  <si>
    <t>ТЕОРИЯ ЦИФРОВОГО КОМПЬЮТЕРА, ИЗД.1</t>
  </si>
  <si>
    <t>Барский А.Б., Шилов В.В.</t>
  </si>
  <si>
    <t>978-5-8199-0774-0</t>
  </si>
  <si>
    <t>09.03.01, 09.03.02, 09.03.03, 09.03.04, 09.04.01, 09.04.02, 09.04.03, 09.04.04, 27.03.04, 38.03.05, 38.04.05</t>
  </si>
  <si>
    <t>Рекомендовано в качестве учебного пособия для студентов высших учебных заведений, обучающихся по направлениям подготовки 09.03.01 «Информатика и вычислительная техника», 09.03.02 «Информационные системы и технологии», 38.03.05 «Бизнес-информатика» (квалификация (степень) «бакалавр»)</t>
  </si>
  <si>
    <t>038500.14.01</t>
  </si>
  <si>
    <t>Теория экономического анализа: Уч. / А.Д.Шеремет, - 4 изд. - М.:НИЦ ИНФРА-М,2024 - 389 с.-(ВО)(П)</t>
  </si>
  <si>
    <t>ТЕОРИЯ ЭКОНОМИЧЕСКОГО АНАЛИЗА, ИЗД.4</t>
  </si>
  <si>
    <t>Шеремет А.Д., Хорин А.Н.</t>
  </si>
  <si>
    <t>978-5-16-014626-3</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</si>
  <si>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направлению подготовки «Экономика»</t>
  </si>
  <si>
    <t>476900.07.01</t>
  </si>
  <si>
    <t>Теория экономического анализа: Уч. / В.А.Бирюков - 4 изд. - М.:НИЦ ИНФРА-М,2022 - 462 с.(ВО)(П)</t>
  </si>
  <si>
    <t>Бирюков В.А., Шаронин П.Н.</t>
  </si>
  <si>
    <t>978-5-16-015755-9</t>
  </si>
  <si>
    <t>Рекомендуется федеральным государственным бюджетным образовательным учреждением высшего образования «Государственный университет управления» в качестве учебника к использованию в образовательных учреждениях, реализующих образовательные программы высшего образования по направлению подготовки 38.03.01 «Экономика», по дисциплине «Теория экономического анализа» (регистрационный номер рецензии 1518 от 15.09.2011, МГУП)</t>
  </si>
  <si>
    <t>476900.09.01</t>
  </si>
  <si>
    <t>Теория экономического анализа: Уч. / В.А.Бирюков - 5 изд. - М.:НИЦ ИНФРА-М,2025 - 503 с.(ВО.Бакалавр.)(П)</t>
  </si>
  <si>
    <t>ТЕОРИЯ ЭКОНОМИЧЕСКОГО АНАЛИЗА, ИЗД.5</t>
  </si>
  <si>
    <t>978-5-16-017404-4</t>
  </si>
  <si>
    <t>476900.04.01</t>
  </si>
  <si>
    <t>Теория экономического анализа: Уч. / В.А.Бирюков, - 3 изд.- М.:НИЦ ИНФРА-М,2018.-449 с..-(ВО)(П)</t>
  </si>
  <si>
    <t>ТЕОРИЯ ЭКОНОМИЧЕСКОГО АНАЛИЗА, ИЗД.3</t>
  </si>
  <si>
    <t>978-5-16-013512-0</t>
  </si>
  <si>
    <t>Рекомендуется федеральным государственным бюджетным образовательным учреждением высшего образования «Государственный университет управления» в качестве учебника к использованию в образовательных учреждениях,  реализующих образовательные программы высшего образования по направлению подготовки 38.03.01 «Экономика», по дисциплине «Теория экономического анализа»</t>
  </si>
  <si>
    <t>027873.18.01</t>
  </si>
  <si>
    <t>Теория экономического анализа: Уч.пос. / Л.Е.Басовский-М.:НИЦ ИНФРА-М,2024.-222 с.(ВО: Бакалавриат)(о)</t>
  </si>
  <si>
    <t>ТЕОРИЯ ЭКОНОМИЧЕСКОГО АНАЛИЗА, ИЗД.1</t>
  </si>
  <si>
    <t>978-5-16-000293-4</t>
  </si>
  <si>
    <t>18.04.01, 38.03.01, 43.04.01, 44.03.05</t>
  </si>
  <si>
    <t>065900.13.01</t>
  </si>
  <si>
    <t>Теория экономического анализа: Уч.пос. / Под ред. Р.П.Казаковой - НИЦ ИНФРА-М,2026 - 238 с.(ВО)(О)</t>
  </si>
  <si>
    <t>Быстров О.Ф., Казаков С.В., Казакова Р.П. и др.</t>
  </si>
  <si>
    <t>978-5-16-003838-4</t>
  </si>
  <si>
    <t>Рекомендуется в качестве учебного пособия для студентов экономических вузов, обучающихся по специальностям 080105 «финансы и кредит". 080109 «Бухгалтерский учет, анализ и аудит», 080502 "Экономика и управление на предприятии»</t>
  </si>
  <si>
    <t>408600.07.01</t>
  </si>
  <si>
    <t>Теория эксплуатационных свойств автомобиля: Уч. пос. / Н.А.Кузьмин - Форум: НИЦ Инфра-М, 2025 - 256 с.(ВО) (п)</t>
  </si>
  <si>
    <t>ТЕОРИЯ ЭКСПЛУАТАЦИОННЫХ СВОЙСТВ АВТОМОБИЛЯ, ИЗД.1</t>
  </si>
  <si>
    <t>978-5-91134-687-4</t>
  </si>
  <si>
    <t>23.03.02, 23.03.03, 23.04.01, 23.04.02, 23.04.03</t>
  </si>
  <si>
    <t>776822.04.01</t>
  </si>
  <si>
    <t>Теория электрич. цепей и электромагнит. поля: Сб. задач: Уч.пос. / Л.П.Гаврилов - М.:НИЦ ИНФРА-М,2027. - 181 с.(ВО)(п)</t>
  </si>
  <si>
    <t>ТЕОРИЯ ЭЛЕКТРИЧЕСКИХ ЦЕПЕЙ И ЭЛЕКТРОМАГНИТНОГО ПОЛЯ: СБОРНИК ЗАДАЧ, ИЗД.1</t>
  </si>
  <si>
    <t>978-5-16-017774-8</t>
  </si>
  <si>
    <t>10.05.02, 11.03.02, 11.05.02, 13.03.02, 13.04.02</t>
  </si>
  <si>
    <t>811541.02.01</t>
  </si>
  <si>
    <t>Теория электрич. цепей и электромагнит. поля: Сб. задач: Уч.пос. / Л.П.Гаврилов - М.:НИЦ ИНФРА-М,2027. - 181 с.(СПО)(п)</t>
  </si>
  <si>
    <t>978-5-16-018972-7</t>
  </si>
  <si>
    <t>10.02.04, 11.02.06, 11.02.09, 11.02.11, 11.02.15, 11.02.16, 11.02.18, 11.02.19, 13.02.07, 13.02.09, 13.02.13, 15.02.03, 15.02.06, 15.02.17</t>
  </si>
  <si>
    <t>423050.09.01</t>
  </si>
  <si>
    <t>Теория электрических цепей: Уч. пос. / В.И.Никулин. - М.:ИЦ РИОР:НИЦ ИНФРА-М,2025 - 240 с. (ВО:Бакалавр.) (п)</t>
  </si>
  <si>
    <t>ТЕОРИЯ ЭЛЕКТРИЧЕСКИХ ЦЕПЕЙ, ИЗД.1</t>
  </si>
  <si>
    <t>Никулин В. И.</t>
  </si>
  <si>
    <t>978-5-369-01179-9</t>
  </si>
  <si>
    <t>11.03.01, 11.03.02, 11.04.02</t>
  </si>
  <si>
    <t>Рекомендовано УМО по образованию в области инфокоммуникационных технологий и систем связи в качестве учебного пособия для студентов высших учебных заведений, обучающихся по направлению подготовки 210700 «Инфокоммуникационные технологии и системы связ</t>
  </si>
  <si>
    <t>451400.04.01</t>
  </si>
  <si>
    <t>Теория электрической связи: Уч. / Л.Л.Клюев - М.:НИЦ ИНФРА-М,2025. - 447 с.(ВО)(П)</t>
  </si>
  <si>
    <t>ТЕОРИЯ ЭЛЕКТРИЧЕСКОЙ СВЯЗИ, ИЗД.1</t>
  </si>
  <si>
    <t>Клюев Л.Л.</t>
  </si>
  <si>
    <t>978-5-16-011447-7</t>
  </si>
  <si>
    <t>09.03.01, 09.03.02, 09.03.03, 09.03.04, 09.04.01, 09.04.02, 09.04.03, 09.04.04, 10.05.02</t>
  </si>
  <si>
    <t>Утверждено Министерством образования Республики Беларусь в качестве учебника для студентов учреждений высшего образования по специальностям «Инфокоммуникационные технологии (по направлениям)», «Инфокоммуникационные системы», «Защита информации в телекоммуникациях»</t>
  </si>
  <si>
    <t>272200.10.01</t>
  </si>
  <si>
    <t>Теория электропривода: Уч. / Г.Б.Онищенко - М.:НИЦ ИНФРА-М,2026 - 294 с.(ВО: Бакалавриат)(П)</t>
  </si>
  <si>
    <t>ТЕОРИЯ ЭЛЕКТРОПРИВОДА, ИЗД.1</t>
  </si>
  <si>
    <t>Г.Б.Онищенко</t>
  </si>
  <si>
    <t>978-5-16-009674-2</t>
  </si>
  <si>
    <t>467750.08.01</t>
  </si>
  <si>
    <t>Теория эффективности экономики: Моногр./О.С.Сухарев - 2 изд. - М:КУРС: ИНФРА-М,2024-368с. (Наука) (о)</t>
  </si>
  <si>
    <t>ТЕОРИЯ ЭФФЕКТИВНОСТИ ЭКОНОМИКИ, ИЗД.2</t>
  </si>
  <si>
    <t>Сухарев О. С.</t>
  </si>
  <si>
    <t>978-5-905554-58-2</t>
  </si>
  <si>
    <t>759883.01.01</t>
  </si>
  <si>
    <t>Теория, методология и практика регионал. стратегич. планир.: Моногр. / О.И.Бабина-М.:НИЦ ИНФРА-М,2022.-122 с.(О)</t>
  </si>
  <si>
    <t>ТЕОРИЯ, МЕТОДОЛОГИЯ И ПРАКТИКА РЕГИОНАЛЬНОГО СТРАТЕГИЧЕСКОГО ПЛАНИРОВАНИЯ, ИЗД.1</t>
  </si>
  <si>
    <t>Бабина О.И.</t>
  </si>
  <si>
    <t>978-5-16-017101-2</t>
  </si>
  <si>
    <t>717574.04.01</t>
  </si>
  <si>
    <t>Теория, электронная структура и физикохимия...: Моногр. / Под ред. Сигова А.С. - М.:НИЦ ИНФРА-М,2027 - 370 с.(О)</t>
  </si>
  <si>
    <t>ТЕОРИЯ, ЭЛЕКТРОННАЯ СТРУКТУРА И ФИЗИКОХИМИЯ МАТЕРИАЛОВ КАТОДОВ СВЧ ПРИБОРОВ, ИЗД.1</t>
  </si>
  <si>
    <t>Капустин В.И., Ли И.П., Сигов А.С.</t>
  </si>
  <si>
    <t>978-5-16-015560-9</t>
  </si>
  <si>
    <t>11.04.03, 12.04.01, 16.04.01</t>
  </si>
  <si>
    <t>744297.01.01</t>
  </si>
  <si>
    <t>Тепловизионная скрининг-диагностика. Болезни молочной железы. Атлас термограмм: атлас / И.М.Долгов и др.-М.:НИЦ ИНФРА-М,2020.-150 с.(П)</t>
  </si>
  <si>
    <t>ТЕПЛОВИЗИОННАЯ СКРИНИНГ-ДИАГНОСТИКА. БОЛЕЗНИ МОЛОЧНОЙ ЖЕЛЕЗЫ, ИЗД.1</t>
  </si>
  <si>
    <t>Долгов И.М., Воловик М.Г., Муравина Н.Л.</t>
  </si>
  <si>
    <t>978-5-16-016491-5</t>
  </si>
  <si>
    <t>Атлас</t>
  </si>
  <si>
    <t>31.05.01, 31.05.02, 31.08.01, 32.05.01</t>
  </si>
  <si>
    <t>744299.01.01</t>
  </si>
  <si>
    <t>Тепловизионная скрининг-диагностика. Болезни системы кровообращения. Варикозное расширение вен. Атлас термограмм -М.:НИЦ ИНФРА-М,2020.-91 с.(П) -цв</t>
  </si>
  <si>
    <t>ТЕПЛОВИЗИОННАЯ СКРИНИНГ-ДИАГНОСТИКА. БОЛЕЗНИ СИСТЕМЫ КРОВООБРАЩЕНИЯ. ВАРИКОЗНОЕ РАСШИРЕНИЕ ВЕН НИЖНИХ КОНЕЧНОСТЕЙ. ФЛЕБИТ. ТРОМБОФЛЕБИТ, ИЗД.1</t>
  </si>
  <si>
    <t>Воловик М.Г., Долгов И.М., Муравина Н.Л.</t>
  </si>
  <si>
    <t>978-5-16-016492-2</t>
  </si>
  <si>
    <t>31.02.01, 31.05.01, 31.05.02, 31.06.01, 31.07.01, 31.08.01, 31.08.05, 32.04.01, 32.05.01</t>
  </si>
  <si>
    <t>744298.01.01</t>
  </si>
  <si>
    <t>Тепловизионная скрининг-диагностика. Болезни щитовидной железы. Атлас термограмм: атлас / И.М.Долгов-М.:НИЦ ИНФРА-М,2020.-51 с.(П)</t>
  </si>
  <si>
    <t>ТЕПЛОВИЗИОННАЯ СКРИНИНГ-ДИАГНОСТИКА. БОЛЕЗНИ ЩИТОВИДНОЙ ЖЕЛЕЗЫ, ИЗД.1</t>
  </si>
  <si>
    <t>Долгов И.М., Воловик М.Г.</t>
  </si>
  <si>
    <t>978-5-16-016490-8</t>
  </si>
  <si>
    <t>31.05.01, 31.05.02, 31.08.53, 32.04.01, 32.05.01</t>
  </si>
  <si>
    <t>186300.15.01</t>
  </si>
  <si>
    <t>Тепловые электрич. станции. Схемы и оборуд.: Уч.пос. / А.А.Кудинов - М.:НИЦ ИНФРА-М,2026 - 325 с.(ВО)(п)</t>
  </si>
  <si>
    <t>ТЕПЛОВЫЕ ЭЛЕКТРИЧЕСКИЕ СТАНЦИИ. СХЕМЫ И ОБОРУДОВАНИЕ, ИЗД.1</t>
  </si>
  <si>
    <t>978-5-16-019521-6</t>
  </si>
  <si>
    <t>13.02.05, 13.03.01, 13.03.02, 13.04.01</t>
  </si>
  <si>
    <t>Допущено УМО вузов России по обр. в области энергетики и электротехники в качестве уч.пос. для студентов ВУЗов, обучающихся по напр. подготовки 140100 "Теплоэнергетика и теплотехника"</t>
  </si>
  <si>
    <t>047370.18.01</t>
  </si>
  <si>
    <t>Теплоизоляционные материалы и конструкции: Уч. / Ю.Л.Бобров -  2 изд. - М.:ИНФРА-М,2026 - 266 с.(СПО)(П)</t>
  </si>
  <si>
    <t>ТЕПЛОИЗОЛЯЦИОННЫЕ МАТЕРИАЛЫ И КОНСТРУКЦИИ, ИЗД.2</t>
  </si>
  <si>
    <t>Бобров Ю. Л., Овчаренко Е. Г., Шойхет Б. М., Петухова Е. Ю.</t>
  </si>
  <si>
    <t>978-5-16-004089-9</t>
  </si>
  <si>
    <t>08.02.01, 08.02.02, 08.02.03, 08.02.04, 08.02.08, 08.02.09, 08.02.12, 08.02.13, 15.01.18, 23.02.08</t>
  </si>
  <si>
    <t>Допущено Гос. комитетом РФ по строительству и жилищно-коммунальному комплексу в кач. учеб. для студ. сред. спец. учеб. зав., обуч. по спец. 2902 "Строительство и эксплуатация зданий и сооружений" и 2508 "Производство тугоплавких и силикат. материал."</t>
  </si>
  <si>
    <t>308900.06.01</t>
  </si>
  <si>
    <t>Теплоизоляционные, кровельные...: Уч.-метод. пос. / В.Н.Черноиван - М:ИНФРА-М, 2026 - 272с.(П)</t>
  </si>
  <si>
    <t>ТЕПЛОИЗОЛЯЦИОННЫЕ, КРОВЕЛЬНЫЕ И ОТДЕЛОЧНЫЕ РАБОТЫ, ИЗД.1</t>
  </si>
  <si>
    <t>978-5-16-010303-7</t>
  </si>
  <si>
    <t>174800.12.01</t>
  </si>
  <si>
    <t>Тепломассообмен: Уч. / О.Н.Брюханов - М.:НИЦ ИНФРА-М,2025 - 464 с.-(ВО)(п)</t>
  </si>
  <si>
    <t>ТЕПЛОМАССООБМЕН, ИЗД.1</t>
  </si>
  <si>
    <t>Брюханов О.Н., Шевченко С.Н.</t>
  </si>
  <si>
    <t>978-5-16-004803-1</t>
  </si>
  <si>
    <t>03.03.02, 03.04.02, 04.04.02, 08.03.01, 13.03.01, 13.04.01</t>
  </si>
  <si>
    <t>Рекомендовано УМО РФ по образованию в области строительства в качестве учебного пособия для студентов, обучающихся по направлению "Строительство"</t>
  </si>
  <si>
    <t>161050.09.01</t>
  </si>
  <si>
    <t>Тепломассообмен: Уч.пос. / А.А.Кудинов - М.:НИЦ ИНФРА-М,2022 - 375 с.-(ВО: Бакалавриат)</t>
  </si>
  <si>
    <t>978-5-16-009965-1</t>
  </si>
  <si>
    <t>13.03.01, 13.04.01, 15.03.04, 15.04.04, 27.03.04, 27.04.04</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</si>
  <si>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140100 - "Теплоэнергетика и теплотехника"</t>
  </si>
  <si>
    <t>161050.11.01</t>
  </si>
  <si>
    <t>Тепломассообмен: Уч.пос. / А.А.Кудинов - М.:НИЦ ИНФРА-М,2027 - 375 с. (ВО:Бакалавр.)(п)</t>
  </si>
  <si>
    <t>978-5-16-011093-6</t>
  </si>
  <si>
    <t>631733.05.01</t>
  </si>
  <si>
    <t>Тепломассообменные процессы и оборуд..: Уч.пос. / Л.И.Жмакин - М.:НИЦ ИНФРА-М,2025 - 295 с.(ВО)(П)</t>
  </si>
  <si>
    <t>ТЕПЛОМАССООБМЕННЫЕ ПРОЦЕССЫ И ОБОРУДОВАНИЕ В ЛЕГКОЙ И ТЕКСТИЛЬНОЙ ПРОМЫШЛЕННОСТИ, ИЗД.1</t>
  </si>
  <si>
    <t>Жмакин Л.И.</t>
  </si>
  <si>
    <t>978-5-16-011953-3</t>
  </si>
  <si>
    <t>13.03.01, 29.03.01, 29.03.03</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</si>
  <si>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направлениям подготовки бакалавров 29.03.02 «Технологии и проектирование текстильных изделий», 29.03.03 «Технология полиграфического и упаковочного производства», 29.03.05 «Конструирование изделий легкой промышленности»</t>
  </si>
  <si>
    <t>842761.02.01</t>
  </si>
  <si>
    <t>Теплопередача и теплообменные аппараты: уч. / К.Ю.Федоровский - М.:НИЦ ИНФРА-М,2026. - 214 с.[цв].-(ВО)(п)</t>
  </si>
  <si>
    <t>ТЕПЛОПЕРЕДАЧА И ТЕПЛООБМЕННЫЕ АППАРАТЫ, ИЗД.1</t>
  </si>
  <si>
    <t>Федоровский К.Ю., Гриненко Н.К.</t>
  </si>
  <si>
    <t>978-5-16-020382-9</t>
  </si>
  <si>
    <t>15.03.03, 21.03.01, 21.05.06, 23.03.02, 23.05.01, 23.05.02, 26.05.02, 26.05.06</t>
  </si>
  <si>
    <t>675003.03.01</t>
  </si>
  <si>
    <t>Теплопередача: Уч. пос.: В 2 ч.Ч.1: Основы теории... / Чередниченко В.С.-М.:НИЦ ИНФРА-М,2024-221 с(ВО)(о)</t>
  </si>
  <si>
    <t>ТЕПЛОПЕРЕДАЧА. В 2 ЧАСТЯХ .ЧАСТЬ 1. ОСНОВЫ ТЕОРИИ ТЕПЛОПЕРЕДАЧИ, Т.1</t>
  </si>
  <si>
    <t>Чередниченко В.С., Синицын В.А., Алиферов А.И. и др.</t>
  </si>
  <si>
    <t>978-5-16-018987-1</t>
  </si>
  <si>
    <t>11.03.03, 13.03.01, 15.03.01, 15.03.02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</si>
  <si>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12 от 24.06.2019)</t>
  </si>
  <si>
    <t>675005.04.01</t>
  </si>
  <si>
    <t>Теплопередача: Уч. пос.: В 2 ч.Ч.2 / Под ред. Чередниченко В.С. - М.:НИЦ ИНФРА-М,2025. - 348 с.(ВО)(П)</t>
  </si>
  <si>
    <t>ТЕПЛОПЕРЕДАЧА. В 2 ЧАСТЯХ. ЧАСТЬ 2. УПРАЖНЕНИЯ И ЗАДАЧИ, Т.2</t>
  </si>
  <si>
    <t>978-5-16-020425-3</t>
  </si>
  <si>
    <t>11.03.03, 11.03.04, 13.03.01, 13.03.02, 13.03.03, 21.03.01</t>
  </si>
  <si>
    <t>472550.07.01</t>
  </si>
  <si>
    <t>Теплотехника: Уч. / Ю.П.Семенов, - 2 изд. - М.:НИЦ ИНФРА-М,2026. - 400 с.(ВО: Бакалавр.)(П)</t>
  </si>
  <si>
    <t>ТЕПЛОТЕХНИКА, ИЗД.2</t>
  </si>
  <si>
    <t>Семенов Ю.П., Левин А.Б.</t>
  </si>
  <si>
    <t>978-5-16-010104-0</t>
  </si>
  <si>
    <t>Рекомендовано УМО по образованию в области лесного дела в качестве учебника для студентов высших учебных заведений, обучающихся по направлению 35.03-02 (250400.62) "Технология и оборудование лесозаготовительных и деревоперерабатывающих производств"</t>
  </si>
  <si>
    <t>317600.09.01</t>
  </si>
  <si>
    <t>Теплотехника: Уч. пос. / В.А. Кудинов - М.: КУРС:  НИЦ ИНФРА-М, 2026 - 424 с.(ВО)(П)</t>
  </si>
  <si>
    <t>ТЕПЛОТЕХНИКА, ИЗД.1</t>
  </si>
  <si>
    <t>Кудинов В. А., Карташов Э. М., Стефанюк Е. В.</t>
  </si>
  <si>
    <t>978-5-905554-80-3</t>
  </si>
  <si>
    <t>03.03.02, 04.03.02, 04.04.02, 13.03.01, 13.04.01, 16.03.01, 16.04.01</t>
  </si>
  <si>
    <t>307700.01.01</t>
  </si>
  <si>
    <t>Теплотехнологическое обеспеч. кач...: Уч.-метод. пос./Я.Н.Ковалев-М:ИНФРА-М;Мн.:Нов. знан.,2015-303с</t>
  </si>
  <si>
    <t>ТЕПЛОТЕХНОЛОГИЧЕСКОЕ ОБЕСПЕЧЕНИЕ КАЧЕСТВА СТРОИТЕЛЬСТВА ДОРОЖНЫХ АСФАЛЬТОБЕТОННЫХ ПОКРЫТИЙ, ИЗД.1</t>
  </si>
  <si>
    <t>Ковалев Я.Н., Вербило И.Н., Кравченко С.Е. и др.</t>
  </si>
  <si>
    <t>978-5-16-010293-1</t>
  </si>
  <si>
    <t>429850.08.01</t>
  </si>
  <si>
    <t>Терминологический словарь-справочник по палеонтологии / Б.Т.Янин - 2 изд. - М.:НИЦ ИНФРА-М,2026 - 172 с.(п)</t>
  </si>
  <si>
    <t>ТЕРМИНОЛОГИЧЕСКИЙ СЛОВАРЬ-СПРАВОЧНИК ПО ПАЛЕОНТОЛОГИИ (ПАЛЕОИХНОЛОГИЯ, ПАЛЕОЭКОЛОГИЯ, ТАФОНОМИЯ), ИЗД.2</t>
  </si>
  <si>
    <t>978-5-16-006644-8</t>
  </si>
  <si>
    <t>05.03.01, 05.03.06, 05.04.01, 05.04.06, 06.03.01, 06.04.01</t>
  </si>
  <si>
    <t>637262.04.01</t>
  </si>
  <si>
    <t>Терминология Investor Relations в рус. и англ.яз.: Моногр. / Т.А.Сарангова - М.:НИЦ ИНФРА-М,2025 - 126 с.(О)</t>
  </si>
  <si>
    <t>ТЕРМИНОЛОГИЯ INVESTOR RELATIONS В РУССКОМ И АНГЛИЙСКОМ ЯЗЫКАХ, ИЗД.1</t>
  </si>
  <si>
    <t>Сарангова Т.А.</t>
  </si>
  <si>
    <t>978-5-16-012202-1</t>
  </si>
  <si>
    <t>38.04.01, 38.04.02, 45.03.02, 45.04.02, 45.05.01</t>
  </si>
  <si>
    <t>212200.07.01</t>
  </si>
  <si>
    <t>Терминология теории управления: словарь базовых..: Уч. пос. / О.В.Кожевина - ИНФРА-М, 2025 - 156 с.(ВО) (о)</t>
  </si>
  <si>
    <t>ТЕРМИНОЛОГИЯ ТЕОРИИ УПРАВЛЕНИЯ: СЛОВАРЬ БАЗОВЫХ УПРАВЛЕНЧЕСКИХ ТЕРМИНОВ, ИЗД.1</t>
  </si>
  <si>
    <t>Кожевина О. В.</t>
  </si>
  <si>
    <t>978-5-16-006863-3</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</si>
  <si>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направлениям подготовки 080200.62 «Менеджмент», 081100.62 «Государственное и муниципальное управление» (квалификация (степень) «бакалавр»)</t>
  </si>
  <si>
    <t>183150.04.01</t>
  </si>
  <si>
    <t>Терминообразование в языке науки: Моногр. / Ж.Багана-М.:НИЦ ИНФРА-М,2020-144с-(Научная мысль)(О)</t>
  </si>
  <si>
    <t>ТЕРМИНООБРАЗОВАНИЕ В ЯЗЫКЕ НАУКИ, ИЗД.1</t>
  </si>
  <si>
    <t>Багана Ж., Таранова Е.Н.</t>
  </si>
  <si>
    <t>978-5-16-009762-6</t>
  </si>
  <si>
    <t>334700.03.01</t>
  </si>
  <si>
    <t>Термодинамика комплексообраз.лигандов...: Моногр. / Е.Г.Березняк-М.:Вуз.уч.,НИЦ ИНФРА-М,2019-166с(о)</t>
  </si>
  <si>
    <t>ТЕРМОДИНАМИКА КОМПЛЕКСООБРАЗОВАНИЯ ЛИГАНДОВ С НУКЛЕИНОВЫМИ КИСЛОТАМИ В ВОДНОМ РАСТВОРЕ, ИЗД.1</t>
  </si>
  <si>
    <t>Березняк Е.Г., Духопельников Е.В., Гладковская Н.А. и др.</t>
  </si>
  <si>
    <t>978-5-9558-0417-0</t>
  </si>
  <si>
    <t>03.03.03, 03.04.03, 14.03.01, 14.04.01</t>
  </si>
  <si>
    <t>Харьковский национальный университет радиоэлектроники</t>
  </si>
  <si>
    <t>670744.05.01</t>
  </si>
  <si>
    <t>Термоокислительная стабильность трансмиссионных масел / Б.И.Ковальский. - М.:НИЦ ИНФРА-М, СФУ,2026. - 150 с.(о)</t>
  </si>
  <si>
    <t>ТЕРМООКИСЛИТЕЛЬНАЯ СТАБИЛЬНОСТЬ ТРАНСМИССИОННЫХ МАСЕЛ, ИЗД.1</t>
  </si>
  <si>
    <t>Ковальский Б.И., Безбородов Ю.Н., Фельдман Л.А. и др.</t>
  </si>
  <si>
    <t>978-5-16-021373-6</t>
  </si>
  <si>
    <t>23.04.02, 23.04.03, 23.05.01, 23.06.01</t>
  </si>
  <si>
    <t>670744.04.01</t>
  </si>
  <si>
    <t>Термоокислительная стабильность трансмиссионных масел: Моногр. / Б.И.Ковальский-М.:НИЦ ИНФРА-М, СФУ,2025-150 с.(п)</t>
  </si>
  <si>
    <t>978-5-16-013414-7</t>
  </si>
  <si>
    <t>645473.07.01</t>
  </si>
  <si>
    <t>Территориальная орг. гос.власти и местного..: Уч. / С.В.Нарутто - 2 изд. - М.:Юр.Норма, НИЦ ИНФРА-М,2026 - 400 с.(п)</t>
  </si>
  <si>
    <t>ТЕРРИТОРИАЛЬНАЯ ОРГАНИЗАЦИЯ ГОСУДАРСТВЕННОЙ ВЛАСТИ И МЕСТНОГО САМОУПРАВЛЕНИЯ, ИЗД.2</t>
  </si>
  <si>
    <t>Нарутто С.В., Шугрина Е.С.</t>
  </si>
  <si>
    <t>978-5-00156-336-5</t>
  </si>
  <si>
    <t>38.04.04, 40.03.01, 40.04.01, 40.05.01, 40.05.02, 40.05.03, 40.05.04, 44.03.05</t>
  </si>
  <si>
    <t>753311.01.01</t>
  </si>
  <si>
    <t>Территориальная орг. местного самоуправ. в РФ: тенденции...: Моногр./ Дементьев И.В.- М.:Юр.Норма,2021.-352 с.(П)</t>
  </si>
  <si>
    <t>ТЕРРИТОРИАЛЬНАЯ ОРГАНИЗАЦИЯ МЕСТНОГО САМОУПРАВЛЕНИЯ В РФ: ТЕНДЕНЦИИ, КРИТЕРИИ, ПЕРСПЕКТИВЫ, ИЗД.1</t>
  </si>
  <si>
    <t>Дементьев А.Н., Дементьева О.А., Бондарь В.Н.</t>
  </si>
  <si>
    <t>978-5-00156-156-9</t>
  </si>
  <si>
    <t>38.04.04, 38.06.01, 40.03.01, 40.04.01, 40.06.01</t>
  </si>
  <si>
    <t>645473.04.01</t>
  </si>
  <si>
    <t>Территориальная орг.гос.власти и местного.: Уч. / С.В.Нарутто-М.:Юр.Норма, НИЦ ИНФРА-М,2019-272с.(П)</t>
  </si>
  <si>
    <t>ТЕРРИТОРИАЛЬНАЯ ОРГАНИЗАЦИЯ ГОСУДАРСТВЕННОЙ ВЛАСТИ И МЕСТНОГО САМОУПРАВЛЕНИЯ, ИЗД.1</t>
  </si>
  <si>
    <t>978-5-91768-784-1</t>
  </si>
  <si>
    <t>669454.05.01</t>
  </si>
  <si>
    <t>Территориальная организ.мест.самоуправ. РФ: Моногр. / Л.А.Шарнина - М.:НИЦ ИНФРА-М, СФУ,2026.-168с.(О)</t>
  </si>
  <si>
    <t>ТЕРРИТОРИАЛЬНАЯ ОРГАНИЗАЦИЯ МЕСТНОГО САМОУПРАВЛЕНИЯ РОССИЙСКОЙ ФЕДЕРАЦИИ, ИЗД.1</t>
  </si>
  <si>
    <t>Шарнина Л.А.</t>
  </si>
  <si>
    <t>978-5-16-017273-6</t>
  </si>
  <si>
    <t>669454.02.01</t>
  </si>
  <si>
    <t>Территориальная организ.мест.самоуправ. РФ: Моногр./ Л.А.Шарнина-М.:НИЦ ИНФРА-М, СФУ,2019.-168с(П)</t>
  </si>
  <si>
    <t>978-5-16-013327-0</t>
  </si>
  <si>
    <t>057180.14.01</t>
  </si>
  <si>
    <t>Территориальная организ.населения: Уч.пос. / Е.Г.Чистяков-2 изд.-М.:Вуз.уч.,НИЦ ИНФРА-М,2024-252с(П)</t>
  </si>
  <si>
    <t>ТЕРРИТОРИАЛЬНАЯ ОРГАНИЗАЦИЯ НАСЕЛЕНИЯ, ИЗД.2</t>
  </si>
  <si>
    <t>Чистяков Е. Г.</t>
  </si>
  <si>
    <t>978-5-9558-0117-9</t>
  </si>
  <si>
    <t>05.03.02, 38.03.04</t>
  </si>
  <si>
    <t>Допущено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специальности 061000 «Государственное и муниципальное управление»</t>
  </si>
  <si>
    <t>654635.06.01</t>
  </si>
  <si>
    <t>Территориальная организация публич.власти: Моногр. / В.Е.Чиркин - М.:Юр.Норма, НИЦ ИНФРА-М,2026 - 208 с.(П)</t>
  </si>
  <si>
    <t>ТЕРРИТОРИАЛЬНАЯ ОРГАНИЗАЦИЯ ПУБЛИЧНОЙ ВЛАСТИ, ИЗД.1</t>
  </si>
  <si>
    <t>978-5-91768-827-5</t>
  </si>
  <si>
    <t>843643.01.01</t>
  </si>
  <si>
    <t>Территориально-структур. особ. наркоситуации в регионах... / Р.Р.Абсатаров - М.:НИЦ ИНФРА-М, 2025  - 218 с.(о)</t>
  </si>
  <si>
    <t>ТЕРРИТОРИАЛЬНО-СТРУКТУРНЫЕ ОСОБЕННОСТИ НАРКОСИТУАЦИИ В РЕГИОНАХ СЕВЕРО-ЗАПАДНОГО ФЕДЕРАЛЬНОГО ОКРУГА РОССИИ, ИЗД.1</t>
  </si>
  <si>
    <t>Абсатаров Р.Р.</t>
  </si>
  <si>
    <t>978-5-16-020451-2</t>
  </si>
  <si>
    <t>686276.02.01</t>
  </si>
  <si>
    <t>Территориальные автономии в зарубеж. унитарных и регион... / И.В.Ирхин - М.:ИНФРА-М,2022 - 465 с.(П)</t>
  </si>
  <si>
    <t>ТЕРРИТОРИАЛЬНЫЕ АВТОНОМИИ В ЗАРУБЕЖНЫХ УНИТАРНЫХ И РЕГИОНАЛИСТСКИХ ГОСУДАРСТВАХ ЕВРОПЫ И АЗИИ (КОНСТИТУЦИОННО-ПРАВОВОЕ ИССЛЕДОВАНИЕ), ИЗД.1</t>
  </si>
  <si>
    <t>Ирхин И.В.</t>
  </si>
  <si>
    <t>978-5-16-014270-8</t>
  </si>
  <si>
    <t>38.03.04, 40.03.01, 40.04.01, 41.03.01, 44.03.05</t>
  </si>
  <si>
    <t>636255.06.01</t>
  </si>
  <si>
    <t>Территориальный маркетинг: теория и прак.: Уч. / Т.В.Сачук, - 2 изд. - М.:НИЦ ИНФРА-М,2027. - 561 с.(ВО)(п)</t>
  </si>
  <si>
    <t>ТЕРРИТОРИАЛЬНЫЙ МАРКЕТИНГ: ТЕОРИЯ И ПРАКТИКА, ИЗД.2</t>
  </si>
  <si>
    <t>Сачук Т.В.</t>
  </si>
  <si>
    <t>978-5-16-018804-1</t>
  </si>
  <si>
    <t>38.03.01, 38.03.02, 38.03.04, 38.04.02, 38.04.04, 41.03.02, 41.03.06, 41.04.04, 44.03.05</t>
  </si>
  <si>
    <t>Рекомендовано в качестве учебника для студентов высших учебных заведений, обучающихся по направлениям подготовки 38.03.04 «Государственное и муниципальное управление», 38.03.01 «Экономика», 38.03.02 «Менеджмент» (квалификация (степень) «бакалавр»)</t>
  </si>
  <si>
    <t>636255.04.01</t>
  </si>
  <si>
    <t>Территориальный маркетинг: теория и практика: Уч. / Т.В.Сачук - М.:НИЦ ИНФРА-М,2022 - 583 с.(ВО)(П)</t>
  </si>
  <si>
    <t>ТЕРРИТОРИАЛЬНЫЙ МАРКЕТИНГ: ТЕОРИЯ И ПРАКТИКА, ИЗД.1</t>
  </si>
  <si>
    <t>978-5-16-012156-7</t>
  </si>
  <si>
    <t>181150.05.01</t>
  </si>
  <si>
    <t>Территориальный фактор предмет..: Моногр. / Г.С.Кириенко - М.:НИЦ ИНФРА-М,2023-199с.(Науч. мысль)(о)</t>
  </si>
  <si>
    <t>ТЕРРИТОРИАЛЬНЫЙ ФАКТОР ПРЕДМЕТОВЕДЧЕСКОЙ ДИФФЕРЕНЦИАЦИИ: КОНСТИТУЦИОННО-ПРАВОВЫЕ ВОЗМОЖНОСТИ И ОПЫТ ИХ РЕАЛИЗАЦИИ СУБЪЕКТАМИ РОССИЙСКОЙ ФЕДЕРАЦИИ, ИЗД.1</t>
  </si>
  <si>
    <t>Кириенко Г. С., Нифанов А. Н.</t>
  </si>
  <si>
    <t>978-5-16-005605-0</t>
  </si>
  <si>
    <t>699758.06.01</t>
  </si>
  <si>
    <t>Территории с особым статусом в сос. федеративных гос.: Моногр. / И.В.Ирхин - М.:НИЦ ИНФРА-М,2025. - 217с(о)</t>
  </si>
  <si>
    <t>ТЕРРИТОРИИ С ОСОБЫМ СТАТУСОМ В СОСТАВЕ ФЕДЕРАТИВНЫХ ГОСУДАРСТВ (КОНСТИТУЦИОННО-ПРАВОВОЕ ИССЛЕДОВАНИЕ), ИЗД.1</t>
  </si>
  <si>
    <t>978-5-16-019842-2</t>
  </si>
  <si>
    <t>699758.05.01</t>
  </si>
  <si>
    <t>Территории с особым статусом в составе. федератив. гос.: Моногр. / И.В.Ирхин - М.:НИЦ ИНФРА-М,2025. - 217 с.(п)</t>
  </si>
  <si>
    <t>978-5-16-014754-3</t>
  </si>
  <si>
    <t>327300.13.01</t>
  </si>
  <si>
    <t>Техника высоких напряжений: Уч. / В.Ф.Важов - М.:НИЦ ИНФРА-М,2026 - 262 с.(ВО: Бакалавр.)(П)</t>
  </si>
  <si>
    <t>ТЕХНИКА ВЫСОКИХ НАПРЯЖЕНИЙ, ИЗД.1</t>
  </si>
  <si>
    <t>Важов В.Ф., Лавринович В.А.</t>
  </si>
  <si>
    <t>978-5-16-010565-9</t>
  </si>
  <si>
    <t>Рекомендовано в качестве учебника для студентов высших учебных заведений, обучающихся по направлению подготовки 13.03.02 «Электроэнергетика и электротехника» (квалификация (степень) «бакалавр»)</t>
  </si>
  <si>
    <t>407400.15.01</t>
  </si>
  <si>
    <t>Техника и искусство фотографии: Уч.пос. / А.В.Левкина  - 2 изд. - М.:НИЦ ИНФРА-М,2026 - 295 с.(П)(СПО)</t>
  </si>
  <si>
    <t>ТЕХНИКА И ИСКУССТВО ФОТОГРАФИИ, ИЗД.2</t>
  </si>
  <si>
    <t>Левкина А.В.</t>
  </si>
  <si>
    <t>978-5-16-013790-2</t>
  </si>
  <si>
    <t>54.01.20, 54.02.08</t>
  </si>
  <si>
    <t>Рекомендовано Межрегиональным учебно-методическим советом профессионального образования в качестве учебного пособия для учебных заведений для реализации образовательных программ среднего профессионального образования (протокол № 10 от 27.05.2019)</t>
  </si>
  <si>
    <t>777636.01.01</t>
  </si>
  <si>
    <t>Техника и технология гранулир. многокомп. полидисперсных материалов..: Моногр. / Д.А. Макаренков-М: ИНФРА-М.2023-297с.(О)</t>
  </si>
  <si>
    <t>ТЕХНИКА И ТЕХНОЛОГИЯ ГРАНУЛИРОВАНИЯ МНОГОКОМПОНЕНТНЫХ  ПОЛИДИСПЕРСНЫХ МАТЕРИАЛОВ С ИСПОЛЬЗОВАНИЕМ СОВМЕЩЁННЫХ ПРОЦЕССОВ ИХ ПОДГОТОВКИ, ИЗД.1</t>
  </si>
  <si>
    <t>Макаренков Д.А., Назаров В.И.</t>
  </si>
  <si>
    <t>978-5-16-017767-0</t>
  </si>
  <si>
    <t>18.04.01, 18.04.02, 22.04.01</t>
  </si>
  <si>
    <t>659213.02.01</t>
  </si>
  <si>
    <t>Техника и технология совмещенных процессов...: Уч.пос. / В.И.Назаров.-М.:НИЦ ИНФРА-М,2022.-456с(ВО)(П)</t>
  </si>
  <si>
    <t>ТЕХНИКА И ТЕХНОЛОГИЯ СОВМЕЩЕННЫХ ПРОЦЕССОВ ПЕРЕРАБОТКИ ТВЕРДЫХ ОТХОДОВ, ИЗД.1</t>
  </si>
  <si>
    <t>Назаров В.И., Санду Р.А., Макаренков Д.А. и др.</t>
  </si>
  <si>
    <t>978-5-16-014666-9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</si>
  <si>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20.03.01 «Техносферная безопасность», 18.03.01 «Химическая технология», 18.03.02 «Энерго- и ресурсосберегающие процессы в химической технологии, нефтехимии и биотехнологии» (квалификация (степень) «бакалавр») (протокол № 3 от 17.02.2020)</t>
  </si>
  <si>
    <t>675837.09.01</t>
  </si>
  <si>
    <t>Технико-криминалист.экспертиза док.: Уч.пос. / И.Н.Подволоцкий - М.:Юр.Норма, НИЦ ИНФРА-М,2026 - 400 с.(П)</t>
  </si>
  <si>
    <t>ТЕХНИКО-КРИМИНАЛИСТИЧЕСКАЯ ЭКСПЕРТИЗА ДОКУМЕНТОВ, ИЗД.1</t>
  </si>
  <si>
    <t>978-5-91768-893-0</t>
  </si>
  <si>
    <t>296500.07.01</t>
  </si>
  <si>
    <t>Технико-эконом. расчеты распред. электрич...: Уч.пос./В.Я.Хорольский.-М.:Форум,НИЦ ИНФРА-М, 2024-96с.(о)</t>
  </si>
  <si>
    <t>ТЕХНИКО-ЭКОНОМИЧЕСКИЕ РАСЧЕТЫ РАСПРЕДЕЛИТЕЛЬНЫХ ЭЛЕКТРИЧЕСКИХ СЕТЕЙ, ИЗД.1</t>
  </si>
  <si>
    <t>Хорольский В. Я., Таранов М. А., Петров Д. В.</t>
  </si>
  <si>
    <t>978-5-00091-653-7</t>
  </si>
  <si>
    <t>Допущено Министерством сельского хозяйства Российской Федерации в качестве учебного пособия для студентов высших аграрных учебных заведений по направлению подготовки 13.03.02 «Электроэнергетика и электротехника»</t>
  </si>
  <si>
    <t>699505.01.01</t>
  </si>
  <si>
    <t>Технико-эконом.расчеты распред. электрич..: Уч.пос./В.Я.Хорольский.-М.:Форум,НИЦ ИНФРА-М,2023-96с (СПО)(О)</t>
  </si>
  <si>
    <t>Хорольский В.Я., Таранов М.А., Петров Д.В.</t>
  </si>
  <si>
    <t>978-5-00091-647-6</t>
  </si>
  <si>
    <t>13.01.10, 13.02.01, 13.02.07, 13.02.12, 26.02.04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</si>
  <si>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13.02.03 «Электрические станции, сети и системы», 13.02.07 «Электроснабжение (по отраслям)» (протокол № 4 от 13.04.2022)</t>
  </si>
  <si>
    <t>244200.11.01</t>
  </si>
  <si>
    <t>Техническая графика: Уч. / Е.А.Василенко - 2 изд. - М.:НИЦ ИНФРА-М,2026 - 334 с.-(СПО)(п)</t>
  </si>
  <si>
    <t>ТЕХНИЧЕСКАЯ ГРАФИКА, ИЗД.2</t>
  </si>
  <si>
    <t>Василенко Е.А., Чекмарев А.А.</t>
  </si>
  <si>
    <t>978-5-16-015724-5</t>
  </si>
  <si>
    <t>08.01.22, 08.01.23, 08.02.01, 08.02.04, 15.01.13, 15.01.17, 15.01.18, 15.01.22, 15.01.26, 15.01.29, 15.01.30, 15.01.35, 15.01.36, 15.01.37, 15.02.01, 15.02.03, 26.02.04</t>
  </si>
  <si>
    <t>Рекомендовано Федеральным государственным автономным учреждением «Федеральный институт развития образования» (ФГАУ «ФИРО»)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профессиям 15.01.26 «Токарь-универсал», 15.01.30 «Слесарь», 08.01.07 «Мастер общестроительных работ» (регистрационный номер рецензии № 430 от 17.10.2014 (ФГАУ «ФИРО»))</t>
  </si>
  <si>
    <t>244200.04.01</t>
  </si>
  <si>
    <t>Техническая графика: Уч. / Е.А.Василенко - М.:НИЦ ИНФРА-М,2019 - 271 с.-(СПО)(п)</t>
  </si>
  <si>
    <t>ТЕХНИЧЕСКАЯ ГРАФИКА, ИЗД.1</t>
  </si>
  <si>
    <t>978-5-16-005145-1</t>
  </si>
  <si>
    <t>768650.02.01</t>
  </si>
  <si>
    <t>Техническая диагностика электрооборудования: Уч. / Н.В.Грунтович - М.:НИЦ ИНФРА-М,2025. - 254 с.(ВО)(п)</t>
  </si>
  <si>
    <t>ТЕХНИЧЕСКАЯ ДИАГНОСТИКА ЭЛЕКТРООБОРУДОВАНИЯ, ИЗД.1</t>
  </si>
  <si>
    <t>Грунтович Н.В., Грунтович Н.В.</t>
  </si>
  <si>
    <t>978-5-16-017836-3</t>
  </si>
  <si>
    <t>653225.06.01</t>
  </si>
  <si>
    <t>Техническая инвентаризация объектов недвижимости: Уч.пос./ В.А.Тарбаев -М.:НИЦ ИНФРА-М,2022-170 с.(ВО)(П)</t>
  </si>
  <si>
    <t>ТЕХНИЧЕСКАЯ ИНВЕНТАРИЗАЦИЯ ОБЪЕКТОВ НЕДВИЖИМОСТИ, ИЗД.1</t>
  </si>
  <si>
    <t>Тарбаев В.А., Шмидт И.В., Царенко А.А.</t>
  </si>
  <si>
    <t>978-5-16-013695-0</t>
  </si>
  <si>
    <t>21.04.02, 35.03.04, 40.05.01, 40.05.02, 40.05.03, 40.05.04</t>
  </si>
  <si>
    <t>717644.06.01</t>
  </si>
  <si>
    <t>Техническая механика. Курсовое проектир.: Уч.пос. / Д.Н.Бахарев - 2 изд. - М.:НИЦ ИНФРА-М,2026 - 236 с.(П)</t>
  </si>
  <si>
    <t>ТЕХНИЧЕСКАЯ МЕХАНИКА. КУРСОВОЕ ПРОЕКТИРОВАНИЕ, ИЗД.2</t>
  </si>
  <si>
    <t>Бахарев Д.Н., Добрицкий А.А., Вольвак С.Ф. и др.</t>
  </si>
  <si>
    <t>978-5-16-015658-3</t>
  </si>
  <si>
    <t>12.01.07, 13.01.03, 13.01.04, 13.01.10, 13.01.13, 13.01.14, 13.01.15, 18.01.06, 18.01.27, 18.01.28, 21.01.01, 21.01.02, 21.01.03, 21.01.04, 21.01.10, 21.01.15, 21.01.16, 22.01.04, 23.01.01, 23.01.18, 23.02.07, 26.01.01, 26.01.02, 26.01.03, 26.01.06, 26.01.09, 26.01.12, 26.01.13, 35.01.15, 35.01.27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</si>
  <si>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14 от 30.09.2019)</t>
  </si>
  <si>
    <t>707072.03.01</t>
  </si>
  <si>
    <t>Техническая механика: детали машин: Уч.пос. / В.Э.Завистовский-М.:НИЦ ИНФРА-М,2023.-350 с..-(ВО)(П)</t>
  </si>
  <si>
    <t>ТЕХНИЧЕСКАЯ МЕХАНИКА: ДЕТАЛИ МАШИН, ИЗД.1</t>
  </si>
  <si>
    <t>Завистовский В.Э.</t>
  </si>
  <si>
    <t>978-5-16-015257-8</t>
  </si>
  <si>
    <t>15.04.02, 15.04.03, 15.04.05, 15.04.06, 15.05.01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</si>
  <si>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«магистр») (протокол № 12 от 24.06.2019)</t>
  </si>
  <si>
    <t>034630.15.01</t>
  </si>
  <si>
    <t>Техническая механика: Сб. тест. заданий: Уч.пос. / В.П.Олофинская - 2 изд. - М.:НИЦ ИНФРА-М,2026  - 132 с.(О)</t>
  </si>
  <si>
    <t>ТЕХНИЧЕСКАЯ МЕХАНИКА, ИЗД.2</t>
  </si>
  <si>
    <t>978-5-16-016753-4</t>
  </si>
  <si>
    <t>00.02.35, 12.01.07, 13.01.03, 13.01.04, 13.01.10, 13.01.13, 13.01.14, 13.01.15, 13.02.01, 13.02.07, 13.02.12, 13.02.13, 15.02.09, 15.02.16, 15.02.17, 15.02.18, 18.01.06, 18.01.27, 18.01.28, 21.01.01, 21.01.02, 21.01.03, 21.01.04, 21.01.10, 21.01.15, 21.01.16, 22.01.04, 23.01.01, 23.01.18, 23.02.07, 24.02.01, 25.02.06, 25.02.07, 25.02.08, 26.01.01, 26.01.02, 26.01.03, 26.01.06, 26.01.09, 26.01.12, 26.01.13, 26.02.04, 27.02.04, 27.02.07, 35.01.15, 35.02.16</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</si>
  <si>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специальностям технического профиля</t>
  </si>
  <si>
    <t>632554.04.01</t>
  </si>
  <si>
    <t>Техническая механика: Уч. / А.М.Михайлов - М.:НИЦ ИНФРА-М,2025 - 375 с.(ВО:Бакалавр.)(П)</t>
  </si>
  <si>
    <t>ТЕХНИЧЕСКАЯ МЕХАНИКА, ИЗД.1</t>
  </si>
  <si>
    <t>978-5-16-012030-0</t>
  </si>
  <si>
    <t>109450.21.01</t>
  </si>
  <si>
    <t>Техническая механика: Уч. / Г.Г.Сафонова и др. - М.:НИЦ ИНФРА-М,2026 - 320 с.(СПО)(п)</t>
  </si>
  <si>
    <t>Сафонова Г. Г., Артюховская Т. Ю., Ермаков Д. А.</t>
  </si>
  <si>
    <t>978-5-16-012916-7</t>
  </si>
  <si>
    <t>00.02.35, 08.02.01, 08.02.02, 08.02.03, 08.02.04, 08.02.08, 08.02.09, 08.02.12, 08.02.13, 08.02.14, 13.02.01, 24.02.01, 26.02.04, 27.02.04, 27.02.07</t>
  </si>
  <si>
    <t>Допущено Федеральным агентством по строительству и жилищно-коммунальному хозяйству в качестве учебника для студентов средних специальных учебных заведений, обучающихся по строительным специальностям</t>
  </si>
  <si>
    <t>664839.03.01</t>
  </si>
  <si>
    <t>Техническая механика: Уч. / М.А.Лукьянов - М.:НИЦ ИНФРА-М,2027 - 486 с.(ВО: Спец.)(П)</t>
  </si>
  <si>
    <t>Лукьянов М.А.</t>
  </si>
  <si>
    <t>978-5-16-016027-6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</si>
  <si>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специальностям 23.05.03 «Подвижной состав железных дорог», 23.05.04 «Эксплуатация железных дорог», 23.05.05 «Системы обеспечения движения поездов», 23.05.06 «Строительство железных дорог, мостов и транспортных тоннелей» (квалификация «инженер путей сообщения») (протокол № 10 от 15.12.2021)</t>
  </si>
  <si>
    <t>147200.06.01</t>
  </si>
  <si>
    <t>Техническая механика: Уч. пос. для вузов / В.Т. Батиенков. - М.: ИЦ РИОР, 2023-384с.(ВО) (п)</t>
  </si>
  <si>
    <t>978-5-369-00759-4</t>
  </si>
  <si>
    <t>707076.11.01</t>
  </si>
  <si>
    <t>Техническая механика: Уч.пос. / В.Э.Завистовский - М.:НИЦ ИНФРА-М,2027 - 376 с.(СПО)(П)</t>
  </si>
  <si>
    <t>978-5-16-015256-1</t>
  </si>
  <si>
    <t>00.02.35, 12.01.07, 13.01.03, 13.01.04, 13.01.10, 13.01.13, 13.01.14, 13.01.15, 13.02.01, 18.01.06, 18.01.27, 18.01.28, 21.01.01, 21.01.02, 21.01.03, 21.01.04, 21.01.10, 21.01.15, 21.01.16, 22.01.04, 23.01.01, 23.01.18, 26.01.01, 26.01.02, 26.01.03, 26.01.06, 26.01.09, 26.01.12, 26.01.13, 27.02.04, 27.02.07, 35.01.15, 35.01.27</t>
  </si>
  <si>
    <t>757941.04.01</t>
  </si>
  <si>
    <t>Техническая микробиология продукции животновод.: Уч.пос. / О.Д.Сидоренко - 2 изд. - М.:НИЦ ИНФРА-М,2026. - 224 с.(П)</t>
  </si>
  <si>
    <t>ТЕХНИЧЕСКАЯ МИКРОБИОЛОГИЯ ПРОДУКЦИИ ЖИВОТНОВОДСТВА, ИЗД.2</t>
  </si>
  <si>
    <t>978-5-16-016944-6</t>
  </si>
  <si>
    <t>19.02.12, 36.01.02, 36.02.03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</si>
  <si>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19.02.07 «Технология молока и молочных продуктов», 19.02.08 «Технология мяса и мясных продуктов», 35.02.06 «Технология производства и переработки сельскохозяйственной продукции» (протокол № 11 от 09.11.2020)</t>
  </si>
  <si>
    <t>714123.04.01</t>
  </si>
  <si>
    <t>Техническая микробиология продукции животноводства: Уч.пос. / О.Д.Сидоренко - 2 изд. - М.:НИЦ ИНФРА-М,2027 - 224 с.(П)</t>
  </si>
  <si>
    <t>978-5-16-015952-2</t>
  </si>
  <si>
    <t>19.03.03, 35.03.07</t>
  </si>
  <si>
    <t>Рекомендовано учебно-методическим объединением вузов Российской Федерации по агрономическому образованию в качестве учебного пособия для студентов по направлению подготовки 35.03.07 «Технология производства и переработки сельскохозяйственной продукции»</t>
  </si>
  <si>
    <t>852761.02.01</t>
  </si>
  <si>
    <t>Техническая термодинамика и теплопередача: Сб. задач: Уч.пос. / Д.Ю.Глазков - М.:НИЦ ИНФРА-М,2025. - 434 с.(п)</t>
  </si>
  <si>
    <t>ТЕХНИЧЕСКАЯ ТЕРМОДИНАМИКА И ТЕПЛОПЕРЕДАЧА: СБОРНИК ЗАДАЧ, ИЗД.1</t>
  </si>
  <si>
    <t>978-5-16-020892-3</t>
  </si>
  <si>
    <t>13.03.01, 13.03.03, 14.05.02, 18.03.01, 18.05.01, 25.03.01, 26.05.02, 26.05.06</t>
  </si>
  <si>
    <t>719487.05.01</t>
  </si>
  <si>
    <t>Техническая эксп. электроприводов судов: Моногр. / А.Ф.Бурков - 2 изд. - М.:НИЦ ИНФРА-М,2026 - 358 с.(О)</t>
  </si>
  <si>
    <t>ТЕХНИЧЕСКАЯ ЭКСПЛУАТАЦИЯ ЭЛЕКТРОПРИВОДОВ СУДОВ, ИЗД.2</t>
  </si>
  <si>
    <t>Бурков А.Ф.</t>
  </si>
  <si>
    <t>978-5-16-015722-1</t>
  </si>
  <si>
    <t>26.05.02, 26.05.06, 26.05.07, 26.06.01</t>
  </si>
  <si>
    <t>454450.07.01</t>
  </si>
  <si>
    <t>Техническая экспертиза продукции текстил. и..: Уч.пос. /А.Ф.Давыдов - М.:Форум:ИНФРА-М,2025 - 384 с.(ВО)</t>
  </si>
  <si>
    <t>ТЕХНИЧЕСКАЯ ЭКСПЕРТИЗА ПРОДУКЦИИ ТЕКСТИЛЬНОЙ И ЛЕГКОЙ ПРОМЫШЛЕННОСТИ, ИЗД.1</t>
  </si>
  <si>
    <t>Давыдов А.Ф., Шустов Ю.С., Курденкова А.В. и др.</t>
  </si>
  <si>
    <t>978-5-91134-827-4</t>
  </si>
  <si>
    <t>29.04.02</t>
  </si>
  <si>
    <t>Рекомендовано Учебно-методическим объединением по образованию в области технологии и проектирования текстильных изделий в качестве учебного пособия для студентов высших учебных заведений, обучающихся по направлениям подготовки 29.03.02 «Технология пр</t>
  </si>
  <si>
    <t>064900.29.01</t>
  </si>
  <si>
    <t>Техническая эксплуатация зданий и сооружений: Уч. / В.А.Комков - 2 изд. - М.:НИЦ ИНФРА-М,2026 - 338 с.(п)</t>
  </si>
  <si>
    <t>ТЕХНИЧЕСКАЯ ЭКСПЛУАТАЦИЯ ЗДАНИЙ И СООРУЖЕНИЙ, ИЗД.2</t>
  </si>
  <si>
    <t>Комков В.А., Акимов В.Б., Тимахова Н.С.</t>
  </si>
  <si>
    <t>978-5-16-012361-5</t>
  </si>
  <si>
    <t>08.01.29, 08.02.01, 08.02.02, 08.02.04, 08.02.08, 08.02.09, 08.02.13, 08.02.14, 36.01.03</t>
  </si>
  <si>
    <t>715325.08.01</t>
  </si>
  <si>
    <t>Техническая эксплуатация зданий: Уч.пос. / В.М.Лебедев - М.:НИЦ ИНФРА-М,2026 - 359 с.(СПО)(П)</t>
  </si>
  <si>
    <t>ТЕХНИЧЕСКАЯ ЭКСПЛУАТАЦИЯ ЗДАНИЙ, ИЗД.1</t>
  </si>
  <si>
    <t>978-5-16-015457-2</t>
  </si>
  <si>
    <t>08.02.01, 08.02.02, 08.02.04, 08.02.08, 08.02.13, 08.02.14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</si>
  <si>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8 от 29.04.2019)</t>
  </si>
  <si>
    <t>666734.08.01</t>
  </si>
  <si>
    <t>Техническая эксплуатация зданий: Уч.пос. / В.М.Лебедев - М.:НИЦ ИНФРА-М,2026 - 360 с.-(ВО)(П)</t>
  </si>
  <si>
    <t>978-5-16-018493-7</t>
  </si>
  <si>
    <t>08.02.14, 08.03.01, 38.03.10</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</si>
  <si>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08.03.01 «Строительство», 38.03.10 «Жилищное хозяйство и коммунальная инфраструктура» (квалификация (степень) «бакалавр»)</t>
  </si>
  <si>
    <t>735630.06.01</t>
  </si>
  <si>
    <t>Техническая эксплуатация, диагностир. и ремонт  двиг..: Уч. / А.В.Александров.-М.:ИЦ РИОР, НИЦ ИНФРА-М,2025-448 с.(П)</t>
  </si>
  <si>
    <t>ТЕХНИЧЕСКАЯ ЭКСПЛУАТАЦИЯ, ДИАГНОСТИРОВАНИЕ И РЕМОНТ  ДВИГАТЕЛЕЙ ВНУТРЕННЕГО СГОРАНИЯ, ИЗД.1</t>
  </si>
  <si>
    <t>Александров А.В., Алексахин С.В., Долгов И.А. и др.</t>
  </si>
  <si>
    <t>978-5-369-01861-3</t>
  </si>
  <si>
    <t>13.03.03, 15.03.03, 15.03.05, 15.04.03, 15.04.05</t>
  </si>
  <si>
    <t>735630.09.01</t>
  </si>
  <si>
    <t>Техническая эксплуатация..: Уч. / А.В.Александров - 2 изд. - М.:ИЦ РИОР, НИЦ ИНФРА-М,2027. - 456 с.(ВО)(п)</t>
  </si>
  <si>
    <t>ТЕХНИЧЕСКАЯ ЭКСПЛУАТАЦИЯ, ДИАГНОСТИРОВАНИЕ И РЕМОНТ  ДВИГАТЕЛЕЙ ВНУТРЕННЕГО СГОРАНИЯ, ИЗД.2</t>
  </si>
  <si>
    <t>Александров А.В., Долгов И.А., Алексахин С.В.</t>
  </si>
  <si>
    <t>978-5-369-01973-3</t>
  </si>
  <si>
    <t>709057.08.01</t>
  </si>
  <si>
    <t>Технические средства автоматизации и упр.: Уч.пос. / О.В.Шишов - М.:НИЦ ИНФРА-М,2026 - 396 с.(П)</t>
  </si>
  <si>
    <t>ТЕХНИЧЕСКИЕ СРЕДСТВА АВТОМАТИЗАЦИИ И УПРАВЛЕНИЯ, ИЗД.1</t>
  </si>
  <si>
    <t>978-5-16-015283-7</t>
  </si>
  <si>
    <t>13.02.12, 15.01.26, 15.01.27, 15.01.35, 15.01.36, 15.01.38, 15.02.03, 15.02.04, 15.02.07, 15.02.16, 15.02.17, 15.02.18, 26.02.06, 27.02.01, 27.02.02, 27.02.03, 27.02.04, 27.02.05, 35.02.08, 43.02.06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</si>
  <si>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15.02.00 «Машиностроение», 27.02.00 «Управление в технических системах», 13.02.00 «Электро- и теплоэнергетика» (протокол № 4 от 25.02.2019)</t>
  </si>
  <si>
    <t>163700.14.01</t>
  </si>
  <si>
    <t>Технические средства автоматизации и управ.: Уч.пос. / О.В.Шишов - М.:НИЦ ИНФРА-М,2027 - 396 с.(ВО)(п)</t>
  </si>
  <si>
    <t>978-5-16-019970-2</t>
  </si>
  <si>
    <t>11.03.04, 11.04.04, 15.03.04, 15.04.04</t>
  </si>
  <si>
    <t>433850.07.01</t>
  </si>
  <si>
    <t>Технические средства автоматизации.: Уч.пос. / В.Ф.Беккер, - 2 изд. - М.:ИЦ РИОР, НИЦ ИНФРА-М,2026 - 152 с.(ВО)(О)</t>
  </si>
  <si>
    <t>ТЕХНИЧЕСКИЕ СРЕДСТВА АВТОМАТИЗАЦИИ. ИНТЕРФЕЙСНЫЕ УСТРОЙСТВА И МИКРОПРОЦЕССОРНЫЕ СРЕДСТВА, ИЗД.2</t>
  </si>
  <si>
    <t>978-5-369-01198-0</t>
  </si>
  <si>
    <t>15.03.04, 15.04.04, 27.03.04</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</si>
  <si>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специальности «Автоматизация технологических процессов и производств (химико-технологическая отрасль)», направление подготовки «Автоматизированные технологии и производства»</t>
  </si>
  <si>
    <t>640313.09.01</t>
  </si>
  <si>
    <t>Технические средства информатизации: Уч. / В.П.Зверева - М.:КУРС, НИЦ ИНФРА-М,2027. - 256 с.(СПО)(п)</t>
  </si>
  <si>
    <t>ТЕХНИЧЕСКИЕ СРЕДСТВА ИНФОРМАТИЗАЦИИ, ИЗД.1</t>
  </si>
  <si>
    <t>978-5-906818-88-1</t>
  </si>
  <si>
    <t>09.02.02, 09.02.03, 09.02.04, 09.02.05, 10.02.01, 10.02.03, 10.02.05</t>
  </si>
  <si>
    <t>640607.07.01</t>
  </si>
  <si>
    <t>Технические средства информатизации: Уч. / В.П.Зверева - М.:КУРС,НИЦ ИНФРА-М,2024 - 248с.-(СПО)(П)</t>
  </si>
  <si>
    <t>978-5-906818-54-6</t>
  </si>
  <si>
    <t>08.01.30, 08.01.31, 08.02.12, 08.02.13, 08.02.14, 08.02.15, 09.01.04, 09.01.05, 09.02.02, 09.02.03, 09.02.04, 09.02.05, 09.02.06, 09.02.07, 10.02.01, 10.02.03, 10.02.05, 13.02.12, 18.02.10, 18.02.15, 19.02.11, 19.02.12, 19.02.14, 19.02.15, 21.02.02, 21.02.09, 24.02.01, 24.02.02, 29.02.10, 35.01.16, 35.01.30, 35.01.33, 35.02.01, 35.02.17, 38.02.08</t>
  </si>
  <si>
    <t>063650.13.01</t>
  </si>
  <si>
    <t>Технические средства информатизации: Уч. / Н.В.Максимов - 4 изд. - М.:Форум, НИЦ ИНФРА-М,2026. - 608 с.(СПО)(п)</t>
  </si>
  <si>
    <t>ТЕХНИЧЕСКИЕ СРЕДСТВА ИНФОРМАТИЗАЦИИ, ИЗД.4</t>
  </si>
  <si>
    <t>Максимов Н. В., Партыка Т. Л., Попов И. И.</t>
  </si>
  <si>
    <t>978-5-91134-763-5</t>
  </si>
  <si>
    <t>09.01.04, 09.01.05, 09.02.01, 09.02.02, 09.02.03, 09.02.04, 09.02.05, 09.02.06, 09.02.07, 10.02.01, 10.02.02, 10.02.03, 10.02.04, 10.02.05</t>
  </si>
  <si>
    <t>Рекомендовано Министерством образования РФ в качестве учебника для студентов учреждений среднего профессионального образования, обучающихся по группе специальностей 2200 "Информатика  и вычислительная техника"</t>
  </si>
  <si>
    <t>115400.14.01</t>
  </si>
  <si>
    <t>Технические средства информатизации: Уч.пос. / Л.Г.Гагарина - 2 изд. - М.:НИЦ ИНФРА-М,2026 - 260 с.(П)</t>
  </si>
  <si>
    <t>ТЕХНИЧЕСКИЕ СРЕДСТВА ИНФОРМАТИЗАЦИИ, ИЗД.2</t>
  </si>
  <si>
    <t>Гагарина Л.Г., Золотухин Ф.С.</t>
  </si>
  <si>
    <t>978-5-16-016140-2</t>
  </si>
  <si>
    <t>09.01.04, 09.01.05, 09.02.01, 09.02.02, 09.02.03, 09.02.04, 09.02.05, 09.02.06, 09.02.07, 10.02.01, 10.02.03, 10.02.05</t>
  </si>
  <si>
    <t>Рекомендовано Научно-методическим советом Московского государственного института электронной техники (технического университета) в качестве учебного пособия для студентов среднего профессионального образования, обучающихся по техническим специальностям</t>
  </si>
  <si>
    <t>115400.09.01</t>
  </si>
  <si>
    <t>Технические средства информатизации: Уч.пос./Л.Г.Гагарина-М.:ИД ФОРУМ, НИЦ ИНФРА-М,2019-256с(СПО)(П)</t>
  </si>
  <si>
    <t>Гагарина Л. Г.</t>
  </si>
  <si>
    <t>978-5-8199-0734-4</t>
  </si>
  <si>
    <t>Рекомендовано Научно-методическим советом Московского государственного института электронной техники (технического университета) в качестве учебного пособия для студентов среднего профессионального образования, обучающихся по специальностям «Информатика и вычислительная техника»</t>
  </si>
  <si>
    <t>702850.04.01</t>
  </si>
  <si>
    <t>Технические средства судовождения...: Уч.мет.пос. / С.Н.Скворцов - М. : ИНФРА-М, 2026. - 51 с.(О)</t>
  </si>
  <si>
    <t>ТЕХНИЧЕСКИЕ СРЕДСТВА СУДОВОЖДЕНИЯ. ЛАБОРАТОРНЫЕ И РАСЧЕТНО-ГРАФИЧЕСКИЕ РАБОТЫ: МЕТОДИЧЕСКИЕ УКАЗАНИЯ, ИЗД.1</t>
  </si>
  <si>
    <t>Скворцов С.Н., Паткаускас А.В., Белокур Г.В.</t>
  </si>
  <si>
    <t>978-5-16-015422-0</t>
  </si>
  <si>
    <t>26.01.01, 26.01.02, 26.01.03, 26.02.01, 26.02.02, 26.02.03, 26.02.05, 26.02.06, 26.04.01, 26.05.05, 35.01.32, 43.01.04</t>
  </si>
  <si>
    <t>705066.05.01</t>
  </si>
  <si>
    <t>Технические средства судовождения...: Уч.мет.пос./ С.Н.Скворцов -М.:НИЦ ИНФРА-М, 2023-50с(О)</t>
  </si>
  <si>
    <t>ТЕХНИЧЕСКИЕ СРЕДСТВА СУДОВОЖДЕНИЯ. МЕТОДИКА ВЫПОЛНЕНИЯ КУРСОВОЙ  РАБОТЫ: МЕТОДИЧЕСКИЕ УКАЗАНИЯ, ИЗД.1</t>
  </si>
  <si>
    <t>Скворцов С.Н., Паткаускас А.В., Сухина М.И.</t>
  </si>
  <si>
    <t>978-5-16-015473-2</t>
  </si>
  <si>
    <t>26.01.05, 26.01.07, 26.01.09, 26.02.01, 26.02.03, 26.02.04, 26.02.05, 26.02.06, 26.05.05, 35.01.32, 35.02.11, 43.01.04</t>
  </si>
  <si>
    <t>125000.09.01</t>
  </si>
  <si>
    <t>Технические средства управления: Уч. / И.К.Корнеев - М.:ИНФРА-М Изд. Дом,2025 - 200 с.(ВО)(П)</t>
  </si>
  <si>
    <t>ТЕХНИЧЕСКИЕ СРЕДСТВА УПРАВЛЕНИЯ, ИЗД.1</t>
  </si>
  <si>
    <t>Корнеев И. К., Ксандопуло Г. Н.</t>
  </si>
  <si>
    <t>978-5-16-003620-5</t>
  </si>
  <si>
    <t>46.02.02, 46.03.02, 46.04.02</t>
  </si>
  <si>
    <t>Рекомендовано УМО  вузов РФ по образованию в области  историко-архивоведения в качестве учебного пособия для студентов высших учебных заведений, обучающихся по спец. 032001.65 Документоведение и документационное обеспечение управления</t>
  </si>
  <si>
    <t>698301.08.01</t>
  </si>
  <si>
    <t>Технический анализ и трейдинг на фин. рынке: Уч.пос. / А.Ю.Михайлов - М.:НИЦ ИНФРА-М,2026. - 101 с.(ВО)(О)</t>
  </si>
  <si>
    <t>ТЕХНИЧЕСКИЙ АНАЛИЗ И ТРЕЙДИНГ НА ФИНАНСОВОМ РЫНКЕ, ИЗД.1</t>
  </si>
  <si>
    <t>978-5-16-021116-9</t>
  </si>
  <si>
    <t>093650.15.01</t>
  </si>
  <si>
    <t>Технический сервис трансп.машин и оборудов.: Уч.пос. / С.Ф.Головин - НИЦ ИНФРА-М,2025 - 282 с.(ВО:Бакалавр.)(о)</t>
  </si>
  <si>
    <t>ТЕХНИЧЕСКИЙ СЕРВИС ТРАНСПОРТНЫХ МАШИН И ОБОРУДОВАНИЯ, ИЗД.1</t>
  </si>
  <si>
    <t>Головин С.Ф.</t>
  </si>
  <si>
    <t>978-5-16-011135-3</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</si>
  <si>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23.03.03 «Эксплуатация транспортно-технологических машин и комплексов»</t>
  </si>
  <si>
    <t>704196.06.01</t>
  </si>
  <si>
    <t>Технический сервис транспорт. машин и оборуд.: Уч.пос. / С.Ф.Головин - М.:НИЦ ИНФРА-М,2024 - 282с(СПО)(П)</t>
  </si>
  <si>
    <t>978-5-16-014919-6</t>
  </si>
  <si>
    <t>35.01.27, 35.01.30, 35.01.33, 35.02.05, 35.02.16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</si>
  <si>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23.02.00 «Техника и технологии наземного транспорта» (протокол № 5 от 11.03.2019)</t>
  </si>
  <si>
    <t>096750.21.01</t>
  </si>
  <si>
    <t>Техническое нормир., оплата труда и проектно-смет...: Уч. / И.А.Либерман - М.:НИЦ ИНФРА-М,2026 - 400 с.(СПО)(п)</t>
  </si>
  <si>
    <t>ТЕХНИЧЕСКОЕ НОРМИРОВАНИЕ, ОПЛАТА ТРУДА И ПРОЕКТНО-СМЕТНОЕ ДЕЛО В СТРОИТЕЛЬСТВЕ, ИЗД.1</t>
  </si>
  <si>
    <t>Либерман И. А.</t>
  </si>
  <si>
    <t>978-5-16-003434-8</t>
  </si>
  <si>
    <t>08.01.29, 08.01.30, 08.02.01, 08.02.02, 08.02.03, 08.02.04, 08.02.08, 08.02.09, 08.02.12, 08.02.13, 23.02.08</t>
  </si>
  <si>
    <t>083040.18.01</t>
  </si>
  <si>
    <t>Техническое обслуж. авт. зарубеж. произв.: Уч.пос./ И.С.Туревский - М.:ИД ФОРУМ, НИЦ ИНФРА-М,2026 -208с(П)</t>
  </si>
  <si>
    <t>ТЕХНИЧЕСКОЕ ОБСЛУЖИВАНИЕ АВТОМОБИЛЕЙ ЗАРУБЕЖНОГО ПРОИЗВОДСТВА, ИЗД.1</t>
  </si>
  <si>
    <t>978-5-8199-0758-0</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</si>
  <si>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специальности 23.02.03 «Техническое обслуживание и ремонт автомобильного транспорта»</t>
  </si>
  <si>
    <t>058260.23.01</t>
  </si>
  <si>
    <t>Техническое обслуж. автомобилей: Уч.пос.: Кн.2 / Туревский И.С. - М.:ИД ФОРУМ,НИЦ ИНФРА-М,2026 - 256 с.(СПО)(п)</t>
  </si>
  <si>
    <t>ТЕХНИЧЕСКОЕ ОБСЛУЖИВАНИЕ АВТОМОБИЛЕЙ, ИЗД.1</t>
  </si>
  <si>
    <t>978-5-16-021197-8</t>
  </si>
  <si>
    <t>08.02.12, 23.01.03, 23.01.17, 23.02.02, 23.02.03, 23.02.07</t>
  </si>
  <si>
    <t>072640.15.01</t>
  </si>
  <si>
    <t>Техническое обслуж. и ремонт авто. трансп..: Уч.пос. / И.С.Туревский - М.:ИД ФОРУМ,НИЦ ИНФРА-М,2026 - 192 с.(П)</t>
  </si>
  <si>
    <t>ТЕХНИЧЕСКОЕ ОБСЛУЖИВАНИЕ И РЕМОНТ АВТОМОБИЛЬНОГО ТРАНСПОРТА. ВВЕДЕНИЕ В СПЕЦИАЛЬНОСТЬ, ИЗД.1</t>
  </si>
  <si>
    <t>978-5-16-021167-1</t>
  </si>
  <si>
    <t>032570.26.01</t>
  </si>
  <si>
    <t>Техническое обслуж. и ремонт автомобилей: Уч.пос. / Л.И.Епифанов, - 2 изд. - М.:НИЦ ИНФРА-М,2026. - 349 с.(СПО)(о)</t>
  </si>
  <si>
    <t>ТЕХНИЧЕСКОЕ ОБСЛУЖИВАНИЕ И РЕМОНТ АВТОМОБИЛЕЙ, ИЗД.2</t>
  </si>
  <si>
    <t>Епифанов Л.И., Епифанова Е.А.</t>
  </si>
  <si>
    <t>978-5-16-021198-5</t>
  </si>
  <si>
    <t>23.01.03, 23.01.06, 23.01.08, 23.01.17, 23.02.02, 23.02.03, 23.02.07, 35.01.27, 35.01.30, 35.02.05, 35.02.16</t>
  </si>
  <si>
    <t>130250.10.01</t>
  </si>
  <si>
    <t>Техническое обслуж. и ремонты оборуд.: Уч. пос. / Под ред. В.В.Кондратьева - ИНФРА-М,2027 -128 с.(п+CD)</t>
  </si>
  <si>
    <t>ТЕХНИЧЕСКОЕ ОБСЛУЖИВАНИЕ И РЕМОНТЫ ОБОРУДОВАНИЯ. РЕШЕНИЯ НКМК-НТМК-ЕВРАЗ, ИЗД.1</t>
  </si>
  <si>
    <t>Кондратьев В. В., Мухатдинов Н. Х., Юрьев А. Б.</t>
  </si>
  <si>
    <t>Управление производством: Магистратура</t>
  </si>
  <si>
    <t>978-5-16-004039-4</t>
  </si>
  <si>
    <t>15.03.01, 15.03.05, 38.03.02, 38.04.02</t>
  </si>
  <si>
    <t>065500.24.01</t>
  </si>
  <si>
    <t>Техническое обслуж.автомобилей: Уч.пос.: Кн.1  / И.С.Туревский - М.:ИД ФОРУМ, НИЦ ИНФРА-М,2026 - 432 с.(П)</t>
  </si>
  <si>
    <t>978-5-8199-0690-3</t>
  </si>
  <si>
    <t>23.01.03, 23.01.17, 23.02.02, 23.02.03, 23.02.07, 35.01.27, 35.01.30, 35.02.05, 35.02.07, 35.02.16</t>
  </si>
  <si>
    <t>Допущено Министерством образования Российской Федерации в качестве учебного пособия для студентов учреждений среднего профессионального образования, обучающихся по специальности «Техническое обслуживание и ремонт автомобильного транспорта»</t>
  </si>
  <si>
    <t>862530.01.01</t>
  </si>
  <si>
    <t>Техническое регулир. в Евразийском экономич. союзе: Моногр. / М.А.Павлова - М.:НИЦ ИНФРА-М,2026. - 211 с.(п)</t>
  </si>
  <si>
    <t>ТЕХНИЧЕСКОЕ РЕГУЛИРОВАНИЕ В ЕВРАЗИЙСКОМ ЭКОНОМИЧЕСКОМ СОЮЗЕ, ИЗД.1</t>
  </si>
  <si>
    <t>Павлова М.А.</t>
  </si>
  <si>
    <t>978-5-16-021489-4</t>
  </si>
  <si>
    <t>38.05.02, 38.06.01, 40.05.01, 40.05.02, 40.05.03, 40.05.04, 40.06.01, 41.04.05, 41.06.01</t>
  </si>
  <si>
    <t>775347.02.01</t>
  </si>
  <si>
    <t>Техническое регулир. в механизме гос. управ./ А.В.Калмыкова - М.:Юр. НОРМА, НИЦ ИНФРА-М,2025. - 216 с.(П)</t>
  </si>
  <si>
    <t>ТЕХНИЧЕСКОЕ РЕГУЛИРОВАНИЕ В МЕХАНИЗМЕ ГОСУДАРСТВЕННОГО УПРАВЛЕНИЯ, ИЗД.1</t>
  </si>
  <si>
    <t>Калмыкова А.В.</t>
  </si>
  <si>
    <t>978-5-00156-232-0</t>
  </si>
  <si>
    <t>27.05.02, 40.04.01, 40.06.01</t>
  </si>
  <si>
    <t>242500.09.01</t>
  </si>
  <si>
    <t>Техногенный риск и безопасность: Уч.пос. / А.Г.Ветошкин - 2изд. - М.:НИЦ ИНФРА-М,2024 - 198с(ВО)(п)</t>
  </si>
  <si>
    <t>ТЕХНОГЕННЫЙ РИСК И БЕЗОПАСНОСТЬ, ИЗД.2</t>
  </si>
  <si>
    <t>Ветошкин А.Г., Таранцева К.Р.</t>
  </si>
  <si>
    <t>978-5-16-019064-8</t>
  </si>
  <si>
    <t>Допущено Учебно-методическим объединением вузов по университетскому политехническому образованию в качестве учебного пособия для студентов, обучающихся по направлению подготовки 20.03.01 «Техносферная безопасность»</t>
  </si>
  <si>
    <t>765966.02.01</t>
  </si>
  <si>
    <t>Технологии в социальной работе: Уч. / А.В.Ипатов-М.:НИЦ ИНФРА-М,2022.-378 с.(ВО: Бакалавриат)(П)</t>
  </si>
  <si>
    <t>ТЕХНОЛОГИИ В СОЦИАЛЬНОЙ РАБОТЕ, ИЗД.1</t>
  </si>
  <si>
    <t>Ипатов А.В.</t>
  </si>
  <si>
    <t>978-5-16-017294-1</t>
  </si>
  <si>
    <t>130130.07.01</t>
  </si>
  <si>
    <t>Технологии восстан. лечения при дорсопатиях: Уч. пос./ Л.Г. Агасаров.-Вуз. уч..:ИНФРА-М, 2024.-96с. (о)</t>
  </si>
  <si>
    <t>ТЕХНОЛОГИИ ВОССТАНОВИТЕЛЬНОГО ЛЕЧЕНИЯ ПРИ ДОРСОПАТИЯХ, ИЗД.2</t>
  </si>
  <si>
    <t>Агасаров Л. Г.</t>
  </si>
  <si>
    <t>978-5-9558-0162-9</t>
  </si>
  <si>
    <t>31.06.01, 31.08.42, 31.08.56, 31.08.66, 31.08.67</t>
  </si>
  <si>
    <t>Рекомендовано УМО по медицинскому и фармацевтическому образованию вузов России в качестве учебного пособия для системы послевузового профессионального образования врачей</t>
  </si>
  <si>
    <t>785129.02.01</t>
  </si>
  <si>
    <t>Технологии и методики фитнес-тренировки: Уч.пос. / А.И.Замогильнов - М.:НИЦ ИНФРА-М,2026. - 308 с.(ВО)(п)</t>
  </si>
  <si>
    <t>ТЕХНОЛОГИИ И МЕТОДИКИ ФИТНЕС-ТРЕНИРОВКИ, ИЗД.1</t>
  </si>
  <si>
    <t>Замогильнов А.И., Крылов В.Е., Якунина В.М. и др.</t>
  </si>
  <si>
    <t>978-5-16-018243-8</t>
  </si>
  <si>
    <t>49.04.01</t>
  </si>
  <si>
    <t>842176.02.01</t>
  </si>
  <si>
    <t>Технологии и методики фитнес-тренировки: Уч.пос. / А.И.Замогильнов - М.:НИЦ ИНФРА-М,2026. - 308 с.(СПО)(п)</t>
  </si>
  <si>
    <t>978-5-16-020315-7</t>
  </si>
  <si>
    <t>49.02.01</t>
  </si>
  <si>
    <t>806622.02.01</t>
  </si>
  <si>
    <t>Технологии и оборуд. для сушки растител. сырья: Уч.пос. / В.Н.Тепляшин - М.:НИЦ ИНФРА-М,2027. - 173 с.(ВО)(п)</t>
  </si>
  <si>
    <t>ТЕХНОЛОГИИ И ОБОРУДОВАНИЕ ДЛЯ СУШКИ РАСТИТЕЛЬНОГО СЫРЬЯ, ИЗД.1</t>
  </si>
  <si>
    <t>Тепляшин В.Н., Ченцова Л.И., Невзоров В.Н.</t>
  </si>
  <si>
    <t>978-5-16-019298-7</t>
  </si>
  <si>
    <t>15.03.02, 19.03.02</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</si>
  <si>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19.03.02 «Продукты питания из растительного сырья», 15.03.02 «Технологические машины и оборудование»</t>
  </si>
  <si>
    <t>805935.01.01</t>
  </si>
  <si>
    <t>Технологии и техника для созд.эколог.чистых..: Моногр./ Б.С.Ксенофонтов-М.:НИЦ ИНФРА-М,2024.-239 с.(п)</t>
  </si>
  <si>
    <t>ТЕХНОЛОГИИ И ТЕХНИКА ДЛЯ СОЗДАНИЯ ЭКОЛОГИЧЕСКИ ЧИСТЫХ И БЕЗОТХОДНЫХ БИОТЕХНОЛОГИЧЕСКИХ ПРОИЗВОДСТВ, ИЗД.1</t>
  </si>
  <si>
    <t>978-5-16-018700-6</t>
  </si>
  <si>
    <t>05.04.06, 12.04.04, 19.04.01</t>
  </si>
  <si>
    <t>740833.03.01</t>
  </si>
  <si>
    <t>Технологии инклюзии инвалидов и лиц с огр. возмож. здоровья: Уч.пос. / Е.В.Воеводина-М.:НИЦ ИНФРА-М,2024.-203 с.(ВО)(п)</t>
  </si>
  <si>
    <t>ТЕХНОЛОГИИ ИНКЛЮЗИИ ИНВАЛИДОВ И ЛИЦ С ОГРАНИЧЕННЫМИ ВОЗМОЖНОСТЯМИ ЗДОРОВЬЯ, ИЗД.1</t>
  </si>
  <si>
    <t>Воеводина Е.В.</t>
  </si>
  <si>
    <t>978-5-16-019828-6</t>
  </si>
  <si>
    <t>39.03.01, 39.03.02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</si>
  <si>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39.03.01 «Социология», 39.03.02 «Социальная работа» (квалификация (степень) «бакалавр») (протокол № 6 от 16.06.2021)</t>
  </si>
  <si>
    <t>740833.05.01</t>
  </si>
  <si>
    <t>Технологии инклюзии инвалидов и лиц с огранич..: Уч.пос. / Е.В.Воеводина  - 2 изд. - М.:НИЦ ИНФРА-М,2026 - 397 с.(п)</t>
  </si>
  <si>
    <t>ТЕХНОЛОГИИ ИНКЛЮЗИИ ИНВАЛИДОВ И ЛИЦ С ОГРАНИЧЕННЫМИ ВОЗМОЖНОСТЯМИ ЗДОРОВЬЯ, ИЗД.2</t>
  </si>
  <si>
    <t>978-5-16-021782-6</t>
  </si>
  <si>
    <t>293500.04.01</t>
  </si>
  <si>
    <t>Технологии интенсивного формир. экон. самост..: Моногр. / С.Д.Резник - М.:НИЦ ИНФРА-М,2024-224 с.(о)</t>
  </si>
  <si>
    <t>ТЕХНОЛОГИИ ИНТЕНСИВНОГО ФОРМИРОВАНИЯ ЭКОНОМИЧЕСКОЙ САМОСТОЯТЕЛЬНОСТИ И ПРЕДПРИНИМАТЕЛЬСКИХ КОМПЕТЕН, ИЗД.1</t>
  </si>
  <si>
    <t>Резник С.Д., Черницов А.Е.</t>
  </si>
  <si>
    <t>978-5-16-010061-6</t>
  </si>
  <si>
    <t>683009.02.01</t>
  </si>
  <si>
    <t>Технологии исполнения бюджета: Уч. / М.Л.Седова - М.:НИЦ ИНФРА-М,2026. - 266 с.(ВО: Магистр.)(п)</t>
  </si>
  <si>
    <t>ТЕХНОЛОГИИ ИСПОЛНЕНИЯ БЮДЖЕТА, ИЗД.1</t>
  </si>
  <si>
    <t>Седова М.Л., Демидова С.Е., Макашина О.В.</t>
  </si>
  <si>
    <t>978-5-16-022110-6</t>
  </si>
  <si>
    <t>680396.03.01</t>
  </si>
  <si>
    <t>Технологии кадрового менеджмента: Уч. / О.Л.Чуланова - М.:НИЦ ИНФРА-М,2023 -492с(ВО: Бакалавриат)(П)</t>
  </si>
  <si>
    <t>ТЕХНОЛОГИИ КАДРОВОГО МЕНЕДЖМЕНТА, ИЗД.1</t>
  </si>
  <si>
    <t>978-5-16-014054-4</t>
  </si>
  <si>
    <t>Рекомендовано Учебно-методическим советом ВО в качестве учебника для студентов высших учебных заведений, обучающихся по направлению подготовки 38.03.03 «Управление персоналом» (квалификация (степень) «бакалавр»)</t>
  </si>
  <si>
    <t>803567.01.01</t>
  </si>
  <si>
    <t>Технологии кредитования мал. и сред. бизнеса в усл. цифр. экон.: Моногр. / Н.И.Морозко-М.:НИЦ ИНФРА-М,2023-328с.(о)</t>
  </si>
  <si>
    <t>ТЕХНОЛОГИИ КРЕДИТОВАНИЯ МАЛОГО  И СРЕДНЕГО БИЗНЕСА В УСЛОВИЯХ ЦИФРОВИЗАЦИИ ЭКОНОМИКИ, ИЗД.1</t>
  </si>
  <si>
    <t>Морозко Н.И., Морозко Н.И.</t>
  </si>
  <si>
    <t>978-5-16-018567-5</t>
  </si>
  <si>
    <t>383400.06.01</t>
  </si>
  <si>
    <t>Технологии машиностроения. Выпускная...: Уч.пос. / Н.М.Султан-заде. - М.:Форум, НИЦ ИНФРА-М,2026. - 288 с.(П)</t>
  </si>
  <si>
    <t>ТЕХНОЛОГИИ МАШИНОСТРОЕНИЯ. ВЫПУСКНАЯ КВАЛИФИКАЦИОННАЯ РАБОТА ДЛЯ БАКАЛАВРОВ, ИЗД.1</t>
  </si>
  <si>
    <t>Султан-заде Н.М., Клепиков В.В., Солдатов В.Ф. и др.</t>
  </si>
  <si>
    <t>978-5-00091-105-1</t>
  </si>
  <si>
    <t>Московский государственный индустриальный университет</t>
  </si>
  <si>
    <t>157750.08.01</t>
  </si>
  <si>
    <t>Технологии мобильной связи: услуги и сервисы / А.Г.Бельтов - М:ИНФРА-М,2024-206с(Просто,кратко,быстро)</t>
  </si>
  <si>
    <t>ТЕХНОЛОГИИ МОБИЛЬНОЙ СВЯЗИ: УСЛУГИ И СЕРВИСЫ, ИЗД.1</t>
  </si>
  <si>
    <t>Бельтов А. Г., Жуков И. Ю., Михайлов Д. М., Стариковский А. В.</t>
  </si>
  <si>
    <t>978-5-16-004889-5</t>
  </si>
  <si>
    <t>10.03.01, 10.04.01, 11.03.02, 11.04.02</t>
  </si>
  <si>
    <t>842007.01.01</t>
  </si>
  <si>
    <t>Технологии муз. образования: Уч.пос. / Т.В.Надолинская - М.:НИЦ ИНФРА-М,2025. - 231 с.(СПО)(п)</t>
  </si>
  <si>
    <t>ТЕХНОЛОГИИ МУЗЫКАЛЬНОГО ОБРАЗОВАНИЯ, ИЗД.1</t>
  </si>
  <si>
    <t>Надолинская Т.В.</t>
  </si>
  <si>
    <t>978-5-16-020301-0</t>
  </si>
  <si>
    <t>44.02.03, 44.02.04, 53.02.01, 53.02.02</t>
  </si>
  <si>
    <t>739813.02.01</t>
  </si>
  <si>
    <t>Технологии муз. образования: Уч.пос. / Т.В.Надолинская - М.:НИЦ ИНФРА-М,2026. - 231 с.(ВО: Бакалавр.)(П)</t>
  </si>
  <si>
    <t>978-5-16-016513-4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</si>
  <si>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44.03.05 «Педагогическое образование (с двумя профилями подготовки)» (квалификация (степень) «бакалавр») (протокол № 5 от 11.05.2022)</t>
  </si>
  <si>
    <t>636178.10.01</t>
  </si>
  <si>
    <t>Технологии обуч. и развит. персонала в орг.: Уч. / Под ред. Полевой М.В. - 2 изд. - М.:НИЦ ИНФРА-М,2027 - 273 с.(п)</t>
  </si>
  <si>
    <t>ТЕХНОЛОГИИ ОБУЧЕНИЯ И РАЗВИТИЯ ПЕРСОНАЛА В ОРГАНИЗАЦИИ, ИЗД.2</t>
  </si>
  <si>
    <t>Полевая М.В., Белогруд И.Н., Иванова И.А. и др.</t>
  </si>
  <si>
    <t>978-5-16-019023-5</t>
  </si>
  <si>
    <t>38.03.03, 38.03.04, 38.04.03, 44.03.01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</si>
  <si>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38.03.03 «Управление персоналом» (квалификация (степень) «бакалавр») (протокол № 6 от 16.06.2021)</t>
  </si>
  <si>
    <t>636178.04.01</t>
  </si>
  <si>
    <t>Технологии обуч. и развития персонала в организ.: Уч. / В.М.Маслова.-М.:Вуз. уч., НИЦ ИНФРА-М,2020.-256 с.(П)</t>
  </si>
  <si>
    <t>ТЕХНОЛОГИИ ОБУЧЕНИЯ И РАЗВИТИЯ ПЕРСОНАЛА В ОРГАНИЗАЦИИ, ИЗД.1</t>
  </si>
  <si>
    <t>Маслова В.М., Полевая М.В., Белогруд И.Н. и др.</t>
  </si>
  <si>
    <t>978-5-9558-0528-3</t>
  </si>
  <si>
    <t>635714.07.01</t>
  </si>
  <si>
    <t>Технологии орг. профориентац. работы..: Практ.пос. / С.Н.Козловская - 2 изд., - М.:НИЦ ИНФРА-М,2025 - 176 с.(о)</t>
  </si>
  <si>
    <t>ТЕХНОЛОГИИ ОРГАНИЗАЦИИ ПРОФОРИЕНТАЦИОННОЙ РАБОТЫ В ШКОЛЕ, ИЗД.2</t>
  </si>
  <si>
    <t>978-5-16-012127-7</t>
  </si>
  <si>
    <t>39.03.02, 44.03.01, 44.03.02</t>
  </si>
  <si>
    <t>697049.08.01</t>
  </si>
  <si>
    <t>Технологии параллельного программир.: Уч.пос. / С.А.Лупин - М.:ИД ФОРУМ,НИЦ ИНФРА-М,2027 - 206 с.(СПО)(П)</t>
  </si>
  <si>
    <t>ТЕХНОЛОГИИ ПАРАЛЛЕЛЬНОГО ПРОГРАММИРОВАНИЯ, ИЗД.1</t>
  </si>
  <si>
    <t>Лупин С.А., Посыпкин М.А.</t>
  </si>
  <si>
    <t>978-5-8199-0853-2</t>
  </si>
  <si>
    <t>089740.09.01</t>
  </si>
  <si>
    <t>Технологии параллельного программир.: Уч.пос. / С.А.Лупин-М.:ИД ФОРУМ, ИНФРА-М Изд.Дом,2024-206 с.-(ВО)(П)</t>
  </si>
  <si>
    <t>Лупин С. А., Посыпкин М. А.</t>
  </si>
  <si>
    <t>978-5-8199-0336-0</t>
  </si>
  <si>
    <t>01.04.04, 02.03.03, 02.04.02, 09.03.01, 09.03.02, 09.03.03, 09.03.04</t>
  </si>
  <si>
    <t>Допущено УМО по университетскому политехническому образованию в качестве учебного пособия для студентов высших учебных заведений, обучающихся по направлению 230100 "Информатика и вычислительная техника"</t>
  </si>
  <si>
    <t>131500.12.01</t>
  </si>
  <si>
    <t>Технологии производ. реклам.продукции: Уч.пос. / Г.А.Васильев. - М.:Вуз. уч., ИНФРА-М Изд. Дом,2027. - 272 с.(П)</t>
  </si>
  <si>
    <t>ТЕХНОЛОГИИ ПРОИЗВОДСТВА РЕКЛАМНОЙ ПРОДУКЦИИ, ИЗД.1</t>
  </si>
  <si>
    <t>Васильев Г. А., Поляков В. А., Романов А. А.</t>
  </si>
  <si>
    <t>978-5-9558-0155-1</t>
  </si>
  <si>
    <t>633393.09.01</t>
  </si>
  <si>
    <t>Технологии психолог. помощи семьям детей...: Уч. / В.В.Ткачева - 2 изд. - М.:НИЦ ИНФРА-М,2026 - 281 с.(п)</t>
  </si>
  <si>
    <t>ТЕХНОЛОГИИ ПСИХОЛОГИЧЕСКОЙ ПОМОЩИ СЕМЬЯМ ДЕТЕЙ С ОГРАНИЧЕННЫМИ ВОЗМОЖНОСТЯМИ ЗДОРОВЬЯ, ИЗД.2</t>
  </si>
  <si>
    <t>Ткачева В.В.</t>
  </si>
  <si>
    <t>978-5-16-022291-2</t>
  </si>
  <si>
    <t>37.03.01, 44.03.01, 44.03.02, 44.03.03, 44.03.05, 44.04.01, 44.04.02, 44.04.03</t>
  </si>
  <si>
    <t>Рекомендовано в качестве учебника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37.03.01 «Психология» (квалификация (степень) «бакалавр»)</t>
  </si>
  <si>
    <t>706849.06.01</t>
  </si>
  <si>
    <t>Технологии психологич. помощи семьям детей...: Уч. / В.В.Ткачева - 2 изд. - М.:НИЦ ИНФРА-М,2026 - 281с.(п)(СПО)</t>
  </si>
  <si>
    <t>978-5-16-015123-6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</si>
  <si>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44.02.04 «Специальное дошкольное образование», 44.02.05 «Коррекционная педагогика в начальном образовании» (протокол № 9 от 17.11.2022)</t>
  </si>
  <si>
    <t>814314.01.01</t>
  </si>
  <si>
    <t>Технологии ресурсосбер. восстановления и ремонта деталей... / С.В.Карцев-М.:НИЦ ИНФРА-М,2025.-357 с.(п)</t>
  </si>
  <si>
    <t>ТЕХНОЛОГИИ РЕСУРСОСБЕРЕГАЮЩЕГО ВОССТАНОВЛЕНИЯ И РЕМОНТА ДЕТАЛЕЙ ПРОМЫШЛЕННОГО ОБОРУДОВАНИЯ, ИЗД.1</t>
  </si>
  <si>
    <t>Карцев С.В., Кравченко И.Н.</t>
  </si>
  <si>
    <t>978-5-16-019232-1</t>
  </si>
  <si>
    <t>15.04.02, 15.05.01</t>
  </si>
  <si>
    <t>097450.11.01</t>
  </si>
  <si>
    <t>Технологии соц.работы с разл.группами насел..:Уч.пос./П.Д.Павленок-М.:НИЦ ИНФРА-М,2023-272с(ВО:Бак.)</t>
  </si>
  <si>
    <t>ТЕХНОЛОГИИ СОЦИАЛЬНОЙ РАБОТЫ С РАЗЛИЧНЫМИ ГРУППАМИ НАСЕЛЕНИЯ, ИЗД.1</t>
  </si>
  <si>
    <t>Павленок П. Д., Руднева М. Я.</t>
  </si>
  <si>
    <t>978-5-16-003292-4</t>
  </si>
  <si>
    <t>Рекомендовано Учебно-методическим  объединением по образованию в области социальной работы в качестве учебного пособия для студентов высших учебных заведений, обучающихся по направлению 39.03.02 «Социальная работа»</t>
  </si>
  <si>
    <t>681206.05.01</t>
  </si>
  <si>
    <t>Технологии тренинга: Уч. / Е.В.Сухова - М.:НИЦ ИНФРА-М,2026 - 232 с.-(ВО)(п)</t>
  </si>
  <si>
    <t>ТЕХНОЛОГИИ ТРЕНИНГА, ИЗД.1</t>
  </si>
  <si>
    <t>978-5-16-019384-7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</si>
  <si>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38.03.02 «Менеджмент», 38.03.03 «Управление персоналом» (квалификация (степень) «бакалавр») (протокол № 2 от 03.02.2020)</t>
  </si>
  <si>
    <t>705531.07.01</t>
  </si>
  <si>
    <t>Технологии уборки дома и квартиры: Уч.пос. / В.Н.Шитов - М.:НИЦ ИНФРА-М,2026. - 238 с.(СПО)(П)</t>
  </si>
  <si>
    <t>ТЕХНОЛОГИИ УБОРКИ ДОМА И КВАРТИРЫ, ИЗД.1</t>
  </si>
  <si>
    <t>978-5-16-015294-3</t>
  </si>
  <si>
    <t>08.02.14, 43.02.11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</si>
  <si>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43.02.08 «Сервис домашнего и коммунального хозяйства» (протокол № 3 от 17.02.2020)</t>
  </si>
  <si>
    <t>357000.10.01</t>
  </si>
  <si>
    <t>Технологии физического уровня передачи данных: Уч. СПО / А.В.Кистрин . - М.:КУРС, НИЦ ИНФРА-М,2026. - 218 c.(П)</t>
  </si>
  <si>
    <t>ТЕХНОЛОГИИ ФИЗИЧЕСКОГО УРОВНЯ ПЕРЕДАЧИ ДАННЫХ, ИЗД.1</t>
  </si>
  <si>
    <t>Кистрин А.В., Костров Б.В., Ефимов А.И. и др.</t>
  </si>
  <si>
    <t>978-5-906818-37-9</t>
  </si>
  <si>
    <t>09.02.02, 09.02.06, 10.02.05</t>
  </si>
  <si>
    <t>787325.04.01</t>
  </si>
  <si>
    <t>Технологии фонопедической работы при наруш. голоса: Уч.пос. / Шашкина Г.Р. - М.:НИЦ ИНФРА-М,2026 - 160 с.(ВО)(п)</t>
  </si>
  <si>
    <t>ТЕХНОЛОГИИ ФОНОПЕДИЧЕСКОЙ РАБОТЫ ПРИ НАРУШЕНИЯХ ГОЛОСА, ИЗД.1</t>
  </si>
  <si>
    <t>Шашкина Г.Р., Журавлева Ж.И., Агаева В.Е. и др.</t>
  </si>
  <si>
    <t>978-5-16-017967-4</t>
  </si>
  <si>
    <t>Всероссийский (с международным участием) конкурс учебно-методических, учебных и научных работ "Добросвет"-2024, Победитель, I место</t>
  </si>
  <si>
    <t>158645.13.01</t>
  </si>
  <si>
    <t>Технологии цвет.революций: Моногр. / А.Э.Гапич - 2 изд. - М.:ИЦ РИОР, НИЦ ИНФРА-М,2026 - 126 с.(О)</t>
  </si>
  <si>
    <t>ТЕХНОЛОГИИ ЦВЕТНЫХ РЕВОЛЮЦИЙ, ИЗД.2</t>
  </si>
  <si>
    <t>Гапич А. Э., Лушников Д. А.</t>
  </si>
  <si>
    <t>978-5-369-01354-0</t>
  </si>
  <si>
    <t>39.03.01, 39.03.03, 39.04.01, 39.04.03, 40.03.01, 41.03.04, 41.03.06, 41.04.04, 44.03.01, 44.03.05</t>
  </si>
  <si>
    <t>646569.04.01</t>
  </si>
  <si>
    <t>Технологическая оснастка. Станочные приспособ.:Уч.пос. /В.В.Клепиков-М.:НИЦ ИНФРА-М,2024-345с(ВО)(П)</t>
  </si>
  <si>
    <t>ТЕХНОЛОГИЧЕСКАЯ ОСНАСТКА. СТАНОЧНЫЕ ПРИСПОСОБЛЕНИЯ, ИЗД.1</t>
  </si>
  <si>
    <t>Клепиков В.В.</t>
  </si>
  <si>
    <t>978-5-16-012518-3</t>
  </si>
  <si>
    <t>Рекомендовано в качестве учебного пособия для студентов высших учебных заведений, обучающихся по направлению подготовки 15.03.05 «Конструкторско-технологическое обеспечение машиностроительных производств» (квалификация (степень) «бакалавр»)</t>
  </si>
  <si>
    <t>714975.05.01</t>
  </si>
  <si>
    <t>Технологическая оснастка: Уч.пос. / С.А.Берберов и др. - М.:НИЦ ИНФРА-М,2026 - 271 с.(СПО)(П)</t>
  </si>
  <si>
    <t>ТЕХНОЛОГИЧЕСКАЯ ОСНАСТКА, ИЗД.1</t>
  </si>
  <si>
    <t>Берберов С.А., Тамаркин М.А., Прокопец Г.А. и др.</t>
  </si>
  <si>
    <t>978-5-16-015485-5</t>
  </si>
  <si>
    <t>15.02.04, 15.02.16, 15.02.17, 15.02.18, 18.02.07, 18.02.13, 24.02.02, 26.02.02, 26.02.04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</si>
  <si>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15.02.08 «Технология машиностроения» (протокол № 5 от 19.05.2021)</t>
  </si>
  <si>
    <t>680957.02.01</t>
  </si>
  <si>
    <t>Технологическая подготовка предпр. тех. сервиса: Уч.пос. / Корнеев В.М. - М.:НИЦ ИНФРА-М,2022 - 244с(П)</t>
  </si>
  <si>
    <t>ТЕХНОЛОГИЧЕСКАЯ ПОДГОТОВКА ПРЕДПРИЯТИЙ ТЕХНИЧЕСКОГО СЕРВИСА, ИЗД.1</t>
  </si>
  <si>
    <t>Корнеев В.М., Кравченко И.Н., Петровский Д.И. и др.</t>
  </si>
  <si>
    <t>978-5-16-013817-6</t>
  </si>
  <si>
    <t>Рекомендовано Научно-методическим советом по технологиям, средствам механизации и энергетическому оборудованию в сельском хозяйстве Федерального УМО по сельскому, лесному и рыбному хозяйству в качестве учебного пособия для студентов, обучающихся по направлению подготовки 35.03.06 «Агроинженерия» (квалификация (степень) «бакалавр»)</t>
  </si>
  <si>
    <t>814636.01.01</t>
  </si>
  <si>
    <t>Технологическая трансформация малых и сред. произв...: Моногр. / Е.А.Панова - М.:НИЦ ИНФРА-М,2024.-187с(о)</t>
  </si>
  <si>
    <t>ТЕХНОЛОГИЧЕСКАЯ ТРАНСФОРМАЦИЯ МАЛЫХ И СРЕДНИХ ПРОИЗВОДСТВЕННЫХ ПРЕДПРИЯТИЙ В УСЛОВИЯХ САНКЦИЙ, ИЗД.1</t>
  </si>
  <si>
    <t>Панова Е.А.</t>
  </si>
  <si>
    <t>978-5-16-019679-4</t>
  </si>
  <si>
    <t>827080.01.01</t>
  </si>
  <si>
    <t>Технологические добавки и улучшители в производстве..: Уч.пос. / Ж.А.Кох - М.:НИЦ ИНФРА-М,2025. - 302 с.(п)</t>
  </si>
  <si>
    <t>ТЕХНОЛОГИЧЕСКИЕ ДОБАВКИ И УЛУЧШИТЕЛИ В ПРОИЗВОДСТВЕ ПРОДУКТОВ ПИТАНИЯ, ИЗД.1</t>
  </si>
  <si>
    <t>Кох Ж.А., Кох Д.А.</t>
  </si>
  <si>
    <t>978-5-16-020334-8</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</si>
  <si>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19.00.00 «Промышленная экология и биотехнологии» в качестве учебного пособия для обучающихся по основным образовательным программам высшего образования уровней бакалавриата и магистратуры направлений подготовки 19.03.02 и 19.04.02 «Продукты питания из растительного сырья»</t>
  </si>
  <si>
    <t>687652.04.01</t>
  </si>
  <si>
    <t>Технологические дорожные карты: общее руководство..: Моногр./ Л.Ю.Матич-М.:НИЦ ИНФРА-М,2022.-151 с.(Научная мысль)(О)</t>
  </si>
  <si>
    <t>ТЕХНОЛОГИЧЕСКИЕ ДОРОЖНЫЕ КАРТЫ: ОБЩЕЕ РУКОВОДСТВО ПО ВНЕДРЕНИЮ И ИСПОЛЬЗОВАНИЮ ИНСТРУМЕНТА, ИЗД.1</t>
  </si>
  <si>
    <t>Матич Л.Ю.</t>
  </si>
  <si>
    <t>978-5-16-014268-5</t>
  </si>
  <si>
    <t>27.03.05, 27.04.05, 38.03.01</t>
  </si>
  <si>
    <t>706591.04.01</t>
  </si>
  <si>
    <t>Технологические основы добычи и перераб. топливно-энергет...: Уч./ Под ред. Линник Ю.Н.-М.:НИЦ ИНФРА-М,2025-457с.(ВО)(П)</t>
  </si>
  <si>
    <t>ТЕХНОЛОГИЧЕСКИЕ ОСНОВЫ ДОБЫЧИ И ПЕРЕРАБОТКИ ТОПЛИВНО-ЭНЕРГЕТИЧЕСКИХ РЕСУРСОВ, ИЗД.1</t>
  </si>
  <si>
    <t>Линник Ю.Н., Линник В.Ю., Воронцов В.Б. .</t>
  </si>
  <si>
    <t>978-5-16-020186-3</t>
  </si>
  <si>
    <t>21.03.01, 38.03.02</t>
  </si>
  <si>
    <t>Рекомендовано к изданию Ученым советом федерального государственного бюджетного образовательного учреждения высшего образования «Государственный университет управления» в качестве учебника  для обучающихся по образовательным программам направления подготовки 38.03.02 «Менеджмент»  (уровень бакалавриата)</t>
  </si>
  <si>
    <t>719200.04.01</t>
  </si>
  <si>
    <t>Технологические проц. и оборуд. для приготов. кормов: Уч.пос. / И.Я.Федоренко - М.:Форум, НИЦ ИНФРА-М,2025. - 176 с.(П)</t>
  </si>
  <si>
    <t>ТЕХНОЛОГИЧЕСКИЕ ПРОЦЕССЫ И ОБОРУДОВАНИЕ ДЛЯ ПРИГОТОВЛЕНИЯ КОРМОВ, ИЗД.1</t>
  </si>
  <si>
    <t>Федоренко И. Я.</t>
  </si>
  <si>
    <t>978-5-00091-717-6</t>
  </si>
  <si>
    <t>19.02.11, 19.02.12, 22.02.08, 35.01.23, 35.02.05, 35.02.08, 35.02.18, 36.01.02, 36.01.03, 36.02.01, 36.02.03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</si>
  <si>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35.02.07 «Механизация сельского хозяйства», 35.02.06 «Технология производства и переработки сельскохозяйственной продукции» (протокол № 11 от 10.06.2019)</t>
  </si>
  <si>
    <t>085990.11.01</t>
  </si>
  <si>
    <t>Технологические проц. и оборуд. для приготовления кормов: Уч. пос. / И.Я. Федоренко - М.:Форум,2025 - 176 с.(ВО)(о)</t>
  </si>
  <si>
    <t>978-5-91134-173-2</t>
  </si>
  <si>
    <t>35.03.06, 35.03.07, 36.03.02</t>
  </si>
  <si>
    <t>Рекомендовано учебно-методическим объединением вузов по агроинженерному образованию в качестве учебного пособия для студентов вузов, обучающихся по специальности 110301 - "Механизация сельского хозяйства"</t>
  </si>
  <si>
    <t>634143.08.01</t>
  </si>
  <si>
    <t>Технологические процессы автомат.производств: Уч. / В.М.Виноградов - М.:КУРС,НИЦ ИНФРА-М,2025 - 272с(П)</t>
  </si>
  <si>
    <t>ТЕХНОЛОГИЧЕСКИЕ ПРОЦЕССЫ АВТОМАТИЗИРОВАННЫХ ПРОИЗВОДСТВ, ИЗД.1</t>
  </si>
  <si>
    <t>Виноградов В.М., Черепахин А.А., Клепиков В.В.</t>
  </si>
  <si>
    <t>978-5-906818-69-0</t>
  </si>
  <si>
    <t>Рекомендовано в качестве учебника для студентов высших учебных заведений, обучающихся по направлению подготовки 15.03.04 «Автоматизация технологических процессов и производств» (квалификация «Бакалавр»)</t>
  </si>
  <si>
    <t>136650.13.01</t>
  </si>
  <si>
    <t>Технологические процессы в сервисе.: Уч.пос. / И.Н.Каграманова - М.:ИД ФОРУМ, НИЦ ИНФРА-М,2027 - 304 с.(П)</t>
  </si>
  <si>
    <t>ТЕХНОЛОГИЧЕСКИЕ ПРОЦЕССЫ В СЕРВИСЕ. ТЕХНОЛОГИЯ ШВЕЙНЫХ ИЗДЕЛИЙ, ИЗД.1</t>
  </si>
  <si>
    <t>Каграманова И. Н., Конопальцева Н. М.</t>
  </si>
  <si>
    <t>978-5-8199-0424-4</t>
  </si>
  <si>
    <t>Рекомендовано Учебно-методическим объединением учебных заведений РФ по образованию в области сервиса и туризма в качестве учебного пособия для студентов вузов Минобрнауки России (специализация Сервис индустрии моды)</t>
  </si>
  <si>
    <t>082900.07.01</t>
  </si>
  <si>
    <t>Технологические процессы в сервисе: Уч. пос. / Н.А.Крюкова. - М.: Форум, 2024. - 240 с. (ВО)(П)</t>
  </si>
  <si>
    <t>ТЕХНОЛОГИЧЕСКИЕ ПРОЦЕССЫ В СЕРВИСЕ. ОТДЕЛКА ОДЕЖДЫ ИЗ РАЗЛИЧНЫХ МАТЕРИАЛОВ, ИЗД.1</t>
  </si>
  <si>
    <t>Крюкова Н. А., Конопальцева Н. М.</t>
  </si>
  <si>
    <t>978-5-91134-137-4</t>
  </si>
  <si>
    <t>Рекомендовано Учебно-методическим объединением по образованию в области сервиса и туризма в качестве учебного пособия для студентов высших учебных заведений, обучающихся по специальности 100101 "Сервис"</t>
  </si>
  <si>
    <t>Поволжский государственный университет сервиса</t>
  </si>
  <si>
    <t>719353.05.01</t>
  </si>
  <si>
    <t>Технологические процессы в тех. сервисе машин и оборуд.: Уч.пос. / И.Н.Кравченк -М.:НИЦ ИНФРА-М,2025-346с(П)</t>
  </si>
  <si>
    <t>ТЕХНОЛОГИЧЕСКИЕ ПРОЦЕССЫ В ТЕХНИЧЕСКОМ СЕРВИСЕ МАШИН И ОБОРУДОВАНИЯ, ИЗД.1</t>
  </si>
  <si>
    <t>Кравченко И.Н., Пузряков А.Ф., Корнеев В.М. и др.</t>
  </si>
  <si>
    <t>978-5-16-015625-5</t>
  </si>
  <si>
    <t>13.02.13, 15.01.13, 15.01.18, 15.02.04, 15.02.06, 35.01.27, 35.01.30, 35.02.05, 35.02.07, 35.02.08, 35.02.16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</si>
  <si>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35.02.07 «Механизация сельского хозяйства» (протокол № 12 от 24.06.2019)</t>
  </si>
  <si>
    <t>646490.05.01</t>
  </si>
  <si>
    <t>Технологические процессы в тех.серв.машин и оборуд.: Уч.пос. / И.Н.Кравченко - М.:НИЦ ИНФРА-М,2027 - 346 с.(п)</t>
  </si>
  <si>
    <t>978-5-16-012628-9</t>
  </si>
  <si>
    <t>Рекомендовано Федеральным Учебно-методическим объединением в системе высшего образования по технологиям, средствам механизации и энергетическому оборудованию в сельском хозяйстве в качестве учебного пособия для студентов, обучающихся по направлениям подготовки 35.03.06 и 35.04.06 «Агроинженерия» (квалификация (степень) «бакалавр» и «магистр»)</t>
  </si>
  <si>
    <t>132050.06.01</t>
  </si>
  <si>
    <t>Технологические процессы машиностр. произв.: Уч.пос. / А.А.Черепахин-2 изд.-М.:Форум, НИЦ ИНФРА-М,2024-559 с.(ВО)(п)</t>
  </si>
  <si>
    <t>ТЕХНОЛОГИЧЕСКИЕ ПРОЦЕССЫ МАШИНОСТРОИТЕЛЬНОГО ПРОИЗВОДСТВА, ИЗД.2</t>
  </si>
  <si>
    <t>Черепахин А.А., Кузнецов В.А., Колтунов И.И.</t>
  </si>
  <si>
    <t>978-5-00091-704-6</t>
  </si>
  <si>
    <t>132050.05.01</t>
  </si>
  <si>
    <t>Технологические процессы машиностр. произв.: Уч.пос./ В.А.Кузнецов-М:Форум,НИЦ ИНФРА-М,2019-528с(ВО)</t>
  </si>
  <si>
    <t>ТЕХНОЛОГИЧЕСКИЕ ПРОЦЕССЫ МАШИНОСТРОИТЕЛЬНОГО ПРОИЗВОДСТВА, ИЗД.1</t>
  </si>
  <si>
    <t>Кузнецов В. А., Черепахин А. А., Колтунов И. И., Пыжов В. В.</t>
  </si>
  <si>
    <t>978-5-91134-419-1</t>
  </si>
  <si>
    <t>Допущено УМО вузов по образованию в области автоматизированного машиностроения (УМО АМ) в качестве учебного пособия для студентов вузов</t>
  </si>
  <si>
    <t>242200.08.01</t>
  </si>
  <si>
    <t>Технологические процессы машиностроительного производ.: Уч. / В.Б.Моисеев - М:ИНФРА-М,2027-218с.(ВО) (п)</t>
  </si>
  <si>
    <t>Моисеев В. Б., Таранцева К. Р., Схиртладзе А. Г.</t>
  </si>
  <si>
    <t>978-5-16-009257-7</t>
  </si>
  <si>
    <t>15.03.01, 15.03.02, 15.03.03, 15.03.04, 15.03.05, 15.05.01</t>
  </si>
  <si>
    <t>824466.01.01</t>
  </si>
  <si>
    <t>Технологические. основы обраб. осадков сточн. вод с... / Б.С.Ксенофонтов-М.:НИЦ ИНФРА-М,2024.-362 с(п)</t>
  </si>
  <si>
    <t>ТЕХНОЛОГИЧЕСКИЕ ОСНОВЫ ОБРАБОТКИ ОСАДКОВ СТОЧНЫХ ВОД С ИСПОЛЬЗОВАНИЕМ КОМБИНИРОВАННОЙ ТЕХНИКИ И ТЕХНОЛОГИЙ, ИЗД.1</t>
  </si>
  <si>
    <t>978-5-16-019793-7</t>
  </si>
  <si>
    <t>08.03.01, 20.03.01, 20.03.02, 20.04.01, 20.06.01</t>
  </si>
  <si>
    <t>784593.03.01</t>
  </si>
  <si>
    <t>Технологическое обесп. качества поверхности и экспл...: Уч.пос. / В.А.Лебедев - М.:НИЦ ИНФРА-М,2026. - 221 с.(ВО)(п)</t>
  </si>
  <si>
    <t>ТЕХНОЛОГИЧЕСКОЕ ОБЕСПЕЧЕНИЕ КАЧЕСТВА ПОВЕРХНОСТИ И ЭКСПЛУАТАЦИОННЫХ СВОЙСТВ ДЕТАЛЕЙ МАШИН, ИЗД.1</t>
  </si>
  <si>
    <t>Лебедев В.А., Прокопец Г.А., Корольков Ю.В. и др.</t>
  </si>
  <si>
    <t>978-5-16-017966-7</t>
  </si>
  <si>
    <t>15.04.02, 15.04.03, 15.04.05, 15.04.06</t>
  </si>
  <si>
    <t>860857.01.01</t>
  </si>
  <si>
    <t>Технологическое обеспеч. машиностроит. производств: Уч.пос. / Ю.И.Гордеев - М.:НИЦ ИНФРА-М, СФУ,2026. - 180 с.(п)</t>
  </si>
  <si>
    <t>ТЕХНОЛОГИЧЕСКОЕ ОБЕСПЕЧЕНИЕ МАШИНОСТРОИТЕЛЬНЫХ ПРОИЗВОДСТВ, ИЗД.1</t>
  </si>
  <si>
    <t>Гордеев Ю.И., Зеленкова Е.Г., Бинчуров А.С. и др.</t>
  </si>
  <si>
    <t>978-5-16-021389-7</t>
  </si>
  <si>
    <t>15.03.05, 15.04.02, 15.04.05, 15.05.01</t>
  </si>
  <si>
    <t>707129.09.01</t>
  </si>
  <si>
    <t>Технологическое оборуд. для АЗС и нефтебаз: Уч.пос.: В 2ч.Ч.2 / Ю.Н.Безбородов, -М.:НИЦ ИНФРА-М, СФУ,2024-171с.(П)</t>
  </si>
  <si>
    <t>ТЕХНОЛОГИЧЕСКОЕ ОБОРУДОВАНИЕ ДЛЯ АЗС И НЕФТЕБАЗ. В 2-Х ЧАСТЯХ., Т.2</t>
  </si>
  <si>
    <t>Безбородов Ю.Н., Петров О.Н., Сокольников А.Н. и др.</t>
  </si>
  <si>
    <t>978-5-16-017078-7</t>
  </si>
  <si>
    <t>23.02.01, 23.02.03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</si>
  <si>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23.02.00 «Техника и технологии наземного транспорта»</t>
  </si>
  <si>
    <t>707128.07.01</t>
  </si>
  <si>
    <t>Технологическое оборуд. для АЗС и нефтебаз: Уч.пос.: Ч.1 / Ю.Н.Безбородов - М.:НИЦ ИНФРА-М, СФУ,2025 - 168 с.(П)</t>
  </si>
  <si>
    <t>ТЕХНОЛОГИЧЕСКОЕ ОБОРУДОВАНИЕ ДЛЯ АЗС И НЕФТЕБАЗ, Т.1</t>
  </si>
  <si>
    <t>978-5-16-017116-6</t>
  </si>
  <si>
    <t>666541.04.01</t>
  </si>
  <si>
    <t>Технологическое оборуд. для АЗС и нефтебаз: Уч.пос.:Ч.1/Ю.Н.Безбородов-М.:НИЦ ИНФРА-М,СФУ,2024-168с.</t>
  </si>
  <si>
    <t>978-5-16-013139-9</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</si>
  <si>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бакалавров «Эксплуатация транспортно-технологических машин и комплексов» (профиль подготовки «Сервис транспортных и транспортно-технологических машин и оборудования (Нефтепродуктообеспечение и газоснабжение)»)</t>
  </si>
  <si>
    <t>668074.02.01</t>
  </si>
  <si>
    <t>Технологическое оборуд. для АЗС и нефтебаз: Уч.пос.:Ч.2 /Ю.Н.Безбородов-М.:НИЦ ИНФРА-М,СФУ,2019-171с</t>
  </si>
  <si>
    <t>ТЕХНОЛОГИЧЕСКОЕ ОБОРУДОВАНИЕ ДЛЯ АЗС И НЕФТЕБАЗ, Т.2</t>
  </si>
  <si>
    <t>978-5-16-013235-8</t>
  </si>
  <si>
    <t>826953.01.01</t>
  </si>
  <si>
    <t>Технологическое оборуд. для переработки зерновых...: Уч.пос. / И.В.Мацкевич - М.:НИЦ ИНФРА-М,2025 - 280 с.(п)</t>
  </si>
  <si>
    <t>ТЕХНОЛОГИЧЕСКОЕ ОБОРУДОВАНИЕ ДЛЯ ПЕРЕРАБОТКИ ЗЕРНОВЫХ КУЛЬТУР В ПИЩЕВЫЕ ПРОДУКТЫ, ИЗД.1</t>
  </si>
  <si>
    <t>Мацкевич И.В., Невзоров В.Н., Тепляшин В.Н. и др.</t>
  </si>
  <si>
    <t>978-5-16-020332-4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</si>
  <si>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15.03.02 «Технологические машины и оборудование», 35.03.07 «Технология производства и переработки сельскохозяйственной продукции», 19.03.02 «Продукты питания из растительного сырья» и научной специальности 4.3.3 «Пищевые системы»</t>
  </si>
  <si>
    <t>057600.15.01</t>
  </si>
  <si>
    <t>Технологическое оборуд. Металлореж. станки: Уч. / М.Ю.Сибикин - 3 изд. - М.:НИЦ ИНФРА-М,2026. - 512 с.(СПО)(п)</t>
  </si>
  <si>
    <t>ТЕХНОЛОГИЧЕСКОЕ ОБОРУДОВАНИЕ. МЕТАЛЛОРЕЖУЩИЕ СТАНКИ, ИЗД.3</t>
  </si>
  <si>
    <t>978-5-16-015845-7</t>
  </si>
  <si>
    <t>12.02.04, 15.01.38, 15.02.01, 15.02.03, 15.02.04, 15.02.09, 15.02.16, 15.02.17, 18.02.13, 23.02.03</t>
  </si>
  <si>
    <t>Допущено Министерством образования Российской Федерации в качестве учебника для студентов учреждений среднего профессионального образования, обучающихся по группе специальностей «Машиностроение»</t>
  </si>
  <si>
    <t>092300.17.01</t>
  </si>
  <si>
    <t>Технологическое оборуд. предпр. общ. пит. и торговли: Уч. / К.Я.Гайворонский, - 3 изд. - М.:НИЦ ИНФРА-М,2024. - 469 с.(П)</t>
  </si>
  <si>
    <t>ТЕХНОЛОГИЧЕСКОЕ ОБОРУДОВАНИЕ ПРЕДПРИЯТИЙ ОБЩЕСТВЕННОГО ПИТАНИЯ И ТОРГОВЛИ, ИЗД.3</t>
  </si>
  <si>
    <t>Гайворонский К.Я., Щеглов Н.Г.</t>
  </si>
  <si>
    <t>978-5-16-017316-0</t>
  </si>
  <si>
    <t>15.02.01, 15.02.06, 18.01.03, 18.01.26, 18.01.35, 18.02.04, 18.02.07, 18.02.09, 18.02.11, 18.02.14, 18.02.15, 19.01.09, 19.01.18, 19.01.19, 19.02.10, 19.02.11, 19.02.12, 19.02.13, 19.02.14, 35.02.18, 38.01.02, 43.01.09, 43.02.01, 43.02.15, 43.02.16</t>
  </si>
  <si>
    <t>Рекомендовано Министерством экономического развития и торговли Российской Федерации в качестве учебника для средних специальных и высших учебных заведений</t>
  </si>
  <si>
    <t>258100.12.01</t>
  </si>
  <si>
    <t>Технологическое оборуд. предпр. общ..: Практ. / К.Я.Гайворонский - М.:ФОРУМ:ИНФРА-М, 2026 - 104с.(СПО)(о)</t>
  </si>
  <si>
    <t>ТЕХНОЛОГИЧЕСКОЕ ОБОРУДОВАНИЕ ПРЕДРИЯТИЙ ОБЩЕСТВЕННОГО ПИТАНИЯ И ТОРГОВЛИ, ИЗД.1</t>
  </si>
  <si>
    <t>978-5-8199-0692-7</t>
  </si>
  <si>
    <t>15.02.01, 15.02.06, 18.01.03, 18.01.26, 18.01.35, 18.02.04, 18.02.07, 18.02.09, 18.02.11, 18.02.14, 18.02.15, 19.01.09, 19.01.18, 19.01.19, 19.02.10, 19.02.11, 19.02.12, 19.02.13, 19.02.14, 35.02.18, 38.01.02, 43.01.09, 43.02.15</t>
  </si>
  <si>
    <t>Рекомендовано Министерством экономического развития и торговли Российской Федерации в качестве учебного пособия для студентов средних специальных и высших учебных заведений</t>
  </si>
  <si>
    <t>092300.18.01</t>
  </si>
  <si>
    <t>Технологическое оборуд. предпр. обществ. пит..: Уч. / К.Я.Гайворонский - 4 изд. - М.:НИЦ ИНФРА-М,2026 - 475 с.(п)</t>
  </si>
  <si>
    <t>ТЕХНОЛОГИЧЕСКОЕ ОБОРУДОВАНИЕ ПРЕДПРИЯТИЙ ОБЩЕСТВЕННОГО ПИТАНИЯ И ТОРГОВЛИ, ИЗД.4</t>
  </si>
  <si>
    <t>978-5-16-019967-2</t>
  </si>
  <si>
    <t>057600.10.01</t>
  </si>
  <si>
    <t>Технологическое оборуд.. Металлореж. станки: Уч. / М.Ю.Сибикин - 2 изд. - М.:Форум,2021-448с.(ПО)(п)</t>
  </si>
  <si>
    <t>ТЕХНОЛОГИЧЕСКОЕ ОБОРУДОВАНИЕ. МЕТАЛЛОРЕЖУЩИЕ СТАНКИ, ИЗД.2</t>
  </si>
  <si>
    <t>978-5-00091-700-8</t>
  </si>
  <si>
    <t>232500.07.01</t>
  </si>
  <si>
    <t>Технологическое оборудование винодел. предпр.: Уч./Ц.Р.Зайчик- 5 изд. - ИНФРА-М, 2024-496с.(ВО) (п)</t>
  </si>
  <si>
    <t>ТЕХНОЛОГИЧЕСКОЕ ОБОРУДОВАНИЕ ВИНОДЕЛЬЧЕСКИХ ПРЕДПРИЯТИЙ, ИЗД.5</t>
  </si>
  <si>
    <t>Зайчик Ц. Р.</t>
  </si>
  <si>
    <t>978-5-16-005674-6</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</si>
  <si>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«Технология бродильных производств и виноделие» направления подготовки «Производство продуктов пи</t>
  </si>
  <si>
    <t>092300.09.01</t>
  </si>
  <si>
    <t>Технологическое оборудование предпр. общ. пит.:Уч./К.Я.Гайворонский-2изд.-ФОРУМ:ИНФРА-М,2019-480с(п)</t>
  </si>
  <si>
    <t>ТЕХНОЛОГИЧЕСКОЕ ОБОРУДОВАНИЕ ПРЕДПРИЯТИЙ ОБЩЕСТВЕННОГО ПИТАНИЯ И ТОРГОВЛИ, ИЗД.2</t>
  </si>
  <si>
    <t>978-5-8199-0776-4</t>
  </si>
  <si>
    <t>760829.05.01</t>
  </si>
  <si>
    <t>Технологическое оборудование производства хлеба..: Уч. / А.А.Курочкин - М.:НИЦ ИНФРА-М,2026. - 353 с.(П)</t>
  </si>
  <si>
    <t>ТЕХНОЛОГИЧЕСКОЕ ОБОРУДОВАНИЕ ПРОИЗВОДСТВА ХЛЕБА, КОНДИТЕРСКИХ И МАКАРОННЫХ ИЗДЕЛИЙ, ИЗД.1</t>
  </si>
  <si>
    <t>Курочкин А.А.</t>
  </si>
  <si>
    <t>978-5-16-017231-6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</si>
  <si>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19.03.02 «Продукты питания из растительного сырья» (квалификация (степень) «бакалавр») (протокол № 6 от 08.06.2022)</t>
  </si>
  <si>
    <t>143100.11.01</t>
  </si>
  <si>
    <t>Технологическое оборудование, оснастка и основы..: Уч. пос. / А.И.Веселов - М.:ИНФРА-М, 2025 - 262 с.(ВО)(П)</t>
  </si>
  <si>
    <t>ТЕХНОЛОГИЧЕСКОЕ ОБОРУДОВАНИЕ, ОСНАСТКА И ОСНОВЫ ПРОЕКТИРОВАНИЯ УПАКОВОЧНЫХ ПРОИЗВОДСТВ, ИЗД.1</t>
  </si>
  <si>
    <t>Веселов А.И., Веселова И.А.</t>
  </si>
  <si>
    <t>Высшее образование. Бакалавриат</t>
  </si>
  <si>
    <t>978-5-16-004406-4</t>
  </si>
  <si>
    <t>15.03.01, 15.04.01, 29.03.03</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</si>
  <si>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высших учебных заведений, обучающихся по направлению подготовки 19.03.02 «Продукты питания из растительного сырья»</t>
  </si>
  <si>
    <t>079780.09.01</t>
  </si>
  <si>
    <t>Технологическое оборудование: Уч.пос. / О.И.Аверьянов - М.:ИНФРА-М,2024-240 с.(СПО)(п)</t>
  </si>
  <si>
    <t>ТЕХНОЛОГИЧЕСКОЕ ОБОРУДОВАНИЕ, ИЗД.1</t>
  </si>
  <si>
    <t>Аверьянов О.И., Аверьянова И.О., Клепиков В.В.</t>
  </si>
  <si>
    <t>978-5-16-019640-4</t>
  </si>
  <si>
    <t>11.01.05, 12.02.04, 13.02.07, 13.02.08, 13.02.09, 13.02.12, 13.02.13, 15.02.01, 15.02.03, 15.02.04, 15.02.09, 15.02.10, 15.02.16, 15.02.17, 18.02.04, 18.02.14, 23.02.03</t>
  </si>
  <si>
    <t>728007.04.01</t>
  </si>
  <si>
    <t>Технологическое предпринимательство: Уч.пос. / П.Л.Глухих - М.:НИЦ ИНФРА-М,2025. - 316 с.(ВО)(п)</t>
  </si>
  <si>
    <t>ТЕХНОЛОГИЧЕСКОЕ ПРЕДПРИНИМАТЕЛЬСТВО, ИЗД.1</t>
  </si>
  <si>
    <t>Глухих П.Л.</t>
  </si>
  <si>
    <t>978-5-16-020452-9</t>
  </si>
  <si>
    <t>04.03.01, 04.03.02, 07.03.01, 07.03.02, 07.03.03, 07.03.04, 07.04.02, 08.03.01, 11.03.01, 11.03.02, 11.03.03, 11.03.04, 12.03.01, 12.03.02, 12.03.03, 12.03.04, 12.03.05, 13.03.01, 13.03.02, 13.03.03, 15.03.01, 15.03.02, 15.03.03, 15.03.04, 15.03.05, 15.03.06, 18.03.01, 18.03.02, 19.03.01, 19.03.02, 19.03.03, 19.03.04, 20.03.01, 20.03.02, 21.05.04, 22.03.01, 22.03.02, 23.03.01, 23.03.02, 23.03.03, 27.04.03, 29.04.03, 35.04.06, 40.04.01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</si>
  <si>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(квалификация (степень) «бакалавр») (протокол № 2 от 09.02.2022)</t>
  </si>
  <si>
    <t>641685.09.01</t>
  </si>
  <si>
    <t>Технология  формиров. навыка активного чтения: Уч.прак. пос. /Т.А.Семенова - М.:НИЦ ИНФРА-М,2026 - 103 с.(О)</t>
  </si>
  <si>
    <t>ТЕХНОЛОГИЯ  ФОРМИРОВАНИЯ  НАВЫКА АКТИВНОГО ЧТЕНИЯ, ИЗД.1</t>
  </si>
  <si>
    <t>978-5-16-012627-2</t>
  </si>
  <si>
    <t>44.03.01, 44.04.01, 45.03.01</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</si>
  <si>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</si>
  <si>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839633.01.01</t>
  </si>
  <si>
    <t>Технология бурения нефтяных и газовых скважин: Уч.пос. / С.В.Фокин - М.:НИЦ ИНФРА-М,2027. - 427 с.(СПО)(п)</t>
  </si>
  <si>
    <t>ТЕХНОЛОГИЯ БУРЕНИЯ НЕФТЯНЫХ И ГАЗОВЫХ СКВАЖИН, ИЗД.1</t>
  </si>
  <si>
    <t>978-5-16-021700-0</t>
  </si>
  <si>
    <t>21.02.01, 21.02.02, 21.02.10, 21.02.11, 21.02.12, 21.02.13, 21.05.06</t>
  </si>
  <si>
    <t>347500.06.01</t>
  </si>
  <si>
    <t>Технология возвед.высотных монолит.железобет.здан.: Уч. / Н.И.Доркин - М.:Форум, НИЦ ИНФРА-М,2023-240с(О)</t>
  </si>
  <si>
    <t>ТЕХНОЛОГИЯ ВОЗВЕДЕНИЯ ВЫСОТНЫХ МОНОЛИТНЫХ ЖЕЛЕЗОБЕТОННЫХ ЗДАНИЙ, ИЗД.1</t>
  </si>
  <si>
    <t>Доркин Н.И., Зубанов С.В.</t>
  </si>
  <si>
    <t>978-5-00091-057-3</t>
  </si>
  <si>
    <t>Рекомендовано в качестве учебно-методического пособия для студентов высших учебных заведений, обучающихся по специальности 270102.65 «Промышленное и гражданское строительство»</t>
  </si>
  <si>
    <t>704418.12.01</t>
  </si>
  <si>
    <t>Технология выполнения работы по проф. «Кассир»: Уч.пос. / Н.А.Качан - 2 изд. - М.:НИЦ ИНФРА-М,2026 - 307c(П)</t>
  </si>
  <si>
    <t>ТЕХНОЛОГИЯ ВЫПОЛНЕНИЯ РАБОТЫ ПО ПРОФЕССИИ «КАССИР», ИЗД.2</t>
  </si>
  <si>
    <t>978-5-16-015098-7</t>
  </si>
  <si>
    <t>11.01.01, 11.02.12, 38.01.02, 38.02.01, 43.01.05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</si>
  <si>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38.02.01 «Экономика и бухгалтерский учет (по отраслям)» (протокол № 3 от 11.02.2019)</t>
  </si>
  <si>
    <t>862023.01.01</t>
  </si>
  <si>
    <t>Технология высокоуровневого синтеза...: Моногр. / О.В.Непомнящий - М.:НИЦ ИНФРА-М, СФУ,2026. - 194 с.(п)</t>
  </si>
  <si>
    <t>ТЕХНОЛОГИЯ ВЫСОКОУРОВНЕВОГО СИНТЕЗА СВЕРХБОЛЬШИХ ИНТЕГРАЛЬНЫХ СХЕМ, ИЗД.1</t>
  </si>
  <si>
    <t>Непомнящий О.В.</t>
  </si>
  <si>
    <t>978-5-16-021347-7</t>
  </si>
  <si>
    <t>09.03.01, 09.04.01, 09.04.02, 09.06.01</t>
  </si>
  <si>
    <t>242300.07.01</t>
  </si>
  <si>
    <t>Технология защиты окр.среды (теор.основы): Уч.пос./А.Г.Ветошкин.- М.:НИЦ ИНФРА-М,2024 - 362 с-(ВО:Бак.)(п)</t>
  </si>
  <si>
    <t>ТЕХНОЛОГИЯ ЗАЩИТЫ ОКРУЖАЮЩЕЙ СРЕДЫ (ТЕОРЕТИЧЕСКИЕ ОСНОВЫ), ИЗД.1</t>
  </si>
  <si>
    <t>Ветошкин А.Г., Таранцева К.Р., Ветошкин А.Г.</t>
  </si>
  <si>
    <t>978-5-16-009259-1</t>
  </si>
  <si>
    <t>05.03.06, 05.04.06, 20.03.01, 20.04.01, 44.03.05</t>
  </si>
  <si>
    <t>822504.01.01</t>
  </si>
  <si>
    <t>Технология и безопасность взрывных работ: Уч.пос./С.А.Вохмин - М.:НИЦ ИНФРА-М, СФУ,2024-213 с.(п)</t>
  </si>
  <si>
    <t>ТЕХНОЛОГИЯ И БЕЗОПАСНОСТЬ ВЗРЫВНЫХ РАБОТ, ИЗД.1</t>
  </si>
  <si>
    <t>Вохмин С.А., Курчин Г.С., Кирсанов А.К. и др.</t>
  </si>
  <si>
    <t>978-5-16-019694-7</t>
  </si>
  <si>
    <t>668034.05.01</t>
  </si>
  <si>
    <t>Технология и мех. процессов городского строит.и хоз.: Уч.пос. / В.М.Лебедев - М.:НИЦ ИНФРА-М,2026 - 330 с.(П)</t>
  </si>
  <si>
    <t>ТЕХНОЛОГИЯ И МЕХАНИЗАЦИЯ ПРОЦЕССОВ ГОРОДСКОГО СТРОИТЕЛЬСТВА И ХОЗЯЙСТВА, ИЗД.1</t>
  </si>
  <si>
    <t>978-5-16-013564-9</t>
  </si>
  <si>
    <t>08.03.01, 08.04.01, 21.03.02, 35.03.10</t>
  </si>
  <si>
    <t>713933.02.01</t>
  </si>
  <si>
    <t>Технология и механизация проц.город.строит. и хоз.:Уч.пос. / В.М.Лебедев-М.:НИЦ ИНФРА-М,2023-329с(П)</t>
  </si>
  <si>
    <t>978-5-16-015404-6</t>
  </si>
  <si>
    <t>07.02.01, 08.02.01, 08.02.02, 21.02.19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</si>
  <si>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7 от 15.04.2019)</t>
  </si>
  <si>
    <t>750878.03.01</t>
  </si>
  <si>
    <t>Технология и оборуд. для производ. полуфабр. деревян...: Уч.пос. / А.В.Мехренцев-3изд.-М.:ИНФРА-М,2024-316с(П)</t>
  </si>
  <si>
    <t>ТЕХНОЛОГИЯ И ОБОРУДОВАНИЕ ДЛЯ ПРОИЗВОДСТВА ПОЛУФАБРИКАТОВ ДЕРЕВЯННОГО ДОМОСТРОЕНИЯ И СПЕЦИАЛЬНЫХ ВИДОВ ПИЛОПРОДУКЦИИ, ИЗД.3</t>
  </si>
  <si>
    <t>Мехренцев А.В., Меньшиков Б.Е., Курдышева Е.В.</t>
  </si>
  <si>
    <t>978-5-16-016724-4</t>
  </si>
  <si>
    <t>35.01.06, 35.02.18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</si>
  <si>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35.02.03 «Технология деревообработки», 35.02.04 «Технология комплексной переработки древесины» (протокол № 11 от 09.11.2020) 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35.02.03 «Технология деревообработки», 35.02.04 «Технология комплексной переработки древесины» (протокол № 11 от 09.11.2020)</t>
  </si>
  <si>
    <t>736685.02.01</t>
  </si>
  <si>
    <t>Технология и оборуд. для производ. полуфабрикатов: Уч.пос. / А.В.Мехренцев - 3изд.-М.:НИЦ ИНФРА-М,2024.-316 с.(П)</t>
  </si>
  <si>
    <t>978-5-16-016341-3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</si>
  <si>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35.03.02 «Технология лесозаготовительных и деревоперерабатывающих производств» (квалификация (степень) «бакалавр») (протокол № 8 от 22.06.2020)</t>
  </si>
  <si>
    <t>838958.01.01</t>
  </si>
  <si>
    <t>Технология и оборуд. лесопильного производства: Уч.пос. / С.В.Фокин - М.:НИЦ ИНФРА-М,2025. - 327 с.(СПО)</t>
  </si>
  <si>
    <t>ТЕХНОЛОГИЯ И ОБОРУДОВАНИЕ ЛЕСОПИЛЬНОГО ПРОИЗВОДСТВА, ИЗД.1</t>
  </si>
  <si>
    <t>978-5-16-020232-7</t>
  </si>
  <si>
    <t>15.01.35, 15.01.37, 23.01.06, 35.01.01, 35.01.30, 35.02.01, 35.02.02</t>
  </si>
  <si>
    <t>319800.04.01</t>
  </si>
  <si>
    <t>Технология и оборудование для получения волокон и..: Уч.пос. / Л.И.Коротеева - М.:НИЦ ИНФРА-М,2022-288с.(ВО)(П)</t>
  </si>
  <si>
    <t>ТЕХНОЛОГИЯ И ОБОРУДОВАНИЕ ДЛЯ ПОЛУЧЕНИЯ ВОЛОКОН И НИТЕЙ СПЕЦИАЛЬНОГО НАЗНАЧЕНИЯ, ИЗД.1</t>
  </si>
  <si>
    <t>Л.И.Коротеева, Е.Ю.Коротеева</t>
  </si>
  <si>
    <t>978-5-16-010428-7</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</si>
  <si>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направлениям подготовки 15.03.02 и 15.04.02 «Тех</t>
  </si>
  <si>
    <t>746145.01.01</t>
  </si>
  <si>
    <t>Технология и оборудование лесопильного производства: Уч.пос./ С.В.Фокин-М.:НИЦ ИНФРА-М,2025.-327 с.(ВО)(п)</t>
  </si>
  <si>
    <t>978-5-16-017778-6</t>
  </si>
  <si>
    <t>758049.06.01</t>
  </si>
  <si>
    <t>Технология и орг. предприятия туризма: Уч. / Под ред. Богданова Е.И. - М.:НИЦ ИНФРА-М,2026 - 176 с.(СПО)(П)</t>
  </si>
  <si>
    <t>ТЕХНОЛОГИЯ И ОРГАНИЗАЦИЯ ПРЕДПРИЯТИЯ ТУРИЗМА, ИЗД.1</t>
  </si>
  <si>
    <t>Орловская В.П., Богданов Е.И.</t>
  </si>
  <si>
    <t>978-5-16-016968-2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</si>
  <si>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43.02.10 «Туризм», 43.02.11 «Гостиничный сервис» (протокол № 12 от 14.12.2020)</t>
  </si>
  <si>
    <t>713957.06.01</t>
  </si>
  <si>
    <t>Технология и орг. производ. реконструкции...: Уч.пос. / В.М.Лебедев - М.:НИЦ ИНФРА-М,2027 - 200с.(П)</t>
  </si>
  <si>
    <t>ТЕХНОЛОГИЯ И ОРГАНИЗАЦИЯ ПРОИЗВОДСТВА РЕКОНСТРУКЦИИ И РЕМОНТА ЗДАНИЙ, ИЗД.1</t>
  </si>
  <si>
    <t>978-5-16-015405-3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</si>
  <si>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08.02.00 «Техника и технологии строительства» (протокол № 6 от 25.03.2019)</t>
  </si>
  <si>
    <t>757881.04.01</t>
  </si>
  <si>
    <t>Технология и орг. ресторан. бизнеса и питания туристов: Уч. / С.А.Быстров-М.:НИЦ ИНФРА-М,2024.-536 с.(СПО)(П)</t>
  </si>
  <si>
    <t>ТЕХНОЛОГИЯ И ОРГАНИЗАЦИЯ РЕСТОРАННОГО БИЗНЕСА И ПИТАНИЯ ТУРИСТОВ, ИЗД.1</t>
  </si>
  <si>
    <t>978-5-16-016945-3</t>
  </si>
  <si>
    <t>19.02.10, 19.02.11, 19.02.12, 19.02.13, 43.02.01, 43.02.11, 43.02.16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</si>
  <si>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19.02.10 «Технология продукции общественного питания», 43.02.10 «Туризм», 43.02.11 «Гостиничный сервис», 43.02.14 «Гостиничное дело» (протокол № 11 от 09.11.2020)</t>
  </si>
  <si>
    <t>666547.02.01</t>
  </si>
  <si>
    <t>Технология и орг. строит. город. зданий и..: Уч.пос. / В.М.Лебедев - М.:НИЦ ИНФРА-М,2027. - 193 с.(ВО)(п)</t>
  </si>
  <si>
    <t>ТЕХНОЛОГИЯ И ОРГАНИЗАЦИЯ СТРОИТЕЛЬСТВА ГОРОДСКИХ ЗДАНИЙ И СООРУЖЕНИЙ, ИЗД.1</t>
  </si>
  <si>
    <t>978-5-16-013558-8</t>
  </si>
  <si>
    <t>714356.04.01</t>
  </si>
  <si>
    <t>Технология и орг. строит. производства: Уч.пос. / В.М.Лебедев - М.:НИЦ ИНФРА-М,2026. - 282 с.(СПО)(п)</t>
  </si>
  <si>
    <t>ТЕХНОЛОГИЯ И ОРГАНИЗАЦИЯ СТРОИТЕЛЬНОГО ПРОИЗВОДСТВА, ИЗД.1</t>
  </si>
  <si>
    <t>978-5-16-015668-2</t>
  </si>
  <si>
    <t>08.02.01, 08.02.02, 08.02.03, 08.02.04, 08.02.08, 08.02.12</t>
  </si>
  <si>
    <t>652697.10.01</t>
  </si>
  <si>
    <t>Технология и орг.ресторанного бизнеса и питания туристов: Уч. / С.А.Быстров - М.:НИЦ ИНФРА-М,2026 - 536 с.(п)</t>
  </si>
  <si>
    <t>978-5-16-012812-2</t>
  </si>
  <si>
    <t>43.03.01, 43.03.02</t>
  </si>
  <si>
    <t>Рекомендовано в качестве учебника для студентов высших учебных заведений, обучающихся по направлениям подготовки 19.03.04 «Технология продукции и организация общественного питания», 43.03.03 «Гостиничное дело», 43.03.01 «Сервис» (квалификация (степень) «бакалавр»)</t>
  </si>
  <si>
    <t>666551.05.01</t>
  </si>
  <si>
    <t>Технология и орган. произв. реконст. и рем. зданий: Уч.пос. / В.М.Лебедев - М.:НИЦ ИНФРА-М,2024-215с(П)</t>
  </si>
  <si>
    <t>978-5-16-013562-5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</si>
  <si>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08.03.01 «Строительство» (квалификация (степень) «бакалавр») (протокол № 5 от 11.03.2019)</t>
  </si>
  <si>
    <t>300700.09.01</t>
  </si>
  <si>
    <t>Технология и организация гостиничных услуг: Уч. / Л.Н.Семеркова -М.:НИЦ ИНФРА-М,2024-320с(ВО)(п)</t>
  </si>
  <si>
    <t>ТЕХНОЛОГИЯ И ОРГАНИЗАЦИЯ ГОСТИНИЧНЫХ УСЛУГ, ИЗД.1</t>
  </si>
  <si>
    <t>Семеркова Л.Н., Белякова В.А., Шерстобитова Т.И. и др.</t>
  </si>
  <si>
    <t>978-5-16-019555-1</t>
  </si>
  <si>
    <t>43.03.01, 43.03.02, 43.04.01, 43.04.02</t>
  </si>
  <si>
    <t>Рекомендовано ФГБОУ ВПО «Российский государственный университет туризма и сервиса» в качестве учебного пособия к использованию в образовательных учреждениях ВО, реализующих образовательные программы высшего образования по направлениям 43.03.02 «Туризм», 43.03.01 «Сервис»</t>
  </si>
  <si>
    <t>420600.11.01</t>
  </si>
  <si>
    <t>Технология и организация предприятия туризма: Уч. / В.П.Орловская - НИЦ ИНФРА-М,2026 - 176 с.(ВО)(П)</t>
  </si>
  <si>
    <t>978-5-16-021992-9</t>
  </si>
  <si>
    <t>Рекомендовано Учебно-методическим объединением по образованию в области производственного менеджмента в качестве учебника для студентов высших учебных заведений, обучающихся по направлению подготовки 38.03.02 «Менеджмент» (профиль «Производственный менеджмент», по специальности 080502 «Экономика и управление на предприятии» (по отраслям))</t>
  </si>
  <si>
    <t>776672.01.01</t>
  </si>
  <si>
    <t>Технология и организация ресторанного дела: Уч. / А.Т.Васюкова - М.:НИЦ ИНФРА-М,2025. - 219 с.(ВО)(п)</t>
  </si>
  <si>
    <t>ТЕХНОЛОГИЯ И ОРГАНИЗАЦИЯ РЕСТОРАННОГО ДЕЛА, ИЗД.1</t>
  </si>
  <si>
    <t>978-5-16-019773-9</t>
  </si>
  <si>
    <t>775468.01.01</t>
  </si>
  <si>
    <t>Технология и организация строительного производства...: Уч.пос./ В.М.Лебедев-М.:НИЦ ИНФРА-М,2025-389 с.(ВО)(п)</t>
  </si>
  <si>
    <t>ТЕХНОЛОГИЯ И ОРГАНИЗАЦИЯ СТРОИТЕЛЬНОГО ПРОИЗВОДСТВА. КУРСОВОЕ И ДИПЛОМНОЕ ПРОЕКТИРОВАНИЕ, ИЗД.1</t>
  </si>
  <si>
    <t>978-5-16-018105-9</t>
  </si>
  <si>
    <t>669466.06.01</t>
  </si>
  <si>
    <t>Технология и применение специальных бетонов: Уч.пос. / В.А.Шевченко - М.:НИЦ ИНФРА-М, СФУ,2026. - 202 с.(П)</t>
  </si>
  <si>
    <t>ТЕХНОЛОГИЯ И ПРИМЕНЕНИЕ СПЕЦИАЛЬНЫХ БЕТОНОВ, ИЗД.1</t>
  </si>
  <si>
    <t>Шевченко В.А.</t>
  </si>
  <si>
    <t>978-5-16-016530-1</t>
  </si>
  <si>
    <t>766867.02.01</t>
  </si>
  <si>
    <t>Технология и свойства фибробетона с наномодифицир. матрицей / С.Н.Леонович - М.:НИЦ ИНФРА-М,2026. - 194 с.(о)</t>
  </si>
  <si>
    <t>ТЕХНОЛОГИЯ И СВОЙСТВА ФИБРОБЕТОНА С НАНОМОДИФИЦИРОВАННОЙ МАТРИЦЕЙ, ИЗД.1</t>
  </si>
  <si>
    <t>Леонович С.Н., Садовская Е.А.</t>
  </si>
  <si>
    <t>978-5-16-019071-6</t>
  </si>
  <si>
    <t>689961.01.01</t>
  </si>
  <si>
    <t>Технология и техника бурения: Уч.пос.: В 2 ч. (комп.) / В.С.Войтенко -М.:НИЦ ИНФРА-М,2019-850с(П)</t>
  </si>
  <si>
    <t>ТЕХНОЛОГИЯ И ТЕХНИКА БУРЕНИЯ, ИЗД.1</t>
  </si>
  <si>
    <t>Войтенко В.С., Смычкин А.Д., Тухто А.А. и др.</t>
  </si>
  <si>
    <t>Комплект</t>
  </si>
  <si>
    <t>435350.09.01</t>
  </si>
  <si>
    <t>Технология и техника бурения: Уч.пос.: В 2 ч.Ч.1 / В.С.Войтенко. - М.:НИЦ ИНФРА-М,2026. - 237 с.(п)</t>
  </si>
  <si>
    <t>978-5-16-021219-7</t>
  </si>
  <si>
    <t>05.03.01, 05.04.01, 21.02.12, 21.03.01, 21.04.01, 21.05.02, 21.05.03, 21.05.04</t>
  </si>
  <si>
    <t>213800.14.01</t>
  </si>
  <si>
    <t>Технология и техника бурения: Уч.пос.: В 2 ч.Ч.2 / В.С.Войтенко - М.:НИЦ ИНФРА-М,,2026 - 613 с.(П)</t>
  </si>
  <si>
    <t>ТЕХНОЛОГИЯ И ТЕХНИКА БУРЕНИЯ. В 2-Х ЧАСТЯХ, Т.2</t>
  </si>
  <si>
    <t>978-5-16-019249-9</t>
  </si>
  <si>
    <t>05.03.01, 05.04.01, 21.02.12, 21.05.02, 21.05.04</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</si>
  <si>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«Разработка месторождений полезных ископаемых», «Геология и разведка месторождений полезных ископаемых», «Горные машины и оборудование»</t>
  </si>
  <si>
    <t>291300.08.01</t>
  </si>
  <si>
    <t>Технология и техника перераб. молока: Уч.пос. / С.А.Бредихин-2 изд.-М.:НИЦ ИНФРА-М,2024-443 с.(ВО)(П)</t>
  </si>
  <si>
    <t>ТЕХНОЛОГИЯ И ТЕХНИКА ПЕРЕРАБОТКИ МОЛОКА, ИЗД.2</t>
  </si>
  <si>
    <t>Бредихин С.А.</t>
  </si>
  <si>
    <t>978-5-16-010051-7</t>
  </si>
  <si>
    <t>19.03.03, 19.04.03</t>
  </si>
  <si>
    <t>Допущено УМО вузов РФ по агрономическому образованию в качестве учебного пособия для подготовки бакалавров, обучающихся по направлению 35.03.07 «Технология производства и переработки сельскохозяйственной продукции»</t>
  </si>
  <si>
    <t>757961.06.01</t>
  </si>
  <si>
    <t>Технология и техника переработки молока: Уч.пос. / С.А.Бредихин - 2 изд. - М.:НИЦ ИНФРА-М,2026 - 443 с.(СПО)(П)</t>
  </si>
  <si>
    <t>978-5-16-016957-6</t>
  </si>
  <si>
    <t>19.01.19, 19.02.11, 19.02.12, 22.02.08, 35.02.18, 36.01.02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</si>
  <si>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19.02.07 «Технология молока и молочных продуктов», 35.02.06 «Технология производства и переработки сельскохозяйственной продукции»  (протокол № 11 от 09.11.2020)</t>
  </si>
  <si>
    <t>668555.03.01</t>
  </si>
  <si>
    <t>Технология изгот.тип.деталей машин: Уч.пос. / И.В.Шрубченко - М.:НИЦ ИНФРА-М,2023-358с(ВО:Бакал.)</t>
  </si>
  <si>
    <t>ТЕХНОЛОГИЯ ИЗГОТОВЛЕНИЯ ТИПОВЫХ ДЕТАЛЕЙ МАШИН, ИЗД.1</t>
  </si>
  <si>
    <t>978-5-16-013391-1</t>
  </si>
  <si>
    <t>Рекомендовано в качестве учебного пособия для студентов высших учебных заведений.обучающихся по направлениям подготовки 15.03.01 «Машиностроение», 15.03.05 «Конструкторско-технологическое обеспечение машиностроительных производств» (квалификация (степень) «бакалавр»)</t>
  </si>
  <si>
    <t>347700.15.01</t>
  </si>
  <si>
    <t>Технология изготовл. сварных конструкций: Уч. / В.В.Овчинников - М.:ИД Форум, НИЦ ИНФРА-М,2026. - 208 с.(СПО)(П)</t>
  </si>
  <si>
    <t>ТЕХНОЛОГИЯ ИЗГОТОВЛЕНИЯ СВАРНЫХ КОНСТРУКЦИЙ, ИЗД.1</t>
  </si>
  <si>
    <t>978-5-8199-0883-9</t>
  </si>
  <si>
    <t>15.01.05, 15.01.29, 15.01.36, 15.02.19</t>
  </si>
  <si>
    <t>703217.05.01</t>
  </si>
  <si>
    <t>Технология изготовления типовых деталей машин: Уч.пос. / И.В.Шрубченко - М.:НИЦ ИНФРА-М,2027 - 358 с.(П)</t>
  </si>
  <si>
    <t>978-5-16-014868-7</t>
  </si>
  <si>
    <t>15.01.13, 15.01.38, 15.02.16</t>
  </si>
  <si>
    <t>708895.05.01</t>
  </si>
  <si>
    <t>Технология изделий из древесины: Уч.пос. / А.А.Барташевич - 2 изд. - М.:НИЦ ИНФРА-М,2026. - 437 с.(П)</t>
  </si>
  <si>
    <t>ТЕХНОЛОГИЯ ИЗДЕЛИЙ ИЗ ДРЕВЕСИНЫ, ИЗД.2</t>
  </si>
  <si>
    <t>Барташевич А.А., Игнатович Л.В., Шетько С.В. и др.</t>
  </si>
  <si>
    <t>978-5-16-015354-4</t>
  </si>
  <si>
    <t>35.03.02, 44.03.04</t>
  </si>
  <si>
    <t>Допущено Министерством образования Республики Беларусьв качестве учебного пособия для студентов учреждений высшего образования по специальностям «Технология деревообрабатывающих производств», «Профессиональное обучение (деревообработка)», «Машины и оборудование лесного комплекса», «Энергоэффективные технологии в лесном комплексе»</t>
  </si>
  <si>
    <t>634144.07.01</t>
  </si>
  <si>
    <t>Технология изоляц. и стен. материал. и..: Уч.пос. / О.А.Игнатова - 2 изд. - М.:НИЦ ИНФРА-М,2025. - 495 с.(ВО)(п)</t>
  </si>
  <si>
    <t>ТЕХНОЛОГИЯ ИЗОЛЯЦИОННЫХ И СТЕНОВЫХ МАТЕРИАЛОВ И ИЗДЕЛИЙ, ИЗД.2</t>
  </si>
  <si>
    <t>Игнатова О.А., Завадский В.Ф.</t>
  </si>
  <si>
    <t>978-5-16-019861-3</t>
  </si>
  <si>
    <t>634144.06.01</t>
  </si>
  <si>
    <t>Технология изоляцион. и строит. матер. и изд.: Уч.пос. / О.А.Игнатова-М:НИЦ ИНФРА-М,2024-472с(ВО)(П)</t>
  </si>
  <si>
    <t>ТЕХНОЛОГИЯ ИЗОЛЯЦИОННЫХ И СТРОИТЕЛЬНЫХ МАТЕРИАЛОВ И ИЗДЕЛИЙ, ИЗД.1</t>
  </si>
  <si>
    <t>Игнатова О.А., Завадская Л.В.</t>
  </si>
  <si>
    <t>978-5-16-012103-1</t>
  </si>
  <si>
    <t>Рекомендовано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t>
  </si>
  <si>
    <t>730634.09.01</t>
  </si>
  <si>
    <t>Технология индивидуал. изготов. и ремонта обуви: Уч. / И.Н.Леденева - М.:НИЦ ИНФРА-М,2027 - 445 с.(СПО)(п)</t>
  </si>
  <si>
    <t>ТЕХНОЛОГИЯ ИНДИВИДУАЛЬНОГО ИЗГОТОВЛЕНИЯ И РЕМОНТА ОБУВИ, ИЗД.1</t>
  </si>
  <si>
    <t>Леденева И.Н.</t>
  </si>
  <si>
    <t>978-5-16-015945-4</t>
  </si>
  <si>
    <t>29.01.03, 29.01.32, 29.02.10</t>
  </si>
  <si>
    <t>Рекомендовано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29.01.02 «Обувщик (широкого профиля)», 29.01.03 «Сборщик обуви», 29.02.01 «Конструирование, моделирование и технология изделий из кожи»</t>
  </si>
  <si>
    <t>717672.06.01</t>
  </si>
  <si>
    <t>Технология индивидуал. изготовления и ремонта обуви: Уч. / И.Н.Леденёва - М/:НИЦ ИНФРА-М,2027. - 443 с.(ВО)(П)</t>
  </si>
  <si>
    <t>Леденёва И.Н.</t>
  </si>
  <si>
    <t>978-5-16-015578-4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</si>
  <si>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29.03.01 «Технология изделий легкой промышленности»  (квалификация (степень) «бакалавр») (протокол № 12 от 24.06.2019)</t>
  </si>
  <si>
    <t>700915.06.01</t>
  </si>
  <si>
    <t>Технология интерактивного обуч.: Уч.мет.пос. / С.С.Кашлев - М.:НИЦ ИНФРА-М,2026 - 239 с.(Наука и прак.)(П)</t>
  </si>
  <si>
    <t>ТЕХНОЛОГИЯ ИНТЕРАКТИВНОГО ОБУЧЕНИЯ, ИЗД.1</t>
  </si>
  <si>
    <t>978-5-16-015453-4</t>
  </si>
  <si>
    <t>00.03.15, 00.05.15, 44.02.02, 44.02.04, 44.03.01, 44.04.01, 44.04.02, 44.04.04, 44.06.01</t>
  </si>
  <si>
    <t>Рекомендовано Межрегиональным учебно-методическим советом профессионального образования в качестве учебного пособия для учреждений высшего образования, реализующих образовательные программы  по направлениям подготовки магистратуры и при подготовке кадров высшей квалификации по программам подготовки научно- педагогических кадров в аспирантуре (протокол № 12 от 14.12.2020)</t>
  </si>
  <si>
    <t>686101.02.01</t>
  </si>
  <si>
    <t>Технология исслед. разруше. конструкционных: Уч.пос. / Г.В.Пачурин, - 2- изд.-М.:НИЦ ИНФРА-М,2024.-204 с..-(ВО)(п)</t>
  </si>
  <si>
    <t>ТЕХНОЛОГИЯ ИССЛЕДОВАНИЯ РАЗРУШЕНИЯ КОНСТРУКЦИОННЫХ МАТЕРИАЛОВ В РАЗНЫХ УСЛОВИЯХ НАГРУЖЕНИЯ, ИЗД.2</t>
  </si>
  <si>
    <t>Пачурин Г.В.</t>
  </si>
  <si>
    <t>978-5-16-019010-5</t>
  </si>
  <si>
    <t>15.03.01, 15.03.02, 15.03.04, 15.03.05, 15.04.01, 15.04.02, 15.04.04, 15.04.05, 20.03.01, 22.03.01, 22.03.02, 22.04.01, 22.04.02</t>
  </si>
  <si>
    <t>Допущено УМО высших учебных заведений РФ по образованию в области материаловедения, технологии материалов и покрытий в качестве учебного пособия по дисциплинам специализаций для студентов высших учебных заведений, обучающихся по направлению подготовки «Материаловедение и технологии материалов»</t>
  </si>
  <si>
    <t>428200.06.01</t>
  </si>
  <si>
    <t>Технология ковки и горячей объем. штамповки: Уч.пос. / И.Л.Константинов - М.:НИЦ ИНФРА-М, СФУ,2027. - 551 с.(П)</t>
  </si>
  <si>
    <t>ТЕХНОЛОГИЯ КОВКИ И ГОРЯЧЕЙ ОБЪЕМНОЙ ШТАМПОВКИ, ИЗД.1</t>
  </si>
  <si>
    <t>Константинов И. Л.</t>
  </si>
  <si>
    <t>978-5-16-006372-0</t>
  </si>
  <si>
    <t>Допущено Учебно-методическим объединением по образованию в области металлургии в качестве учебного пособия для студентов высших учебных заведений, обучающихся по направлению «Металлургия»</t>
  </si>
  <si>
    <t>753692.03.01</t>
  </si>
  <si>
    <t>Технология ковки: Уч.. / И.Л.Константинов - М.:НИЦ ИНФРА-М, СФУ,2027. - 214 с.(ВО(СФУ))(п)</t>
  </si>
  <si>
    <t>ТЕХНОЛОГИЯ КОВКИ, ИЗД.1</t>
  </si>
  <si>
    <t>978-5-16-022406-0</t>
  </si>
  <si>
    <t>15.04.01, 15.05.01, 22.04.01, 22.04.02, 29.04.04</t>
  </si>
  <si>
    <t>Допущено Учебно-методическим советом Сибирского федерального университета в качестве учебника для магистрантов направления подготовки 22.04.02 «Металлургия» укрупненной группы 22.00.00 «Технологии материалов»</t>
  </si>
  <si>
    <t>782296.03.01</t>
  </si>
  <si>
    <t>Технология кондитер. изделий: курсовое проектир.: Уч.пос. / Н.В.Присухина - М.:НИЦ ИНФРА-М,2027-189 с.(ВО)(п)</t>
  </si>
  <si>
    <t>ТЕХНОЛОГИЯ КОНДИТЕРСКИХ ИЗДЕЛИЙ: КУРСОВОЕ ПРОЕКТИРОВАНИЕ, ИЗД.1</t>
  </si>
  <si>
    <t>Присухина Н.В., Типсина Н.Н., Мельникова Е.В.</t>
  </si>
  <si>
    <t>978-5-16-018284-1</t>
  </si>
  <si>
    <t>19.03.02, 19.04.02, 35.03.07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</si>
  <si>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19.03.02 «Продукты питания из растительного сырья»</t>
  </si>
  <si>
    <t>827107.02.01</t>
  </si>
  <si>
    <t>Технология консервир. пищевых продуктов: Уч.пос. Ч.1 / Е.А.Рыгалова - М.:НИЦ ИНФРА-М,2027 - 227 с.(п)</t>
  </si>
  <si>
    <t>ТЕХНОЛОГИЯ КОНСЕРВИРОВАНИЯ ПИЩЕВЫХ ПРОДУКТОВ. ЧАСТЬ 1, Т.1</t>
  </si>
  <si>
    <t>Рыгалова Е.А., Речкина Е.А., Величко Н.А.</t>
  </si>
  <si>
    <t>978-5-16-020335-5</t>
  </si>
  <si>
    <t>19.04.05, 35.03.07</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</si>
  <si>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19.03.03 - Продукты питания животного происхождения, 19.04.03 - Продукты питания животного происхождения всех форм обучения, а также специальности 19.02.08 - Технология мяса и мясных продуктов</t>
  </si>
  <si>
    <t>827108.02.01</t>
  </si>
  <si>
    <t>Технология консервир. пищевых продуктов: Уч.пос. Ч.2 / Е.А.Рыгалова - М.:НИЦ ИНФРА-М,2027 - 262 с.(ВО)(п)</t>
  </si>
  <si>
    <t>ТЕХНОЛОГИЯ КОНСЕРВИРОВАНИЯ ПИЩЕВЫХ ПРОДУКТОВ. ЧАСТЬ 2, Т.2</t>
  </si>
  <si>
    <t>978-5-16-020336-2</t>
  </si>
  <si>
    <t>708145.09.01</t>
  </si>
  <si>
    <t>Технология конструк. матер. Обработка резанием: Уч.пос. / Г.А.Борисенко. - М.:НИЦ ИНФРА-М,2026. - 142 с.(О)</t>
  </si>
  <si>
    <t>ТЕХНОЛОГИЯ КОНСТРУКЦИОННЫХ МАТЕРИАЛОВ. ОБРАБОТКА РЕЗАНИЕМ, ИЗД.1</t>
  </si>
  <si>
    <t>Борисенко Г.А., Иванов Г.Н., Сейфулин Р.Р.</t>
  </si>
  <si>
    <t>978-5-16-015221-9</t>
  </si>
  <si>
    <t>12.02.04, 15.02.01, 15.02.16, 15.02.17, 15.02.18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</si>
  <si>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15.02.08 «Технология машиностроения», 15.02.15 «Технология металлообрабатывающего производства» (протокол № 17 от 11.11.2019)</t>
  </si>
  <si>
    <t>204200.08.01</t>
  </si>
  <si>
    <t>Технология конструкционных матер. в приборостроении: Уч. / Р.М.Гоцеридзе - ИНФРА-М, 2024-423с.(ВО) (п)</t>
  </si>
  <si>
    <t>ТЕХНОЛОГИЯ КОНСТРУКЦИОННЫХ МАТЕРИАЛОВ В ПРИБОРОСТРОЕНИИ, ИЗД.1</t>
  </si>
  <si>
    <t>Гоцеридзе Р. М.</t>
  </si>
  <si>
    <t>978-5-16-005048-5</t>
  </si>
  <si>
    <t>Рекомендовано в качестве учебника студентам высших учебных заведений, обучающихся по направлению 200000 "Приборостроение и оптотехника»</t>
  </si>
  <si>
    <t>153550.12.01</t>
  </si>
  <si>
    <t>Технология конструкционных материалов...: Уч.пос. / Г.А.Борисенко. - М.:НИЦ ИНФРА-М,2026. - 142 с.(ВО)(о)</t>
  </si>
  <si>
    <t>978-5-16-010323-5</t>
  </si>
  <si>
    <t>15.03.04, 15.03.05, 15.04.05</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</si>
  <si>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направлениям подготовки "Технология, оборудование и автоматизация машиностроительных производств», 15.03.05 «Конструкторско-технологическое обеспечение машиностроительных производств», «Автоматизированные технологии и производства»</t>
  </si>
  <si>
    <t>668554.06.01</t>
  </si>
  <si>
    <t>Технология конструкционных материалов: Уч. / А.А.Афанасьев - 2 изд. - М.:НИЦ ИНФРА-М,2023 - 656с.(П)</t>
  </si>
  <si>
    <t>ТЕХНОЛОГИЯ КОНСТРУКЦИОННЫХ МАТЕРИАЛОВ, ИЗД.2</t>
  </si>
  <si>
    <t>978-5-16-013399-7</t>
  </si>
  <si>
    <t>Рекомендовано в качестве учебника для студентов высших учебных заведений, обучающихся по направлениям подготовки 15.03.02 «Машиностроение», 15.03.05 «Конструкторско-технологическое обеспечение машиностроительных производств» (квалификация (степень) «бакалавр»)</t>
  </si>
  <si>
    <t>717295.05.01</t>
  </si>
  <si>
    <t>Технология конструкционных материалов: Уч. / Е.А.Астафьева.-М.:НИЦ ИНФРА-М, СФУ,2024.-475 с.(ВО)(П)</t>
  </si>
  <si>
    <t>ТЕХНОЛОГИЯ КОНСТРУКЦИОННЫХ МАТЕРИАЛОВ, ИЗД.1</t>
  </si>
  <si>
    <t>Астафьева Е.А., Носков Ф.М., Масанский О.А. и др.</t>
  </si>
  <si>
    <t>978-5-16-018562-0</t>
  </si>
  <si>
    <t>13.03.03, 15.03.01, 22.03.01, 23.03.02, 23.03.03</t>
  </si>
  <si>
    <t>Допущено Учебно-методическим советом Сибирского федерального университета в качестве учебника для студентов, обучающихся по направлению 22.03.01 «Материаловедение и технологии материалов»</t>
  </si>
  <si>
    <t>708656.06.01</t>
  </si>
  <si>
    <t>Технология конструкционных материалов: Уч.пос. / Б.А.Матюшкин - М.:НИЦ ИНФРА-М,2026  - 263 с.(СПО)(п)</t>
  </si>
  <si>
    <t>Матюшкин Б.А., Денисов В.И.</t>
  </si>
  <si>
    <t>978-5-16-015262-2</t>
  </si>
  <si>
    <t>08.02.04, 12.02.04, 15.02.01, 15.02.04, 15.02.07, 15.02.09, 15.02.16, 15.02.17, 15.02.18, 15.02.19, 22.02.08, 23.01.17, 23.02.02, 23.02.03, 23.02.07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</si>
  <si>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5 от 11.03.2019)</t>
  </si>
  <si>
    <t>656916.06.01</t>
  </si>
  <si>
    <t>Технология конструкционных материалов: Уч.пос. / Б.А.Матюшкин - М.:НИЦ ИНФРА-М,2027. - 263 с.(ВО)(П)</t>
  </si>
  <si>
    <t>978-5-16-014645-4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</si>
  <si>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15.03.00 «Машиностроение» (квалификация (степень) «бакалавр») (протокол № 2 от 28.01.2019)</t>
  </si>
  <si>
    <t>147850.11.01</t>
  </si>
  <si>
    <t>Технология конструкционных материалов: Уч.пос. / В.Л.Тимофеев - 3 изд. - М.:НИЦ ИНФРА-М,2026 - 272 с.(ВО)(п)</t>
  </si>
  <si>
    <t>ТЕХНОЛОГИЯ КОНСТРУКЦИОННЫХ МАТЕРИАЛОВ, ИЗД.3</t>
  </si>
  <si>
    <t>Тимофеев В.Л., Глухов В.П., Федоров В.Б. и др.</t>
  </si>
  <si>
    <t>978-5-16-004749-2</t>
  </si>
  <si>
    <t>Допущено¶Учебно-методическим объединением вузов по образованию¶в области автоматизированного машиностроения (УМО AM)в качестве учебного пособия для студентов высших учебных заведений,обучающихся по направлениям подготовки бакалавров и магистров15.04.02, 15.03.02 «Технологические машины и оборудование»специалистов «Конструкторски-технологическое обеспечение машиностроительных производств»</t>
  </si>
  <si>
    <t>708662.02.01</t>
  </si>
  <si>
    <t>Технология конструкционных материалов: Уч.пос./ В.П.Глухов, -3 изд., -М.:НИЦ ИНФРА-М,2023-272с.(П)</t>
  </si>
  <si>
    <t>Глухов В.П., Тимофеев В.Л., Федоров В.Б. и др.</t>
  </si>
  <si>
    <t>978-5-16-015263-9</t>
  </si>
  <si>
    <t>12.02.04, 15.02.01, 15.02.04, 15.02.16, 15.02.17, 15.02.18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</si>
  <si>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11 от 10.06.2019)</t>
  </si>
  <si>
    <t>667637.05.01</t>
  </si>
  <si>
    <t>Технология листовой штамповки: Уч.пос. / В.И.Бер.-М.:НИЦ ИНФРА-М, СФУ,2023.-168 с.(ВО(СФУ))(П)</t>
  </si>
  <si>
    <t>ТЕХНОЛОГИЯ ЛИСТОВОЙ ШТАМПОВКИ, ИЗД.1</t>
  </si>
  <si>
    <t>Бер В.И., Сидельников С.Б., Соколов Р.Е. и др.</t>
  </si>
  <si>
    <t>978-5-16-018589-7</t>
  </si>
  <si>
    <t>830171.01.01</t>
  </si>
  <si>
    <t>Технология маникюрных и педикюрных работ: Уч.пос. / М.А.Ануфриева - М.:НИЦ ИНФРА-М,2026. - 209 с.(СПО)(п)</t>
  </si>
  <si>
    <t>ТЕХНОЛОГИЯ МАНИКЮРНЫХ И ПЕДИКЮРНЫХ РАБОТ, ИЗД.1</t>
  </si>
  <si>
    <t>Ануфриева М.А., Левченко Е.А.</t>
  </si>
  <si>
    <t>978-5-16-020055-2</t>
  </si>
  <si>
    <t>43.02.02, 43.02.04, 43.02.17</t>
  </si>
  <si>
    <t>140450.12.01</t>
  </si>
  <si>
    <t>Технология машиностр. Осн. проектир. на ЭВМ: Уч.пос. / О.В.Таратынов - М.:Форум,2026 - 610 с.(ПО) (п)</t>
  </si>
  <si>
    <t>ТЕХНОЛОГИЯ МАШИНОСТРОЕНИЯ. ОСНОВЫ ПРОЕКТИРОВАНИЯ НА ЭВМ, ИЗД.1</t>
  </si>
  <si>
    <t>Таратынов О. В., Клепиков В. В., Базров Б. М.</t>
  </si>
  <si>
    <t>978-5-16-021838-0</t>
  </si>
  <si>
    <t>15.01.18, 15.01.26, 15.01.27, 15.01.35, 15.01.36, 15.01.38, 15.02.07, 15.02.10, 15.02.16, 15.02.18, 35.02.10</t>
  </si>
  <si>
    <t>Рекомендовано Федеральным государственным учреждением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t>
  </si>
  <si>
    <t>060430.16.01</t>
  </si>
  <si>
    <t>Технология машиностроения. Сб. задач.: Уч. пос. / В.И.Аверченков. - 3 изд. - М.:НИЦ ИНФРА-М,2026 - 304 с.(ВО)</t>
  </si>
  <si>
    <t>ТЕХНОЛОГИЯ МАШИНОСТРОЕНИЯ. СБОРНИК ЗАДАЧ И УПРАЖНЕНИЙ, ИЗД.3</t>
  </si>
  <si>
    <t>Аверченков В. И., Горленко О. А., Ильицкий В. Б., Тотай А. В., Чистов В. Ф., Аверченков В. И., Польский Е. А.</t>
  </si>
  <si>
    <t>978-5-16-009272-0</t>
  </si>
  <si>
    <t>15.03.01, 15.03.03, 15.03.05, 15.04.01, 15.04.03, 15.04.05, 15.05.01</t>
  </si>
  <si>
    <t>Допущено Министерства образования РФ в качестве учебного пособия для студентов вузов, обуч. по напр подг. бак. и маг. Технол, оборуд и автоматиз машиностр. производств" и по напр. подг. дипл. спец. "Констр.-технол. обеспеч. машиностр. пр-в"</t>
  </si>
  <si>
    <t>Брянский государственный технический университет</t>
  </si>
  <si>
    <t>719230.02.01</t>
  </si>
  <si>
    <t>Технология машиностроения...: Уч.пос. / И.С.Иванов - М.:НИЦ ИНФРА-М,2022 - 224 с.(П)</t>
  </si>
  <si>
    <t>ТЕХНОЛОГИЯ МАШИНОСТРОЕНИЯ: ПРОИЗВОДСТВО ТИПОВЫХ ДЕТАЛЕЙ МАШИН, ИЗД.1</t>
  </si>
  <si>
    <t>Иванов И. С.</t>
  </si>
  <si>
    <t>978-5-16-015601-9</t>
  </si>
  <si>
    <t>15.01.13, 15.01.38, 15.02.04, 15.02.16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</si>
  <si>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12 от 24.06.2019)</t>
  </si>
  <si>
    <t>097850.13.01</t>
  </si>
  <si>
    <t>Технология машиностроения.: Уч. пос. / И.О. Аверьянова. - М.: Форум, 2027 - 304 с. (СрПрофОбр) (п)</t>
  </si>
  <si>
    <t>ТЕХНОЛОГИЯ МАШИНОСТРОЕНИЯ. ВЫСОКОЭНЕРГЕТИЧЕСКИЕ И КОМБИНИРОВАННЫЕ МЕТОДЫ ОБРАБОТКИ, ИЗД.1</t>
  </si>
  <si>
    <t>Аверьянова И. О., Клепиков В. В.</t>
  </si>
  <si>
    <t>978-5-91134-268-5</t>
  </si>
  <si>
    <t>15.01.01, 15.01.02, 15.01.03, 15.01.04, 15.01.05, 15.01.06, 15.01.07, 15.01.08, 15.01.13, 15.01.27, 15.01.28, 15.02.01, 15.02.07, 15.02.16, 15.02.17, 15.02.19, 26.02.04, 27.02.04</t>
  </si>
  <si>
    <t>399000.03.01</t>
  </si>
  <si>
    <t>Технология машиностроения: курсовое проектир.: Уч.пос. / В.В.Клепиков-М.:НИЦ ИНФРА-М,2023.-229 с.(ВО)(П)</t>
  </si>
  <si>
    <t>ТЕХНОЛОГИЯ МАШИНОСТРОЕНИЯ: КУРСОВОЕ ПРОЕКТИРОВАНИЕ, ИЗД.1</t>
  </si>
  <si>
    <t>Клепиков В.В., Солдатов В.Ф.</t>
  </si>
  <si>
    <t>978-5-16-016109-9</t>
  </si>
  <si>
    <t>15.03.01, 15.03.02, 15.03.04, 15.03.05</t>
  </si>
  <si>
    <t>Допущено Учебно-методическим объединением вузов по образованию в области автоматизированного машиностроения (УМО AM) в качестве учебного пособия для студентов высших учебных заведений, обучающихся по направлению подготовки 15.03.05 «Конструкторско-технологическое обеспечение машиностроительных производств»</t>
  </si>
  <si>
    <t>449050.06.01</t>
  </si>
  <si>
    <t>Технология машиностроения: производство тип..:Уч.пос./И.С.Иванов-НИЦ ИНФРА-М,2021-224с(ВО:Бакалавр.)(П)</t>
  </si>
  <si>
    <t>978-5-16-005315-8</t>
  </si>
  <si>
    <t>15.03.02, 15.03.05</t>
  </si>
  <si>
    <t>Допущено Учебно-методическим объединением по образованию в области технологии и проектирования текстильных изделий в качестве учебного пособия для студентов высших учебных заведений по специальности 150406 «Машины и аппараты текстильной промышленност</t>
  </si>
  <si>
    <t>060430.13.01</t>
  </si>
  <si>
    <t>Технология машиностроения: Сб. задач и упр.: Уч. пос. В.И.Аверченков - 2 изд. - М.:ИНФРА-М, 2022.-288с.(ВО:Бак.)(П)</t>
  </si>
  <si>
    <t>ТЕХНОЛОГИЯ МАШИНОСТРОЕНИЯ, ИЗД.2</t>
  </si>
  <si>
    <t>Аверченков В. И., Горленко О. А., Ильицкий В. Б., Польский Е. А., Тотай А. В., Чистов В. Ф., Аверченков В. И.</t>
  </si>
  <si>
    <t>719231.03.01</t>
  </si>
  <si>
    <t>Технология машиностроения: Сб. задач и упр.: Уч.пос. / В.И.Аверченков - 3 изд. - М.:НИЦ ИНФРА-М,2027. - 305 с.(П)</t>
  </si>
  <si>
    <t>978-5-16-015602-6</t>
  </si>
  <si>
    <t>15.02.09, 15.02.10, 15.02.16, 15.02.18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</si>
  <si>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машиностроительным специальностям (протокол № 8 от 22.06.2020)</t>
  </si>
  <si>
    <t>657070.05.01</t>
  </si>
  <si>
    <t>Технология машиностроения: Уч. / А.А.Погонин - 3 изд. - М.:НИЦ ИНФРА-М,2023 - 530 с.(ВО)(П)</t>
  </si>
  <si>
    <t>ТЕХНОЛОГИЯ МАШИНОСТРОЕНИЯ, ИЗД.3</t>
  </si>
  <si>
    <t>Погонин А.А., Афанасьев А.А., Шрубченко И.В.</t>
  </si>
  <si>
    <t>978-5-16-013605-9</t>
  </si>
  <si>
    <t>15.03.01, 15.03.04, 15.03.05, 15.04.04, 15.04.05, 24.02.01</t>
  </si>
  <si>
    <t>697048.05.01</t>
  </si>
  <si>
    <t>Технология машиностроения: Уч. / А.А.Погонин и др. - 3 изд. - М.:НИЦ ИНФРА-М,2026 - 530 с.(СПО)(П)</t>
  </si>
  <si>
    <t>978-5-16-014617-1</t>
  </si>
  <si>
    <t>15.01.13, 15.02.01, 15.02.04, 15.02.16, 15.02.17, 15.02.19, 26.02.04, 27.02.04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</si>
  <si>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машиностроительным специальностям (протокол № 11 от 09.11.2020)</t>
  </si>
  <si>
    <t>049400.16.01</t>
  </si>
  <si>
    <t>Технология машиностроения: Уч. / В.В.Клепиков, - 2 изд. - М.:Форум,2025. - 860 с.(п)</t>
  </si>
  <si>
    <t>Клепиков В.В., Бодров А.Н.</t>
  </si>
  <si>
    <t>978-5-91134-251-7</t>
  </si>
  <si>
    <t>15.02.09, 15.02.10</t>
  </si>
  <si>
    <t>Допущено Министерством образования РФ в качестве учебника для студентов учреждений среднего профессионального образования, обучающихся по группе специальностей 1200 "Машиностроение"</t>
  </si>
  <si>
    <t>401000.03.01</t>
  </si>
  <si>
    <t>Технология машиностроения: Уч. / В.В.Клепиков.-М.:НИЦ ИНФРА-М,2024.-387 с.(ВО)(п)</t>
  </si>
  <si>
    <t>ТЕХНОЛОГИЯ МАШИНОСТРОЕНИЯ, ИЗД.1</t>
  </si>
  <si>
    <t>978-5-16-019155-3</t>
  </si>
  <si>
    <t>Рекомендовано в качестве учебника для студентов высших учебных заведений, обучающихся по направлениям подготовки 15.03.01 «Машиностроение» и 15.03.02 «Технологические машины и оборудование» (квалификация (стапень) «бакалавр»)</t>
  </si>
  <si>
    <t>719232.01.01</t>
  </si>
  <si>
    <t>Технология машиностроения: Уч.пос. / И.С.Иванов - 2 изд. - М.:НИЦ ИНФРА-М,2020-240с(СПО)(П)</t>
  </si>
  <si>
    <t>978-5-16-015604-0</t>
  </si>
  <si>
    <t>15.01.13, 15.01.38, 15.02.01, 15.02.04, 15.02.16, 15.02.17, 15.02.19, 26.02.04, 27.02.04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</si>
  <si>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15.02.08 «Технология машиностроения» (протокол № 12 от 24.06.2019)</t>
  </si>
  <si>
    <t>112850.13.01</t>
  </si>
  <si>
    <t>Технология машиностроения: Уч.пос. /И.С.Иванов - 2изд. - М.:НИЦ ИНФРА-М,2024-240с.(ВО:Бакалавр.)(п)</t>
  </si>
  <si>
    <t>978-5-16-010941-1</t>
  </si>
  <si>
    <t>15.03.01, 15.03.02, 15.03.03, 15.03.05, 15.04.01, 15.04.02, 15.04.05, 15.05.01</t>
  </si>
  <si>
    <t>Допущено учебно-методическим объединением по образованию в области технологии и проектирования текстильных изделий в качестве учебного пособия для студентов вузов, обуч. по специальности 150406 - Машины и аппараты текстильной промышленности</t>
  </si>
  <si>
    <t>302200.05.01</t>
  </si>
  <si>
    <t>Технология машиностроения:технолог.системы на ЭВМ:Уч./В.В.Клепиков-НИЦ ИНФРА-М,2024-269(ВО:Бакалавр)(п)</t>
  </si>
  <si>
    <t>ТЕХНОЛОГИЯ МАШИНОСТРОЕНИЯ: ТЕХНОЛОГИЧЕСКИЕ СИСТЕМЫ НА ЭВМ, ИЗД.1</t>
  </si>
  <si>
    <t>В.В.Клепиков, О.В.Таратынов</t>
  </si>
  <si>
    <t>978-5-16-010195-8</t>
  </si>
  <si>
    <t>Допущено Учебно-методическим объединением вузов по образованию в области автоматизированного машиностроения (УМО AM) в качестве учебника для студентов высших учебных заведений, обучающихся по направлению подготовки «Конструкторско-технологическое обе</t>
  </si>
  <si>
    <t>375000.08.01</t>
  </si>
  <si>
    <t>Технология мукомольного производства: Уч.пос. / Г.Г.Юсупова - М.: НИЦ ИНФРА-М, 2026 -180 с. (ВО)(П)</t>
  </si>
  <si>
    <t>ТЕХНОЛОГИЯ МУКОМОЛЬНОГО ПРОИЗВОДСТВА, ИЗД.1</t>
  </si>
  <si>
    <t>Юсупова Г.Г., Бердышникова О.Н.</t>
  </si>
  <si>
    <t>978-5-16-020680-6</t>
  </si>
  <si>
    <t>Рекомендовано в качестве учебного пособия для студентов высших учебных заведений, обучающихся по направлениям подготовки 35.03.07 «Технология производства и переработки сельскохозяйственной продукции», 19.03.02 «Продукты питания из растительного сырья» (квалификация (степень) «бакалавр»)</t>
  </si>
  <si>
    <t>700480.07.01</t>
  </si>
  <si>
    <t>Технология мукомольного производства: Уч.пос. / Г.Г.Юсупова - М.:НИЦ ИНФРА-М,2026 - 180 с.(СПО)(П)</t>
  </si>
  <si>
    <t>978-5-16-014730-7</t>
  </si>
  <si>
    <t>19.02.11, 19.02.12, 22.02.08, 35.02.18, 43.01.04, 43.01.09</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</si>
  <si>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35.02.06 «Технология производства и переработки сельскохозяйственной продукции», 19.02.02 «Технология хранения и переработки зерна», 19.02.03 «Технология хлеба, кондитерских и макаронных изделий»</t>
  </si>
  <si>
    <t>848534.02.01</t>
  </si>
  <si>
    <t>Технология мяса и мясных продуктов: Уч.пос. / Н.А.Величко - М.:НИЦ ИНФРА-М,2026 - 270 с.:цв.ил. (СПО)(п)</t>
  </si>
  <si>
    <t>ТЕХНОЛОГИЯ МЯСА И МЯСНЫХ ПРОДУКТОВ, ИЗД.1</t>
  </si>
  <si>
    <t>Величко Н.А., Машанов А.И., Речкина Е.А. и др.</t>
  </si>
  <si>
    <t>978-5-16-020583-0</t>
  </si>
  <si>
    <t>19.01.19, 19.02.11, 19.02.12</t>
  </si>
  <si>
    <t>799688.04.01</t>
  </si>
  <si>
    <t>Технология мяса и мясных продуктов: Уч.пос. / Н.А.Величко - М.:НИЦ ИНФРА-М,2026. - 270 с.:цв.ил.(п)</t>
  </si>
  <si>
    <t>978-5-16-019037-2</t>
  </si>
  <si>
    <t>19.03.03, 19.04.03, 36.03.01, 36.05.01</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</si>
  <si>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по направлениям подготовки 19.03.03 «Продукты питания животного происхождения», 19.04.03 «Продукты питания животного происхождения», 19.02.08 «Технология мяса и мясных продуктов»</t>
  </si>
  <si>
    <t>647914.04.01</t>
  </si>
  <si>
    <t>Технология обработки зубчатых колес: Моногр. / В.В.Клепиков - М.:НИЦ ИНФРА-М,2024 - 409 с.(П)</t>
  </si>
  <si>
    <t>ТЕХНОЛОГИЯ ОБРАБОТКИ ЗУБЧАТЫХ КОЛЕС, ИЗД.1</t>
  </si>
  <si>
    <t>978-5-16-012469-8</t>
  </si>
  <si>
    <t>12.03.05, 15.03.01, 15.03.05</t>
  </si>
  <si>
    <t>832030.02.01</t>
  </si>
  <si>
    <t>Технология обработки ювелир. камней: Уч.пос. / В.П.Луговой - М.:НИЦ ИНФРА-М,2026. - 315 с.:цв.ил.(ВО (СФУ))(п)</t>
  </si>
  <si>
    <t>ТЕХНОЛОГИЯ ОБРАБОТКИ ЮВЕЛИРНЫХ КАМНЕЙ, ИЗД.1</t>
  </si>
  <si>
    <t>Луговой В.П.</t>
  </si>
  <si>
    <t>978-5-16-020167-2</t>
  </si>
  <si>
    <t>29.03.04, 29.04.04</t>
  </si>
  <si>
    <t>220300.09.01</t>
  </si>
  <si>
    <t>Технология обслуживания и экспл. а/т: Уч.пос. / В.М.Круглик - М:ИНФРА-М,2025 - 260 с.(ВО)(п)</t>
  </si>
  <si>
    <t>ТЕХНОЛОГИЯ ОБСЛУЖИВАНИЯ И ЭКСПЛУАТАЦИИ АВТОТРАНСПОРТА, ИЗД.1</t>
  </si>
  <si>
    <t>Круглик В.М., Сычев Н.Г.</t>
  </si>
  <si>
    <t>978-5-16-006953-1</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</si>
  <si>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«Коммерческая деятельность»</t>
  </si>
  <si>
    <t>704132.06.01</t>
  </si>
  <si>
    <t>Технология орг. туроператор. и турагентской деят.: Уч. / С.А.Быстров - М.:НИЦ ИНФРА-М,2026 - 375 с.(СПО)(П)</t>
  </si>
  <si>
    <t>ТЕХНОЛОГИЯ ОРГАНИЗАЦИИ ТУРОПЕРАТОРСКОЙ И ТУРАГЕНТСКОЙ ДЕЯТЕЛЬНОСТИ, ИЗД.1</t>
  </si>
  <si>
    <t>978-5-16-014917-2</t>
  </si>
  <si>
    <t>677810.07.01</t>
  </si>
  <si>
    <t>Технология организации туроператорской и турагент.деят.: Уч. / С.А.Быстров - М.:НИЦ ИНФРА-М,2026 - 375 с.(ВО)</t>
  </si>
  <si>
    <t>978-5-16-021293-7</t>
  </si>
  <si>
    <t>Рекомендовано в качестве учебника для студентов высших учебных заведений, обучающихся по направлениям подготовки 43.03.02 «Туризм», 43.03.03 «Гостиничное дело», 43.03.01 «Сервис» (квалификация (степень) «бакалавр»)</t>
  </si>
  <si>
    <t>156200.10.01</t>
  </si>
  <si>
    <t>Технология отходов: Уч. / Л.Я. Шубов - М.: Альфа-М: ИНФРА-М, 2026 - 352 с.(Технолог.сервис) (п)</t>
  </si>
  <si>
    <t>ТЕХНОЛОГИЯ ОТХОДОВ, ИЗД.1</t>
  </si>
  <si>
    <t>Шубов Л. Я., Ставровский М. Е., Олейник А. В.</t>
  </si>
  <si>
    <t>Технологический сервис</t>
  </si>
  <si>
    <t>978-5-98281-257-5</t>
  </si>
  <si>
    <t>Рекомендовано Дальневосточным региональным учебно-методическим центром (ДВ РУМЦ) в качестве учебника для студентов, обучающихся по направлению подготовки 100100 "Сервис"</t>
  </si>
  <si>
    <t>807891.03.01</t>
  </si>
  <si>
    <t>Технология оформления бровей и ресниц: Уч.пос. / Е.Н.Зубова - М.:НИЦ ИНФРА-М,2026. - 210 с.(СПО)(п)</t>
  </si>
  <si>
    <t>ТЕХНОЛОГИЯ ОФОРМЛЕНИЯ БРОВЕЙ И РЕСНИЦ, ИЗД.1</t>
  </si>
  <si>
    <t>978-5-16-018810-2</t>
  </si>
  <si>
    <t>731128.05.01</t>
  </si>
  <si>
    <t>Технология педагогического целеполагания: Моногр. / Я.С.Турбовской - М.:НИЦ ИНФРА-М,2026 - 174 с.(О)</t>
  </si>
  <si>
    <t>ТЕХНОЛОГИЯ ПЕДАГОГИЧЕСКОГО ЦЕЛЕПОЛАГАНИЯ, ИЗД.1</t>
  </si>
  <si>
    <t>Турбовской Я.С., Филинова В.С.</t>
  </si>
  <si>
    <t>978-5-16-016018-4</t>
  </si>
  <si>
    <t>760135.04.01</t>
  </si>
  <si>
    <t>Технология переработки пищевых яиц: Уч.пос. / А.Г.Забашта - М.:НИЦ ИНФРА-М,2025 - 202 с.(СПО)(П)</t>
  </si>
  <si>
    <t>ТЕХНОЛОГИЯ ПЕРЕРАБОТКИ ПИЩЕВЫХ ЯИЦ, ИЗД.1</t>
  </si>
  <si>
    <t>Забашта А.Г., Шалимова Т.А., Басов В.О.</t>
  </si>
  <si>
    <t>978-5-16-017045-9</t>
  </si>
  <si>
    <t>19.02.11, 19.02.12, 22.02.08, 35.02.18, 36.01.02, 36.02.03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</si>
  <si>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19.02.08 «Технология мяса и мясных продуктов» (протокол № 12 от 14.12.2020)</t>
  </si>
  <si>
    <t>642080.07.01</t>
  </si>
  <si>
    <t>Технология переработки яиц: Уч.пос. / А.Г.Забашта - 2 изд.-М.:НИЦ ИНФРА-М,2024.-202 с.(ВО)(п)</t>
  </si>
  <si>
    <t>ТЕХНОЛОГИЯ ПЕРЕРАБОТКИ ЯИЦ, ИЗД.2</t>
  </si>
  <si>
    <t>978-5-16-019663-3</t>
  </si>
  <si>
    <t>19.03.02, 19.03.03, 19.03.04, 19.04.03, 19.04.04</t>
  </si>
  <si>
    <t>Рекомендовано Учебно-методическим объединением по образованию в области технологии сырья и продуктов животного происхождения в качестве учебного пособия для студентов высших учебных заведений, обучающихся по направлению подготовки 19.03.03, 19.04.03 «Продукты питания животного происхождения» (уровни бакалавриата, магистратуры)</t>
  </si>
  <si>
    <t>642080.03.01</t>
  </si>
  <si>
    <t>Технология переработки яиц: Уч.пос./ А.Г.Забашта и др. - М.:НИЦ ИНФРА-М,2020 - 202 с.-(ВО)(П)</t>
  </si>
  <si>
    <t>ТЕХНОЛОГИЯ ПЕРЕРАБОТКИ ЯИЦ, ИЗД.1</t>
  </si>
  <si>
    <t>978-5-16-012401-8</t>
  </si>
  <si>
    <t>Утверждено Советом Учебно-методического объединения по образованию в области технологии сырья и продуктов животного происхождения в качестве учебного пособия для подготовки бакалавров по направлению 19.03.03 «Продукты питания животного происхождения» (профиль «Технология мяса и мясных продуктов»)</t>
  </si>
  <si>
    <t>671497.02.01</t>
  </si>
  <si>
    <t>Технология подготовки грунтов к разраб.в зимний..: Моногр./С.И.Васильев-М.:НИЦ ИНФРА-М,СФУ,2019-152с</t>
  </si>
  <si>
    <t>ТЕХНОЛОГИЯ ПОДГОТОВКИ ГРУНТОВ К РАЗРАБОТКЕ В ЗИМНИЙ ПЕРИОД ПРИ ОСВОЕНИИ ПОЛЕЗНЫХ ИСКОПАЕМЫХ ВОСТОЧНО-СИБИРСКОГО РЕГИОНА, ИЗД.1</t>
  </si>
  <si>
    <t>Васильев С.И., Анферов В.Н., Мелкозеров В.М.</t>
  </si>
  <si>
    <t>978-5-16-013436-9</t>
  </si>
  <si>
    <t>631797.10.01</t>
  </si>
  <si>
    <t>Технология последоват. перевода: Уч.пос. / Л.А.Гаврилов - 2 изд. - М.:Форум, НИЦ ИНФРА-М,2026. - 146 с.(О)</t>
  </si>
  <si>
    <t>ТЕХНОЛОГИЯ ПОСЛЕДОВАТЕЛЬНОГО ПЕРЕВОДА, ИЗД.2</t>
  </si>
  <si>
    <t>Гаврилов Л.А., Зарипов Р.И.</t>
  </si>
  <si>
    <t>978-5-16-021375-0</t>
  </si>
  <si>
    <t>38.03.01, 39.04.01, 44.03.05, 45.03.01, 45.05.01, 46.04.03</t>
  </si>
  <si>
    <t>Рекомендовано Союзом переводчиков России в качестве учебного пособия для студентов филологических факультетов, обучающихся по программе «Перевод и переводоведение»</t>
  </si>
  <si>
    <t>725283.03.01</t>
  </si>
  <si>
    <t>Технология прессования: Уч. / И.Л.Константинов - М.:НИЦ ИНФРА-М, СФУ,2027 - 235 с.(ВО: Магистр.(СФУ))(П)</t>
  </si>
  <si>
    <t>ТЕХНОЛОГИЯ ПРЕССОВАНИЯ, ИЗД.1</t>
  </si>
  <si>
    <t>Константинов И.Л., Сидельников С.Б., Довженко Н.Н. и др.</t>
  </si>
  <si>
    <t>978-5-16-015842-6</t>
  </si>
  <si>
    <t>22.04.02</t>
  </si>
  <si>
    <t>Допущено Учебно-методическим советом Сибирского федерального университета в качестве учебника для студентов, обучающихся по направлению подготовки магистров 22.04.02 «Металлургия» (протокол № 9 от 14 июня 2017 г.)</t>
  </si>
  <si>
    <t>824421.01.01</t>
  </si>
  <si>
    <t>Технология приготовления пищи: лабораторный прак.: Уч.пос. / Л.Г.Ермош - М.:НИЦ ИНФРА-М,2025. - 134 с.(п)</t>
  </si>
  <si>
    <t>ТЕХНОЛОГИЯ ПРИГОТОВЛЕНИЯ ПИЩИ: ЛАБОРАТОРНЫЙ ПРАКТИКУМ, ИЗД.1</t>
  </si>
  <si>
    <t>Ермош Л.Г., Непомнящих Е.Н.</t>
  </si>
  <si>
    <t>978-5-16-020339-3</t>
  </si>
  <si>
    <t>176750.11.01</t>
  </si>
  <si>
    <t>Технология продуктов общ. пит.: Сб.задач: Уч.пос./А.С.Джабоева -М.:Магистр, НИЦ ИНФРА-М,2024-256с(о)</t>
  </si>
  <si>
    <t>ТЕХНОЛОГИЯ ПРОДУКТОВ ОБЩЕСТВЕННОГО ПИТАНИЯ: СБОРНИК ЗАДАЧ, ИЗД.1</t>
  </si>
  <si>
    <t>Джабоева А.С., Тамова М.Ю.</t>
  </si>
  <si>
    <t>978-5-9776-0219-8</t>
  </si>
  <si>
    <t>Рекомендовано УМО по образованию в области технологии продуктов питания и пищевой инженерии в качестве учебного пособия для студентов высших учебных заведений, обучающихся по специальности 260501 (271200) «Технология продуктов общественного питания» направления подготовки дипломированного специалиста 260500 (655700) «Технология продовольственных продуктов специального назначения и общественного питания»</t>
  </si>
  <si>
    <t>090650.15.01</t>
  </si>
  <si>
    <t>Технология продуктов общ. пит.: Уч.пос. / В.А.Домарецкий - 2 изд. - М.:Форум, НИЦ ИНФРА-М,2025 - 395 с.(П)</t>
  </si>
  <si>
    <t>ТЕХНОЛОГИЯ ПРОДУКТОВ ОБЩЕСТВЕННОГО ПИТАНИЯ, ИЗД.2</t>
  </si>
  <si>
    <t>Домарецкий В. А.</t>
  </si>
  <si>
    <t>978-5-00091-488-5</t>
  </si>
  <si>
    <t>19.01.18, 19.01.19, 19.02.10, 19.02.12, 19.02.13, 35.01.23, 35.02.10, 43.02.15</t>
  </si>
  <si>
    <t>842720.01.01</t>
  </si>
  <si>
    <t>Технология продуктов обществ. питания длительного хранения: Уч. / А.Т.Васюкова - М.:НИЦ ИНФРА-М,2026. - 271с(п)</t>
  </si>
  <si>
    <t>ТЕХНОЛОГИЯ ПРОДУКТОВ ОБЩЕСТВЕННОГО ПИТАНИЯ ДЛИТЕЛЬНОГО ХРАНЕНИЯ, ИЗД.1</t>
  </si>
  <si>
    <t>978-5-16-021227-2</t>
  </si>
  <si>
    <t>06.05.01, 19.03.02, 19.03.03, 19.03.04</t>
  </si>
  <si>
    <t>776674.01.01</t>
  </si>
  <si>
    <t>Технология продуктов обществ. питания длительного хранения: Уч. / А.Т.Васюкова-М.:НИЦ ИНФРА-М,2025.-271 с.(п)</t>
  </si>
  <si>
    <t>978-5-16-018229-2</t>
  </si>
  <si>
    <t>19.02.10, 19.02.11, 19.02.12, 19.02.13, 43.02.15</t>
  </si>
  <si>
    <t>Рекомендовано учебным управлением в качестве учебника для студентов СПО по специальностям 38.02.05 «Товароведение и экспертиза качества потребительских товаров», 43.02.15 «Поварское и кондитерское дело», а также бакалавриата направлений подготовки 38.03.06 «Торговое дело», 38.03.07 «Товароведение», 19.03.02 «Продукты питания из растительного сырья», 19.03.03 «Продукты питания животного происхождения», 19.03.04 «Технология продукции и организация общественного питания»</t>
  </si>
  <si>
    <t>125800.12.01</t>
  </si>
  <si>
    <t>Технология продукции общ. питания. Прак.: Уч.пос. / Л.П.Липатова - 4 изд.-М.:НИЦ ИНФРА-М,2025.-376 с.(ВО)(п)</t>
  </si>
  <si>
    <t>ТЕХНОЛОГИЯ ПРОДУКЦИИ ОБЩЕСТВЕННОГО ПИТАНИЯ. ПРАКТИКУМ, ИЗД.4</t>
  </si>
  <si>
    <t>Липатова Л.П., Жубрева Т.В., Мясникова Е.Н. и др.</t>
  </si>
  <si>
    <t>978-5-16-019897-2</t>
  </si>
  <si>
    <t>125800.07.01</t>
  </si>
  <si>
    <t>Технология продукции общ.питания.:уч.пос./Липатова Л.П. - 2-изд.,-М.:Форум, НИЦ ИНФРА-М,2019-376с.(П)</t>
  </si>
  <si>
    <t>ТЕХНОЛОГИЯ ПРОДУКЦИИ ОБЩЕСТВЕННОГО ПИТАНИЯ. ЛАБОРАТОРНЫЙ ПРАКТИКУМ, ИЗД.2</t>
  </si>
  <si>
    <t>Липатова Л.П., Дзюба Г.Н., Мглинец А.И. и др.</t>
  </si>
  <si>
    <t>978-5-00091-615-5</t>
  </si>
  <si>
    <t>Рекомендовано УМО по образованию в области технологии продуктов питания и пищевой инженерии в качестве учесбного пособия для студентов вузов, обучающихся по специальности "Технология продовольственных продуктов специального назначения и общественного питания"</t>
  </si>
  <si>
    <t>125800.11.01</t>
  </si>
  <si>
    <t>Технология продукции общ.питания: Уч.пос./ Липатова Л.П. - 3-изд.-М.:Форум, НИЦ ИНФРА-М,2024-374с.(П)</t>
  </si>
  <si>
    <t>ТЕХНОЛОГИЯ ПРОДУКЦИИ ОБЩЕСТВЕННОГО ПИТАНИЯ, ИЗД.3</t>
  </si>
  <si>
    <t>Липатова Л.П., Баранов Б.А., Соколов А.Ю. и др.</t>
  </si>
  <si>
    <t>978-5-16-015459-6</t>
  </si>
  <si>
    <t>Рекомендовано Учебно-методическим объединением по образованию в области технологии продукции и организации общественного питания в качестве учебного пособия для студентов высших учебных заведений, обучающихся по направлению 19.03.04 «Технология продукции и организация общественного питания»</t>
  </si>
  <si>
    <t>851571.02.01</t>
  </si>
  <si>
    <t>Технология продукции обществ. питания. Прак.: Уч.пос. / Л.П.Липатова - М.:НИЦ ИНФРА-М,2026 - 248 с.(СПО)(п)</t>
  </si>
  <si>
    <t>ТЕХНОЛОГИЯ ПРОДУКЦИИ ОБЩЕСТВЕННОГО ПИТАНИЯ. ПРАКТИКУМ, ИЗД.1</t>
  </si>
  <si>
    <t>978-5-16-020837-4</t>
  </si>
  <si>
    <t>15.02.17, 19.02.10, 19.02.13, 43.02.01, 43.02.15</t>
  </si>
  <si>
    <t>850589.01.01</t>
  </si>
  <si>
    <t>Технология продукции общественного питания: Уч. / Б.А.Баранов. - М.:НИЦ ИНФРА-М,2026. - 303 с.(ВО)(п)</t>
  </si>
  <si>
    <t>ТЕХНОЛОГИЯ ПРОДУКЦИИ ОБЩЕСТВЕННОГО ПИТАНИЯ, ИЗД.1</t>
  </si>
  <si>
    <t>Баранов Б.А., Липатова Л.П., Жубрева Т.В. и др.</t>
  </si>
  <si>
    <t>978-5-16-020788-9</t>
  </si>
  <si>
    <t>19.03.03</t>
  </si>
  <si>
    <t>822483.01.01</t>
  </si>
  <si>
    <t>Технология продукции общественного питания: Уч.пос./ О.М.Евтухова -М.:НИЦ ИНФРА-М, СФУ,2024-272 с.(ВО (СФУ))(п)</t>
  </si>
  <si>
    <t>Евтухова О.М., Никулина Е.О., Кольман О.Я. и др.</t>
  </si>
  <si>
    <t>978-5-16-019695-4</t>
  </si>
  <si>
    <t>708889.07.01</t>
  </si>
  <si>
    <t>Технология произв. мебели и столяр.-строит. изд.: Уч.мет.пос. / Л.В.Игнатович - 2 изд., - М.:НИЦ ИНФРА-М,2025. - 242 с.(п)</t>
  </si>
  <si>
    <t>ТЕХНОЛОГИЯ ПРОИЗВОДСТВА МЕБЕЛИ И СТОЛЯРНО-СТРОИТЕЛЬНЫХ ИЗДЕЛИЙ, ИЗД.2</t>
  </si>
  <si>
    <t>Игнатович Л.В., Шетько С.В.</t>
  </si>
  <si>
    <t>978-5-16-019603-9</t>
  </si>
  <si>
    <t>Рекомендовано Учебно-методическим объединением по образованию в области природопользования и лесного хозяйства в качестве учебно-методического пособия по курсовому и дипломному проектированию для студентов учреждений высшего образования по специальности 1-46 01 02 «Технология деревообрабатывающих производств» и экономических специальностей лесотехнического профиля</t>
  </si>
  <si>
    <t>680731.02.01</t>
  </si>
  <si>
    <t>Технология производ. и контроль качества...: Уч.пос. / В.И.Капустин-М.:НИЦ ИНФРА-М,2022.-244с(П)</t>
  </si>
  <si>
    <t>ТЕХНОЛОГИЯ ПРОИЗВОДСТВА И КОНТРОЛЬ КАЧЕСТВА НАНОМАТЕРИАЛОВ И НАНОСТРУКТУР, ИЗД.1</t>
  </si>
  <si>
    <t>Капустин В.И., Сигов А.С.</t>
  </si>
  <si>
    <t>978-5-16-013806-0</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</si>
  <si>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11.00.00 «Электроника, радиотехника и системы связи» в качестве учебного пособия для обучающихся по образовательным программам высшего образования уровня бакалавриат и магистратура по направлению подготовки «Электроника и наноэлектроника»</t>
  </si>
  <si>
    <t>231600.09.01</t>
  </si>
  <si>
    <t>Технология производ. электрооборуд. автомоб. и трактор.: Уч. / Под ред. В.М.Приходько-ИНФРА-М, 2025-376с.(П)</t>
  </si>
  <si>
    <t>ТЕХНОЛОГИЯ ПРОИЗВОДСТВА ЭЛЕКТРООБОРУДОВАНИЯ АВТОМОБИЛЕЙ И ТРАКТОРОВ, ИЗД.1</t>
  </si>
  <si>
    <t>Приходько В. М., Ютт В. Е., Соколов Л. А., Морозов В. В., Приходько В. М.</t>
  </si>
  <si>
    <t>978-5-16-009079-5</t>
  </si>
  <si>
    <t>15.03.02, 15.04.02, 23.05.02, 35.03.04, 35.04.04</t>
  </si>
  <si>
    <t>057900.14.01</t>
  </si>
  <si>
    <t>Технология производст.неметал.строит.изделий и конст.: Уч. / Л.А.Алимов - М.:НИЦ ИНФРА-М,2026 - 442 с.(СПО)</t>
  </si>
  <si>
    <t>ТЕХНОЛОГИЯ ПРОИЗВОДСТВА НЕМЕТАЛЛИЧЕСКИХ СТРОИТЕЛЬНЫХ ИЗДЕЛИЙ И КОНСТРУКЦИЙ, ИЗД.1</t>
  </si>
  <si>
    <t>Алимов Л.А., Воронин В.В.</t>
  </si>
  <si>
    <t>978-5-16-011061-5</t>
  </si>
  <si>
    <t>08.02.01, 08.02.02, 08.02.03, 08.02.04, 08.02.12, 23.02.08</t>
  </si>
  <si>
    <t>Допущен Государственным комитетом Российской Федерации по строительству и жилищно-коммунальному комплексу в качестве учебника для студентов средних профессиональных учебных заведений, обучающихся по специальности «Производство строительных изделий и конструкций»</t>
  </si>
  <si>
    <t>112650.10.01</t>
  </si>
  <si>
    <t>Технология производства деталей автотракторной техники: Уч. пос. / В.Н. Балашов. - М.:Форум, 2026 - 288 с.(п)</t>
  </si>
  <si>
    <t>ТЕХНОЛОГИЯ ПРОИЗВОДСТВА ДЕТАЛЕЙ АВТОТРАКТОРНОЙ ТЕХНИКИ, ИЗД.1</t>
  </si>
  <si>
    <t>Балашов В. Н.</t>
  </si>
  <si>
    <t>978-5-91134-342-2</t>
  </si>
  <si>
    <t>15.02.10, 15.02.16, 23.02.02</t>
  </si>
  <si>
    <t>709015.02.01</t>
  </si>
  <si>
    <t>Технология производства и контроль кач. наноматер..:Уч.пос. /В.И.Капустин-М.:НИЦ ИНФРА-М,2023-244с(П)</t>
  </si>
  <si>
    <t>978-5-16-015278-3</t>
  </si>
  <si>
    <t>28.00.00, 18.02.13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</si>
  <si>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11.02.00 «Электроника, радиотехника и системы связи», 22.02.00 «Технологии материалов» (протокол № 5 от 11.03.2019)</t>
  </si>
  <si>
    <t>708897.02.01</t>
  </si>
  <si>
    <t>Технология производства мебели и резьба по дереву: Уч.пос. / А.А.Барташевич - 2 изд. - М.:НИЦ ИНФРА-М,2026 - 475 с.(СПО)(п)</t>
  </si>
  <si>
    <t>ТЕХНОЛОГИЯ ПРОИЗВОДСТВА МЕБЕЛИ И РЕЗЬБА ПО ДЕРЕВУ, ИЗД.2</t>
  </si>
  <si>
    <t>978-5-16-015413-8</t>
  </si>
  <si>
    <t>728354.03.01</t>
  </si>
  <si>
    <t>Технология прокатки: Уч. / С.Б.Сидельников - 3 изд. - М.:НИЦ ИНФРА-М, СФУ,2027 - 180 с.(ВО)(П)</t>
  </si>
  <si>
    <t>ТЕХНОЛОГИЯ ПРОКАТКИ, ИЗД.3</t>
  </si>
  <si>
    <t>Сидельников С.Б., Константинов И.Л., Ворошилов Д.С.</t>
  </si>
  <si>
    <t>978-5-16-015902-7</t>
  </si>
  <si>
    <t>Рекомендовано УМО РАЕ по классическому университетскому и техническому образованию в качестве учебника для магистров высших учебных заведений по направлению 22.04.02 «Металлургия» (протокол № 447 от 7 октября 2015 г.)</t>
  </si>
  <si>
    <t>668552.01.01</t>
  </si>
  <si>
    <t>Технология разработки и реализации соц. программ: Уч.пос. / Н.П.Щукина-М.:НИЦ ИНФРА-М,2024.-250 с.(ВО)(п)</t>
  </si>
  <si>
    <t>ТЕХНОЛОГИЯ РАЗРАБОТКИ И РЕАЛИЗАЦИИ СОЦИАЛЬНЫХ ПРОГРАММ, ИЗД.1</t>
  </si>
  <si>
    <t>Щукина Н.П.</t>
  </si>
  <si>
    <t>978-5-16-014742-0</t>
  </si>
  <si>
    <t>39.04.01, 39.04.02</t>
  </si>
  <si>
    <t>766457.01.01</t>
  </si>
  <si>
    <t>Технология разработки месторождений известняка...: Моногр. / А.И.Косолапов-М.:НИЦ ИНФРА-М, СФУ,2022-127с.(О)</t>
  </si>
  <si>
    <t>ТЕХНОЛОГИЯ РАЗРАБОТКИ МЕСТОРОЖДЕНИЙ ИЗВЕСТНЯКА ПРИ КОМПЛЕКСНОМ ОСВОЕНИИ ТЕХНОГЕННЫХ ГЕОРЕСУРСОВ НЕДР, ИЗД.1</t>
  </si>
  <si>
    <t>Косолапов А.И., Пташник Ю.П.</t>
  </si>
  <si>
    <t>978-5-16-017268-2</t>
  </si>
  <si>
    <t>21.06.01</t>
  </si>
  <si>
    <t>684898.13.01</t>
  </si>
  <si>
    <t>Технология разработки програм. обеспеч.: Уч.пос. / Под ред. Гагариной Л.Г - М:ИД ФОРУМ,2026 - 400 с.(СПО)(П)</t>
  </si>
  <si>
    <t>ТЕХНОЛОГИЯ РАЗРАБОТКИ ПРОГРАММНОГО ОБЕСПЕЧЕНИЯ, ИЗД.1</t>
  </si>
  <si>
    <t>Гагарина Л.Г., Кокорева Е.В., Сидорова-Виснадул Б.Д. и др.</t>
  </si>
  <si>
    <t>978-5-8199-0812-9</t>
  </si>
  <si>
    <t>086270.18.01</t>
  </si>
  <si>
    <t>Технология разработки програм.обесп.: Уч.пос. / Л.Г.Гагарина - М.:ИД ФОРУМ,НИЦ ИНФРА-М,2025 - 400 с.(ВО)</t>
  </si>
  <si>
    <t>978-5-8199-0342-1</t>
  </si>
  <si>
    <t>02.03.03, 09.03.03, 09.04.01, 09.04.03</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</si>
  <si>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направлениям подготовки 09.04.01 и 09.03.03 «Информатика и вычислительная техника»</t>
  </si>
  <si>
    <t>776443.01.01</t>
  </si>
  <si>
    <t>Технология реконструкции зданий и сооружений: Моногр. / С.Н.Леонович-М.:НИЦ ИНФРА-М,2023.-521 с.(П)</t>
  </si>
  <si>
    <t>ТЕХНОЛОГИЯ РЕКОНСТРУКЦИИ ЗДАНИЙ И СООРУЖЕНИЙ, ИЗД.1</t>
  </si>
  <si>
    <t>Леонович С.Н., Черноиван В.Н., Черноиван Н.В.</t>
  </si>
  <si>
    <t>978-5-16-017689-5</t>
  </si>
  <si>
    <t>043650.20.01</t>
  </si>
  <si>
    <t>Технология реконструкции и модер. зданий: Уч.пос. / Г.В.Девятаева - М.:НИЦ ИНФРА-М,2025-250 с.(СПО)(П)</t>
  </si>
  <si>
    <t>ТЕХНОЛОГИЯ РЕКОНСТРУКЦИИ И МОДЕРНИЗАЦИИ ЗДАНИЙ, ИЗД.1</t>
  </si>
  <si>
    <t>Девятаева Г.В.</t>
  </si>
  <si>
    <t>978-5-16-001505-7</t>
  </si>
  <si>
    <t>08.02.01, 08.02.02, 08.02.14</t>
  </si>
  <si>
    <t>Допущено Государственным комитетом Российской Федерации по строительству и жилищно-коммунальному хозяйству в качестве учебного пособия для студентов средних специальных учебных заведений, обучающихся по специальности 08.02.01 «Строительство и эксплуатация зданий и сооружений»</t>
  </si>
  <si>
    <t>Ярославский градостроительный колледж</t>
  </si>
  <si>
    <t>654369.05.01</t>
  </si>
  <si>
    <t>Технология ремонта машин: Уч. / Под ред. Корнеева В.М. - М.:НИЦ ИНФРА-М,2026 - 314 с.(ВО: Бакалавр.)(П)</t>
  </si>
  <si>
    <t>ТЕХНОЛОГИЯ РЕМОНТА МАШИН, ИЗД.1</t>
  </si>
  <si>
    <t>Корнеев В.М., Новиков В.С., Кравченко И.Н. и др.</t>
  </si>
  <si>
    <t>978-5-16-013020-0</t>
  </si>
  <si>
    <t>Рекомендовано Федеральным учебно-методическим объединением в системе высшего образования по технологиям, средствам механизации и энергетическому оборудованию в сельском хозяйстве в качестве учебника для студентов, обучающихся по направлению подготовки 35.03.06 «Агроинженерия»</t>
  </si>
  <si>
    <t>637444.10.01</t>
  </si>
  <si>
    <t>Технология ремонта машин: Уч.пос. / С.В.Стребков - 2 изд. - М.:НИЦ ИНФРА-М,2023 - 246 с.(ВО)(П)</t>
  </si>
  <si>
    <t>ТЕХНОЛОГИЯ РЕМОНТА МАШИН, ИЗД.2</t>
  </si>
  <si>
    <t>Стребков С.В., Сахнов А.В.</t>
  </si>
  <si>
    <t>978-5-16-016565-3</t>
  </si>
  <si>
    <t>Рекомендовано в качестве учебного пособия для студентов высших учебных заведений, обучающихся по направлению подготовки 35.03.06 «Агроинженерия» (квалификация (степень) «бакалавр»)</t>
  </si>
  <si>
    <t>757113.03.01</t>
  </si>
  <si>
    <t>Технология ремонта машин: Уч.пос. / С.В.Стребков - М.:НИЦ ИНФРА-М,2026 - 246 с.(СПО)(П)</t>
  </si>
  <si>
    <t>978-5-16-016901-9</t>
  </si>
  <si>
    <t>35.01.27, 35.01.30, 35.02.05, 35.02.16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</si>
  <si>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35.02.16 «Эксплуатация и ремонт сельскохозяйственной техники и оборудования» (протокол № 1 от 20.01.2021)</t>
  </si>
  <si>
    <t>637444.06.01</t>
  </si>
  <si>
    <t>Технология ремонта машин: Уч.пос. / С.В.Стребков-М.:НИЦ ИНФРА-М,2021.-222 с..-(ВО: Бакалавриат)(П)</t>
  </si>
  <si>
    <t>978-5-16-012288-5</t>
  </si>
  <si>
    <t>725291.04.01</t>
  </si>
  <si>
    <t>Технология ремонта обуви: Уч. пос. / И.Н.Леденева - М.:НИЦ ИНФРА-М,2026. - 373 с.-(ВО)(п)</t>
  </si>
  <si>
    <t>ТЕХНОЛОГИЯ РЕМОНТА ОБУВИ, ИЗД.1</t>
  </si>
  <si>
    <t>978-5-16-021245-6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</si>
  <si>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29.03.01 «Технология изделий легкой промышленности», 29.03.05 «Конструирование изделий легкой промышленности» (квалификация (степень) «бакалавр») (протокол № 12 от 24.06.2019)</t>
  </si>
  <si>
    <t>717670.05.01</t>
  </si>
  <si>
    <t>Технология ремонта обуви: Уч.пос. / И.Н.Леденёва - М.:НИЦ ИНФРА-М,2027 - 373 с.-(СПО)(П)</t>
  </si>
  <si>
    <t>978-5-16-015576-0</t>
  </si>
  <si>
    <t>18.02.02, 29.01.03, 29.01.32, 43.02.07, 54.02.03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</si>
  <si>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29.01.02 «Обувщик», 29.01.03 «Сборщик обуви», 29.02.01 «Конструирование, моделирование и технология изделий из кожи» (протокол № 12 от 24.06.2019)</t>
  </si>
  <si>
    <t>668041.03.01</t>
  </si>
  <si>
    <t>Технология ремонтных работ зданий и их инж. сис: Уч.пос. / В.М.Лебедев-М.:НИЦ ИНФРА-М,2024.-210 с.(ВО)(п)</t>
  </si>
  <si>
    <t>ТЕХНОЛОГИЯ РЕМОНТНЫХ РАБОТ ЗДАНИЙ И ИХ ИНЖЕНЕРНЫХ СИСТЕМ, ИЗД.1</t>
  </si>
  <si>
    <t>978-5-16-013563-2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</si>
  <si>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 (протокол № 4 от 21.04.2021)</t>
  </si>
  <si>
    <t>813254.01.01</t>
  </si>
  <si>
    <t>Технология рыбы и рыбных продуктов: Уч.пос. / Т.М.Владимцева - М.:НИЦ ИНФРА-М,2025. - 328 с.(ВО (КрГАУ))(п)</t>
  </si>
  <si>
    <t>ТЕХНОЛОГИЯ РЫБЫ И РЫБНЫХ ПРОДУКТОВ, ИЗД.1</t>
  </si>
  <si>
    <t>Владимцева Т.М.</t>
  </si>
  <si>
    <t>978-5-16-019761-6</t>
  </si>
  <si>
    <t>632117.03.01</t>
  </si>
  <si>
    <t>Технология сварки плавлением и термич. резки: Уч. / В.П.Куликов-М.:НИЦ ИНФРА-М, Новое знание,2024.-463с.(ВО)(п)</t>
  </si>
  <si>
    <t>ТЕХНОЛОГИЯ СВАРКИ ПЛАВЛЕНИЕМ И ТЕРМИЧЕСКОЙ РЕЗКИ, ИЗД.1</t>
  </si>
  <si>
    <t>Куликов В.П.</t>
  </si>
  <si>
    <t>978-5-16-019336-6</t>
  </si>
  <si>
    <t>15.03.01, 15.03.02, 15.04.01, 15.04.02</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</si>
  <si>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15.03.01 «Машиностроение»</t>
  </si>
  <si>
    <t>668635.04.01</t>
  </si>
  <si>
    <t>Технология сельскохоз. машиностр.: Уч. / М.А.Федоренко и др.,-2 изд.-М.:НИЦ ИНФРА-М,2023.-467 с.(ВО)</t>
  </si>
  <si>
    <t>ТЕХНОЛОГИЯ СЕЛЬСКОХОЗЯЙСТВЕННОГО МАШИНОСТРОЕНИЯ, ИЗД.2</t>
  </si>
  <si>
    <t>Федоренко М.А., Дуюн Т.А., Бондаренко Ю.А. и др.</t>
  </si>
  <si>
    <t>978-5-16-013400-0</t>
  </si>
  <si>
    <t>Рекомендовано в качестве учебника для студентов высших учебных заведений, обучающихся по направлениям подготовки 15.03.01 «Машиностроение», 15.03.02 «Технологические машины и оборудование», 15.03.05 «Конструкторско-технологическое обеспечение машиностроительных производств» (квалификация (степень) «бакалавр»)</t>
  </si>
  <si>
    <t>777644.04.01</t>
  </si>
  <si>
    <t>Технология составления бух. отчетности: Уч. / Под ред. Сигидова Ю.И. - М.:НИЦ ИНФРА-М,2026. - 342 с.(СПО)(п)</t>
  </si>
  <si>
    <t>ТЕХНОЛОГИЯ СОСТАВЛЕНИЯ БУХГАЛТЕРСКОЙ ОТЧЕТНОСТИ, ИЗД.1</t>
  </si>
  <si>
    <t>978-5-16-017726-7</t>
  </si>
  <si>
    <t>856604.01.01</t>
  </si>
  <si>
    <t>Технология составления бухгалтерской (финансовой) отчетности: Уч. / Н.В.Малиновская - М.:НИЦ ИНФРА-М,2026. - 231 с.п)</t>
  </si>
  <si>
    <t>ТЕХНОЛОГИЯ СОСТАВЛЕНИЯ БУХГАЛТЕРСКОЙ (ФИНАНСОВОЙ) ОТЧЕТНОСТИ, ИЗД.1</t>
  </si>
  <si>
    <t>Малиновская Н.В., Ситникова В.А.</t>
  </si>
  <si>
    <t>978-5-16-021462-7</t>
  </si>
  <si>
    <t>656368.02.01</t>
  </si>
  <si>
    <t>Технология спец. бетонов на серном и серобитумном вяжущих: Уч.пос. / Б.А.Усов-М.:НИЦ ИНФРА-М,2023.-260с(О)</t>
  </si>
  <si>
    <t>ТЕХНОЛОГИЯ СПЕЦИАЛЬНЫХ БЕТОНОВ НА СЕРНОМ И СЕРОБИТУМНОМ ВЯЖУЩИХ, ИЗД.1</t>
  </si>
  <si>
    <t>Усов Б.А., Горбунова Т.Н.</t>
  </si>
  <si>
    <t>978-5-16-014541-9</t>
  </si>
  <si>
    <t>838432.01.01</t>
  </si>
  <si>
    <t>Технология специальной керамики: Уч. / Р.А.Шишкин - М.:НИЦ ИНФРА-М,2026. - 700 с..(ВО)(п)</t>
  </si>
  <si>
    <t>ТЕХНОЛОГИЯ СПЕЦИАЛЬНОЙ КЕРАМИКИ, ИЗД.1</t>
  </si>
  <si>
    <t>Шишкин Р.А.</t>
  </si>
  <si>
    <t>978-5-16-020445-1</t>
  </si>
  <si>
    <t>18.03.01, 18.03.02, 18.04.01, 18.04.02</t>
  </si>
  <si>
    <t>Институт химии твердого тела Уральского отделения РАН</t>
  </si>
  <si>
    <t>776675.01.01</t>
  </si>
  <si>
    <t>Технология специальных видов питания: Уч. / А.Т.Васюкова - М.:НИЦ ИНФРА-М,2026. - 286 с.(ВО)(п)</t>
  </si>
  <si>
    <t>ТЕХНОЛОГИЯ СПЕЦИАЛЬНЫХ ВИДОВ ПИТАНИЯ, ИЗД.1</t>
  </si>
  <si>
    <t>978-5-16-021126-8</t>
  </si>
  <si>
    <t>178300.10.01</t>
  </si>
  <si>
    <t>Технология строительства дорог. Практикум: Уч. / Ю.Г.Бабаскин - М.:НИЦ ИНФРА-М,2024 - 429 с.(ВО)(П)</t>
  </si>
  <si>
    <t>ТЕХНОЛОГИЯ СТРОИТЕЛЬСТВА ДОРОГ. ПРАКТИКУМ, ИЗД.1</t>
  </si>
  <si>
    <t>Бабаскин Ю. Г., Леонович И. И.</t>
  </si>
  <si>
    <t>978-5-16-019731-9</t>
  </si>
  <si>
    <t>Допущено Министерством образования Республики Беларусь в качестве учебного пособия для студентов высших учебных заведений специальности "Экономика и организация производства (автодорожное хозяйство)"</t>
  </si>
  <si>
    <t>757876.05.01</t>
  </si>
  <si>
    <t>Технология твердых бытовых отходов: Уч. / Л.Я.Шубов - М.:НИЦ ИНФРА-М,2027 - 395 с.(СПО)(П)</t>
  </si>
  <si>
    <t>ТЕХНОЛОГИЯ ТВЕРДЫХ БЫТОВЫХ ОТХОДОВ, ИЗД.1</t>
  </si>
  <si>
    <t>Шубов Л.Я., Ставровский М.Е., Олейник А.В.</t>
  </si>
  <si>
    <t>978-5-16-016937-8</t>
  </si>
  <si>
    <t>Рекомендовано Дальневосточным региональным учебно-методическим центром (ДВ РУМЦ) в качестве учебника для студентов, обучающихся по специальности «Сервис»</t>
  </si>
  <si>
    <t>406350.13.01</t>
  </si>
  <si>
    <t>Технология термической обработки: Уч. / В.В. Овчинников - М.: ИД ФОРУМ: НИЦ Инфра-М, 2026 - 320 с.(ПО) (п)</t>
  </si>
  <si>
    <t>ТЕХНОЛОГИЯ ТЕРМИЧЕСКОЙ ОБРАБОТКИ, ИЗД.1</t>
  </si>
  <si>
    <t>978-5-8199-0509-8</t>
  </si>
  <si>
    <t>15.02.19, 22.02.08</t>
  </si>
  <si>
    <t>736477.04.01</t>
  </si>
  <si>
    <t>Технология термической обработки: Уч. / В.В.Овчинников - М.:НИЦ ИНФРА-М,2027. - 320 с.(ВО)(п)</t>
  </si>
  <si>
    <t>978-5-16-022168-7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</si>
  <si>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22.03.01 «Материаловедение и технологии материалов», 22.03.02 «Металлургия» (квалификация (степень) «бакалавр») (протокол № 19 от 09.12.2019)</t>
  </si>
  <si>
    <t>719463.02.01</t>
  </si>
  <si>
    <t>Технология формир. и продвиж.  гостинич. продукта: Уч.пос. / И.С.Ключевская - М.:НИЦ ИНФРА-М,2026. - 346 с.(ВО)(П)</t>
  </si>
  <si>
    <t>ТЕХНОЛОГИЯ ФОРМИРОВАНИЯ И ПРОДВИЖЕНИЯ  ГОСТИНИЧНОГО ПРОДУКТА, ИЗД.1</t>
  </si>
  <si>
    <t>978-5-16-021761-1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</si>
  <si>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43.03.02 «Туризм», 43.03.03 «Гостиничное дело» (квалификация (степень) «бакалавр») (протокол № 6 от 16.06.2021)</t>
  </si>
  <si>
    <t>770565.01.01</t>
  </si>
  <si>
    <t>Технология формир. и продвиж.  гостиничного продукта: Уч.пос. / И.С.Ключевская-М.:НИЦ ИНФРА-М,2022.-346 с.(П)</t>
  </si>
  <si>
    <t>978-5-16-017391-7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</si>
  <si>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43.02.11 «Гостиничный сервис» (протокол № 7 от 22.09.2021)</t>
  </si>
  <si>
    <t>099400.12.01</t>
  </si>
  <si>
    <t>Технология фрезерования изд. машиностроения: Уч.пос. / О.И.Аверьянов - М.:НИЦ ИНФРА-М,2026. - 430 с.(СПО)(п)</t>
  </si>
  <si>
    <t>ТЕХНОЛОГИЯ ФРЕЗЕРОВАНИЯ ИЗДЕЛИЙ МАШИНОСТРОЕНИЯ, ИЗД.1</t>
  </si>
  <si>
    <t>Аверьянов О. И., Клепиков В. В.</t>
  </si>
  <si>
    <t>978-5-16-021745-1</t>
  </si>
  <si>
    <t>702581.09.01</t>
  </si>
  <si>
    <t>Технология швейных изд. Лаборатор. прак.: Уч.пос. / И.Н.Каграманова - М.:НИЦ ИНФРА-М,2026. - 304 с.(СПО)(п)</t>
  </si>
  <si>
    <t>ТЕХНОЛОГИЯ ШВЕЙНЫХ ИЗДЕЛИЙ. ЛАБОРАТОРНЫЙ ПРАКТИКУМ, ИЗД.1</t>
  </si>
  <si>
    <t>Каграманова И.Н., Конопальцева Н.М.</t>
  </si>
  <si>
    <t>978-5-16-021920-2</t>
  </si>
  <si>
    <t>29.01.04, 29.01.33, 29.02.05, 29.02.10, 54.01.05</t>
  </si>
  <si>
    <t>404300.11.01</t>
  </si>
  <si>
    <t>Технология швейных изделий: История моды муж..: Уч. пос. / П.Н.Умняков - М.: ИНФРА-М, 2026 - 263 с.(ВО)</t>
  </si>
  <si>
    <t>ТЕХНОЛОГИЯ ШВЕЙНЫХ ИЗДЕЛИЙ: ИСТОРИЯ МОДЫ МУЖСКИХ КОСТЮМОВ И ОСОБЕННОСТИ ПРОЦЕССОВ ИНДУСТРИАЛЬНОГО ПРОИЗВОДСТВА, ИЗД.1</t>
  </si>
  <si>
    <t>Умняков П.Н., Соколов Н.В., Лебедев С.А. и др.</t>
  </si>
  <si>
    <t>978-5-16-021432-0</t>
  </si>
  <si>
    <t>29.03.01, 29.03.02, 29.04.02</t>
  </si>
  <si>
    <t>Рекомендовано Учебно-методическим объединением по образованию в области технологии, конструирования изделий легкой промышленности в качестве учебного пособия для студентов вузов по направлению подготовки 29.03.01 «Технология изделий легкой промышленности»</t>
  </si>
  <si>
    <t>646032.04.01</t>
  </si>
  <si>
    <t>Технология электромашиностроения: Уч.пос. / М.Ю.Сибикин, - 2 изд. - М.:НИЦ ИНФРА-М,2026 - 352 с.(П)</t>
  </si>
  <si>
    <t>ТЕХНОЛОГИЯ ЭЛЕКТРОМАШИНОСТРОЕНИЯ, ИЗД.2</t>
  </si>
  <si>
    <t>Сибикин М.Ю., Сибикин Ю.Д.</t>
  </si>
  <si>
    <t>978-5-16-012566-4</t>
  </si>
  <si>
    <t>13.02.13, 15.02.16</t>
  </si>
  <si>
    <t>Рекомендовано в качестве учебного пособия для учебных заведений, реализующих программу среднего профессионального образования по специальности 15.02.08 «Технология машиностроения»</t>
  </si>
  <si>
    <t>254400.18.01</t>
  </si>
  <si>
    <t>Технология электромонтаж. работ: Уч. пос. / Ю.Д.Сибикин - 4 изд. - М:НИЦ ИНФРА-М, 2026 - 352 с.(п)</t>
  </si>
  <si>
    <t>ТЕХНОЛОГИЯ ЭЛЕКТРОМОНТАЖНЫХ РАБОТ, ИЗД.4</t>
  </si>
  <si>
    <t>978-5-16-022188-5</t>
  </si>
  <si>
    <t>08.01.30, 08.01.31, 11.02.03, 11.02.06, 11.02.07, 11.02.11, 11.02.14, 11.02.15, 11.02.17, 11.02.18, 15.01.37, 21.01.15, 35.02.08</t>
  </si>
  <si>
    <t>Рекомендовано Экспертным советом по профессиональному образованию Министерства образования Российской Федерации в качестве учебного пособия</t>
  </si>
  <si>
    <t>072150.09.01</t>
  </si>
  <si>
    <t>Технология энергосбережения: Уч. / Ю.Д.Сибикин - 3 изд. - М.:НИЦ ИНФРА-М, НИЦ ИНФРА-М,2017.-352с.(п)</t>
  </si>
  <si>
    <t>ТЕХНОЛОГИЯ ЭНЕРГОСБЕРЕЖЕНИЯ, ИЗД.3</t>
  </si>
  <si>
    <t>978-5-91134-596-9</t>
  </si>
  <si>
    <t>13.02.01, 13.02.02, 13.02.04, 13.02.07, 13.02.09, 13.02.12, 13.02.13</t>
  </si>
  <si>
    <t>Допущено Министерством образования и науки РФ в качестве учебника для студентов учреждений среднего профессионального образования, обучающихся по группе направлений 15.00.00  "Машиностроение"</t>
  </si>
  <si>
    <t>072150.19.01</t>
  </si>
  <si>
    <t>Технология энергосбережения: Уч. / Ю.Д.Сибикин - 4 изд. - М.:НИЦ ИНФРА-М,2026 - 336 с.(п)</t>
  </si>
  <si>
    <t>ТЕХНОЛОГИЯ ЭНЕРГОСБЕРЕЖЕНИЯ, ИЗД.4</t>
  </si>
  <si>
    <t>978-5-16-012666-1</t>
  </si>
  <si>
    <t>Рекомендовано в качестве учебного пособия для учебных заведений, реализующих программу среднего профессионального образования по специальностям 13.02.02 «Теплоснабжение и теплотехническое оборудование», 13.02.07 «Электроснабжение (по отраслям)», 13.02.03 «Электрические станции, сети и системы»</t>
  </si>
  <si>
    <t>714590.04.01</t>
  </si>
  <si>
    <t>Технология: прак. по труд. обучению: Уч.пос. / В.В.Выгонов, - 3 изд.-М.:НИЦ ИНФРА-М,2023.-289 с.(ВО)(П)</t>
  </si>
  <si>
    <t>ТЕХНОЛОГИЯ: ПРАКТИКУМ ПО ТРУДОВОМУ ОБУЧЕНИЮ, ИЗД.3</t>
  </si>
  <si>
    <t>Выгонов В.В.</t>
  </si>
  <si>
    <t>978-5-16-017059-6</t>
  </si>
  <si>
    <t>44.03.01, 44.03.04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</si>
  <si>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44.03.04 «Профессиональное обучение (по отраслям)», 44.03.05 «Педагогическое образование (с двумя профилями подготовки)» (квалификация (степень) «бакалавр») (протокол № 16 от 28.10.2019)</t>
  </si>
  <si>
    <t>714590.03.01</t>
  </si>
  <si>
    <t>Технология: практикум по трудовому обуч.: Уч.пос. / В.В.Выгонов - 2 изд. - М.:НИЦ ИНФРА-М,2021-257 с.(ВО)(П)</t>
  </si>
  <si>
    <t>ТЕХНОЛОГИЯ: ПРАКТИКУМ ПО ТРУДОВОМУ ОБУЧЕНИЮ, ИЗД.2</t>
  </si>
  <si>
    <t>978-5-16-015502-9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</si>
  <si>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44.03.04 «Профессиональное обучение (по отраслям)», 44.03.05 «Педагогическое образование (с двумя профилями подготовки)» (квалификация (степень) «бакалавр») (протокол № 16 от  28.10.2019)</t>
  </si>
  <si>
    <t>269900.06.01</t>
  </si>
  <si>
    <t>Технопарки в инфрастр.инновац.развития: Моногр. / Л.К.Терещенко-М.:НИЦ ИНФРА-М,ИЗиСП,2022-246(ИЗиСП)(о)</t>
  </si>
  <si>
    <t>ТЕХНОПАРКИ В ИНФРАСТРУКТУРЕ ИННОВАЦИОННОГО РАЗВИТИЯ, ИЗД.1</t>
  </si>
  <si>
    <t>Терещенко Л.К., Лафитский В.И., Терещенко Л.К. и др.</t>
  </si>
  <si>
    <t>978-5-16-010790-5</t>
  </si>
  <si>
    <t>349600.07.01</t>
  </si>
  <si>
    <t>Техносферная безопасность: Уч.пос. / В.П.Дмитренко и др. - М.:НИЦ ИНФРА-М,2023 - 134 с.-(ВО)(О)</t>
  </si>
  <si>
    <t>ТЕХНОСФЕРНАЯ БЕЗОПАСНОСТЬ: ВВЕДЕНИЕ В НАПРАВЛЕНИЕ ОБРАЗОВАНИЯ, ИЗД.1</t>
  </si>
  <si>
    <t>Дмитренко В.П., Е.М.Мессинева, А.Г.Фетисов</t>
  </si>
  <si>
    <t>978-5-16-010849-0</t>
  </si>
  <si>
    <t>Допущено Учебно-методическим объединением вузов Российской Федерации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20.03.01 «Техносферная безопасность» (квалификация (степень) — «бакалавр»)</t>
  </si>
  <si>
    <t>283800.08.01</t>
  </si>
  <si>
    <t>Техносферная безопасность:физико-хим. процессы в...: Уч. пос. /Н.В.Гусакова-М.:НИЦ ИНФРА-М,2023-185с</t>
  </si>
  <si>
    <t>ТЕХНОСФЕРНАЯ БЕЗОПАСНОСТЬ: ФИЗИКО-ХИМИЧЕСКИЕ ПРОЦЕССЫ В ТЕХНОСФЕРЕ, ИЗД.1</t>
  </si>
  <si>
    <t>Гусакова Н.В.</t>
  </si>
  <si>
    <t>978-5-16-018747-1</t>
  </si>
  <si>
    <t>Рекомендовано федеральным государственным бюджетным образовательным учреждением высшего профессионального образования "Московский государственный технический университет имени Н.Э. Баумана» в качестве учебного пособия для студентов высших учебных зав</t>
  </si>
  <si>
    <t>425750.11.01</t>
  </si>
  <si>
    <t>Типические характеры в произведениях А.С. Пушкина: Моногр. / С.Ю.Поройков - М.:НИЦ ИНФРА-М,2026-184с.(о)</t>
  </si>
  <si>
    <t>ТИПИЧЕСКИЕ ХАРАКТЕРЫ В ПРОИЗВЕДЕНИЯХ А.С. ПУШКИНА, ИЗД.1</t>
  </si>
  <si>
    <t>978-5-16-006596-0</t>
  </si>
  <si>
    <t>094500.12.01</t>
  </si>
  <si>
    <t>Типовые технологии производства: Уч. пос. / Н.П. Молоканова. -М.: Форум,ИНФРА-М,2024. - 272 с. (ПО) (П)</t>
  </si>
  <si>
    <t>ТИПОВЫЕ ТЕХНОЛОГИИ ПРОИЗВОДСТВА, ИЗД.1</t>
  </si>
  <si>
    <t>978-5-91134-228-9</t>
  </si>
  <si>
    <t>15.02.16, 15.02.17, 24.02.02, 26.02.02, 26.02.04, 27.02.01, 27.02.02</t>
  </si>
  <si>
    <t>Допущено  Методическим советом Учебно-метод. центра по проф. обр. Департамента обр. г. Москвы в качестве учебного пос. для студентов обр. учреждений среднего проф. образования</t>
  </si>
  <si>
    <t>385100.05.01</t>
  </si>
  <si>
    <t>Товарная информация: Уч. / М.А.Николаева - М.:Юр.Норма, НИЦ ИНФРА-М,2026. - 256 с.(О)</t>
  </si>
  <si>
    <t>ТОВАРНАЯ ИНФОРМАЦИЯ, ИЗД.1</t>
  </si>
  <si>
    <t>М.А.Николаева, Л.В.Карташова</t>
  </si>
  <si>
    <t>978-5-91768-650-9</t>
  </si>
  <si>
    <t>Допущено Учебно-методическим объединением по образованию в области коммерции и по образованию в области маркетинга в качестве учебника для студентов вузов, обучающихся по направлению 100700.62 "Торговое дело»</t>
  </si>
  <si>
    <t>302300.07.01</t>
  </si>
  <si>
    <t>Товарная политика текстильного предприятия: Уч./ Н.С. Иващенко - М.:НИЦ ИНФРА-М, МГУДТ,2027. - 287 с.(п)</t>
  </si>
  <si>
    <t>ТОВАРНАЯ ПОЛИТИКА ТЕКСТИЛЬНОГО ПРЕДПРИЯТИЯ, ИЗД.1</t>
  </si>
  <si>
    <t>Н.С.Иващенко</t>
  </si>
  <si>
    <t>978-5-16-010196-5</t>
  </si>
  <si>
    <t>29.03.02, 38.03.01</t>
  </si>
  <si>
    <t>357100.09.01</t>
  </si>
  <si>
    <t>Товарная политика: Уч. для бакалавриата / М.А.Николаева - М.:Юр.Норма,НИЦ ИНФРА-М,2024-256с.(О)</t>
  </si>
  <si>
    <t>ТОВАРНАЯ ПОЛИТИКА, ИЗД.1</t>
  </si>
  <si>
    <t>М.А.Николаева</t>
  </si>
  <si>
    <t>978-5-91768-615-8</t>
  </si>
  <si>
    <t>38.03.01, 38.03.06, 38.03.07, 38.04.01, 38.04.06, 38.04.07</t>
  </si>
  <si>
    <t>453400.06.01</t>
  </si>
  <si>
    <t>Товарный менедж. и эксперт. прод. дет. питания: Уч.пос. /О.А.Рязанова -М.: Юр.Норма, НИЦ ИНФРА-М, 2024 -224с (о)</t>
  </si>
  <si>
    <t>ТОВАРНЫЙ МЕНЕДЖМЕНТ И ЭКСПЕРТИЗА ПРОДУКТОВ ДЕТСКОГО ПИТАНИЯ, ИЗД.1</t>
  </si>
  <si>
    <t>Рязанова О.А., Николаева М.А.</t>
  </si>
  <si>
    <t>978-5-91768-674-5</t>
  </si>
  <si>
    <t>282200.06.01</t>
  </si>
  <si>
    <t>Товарный менеджмент строительных материалов: Уч. пос. / Ф.А.Петрище - М.: ФОРУМ: ИНФРА-М,2025 - 224 с.(п)</t>
  </si>
  <si>
    <t>ТОВАРНЫЙ МЕНЕДЖМЕНТ СТРОИТЕЛЬНЫХ МАТЕРИАЛОВ, ИЗД.1</t>
  </si>
  <si>
    <t>Петрище Ф. А., Черная М. А.</t>
  </si>
  <si>
    <t>978-5-8199-0596-8</t>
  </si>
  <si>
    <t>38.03.02, 38.03.07, 38.04.02, 38.04.07, 41.03.06</t>
  </si>
  <si>
    <t>Допущено Учебно-методическим объединением по образованию в области коммерции в качестве учебного пособия для студентов высших учебных заведений, обучающихся по направлению 100700 «Торговое дело», профилям подготовки «Коммерция» и «Товароведение и экс</t>
  </si>
  <si>
    <t>444650.06.01</t>
  </si>
  <si>
    <t>Товарный менеджмент: Уч. пос. / Под ред. Т.Н.Ивановой - М.: НИЦ ИНФРА-М, 2024-234с.(ВО:Бакалавр.)(п)</t>
  </si>
  <si>
    <t>ТОВАРНЫЙ МЕНЕДЖМЕНТ, ИЗД.1</t>
  </si>
  <si>
    <t>Иванова Т.Н., Еремина О.Ю., Евдокимова О.В. и др.</t>
  </si>
  <si>
    <t>978-5-16-006908-1</t>
  </si>
  <si>
    <t>Рекомендовано Учебно-методическим объединением по образованию в области товароведения в качестве учебного пособия для студентов высших учебных заведений, обучающихся по направлению 100800.62 «Товароведение»</t>
  </si>
  <si>
    <t>Кузбасский государственный аграрный университет</t>
  </si>
  <si>
    <t>740915.03.01</t>
  </si>
  <si>
    <t>Товароведение в таможенном деле: Уч.пос. / А.В.Панова - М.:НИЦ ИНФРА-М,2024 - 214 с.(ВО: Специалитет)(П)</t>
  </si>
  <si>
    <t>ТОВАРОВЕДЕНИЕ В ТАМОЖЕННОМ ДЕЛЕ, ИЗД.1</t>
  </si>
  <si>
    <t>978-5-16-016396-3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</si>
  <si>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38.05.02 «Таможенное дело» (квалификация «специалист таможенного дела») (протокол № 10 от 15.12.2021)</t>
  </si>
  <si>
    <t>696940.03.01</t>
  </si>
  <si>
    <t>Товароведение и эксп.мясных тов.Лаб.практ.:Уч.пос./Ю.В.Данильчук-2 изд.-М.:НИЦ ИНФРА-М,2023-176(СПО)</t>
  </si>
  <si>
    <t>ТОВАРОВЕДЕНИЕ И ЭКСПЕРТИЗА МЯСНЫХ ТОВАРОВ. ЛАБОРАТОРНЫЙ ПРАКТИКУМ, ИЗД.2</t>
  </si>
  <si>
    <t>Данильчук Ю.В.</t>
  </si>
  <si>
    <t>978-5-16-014604-1</t>
  </si>
  <si>
    <t>19.01.18, 19.01.19, 19.02.10, 19.02.12, 19.02.13, 35.01.23, 38.02.08, 43.01.01, 43.01.04, 43.01.09, 43.02.15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</si>
  <si>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38.02.05 «Товароведение и экспертиза качества потребительских товаров»</t>
  </si>
  <si>
    <t>720415.02.01</t>
  </si>
  <si>
    <t>Товароведение и эксперт. вкусовых тов.: Уч.пос. / Т.Н.Иванова.-М.:НИЦ ИНФРА-М,2023.-240 с.(СПО)(П)</t>
  </si>
  <si>
    <t>ТОВАРОВЕДЕНИЕ И ЭКСПЕРТИЗА ВКУСОВЫХ ТОВАРОВ, ИЗД.1</t>
  </si>
  <si>
    <t>Иванова Т.Н., Евдокимова О.В., Красильникова Е.В. и др.</t>
  </si>
  <si>
    <t>978-5-16-015698-9</t>
  </si>
  <si>
    <t>19.01.18, 19.01.19, 19.02.10, 19.02.13, 35.01.23, 38.02.08, 43.01.01, 43.01.04, 43.01.09, 43.02.01, 43.02.15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</si>
  <si>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38.02.05 "Товароведение и экспертиза  качества потребительских товаров", 38.02.04 "Коммерция" (протокол № 5 от 26.03.2020)</t>
  </si>
  <si>
    <t>140200.09.01</t>
  </si>
  <si>
    <t>Товароведение и эксперт. зерномучных товаров: Уч. / Л.П.Нилова - 2 изд. - ИНФРА-М, 2026 - 448 с.(ВО) (п)</t>
  </si>
  <si>
    <t>ТОВАРОВЕДЕНИЕ И ЭКСПЕРТИЗА ЗЕРНОМУЧНЫХ ТОВАРОВ, ИЗД.2</t>
  </si>
  <si>
    <t>Нилова Л. П.</t>
  </si>
  <si>
    <t>978-5-16-004440-8</t>
  </si>
  <si>
    <t>19.03.04, 38.03.07, 38.04.07</t>
  </si>
  <si>
    <t>Рекомендовано ГОУ ВПО "Московский государственный университет пищевых продуктов" в качестве учебника для студентов высших учебных заведений, обучающихся по специальности 080401 "Товароведение и экспертиза зерномучных товаров"</t>
  </si>
  <si>
    <t>687996.01.01</t>
  </si>
  <si>
    <t>Товароведение и эксперт. пушно-мехового сырья... Прак.: Уч.пос. / Л.В.Орленко - М.:НИЦ ИНФРА-М,2025. - 216 с.(п)</t>
  </si>
  <si>
    <t>ТОВАРОВЕДЕНИЕ И ЭКСПЕРТИЗА ПУШНО-МЕХОВОГО СЫРЬЯ И МЕХОВЫХ ИЗДЕЛИЙ. ПРАКТИКУМ., ИЗД.1</t>
  </si>
  <si>
    <t>978-5-16-014953-0</t>
  </si>
  <si>
    <t>180300.10.01</t>
  </si>
  <si>
    <t>Товароведение и экспертиза вкусовых товаров: Уч. / А.А.Вытовтов - М.: НИЦ Инфра-М, 2025 - 576 с.(ВО) (п)</t>
  </si>
  <si>
    <t>Вытовтов А. А.</t>
  </si>
  <si>
    <t>978-5-16-004633-4</t>
  </si>
  <si>
    <t>Рекомендовано ФГБОУ ВПО "Московский гос. унив. пищевой промышл." в кач. учеб. для студ. вузов, обуч. по спец. 080401 "Товароведение и эксперитза товров", бакалавров и магистров по напр. подготовки 100800 "Товароведение", 100700 "Торговое дело" профил</t>
  </si>
  <si>
    <t>Санкт-Петербургский технический колледж</t>
  </si>
  <si>
    <t>683130.02.01</t>
  </si>
  <si>
    <t>Товароведение и экспертиза вкусовых товаров: Уч. / А.А.Вытовтов - М.:НИЦ ИНФРА-М,2023-576 с.(СПО)(П)</t>
  </si>
  <si>
    <t>Вытовтов А.А.</t>
  </si>
  <si>
    <t>978-5-16-014007-0</t>
  </si>
  <si>
    <t>19.01.18, 19.01.19, 19.02.12, 19.02.13, 38.02.08, 43.01.01, 43.01.04, 43.01.09, 43.02.01</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</si>
  <si>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38.02.05 «Товароведение и экспертиза качества потребительских товаров» (протокол № 13 от 16.09.2019)</t>
  </si>
  <si>
    <t>469550.04.01</t>
  </si>
  <si>
    <t>Товароведение и экспертиза вкусовых товаров:Уч.пос./Т.Н.Иванова-М.:НИЦ ИНФРА-М,2023-240-(ВО:Бак.)(П)</t>
  </si>
  <si>
    <t>Т.Н.Иванова</t>
  </si>
  <si>
    <t>978-5-16-009974-3</t>
  </si>
  <si>
    <t>758110.02.01</t>
  </si>
  <si>
    <t>Товароведение и экспертиза доп. видов сырья живот. происхож.: Уч.пос. / М.В.Горбачева-М.:НИЦ ИНФРА-М,2022.-136 с.(П)</t>
  </si>
  <si>
    <t>ТОВАРОВЕДЕНИЕ И ЭКСПЕРТИЗА ДОПОЛНИТЕЛЬНЫХ ВИДОВ СЫРЬЯ ЖИВОТНОГО ПРОИСХОЖДЕНИЯ, ИЗД.1</t>
  </si>
  <si>
    <t>Горбачева М.В., Щербакова А.В.</t>
  </si>
  <si>
    <t>978-5-16-016980-4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</si>
  <si>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 (протокол № 12 от 14.12.2020)</t>
  </si>
  <si>
    <t>409800.05.01</t>
  </si>
  <si>
    <t>Товароведение и экспертиза доп. видов сырья живот...: Уч. пос./М.В.Горбачева-ИНФРА-М, 2023-136с.(ВО) (о)</t>
  </si>
  <si>
    <t>Горбачева М. В., Щербакова А. В.</t>
  </si>
  <si>
    <t>978-5-16-006173-3</t>
  </si>
  <si>
    <t>Рекомендовано Учебно-методическим объединением по образованию в области товароведения и экспертизы товаров в качестве учебного пособия для студентов высших учебных заведений, обучающихся по специальности 080401 — «Товароведение и экспертиза товаров (</t>
  </si>
  <si>
    <t>720427.03.01</t>
  </si>
  <si>
    <t>Товароведение и экспертиза зерномучных товаров: Уч. / Л.П.Нилова, - 2 изд.-М.:НИЦ ИНФРА-М,2024 - 448с(П)</t>
  </si>
  <si>
    <t>Нилова Л.П.</t>
  </si>
  <si>
    <t>978-5-16-015701-6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</si>
  <si>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38.02.05 «Товароведение и экспертиза качества потребительских товаров» (протокол № 12 от 24.06.2019)</t>
  </si>
  <si>
    <t>141700.04.98</t>
  </si>
  <si>
    <t>Товароведение и экспертиза мясных товаров...: Уч. пос./Ю.В.Данильчук - М.: НИЦ ИНФРА-М,2017-174с.(О)</t>
  </si>
  <si>
    <t>ТОВАРОВЕДЕНИЕ И ЭКСПЕРТИЗА МЯСНЫХ ТОВАРОВ. ЛАБОРАТОРНЫЙ ПРАКТИКУМ, ИЗД.1</t>
  </si>
  <si>
    <t>978-5-16-010563-5</t>
  </si>
  <si>
    <t>Рекомендовано Учебнб-методическим объединением по образованию в области товароведения и экспертизы товаров з качестве учебного пособия для студентов высших учебных заведений, обучающихся по специальности 080401 «Товароведение и экспертиза товаров (по</t>
  </si>
  <si>
    <t>141700.08.01</t>
  </si>
  <si>
    <t>Товароведение и экспертиза мясных товаров..: Уч.пос. / Ю.В.Данильчук - 2 изд. - М.:НИЦ ИНФРА-М,2025. - 176 с.(ВО)(п)</t>
  </si>
  <si>
    <t>978-5-16-020732-2</t>
  </si>
  <si>
    <t>Рекомендовано в качестве учебного пособия для студентов высших образовательных учреждений, обучающихся по направлению подготовки 38.03.07 «Товароведение» (квалификация (степень) «бакалавр»)</t>
  </si>
  <si>
    <t>216600.08.01</t>
  </si>
  <si>
    <t>Товароведение и экспертиза пищевых концентратов и...:Уч. / Т.Н.Иванова-2 изд-М.:НИЦ ИНФРА-М,2024.-265 с.(п)</t>
  </si>
  <si>
    <t>ТОВАРОВЕДЕНИЕ И ЭКСПЕРТИЗА ПИЩЕВЫХ КОНЦЕНТРАТОВ И ПИЩЕВЫХ ДОБАВОК, ИЗД.2</t>
  </si>
  <si>
    <t>Иванова Т. Н., Позняковский В. М., Добровольский В. Ф.</t>
  </si>
  <si>
    <t>978-5-16-006916-6</t>
  </si>
  <si>
    <t>Рекомендовано Учебно-методическим объединением по образованию в области товароведения и экспертизы товаров в качестве учебника для подготовки бакалавров и магистров по направлению 100800.62 «Товароведение»</t>
  </si>
  <si>
    <t>720421.03.01</t>
  </si>
  <si>
    <t>Товароведение и экспертиза пищевых концентратов...: Уч. / Т.Н.Иванова - 2 изд. - М.:НИЦ ИНФРА-М,2025. - 265 с.(П)</t>
  </si>
  <si>
    <t>Иванова Т.Н., Позняковский В.М., Добровольский В.Ф.</t>
  </si>
  <si>
    <t>978-5-16-015700-9</t>
  </si>
  <si>
    <t>19.01.18, 19.01.19, 38.02.08, 43.01.01, 43.01.04, 43.01.09, 43.02.01</t>
  </si>
  <si>
    <t>841873.01.01</t>
  </si>
  <si>
    <t>Товароведение и экспертиза пушно-мехового... Прак.: Уч.пос. / Л.В.Орленко - М.:НИЦ ИНФРА-М,2026. - 216 с.(п)</t>
  </si>
  <si>
    <t>978-5-16-020294-5</t>
  </si>
  <si>
    <t>29.02.10</t>
  </si>
  <si>
    <t>067440.13.01</t>
  </si>
  <si>
    <t>Товароведение и экспертиза товаров: Уч.пос. / Е.А.Замедлина - М.:ИЦ РИОР, НИЦ ИНФРА-М,2025 - 156 с.(О)</t>
  </si>
  <si>
    <t>ТОВАРОВЕДЕНИЕ И ЭКСПЕРТИЗА ТОВАРОВ, ИЗД.1</t>
  </si>
  <si>
    <t>Замедлина Е.А.</t>
  </si>
  <si>
    <t>978-5-9557-0269-8</t>
  </si>
  <si>
    <t>19.01.18, 19.01.19, 19.02.10, 19.02.13, 38.02.08, 43.01.01, 43.01.04, 43.01.09, 43.02.15</t>
  </si>
  <si>
    <t>845118.01.01</t>
  </si>
  <si>
    <t>Товароведение непродовольственных товаров: Уч.пос. / В.Н.Шитов - М.:НИЦ ИНФРА-М,2026. - 429 с.(СПО)(п)</t>
  </si>
  <si>
    <t>ТОВАРОВЕДЕНИЕ НЕПРОДОВОЛЬСТВЕННЫХ ТОВАРОВ, ИЗД.1</t>
  </si>
  <si>
    <t>978-5-16-020677-6</t>
  </si>
  <si>
    <t>СПО-2024, Победитель, III место</t>
  </si>
  <si>
    <t>370600.04.01</t>
  </si>
  <si>
    <t>Товароведение однород.групп непродовол.товаров...: Уч.пос. / Е.А.Тыщенко-М.:НИЦ ИНФРА-М,2023-394с.(П)</t>
  </si>
  <si>
    <t>ТОВАРОВЕДЕНИЕ ОДНОРОДНЫХ ГРУПП НЕПРОДОВОЛЬСТВЕННЫХ ТОВАРОВ: ПАРФЮМЕРНО-КОСМЕТИЧЕСКИЕ ТОВАРЫ, ИЗД.1</t>
  </si>
  <si>
    <t>Тыщенко Е.А., Ердакова В.П., Позняковский В.М.</t>
  </si>
  <si>
    <t>978-5-16-011028-8</t>
  </si>
  <si>
    <t>Рекомендовано в качестве учебного пособия для студентов высших учебных заведений, обучающихся по направлению подготовки 38.03.07 «Товароведение» (квалификация (степень) «бакалавр»)</t>
  </si>
  <si>
    <t>081500.08.01</t>
  </si>
  <si>
    <t>Товароведение продовольств. товаров: Уч. пос. / Н.В.Коник - М.:Альфа-М:ИНФРА-М, 2025 - 416 с. (ПРОФИль) (п)</t>
  </si>
  <si>
    <t>ТОВАРОВЕДЕНИЕ ПРОДОВОЛЬСТВЕННЫХ ТОВАРОВ, ИЗД.1</t>
  </si>
  <si>
    <t>Коник Н. В.</t>
  </si>
  <si>
    <t>978-5-98281-108-0</t>
  </si>
  <si>
    <t>Допущено Мин. обр. и науки РФ в качестве учебного пособия для студентов учреждений среднего профессионального образования, обучающихся по специальностям  "Товароведение" и "Коммерция"</t>
  </si>
  <si>
    <t>142500.07.01</t>
  </si>
  <si>
    <t>Товароведение строительных товаров: Уч. пос. / Ф.А.Петрище - М.: ИД ФОРУМ, 2024-208с.(ВО) (п)</t>
  </si>
  <si>
    <t>ТОВАРОВЕДЕНИЕ СТРОИТЕЛЬНЫХ ТОВАРОВ, ИЗД.1</t>
  </si>
  <si>
    <t>978-5-8199-0464-0</t>
  </si>
  <si>
    <t>Допущено Учебно-методическим объединением по образованию в области коммерции в качестве учебного пособия для студентов высших учебных заведений, обучающихся по направлению 100700 - Торговое дело, профилям подготовки "Коммерция" и "Товароведение и эк"</t>
  </si>
  <si>
    <t>241800.04.01</t>
  </si>
  <si>
    <t>Товароведение, технология и экспертиза пищевых продуктов животного происхождения:Уч.пос. / Г.В.Чебакова-М.:НИЦ ИНФРА-М,2020-304с(ВО)(П)</t>
  </si>
  <si>
    <t>ТОВАРОВЕДЕНИЕ, ТЕХНОЛОГИЯ И ЭКСПЕРТИЗА ПИЩЕВЫХ ПРОДУКТОВ ЖИВОТНОГО ПРОИСХОЖДЕНИЯ, ИЗД.1</t>
  </si>
  <si>
    <t>Чебакова Г. В., Данилова И. А.</t>
  </si>
  <si>
    <t>978-5-16-006081-1</t>
  </si>
  <si>
    <t>455850.07.01</t>
  </si>
  <si>
    <t>Товароведение: Уч.пос. / Е.С.Григорян - М.:НИЦ ИНФРА-М,2023 - 265 с.-(ВО: Бакалавриат)(П)</t>
  </si>
  <si>
    <t>ТОВАРОВЕДЕНИЕ, ИЗД.1</t>
  </si>
  <si>
    <t>Григорян Е. С.</t>
  </si>
  <si>
    <t>978-5-16-005764-4</t>
  </si>
  <si>
    <t>Рекомендовано Учебно-методическим объединением по образованию в области товароведения в качестве учебного пособия для студентов высших учебных заведений, обучающихся по направлению 100800 «Товароведение» (квалификация (степень) — «бакалавр»)</t>
  </si>
  <si>
    <t>683131.08.01</t>
  </si>
  <si>
    <t>Товароведение: Уч.пос. / Е.С.Григорян - М.:НИЦ ИНФРА-М,2026 - 265 с.-(СПО)(П)</t>
  </si>
  <si>
    <t>978-5-16-014008-7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</si>
  <si>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38.02.04 «Коммерция (по отраслям)», 38.02.05 «Товароведение и экспертиза качества потребительских товаров» (протокол № 3 от 11.02.2019)</t>
  </si>
  <si>
    <t>449450.07.01</t>
  </si>
  <si>
    <t>Токсичность современных автомобилей..: Уч. / В.И.Ерохов - М.: Форум, НИЦ ИНФРА-М, 2026 - 448 с. (П)</t>
  </si>
  <si>
    <t>ТОКСИЧНОСТЬ СОВРЕМЕННЫХ АВТОМОБИЛЕЙ (МЕТОДЫ И СРЕДСТВА СНИЖЕНИЯ ВРЕДНЫХ ВЫБРОСОВ В АТМОСФЕРУ), ИЗД.1</t>
  </si>
  <si>
    <t>Ерохов В. И.</t>
  </si>
  <si>
    <t>978-5-91134-801-4</t>
  </si>
  <si>
    <t>Допущено Учебно-методическим объединением вузов РФ по образованию в области транспортных машин и транспортно-технологических комплексов в качестве учебника для студентов высших учебных заведений, обучающихся по специальности 190201 "Автомобиле- и тракторостроение"</t>
  </si>
  <si>
    <t>442350.06.01</t>
  </si>
  <si>
    <t>Толкование гражданско-правового договора: Моногр./Н.В.Степанюк-М:НИЦ ИНФРА-М,2022-136с-(Науч.мысль)</t>
  </si>
  <si>
    <t>ТОЛКОВАНИЕ ГРАЖДАНСКО-ПРАВОВОГО ДОГОВОРА: ПРОБЛЕМЫ ТЕОРИИ И ПРАКТИКИ, ИЗД.1</t>
  </si>
  <si>
    <t>Степанюк Н.В.</t>
  </si>
  <si>
    <t>978-5-16-006827-5</t>
  </si>
  <si>
    <t>672622.06.01</t>
  </si>
  <si>
    <t>Топливно-энергет. комп.: особ. развития и упр. в..: Моногр./ Е.В.Видищева.-М.:НИЦ ИНФРА-М,2024-111с.(Науч. мысль)(о)</t>
  </si>
  <si>
    <t>ТОПЛИВНО-ЭНЕРГЕТИЧЕСКИЙ КОМПЛЕКС:ОСОБЕННОСТИ РАЗВИТИЯ И УПРАВЛЕНИЯ В СОВРЕМЕННЫХ УСЛОВИЯХ, ИЗД.1</t>
  </si>
  <si>
    <t>Видищева Е.В., Бугаенко О.А., Селиверстова М.А.</t>
  </si>
  <si>
    <t>978-5-16-013939-5</t>
  </si>
  <si>
    <t>13.04.01, 38.03.01</t>
  </si>
  <si>
    <t>809211.02.01</t>
  </si>
  <si>
    <t>Топливно-энергетич. компл. Китая и глобал. энергетич. пробл. / С.И.Долгов - М.:НИЦ ИНФРА-М,2025.-421 с(п)</t>
  </si>
  <si>
    <t>ТОПЛИВНО-ЭНЕРГЕТИЧЕСКИЙ КОМПЛЕКС КИТАЯ И ГЛОБАЛЬНАЯ ЭНЕРГЕТИЧЕСКАЯ ПРОБЛЕМА, ИЗД.1</t>
  </si>
  <si>
    <t>Захаров А.Н., Долгов С.И., Аникина Е.М. и др.</t>
  </si>
  <si>
    <t>978-5-16-019308-3</t>
  </si>
  <si>
    <t>38.03.01, 38.04.01, 38.05.01, 38.06.01, 41.04.01, 41.04.05, 41.06.01</t>
  </si>
  <si>
    <t>799531.02.01</t>
  </si>
  <si>
    <t>Топливно-энергетич.комплекс Предуралья: Оренбург. обл.: Моногр. / В.М.Александров - М.:ИНФРА-М,2026. - 289 с.(о)</t>
  </si>
  <si>
    <t>ТОПЛИВНО-ЭНЕРГЕТИЧЕСКИЙ КОМПЛЕКС ПРЕДУРАЛЬЯ: ОРЕНБУРГСКАЯ ОБЛАСТЬ, ИЗД.1</t>
  </si>
  <si>
    <t>Александров В.М., Солодовников А.Ю.</t>
  </si>
  <si>
    <t>978-5-16-018323-7</t>
  </si>
  <si>
    <t>21.05.06, 21.06.02, 38.04.01, 38.06.01</t>
  </si>
  <si>
    <t>308300.13.01</t>
  </si>
  <si>
    <t>Топливо, смазочные материалы и...: Уч.пос. / Под ред. Карташевича А.Н. - М.:НИЦ ИНФРА-М,2027. -  421 с.(ВО)(п)</t>
  </si>
  <si>
    <t>ТОПЛИВО, СМАЗОЧНЫЕ МАТЕРИАЛЫ И ТЕХНИЧЕСКИЕ ЖИДКОСТИ, ИЗД.1</t>
  </si>
  <si>
    <t>Карташевич А.Н., Товстыка В.С., Гордеенко А.В. и др.</t>
  </si>
  <si>
    <t>978-5-16-020881-7</t>
  </si>
  <si>
    <t>23.05.02</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</si>
  <si>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«Техническое обеспечение процессов сельскохозяйственного производства», «Техническое обеспечение мелиоративных и водохозяйственных работ», «Материально-техническое обеспечение АПК» (соответствует направлению подготовки 35.03.06 «Агроинженерия»)</t>
  </si>
  <si>
    <t>860030.01.01</t>
  </si>
  <si>
    <t>Топографическая анатомия конечностей: Уч.мет.пос. / М.В.Лапич. - М.:НИЦ ИНФРА-М, Гомельский гос. универ.,2026. - 112 с.(ВО)(п)</t>
  </si>
  <si>
    <t>ТОПОГРАФИЧЕСКАЯ АНАТОМИЯ КОНЕЧНОСТЕЙ, ИЗД.1</t>
  </si>
  <si>
    <t>Лапич М.В., Семеняго С.А., Введенский Д.В.</t>
  </si>
  <si>
    <t>978-5-16-021298-2</t>
  </si>
  <si>
    <t>30.05.03, 31.05.01, 31.05.02</t>
  </si>
  <si>
    <t>783407.06.01</t>
  </si>
  <si>
    <t>Топографическая подготовка: Уч.пос. / А.А.Ильященко - М.:НИЦ ИНФРА-М,2027. - 247 с.(ВО)(п)</t>
  </si>
  <si>
    <t>ТОПОГРАФИЧЕСКАЯ ПОДГОТОВКА, ИЗД.1</t>
  </si>
  <si>
    <t>Ильященко А.А., Ковальчук А.Н.</t>
  </si>
  <si>
    <t>978-5-16-022337-7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</si>
  <si>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8 от 19.10.2022)</t>
  </si>
  <si>
    <t>771230.02.01</t>
  </si>
  <si>
    <t>Топография и картография: Уч.пос. / Н.В.Корягина - М.:НИЦ ИНФРА-М,2026. - 219 с.(ВО)(п)</t>
  </si>
  <si>
    <t>ТОПОГРАФИЯ И КАРТОГРАФИЯ, ИЗД.1</t>
  </si>
  <si>
    <t>978-5-16-017522-5</t>
  </si>
  <si>
    <t>05.03.03, 21.03.02</t>
  </si>
  <si>
    <t>370800.12.01</t>
  </si>
  <si>
    <t>Топография: Уч. / Г.Д.Курошев, - 3 изд. - М.:НИЦ ИНФРА-М,2026. - 182 с.(ВО)(о)</t>
  </si>
  <si>
    <t>ТОПОГРАФИЯ, ИЗД.3</t>
  </si>
  <si>
    <t>Курошев Г.Д.</t>
  </si>
  <si>
    <t>978-5-16-020684-4</t>
  </si>
  <si>
    <t>05.03.03, 05.03.04</t>
  </si>
  <si>
    <t>Рекомендовано в качестве учебника для студентов высших учебных заведений, обучающихся по направлениям подготовки 05.03.02 «География», 05.03.03 «Картография и геоинформатика» и 05.03.04 «Гидрометеорология» (квалификация (степень) «бакалавр»)</t>
  </si>
  <si>
    <t>338700.04.01</t>
  </si>
  <si>
    <t>Торговая политика: Уч.пос. / Е.Д.Халевинская - М.:Магистр, НИЦ ИНФРА-М,2023.-304 с.</t>
  </si>
  <si>
    <t>ТОРГОВАЯ ПОЛИТИКА, ИЗД.1</t>
  </si>
  <si>
    <t>Е.Д.Халевинская</t>
  </si>
  <si>
    <t>978-5-9776-0351-5</t>
  </si>
  <si>
    <t>38.03.01, 38.03.06, 38.03.07, 38.04.01, 38.04.06, 38.04.07, 38.05.02</t>
  </si>
  <si>
    <t>173550.10.01</t>
  </si>
  <si>
    <t>Торговое дело. Хоз. деят. торговых сетей: Уч. / В.П.Чеглов - М.:НИЦ ИНФРА-М,2026. - 358 с.(ВО)(п)</t>
  </si>
  <si>
    <t>ТОРГОВОЕ ДЕЛО. ХОЗЯЙСТВЕННАЯ ДЕЯТЕЛЬНОСТЬ ТОРГОВЫХ СЕТЕЙ, ИЗД.1</t>
  </si>
  <si>
    <t>978-5-16-021010-0</t>
  </si>
  <si>
    <t>38.03.02, 38.03.06, 38.04.02, 38.04.06, 38.04.07</t>
  </si>
  <si>
    <t>071850.20.01</t>
  </si>
  <si>
    <t>Торговое оборудование: Уч. пос. / В.Ф.Кащенко - М.:НИЦ ИНФРА-М,2026 - 398 с.(СПО)(П)</t>
  </si>
  <si>
    <t>ТОРГОВОЕ ОБОРУДОВАНИЕ, ИЗД.1</t>
  </si>
  <si>
    <t>Кащенко В.Ф., Кащенко Л.В.</t>
  </si>
  <si>
    <t>978-5-16-015381-0</t>
  </si>
  <si>
    <t>15.01.18, 15.02.06, 38.02.01, 38.02.03, 38.02.08</t>
  </si>
  <si>
    <t>Допущено Минобрнауки России в качестве учебного пособия для студентов образовательных учреждений среднего профессионального образования, обучающихся по торговым и экономическим специальностям</t>
  </si>
  <si>
    <t>766995.03.01</t>
  </si>
  <si>
    <t>Точечные дефекты в оксидах и эмиссионные свойства: Моногр. / В.И.Капустин - М.:НИЦ ИНФРА-М,2026-248 с.(О)</t>
  </si>
  <si>
    <t>ТОЧЕЧНЫЕ ДЕФЕКТЫ В ОКСИДАХ И ЭМИССИОННЫЕ СВОЙСТВА, ИЗД.1</t>
  </si>
  <si>
    <t>Капустин В.И., Сигов А.С., Ли И.П. и др.</t>
  </si>
  <si>
    <t>978-5-16-017376-4</t>
  </si>
  <si>
    <t>11.02.17, 11.03.03, 11.04.03, 12.04.01, 16.04.01</t>
  </si>
  <si>
    <t>477150.07.01</t>
  </si>
  <si>
    <t>Традиционная и метаболомическая селекция овец: Моногр. / В.И. Глазко - М.: КУРС: ИНФРА-М,2026 - 560 с.(П)</t>
  </si>
  <si>
    <t>ТРАДИЦИОННАЯ И МЕТАБОЛОМИЧЕСКАЯ СЕЛЕКЦИЯ ОВЕЦ, ИЗД.1</t>
  </si>
  <si>
    <t>Глазко В.И., Юлдашбаев Ю.А., Кушнир А.В. и др.</t>
  </si>
  <si>
    <t>978-5-905554-74-2</t>
  </si>
  <si>
    <t>794951.01.01</t>
  </si>
  <si>
    <t>Традиция авторской маски в рус. прозе XVIII-XIX вв: Моногр. / О.Ю.Осьмухина-М.:НИЦ ИНФРА-М,2023-379с.(П)</t>
  </si>
  <si>
    <t>ТРАДИЦИЯ АВТОРСКОЙ МАСКИ В РУССКОЙ ПРОЗЕ XVIII-XIX ВЕКОВ, ИЗД.1</t>
  </si>
  <si>
    <t>Осьмухина О.Ю.</t>
  </si>
  <si>
    <t>978-5-16-018100-4</t>
  </si>
  <si>
    <t>44.04.01, 44.06.01, 44.07.01, 45.04.01, 45.06.01, 45.07.01, 52.05.04, 52.09.08</t>
  </si>
  <si>
    <t>757865.02.01</t>
  </si>
  <si>
    <t>Тракторы и авто. и с электронным управ.: Уч.пос. / А.В.Богатырев - М.:НИЦ ИНФРА-М,2025.-631 с.(СПО)(п)</t>
  </si>
  <si>
    <t>ТРАКТОРЫ И АВТОМОБИЛИ С ЭЛЕКТРОННЫМ УПРАВЛЕНИЕМ, ИЗД.1</t>
  </si>
  <si>
    <t>Богатырев А.В., Щукина В.Н.</t>
  </si>
  <si>
    <t>978-5-16-017189-0</t>
  </si>
  <si>
    <t>23.02.02, 35.01.01, 35.01.15, 35.02.07, 35.02.16</t>
  </si>
  <si>
    <t>251100.09.01</t>
  </si>
  <si>
    <t>Тракторы и автомобили: теория и технолог. свойства: Уч. / Г.М.Кутьков - 2 изд. - ИНФРА-М, 2026 - 506 с.(ВО) (п)</t>
  </si>
  <si>
    <t>ТРАКТОРЫ И АВТОМОБИЛИ: ТЕОРИЯ И ТЕХНОЛОГИЧЕСКИЕ СВОЙСТВА, ИЗД.2</t>
  </si>
  <si>
    <t>Кутьков Г. М.</t>
  </si>
  <si>
    <t>978-5-16-006053-8</t>
  </si>
  <si>
    <t>Рекомендован Учебно-методическим объединением вузов Российской Федерации по агроинженерному образованию в качестве учебника для студентов высших учебных заведений, обучающихся по специальностям «Механизация сельского хозяйства» и «Технология обслужив</t>
  </si>
  <si>
    <t>683132.09.01</t>
  </si>
  <si>
    <t>Тракторы и автомобили: Уч. / А.В.Богатырев - М.:НИЦ ИНФРА-М,2026 -  425 с.(СПО)(П)</t>
  </si>
  <si>
    <t>ТРАКТОРЫ И АВТОМОБИЛИ, ИЗД.1</t>
  </si>
  <si>
    <t>Богатырев А.В., Лехтер В.Р.</t>
  </si>
  <si>
    <t>978-5-16-014009-4</t>
  </si>
  <si>
    <t>15.02.04, 19.02.11, 19.02.12, 21.02.12, 35.01.01, 35.01.15, 35.01.27, 35.01.30, 35.02.05, 35.02.07, 35.02.08, 35.02.16, 36.01.02, 36.02.03</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</si>
  <si>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35.02.07 «Механизация сельского хозяйства», 23.02.02 «Автомобиле- и тракторостроение», 23.02.03 «Техническое обслуживание и ремонт автомобильного транспорта»</t>
  </si>
  <si>
    <t>203100.12.01</t>
  </si>
  <si>
    <t>Тракторы и автомобили: Уч. / А.В.Богатырев - М.:НИЦ ИНФРА-М,2026 - 425 с.(ВО)(П)</t>
  </si>
  <si>
    <t>978-5-16-022004-8</t>
  </si>
  <si>
    <t>Рекомендовано Учебно-методическим объединением вузов России по агроинженерному образованию в качестве учебника для студентов высших учебных заведений, обучающихся по направлениям подготовки 35.03.06 "Агроинженерия» и 23.03.03 "Эксплуатация транспортн</t>
  </si>
  <si>
    <t>728596.02.01</t>
  </si>
  <si>
    <t>Транзакционный менеджмент: Моногр. / О.Г.Тихомирова - М.:НИЦ ИНФРА-М,2025 - 178 с.(Науч.мысль)(О)</t>
  </si>
  <si>
    <t>ТРАНЗАКЦИОННЫЙ МЕНЕДЖМЕНТ: ГЕЙМИФИКАЦИЯ УПРАВЛЕНИЯ КОМПАНИЯМИ И ЛЮДЬМИ, ИЗД.1</t>
  </si>
  <si>
    <t>Тихомирова О.Г.</t>
  </si>
  <si>
    <t>978-5-16-015977-5</t>
  </si>
  <si>
    <t>710996.01.01</t>
  </si>
  <si>
    <t>Трансакционный сектор региона и его влияние на экономику субъектов РФ / Е.Н.Фрейман-М.:НИЦ ИНФРА-М,2020.-240с(О)</t>
  </si>
  <si>
    <t>ТРАНСАКЦИОННЫЙ СЕКТОР РЕГИОНА И ЕГО ВЛИЯНИЕ НА ЭКОНОМИКУ СУБЪЕКТОВ РФ: СТРУКТУРНО-ФУНКЦИОНАЛЬНЫЙ ПОДХОД, ИЗД.1</t>
  </si>
  <si>
    <t>Фрейман Е.Н., Третьякова Е.А.</t>
  </si>
  <si>
    <t>978-5-16-015361-2</t>
  </si>
  <si>
    <t>786045.01.01</t>
  </si>
  <si>
    <t>Трансграничные операции: развитие инструментов налог. админ.: Моногр. / А.В.Тихонова-М.:НИЦ ИНФРА-М,2023.-261 с.(п)</t>
  </si>
  <si>
    <t>ТРАНСГРАНИЧНЫЕ ОПЕРАЦИИ: РАЗВИТИЕ ИНСТРУМЕНТОВ НАЛОГОВОГО АДМИНИСТРИРОВАНИЯ, ИЗД.1</t>
  </si>
  <si>
    <t>Адвокатова А.С., Борисов О.И., Гончаренко Л.И. и др.</t>
  </si>
  <si>
    <t>978-5-16-018200-1</t>
  </si>
  <si>
    <t>701963.09.01</t>
  </si>
  <si>
    <t>Трансмиссия и ходовая часть танка Т-72: Уч.пос. / Ю.Н.Зайчиков - М.:НИЦ ИНФРА-М,2026 -124 с.(Воен.обр.)(О)</t>
  </si>
  <si>
    <t>ТРАНСМИССИЯ И ХОДОВАЯ ЧАСТЬ ТАНКА Т-72, ИЗД.1</t>
  </si>
  <si>
    <t>Зайчиков Ю.Н.</t>
  </si>
  <si>
    <t>978-5-16-014824-3</t>
  </si>
  <si>
    <t>23.03.01, 23.03.03, 56.04.04</t>
  </si>
  <si>
    <t>670734.06.01</t>
  </si>
  <si>
    <t>Транспортная логистика: Уч.пос. / Л.Э.Еремеева, - 3 изд. - М.:НИЦ ИНФРА-М,2026. - 401 с.(ВО)(п)</t>
  </si>
  <si>
    <t>ТРАНСПОРТНАЯ ЛОГИСТИКА, ИЗД.3</t>
  </si>
  <si>
    <t>978-5-16-019427-1</t>
  </si>
  <si>
    <t>23.03.01, 23.03.03, 23.05.04, 26.03.01, 38.05.02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</si>
  <si>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23.03.01 «Технология транспортных процессов», 23.03.03 «Эксплуатация транспортно-технологических машин и комплексов» (квалификация (степень) «бакалавр») (протокол № 5 от 11.05.2022)</t>
  </si>
  <si>
    <t>663409.03.01</t>
  </si>
  <si>
    <t>Транспортное обеспечение торговой деят.: Уч.пос. / Ю.А.Кочинов-М.:НИЦ ИНФРА-М,2023.-226 с.(ВО)(П)</t>
  </si>
  <si>
    <t>ТРАНСПОРТНОЕ ОБЕСПЕЧЕНИЕ ТОРГОВОЙ ДЕЯТЕЛЬНОСТИ, ИЗД.1</t>
  </si>
  <si>
    <t>Кочинов Ю.А., Кочинова Т.В.</t>
  </si>
  <si>
    <t>978-5-16-015028-4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</si>
  <si>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38.03.06 «Торговое дело» (квалификация (степень) «бакалавр») (протокол № 5 от 16.03.2020)</t>
  </si>
  <si>
    <t>Пермский государственный аграрно-технологический университет  имени академика Д.Н. Прянишникова</t>
  </si>
  <si>
    <t>658858.03.01</t>
  </si>
  <si>
    <t>Транспортные  профсоюзы как составная часть международ.../ С.А.Зубков-М.:НИЦ ИНФРА-М,2023.-297с(П)</t>
  </si>
  <si>
    <t>ТРАНСПОРТНЫЕ  ПРОФСОЮЗЫ КАК СОСТАВНАЯ ЧАСТЬ МЕЖДУНАРОДНОГО ПРОФСОЮЗНОГО ДВИЖЕНИЯ, ИЗД.1</t>
  </si>
  <si>
    <t>Зубков С.А., Крайнов Г.Н.</t>
  </si>
  <si>
    <t>978-5-16-011990-8</t>
  </si>
  <si>
    <t>292200.14.01</t>
  </si>
  <si>
    <t>Транспортные системы и техн.перевозок: Уч.пос. / С.В.Милославская - М.:НИЦ ИНФРА-М,2027 - 116 с.(о)</t>
  </si>
  <si>
    <t>ТРАНСПОРТНЫЕ СИСТЕМЫ И ТЕХНОЛОГИИ ПЕРЕВОЗОК, ИЗД.1</t>
  </si>
  <si>
    <t>Милославская С.В., Почаев Ю.А.</t>
  </si>
  <si>
    <t>978-5-16-010064-7</t>
  </si>
  <si>
    <t>23.03.01, 38.03.02, 41.03.06</t>
  </si>
  <si>
    <t>Допущено Учебно-методическим объединением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t>
  </si>
  <si>
    <t>Государственный университет морского и речного флота им. адмирала С.О. Макарова</t>
  </si>
  <si>
    <t>843099.01.01</t>
  </si>
  <si>
    <t>Транспортные экспертизы в уголов. судопроизвод. России: Моногр. / Н.Н.Ильин - М.:НИЦ ИНФРА-М,2025. - 379 с.(о)</t>
  </si>
  <si>
    <t>ТРАНСПОРТНЫЕ ЭКСПЕРТИЗЫ В УГОЛОВНОМ СУДОПРОИЗВОДСТВЕ РОССИИ, ИЗД.1</t>
  </si>
  <si>
    <t>Ильин Н.Н.</t>
  </si>
  <si>
    <t>978-5-16-020394-2</t>
  </si>
  <si>
    <t>23.04.02, 23.05.01, 23.06.01, 40.04.01, 40.05.02, 40.05.03, 40.05.04, 40.06.01</t>
  </si>
  <si>
    <t>477350.07.01</t>
  </si>
  <si>
    <t>Трансформация бизнеса в усл. рыночной нестабил.: Моногр. / Н.К.Моисеева - М:КУРС:ИНФРА-М,2026. - 408 с.(п)</t>
  </si>
  <si>
    <t>ТРАНСФОРМАЦИЯ БИЗНЕСА В УСЛОВИЯХ РЫНОЧНОЙ НЕСТАБИЛЬНОСТИ, ИЗД.1</t>
  </si>
  <si>
    <t>Моисеева Н. К., Гончарова Т. Н., Марина О. А., Седова О. В., Моисеева Н. К.</t>
  </si>
  <si>
    <t>978-5-905554-78-0</t>
  </si>
  <si>
    <t>38.04.01, 38.04.02, 38.04.04, 38.04.08</t>
  </si>
  <si>
    <t>774899.01.01</t>
  </si>
  <si>
    <t>Трансформация внутренней торговли Рос. в совр. условиях: Моногр. / Р.Р.Салихова-М.:НИЦ ИНФРА-М,2022.-151 с.(О)</t>
  </si>
  <si>
    <t>ТРАНСФОРМАЦИЯ ВНУТРЕННЕЙ ТОРГОВЛИ РОССИИ В СОВРЕМЕННЫХ УСЛОВИЯХ, ИЗД.1</t>
  </si>
  <si>
    <t>Салихова Р.Р., Иванов Г.Г.</t>
  </si>
  <si>
    <t>978-5-16-017610-9</t>
  </si>
  <si>
    <t>38.04.01, 38.04.02, 38.04.06, 38.04.07, 38.06.01</t>
  </si>
  <si>
    <t>835064.01.01</t>
  </si>
  <si>
    <t>Трансформация отчет. как способ получ. информ..: Уч.пос. / Т.Ю.Дружиловская - М.:НИЦ ИНФРА-М,2025 - 197 с.(п)</t>
  </si>
  <si>
    <t>ТРАНСФОРМАЦИЯ ОТЧЕТНОСТИ КАК СПОСОБ ПОЛУЧЕНИЯ ИНФОРМАЦИИ В СИСТЕМЕ ЗАДАННЫХ СТАНДАРТОВ, ИЗД.1</t>
  </si>
  <si>
    <t>Дружиловская Т.Ю.</t>
  </si>
  <si>
    <t>978-5-16-020169-6</t>
  </si>
  <si>
    <t>684034.07.01</t>
  </si>
  <si>
    <t>Трансформация прав чел. в совр. мире: Моногр. / Н.В.Колотова - М.:Юр.Норма, НИЦ ИНФРА-М,2026  - 256 с.(П)</t>
  </si>
  <si>
    <t>ТРАНСФОРМАЦИЯ ПРАВ ЧЕЛОВЕКА В СОВРЕМЕННОМ МИРЕ, ИЗД.1</t>
  </si>
  <si>
    <t>Колотова Н.В., Сырых В.М., Сюкияйнен Л.Р. и др.</t>
  </si>
  <si>
    <t>978-5-91768-933-3</t>
  </si>
  <si>
    <t>865457.01.01</t>
  </si>
  <si>
    <t>Трансформация российской экономики в...: Моногр. / А.О.Руднева. - М.:НИЦ ИНФРА-М,2026. - 204 с.(п)</t>
  </si>
  <si>
    <t>ТРАНСФОРМАЦИЯ РОССИЙСКОЙ ЭКОНОМИКИ В УСЛОВИЯХ САНКЦИЙ, ИЗД.1</t>
  </si>
  <si>
    <t>Руднева А.О., Бобошко Д.Ю., Жура С.Е. и др.</t>
  </si>
  <si>
    <t>978-5-16-021453-5</t>
  </si>
  <si>
    <t>38.03.01, 38.04.01, 38.05.01, 41.03.05, 41.04.05, 56.04.01, 56.04.10</t>
  </si>
  <si>
    <t>824324.02.01</t>
  </si>
  <si>
    <t>Трансформация сис. управ. банкротством в Роcсии: Моногр. / О.А.Львова - М.:НИЦ ИНФРА-М,2026. - 392 с.(п)</t>
  </si>
  <si>
    <t>ТРАНСФОРМАЦИЯ СИСТЕМЫ УПРАВЛЕНИЯ БАНКРОТСТВОМ В РОCСИИ, ИЗД.1</t>
  </si>
  <si>
    <t>Львова О.А.</t>
  </si>
  <si>
    <t>978-5-16-019950-4</t>
  </si>
  <si>
    <t>38.04.01, 38.04.02, 38.04.04, 38.04.09, 38.06.01</t>
  </si>
  <si>
    <t>804773.03.01</t>
  </si>
  <si>
    <t>Трансформация совр. мир. порядка в услов. украин. кризиса / О.А.Овсянникова - М.:НИЦ ИНФРА-М,2026-282с(п)</t>
  </si>
  <si>
    <t>ТРАНСФОРМАЦИЯ СОВРЕМЕННОГО МИРОВОГО ПОРЯДКА В УСЛОВИЯХ УКРАИНСКОГО КРИЗИСА, ИЗД.1</t>
  </si>
  <si>
    <t>Овсянникова О.А.</t>
  </si>
  <si>
    <t>978-5-16-018900-0</t>
  </si>
  <si>
    <t>41.03.04, 41.03.05, 41.04.05, 41.06.01</t>
  </si>
  <si>
    <t>АНО НИЦ "Национальная Безопасность"</t>
  </si>
  <si>
    <t>189600.08.01</t>
  </si>
  <si>
    <t>Тренинг в организации: Уч.пос. / А.Б.Невеев - М.:НИЦ ИНФРА-М,2024 - 256 с.-(ВО: Бакалавриат)(П))</t>
  </si>
  <si>
    <t>ТРЕНИНГ В ОРГАНИЗАЦИИ, ИЗД.1</t>
  </si>
  <si>
    <t>Невеев А.Б.</t>
  </si>
  <si>
    <t>978-5-16-005660-9</t>
  </si>
  <si>
    <t>Рекомендовано Советом Учебно-методического объединения в области менеджмента в качестве учебного пособия для студентов высшего профессионального образования,  обучающихся по направлению 080200 "Менеджмент"</t>
  </si>
  <si>
    <t>774985.01.01</t>
  </si>
  <si>
    <t>Тренинг профессионального саморазвития: уч.пос. / Е.В.Голубева-М.:НИЦ ИНФРА-М,2023.-203 с..-(ВО:Магистр)(п)</t>
  </si>
  <si>
    <t>ТРЕНИНГ ПРОФЕССИОНАЛЬНОГО САМОРАЗВИТИЯ, ИЗД.1</t>
  </si>
  <si>
    <t>Голубева Е.В.</t>
  </si>
  <si>
    <t>978-5-16-017559-1</t>
  </si>
  <si>
    <t>04.04.01, 12.04.01, 21.05.04, 35.04.07, 38.04.03, 39.03.02, 41.04.05, 42.04.01, 44.04.01, 44.04.02, 48.04.01, 49.04.01</t>
  </si>
  <si>
    <t>817383.01.01</t>
  </si>
  <si>
    <t>Три аспекта реконструкции экономикс: Моногр. / В.С.Гродский-М.:ИЦ РИОР, НИЦ ИНФРА-М,2024.-316 с.(п)</t>
  </si>
  <si>
    <t>ТРИ АСПЕКТА РЕКОНСТРУКЦИИ ЭКОНОМИКС, ИЗД.1</t>
  </si>
  <si>
    <t>978-5-369-01943-6</t>
  </si>
  <si>
    <t>158150.12.01</t>
  </si>
  <si>
    <t>Три главные проблемы подростка с девиантным повед... / В.К.Зарецкий. - М.:Форум,2026. - 205 с.(О)</t>
  </si>
  <si>
    <t>ТРИ ГЛАВНЫЕ ПРОБЛЕМЫ ПОДРОСТКА С ДЕВИАНТНЫМ ПОВЕДЕНИЕМ. ПОЧЕМУ ВОЗНИКАЮТ? КАК ПОМОЧЬ?, ИЗД.1</t>
  </si>
  <si>
    <t>Зарецкий В. К., Смирнова Н. С., Зарецкий Ю. В., Евлашкина Н. М.</t>
  </si>
  <si>
    <t>978-5-91134-547-1</t>
  </si>
  <si>
    <t>31.05.02, 37.03.01, 44.03.01, 44.03.05</t>
  </si>
  <si>
    <t>666543.11.01</t>
  </si>
  <si>
    <t>Триатлон: теория и практика тренировки: Моногр. / Е.Н.Данилова. - М.:НИЦ ИНФРА-М, СФУ,2026. - 242 с.(п)</t>
  </si>
  <si>
    <t>ТРИАТЛОН: ТЕОРИЯ И ПРАКТИКА ТРЕНИРОВКИ, ИЗД.1</t>
  </si>
  <si>
    <t>Данилова Е.Н., Христофорова А., Вериго Л.И.</t>
  </si>
  <si>
    <t>978-5-16-013136-8</t>
  </si>
  <si>
    <t>49.03.01, 49.04.01, 49.04.03, 49.06.01</t>
  </si>
  <si>
    <t>204800.12.01</t>
  </si>
  <si>
    <t>Триботехника: Уч. / А.И.Доценко - 2 изд. - М.:НИЦ ИНФРА-М,2026 - 399 с.(ВО: Бакалавриат)(П)</t>
  </si>
  <si>
    <t>ТРИБОТЕХНИКА, ИЗД.2</t>
  </si>
  <si>
    <t>978-5-16-015079-6</t>
  </si>
  <si>
    <t>Рекомендовано Учебно-методическим объединением вузов РФ по образованию в области строительства в качестве учебника для студентов, обучающихся по программе бакалавриата по направлению «Строительство» (профили «Механизация и автоматизация строительства» и «Механическое оборудование и технологические комплексы предприятий строительных материалов, изделий и конструкций»)</t>
  </si>
  <si>
    <t>120800.13.01</t>
  </si>
  <si>
    <t>ТРИЗ. Анализ технич. информации...: Уч.пос. / Н.А.Шпаковский - 2 изд., - М.:Форум,НИЦ ИНФРА-М,2026 - 264с.(п)</t>
  </si>
  <si>
    <t>ТРИЗ. АНАЛИЗ ТЕХНИЧЕСКОЙ ИНФОРМАЦИИ И ГЕНЕРАЦИЯ НОВЫХ ИДЕЙ, ИЗД.2</t>
  </si>
  <si>
    <t>Шпаковский Н. А.</t>
  </si>
  <si>
    <t>978-5-00091-784-8</t>
  </si>
  <si>
    <t>22.04.02, 27.03.05, 27.04.07</t>
  </si>
  <si>
    <t>Рекомендовано кафедрой теоретических основ инноватики факультета инноватики Санкт-Петербургского государственного политехнического университета</t>
  </si>
  <si>
    <t>654536.04.01</t>
  </si>
  <si>
    <t>Трофические язвы венозной этиологии. Диагност....: Уч.пос. / С.Е.Каторкин, - 2 изд.-М.:НИЦ ИНФРА-М,2023.-317 с.(п)</t>
  </si>
  <si>
    <t>ТРОФИЧЕСКИЕ ЯЗВЫ ВЕНОЗНОЙ ЭТИОЛОГИИ. ДИАГНОСТИКА И ЛЕЧЕНИЕ., ИЗД.2</t>
  </si>
  <si>
    <t>Каторкин С.Е., Мельников М.А.</t>
  </si>
  <si>
    <t>978-5-16-018237-7</t>
  </si>
  <si>
    <t>654536.03.01</t>
  </si>
  <si>
    <t>Трофические язвы венозной этиологии. Диагност.: Уч.пос. / С.Е.Каторкин - М.:НИЦ ИНФРА-М,2022 - 312 с.(ВО)(П)</t>
  </si>
  <si>
    <t>ТРОФИЧЕСКИЕ ЯЗВЫ ВЕНОЗНОЙ ЭТИОЛОГИИ. ДИАГНОСТИКА И ЛЕЧЕНИЕ., ИЗД.1</t>
  </si>
  <si>
    <t>978-5-16-014064-3</t>
  </si>
  <si>
    <t>267600.08.01</t>
  </si>
  <si>
    <t>Труд  студента: ступени успеха на пути к диплому: Уч. пос. / Г.А.Воронцов - 2 изд. - ИНФРА-М,2025 - 256 с.(о)</t>
  </si>
  <si>
    <t>ТРУД  СТУДЕНТА: СТУПЕНИ УСПЕХА НА ПУТИ К ДИПЛОМУ, ИЗД.2</t>
  </si>
  <si>
    <t>Воронцов Г. А.</t>
  </si>
  <si>
    <t>978-5-16-009594-3</t>
  </si>
  <si>
    <t>Рекомендовано Южным отделением Российской Академии образования в качестве учебного пособия для студентов высших учебных заведений</t>
  </si>
  <si>
    <t>656026.05.01</t>
  </si>
  <si>
    <t>Труд и окружающая среда: проблемы взаимод.и регул.: Моногр. / Е.А.Пироженко - М.:НИЦ ИНФРА-М,2026 - 104 с.(О)</t>
  </si>
  <si>
    <t>ТРУД И ОКРУЖАЮЩАЯ СРЕДА: ПРОБЛЕМЫ ВЗАИМОДЕЙСТВИЯ И РЕГУЛИРОВАНИЯ, ИЗД.1</t>
  </si>
  <si>
    <t>Пироженко Е.А.</t>
  </si>
  <si>
    <t>978-5-16-012716-3</t>
  </si>
  <si>
    <t>704205.04.01</t>
  </si>
  <si>
    <t>Труд как творчество: мозаика наблюд., цитат, выводов: Моногр. /В.К.Харченко - М.:НИЦ ИНФРА-М,2027 - 155 с.(о)</t>
  </si>
  <si>
    <t>ТРУД КАК ТВОРЧЕСТВО: МОЗАИКА НАБЛЮДЕНИЙ, ЦИТАТ, ВЫВОДОВ, ИЗД.1</t>
  </si>
  <si>
    <t>978-5-16-014938-7</t>
  </si>
  <si>
    <t>810458.01.01</t>
  </si>
  <si>
    <t>Трудовая повседневн. купеч-ва Оренбург. губерн. в пореформ.../К.А.Абдрахманов-М.:НИЦ ИНФРА-М,2024-231с(о)</t>
  </si>
  <si>
    <t>ТРУДОВАЯ ПОВСЕДНЕВНОСТЬ КУПЕЧЕСТВА ОРЕНБУРГСКОЙ ГУБЕРНИИ В ПОРЕФОРМЕННЫЙ ПЕРИОД  (1865‒1914), ИЗД.1</t>
  </si>
  <si>
    <t>Абдрахманов К.А.</t>
  </si>
  <si>
    <t>978-5-16-019007-5</t>
  </si>
  <si>
    <t>818127.03.01</t>
  </si>
  <si>
    <t>Трудовое право России: Прак. / С.Ю.Головина - М.:Юр. НОРМА, НИЦ ИНФРА-М,2026. - 368 с.(п)</t>
  </si>
  <si>
    <t>ТРУДОВОЕ ПРАВО РОССИИ, ИЗД.1</t>
  </si>
  <si>
    <t>Головина С.Ю.</t>
  </si>
  <si>
    <t>978-5-00156-344-0</t>
  </si>
  <si>
    <t>38.03.01, 38.03.03, 38.03.04, 38.05.01, 38.05.02, 40.02.02, 40.02.04, 40.03.01, 40.05.01, 40.05.02, 40.05.03, 40.05.04, 44.03.05</t>
  </si>
  <si>
    <t>424200.03.01</t>
  </si>
  <si>
    <t>Трудовое право России: Уч.пос. / Под ред. Чеканова В.Е.-М.:ИЦ РИОР, НИЦ ИНФРА-М,2017.-254 с..(ВО)(П)</t>
  </si>
  <si>
    <t>Городилина И.А., Чеканов В.Е.</t>
  </si>
  <si>
    <t>978-5-369-01093-8</t>
  </si>
  <si>
    <t>38.03.01, 40.03.01, 40.04.01, 40.05.01, 40.05.02, 40.05.03, 40.05.04, 44.03.05, 46.03.02</t>
  </si>
  <si>
    <t>424200.05.01</t>
  </si>
  <si>
    <t>Трудовое право России:Уч.пос. / И.А.Шувалова, - 2-е изд.-М.:ИЦ РИОР, НИЦ ИНФРА-М,2018.-251 с..-(ВО: Бакалавриат)(П 7БЦ)</t>
  </si>
  <si>
    <t>ТРУДОВОЕ ПРАВО РОССИИ, ИЗД.2</t>
  </si>
  <si>
    <t>978-5-369-01704-3</t>
  </si>
  <si>
    <t>774777.03.01</t>
  </si>
  <si>
    <t>Трудовое право: национальное и межд. измерение: Моногр.: Т.2 / С.Ю.Головина - М.:Юр. НОРМА,2026 - 568 с.(П)</t>
  </si>
  <si>
    <t>ТРУДОВОЕ ПРАВО: НАЦИОНАЛЬНОЕ И МЕЖДУНАРОДНОЕ ИЗМЕРЕНИЕ, Т.2</t>
  </si>
  <si>
    <t>Головина С.Ю., Лютов Н.Л., Бережнов А.А. и др.</t>
  </si>
  <si>
    <t>978-5-00156-228-3</t>
  </si>
  <si>
    <t>38.04.01, 40.03.01, 40.04.01, 40.05.01, 40.05.02, 40.05.03, 40.05.04</t>
  </si>
  <si>
    <t>768622.04.01</t>
  </si>
  <si>
    <t>Трудовое право: национальное и международное измерение: Т.1. / Н.Л.Лютов - М.:Юр.Норма,2027. - 608 с.(П)</t>
  </si>
  <si>
    <t>ТРУДОВОЕ ПРАВО: НАЦИОНАЛЬНОЕ И МЕЖДУНАРОДНОЕ ИЗМЕРЕНИЕ, Т.1</t>
  </si>
  <si>
    <t>Лютов Н.Л.</t>
  </si>
  <si>
    <t>978-5-00156-211-5</t>
  </si>
  <si>
    <t>795335.04.01</t>
  </si>
  <si>
    <t>Трудовое право: Уч. / А.Я.Петров - М.:Юр. НОРМА, НИЦ ИНФРА-М,2026. - 776 с.(п)</t>
  </si>
  <si>
    <t>ТРУДОВОЕ ПРАВО, ИЗД.1</t>
  </si>
  <si>
    <t>Петров А.Я.</t>
  </si>
  <si>
    <t>978-5-00156-279-5</t>
  </si>
  <si>
    <t>23.05.03, 38.03.01, 38.03.03, 38.03.04, 38.05.01, 38.05.02, 40.03.01, 40.05.01, 40.05.02, 40.05.03, 40.05.04, 41.03.06, 42.03.04, 44.03.05, 46.03.02</t>
  </si>
  <si>
    <t>163500.06.01</t>
  </si>
  <si>
    <t>Трудовое право: Уч. / В.М.Лебедев и др. - 2 изд. - М.:Юр.Норма, НИЦ ИНФРА-М,2020 - 368 с.(П)</t>
  </si>
  <si>
    <t>ТРУДОВОЕ ПРАВО, ИЗД.2</t>
  </si>
  <si>
    <t>Лебедев В.М., Белинин А.А., Воронкова Е.Р. и др.</t>
  </si>
  <si>
    <t>978-5-91768-923-4</t>
  </si>
  <si>
    <t>Допущено Учебно-методическим советом по образованию в области юриспруденции Сибирского федерального округа в качестве учебника для студ. вузов, обучающихся по напр. 030500 и спец. 030501 "Юриспруденция", а также по напр. 030900 "Юриспруденция"</t>
  </si>
  <si>
    <t>163500.17.01</t>
  </si>
  <si>
    <t>Трудовое право: Уч. / В.М.Лебедев и др. - 3 изд. - М.:Юр.Норма, НИЦ ИНФРА-М,2026 - 376 с.(П)</t>
  </si>
  <si>
    <t>ТРУДОВОЕ ПРАВО, ИЗД.3</t>
  </si>
  <si>
    <t>978-5-00156-222-1</t>
  </si>
  <si>
    <t>163500.03.01</t>
  </si>
  <si>
    <t>Трудовое право: Уч. / В.М.Лебедев и др. - М.:Юр.Норма, НИЦ ИНФРА-М,2015. - 464 с.</t>
  </si>
  <si>
    <t>Лебедев В.М., Агашев Д.В., Белинин А.А. и др.</t>
  </si>
  <si>
    <t>978-5-91768-219-8</t>
  </si>
  <si>
    <t>Допущено Учебно-методическим советом по образованию в области юриспруденции Сибирского федерального округа в качестве учебника для студентов высших учебных заведений, обучающихся по направлению 030500 и специальности 030501 «Юриспруденция», а также по направлению 030900 «Юриспруденция»</t>
  </si>
  <si>
    <t>776140.06.01</t>
  </si>
  <si>
    <t>Трудовое право: Уч. / Д.Р.Акопов - М.:НИЦ ИНФРА-М,2026. - 331 с.(СПО)(п)</t>
  </si>
  <si>
    <t>Акопов Д.Р., Губенко М.И., Еремина С.Н. и др.</t>
  </si>
  <si>
    <t>978-5-16-018061-8</t>
  </si>
  <si>
    <t>24.02.01, 40.02.02, 40.02.04</t>
  </si>
  <si>
    <t>704238.03.01</t>
  </si>
  <si>
    <t>Трудовое право: Уч.пос. / А.В.Карпова - М.:НИЦ ИНФРА-М,2023 - 316 с.(СПО)(П)</t>
  </si>
  <si>
    <t>978-5-16-015455-8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</si>
  <si>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40.02.00 «Юриспруденция» (протокол № 1 от 20.01.2020)</t>
  </si>
  <si>
    <t>837761.02.01</t>
  </si>
  <si>
    <t>Трудовое право: Уч.пос. / М.Х.Дугужева и др. - М.:НИЦ ИНФРА-М,2026. - 236 с.(ВО (Финанс. универ.))(п)</t>
  </si>
  <si>
    <t>Дугужева М.Х., Новицкая Л.Ю., Павликов С.Г.</t>
  </si>
  <si>
    <t>978-5-16-020366-9</t>
  </si>
  <si>
    <t>666946.09.01</t>
  </si>
  <si>
    <t>Трудовое право:опыт сравнит. исслед.: Моногр. / Лебедев В.М. - М.:Юр.Норма,НИЦ ИНФРА-М,2026 - 480с(П)</t>
  </si>
  <si>
    <t>ТРУДОВОЕ ПРАВО: ОПЫТ СРАВНИТЕЛЬНОГО ИССЛЕДОВАНИЯ, ИЗД.1</t>
  </si>
  <si>
    <t>Лебедев В.М., Мельникова В.Г., Назметдинов Р.Р.</t>
  </si>
  <si>
    <t>978-5-91768-867-1</t>
  </si>
  <si>
    <t>647453.07.01</t>
  </si>
  <si>
    <t>Трудовые права работников: Науч.-практ. пос. / И.А.Шувалова - 2 изд. - М.:НИЦ ИНФРА-М,2026. - 195 с.(О)</t>
  </si>
  <si>
    <t>ТРУДОВЫЕ ПРАВА РАБОТНИКОВ, ИЗД.2</t>
  </si>
  <si>
    <t>978-5-16-017383-2</t>
  </si>
  <si>
    <t>38.03.01, 38.03.03, 38.03.04, 38.04.01, 38.04.03, 39.04.01, 40.02.02, 40.02.04, 40.03.01, 40.04.01, 41.03.06, 42.03.01, 44.03.05, 46.03.02</t>
  </si>
  <si>
    <t>647453.04.01</t>
  </si>
  <si>
    <t>Трудовые права работников: Науч.-практ. пос. / И.А.Шувалова-М.:НИЦ ИНФРА-М,2021.-190 с.(О)</t>
  </si>
  <si>
    <t>ТРУДОВЫЕ ПРАВА РАБОТНИКОВ, ИЗД.1</t>
  </si>
  <si>
    <t>978-5-16-012753-8</t>
  </si>
  <si>
    <t>864010.01.01</t>
  </si>
  <si>
    <t>Трудовые споры: Практикум / С.П.Портянкина - М.:Юр. НОРМА, НИЦ ИНФРА-М,2026. - 296 с.(п)</t>
  </si>
  <si>
    <t>ТРУДОВЫЕ СПОРЫ, ИЗД.1</t>
  </si>
  <si>
    <t>Портянкина С.П.</t>
  </si>
  <si>
    <t>978-5-00156-460-7</t>
  </si>
  <si>
    <t>38.03.01, 38.03.03, 38.03.04, 38.05.01, 38.05.02, 40.03.01, 40.04.01, 40.05.01, 40.05.02, 40.05.03, 40.05.04, 40.03.02</t>
  </si>
  <si>
    <t>865530.01.01</t>
  </si>
  <si>
    <t>Трудоправовая природа проф. деят. судьи: Моногр. / Ю.Ю.Воздвиженская-М.:НИЦ ИНФРА-М,2025.-271 с.(п)</t>
  </si>
  <si>
    <t>ТРУДОПРАВОВАЯ ПРИРОДА ПРОФЕССИОНАЛЬНОЙ ДЕЯТЕЛЬНОСТИ СУДЬИ, ИЗД.1</t>
  </si>
  <si>
    <t>Воздвиженская Ю.Ю.</t>
  </si>
  <si>
    <t>978-5-16-021421-4</t>
  </si>
  <si>
    <t>765509.01.01</t>
  </si>
  <si>
    <t>Тунисская революция: предпосылки...: Моногр. / В.В.Желтов - М.:НИЦ ИНФРА-М,2022 - 273 с.(Науч.мысль)(О)</t>
  </si>
  <si>
    <t>ТУНИССКАЯ РЕВОЛЮЦИЯ: ПРЕДПОСЫЛКИ, ОСОБЕННОСТИ, ПРАВОВЫЕ ОСНОВАНИЯ, ИЗД.1</t>
  </si>
  <si>
    <t>978-5-16-017288-0</t>
  </si>
  <si>
    <t>712071.05.01</t>
  </si>
  <si>
    <t>Туризм для лиц пожилого возраста: Моногр. / И.В.Грошев - М.:НИЦ ИНФРА-М,2027 - 303 с.(Науч.мысль)(П)</t>
  </si>
  <si>
    <t>ТУРИЗМ ДЛЯ ЛИЦ ПОЖИЛОГО ВОЗРАСТА, ИЗД.1</t>
  </si>
  <si>
    <t>Грошев И.В., Корчагин Е.П.</t>
  </si>
  <si>
    <t>978-5-16-015363-6</t>
  </si>
  <si>
    <t>43.04.01, 43.04.02, 43.04.03</t>
  </si>
  <si>
    <t>654593.06.01</t>
  </si>
  <si>
    <t>Туризм: Словарь / Под ред. Морозова М.А.- М.:НИЦ ИНФРА-М,2024 - 300 с.(Б-ка сл. ИНФРА-М)(П)</t>
  </si>
  <si>
    <t>ТУРИЗМ, ИЗД.1</t>
  </si>
  <si>
    <t>Морозов М.А., Морозова Н.С., Фролов А.И. и др.</t>
  </si>
  <si>
    <t>978-5-16-014476-4</t>
  </si>
  <si>
    <t>43.00.00, 43.02.16, 43.03.02, 43.04.01, 43.04.02, 43.04.03, 49.03.03</t>
  </si>
  <si>
    <t>103650.13.01</t>
  </si>
  <si>
    <t>Туристический комплекс России : Моногр. / А.О.Овчаров - М.:НИЦ ИНФРА-М,2027 - 280 с.(Науч.мысль)(О)</t>
  </si>
  <si>
    <t>ТУРИСТИЧЕСКИЙ КОМПЛЕКС РОССИИ: ТЕНДЕНЦИИ, РИСКИ, ПЕРСПЕКТИВЫ, ИЗД.1</t>
  </si>
  <si>
    <t>Овчаров А.О.</t>
  </si>
  <si>
    <t>978-5-16-005283-0</t>
  </si>
  <si>
    <t>43.02.16, 43.03.02, 43.03.03, 43.04.02, 43.04.03</t>
  </si>
  <si>
    <t>631790.08.01</t>
  </si>
  <si>
    <t>Туристские ресурсы России: Прак. / Н.Г.Можаева - М.:Форум,НИЦ ИНФРА-М,2026 - 112 с.(ВО:Бакалавр.)(О)</t>
  </si>
  <si>
    <t>ТУРИСТСКИЕ РЕСУРСЫ РОССИИ, ИЗД.1</t>
  </si>
  <si>
    <t>Можаева Н.Г.</t>
  </si>
  <si>
    <t>978-5-00091-408-3</t>
  </si>
  <si>
    <t>683134.06.01</t>
  </si>
  <si>
    <t>Туристские ресурсы России: Практикум / Н.Г.Можаева - М.:Форум, НИЦ ИНФРА-М,2025. - 112 с.(СПО)(О)</t>
  </si>
  <si>
    <t>978-5-00091-560-8</t>
  </si>
  <si>
    <t>432750.09.01</t>
  </si>
  <si>
    <t>Туристские формальности: Уч. пос./И.В.Борисенко - М.: Форум:  НИЦ ИНФРА-М, 2023-384с.(ВО: Бакалавр.) (п)</t>
  </si>
  <si>
    <t>ТУРИСТСКИЕ ФОРМАЛЬНОСТИ, ИЗД.1</t>
  </si>
  <si>
    <t>Борисенко И. В., Григорьева Г. Б., Гусев Н. И., Ершова С. И., Шевцова Т. В.</t>
  </si>
  <si>
    <t>978-5-91134-772-7</t>
  </si>
  <si>
    <t>Рекомендовано УМОучебных заведений Российской Федерации по образованию в области сервиса и туризма для студентов высших учебных заведений, обучающихся по направлениям подготовки 100200.62 "Туризм", 100200.68 "Туризм", 100400.62 "Туризм", 100400.68 "Г</t>
  </si>
  <si>
    <t>757838.06.01</t>
  </si>
  <si>
    <t>Туристское страноведение: Уч.пос. / П.В.Большаник - М.:НИЦ ИНФРА-М,2025 - 241 с.(СПО)(П)</t>
  </si>
  <si>
    <t>ТУРИСТСКОЕ СТРАНОВЕДЕНИЕ, ИЗД.1</t>
  </si>
  <si>
    <t>978-5-16-016923-1</t>
  </si>
  <si>
    <t>Рекомендовано Межрегиональным учебно-методическимсоветом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43.02.10 «Туризм», 43.02.11 «Гостиничный сервис» (протокол № 11 от 09.11.2020)</t>
  </si>
  <si>
    <t>633280.09.01</t>
  </si>
  <si>
    <t>Туристское страноведение: Уч.пос. / П.В.Большаник - М.:НИЦ ИНФРА-М,2026. - 241 с.(ВО: Бакалавр.)(П)</t>
  </si>
  <si>
    <t>978-5-16-022114-4</t>
  </si>
  <si>
    <t>273900.11.01</t>
  </si>
  <si>
    <t>Туристско-рекреационное проектирование: Уч.пос. / Ю.А.Колесова-М.:КУРС, НИЦ ИНФРА-М,2024.-352 с.(о)</t>
  </si>
  <si>
    <t>ТУРИСТСКО-РЕКРЕАЦИОННОЕ ПРОЕКТИРОВАНИЕ, ИЗД.1</t>
  </si>
  <si>
    <t>Колесова Ю.А.</t>
  </si>
  <si>
    <t>978-5-906818-65-2</t>
  </si>
  <si>
    <t>395600.09.01</t>
  </si>
  <si>
    <t>Тьютор в образоват.пространстве: Уч.пос. / Сергеева В.П. - М.:НИЦ ИНФРА-М,2026. - 192 с.(ВО: Магистр.)(П)</t>
  </si>
  <si>
    <t>ТЬЮТОР В ОБРАЗОВАТЕЛЬНОМ ПРОСТРАНСТВЕ, ИЗД.1</t>
  </si>
  <si>
    <t>Сергеева В.П., Сергеева И.С., Сороковых Г.В. и др.</t>
  </si>
  <si>
    <t>978-5-16-011228-2</t>
  </si>
  <si>
    <t>641718.08.01</t>
  </si>
  <si>
    <t>Тьютор и воспитанник...: Моногр. / Под ред. Сластенина В.А. - 2 изд. - М.:НИЦ ИНФРА-М,2025 - 72с.(О)</t>
  </si>
  <si>
    <t>ТЬЮТОР И ВОСПИТАННИК: ПЕДАГОГИЧЕСКОЕ ВЗАИМОДЕЙСТВИЕ СИСТЕМ ЦЕННОСТЕЙ, ИЗД.2</t>
  </si>
  <si>
    <t>Яковлев С.В., Сластенин В.А.</t>
  </si>
  <si>
    <t>978-5-16-012356-1</t>
  </si>
  <si>
    <t>44.02.02, 44.02.03, 44.03.01, 44.03.05, 44.04.01</t>
  </si>
  <si>
    <t>641718.09.01</t>
  </si>
  <si>
    <t>Тьютор и воспитанник: педагогич. взаимодействие сис... / С.В.Яковлев, - 3 изд.. - М.:НИЦ ИНФРА-М,2026 - 73 с.(о)</t>
  </si>
  <si>
    <t>ТЬЮТОР И ВОСПИТАННИК: ПЕДАГОГИЧЕСКОЕ ВЗАИМОДЕЙСТВИЕ СИСТЕМ ЦЕННОСТЕЙ, ИЗД.3</t>
  </si>
  <si>
    <t>978-5-16-020891-6</t>
  </si>
  <si>
    <t>705530.05.01</t>
  </si>
  <si>
    <t>Тяговые электр. сис. автотрансп. средств: Уч. / Е.М.Овсянников - М:Форум,НИЦ ИНФРА-М,2026 - 303 с.(СПО)</t>
  </si>
  <si>
    <t>ТЯГОВЫЕ ЭЛЕКТРИЧЕСКИЕ СИСТЕМЫ АВТОТРАНСПОРТНЫХ СРЕДСТВ, ИЗД.1</t>
  </si>
  <si>
    <t>Овсянников Е.М., Фомин А.П.</t>
  </si>
  <si>
    <t>978-5-00091-677-3</t>
  </si>
  <si>
    <t>23.02.02, 23.02.03, 23.02.05, 23.02.07</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</si>
  <si>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23.02.02 «Автомобиле- и тракторостроение»,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23.02.07 «Техническое обслуживание и ремонт двигателей, систем и агрегатов автомобилей»</t>
  </si>
  <si>
    <t>654804.06.01</t>
  </si>
  <si>
    <t>Тяговые электр. сис. автотранспортных средств: Уч. / Е.М.Овсянников - М.:Форум, НИЦ ИНФРА-М,2026 - 303 с.(П)</t>
  </si>
  <si>
    <t>978-5-00091-527-1</t>
  </si>
  <si>
    <t>Рекомендовано Учебно-методическим советом ВО в качестве учебника для студентов высших учебных заведений, обучающихся по направлениям подготовки 23.03.02 «Наземные транспортно-технологические комплексы», 23.03.03 «Эксплуатация транспортно-технологических машин и комплексов» (квалификация (степень) «бакалавр»)</t>
  </si>
  <si>
    <t>683390.02.01</t>
  </si>
  <si>
    <t>Убеждающее воздейст. в сфере дел. общения: Моногр. / Л.Г.Павлова, - 2 изд.-М.:ИЦ РИОР, НИЦ ИНФРА-М,2020-144с(О)</t>
  </si>
  <si>
    <t>УБЕЖДАЮЩЕЕ ВОЗДЕЙСТВИЕ В СФЕРЕ ДЕЛОВОГО ОБЩЕНИЯ, ИЗД.2</t>
  </si>
  <si>
    <t>978-5-369-01779-1</t>
  </si>
  <si>
    <t>38.03.01, 38.03.02, 38.03.03, 38.03.04, 38.04.01, 38.04.02, 38.04.03, 38.04.04, 38.04.06, 40.03.01, 40.04.01, 41.03.06</t>
  </si>
  <si>
    <t>683390.06.01</t>
  </si>
  <si>
    <t>Убеждающее воздейст. в сфере дел. общения: Моногр. / Л.Г.Павлова, - 3 изд. - М.:ИЦ РИОР, НИЦ ИНФРА-М,2026 - 162 с.(О)</t>
  </si>
  <si>
    <t>УБЕЖДАЮЩЕЕ ВОЗДЕЙСТВИЕ В СФЕРЕ ДЕЛОВОГО ОБЩЕНИЯ, ИЗД.3</t>
  </si>
  <si>
    <t>978-5-369-01907-8</t>
  </si>
  <si>
    <t>230500.06.01</t>
  </si>
  <si>
    <t>Убийства при привилегирующих обстоятельствах и иные..: Моногр. / Н.А.Бабий - ИНФРА-М, 2020 250 с. (О)</t>
  </si>
  <si>
    <t>УБИЙСТВА ПРИ ПРИВИЛЕГИРУЮЩИХ ОБСТОЯТЕЛЬСТВАХ И ИНЫЕ ПРЕСТУПЛЕНИЯ ПРОТИВ ЖИЗНИ, ИЗД.1</t>
  </si>
  <si>
    <t>978-5-16-009060-3</t>
  </si>
  <si>
    <t>814275.02.01</t>
  </si>
  <si>
    <t>Углеродная нейтрализация сталеплав., энерг. и цем. производств... / С.В.Ласанкин - М.:НИЦ ИНФРА-М,2024 - 307 с.(о)</t>
  </si>
  <si>
    <t>УГЛЕРОДНАЯ НЕЙТРАЛИЗАЦИЯ СТАЛЕПЛАВИЛЬНЫХ, ЭНЕРГЕТИЧЕСКИХ И ЦЕМЕНТНЫХ ПРОИЗВОДСТВ. СИЛУЭТЫ УГЛЕРОД-НЕЙТРАЛЬНОЙ ПРОМЫШЛЕННОСТИ., ИЗД.1</t>
  </si>
  <si>
    <t>Ласанкин С.В.</t>
  </si>
  <si>
    <t>978-5-16-019459-2</t>
  </si>
  <si>
    <t>794584.03.01</t>
  </si>
  <si>
    <t>Уголовная ответств. за неправомер. воздействие...: Моногр. / И.И.Малыгин-М.:НИЦ ИНФРА-М,2024.-164 с.(о)</t>
  </si>
  <si>
    <t>УГОЛОВНАЯ ОТВЕТСТВЕННОСТЬ ЗА НЕПРАВОМЕРНОЕ ВОЗДЕЙСТВИЕ НА КРИТИЧЕСКУЮ ИНФОРМАЦИОННУЮ ИНФРАСТРУКТУРУ, ИЗД.1</t>
  </si>
  <si>
    <t>Малыгин И.И.</t>
  </si>
  <si>
    <t>978-5-16-018197-4</t>
  </si>
  <si>
    <t>10.05.04, 38.05.01, 40.04.01, 40.05.01, 40.05.02, 40.05.04, 40.06.01</t>
  </si>
  <si>
    <t>Департамент государственной службы и кадров Министерства юстиции Российской Федерации</t>
  </si>
  <si>
    <t>825892.01.01</t>
  </si>
  <si>
    <t>Уголовная ответств. за посягательство на объекты культур. наследия.../ Е.Д.Болотова-М.:НИЦ ИНФРА-М,2025-208с(о)</t>
  </si>
  <si>
    <t>УГОЛОВНАЯ ОТВЕТСТВЕННОСТЬ ЗА ПОСЯГАТЕЛЬСТВО НА ОБЪЕКТЫ КУЛЬТУРНОГО НАСЛЕДИЯ, ВЗЯТЫЕ ПОД ОХРАНУ ГОСУДАРСТВОМ, ИЗД.1</t>
  </si>
  <si>
    <t>Болотова Е.Д.</t>
  </si>
  <si>
    <t>978-5-16-019855-2</t>
  </si>
  <si>
    <t>Департамент уголовного и административного законодательства Министерства юстиции Российской Федерации</t>
  </si>
  <si>
    <t>061610.09.01</t>
  </si>
  <si>
    <t>Уголовная социология: Моногр. / Э.Ферри - М.:ИНФРА-М Изд. Дом,2025. -  658 с.(п)</t>
  </si>
  <si>
    <t>УГОЛОВНАЯ СОЦИОЛОГИЯ, ИЗД.1</t>
  </si>
  <si>
    <t>Ферри Э., Овчинский В. С.</t>
  </si>
  <si>
    <t>5-16-002315-1</t>
  </si>
  <si>
    <t>808504.01.01</t>
  </si>
  <si>
    <t>Уголовное наказание и его цели: Моногр. / И.В.Дворянсков - М.:НИЦ ИНФРА-М,2025. - 166 с.(Науч.мысль)(п)</t>
  </si>
  <si>
    <t>УГОЛОВНОЕ НАКАЗАНИЕ И ЕГО ЦЕЛИ, ИЗД.1</t>
  </si>
  <si>
    <t>Дворянсков И.В.</t>
  </si>
  <si>
    <t>978-5-16-020050-7</t>
  </si>
  <si>
    <t>694924.10.01</t>
  </si>
  <si>
    <t>Уголовное право и "цифр. преступ.": пробл...: Моногр. / Е.А.Русскевич - 2 изд. - М.:НИЦ ИНФРА-М,2026  - 351 с.(П)</t>
  </si>
  <si>
    <t>УГОЛОВНОЕ ПРАВО И "ЦИФРОВАЯ ПРЕСТУПНОСТЬ": ПРОБЛЕМЫ И РЕШЕНИЯ, ИЗД.2</t>
  </si>
  <si>
    <t>Русскевич Е.А.</t>
  </si>
  <si>
    <t>978-5-16-017297-2</t>
  </si>
  <si>
    <t>694924.05.01</t>
  </si>
  <si>
    <t>Уголовное право и "цифр. преступ.": проблемы...: Моногр. / Е.А.Русскевич - М.:НИЦ ИНФРА-М,2022 -227с(о)</t>
  </si>
  <si>
    <t>УГОЛОВНОЕ ПРАВО И "ЦИФРОВАЯ ПРЕСТУПНОСТЬ": ПРОБЛЕМЫ И РЕШЕНИЯ, ИЗД.1</t>
  </si>
  <si>
    <t>978-5-16-016794-7</t>
  </si>
  <si>
    <t>694924.03.01</t>
  </si>
  <si>
    <t>Уголовное право и "цифр. преступ.": проблемы...: Моногр./Е.А.Русскевич-М.:НИЦ ИНФРА-М,2020-227с(П)</t>
  </si>
  <si>
    <t>978-5-16-014606-5</t>
  </si>
  <si>
    <t>090300.08.01</t>
  </si>
  <si>
    <t>Уголовное право России. Общ. и Особ. ч.: Уч. / В.К.Дуюнов - 5 изд. - РИОР:ИНФРА-М, 2017-695с.(ВО)</t>
  </si>
  <si>
    <t>УГОЛОВНОЕ ПРАВО РОССИИ. ОБЩАЯ И ОСОБЕННАЯ ЧАСТИ, ИЗД.5</t>
  </si>
  <si>
    <t>Дуюнов В.К., Галактионов С.А., Агапов П.В. и др.</t>
  </si>
  <si>
    <t>978-5-369-01584-1</t>
  </si>
  <si>
    <t>090300.14.01</t>
  </si>
  <si>
    <t>Уголовное право России. Общ. и Особ. ч.: Уч. / В.К.Дуюнов - 6 изд. -М.:РИОР:ИНФРА-М,2023-780с(ВО)(П)</t>
  </si>
  <si>
    <t>УГОЛОВНОЕ ПРАВО РОССИИ. ОБЩАЯ И ОСОБЕННАЯ ЧАСТИ, ИЗД.6</t>
  </si>
  <si>
    <t>Дуюнов В.К.</t>
  </si>
  <si>
    <t>978-5-369-01807-1</t>
  </si>
  <si>
    <t>768939.05.01</t>
  </si>
  <si>
    <t>Уголовное право России. Общ. и Особ. части: Уч. / В.К.Дуюнов - М.:ИЦ РИОР, НИЦ ИНФРА-М,2025.-700 с.(СПО)(П)</t>
  </si>
  <si>
    <t>УГОЛОВНОЕ ПРАВО РОССИИ. ОБЩАЯ И ОСОБЕННАЯ ЧАСТИ, ИЗД.1</t>
  </si>
  <si>
    <t>978-5-369-01902-3</t>
  </si>
  <si>
    <t>090300.16.01</t>
  </si>
  <si>
    <t>Уголовное право России. Общая и Особ. части: Уч. / В.К.Дуюнов - 7 изд. - М.:ИЦ РИОР, НИЦ ИНФРА-М,2026. - 748 с.(ВО)(п)</t>
  </si>
  <si>
    <t>УГОЛОВНОЕ ПРАВО РОССИИ. ОБЩАЯ И ОСОБЕННАЯ ЧАСТИ, ИЗД.7</t>
  </si>
  <si>
    <t>978-5-369-01997-9</t>
  </si>
  <si>
    <t>881010.01.01</t>
  </si>
  <si>
    <t>Уголовное право России. Общая часть: Уч. / З.А.Незнамова. - М.:Юр. НОРМА, НИЦ ИНФРА-М,2026. - 584 с.(п)</t>
  </si>
  <si>
    <t>УГОЛОВНОЕ ПРАВО РОССИИ. ОБЩАЯ ЧАСТЬ, ИЗД.1</t>
  </si>
  <si>
    <t>Незнамова З.А., Сабитов Т.Р., Калинина О.М. и др.</t>
  </si>
  <si>
    <t>978-5-00156-490-4</t>
  </si>
  <si>
    <t>38.05.01, 38.05.02, 40.05.01, 40.05.02, 40.05.03, 40.05.04, 40.03.02</t>
  </si>
  <si>
    <t>413600.17.01</t>
  </si>
  <si>
    <t>Уголовное право РФ. Общая часть: Уч. / Иногамова-Хегай Л.В. - 3 изд. - М.:НИЦ ИНФРА-М,2027 - 354 с.(П)</t>
  </si>
  <si>
    <t>УГОЛОВНОЕ ПРАВО РОССИЙСКОЙ ФЕДЕРАЦИИ. ОБЩАЯ ЧАСТЬ, ИЗД.3</t>
  </si>
  <si>
    <t>Иногамова-Хегай Л. В.</t>
  </si>
  <si>
    <t>978-5-16-020598-4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</si>
  <si>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18 от 25.11.2019)</t>
  </si>
  <si>
    <t>794232.03.01</t>
  </si>
  <si>
    <t>Уголовное право РФ. Общая часть: Уч. / Под ред. Кузнецова А.П. - М.:НИЦ ИНФРА-М,2026. - 557 с.(ВО)(п)</t>
  </si>
  <si>
    <t>УГОЛОВНОЕ ПРАВО РОССИЙСКОЙ ФЕДЕРАЦИИ. ОБЩАЯ ЧАСТЬ, ИЗД.1</t>
  </si>
  <si>
    <t>Антонян Е.А., Беляков А.Ю., Бодрова Е.О. и др.</t>
  </si>
  <si>
    <t>978-5-16-020848-0</t>
  </si>
  <si>
    <t>429100.11.01</t>
  </si>
  <si>
    <t>Уголовное право РФ. Особ. ч.: Уч. / Под ред. Иногамова-Хегай Л.В. - 3 изд. - М.:НИЦ ИНФРА-М,2026 - 407 с.(П)</t>
  </si>
  <si>
    <t>УГОЛОВНОЕ ПРАВО РОССИЙСКОЙ ФЕДЕРАЦИИ. ОСОБЕННАЯ ЧАСТЬ, ИЗД.3</t>
  </si>
  <si>
    <t>Иногамова-Хегай Л.В., Антонова Е.Ю., Безверхов А.Г. и др.</t>
  </si>
  <si>
    <t>978-5-16-020599-1</t>
  </si>
  <si>
    <t>Рекомендовано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</si>
  <si>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803209.02.01</t>
  </si>
  <si>
    <t>Уголовное право РФ. Особенная часть: Уч. / Р.Б.Головкин. - М.:НИЦ ИНФРА-М,2027. -  642 с.(ВО)(п)</t>
  </si>
  <si>
    <t>УГОЛОВНОЕ ПРАВО РОССИЙСКОЙ ФЕДЕРАЦИИ. ОСОБЕННАЯ ЧАСТЬ, ИЗД.1</t>
  </si>
  <si>
    <t>Пикин И.В., Прохорова М.Л., Горшкова Н.А. и др.</t>
  </si>
  <si>
    <t>978-5-16-019165-2</t>
  </si>
  <si>
    <t>Владимирский юридический институт Федеральной службы исполнения наказани,  Краснодарский ф-л</t>
  </si>
  <si>
    <t>828957.02.01</t>
  </si>
  <si>
    <t>Уголовное право. Общая часть.: Уч. / С.Ф.Милюков и др. - М.:НИЦ ИНФРА-М,2027. - 320 с.(ВО)(п)</t>
  </si>
  <si>
    <t>УГОЛОВНОЕ ПРАВО. ОБЩАЯ ЧАСТЬ., ИЗД.1</t>
  </si>
  <si>
    <t>Милюков С.Ф., Прохорова М.Л., Пикин И.В. и др.</t>
  </si>
  <si>
    <t>978-5-16-020663-9</t>
  </si>
  <si>
    <t>776288.03.01</t>
  </si>
  <si>
    <t>Уголовное право. Общая часть: Уч. / Под ред. Дворянскова И.В. - М.:НИЦ ИНФРА-М,2025 - 532 с.(СПО)(П)</t>
  </si>
  <si>
    <t>УГОЛОВНОЕ ПРАВО. ОБЩАЯ ЧАСТЬ, ИЗД.1</t>
  </si>
  <si>
    <t>Дворянсков И.В., Антонян Е.А., Боровиков С.А. и др.</t>
  </si>
  <si>
    <t>978-5-16-017622-2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</si>
  <si>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10 от 15.12.2021)</t>
  </si>
  <si>
    <t>705868.08.01</t>
  </si>
  <si>
    <t>Уголовное право. Общая часть: Уч. / Под ред. Дворянскова И.В. - М.:НИЦ ИНФРА-М,2026 - 532 с.(ВО)(П)</t>
  </si>
  <si>
    <t>978-5-16-020642-4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</si>
  <si>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6 от 16.06.2021)</t>
  </si>
  <si>
    <t>803540.03.01</t>
  </si>
  <si>
    <t>Уголовное право. Особ. часть: Уч. / Под ред. Дворянскова И.В. - М.:НИЦ ИНФРА-М,2026. - 583 с.(СПО)(п)</t>
  </si>
  <si>
    <t>УГОЛОВНОЕ ПРАВО. ОСОБЕННАЯ ЧАСТЬ, ИЗД.1</t>
  </si>
  <si>
    <t>Авдалян А.Я., Борков В.Н., Бугера М.А. и др.</t>
  </si>
  <si>
    <t>978-5-16-018461-6</t>
  </si>
  <si>
    <t>751214.05.01</t>
  </si>
  <si>
    <t>Уголовное право. Особенная часть: Уч. / Под ред. Дворянскова И.В. - М.:НИЦ ИНФРА-М,2026. - 583 с.(ВО)(п)</t>
  </si>
  <si>
    <t>978-5-16-020031-6</t>
  </si>
  <si>
    <t>805840.03.01</t>
  </si>
  <si>
    <t>Уголовное право: Общая часть: Уч./ А.Ф.Абдулвалиев и др. - М.:НИЦ ИНФРА-М,2026. - 721 с.(ВО)(п)</t>
  </si>
  <si>
    <t>УГОЛОВНОЕ ПРАВО: ОБЩАЯ ЧАСТЬ, ИЗД.1</t>
  </si>
  <si>
    <t>Абдулвалиев А.Ф., Иванова Л.В., Лосев С.Г. и др.</t>
  </si>
  <si>
    <t>978-5-16-018809-6</t>
  </si>
  <si>
    <t>650930.03.01</t>
  </si>
  <si>
    <t>Уголовное право: особенная часть: Уч.пос. / В.В.Агильдин - М.:НИЦ ИНФРА-М,2022 - 162 с.(ВО:Бакалавр.)(О)</t>
  </si>
  <si>
    <t>УГОЛОВНОЕ ПРАВО: ОСОБЕННАЯ ЧАСТЬ, ИЗД.1</t>
  </si>
  <si>
    <t>Агильдин В.В.</t>
  </si>
  <si>
    <t>978-5-16-012674-6</t>
  </si>
  <si>
    <t>650930.06.01</t>
  </si>
  <si>
    <t>Уголовное право: особенная часть: Уч.пос. / В.В.Агильдин, - 2 изд. - М.:НИЦ ИНФРА-М,2026. - 165 с.(ВО)(П)</t>
  </si>
  <si>
    <t>УГОЛОВНОЕ ПРАВО: ОСОБЕННАЯ ЧАСТЬ. ПРАКТИКУМ, ИЗД.2</t>
  </si>
  <si>
    <t>978-5-16-017849-3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</si>
  <si>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40.03.01 «Юриспруденция» (квалификация (степень) «бакалавр») (протокол № 7 от 21.09.2022)</t>
  </si>
  <si>
    <t>786082.05.01</t>
  </si>
  <si>
    <t>Уголовное судопроизводство...: Моногр. / Л.А.Воскобитова - М.:Юр. НОРМА, НИЦ ИНФРА-М,2025. - 288 с.(п)</t>
  </si>
  <si>
    <t>УГОЛОВНОЕ СУДОПРОИЗВОДСТВО: ТРАНСФОРМАЦИЯ ТЕОРЕТИЧЕСКИХ ПРЕДСТАВЛЕНИЙ И РЕГУЛИРОВАНИЯ В УСЛОВИЯХ ЦИФРОВИЗАЦИИ, ИЗД.1</t>
  </si>
  <si>
    <t>978-5-00156-259-7</t>
  </si>
  <si>
    <t>649111.01.01</t>
  </si>
  <si>
    <t>Уголовное судопроизводство: Сл. / Под ред. Смолькова И.В.-М.:НИЦ ИНФРА-М,2024.-217 с..-(п)</t>
  </si>
  <si>
    <t>УГОЛОВНОЕ СУДОПРОИЗВОДСТВО, ИЗД.1</t>
  </si>
  <si>
    <t>Буфетова М.Ш., Дунаева М.С., Зеленская Т.В. и др.</t>
  </si>
  <si>
    <t>978-5-16-018265-0</t>
  </si>
  <si>
    <t>10.05.04, 38.05.01, 38.05.02, 40.02.02, 40.02.04, 40.03.01, 40.04.01, 40.05.01, 40.05.02, 40.05.03, 40.05.04, 40.06.01</t>
  </si>
  <si>
    <t>388900.02.01</t>
  </si>
  <si>
    <t>Уголовно-исполн.право: Уч.пос. / А.В.Дмитренко-М.:ИЦ РИОР,НИЦ ИНФРА-М,2018.-280с.(ВО:Бакалавриат)(п)</t>
  </si>
  <si>
    <t>УГОЛОВНО-ИСПОЛНИТЕЛЬНОЕ ПРАВО, ИЗД.1</t>
  </si>
  <si>
    <t>Дмитренко А.В.</t>
  </si>
  <si>
    <t>978-5-369-01463-9</t>
  </si>
  <si>
    <t>025430.30.01</t>
  </si>
  <si>
    <t>Уголовно-исполнит. право России: Уч. / Селиверстов В.И. -  9 изд. - М.:Юр.Норма,НИЦ ИНФРА-М,2026 - 464 с.(П)</t>
  </si>
  <si>
    <t>УГОЛОВНО-ИСПОЛНИТЕЛЬНОЕ ПРАВО РОССИИ, ИЗД.9</t>
  </si>
  <si>
    <t>Селиверстов В.И., Геранин В.В., Зубарев С.М. и др.</t>
  </si>
  <si>
    <t>978-5-00156-296-2</t>
  </si>
  <si>
    <t>Допущено УМО по юридическому образованию вузов в качестве учебного пособия для студентов высших учебных заведений, обучающихся по направлению  и специальности Юриспруденция</t>
  </si>
  <si>
    <t>025430.22.01</t>
  </si>
  <si>
    <t>Уголовно-исполнительное право России: Уч. / Селиверстов В.И. -  8 изд.-М.:Юр.Норма,НИЦ ИНФРА-М,2023-432с(П)</t>
  </si>
  <si>
    <t>УГОЛОВНО-ИСПОЛНИТЕЛЬНОЕ ПРАВО РОССИИ, ИЗД.8</t>
  </si>
  <si>
    <t>978-5-91768-932-6</t>
  </si>
  <si>
    <t>243100.10.01</t>
  </si>
  <si>
    <t>Уголовно-исполнительное право РФ: Лекции / А.К.Романов - 2 изд. - М.:НИЦ ИНФРА-М,2027 - 667с.(п)</t>
  </si>
  <si>
    <t>УГОЛОВНО-ИСПОЛНИТЕЛЬНОЕ ПРАВО РОССИЙСКОЙ ФЕДЕРАЦИИ: ОБЩАЯ И ОСОБЕННАЯ ЧАСТИ, ИЗД.2</t>
  </si>
  <si>
    <t>978-5-16-019943-6</t>
  </si>
  <si>
    <t>Рекомендовано Ученым советом Института права и национальной безопасности Российской академии народного хозяйства и государственной службы при Президенте Российской Федерации в качестве учебного пособия для студентов высших учебных заведений, обучающихся по юридическим направлениям</t>
  </si>
  <si>
    <t>243100.02.01</t>
  </si>
  <si>
    <t>Уголовно-исполнительное право РФ: Лекции / А.К.Романов - М.:Форум,НИЦ ИНФРА-М,2016 - 496с.(п)</t>
  </si>
  <si>
    <t>УГОЛОВНО-ИСПОЛНИТЕЛЬНОЕ ПРАВО РОССИЙСКОЙ ФЕДЕРАЦИИ, ИЗД.1</t>
  </si>
  <si>
    <t>Романов А. К.</t>
  </si>
  <si>
    <t>978-5-91134-820-5</t>
  </si>
  <si>
    <t>Рекомендовано Ученым советом юридического факультета им. М.М. Сперанского РАНХиГС при Президенте РФ в качестве учебного пособия для студентов высших учебных заведений, обучающихся по юридическим специальностям</t>
  </si>
  <si>
    <t>684143.12.01</t>
  </si>
  <si>
    <t>Уголовно-исполнительное право: Уч. / А.И.Абатуров - 2 изд. - М.:НИЦ ИНФРА-М,2027. - 430 с.(ВО)(п)</t>
  </si>
  <si>
    <t>УГОЛОВНО-ИСПОЛНИТЕЛЬНОЕ ПРАВО, ИЗД.2</t>
  </si>
  <si>
    <t>Дворянсков И.В., Абатуров А.И., Бородина А.М. и др.</t>
  </si>
  <si>
    <t>978-5-16-020766-7</t>
  </si>
  <si>
    <t>776291.03.01</t>
  </si>
  <si>
    <t>Уголовно-исполнительное право: Уч. / Под ред. Дворянскова И.В. - М.:НИЦ ИНФРА-М,2024 - 380 с.(СПО)(П)</t>
  </si>
  <si>
    <t>Абатуров А.И., Боровиков С.А., Дворянсков И.В. и др.</t>
  </si>
  <si>
    <t>978-5-16-017603-1</t>
  </si>
  <si>
    <t>00.02.08, 40.02.02, 40.02.04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</si>
  <si>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юридическим специальностям  (протокол № 10 от 15.12.2021)</t>
  </si>
  <si>
    <t>Кировский Институт повышения квалификации работников федеральной службы исполнения наказаний</t>
  </si>
  <si>
    <t>684143.09.01</t>
  </si>
  <si>
    <t>Уголовно-исполнительное право: Уч. / Под ред. Дворянскова И.В. - М.:НИЦ ИНФРА-М,2025 - 380 с.-(ВО)(п)</t>
  </si>
  <si>
    <t>978-5-16-018800-3</t>
  </si>
  <si>
    <t>659818.06.01</t>
  </si>
  <si>
    <t>Уголовно-исполнительное право: Уч. для аспирантуры / Е.А.Антонян - М.:Юр.Норма, НИЦ ИНФРА-М,2026 - 336 с.(П)</t>
  </si>
  <si>
    <t>Антонян Е.А.</t>
  </si>
  <si>
    <t>978-5-91768-845-9</t>
  </si>
  <si>
    <t>40.03.01, 40.05.01, 40.05.02, 40.05.03, 40.05.04, 56.05.01</t>
  </si>
  <si>
    <t>862430.01.01</t>
  </si>
  <si>
    <t>Уголовно-правовая ответств. за незаконное проведение.искусств. / И.Н.Маркина - М.:НИЦ ИНФРА-М,2026. - 206 с.(о)</t>
  </si>
  <si>
    <t>УГОЛОВНО-ПРАВОВАЯ ОТВЕТСТВЕННОСТЬ ЗА НЕЗАКОННОЕ ПРОВЕДЕНИЕ ИСКУССТВЕННОГО ПРЕРЫВАНИЯ БЕРЕМЕННОСТИ И ПРОТИВОПРАВНЫЙ ОБОРОТ ЭМБРИОНОВ, ИЗД.1</t>
  </si>
  <si>
    <t>Маркина И.Н.</t>
  </si>
  <si>
    <t>978-5-16-021215-9</t>
  </si>
  <si>
    <t>10.05.04, 37.05.02, 38.04.01, 38.05.01, 38.05.02, 40.02.02, 40.02.04, 40.03.01, 40.05.01, 40.05.02, 40.05.03, 40.05.04, 44.03.05, 40.03.02</t>
  </si>
  <si>
    <t>812766.01.01</t>
  </si>
  <si>
    <t>Уголовно-правовая охрана обществ. отнош. в сфере...: Моногр. / В.Н.Некрасов-М.:НИЦ ИНФРА-М,2024.-379 с.(п)</t>
  </si>
  <si>
    <t>УГОЛОВНО-ПРАВОВАЯ ОХРАНА ОБЩЕСТВЕННЫХ ОТНОШЕНИЙ В СФЕРЕ ИННОВАЦИОННОЙ ДЕЯТЕЛЬНОСТИ, ИЗД.1</t>
  </si>
  <si>
    <t>978-5-16-019244-4</t>
  </si>
  <si>
    <t>821280.01.01</t>
  </si>
  <si>
    <t>Уголовно-правовое значение возмещения ущерба, причиненного... / С.А.Шумаков-М.:НИЦ ИНФРА-М,2024.-175 с.(о)</t>
  </si>
  <si>
    <t>УГОЛОВНО-ПРАВОВОЕ ЗНАЧЕНИЕ ВОЗМЕЩЕНИЯ УЩЕРБА, ПРИЧИНЕННОГО ПРЕСТУПЛЕНИЕМ: ТЕОРЕТИЧЕСКИЕ И ПРАКТИЧЕСКИЕ АСПЕКТЫ, ИЗД.1</t>
  </si>
  <si>
    <t>Шумаков С.А.</t>
  </si>
  <si>
    <t>978-5-16-019707-4</t>
  </si>
  <si>
    <t>650200.06.01</t>
  </si>
  <si>
    <t>Уголовно-правовое противод.преступ., соверш...: Уч.пос. / Е.А.Русскевич-2 изд.-М.:ИНФРА-М,2024-188с.(ВО)(П)</t>
  </si>
  <si>
    <t>УГОЛОВНО-ПРАВОВОЕ ПРОТИВОДЕЙСТВИЕ ПРЕСТУПЛЕНИЯМ, СОВЕРШАЕМЫМ С ИСПОЛЬЗОВАНИЕМ ИНФОРМАЦИОННО-КОММУНИКАЦИОННЫХ ТЕХНОЛОГИЙ, ИЗД.2</t>
  </si>
  <si>
    <t>978-5-16-014392-7</t>
  </si>
  <si>
    <t>650200.02.01</t>
  </si>
  <si>
    <t>Уголовно-правовое противод.преступ., соверш...: Уч.пос. / Е.А.Русскевич-М.:НИЦ ИНФРА-М,2018-115с(ВО)</t>
  </si>
  <si>
    <t>УГОЛОВНО-ПРАВОВОЕ ПРОТИВОДЕЙСТВИЕ ПРЕСТУПЛЕНИЯМ, СОВЕРШАЕМЫМ С ИСПОЛЬЗОВАНИЕМ ИНФОРМАЦИОННО-КОММУНИКАЦИОННЫХ ТЕХНОЛОГИЙ, ИЗД.1</t>
  </si>
  <si>
    <t>978-5-16-012534-3</t>
  </si>
  <si>
    <t>751995.04.01</t>
  </si>
  <si>
    <t>Уголовно-процессуал. деят. орг. дознания Вооруженных Сил РФ: Уч.пос. / М.В.Слифиш - М.:НИЦ ИНФРА-М,2026 - 169 с.(П)</t>
  </si>
  <si>
    <t>УГОЛОВНО-ПРОЦЕССУАЛЬНАЯ ДЕЯТЕЛЬНОСТЬ ОРГАНОВ ДОЗНАНИЯ ВООРУЖЕННЫХ СИЛ РОССИЙСКОЙ ФЕДЕРАЦИИ, ИЗД.1</t>
  </si>
  <si>
    <t>978-5-16-015345-2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</si>
  <si>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40.05.01 «Правовое обеспечение национальной безопасности» (квалификация «юрист») (протокол № 6 от 16.06.2021)</t>
  </si>
  <si>
    <t>654634.03.01</t>
  </si>
  <si>
    <t>Уголовно-процессуал. основы исполнения приговора: Уч. /О.А.Малышева -М.:Юр.Норма, НИЦ ИНФРА-М,2022.-288 с.(П)</t>
  </si>
  <si>
    <t>УГОЛОВНО-ПРОЦЕССУАЛЬНЫЕ ОСНОВЫ ИСПОЛНЕНИЯ ПРИГОВОРА, ИЗД.1</t>
  </si>
  <si>
    <t>Малышева О.А.</t>
  </si>
  <si>
    <t>978-5-91768-826-8</t>
  </si>
  <si>
    <t>798338.03.01</t>
  </si>
  <si>
    <t>Уголовно-процессуал. право РФ: Прак. / Воскобитова Л.А. - М.:Юр.Норма, НИЦ ИНФРА-М,2026 - 352 с.(СПО)(п)</t>
  </si>
  <si>
    <t>УГОЛОВНО-ПРОЦЕССУАЛЬНОЕ ПРАВО РОССИЙСКОЙ ФЕДЕРАЦИИ, ИЗД.1</t>
  </si>
  <si>
    <t>Воскобитова Л.А., Антонович Е.К., Вилкова Т.Ю. и др.</t>
  </si>
  <si>
    <t>978-5-00156-414-0</t>
  </si>
  <si>
    <t>741192.06.01</t>
  </si>
  <si>
    <t>Уголовно-процессуальное право РФ: Прак. / Воскобитова Л.А. - М.:Юр.Норма, НИЦ ИНФРА-М,2026  - 352 с.(П)</t>
  </si>
  <si>
    <t>Воскобитова Л.А., Сушина Т.Е., Антонович Е.К. и др.</t>
  </si>
  <si>
    <t>978-5-00156-087-6</t>
  </si>
  <si>
    <t>101000.17.01</t>
  </si>
  <si>
    <t>Уголовно-процессуальное право РФ: Уч. / Отв.ред. П.А.Лупинская - 5 изд. - М:Норма:НИЦ ИНФРА-М,2026 - 1072 с.(п)</t>
  </si>
  <si>
    <t>УГОЛОВНО-ПРОЦЕССУАЛЬНОЕ ПРАВО РОССИЙСКОЙ ФЕДЕРАЦИИ, ИЗД.5</t>
  </si>
  <si>
    <t>Лупинская П.А., Воскобитова Л.А.</t>
  </si>
  <si>
    <t>978-5-00156-343-3</t>
  </si>
  <si>
    <t>40.02.04, 40.03.01, 40.04.01, 40.05.02</t>
  </si>
  <si>
    <t>Допущено Министерством образования РФ в качестве учебника для студентов высших учебных заведений, обучающихся по специальности 021100 "Юриспруденция"</t>
  </si>
  <si>
    <t>101000.04.01</t>
  </si>
  <si>
    <t>Уголовно-процессуальное право РФ: Уч./ Отв.ред. П.А.Лупинская-3изд.-М:Норма:НИЦ ИНФРА-М,2013-1008с. (п)</t>
  </si>
  <si>
    <t>УГОЛОВНО-ПРОЦЕССУАЛЬНОЕ ПРАВО РОССИЙСКОЙ ФЕДЕРАЦИИ, ИЗД.3</t>
  </si>
  <si>
    <t>Лупинская П. А., Воскобитова Л. А.</t>
  </si>
  <si>
    <t>978-5-91768-419-2</t>
  </si>
  <si>
    <t>101000.13.01</t>
  </si>
  <si>
    <t>Уголовно-процессуальное право РФ: Уч./Отв.ред. П.А.Лупинская-4изд.-М:Норма:НИЦ ИНФРА-М,2022-1008с(п)</t>
  </si>
  <si>
    <t>УГОЛОВНО-ПРОЦЕССУАЛЬНОЕ ПРАВО РОССИЙСКОЙ ФЕДЕРАЦИИ, ИЗД.4</t>
  </si>
  <si>
    <t>978-5-91768-905-0</t>
  </si>
  <si>
    <t>740840.09.01</t>
  </si>
  <si>
    <t>Уголовно-процессуальное право: Уч. / В.М.Лебедев, - 3 изд. - М.:Юр.Норма, НИЦ ИНФРА-М,2026 - 936 с.(П)</t>
  </si>
  <si>
    <t>УГОЛОВНО-ПРОЦЕССУАЛЬНОЕ ПРАВО, ИЗД.3</t>
  </si>
  <si>
    <t>978-5-00156-081-4</t>
  </si>
  <si>
    <t>110150.10.01</t>
  </si>
  <si>
    <t>Уголовно-статистические этюды / Н.А. Неклюдов. - М.: ИНФРА-М, 2025. - 197 с. (п)</t>
  </si>
  <si>
    <t>УГОЛОВНО-СТАТИСТИЧЕСКИЕ ЭТЮДЫ, ИЗД.1</t>
  </si>
  <si>
    <t>Неклюдов Н. А., Овчинский В. С., Федоров А. В.</t>
  </si>
  <si>
    <t>978-5-16-003627-4</t>
  </si>
  <si>
    <t>743881.04.01</t>
  </si>
  <si>
    <t>Уголовный закон и экономическая деят. / В.Ю.Артемов и др. - М.:НИЦ ИНФРА,2027 - 392 с.(П)</t>
  </si>
  <si>
    <t>УГОЛОВНЫЙ ЗАКОН И ЭКОНОМИЧЕСКАЯ ДЕЯТЕЛЬНОСТЬ (СООТНОШЕНИЕ ЧАСТНЫХ И ПУБЛИЧНЫХ ИНТЕРЕСОВ), ИЗД.1</t>
  </si>
  <si>
    <t>Артемов В.Ю., Голованова Н.А., Гравина А.А. и др.</t>
  </si>
  <si>
    <t>978-5-16-016475-5</t>
  </si>
  <si>
    <t>38.04.01, 38.05.01, 38.06.01, 40.03.01, 40.04.01, 40.06.01</t>
  </si>
  <si>
    <t>850346.02.01</t>
  </si>
  <si>
    <t>Уголовный процесс (Общая часть): Практикум / А.Н.Ахпанов - М.:НИЦ ИНФРА-М,2025. - 149 с.(ВО)(п)</t>
  </si>
  <si>
    <t>УГОЛОВНЫЙ ПРОЦЕСС (ОБЩАЯ ЧАСТЬ), ИЗД.1</t>
  </si>
  <si>
    <t>Масленникова Е.А., Ахпанов А.Н., Сулейманов Т.А.</t>
  </si>
  <si>
    <t>978-5-16-020843-5</t>
  </si>
  <si>
    <t>Евразийский Национальный Университет имени Л.Н. Гумилева</t>
  </si>
  <si>
    <t>767937.03.01</t>
  </si>
  <si>
    <t>Уголовный процесс: общие положения и...: Уч.пос. / О.П.Александрова - М.:НИЦ ИНФРА-М,2025. - 241 с.(ВО)(п)</t>
  </si>
  <si>
    <t>УГОЛОВНЫЙ ПРОЦЕСС: ОБЩИЕ ПОЛОЖЕНИЯ И ДОСУДЕБНОЕ ПРОИЗВОДСТВО. ПРАКТИКУМ, ИЗД.1</t>
  </si>
  <si>
    <t>Александрова О.П., Буданова Л.Ю.</t>
  </si>
  <si>
    <t>978-5-16-017372-6</t>
  </si>
  <si>
    <t>762038.06.01</t>
  </si>
  <si>
    <t>Уголовный процесс: Уч. / А.Д.Прошляков - М.:Юр.Норма, НИЦ ИНФРА-М,2026 - 888 с.(П)</t>
  </si>
  <si>
    <t>УГОЛОВНЫЙ ПРОЦЕСС, ИЗД.1</t>
  </si>
  <si>
    <t>Прошляков А.Д.</t>
  </si>
  <si>
    <t>978-5-00156-190-3</t>
  </si>
  <si>
    <t>38.05.02, 40.02.04, 40.03.01, 40.04.01, 40.05.01, 40.05.02</t>
  </si>
  <si>
    <t>096841.22.01</t>
  </si>
  <si>
    <t>Уголовный процесс: Уч. / Под ред. Смирнова А.В. -  9 изд. - М.:Юр.Норма, НИЦ ИНФРА-М,2026 - 840 с.(П)</t>
  </si>
  <si>
    <t>УГОЛОВНЫЙ ПРОЦЕСС, ИЗД.9</t>
  </si>
  <si>
    <t>Смирнов А. В., Калиновский К. Б.</t>
  </si>
  <si>
    <t>978-5-00156-453-9</t>
  </si>
  <si>
    <t>Допущено Учебно-методическим объединением по юридическому образованию вузов Российской Федерации з качестве учебника для студентов высших учебных заведений, обучающихся по специальности и направлению подготовки «Юриспруденция»</t>
  </si>
  <si>
    <t>096841.13.01</t>
  </si>
  <si>
    <t>Уголовный процесс: Уч. / Под ред. Смирнова А.В. - 7 изд. - М.:Юр.Норма, НИЦ ИНФРА-М,2019-752с.(П)</t>
  </si>
  <si>
    <t>УГОЛОВНЫЙ ПРОЦЕСС, ИЗД.7</t>
  </si>
  <si>
    <t>978-5-91768-794-0</t>
  </si>
  <si>
    <t>096841.21.01</t>
  </si>
  <si>
    <t>Уголовный процесс: Уч. / Под ред. Смирнова А.В. - 8 изд. - М.:Юр.Норма, НИЦ ИНФРА-М,2025 - 784 с.(П)</t>
  </si>
  <si>
    <t>УГОЛОВНЫЙ ПРОЦЕСС, ИЗД.8</t>
  </si>
  <si>
    <t>978-5-00156-039-5</t>
  </si>
  <si>
    <t>853083.01.01</t>
  </si>
  <si>
    <t>Уголовный процесс: Уч. / С.В.Зуев - М.:Юр. НОРМА, НИЦ ИНФРА-М,2025. - 688 с.(п)</t>
  </si>
  <si>
    <t>Зуев С.В., Сутягин К.И.</t>
  </si>
  <si>
    <t>978-5-00156-427-0</t>
  </si>
  <si>
    <t>775472.06.01</t>
  </si>
  <si>
    <t>Уголовный процесс: Уч. для СПО / А.Д.Прошляков - М.:Юр. НОРМА, НИЦ ИНФРА-М,2026 - 888 с.(П)</t>
  </si>
  <si>
    <t>УГОЛОВНЫЙ ПРОЦЕСС. УЧЕБНИК ДЛЯ СПО, ИЗД.1</t>
  </si>
  <si>
    <t>Прошляков А.Д., Козубенко Ю.В., Балакшин В.С. и др.</t>
  </si>
  <si>
    <t>978-5-00156-237-5</t>
  </si>
  <si>
    <t>459250.06.01</t>
  </si>
  <si>
    <t>Уголь России: состояние и перспективы: Моногр. / В.Я.Афанасьев. - М.:НИЦ ИНФРА-М,2025. - 271 с..(О)</t>
  </si>
  <si>
    <t>УГОЛЬ РОССИИ: СОСТОЯНИЕ И ПЕРСПЕКТИВЫ, ИЗД.1</t>
  </si>
  <si>
    <t>Афанасьев В. Я., Линник Ю. Н., Линник В. Ю.</t>
  </si>
  <si>
    <t>978-5-16-009436-6</t>
  </si>
  <si>
    <t>708146.02.01</t>
  </si>
  <si>
    <t>Угрозы кадровой безопас. орг.: Моногр. / Н.В.Кузнецова-М.:НИЦ ИНФРА-М,2023.-262 с..-(Науч.мысль)(О)</t>
  </si>
  <si>
    <t>УГРОЗЫ КАДРОВОЙ БЕЗОПАСНОСТИ ОРГАНИЗАЦИИ, ИЗД.1</t>
  </si>
  <si>
    <t>978-5-16-015804-4</t>
  </si>
  <si>
    <t>38.04.03, 38.04.04, 38.06.01</t>
  </si>
  <si>
    <t>808966.01.01</t>
  </si>
  <si>
    <t>УК РФ - М.:НИЦ ИНФРА-М,2025. - 396 с.(п)</t>
  </si>
  <si>
    <t>УГОЛОВНЫЙ КОДЕКС РОССИЙСКОЙ ФЕДЕРАЦИИ, ИЗД.1</t>
  </si>
  <si>
    <t>978-5-16-018821-8</t>
  </si>
  <si>
    <t>10.05.04, 37.05.02, 38.04.01, 38.05.01, 38.05.02, 40.02.02, 40.02.04, 40.03.01, 40.05.01, 40.05.02, 40.05.03, 40.05.04, 44.03.05</t>
  </si>
  <si>
    <t>813754.03.01</t>
  </si>
  <si>
    <t>Украина в системе международ. отношений...: Моногр. / О.А.Овсянникова - М.:НИЦ ИНФРА-М,2026 - 275 с.(п)</t>
  </si>
  <si>
    <t>УКРАИНА В СИСТЕМЕ МЕЖДУНАРОДНЫХ ОТНОШЕНИЙ: ИСТОРИЧЕСКАЯ И СОВРЕМЕННАЯ ПРАКТИКА, ИЗД.1</t>
  </si>
  <si>
    <t>978-5-16-019143-0</t>
  </si>
  <si>
    <t>41.03.04, 41.04.04, 41.04.05, 41.06.01</t>
  </si>
  <si>
    <t>823368.03.01</t>
  </si>
  <si>
    <t>Укрепление морально-психолог. сост. рус. армии... / В.А.Стрельников - М.:НИЦ ИНФРА-М,2026 - 395 с.(п)</t>
  </si>
  <si>
    <t>УКРЕПЛЕНИЕ МОРАЛЬНО-ПСИХОЛОГИЧЕСКОГО СОСТОЯНИЯ РУССКОЙ АРМИИ ВО ВТОРОЙ ПОЛОВИНЕ XIX ВЕКА, ИЗД.1</t>
  </si>
  <si>
    <t>Стрельников В.А.</t>
  </si>
  <si>
    <t>978-5-16-019901-6</t>
  </si>
  <si>
    <t>46.04.01, 46.06.01, 56.04.01, 56.07.01</t>
  </si>
  <si>
    <t>Военная академия генерального штаба вооруженных сил российской федерации</t>
  </si>
  <si>
    <t>771232.01.01</t>
  </si>
  <si>
    <t>Улучшение характеристик электроизоляц. матер...: Моногр. / А.Ф.Бурков.-М.:НИЦ ИНФРА-М,2022.-156 с.(О)</t>
  </si>
  <si>
    <t>УЛУЧШЕНИЕ ХАРАКТЕРИСТИК ЭЛЕКТРОИЗОЛЯЦИОННЫХ МАТЕРИАЛОВ ОБМОТОК ЭЛЕКТРИЧЕСКИХ МАШИН, ИЗД.1</t>
  </si>
  <si>
    <t>Бурков А.Ф., Николаев Д.С., Юрин В.Н. и др.</t>
  </si>
  <si>
    <t>978-5-16-017528-7</t>
  </si>
  <si>
    <t>766676.01.01</t>
  </si>
  <si>
    <t>Универсальность уникальности: Моногр. / С.В.Борзых - М.:НИЦ ИНФРА-М,2022 - 224 с.(Науч.мысль)(О)</t>
  </si>
  <si>
    <t>УНИВЕРСАЛЬНОСТЬ УНИКАЛЬНОСТИ, ИЗД.1</t>
  </si>
  <si>
    <t>978-5-16-017287-3</t>
  </si>
  <si>
    <t>838931.01.01</t>
  </si>
  <si>
    <t>Университетская культура: Моногр. / Л.О.Терновая - М.:НИЦ ИНФРА-М,2025. -  218 с.(Науч.мысль)(п)</t>
  </si>
  <si>
    <t>УНИВЕРСИТЕТСКАЯ КУЛЬТУРА, ИЗД.1</t>
  </si>
  <si>
    <t>978-5-16-020272-3</t>
  </si>
  <si>
    <t>44.04.02, 51.03.01</t>
  </si>
  <si>
    <t>636767.07.01</t>
  </si>
  <si>
    <t>Унификация и гармониз.в международ....: Моногр. / Г.К.Дмитриева - М.:Юр.Норма,НИЦ ИНФРА-М,2024-208с.(П)</t>
  </si>
  <si>
    <t>УНИФИКАЦИЯ И ГАРМОНИЗАЦИЯ В МЕЖДУНАРОДНОМ ЧАСТНОМ ПРАВЕ. ВОПРОСЫ ТЕОРИИ И ПРАКТИКИ, ИЗД.1</t>
  </si>
  <si>
    <t>Дмитриева Г.К.</t>
  </si>
  <si>
    <t>978-5-91768-753-7</t>
  </si>
  <si>
    <t>741210.02.01</t>
  </si>
  <si>
    <t>Унификация цивилист. процессуал. законодательства.../ М.В.Самсонова - М.:Юр.Норма, НИЦ ИНФРА-М,2025. - 328 с.(П)</t>
  </si>
  <si>
    <t>УНИФИКАЦИЯ ЦИВИЛИСТИЧЕСКОГО ПРОЦЕССУАЛЬНОГО ЗАКОНОДАТЕЛЬСТВА: АНАЛИЗ, ПЕРСПЕКТИВЫ, ИЗД.1</t>
  </si>
  <si>
    <t>978-5-00156-088-3</t>
  </si>
  <si>
    <t>863776.03.01</t>
  </si>
  <si>
    <t>УПК РФ - 2 изд., испр. и доп. - М.:НИЦ ИНФРА-М,2026. - 433 с.(п)</t>
  </si>
  <si>
    <t>УГОЛОВНО-ПРОЦЕССУАЛЬНЫЙ КОДЕКС РОССИЙСКОЙ ФЕДЕРАЦИИ, ИЗД.2</t>
  </si>
  <si>
    <t>978-5-16-022056-7</t>
  </si>
  <si>
    <t>863776.01.01</t>
  </si>
  <si>
    <t>УПК РФ - М.:НИЦ ИНФРА-М,2025. - 415 с.(п)</t>
  </si>
  <si>
    <t>УГОЛОВНО-ПРОЦЕССУАЛЬНЫЙ КОДЕКС РОССИЙСКОЙ ФЕДЕРАЦИИ, ИЗД.1</t>
  </si>
  <si>
    <t>978-5-16-021266-1</t>
  </si>
  <si>
    <t>151550.12.01</t>
  </si>
  <si>
    <t>Управление архитектурой предприятия: Уч.пос. / В.В.Кондратьев - 2 изд. - М.:НИЦ ИНФРА-М,2025. - 358 с.(П)</t>
  </si>
  <si>
    <t>УПРАВЛЕНИЕ АРХИТЕКТУРОЙ ПРЕДПРИЯТИЯ, ИЗД.2</t>
  </si>
  <si>
    <t>Кондратьев В.В.</t>
  </si>
  <si>
    <t>978-5-16-010401-0</t>
  </si>
  <si>
    <t>38.03.01, 38.03.02, 38.03.03, 38.03.04, 38.03.05, 38.04.01, 38.04.02, 38.04.03, 38.04.04, 38.04.05, 38.06.01, 44.03.01, 44.03.05</t>
  </si>
  <si>
    <t>712708.06.01</t>
  </si>
  <si>
    <t>Управление бизнес-процессами: от теор. к прак.: Уч.пос. / Т.П.Маслевич - М.:НИЦ ИНФРА-М,2027. - 206 с.(ВО)(п)</t>
  </si>
  <si>
    <t>УПРАВЛЕНИЕ БИЗНЕС-ПРОЦЕССАМИ: ОТ ТЕОРИИ К ПРАКТИКЕ, ИЗД.1</t>
  </si>
  <si>
    <t>Маслевич Т.П.</t>
  </si>
  <si>
    <t>978-5-16-019088-4</t>
  </si>
  <si>
    <t>38.03.01, 38.03.02, 38.03.03, 38.03.04, 38.03.05, 38.03.06, 38.03.10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</si>
  <si>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10 от 12.10.2020)</t>
  </si>
  <si>
    <t>456950.05.01</t>
  </si>
  <si>
    <t>Управление в социально-эконом. сис. бесприбыл..: Моногр./С.Д.Резник - 2 изд. - ИНФРА-М,2023-234 с.(О)</t>
  </si>
  <si>
    <t>УПРАВЛЕНИЕ В СОЦИАЛЬНО-ЭКОНОМИЧЕСКИХ СИСТЕМАХ БЕСПРИБЫЛЬНОГО СЕКТОРА, ИЗД.2</t>
  </si>
  <si>
    <t>Бобров В. А., Бондаренко В. В., Егорова Н. Ю., Нижегородцев Р. М., Резник С. Д.</t>
  </si>
  <si>
    <t>978-5-16-009386-4</t>
  </si>
  <si>
    <t>713680.05.01</t>
  </si>
  <si>
    <t>Управление в сфере инклюзив. ВО: Уч.пос./ Р.А.Ашурбеков., - 2 изд. - М.:НИЦ ИНФРА-М,2026 - 200 с.(ВО)(П)</t>
  </si>
  <si>
    <t>УПРАВЛЕНИЕ В СФЕРЕ ИНКЛЮЗИВНОГО ВЫСШЕГО ОБРАЗОВАНИЯ, ИЗД.2</t>
  </si>
  <si>
    <t>Ашурбеков Р.А., Гимазова Ю.В., Гришаева С.А. и др.</t>
  </si>
  <si>
    <t>978-5-16-015509-8</t>
  </si>
  <si>
    <t>38.04.02, 44.04.01, 44.04.02, 44.04.03</t>
  </si>
  <si>
    <t>182400.12.01</t>
  </si>
  <si>
    <t>Управление в технических системах: Уч. пос. / А.А.Иванов, С.Л.Торохов - М.: Форум, 2027 - 272 с.(ВО) (п)</t>
  </si>
  <si>
    <t>УПРАВЛЕНИЕ В ТЕХНИЧЕСКИХ СИСТЕМАХ, ИЗД.1</t>
  </si>
  <si>
    <t>Иванов А. А., Торохов С. Л.</t>
  </si>
  <si>
    <t>978-5-91134-641-6</t>
  </si>
  <si>
    <t>Доп. УМО вузов по обр. в обл. автоматизир. машиностр. в кач. учеб. пос. для студ. вузов, обуч. по напр подготовки "Автоматизация технологических процессов и производств" (отрасль машиностроение)</t>
  </si>
  <si>
    <t>469150.04.01</t>
  </si>
  <si>
    <t>Управление взаимоотношениями с потребит. образов...: Моногр./Е.А.Неретина-РИОР:ИНФРА-М,2019-156с.(о)</t>
  </si>
  <si>
    <t>УПРАВЛЕНИЕ ВЗАИМООТНОШЕНИЯМИ С ПОТРЕБИТЕЛЯМИ ОБРАЗОВАТЕЛЬНЫХ УСЛУГ В СФЕРЕ ВЫСШЕГО ПРОФЕССИОНАЛЬНОГО ОБРАЗОВАНИЯ, ИЗД.1</t>
  </si>
  <si>
    <t>Неретина Е.А., Соловьев Т.Г.</t>
  </si>
  <si>
    <t>978-5-369-01359-5</t>
  </si>
  <si>
    <t>38.03.02, 38.04.02, 44.03.01, 44.04.01</t>
  </si>
  <si>
    <t>634112.06.01</t>
  </si>
  <si>
    <t>Управление внешнеэк. деят.в РФ: Уч.пос. / Под ред. Дегтяревой О.И. - М,НИЦ ИНФРА-М,2026  - 368 с.(п)</t>
  </si>
  <si>
    <t>УПРАВЛЕНИЕ ВНЕШНЕЭКОНОМИЧЕСКОЙ ДЕЯТЕЛЬНОСТЬЮ В РФ В УСЛОВИЯХ ИНТЕГРАЦИИ В РАМКАХ ЕАЭС, ИЗД.1</t>
  </si>
  <si>
    <t>Дегтярева О.И., Ратушняк Е.С., Шевелева А.В. и др.</t>
  </si>
  <si>
    <t>978-5-16-021862-5</t>
  </si>
  <si>
    <t>095090.18.01</t>
  </si>
  <si>
    <t>Управление внешнеэконом. деят. предпр.: Уч. / Под ред. Иванова  И.Н. - М.:НИЦ ИНФРА-М,2025. - 394 с.(ВО)(П)</t>
  </si>
  <si>
    <t>УПРАВЛЕНИЕ ВНЕШНЕЭКОНОМИЧЕСКОЙ ДЕЯТЕЛЬНОСТЬЮ ПРЕДПРИЯТИЯ, ИЗД.1</t>
  </si>
  <si>
    <t>Темнышова Е.П., Темнышов И.А., Мозговой А.И. и др.</t>
  </si>
  <si>
    <t>978-5-16-015306-3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</si>
  <si>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38.00.00 «Экономика и управление»  (протокол № 8 от 22.06.2020)</t>
  </si>
  <si>
    <t>740834.01.01</t>
  </si>
  <si>
    <t>Управление внутр. резерв. сниж. себестоимости продукции / А.Н.Сунтеев-М.:НИЦ ИНФРА-М,2021.-175 с.(О)</t>
  </si>
  <si>
    <t>УПРАВЛЕНИЕ ВНУТРЕННИМИ РЕЗЕРВАМИ СНИЖЕНИЯ СЕБЕСТОИМОСТИ ПРОДУКЦИИ МАШИНОСТРОЕНИЯ, ИЗД.1</t>
  </si>
  <si>
    <t>Сунтеев А.Н.</t>
  </si>
  <si>
    <t>978-5-16-016421-2</t>
  </si>
  <si>
    <t>468850.06.01</t>
  </si>
  <si>
    <t>Управление высшим образ.и наукой: опыт...: Моногр. / Р.М.Нижегородцев - М.:НИЦ ИНФРА-М,2026 - 400 с.(П)</t>
  </si>
  <si>
    <t>УПРАВЛЕНИЕ ВЫСШИМ ОБРАЗОВАНИЕМ И НАУКОЙ: ОПЫТ, ПРОБЛЕМЫ, ПЕРСПЕКТИВЫ, ИЗД.1</t>
  </si>
  <si>
    <t>Нижегородцев Р.М., Резник С.Д.</t>
  </si>
  <si>
    <t>978-5-16-009913-2</t>
  </si>
  <si>
    <t>38.03.02, 38.04.02, 44.06.01</t>
  </si>
  <si>
    <t>115000.14.01</t>
  </si>
  <si>
    <t>Управление высшим уч. завед.: Уч. / Под ред. Резника С.Д., - 5 изд., -М.:НИЦ ИНФРА-М,2024.-426с(П)</t>
  </si>
  <si>
    <t>УПРАВЛЕНИЕ ВЫСШИМ УЧЕБНЫМ ЗАВЕДЕНИЕМ, ИЗД.5</t>
  </si>
  <si>
    <t>Резник С.Д., Боровская М.А., Васин С.М. и др.</t>
  </si>
  <si>
    <t>978-5-16-014398-9</t>
  </si>
  <si>
    <t>Допущено Советом Учебно-методического объединения по образованию в области менеджмента в качестве учебника для системы дополнительного образования — повышения квалификации руководящих кадров высших учебных заведений</t>
  </si>
  <si>
    <t>702621.05.01</t>
  </si>
  <si>
    <t>Управление гос. (муниципальными) закупками: Уч.пос. / Г.Т.Гафурова - М.:НИЦ ИНФРА-М,2022 - 331с.(ВО)(П)</t>
  </si>
  <si>
    <t>УПРАВЛЕНИЕ ГОСУДАРСТВЕННЫМИ (МУНИЦИПАЛЬНЫМИ) ЗАКУПКАМИ, ИЗД.1</t>
  </si>
  <si>
    <t>Гафурова Г.Т.</t>
  </si>
  <si>
    <t>978-5-16-015094-9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</si>
  <si>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38.04.01 «Экономика» (квалификация (степень) «магистр») (протокол № 6 от 25.03.2019)</t>
  </si>
  <si>
    <t>702621.06.01</t>
  </si>
  <si>
    <t>Управление гос. (муниципальными) закупками: Уч.пос./ Г.Т.Гафурова, - 2 изд.,-М.:НИЦ ИНФРА-М,2025.-291 с.(ВО)(п)</t>
  </si>
  <si>
    <t>УПРАВЛЕНИЕ ГОСУДАРСТВЕННЫМИ (МУНИЦИПАЛЬНЫМИ) ЗАКУПКАМИ, ИЗД.2</t>
  </si>
  <si>
    <t>978-5-16-019015-0</t>
  </si>
  <si>
    <t>250400.08.01</t>
  </si>
  <si>
    <t>Управление гос. и муниц. финансами: Уч./Н.Д.Шимширт - М:Альфа-М:ИНФРА-М,2024-352с (п)</t>
  </si>
  <si>
    <t>УПРАВЛЕНИЕ ГОСУДАРСТВЕННЫМИ И МУНИЦИПАЛЬНЫМИ ФИНАНСАМИ, ИЗД.1</t>
  </si>
  <si>
    <t>Шимширт Н. Д., Крашенникова Н. В.</t>
  </si>
  <si>
    <t>978-5-98281-376-3</t>
  </si>
  <si>
    <t>38.03.04, 44.03.05</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</si>
  <si>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студентов высших учебных заведений, обучающихся по направлению подг</t>
  </si>
  <si>
    <t>747294.02.01</t>
  </si>
  <si>
    <t>Управление данными в транспортных сис.: Уч.пос. / В.А.Гвоздева-М.:НИЦ ИНФРА-М,2023.-234 с.(СПО)(П)</t>
  </si>
  <si>
    <t>УПРАВЛЕНИЕ ДАННЫМИ В ТРАНСПОРТНЫХ СИСТЕМАХ, ИЗД.1</t>
  </si>
  <si>
    <t>978-5-16-016554-7</t>
  </si>
  <si>
    <t>23.02.01, 26.02.01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</si>
  <si>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23.00.00 «Техника и технологии наземного транспорта», 26.00.00 «Техника и технологии кораблестроения и водного транспорта» (протокол № 8 от 22.06.2020)</t>
  </si>
  <si>
    <t>702188.03.01</t>
  </si>
  <si>
    <t>Управление данными в транспортных системах: Уч.пос. / В.А.Гвоздева-М.:НИЦ ИНФРА-М,2023-234 с.(ВО)(П)</t>
  </si>
  <si>
    <t>978-5-16-015126-7</t>
  </si>
  <si>
    <t>09.03.02, 23.03.01, 23.03.02, 23.03.03, 26.03.01, 26.03.02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</si>
  <si>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специальностей и направлений подготовки 23.00.00 «Техника и технологии наземного транспорта», 26.00.00 «Техника и технологии кораблестроения и водного транспорта» (квалификация (степень) «бакалавр») (протокол № 8 от 22.06.2020)</t>
  </si>
  <si>
    <t>685009.05.01</t>
  </si>
  <si>
    <t>Управление делами в гражд.процессе за рубежом: Моногр. / С.В.Лазарев-М.:Юр.Норма, НИЦ ИНФРА-М,2023-400с(П)</t>
  </si>
  <si>
    <t>УПРАВЛЕНИЕ ДЕЛАМИ В ГРАЖДАНСКОМ ПРОЦЕССЕ ЗА РУБЕЖОМ, ИЗД.1</t>
  </si>
  <si>
    <t>Лазарев С.В.</t>
  </si>
  <si>
    <t>978-5-91768-938-8</t>
  </si>
  <si>
    <t>Арбитражный суд Уральского округа</t>
  </si>
  <si>
    <t>683160.05.01</t>
  </si>
  <si>
    <t>Управление денежными потоками. Практикум: Уч.пос. / П.Е.Жуков - М.:НИЦ ИНФРА-М,2024 - 186 с.-(ВО)(П)</t>
  </si>
  <si>
    <t>УПРАВЛЕНИЕ ДЕНЕЖНЫМИ ПОТОКАМИ. ПРАКТИКУМ, ИЗД.1</t>
  </si>
  <si>
    <t>Жуков П.Е.</t>
  </si>
  <si>
    <t>978-5-16-014972-1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</si>
  <si>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  (протокол  № 12 от 24.06.2019)</t>
  </si>
  <si>
    <t>395500.09.01</t>
  </si>
  <si>
    <t>Управление денежными потоками: Уч. / И.Я.Лукасевич - М.:Вуз.уч., НИЦ ИНФРА-М,2026 - 184 с.-(ВО)(П)</t>
  </si>
  <si>
    <t>УПРАВЛЕНИЕ ДЕНЕЖНЫМИ ПОТОКАМИ, ИЗД.1</t>
  </si>
  <si>
    <t>Лукасевич И.Я., Жуков П.Е.</t>
  </si>
  <si>
    <t>978-5-9558-0461-3</t>
  </si>
  <si>
    <t>481250.04.01</t>
  </si>
  <si>
    <t>Управление домашним хозяйством как соц.-эконом.системой: Моногр. /С.Д.Резник-М.:ИНФРА-М,2022-157с.(О)</t>
  </si>
  <si>
    <t>УПРАВЛЕНИЕ ДОМАШНИМ ХОЗЯЙСТВОМ КАК СОЦИАЛЬНО-ЭКОНОМИЧЕСКОЙ СИСТЕМОЙ, ИЗД.1</t>
  </si>
  <si>
    <t>Резник С.Д., Егорова Н.Ю.</t>
  </si>
  <si>
    <t>978-5-16-010405-8</t>
  </si>
  <si>
    <t>753312.04.01</t>
  </si>
  <si>
    <t>Управление закупками и запасами в цепях поставок: Уч. / В.И.Сергеев - М.:НИЦ ИНФРА-М,2026. - 402 с.(ВО)(п)</t>
  </si>
  <si>
    <t>УПРАВЛЕНИЕ ЗАКУПКАМИ И ЗАПАСАМИ В ЦЕПЯХ ПОСТАВОК, ИЗД.1</t>
  </si>
  <si>
    <t>Сергеев В.И., Эльяшевич И.П.</t>
  </si>
  <si>
    <t>978-5-16-018981-9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</si>
  <si>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6 от 08.06.2022)</t>
  </si>
  <si>
    <t>839688.01.01</t>
  </si>
  <si>
    <t>Управление закупочной деятельностью в РФ: Уч. / Р.А.Кириллов и др. - М.:НИЦ ИНФРА-М,2025. - 590 с.(ВО)(п)</t>
  </si>
  <si>
    <t>УПРАВЛЕНИЕ ЗАКУПОЧНОЙ ДЕЯТЕЛЬНОСТЬЮ В РФ, ИЗД.1</t>
  </si>
  <si>
    <t>Кириллова О.Ю., Королев В.Г., Бердников Д.В. и др.</t>
  </si>
  <si>
    <t>978-5-16-020662-2</t>
  </si>
  <si>
    <t>38.03.01, 38.04.01, 38.04.02, 38.04.06, 38.05.01</t>
  </si>
  <si>
    <t>085100.16.01</t>
  </si>
  <si>
    <t>Управление запасами в цепях поставок: Уч. / А.Н.Стерлигова - М.:НИЦ ИНФРА-М,2026. - 430 с.(ВО)(П)</t>
  </si>
  <si>
    <t>УПРАВЛЕНИЕ ЗАПАСАМИ В ЦЕПЯХ ПОСТАВОК, ИЗД.1</t>
  </si>
  <si>
    <t>Стерлигова А.Н.</t>
  </si>
  <si>
    <t>978-5-16-020472-7</t>
  </si>
  <si>
    <t>38.03.01, 38.03.02, 38.03.05, 38.03.06, 38.03.07, 38.04.02, 38.04.05, 38.04.06, 38.04.07</t>
  </si>
  <si>
    <t>805128.01.01</t>
  </si>
  <si>
    <t>Управление запасами и закупками (ж/д транспорт): Уч. / А.В.Цевелев - М.:НИЦ ИНФРА-М,2025. - 409 с.(ВО)(п)</t>
  </si>
  <si>
    <t>УПРАВЛЕНИЕ ЗАПАСАМИ И ЗАКУПКАМИ (ЖЕЛЕЗНОДОРОЖНЫЙ ТРАНСПОРТ), ИЗД.1</t>
  </si>
  <si>
    <t>978-5-16-018943-7</t>
  </si>
  <si>
    <t>23.05.04, 38.03.01, 38.03.02, 38.04.01, 38.04.02</t>
  </si>
  <si>
    <t>VII Международный конкурс «Транспорт – 2025»-2025, Победитель, II место
VII Международный конкурс «Транспорт – 2025»-2025, Победитель, II место</t>
  </si>
  <si>
    <t>049650.17.01</t>
  </si>
  <si>
    <t>Управление затратами предприятия: Уч.пос. / М.И.Трубочкина, - 2 изд. - М.:НИЦ ИНФРА-М,2027 - 319 с.(ВО)(П)</t>
  </si>
  <si>
    <t>УПРАВЛЕНИЕ ЗАТРАТАМИ ПРЕДПРИЯТИЯ, ИЗД.2</t>
  </si>
  <si>
    <t>Трубочкина М.И.</t>
  </si>
  <si>
    <t>978-5-16-003472-0</t>
  </si>
  <si>
    <t>Рекомендовано Советом Учебно-методического объединения вузов России по образованию в области менеджмента в качестве учебного пособия для студентов высших учебных заведений по специальности 0080507 Менеджмент организации</t>
  </si>
  <si>
    <t>666544.04.01</t>
  </si>
  <si>
    <t>Управление затратами: Уч.пос. / Ю.А.Хегай - М.:НИЦ ИНФРА-М, СФУ,2026. - 230 с.(ВО: Бакалавр.(СФУ))(П)</t>
  </si>
  <si>
    <t>УПРАВЛЕНИЕ ЗАТРАТАМИ, ИЗД.1</t>
  </si>
  <si>
    <t>Хегай Ю.А., Васильева З.А.</t>
  </si>
  <si>
    <t>978-5-16-013142-9</t>
  </si>
  <si>
    <t>38.00.00, 00.03.13</t>
  </si>
  <si>
    <t>Допущено УМО по образованию в области производственного менеджмента в качестве учебного пособия для студентов, обучающихся по специальности «Экономика и управление на предприятии транспорта»</t>
  </si>
  <si>
    <t>854577.02.01</t>
  </si>
  <si>
    <t>Управление знаниями и интеллектуальным капиталом: Уч. / Н.Р.Кельчевская - М.:НИЦ ИНФРА-М,2025. - 349 с.(ВО)(п)</t>
  </si>
  <si>
    <t>УПРАВЛЕНИЕ ЗНАНИЯМИ И ИНТЕЛЛЕКТУАЛЬНЫМ КАПИТАЛОМ, ИЗД.1</t>
  </si>
  <si>
    <t>978-5-16-021357-6</t>
  </si>
  <si>
    <t>38.03.01, 38.04.01, 38.04.02</t>
  </si>
  <si>
    <t>457450.07.01</t>
  </si>
  <si>
    <t>Управление и организация маркетинговой деят.: Уч. пос./Т.Н.Жукова - М:НИЦ ИНФРА-М,2023-197с. (п)</t>
  </si>
  <si>
    <t>УПРАВЛЕНИЕ И ОРГАНИЗАЦИЯ МАРКЕТИНГОВОЙ ДЕЯТЕЛЬНОСТИ, ИЗД.1</t>
  </si>
  <si>
    <t>Жукова Т. Н.</t>
  </si>
  <si>
    <t>978-5-16-009400-7</t>
  </si>
  <si>
    <t>Допущено УМО по образованию в области производственного менеджмента в качестве учебного пособия для студентов, обучающихся по направлению подготовки 080200 «Менеджмент» (профиль «Производственный менеджмент»)»</t>
  </si>
  <si>
    <t>799191.02.01</t>
  </si>
  <si>
    <t>Управление избыточностью технических систем: Моногр. / В.Н.Буков. - М.:НИЦ ИНФРА-М,2025. - 332 с.(П)</t>
  </si>
  <si>
    <t>УПРАВЛЕНИЕ ИЗБЫТОЧНОСТЬЮ ТЕХНИЧЕСКИХ СИСТЕМ. СУПЕРВИЗОРНЫЙ СПОСОБ УПРАВЛЕНИЯ КОНФИГУРАЦИЯМИ, ИЗД.1</t>
  </si>
  <si>
    <t>Буков В.Н., Агеев А.М., Евгенов А.В. и др.</t>
  </si>
  <si>
    <t>978-5-16-018286-5</t>
  </si>
  <si>
    <t>09.04.02, 09.04.04, 09.06.01, 11.05.01, 11.06.01, 24.05.05, 24.05.06, 24.06.01</t>
  </si>
  <si>
    <t>Научно-исследовательский институт авиационного оборудования</t>
  </si>
  <si>
    <t>709018.02.01</t>
  </si>
  <si>
    <t>Управление измен. и развит. науч. орг. на микроуровне / Мальцева А.А.-М.:НИЦ ИНФРА-М,2023.-304 с.(П)</t>
  </si>
  <si>
    <t>УПРАВЛЕНИЕ ИЗМЕНЕНИЯМИ И РАЗВИТИЕМ НАУЧНЫХ ОРГАНИЗАЦИЙ НА МИКРОУРОВНЕ: ПРОБЛЕМЫ И РЕШЕНИЯ, ИЗД.1</t>
  </si>
  <si>
    <t>Мальцева А.А., Монахов И.А., Барсукова Н.Е. и др.</t>
  </si>
  <si>
    <t>978-5-16-015579-1</t>
  </si>
  <si>
    <t>00.05.16, 38.04.01, 38.04.02, 38.06.01</t>
  </si>
  <si>
    <t>682622.03.01</t>
  </si>
  <si>
    <t>Управление изменениями в высшей школе: Моногр. / С.Д.Резник и др.-М.:НИЦ ИНФРА-М,2022.-388 с..-(Науч.мысль)(О)</t>
  </si>
  <si>
    <t>УПРАВЛЕНИЕ ИЗМЕНЕНИЯМИ В ВЫСШЕЙ ШКОЛЕ, ИЗД.1</t>
  </si>
  <si>
    <t>Резник С.Д., Амбарова П.А., Архипова М.Ю. и др.</t>
  </si>
  <si>
    <t>978-5-16-017148-7</t>
  </si>
  <si>
    <t>38.04.02, 44.04.01</t>
  </si>
  <si>
    <t>682622.05.01</t>
  </si>
  <si>
    <t>Управление изменениями в высшей школе: Моногр./ С.Д.Резник - М.:НИЦ ИНФРА-М,2024-388с(Науч.мысль)(П)</t>
  </si>
  <si>
    <t>978-5-16-013937-1</t>
  </si>
  <si>
    <t>678011.05.01</t>
  </si>
  <si>
    <t>Управление изменениями в совр. компаниях: Моногр. / С.Д.Резник.-М.:НИЦ ИНФРА-М,2023.-263 с.(Науч.мысль)(П)</t>
  </si>
  <si>
    <t>УПРАВЛЕНИЕ ИЗМЕНЕНИЯМИ В СОВРЕМЕННЫХ КОМПАНИЯХ, ИЗД.1</t>
  </si>
  <si>
    <t>Резник С.Д., Алмастян Н.А., Анискин Ю.П. и др.</t>
  </si>
  <si>
    <t>978-5-16-013722-3</t>
  </si>
  <si>
    <t>38.03.02, 38.04.01, 38.04.02, 38.04.04, 41.03.06</t>
  </si>
  <si>
    <t>488900.08.01</t>
  </si>
  <si>
    <t>Управление изменениями. Практикум...: Уч.пос. / С.Д.Резник - 3 изд.-М.:НИЦ ИНФРА-М,2024-210 с.(ВО)(П)</t>
  </si>
  <si>
    <t>УПРАВЛЕНИЕ ИЗМЕНЕНИЯМИ. ПРАКТИКУМ: ДЕЛОВЫЕ ИГРЫ, ТЕСТЫ, КОНКРЕТНЫЕ СИТУАЦИИ, ИЗД.3</t>
  </si>
  <si>
    <t>Резник С.Д., Черниковская М.В., Резник С.Д.</t>
  </si>
  <si>
    <t>978-5-16-018934-5</t>
  </si>
  <si>
    <t>Рекомендовано Советом Учебно-методического объединения вузов России по образованию в области менеджмента в качестве учебного пособия для обучающихся по программам высшего образования направлений подготовки 38.03.02 «Менеджмент», 38.03.03 «Управление персоналом» (квалификация (степень) «бакалавр»)</t>
  </si>
  <si>
    <t>488900.03.01</t>
  </si>
  <si>
    <t>Управление изменениями. Практикум..: Уч.пос. / С.Д.Резник и др. - 2 изд.-М:НИЦ ИНФРА-М,2018-210с(ВО)</t>
  </si>
  <si>
    <t>УПРАВЛЕНИЕ ИЗМЕНЕНИЯМИ. ПРАКТИКУМ: ДЕЛОВЫЕ ИГРЫ, ТЕСТЫ, КОНКРЕТНЫЕ СИТУАЦИИ, ИЗД.2</t>
  </si>
  <si>
    <t>978-5-16-011749-2</t>
  </si>
  <si>
    <t>488900.09.01</t>
  </si>
  <si>
    <t>Управление изменениями. Практикум: Уч.пос. / С.Д.Резник, - 4 изд. - М.:НИЦ ИНФРА-М,2025. - 193 с.(ВО)(п)</t>
  </si>
  <si>
    <t>УПРАВЛЕНИЕ ИЗМЕНЕНИЯМИ. ПРАКТИКУМ: ДЕЛОВЫЕ ИГРЫ, ТЕСТЫ, КОНКРЕТНЫЕ СИТУАЦИИ, ИЗД.4</t>
  </si>
  <si>
    <t>978-5-16-020132-0</t>
  </si>
  <si>
    <t>174700.13.01</t>
  </si>
  <si>
    <t>Управление изменениями: Уч. / О.В.Кожевина - 2 изд.-М.:НИЦ ИНФРА-М,2024-304с.(ВО:Бак.)(о)</t>
  </si>
  <si>
    <t>УПРАВЛЕНИЕ ИЗМЕНЕНИЯМИ, ИЗД.2</t>
  </si>
  <si>
    <t>Кожевина О.В.</t>
  </si>
  <si>
    <t>978-5-16-009813-5</t>
  </si>
  <si>
    <t>Рекомендовано Советом Учебно-методического объединения в качестве учебника для студентов высших учебных заведений, обучающихся по направлениям подготовки 38.03.02 «Менеджмент», 38.03.03 «Управление персоналом» (квалификация (степень) «бакалавр»)</t>
  </si>
  <si>
    <t>234300.05.01</t>
  </si>
  <si>
    <t>Управление изменениями: Уч. / Под ред. С.Д.Резника - 3 изд. - М.:НИЦ ИНФРА-М,2018 - 379 с.(ВО)(П)</t>
  </si>
  <si>
    <t>УПРАВЛЕНИЕ ИЗМЕНЕНИЯМИ, ИЗД.3</t>
  </si>
  <si>
    <t>Резник С.Д., Черниковская М.В., Чемезов И.С. и др.</t>
  </si>
  <si>
    <t>978-5-16-009076-4</t>
  </si>
  <si>
    <t>Рекомендовано Советом учебно-методического объединения вузов России по образованию в области менеджмента в качестве учебника для студентов высших учебных заведений, обучающихся по направлению 38.03.02 «Менеджмент» (квалификация (степень) «бакалавр»)</t>
  </si>
  <si>
    <t>802090.01.01</t>
  </si>
  <si>
    <t>Управление изменениями: Уч. / Р.Р.Хуссамов. - М.:НИЦ ИНФРА-М,2024. - 446 с.(ВО (Финанс. универ.))(п)</t>
  </si>
  <si>
    <t>УПРАВЛЕНИЕ ИЗМЕНЕНИЯМИ, ИЗД.1</t>
  </si>
  <si>
    <t>Хуссамов Р.Р., Трачук А.В., Линдер Н.В. и др.</t>
  </si>
  <si>
    <t>978-5-16-019564-3</t>
  </si>
  <si>
    <t>27.04.06, 38.03.02, 38.04.06, 41.03.06, 55.05.04</t>
  </si>
  <si>
    <t>234300.10.01</t>
  </si>
  <si>
    <t>Управление изменениями: Уч. / С.Д.Резник - 4 изд. - М.:НИЦ ИНФРА-М,2024 - 379 с.(ВО: Бакалавр.)(П)</t>
  </si>
  <si>
    <t>УПРАВЛЕНИЕ ИЗМЕНЕНИЯМИ, ИЗД.4</t>
  </si>
  <si>
    <t>978-5-16-015901-0</t>
  </si>
  <si>
    <t>234300.11.01</t>
  </si>
  <si>
    <t>Управление изменениями: Уч. / С.Д.Резник и др. - 5 изд. - М.:НИЦ ИНФРА-М,2025. - 371 с.(ВО)(п)</t>
  </si>
  <si>
    <t>УПРАВЛЕНИЕ ИЗМЕНЕНИЯМИ, ИЗД.5</t>
  </si>
  <si>
    <t>Резник С.Д., Чемезов И.С., Черниковская М.В. и др.</t>
  </si>
  <si>
    <t>978-5-16-020070-5</t>
  </si>
  <si>
    <t>737217.01.01</t>
  </si>
  <si>
    <t>Управление изменениями: Уч.пос. / Т.А.Лачинина - М.:НИЦ ИНФРА-М,2025. - 259 с.(ВО)(п)</t>
  </si>
  <si>
    <t>Лачинина Т.А.</t>
  </si>
  <si>
    <t>978-5-16-017520-1</t>
  </si>
  <si>
    <t>27.04.06, 38.03.02, 38.04.02, 38.04.06, 41.03.06</t>
  </si>
  <si>
    <t>100780.07.01</t>
  </si>
  <si>
    <t>Управление инвестиц. деят. в регионах РФ: Моногр. / О.Ф.Быстров.-М.:НИЦ ИНФРА-М,2022.-357 с.(Науч.мысль)(П)</t>
  </si>
  <si>
    <t>УПРАВЛЕНИЕ ИНВЕСТИЦИОННОЙ ДЕЯТЕЛЬНОСТЬЮ В РЕГИОНАХ РОССИЙСКОЙ ФЕДЕРАЦИИ, ИЗД.1</t>
  </si>
  <si>
    <t>Быстров О. Ф., Поздняков В. Я., Прудников В. М., Перцов В. В., Казаков С. В.</t>
  </si>
  <si>
    <t>978-5-16-003075-3</t>
  </si>
  <si>
    <t>636792.09.01</t>
  </si>
  <si>
    <t>Управление инвестиц. привлекательностью орг.: Уч. / Г.Д.Антонов - М.:НИЦ ИНФРА-М,2026 - 223 с.(ВО)(П)</t>
  </si>
  <si>
    <t>УПРАВЛЕНИЕ ИНВЕСТИЦИОННОЙ ПРИВЛЕКАТЕЛЬНОСТЬЮ ОРГАНИЗАЦИИ, ИЗД.1</t>
  </si>
  <si>
    <t>978-5-16-021712-3</t>
  </si>
  <si>
    <t>Допущено УМО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студентов технологических направлений и специальностей в части их экономико-организационной и управленческой подготовки</t>
  </si>
  <si>
    <t>795896.02.01</t>
  </si>
  <si>
    <t>Управление инновационной деятельностью: Уч.пос. / А.В.Вершков-М.:НИЦ ИНФРА-М,2023.-166 с.(ВО)(п)</t>
  </si>
  <si>
    <t>УПРАВЛЕНИЕ ИННОВАЦИОННОЙ ДЕЯТЕЛЬНОСТЬЮ, ИЗД.1</t>
  </si>
  <si>
    <t>Вершков А.В., Москалев А.К.</t>
  </si>
  <si>
    <t>978-5-16-018087-8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</si>
  <si>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27.03.05 «Инноватика» (квалификация (степень) «бакалавр») (протокол № 7 от 21.09.2022)</t>
  </si>
  <si>
    <t>078150.17.01</t>
  </si>
  <si>
    <t>Управление инновационными проектами: Уч.пос. / Под ред.Попова В.Л. -М.:НИЦ ИНФРА-М, 2024-336с(ВО)(П)</t>
  </si>
  <si>
    <t>УПРАВЛЕНИЕ ИННОВАЦИОННЫМИ ПРОЕКТАМИ, ИЗД.1</t>
  </si>
  <si>
    <t>Попов В.Л., Кремлев Н.Д., Ковшов В.С. и др.</t>
  </si>
  <si>
    <t>978-5-16-010105-7</t>
  </si>
  <si>
    <t>801688.01.01</t>
  </si>
  <si>
    <t>Управление инновациями и интеллект. собственностью: Моногр. / К.Б.Герасимов-М.:НИЦ ИНФРА-М,2023.-226 с.(п)</t>
  </si>
  <si>
    <t>УПРАВЛЕНИЕ ИННОВАЦИЯМИ И ИНТЕЛЛЕКТУАЛЬНОЙ СОБСТВЕННОСТЬЮ, ИЗД.1</t>
  </si>
  <si>
    <t>Герасимов К.Б., Шиханова Е.Г., Шкодина Е.С.</t>
  </si>
  <si>
    <t>978-5-16-018643-6</t>
  </si>
  <si>
    <t>11.04.01, 14.03.02, 22.04.02, 27.04.03, 27.04.06, 38.04.02</t>
  </si>
  <si>
    <t>694000.08.01</t>
  </si>
  <si>
    <t>Управление инновациями. Метод. инструментарий: Уч. / В.В.Артяков - 2 изд.- М.:НИЦ ИНФРА-М,2025 - 296 с.(ВО)(п)</t>
  </si>
  <si>
    <t>УПРАВЛЕНИЕ ИННОВАЦИЯМИ. МЕТОДОЛОГИЧЕСКИЙ ИНСТРУМЕНТАРИЙ, ИЗД.2</t>
  </si>
  <si>
    <t>Артяков В.В., Чурсин А.А., Островская А.А.</t>
  </si>
  <si>
    <t>978-5-16-019241-3</t>
  </si>
  <si>
    <t>27.04.05, 27.04.06, 27.04.07, 38.04.01, 38.04.02</t>
  </si>
  <si>
    <t>694000.05.01</t>
  </si>
  <si>
    <t>Управление инновациями. Метод. инструментарий: Уч. / В.В.Артяков - М.:НИЦ ИНФРА-М,2023-206с(ВО)(П)</t>
  </si>
  <si>
    <t>УПРАВЛЕНИЕ ИННОВАЦИЯМИ. МЕТОДОЛОГИЧЕСКИЙ ИНСТРУМЕНТАРИЙ, ИЗД.1</t>
  </si>
  <si>
    <t>978-5-16-014965-3</t>
  </si>
  <si>
    <t>770330.02.01</t>
  </si>
  <si>
    <t>Управление инновациями: Уч. / А.А.Чурсин-М.:НИЦ ИНФРА-М,2024.-331 с.(ВО)(п)</t>
  </si>
  <si>
    <t>УПРАВЛЕНИЕ ИННОВАЦИЯМИ, ИЗД.1</t>
  </si>
  <si>
    <t>Чурсин А.А., Абуева М.М.</t>
  </si>
  <si>
    <t>978-5-16-017566-9</t>
  </si>
  <si>
    <t>27.03.02, 27.03.05, 38.03.01</t>
  </si>
  <si>
    <t>297100.08.01</t>
  </si>
  <si>
    <t>Управление интеллектуал. капиталом развив. комп.: Уч. пос. / Н.Н.Шаш - М: Магистр: ИНФРА-М, 2026 - 368с</t>
  </si>
  <si>
    <t>УПРАВЛЕНИЕ ИНТЕЛЛЕКТУАЛЬНЫМ КАПИТАЛОМ РАЗВИВАЮЩЕЙСЯ КОМПАНИИ, ИЗД.1</t>
  </si>
  <si>
    <t>Шаш Н. Н.</t>
  </si>
  <si>
    <t>978-5-9776-0330-0</t>
  </si>
  <si>
    <t>652162.04.01</t>
  </si>
  <si>
    <t>Управление информ.взаимод. в распред. тех.: Моногр. / Ю.К.Апраксин-М.:Вуз.уч.,НИЦ ИНФРА-М,2023-184 с.(О)</t>
  </si>
  <si>
    <t>УПРАВЛЕНИЕ ИНФОРМАЦИОННЫМ ВЗАИМОДЕЙСТВИЕМ В РАСПРЕДЕЛЕННЫХ ТЕХНИЧЕСКИХ СИСТЕМАХ. КОНЕЧНО-АВТОМАТНЫЙ ПОДХОД, ИЗД.1</t>
  </si>
  <si>
    <t>Апраксин Ю.К.</t>
  </si>
  <si>
    <t>978-5-9558-0554-2</t>
  </si>
  <si>
    <t>02.03.02, 09.03.04, 09.04.01, 15.03.04, 27.03.04</t>
  </si>
  <si>
    <t>149800.09.01</t>
  </si>
  <si>
    <t>Управление информацией и знаниями в компании: Уч. / С.Н.Селетков-М.:НИЦ ИНФРА-М,2024.-208 с.(ВО)(п)</t>
  </si>
  <si>
    <t>УПРАВЛЕНИЕ ИНФОРМАЦИЕЙ И ЗНАНИЯМИ В КОМПАНИИ, ИЗД.1</t>
  </si>
  <si>
    <t>Селетков С.Н., Днепровская Н.В.</t>
  </si>
  <si>
    <t>978-5-16-004842-0</t>
  </si>
  <si>
    <t>01.03.02, 01.04.02, 02.03.01, 02.03.02, 02.04.01, 02.04.02, 03.03.02, 04.03.02, 09.03.03, 09.03.04, 09.04.03, 38.03.01, 38.03.05, 38.04.05</t>
  </si>
  <si>
    <t>Рекомендовано Учебно-методическим объединением по образованию в области прикладной информатики в качестве учебника для студентов высших учебных заведений, обучающихся по направлению подготовки 09.03.03 «Прикладная информатика (по областям)» (квалификация (степень) «бакалавр») и другим экономическим специальностям</t>
  </si>
  <si>
    <t>800670.03.01</t>
  </si>
  <si>
    <t>Управление ИТ-архитектурой организации: Т. 2 / Р.А.Исаев-М.:НИЦ ИНФРА-М,2025.-135 с.(О)</t>
  </si>
  <si>
    <t>УПРАВЛЕНИЕ ИТ-АРХИТЕКТУРОЙ ОРГАНИЗАЦИИ: ПРОЕКТИРОВАНИЕ, АНАЛИЗ, ОПТИМИЗАЦИЯ И ТРАНСФОРМАЦИЯ. ТОМ 2, ИЗД.1</t>
  </si>
  <si>
    <t>978-5-16-018298-8</t>
  </si>
  <si>
    <t>02.03.02, 09.04.02, 09.04.03, 38.04.01, 38.04.02, 38.04.05</t>
  </si>
  <si>
    <t>461950.07.01</t>
  </si>
  <si>
    <t>Управление кадр.резервом: теор.и практ.: Моногр. / К.Б.Фокин - М.:НИЦ ИНФРА-М,2024-277с(Науч.мысль)</t>
  </si>
  <si>
    <t>УПРАВЛЕНИЕ КАДРОВЫМ РЕЗЕРВОМ: ТЕОРИЯ И ПРАКТИКА, ИЗД.1</t>
  </si>
  <si>
    <t>Фокин К. Б.</t>
  </si>
  <si>
    <t>978-5-16-009541-7</t>
  </si>
  <si>
    <t>Сибирский государственный индустриальный университет</t>
  </si>
  <si>
    <t>053300.12.01</t>
  </si>
  <si>
    <t>Управление кафедрой: Уч. / С.Д.Резник - 4 изд. - М.:НИЦ ИНФРА-М,2018-400с.(Менеджм.в высшей шк.)(П)</t>
  </si>
  <si>
    <t>УПРАВЛЕНИЕ КАФЕДРОЙ, ИЗД.4</t>
  </si>
  <si>
    <t>978-5-16-010584-0</t>
  </si>
  <si>
    <t>38.04.02, 44.06.01</t>
  </si>
  <si>
    <t>Рекомендовано Министерством образования РФ в качестве учебника для системы дополнительного образования - повышения квалификации руководящих кадров высших учебных заведений</t>
  </si>
  <si>
    <t>053300.17.01</t>
  </si>
  <si>
    <t>Управление кафедрой: Уч. / С.Д.Резник, - 5 изд.-М.:НИЦ ИНФРА-М,2019.-409с.(Менеджм. в высшей шк.)(П)</t>
  </si>
  <si>
    <t>УПРАВЛЕНИЕ КАФЕДРОЙ, ИЗД.5</t>
  </si>
  <si>
    <t>978-5-16-015088-8</t>
  </si>
  <si>
    <t>Рекомендовано Министерством образования Российской Федерации в качестве учебника для системы дополнительного образования — повышения квалификации руководящих кадров высших учебных заведений</t>
  </si>
  <si>
    <t>053300.19.01</t>
  </si>
  <si>
    <t>Управление кафедрой: Уч. / С.Д.Резник, - 6 изд. - М.:НИЦ ИНФРА-М,2026. - 421 с.(Менеджмент в высшей школе)(п)</t>
  </si>
  <si>
    <t>УПРАВЛЕНИЕ КАФЕДРОЙ, ИЗД.6</t>
  </si>
  <si>
    <t>978-5-16-021460-3</t>
  </si>
  <si>
    <t>0626</t>
  </si>
  <si>
    <t>388700.04.01</t>
  </si>
  <si>
    <t>Управление качеством в процессе произв.: Уч.пос./Г.Н.Зайцев-М.:ИЦ РИОР,НИЦ ИНФРА-М,2021-164с.(ВО)(о)</t>
  </si>
  <si>
    <t>УПРАВЛЕНИЕ КАЧЕСТВОМ В ПРОЦЕССЕ ПРОИЗВОДСТВА, ИЗД.1</t>
  </si>
  <si>
    <t>Зайцев Г.Н.</t>
  </si>
  <si>
    <t>978-5-369-01501-8</t>
  </si>
  <si>
    <t>20.03.02, 27.03.01, 27.04.05, 28.03.02, 29.03.03, 38.03.02</t>
  </si>
  <si>
    <t>Допущено УМО по образованию в области производственного менеджмента в качестве учебного пособия для студентов, обучающихся по направлению подготовки «Менеджмент» (профиль «Производственный менеджмент») и по магистерской программе «Управление качеством и конкурентноспособностью» со специализацией «Управление качеством промышленной продукции»</t>
  </si>
  <si>
    <t>274000.07.01</t>
  </si>
  <si>
    <t>Управление качеством информац. сис.: Уч.пос. / Г.Н.Исаев - М.:НИЦ ИНФРА-М,2024-248 с.(ВО: Бакалавр.)(П)</t>
  </si>
  <si>
    <t>УПРАВЛЕНИЕ КАЧЕСТВОМ ИНФОРМАЦИОННЫХ СИСТЕМ, ИЗД.1</t>
  </si>
  <si>
    <t>Исаев Г.Н.</t>
  </si>
  <si>
    <t>978-5-16-011794-2</t>
  </si>
  <si>
    <t>09.03.01, 09.03.02, 09.04.02</t>
  </si>
  <si>
    <t>Рекомендовано в качестве учебного пособия для студентов высших учебных заведений, обучающихся по направлению подготовки 09.03.02 «Информационные системы и технологии» (квалификация (степень) «бакалавр»)</t>
  </si>
  <si>
    <t>719807.03.01</t>
  </si>
  <si>
    <t>Управление качеством информационных систем: Уч.пос. / Г.Н.Исаев-М.:НИЦ ИНФРА-М,2023.-248 с.(СПО)(П)</t>
  </si>
  <si>
    <t>978-5-16-015650-7</t>
  </si>
  <si>
    <t>09.01.05, 09.02.01, 09.02.02, 09.02.03, 09.02.04, 09.02.05, 09.02.06, 09.02.07</t>
  </si>
  <si>
    <t>411600.10.01</t>
  </si>
  <si>
    <t>Управление качеством на предприят. пищевой..: Уч. / Под ред. В.М.Позняковского - 3 изд. - ИНФРА-М,2026 - 336 с.(П)</t>
  </si>
  <si>
    <t>УПРАВЛЕНИЕ КАЧЕСТВОМ НА ПРЕДПРИЯТИЯХ ПИЩЕВОЙ, ПЕРЕРАБАТЫВАЮЩЕЙ ПРОМЫШЛЕННОСТИ, ТОРГОВЛИ И ОБЩЕСТВЕННОГО ПИТАНИЯ, ИЗД.3</t>
  </si>
  <si>
    <t>Сурков И. В., Кантере В. М., Ермолаева Е. О., Позняковский В. М.</t>
  </si>
  <si>
    <t>978-5-16-006184-9</t>
  </si>
  <si>
    <t>Допущено УМО по образованию в области прикладной математики и управления качеством в качестве учебника для студентов высших учебных заведений, обучающихся по направлениям подготовки 221400 «Управление качеством»; 100800 «Товароведение», 260800 «Техно</t>
  </si>
  <si>
    <t>776423.01.01</t>
  </si>
  <si>
    <t>Управление качеством на предприятиях ОПК...: Моногр. / В.Я.Савицкий. - М.:НИЦ ИНФРА-М,2026. - 173 с.(о)</t>
  </si>
  <si>
    <t>УПРАВЛЕНИЕ КАЧЕСТВОМ НА ПРЕДПРИЯТИЯХ ОПК В УСЛОВИЯХ ГЕОПОЛИТИЧЕСКИХ ВЫЗОВОВ, ИЗД.1</t>
  </si>
  <si>
    <t>Савицкий В.Я., Голубинский Ю.М., Григорян Е.С.</t>
  </si>
  <si>
    <t>978-5-16-020815-2</t>
  </si>
  <si>
    <t>15.04.01, 15.06.01, 27.04.02, 27.04.07, 27.06.01, 38.04.01, 38.04.02, 38.06.01</t>
  </si>
  <si>
    <t>800501.01.01</t>
  </si>
  <si>
    <t>Управление качеством науч.-педагогич. деят. в высшей шк.: Моногр. / С.Ф.Остапюк - М.:НИЦ ИНФРА-М,2025. - 186 с.(о)</t>
  </si>
  <si>
    <t>УПРАВЛЕНИЕ КАЧЕСТВОМ НАУЧНО-ПЕДАГОГИЧЕСКОЙ ДЕЯТЕЛЬНОСТИ В ВЫСШЕЙ ШКОЛЕ: ПРОБЛЕМЫ И РЕШЕНИЯ, ИЗД.1</t>
  </si>
  <si>
    <t>Остапюк С.Ф., Куприянова Л.М.</t>
  </si>
  <si>
    <t>978-5-16-020049-1</t>
  </si>
  <si>
    <t>720383.03.01</t>
  </si>
  <si>
    <t>Управление качеством программного обесп.: Уч. / Б.В.Черников - М.:ИД ФОРУМ, НИЦ ИНФРА-М,2022 - 240с(СПО)(п)</t>
  </si>
  <si>
    <t>УПРАВЛЕНИЕ КАЧЕСТВОМ ПРОГРАММНОГО ОБЕСПЕЧЕНИЯ, ИЗД.1</t>
  </si>
  <si>
    <t>978-5-8199-0902-7</t>
  </si>
  <si>
    <t>700916.02.01</t>
  </si>
  <si>
    <t>Управление качеством чел. ресурсов вуза: Моногр./ Ю.А.Масалова-М.:НИЦ ИНФРА-М, 2023-177 с.(О)</t>
  </si>
  <si>
    <t>УПРАВЛЕНИЕ КАЧЕСТВОМ ЧЕЛОВЕЧЕСКИХ РЕСУРСОВ ВУЗА, ИЗД.1</t>
  </si>
  <si>
    <t>978-5-16-014876-2</t>
  </si>
  <si>
    <t>400500.10.01</t>
  </si>
  <si>
    <t>Управление качеством. Практ.: Уч.пос. / Б.Н.Герасимов - М.:Вуз. уч., НИЦ ИНФРА-М,2026. - 208 с.(П)</t>
  </si>
  <si>
    <t>УПРАВЛЕНИЕ КАЧЕСТВОМ. ПРАКТИКУМ, ИЗД.1</t>
  </si>
  <si>
    <t>Герасимов Б.Н., Чуриков Ю.В.</t>
  </si>
  <si>
    <t>978-5-9558-0228-2</t>
  </si>
  <si>
    <t>38.03.01, 38.03.02, 38.03.03, 38.03.04, 38.04.02</t>
  </si>
  <si>
    <t>719234.02.01</t>
  </si>
  <si>
    <t>Управление качеством. Практ.: Уч.пос. / Б.Н.Герасимов - М.:Вуз.уч., НИЦ ИНФРА-М,2026 - 208 с.(СПО)(П)</t>
  </si>
  <si>
    <t>Герасимов Б. Н., Чуриков Ю. В.</t>
  </si>
  <si>
    <t>978-5-9558-0635-8</t>
  </si>
  <si>
    <t>15.02.16, 38.02.01, 38.02.02, 38.02.03, 38.02.06, 38.02.08</t>
  </si>
  <si>
    <t>451850.05.01</t>
  </si>
  <si>
    <t>Управление качеством: качество жизни: Уч. пос. / Б.И.Герасимов - М.: Форум: ИНФРА-М, 2024-304с.(ВО) (о)</t>
  </si>
  <si>
    <t>УПРАВЛЕНИЕ КАЧЕСТВОМ: КАЧЕСТВО ЖИЗНИ, ИЗД.1</t>
  </si>
  <si>
    <t>Герасимов Б. И., Сизикин А. Ю., Спиридонов С. П., Герасимова Е. Б.</t>
  </si>
  <si>
    <t>978-5-91134-817-5</t>
  </si>
  <si>
    <t>27.03.01, 27.03.02, 27.04.01, 27.04.02</t>
  </si>
  <si>
    <t>Рекомендовано Федеральным государственным унитарным предприятием «Российский научно-технический центр информации по стандартизации, метрологии и оценке соответствия» (ФГУП «СТАНДАРТИНФОРМ») в качестве учебного пособия для студентов образовательных уч</t>
  </si>
  <si>
    <t>445950.06.01</t>
  </si>
  <si>
    <t>Управление качеством: проектир.: Уч. пос. /Б.И.Герасимов - М.: Форум:  НИЦ ИНФРА-М, 2024-176с.(СПО) (о)</t>
  </si>
  <si>
    <t>УПРАВЛЕНИЕ КАЧЕСТВОМ: ПРОЕКТИРОВАНИЕ, ИЗД.1</t>
  </si>
  <si>
    <t>Герасимов Б.И., Сизикин А.Ю., Герасимова Е.Б.</t>
  </si>
  <si>
    <t>978-5-91134-780-2</t>
  </si>
  <si>
    <t>15.02.16, 27.02.01, 27.02.02, 27.02.03, 27.02.04, 27.02.05, 35.02.18</t>
  </si>
  <si>
    <t>500130.04.01</t>
  </si>
  <si>
    <t>Управление качеством: резервы и механизмы: Уч.пос. / Б.И.Герасимов-М.:Форум, НИЦ ИНФРА-М,2024.-240 с.(ВО)(о)</t>
  </si>
  <si>
    <t>УПРАВЛЕНИЕ КАЧЕСТВОМ: РЕЗЕРВЫ И МЕХАНИЗМЫ, ИЗД.1</t>
  </si>
  <si>
    <t>978-5-00091-675-9</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</si>
  <si>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27.03.00 «Управление в технических системах» (квалификация (степень) «бакалавр»)</t>
  </si>
  <si>
    <t>429450.04.01</t>
  </si>
  <si>
    <t>Управление качеством: самооценка: Уч.пос. / Б.И.Герасимов.-М.:Форум, НИЦ ИНФРА-М,2023.-176 с.(О)</t>
  </si>
  <si>
    <t>УПРАВЛЕНИЕ КАЧЕСТВОМ: САМООЦЕНКА, ИЗД.1</t>
  </si>
  <si>
    <t>Герасимов Б.И., Сизикин А.Ю., Герасимова Е.Б. и др.</t>
  </si>
  <si>
    <t>Профессиональное образование. Бакалавриат</t>
  </si>
  <si>
    <t>978-5-91134-735-2</t>
  </si>
  <si>
    <t>15.02.16, 27.02.01, 27.02.02, 35.02.18</t>
  </si>
  <si>
    <t>022496.25.01</t>
  </si>
  <si>
    <t>Управление качеством: Уч. / Л.Е.Басовский - 3 изд. - М.: НИЦ ИНФРА-М, 2025 - 231 с.(ВО: Бакалавр.)(П)</t>
  </si>
  <si>
    <t>УПРАВЛЕНИЕ КАЧЕСТВОМ, ИЗД.3</t>
  </si>
  <si>
    <t>Басовский Л.Е., Протасьев В.Б.</t>
  </si>
  <si>
    <t>978-5-16-011847-5</t>
  </si>
  <si>
    <t>15.04.01, 22.04.02, 27.03.01, 27.03.02, 27.04.05, 38.03.01, 38.03.02, 38.04.01, 38.04.02, 44.03.01</t>
  </si>
  <si>
    <t>Рекомендовано в качестве учебника для студентов высших учебных заведений, обучающихся по направлению подготовки 38.03.02 «Менеджмент»(квалификация (степень) «бакалавр»)</t>
  </si>
  <si>
    <t>719235.07.01</t>
  </si>
  <si>
    <t>Управление качеством: Уч. / Л.Е.Басовский - 3 изд. - М.:НИЦ ИНФРА-М,2026 - 231 с.-(СПО)(П)</t>
  </si>
  <si>
    <t>978-5-16-015607-1</t>
  </si>
  <si>
    <t>15.02.16, 23.02.01, 23.02.04, 23.02.07, 26.02.04, 27.02.07, 38.02.01, 38.02.03, 38.02.06, 38.02.08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</si>
  <si>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техническим, управленческим и экономическим специальностям (протокол № 12 от 24.06.2019)</t>
  </si>
  <si>
    <t>047750.22.01</t>
  </si>
  <si>
    <t>Управление качеством: Уч. / О.В.Аристов - 2 изд. - М.:НИЦ ИНФРА-М,2026 - 224 с.-(ВО: Бакалавриат)(п)</t>
  </si>
  <si>
    <t>УПРАВЛЕНИЕ КАЧЕСТВОМ, ИЗД.2</t>
  </si>
  <si>
    <t>Аристов О.В.</t>
  </si>
  <si>
    <t>978-5-16-016093-1</t>
  </si>
  <si>
    <t>08.02.14, 26.02.02, 38.03.02, 38.04.02</t>
  </si>
  <si>
    <t>Допущено Мин. обр. и науки РФ в качестве учебника для студентов вузов, обучающихся по специальности "Менеджмент организации"</t>
  </si>
  <si>
    <t>133250.09.01</t>
  </si>
  <si>
    <t>Управление качеством: Уч. пос. / В.А. Разумов. - М.: ИНФРА-М, 2025. - 208 с. + CD-ROM.(ВО) (п+CD)</t>
  </si>
  <si>
    <t>УПРАВЛЕНИЕ КАЧЕСТВОМ, ИЗД.1</t>
  </si>
  <si>
    <t>Разумов В. А.</t>
  </si>
  <si>
    <t>978-5-16-003830-8</t>
  </si>
  <si>
    <t>316900.07.01</t>
  </si>
  <si>
    <t>Управление качеством: Уч.пос. / А.М.Елохов, - 2 изд.-М.:НИЦ ИНФРА-М,2024.-334 с.(ВО)(п)</t>
  </si>
  <si>
    <t>Елохов А.М.</t>
  </si>
  <si>
    <t>978-5-16-019107-2</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</si>
  <si>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t>
  </si>
  <si>
    <t>154250.08.01</t>
  </si>
  <si>
    <t>Управление качеством: Уч.пос. / В.Е. Магер - М.: ИНФРА-М,2021 - 176 с. (ВО) (п)</t>
  </si>
  <si>
    <t>Магер В.Е.</t>
  </si>
  <si>
    <t>978-5-16-004764-5</t>
  </si>
  <si>
    <t>27.03.01, 27.03.03, 27.04.03</t>
  </si>
  <si>
    <t>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220100 - "Системный анализ и управление"</t>
  </si>
  <si>
    <t>720762.04.01</t>
  </si>
  <si>
    <t>Управление качеством: Уч.пос. / В.Е.Магер - М.:НИЦ ИНФРА-М,2026 - 176 с.-(СПО)(П)</t>
  </si>
  <si>
    <t>978-5-16-014612-6</t>
  </si>
  <si>
    <t>27.02.01, 27.02.02, 27.02.03, 27.02.04, 27.02.05, 27.02.06, 27.02.07, 38.02.01, 38.02.02, 38.02.03, 38.02.06, 38.02.07, 38.02.08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</si>
  <si>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27.02.00 «Управление в технических системах», 38.02.00 «Экономика и управление» (протокол № 12 от 24.06.2019)</t>
  </si>
  <si>
    <t>086010.14.01</t>
  </si>
  <si>
    <t>Управление качеством: Уч.пос. / Под ред. Герасимова Б.И., - 4 изд. - М.:НИЦ ИНФРА-М,2027. - 217 с.(СПО)(п)</t>
  </si>
  <si>
    <t>УПРАВЛЕНИЕ КАЧЕСТВОМ, ИЗД.4</t>
  </si>
  <si>
    <t>Герасимова Е.Б., Герасимов Б.И., Сизикин А.Ю. и др.</t>
  </si>
  <si>
    <t>978-5-16-022089-5</t>
  </si>
  <si>
    <t>12.02.03, 15.02.16, 18.02.04, 18.02.09, 18.02.13, 19.01.19, 19.02.12, 19.02.13, 26.02.02, 27.02.07, 35.02.18, 38.02.01, 38.02.02, 38.02.03, 38.02.06, 38.02.07, 38.02.08</t>
  </si>
  <si>
    <t>654652.07.01</t>
  </si>
  <si>
    <t>Управление компетенциями персонала: Уч. / О.Л.Чуланова - М.:НИЦ ИНФРА-М,2024 - 232 с.(ВО:Магистр.)(П)</t>
  </si>
  <si>
    <t>УПРАВЛЕНИЕ КОМПЕТЕНЦИЯМИ, ИЗД.1</t>
  </si>
  <si>
    <t>978-5-16-013567-0</t>
  </si>
  <si>
    <t>38.03.02, 38.03.03, 38.03.04, 38.04.01, 38.04.02, 38.04.03, 38.04.04</t>
  </si>
  <si>
    <t>Рекомендовано в качестве учебника для студентов высших учебных заведений, обучающихся по направлениям подготовки 38.04.03 «Управление персоналом», 38.04.02 «Менеджмент», 38.04.01 «Экономика» (квалификация (степень) «магистр»)</t>
  </si>
  <si>
    <t>158850.15.01</t>
  </si>
  <si>
    <t>Управление конкурентоспособ. орг.: Уч. / Г.Д.Антонов - 2 изд. - М.:НИЦ ИНФРА-М,2025 - 300 с.(ВО)(П)</t>
  </si>
  <si>
    <t>УПРАВЛЕНИЕ КОНКУРЕНТОСПОСОБНОСТЬЮ ОРГАНИЗАЦИИ, ИЗД.2</t>
  </si>
  <si>
    <t>Антонов Г.Д., Иванова О.П., Тумин В.М.</t>
  </si>
  <si>
    <t>978-5-16-020502-1</t>
  </si>
  <si>
    <t>Рекомендовано Учебно-методическим объединением вузов России по образованию в области производственного менеджмента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студентов технологических направлений и специальностей в части их экономико-организационной и управленческой подготовки</t>
  </si>
  <si>
    <t>158850.10.01</t>
  </si>
  <si>
    <t>Управление конкурентоспособностью организации: Уч. пос./ Г.Д. Антонов - М.: ИНФРА-М, 2023. - 300 с. (П)</t>
  </si>
  <si>
    <t>УПРАВЛЕНИЕ КОНКУРЕНТОСПОСОБНОСТЬЮ ОРГАНИЗАЦИИ, ИЗД.1</t>
  </si>
  <si>
    <t>Антонов Г. Д., Тумин В. М., Иванова О. П.</t>
  </si>
  <si>
    <t>978-5-16-004963-2</t>
  </si>
  <si>
    <t>Допущено Учебно-методическим объединением по образованию в области производственного менеджмента в качестве учебного пособия для студентов, обучающихся по специальности "Экономика и управление на предприятии (по отраслям)"</t>
  </si>
  <si>
    <t>698027.03.01</t>
  </si>
  <si>
    <t>Управление конкурентоспособностью продукции: Уч. / А.А.Островская, - 2 изд. - М.:НИЦ ИНФРА-М,2025. - 292 с.(ВО)(п)</t>
  </si>
  <si>
    <t>УПРАВЛЕНИЕ КОНКУРЕНТОСПОСОБНОСТЬЮ ПРОДУКЦИИ, ИЗД.2</t>
  </si>
  <si>
    <t>978-5-16-020525-0</t>
  </si>
  <si>
    <t>27.04.05, 38.04.01, 38.04.02, 38.04.06, 43.04.01</t>
  </si>
  <si>
    <t>698027.02.01</t>
  </si>
  <si>
    <t>Управление конкурентоспособностью продукции: Уч. / А.Е.Тюлин - М.:НИЦ ИНФРА-М,2022-215 с.-(ВО: Магистратура)(П)</t>
  </si>
  <si>
    <t>УПРАВЛЕНИЕ КОНКУРЕНТОСПОСОБНОСТЬЮ ПРОДУКЦИИ, ИЗД.1</t>
  </si>
  <si>
    <t>Тюлин А.Е., Чурсин А.А.</t>
  </si>
  <si>
    <t>978-5-16-016101-3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</si>
  <si>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38.04.02 «Менеджмент» и 38.04.01 «Экономика» (квалификация (степень) «магистр») (протокол № 7 от 08.06.2020)</t>
  </si>
  <si>
    <t>684228.06.01</t>
  </si>
  <si>
    <t>Управление контентом. Практикум: Уч.пос. / В.А.Цупин - М.:НИЦ ИНФРА-М,2026. - 211 с.-(ВО)(П)</t>
  </si>
  <si>
    <t>УПРАВЛЕНИЕ КОНТЕНТОМ. ПРАКТИКУМ, ИЗД.1</t>
  </si>
  <si>
    <t>Цупин В.А., Ниматулаев М.М.</t>
  </si>
  <si>
    <t>978-5-16-016493-9</t>
  </si>
  <si>
    <t>09.03.01, 09.03.02, 09.03.03, 09.04.01, 09.04.02, 09.04.03, 10.03.01, 10.04.01, 38.03.05, 38.04.05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</si>
  <si>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специальностей и направлений 38.03.00 «Экономика и управление», 09.03.00 «Информатика и вычислительная техника» (протокол № 10 от 27.05.2019)</t>
  </si>
  <si>
    <t>168750.09.01</t>
  </si>
  <si>
    <t>Управление кризисом: Уч. пос. / М.А. Сажина. - М.: ИД ФОРУМ:  ИНФРА-М, 2027. - 255 с.(ВО) (п)</t>
  </si>
  <si>
    <t>УПРАВЛЕНИЕ КРИЗИСОМ, ИЗД.1</t>
  </si>
  <si>
    <t>978-5-8199-0493-0</t>
  </si>
  <si>
    <t>38.03.01, 38.03.02, 38.03.04, 38.03.06, 38.04.01, 38.04.02, 38.04.04, 38.04.06, 38.04.08, 38.05.01, 44.03.01</t>
  </si>
  <si>
    <t>181300.07.01</t>
  </si>
  <si>
    <t>Управление ликвид. в рос. комм. банке: Уч. пос. / В.В.Астрелина - ИД ФОРУМ:НИЦ Инфра-М, 2026 - 176 с. (п)</t>
  </si>
  <si>
    <t>УПРАВЛЕНИЕ ЛИКВИДНОСТЬЮ В РОССИЙСКОМ КОММЕРЧЕСКОМ БАНКЕ, ИЗД.1</t>
  </si>
  <si>
    <t>Астрелина В. В., Бондарчук П. К., Шальнов П. С.</t>
  </si>
  <si>
    <t>978-5-8199-0508-1</t>
  </si>
  <si>
    <t>Газпромбанк</t>
  </si>
  <si>
    <t>177350.09.01</t>
  </si>
  <si>
    <t>Управление малым бизнесом: Уч. пос. / Под общ. ред. В.Д.Свирчевского - М.: НИЦ ИНФРА-М, 2025 - 256 с.(ВО) (п)</t>
  </si>
  <si>
    <t>УПРАВЛЕНИЕ МАЛЫМ БИЗНЕСОМ, ИЗД.1</t>
  </si>
  <si>
    <t>Абрамова А. А., Болкина Г. И., Буриков А. Д., Гарнов А. П., Свирчевский В. Д.</t>
  </si>
  <si>
    <t>978-5-16-005057-7</t>
  </si>
  <si>
    <t>38.03.01, 38.03.02, 38.03.03, 38.03.05, 38.03.06, 38.04.01, 38.04.02, 38.04.03, 38.04.05, 38.04.06</t>
  </si>
  <si>
    <t>467050.06.01</t>
  </si>
  <si>
    <t>Управление маркет.  проектами на предпр.: Уч.пос./ С.А.Мамонтов- М.:НИЦ ИНФРА-М,2023-174с.(ВО:Бак.) (п)</t>
  </si>
  <si>
    <t>УПРАВЛЕНИЕ МАРКЕТИНГОВЫМИ  ПРОЕКТАМИ НА ПРЕДПРИЯТИИ, ИЗД.1</t>
  </si>
  <si>
    <t>Мамонтов С.А., Глебова Н.М.</t>
  </si>
  <si>
    <t>978-5-16-009794-7</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</si>
  <si>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(080200.62) "Менеджмент» (квалификация (степень) «бакалавр»)</t>
  </si>
  <si>
    <t>320100.05.01</t>
  </si>
  <si>
    <t>Управление маркетингом: Уч. / Ю.Н.Егоров - М.:НИЦ ИНФРА-М,2022 - 238 с.-(ВО: Бакалавриат)(П)</t>
  </si>
  <si>
    <t>УПРАВЛЕНИЕ МАРКЕТИНГОМ, ИЗД.1</t>
  </si>
  <si>
    <t>978-5-16-010430-0</t>
  </si>
  <si>
    <t>Рекомендовано Советом Учебно-методического объединения вузов по образованию в области менеджмента в качестве учебника для студентов высших учебных заведений, обучающихся по направлению 38.03.01 «Менеджмент»</t>
  </si>
  <si>
    <t>118850.06.01</t>
  </si>
  <si>
    <t>Управление маркетингом: Уч. пос. / Н.И. Ивашкова. - М.: Форум:  ИНФРА-М, 2024. - 176 с. (о)</t>
  </si>
  <si>
    <t>Ивашкова Н.И.</t>
  </si>
  <si>
    <t>978-5-91134-388-0</t>
  </si>
  <si>
    <t>687943.02.01</t>
  </si>
  <si>
    <t>Управление матер.оборот. средствами птицефабрик: Моногр. Н.А.Алексеева-М.:НИЦ ИНФРА-М,2023.-158 с(О)</t>
  </si>
  <si>
    <t>УПРАВЛЕНИЕ МАТЕРИАЛЬНЫМИ ОБОРОТНЫМИ СРЕДСТВАМИ ПТИЦЕФАБРИК, ИЗД.1</t>
  </si>
  <si>
    <t>Алексеева Н.А., Шамсутдинов Р.Ф.</t>
  </si>
  <si>
    <t>978-5-16-014280-7</t>
  </si>
  <si>
    <t>725951.03.01</t>
  </si>
  <si>
    <t>Управление материал. ресурс. ж/д транспорта: Моногр. / А.В.Цевелев-М.:НИЦ ИНФРА-М,2021.-201 с.(Науч.мысль)(О)</t>
  </si>
  <si>
    <t>УПРАВЛЕНИЕ МАТЕРИАЛЬНЫМИ РЕСУРСАМИ ЖЕЛЕЗНОДОРОЖНОГО ТРАНСПОРТА, ИЗД.1</t>
  </si>
  <si>
    <t>978-5-16-015887-7</t>
  </si>
  <si>
    <t>746131.03.01</t>
  </si>
  <si>
    <t>Управление материальными ресурсами....: Уч. / А.В.Цевелев - М.:НИЦ ИНФРА-М,2026 - 428 с.(ВО)(П)</t>
  </si>
  <si>
    <t>УПРАВЛЕНИЕ МАТЕРИАЛЬНЫМИ РЕСУРСАМИ. МАТЕРИАЛЬНО-ТЕХНИЧЕСКОЕ ОБЕСПЕЧЕНИЕ (ЖЕЛЕЗНОДОРОЖНЫЙ ТРАНСПОРТ), ИЗД.1</t>
  </si>
  <si>
    <t>978-5-16-017025-1</t>
  </si>
  <si>
    <t>111300.13.01</t>
  </si>
  <si>
    <t>Управление настроем персонала в орг.: Уч. пос. / Н.Л.Захаров. - М.:ИНФРА-М Изд. Дом,2026. - 287 с.(ВО)(П)</t>
  </si>
  <si>
    <t>УПРАВЛЕНИЕ НАСТРОЕМ ПЕРСОНАЛА В ОРГАНИЗАЦИИ, ИЗД.1</t>
  </si>
  <si>
    <t>Захаров Н.Л., Пономаренко Б.Т., Перфильева М.Б. и др.</t>
  </si>
  <si>
    <t>978-5-16-003600-7</t>
  </si>
  <si>
    <t>Допущено Учебно-методическим объединением в области менеджмента в качестве учебного пособия для студентов вузов, обучающихся по направлению 38.03.02 "Менеджмент"</t>
  </si>
  <si>
    <t>149620.08.01</t>
  </si>
  <si>
    <t>Управление оборотными активами: логист. подход: Моногр. / И.В.Бабенко-М.:НИЦ ИНФРА-М,2024-167с(О)</t>
  </si>
  <si>
    <t>УПРАВЛЕНИЕ ОБОРОТНЫМИ АКТИВАМИ: ЛОГИСТИЧЕСКИЙ ПОДХОД, ИЗД.1</t>
  </si>
  <si>
    <t>Бабенко И.В., Тиньков С.А.</t>
  </si>
  <si>
    <t>978-5-16-004904-5</t>
  </si>
  <si>
    <t>820813.02.01</t>
  </si>
  <si>
    <t>Управление операц. рисками: надёжность бизнес-процессов..: Практ. пос. / Р.А.Исаев-М.:НИЦ ИНФРА-М,2025-153с.(о)</t>
  </si>
  <si>
    <t>УПРАВЛЕНИЕ ОПЕРАЦИОННЫМИ РИСКАМИ: НАДЁЖНОСТЬ БИЗНЕС-ПРОЦЕССОВ И ИТ-СИСТЕМ, ИЗД.1</t>
  </si>
  <si>
    <t>978-5-16-019573-5</t>
  </si>
  <si>
    <t>213600.08.01</t>
  </si>
  <si>
    <t>Управление операционной средой орг.: Уч./Н.К.Моисеева - М.:НИЦ ИНФРА-М,2025. - 336 с.(ВО: Магистр.)</t>
  </si>
  <si>
    <t>УПРАВЛЕНИЕ ОПЕРАЦИОННОЙ СРЕДОЙ ОРГАНИЗАЦИИ, ИЗД.1</t>
  </si>
  <si>
    <t>Моисеева Н. К., Стерлигова А. Н.</t>
  </si>
  <si>
    <t>978-5-16-006879-4</t>
  </si>
  <si>
    <t>419600.06.01</t>
  </si>
  <si>
    <t>Управление операциями:Уч./ Под. общ. ред. А.К.Казанцев. - М.: НИЦ ИНФРА-М, 2024 -478с.(ВО:Бакалавр.) (п)</t>
  </si>
  <si>
    <t>УПРАВЛЕНИЕ ОПЕРАЦИЯМИ, ИЗД.1</t>
  </si>
  <si>
    <t>Казанцев А. К., Кобзев В. В., Макаров В. М., Казанцев А. К.</t>
  </si>
  <si>
    <t>978-5-16-006273-0</t>
  </si>
  <si>
    <t>Рекомендовано федеральным государственным образовательным учреждением высшего профессионального образования «Государственный университет управления» в качестве учебника для студентов высших учебных заведений, обучающихся по направлению 080200.62 «Мен</t>
  </si>
  <si>
    <t>769430.01.01</t>
  </si>
  <si>
    <t>Управление опережающим развит. высокотехнологич. отрасле... / А.А.Чурсин-М.:НИЦ ИНФРА-М,2023.-205 с.(О)</t>
  </si>
  <si>
    <t>УПРАВЛЕНИЕ ОПЕРЕЖАЮЩИМ РАЗВИТИЕМ ВЫСОКОТЕХНОЛОГИЧНЫХ ОТРАСЛЕЙ ПРОМЫШЛЕННОСТИ И ОРГАНИЗАЦИЙ, ИЗД.1</t>
  </si>
  <si>
    <t>Чурсин А.А., Нестеров Е.А.</t>
  </si>
  <si>
    <t>978-5-16-017995-7</t>
  </si>
  <si>
    <t>18.04.02, 27.04.06, 27.04.07, 38.04.01, 38.06.01</t>
  </si>
  <si>
    <t>210900.12.01</t>
  </si>
  <si>
    <t>Управление отходами: Уч.пос. / Б.Б.Бобович - 3 изд. - М.:Форум, НИЦ ИНФРА-М,2026 - 107 с.(О)</t>
  </si>
  <si>
    <t>УПРАВЛЕНИЕ ОТХОДАМИ, ИЗД.3</t>
  </si>
  <si>
    <t>978-5-00091-568-4</t>
  </si>
  <si>
    <t>05.03.06, 20.02.01, 20.03.01</t>
  </si>
  <si>
    <t>797079.06.01</t>
  </si>
  <si>
    <t>Управление персон. информ. потоками в условиях цифр... / И.Б.Стрелкова - М.:НИЦ ИНФРА-М,2026 - 192 с.(П)</t>
  </si>
  <si>
    <t>УПРАВЛЕНИЕ ПЕРСОНАЛЬНЫМИ ИНФОРМАЦИОННЫМИ ПОТОКАМИ В УСЛОВИЯХ ЦИФРОВОЙ ОБРАЗОВАТЕЛЬНОЙ СРЕДЫ: МЕТОДИЧЕСКИЙ ИНСТРУМЕНТАРИЙ, ИЗД.1</t>
  </si>
  <si>
    <t>Стрелкова И.Б.</t>
  </si>
  <si>
    <t>978-5-16-018220-9</t>
  </si>
  <si>
    <t>00.06.01, 35.03.03, 44.06.01, 51.03.06, 51.04.06</t>
  </si>
  <si>
    <t>838077.01.01</t>
  </si>
  <si>
    <t>Управление персонал. предпр.-участников транспорт.-логист. сис. / Н.Б.Куршакова - М.:НИЦ ИНФРА-М,2025 - 210 с.(п)</t>
  </si>
  <si>
    <t>УПРАВЛЕНИЕ ПЕРСОНАЛОМ ПРЕДПРИЯТИЙ — УЧАСТНИКОВ ТРАНСПОРТНО-ЛОГИСТИЧЕСКИХ СИСТЕМ, ИЗД.1</t>
  </si>
  <si>
    <t>Куршакова Н.Б.</t>
  </si>
  <si>
    <t>978-5-16-020290-7</t>
  </si>
  <si>
    <t>438150.08.01</t>
  </si>
  <si>
    <t>Управление персоналом в гостиницах: Уч.пос. / Н.А.Зайцева - М.:Форум, НИЦ ИНФРА-М,2025. - 416 с.(ВО)(п)</t>
  </si>
  <si>
    <t>УПРАВЛЕНИЕ ПЕРСОНАЛОМ В ГОСТИНИЦАХ, ИЗД.1</t>
  </si>
  <si>
    <t>978-5-91134-747-5</t>
  </si>
  <si>
    <t>38.03.01, 38.03.03, 38.04.03, 41.03.06, 43.03.03, 43.04.03</t>
  </si>
  <si>
    <t>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 обучающихся по направлениям подготовки 100400 «Туризм» и 101100 «Гостиничное дело»</t>
  </si>
  <si>
    <t>651586.08.01</t>
  </si>
  <si>
    <t>Управление персоналом в России...: Моногр. / Под ред. Дураковой И.Б. - М.:НИЦ ИНФРА-М,2024 - 242 с.(П)</t>
  </si>
  <si>
    <t>УПРАВЛЕНИЕ ПЕРСОНАЛОМ В РОССИИ: НОВЫЕ ФУНКЦИИ И НОВОЕ В ФУНКЦИЯХ, ИЗД.1</t>
  </si>
  <si>
    <t>Кибанов А.Я., Митрофанова Е.А., Геворгян Р.Н. и др.</t>
  </si>
  <si>
    <t>978-5-16-012762-0</t>
  </si>
  <si>
    <t>38.03.01, 38.03.02, 38.03.03, 38.04.02, 38.04.03, 38.04.04, 41.03.06, 44.03.01</t>
  </si>
  <si>
    <t>753741.03.01</t>
  </si>
  <si>
    <t>Управление персоналом в России...: Моногр. / Под ред. Дураковой И.Б.-М.:НИЦ ИНФРА-М,2024.-281 с.(П)</t>
  </si>
  <si>
    <t>УПРАВЛЕНИЕ ПЕРСОНАЛОМ В РОССИИ: ОТ ЭГО-  К ЭКОСИСТЕМЕ, ИЗД.1</t>
  </si>
  <si>
    <t>Дуракова И.Б., Митрофанова Е.А., Митрофанова А.Е. и др.</t>
  </si>
  <si>
    <t>978-5-16-017041-1</t>
  </si>
  <si>
    <t>38.03.01, 38.03.03, 38.04.01, 38.04.02, 38.04.03, 38.04.04, 38.06.01</t>
  </si>
  <si>
    <t>231200.12.01</t>
  </si>
  <si>
    <t>Управление персоналом в России...: Моногр. / Под ред. Кибанова А.Я. - М.:НИЦ ИНФРА-М,2025 - 240с(О)</t>
  </si>
  <si>
    <t>УПРАВЛЕНИЕ ПЕРСОНАЛОМ В РОССИИ: ИСТОРИЯ И СОВРЕМЕННОСТЬ, ИЗД.1</t>
  </si>
  <si>
    <t>Кибанов А.Я., Дуракова И.Б., Эсаулова И.А. и др.</t>
  </si>
  <si>
    <t>978-5-16-010226-9</t>
  </si>
  <si>
    <t>809513.01.01</t>
  </si>
  <si>
    <t>Управление персоналом в России...: Моногр. Кн.12 / И.Б.Дуракова. - М.:НИЦ ИНФРА-М,2025. - 248 с.(Науч.мысль)(п)</t>
  </si>
  <si>
    <t>УПРАВЛЕНИЕ ПЕРСОНАЛОМ В РОССИИ: АДАПТАЦИЯ К НАСТОЯЩЕМУ. КНИГА 12, ИЗД.1</t>
  </si>
  <si>
    <t>Дуракова И.Б., Гречко Т.Ю., Багирова А.П. и др.</t>
  </si>
  <si>
    <t>978-5-16-019989-4</t>
  </si>
  <si>
    <t>38.03.03, 38.04.02, 38.04.03</t>
  </si>
  <si>
    <t>678031.07.01</t>
  </si>
  <si>
    <t>Управление персоналом в России: 100 л. после рев.: Моногр. / Под ред. Дуракова И.Б. - М.:НИЦ ИНФРА-М,2025. - 290 c.(П)</t>
  </si>
  <si>
    <t>УПРАВЛЕНИЕ ПЕРСОНАЛОМ В РОССИИ: 100 ЛЕТ ПОСЛЕ РЕВОЛЮЦИИ, ИЗД.1</t>
  </si>
  <si>
    <t>Генкин Б.М., Глухова А.В., Дуракова И.Б. и др.</t>
  </si>
  <si>
    <t>978-5-16-013688-2</t>
  </si>
  <si>
    <t>38.03.01, 38.03.03, 38.04.03, 38.04.04, 41.03.06, 44.03.01</t>
  </si>
  <si>
    <t>699200.04.01</t>
  </si>
  <si>
    <t>Управление персоналом в России: Кн. 6: Моногр. / Под ред. Дураковой И.Б.-М.:НИЦ ИНФРА-М,2024.-297с(П)</t>
  </si>
  <si>
    <t>УПРАВЛЕНИЕ ПЕРСОНАЛОМ В РОССИИ: ВЫЗОВЫ XXI ВЕКА. КНИГА 6, ИЗД.1</t>
  </si>
  <si>
    <t>Глухова А.В., Митрофанова Е.А., Тарасенко В.В. и др.</t>
  </si>
  <si>
    <t>978-5-16-014752-9</t>
  </si>
  <si>
    <t>740845.03.01</t>
  </si>
  <si>
    <t>Управление персоналом в России: Кн. 8: Моногр. / Под ред. Дураковой И.Б.-М.:НИЦ ИНФРА-М,2022.-248 с.(П)</t>
  </si>
  <si>
    <t>УПРАВЛЕНИЕ ПЕРСОНАЛОМ В РОССИИ: КОНЦЕПЦИИ НОВОЙ НОРМАЛЬНОСТИ. КНИГА 8, ИЗД.1</t>
  </si>
  <si>
    <t>Долженкова Ю.В., Руденко Г.Г., Михайлов Ф.Б. и др.</t>
  </si>
  <si>
    <t>978-5-16-016419-9</t>
  </si>
  <si>
    <t>38.03.01, 38.04.01, 38.04.02, 38.04.03, 38.04.04, 38.06.01</t>
  </si>
  <si>
    <t>778787.02.01</t>
  </si>
  <si>
    <t>Управление персоналом в России: Кн.10: Моногр. / И.Б.Дуракова - М.:НИЦ ИНФРА-М,2026 - 345 с.(П)</t>
  </si>
  <si>
    <t>УПРАВЛЕНИЕ ПЕРСОНАЛОМ В РОССИИ: ПОЛИТИКА МНОГООБРАЗИЯ И ИНКЛЮЗИВНОСТИ. КНИГА 10, ИЗД.1</t>
  </si>
  <si>
    <t>Дуракова И.Б., Пугач С.П., Митрофанова Е.А. и др.</t>
  </si>
  <si>
    <t>978-5-16-017791-5</t>
  </si>
  <si>
    <t>860307.01.01</t>
  </si>
  <si>
    <t>Управление персоналом в России: Моногр. Кн.13 / И.Б.Дуракова - М.:НИЦ ИНФРА-М,2026. - 279 с.(Науч.мысль)(п)</t>
  </si>
  <si>
    <t>УПРАВЛЕНИЕ ПЕРСОНАЛОМ В РОССИИ: РАЗВИТИЕ ИЛИ STATUS QUO?: КНИГА 13, ИЗД.1</t>
  </si>
  <si>
    <t>Дуракова И.Б., Михайлов Ф.Б., Мясников Д.А. и др.</t>
  </si>
  <si>
    <t>978-5-16-021208-1</t>
  </si>
  <si>
    <t>37.04.02, 38.04.02, 38.04.03, 38.04.04, 38.06.01</t>
  </si>
  <si>
    <t>709442.04.01</t>
  </si>
  <si>
    <t>Управление персоналом в России: Моногр.: Кн. 7 / Под ред. Дураковой И.Б. - М.:НИЦ ИНФРА-М,2026 - 254 с.(П)</t>
  </si>
  <si>
    <t>УПРАВЛЕНИЕ ПЕРСОНАЛОМ В РОССИИ: ВЕКТОР ГУМАНИЗАЦИИ. КНИГА 7, ИЗД.1</t>
  </si>
  <si>
    <t>Разумова Т.О., Спиридонова Н.Б., Дуракова И.Б. и др.</t>
  </si>
  <si>
    <t>978-5-16-015840-2</t>
  </si>
  <si>
    <t>399400.05.01</t>
  </si>
  <si>
    <t>Управление персоналом в России: парадиг. и практ.: Моногр. Кн. 3 /Кибанов А.Я.-М.:НИЦ ИНФРА-М,2024-174с</t>
  </si>
  <si>
    <t>УПРАВЛЕНИЕ ПЕРСОНАЛОМ В РОССИИ: ПАРАДИГМЫ И ПРАКТИКА, ИЗД.1</t>
  </si>
  <si>
    <t>Кибанов А.Я.</t>
  </si>
  <si>
    <t>978-5-16-011280-0</t>
  </si>
  <si>
    <t>23.03.01, 38.03.01, 38.03.02, 38.03.03, 38.04.02, 38.04.03, 41.03.06, 44.03.01, 51.03.02</t>
  </si>
  <si>
    <t>804713.02.01</t>
  </si>
  <si>
    <t>Управление персоналом в России: перезагрузка. Кн.11: Моногр. / И.Б.Дуракова - М.:НИЦ ИНФРА-М,2024. - 343 с.(п)</t>
  </si>
  <si>
    <t>УПРАВЛЕНИЕ ПЕРСОНАЛОМ В РОССИИ: ПЕРЕЗАГРУЗКА. КНИГА 11, ИЗД.1</t>
  </si>
  <si>
    <t>Дуракова И.Б., Сотникова С.И., Сотников Н.З. и др.</t>
  </si>
  <si>
    <t>978-5-16-018626-9</t>
  </si>
  <si>
    <t>278500.10.01</t>
  </si>
  <si>
    <t>Управление персоналом в России: теория...: Кн.2: Моногр. / Кибанов А.Я. - М.:НИЦ ИНФРА-М,2025 - 283с(О)</t>
  </si>
  <si>
    <t>УПРАВЛЕНИЕ ПЕРСОНАЛОМ В РОССИИ: ТЕОРИЯ, ОТЕЧЕСТВЕННАЯ И ЗАРУБЕЖНАЯ ПРАКТИКА: КНИГА 2, ИЗД.1</t>
  </si>
  <si>
    <t>Кибанов А.Я., Генкин Б.М., Лаврентьева И.В. и др.</t>
  </si>
  <si>
    <t>978-5-16-009810-4</t>
  </si>
  <si>
    <t>807236.03.01</t>
  </si>
  <si>
    <t>Управление персоналом гостин. предприят..: Моногр. / И.С.Ключевская, - 2 изд. - М.:НИЦ ИНФРА-М,2027. - 187 с.(о)</t>
  </si>
  <si>
    <t>УПРАВЛЕНИЕ ПЕРСОНАЛОМ ГОСТИНИЧНОГО ПРЕДПРИЯТИЯ. НОВЫЕ ПУТИ И РЕШЕНИЯ, ИЗД.2</t>
  </si>
  <si>
    <t>978-5-16-019426-4</t>
  </si>
  <si>
    <t>43.03.01, 43.03.02, 43.03.03, 43.04.01</t>
  </si>
  <si>
    <t>719461.03.01</t>
  </si>
  <si>
    <t>Управление персоналом гостинич. предпр.: Уч.пос. / И.С.Ключевская - М.:НИЦ ИНФРА-М,2027. - 386 с.(ВО)(П)</t>
  </si>
  <si>
    <t>УПРАВЛЕНИЕ ПЕРСОНАЛОМ ГОСТИНИЧНОГО ПРЕДПРИЯТИЯ, ИЗД.1</t>
  </si>
  <si>
    <t>978-5-16-016010-8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</si>
  <si>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43.03.03 «Гостиничное дело» и 43.03.02 «Туризм» (квалификация (степень) «бакалавр») (протокол №12 от 14.12.2020)</t>
  </si>
  <si>
    <t>758687.03.01</t>
  </si>
  <si>
    <t>Управление персоналом гостинич. предпр.: Уч.пос. / И.С.Ключевская - М.:НИЦ ИНФРА-М,2027-386 с.(СПО)(П</t>
  </si>
  <si>
    <t>978-5-16-016998-9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</si>
  <si>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43.02.11 «Гостиничный сервис», 43.02.14 «Гостиничное дело» (протокол № 12 от 14.12.2020)</t>
  </si>
  <si>
    <t>278300.10.01</t>
  </si>
  <si>
    <t>Управление персоналом на основе компетенций: Моногр./ О.Л.Чуланова-М.:НИЦ ИНФРА-М,2024.-122 с.(О)</t>
  </si>
  <si>
    <t>УПРАВЛЕНИЕ ПЕРСОНАЛОМ НА ОСНОВЕ КОМПЕТЕНЦИЙ, ИЗД.1</t>
  </si>
  <si>
    <t>978-5-16-009808-1</t>
  </si>
  <si>
    <t>420800.10.01</t>
  </si>
  <si>
    <t>Управление персоналом на предприятии туризма: Уч. / Т.В. Бедяева - М.: НИЦ ИНФРА-М, 2026 - 180 с.(ВО) (п)</t>
  </si>
  <si>
    <t>УПРАВЛЕНИЕ ПЕРСОНАЛОМ НА ПРЕДПРИЯТИИ ТУРИЗМА, ИЗД.1</t>
  </si>
  <si>
    <t>Бедяева Т. В., Захаров А. С., Богданов Е. И.</t>
  </si>
  <si>
    <t>978-5-16-006295-2</t>
  </si>
  <si>
    <t>38.03.01, 38.03.03, 38.04.03, 43.03.02, 43.04.02</t>
  </si>
  <si>
    <t>015861.26.01</t>
  </si>
  <si>
    <t>Управление персоналом орг.: Практ.: Уч.пос. / А.Я.Кибанов - 2 изд. - М.:НИЦ ИНФРА-М,2024 - 365 с.(ВО)(п)</t>
  </si>
  <si>
    <t>УПРАВЛЕНИЕ ПЕРСОНАЛОМ ОРГАНИЗАЦИИ: ПРАКТИКУМ, ИЗД.2</t>
  </si>
  <si>
    <t>978-5-16-019771-5</t>
  </si>
  <si>
    <t>38.03.02, 38.03.03, 38.03.04, 38.04.02, 38.04.03, 38.04.04, 38.05.01, 38.05.02, 44.03.01</t>
  </si>
  <si>
    <t>Рекомендовано Министерством образования Российской Федерации в качестве учебного пособия для студентов высших учебных заведений, обучающихся по направлениям 38.03.02 «Менеджмент организации», 38.03.03 «Управление персоналом»</t>
  </si>
  <si>
    <t>679074.05.01</t>
  </si>
  <si>
    <t>Управление персоналом орг.: соврем. тех.:Уч. / Сотникова С.И., - 2 изд.-М.:НИЦ ИНФРА-М,2023.-513с(П)</t>
  </si>
  <si>
    <t>УПРАВЛЕНИЕ ПЕРСОНАЛОМ ОРГАНИЗАЦИИ: СОВРЕМЕННЫЕ ТЕХНОЛОГИИ, ИЗД.2</t>
  </si>
  <si>
    <t>Сотникова С.И., Маслов Е.В., Абакумова Н.Н. и др.</t>
  </si>
  <si>
    <t>978-5-16-014117-6</t>
  </si>
  <si>
    <t>Рекомендовано Советом Учебно-методического объединения по образованию в области менеджмента в качестве учебника для обучающихся по программам высшего образования направлений подготовки 38.03.03 «Управление персоналом», 38.03.02 «Менеджмент» (квалификация (степень) «бакалавр»)</t>
  </si>
  <si>
    <t>002881.33.01</t>
  </si>
  <si>
    <t>Управление персоналом орг.: Уч. / Под ред. Кибанова А.Я - 4 изд., - М.:НИЦ ИНФРА-М,2026 - 695 с.(ВО)(п)</t>
  </si>
  <si>
    <t>УПРАВЛЕНИЕ ПЕРСОНАЛОМ ОРГАНИЗАЦИИ, ИЗД.4</t>
  </si>
  <si>
    <t>Кибанов А.Я., Баткаева И.А., Ивановская Л.В. и др.</t>
  </si>
  <si>
    <t>978-5-16-019770-8</t>
  </si>
  <si>
    <t>15.05.01, 21.05.06, 23.03.01, 23.05.04, 23.05.06, 25.03.01, 25.03.04, 25.05.05, 26.03.01, 37.03.02, 38.03.01, 38.03.02, 38.03.03, 38.03.04, 38.03.10, 40.05.03, 41.03.06, 44.03.01, 55.05.04</t>
  </si>
  <si>
    <t>Рекомендовано Министерством образования Российской Федерации в качестве учебника для студентов высших учебных заведений, обучающихся по специальностям «Менеджмент организации», «Управление персоналом», «Экономика труда»</t>
  </si>
  <si>
    <t>063730.15.01</t>
  </si>
  <si>
    <t>Управление персоналом организации: стратегия..: Уч. пос./А.Я.Кибанов-М: НИЦ ИНФРА-М,2024-301с(ВО)(П)</t>
  </si>
  <si>
    <t>УПРАВЛЕНИЕ ПЕРСОНАЛОМ ОРГАНИЗАЦИИ: СТРАТЕГИЯ, МАРКЕТИНГ, ИНТЕРНАЦИОНАЛИЗАЦИЯ, ИЗД.1</t>
  </si>
  <si>
    <t>Кибанов А. Я., Дуракова И. Б.</t>
  </si>
  <si>
    <t>978-5-16-006649-3</t>
  </si>
  <si>
    <t>Рекомендовано УМО вузов России по образованию в области менеджмента в качестве учебного пособия для студентов высших учебных заведений, обучающихся по направлениям «Менеджмент» и «Управление персоналом»</t>
  </si>
  <si>
    <t>487800.06.01</t>
  </si>
  <si>
    <t>Управление персоналом организации: Уч. / Под ред. Миневой О.К. - М.:НИЦ ИНФРА-М,2025 - 160 с.(ВО)(о)</t>
  </si>
  <si>
    <t>УПРАВЛЕНИЕ ПЕРСОНАЛОМ ОРГАНИЗАЦИИ: ТЕХНОЛОГИИ УПРАВЛЕНИЯ РАЗВИТИЕМ ПЕРСОНАЛА, ИЗД.1</t>
  </si>
  <si>
    <t>Минева О.К., Ахунжанова И.Н., Мордасова Т.А. и др.</t>
  </si>
  <si>
    <t>978-5-16-020657-8</t>
  </si>
  <si>
    <t>Рекомендовано федеральным государственным автономным учреждением «Федеральный институт развития образования» (ФГАУ «ФИРО») в качестве учебника для использования в учебном процессе образовательных учреждений, реализующих программы высшего образования по направлению подготовки 38.03.03 «Управление персоналом»</t>
  </si>
  <si>
    <t>632225.04.01</t>
  </si>
  <si>
    <t>Управление персоналом организации: Уч.пос. / Г.В.Суслов - М.:ИЦ РИОР, НИЦ ИНФРА-М,2020-154с.(ВО)(О)</t>
  </si>
  <si>
    <t>УПРАВЛЕНИЕ ПЕРСОНАЛОМ ОРГАНИЗАЦИИ, ИЗД.1</t>
  </si>
  <si>
    <t>Суслов Г.В.</t>
  </si>
  <si>
    <t>978-5-369-01564-3</t>
  </si>
  <si>
    <t>38.03.01, 38.03.03, 44.03.01</t>
  </si>
  <si>
    <t>Институт мировой экономики и информатизации</t>
  </si>
  <si>
    <t>178600.06.01</t>
  </si>
  <si>
    <t>Управление персоналом: ассессмент, комплек..: Уч. пос./Е.В.Куприянчук-ИЦ РИОР:Инфра-М, 2023-255с(ВО) (п)</t>
  </si>
  <si>
    <t>УПРАВЛЕНИЕ ПЕРСОНАЛОМ: АССЕССМЕНТ, КОМПЛЕКТОВАНИЕ, АДАПТАЦИЯ, РАЗВИТИЕ, ИЗД.1</t>
  </si>
  <si>
    <t>Куприянчук Е. В., Щербакова Ю. В.</t>
  </si>
  <si>
    <t>978-5-369-01061-7</t>
  </si>
  <si>
    <t>337500.04.01</t>
  </si>
  <si>
    <t>Управление персоналом: деловая карьера: Уч. пос./С.И.Сотникова- 2 изд.-М.:ИЦ РИОР, НИЦ ИНФРА-М,2023.-328 с(П)</t>
  </si>
  <si>
    <t>УПРАВЛЕНИЕ ПЕРСОНАЛОМ: ДЕЛОВАЯ КАРЬЕРА, ИЗД.2</t>
  </si>
  <si>
    <t>Сотникова С.И.</t>
  </si>
  <si>
    <t>978-5-369-01455-4</t>
  </si>
  <si>
    <t>Рекомендовано Советом УМО по образованию в области менеджмента в качестве учебного пособия для студентов высших учебных заведений, обучающихся по направлению подготовки «Управление персоналом» (квалификация (степень) «бакалавр")</t>
  </si>
  <si>
    <t>142100.08.01</t>
  </si>
  <si>
    <t>Управление персоналом: конкурентоспособность выпускн..:Моногр./А.Я.Кибанов-М.:НИЦ ИНФРА-М,2023-228с.</t>
  </si>
  <si>
    <t>УПРАВЛЕНИЕ ПЕРСОНАЛОМ: КОНКУРЕНТОСПОСОБНОСТЬ ВЫПУСКНИКОВ ВУЗОВ НА РЫНКЕ ТРУДА, ИЗД.1</t>
  </si>
  <si>
    <t>Кибанов А. Я., Дмитриева Ю. А.</t>
  </si>
  <si>
    <t>978-5-16-004751-5</t>
  </si>
  <si>
    <t>065700.13.01</t>
  </si>
  <si>
    <t>Управление персоналом: развит. труд. потенц.: Уч.пос. /М.И.Бухалков - М.: НИЦ ИНФРА-М, 2027 -191с(П)</t>
  </si>
  <si>
    <t>УПРАВЛЕНИЕ ПЕРСОНАЛОМ: РАЗВИТИЕ ТРУДОВОГО ПОТЕНЦИАЛА, ИЗД.1</t>
  </si>
  <si>
    <t>978-5-16-010654-0</t>
  </si>
  <si>
    <t>Допущено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38.04.02 «Менеджмент»</t>
  </si>
  <si>
    <t>108550.17.01</t>
  </si>
  <si>
    <t>Управление персоналом: Уч.  / И.Б. Дуракова и др. - М.: ИНФРА-М, 2025. - 570 с.(ВО) (п)</t>
  </si>
  <si>
    <t>УПРАВЛЕНИЕ ПЕРСОНАЛОМ, ИЗД.1</t>
  </si>
  <si>
    <t>Дуракова И. Б., Волкова Л. П., Кобцева Е. Н., Полякова О. Н.</t>
  </si>
  <si>
    <t>978-5-16-003563-5</t>
  </si>
  <si>
    <t>23.03.01, 38.03.01, 38.03.02, 38.03.03, 38.03.04, 38.04.01, 38.04.02, 38.04.03, 38.04.04, 41.03.06, 44.03.01, 51.03.02</t>
  </si>
  <si>
    <t>Рекомендовано УМО вузов России по образованию в области менеджмента в качестве учебника для студентов вузов, обучающихся по специальностям Менеджмент организации, Управение персоналом</t>
  </si>
  <si>
    <t>060800.13.01</t>
  </si>
  <si>
    <t>Управление персоналом: Уч. / М.И. Бухалков. - 2-е изд.- М.: ИНФРА-М, 2024. - 400 с. - (ВО) (п)</t>
  </si>
  <si>
    <t>УПРАВЛЕНИЕ ПЕРСОНАЛОМ, ИЗД.2</t>
  </si>
  <si>
    <t>978-5-16-003112-5</t>
  </si>
  <si>
    <t>Допущено Учебно-методическим объединением по образованию в области производственного менеджмента в качестве учебного пособия для студентов экономических специальностей вузов</t>
  </si>
  <si>
    <t>071570.23.01</t>
  </si>
  <si>
    <t>Управление персоналом: Уч. / Т.В.Зайцева - М.:ИД ФОРУМ, НИЦ ИНФРА-М,2024 - 336 с.(СПО)(П)</t>
  </si>
  <si>
    <t>Зайцева Т. В., Зуб А. Т.</t>
  </si>
  <si>
    <t>978-5-8199-0911-9</t>
  </si>
  <si>
    <t>08.02.01, 11.02.06, 11.02.07, 11.02.09, 11.02.11, 11.02.12, 11.02.15, 11.02.17, 11.02.18, 12.02.03, 13.02.01, 13.02.02, 13.02.05, 13.02.08, 13.02.09, 13.02.12, 13.02.13, 14.02.01, 14.02.02, 15.02.01, 15.02.16, 15.02.17, 18.02.04, 18.02.05, 18.02.07, 18.02.10, 18.02.12, 18.02.13, 18.02.14, 18.02.15, 19.02.10, 19.02.11, 19.02.12, 19.02.13, 19.02.14, 21.02.09, 21.02.12, 21.02.13, 21.02.14, 21.02.16, 21.02.20, 24.02.01, 24.02.02, 26.02.01, 26.02.02, 26.02.04, 26.02.05, 26.02.06, 29.02.02, 31.02.04, 35.02.10, 38.02.01, 38.02.03, 38.02.07, 38.02.08, 54.01.20</t>
  </si>
  <si>
    <t>071570.25.01</t>
  </si>
  <si>
    <t>Управление персоналом: Уч. / Т.В.Зайцева, - 2 изд. - М.:НИЦ ИНФРА-М,2026. - 315 с.(СПО)(п)</t>
  </si>
  <si>
    <t>Зайцева Т.В., Зуб А.Т.</t>
  </si>
  <si>
    <t>978-5-16-020123-8</t>
  </si>
  <si>
    <t>402100.10.01</t>
  </si>
  <si>
    <t>Управление персоналом: Уч. пос. / А.Я.Кибанов - М.: НИЦ ИНФРА-М, 2026 - 238 с.(ВО: Бакалавр.)(п)</t>
  </si>
  <si>
    <t>Кибанов А. Я., Гагаринская Г. П., Калмыкова О. Ю., Мюллер Е. В.</t>
  </si>
  <si>
    <t>978-5-16-006102-3</t>
  </si>
  <si>
    <t>23.03.01, 38.03.01, 38.03.02, 38.03.03, 41.03.06, 44.03.01, 51.03.02</t>
  </si>
  <si>
    <t>Рекомендовано Советом УМО по образованию в области менеджмента в качестве учебного пособия для студентов высших учебных заведений, обучающихся по направлениям подготовки «Менеджмент», «Государственное и муниципальное управление», «Управление персонал</t>
  </si>
  <si>
    <t>189300.10.01</t>
  </si>
  <si>
    <t>Управление персоналом: Уч. пос. / Под ред. В.П. Бычкова. - М.:НИЦ Инфра-М,2026 - 237 с.(ВО: Бакалавр.) (п)</t>
  </si>
  <si>
    <t>Бычков В. П., Бугаков В. М., Гончаров В. Н., Бычков В. П.</t>
  </si>
  <si>
    <t>978-5-16-005305-9</t>
  </si>
  <si>
    <t>23.03.01, 38.03.01, 38.03.03, 38.03.04, 38.04.03, 38.04.04, 41.03.06, 44.03.01, 51.03.02</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</si>
  <si>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"Экономика и управление на предприятии"</t>
  </si>
  <si>
    <t>705272.13.01</t>
  </si>
  <si>
    <t>Управление подразделениями в мир. время: Уч.пос. / И.Ю.Лепешинский. - М.:НИЦ ИНФРА-М,2026 - 279 с.(ВО)(П)</t>
  </si>
  <si>
    <t>УПРАВЛЕНИЕ ПОДРАЗДЕЛЕНИЯМИ В МИРНОЕ ВРЕМЯ, ИЗД.1</t>
  </si>
  <si>
    <t>Лепешинский И.Ю., Глебов В.В., Листков В.Б. и др.</t>
  </si>
  <si>
    <t>978-5-16-015116-8</t>
  </si>
  <si>
    <t>56.04.02, 56.04.03, 56.04.04, 56.04.05, 56.04.08, 56.04.09, 56.04.10, 56.04.11, 56.04.12, 56.05.04</t>
  </si>
  <si>
    <t>Рекомендовано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слушателей высших военно-учебных заведений Сухопутных войск, обучающихся по направлению подготовки «Транспортные машины и транспортно-технологические комплексы»</t>
  </si>
  <si>
    <t>698266.01.01</t>
  </si>
  <si>
    <t>Управление портфелем в системе Thomson Reuters: Уч.пос. / А.Ю.Михайлов-М.:НИЦ ИНФРА-М,2020.-104 с.(ВО)(О)</t>
  </si>
  <si>
    <t>УПРАВЛЕНИЕ ПОРТФЕЛЕМ В СИСТЕМЕ THOMSON REUTERS, ИЗД.1</t>
  </si>
  <si>
    <t>978-5-16-014672-0</t>
  </si>
  <si>
    <t>38.03.01, 38.04.01, 38.04.08, 41.03.06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</si>
  <si>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38.04.02 «Менеджмент» (квалификация (степень) «магистр») (протокол № 5 от 26.03.2020)</t>
  </si>
  <si>
    <t>204100.08.01</t>
  </si>
  <si>
    <t>Управление проблемной банковской задолжен.: Уч. / А.М.Смулов.  - М.:НИЦ ИНФРА-М,2026 - 352 с.(ВО) (п)</t>
  </si>
  <si>
    <t>УПРАВЛЕНИЕ ПРОБЛЕМНОЙ БАНКОВСКОЙ ЗАДОЛЖЕННОСТЬЮ, ИЗД.1</t>
  </si>
  <si>
    <t>Смулов А. М., Смулов А. М.</t>
  </si>
  <si>
    <t>978-5-16-006647-9</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</si>
  <si>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подготовки 080100 «Экономика» (квалификация (</t>
  </si>
  <si>
    <t>Православный Свято-Тихоновский гуманитарный университет</t>
  </si>
  <si>
    <t>645292.07.01</t>
  </si>
  <si>
    <t>Управление продажами: Уч. / С.В.Земляк и др . - М.: НИЦ ИНФРА-М,2026 - 300 с.(ВО)(п)</t>
  </si>
  <si>
    <t>УПРАВЛЕНИЕ ПРОДАЖАМИ, ИЗД.1</t>
  </si>
  <si>
    <t>Земляк С.В., Гусарова О.М., Жильцов Д.А. и др.</t>
  </si>
  <si>
    <t>978-5-16-021380-4</t>
  </si>
  <si>
    <t>664591.07.01</t>
  </si>
  <si>
    <t>Управление проектами информационных систем: Уч.пос. / Л.А.Сысоева - М.:НИЦ ИНФРА-М,2026 - 345 с.(ВО)(П)</t>
  </si>
  <si>
    <t>УПРАВЛЕНИЕ ПРОЕКТАМИ ИНФОРМАЦИОННЫХ СИСТЕМ, ИЗД.1</t>
  </si>
  <si>
    <t>Сысоева Л.А., Сатунина А.Е.</t>
  </si>
  <si>
    <t>978-5-16-013775-9</t>
  </si>
  <si>
    <t>09.03.03, 09.03.04, 38.03.02, 38.03.05</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</si>
  <si>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09.03.03 «Прикладная информатика», 38.03.02 «Менеджмент», 38.03.05 «Бизнес-информатика»</t>
  </si>
  <si>
    <t>719618.03.01</t>
  </si>
  <si>
    <t>Управление проектами информационных систем: Уч.пос. / Л.А.Сысоева-М.:НИЦ ИНФРА-М,2023-345с.-(СПО)(П)</t>
  </si>
  <si>
    <t>978-5-16-015645-3</t>
  </si>
  <si>
    <t>09.02.04, 09.02.07</t>
  </si>
  <si>
    <t>352100.09.01</t>
  </si>
  <si>
    <t>Управление проектами...: Уч.пос. / Г.А.Поташева - М.:НИЦ ИНФРА-М,2025 - 224 с(ВО: Бакалавр.) (П)</t>
  </si>
  <si>
    <t>УПРАВЛЕНИЕ ПРОЕКТАМИ (ПРОЕКТНЫЙ МЕНЕДЖМЕНТ), ИЗД.1</t>
  </si>
  <si>
    <t>978-5-16-019053-2</t>
  </si>
  <si>
    <t>472900.10.01</t>
  </si>
  <si>
    <t>Управление проектами: Прак.: Уч. пос. / О.Г.Тихомирова - М.:НИЦ ИНФРА-М,2026 - 273 с.(ВО)(п)</t>
  </si>
  <si>
    <t>УПРАВЛЕНИЕ ПРОЕКТАМИ: ПРАКТИКУМ, ИЗД.1</t>
  </si>
  <si>
    <t>978-5-16-018585-9</t>
  </si>
  <si>
    <t>752735.05.01</t>
  </si>
  <si>
    <t>Управление проектами: Уч. / Д.Д.Цителадзе - М.:НИЦ ИНФРА-М,2024 - 361 с.(ВО)(п)</t>
  </si>
  <si>
    <t>УПРАВЛЕНИЕ ПРОЕКТАМИ, ИЗД.1</t>
  </si>
  <si>
    <t>978-5-16-018658-0</t>
  </si>
  <si>
    <t>38.03.02, 39.03.03</t>
  </si>
  <si>
    <t>752735.06.01</t>
  </si>
  <si>
    <t>Управление проектами: Уч. / Д.Д.Цителадзе, - 2 изд. - М.:НИЦ ИНФРА-М,2026. - 362 с.(ВО)(п)</t>
  </si>
  <si>
    <t>УПРАВЛЕНИЕ ПРОЕКТАМИ, ИЗД.2</t>
  </si>
  <si>
    <t>978-5-16-021861-8</t>
  </si>
  <si>
    <t>662562.09.01</t>
  </si>
  <si>
    <t>Управление проектами: Уч. / Под ред. Филимонова Н.М. - М.:НИЦ ИНФРА-М,2026. - 349 с.(ВО)(п)</t>
  </si>
  <si>
    <t>Базилевич А.И., Денисенко В.И., Захаров П.Н. и др.</t>
  </si>
  <si>
    <t>978-5-16-018978-9</t>
  </si>
  <si>
    <t>Рекомендовано в качестве учебника для студентов высших учебных заведений, обучающихся по направлениям подготовки 38.03.02 «Менеджмент», 38.03.01 «Экономика» (квалификация (степень) «бакалавр»)</t>
  </si>
  <si>
    <t>Финансовый университет при Правительстве Российской Федерации, Орловский ф-л</t>
  </si>
  <si>
    <t>114650.12.01</t>
  </si>
  <si>
    <t>Управление проектами: Уч. пос. / А.М. Афонин и др. - М.: Форум, 2026 - 184 с.(Проф. обр.) (о)</t>
  </si>
  <si>
    <t>Афонин А. М., Царегородцев Ю. Н., Петрова С. А.</t>
  </si>
  <si>
    <t>978-5-91134-372-9</t>
  </si>
  <si>
    <t>38.02.01, 38.02.03, 38.02.06, 38.02.08</t>
  </si>
  <si>
    <t>081050.15.01</t>
  </si>
  <si>
    <t>Управление проектами: Уч.пос. / М.В.Романова - М.:ИД ФОРУМ,НИЦ ИНФРА-М,2024-256с.(ВО)(п)</t>
  </si>
  <si>
    <t>Романова М. В.</t>
  </si>
  <si>
    <t>978-5-8199-0308-7</t>
  </si>
  <si>
    <t>38.03.01, 38.03.02, 38.03.03, 38.03.04, 38.04.01, 38.04.02, 38.04.03, 38.04.04, 39.03.03, 39.04.03, 41.03.06, 44.03.01, 44.03.05</t>
  </si>
  <si>
    <t>Допущено Советом Учебно-методического объединения вузов России по образованию в области менеджмента в качестве учебного пособия по дисциплине специализации специальности "Менеджмент организации"</t>
  </si>
  <si>
    <t>062200.21.01</t>
  </si>
  <si>
    <t>Управление проектами: Уч.пос. / Ю.И.Попов - М.:НИЦ ИНФРА-М,2026 - 208 с.(Уч.и для программы MBA)(П)</t>
  </si>
  <si>
    <t>Попов Ю. И., Яковенко О. В.</t>
  </si>
  <si>
    <t>978-5-16-002337-3</t>
  </si>
  <si>
    <t>38.03.02, 38.04.01, 38.04.02, 38.04.04, 38.04.08, 38.06.01, 41.03.06</t>
  </si>
  <si>
    <t>428800.10.01</t>
  </si>
  <si>
    <t>Управление проектом: компл.подход и сист..: Моногр./О.Г.Тихомирова - НИЦ ИНФРА-М,2024 - 300с. (Науч.мысль)(О)</t>
  </si>
  <si>
    <t>УПРАВЛЕНИЕ ПРОЕКТОМ: КОМПЛЕКСНЫЙ ПОДХОД И СИСТЕМНЫЙ АНАЛИЗ, ИЗД.1</t>
  </si>
  <si>
    <t>978-5-16-006383-6</t>
  </si>
  <si>
    <t>469800.05.01</t>
  </si>
  <si>
    <t>Управление промышл.разв.в усл.отсталой технол.среды: Моногр. / В.Н.Юсим-М.:НИЦ ИНФРА-М,2024-200с.(п)</t>
  </si>
  <si>
    <t>УПРАВЛЕНИЕ ПРОМЫШЛЕННЫМ РАЗВИТИЕМ В УСЛОВИЯХ ОТСТАЛОЙ ТЕХНОЛОГИЧЕСКОЙ СРЕДЫ, ИЗД.1</t>
  </si>
  <si>
    <t>Юсим В.Н., Афанасьева М.В., Быстров А.В. и др.</t>
  </si>
  <si>
    <t>978-5-16-011789-8</t>
  </si>
  <si>
    <t>38.04.01, 38.04.02, 38.04.04, 38.06.01, 44.03.05</t>
  </si>
  <si>
    <t>677155.06.01</t>
  </si>
  <si>
    <t>Управление промышленными предпр...: Моногр. / Под ред. Логиновского О.В. - М.:НИЦ ИНФРА-М,2026 - 410 с.(П)</t>
  </si>
  <si>
    <t>УПРАВЛЕНИЕ ПРОМЫШЛЕННЫМИ ПРЕДПРИЯТИЯМИ: СТРАТЕГИИ, МЕХАНИЗМЫ, СИСТЕМЫ, ИЗД.1</t>
  </si>
  <si>
    <t>Логиновский О.В., Бурков В.Н., Буркова И.В. и др.</t>
  </si>
  <si>
    <t>978-5-16-013606-6</t>
  </si>
  <si>
    <t>354300.06.01</t>
  </si>
  <si>
    <t>Управление процес. созд. техн. систем для АПК: Уч. / А.Л. Эйдис - М.: НИЦ ИНФРА-М, 2026 -188 с.(ВО) (о)</t>
  </si>
  <si>
    <t>УПРАВЛЕНИЕ ПРОЦЕССОМ СОЗДАНИЯ ТЕХНИЧЕСКИХ СИСТЕМ ДЛЯ АПК, ИЗД.1</t>
  </si>
  <si>
    <t>ЭйдисА.Л., ПарлюкЕ.П.</t>
  </si>
  <si>
    <t>978-5-16-010897-1</t>
  </si>
  <si>
    <t>Рекомендовано в качестве учебного пособия для студентов высших учебных заведений, обучающихся по направлениям подготовки 35.03.06 «Агроинженерия», 23.03.02 «Наземные транспортно-технологические комплексы» (квалификация (степень) бакалавриат)</t>
  </si>
  <si>
    <t>795868.02.01</t>
  </si>
  <si>
    <t>Управление развитием высокотехнологичного промыш. компл. / Ю.В.Данейкин-М.:НИЦ ИНФРА-М,2025.-284 с.(п)</t>
  </si>
  <si>
    <t>УПРАВЛЕНИЕ РАЗВИТИЕМ ВЫСОКОТЕХНОЛОГИЧНОГО ПРОМЫШЛЕННОГО КОМПЛЕКСА, ИЗД.1</t>
  </si>
  <si>
    <t>Данейкин Ю.В.</t>
  </si>
  <si>
    <t>978-5-16-018126-4</t>
  </si>
  <si>
    <t>340400.05.01</t>
  </si>
  <si>
    <t>Управление развитием инновац.деят. в регионах России /Харин А.А. - М.:НИЦ ИНФРА-М,2022-213с.(Науч.мысль)</t>
  </si>
  <si>
    <t>УПРАВЛЕНИЕ РАЗВИТИЕМ ИННОВАЦИОННОЙ ДЕЯТЕЛЬНОСТИ В РЕГИОНАХ РОССИИ, ИЗД.2</t>
  </si>
  <si>
    <t>Харин А.А., Рождественский А.В., Коленский И.Л. и др.</t>
  </si>
  <si>
    <t>978-5-16-010736-3</t>
  </si>
  <si>
    <t>27.04.05, 38.03.01, 38.03.02, 38.04.02</t>
  </si>
  <si>
    <t>27</t>
  </si>
  <si>
    <t>179400.11.01</t>
  </si>
  <si>
    <t>Управление развитием турист. комплекса муниц. обр.: Уч. пос. / А.Э.Саак - М:КУРС,НИЦ ИНФРА-М,2027 - 304 с.(П)</t>
  </si>
  <si>
    <t>УПРАВЛЕНИЕ РАЗВИТИЕМ ТУРИСТСКОГО КОМПЛЕКСА МУНИЦИПАЛЬНОГО ОБРАЗОВАНИЯ, ИЗД.1</t>
  </si>
  <si>
    <t>Саак А. Э., Жертовская Е. В.</t>
  </si>
  <si>
    <t>978-5-905554-12-4</t>
  </si>
  <si>
    <t>38.03.02, 38.03.04, 38.04.02, 38.04.04, 43.03.02, 43.04.02, 44.03.05, 49.03.03</t>
  </si>
  <si>
    <t>446900.06.01</t>
  </si>
  <si>
    <t>Управление разр.и внедр.нового продукта: Уч.пос. / Л.А.Борискова - НИЦ ИНФРА-М,2025 - 272 с.(ВО:Бакалавр.)(п)</t>
  </si>
  <si>
    <t>УПРАВЛЕНИЕ РАЗРАБОТКОЙ И ВНЕДРЕНИЕМ НОВОГО ПРОДУКТА, ИЗД.1</t>
  </si>
  <si>
    <t>Борискова Л.А., Глебова О.В., Гусева И.Б.</t>
  </si>
  <si>
    <t>978-5-16-011407-1</t>
  </si>
  <si>
    <t>Рекомендовано Советом Учебно-методического объединения по образованию в области менеджмента в качестве учебного пособия для обучающихся по программам высшего образования направления подготовки 38.03.02 «Менеджмент"</t>
  </si>
  <si>
    <t>786274.02.01</t>
  </si>
  <si>
    <t>Управление результатив. предпр.: Теор. и прак.: Уч. / С.Б.Богуславская - М.:НИЦ ИНФРА-М,2026 - 366 с.(ВО)(п)</t>
  </si>
  <si>
    <t>УПРАВЛЕНИЕ РЕЗУЛЬТАТИВНОСТЬЮ ПРЕДПРИЯТИЯ: ТЕОРИЯ И ПРАКТИКА, ИЗД.1</t>
  </si>
  <si>
    <t>Богуславская С.Б., Жигульская Е.Л., Кузьмина Е.В. и др.</t>
  </si>
  <si>
    <t>978-5-16-018811-9</t>
  </si>
  <si>
    <t>788195.04.01</t>
  </si>
  <si>
    <t>Управление рисками в сфере IT: Моногр. / А.В.Щербак - М.:НИЦ ИНФРА-М,2026. - 243 с.(Науч.мысль)(о)</t>
  </si>
  <si>
    <t>УПРАВЛЕНИЕ РИСКАМИ В СФЕРЕ IT, ИЗД.1</t>
  </si>
  <si>
    <t>Щербак А.В.</t>
  </si>
  <si>
    <t>978-5-16-017972-8</t>
  </si>
  <si>
    <t>09.04.01, 09.04.02, 09.04.03, 09.04.04, 09.05.01, 09.06.01, 10.04.01, 10.05.01, 10.05.02, 10.05.03, 10.05.04, 10.05.05, 10.05.07, 10.06.01, 38.04.05, 38.06.01</t>
  </si>
  <si>
    <t>126950.04.01</t>
  </si>
  <si>
    <t>Управление рисками в услов. финанс. нестаб.: Уч.пос. / Д.В.Домащенко-М.:Магистр,ИНФРА-М,2017-238с(П)</t>
  </si>
  <si>
    <t>УПРАВЛЕНИЕ РИСКАМИ В УСЛОВИЯХ ФИНАНСОВОЙ НЕСТАБИЛЬНОСТИ, ИЗД.1</t>
  </si>
  <si>
    <t>Домащенко Д. В., Финогенова Ю. Ю.</t>
  </si>
  <si>
    <t>978-5-9776-0138-2</t>
  </si>
  <si>
    <t>38.03.01, 38.03.02, 38.03.04, 38.04.01, 38.04.02, 38.04.04, 38.04.08, 38.04.09</t>
  </si>
  <si>
    <t>421350.07.01</t>
  </si>
  <si>
    <t>Управление рисками и страхование в туризме / Т.А.Федорова - М.:Магистр, НИЦ ИНФРА-М,2024.-192 с.(О)</t>
  </si>
  <si>
    <t>УПРАВЛЕНИЕ РИСКАМИ И СТРАХОВАНИЕ В ТУРИЗМЕ, ИЗД.1</t>
  </si>
  <si>
    <t>Федорова Т. А.</t>
  </si>
  <si>
    <t>978-5-9776-0269-3</t>
  </si>
  <si>
    <t>38.03.01, 38.03.02, 38.04.01, 38.04.08, 43.03.02, 43.04.02, 49.03.03</t>
  </si>
  <si>
    <t>302800.18.01</t>
  </si>
  <si>
    <t>Управление рисками организации: Уч. / Г.Д.Антонов и др. - М.:НИЦ ИНФРА-М,2026. - 153 с.(ВО)(П)</t>
  </si>
  <si>
    <t>УПРАВЛЕНИЕ РИСКАМИ ОРГАНИЗАЦИИ, ИЗД.1</t>
  </si>
  <si>
    <t>Антонов Г. Д., Иванова О. П., Тумин В. М.</t>
  </si>
  <si>
    <t>978-5-16-022239-4</t>
  </si>
  <si>
    <t>Допущено Учебно-методическим объединением вузов России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38.03.02 «Менеджмент» (профиль «Производственный менеджмент»), по магистерской программе «Производственный менеджмент»», а также для студентов технологических направлений и специальностей в части их экономико-организационной и управленческой подготовки</t>
  </si>
  <si>
    <t>302800.03.01</t>
  </si>
  <si>
    <t>Управление рисками организации: Уч.пос. / Г.Д.Антонов.-М.:НИЦ ИНФРА-М,2017.-153 с.(ВО: Бакалавр.)(о)</t>
  </si>
  <si>
    <t>978-5-16-010203-0</t>
  </si>
  <si>
    <t>Допущено УМО по образованию в области производственного менеджмента в качестве учебного пособия для студентов, обучающихся по специальности 080502 "Экономика и управление на предприятии (по отраслям)", направлению подготовки 080200 «Менеджмент- (проф</t>
  </si>
  <si>
    <t>456250.04.01</t>
  </si>
  <si>
    <t>Управление рисками основ.участн.рынка долев.:Моногр./А.В.Берваль-НИЦ ИНФРА-М,2024-154(Науч.мысль)</t>
  </si>
  <si>
    <t>УПРАВЛЕНИЕ РИСКАМИ ОСНОВНЫХ УЧАСТНИКОВ РЫНКА ДОЛЕВОГО СТРОИТЕЛЬСТВА ЖИЛЬЯ, ИЗД.1</t>
  </si>
  <si>
    <t>Берваль А. В., Романова А. И.</t>
  </si>
  <si>
    <t>978-5-16-009377-2</t>
  </si>
  <si>
    <t>134700.16.01</t>
  </si>
  <si>
    <t>Управление рисками предприятия: Уч.пос. / В.Н.Уродовских - М.:Вуз.уч., НИЦ ИНФРА-М,2026. - 168 с.(П)</t>
  </si>
  <si>
    <t>УПРАВЛЕНИЕ РИСКАМИ ПРЕДПРИЯТИЯ, ИЗД.1</t>
  </si>
  <si>
    <t>Уродовских В.Н.</t>
  </si>
  <si>
    <t>978-5-9558-0158-2</t>
  </si>
  <si>
    <t>Рекомендовано в качестве учебного пособия для студентов высших учебных заведений, обучающихся по направлению подготовки 38.03.02 «Менеджмент»</t>
  </si>
  <si>
    <t>688822.01.01</t>
  </si>
  <si>
    <t>Управление рисками энергосервис. комп.: Моногр./Н.Д.Гуськова-М.:НИЦ ИНФРА-М,2019-138с(Науч.мысль)(О)</t>
  </si>
  <si>
    <t>УПРАВЛЕНИЕ РИСКАМИ ЭНЕРГОСЕРВИСНЫХ КОМПАНИЙ, ИЗД.1</t>
  </si>
  <si>
    <t>Гуськова Н.Д., Ульянкин О.В.</t>
  </si>
  <si>
    <t>978-5-16-014381-1</t>
  </si>
  <si>
    <t>13.03.01, 13.03.02, 13.03.03, 13.04.01, 13.04.02, 13.04.03, 38.03.01, 38.03.02, 38.04.01, 38.04.02</t>
  </si>
  <si>
    <t>788712.01.01</t>
  </si>
  <si>
    <t>Управление рисками: Уч./ Т.П.Маслевич - М.:НИЦ ИНФРА-М,2025. - 270 с.(ВО)(п)</t>
  </si>
  <si>
    <t>УПРАВЛЕНИЕ РИСКАМИ, ИЗД.1</t>
  </si>
  <si>
    <t>Маслевич Т.П., Сяглова Ю.В.</t>
  </si>
  <si>
    <t>978-5-16-018398-5</t>
  </si>
  <si>
    <t>27.04.03, 38.03.02, 38.04.01, 38.04.02, 38.04.05, 38.04.06, 38.05.02</t>
  </si>
  <si>
    <t>059000.09.01</t>
  </si>
  <si>
    <t>Управление розничным маркетингом: Уч. / Под ред. Гилберт Д., - 2 изд., англ.-М.:ИНФРА-М,2022.-571 с.(П)</t>
  </si>
  <si>
    <t>УПРАВЛЕНИЕ РОЗНИЧНЫМ МАРКЕТИНГОМ, ИЗД.2</t>
  </si>
  <si>
    <t>Гилберт Д.</t>
  </si>
  <si>
    <t>5-16-002332-1</t>
  </si>
  <si>
    <t>868140.01.01</t>
  </si>
  <si>
    <t>Управление санаторно-курортным компл. в условиях цифровизации / А.Ю.Баранова - М.:НИЦ ИНФРА-М,2026. - 194 с.(о)</t>
  </si>
  <si>
    <t>УПРАВЛЕНИЕ САНАТОРНО-КУРОРТНЫМ КОМПЛЕКСОМ В УСЛОВИЯХ ЦИФРОВИЗАЦИИ, ИЗД.1</t>
  </si>
  <si>
    <t>978-5-16-021567-9</t>
  </si>
  <si>
    <t>38.03.01, 38.04.01, 38.06.01, 43.03.02, 43.04.02</t>
  </si>
  <si>
    <t>438750.06.01</t>
  </si>
  <si>
    <t>Управление состоянием массива: Уч. пос. / В.И.Голик - М.: НИЦ ИНФРА-М, 2025 - 136 с.(ВО: Бакалавр.) (о)</t>
  </si>
  <si>
    <t>УПРАВЛЕНИЕ СОСТОЯНИЕМ МАССИВА, ИЗД.1</t>
  </si>
  <si>
    <t>978-5-16-006751-3</t>
  </si>
  <si>
    <t>05.03.01, 05.04.01, 21.05.04, 21.05.05</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</si>
  <si>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вузов, обучающихся по направлениям подготовки «Горное дело» и «Физические процессы горного или нефтег</t>
  </si>
  <si>
    <t>683683.02.01</t>
  </si>
  <si>
    <t>Управление соц. адаптацией и мотивацией к...: Уч. / Минева О.К. - М.:НИЦ ИНФРА-М,2023 - 232 с.(П)</t>
  </si>
  <si>
    <t>УПРАВЛЕНИЕ СОЦИАЛЬНОЙ АДАПТАЦИЕЙ И МОТИВАЦИЕЙ К РАЗВИТИЮ В СОВРЕМЕННОМ ОБЩЕСТВЕ, ИЗД.1</t>
  </si>
  <si>
    <t>978-5-16-014739-0</t>
  </si>
  <si>
    <t>Рекомендовано федеральным государственным бюджетным учреждением «Федеральный институт развития образования» (ФГБУ «ФИРО») в качестве учебника для использования в образовательном процессе образовательных организаций, реализующих программы высшего образования по направлению подготовки 38.04.03 «Управление персоналом» (уровень магистратуры) (регистрационный номер рецензии № 40 от 13.02.2018)</t>
  </si>
  <si>
    <t>401800.09.01</t>
  </si>
  <si>
    <t>Управление соц. развитием орг..: Уч./ Н.О.Аблязова -М.:НИЦ Инфра-М,2023-416с.(ВО:Бакалавр.) (п)</t>
  </si>
  <si>
    <t>УПРАВЛЕНИЕ СОЦИАЛЬНЫМ РАЗВИТИЕМ ОРГАНИЗАЦИИ, ИЗД.1</t>
  </si>
  <si>
    <t>Аблязова Н. О., Аверкин М. Г., Гуськова И. В., Захарова С. Г., Золотов А. В., Егоршин А. П.</t>
  </si>
  <si>
    <t>978-5-16-005273-1</t>
  </si>
  <si>
    <t>072200.13.01</t>
  </si>
  <si>
    <t>Управление соц. развитием орг.: Уч. / Н.Л.Захаров, - 3 изд. - М.:НИЦ ИНФРА-М,2026. - 216 с.(ВО)(п)</t>
  </si>
  <si>
    <t>УПРАВЛЕНИЕ СОЦИАЛЬНЫМ РАЗВИТИЕМ ОРГАНИЗАЦИИ, ИЗД.3</t>
  </si>
  <si>
    <t>Захаров Н.Л., Кузнецов А.Л.</t>
  </si>
  <si>
    <t>978-5-16-019324-3</t>
  </si>
  <si>
    <t>38.03.01, 38.03.02, 38.03.03, 38.03.04, 38.04.02, 38.04.03, 38.04.04, 39.04.02, 41.03.06</t>
  </si>
  <si>
    <t>Допущено Мин. обр. и науки РФ  в качестве учебника  для студентов вузов, обучающихся по специальности  "Управление персоналом"</t>
  </si>
  <si>
    <t>072200.11.01</t>
  </si>
  <si>
    <t>Управление соц. развитием организации: Уч. / Н.Л.Захаров, - 2 изд.-М.:НИЦ ИНФРА-М,2023.-208 с.(ВО)(П)</t>
  </si>
  <si>
    <t>УПРАВЛЕНИЕ СОЦИАЛЬНЫМ РАЗВИТИЕМ ОРГАНИЗАЦИИ, ИЗД.2</t>
  </si>
  <si>
    <t>Захаров Н. Л., Кузнецов А. Л.</t>
  </si>
  <si>
    <t>978-5-16-005067-6</t>
  </si>
  <si>
    <t>472750.04.01</t>
  </si>
  <si>
    <t>Управление социально-техническими системами: Уч.пос. / А.Г.Фаррахов-М.:РИОР, ИНФРА-М,2024.-218 с.(ВО)(п)</t>
  </si>
  <si>
    <t>УПРАВЛЕНИЕ СОЦИАЛЬНО-ТЕХНИЧЕСКИМИ СИСТЕМАМИ, ИЗД.1</t>
  </si>
  <si>
    <t>Фаррахов А.Г.</t>
  </si>
  <si>
    <t>978-5-369-01370-0</t>
  </si>
  <si>
    <t>23.03.01, 23.04.01, 38.03.02, 38.04.02</t>
  </si>
  <si>
    <t>Рекомендовано федеральным государственным бюджетным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1</t>
  </si>
  <si>
    <t>807616.01.01</t>
  </si>
  <si>
    <t>Управление социальным развитием персонала: Уч. / А.П.Егоршин-М.:НИЦ ИНФРА-М,2024.-336 с.(ВО)(п)</t>
  </si>
  <si>
    <t>УПРАВЛЕНИЕ СОЦИАЛЬНЫМ РАЗВИТИЕМ ПЕРСОНАЛА, ИЗД.1</t>
  </si>
  <si>
    <t>978-5-16-018879-9</t>
  </si>
  <si>
    <t>38.03.01, 38.03.02, 38.03.03, 38.03.04, 38.04.02, 38.04.03, 38.04.04</t>
  </si>
  <si>
    <t>Допущено Учебно-методическим объединением вузов в области менеджмента в качестве учебника для студентов высших учебных заведений, обучающихся по направлению 38.03.03 «Управление персоналом»</t>
  </si>
  <si>
    <t>686401.04.01</t>
  </si>
  <si>
    <t>Управление спорт.инфраструктурой...: Монография / В.Г.Зарубин и др. - М.:НИЦ ИНФРА-М,2023 - 107с(О)</t>
  </si>
  <si>
    <t>УПРАВЛЕНИЕ СПОРТИВНОЙ ИНФРАСТРУКТУРОЙ: ОПЫТ СОЦИОЛОГИЧЕСКОГО И ФОРМАЛЬНО-МАТЕМАТИЧЕСКОГО АНАЛИЗА, ИЗД.1</t>
  </si>
  <si>
    <t>Зарубин В.Г., Макаридина В.А., Демков Д.В.</t>
  </si>
  <si>
    <t>978-5-16-014212-8</t>
  </si>
  <si>
    <t>846328.02.01</t>
  </si>
  <si>
    <t>Управление стоимостью проекта: Уч. / С.С.Голубев. - М.:НИЦ ИНФРА-М,2026. - 232 с.(ВО (Финанс. универ.))(п)</t>
  </si>
  <si>
    <t>УПРАВЛЕНИЕ СТОИМОСТЬЮ ПРОЕКТА, ИЗД.1</t>
  </si>
  <si>
    <t>Голубев С.С., Граммова Е.А., Зайковский Б.Б. и др.</t>
  </si>
  <si>
    <t>978-5-16-021051-3</t>
  </si>
  <si>
    <t>23.05.04, 23.05.06, 38.03.02, 38.03.10, 38.04.01, 38.04.02, 38.04.06, 38.05.01</t>
  </si>
  <si>
    <t>216300.07.01</t>
  </si>
  <si>
    <t>Управление стоимостью промыш. предприятий: Уч.пос. / В.А.Макарова-М.:НИЦ ИНФРА-М,2024.-188 с.(ВО)(о)</t>
  </si>
  <si>
    <t>УПРАВЛЕНИЕ СТОИМОСТЬЮ ПРОМЫШЛЕННЫХ ПРЕДПРИЯТИЙ, ИЗД.1</t>
  </si>
  <si>
    <t>Макарова В. А., Крылов А. А.</t>
  </si>
  <si>
    <t>978-5-16-006911-1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</si>
  <si>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080200.68 "Менеджмент" (квалификация (степень) «маги</t>
  </si>
  <si>
    <t>370500.04.01</t>
  </si>
  <si>
    <t>Управление стратегич. изменениями в орг.: Уч./А.Т.Зуб-М.:ИД ФОРУМ, НИЦ ИНФРА-М,2023.-384 с.(ВО)(П)</t>
  </si>
  <si>
    <t>УПРАВЛЕНИЕ СТРАТЕГИЧЕСКИМИ ИЗМЕНЕНИЯМИ В ОРГАНИЗАЦИЯХ, ИЗД.1</t>
  </si>
  <si>
    <t>Зуб А.Т.</t>
  </si>
  <si>
    <t>978-5-8199-0631-6</t>
  </si>
  <si>
    <t>Рекомендовано Ученым советом факультета государственного управления МГУ имени М.В. Ломоносова в качестве учебника для студентов, обучающихся в магистратуре по управленческим специальностям</t>
  </si>
  <si>
    <t>425350.06.01</t>
  </si>
  <si>
    <t>Управление структурными изменениями экономики: Моногр./О.С.Сухарев-М.:КУРС, НИЦ ИНФРА-М,2019-368с(П)</t>
  </si>
  <si>
    <t>УПРАВЛЕНИЕ СТРУКТУРНЫМИ ИЗМЕНЕНИЯМИ ЭКОНОМИКИ, ИЗД.1</t>
  </si>
  <si>
    <t>Сухарев О. С., Логвинов С. А.</t>
  </si>
  <si>
    <t>978-5-905554-34-6</t>
  </si>
  <si>
    <t>653343.03.01</t>
  </si>
  <si>
    <t>Управление суверенной задолженностью: Уч.пос. / В.В.Кузнецова-М.:НИЦ ИНФРА-М,2020.-255 с..-(ВО)(П)</t>
  </si>
  <si>
    <t>УПРАВЛЕНИЕ СУВЕРЕННОЙ ЗАДОЛЖЕННОСТЬЮ, ИЗД.1</t>
  </si>
  <si>
    <t>Кузнецова В.В.</t>
  </si>
  <si>
    <t>978-5-16-013080-4</t>
  </si>
  <si>
    <t>38.03.01, 38.03.02, 38.03.04, 38.04.01, 44.03.01, 44.03.05</t>
  </si>
  <si>
    <t>708043.10.01</t>
  </si>
  <si>
    <t>Управление техн. эксплуатацией зданий и сооруж.: Уч.пос. / Н.Я.Кузин - 2 изд. - М.:НИЦ ИНФРА-М,2026 - 248 с.(П)</t>
  </si>
  <si>
    <t>УПРАВЛЕНИЕ ТЕХНИЧЕСКОЙ ЭКСПЛУАТАЦИЕЙ ЗДАНИЙ И СООРУЖЕНИЙ, ИЗД.2</t>
  </si>
  <si>
    <t>Кузин Н. Я., Мищенко В. Н., Мищенко С. А.</t>
  </si>
  <si>
    <t>978-5-16-015214-1</t>
  </si>
  <si>
    <t>08.02.01, 08.02.02, 08.02.13, 08.02.14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</si>
  <si>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08.02.01 «Строительство и эксплуатация зданий и сооружений» (протокол № 2 от 28.01.2019)</t>
  </si>
  <si>
    <t>430650.09.01</t>
  </si>
  <si>
    <t>Управление техн.экспл.зданий и..: Уч.пос. / Н.Я.Кузин - 2 изд. - М.:НИЦ ИНФРА-М,2025 - 156 с.(ВО:Бакалавр.)(п)</t>
  </si>
  <si>
    <t>978-5-16-020577-9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</si>
  <si>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08.03.01 «Строительство» (квалификация (степень) «бакалавр») (протокол № 8 от 29.04.2019)</t>
  </si>
  <si>
    <t>644560.06.01</t>
  </si>
  <si>
    <t>Управление технологией перевоз. проц. на желез. дор.: Моногр. / Д.Ю.Левин-М:НИЦ ИНФРА-М,2023-288с(П)</t>
  </si>
  <si>
    <t>УПРАВЛЕНИЕ ТЕХНОЛОГИЕЙ ПЕРЕВОЗОЧНОГО ПРОЦЕССА НА ЖЕЛЕЗНЫХ ДОРОГАХ, ИЗД.1</t>
  </si>
  <si>
    <t>978-5-16-012377-6</t>
  </si>
  <si>
    <t>429900.07.01</t>
  </si>
  <si>
    <t>Управление торговой организацией: Уч. / Г.Г. Иванов - М.: ИД ФОРУМ: НИЦ Инфра-М, 2025 - 368 с.(ВО) (п)</t>
  </si>
  <si>
    <t>УПРАВЛЕНИЕ ТОРГОВОЙ ОРГАНИЗАЦИЕЙ, ИЗД.1</t>
  </si>
  <si>
    <t>Иванов Г. Г., Лебедева И. С., Панкина Т. В.</t>
  </si>
  <si>
    <t>978-5-8199-0535-7</t>
  </si>
  <si>
    <t>Рекомендовано Советом ФЭТТ РЭУ им. Г.В. Плеханова в качестве учебника для студентов вузов, обучающихся по направлению 100700.62 "Торговое дело" (бакалавриат)</t>
  </si>
  <si>
    <t>700757.05.01</t>
  </si>
  <si>
    <t>Управление транспортными потоками в городах: Моногр. / Е.А.Андреева.-М.:НИЦ ИНФРА-М,2024.-207 с.(О)</t>
  </si>
  <si>
    <t>УПРАВЛЕНИЕ ТРАНСПОРТНЫМИ ПОТОКАМИ В ГОРОДАХ, ИЗД.1</t>
  </si>
  <si>
    <t>Андреева Е.А., Бёттгер К., Белкова Е.В. и др.</t>
  </si>
  <si>
    <t>978-5-16-014845-8</t>
  </si>
  <si>
    <t>23.03.01, 23.03.02, 23.04.03, 23.05.01</t>
  </si>
  <si>
    <t>113000.11.01</t>
  </si>
  <si>
    <t>Управление трудовыми ресурсами: Уч. / Под ред. А.Я. Кибанова. - М.: ИНФРА-М, 2024. - 284 с. (ВО) (п)</t>
  </si>
  <si>
    <t>УПРАВЛЕНИЕ ТРУДОВЫМИ РЕСУРСАМИ, ИЗД.1</t>
  </si>
  <si>
    <t>Кибанов А. Я., Митрофанова Е. А., Эсаулова И. А., Кибанов А. Я.</t>
  </si>
  <si>
    <t>978-5-16-003651-9</t>
  </si>
  <si>
    <t>38.03.01, 38.03.02, 38.03.03, 38.03.04, 38.04.01, 38.04.02, 38.04.03, 38.04.04, 44.03.01</t>
  </si>
  <si>
    <t>278900.08.01</t>
  </si>
  <si>
    <t>Управление трудоустр. выпускник.вузов на рынке труда: Моногр. / А.Я.Кибанов - М.:НИЦ ИНФРА-М,2025 - 250 с.(О)</t>
  </si>
  <si>
    <t>УПРАВЛЕНИЕ ТРУДОУСТРОЙСТВОМ ВЫПУСКНИКОВ ВУЗОВ НА РЫНКЕ ТРУДА, ИЗД.1</t>
  </si>
  <si>
    <t>Кибанов А.Я., Дмитриева Ю.А.</t>
  </si>
  <si>
    <t>978-5-16-009815-9</t>
  </si>
  <si>
    <t>818411.03.01</t>
  </si>
  <si>
    <t>Управление устойчивым развит. орг. и территорий: Моногр. / Под ред. Тумина В.М. - М.:НИЦ ИНФРА-М,2026 - 272 с.(п)</t>
  </si>
  <si>
    <t>УПРАВЛЕНИЕ УСТОЙЧИВЫМ РАЗВИТИЕМ ОРГАНИЗАЦИЙ И ТЕРРИТОРИЙ, ИЗД.1</t>
  </si>
  <si>
    <t>Тумин В.М., Зенкина Е.В., Иванова О.П. и др.</t>
  </si>
  <si>
    <t>978-5-16-019942-9</t>
  </si>
  <si>
    <t>38.04.01, 38.04.02, 38.04.04, 38.04.05, 38.04.09, 38.05.01, 38.06.01</t>
  </si>
  <si>
    <t>091400.10.01</t>
  </si>
  <si>
    <t>Управление факультетом: Уч. / Под ред. Резника С.Д. - 2 изд. - М.:НИЦ ИНФРА-М,2019 - 336 с.(П)</t>
  </si>
  <si>
    <t>УПРАВЛЕНИЕ ФАКУЛЬТЕТОМ, ИЗД.2</t>
  </si>
  <si>
    <t>978-5-16-006612-7</t>
  </si>
  <si>
    <t>091400.13.01</t>
  </si>
  <si>
    <t>Управление факультетом: Уч. / Под ред. Резника С.Д. - 3 изд. - М.:НИЦ ИНФРА-М,2024 - 393 с.(П)</t>
  </si>
  <si>
    <t>УПРАВЛЕНИЕ ФАКУЛЬТЕТОМ, ИЗД.3</t>
  </si>
  <si>
    <t>Антонов А.В., Вдовина О.А., Двоеглазов В.В. и др.</t>
  </si>
  <si>
    <t>978-5-16-015376-6</t>
  </si>
  <si>
    <t>667635.02.01</t>
  </si>
  <si>
    <t>Управление хранением и обработ.информ. в образ.:Моногр./ В.П.Лозинская-М.:НИЦ ИНФРА-М, СФУ,2023-130с</t>
  </si>
  <si>
    <t>УПРАВЛЕНИЕ ХРАНЕНИЕМ И ОБРАБОТКОЙ ИНФОРМАЦИИ В ОБРАЗОВАТЕЛЬНЫХ СРЕДАХ ДИСТАНЦИОННОГО ОБУЧЕНИЯ, ИЗД.1</t>
  </si>
  <si>
    <t>978-5-16-013242-6</t>
  </si>
  <si>
    <t>09.03.02, 09.03.03, 09.04.02, 09.04.03</t>
  </si>
  <si>
    <t>350900.04.01</t>
  </si>
  <si>
    <t>Управление ценами: Уч. / Карпов С.В.-М.:Вуз. уч., НИЦ ИНФРА-М,2022.-236 с..(Прикладной бакалавр.)(П)</t>
  </si>
  <si>
    <t>УПРАВЛЕНИЕ ЦЕНАМИ, ИЗД.1</t>
  </si>
  <si>
    <t>Карпова С.В., Русин В.Н., Рожков И.В. и др.</t>
  </si>
  <si>
    <t>Прикладной бакалавриат</t>
  </si>
  <si>
    <t>978-5-9558-0432-3</t>
  </si>
  <si>
    <t>Рекомендовано Учебно-методическим отделом высшего образования в качестве учебника для студентов высших учебных заведений, обучающихся по экономическим направлениям и специальностям</t>
  </si>
  <si>
    <t>350900.07.01</t>
  </si>
  <si>
    <t>Управление ценами: Уч. / С.В.Карпова - 2 изд. - М.:НИЦ ИНФРА-М,2026 - 258 с.(ВО)(П)</t>
  </si>
  <si>
    <t>УПРАВЛЕНИЕ ЦЕНАМИ, ИЗД.2</t>
  </si>
  <si>
    <t>978-5-16-022112-0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</si>
  <si>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(протокол № 8 от 19.10.2022)</t>
  </si>
  <si>
    <t>804386.02.01</t>
  </si>
  <si>
    <t>Управление цифровой трансформац. бизнеса: концепции...: Моногр. / С.А.Титов.-М.:НИЦ ИНФРА-М,2025.-223 с(о)</t>
  </si>
  <si>
    <t>УПРАВЛЕНИЕ ЦИФРОВОЙ ТРАНСФОРМАЦИЕЙ БИЗНЕСА: КОНЦЕПЦИИ, КЕЙСЫ, МЕТОДЫ И ИНСТРУМЕНТЫ, ИЗД.1</t>
  </si>
  <si>
    <t>Титов С.А., Линдер Н.В., Трачук А.В. и др.</t>
  </si>
  <si>
    <t>978-5-16-018697-9</t>
  </si>
  <si>
    <t>38.04.01, 38.04.02, 38.04.03, 38.04.05, 38.05.01, 38.05.02, 38.06.01</t>
  </si>
  <si>
    <t>829304.01.01</t>
  </si>
  <si>
    <t>Управление цифровой трансформацией орг...: Моногр. / И.В.Грошев - М.:НИЦ ИНФРА-М,2025. - 170 с.(п)</t>
  </si>
  <si>
    <t>УПРАВЛЕНИЕ ЦИФРОВОЙ ТРАНСФОРМАЦИЕЙ ОРГАНИЗАЦИИ В УСЛОВИЯХ СТАНОВЛЕНИЯ ЭКОНОМИКИ ДАННЫХ, ИЗД.1</t>
  </si>
  <si>
    <t>Грошев И.В., Жерегеля А.В.</t>
  </si>
  <si>
    <t>978-5-16-019990-0</t>
  </si>
  <si>
    <t>657952.05.01</t>
  </si>
  <si>
    <t>Управление чел. ресурс.: теор. и прак.: Уч.пос. / А.С.Лифшиц-М.:ИЦ РИОР, НИЦ ИНФРА-М,2024.-266 с.(ВО)(п)</t>
  </si>
  <si>
    <t>УПРАВЛЕНИЕ ЧЕЛОВЕЧЕСКИМИ РЕСУРСАМИ: ТЕОРИЯ И ПРАКТИКА, ИЗД.1</t>
  </si>
  <si>
    <t>Лифшиц А.С.</t>
  </si>
  <si>
    <t>978-5-369-01711-1</t>
  </si>
  <si>
    <t>059100.17.01</t>
  </si>
  <si>
    <t>Управление человеческими ресурсами: Уч. / Л.В.Карташова -М.:НИЦ ИНФРА-М, 2025 -235с(Уч.для прогр.MBA)(П)</t>
  </si>
  <si>
    <t>УПРАВЛЕНИЕ ЧЕЛОВЕЧЕСКИМИ РЕСУРСАМИ, ИЗД.1</t>
  </si>
  <si>
    <t>Карташова Л.В.</t>
  </si>
  <si>
    <t>978-5-16-002196-6</t>
  </si>
  <si>
    <t>21.02.15, 31.02.04, 38.02.03, 38.02.07, 38.02.08, 38.03.01, 38.03.03, 38.04.03, 41.03.06, 44.03.01</t>
  </si>
  <si>
    <t>461050.06.01</t>
  </si>
  <si>
    <t>Управление человеческими ресурсами: Уч.пос. / В.И.Еремин -М.:НИЦ ИНФРА-М,2024-272с.(ВО:Бакалавр.)(п)</t>
  </si>
  <si>
    <t>Еремин В.И., Шумаков Ю.Н., Жариков С.В. и др.</t>
  </si>
  <si>
    <t>978-5-16-009507-3</t>
  </si>
  <si>
    <t>Рекомендовано в качестве учебного пособия для студентов высших учебных заведений, обучающихся по направлениям подготовки 38.03.02 «Менеджмент», 41.03.06 «Публичная политика и социальные науки» (квалификация (степень) «бакалавр»)</t>
  </si>
  <si>
    <t>668757.04.01</t>
  </si>
  <si>
    <t>Управление человеческими ресурсами: Уч.пос. / И.Н.Ковалевич-М.:НИЦ ИНФРА-М, СФУ,2024-210с.(ВО))(п)</t>
  </si>
  <si>
    <t>Ковалевич И.Н., Ковалевич В.Т.</t>
  </si>
  <si>
    <t>978-5-16-013314-0</t>
  </si>
  <si>
    <t>44.04.01, 44.04.02</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</si>
  <si>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направлению подготовки магистров 44.03.01 «Педагогическое образование»</t>
  </si>
  <si>
    <t>466050.09.01</t>
  </si>
  <si>
    <t>Управление шк.: организац.и псих.-педагог.аспекты: Слов. / А.М.Моисеев - М.:Вуз.уч.,НИЦ ИНФРА-М,2025 - 476 с.(П)</t>
  </si>
  <si>
    <t>УПРАВЛЕНИЕ ШКОЛОЙ: ОРГАНИЗАЦИОННЫЕ И ПСИХОЛОГО-ПЕДАГОГИЧЕСКИЕ АСПЕКТЫ, ИЗД.1</t>
  </si>
  <si>
    <t>Моисеев А.М., Хван А.А., Капто А.Е. и др.</t>
  </si>
  <si>
    <t>978-5-9558-0368-5</t>
  </si>
  <si>
    <t>44.03.01, 44.03.02, 44.04.01, 44.04.02, 44.04.04, 44.06.01, 44.07.01</t>
  </si>
  <si>
    <t>Рекомендовано УМО в области подготовки педагогических кадров и УМО по психолого-педагогическому образованию в качестве учебного пособия для студентов вузов, обучающихся по направлениям 44.03.01 (050100) «Педагогическое образование» и 44.03.02 (050400</t>
  </si>
  <si>
    <t>417200.07.01</t>
  </si>
  <si>
    <t>Управление эконом.безоп. ВУЗ: Уч./С.Д.Резник - 2 изд. - М.:НИЦ ИНФРА-М,2022 - 345 с.(Менедж.в высш.шк.)(П)</t>
  </si>
  <si>
    <t>УПРАВЛЕНИЕ ЭКОНОМИЧЕСКОЙ БЕЗОПАСНОСТЬЮ ВЫСШЕГО УЧЕБНОГО ЗАВЕДЕНИЯ, ИЗД.2</t>
  </si>
  <si>
    <t>978-5-16-005365-3</t>
  </si>
  <si>
    <t>417200.08.01</t>
  </si>
  <si>
    <t>Управление эконом.безоп. ВУЗ: Уч./С.Д.Резник - 3 изд. - М.:НИЦ ИНФРА-М,2024 - 345 с.(Менедж.в высш.шк.)(П)</t>
  </si>
  <si>
    <t>УПРАВЛЕНИЕ ЭКОНОМИЧЕСКОЙ БЕЗОПАСНОСТЬЮ ВЫСШЕГО УЧЕБНОГО ЗАВЕДЕНИЯ, ИЗД.3</t>
  </si>
  <si>
    <t>Барабаш О.В., Боровская М.А., Вдовина О.А. и др.</t>
  </si>
  <si>
    <t>978-5-16-019065-5</t>
  </si>
  <si>
    <t>739561.04.01</t>
  </si>
  <si>
    <t>Управление экономическими кризисами: Моногр. / М.А.Сажина - М.:НИЦ ИНФРА-М,2025. - 238 с.(Науч.мысль)(П)</t>
  </si>
  <si>
    <t>УПРАВЛЕНИЕ ЭКОНОМИЧЕСКИМИ КРИЗИСАМИ: ПРОБЛЕМЫ ТЕОРИИ И ПРАКТИКИ, ИЗД.1</t>
  </si>
  <si>
    <t>978-5-16-016354-3</t>
  </si>
  <si>
    <t>38.03.01, 38.04.01, 38.04.08, 38.05.01, 38.06.01</t>
  </si>
  <si>
    <t>446100.09.01</t>
  </si>
  <si>
    <t>Управление эксплуат. работой на ж/д транспорте..: Уч.пос. / Д .Ю.Левин - М:НИЦ ИНФРА-М,2026 - 368 с.-(ВО)(П)</t>
  </si>
  <si>
    <t>УПРАВЛЕНИЕ ЭКСПЛУАТАЦИОННОЙ РАБОТОЙ НА ЖЕЛЕЗНОДОРОЖНОМ ТРАНСПОРТЕ: ТЕХНОЛОГИЯ И УПРАВЛЕНИЕ РАБОТОЙ ЖЕЛЕЗНОДОРОЖНЫХ УЧАСТКОВ И НАПРАВЛЕНИЙ, ИЗД.1</t>
  </si>
  <si>
    <t>978-5-16-021258-6</t>
  </si>
  <si>
    <t>23.05.01, 23.05.04</t>
  </si>
  <si>
    <t>Рекомендовано в качестве учебного пособия для студентов высших учебных заведений, обучающихся по направлению подготовки 23.03.01 «Технология транспортных процессов» (квалификация (степень) «бакалавр»)</t>
  </si>
  <si>
    <t>642768.10.01</t>
  </si>
  <si>
    <t>Управление эксплуатационной раб. на ж/д транспорте...: Уч.пос. / Д.Ю.Левин-М.:НИЦ ИНФРА-М,2025.-248 с.(ВО)(п)</t>
  </si>
  <si>
    <t>УПРАВЛЕНИЕ ЭКСПЛУАТАЦИОННОЙ РАБОТОЙ НА ЖЕЛЕЗНОДОРОЖНОМ ТРАНСПОРТЕ: ТЕХНОЛОГИЯ И УПРАВЛЕНИЕ ДВИЖЕНИЕМ НА ДОРОЖНОМ И СЕТЕВОМ УРОВНЯХ, ИЗД.1</t>
  </si>
  <si>
    <t>978-5-16-018423-4</t>
  </si>
  <si>
    <t>23.05.04, 23.05.05</t>
  </si>
  <si>
    <t>230800.14.01</t>
  </si>
  <si>
    <t>Управление эксплуатационной работой на ж/д транспорте: Уч.пос. / Д.Ю.Левин - М.: НИЦ ИНФРА-М,2027 - 384 с.(п)</t>
  </si>
  <si>
    <t>УПРАВЛЕНИЕ ЭКСПЛУАТАЦИОННОЙ РАБОТОЙ НА ЖЕЛЕЗНОДОРОЖНОМ ТРАНСПОРТЕ: ТЕХНОЛОГИЯ И УПРАВЛЕНИЕ РАБОТОЙ СТАНЦИЙ И УЗЛОВ, ИЗД.1</t>
  </si>
  <si>
    <t>Левин Д. Ю.</t>
  </si>
  <si>
    <t>978-5-16-009065-8</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</si>
  <si>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23.03.01 «Технология транспортных процессов» (квалификация (степень) «бакалавр», профиль подготовки «Организация перевозок и управление на железнодорожном транспорте»)</t>
  </si>
  <si>
    <t>447650.09.01</t>
  </si>
  <si>
    <t>Управление электрохозяйством: Уч. пос. / В.Я. Хорольский - М.: Форум:  НИЦ ИНФРА-М, 2026 - 256 с.(ВО) (о)</t>
  </si>
  <si>
    <t>УПРАВЛЕНИЕ ЭЛЕКТРОХОЗЯЙСТВОМ, ИЗД.1</t>
  </si>
  <si>
    <t>Хорольский В. Я., Таранов М. А.</t>
  </si>
  <si>
    <t>978-5-91134-792-5</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</si>
  <si>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направлениям подготовки 140400.62 «Электроэнергетика и электротехника» и 110800.62 «Агроинженерия»</t>
  </si>
  <si>
    <t>689280.07.01</t>
  </si>
  <si>
    <t>Управление электрохозяйством: Уч.пос. / В.Я.Хорольский - М.:Форум, НИЦ ИНФРА-М,2025 - 256 с.-(СПО)(П)</t>
  </si>
  <si>
    <t>978-5-00091-616-2</t>
  </si>
  <si>
    <t>13.01.10, 13.02.01, 13.02.02, 13.02.07, 13.02.12, 35.01.15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</si>
  <si>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13.02.07 «Электроснабжение (по отраслям)», 13.02.10 «Электрические машины и аппараты», 13.02.11 «Техническая эксплуатация и обслуживание электрического и электромеханического оборудования (по отраслям)»</t>
  </si>
  <si>
    <t>481600.05.01</t>
  </si>
  <si>
    <t>Управление эффект.утил.попутного нефтяного газа..: Моногр. / Н.А.Алексеева - М.:НИЦ ИНФРА-М,2025 - 124 с.(о)</t>
  </si>
  <si>
    <t>УПРАВЛЕНИЕ ЭФФЕКТИВНОСТЬЮ УТИЛИЗАЦИИ ПОПУТНОГО НЕФТЯНОГО ГАЗА МЕТОДОМ РЕАЛЬНЫХ ОПЦИОНОВ: ТЕОРИЯ, МЕТОДИКА, ЭФФЕКТИВНОСТЬ, ИЗД.1</t>
  </si>
  <si>
    <t>АлексееваН.А., ИбрагимоваА.В.</t>
  </si>
  <si>
    <t>978-5-16-011708-9</t>
  </si>
  <si>
    <t>02.04.03, 38.04.01, 38.04.02, 38.06.01</t>
  </si>
  <si>
    <t>756593.03.01</t>
  </si>
  <si>
    <t>Управление ЯЛ-6 на веслах и под парусом: Уч.пос. / М.Сиротенко - М.:НИЦ ИНФРА-М,2026. - 127 с.(п)</t>
  </si>
  <si>
    <t>УПРАВЛЕНИЕ ЯЛ-6 НА ВЕСЛАХ И ПОД ПАРУСОМ, ИЗД.1</t>
  </si>
  <si>
    <t>Сиротенко М.</t>
  </si>
  <si>
    <t>978-5-16-018598-9</t>
  </si>
  <si>
    <t>Рекомендовано Экспертным советом ЧВВМУ имени П.С. Нахимова в качестве учебного пособия по дисциплине «Морская практика», «Управление маневрами корабля и морская практика» для курсантов и студентов, обучающихся по специальности «Применение и эксплуатация технических систем надводных кораблей и подводных лодок», «Строительство, ремонт и поисково-спасательное обеспечение надводных кораблей и подводных лодок», «Автоматические системы управления», «Судовождение», «Применение и эксплуатация технических систем надводных кораблей и подводных лодок»</t>
  </si>
  <si>
    <t>654518.05.01</t>
  </si>
  <si>
    <t>Управленческая культура в системе органов внутр.дел: Моногр. / Д.Г.Передня-М.:НИЦ ИНФРА-М,2024-103с</t>
  </si>
  <si>
    <t>УПРАВЛЕНЧЕСКАЯ КУЛЬТУРА В СИСТЕМЕ ОРГАНОВ ВНУТРЕННИХ ДЕЛ, ИЗД.1</t>
  </si>
  <si>
    <t>978-5-16-012796-5</t>
  </si>
  <si>
    <t>060150.19.01</t>
  </si>
  <si>
    <t>Управленческая психология: Уч. / О.Д. Волкогонова - М.: ИД ФОРУМ:  НИЦ Инфра-М, 2025. - 352 с.(ПО)</t>
  </si>
  <si>
    <t>УПРАВЛЕНЧЕСКАЯ ПСИХОЛОГИЯ, ИЗД.1</t>
  </si>
  <si>
    <t>Волкогонова О. Д., Зуб А. Т.</t>
  </si>
  <si>
    <t>978-5-8199-0969-0</t>
  </si>
  <si>
    <t>Рекомендовано Министерством образования и науки РФ в качестве учебника для студентов учреждений среднего профессионального образования, обучающихся по группе специальностей "Экономика и управление"</t>
  </si>
  <si>
    <t>660886.01.01</t>
  </si>
  <si>
    <t>Управленческая экономика: анализ... : Уч.пос. / И.Г.Кукукина, - 2-е изд.-М.:НИЦ ИНФРА-М,2023.-248 с.(П)</t>
  </si>
  <si>
    <t>УПРАВЛЕНЧЕСКАЯ ЭКОНОМИКА: АНАЛИЗ И ДИАГНОСТИКА ДЕЯТЕЛЬНОСТИ ПРЕДПРИЯТИЯ, ИЗД.2</t>
  </si>
  <si>
    <t>Кукукина И.Г., Макарова А.В.</t>
  </si>
  <si>
    <t>978-5-16-014597-6</t>
  </si>
  <si>
    <t>443700.07.01</t>
  </si>
  <si>
    <t>Управленческая экономика: Уч. / М.А.Сажина-М.:ИД ФОРУМ, НИЦ ИНФРА-М,2023-208 с.(ВО)(П)</t>
  </si>
  <si>
    <t>УПРАВЛЕНЧЕСКАЯ ЭКОНОМИКА, ИЗД.1</t>
  </si>
  <si>
    <t>978-5-8199-0907-2</t>
  </si>
  <si>
    <t>Рекомендовано Ученым советом факультета государственного управления Московского государственного университета имени М.В. Ломоносова в качестве учебника для студентов, обучающихся в магистратуре по экономическим и управленческим специальностям</t>
  </si>
  <si>
    <t>319400.07.01</t>
  </si>
  <si>
    <t>Управленческая экономика: Уч.пос (ФГОС) / Г.В.Голикова. - М.:НИЦ ИНФРА-М,2025. - 216 с.(ВО:Магистратура)</t>
  </si>
  <si>
    <t>Г.В.Голикова, Д.С.Петров, И.В.Трушина и др.</t>
  </si>
  <si>
    <t>978-5-16-010421-8</t>
  </si>
  <si>
    <t>38.04.01, 38.04.02, 38.04.04, 38.05.01</t>
  </si>
  <si>
    <t>464800.07.01</t>
  </si>
  <si>
    <t>Управленческая экономика: Уч.пос. / А.С.Лифшиц - М.:ИЦ РИОР,НИЦ ИНФРА-М,2026 - 121 с.(ВО:Магистр.)(о)</t>
  </si>
  <si>
    <t>978-5-369-01508-7</t>
  </si>
  <si>
    <t>645534.08.01</t>
  </si>
  <si>
    <t>Управленческая экономика: Уч.пос. / Р.А.Бурганов-М.:НИЦ ИНФРА-М,2024.-190 с(ВО: Магистратура)(П )</t>
  </si>
  <si>
    <t>Бурганов Р.А.</t>
  </si>
  <si>
    <t>978-5-16-012523-7</t>
  </si>
  <si>
    <t>Рекомендовано в качестве учебного пособия для студентов высших учебных заведений, обучающихся по направлениям подготовки 38.04.02 «Менеджмент», 38.04.01 «Экономика» (квалификация (степень) «магистр»)</t>
  </si>
  <si>
    <t>029337.19.01</t>
  </si>
  <si>
    <t>Управленческие решения: Уч. / Р.А. Фатхутдинов. - 6 изд. - М.: ИНФРА-М, 2024. - 344 с. (П)</t>
  </si>
  <si>
    <t>УПРАВЛЕНЧЕСКИЕ РЕШЕНИЯ, ИЗД.6</t>
  </si>
  <si>
    <t>978-5-16-002416-5</t>
  </si>
  <si>
    <t>0605</t>
  </si>
  <si>
    <t>111500.10.01</t>
  </si>
  <si>
    <t>Управленческие решения: Уч. / Э.А.Смирнов - М.:ИЦ РИОР,НИЦ ИНФРА-М,2023-362 с.-(ВО)(п)</t>
  </si>
  <si>
    <t>УПРАВЛЕНЧЕСКИЕ РЕШЕНИЯ, ИЗД.1</t>
  </si>
  <si>
    <t>Смирнов Э. А.</t>
  </si>
  <si>
    <t>978-5-369-00521-7</t>
  </si>
  <si>
    <t>38.03.02, 38.03.03, 38.03.04, 38.03.05, 38.04.02, 38.04.03, 38.04.04, 38.04.05, 38.05.01, 44.03.05</t>
  </si>
  <si>
    <t>Рекомендовано Советом Учебно-методического объединения вузов России по образованию в области менеджмента в качестве учебника для студентов высших учебных заведений по специальности "Государственное и муниципальное управление"</t>
  </si>
  <si>
    <t>108430.08.01</t>
  </si>
  <si>
    <t>Управленческие решения: Уч.пос. / А.Л.Ломакин. - 2 изд. - М.:Форум,НИЦ ИНФРА-М,2024 - 176 с.(СПО)(о)</t>
  </si>
  <si>
    <t>УПРАВЛЕНЧЕСКИЕ РЕШЕНИЯ, ИЗД.2</t>
  </si>
  <si>
    <t>Ломакин А. Л., Буров В. П., Морошкин В. А.</t>
  </si>
  <si>
    <t>978-5-91134-345-3</t>
  </si>
  <si>
    <t>27.00.00, 38.00.00, 00.02.38, 11.02.18, 21.02.15</t>
  </si>
  <si>
    <t>146900.07.01</t>
  </si>
  <si>
    <t>Управленческий анализ в различных отраслях: Уч.пос. / Н.А.Казакова-М.:НИЦ ИНФРА-М,2024.-288 с.(ВО)(П)</t>
  </si>
  <si>
    <t>УПРАВЛЕНЧЕСКИЙ АНАЛИЗ В РАЗЛИЧНЫХ ОТРАСЛЯХ, ИЗД.1</t>
  </si>
  <si>
    <t>978-5-16-004612-9</t>
  </si>
  <si>
    <t>38.03.01, 38.03.02, 38.03.04, 38.03.05, 38.04.01, 38.04.02, 38.04.04, 38.04.08</t>
  </si>
  <si>
    <t>Рекомендовано УМО по образованию в обл. финансов, учета и мировой экономики в качестве уч. пособия для студентов вузов, обучающихся по спец. "Бухгалтерский учет, анализ и аудит", "Финансы и кредит", "Налоги и налогообложение"</t>
  </si>
  <si>
    <t>203400.10.01</t>
  </si>
  <si>
    <t>Управленческий анализ:  комплек. анал..: Уч. / Н.А.Казакова - 2 изд. - М.: НИЦ ИНФРА-М, 2026 - 261с.(ВО) (П)</t>
  </si>
  <si>
    <t>УПРАВЛЕНЧЕСКИЙ АНАЛИЗ:  КОМПЛЕКСНЫЙ АНАЛИЗ И ДИАГНОСТИКА ПРЕДПРИНИМАТЕЛЬСКОЙ ДЕЯТЕЛЬНОСТИ, ИЗД.2</t>
  </si>
  <si>
    <t>978-5-16-005758-3</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</si>
  <si>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«Финансы и кредит», «Налоги и налогообложение»</t>
  </si>
  <si>
    <t>145050.09.01</t>
  </si>
  <si>
    <t>Управленческий анализ: воп. теории, прак...: Моногр. / М.А.Вахрушина - М.:Вуз.уч., ИНФРА-М,2026 - 144 с.(п)</t>
  </si>
  <si>
    <t>УПРАВЛЕНЧЕСКИЙ АНАЛИЗ: ВОПРОСЫ ТЕОРИИ, ПРАКТИКА ПРОВЕДЕНИЯ, ИЗД.1</t>
  </si>
  <si>
    <t>Вахрушина М. А., Самарина Л. Б.</t>
  </si>
  <si>
    <t>978-5-9558-0175-9</t>
  </si>
  <si>
    <t>38.03.01, 38.03.02, 38.03.04, 38.04.01, 38.04.02, 38.04.04, 38.06.01, 38.07.02</t>
  </si>
  <si>
    <t>753714.02.01</t>
  </si>
  <si>
    <t>Управленческий анализ: Уч. / Е.В.Никифорова.-М.:НИЦ ИНФРА-М,2023.-225 с..-(ВО: Магистр.)(П)</t>
  </si>
  <si>
    <t>УПРАВЛЕНЧЕСКИЙ АНАЛИЗ, ИЗД.1</t>
  </si>
  <si>
    <t>Никифорова Е.В., Куприянова Л.М., Шнайдер О.В. и др.</t>
  </si>
  <si>
    <t>978-5-16-016953-8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</si>
  <si>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38.04.01 «Экономика» (квалификация (степень) «магистр») (протокол № 7 от 22.09.2021)</t>
  </si>
  <si>
    <t>639546.09.01</t>
  </si>
  <si>
    <t>Управленческий консалтинг: Уч. / Ю.Н.Лапыгин - М.:НИЦ ИНФРА-М,2027. - 330 с.(ВО)(п)</t>
  </si>
  <si>
    <t>УПРАВЛЕНЧЕСКИЙ КОНСАЛТИНГ, ИЗД.1</t>
  </si>
  <si>
    <t>978-5-16-018789-1</t>
  </si>
  <si>
    <t>38.03.01, 38.03.02, 38.03.03, 38.03.04, 38.04.04, 41.03.06</t>
  </si>
  <si>
    <t>Рекомендовано в качестве учебника для студентов высших учебных заведений, обучающихся по направлениям подготовки 38.03.02 «Менеджмент», 38.03.03 «Управление персоналом», 38.03.04 «Государственное и муниципальное управление» (квалификация (степень) «бакалавр»)</t>
  </si>
  <si>
    <t>231400.05.01</t>
  </si>
  <si>
    <t>Управленческий потенциал высших уч. заведений России  / С.Д.Резник - М.:НИЦ ИНФРА-М,2022 - 289 с.(О)</t>
  </si>
  <si>
    <t>УПРАВЛЕНЧЕСКИЙ ПОТЕНЦИАЛ ВЫСШИХ УЧЕБНЫХ ЗАВЕДЕНИЙ РОССИИ: ОЦЕНКА, ОПЫТ, ПЕРСПЕКТИВЫ, ИЗД.1</t>
  </si>
  <si>
    <t>Резник С. Д., Сазыкина О. А., Фомин Г. Б.</t>
  </si>
  <si>
    <t>978-5-16-009077-1</t>
  </si>
  <si>
    <t>804019.01.01</t>
  </si>
  <si>
    <t>Управленческий учет (продвинутый курс): Уч.пос. / А.Х.Курманова - М.:НИЦ ИНФРА-М,2025. - 263 с.(ВО)(п)</t>
  </si>
  <si>
    <t>УПРАВЛЕНЧЕСКИЙ УЧЕТ (ПРОДВИНУТЫЙ КУРС), ИЗД.1</t>
  </si>
  <si>
    <t>978-5-16-018737-2</t>
  </si>
  <si>
    <t>Рекомендовано ученым советом федерального государственного бюджетного образовательного учреждения высшего образования «Оренбургский государственный университет» в качестве учебного пособия для обучающихся по образовательным программам высшего образования 38.04.01 Экономика</t>
  </si>
  <si>
    <t>634746.08.01</t>
  </si>
  <si>
    <t>Управленческий учет в бюджетных учреж...: Уч. / Под ред. Вахрушина М.А. - М.:НИЦ ИНФРА-М,2026. - 154 с.(ВО)(п)</t>
  </si>
  <si>
    <t>УПРАВЛЕНЧЕСКИЙ УЧЕТ В БЮДЖЕТНЫХ УЧРЕЖДЕНИЯХ, ИЗД.1</t>
  </si>
  <si>
    <t>Вахрушина М.А., Демина И.Д., Сидорова М.И. и др.</t>
  </si>
  <si>
    <t>978-5-16-022196-0</t>
  </si>
  <si>
    <t>791864.04.01</t>
  </si>
  <si>
    <t>Управленческий учет в контексте устойчивого развития / М.А.Вахрушина-М.:НИЦ ИНФРА-М,2024.-250 с.(О)</t>
  </si>
  <si>
    <t>УПРАВЛЕНЧЕСКИЙ УЧЕТ В КОНТЕКСТЕ УСТОЙЧИВОГО РАЗВИТИЯ: ВОЗМОЖНОСТИ И ПЕРСПЕКТИВЫ, ИЗД.1</t>
  </si>
  <si>
    <t>Вахрушина М.А., Андреева М.П., Анисимов А.С. и др.</t>
  </si>
  <si>
    <t>978-5-16-018102-8</t>
  </si>
  <si>
    <t>430800.10.01</t>
  </si>
  <si>
    <t>Управленческий учет в сельском хозяйстве: Уч./ Л.И.Хоружий - М.: НИЦ ИНФРА-М,2026 - 207 с.(ВО:Бакалавр.)(п)</t>
  </si>
  <si>
    <t>УПРАВЛЕНЧЕСКИЙ УЧЕТ В СЕЛЬСКОМ ХОЗЯЙСТВЕ, ИЗД.1</t>
  </si>
  <si>
    <t>Хоружий Л. И., Костина О. И., Губернаторова Н. Н., Сергеева И. А., Хоружий Л. И.</t>
  </si>
  <si>
    <t>978-5-16-006407-9</t>
  </si>
  <si>
    <t>Рекомендовано Учебно-методическим объединением по образованию в области финансов, учета и мировой экономики в качестве учебника для студентов сельскохозяйственных вузов</t>
  </si>
  <si>
    <t>127250.06.01</t>
  </si>
  <si>
    <t>Управленческий учет и анализ в розн. торг. одеждой: Уч. пос./ О.В. Ивашкевич. Магистр,НИЦ ИНФРА-М,2024-128с.</t>
  </si>
  <si>
    <t>УПРАВЛЕНЧЕСКИЙ УЧЕТ И АНАЛИЗ В РОЗНИЧНОЙ ТОРГОВЛЕ ОДЕЖДОЙ, ИЗД.1</t>
  </si>
  <si>
    <t>Ивашкевич О. В.</t>
  </si>
  <si>
    <t>978-5-9776-0145-0</t>
  </si>
  <si>
    <t>38.03.01, 38.03.02, 38.03.06, 38.03.07, 38.04.01, 38.04.02, 38.04.05, 38.04.06, 38.04.07, 38.04.08, 41.03.06</t>
  </si>
  <si>
    <t>411350.06.01</t>
  </si>
  <si>
    <t>Управленческий учет и анализ испол. тех.оснастки: Моногр. / С.А.Калиновский - М.:НИЦ ИНФРА-М,2025 - 156 с.(о)</t>
  </si>
  <si>
    <t>УПРАВЛЕНЧЕСКИЙ УЧЕТ И АНАЛИЗ ИСПОЛЬЗОВАНИЯ ТЕХНОЛОГИЧЕСКОЙ ОСНАСТКИ, ИЗД.1</t>
  </si>
  <si>
    <t>Калиновский С. А.</t>
  </si>
  <si>
    <t>978-5-16-006454-3</t>
  </si>
  <si>
    <t>133350.09.01</t>
  </si>
  <si>
    <t>Управленческий учет и анализ.С пример.из рос.практ.:Уч.пос./В.И.Петрова-М.:НИЦ ИНФРА-М,2024-303c(ВО)</t>
  </si>
  <si>
    <t>УПРАВЛЕНЧЕСКИЙ УЧЕТ И АНАЛИЗ. С ПРИМЕРАМИ ИЗ РОССИЙСКОЙ И ЗАРУБЕЖНОЙ ПРАКТИКИ, ИЗД.1</t>
  </si>
  <si>
    <t>Петрова В. И., Петров А. Ю., Кобищан И. В., Козельцева Е. А.</t>
  </si>
  <si>
    <t>978-5-16-009750-3</t>
  </si>
  <si>
    <t>800431.04.01</t>
  </si>
  <si>
    <t>Управленческий учет и анализ: Уч. / Е.В.Никифорова и др. - М.:НИЦ ИНФРА-М,2026. - 183 с.(ВО)(п)</t>
  </si>
  <si>
    <t>УПРАВЛЕНЧЕСКИЙ УЧЕТ И АНАЛИЗ, ИЗД.1</t>
  </si>
  <si>
    <t>Никифорова Е.В., Шнайдер О.В., Куприянова Л.М. и др.</t>
  </si>
  <si>
    <t>978-5-16-019467-7</t>
  </si>
  <si>
    <t>461650.04.01</t>
  </si>
  <si>
    <t>Управленческий учет и защита учет. информ.: тесты: Уч. пос. /И.Е. Мизиковский-М:Магистр: ИНФРА-М, 2023 - 112с (о)</t>
  </si>
  <si>
    <t>УПРАВЛЕНЧЕСКИЙ УЧЕТ И ЗАЩИТА УЧЕТНОЙ ИНФОРМАЦИИ: ТЕСТЫ, ИЗД.1</t>
  </si>
  <si>
    <t>Мизиковский И. Е., Милосердова А. Н., Ясенев В. Н.</t>
  </si>
  <si>
    <t>978-5-9776-0303-4</t>
  </si>
  <si>
    <t>653183.03.01</t>
  </si>
  <si>
    <t>Управленческий учет и отчетность по сегментам: Монография / О.Р.Кондрашова-М.:НИЦ ИНФРА-М,2020.-236 с..-(Науч.мысль)(П 7БЦ)</t>
  </si>
  <si>
    <t>УПРАВЛЕНЧЕСКИЙ УЧЕТ И ОТЧЕТНОСТЬ ПО СЕГМЕНТАМ, ИЗД.1</t>
  </si>
  <si>
    <t>Кондрашова О.Р.</t>
  </si>
  <si>
    <t>978-5-16-012714-9</t>
  </si>
  <si>
    <t>38.03.01, 38.03.02, 38.03.06, 38.04.01, 38.04.02, 38.04.06, 38.04.08, 41.03.06</t>
  </si>
  <si>
    <t>746506.01.01</t>
  </si>
  <si>
    <t>Управленческий учет расходов промыш. предпр.: Моногр. / В.И.Осипов-М.:НИЦ ИНФРА-М,2021.-199 с.(Науч.мысль)(О)</t>
  </si>
  <si>
    <t>УПРАВЛЕНЧЕСКИЙ УЧЕТ РАСХОДОВ ПРОМЫШЛЕННОГО ПРЕДПРИЯТИЯ, ИЗД.1</t>
  </si>
  <si>
    <t>978-5-16-016646-9</t>
  </si>
  <si>
    <t>38.03.01, 38.03.02, 38.04.01, 38.06.01, 41.03.06</t>
  </si>
  <si>
    <t>660482.06.01</t>
  </si>
  <si>
    <t>Управленческий учет: Уч. / Под ред. Серебрякова Т.Ю.-М.:НИЦ ИНФРА-М,2024.-553 с..-(ВО)(п)</t>
  </si>
  <si>
    <t>УПРАВЛЕНЧЕСКИЙ УЧЕТ, ИЗД.1</t>
  </si>
  <si>
    <t>Серебрякова Т.Ю., Бирюкова О.А., Иванов Е.А. и др.</t>
  </si>
  <si>
    <t>978-5-16-019261-1</t>
  </si>
  <si>
    <t>469250.05.01</t>
  </si>
  <si>
    <t>Управленческий учет: Уч. пос. / Под ред. Ю.И.Сигидова - М.:НИЦ ИНФРА-М,2026 - 240 с.(ВО:Бакалавр.) (п)</t>
  </si>
  <si>
    <t>978-5-16-009948-4</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</si>
  <si>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з качестве учебного пособия для студентов высших учебных заведений, обучающихся по направлениям подготовки 38.03.01.62 "Экономика», 38.03.02.62 «Менеджмент» (квалификация (степень) «бакалавр»)</t>
  </si>
  <si>
    <t>863933.01.01</t>
  </si>
  <si>
    <t>Управленческий учет: Уч.пос. / Н.Г.Гаджиев и др. - М.:НИЦ ИНФРА-М,2026. - 196 с.(СПО)(п)</t>
  </si>
  <si>
    <t>978-5-16-021363-7</t>
  </si>
  <si>
    <t>794470.01.01</t>
  </si>
  <si>
    <t>Управленческий учет: Уч.пос. / Н.Г.Гаджиев и др.-М.:НИЦ ИНФРА-М,2024.-267 с.(ВО: Бакалавриат)(п)</t>
  </si>
  <si>
    <t>978-5-16-018244-5</t>
  </si>
  <si>
    <t>763746.01.01</t>
  </si>
  <si>
    <t>Управленческий экономический анализ: Уч.пос. / С.А.Бороненкова - 2 изд.-М.:НИЦ ИНФРА-М,2024.-267 с.(ВО)(п)</t>
  </si>
  <si>
    <t>УПРАВЛЕНЧЕСКИЙ ЭКОНОМИЧЕСКИЙ АНАЛИЗ, ИЗД.2</t>
  </si>
  <si>
    <t>978-5-16-017178-4</t>
  </si>
  <si>
    <t>38.03.01, 38.03.02, 38.04.01, 38.05.01, 41.03.06</t>
  </si>
  <si>
    <t>339200.04.98</t>
  </si>
  <si>
    <t>Управленческое консультир.: Уч.пос. / О.Л.Чуланова,-2изд.-М.:НИЦ ИНФРА-М,2017-201с.(ВО:Магистр.)(п)</t>
  </si>
  <si>
    <t>УПРАВЛЕНЧЕСКОЕ КОНСУЛЬТИРОВАНИЕ, ИЗД.2</t>
  </si>
  <si>
    <t>978-5-16-010726-4</t>
  </si>
  <si>
    <t>38.03.01, 38.03.02, 38.03.03, 38.04.03, 41.03.06</t>
  </si>
  <si>
    <t>Рекомендовано в качестве учебного пособия для студентов высших учебных заведений, обучающихся по направлению подготовки 38.04.03 «Управление персоналом» (квалификация (степень) «магистр»)</t>
  </si>
  <si>
    <t>173150.11.01</t>
  </si>
  <si>
    <t>Управленческое консультирование: Уч.пос. / М.М.Соколова-М.:НИЦ ИНФРА-М,2024.-215 с.(ВО)(п)</t>
  </si>
  <si>
    <t>УПРАВЛЕНЧЕСКОЕ КОНСУЛЬТИРОВАНИЕ, ИЗД.1</t>
  </si>
  <si>
    <t>Соколова М.М.</t>
  </si>
  <si>
    <t>978-5-16-019021-1</t>
  </si>
  <si>
    <t>38.03.01, 38.03.02, 38.03.03, 38.03.04, 38.04.02, 38.04.04, 41.03.06</t>
  </si>
  <si>
    <t>339200.12.01</t>
  </si>
  <si>
    <t>Управленческое консультирование: Уч.пос. / О.Л.Чуланова - 3 изд. - М.:НИЦ ИНФРА-М,2025  - 230 с.(ВО)(П)</t>
  </si>
  <si>
    <t>УПРАВЛЕНЧЕСКОЕ КОНСУЛЬТИРОВАНИЕ, ИЗД.3</t>
  </si>
  <si>
    <t>978-5-16-013009-5</t>
  </si>
  <si>
    <t>270700.05.01</t>
  </si>
  <si>
    <t>Управляемые цепи Маркова в экономике..: Уч. / Г.А. Соколов - 2 изд. - М.: НИЦ ИНФРА-М, 2025 - 158 с.(о)</t>
  </si>
  <si>
    <t>УПРАВЛЯЕМЫЕ ЦЕПИ МАРКОВА В ЭКОНОМИКЕ (ДИСКРЕТНЫЕ ЦЕПИ МАРКОВА С ДОХОДАМИ), ИЗД.2</t>
  </si>
  <si>
    <t>978-5-16-009657-5</t>
  </si>
  <si>
    <t>01.03.02, 01.04.02, 02.03.02, 03.03.02, 04.03.02, 38.03.01, 38.04.01</t>
  </si>
  <si>
    <t>Рекомендовано УМО по образованию в области прикладной информатики, статистики, антикризисного управления и математических методов в качестве учебника для студентов, обучающихся по направлению подготовки бакалавров 38.03.01 (080100) ''Экономика"</t>
  </si>
  <si>
    <t>704194.04.01</t>
  </si>
  <si>
    <t>Уравнения математической физики.Практ.Компьютер..:Уч.пос./К.В.Титов-М.:ИЦ РИОР,НИЦ ИНФРА-М,2023-262с</t>
  </si>
  <si>
    <t>УРАВНЕНИЯ МАТЕМАТИЧЕСКОЙ ФИЗИКИ. ПРАКТИКУМ. КОМПЬЮТЕРНЫЕ ТЕХНОЛОГИИ РЕШЕНИЯ ЗАДАЧ, ИЗД.1</t>
  </si>
  <si>
    <t>Титов К.В.</t>
  </si>
  <si>
    <t>978-5-369-01812-5</t>
  </si>
  <si>
    <t>00.00.00, 01.03.01, 01.03.02, 01.03.03, 01.03.04, 01.04.01, 01.04.02, 01.04.03, 01.04.04, 01.05.01, 02.03.01, 02.03.02, 02.03.03, 03.03.01, 03.03.02, 03.03.03, 03.04.01, 03.04.02, 03.04.03, 04.03.02, 15.03.03, 16.03.03</t>
  </si>
  <si>
    <t>437900.08.01</t>
  </si>
  <si>
    <t>Уравнения математической физики: Уч./ В.В.Лесин - М.:КУРС, НИЦ ИНФРА-М,2026 - 240 с.(ВО: Бакалавриат) (П)</t>
  </si>
  <si>
    <t>УРАВНЕНИЯ МАТЕМАТИЧЕСКОЙ ФИЗИКИ, ИЗД.1</t>
  </si>
  <si>
    <t>Лесин В.В.</t>
  </si>
  <si>
    <t>978-5-906818-61-4</t>
  </si>
  <si>
    <t>01.03.04, 02.03.03, 04.03.02, 15.03.03, 16.03.03, 21.04.01</t>
  </si>
  <si>
    <t>766270.01.01</t>
  </si>
  <si>
    <t>Урбогеосистемы речных долин...: Моногр. / Под ред. Кочурова Б.И. - М.:НИЦ ИНФРА-М,2022 - 326 с(О)</t>
  </si>
  <si>
    <t>УРБОГЕОСИСТЕМЫ РЕЧНЫХ ДОЛИН. ПРИРОДНО-ЛАНДШАФТНЫЕ ОСОБЕННОСТИ, ТИПОЛОГИЯ, ЗЕМЛЕУСТРОЙСТВО, ИЗД.1</t>
  </si>
  <si>
    <t>Фирсова Н.В., Кочуров Б.И.</t>
  </si>
  <si>
    <t>978-5-16-017249-1</t>
  </si>
  <si>
    <t>05.04.02, 05.04.06, 05.06.01</t>
  </si>
  <si>
    <t>641265.02.01</t>
  </si>
  <si>
    <t>Урболандшафты на овражно-балочном рельефе: Моногр. / И.М.Евграфова - М.:НИЦ ИНФРА-М,2023 - 335 с.(П)</t>
  </si>
  <si>
    <t>УРБОЛАНДШАФТЫ НА ОВРАЖНО-БАЛОЧНОМ РЕЛЬЕФЕ, ИЗД.1</t>
  </si>
  <si>
    <t>Евграфова И.М.</t>
  </si>
  <si>
    <t>978-5-16-014305-7</t>
  </si>
  <si>
    <t>766714.01.01</t>
  </si>
  <si>
    <t>Урболюция: Моногр. / С.В.Борзых - М.:НИЦ ИНФРА-М,2022 - 183 с.(Науч.мысль)(О)</t>
  </si>
  <si>
    <t>УРБОЛЮЦИЯ, ИЗД.1</t>
  </si>
  <si>
    <t>978-5-16-017302-3</t>
  </si>
  <si>
    <t>660920.06.01</t>
  </si>
  <si>
    <t>Урбоэкодиагностика и сбалансиров.развитие Москвы: Моногр. / И.В.Ивашкина - М.:НИЦ ИНФРА-М,2026 - 202 с.(П)</t>
  </si>
  <si>
    <t>УРБОЭКОДИАГНОСТИКА И СБАЛАНСИРОВАННОЕ РАЗВИТИЕ МОСКВЫ, ИЗД.1</t>
  </si>
  <si>
    <t>Ивашкина И.В., Кочуров Б.И.</t>
  </si>
  <si>
    <t>978-5-16-013019-4</t>
  </si>
  <si>
    <t>07.03.01, 07.03.04, 07.04.04, 08.03.01</t>
  </si>
  <si>
    <t>Научно-исследовательский и проектный институт Генерального плана города Москвы</t>
  </si>
  <si>
    <t>782287.05.01</t>
  </si>
  <si>
    <t>Урбоэкология и мониторинг: Уч.пос. / И.С.Коротченко - М.:НИЦ ИНФРА-М,2027. - 159 с.(ВО (КрГАУ))(п)</t>
  </si>
  <si>
    <t>УРБОЭКОЛОГИЯ И МОНИТОРИНГ, ИЗД.1</t>
  </si>
  <si>
    <t>Коротченко И.С.</t>
  </si>
  <si>
    <t>978-5-16-022379-7</t>
  </si>
  <si>
    <t>05.04.06, 35.03.01, 35.03.10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</si>
  <si>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35.03.10 «Ландшафтная архитектура» (квалификация (степень) «бакалавр») (протокол № 8 от 19.10.2022)</t>
  </si>
  <si>
    <t>138450.11.01</t>
  </si>
  <si>
    <t>Урегулирование конфликта интересов и противодейст.корруп..: Уч.пос./С.Ю.Кабашов-М.:ИНФРА-М,2024-192с(п)</t>
  </si>
  <si>
    <t>УРЕГУЛИРОВАНИЕ КОНФЛИКТА ИНТЕРЕСОВ И ПРОТИВОДЕЙСТВИЕ КОРРУПЦИИ НА ГРАЖДАНСКОЙ И МУНИЦИПАЛЬНОЙ СЛУЖБЕ: ТЕОРИЯ И ПРАКТИКА, ИЗД.1</t>
  </si>
  <si>
    <t>978-5-16-019719-7</t>
  </si>
  <si>
    <t>Допущено Советом Учебно-методического объединения по образованию в области менеджмента в качестве учебного пособия по дисциплине региональной составляющей специальности "Государственное и муниципальное управление"</t>
  </si>
  <si>
    <t>216100.07.01</t>
  </si>
  <si>
    <t>Урок матем. в дореволюц. средней школе: Моногр./ О.А.Саввина - М.:НИЦ ИНФРА-М,2026 - 80 с.(Науч.мысль)(О)</t>
  </si>
  <si>
    <t>УРОК МАТЕМАТИКИ В ДОРЕВОЛЮЦИОННОЙ СРЕДНЕЙ ШКОЛЕ, ИЗД.1</t>
  </si>
  <si>
    <t>Саввина О.А., Марушкина И.А.</t>
  </si>
  <si>
    <t>978-5-16-006909-8</t>
  </si>
  <si>
    <t>44.03.01, 44.03.04, 44.03.05, 44.04.04</t>
  </si>
  <si>
    <t>719349.07.01</t>
  </si>
  <si>
    <t>Урок технологии в начальной школе...: Уч.мет.пос./ Е.В.Алексеенко - М.:НИЦ ИНФРА-М,2026. - 202 с.(СПО)(п)</t>
  </si>
  <si>
    <t>УРОК ТЕХНОЛОГИИ В НАЧАЛЬНОЙ ШКОЛЕ. ОРГАНИЗАЦИОННО-МЕТОДИЧЕСКОЕ ОБЕСПЕЧЕНИЕ УЧЕБНОГО ПРОЦЕССА, ИЗД.1</t>
  </si>
  <si>
    <t>Алексеенко Е.В.</t>
  </si>
  <si>
    <t>978-5-16-015623-1</t>
  </si>
  <si>
    <t>44.02.01, 44.02.02, 44.02.03, 44.02.04, 44.02.05, 54.02.06</t>
  </si>
  <si>
    <t>Рекомендовано Межрегиональным учебно-методическим советом профессионального образования в качестве учебно-методического пособия для учебных заведений, реализующих программу среднего профессионального образования по специальности 44.02.02 «Преподавание в начальных классах» (протокол № 12 от 24.06.2019)</t>
  </si>
  <si>
    <t>645574.08.01</t>
  </si>
  <si>
    <t>Урок технологии в начальной школе..: Уч. метод. пос. / Е.В.Алексеенко - М.:НИЦ ИНФРА-М,2026 - 202 с.(П)</t>
  </si>
  <si>
    <t>978-5-16-014294-4</t>
  </si>
  <si>
    <t>44.03.01, 44.03.04, 44.03.05, 44.04.01</t>
  </si>
  <si>
    <t>157800.13.01</t>
  </si>
  <si>
    <t>Уроки поэзии: Поэтич. шедевры рус. поэтов XVIII...: Уч. пос. / Г.А.Обернихина - ИНФРА-М, 2026 - 464 с.(СПО)(п)</t>
  </si>
  <si>
    <t>УРОКИ ПОЭЗИИ: ПОЭТИЧЕСКИЕ ШЕДЕВРЫ РУССКИХ ПОЭТОВ XVIII - XIX ВВ., ИЗД.1</t>
  </si>
  <si>
    <t>Обернихина Г. А., Обернихин В. А., Обернихина Г. А.</t>
  </si>
  <si>
    <t>978-5-16-004784-3</t>
  </si>
  <si>
    <t>00.02.09</t>
  </si>
  <si>
    <t>795989.02.01</t>
  </si>
  <si>
    <t>Успешность, работа и старение: Моногр. / Под ред. Дураковой И.Б. - М.:НИЦ ИНФРА-М,2025 - 187 с.(Науч.мысль)(п)</t>
  </si>
  <si>
    <t>УСПЕШНОСТЬ, РАБОТА И СТАРЕНИЕ: ФУНДАМЕНТАЛЬНЫЕ, ПРИКЛАДНЫЕ И НАУЧНО-ПОПУЛЯРНЫЕ АСПЕКТЫ ПРОФЕССИОНАЛЬНОГО ДОЛГОЛЕТИЯ, ИЗД.1</t>
  </si>
  <si>
    <t>Дуракова И.Б., Рахманова Т.И., Матасова Л.В. и др.</t>
  </si>
  <si>
    <t>978-5-16-018134-9</t>
  </si>
  <si>
    <t>803689.10.01</t>
  </si>
  <si>
    <t>Устав внутренней службы Вооруженных Сил РФ  - 2 изд. - М.:НИЦ ИНФРА-М,2027. - 246с.(п)</t>
  </si>
  <si>
    <t>УСТАВ ВНУТРЕННЕЙ СЛУЖБЫ ВООРУЖЕННЫХ СИЛ РОССИЙСКОЙ ФЕДЕРАЦИИ, ИЗД.2</t>
  </si>
  <si>
    <t>978-5-16-020126-9</t>
  </si>
  <si>
    <t>803689.05.01</t>
  </si>
  <si>
    <t>Устав внутренней службы Вооруженных Сил РФ - М.:НИЦ ИНФРА-М,2024.-246с.(п)</t>
  </si>
  <si>
    <t>УСТАВ ВНУТРЕННЕЙ СЛУЖБЫ ВООРУЖЕННЫХ СИЛ РОССИЙСКОЙ ФЕДЕРАЦИИ, ИЗД.1</t>
  </si>
  <si>
    <t>978-5-16-018488-3</t>
  </si>
  <si>
    <t>803691.08.01</t>
  </si>
  <si>
    <t>Устав гарнизонной и караульной служб Вооруженных Сил РФ - 2 изд. - М.:НИЦ ИНФРА-М,2026 - 183 с.(п)</t>
  </si>
  <si>
    <t>УСТАВ ГАРНИЗОННОЙ И КАРАУЛЬНОЙ СЛУЖБ ВООРУЖЕННЫХ СИЛ РОССИЙСКОЙ ФЕДЕРАЦИИ, ИЗД.2</t>
  </si>
  <si>
    <t>978-5-16-020131-3</t>
  </si>
  <si>
    <t>803691.04.01</t>
  </si>
  <si>
    <t>Устав гарнизонной и караульной служб Вооруженных Сил РФ - М.:НИЦ ИНФРА-М,2023.-182 с.(п)</t>
  </si>
  <si>
    <t>УСТАВ ГАРНИЗОННОЙ И КАРАУЛЬНОЙ СЛУЖБ ВООРУЖЕННЫХ СИЛ РОССИЙСКОЙ ФЕДЕРАЦИИ, ИЗД.1</t>
  </si>
  <si>
    <t>978-5-16-018486-9</t>
  </si>
  <si>
    <t>744962.02.01</t>
  </si>
  <si>
    <t>Устав службы на морских судах - М.:НИЦ ИНФРА-М,2023 - 38 с.(О)</t>
  </si>
  <si>
    <t>УСТАВ СЛУЖБЫ НА МОРСКИХ СУДАХ, ИЗД.1</t>
  </si>
  <si>
    <t>978-5-16-016526-4</t>
  </si>
  <si>
    <t>26.02.03, 26.03.01, 26.03.02, 26.04.01, 26.04.02, 26.05.01, 26.05.02, 26.05.03, 26.05.04, 26.05.05, 26.05.06, 26.05.07</t>
  </si>
  <si>
    <t>678064.02.01</t>
  </si>
  <si>
    <t>Установки электрошлаковой металлургической тех.: Моногр. / Ю.М.Миронов-2 изд., стереотип.-М.:НИЦ ИНФРА-М,2020.-404 с..-(Науч.мысль)(П)</t>
  </si>
  <si>
    <t>УСТАНОВКИ ЭЛЕКТРОШЛАКОВОЙ МЕТАЛЛУРГИЧЕСКОЙ ТЕХНОЛОГИИ, ИЗД.2</t>
  </si>
  <si>
    <t>Миронов Ю.М.</t>
  </si>
  <si>
    <t>978-5-16-013683-7</t>
  </si>
  <si>
    <t>678064.04.01</t>
  </si>
  <si>
    <t>Установки электрошлаковой металлургической тех.: Моногр. / Ю.М.Миронов-М.:НИЦ ИНФРА-М,2023-404с(П)</t>
  </si>
  <si>
    <t>УСТАНОВКИ ЭЛЕКТРОШЛАКОВОЙ МЕТАЛЛУРГИЧЕСКОЙ ТЕХНОЛОГИИ, ИЗД.1</t>
  </si>
  <si>
    <t>859405.01.01</t>
  </si>
  <si>
    <t>Устные международные договоры: Моногр. / Ю.С.Ромашев - М.:Юр. НОРМА, НИЦ ИНФРА-М,2025. - 160 с.(п)</t>
  </si>
  <si>
    <t>УСТНЫЕ МЕЖДУНАРОДНЫЕ ДОГОВОРЫ, ИЗД.1</t>
  </si>
  <si>
    <t>978-5-00156-446-1</t>
  </si>
  <si>
    <t>818223.01.01</t>
  </si>
  <si>
    <t>Устойчивое развитие в сфере высш.образов...: Моногр. / А.А.Вахрушина - М.:НИЦ ИНФРА-М,2025.-242 с(п)</t>
  </si>
  <si>
    <t>УСТОЙЧИВОЕ РАЗВИТИЕ В СФЕРЕ ВЫСШЕГО ОБРАЗОВАНИЯ: УЧЕТНО-АНАЛИТИЧЕСКИЙ И ОБРАЗОВАТЕЛЬНЫЙ КОНТЕКСТ, ИЗД.1</t>
  </si>
  <si>
    <t>Вахрушина А.А.</t>
  </si>
  <si>
    <t>978-5-16-019566-7</t>
  </si>
  <si>
    <t>38.03.02, 38.06.01, 44.04.01, 44.04.02, 44.06.01</t>
  </si>
  <si>
    <t>819484.01.01</t>
  </si>
  <si>
    <t>Устойчивое развитие логистич. цепей грузопотоков: Моногр. / Н.А.Осинцев - М.:НИЦ ИНФРА-М,2025.-303 с.(п)</t>
  </si>
  <si>
    <t>УСТОЙЧИВОЕ РАЗВИТИЕ ЛОГИСТИЧЕСКИХ ЦЕПЕЙ ГРУЗОПОТОКОВ, ИЗД.1</t>
  </si>
  <si>
    <t>Осинцев Н.А., Рахмангулов А.Н.</t>
  </si>
  <si>
    <t>978-5-16-019680-0</t>
  </si>
  <si>
    <t>23.03.01, 23.04.01, 26.03.01, 38.03.02</t>
  </si>
  <si>
    <t>739253.03.01</t>
  </si>
  <si>
    <t>Устойчивое развитие. Энергоэффективность...: Моногр. / В.П.Ануфриев.-М.:НИЦ ИНФРА-М,2023.-201 с.(О)</t>
  </si>
  <si>
    <t>УСТОЙЧИВОЕ РАЗВИТИЕ. ЭНЕРГОЭФФЕКТИВНОСТЬ. ЗЕЛЕНАЯ ЭКОНОМИКА, ИЗД.1</t>
  </si>
  <si>
    <t>Ануфриев В.П., Гудим Ю.В., Каминов А.А.</t>
  </si>
  <si>
    <t>978-5-16-016756-5</t>
  </si>
  <si>
    <t>839036.01.01</t>
  </si>
  <si>
    <t>Устойчивое финансирование: совр. тренды и..: Моногр. / Н.А.Хуторова - М.:НИЦ ИНФРА-М,2025. - 200 с.(п)</t>
  </si>
  <si>
    <t>УСТОЙЧИВОЕ ФИНАНСИРОВАНИЕ. СОВРЕМЕННЫЕ ТРЕНДЫ И РИСКИ, ИЗД.1</t>
  </si>
  <si>
    <t>Хуторова Н.А.</t>
  </si>
  <si>
    <t>978-5-16-020543-4</t>
  </si>
  <si>
    <t>38.04.01, 38.04.02, 38.04.08, 38.04.09, 38.05.01, 38.06.01, 38.07.02</t>
  </si>
  <si>
    <t>855610.01.01</t>
  </si>
  <si>
    <t>Устойчивость в нечетко-логич. и нейро-нечетких систем: Моногр. / М.В.Бобырь - М.:НИЦ ИНФРА-М,2026  - 271 с.(о)</t>
  </si>
  <si>
    <t>УСТОЙЧИВОСТЬ В НЕЧЕТКО-ЛОГИЧЕСКИХ И НЕЙРО-НЕЧЕТКИХ СИСТЕМАХ, ИЗД.1</t>
  </si>
  <si>
    <t>978-5-16-021027-8</t>
  </si>
  <si>
    <t>01.04.02, 01.04.04, 01.06.01, 27.04.03, 27.06.01</t>
  </si>
  <si>
    <t>835240.01.01</t>
  </si>
  <si>
    <t>Устойчивость экономики России и стран совр. мира: Моногр. / Л.Е.Басовский - М.:НИЦ ИНФРА-М,2025. - 171 с.(о)</t>
  </si>
  <si>
    <t>УСТОЙЧИВОСТЬ ЭКОНОМИКИ РОССИИ И СТРАН СОВРЕМЕННОГО МИРА, ИЗД.1</t>
  </si>
  <si>
    <t>978-5-16-020184-9</t>
  </si>
  <si>
    <t>38.04.01, 38.04.02, 38.04.04, 38.04.07, 38.04.08, 38.05.01, 38.06.01</t>
  </si>
  <si>
    <t>781527.01.01</t>
  </si>
  <si>
    <t>Устройства воспламенения топливо-воздушной смеси...: Уч.пос. / С.М.Зуев-М.:НИЦ ИНФРА-М,2024.-182 с.(ВО)</t>
  </si>
  <si>
    <t>УСТРОЙСТВА ВОСПЛАМЕНЕНИЯ ТОПЛИВОВОЗДУШНОЙ СМЕСИ ТЕПЛОВЫХ ДВИГАТЕЛЕЙ, ИЗД.1</t>
  </si>
  <si>
    <t>Зуев С.М., Яхутль Д.Р., Басс Б.А. и др.</t>
  </si>
  <si>
    <t>978-5-16-018125-7</t>
  </si>
  <si>
    <t>12.03.01, 12.03.05, 12.05.01, 13.03.02</t>
  </si>
  <si>
    <t>661021.07.01</t>
  </si>
  <si>
    <t>Устройства приема и обработки сигналов: Уч.пос. / С.А.Подлесный - М.:НИЦ ИНФРА-М, СФУ,2026 - 352 с.(ВО)(П)</t>
  </si>
  <si>
    <t>УСТРОЙСТВА ПРИЕМА И ОБРАБОТКИ СИГНАЛОВ, ИЗД.1</t>
  </si>
  <si>
    <t>Подлесный С.А., Зандер Ф.В.</t>
  </si>
  <si>
    <t>978-5-16-021075-9</t>
  </si>
  <si>
    <t>11.04.01, 11.04.02, 11.04.03, 11.04.04, 11.05.01, 11.05.02, 11.05.04</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</si>
  <si>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направлению подготовки магистров «Радиотехника»</t>
  </si>
  <si>
    <t>658919.12.01</t>
  </si>
  <si>
    <t>Устройства СВЧ и антенны: Уч. / Под ред. Филонова А.А. - М.:НИЦ ИНФРА-М,СФУ,2026 - 491 с.(ВО (СФУ))(П)</t>
  </si>
  <si>
    <t>УСТРОЙСТВА СВЧ И АНТЕННЫ, ИЗД.1</t>
  </si>
  <si>
    <t>Филонов А.А., Фомин А.Н., Дмитриев Д.Д. и др.</t>
  </si>
  <si>
    <t>978-5-16-016190-7</t>
  </si>
  <si>
    <t>Допущено Министерством обороны Российской Федерации в качестве учебника для студентов военных кафедр и курсантов учебных военных центров Военно-воздушных сил, обучающихся по военно-учетной специальности Эксплуатация и ремонт радиолокационных комплексов противовоздушной обороны Военно-воздушных сил» (рег. № 491 от 11.12.2013)</t>
  </si>
  <si>
    <t>143150.19.01</t>
  </si>
  <si>
    <t>Устройство автомобилей. Сб. тест. заданий: Уч.пос. / В.А.Стуканов - М.:ИД Форум, НИЦ ИНФРА-М,2027-192с(О)</t>
  </si>
  <si>
    <t>УСТРОЙСТВО АВТОМОБИЛЕЙ. СБОРНИК ТЕСТОВЫХ ЗАДАНИЙ, ИЗД.1</t>
  </si>
  <si>
    <t>Стуканов В.А.</t>
  </si>
  <si>
    <t>978-5-8199-0931-7</t>
  </si>
  <si>
    <t>Рекомендовано Министерством образования и науки в качестве учебного пособия для студентов средних специальных учебных заведений, обучающихся по специальности «Техническое обслуживание и ремонт автомобильного транспорта»</t>
  </si>
  <si>
    <t>071900.23.01</t>
  </si>
  <si>
    <t>Устройство автомобилей: Уч.пос. / В.А.Стуканов - М.:ИД ФОРУМ, НИЦ ИНФРА-М,2026 - 496 с.-(СПО)(П)</t>
  </si>
  <si>
    <t>УСТРОЙСТВО АВТОМОБИЛЕЙ, ИЗД.1</t>
  </si>
  <si>
    <t>Стуканов В.А., Леонтьев К.Н.</t>
  </si>
  <si>
    <t>978-5-8199-0871-6</t>
  </si>
  <si>
    <t>15.02.04, 23.01.03, 23.01.17, 23.02.02, 23.02.03, 23.02.07</t>
  </si>
  <si>
    <t>059200.22.01</t>
  </si>
  <si>
    <t>Устройство автомобиля: Уч.пос. / В.П.Передерий - М.:НИЦ ИНФРА-М,2026 - 286 с.(п) (СПО)</t>
  </si>
  <si>
    <t>УСТРОЙСТВО АВТОМОБИЛЯ, ИЗД.1</t>
  </si>
  <si>
    <t>Передерий В. П.</t>
  </si>
  <si>
    <t>978-5-16-020051-4</t>
  </si>
  <si>
    <t>23.02.02, 23.02.03, 35.01.01, 35.02.01, 35.02.07, 44.02.06</t>
  </si>
  <si>
    <t>791520.03.01</t>
  </si>
  <si>
    <t>Устройство базовых машин бронетанковой техники: Уч. Ч.2 / И.Ю.Лепешинский. - М.:НИЦ ИНФРА-М,2026. - 312 с.(ВО(П))</t>
  </si>
  <si>
    <t>УСТРОЙСТВО БАЗОВЫХ МАШИН БРОНЕТАНКОВОЙ ТЕХНИКИ. В 2 Ч. ЧАСТЬ 2, Т.2</t>
  </si>
  <si>
    <t>Лепешинский И.Ю., Погодаев Д.В., Крюков К.С. и др.</t>
  </si>
  <si>
    <t>978-5-16-018002-1</t>
  </si>
  <si>
    <t>791519.05.01</t>
  </si>
  <si>
    <t>Устройство базовых машин бронетанковой техники: Уч.: Ч.1. / И.Ю.Лепешинский.-М.:НИЦ ИНФРА-М,2026.-335 с.(ВО)(п)</t>
  </si>
  <si>
    <t>УСТРОЙСТВО БАЗОВЫХ МАШИН БРОНЕТАНКОВОЙ ТЕХНИКИ. В 2 Ч. ЧАСТЬ 1, Т.1</t>
  </si>
  <si>
    <t>978-5-16-018001-4</t>
  </si>
  <si>
    <t>701964.11.01</t>
  </si>
  <si>
    <t>Устройство базовых машин: Уч.пос. / Ю.Н.Зайчиков - М.:НИЦ ИНФРА-М,2026 - 232 с.(Военное обр.)(П)</t>
  </si>
  <si>
    <t>УСТРОЙСТВО БАЗОВЫХ МАШИН, ИЗД.1</t>
  </si>
  <si>
    <t>978-5-16-014825-0</t>
  </si>
  <si>
    <t>15.02.04, 23.05.02, 56.04.04</t>
  </si>
  <si>
    <t>701974.09.01</t>
  </si>
  <si>
    <t>Устройство бронетанковой техники: Уч.пос. / И.Ю.Лепешинский - М.:НИЦ ИНФРА-М,2027 - 296 с.(Воен.О))(П)</t>
  </si>
  <si>
    <t>УСТРОЙСТВО БРОНЕТАНКОВОЙ ТЕХНИКИ, ИЗД.1</t>
  </si>
  <si>
    <t>Лепешинский И.Ю., Пепеляев А.В., Брусникин Е.В. и др.</t>
  </si>
  <si>
    <t>978-5-16-015095-6</t>
  </si>
  <si>
    <t>15.02.04, 23.03.02, 23.03.03, 23.05.01, 56.04.04</t>
  </si>
  <si>
    <t>Рекомендуется государственным образовательным учреждением высшего профессионального образования — Военным учебно-научным центром Сухопутных войск «Общевойсковая академия Вооруженных Сил Российской Федерации» в качестве учебного пособия для студентов высших учебных заведений, обучающихся по направлению подготовки «Транспортные машины и транспортно-технологические комплексы»</t>
  </si>
  <si>
    <t>059160.14.01</t>
  </si>
  <si>
    <t>Устройство и функционир. информ. систем: Уч.пос. / Н.З.Емельянова - 2 изд. - М:Форум,2026 - 448 с.(ПО) (п)</t>
  </si>
  <si>
    <t>УСТРОЙСТВО И ФУНКЦИОНИРОВАНИЕ ИНФОРМАЦИОННЫХ СИСТЕМ, ИЗД.2</t>
  </si>
  <si>
    <t>978-5-91134-662-1</t>
  </si>
  <si>
    <t>08.02.01, 09.01.04, 09.01.05, 09.02.01, 09.02.04, 09.02.06, 10.02.03, 11.02.14, 26.01.05, 46.01.02, 46.01.03</t>
  </si>
  <si>
    <t>Рекомендовано в качестве учебного пособия для студентов учреждений среднего профессионального образования, обучающихся по специальности 09.02.04 «Информационные системы (по отраслям)»</t>
  </si>
  <si>
    <t>837140.01.01</t>
  </si>
  <si>
    <t>Устройство и эксплуатация боевой машины пехоты БМП-2. Часть 2: уч. / И.Ю.Лепешинский и др.-М.:НИЦ ИНФРА-М,2025.-262 с.[цв].-(Военное образование)(п)</t>
  </si>
  <si>
    <t>УСТРОЙСТВО И ЭКСПЛУАТАЦИЯ БОЕВОЙ МАШИНЫ ПЕХОТЫ БМП-2. ЧАСТЬ 2, ИЗД.1</t>
  </si>
  <si>
    <t>Лепешинский И.Ю., Крюков К.С., Лепешинский И.Ю.</t>
  </si>
  <si>
    <t>978-5-16-020312-6</t>
  </si>
  <si>
    <t>56.04.01, 56.04.02, 56.04.03, 56.04.04, 56.04.08, 56.05.01, 56.05.04</t>
  </si>
  <si>
    <t>837139.02.01</t>
  </si>
  <si>
    <t>Устройство и эксплуатация боевой машины пехоты БМП-2.: Уч. Ч.1 / И.Ю.Лепешинский - М.:НИЦ ИНФРА-М,2026. - 284 с.:цв.ил.(п)</t>
  </si>
  <si>
    <t>УСТРОЙСТВО И ЭКСПЛУАТАЦИЯ БОЕВОЙ МАШИНЫ ПЕХОТЫ БМП-2. ЧАСТЬ 1, Т.1</t>
  </si>
  <si>
    <t>Лепешинский И.Ю., Крюков К.С., Пепеляев А.В. и др.</t>
  </si>
  <si>
    <t>978-5-16-020311-9</t>
  </si>
  <si>
    <t>851397.01.01</t>
  </si>
  <si>
    <t>Устройство и эксплуатация вооружения БТР-80: Уч.пос. / В.А.Мельничук - М.:НИЦ ИНФРА-М,2026. - 141 с.(п)</t>
  </si>
  <si>
    <t>УСТРОЙСТВО И ЭКСПЛУАТАЦИЯ ВООРУЖЕНИЯ БТР-80, ИЗД.1</t>
  </si>
  <si>
    <t>978-5-16-020921-0</t>
  </si>
  <si>
    <t>37.05.02, 38.05.01, 40.05.01, 40.05.02, 56.05.01</t>
  </si>
  <si>
    <t>777250.03.01</t>
  </si>
  <si>
    <t>Устройство надводного корабля: Уч.пос. / А.Н.Гулевич. - М.:НИЦ ИНФРА-М,2026 - 159 с.(п)</t>
  </si>
  <si>
    <t>УСТРОЙСТВО НАДВОДНОГО КОРАБЛЯ, ИЗД.1</t>
  </si>
  <si>
    <t>978-5-16-017905-6</t>
  </si>
  <si>
    <t>26.03.01, 26.03.02, 26.05.02, 26.05.05, 26.05.06, 26.05.07</t>
  </si>
  <si>
    <t>Рекомендовано экспертным советом ЧВВМУ имени П.С. Нахимова в качестве учебного пособия по дисциплине «Устройство корабля», разделу дисциплин «Теория, устройство и живучесть корабля», «Теория и устройство судна» для курсантов и студентов высшего и среднего профессионального образования</t>
  </si>
  <si>
    <t>704980.06.01</t>
  </si>
  <si>
    <t>Устройство оружия и его боевое применение: Уч.: В 2 ч.Ч.1 / И.Ю.Лепешинский - М.:НИЦ ИНФРА-М,2026 - 307 с.(П)</t>
  </si>
  <si>
    <t>УСТРОЙСТВО ОРУЖИЯ И ЕГО БОЕВОЕ ПРИМЕНЕНИЕ, Т.1</t>
  </si>
  <si>
    <t>978-5-16-015110-6</t>
  </si>
  <si>
    <t>Рекомендовано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учебника для слушателей образовательных учреждений высшего образования, обучающихся по направлению подготовки «Транспортные средства специального назначения»</t>
  </si>
  <si>
    <t>704981.04.01</t>
  </si>
  <si>
    <t>Устройство оружия и его боевое применение: Уч.: В 2 ч.Ч.2 / И.Ю.Лепешинский-М.:НИЦ ИНФРА-М,2024-223с(П)</t>
  </si>
  <si>
    <t>УСТРОЙСТВО ОРУЖИЯ И ЕГО БОЕВОЕ ПРИМЕНЕНИЕ, Т.2</t>
  </si>
  <si>
    <t>Лепешинский И.Ю., Глебов В.В., Брусникин Е.В. и др.</t>
  </si>
  <si>
    <t>978-5-16-015111-3</t>
  </si>
  <si>
    <t>701969.06.01</t>
  </si>
  <si>
    <t>Устройство танка. Практ.: Уч.пос.: Ч.1 / Ю.Н.Зайчиков - М.:НИЦ ИНФРА-М,2025. - 325 с.(Военное обр.)(П)</t>
  </si>
  <si>
    <t>УСТРОЙСТВО ТАНКА. ПРАКТИКУМ. ЧАСТЬ 1, Т.1</t>
  </si>
  <si>
    <t>978-5-16-015812-9</t>
  </si>
  <si>
    <t>23.03.03, 23.04.03, 23.05.01, 23.05.02</t>
  </si>
  <si>
    <t>706247.05.01</t>
  </si>
  <si>
    <t>Устройство танка: Практ.: Уч.пос.: Ч.2 / Ю.Н.Зайчиков - М.:НИЦ ИНФРА-М,2026. - 307 с.(Военное обр.)(П)</t>
  </si>
  <si>
    <t>УСТРОЙСТВО ТАНКА: ПРАКТИКУМ. ЧАСТЬ 2, Т.2</t>
  </si>
  <si>
    <t>978-5-16-015819-8</t>
  </si>
  <si>
    <t>23.03.01, 23.03.03, 23.04.01, 23.04.03, 23.05.02</t>
  </si>
  <si>
    <t>701967.06.01</t>
  </si>
  <si>
    <t>Устройство танка: Уч.пос. / Ю.Н.Зайчиков - М.:НИЦ ИНФРА-М,2023 - 392 с.-(Военное образование)(П)</t>
  </si>
  <si>
    <t>УСТРОЙСТВО ТАНКА, ИЗД.1</t>
  </si>
  <si>
    <t>978-5-16-014936-3</t>
  </si>
  <si>
    <t>15.02.04, 17.05.02, 23.03.02, 23.03.03, 23.04.03, 56.04.04</t>
  </si>
  <si>
    <t>Рекомендовано в качестве учебного пособия для студентов высших учебных заведений, обучающихся по укрупненной группе специальностей и направлений 17.00.00 «Оружие и системы вооружения» (квалификация «инженер»)</t>
  </si>
  <si>
    <t>862931.01.01</t>
  </si>
  <si>
    <t>Устройство танкового вооружения: Прак. / В.В.Беликов. - М.:НИЦ ИНФРА-М,2026. -  224 с.(п)</t>
  </si>
  <si>
    <t>УСТРОЙСТВО ТАНКОВОГО ВООРУЖЕНИЯ, ИЗД.1</t>
  </si>
  <si>
    <t>Беликов В.В., Пепеляев А.В., Крюков К.С. и др.</t>
  </si>
  <si>
    <t>978-5-16-021459-7</t>
  </si>
  <si>
    <t>17.05.02, 23.03.02, 23.03.03, 23.04.03, 56.04.04</t>
  </si>
  <si>
    <t>657021.12.01</t>
  </si>
  <si>
    <t>Устройство, тех. обслуж. и ремонт авто.: Уч.пос. / В.М.Виноградов - М.:КУРС, НИЦ ИНФРА-М,2026 - 376 с.(п)</t>
  </si>
  <si>
    <t>УСТРОЙСТВО, ТЕХНИЧЕСКОЕ ОБСЛУЖИВАНИЕ И РЕМОНТ АВТОМОБИЛЕЙ, ИЗД.1</t>
  </si>
  <si>
    <t>Виноградов В.М.</t>
  </si>
  <si>
    <t>978-5-906923-31-8</t>
  </si>
  <si>
    <t>149030.10.01</t>
  </si>
  <si>
    <t>Утилизация автомобилей и автокомпонентов: Уч.пос. / Б.Б.Бобович - М.:Форум,2027. - 168 с.(ВО) (О)</t>
  </si>
  <si>
    <t>УТИЛИЗАЦИЯ АВТОМОБИЛЕЙ И АВТОКОМПОНЕНТОВ, ИЗД.1</t>
  </si>
  <si>
    <t>978-5-91134-504-4</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</si>
  <si>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обучающихся по специальности  190201 "Автомобиле- и тракторостроение"</t>
  </si>
  <si>
    <t>832183.01.01</t>
  </si>
  <si>
    <t>Утилизация отходов полимер. с получ. композитов для дорож. стр-ва / П.С.Беляев - М.:НИЦ ИНФРА-М,2025 - 141 с.(о)</t>
  </si>
  <si>
    <t>УТИЛИЗАЦИЯ ОТХОДОВ ПОЛИМЕРОВ С ПОЛУЧЕНИЕМ КОМПОЗИТОВ ДЛЯ ДОРОЖНОГО СТРОИТЕЛЬСТВА, ИЗД.1</t>
  </si>
  <si>
    <t>Беляев П.С., Соколов М.В., Фролов В.А.</t>
  </si>
  <si>
    <t>978-5-16-020048-4</t>
  </si>
  <si>
    <t>08.04.01, 08.05.03, 08.06.01</t>
  </si>
  <si>
    <t>640314.06.01</t>
  </si>
  <si>
    <t>Участие в планир.и организации работ...: Уч. / В.П.Зверева - М.:КУРС, НИЦ ИНФРА-М,2026 - 320 с.(П)</t>
  </si>
  <si>
    <t>УЧАСТИЕ В ПЛАНИРОВАНИИ И ОРГАНИЗАЦИИ РАБОТ ПО ОБЕСПЕЧЕНИЮ ЗАЩИТЫ ОБЪЕКТА., ИЗД.1</t>
  </si>
  <si>
    <t>978-5-906818-92-8</t>
  </si>
  <si>
    <t>10.02.01, 10.02.03</t>
  </si>
  <si>
    <t>663826.06.01</t>
  </si>
  <si>
    <t>Участковый врач-терапевт: Уч. / Т.Т.Карманова - М.:НИЦ ИНФРА-М,2026 - 722 с.(ВО: )(П)</t>
  </si>
  <si>
    <t>УЧАСТКОВЫЙ ВРАЧ-ТЕРАПЕВТ, ИЗД.1</t>
  </si>
  <si>
    <t>978-5-16-021796-3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</si>
  <si>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31.05.01 «Лечебное дело» (квалификация «врач общей практики») (протокол № 2 от 28.01.2019)</t>
  </si>
  <si>
    <t>806315.02.01</t>
  </si>
  <si>
    <t>Учебная мотивация: Моногр. / Под ред. Толстых Н.Н. - М.:НИЦ ИНФРА-М,2025. - 183 с.(Науч.мысль)(о)</t>
  </si>
  <si>
    <t>УЧЕБНАЯ МОТИВАЦИЯ: РАЗРАБОТКА МЕТОДИЧЕСКОГО ИНСТРУМЕНТАРИЯ, ИЗД.1</t>
  </si>
  <si>
    <t>Апасова Е.В., Кочетков Н.В., Кулагина И.Ю. и др.</t>
  </si>
  <si>
    <t>978-5-16-018761-7</t>
  </si>
  <si>
    <t>730975.04.01</t>
  </si>
  <si>
    <t>Учебная практика: поход на учебном корабле: Уч.пос. / Г.В.Худяков - М.:НИЦ ИНФРА-М,2026. - 136 с.:цв.ил.(п)</t>
  </si>
  <si>
    <t>УЧЕБНАЯ ПРАКТИКА: ПОХОД НА УЧЕБНОМ КОРАБЛЕ, ИЗД.1</t>
  </si>
  <si>
    <t>Худяков Г.В., Головко А.В.</t>
  </si>
  <si>
    <t>978-5-16-016063-4</t>
  </si>
  <si>
    <t>15.02.16, 25.05.03, 26.01.07, 26.01.09, 26.02.02, 26.02.03, 26.02.04, 26.03.01, 26.04.01, 26.05.05, 35.01.32, 35.02.11</t>
  </si>
  <si>
    <t>Рекомендовано экспертным советом ЧВВМУ имени П.С. Нахимова в качестве учебного пособия по дисциплине «Учебная практика» для курсантов, обучающихся по специальности 26.05.04 «Применение и эксплуатация технических систем надводных кораблей и подводных лодок»</t>
  </si>
  <si>
    <t>022556.21.01</t>
  </si>
  <si>
    <t>Учебник латинского языка: Уч. / И.С.Розенталь, - 2 изд. - М.:НОРМА, НИЦ ИНФРА-М,2026. - 320 с.(П)</t>
  </si>
  <si>
    <t>УЧЕБНИК ЛАТИНСКОГО ЯЗЫКА, ИЗД.2</t>
  </si>
  <si>
    <t>Розенталь И. С., Соколов В. С.</t>
  </si>
  <si>
    <t>978-5-91768-627-1</t>
  </si>
  <si>
    <t>40.03.01, 40.04.01, 40.05.01, 40.05.02, 40.05.03, 48.03.01</t>
  </si>
  <si>
    <t>Рекомендован Академическим правовым университетом при Институте государства и права Российской академии наук</t>
  </si>
  <si>
    <t>466300.14.01</t>
  </si>
  <si>
    <t>Учебник политической экономии / В.Парето - 2 изд. - М.:ИЦ РИОР, НИЦ ИНФРА-М,2026 - 592 с.(П)</t>
  </si>
  <si>
    <t>УЧЕБНИК ПОЛИТИЧЕСКОЙ ЭКОНОМИИ, ИЗД.2</t>
  </si>
  <si>
    <t>978-5-369-01692-3</t>
  </si>
  <si>
    <t>38.02.01, 38.03.01, 38.04.01, 39.03.01, 39.04.01, 41.03.04, 41.04.04, 44.03.01, 44.03.05, 46.03.01, 46.04.01</t>
  </si>
  <si>
    <t>407650.13.01</t>
  </si>
  <si>
    <t>Учебно-тренир. процесс в боксе: Моногр./ В.А.Стрельников.-М.:НИЦ ИНФРА-М, СФУ,2025.-112 с.(Науч.мысль)(О)</t>
  </si>
  <si>
    <t>УЧЕБНО-ТРЕНИРОВОЧНЫЙ ПРОЦЕСС В БОКСЕ, ИЗД.1</t>
  </si>
  <si>
    <t>Стрельников В.А., Толстиков В.А., Кузьмин В.А.</t>
  </si>
  <si>
    <t>978-5-16-016123-5</t>
  </si>
  <si>
    <t>44.03.04, 44.03.05, 44.04.04, 49.04.03</t>
  </si>
  <si>
    <t>424100.07.01</t>
  </si>
  <si>
    <t>Учебный банк: Уч. / Под ред. Звоновой Е.А. - М.:НИЦ ИНФРА-М,2026. - 320 с.-(ВО: Бакалавр.)(п)</t>
  </si>
  <si>
    <t>УЧЕБНЫЙ БАНК, ИЗД.1</t>
  </si>
  <si>
    <t>Звонова Е. А., Смулов А. М., Астахов Г. И., Звонова Е. А.</t>
  </si>
  <si>
    <t>978-5-16-006071-2</t>
  </si>
  <si>
    <t>Рекомендовано Учебно-методическим объединением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подготовки 080100 «Экономика», профили «Финан</t>
  </si>
  <si>
    <t>749636.03.01</t>
  </si>
  <si>
    <t>Учебный исслед. проект по физике на базе открытых данных: Уч.пос. / И.В.Кузнецова - М.:НИЦ ИНФРА-М,2027. - 134 с.(ВО)(П)</t>
  </si>
  <si>
    <t>УЧЕБНЫЙ ИССЛЕДОВАТЕЛЬСКИЙ ПРОЕКТ ПО ФИЗИКЕ НА БАЗЕ ОТКРЫТЫХ ДАННЫХ, ИЗД.1</t>
  </si>
  <si>
    <t>Кузнецова И.В., Прохоров М.Е.</t>
  </si>
  <si>
    <t>978-5-16-016823-4</t>
  </si>
  <si>
    <t>00.03.38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</si>
  <si>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естественно-научным направлениям подготовки (квалификация (степень) «бакалавр») (протокол № 7 от 22.09.2021)</t>
  </si>
  <si>
    <t>771913.03.01</t>
  </si>
  <si>
    <t>Учебный исслед. проект по физике на базе открытых..: Уч.пос. / И.В.Кузнецова - М.:НИЦ ИНФРА-М,2027. - 134 с.(П)</t>
  </si>
  <si>
    <t>978-5-16-017433-4</t>
  </si>
  <si>
    <t>00.02.10, 00.02.20, 00.02.23, 10.02.04, 25.02.01, 52.02.01, 52.02.02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</si>
  <si>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образовательную программу среднего профессионального образования (протокол № 7 от 22.09.2021)</t>
  </si>
  <si>
    <t>259200.11.01</t>
  </si>
  <si>
    <t>Учение о законе в рус. юриспруденции: Моногр. /Е.Г.Лукьянова - М.: Юр.Норма, НИЦ ИНФРА-М, 2026. - 160 с.(О)</t>
  </si>
  <si>
    <t>УЧЕНИЕ О ЗАКОНЕ В РУССКОЙ ЮРИСПРУДЕНЦИИ, ИЗД.1</t>
  </si>
  <si>
    <t>978-5-91768-456-7</t>
  </si>
  <si>
    <t>848916.01.01</t>
  </si>
  <si>
    <t>Учение о сущности права в конце XIX нач. XX в.: Моногр. / А.Г.Чернявский - М.:НИЦ ИНФРА-М,2025. - 308 с.(п)</t>
  </si>
  <si>
    <t>УЧЕНИЕ О СУЩНОСТИ ПРАВА В КОНЦЕ XIX-ГО НАЧАЛЕ XX ВЕКОВ, ИЗД.1</t>
  </si>
  <si>
    <t>978-5-16-020665-3</t>
  </si>
  <si>
    <t>682308.07.01</t>
  </si>
  <si>
    <t>Учение об атмосфере. Основные метеоролог. элементы: Уч.пос. / Л.И.Алексеева-М.:НИЦ ИНФРА-М,2023-280с.(ВО)(п)</t>
  </si>
  <si>
    <t>УЧЕНИЕ ОБ АТМОСФЕРЕ. ОСНОВНЫЕ МЕТЕОРОЛОГИЧЕСКИЕ ЭЛЕМЕНТЫ: ЭКОЛОГО-КЛИМАТИЧЕСКОЕ ЗНАЧЕНИЕ И МЕТОДЫ ИЗМЕРЕНИЯ, ИЗД.1</t>
  </si>
  <si>
    <t>Алексеева Л.И., Мягков М.С., Семёнов Е.К. и др.</t>
  </si>
  <si>
    <t>978-5-16-018563-7</t>
  </si>
  <si>
    <t>05.03.04</t>
  </si>
  <si>
    <t>Допущено Учебно-методическим объединением по классическому университетскому образованию РФ вкачестве учебного пособия для студентов высших учебных заведений, обучающихся по направлению подготовки «Экология и природопользование»</t>
  </si>
  <si>
    <t>791439.01.01</t>
  </si>
  <si>
    <t>Ученый, Ректор, Человек М.И. Кукушкин: личность в ист. СЮИ — УрГЮА — УрГЮУ: Моногр.- М.:Юр. НОРМА,2022.-224 с.(П)</t>
  </si>
  <si>
    <t>УЧЕНЫЙ, РЕКТОР, ЧЕЛОВЕК МИХАИЛ ИВАНОВИЧ КУКУШКИН: ЛИЧНОСТЬ В ИСТОРИИ СЮИ — УРГЮА — УРГЮУ, ИЗД.1</t>
  </si>
  <si>
    <t>978-5-00156-270-2</t>
  </si>
  <si>
    <t>443950.07.01</t>
  </si>
  <si>
    <t>Учет внешнеэкономической деят.: Уч.пос. / Под ред. Петрова А.М.-М.:Вуз. уч., НИЦ ИНФРА-М,2024.-176 с.(П)</t>
  </si>
  <si>
    <t>УЧЕТ ВНЕШНЕЭКОНОМИЧЕСКОЙ ДЕЯТЕЛЬНОСТИ, ИЗД.1</t>
  </si>
  <si>
    <t>Петров А. М., Листопад Е. Е., Кокина Т. Н., Петров А. М.</t>
  </si>
  <si>
    <t>978-5-9558-0318-0</t>
  </si>
  <si>
    <t>657600.06.01</t>
  </si>
  <si>
    <t>Учет затрат и калькулирование себестоимости: Уч.пос. / Н.Н.Бондин - М.:НИЦ ИНФРА-М,2026 - 254 с.(ВО)(П)</t>
  </si>
  <si>
    <t>УЧЕТ ЗАТРАТ И КАЛЬКУЛИРОВАНИЕ СЕБЕСТОИМОСТИ, ИЗД.1</t>
  </si>
  <si>
    <t>Бондина Н.Н., Бондин И.А., Павлова И.В. и др.</t>
  </si>
  <si>
    <t>978-5-16-021953-0</t>
  </si>
  <si>
    <t>682890.05.01</t>
  </si>
  <si>
    <t>Учет затрат и калькулирование себестоимости: Уч.пос. / Н.Н.Бондина - М.:НИЦ ИНФРА-М,2026 - 254 с.(СПО)(П)</t>
  </si>
  <si>
    <t>978-5-16-013932-6</t>
  </si>
  <si>
    <t>35.01.23, 38.01.01, 38.02.01, 38.02.03, 43.01.09</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</si>
  <si>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38.02.01 «Экономика и бухгалтерский учет (по отраслям)»</t>
  </si>
  <si>
    <t>078280.13.01</t>
  </si>
  <si>
    <t>Учет затрат на произв. и калькул..: Уч.-практ. пос. / Под ред. Ю.А.Бабаева - 3 изд. - М..,2026 - 188 с.(п)</t>
  </si>
  <si>
    <t>УЧЕТ ЗАТРАТ НА ПРОИЗВОДСТВО И КАЛЬКУЛИРОВАНИЕ СЕБЕСТОИМОСТИ ПРОДУКЦИИ (РАБОТ, УСЛУГ), ИЗД.3</t>
  </si>
  <si>
    <t>Бабаев Ю.А., Макарова Л.Г., Борисова Е.Ю. и др.</t>
  </si>
  <si>
    <t>978-5-16-021600-3</t>
  </si>
  <si>
    <t>38.03.01, 38.03.02, 38.03.05, 38.04.01, 38.04.05, 38.04.08</t>
  </si>
  <si>
    <t>660873.05.01</t>
  </si>
  <si>
    <t>Учет и анализ банкротств: Уч.пос. / И.А.Астраханцева - 2 изд. - М.:НИЦ ИНФРА-М,2027 - 377 с.(ВО)(П)</t>
  </si>
  <si>
    <t>УЧЕТ И АНАЛИЗ БАНКРОТСТВ, ИЗД.2</t>
  </si>
  <si>
    <t>Астраханцева И.А., Кукукина И.Г.</t>
  </si>
  <si>
    <t>978-5-16-013700-1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</si>
  <si>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38.00.00 «Экономика и управление» (квалификация (степень) «магистр») (протокол № 5 от 19.05.2021)</t>
  </si>
  <si>
    <t>314200.04.01</t>
  </si>
  <si>
    <t>Учет и анализ в условиях ценностно-ориентир. упр.: Моногр. / О.Г.Гордеева - М.: ИНФРА-М,2022 - 136 с.(О)</t>
  </si>
  <si>
    <t>УЧЕТ И АНАЛИЗ В УСЛОВИЯХ ЦЕННОСТНО-ОРИЕНТИРОВАННОГО УПРАВЛЕНИЯ, ИЗД.1</t>
  </si>
  <si>
    <t>Гордеева О.Г., Серебрякова Т.Ю.</t>
  </si>
  <si>
    <t>978-5-16-010365-5</t>
  </si>
  <si>
    <t>38.03.02, 38.04.08, 41.03.06</t>
  </si>
  <si>
    <t>183100.09.01</t>
  </si>
  <si>
    <t>Учет и операционная техника в банках: Уч. пос./ В.К.Немчинов-2изд.-М.:Вуз.уч.:НИЦ Инфра-М,2023-348с. (п)</t>
  </si>
  <si>
    <t>УЧЕТ И ОПЕРАЦИОННАЯ ТЕХНИКА В БАНКАХ, ИЗД.2</t>
  </si>
  <si>
    <t>Немчинов В. К., Рогозенков А. В.</t>
  </si>
  <si>
    <t>978-5-9558-0239-8</t>
  </si>
  <si>
    <t>Рекомендовано Научно-методическим советом по заочному экономическому образованию в качестве учебного пособия для студентов высших учебных заведений, обучающихся по направлению подготовки 080100.62 "Экономика"</t>
  </si>
  <si>
    <t>676189.02.01</t>
  </si>
  <si>
    <t>Учет на предприятиях малого бизнеса: Уч. / О.Е.Иванова - М.:ИЦ РИОР, НИЦ ИНФРА-М,2020 - 172 с.(О)</t>
  </si>
  <si>
    <t>УЧЕТ НА ПРЕДПРИЯТИЯХ МАЛОГО БИЗНЕСА, ИЗД.1</t>
  </si>
  <si>
    <t>Иванова О.Е.</t>
  </si>
  <si>
    <t>978-5-369-01746-3</t>
  </si>
  <si>
    <t>653604.04.01</t>
  </si>
  <si>
    <t>Учет собственного капитала: Уч.пос. / И.В.Осипова-М.:НИЦ ИНФРА-М,2023.-161 с.(ВО: Бакалавриат)(П)</t>
  </si>
  <si>
    <t>УЧЕТ СОБСТВЕННОГО КАПИТАЛА, ИЗД.1</t>
  </si>
  <si>
    <t>Осипова И.В., Чернецкая Г.Ф.</t>
  </si>
  <si>
    <t>978-5-16-013577-9</t>
  </si>
  <si>
    <t>813853.02.01</t>
  </si>
  <si>
    <t>Учет, анализ и аудит на предпр. малого бизнеса: Уч. / А.В.Митенков. - М.:НИЦ ИНФРА-М,2027 - 277 с.(ВО)(п)</t>
  </si>
  <si>
    <t>УЧЕТ, АНАЛИЗ И АУДИТ НА ПРЕДПРИЯТИЯХ МАЛОГО БИЗНЕСА, ИЗД.1</t>
  </si>
  <si>
    <t>Митенков А.В., Елисеева Е.Н., Бобошко Д.Ю. и др.</t>
  </si>
  <si>
    <t>978-5-16-019880-4</t>
  </si>
  <si>
    <t>Рекомендовано Учебно-методическим советом ВО в качестве учебника для студентов высших учебных заведений, обучающихся по укрупненной группе специальностей и направлений подготовки 38.03.00 «Экономика и управление» (квалификация (степень) «бакалавр»)</t>
  </si>
  <si>
    <t>409200.09.01</t>
  </si>
  <si>
    <t>Учет, анализ и бюджетирование денеж. потоков: Уч.пос./ Т.П.Карпова-М.:Вуз. уч.:НИЦ Инфра-М,2023-302с (п)</t>
  </si>
  <si>
    <t>УЧЕТ, АНАЛИЗ И БЮДЖЕТИРОВАНИЕ ДЕНЕЖНЫХ ПОТОКОВ, ИЗД.1</t>
  </si>
  <si>
    <t>Карпова Т. П., Карпова В. В.</t>
  </si>
  <si>
    <t>978-5-9558-0243-5</t>
  </si>
  <si>
    <t>423750.06.01</t>
  </si>
  <si>
    <t>Учет, анализ, аудит: Уч.пос. / Е.А.Еленевская и др. - 2 изд. - М.:НИЦ ИНФРА-М,2027 - 365 с.(ВО)(П)</t>
  </si>
  <si>
    <t>УЧЕТ, АНАЛИЗ, АУДИТ, ИЗД.2</t>
  </si>
  <si>
    <t>Еленевская Е.А., Ким Л.И., Христолюбов С.Н. и др.</t>
  </si>
  <si>
    <t>978-5-16-013991-3</t>
  </si>
  <si>
    <t>Чувашский государственный аграрный университет</t>
  </si>
  <si>
    <t>423750.03.01</t>
  </si>
  <si>
    <t>Учет, анализ, аудит: Уч.пос. / Е.А.Еленевская и др.-М.:НИЦ ИНФРА-М,2016.-345 с.-(ВО: Бакалавриат)(П)</t>
  </si>
  <si>
    <t>УЧЕТ, АНАЛИЗ, АУДИТ, ИЗД.1</t>
  </si>
  <si>
    <t>978-5-16-006578-6</t>
  </si>
  <si>
    <t>471450.07.01</t>
  </si>
  <si>
    <t>Учет, отчетность и анализ в усл. антикризис. упр.: Уч.пос. / Хоружий Л.И. - 2 изд. - М.:НИЦ ИНФРА-М,2025. - 308 с.(п)</t>
  </si>
  <si>
    <t>УЧЕТ, ОТЧЕТНОСТЬ И АНАЛИЗ В УСЛОВИЯХ АНТИКРИЗИСНОГО УПРАВЛЕНИЯ, ИЗД.2</t>
  </si>
  <si>
    <t>Хоружий Л.И., Турчаева И.Н., Кокорев Н.А.</t>
  </si>
  <si>
    <t>978-5-16-014551-8</t>
  </si>
  <si>
    <t>Рекомендовано Учебно-методическим объединением в качестве учебного пособия для студентов, обучающихся по направлениям подготовки «Экономика», «Менеджмент», специальности «Экономическая безопасность»</t>
  </si>
  <si>
    <t>471450.03.01</t>
  </si>
  <si>
    <t>Учет, отчетность и анализ в усл. антикризис. упр.: Уч.пос. /Хоружий Л.И.-М.:НИЦ ИНФРА-М,2018-320с.</t>
  </si>
  <si>
    <t>УЧЕТ, ОТЧЕТНОСТЬ И АНАЛИЗ В УСЛОВИЯХ АНТИКРИЗИСНОГО УПРАВЛЕНИЯ, ИЗД.1</t>
  </si>
  <si>
    <t>978-5-16-010052-4</t>
  </si>
  <si>
    <t>Рекомендовано Учебно-методическим объединением в качестве учебного пособия для студентов, обучающихся по направлениям подготовки «Экономика», "Менеджмент»</t>
  </si>
  <si>
    <t>690676.06.01</t>
  </si>
  <si>
    <t>Учимся решать задачи по физике: подготовка к ЕГЭ: Пос. / Ю.А.Фридман - М.:НИЦ ИНФРА-М,2026. - 418 с.(П)</t>
  </si>
  <si>
    <t>УЧИМСЯ РЕШАТЬ ЗАДАЧИ ПО ФИЗИКЕ: ПОДГОТОВКА К ЕГЭ, ИЗД.1</t>
  </si>
  <si>
    <t>Фридман Ю.А., Бойчук Л.Я., Корженевич А.О.</t>
  </si>
  <si>
    <t>ЕГЭ (КрымФУ</t>
  </si>
  <si>
    <t>978-5-16-019257-4</t>
  </si>
  <si>
    <t>Пособие для абитуриентов</t>
  </si>
  <si>
    <t>03.03.01</t>
  </si>
  <si>
    <t>718891.04.01</t>
  </si>
  <si>
    <t>Уязвимость ландшафтов: понятие и..: Моногр./ И.И.Кесорецких-М.:НИЦ ИНФРА-М,2024.-189 с.(Науч.мысль)(О)</t>
  </si>
  <si>
    <t>УЯЗВИМОСТЬ ЛАНДШАФТОВ: ПОНЯТИЕ И ОЦЕНКА, ИЗД.1</t>
  </si>
  <si>
    <t>Кесорецких И.И., Зотов С.И.</t>
  </si>
  <si>
    <t>978-5-16-015679-8</t>
  </si>
  <si>
    <t>05.03.06, 05.04.06, 05.06.01</t>
  </si>
  <si>
    <t>294000.04.01</t>
  </si>
  <si>
    <t>Фазовые равновесия в двухкомп. систем.: Уч.пос. / Под ред.Бабаевского П.Г.-М.:НИЦ ИНФРА-М,2024-130с.(ВО)(о)</t>
  </si>
  <si>
    <t>ФАЗОВЫЕ РАВНОВЕСИЯ В ДВУХКОМПОНЕНТНЫХ СИСТЕМАХ, ИЗД.1</t>
  </si>
  <si>
    <t>Ильина Е.Б., Хохлачева Н.М., Истомина Н. и др.</t>
  </si>
  <si>
    <t>978-5-16-011821-5</t>
  </si>
  <si>
    <t>04.03.02, 22.03.01, 22.04.01</t>
  </si>
  <si>
    <t>Допущено УМО высших учебных заведений Российской Федерации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бакалавров и магистров 22.03.01 и 22.04.01 "Материаловедение и технологии материалов"</t>
  </si>
  <si>
    <t>646030.07.01</t>
  </si>
  <si>
    <t>Фактический состав в механизме прав.регулир.: Моногр / В.Б.Исаков - М.:Юр.Норма, НИЦ ИНФРА-М,2026 - 128 с.(П)</t>
  </si>
  <si>
    <t>ФАКТИЧЕСКИЙ СОСТАВ В МЕХАНИЗМЕ ПРАВОВОГО РЕГУЛИРОВАНИЯ, ИЗД.1</t>
  </si>
  <si>
    <t>978-5-91768-791-9</t>
  </si>
  <si>
    <t>138750.16.01</t>
  </si>
  <si>
    <t>Факторинг: Уч.пос. / И.Е.Покаместов, - 2 изд. - М.:НИЦ ИНФРА-М,2026 - 132 с.(ВО)(о)</t>
  </si>
  <si>
    <t>ФАКТОРИНГ, ИЗД.2</t>
  </si>
  <si>
    <t>Покаместов И.Е., Леднев М.В.</t>
  </si>
  <si>
    <t>978-5-16-020730-8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</si>
  <si>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11 от 09.11.2020)</t>
  </si>
  <si>
    <t>788381.02.01</t>
  </si>
  <si>
    <t>Факторы и инструментарий обеспеч. устойчивого развит.../ А.С.Лифшиц - М.:ИЦ РИОР, НИЦ ИНФРА-М,2026 - 200 с.(О)</t>
  </si>
  <si>
    <t>ФАКТОРЫ И ИНСТРУМЕНТАРИЙ ОБЕСПЕЧЕНИЯ УСТОЙЧИВОГО РАЗВИТИЯ ПРЕДПРИЯТИЙ МАШИНОСТРОЕНИЯ, ИЗД.1</t>
  </si>
  <si>
    <t>978-5-369-01917-7</t>
  </si>
  <si>
    <t>15.04.01, 15.06.01, 38.04.01, 38.06.01</t>
  </si>
  <si>
    <t>771231.01.01</t>
  </si>
  <si>
    <t>Факторы трансформации сис. налогообложения физических лиц / А.В.Тихонова-М.:НИЦ ИНФРА-М,2022.-170 с.(О)</t>
  </si>
  <si>
    <t>ФАКТОРЫ ТРАНСФОРМАЦИИ СИСТЕМЫ НАЛОГООБЛОЖЕНИЯ ФИЗИЧЕСКИХ ЛИЦ, ИЗД.1</t>
  </si>
  <si>
    <t>978-5-16-017533-1</t>
  </si>
  <si>
    <t>846995.01.01</t>
  </si>
  <si>
    <t>Фармакология = Pharmacology: Уч.пос на англ.яз.. / Е.И.Михайлова. - М.:НИЦ ИНФРА-М, ГомГМУ,2026. - 333 с.(ВО)(п)</t>
  </si>
  <si>
    <t>ФАРМАКОЛОГИЯ = PHARMACOLOGY, ИЗД.1</t>
  </si>
  <si>
    <t>Михайлова Е.И., Саварина В.А., Сатырова Т.В. и др.</t>
  </si>
  <si>
    <t>978-5-16-021004-9</t>
  </si>
  <si>
    <t>30.05.03, 31.05.01, 31.05.02, 31.05.03, 32.05.01, 33.05.01, 34.03.01</t>
  </si>
  <si>
    <t>234500.12.01</t>
  </si>
  <si>
    <t>Фармакология: Уч. / М.Д.Гаевый - М.:НИЦ ИНФРА-М,2026 - 454 с.(ВО)(П)</t>
  </si>
  <si>
    <t>ФАРМАКОЛОГИЯ, ИЗД.1</t>
  </si>
  <si>
    <t>Гаевый М.Д., Гаевая Л.М.</t>
  </si>
  <si>
    <t>978-5-16-009135-8</t>
  </si>
  <si>
    <t>Допущено Министерством здравоохранения РФ в качестве учебника для учащихся медицинских и фармацевтических вузов и факультетов</t>
  </si>
  <si>
    <t>Волгоградский государственный медицинский университет, ф-л Пятигорский медико-фармацевтический институт</t>
  </si>
  <si>
    <t>333000.08.01</t>
  </si>
  <si>
    <t>Фармакотерапия с основ.клинич.фарм.и фитотерапии: Уч. / М.Д.Гаевый - М.:НИЦ ИНФРА-М,2026. - 639 с.(ВО)(П)</t>
  </si>
  <si>
    <t>ФАРМАКОТЕРАПИЯ С ОСНОВАМИ КЛИНИЧЕСКОЙ ФАРМАКОЛОГИИ И ФИТОТЕРАПИИ, ИЗД.1</t>
  </si>
  <si>
    <t>978-5-16-011853-6</t>
  </si>
  <si>
    <t>Рекомендовано Департаментом образовательных медицинских учреждений и кадровой политики Министерства здравоохранения Российской Федерации в качестве учебника для студентов фармацевтических и медицинских вузов</t>
  </si>
  <si>
    <t>806920.01.01</t>
  </si>
  <si>
    <t>Федерализм в российской государственной парадигме...: Моногр. / Р.С.Марков-М.:НИЦ ИНФРА-М,2023.-287 с.(п)</t>
  </si>
  <si>
    <t>ФЕДЕРАЛИЗМ В РОССИЙСКОЙ ГОСУДАРСТВЕННОЙ ПАРАДИГМЕ: ИСТОРИКО-ПРАВОВОЕ ИССЛЕДОВАНИЕ, ИЗД.1</t>
  </si>
  <si>
    <t>Марков Р.С., Жуковская Н.Ю.</t>
  </si>
  <si>
    <t>978-5-16-018798-3</t>
  </si>
  <si>
    <t>40.04.01, 40.05.01, 40.06.01, 41.04.02, 41.06.01, 41.07.01, 46.04.01, 46.06.01</t>
  </si>
  <si>
    <t>440950.01.01</t>
  </si>
  <si>
    <t>Феномен  референции: Моногр./В.Д.Голиков - М.: НИЦ ИНФРА-М, 2013 - 204с.(Научная мысль; Социология) (о) ISBN:978-5-16-006786-5</t>
  </si>
  <si>
    <t>ФЕНОМЕН  РЕФЕРЕНЦИИ, ИЗД.1</t>
  </si>
  <si>
    <t>Голиков В. Д., Касимова Э. Р.</t>
  </si>
  <si>
    <t>978-5-16-006786-5</t>
  </si>
  <si>
    <t>835347.01.01</t>
  </si>
  <si>
    <t>Феномен преподавателя высшего военно-учеб. завед..: Моногр. / А.Ю.Кийко. - М.:НИЦ ИНФРА-М,2025 - 165 с.(о)</t>
  </si>
  <si>
    <t>ФЕНОМЕН ПРЕПОДАВАТЕЛЯ ВЫСШЕГО ВОЕННО-УЧЕБНОГО ЗАВЕДЕНИЯ И СОДЕРЖАНИЕ ЕГО ПРОФЕССИОНАЛЬНОЙ ДЕЯТЕЛЬНОСТИ, ИЗД.1</t>
  </si>
  <si>
    <t>Кийко А.Ю., Анисимов В.Г., Зленко А.Л. и др.</t>
  </si>
  <si>
    <t>978-5-16-020888-6</t>
  </si>
  <si>
    <t>827176.04.01</t>
  </si>
  <si>
    <t>Феномен регионализма в усл. современных вызовов: Моногр. / А.Я.Капустин - М.:Юр. НОРМА, НИЦ ИНФРА-М,2026. - 240 с.(п)</t>
  </si>
  <si>
    <t>ФЕНОМЕН РЕГИОНАЛИЗМА В УСЛОВИЯХ СОВРЕМЕННЫХ ВЫЗОВОВ, ИЗД.1</t>
  </si>
  <si>
    <t>978-5-00156-370-9</t>
  </si>
  <si>
    <t>40.04.01, 40.05.01, 40.05.02, 40.05.03, 40.05.04, 40.06.01, 41.04.05</t>
  </si>
  <si>
    <t>693931.04.01</t>
  </si>
  <si>
    <t>Феномен этнических диаспор: Моногр. / В.Д.Попков - М.:НИЦ ИНФРА-М,2024 - 276 с.(Науч.мысль)(о)</t>
  </si>
  <si>
    <t>ФЕНОМЕН ЭТНИЧЕСКИХ ДИАСПОР, ИЗД.1</t>
  </si>
  <si>
    <t>978-5-16-014560-0</t>
  </si>
  <si>
    <t>39.04.01, 39.06.01, 41.04.04, 41.06.01, 46.04.01, 46.04.03, 46.06.01</t>
  </si>
  <si>
    <t>705909.03.01</t>
  </si>
  <si>
    <t>Феноменология менеджмента в России: Моногр. / А.Д.Шадрин - М.:ИЦ РИОР, НИЦ ИНФРА-М,2025. - 276 с.(О)</t>
  </si>
  <si>
    <t>ФЕНОМЕНОЛОГИЯ МЕНЕДЖМЕНТА В РОССИИ, ИЗД.1</t>
  </si>
  <si>
    <t>Шадрин А.Д.</t>
  </si>
  <si>
    <t>978-5-369-01808-8</t>
  </si>
  <si>
    <t>822794.01.01</t>
  </si>
  <si>
    <t>ФЗ. О полиции - М.:НИЦ ИНФРА-М,2026. - 97 с.(о)</t>
  </si>
  <si>
    <t>О ПОЛИЦИИ, ИЗД.1</t>
  </si>
  <si>
    <t>978-5-16-019689-3</t>
  </si>
  <si>
    <t>222600.08.01</t>
  </si>
  <si>
    <t>Физика в вузе. Совр. уч. по механике: Моногр. / С.И.Кузнецов - М.:Вуз. уч., НИЦ ИНФРА-М,2027. - 264 с.(о)</t>
  </si>
  <si>
    <t>ФИЗИКА В ВУЗЕ. СОВРЕМЕННЫЙ УЧЕБНИК ПО МЕХАНИКЕ, ИЗД.1</t>
  </si>
  <si>
    <t>Кузнецов С. И.</t>
  </si>
  <si>
    <t>978-5-9558-0324-1</t>
  </si>
  <si>
    <t>01.03.03, 01.04.03, 02.03.03, 03.03.02, 03.03.03, 03.04.02, 04.04.02</t>
  </si>
  <si>
    <t>090200.16.01</t>
  </si>
  <si>
    <t>Физика в примерах и задачах: Уч.пос. / Е.И.Дмитриева - 2 изд. - М.:Форум:НИЦ Инфра-М, 2027 - 512 с.(СПО)(п)</t>
  </si>
  <si>
    <t>ФИЗИКА В ПРИМЕРАХ И ЗАДАЧАХ, ИЗД.2</t>
  </si>
  <si>
    <t>Дмитриева Е. И., Иевлева Л. Д., Костюченко Л. Д.</t>
  </si>
  <si>
    <t>978-5-91134-712-3</t>
  </si>
  <si>
    <t>477200.07.01</t>
  </si>
  <si>
    <t>Физика Земли: Уч. / В.С.Захаров - М.:НИЦ ИНФРА-М,2026 - 328 с. (ВО)(п)</t>
  </si>
  <si>
    <t>ФИЗИКА ЗЕМЛИ, ИЗД.1</t>
  </si>
  <si>
    <t>Захаров В.С., Смирнов В.Б.</t>
  </si>
  <si>
    <t>978-5-16-018862-1</t>
  </si>
  <si>
    <t>05.03.01, 05.04.01, 21.05.02, 21.05.03</t>
  </si>
  <si>
    <t>769776.03.01</t>
  </si>
  <si>
    <t>Физика Земли: Уч.пос. / В.В.Нескоромных и др. - М.:НИЦ ИНФРА-М, СФУ,2023 - 229 с.(ВО: Спец. (СФУ))(П)</t>
  </si>
  <si>
    <t>Нескоромных В.В., Попова М.С., Вахромеев А.Г. и др.</t>
  </si>
  <si>
    <t>978-5-16-017384-9</t>
  </si>
  <si>
    <t>21.03.01, 21.04.01, 21.05.02, 21.05.03, 21.05.04, 21.05.05, 21.05.06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</si>
  <si>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21.05.03 «Технология геологической разведки» (квалификация  «Горный инженер-геофизик») (протокол № 6 от 16.06.2021)</t>
  </si>
  <si>
    <t>400750.06.01</t>
  </si>
  <si>
    <t>Физика и естествознание. Практ. раб.: Уч. пос. / С.Б.Акименко - М.:ИЦ РИОР:ИНФРА-М,2023-52с.(ВО) (о)</t>
  </si>
  <si>
    <t>ФИЗИКА И ЕСТЕСТВОЗНАНИЕ. ПРАКТИЧЕСКИЕ РАБОТЫ, ИЗД.1</t>
  </si>
  <si>
    <t>Акименко С.Б., Яворук О.А.</t>
  </si>
  <si>
    <t>978-5-369-01104-1</t>
  </si>
  <si>
    <t>634148.06.01</t>
  </si>
  <si>
    <t>Физика минералов: Уч. / Д.Г.Кощуг - М.:НИЦ ИНФРА-М,2023 - 348 с.(ВО)(П)</t>
  </si>
  <si>
    <t>ФИЗИКА МИНЕРАЛОВ, ИЗД.1</t>
  </si>
  <si>
    <t>Кощуг Д.Г., Кротова О.Д.</t>
  </si>
  <si>
    <t>978-5-16-018940-6</t>
  </si>
  <si>
    <t>Допущено УМС геологического факультета МГУ имени М. В. Ломоносова в качестве учебного пособия для студентов, обучающихся по направлению 05.03.01 «Геология»</t>
  </si>
  <si>
    <t>820917.01.01</t>
  </si>
  <si>
    <t>Физика твердого тела. Электр. свойства твердых тел: Уч.пос. / Н.Г.Замкова-М.:НИЦ ИНФРА-М, СФУ,2024.-255 с.(ВО)(п)</t>
  </si>
  <si>
    <t>ФИЗИКА ТВЕРДОГО ТЕЛА. ЭЛЕКТРОННЫЕ СВОЙСТВА ТВЕРДЫХ ТЕЛ, ИЗД.1</t>
  </si>
  <si>
    <t>Замкова Н.Г., Жандун В.С., Драганюк О.Н. и др.</t>
  </si>
  <si>
    <t>978-5-16-019587-2</t>
  </si>
  <si>
    <t>03.03.02, 04.03.02, 12.03.03, 14.04.01, 14.04.02, 14.05.03, 22.03.01, 22.04.02, 28.03.01, 29.03.03</t>
  </si>
  <si>
    <t>822502.01.01</t>
  </si>
  <si>
    <t>Физика твердого тела: Уч.пос. / А.Ф.Шиманский - М.:НИЦ ИНФРА-М, СФУ,2024.-127 с.(ВО (СФУ))(о)</t>
  </si>
  <si>
    <t>ФИЗИКА ТВЕРДОГО ТЕЛА, ИЗД.1</t>
  </si>
  <si>
    <t>Шиманский А.Ф., Симунин М.М.</t>
  </si>
  <si>
    <t>978-5-16-019697-8</t>
  </si>
  <si>
    <t>422200.04.01</t>
  </si>
  <si>
    <t>Физика твердого тела: Уч.пос. / Ю.А.Стрекалов-М.:ИЦ РИОР, НИЦ ИНФРА-М,2023.-307 с.(ВО: Бакалавр.)(п)</t>
  </si>
  <si>
    <t>Стрекалов Ю. А., Тенякова Н. А.</t>
  </si>
  <si>
    <t>978-5-369-00967-3</t>
  </si>
  <si>
    <t>457550.08.01</t>
  </si>
  <si>
    <t>Физика. Волновая оптика. Квант. природа..: Уч.пос. / С.И.Кузнецов - 3 изд. - Вуз. уч.:ИНФРА-М, 2027 - 212 с.(п)</t>
  </si>
  <si>
    <t>ФИЗИКА. ВОЛНОВАЯ ОПТИКА. КВАНТОВАЯ ПРИРОДА ИЗЛУЧЕНИЯ. ЭЛЕМЕНТЫ АТОМНОЙ И ЯДЕРНОЙ ФИЗИКИ, ИЗД.3</t>
  </si>
  <si>
    <t>Кузнецов С.И., Лидер А.М.</t>
  </si>
  <si>
    <t>978-5-9558-0350-0</t>
  </si>
  <si>
    <t>03.03.01, 03.03.03, 03.04.01, 03.04.02, 03.04.03, 12.03.02</t>
  </si>
  <si>
    <t>Допущено Научно-методическим советом по физике Министерства образования и науки Российской Федерации в качестве учебного пособия для студентов высших учебных заведений, обучающихся по техническим направлениям подготовки и специальностям</t>
  </si>
  <si>
    <t>233800.09.01</t>
  </si>
  <si>
    <t>Физика. Основы электродинамики. Электромаг..: Уч.пос. /С.И.Кузнецов - 4 изд. - Вуз. уч.:ИНФРА-М,2026 - 231 с.(п)</t>
  </si>
  <si>
    <t>ФИЗИКА. ОСНОВЫ ЭЛЕКТРОДИНАМИКИ. ЭЛЕКТРОМАГНИТНЫЕ КОЛЕБАНИЯ И ВОЛНЫ, ИЗД.4</t>
  </si>
  <si>
    <t>Кузнецов С.И.</t>
  </si>
  <si>
    <t>978-5-9558-0332-6</t>
  </si>
  <si>
    <t>03.03.01, 03.03.02, 03.03.03, 11.03.01, 11.03.02, 11.03.03, 11.03.04, 12.03.01, 12.03.02, 12.03.03, 12.03.04, 12.03.05, 13.03.01, 13.03.02, 13.03.03, 14.03.01, 14.03.02, 16.03.01, 16.03.02, 16.03.03</t>
  </si>
  <si>
    <t>870224.01.01</t>
  </si>
  <si>
    <t>Физика. Теория и прак. избр. разделов курса физики: Уч.пос. / С.С.Прошкин - М.:НИЦ ИНФРА-М,2026. - 461 с.(ВО)(п)</t>
  </si>
  <si>
    <t>ФИЗИКА. ТЕОРИЯ И ПРАКТИКА ИЗБРАННЫХ РАЗДЕЛОВ КУРСА ФИЗИКИ, ИЗД.1</t>
  </si>
  <si>
    <t>Прошкин С.С.</t>
  </si>
  <si>
    <t>978-5-16-022034-5</t>
  </si>
  <si>
    <t>00.03.38, 03.03.01, 03.03.02, 03.03.03, 03.04.02, 03.05.02</t>
  </si>
  <si>
    <t>444200.09.01</t>
  </si>
  <si>
    <t>Физика.Теория и практика: Уч.пос. / С.О.Крамаров - 2 изд. - М.:ИЦ РИОР,НИЦ ИНФРА-М,2026 - 380 с.(ВО)(п)</t>
  </si>
  <si>
    <t>ФИЗИКА.ТЕОРИЯ И ПРАКТИКА, ИЗД.2</t>
  </si>
  <si>
    <t>КрамаровС.О.</t>
  </si>
  <si>
    <t>978-5-369-01522-3</t>
  </si>
  <si>
    <t>12.03.03, 12.03.04, 12.03.05, 13.03.01, 13.03.02, 13.03.03, 16.03.01, 16.03.02, 19.03.01, 19.03.03, 19.03.04</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</si>
  <si>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студентов высших учебных заведений, обучающихся по направлению подготовки "Технология продовольственных продуктов и потребительских товаров"</t>
  </si>
  <si>
    <t>083430.15.01</t>
  </si>
  <si>
    <t>Физика: лаб. работы с воп. и заданиями: Уч.пос. / О.М.Тарасов, - 2 изд. - М.:Форум, НИЦ ИНФРА-М,2026. - 97 с.(О)</t>
  </si>
  <si>
    <t>ФИЗИКА: ЛАБОРАТОРНЫЕ РАБОТЫ С ВОПРОСАМИ И ЗАДАНИЯМИ, ИЗД.2</t>
  </si>
  <si>
    <t>Тарасов О.М.</t>
  </si>
  <si>
    <t>978-5-00091-472-4</t>
  </si>
  <si>
    <t>00.02.23, 10.02.04, 25.02.01, 31.02.01, 52.02.01, 52.02.02</t>
  </si>
  <si>
    <t>409750.07.01</t>
  </si>
  <si>
    <t>Физика: Лабораторный практикум: Уч. пос. / В.Г.Хавруняк - М.: НИЦ Инфра-М, 2023-142с.(ВО: Бакалавр.) (о)</t>
  </si>
  <si>
    <t>ФИЗИКА: ЛАБОРАТОРНЫЙ ПРАКТИКУМ, ИЗД.1</t>
  </si>
  <si>
    <t>978-5-16-006428-4</t>
  </si>
  <si>
    <t>09.03.01, 09.03.02, 09.03.03, 09.03.04, 11.03.01, 11.03.02, 11.03.03, 11.03.04, 12.03.01, 12.03.02, 12.03.03, 12.03.04, 12.03.05, 13.03.01, 13.03.02, 13.03.03, 13.04.01, 14.03.01, 14.03.02, 15.03.01, 15.03.02, 15.03.03, 15.03.04, 15.03.05, 15.03.06, 16.03.01, 16.03.02, 16.03.03</t>
  </si>
  <si>
    <t>443850.09.01</t>
  </si>
  <si>
    <t>Физика: Механика. Мех. колебания..: Уч. пос. / С.И.Кузнецов - 4 изд. - М.:Вуз. уч.:ИНФРА-М,2027 - 248 с. (П)</t>
  </si>
  <si>
    <t>ФИЗИКА: МЕХАНИКА. МЕХАНИЧЕСКИЕ КОЛЕБАНИЯ И ВОЛНЫ. МОЛЕКУЛЯРНАЯ ФИЗИКА. ТЕРМОДИНАМИКА, ИЗД.4</t>
  </si>
  <si>
    <t>978-5-9558-0317-3</t>
  </si>
  <si>
    <t>11.03.01, 11.03.02, 11.03.03, 11.03.04, 12.03.01, 12.03.02, 12.03.03, 12.03.04, 12.03.05, 13.03.01, 13.03.02, 13.03.03, 14.03.01, 14.03.02, 16.03.01, 16.03.02, 16.03.03</t>
  </si>
  <si>
    <t>665913.03.01</t>
  </si>
  <si>
    <t>Физика: Пос. для самост. раб. студ. тех. универ.: Уч.пос. / А.Ф.Смык - М.:НИЦ ИНФРА-М,2023 - 388 с.(П)</t>
  </si>
  <si>
    <t>ФИЗИКА: ПОСОБИЕ ДЛЯ САМОСТОЯТЕЛЬНОЙ РАБОТЫ СТУДЕНТОВ ТЕХНИЧЕСКИХ УНИВЕРСИТЕТОВ, ИЗД.1</t>
  </si>
  <si>
    <t>Смык А.Ф., Тимофеева Г.Ю., Ткачева Т.М.</t>
  </si>
  <si>
    <t>978-5-16-014670-6</t>
  </si>
  <si>
    <t>00.03.14, 01.03.01, 01.03.02, 01.03.03, 03.03.02, 13.03.01, 13.03.02, 13.03.03, 14.03.01, 14.03.02, 15.03.01, 15.03.02, 15.03.03, 15.03.04, 15.03.05, 15.03.06, 20.03.01, 20.03.02, 21.03.01, 21.03.02, 21.03.03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</si>
  <si>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естественно-научным и техническим направлениям подготовки (квалификация (степень) «бакалавр») (протокол № 13 от 16.09.2019)</t>
  </si>
  <si>
    <t>700862.04.01</t>
  </si>
  <si>
    <t>Физика: практикум в Excel: Уч..пос. / О.А.Сдвижков - М.:НИЦ ИНФРА-М,2027. - 274 с.(СПО)(п)</t>
  </si>
  <si>
    <t>ФИЗИКА: ПРАКТИКУМ В EXCEL, ИЗД.1</t>
  </si>
  <si>
    <t>Сдвижков О.А., Мацнев Н.П.</t>
  </si>
  <si>
    <t>978-5-16-015002-4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</si>
  <si>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основную профессиональную программу среднего профессионального образования на базе основного общего образования (протокол № 2 от 17.02.2021)</t>
  </si>
  <si>
    <t>038040.22.01</t>
  </si>
  <si>
    <t>Физика: Уч. / А.А.Пинский и др., - 4 изд. - М.:Форум, НИЦ ИНФРА-М,2026. - 560 с.(СПО)(п)</t>
  </si>
  <si>
    <t>ФИЗИКА, ИЗД.4</t>
  </si>
  <si>
    <t>Пинский А.А., Граковский Г.Ю., Дик Ю.И. и др.</t>
  </si>
  <si>
    <t>978-5-00091-739-8</t>
  </si>
  <si>
    <t>Рекомендовано Министерством образования Российской Федерации в качестве учебника для студентов учреждений среднего профессионального образования</t>
  </si>
  <si>
    <t>293900.15.01</t>
  </si>
  <si>
    <t>Физика: Уч. / В.И.Демидченко - 6 изд. - М.:НИЦ ИНФРА-М,2026 - 581 с.(ВО: Бакалавр.)(П)</t>
  </si>
  <si>
    <t>ФИЗИКА, ИЗД.6</t>
  </si>
  <si>
    <t>Демидченко В.И., Демидченко И.В.</t>
  </si>
  <si>
    <t>978-5-16-010079-1</t>
  </si>
  <si>
    <t>25.03.01, 25.03.02, 25.03.03, 25.03.04, 25.05.01, 25.05.02, 25.05.03, 25.05.04, 25.05.05</t>
  </si>
  <si>
    <t>Рекомендовано федеральным государственным бюджетным образовательным учреждением высшего образования «Санкт-Петербургский государственный университет гражданской авиации» в качестве учебника для студентов высших учебных заведений и курсантов высших военно-учебных заведений, обучающихся по направлению 25.03.03 «Аэронавигация» и специальностям высшего образования  «Эксплуатация воздушных судов и организация воздушного движения», «Летная эксплуатация воздушных судов» и «Аэронавигационное обслуживание и использование воздушного пространства»</t>
  </si>
  <si>
    <t>217800.08.01</t>
  </si>
  <si>
    <t>Физика: Уч.пос. / О.М.Тарасов-М.:Форум, НИЦ ИНФРА-М,2024.-432 с.(СПО)(П)</t>
  </si>
  <si>
    <t>ФИЗИКА, ИЗД.1</t>
  </si>
  <si>
    <t>Тарасов О. М.</t>
  </si>
  <si>
    <t>978-5-91134-777-2</t>
  </si>
  <si>
    <t>Рекомендовано Экспертным советом при ГБОУ УМЦ по профессиональному образованию Департамента образования города Москвы для использования в образовательном процессе учреждений среднего профессионального образования города Москвы</t>
  </si>
  <si>
    <t>670038.04.01</t>
  </si>
  <si>
    <t>Физика: Уч.пос. для подготовительных факультетов / Г.П.Киселева - М.:НИЦ ИНФРА-М, СФУ,2026 - 308 с.(ВО)(П)</t>
  </si>
  <si>
    <t>Киселева Г.П., Киселев В.М.</t>
  </si>
  <si>
    <t>978-5-16-021842-7</t>
  </si>
  <si>
    <t>Допущено Научно-методическим советом по физике Министерства образования и науки Российской Федерации в качестве учебного пособия для подготовительных отделений высших учебных заведений</t>
  </si>
  <si>
    <t>729643.04.01</t>
  </si>
  <si>
    <t>Физико-хим. основы технологии продуктов...: Уч.пос. / М.В.Ксенз - М.:Магистр,НИЦ ИНФРА-М,2025 - 232 с.(П)</t>
  </si>
  <si>
    <t>ФИЗИКО-ХИМИЧЕСКИЕ ОСНОВЫ ТЕХНОЛОГИИ ПРОДУКТОВ ОБЩЕСТВЕННОГО ПИТАНИЯ, ИЗД.1</t>
  </si>
  <si>
    <t>Ксенз М.В., Джум Т.А., Тамова М.Ю.</t>
  </si>
  <si>
    <t>978-5-9776-0513-7</t>
  </si>
  <si>
    <t>655224.06.01</t>
  </si>
  <si>
    <t>Физико-хим.основы  развития и тушения пожара: Уч.пос. / Под ред. Девисилова В.А. - М.:НИЦ ИНФРА-М,2025 - 176 с.(П)</t>
  </si>
  <si>
    <t>ФИЗИКО-ХИМИЧЕСКИЕ ОСНОВЫ  РАЗВИТИЯ И ТУШЕНИЯ ПОЖАРА, ИЗД.1</t>
  </si>
  <si>
    <t>Девисилов В.А., Дроздова Т.И., Плотникова Г.В. и др.</t>
  </si>
  <si>
    <t>978-5-16-013107-8</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</si>
  <si>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20.00.00 «Техносферная безопасность и природообустройство» в качестве учебного пособия для студентов, обучающихся по основным образовательным программам высшего образования по направлению 20.04.01 «Техносферная безопасность»</t>
  </si>
  <si>
    <t>838289.01.01</t>
  </si>
  <si>
    <t>Физико-химич. обработка техногенных и сточных вод...: Моногр. / Б.С.Ксенофонтов - М.:НИЦ ИНФРА-М,2025 - 288 с.(п)</t>
  </si>
  <si>
    <t>ФИЗИКО-ХИМИЧЕСКАЯ ОБРАБОТКА ТЕХНОГЕННЫХ И СТОЧНЫХ ВОД С ИСПОЛЬЗОВАНИЕМ КОМБИНИРОВАННОЙ ФЛОТАЦИОННОЙ ТЕХНИКИ, ИЗД.1</t>
  </si>
  <si>
    <t>978-5-16-020218-1</t>
  </si>
  <si>
    <t>04.04.01, 04.06.01, 20.04.01, 20.04.02, 20.06.01</t>
  </si>
  <si>
    <t>445650.05.01</t>
  </si>
  <si>
    <t>Физико-химические основы технолог. проц..: Уч. пос./Р.Г.Тазетдинов - 2 изд. - ИНФРА-М,2023-400с.(ВО) (п)</t>
  </si>
  <si>
    <t>ФИЗИКО-ХИМИЧЕСКИЕ ОСНОВЫ ТЕХНОЛОГИЧЕСКИХ ПРОЦЕССОВ И ОБРАБОТКИ КОНСТРУКЦИОННЫХ МАТЕРИАЛОВ, ИЗД.2</t>
  </si>
  <si>
    <t>Тазетдинов Р. Г.</t>
  </si>
  <si>
    <t>978-5-16-008967-6</t>
  </si>
  <si>
    <t>12.03.01, 12.03.02, 13.03.03, 14.03.01, 15.03.01, 15.04.01, 16.03.02, 23.03.02, 23.03.03, 24.03.01, 24.03.03, 24.03.04, 24.03.05, 24.04.04, 24.05.07, 25.03.04, 35.03.02, 35.03.06</t>
  </si>
  <si>
    <t>Рекомендовано Научно-методическим советом по материаловедению и технологии конструкционных материалов Министерства образования и науки РФ в качестве учебного пособия для студентов вузов, обучающихся по машиностроительным специальностям</t>
  </si>
  <si>
    <t>078190.13.01</t>
  </si>
  <si>
    <t>Физико-химические процессы в техносфере: Уч. / К.И.Трифонов - 2 изд. - М.:Форум, НИЦ ИНФРА-М,2025. - 256 с.-(ВО)</t>
  </si>
  <si>
    <t>ФИЗИКО-ХИМИЧЕСКИЕ ПРОЦЕССЫ В ТЕХНОСФЕРЕ, ИЗД.2</t>
  </si>
  <si>
    <t>Трифонов К. И., Девисилов В. А.</t>
  </si>
  <si>
    <t>978-5-00091-002-3</t>
  </si>
  <si>
    <t>Допущено Мин. обр. и науки РФ в качестве учебника для студентов вузов, обуч. по специальности "Безопасность жизнедеятельности в техносфере" направления "Безопасность жизнедеятельности"</t>
  </si>
  <si>
    <t>Ковровская государственная технологическая академия имени В.А.Дегтярева</t>
  </si>
  <si>
    <t>697700.06.01</t>
  </si>
  <si>
    <t>Физико-химические уч. проекты во внеур. деят. шк.: Кн. для уч... / В.Н.Давыдов - М.:НИЦ ИНФРА-М,2026 - 242 с.(П)</t>
  </si>
  <si>
    <t>ФИЗИКО-ХИМИЧЕСКИЕ УЧЕБНЫЕ ПРОЕКТЫ ВО ВНЕУРОЧНОЙ ДЕЯТЕЛЬНОСТИ ШКОЛЬНИКОВ. КНИГА ДЛЯ УЧИТЕЛЯ, ИЗД.1</t>
  </si>
  <si>
    <t>978-5-16-015078-9</t>
  </si>
  <si>
    <t>Методическое руководство</t>
  </si>
  <si>
    <t>44.02.02, 44.02.03, 44.02.04, 44.03.01, 44.03.02, 44.03.05</t>
  </si>
  <si>
    <t>777135.01.01</t>
  </si>
  <si>
    <t>Физиологические аспекты адаптации с/х животных к стрессорам / А.Ю.Ковтуненко-М.:НИЦ ИНФРА-М,2022.-181 с.(О)</t>
  </si>
  <si>
    <t>ФИЗИОЛОГИЧЕСКИЕ АСПЕКТЫ АДАПТАЦИИ СЕЛЬСКОХОЗЯЙСТВЕННЫХ ЖИВОТНЫХ К СТРЕССОРАМ, ИЗД.1</t>
  </si>
  <si>
    <t>Ковтуненко А.Ю., Бусловская Л.К.</t>
  </si>
  <si>
    <t>978-5-16-017688-8</t>
  </si>
  <si>
    <t>36.03.01, 36.04.02, 36.05.01, 36.06.01</t>
  </si>
  <si>
    <t>245100.08.01</t>
  </si>
  <si>
    <t>Физиологические основы здоровья: Уч.пос. / Н.П.Абаскалова - 2 изд. - М.:НИЦ ИНФРА-М,2026  - 351 с.(ВО)(П)</t>
  </si>
  <si>
    <t>ФИЗИОЛОГИЧЕСКИЕ ОСНОВЫ ЗДОРОВЬЯ, ИЗД.2</t>
  </si>
  <si>
    <t>Абаскалова Н. П., Иашвили М. В., Кривощеков С. Г., Айзман Р. И.</t>
  </si>
  <si>
    <t>978-5-16-009280-5</t>
  </si>
  <si>
    <t>31.05.01, 31.05.02, 31.05.03, 32.04.01, 32.05.01, 34.03.01</t>
  </si>
  <si>
    <t>719504.08.01</t>
  </si>
  <si>
    <t>Физиологические основы здоровья: Уч.пос. / Н.П.Абаскалова - 2 изд. - М.:НИЦ ИНФРА-М,2026 - 351 с.(СПО)(П)</t>
  </si>
  <si>
    <t>Абаскалова Н.П., Айзман Р.И., Боровец Е.Н. и др.</t>
  </si>
  <si>
    <t>978-5-16-015639-2</t>
  </si>
  <si>
    <t>00.01.05, 00.02.14, 00.02.15, 31.01.01, 31.02.01, 31.02.02, 31.02.03, 31.02.04, 31.02.05, 31.02.06, 32.02.01, 34.01.01, 34.02.01, 34.02.02, 44.02.01, 44.02.02, 44.02.03, 44.02.04, 44.02.05, 44.02.06</t>
  </si>
  <si>
    <t>408100.13.01</t>
  </si>
  <si>
    <t>Физиологические основы психической деят.: Уч.пос./ Р.И.Айзман. - М:НИЦ ИНФРА-М,2026 - 192 с.(ВО.) (п)</t>
  </si>
  <si>
    <t>ФИЗИОЛОГИЧЕСКИЕ ОСНОВЫ ПСИХИЧЕСКОЙ ДЕЯТЕЛЬНОСТИ, ИЗД.1</t>
  </si>
  <si>
    <t>Айзман Р.И., Кривощеков С.Г.</t>
  </si>
  <si>
    <t>978-5-16-022026-0</t>
  </si>
  <si>
    <t>37.03.01, 37.04.01, 49.03.01, 49.03.02, 49.03.03</t>
  </si>
  <si>
    <t>Рекомендовано Региональным центром Сибирского федерального округа по развитию преподавания безопасности жизнедеятельности в качестве учебного пособия для студентов педагогического направления (050100.62), профилей Безопасность жизнедеятельности, Биол</t>
  </si>
  <si>
    <t>860031.01.01</t>
  </si>
  <si>
    <t>Физиология кровообращения: Уч.мет.пос. / С.Н.Мельник. - М.:НИЦ ИНФРА-М, Гомельский гос. универ.,2026. - 146 с.(ВО)(п)</t>
  </si>
  <si>
    <t>ФИЗИОЛОГИЯ КРОВООБРАЩЕНИЯ, ИЗД.1</t>
  </si>
  <si>
    <t>Мельник С.Н., Мельник В.А., Сейфидинова С.Г.</t>
  </si>
  <si>
    <t>978-5-16-021299-9</t>
  </si>
  <si>
    <t>06.04.01, 31.05.02, 31.05.03, 34.03.01</t>
  </si>
  <si>
    <t>168200.09.01</t>
  </si>
  <si>
    <t>Физиология поведения: Уч.пос. / Под ред. Саваневского Н.К. - М.:ИНФРА-М,2026 - 400 с.(ВО)(П)</t>
  </si>
  <si>
    <t>ФИЗИОЛОГИЯ ПОВЕДЕНИЯ, ИЗД.1</t>
  </si>
  <si>
    <t>Саваневский Н. К., Хомич Г. Е., Саваневский Н. К.</t>
  </si>
  <si>
    <t>978-5-16-005288-5</t>
  </si>
  <si>
    <t>Рек. УМО высших учебных заведений Республики Беларусь по гуманитарному образованию в качестве учебного пособия для студентов высших учебных заведений, обуч. по специальности "Психология"</t>
  </si>
  <si>
    <t>365800.13.01</t>
  </si>
  <si>
    <t>Физиология с основами анатомии: Уч. / А.И.Тюкавин - 2 изд. - М.:НИЦ ИНФРА-М,2026. - 813 с.(ВО.)(п)</t>
  </si>
  <si>
    <t>ФИЗИОЛОГИЯ С ОСНОВАМИ АНАТОМИИ, ИЗД.2</t>
  </si>
  <si>
    <t>Тюкавин А.И., Арсениев Н.А., Васильев А.Г. и др.</t>
  </si>
  <si>
    <t>978-5-16-020582-3</t>
  </si>
  <si>
    <t>31.05.01, 33.05.01, 34.03.01, 49.03.01, 49.03.02, 49.03.03</t>
  </si>
  <si>
    <t>365800.06.01</t>
  </si>
  <si>
    <t>Физиология с основами анатомии: Уч. / Под ред. Тюкавина А.И.-М.:НИЦ ИНФРА-М,2021.-574 с.(ВО)(П)</t>
  </si>
  <si>
    <t>ФИЗИОЛОГИЯ С ОСНОВАМИ АНАТОМИИ, ИЗД.1</t>
  </si>
  <si>
    <t>Тюкавин А.И., Черешнев В.А., Яковлев В.Н. и др.</t>
  </si>
  <si>
    <t>978-5-16-011002-8</t>
  </si>
  <si>
    <t>Рекомендовано в качестве учебника для студентов высших учебных заведений, обучающихся по направлению подготовки 33.05.01 «Фармация» (квалификация (степень) «провизор»)</t>
  </si>
  <si>
    <t>637739.09.01</t>
  </si>
  <si>
    <t>Физиология физкультурно-оздор. деят.: Уч. / Л.К.Караулова - М.:НИЦ ИНФРА-М,2025. - 336 с.(ВО: Бакалавр.)(П)</t>
  </si>
  <si>
    <t>ФИЗИОЛОГИЯ ФИЗКУЛЬТУРНО-ОЗДОРОВИТЕЛЬНОЙ ДЕЯТЕЛЬНОСТИ, ИЗД.1</t>
  </si>
  <si>
    <t>Караулова Л.К.</t>
  </si>
  <si>
    <t>978-5-16-012250-2</t>
  </si>
  <si>
    <t>30.05.02, 31.05.01, 32.05.01, 49.03.01, 49.03.02</t>
  </si>
  <si>
    <t>Рекомендовано в качестве учебника для студентов высших учебных заведений, обучающихся по направлению подготовки 49.03.01 «Физическая культура» (квалификация (степень) «бакалавр»)</t>
  </si>
  <si>
    <t>842428.01.01</t>
  </si>
  <si>
    <t>Физиология физкультурно-оздор. деят.: Уч. / Л.К.Караулова - М.:НИЦ ИНФРА-М,2025. - 336 с.(СПО)(п)</t>
  </si>
  <si>
    <t>978-5-16-020342-3</t>
  </si>
  <si>
    <t>31.02.01, 31.02.02, 31.02.03, 31.02.04, 31.02.06, 32.02.01, 33.02.01, 34.02.01, 42.02.12, 43.02.04, 44.02.03, 49.02.01</t>
  </si>
  <si>
    <t>244900.08.01</t>
  </si>
  <si>
    <t>Физиология человека: Уч. пос. / Р.И. Айзман - 2 изд. - М.: НИЦ ИНФРА-М, 2026 - 432 с.(ВО:Бакалавр.) (п)</t>
  </si>
  <si>
    <t>ФИЗИОЛОГИЯ ЧЕЛОВЕКА, ИЗД.2</t>
  </si>
  <si>
    <t>Айзман Р.И., Абаскалова Н.П., Шуленина Н.С.</t>
  </si>
  <si>
    <t>978-5-16-009279-9</t>
  </si>
  <si>
    <t>Рекомендовано Региональным центром Сибирского Федерального округа по развитию преподавания безопасности жизнедеятельности в качестве учебного пособия для студентов высших учебных заведений, обучающихся по направлению 44.04.01 (050100.62) «Педагогическое образование» (профили «Безопасность жизнедеятельности», «Биология», «Психология»</t>
  </si>
  <si>
    <t>690260.05.01</t>
  </si>
  <si>
    <t>Физиология человека: Уч.пос. / Е.В.Евстафьева - М.:НИЦ ИНФРА-М,2026 - 355 с.-(ВО: Спец. (КрымФУ))(П)</t>
  </si>
  <si>
    <t>ФИЗИОЛОГИЯ ЧЕЛОВЕКА, ИЗД.1</t>
  </si>
  <si>
    <t>Евстафьева Е.В., Бояринцева Ю.А., Залата О.А. и др.</t>
  </si>
  <si>
    <t>978-5-16-020505-2</t>
  </si>
  <si>
    <t>04.03.02, 06.04.01, 19.04.04, 20.03.01, 25.05.05, 30.05.03, 36.05.01, 44.03.05, 49.03.01, 49.03.02, 49.03.03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</si>
  <si>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медицинским специальностям (квалификация «врач») (протокол № 10 от 15.12.2021)</t>
  </si>
  <si>
    <t>465050.14.01</t>
  </si>
  <si>
    <t>Физиология: Уч.пос. / Ю.Н.Самко - М.:НИЦ ИНФРА-М,2026 - 144 с.(ВО)(о)</t>
  </si>
  <si>
    <t>ФИЗИОЛОГИЯ, ИЗД.1</t>
  </si>
  <si>
    <t>Самко Ю. Н.</t>
  </si>
  <si>
    <t>978-5-16-009659-9</t>
  </si>
  <si>
    <t>30.05.01, 30.05.02, 30.05.03, 31.05.01, 31.05.02</t>
  </si>
  <si>
    <t>Рекомендовано в качестве учебного пособия для студентов высших учебных заведений, обучающихся по направлениям подготовки 31.05.01 «Лечебное дело», 31.05.02 «Педиатрия» (квалификация «врач общей практики» и «врач-педиатр общей практики»)</t>
  </si>
  <si>
    <t>813797.02.01</t>
  </si>
  <si>
    <t>Физическая и коллоидная химия: Уч.пос. / О.В.Демина - М.:НИЦ ИНФРА-М,2026. - 200 с.(ВО (КрГАУ))(п)</t>
  </si>
  <si>
    <t>ФИЗИЧЕСКАЯ И КОЛЛОИДНАЯ ХИМИЯ, ИЗД.1</t>
  </si>
  <si>
    <t>Демина О.В., Головнева И.И.</t>
  </si>
  <si>
    <t>978-5-16-019669-5</t>
  </si>
  <si>
    <t>19.03.01, 19.03.02, 19.03.03</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</si>
  <si>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направлениям подготовки 19.03.02 «Продукты питания из растительного сырья», 19.03.03 «Продукты питания животного происхождения»</t>
  </si>
  <si>
    <t>666690.06.01</t>
  </si>
  <si>
    <t>Физическая культура студентов...: Уч.пос. / Л.Н.Гелецкая. - М.:НИЦ ИНФРА-М, СФУ,2026 - 219 с.(ВО:Бакалавр)</t>
  </si>
  <si>
    <t>ФИЗИЧЕСКАЯ КУЛЬТУРА СТУДЕНТОВ СПЕЦИАЛЬНОГО УЧЕБНОГО ОТДЕЛЕНИЯ, ИЗД.1</t>
  </si>
  <si>
    <t>Гелецкая Л.Н., Бирдигулова И.Ю., Шубин Д.А. и др.</t>
  </si>
  <si>
    <t>978-5-16-013181-8</t>
  </si>
  <si>
    <t>00.03.14</t>
  </si>
  <si>
    <t>Рекомендовано федеральным государственным бюджетным образовательным учреждением высшего профессионального образования «Российский государственный педагогический университет им. А.И. Герцена» к использованию в образовательных учреждениях, реализующих образовательные программы высшего профессионального образования по дисциплине «Физическая культура»</t>
  </si>
  <si>
    <t>730655.09.01</t>
  </si>
  <si>
    <t>Физическая культура: Уч.мет.пос. / Ю.С.Филиппова - М.:НИЦ ИНФРА-М,2026 - 197 с.-(СПО)(П)</t>
  </si>
  <si>
    <t>ФИЗИЧЕСКАЯ КУЛЬТУРА, ИЗД.1</t>
  </si>
  <si>
    <t>Филиппова Ю.С.</t>
  </si>
  <si>
    <t>978-5-16-015948-5</t>
  </si>
  <si>
    <t>00.01.05, 00.02.14, 09.01.03, 09.01.05, 21.02.12, 27.02.06, 44.02.01, 44.02.02, 49.02.01, 49.02.02, 49.02.03</t>
  </si>
  <si>
    <t>686695.11.01</t>
  </si>
  <si>
    <t>Физическая культура: Уч.мет.пос. / Ю.С.Филиппова - М.:НИЦ ИНФРА-М,2027 - 201 с.-(ВО)(п)</t>
  </si>
  <si>
    <t>978-5-16-019217-8</t>
  </si>
  <si>
    <t>266000.10.01</t>
  </si>
  <si>
    <t>Физическая химия: Уч.: Т.1: Общая хим. термодинамика / А.Я.Борщевский - М.:НИЦ ИНФРА-М,2027. - 606 с.(ВО)(п)</t>
  </si>
  <si>
    <t>ФИЗИЧЕСКАЯ ХИМИЯ, Т.1</t>
  </si>
  <si>
    <t>Борщевский А.Я.</t>
  </si>
  <si>
    <t>978-5-16-018556-9</t>
  </si>
  <si>
    <t>00.03.31, 03.04.01, 04.03.01, 04.03.02, 18.03.01, 18.03.02, 19.03.01, 31.05.01, 31.05.02, 31.05.03, 33.05.01</t>
  </si>
  <si>
    <t>Рекомендовано в качестве учебника для студентов высших учебных заведений, обучающихся по направлениям подготовки 04.03.01 «Химия», 18.03.01 «Химическая технология», 03.03.01 «Прикладные математика и физика» (квалификация (степень) «бакалавр»)</t>
  </si>
  <si>
    <t>268000.10.01</t>
  </si>
  <si>
    <t>Физическая химия: Уч.: Т.2: Статист. термодинамика / А.Я.Борщевский - М.:НИЦ ИНФРА-М,2026 - 382 с.(ВО)</t>
  </si>
  <si>
    <t>ФИЗИЧЕСКАЯ ХИМИЯ, Т.2</t>
  </si>
  <si>
    <t>978-5-16-011788-1</t>
  </si>
  <si>
    <t>04.03.01, 04.03.02, 18.03.01, 18.03.02, 19.03.01, 31.05.01, 31.05.02, 31.05.03, 33.05.01</t>
  </si>
  <si>
    <t>292600.08.01</t>
  </si>
  <si>
    <t>Физическая химия: Уч.пос. / Д.П.Зарубин - М.:НИЦ ИНФРА-М,2026 - 474 с.-(ВО: Бакалавр.)(П)</t>
  </si>
  <si>
    <t>ФИЗИЧЕСКАЯ ХИМИЯ, ИЗД.1</t>
  </si>
  <si>
    <t>Зарубин Д.П.</t>
  </si>
  <si>
    <t>978-5-16-010067-8</t>
  </si>
  <si>
    <t>04.03.01, 04.03.02, 04.05.01, 18.03.01, 18.03.02, 18.05.01, 18.05.02, 30.05.01, 31.05.01, 31.05.02, 31.05.03, 33.05.01, 35.03.03</t>
  </si>
  <si>
    <t>Рекомендовано в качестве учебного пособия для студентов высших учебных заведений, обучающихся по направлениям подготовки 04.03.01 «Химия»; 18.03.01 «Химическая технология»; 18.03.02 «Энерго- и ресурсосберегающие процессы в химической технологии, нефтетехнологии и биотехнологии»; 19.03.01 «Биотехнология» (квалификация (степень) «бакалавр»)</t>
  </si>
  <si>
    <t>798326.02.01</t>
  </si>
  <si>
    <t>Физическая химия: энергия, работа, теплота: Уч.пос. / А.Я.Борщевский - М.:НИЦ ИНФРА-М,2026. - 214 с.(ВО)(п)</t>
  </si>
  <si>
    <t>ФИЗИЧЕСКАЯ ХИМИЯ: ЭНЕРГИЯ, РАБОТА, ТЕПЛОТА, ИЗД.1</t>
  </si>
  <si>
    <t>978-5-16-018327-5</t>
  </si>
  <si>
    <t>01.05.01, 03.05.02, 04.05.01</t>
  </si>
  <si>
    <t>808422.02.01</t>
  </si>
  <si>
    <t>Физическая химия: энтропия: Уч.пос. / А.Я.Борщевский - М.:НИЦ ИНФРА-М,2026. - 298 с.(ВО)(п)</t>
  </si>
  <si>
    <t>ФИЗИЧЕСКАЯ ХИМИЯ: ЭНТРОПИЯ, ИЗД.1</t>
  </si>
  <si>
    <t>978-5-16-019162-1</t>
  </si>
  <si>
    <t>04.03.01, 04.05.01</t>
  </si>
  <si>
    <t>330900.08.01</t>
  </si>
  <si>
    <t>Физические основы биосенсорики: Уч.пос. / Г.П.Горбенко - М.:Вуз. уч., НИЦ ИНФРА-М,2025. - 140 с.(О)</t>
  </si>
  <si>
    <t>ФИЗИЧЕСКИЕ ОСНОВЫ БИОСЕНСОРИКИ, ИЗД.1</t>
  </si>
  <si>
    <t>Горбенко Г.П., Трусова В.М., Евстигнеев М.П.</t>
  </si>
  <si>
    <t>978-5-9558-0415-6</t>
  </si>
  <si>
    <t>12.03.04, 12.04.04</t>
  </si>
  <si>
    <t>Харьковский национальный университет им. В.Н. Каразина</t>
  </si>
  <si>
    <t>183800.07.01</t>
  </si>
  <si>
    <t>Физические основы волоконной оптики: Уч.пос. / А.В.Стрекалов - М:ИЦ РИОР:Инфра-М,2025 - 106 с.(ВО:Бакалавр.) (п)</t>
  </si>
  <si>
    <t>ФИЗИЧЕСКИЕ ОСНОВЫ ВОЛОКОННОЙ ОПТИКИ, ИЗД.1</t>
  </si>
  <si>
    <t>Стрекалов А. В., Тенякова Н. А.</t>
  </si>
  <si>
    <t>978-5-369-00966-6</t>
  </si>
  <si>
    <t>11.03.02, 11.04.02, 12.03.02</t>
  </si>
  <si>
    <t>Рекомендованно УМО по образованию в области телекоммуникаций в качестве учебного пособия для студентов, обучающихся по специальностям 200900 "Сети связи и системы коммуникаций", 201000 "Многоканальные телекоммуникационные системы"</t>
  </si>
  <si>
    <t>633723.08.01</t>
  </si>
  <si>
    <t>Физические основы защиты информации: Уч.пос. / Н.Е.Шейдаков - М.:ИЦ РИОР, НИЦ ИНФРА-М,2026 - 204 с.(ВО)(П)</t>
  </si>
  <si>
    <t>ФИЗИЧЕСКИЕ ОСНОВЫ ЗАЩИТЫ ИНФОРМАЦИИ, ИЗД.1</t>
  </si>
  <si>
    <t>Шейдаков Н.Е., Тищенко Е.Н., Серпенинов О.В.</t>
  </si>
  <si>
    <t>978-5-369-01603-9</t>
  </si>
  <si>
    <t>01.04.04, 09.03.01, 09.03.03, 10.03.01, 10.04.01, 10.05.02, 10.05.04, 27.03.02, 27.04.03, 38.03.05, 38.04.05, 46.03.02</t>
  </si>
  <si>
    <t>653846.08.01</t>
  </si>
  <si>
    <t>Физические основы измер. и эталоны: Уч.пос. / А.А.Афанасьев - М.:НИЦ ИНФРА-М,2026. - 246 с.(ВО: Бакалавр.)(П)</t>
  </si>
  <si>
    <t>ФИЗИЧЕСКИЕ ОСНОВЫ ИЗМЕРЕНИЙ И ЭТАЛОНЫ, ИЗД.1</t>
  </si>
  <si>
    <t>978-5-16-018624-5</t>
  </si>
  <si>
    <t>Рекомендовано в качестве учебного пособия для студентов высших учебных заведений, обучающихся по направлениям подготовки 27.03.01 «Стандартизация и метрология», 15.03.01 «Машиностроение», 15.03.02 «Технологические машины и оборудование» (квалификация (степень) «бакалавр»)</t>
  </si>
  <si>
    <t>758396.02.01</t>
  </si>
  <si>
    <t>Физические основы измерений и эталоны: Уч.пос. / А.А.Афанасьев - М.:НИЦ ИНФРА-М,2023 - 246 с.(СПО)(П)</t>
  </si>
  <si>
    <t>978-5-16-016982-8</t>
  </si>
  <si>
    <t>15.02.04, 15.02.07, 15.02.10, 15.02.16, 15.02.18, 27.02.01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</si>
  <si>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27.00.00 «Управление в технических системах» (протокол № 12 от 14.12.2020)</t>
  </si>
  <si>
    <t>648703.09.01</t>
  </si>
  <si>
    <t>Физические основы лазерной техники: Уч.пос. / Б.Н.Пойзнер, - 2 изд. - М.:НИЦ ИНФРА-М,2027. - 160 с.(ВО)(п)</t>
  </si>
  <si>
    <t>ФИЗИЧЕСКИЕ ОСНОВЫ ЛАЗЕРНОЙ ТЕХНИКИ, ИЗД.2</t>
  </si>
  <si>
    <t>Пойзнер Б.Н.</t>
  </si>
  <si>
    <t>978-5-16-022242-4</t>
  </si>
  <si>
    <t>12.04.02, 12.04.03, 12.04.05</t>
  </si>
  <si>
    <t>Рекомендовано УМО по образованию в области приборостроения и оптотехники в качестве учебного пособия для студентов высших учебных заведений, обучающихся по направлению подготовки «Оптотехника» и специальностям «Лазерная техника и лазерные технологии», «Оптико-электронные приборы и системы»</t>
  </si>
  <si>
    <t>359000.10.01</t>
  </si>
  <si>
    <t>Физические основы получ. информации: Уч. / Г.Г.Раннев - 2 изд. - М.:КУРС,НИЦ ИНФРА-М,2027 - 304 с.(П)</t>
  </si>
  <si>
    <t>ФИЗИЧЕСКИЕ ОСНОВЫ ПОЛУЧЕНИЯ ИНФОРМАЦИИ, ИЗД.2</t>
  </si>
  <si>
    <t>Раннев Г.Г., Сурогина В.А., Тарасенко А.П. и др.</t>
  </si>
  <si>
    <t>978-5-906818-97-3</t>
  </si>
  <si>
    <t>Рекомендовано в качестве учебника для студентов высших учебных заведений, обучающихся по направлению подготовки 12.03.01 «Приборостроение» (квалификация — Бакалавр)</t>
  </si>
  <si>
    <t>428700.05.01</t>
  </si>
  <si>
    <t>Физические основы получения информации: Уч. пос. / Б.Ю. Каплан. - М.: ИНФРА-М, 2023. - 286 с. (ВО) (п)</t>
  </si>
  <si>
    <t>ФИЗИЧЕСКИЕ ОСНОВЫ ПОЛУЧЕНИЯ ИНФОРМАЦИИ, ИЗД.1</t>
  </si>
  <si>
    <t>978-5-16-006381-2</t>
  </si>
  <si>
    <t>670460.02.01</t>
  </si>
  <si>
    <t>Физические св-ва гор. пород запад. части Сибир. платф.: Моногр. / А.М.Капитонов-М:НИЦ ИНФРА-М,СФУ,2020-424с</t>
  </si>
  <si>
    <t>ФИЗИЧЕСКИЕ СВОЙСТВА ГОРНЫХ ПОРОД ЗАПАДНОЙ ЧАСТИ СИБИРСКОЙ ПЛАТФОРМЫ, ИЗД.1</t>
  </si>
  <si>
    <t>Капитонов А.М., Васильев В.Г.</t>
  </si>
  <si>
    <t>978-5-16-013365-2</t>
  </si>
  <si>
    <t>700912.07.01</t>
  </si>
  <si>
    <t>Физическое воспитание детей дош. и...: Уч.мет.пос. / С.В.Гурьев - М.:НИЦ ИНФРА-М,2026 - 218 с.-(П)</t>
  </si>
  <si>
    <t>ФИЗИЧЕСКОЕ ВОСПИТАНИЕ ДЕТЕЙ ДОШКОЛЬНОГО И МЛАДШЕГО ШКОЛЬНОГО ВОЗРАСТА, ИЗД.1</t>
  </si>
  <si>
    <t>Гурьев С.В.</t>
  </si>
  <si>
    <t>978-5-16-014873-1</t>
  </si>
  <si>
    <t>00.01.05, 00.02.14, 44.02.01, 44.02.02, 44.02.04, 44.02.05, 49.02.01, 49.02.02, 49.02.03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</si>
  <si>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(протокол № 2 от 03.02.2020)</t>
  </si>
  <si>
    <t>686518.05.01</t>
  </si>
  <si>
    <t>Физическое и математич. моделир. строит. сис.: Уч.пос. / В.Т.Чемодуров - М.:НИЦ ИНФРА-М,2026. - 196 с.(ВО)(П)</t>
  </si>
  <si>
    <t>ФИЗИЧЕСКОЕ И МАТЕМАТИЧЕСКОЕ МОДЕЛИРОВАНИЕ СТРОИТЕЛЬНЫХ СИСТЕМ, ИЗД.1</t>
  </si>
  <si>
    <t>Чемодуров В.Т., Литвинова Э.В.</t>
  </si>
  <si>
    <t>978-5-16-014993-6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</si>
  <si>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38.04.01 «Строительство» (квалификация (степень) «магистр») (протокол № 10 от 12.10.2020)</t>
  </si>
  <si>
    <t>660983.04.01</t>
  </si>
  <si>
    <t>Физическое материаловедение: Уч.пос.: В 2 ч.Ч. 1: /В.И.Томилин.-М.:НИЦ ИНФРА-М,СФУ,2023-280с.(ВО)(П)</t>
  </si>
  <si>
    <t>ФИЗИЧЕСКОЕ МАТЕРИАЛОВЕДЕНИЕ, Т.1</t>
  </si>
  <si>
    <t>Томилин В.И., Томилина Н.П., Бахтина В.А.</t>
  </si>
  <si>
    <t>978-5-16-012962-4</t>
  </si>
  <si>
    <t>11.03.01, 11.03.02, 11.03.03, 11.03.04</t>
  </si>
  <si>
    <t>Рекомендовано УМО вузов РФ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специальности «Проектирование и технология радиоэлектронных средств»</t>
  </si>
  <si>
    <t>178950.06.01</t>
  </si>
  <si>
    <t>Фил - и - Соф: Беседы о вечном и бренном: Моногр. / А.А.Лагунов - М:НИЦ Инфра-М, 2025 - 184 с.(Науч.мысль) (о)</t>
  </si>
  <si>
    <t>ФИЛ - И - СОФ: БЕСЕДЫ О ВЕЧНОМ И БРЕННОМ, ИЗД.1</t>
  </si>
  <si>
    <t>Лагунов А. А., Нижников С. А.</t>
  </si>
  <si>
    <t>978-5-16-005435-3</t>
  </si>
  <si>
    <t>419850.07.01</t>
  </si>
  <si>
    <t>Филогенетическая теория общей патологии. Патогенез метабол..: Моногр. / В.Н.Титов - ИНФРА-М, 2026 - 223 с. (о)</t>
  </si>
  <si>
    <t>ФИЛОГЕНЕТИЧЕСКАЯ ТЕОРИЯ ОБЩЕЙ ПАТОЛОГИИ. ПАТОГЕНЕЗ МЕТАБОЛИЧЕСКИХ ПАНДЕМИЙ. САХАРНЫЙ ДИАБЕТ, ИЗД.1</t>
  </si>
  <si>
    <t>Титов В. Н.</t>
  </si>
  <si>
    <t>978-5-16-006539-7</t>
  </si>
  <si>
    <t>31.05.01, 31.06.01, 31.08.07</t>
  </si>
  <si>
    <t>210100.08.01</t>
  </si>
  <si>
    <t>Филогенетическая теория общей патологии...:Моногр. / В.Н.Титов - М:НИЦ ИНФРА-М,2026 - 238 с.(Научн. мысль)(о)</t>
  </si>
  <si>
    <t>ФИЛОГЕНЕТИЧЕСКАЯ ТЕОРИЯ ОБЩЕЙ ПАТОЛОГИИ. ПАТОГЕНЕЗ БОЛЕЗНЕЙ ЦИВИЛИЗАЦИИ. АТЕРОСКЛЕРОЗ, ИЗД.1</t>
  </si>
  <si>
    <t>978-5-16-006837-4</t>
  </si>
  <si>
    <t>30.05.02, 30.06.01, 31.05.01, 31.06.01, 31.07.01, 31.08.36</t>
  </si>
  <si>
    <t>453250.06.01</t>
  </si>
  <si>
    <t>Филогенетическая теория общей патологии..: Моногр. / В.Н.Титов - М.:ИНФРА-М,2026 - 204 с.-(Научн.мысль) (о)</t>
  </si>
  <si>
    <t>ФИЛОГЕНЕТИЧЕСКАЯ ТЕОРИЯ ОБЩЕЙ ПАТОЛОГИИ. ПАТОГЕНЕЗ МЕТАБОЛИЧЕСКИХ ПАНДЕМИЙ. АРТЕРИАЛЬНАЯ ГИПЕРТОНИЯ, ИЗД.1</t>
  </si>
  <si>
    <t>978-5-16-009287-4</t>
  </si>
  <si>
    <t>31.05.01, 31.06.01, 31.07.01, 31.08.07, 31.08.36, 34.03.01</t>
  </si>
  <si>
    <t>773007.01.01</t>
  </si>
  <si>
    <t>Филологический анализ текстов на англ. яз.: Уч.пос. / Е.М.Бутенина - М.:НИЦ ИНФРА-М,2025. - 206 с.(п)</t>
  </si>
  <si>
    <t>ФИЛОЛОГИЧЕСКИЙ АНАЛИЗ ТЕКСТОВ НА АНГЛИЙСКОМ ЯЗЫКЕ, ИЗД.1</t>
  </si>
  <si>
    <t>Бутенина Е.М.</t>
  </si>
  <si>
    <t>978-5-16-017451-8</t>
  </si>
  <si>
    <t>44.03.05, 44.04.01, 45.03.01, 45.04.01</t>
  </si>
  <si>
    <t>657551.05.01</t>
  </si>
  <si>
    <t>Философия  права: Уч. / И.И.Кальной - М.:Вуз. уч., НИЦ ИНФРА-М,2021 - 292 с.(П)</t>
  </si>
  <si>
    <t>ФИЛОСОФИЯ  ПРАВА, ИЗД.1</t>
  </si>
  <si>
    <t>Кальной И.И., Чукин С.Г.</t>
  </si>
  <si>
    <t>978-5-9558-0571-9</t>
  </si>
  <si>
    <t>38.04.09, 40.04.01, 40.05.01, 40.05.02, 40.05.03, 40.05.04</t>
  </si>
  <si>
    <t>852110.01.01</t>
  </si>
  <si>
    <t>Философия (с кейсовыми задачами): Уч. / Т.М.Махаматов. - М.:НИЦ ИНФРА-М,2026. -  433 с.(ВО)(п)</t>
  </si>
  <si>
    <t>ФИЛОСОФИЯ (С КЕЙСОВЫМИ ЗАДАЧАМИ), ИЗД.1</t>
  </si>
  <si>
    <t>Махаматов Т.М., Кораблева Е.В., Разин А.В. и др.</t>
  </si>
  <si>
    <t>978-5-16-020877-0</t>
  </si>
  <si>
    <t>737017.05.01</t>
  </si>
  <si>
    <t>Философия (с кейсовыми задачами): Уч.пос. / Т.М.Махаматов-М.:НИЦ ИНФРА-М,2024.-294 с.(ВО: Бакалавр)(П)</t>
  </si>
  <si>
    <t>Махаматов Т.М., Махаматов Т.T.</t>
  </si>
  <si>
    <t>978-5-16-016439-7</t>
  </si>
  <si>
    <t>674727.03.01</t>
  </si>
  <si>
    <t>Философия воспитания: Моногр. / И.А.Булгакова - М.:НИЦ ИНФРА-М,2026. - 221 с.(Науч.мысль)(П)</t>
  </si>
  <si>
    <t>ФИЛОСОФИЯ ВОСПИТАНИЯ, ИЗД.1</t>
  </si>
  <si>
    <t>978-5-16-017514-0</t>
  </si>
  <si>
    <t>44.04.02, 44.04.04, 44.05.01, 44.06.01</t>
  </si>
  <si>
    <t>645367.04.01</t>
  </si>
  <si>
    <t>Философия для педагогов: Уч. / В.А.Канке - М.:НИЦ ИНФРА-М,2026 - 330 с.-(ВО: Бакалавр.)(П)</t>
  </si>
  <si>
    <t>ФИЛОСОФИЯ ДЛЯ ПЕДАГОГОВ, ИЗД.1</t>
  </si>
  <si>
    <t>978-5-16-012827-6</t>
  </si>
  <si>
    <t>44.03.01, 44.03.02, 44.03.04, 44.03.05, 47.03.01</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</si>
  <si>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44.03.04 «Профессиональное обучение (по отраслям)» (квалификация (степень) «бакалавр»)</t>
  </si>
  <si>
    <t>645368.06.01</t>
  </si>
  <si>
    <t>Философия для психологов: Уч. / В.А.Канке - М.:НИЦ ИНФРА-М,2027 - 315 с.-(ВО)(П)</t>
  </si>
  <si>
    <t>ФИЛОСОФИЯ ДЛЯ ПСИХОЛОГОВ, ИЗД.1</t>
  </si>
  <si>
    <t>978-5-16-020739-1</t>
  </si>
  <si>
    <t>37.03.01, 37.03.02, 44.03.02</t>
  </si>
  <si>
    <t>Рекомендовано в качестве учебника для студентов высших учебных заведений, обучающихся по направлениям подготовки 37.03.01 «Психология», 37.03.02 «Конфликтология» (квалификация (степень) «бакалавр»)</t>
  </si>
  <si>
    <t>677733.06.01</t>
  </si>
  <si>
    <t>Философия для технических специальностей: Уч. / В.А.Канке - 2 изд. - М.:НИЦ ИНФРА-М,2025 - 326 с.(ВО)(П)</t>
  </si>
  <si>
    <t>ФИЛОСОФИЯ ДЛЯ ТЕХНИЧЕСКИХ СПЕЦИАЛЬНОСТЕЙ, ИЗД.2</t>
  </si>
  <si>
    <t>978-5-16-014116-9</t>
  </si>
  <si>
    <t>00.03.11, 00.04.17, 00.05.11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</si>
  <si>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техническим направлениям подготовки (квалификация (степень) «бакалавр») (протокол № 11 от 09.11.2020)</t>
  </si>
  <si>
    <t>677732.05.01</t>
  </si>
  <si>
    <t>Философия для экономистов и менеджеров: Уч. / В.А.Канке - 2 изд. - М.:НИЦ ИНФРА-М,2023 - 320 с.(ВО)(П)</t>
  </si>
  <si>
    <t>ФИЛОСОФИЯ ДЛЯ ЭКОНОМИСТОВ И МЕНЕДЖЕРОВ, ИЗД.2</t>
  </si>
  <si>
    <t>978-5-16-014114-5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</si>
  <si>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подготовки 38.03.00 «Экономика и управление» (квалификация (степень) «бакалавр») (протокол № 18 от 25.11.2019)</t>
  </si>
  <si>
    <t>677716.05.01</t>
  </si>
  <si>
    <t>Философия для юристов: Уч. / В.А.Канке - 2 изд. - М.:НИЦ ИНФРА-М,2026 - 333 с.-(ВО: Бакалавр.)(П)</t>
  </si>
  <si>
    <t>ФИЛОСОФИЯ ДЛЯ ЮРИСТОВ, ИЗД.2</t>
  </si>
  <si>
    <t>978-5-16-014115-2</t>
  </si>
  <si>
    <t>40.03.01, 47.03.01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</si>
  <si>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40.03.01 «Юриспруденция» (квалификация (степень) «бакалавр») (протокол № 10 от 27.05.2019)</t>
  </si>
  <si>
    <t>710214.06.01</t>
  </si>
  <si>
    <t>Философия для юристов: Уч. / О.Ю.Рыбаков - М.:Юр.Норма, НИЦ ИНФРА-М,2026 - 368 с.(П)</t>
  </si>
  <si>
    <t>ФИЛОСОФИЯ ДЛЯ ЮРИСТОВ, ИЗД.1</t>
  </si>
  <si>
    <t>Рыбаков О.Ю.</t>
  </si>
  <si>
    <t>978-5-00156-003-6</t>
  </si>
  <si>
    <t>849927.02.01</t>
  </si>
  <si>
    <t>Философия для юристов: Уч. / О.Ю.Рыбаков - М.:Юр.Норма, НИЦ ИНФРА-М,2026 - 368 с.(СПО)(п)</t>
  </si>
  <si>
    <t>978-5-00156-416-4</t>
  </si>
  <si>
    <t>683033.04.01</t>
  </si>
  <si>
    <t>Философия и история науки и техники: Уч.пос. / Под ред. Несмеянова Е.Е. - М.:ИЦ РИОР,2025. - 640 с.(П)</t>
  </si>
  <si>
    <t>ФИЛОСОФИЯ И ИСТОРИЯ НАУКИ И ТЕХНИКИ, ИЗД.1</t>
  </si>
  <si>
    <t>Несмеянов Е.Е., Матяш Т.П.</t>
  </si>
  <si>
    <t>978-5-369-01782-1</t>
  </si>
  <si>
    <t>47.04.01, 47.06.01, 47.07.01</t>
  </si>
  <si>
    <t>402250.10.01</t>
  </si>
  <si>
    <t>Философия и история науки: Уч. / Е.А.Гусева - М.:НИЦ ИНФРА-М,2026 - 128 с.(ВО)(о)</t>
  </si>
  <si>
    <t>ФИЛОСОФИЯ И ИСТОРИЯ НАУКИ, ИЗД.1</t>
  </si>
  <si>
    <t>Гусева Е.А., Леонов В.Е.</t>
  </si>
  <si>
    <t>978-5-16-021100-8</t>
  </si>
  <si>
    <t>15.04.01, 15.04.03, 16.04.03, 35.04.08, 36.04.02, 46.04.02, 47.03.01, 47.04.01, 51.03.04, 51.04.04, 52.04.03, 53.04.04</t>
  </si>
  <si>
    <t>Допущено УМО по образованию в области производственного менеджмента в качестве учебника для аспирантов и соискателей всех специальностей</t>
  </si>
  <si>
    <t>241400.10.01</t>
  </si>
  <si>
    <t>Философия и история науки: Уч.пос. / А.Л.Никифоров - М.:НИЦ ИНФРА-М,2026 - 176 с.(ВО: )(О)</t>
  </si>
  <si>
    <t>Никифоров А. Л.</t>
  </si>
  <si>
    <t>978-5-16-020412-3</t>
  </si>
  <si>
    <t>Институт философии Российской академии наук</t>
  </si>
  <si>
    <t>433900.06.01</t>
  </si>
  <si>
    <t>Философия и культура Латинской Америки: Моногр. / М.С.Колесов - 2 изд. - М.:Вуз.уч., НИЦ ИНФРА-М,2026. - 160 с.(о)</t>
  </si>
  <si>
    <t>ФИЛОСОФИЯ И КУЛЬТУРА ЛАТИНСКОЙ АМЕРИКИ, ИЗД.2</t>
  </si>
  <si>
    <t>978-5-16-021790-1</t>
  </si>
  <si>
    <t>47.04.01, 51.04.01</t>
  </si>
  <si>
    <t>672180.03.01</t>
  </si>
  <si>
    <t>Философия и методология науки: Уч.пос. / В.А.Светлов-М.:НИЦ ИНФРА-М, СФУ,2022.-413 с.(ВО: Магистр. (СФУ))(П)</t>
  </si>
  <si>
    <t>ФИЛОСОФИЯ И МЕТОДОЛОГИЯ НАУКИ, ИЗД.1</t>
  </si>
  <si>
    <t>Светлов В.А., Пфаненштиль И.А.</t>
  </si>
  <si>
    <t>978-5-16-017352-8</t>
  </si>
  <si>
    <t>00.04.17, 01.04.01, 01.04.03, 02.04.01, 02.04.02, 10.04.01, 21.04.01, 38.04.09, 39.04.02, 46.04.01, 47.03.01</t>
  </si>
  <si>
    <t>Рекомендовано Учебно-методической комиссией по философии Учебно-методического объединения при Министерстве образования и науки РФ в качестве учебного пособия для студентов вузов и послевузовской системы образования</t>
  </si>
  <si>
    <t>663829.01.01</t>
  </si>
  <si>
    <t>Философия и социология нетип. развития (образ "Другого"...): Уч.пос. / Н.Ш.Тюрина-М.:ИНФРА-М,2024-221с.(п)</t>
  </si>
  <si>
    <t>ФИЛОСОФИЯ И СОЦИОЛОГИЯ НЕТИПИЧНОГО РАЗВИТИЯ (ОБРАЗ "ДРУГОГО" В МИРОВОМ КИНЕМАТОГРАФЕ), ИЗД.1</t>
  </si>
  <si>
    <t>Тюрина Н.Ш.</t>
  </si>
  <si>
    <t>978-5-16-018088-5</t>
  </si>
  <si>
    <t>39.04.01, 44.04.03</t>
  </si>
  <si>
    <t>145150.08.01</t>
  </si>
  <si>
    <t>Философия и теория познания: Уч. пос. / Т.Г. Лешкевич. - М.: ИНФРА-М, 2025 - 408 с.(ВО) (п)</t>
  </si>
  <si>
    <t>ФИЛОСОФИЯ И ТЕОРИЯ ПОЗНАНИЯ, ИЗД.1</t>
  </si>
  <si>
    <t>Лешкевич Т. Г.</t>
  </si>
  <si>
    <t>978-5-16-004485-9</t>
  </si>
  <si>
    <t>821096.01.01</t>
  </si>
  <si>
    <t>Философия и эстетика формирования городской среды: Уч.пос. / Г.А.Потаев - М.:НИЦ ИНФРА-М,2025 - 333 с.:цв.ил.-(ВО)(п)</t>
  </si>
  <si>
    <t>ФИЛОСОФИЯ И ЭСТЕТИКА ФОРМИРОВАНИЯ ГОРОДСКОЙ СРЕДЫ, ИЗД.1</t>
  </si>
  <si>
    <t>978-5-16-020515-1</t>
  </si>
  <si>
    <t>07.03.01, 07.03.04, 07.04.04, 35.03.10</t>
  </si>
  <si>
    <t>851938.01.01</t>
  </si>
  <si>
    <t>Философия Индии и Китая: Уч.пос. / А.Л.Панищев - М.:НИЦ ИНФРА-М,2026. - 164 с.-(ВО)(п)</t>
  </si>
  <si>
    <t>ФИЛОСОФИЯ ИНДИИ И КИТАЯ, ИЗД.1</t>
  </si>
  <si>
    <t>978-5-16-021052-0</t>
  </si>
  <si>
    <t>337600.06.01</t>
  </si>
  <si>
    <t>Философия истории России / М.С.Колесов - 2 изд. - М.: НИЦ ИНФРА-М,2027. - 238 с.-(Научная книга)(О)</t>
  </si>
  <si>
    <t>ФИЛОСОФИЯ ИСТОРИИ РОССИИ, ИЗД.2</t>
  </si>
  <si>
    <t>КолесовМ.С.</t>
  </si>
  <si>
    <t>978-5-16-022498-5</t>
  </si>
  <si>
    <t>40.03.01, 44.03.01, 44.03.05, 46.04.01, 47.04.01</t>
  </si>
  <si>
    <t>776751.01.01</t>
  </si>
  <si>
    <t>Философия истории: Уч. / А.А.Иванов-М.:НИЦ ИНФРА-М,2023.-312 с.(ВО)(п)</t>
  </si>
  <si>
    <t>ФИЛОСОФИЯ ИСТОРИИ, ИЗД.1</t>
  </si>
  <si>
    <t>Иванов А.А., Воронов В.М.</t>
  </si>
  <si>
    <t>978-5-16-017662-8</t>
  </si>
  <si>
    <t>44.04.01, 46.03.01, 46.04.01, 47.03.01</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</si>
  <si>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47.03.01 - "Философия", 37.03.02 - "Конфликтология"</t>
  </si>
  <si>
    <t>652086.05.01</t>
  </si>
  <si>
    <t>Философия истории: Уч. / Науч. ред. Кальной И.И. - М.:Вуз. уч., НИЦ ИНФРА-М,2024 - 388 с.(П)</t>
  </si>
  <si>
    <t>ФИЛОСОФИЯ ИСТОРИИ, ИЗД.2</t>
  </si>
  <si>
    <t>Габриелян О.А., Кальной И.И.</t>
  </si>
  <si>
    <t>978-5-9558-0551-1</t>
  </si>
  <si>
    <t>46.03.01, 47.03.01</t>
  </si>
  <si>
    <t>658021.04.01</t>
  </si>
  <si>
    <t>Философия истории: Уч.пос. / В.Д.Губин - 2 изд.-М.:НИЦ ИНФРА-М,2023.-370 с..-(ВО: Бакалавриат)(П)</t>
  </si>
  <si>
    <t>Губин В.Д., Стрелков В.И.</t>
  </si>
  <si>
    <t>978-5-16-013687-5</t>
  </si>
  <si>
    <t>46.03.01, 46.04.01, 47.03.01, 47.04.01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</si>
  <si>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47.03.01 «Философия», 46.03.01 «История» (квалификация (степень) «бакалавр»)</t>
  </si>
  <si>
    <t>406800.11.01</t>
  </si>
  <si>
    <t>Философия музея: Уч.пос. / Под ред. Пиотровского М.Б. - М.:НИЦ ИНФРА-М,2026 - 192 с.(ВО)(О)</t>
  </si>
  <si>
    <t>ФИЛОСОФИЯ МУЗЕЯ, ИЗД.1</t>
  </si>
  <si>
    <t>Пиотровский М.Б., Беззубова О.В., Дриккер А.С. и др.</t>
  </si>
  <si>
    <t>978-5-16-021176-3</t>
  </si>
  <si>
    <t>43.03.02, 43.04.02, 47.03.01, 47.04.01, 50.03.03, 51.03.01, 51.03.04, 51.04.01, 51.04.04, 53.04.05, 54.03.04, 54.04.04</t>
  </si>
  <si>
    <t>Рекомендовано в качестве учебного пособия для студентов высших учебных заведений, обучающихся по направлениям подготовки 47.04.01 «Философия», 51.04.01 «Культурология», 50.04.01 «Искусства и гуманитарные науки», 54.04.04 «Реставрация» (квалификация (степень) «магистр»)</t>
  </si>
  <si>
    <t>638289.10.01</t>
  </si>
  <si>
    <t>Философия науки: Уч.пос. / В.П.Кохановский - 3 изд. - М.:Юр.Норма,НИЦ ИНФРА-М,2026 - 432 с.(П)</t>
  </si>
  <si>
    <t>ФИЛОСОФИЯ НАУКИ, ИЗД.3</t>
  </si>
  <si>
    <t>Кохановский В.П., Пржиленский В.И., Сергодеева Е.А.</t>
  </si>
  <si>
    <t>978-5-91768-758-2</t>
  </si>
  <si>
    <t>127150.13.01</t>
  </si>
  <si>
    <t>Философия науки: Уч.пос. / Е.В.Мареева - М.:НИЦ ИНФРА-М,2024 - 333 с.-(ВО: Аспирантура)(П)</t>
  </si>
  <si>
    <t>ФИЛОСОФИЯ НАУКИ, ИЗД.1</t>
  </si>
  <si>
    <t>Мареева Е. В., Мареев С. Н., Майданский А. Д.</t>
  </si>
  <si>
    <t>978-5-16-011709-6</t>
  </si>
  <si>
    <t>15.04.01, 15.04.03, 16.04.03, 35.04.08, 36.04.02, 46.04.02, 47.03.01, 47.04.01, 51.04.04, 52.04.03, 53.04.04</t>
  </si>
  <si>
    <t>Рекомендовано Ученым советом Института МИРБИС в качестве учебного пособия для аспирантов и соискателей; Рекомендовано к изданию Ученым советом НОУ ВПО «Московская академия экономики и права»</t>
  </si>
  <si>
    <t>127150.15.01</t>
  </si>
  <si>
    <t>Философия науки: Уч.пос. / Е.В.Мареева - М.:НИЦ ИНФРА-М,2026. - 333 с.(ВО)(о)</t>
  </si>
  <si>
    <t>978-5-16-021557-0</t>
  </si>
  <si>
    <t>Рекомендовано Ученым советом Института МИРБИС в качестве учебного пособия для аспирантов и соискателей Рекомендовано к изданию Ученым советом НОУ ВПО «Московская академия экономики и права»</t>
  </si>
  <si>
    <t>062250.13.01</t>
  </si>
  <si>
    <t>Философия науки: Уч.пос. / Т.Г.Лешкевич - М.:НИЦ ИНФРА-М,2026. -  272 с.-(ВО)(п)</t>
  </si>
  <si>
    <t>Лешкевич Т.Г., Лисеев И.К.</t>
  </si>
  <si>
    <t>978-5-16-018756-3</t>
  </si>
  <si>
    <t>01.06.01, 02.06.01, 03.06.01, 04.06.01, 05.06.01, 06.06.01, 07.06.01, 08.06.01, 09.06.01, 10.06.01, 11.06.01, 12.06.01, 13.06.01, 14.06.01, 15.06.01, 16.06.01, 17.06.01, 20.06.01, 21.06.01, 21.06.02, 22.06.01, 23.06.01, 24.06.01, 25.06.01, 26.06.01, 27.06.01, 28.06.01, 29.06.01, 30.06.01, 32.06.01, 33.06.01, 35.06.01, 35.06.02, 35.06.03, 35.06.04, 36.06.01, 37.06.01, 38.06.01, 39.06.01, 40.03.01, 40.06.01, 41.06.01, 42.06.01, 44.03.01, 44.03.05, 44.06.01, 45.06.01, 46.06.01, 47.03.01, 47.04.01, 47.06.01, 48.06.01, 49.06.01, 50.06.01, 51.06.01</t>
  </si>
  <si>
    <t>405650.08.01</t>
  </si>
  <si>
    <t>Философия образования: иностранный яз.: Моногр./В.И.Дубинский - НИЦ ИНФРА-М, 2023-90с.(Науч. мысль) (о)</t>
  </si>
  <si>
    <t>ФИЛОСОФИЯ ОБРАЗОВАНИЯ: ИНОСТРАННЫЙ ЯЗЫК, ИЗД.1</t>
  </si>
  <si>
    <t>Дубинский В. И.</t>
  </si>
  <si>
    <t>978-5-16-006278-5</t>
  </si>
  <si>
    <t>430900.07.01</t>
  </si>
  <si>
    <t>Философия политики и права: Уч. пос. / В.И.Пернацкий - М.:ИЦ РИОР, НИЦ ИНФРА-М,2026. - 224 с.(ВО: Магистр.(П)</t>
  </si>
  <si>
    <t>ФИЛОСОФИЯ ПОЛИТИКИ И ПРАВА, ИЗД.1</t>
  </si>
  <si>
    <t>Пернацкий В. И.</t>
  </si>
  <si>
    <t>978-5-369-01151-5</t>
  </si>
  <si>
    <t>38.04.09, 40.03.01, 40.04.01, 41.03.04, 41.03.06, 41.04.04, 46.03.01, 46.04.01, 47.03.01, 47.04.01</t>
  </si>
  <si>
    <t>654642.09.01</t>
  </si>
  <si>
    <t>Философия политики и права: Энц. сл. / Под ред. Никандрова А.В. - М.:НИЦ ИНФРА-М,2025 - 551с.(Б-ка сл. ИНФРА-М)(П)</t>
  </si>
  <si>
    <t>ФИЛОСОФИЯ ПОЛИТИКИ И ПРАВА: ЭНЦИКЛОПЕДИЧЕСКИЙ СЛОВАРЬ, ИЗД.1</t>
  </si>
  <si>
    <t>Аласания К.Ю., Аношкин П.П., Антонова В.Н. и др.</t>
  </si>
  <si>
    <t>978-5-16-012922-8</t>
  </si>
  <si>
    <t>41.03.06, 41.04.04, 47.04.01</t>
  </si>
  <si>
    <t>024246.14.01</t>
  </si>
  <si>
    <t>Философия права / В.С.Нерсесянц - М.: Юр.Норма, НИЦ ИНФРА-М, 2025 - 256 с.(Краткие уч.курсы юр.наук)(О)</t>
  </si>
  <si>
    <t>ФИЛОСОФИЯ ПРАВА, ИЗД.1</t>
  </si>
  <si>
    <t>978-5-91768-250-1</t>
  </si>
  <si>
    <t>38.04.09, 40.03.01, 40.04.01, 40.05.01, 40.05.02, 40.05.03, 40.05.04, 47.03.01, 47.04.01</t>
  </si>
  <si>
    <t>397100.08.01</t>
  </si>
  <si>
    <t>Философия права в России: из опыта XX в.: Моногр. / В.Г.Графский - М.:Юр.Норма, НИЦ ИНФРА-М, 2027 - 240 с .(П)</t>
  </si>
  <si>
    <t>ФИЛОСОФИЯ ПРАВА В РОССИИ: ИЗ ОПЫТА XX ВЕКА, ИЗД.1</t>
  </si>
  <si>
    <t>Графский В.Г., Борщ И.В., Малахов В.П. и др.</t>
  </si>
  <si>
    <t>978-5-91768-658-5</t>
  </si>
  <si>
    <t>253300.13.01</t>
  </si>
  <si>
    <t>Философия права и юр. герменевтика: Моногр. / И.П.Малинова, - 2 изд. - М.:Юр.НОРМА,НИЦ ИНФРА-М,2026 - 160 с.(п)</t>
  </si>
  <si>
    <t>ФИЛОСОФИЯ ПРАВА И ЮРИДИЧЕСКАЯ ГЕРМЕНЕВТИКА, ИЗД.2</t>
  </si>
  <si>
    <t>Малинова И.П.</t>
  </si>
  <si>
    <t>978-5-00156-293-1</t>
  </si>
  <si>
    <t>253300.10.01</t>
  </si>
  <si>
    <t>Философия права и юридич. герменевтика: Моногр. / И.П.Малинова - М.:Юр.Норма, НИЦ ИНФРА-М,2023-176с(О)</t>
  </si>
  <si>
    <t>ФИЛОСОФИЯ ПРАВА И ЮРИДИЧЕСКАЯ ГЕРМЕНЕВТИКА, ИЗД.1</t>
  </si>
  <si>
    <t>978-5-91768-449-9</t>
  </si>
  <si>
    <t>674319.03.01</t>
  </si>
  <si>
    <t>Философия права Рудольфа Штаммлера: Моногр. / Н.А.Шавеко - М.:НИЦ ИНФРА-М,2021-177с(Науч.мысль)(О)</t>
  </si>
  <si>
    <t>ФИЛОСОФИЯ ПРАВА РУДОЛЬФА ШТАММЛЕРА, ИЗД.1</t>
  </si>
  <si>
    <t>978-5-16-012587-9</t>
  </si>
  <si>
    <t>486100.04.01</t>
  </si>
  <si>
    <t>Философия права: конц. основы препод. в юр.вузах: Моногр. / Л.А.Демина - М.:Юр.Норма, НИЦ ИНФРА-М, 2022-224(о)</t>
  </si>
  <si>
    <t>ФИЛОСОФИЯ ПРАВА: КОНЦЕПТУАЛЬНЫЕ ОСНОВЫ ПРЕПОДАВАНИЯ В ЮРИДИЧЕСКИХ ВУЗАХ, ИЗД.1</t>
  </si>
  <si>
    <t>Демина Л.А.</t>
  </si>
  <si>
    <t>978-5-91768-719-3</t>
  </si>
  <si>
    <t>641411.03.01</t>
  </si>
  <si>
    <t>Философия права: Уч. / А.Н.Халиков, - 2 изд. - М.:ИЦ РИОР, НИЦ ИНФРА-М,2025. - 602 с.(п)</t>
  </si>
  <si>
    <t>ФИЛОСОФИЯ ПРАВА, ИЗД.2</t>
  </si>
  <si>
    <t>978-5-369-01967-2</t>
  </si>
  <si>
    <t>641411.01.01</t>
  </si>
  <si>
    <t>Философия права: Уч. / А.Н.Халиков-М.:ИЦ РИОР, НИЦ ИНФРА-М,2017.-602 с.(П)</t>
  </si>
  <si>
    <t>978-5-369-01649-7</t>
  </si>
  <si>
    <t>774604.05.01</t>
  </si>
  <si>
    <t>Философия права: Уч. / Г.С.Працко - М.:ИЦ РИОР, НИЦ ИНФРА-М,2026 - 424 с.(ВО)(П)</t>
  </si>
  <si>
    <t>978-5-369-01898-9</t>
  </si>
  <si>
    <t>38.04.09, 40.04.01, 40.05.01, 41.04.04, 47.04.01</t>
  </si>
  <si>
    <t>732738.04.01</t>
  </si>
  <si>
    <t>Философия права: Уч. / И.П.Малинова - М.:Юр.Норма, НИЦ ИНФРА-М,2025 - 192 с.(П)</t>
  </si>
  <si>
    <t>978-5-00156-054-8</t>
  </si>
  <si>
    <t>38.04.09, 40.03.01, 40.04.01, 40.05.01, 40.05.02, 40.05.03, 40.05.04</t>
  </si>
  <si>
    <t>200600.09.01</t>
  </si>
  <si>
    <t>Философия права: Уч. / Под ред. Данильяна О.Г. - 2 изд. - М.:НИЦ ИНФРА-М,2025 - 336 с.(ВО:Бакалавр.)(П)</t>
  </si>
  <si>
    <t>Данильян О. Г., Байрачная Л. Д., Дзебань А. П., Данильян О. Г.</t>
  </si>
  <si>
    <t>978-5-16-005527-5</t>
  </si>
  <si>
    <t>Рекомендовано в качестве учебника для студентов высших учебных заведений, обучающихся по направлению и специальности 40.03.01 «Юриспруденция»</t>
  </si>
  <si>
    <t>003563.26.01</t>
  </si>
  <si>
    <t>Философия права: Уч. для вузов / В.С. Нерсесянц. - 2 изд. - М.: Норма:  НИЦ ИНФРА-М, 2027. - 848 с. (п)</t>
  </si>
  <si>
    <t>978-5-91768-028-6</t>
  </si>
  <si>
    <t>659133.05.01</t>
  </si>
  <si>
    <t>Философия права: Уч.пос.: Ч.1 / А.В.Попова - М.:НИЦ ИНФРА-М,2024 - 474 с.-(ВО: Магистр.)(П)</t>
  </si>
  <si>
    <t>978-5-16-014379-8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</si>
  <si>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40.04.01 «Юриспруденция» (квалификация (степень) «магистр») (протокол № 18 от 25.11.2019)</t>
  </si>
  <si>
    <t>223600.06.01</t>
  </si>
  <si>
    <t>Философия рекламной деят.: Уч.пос. / Л.М.Дмитриева - М:Магистр:НИЦ ИНФРА-М,2022 -256с.(Магистратура) (о)</t>
  </si>
  <si>
    <t>ФИЛОСОФИЯ РЕКЛАМНОЙ ДЕЯТЕЛЬНОСТИ, ИЗД.1</t>
  </si>
  <si>
    <t>Дмитриева Л. М., Красноярова Д. К., Анашкина Н. А.</t>
  </si>
  <si>
    <t>978-5-9776-0281-5</t>
  </si>
  <si>
    <t>42.04.01</t>
  </si>
  <si>
    <t>708233.01.01</t>
  </si>
  <si>
    <t>Философия созидания (введение к теории): Моногр. /М.А.Петров-М.:НИЦ ИНФРА-М,2019-195с(Науч.мысль)(О)</t>
  </si>
  <si>
    <t>ФИЛОСОФИЯ СОЗИДАНИЯ (ВВЕДЕНИЕ К ТЕОРИИ), ИЗД.1</t>
  </si>
  <si>
    <t>Петров М.А.</t>
  </si>
  <si>
    <t>978-5-16-015237-0</t>
  </si>
  <si>
    <t>672658.01.01</t>
  </si>
  <si>
    <t>Философия социального упр. в техногенном обществе:Моногр./ О.А.Беленкова-М.:НИЦ ИНФРА-М,2018-113с</t>
  </si>
  <si>
    <t>ФИЛОСОФИЯ СОЦИАЛЬНОГО УПРАВЛЕНИЯ В ТЕХНОГЕННОМ ОБЩЕСТВЕ, ИЗД.1</t>
  </si>
  <si>
    <t>Беленкова О.А., Вежнина Е.В.</t>
  </si>
  <si>
    <t>Научная мысль - УфимГНТУ</t>
  </si>
  <si>
    <t>978-5-16-013724-7</t>
  </si>
  <si>
    <t>435100.04.01</t>
  </si>
  <si>
    <t>Философия социологии: Моногр. / Л.А.Петрушенко  -М.:НИЦ ИНФРА-М,2024 - 279 с.(Науч.мысль)(П)</t>
  </si>
  <si>
    <t>ФИЛОСОФИЯ СОЦИОЛОГИИ, ИЗД.1</t>
  </si>
  <si>
    <t>978-5-16-011315-9</t>
  </si>
  <si>
    <t>01.03.02, 02.03.02, 02.03.03, 03.03.02, 04.03.02, 05.03.03, 05.03.04, 05.03.06, 06.03.02, 19.03.04, 29.03.02, 37.03.01, 38.03.01, 38.03.02, 38.03.03, 38.03.04, 39.03.02, 39.03.03, 41.03.06, 42.03.01, 44.03.01, 44.03.05, 45.03.04, 51.03.01, 51.03.02, 51.03.03, 51.03.04, 51.03.06, 52.03.05</t>
  </si>
  <si>
    <t>833289.03.01</t>
  </si>
  <si>
    <t>Философия судебного права: Моногр. /Х.И.Гаджиев-М.:Юр. НОРМА,2025.-472 с.(п)</t>
  </si>
  <si>
    <t>ФИЛОСОФИЯ СУДЕБНОГО ПРАВА, ИЗД.1</t>
  </si>
  <si>
    <t>Гаджиев Х.И.</t>
  </si>
  <si>
    <t>978-5-00156-376-1</t>
  </si>
  <si>
    <t>745619.05.01</t>
  </si>
  <si>
    <t>Философия трудового права: Моногр. / В.М.Лебедев - М.:Юр.Норма, НИЦ ИНФРА-М,2025 - 128 с.(П)</t>
  </si>
  <si>
    <t>ФИЛОСОФИЯ ТРУДОВОГО ПРАВА, ИЗД.1</t>
  </si>
  <si>
    <t>978-5-00156-098-2</t>
  </si>
  <si>
    <t>698436.04.01</t>
  </si>
  <si>
    <t>Философия уголовного права: постановка вопр. / С.А.Бочкарев-М.:Юр.Норма, НИЦ Инфра-М, 2024.-424с.(П)</t>
  </si>
  <si>
    <t>ФИЛОСОФИЯ УГОЛОВНОГО ПРАВА: ПОСТАНОВКА ВОПРОСА, ИЗД.1</t>
  </si>
  <si>
    <t>Бочкарев С.А.</t>
  </si>
  <si>
    <t>978-5-91768-984-5</t>
  </si>
  <si>
    <t>40.04.01, 40.05.01, 40.05.02, 40.05.03, 40.06.01, 47.04.01</t>
  </si>
  <si>
    <t>426400.08.01</t>
  </si>
  <si>
    <t>Философия управления: Уч. пос. / В.К. Батурин. - М.: Вуз уч. М.: НИЦ ИНФРА-М, 2024. - 160 с. (о)</t>
  </si>
  <si>
    <t>ФИЛОСОФИЯ УПРАВЛЕНИЯ, ИЗД.1</t>
  </si>
  <si>
    <t>978-5-9558-0271-8</t>
  </si>
  <si>
    <t>38.03.01, 38.03.04, 47.03.01, 47.04.01</t>
  </si>
  <si>
    <t>726641.04.01</t>
  </si>
  <si>
    <t>Философия физики: к новым принципам науч. знания: Моногр. / И.А.Карпенко - М.:НИЦ ИНФРА-М,2024-203 с.(о)</t>
  </si>
  <si>
    <t>ФИЛОСОФИЯ ФИЗИКИ: К НОВЫМ ПРИНЦИПАМ НАУЧНОГО ЗНАНИЯ, ИЗД.1</t>
  </si>
  <si>
    <t>Карпенко И.А.</t>
  </si>
  <si>
    <t>978-5-16-016424-3</t>
  </si>
  <si>
    <t>00.05.11, 46.03.01, 47.03.02</t>
  </si>
  <si>
    <t>210800.06.01</t>
  </si>
  <si>
    <t>Философия финансового рынка: Моногр. / В.Д.Миловидов - М.:Магистр,2022 - 272 с.(П)</t>
  </si>
  <si>
    <t>ФИЛОСОФИЯ ФИНАНСОВОГО РЫНКА, ИЗД.1</t>
  </si>
  <si>
    <t>Миловидов В. Д.</t>
  </si>
  <si>
    <t>978-5-9776-0277-8</t>
  </si>
  <si>
    <t>798363.01.01</t>
  </si>
  <si>
    <t>Философия хозяйства. Нравственная экономика: Уч.пос. / Н.Г.Привалов - М.:НИЦ ИНФРА-М,2025. - 212 с.(ВО)(п)</t>
  </si>
  <si>
    <t>ФИЛОСОФИЯ ХОЗЯЙСТВА. НРАВСТВЕННАЯ ЭКОНОМИКА, ИЗД.1</t>
  </si>
  <si>
    <t>978-5-16-018260-5</t>
  </si>
  <si>
    <t>38.04.01, 38.06.01, 47.04.01, 47.06.01</t>
  </si>
  <si>
    <t>177550.05.98</t>
  </si>
  <si>
    <t>Философия экономики в России..: Моногр. / А.М.Орехов - М.:НИЦ ИНФРА-М,2016.-140 с.-(Науч.мысль)(о)</t>
  </si>
  <si>
    <t>ФИЛОСОФИЯ ЭКОНОМИКИ В РОССИИ: РОЖДЕНИЕ ТРАДИЦИИ, ИЗД.1</t>
  </si>
  <si>
    <t>978-5-16-005478-0</t>
  </si>
  <si>
    <t>38.03.01, 38.04.01, 40.03.01, 44.03.01, 44.03.05, 47.03.01, 47.04.01</t>
  </si>
  <si>
    <t>177550.10.01</t>
  </si>
  <si>
    <t>Философия экономики в России: Моногр. / А.М.Орехов, - 2 изд. - М.:НИЦ ИНФРА-М,2027 - 154 с.(О)</t>
  </si>
  <si>
    <t>ФИЛОСОФИЯ ЭКОНОМИКИ В РОССИИ: РОЖДЕНИЕ ТРАДИЦИИ, ИЗД.2</t>
  </si>
  <si>
    <t>978-5-16-013129-0</t>
  </si>
  <si>
    <t>376400.05.01</t>
  </si>
  <si>
    <t>Философия экономики: Уч. пос. / И.Н.Тяпин - М.:Магистр, НИЦ ИНФРА-М,2025 - 304 с.(О)</t>
  </si>
  <si>
    <t>ФИЛОСОФИЯ ЭКОНОМИКИ, ИЗД.1</t>
  </si>
  <si>
    <t>Тяпин И.Н.</t>
  </si>
  <si>
    <t>978-5-9776-0370-6</t>
  </si>
  <si>
    <t>00.03.16, 00.04.17, 38.03.01, 38.04.01, 38.06.01</t>
  </si>
  <si>
    <t>485300.07.01</t>
  </si>
  <si>
    <t>Философия юридической науки: Уч.пос. / В.И.Пржиленский  - М.:Юр.Норма, НИЦ ИНФРА-М,2026. - 208 с.(О)</t>
  </si>
  <si>
    <t>ФИЛОСОФИЯ ЮРИДИЧЕСКОЙ НАУКИ, ИЗД.1</t>
  </si>
  <si>
    <t>978-5-91768-715-5</t>
  </si>
  <si>
    <t>449550.07.01</t>
  </si>
  <si>
    <t>Философия. Язык. Культура: Моногр./ Д.А.Силичев - М:Вуз. уч.: ИНФРА-М,2023-311с. (Науч. кн.) (о)</t>
  </si>
  <si>
    <t>ФИЛОСОФИЯ. ЯЗЫК. КУЛЬТУРА, ИЗД.1</t>
  </si>
  <si>
    <t>978-5-9558-0331-9</t>
  </si>
  <si>
    <t>255100.09.01</t>
  </si>
  <si>
    <t>Философия: Введение в метафизику и онтология: Уч. / В.В. Миронов - М: ИНФРА-М, 2026. - 310 с. (ВО) (п)</t>
  </si>
  <si>
    <t>ФИЛОСОФИЯ: ВВЕДЕНИЕ В МЕТАФИЗИКУ И ОНТОЛОГИЯ, ИЗД.1</t>
  </si>
  <si>
    <t>Миронов В. В., Иванов А. В.</t>
  </si>
  <si>
    <t>978-5-16-009447-2</t>
  </si>
  <si>
    <t>00.03.11, 40.03.01, 44.03.01, 44.03.05</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</si>
  <si>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направлению подготовки ВПО 47.03.01 (030100) «Философия»</t>
  </si>
  <si>
    <t>255200.09.01</t>
  </si>
  <si>
    <t>Философия: гносеология и аксиология: Уч. / В.В. Миронов - М.: НИЦ ИНФРА-М, 2026 - 335 с.(ВО: Бакалавр.) (п)</t>
  </si>
  <si>
    <t>ФИЛОСОФИЯ: ГНОСЕОЛОГИЯ И АКСИОЛОГИЯ, ИЗД.1</t>
  </si>
  <si>
    <t>978-5-16-009448-9</t>
  </si>
  <si>
    <t>654216.12.01</t>
  </si>
  <si>
    <t>Философия: Уч. / В.А.Канке - М.:НИЦ ИНФРА-М,2026. - 291 с.-(ВО)(п)</t>
  </si>
  <si>
    <t>ФИЛОСОФИЯ, ИЗД.1</t>
  </si>
  <si>
    <t>978-5-16-018664-1</t>
  </si>
  <si>
    <t>00.03.11, 00.05.11, 01.03.01, 01.03.02, 01.03.03, 01.03.04, 01.05.01, 02.03.01, 02.03.02, 02.03.03, 03.03.02, 03.03.03, 04.03.01, 04.03.02, 05.03.01, 05.03.03, 05.03.04, 05.03.06, 06.03.01, 06.03.02, 07.03.01, 07.03.03, 08.03.01, 09.03.01, 09.03.02, 09.03.03, 09.03.04, 11.03.01, 11.03.02, 11.03.03, 11.03.04, 12.03.01, 12.03.02, 12.03.03, 12.03.04, 12.03.05, 13.03.02, 13.03.03, 14.03.01, 15.03.01, 15.03.03, 15.03.05, 15.03.06, 16.03.01, 16.03.02, 16.03.03, 17.03.01, 18.03.01, 18.03.02, 19.03.01, 19.03.02, 19.03.04, 20.03.01, 20.03.02, 21.03.01, 21.03.02, 21.03.03, 21.05.04, 22.03.01, 23.03.01, 23.03.02, 23.03.03, 24.03.01, 24.03.03, 24.03.04, 24.03.05, 25.03.01, 25.03.02, 25.03.04, 26.02.04, 26.03.02, 27.03.01, 27.03.02, 27.03.04, 27.03.05, 28.03.01, 28.03.02, 29.03.01, 29.03.02, 29.03.03, 29.03.04, 29.03.05, 31.05.01, 31.05.02, 32.05.01, 33.05.01, 34.03.01, 35.03.01, 35.03.02, 35.03.03, 35.03.04, 35.03.05, 35.03.06, 35.03.08, 35.03.09, 35.03.10, 36.03.01, 36.03.02, 36.05.01, 37.03.01, 37.03.02, 37.05.01, 38.03.01, 38.03.02, 38.03.03, 38.03.04, 38.03.07, 39.03.02, 39.03.03, 40.03.01, 41.03.01, 41.03.03, 41.03.04, 41.03.05, 41.03.06, 42.03.01, 42.03.02, 42.03.03, 42.03.04, 43.03.01, 43.03.02, 43.03.03, 44.03.01, 44.03.03, 44.03.04, 44.03.05, 45.03.01, 45.03.02, 45.03.03, 45.03.04, 46.03.01, 46.03.02, 47.03.02, 49.03.02, 49.03.03, 50.03.01, 50.03.03, 50.03.04, 51.03.01, 51.03.02, 51.03.03, 51.03.04, 51.03.05, 51.03.06, 52.03.01, 52.03.02, 52.03.04, 52.03.05, 53.03.06, 54.03.01, 54.03.02, 54.03.03, 54.03.04, 54.05.05, 56.05.01</t>
  </si>
  <si>
    <t>Рекомендовано в качестве учебника для студентов высших учебных заведений, обучающихся по всем направлениям подготовки (квалификация (степень) «бакалавр»)</t>
  </si>
  <si>
    <t>057000.20.01</t>
  </si>
  <si>
    <t>Философия: Уч. / В.В.Миронов - М.:Юр.Норма, НИЦ ИНФРА-М,2025 - 928 с.(П)</t>
  </si>
  <si>
    <t>Миронов В.В.</t>
  </si>
  <si>
    <t>978-5-91768-691-2</t>
  </si>
  <si>
    <t>016774.24.01</t>
  </si>
  <si>
    <t>Философия: Уч. / В.Г. Кузнецов - М.: НИЦ ИНФРА-М, 2025. - 519 с. (ВО: Бакалавриат) (п)</t>
  </si>
  <si>
    <t>Кузнецов В. Г., Кузнецова И. Д., Момджян К. Х., Миронов В. В.</t>
  </si>
  <si>
    <t>978-5-16-003566-6</t>
  </si>
  <si>
    <t>00.03.11, 00.05.11, 38.03.01, 38.03.02, 38.03.03, 38.03.04, 38.03.05, 38.03.06, 38.03.07, 38.03.10, 38.05.01, 38.05.02</t>
  </si>
  <si>
    <t>734792.03.01</t>
  </si>
  <si>
    <t>Философия: Уч. / В.Е.Семенов и др. - М.:Юр.Норма, НИЦ ИНФРА-М,2024 - 336 с.(П)</t>
  </si>
  <si>
    <t>Семенов В.Е., Беляев М.А., Огородников А.Ю. и др.</t>
  </si>
  <si>
    <t>978-5-00156-064-7</t>
  </si>
  <si>
    <t>078350.11.01</t>
  </si>
  <si>
    <t>Философия: Уч. / И.З. Налетов. - М.: ИНФРА-М, 2023. - 400 с. (ВО) (п)</t>
  </si>
  <si>
    <t>Налетов И. З.</t>
  </si>
  <si>
    <t>978-5-16-002777-7</t>
  </si>
  <si>
    <t>00.03.11, 00.05.11, 40.03.01, 44.03.01, 44.03.05, 47.03.01, 47.04.01</t>
  </si>
  <si>
    <t>Допущено Мин. обр. и науки РФ в качестве учебника для студентов высших учебных заведений, обучающихся по направлениям подг. и  специальностям естественно-научного, технического, социально-гуманитарного профиля</t>
  </si>
  <si>
    <t>654154.11.01</t>
  </si>
  <si>
    <t>Философия: Уч. / И.И.Кальной, - 3 изд. - М :Вуз. уч., НИЦ ИНФРА-М,2026. -  384 с.(П)</t>
  </si>
  <si>
    <t>ФИЛОСОФИЯ, ИЗД.3</t>
  </si>
  <si>
    <t>978-5-9558-0552-8</t>
  </si>
  <si>
    <t>201400.10.01</t>
  </si>
  <si>
    <t>Философия: Уч. / О.Г.Данильян, - 2 изд. - М.:НИЦ ИНФРА-М,2027. - 432 с.(ВО: Бакалавриат)(п)</t>
  </si>
  <si>
    <t>ФИЛОСОФИЯ, ИЗД.2</t>
  </si>
  <si>
    <t>978-5-16-005473-5</t>
  </si>
  <si>
    <t>745621.05.01</t>
  </si>
  <si>
    <t>Философия: Уч. / О.Ю.Рыбаков - М.:Юр.Норма, НИЦ ИНФРА-М,2025 - 536 с.(П)</t>
  </si>
  <si>
    <t>978-5-00156-100-2</t>
  </si>
  <si>
    <t>00.05.11, 40.05.01, 40.05.02, 40.05.03, 40.05.04</t>
  </si>
  <si>
    <t>753475.07.01</t>
  </si>
  <si>
    <t>Философия: Уч. / Под ред. Ореховской Н.А. - М.:НИЦ ИНФРА-М,2026 - 477 с.(ВО)(п)</t>
  </si>
  <si>
    <t>Ореховская Н.А., Ахмедова М.Г., Бужор Е.С. и др.</t>
  </si>
  <si>
    <t>978-5-16-021355-2</t>
  </si>
  <si>
    <t>00.03.11, 00.05.11, 47.03.01</t>
  </si>
  <si>
    <t>183200.12.01</t>
  </si>
  <si>
    <t>Философия: Уч. / С.А.Нижников - М.:НИЦ ИНФРА-М,2025 - 461 с.(ВО: Бакалавриат)(п)</t>
  </si>
  <si>
    <t>978-5-16-005190-1</t>
  </si>
  <si>
    <t>Рекомендовано Научно-методическим Советом по философии Министерства образования и науки  России в качестве учебника по дисциплине "Философия" для студентов-бакалавров всех специальностей и направлений</t>
  </si>
  <si>
    <t>745708.02.01</t>
  </si>
  <si>
    <t>Философия: Уч. / С.А.Нижников - М.:НИЦ ИНФРА-М,2025 - 461с.-(ВО: Специалитет)(П)</t>
  </si>
  <si>
    <t>978-5-16-016551-6</t>
  </si>
  <si>
    <t>00.05.11, 38.05.01, 38.05.02, 40.05.01, 40.05.02, 40.05.03, 40.05.04</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</si>
  <si>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программам специалитета  (протокол № 8 от 22.06.2020)</t>
  </si>
  <si>
    <t>097900.13.01</t>
  </si>
  <si>
    <t>Философия: Уч. / Э.В. Островский. - М.: Вузовский уч.: НИЦ Инфра-М, 2026. - 313 с.(п)</t>
  </si>
  <si>
    <t>978-5-9558-0044-8</t>
  </si>
  <si>
    <t>Рекомендовано Мин. обр. и науки РФ в качестве учебника  для студентов вузов, обучающихся по нефилософским специальностям</t>
  </si>
  <si>
    <t>055660.15.01</t>
  </si>
  <si>
    <t>Философия: Уч. пос. / В.Э. Вечканов. - 2 изд. - М.: ИЦ РИОР:НИЦ Инфра-М,2024-136с.(ВПО: Бакалавр.) (о)</t>
  </si>
  <si>
    <t>Вечканов В. Э., Лучков Н. А.</t>
  </si>
  <si>
    <t>978-5-369-01070-9</t>
  </si>
  <si>
    <t>665095.06.01</t>
  </si>
  <si>
    <t>Философия: Уч.пос. / А.В.Климович - 2 изд. -  М.:НИЦ ИНФРА-М,2023 - 162 с.-(ВО: Бакалавр.)(П)</t>
  </si>
  <si>
    <t>Климович А.В., Степанович В.А.</t>
  </si>
  <si>
    <t>978-5-16-013261-7</t>
  </si>
  <si>
    <t>183700.13.01</t>
  </si>
  <si>
    <t>Философия: Уч.пос. / А.Т.Свергузов - 2 изд. - М.:НИЦ ИНФРА-М,2024 - 180 с.(ВО: Бакалавр.)(П)</t>
  </si>
  <si>
    <t>Свергузов А. Т.</t>
  </si>
  <si>
    <t>978-5-16-011951-9</t>
  </si>
  <si>
    <t>Рекомендовано в качестве учебного пособия для студентов высших учебных заведений, обучающихся по инженерным и естественно-научным направлениям подготовки (квалификация (степень) «бакалавр»)</t>
  </si>
  <si>
    <t>183700.14.01</t>
  </si>
  <si>
    <t>Философия: Уч.пос. / А.Т.Свергузов - 2 изд. - М.:НИЦ ИНФРА-М,2025 - 180 с.(ВО: Бакалавр.)(П)</t>
  </si>
  <si>
    <t>642173.05.01</t>
  </si>
  <si>
    <t>Философия: Уч.пос. / И.А.Карпенко - М.:НИЦ ИНФРА-М,2023 - 190 с.-(ВО: Бакалавриат)(П)</t>
  </si>
  <si>
    <t>978-5-16-013644-8</t>
  </si>
  <si>
    <t>Рекомендовано Учебно-методическим советом ВО в качестве учебного пособия для студентов высших учебных заведений, обучающихся  по гуманитарным и техническим направлениям подготовки (квалификация (степень) «бакалавр»)</t>
  </si>
  <si>
    <t>412200.09.01</t>
  </si>
  <si>
    <t>Философия: Уч.пос. / Под ред. Руденко А.М.-М.:НИЦ ИНФРА-М,2021.-304 с.(ВО: Бакалавр.)(П)</t>
  </si>
  <si>
    <t>Руденко А. М., Самыгин С. И., Положенкова Е. Ю., Руденко А. М.</t>
  </si>
  <si>
    <t>978-5-16-006199-3</t>
  </si>
  <si>
    <t>646402.06.01</t>
  </si>
  <si>
    <t>Философская антропология: Уч. пос./ Л.Е.Моторина - 3 изд. - М.:НИЦ ИНФРА-М,2027 - 236 с.(ВО)(п)</t>
  </si>
  <si>
    <t>ФИЛОСОФСКАЯ АНТРОПОЛОГИЯ, ИЗД.3</t>
  </si>
  <si>
    <t>Моторина Л.Е.</t>
  </si>
  <si>
    <t>978-5-16-011764-5</t>
  </si>
  <si>
    <t>Рекомендовано Министерством образования и науки Российской Федерации в качестве учебного пособия для студентов высших учебных заведений</t>
  </si>
  <si>
    <t>843150.01.01</t>
  </si>
  <si>
    <t>Философские идеи в мир. лит. (ист.-философ. очерки): Моногр. / П.А.Горохов - М.:НИЦ ИНФРА-М,2025. - 353 с.(п)</t>
  </si>
  <si>
    <t>ФИЛОСОФСКИЕ ИДЕИ В МИРОВОЙ ЛИТЕРАТУРЕ (ИСТОРИКО-ФИЛОСОФСКИЕ ОЧЕРКИ), ИЗД.1</t>
  </si>
  <si>
    <t>978-5-16-020532-8</t>
  </si>
  <si>
    <t>41.04.04, 41.06.01, 45.04.01, 45.06.01, 47.04.01, 47.06.01</t>
  </si>
  <si>
    <t>693937.07.01</t>
  </si>
  <si>
    <t>Философские основания полит.-прав.исслед.: Моногр. / Д.А.Керимов - М.:Юр.Норма, НИЦ ИНФРА-М,2026 - 336 с.(П)</t>
  </si>
  <si>
    <t>ФИЛОСОФСКИЕ ОСНОВАНИЯ ПОЛИТИКО-ПРАВОВЫХ ИССЛЕДОВАНИЙ, ИЗД.1</t>
  </si>
  <si>
    <t>978-5-91768-969-2</t>
  </si>
  <si>
    <t>40.03.01, 40.04.01, 40.05.01, 40.05.02, 40.05.03, 41.03.04, 41.03.06, 44.03.05</t>
  </si>
  <si>
    <t>740610.05.01</t>
  </si>
  <si>
    <t>Философские основы духовности: Моногр. / Е.В.Аралова. - М.:НИЦ ИНФРА-М,2026. - 262 с.(Науч.мысль)(О)</t>
  </si>
  <si>
    <t>ФИЛОСОФСКИЕ ОСНОВЫ ДУХОВНОСТИ, ИЗД.1</t>
  </si>
  <si>
    <t>Аралова Е.В., Кащенко Т.Л., Положенцева И.В. и др.</t>
  </si>
  <si>
    <t>978-5-16-016357-4</t>
  </si>
  <si>
    <t>693934.07.01</t>
  </si>
  <si>
    <t>Философские проблемы права: Моногр. / Д.А.Керимов - М.:Юр.Норма,НИЦ ИНФРА-М,2026 - 472 с.(П)</t>
  </si>
  <si>
    <t>ФИЛОСОФСКИЕ ПРОБЛЕМЫ ПРАВА, ИЗД.1</t>
  </si>
  <si>
    <t>978-5-91768-970-8</t>
  </si>
  <si>
    <t>668662.03.01</t>
  </si>
  <si>
    <t>Философский анализ станд. естеств. рос. и заруб. обществ: Моногр. / Р.Н.Галиахметов-М:НИЦ ИНФРА-М, СФУ,2023-115с</t>
  </si>
  <si>
    <t>ФИЛОСОФСКИЙ АНАЛИЗ СТАНДАРТОВ ЕСТЕСТВЕННОСТИ РОССИЙСКИХ И ЗАРУБЕЖНЫХ ОБЩЕСТВ, ИЗД.1</t>
  </si>
  <si>
    <t>Галиахметов Р.Н., Дуреева Н.С.</t>
  </si>
  <si>
    <t>978-5-16-013277-8</t>
  </si>
  <si>
    <t>843207.01.01</t>
  </si>
  <si>
    <t>Философский вызов и онтолитич. эффект искусств. интеллекта / Д.С.Быльева - М.:НИЦ ИНФРА-М,2025. - 240 с(о)</t>
  </si>
  <si>
    <t>ФИЛОСОФСКИЙ ВЫЗОВ И ОНТОЛИТИЧЕСКИЙ ЭФФЕКТ ИСКУССТВЕННОГО ИНТЕЛЛЕКТА, ИЗД.1</t>
  </si>
  <si>
    <t>Быльева Д.С.</t>
  </si>
  <si>
    <t>978-5-16-020534-2</t>
  </si>
  <si>
    <t>729680.05.01</t>
  </si>
  <si>
    <t>Философско-антропологический проект российского...: Моногр. / О.Д.Маслобоева - М.:ИНФРА-М,2025-390с.(О)</t>
  </si>
  <si>
    <t>ФИЛОСОФСКО-АНТРОПОЛОГИЧЕСКИЙ ПРОЕКТ РОССИЙСКОГО ОРГАНИЦИЗМА И РУССКОГО КОСМИЗМА В КОНТЕКСТЕ СОВРЕМЕННОЙ ИСТОРИЧЕСКОЙ СИТУАЦИИ, ИЗД.1</t>
  </si>
  <si>
    <t>Маслобоева О.Д.</t>
  </si>
  <si>
    <t>978-5-16-015932-4</t>
  </si>
  <si>
    <t>657623.07.01</t>
  </si>
  <si>
    <t>Философско-мистические традиции мира: Моногр. / Н.С.Жиртуева - 2 изд.- М.:Вуз.уч., НИЦ ИНФРА-М,2024-274с(О)</t>
  </si>
  <si>
    <t>ФИЛОСОФСКО-МИСТИЧЕСКИЕ ТРАДИЦИИ МИРА, ИЗД.2</t>
  </si>
  <si>
    <t>Жиртуева Н.С.</t>
  </si>
  <si>
    <t>Научная книга (Севастопольский государственный университет)</t>
  </si>
  <si>
    <t>978-5-9558-0611-2</t>
  </si>
  <si>
    <t>37.03.01, 40.03.01, 44.03.01, 44.03.05, 46.03.01, 47.03.01, 47.03.03, 47.04.01, 47.04.03, 48.03.01, 51.03.01, 51.03.04, 54.03.04</t>
  </si>
  <si>
    <t>657623.02.01</t>
  </si>
  <si>
    <t>Философско-мистические традиции мира: Моногр. / Н.С.Жиртуева - М.:Вуз.уч., НИЦ ИНФРА-М,2018- 274с(О)</t>
  </si>
  <si>
    <t>ФИЛОСОФСКО-МИСТИЧЕСКИЕ ТРАДИЦИИ МИРА, ИЗД.1</t>
  </si>
  <si>
    <t>978-5-9558-0574-0</t>
  </si>
  <si>
    <t>657623.08.01</t>
  </si>
  <si>
    <t>Философско-мистические традиции мира: Моногр. / Н.С.Жиртуева, - 3 изд. - М.:НИЦ ИНФРА-М,2026. - 275 с.(о)</t>
  </si>
  <si>
    <t>ФИЛОСОФСКО-МИСТИЧЕСКИЕ ТРАДИЦИИ МИРА, ИЗД.3</t>
  </si>
  <si>
    <t>978-5-16-021028-5</t>
  </si>
  <si>
    <t>827862.04.01</t>
  </si>
  <si>
    <t>Философско-прав. познание...: Моногр. / Под ред. Сальникова В.П. - 2 изд. - М.:НИЦ ИНФРА-М,2026 - 418 с.(п)</t>
  </si>
  <si>
    <t>ФИЛОСОФСКО-ПРАВОВОЕ ПОЗНАНИЕ: АКТУАЛЬНЫЕ ПРОБЛЕМЫ, ИЗД.2</t>
  </si>
  <si>
    <t>978-5-16-020017-0</t>
  </si>
  <si>
    <t>837456.01.01</t>
  </si>
  <si>
    <t>Философско-правовые основания природы межвластных..: Моногр. / А.Г.Чернявский - М.:НИЦ ИНФРА-М,2025. - 311 с.(п)</t>
  </si>
  <si>
    <t>ФИЛОСОФСКО-ПРАВОВЫЕ ОСНОВАНИЯ ПРИРОДЫ МЕЖВЛАСТНЫХ И ВЛАСТНЫХ ОТНОШЕНИЙ, ИЗД.1</t>
  </si>
  <si>
    <t>Чернявский А.Г., Синяева Н.А.</t>
  </si>
  <si>
    <t>978-5-16-020245-7</t>
  </si>
  <si>
    <t>287400.07.01</t>
  </si>
  <si>
    <t>Философско-социологические аспекты формир...: Моногр./Е.А.Соколков - М:Вуз. уч.:ИНФРА-М,2024-120с. (п)</t>
  </si>
  <si>
    <t>ФИЛОСОФСКО-СОЦИОЛОГИЧЕСКИЕ АСПЕКТЫ ФОРМИРОВАНИЯ ЛИЧНОСТИ СПЕЦИАЛИСТА В ВЫСШЕЙ ВОЕННОЙ ШКОЛЕ, ИЗД.1</t>
  </si>
  <si>
    <t>978-5-9558-0378-4</t>
  </si>
  <si>
    <t>37.03.01, 37.04.01, 39.03.01, 39.03.03, 39.04.01, 39.04.03, 44.03.02, 44.04.02, 47.04.01</t>
  </si>
  <si>
    <t>430450.06.01</t>
  </si>
  <si>
    <t>Финансирование инноваций: Уч. пос./Т.Ю.Трифоненкова - М.: НИЦ ИНФРА-М, 2023-141с.(ВО: Бакалавриат) (о)</t>
  </si>
  <si>
    <t>ФИНАНСИРОВАНИЕ ИННОВАЦИЙ, ИЗД.1</t>
  </si>
  <si>
    <t>Трифоненкова Т. Ю.</t>
  </si>
  <si>
    <t>978-5-16-006652-3</t>
  </si>
  <si>
    <t>22.04.02, 27.03.05, 27.04.05, 27.04.07, 38.03.01, 38.03.02, 38.04.01, 38.04.02, 38.04.08, 41.03.06, 44.03.01</t>
  </si>
  <si>
    <t>839693.01.01</t>
  </si>
  <si>
    <t>Финансирование торговли в условиях цифр. трансформ. / И.Е.Покаместов. - М.:НИЦ ИНФРА-М,2025. - 172 с.(о)</t>
  </si>
  <si>
    <t>ФИНАНСИРОВАНИЕ ТОРГОВЛИ В УСЛОВИЯХ ЦИФРОВОЙ ТРАНСФОРМАЦИИ, ИЗД.1</t>
  </si>
  <si>
    <t>Покаместов И.Е., Фролова В.Б., Леднев М.В. и др.</t>
  </si>
  <si>
    <t>978-5-16-020768-1</t>
  </si>
  <si>
    <t>38.04.01, 38.04.06, 38.04.08, 38.06.01</t>
  </si>
  <si>
    <t>656776.01.01</t>
  </si>
  <si>
    <t>Финансовая безопасность компании:Уч. / Н.А.Казакова-М.:НИЦ ИНФРА-М,2024.-316 с.(ВО: Магистр.)(п)</t>
  </si>
  <si>
    <t>ФИНАНСОВАЯ БЕЗОПАСНОСТЬ КОМПАНИИ, ИЗД.1</t>
  </si>
  <si>
    <t>978-5-16-018068-7</t>
  </si>
  <si>
    <t>732745.06.01</t>
  </si>
  <si>
    <t>Финансовая грамотность и устойчивое развит..: Моногр. / Н.А.Поветкина - М.:Юр.Норма, НИЦ ИНФРА-М,2026-104с(О)</t>
  </si>
  <si>
    <t>ФИНАНСОВАЯ ГРАМОТНОСТЬ И УСТОЙЧИВОЕ РАЗВИТИЕ В ЦИФРОВУЮ ЭПОХУ (ПРАВОВОЕ  ИЗМЕРЕНИЕ), ИЗД.1</t>
  </si>
  <si>
    <t>Поветкина Н.А., Кудряшова Е.В.</t>
  </si>
  <si>
    <t>978-5-00156-055-5</t>
  </si>
  <si>
    <t>38.04.01, 38.04.08, 38.04.09, 38.06.01</t>
  </si>
  <si>
    <t>813717.01.01</t>
  </si>
  <si>
    <t>Финансовая грамотность рос. студенчества: ключевое условие..: Моногр. / С.Д.Резник-М.:НИЦ ИНФРА-М,2024-331 с.(п)</t>
  </si>
  <si>
    <t>ФИНАНСОВАЯ ГРАМОТНОСТЬ РОССИЙСКОГО СТУДЕНЧЕСТВА: КЛЮЧЕВОЕ УСЛОВИЕ ОБЕСПЕЧЕНИЯ ЭКОНОМИЧЕСКОЙ САМОСТОЯТЕЛЬНОСТИ, ИЗД.1</t>
  </si>
  <si>
    <t>Резник С.Д., Черниковская М.В., Сазыкина О.А. и др.</t>
  </si>
  <si>
    <t>978-5-16-019142-3</t>
  </si>
  <si>
    <t>38.03.01, 38.03.02, 38.03.03, 44.03.01, 44.03.05</t>
  </si>
  <si>
    <t>776701.05.01</t>
  </si>
  <si>
    <t>Финансовая грамотность: Уч.пос. / А.Ю.Баранова - М.:НИЦ ИНФРА-М,2026 - 225 с.(ВО)(п)</t>
  </si>
  <si>
    <t>ФИНАНСОВАЯ ГРАМОТНОСТЬ, ИЗД.1</t>
  </si>
  <si>
    <t>978-5-16-017667-3</t>
  </si>
  <si>
    <t>869092.01.01</t>
  </si>
  <si>
    <t>Финансовая математика: Уч.пос. / А.В.Мельников - М.:НИЦ ИНФРА-М,2026. - 304 с.(п)</t>
  </si>
  <si>
    <t>ФИНАНСОВАЯ МАТЕМАТИКА, ИЗД.1</t>
  </si>
  <si>
    <t>Мельников А.В.</t>
  </si>
  <si>
    <t>978-5-16-021910-3</t>
  </si>
  <si>
    <t>01.03.01, 01.03.02, 01.03.03, 01.03.04, 01.03.05, 01.04.01, 01.04.02, 01.04.03, 01.04.04, 01.04.05, 01.05.01, 38.03.01, 38.03.02, 38.04.01, 38.04.02, 38.04.08, 38.05.01</t>
  </si>
  <si>
    <t>Московский государственный университет им. М.В. Ломоносова, Московская школа экономики МГУ</t>
  </si>
  <si>
    <t>441350.05.01</t>
  </si>
  <si>
    <t>Финансовая математика: Уч.пос. / А.С.Чуйко - М.:НИЦ ИНФРА-М,2017 - 160с.(ВО:Бакалавр.)(О)</t>
  </si>
  <si>
    <t>Чуйко А.С., Шершнев В.Г.</t>
  </si>
  <si>
    <t>978-5-16-006003-3</t>
  </si>
  <si>
    <t>Рекомендовано в качестве учебного пособия для студентов высших учебных заведений по направлениям подготовки 38.03.01 "Экономика" (квалификация (степень) - "бакалавр")</t>
  </si>
  <si>
    <t>441350.08.01</t>
  </si>
  <si>
    <t>Финансовая математика: Уч.пос. / А.С.Чуйко - М.:НИЦ ИНФРА-М,2026 - 160 с.(ВО: Бакалавриат)(П)</t>
  </si>
  <si>
    <t>Чуйко А. С., Шершнев В. Г.</t>
  </si>
  <si>
    <t>978-5-16-015641-5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</si>
  <si>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11 от 11.06.2019)</t>
  </si>
  <si>
    <t>457750.11.01</t>
  </si>
  <si>
    <t>Финансовая математика: Уч.пос. для магистров / П.Н.Брусов - М.:НИЦ ИНФРА-М,2027 - 481 с.(ВО: Магистр.)(П)</t>
  </si>
  <si>
    <t>Брусов П. Н., Филатова Т. В.</t>
  </si>
  <si>
    <t>978-5-16-005134-5</t>
  </si>
  <si>
    <t>01.04.02, 09.04.03, 25.04.03, 38.03.01, 38.03.02, 38.04.01, 38.04.05, 38.04.06, 38.04.08</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</si>
  <si>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направлениям «Экономика», «Финансы и кредит» (степень — магистр)</t>
  </si>
  <si>
    <t>142800.11.01</t>
  </si>
  <si>
    <t>Финансовая среда предпринимательства ...: Уч. / Н.А.Казакова, - 2 изд.-М.:НИЦ ИНФРА-М,2024.-258 с.(ВО)(п)</t>
  </si>
  <si>
    <t>ФИНАНСОВАЯ СРЕДА ПРЕДПРИНИМАТЕЛЬСТВА И ПРЕДПРИНИМАТЕЛЬСКИЕ РИСКИ, ИЗД.1</t>
  </si>
  <si>
    <t>978-5-16-018380-0</t>
  </si>
  <si>
    <t>38.03.01, 38.03.02, 38.04.01, 38.04.02, 38.04.06, 38.04.08, 38.05.01, 43.02.06</t>
  </si>
  <si>
    <t>Рекомендовано УМО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направлениям подготовки «Экономика» и «Менеджмент»</t>
  </si>
  <si>
    <t>649058.03.01</t>
  </si>
  <si>
    <t>Финансовая статистика: практикум: Уч.пос. / Е.С.Пожидаева-М.:НИЦ ИНФРА-М,2023.-193 с.(ВО)(п)</t>
  </si>
  <si>
    <t>ФИНАНСОВАЯ СТАТИСТИКА: ПРАКТИКУМ, ИЗД.1</t>
  </si>
  <si>
    <t>978-5-16-012699-9</t>
  </si>
  <si>
    <t>38.03.02, 38.04.08</t>
  </si>
  <si>
    <t>682886.04.01</t>
  </si>
  <si>
    <t>Финансовая устойчивость банка: Уч.пос. / В.В.Софронова, - 3 изд. - М.:НИЦ ИНФРА-М,2026 - 272 с.(ВО)(П)</t>
  </si>
  <si>
    <t>ФИНАНСОВАЯ УСТОЙЧИВОСТЬ БАНКА, ИЗД.3</t>
  </si>
  <si>
    <t>Софронова В.В.</t>
  </si>
  <si>
    <t>978-5-16-014446-7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</si>
  <si>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12 от  24.06.2019)</t>
  </si>
  <si>
    <t>720470.05.01</t>
  </si>
  <si>
    <t>Финансовое планир. и бюджетирование: Уч.пос. / Незамайкин В.Н. - 2 изд.-М.:НИЦ ИНФРА-М,2023.-112с(О)</t>
  </si>
  <si>
    <t>ФИНАНСОВОЕ ПЛАНИРОВАНИЕ И БЮДЖЕТИРОВАНИЕ, ИЗД.2</t>
  </si>
  <si>
    <t>Незамайкин В.Н., Платонова Н.А., Поморцева И.М. и др.</t>
  </si>
  <si>
    <t>978-5-16-015705-4</t>
  </si>
  <si>
    <t>720470.08.01</t>
  </si>
  <si>
    <t>Финансовое планир. и бюджетирование: Уч.пос. / Незамайкин В.Н. - 3 изд. - М.:НИЦ ИНФРА-М,2026 -121с(СПО)(о)</t>
  </si>
  <si>
    <t>ФИНАНСОВОЕ ПЛАНИРОВАНИЕ И БЮДЖЕТИРОВАНИЕ, ИЗД.3</t>
  </si>
  <si>
    <t>978-5-16-020827-5</t>
  </si>
  <si>
    <t>261000.12.01</t>
  </si>
  <si>
    <t>Финансовое планирование и бюджет.: Уч.пос. / В.Н.Незамайкин - 3 изд. - М.:НИЦ ИНФРА-М,2026. - 121 с.(ВО)(п)</t>
  </si>
  <si>
    <t>Незамайкин В.Н., Платонова Н.А., Юрзинова И.Л. и др.</t>
  </si>
  <si>
    <t>978-5-16-019725-8</t>
  </si>
  <si>
    <t>23.03.01, 38.04.02, 38.04.08, 44.03.05</t>
  </si>
  <si>
    <t>261000.08.01</t>
  </si>
  <si>
    <t>Финансовое планирование и бюджет.: Уч.пос. / Под ред.Незамайкина В.Н. - 2 изд.-М.:НИЦ ИНФРА-М,2024-112с(П)</t>
  </si>
  <si>
    <t>978-5-16-015981-2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</si>
  <si>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6 от 25.03.2019)</t>
  </si>
  <si>
    <t>261000.03.01</t>
  </si>
  <si>
    <t>Финансовое планирование и бюджетирование: Уч.пос./Незамайкин В.Н.-М.:Вуз.уч.,НИЦ ИНФРА-М,2018-96с(О)</t>
  </si>
  <si>
    <t>ФИНАНСОВОЕ ПЛАНИРОВАНИЕ И БЮДЖЕТИРОВАНИЕ, ИЗД.1</t>
  </si>
  <si>
    <t>Незамайкин В.Н., Платонова Н.А., Федоров Я.П. и др.</t>
  </si>
  <si>
    <t>978-5-9558-0487-3</t>
  </si>
  <si>
    <t>052000.16.01</t>
  </si>
  <si>
    <t>Финансовое право России: Уч. / Ю.А.Крохина - 6 изд. - М.:Юр.Норма, НИЦ ИНФРА-М,2023 - 504 с.(п)</t>
  </si>
  <si>
    <t>ФИНАНСОВОЕ ПРАВО РОССИИ, ИЗД.6</t>
  </si>
  <si>
    <t>Крохина Ю. А.</t>
  </si>
  <si>
    <t>978-5-00156-069-2</t>
  </si>
  <si>
    <t>0620</t>
  </si>
  <si>
    <t>052000.09.01</t>
  </si>
  <si>
    <t>Финансовое право России: Уч. / Ю.А.Крохина, - 5-е изд.-М.:Юр.Норма, НИЦ ИНФРА-М,2016.-624 с.(п)</t>
  </si>
  <si>
    <t>ФИНАНСОВОЕ ПРАВО РОССИИ, ИЗД.5</t>
  </si>
  <si>
    <t>Крохина Ю.А.</t>
  </si>
  <si>
    <t>978-5-91768-530-4</t>
  </si>
  <si>
    <t>052000.20.01</t>
  </si>
  <si>
    <t>Финансовое право России: Уч. / Ю.А.Крохина, - 7 изд. - М.:Юр. НОРМА, НИЦ ИНФРА-М,2026. - 568 с.(п)</t>
  </si>
  <si>
    <t>ФИНАНСОВОЕ ПРАВО РОССИИ, ИЗД.7</t>
  </si>
  <si>
    <t>978-5-00156-348-8</t>
  </si>
  <si>
    <t>029982.15.01</t>
  </si>
  <si>
    <t>Финансовое право: Уч. / Е.Ю.Грачева - 5 изд. - М.:Норма: НИЦ Инфра-М, 2023-272с(Ab ovo)(П) (СПО)</t>
  </si>
  <si>
    <t>ФИНАНСОВОЕ ПРАВО, ИЗД.5</t>
  </si>
  <si>
    <t>Грачева Е. Ю., Соколова Э. Д.</t>
  </si>
  <si>
    <t>978-5-91768-952-4</t>
  </si>
  <si>
    <t>029982.18.01</t>
  </si>
  <si>
    <t>Финансовое право: Уч. / Е.Ю.Грачева - 6 изд. - М.:Норма: НИЦ Инфра-М, 2026  - 256 с.(Ab ovo)(П) (СПО)</t>
  </si>
  <si>
    <t>ФИНАНСОВОЕ ПРАВО, ИЗД.6</t>
  </si>
  <si>
    <t>978-5-00156-319-8</t>
  </si>
  <si>
    <t>0623</t>
  </si>
  <si>
    <t>088600.18.01</t>
  </si>
  <si>
    <t>Финансовое право: Уч. / Н.И.Химичева - 6 изд. - М.:Юр.Норма,НИЦ ИНФРА-М,2026 - 800 с.(П)</t>
  </si>
  <si>
    <t>Покачалова Е.В., Химичева Н.И., Смирнов Д.А. и др.</t>
  </si>
  <si>
    <t>978-5-91768-837-4</t>
  </si>
  <si>
    <t>Допущено Министерством образования РФ в качестве учебного пособия  для студентов вузов, обучающихся по специальности 021100 "Юриспруденция"</t>
  </si>
  <si>
    <t>Саратовская государственная юридическая академия, Юридический институт правового администрирования</t>
  </si>
  <si>
    <t>029982.07.01</t>
  </si>
  <si>
    <t>Финансовое право: Уч. для ссузов / Е.Ю.Грачева - 4 изд. - М.: Норма: НИЦ Инфра-М, 2013 -272с. (Ab ovo) (п)</t>
  </si>
  <si>
    <t>ФИНАНСОВОЕ ПРАВО, ИЗД.4</t>
  </si>
  <si>
    <t>978-5-91768-350-8</t>
  </si>
  <si>
    <t>347400.09.01</t>
  </si>
  <si>
    <t>Финансовое право: Уч.пос. / А.А.Мусаткина - М.:ИЦ РИОР, НИЦ ИНФРА-М,2026. - 176 с.(п)</t>
  </si>
  <si>
    <t>ФИНАНСОВОЕ ПРАВО, ИЗД.1</t>
  </si>
  <si>
    <t>Мусаткина А.А., Чуклова Е.В.</t>
  </si>
  <si>
    <t>978-5-369-01440-0</t>
  </si>
  <si>
    <t>Рекомендовано учебно-методическим советом ФБГОУ ВПО ТГУ в качестве учебного пособия по юридическим и экономическим направлениям подготовки бакалавриата и специалитета</t>
  </si>
  <si>
    <t>083830.06.01</t>
  </si>
  <si>
    <t>Финансовое право: Уч.пос. / И.В.Рукавишникова, - 3 изд. - М.:НОРМА,2025. - 648 с.(П)</t>
  </si>
  <si>
    <t>ФИНАНСОВОЕ ПРАВО, ИЗД.3</t>
  </si>
  <si>
    <t>Рукавишникова И. В.</t>
  </si>
  <si>
    <t>978-5-00156-074-6</t>
  </si>
  <si>
    <t>256600.08.01</t>
  </si>
  <si>
    <t>Финансовое упр. реальными инвестиц. организ.: Уч. пос. / М.В.Чараева - Альфа-М: ИНФРА-М,2027 - 240 с. (п)</t>
  </si>
  <si>
    <t>ФИНАНСОВОЕ УПРАВЛЕНИЕ РЕАЛЬНЫМИ ИНВЕСТИЦИЯМИ ОРГАНИЗАЦИЙ, ИЗД.1</t>
  </si>
  <si>
    <t>Чараева М. В.</t>
  </si>
  <si>
    <t>978-5-98281-382-4</t>
  </si>
  <si>
    <t>38.00.00, 25.04.04</t>
  </si>
  <si>
    <t>178500.11.01</t>
  </si>
  <si>
    <t>Финансово-эконом.анализ хоз.деят...: Уч.пос. / И.Т.Абдукаримов - М.:НИЦ ИНФРА-М,2025 - 320 с.(ВО:Бакалавр.)</t>
  </si>
  <si>
    <t>ФИНАНСОВО-ЭКОНОМИЧЕСКИЙ АНАЛИЗ ХОЗЯЙСТВЕННОЙ ДЕЯТЕЛЬНОСТИ КОММЕРЧЕСКИХ ОРГАНИЗАЦИЙ (АНАЛИЗ ДЕЛОВОЙ АКТИВНОСТИ), ИЗД.1</t>
  </si>
  <si>
    <t>978-5-16-005165-9</t>
  </si>
  <si>
    <t>Рекомендовано в качестве учебного пособия для студентов высших учебных заведений, обучающихся по.направлению подготовки 38.03.01 «Экономика»</t>
  </si>
  <si>
    <t>776748.01.01</t>
  </si>
  <si>
    <t>Финансово-экономич. планир. в секторе гос...: Уч.пос. / О.А.Братухина - М.:НИЦ ИНФРА-М,2025. - 473 с.(СПО)(п)</t>
  </si>
  <si>
    <t>ФИНАНСОВО-ЭКОНОМИЧЕСКОЕ ПЛАНИРОВАНИЕ В СЕКТОРЕ ГОСУДАРСТВЕННОГО И МУНИЦИПАЛЬНОГО УПРАВЛЕНИЯ И ОРГАНИЗАЦИИ ИСПОЛНЕНИЯ БЮДЖЕТОВ БЮДЖЕТНОЙ СИСТЕМЫ РОССИЙ, ИЗД.1</t>
  </si>
  <si>
    <t>Братухина О.А.</t>
  </si>
  <si>
    <t>978-5-16-018628-3</t>
  </si>
  <si>
    <t>Тюменский колледж экономики, управления и права</t>
  </si>
  <si>
    <t>034100.18.01</t>
  </si>
  <si>
    <t>Финансовые вычисления.Теор.и практ.: Уч.-справ.пос. /Я.С.Мелкумов -2 изд. -М.:НИЦ ИНФРА-М, 2024-408с(П)</t>
  </si>
  <si>
    <t>ФИНАНСОВЫЕ ВЫЧИСЛЕНИЯ. ТЕОРИЯ И ПРАКТИКА, ИЗД.2</t>
  </si>
  <si>
    <t>Мелкумов Я.С.</t>
  </si>
  <si>
    <t>978-5-16-005751-4</t>
  </si>
  <si>
    <t>23.03.01, 25.04.03, 25.04.04, 27.04.07, 38.03.01, 38.03.02, 38.03.03, 38.03.04, 38.03.05, 38.03.06, 38.04.01, 38.04.02, 38.04.04, 38.04.05, 38.04.07, 38.04.08, 38.04.09, 38.05.01, 41.03.06, 44.03.01, 44.03.05</t>
  </si>
  <si>
    <t>672596.05.01</t>
  </si>
  <si>
    <t>Финансовые и денежно-кредит. методы регулир...: Уч.пос. / Н.Н.Семенова.-М.:ИЦ РИОР, НИЦ ИНФРА-М,2023.-267 с(п)</t>
  </si>
  <si>
    <t>ФИНАНСОВЫЕ И ДЕНЕЖНО-КРЕДИТНЫЕ МЕТОДЫ РЕГУЛИРОВАНИЯ ЭКОНОМИКИ, ИЗД.1</t>
  </si>
  <si>
    <t>Семенова Н.Н., Еремина О.И., Филичкина Ю.Ю.</t>
  </si>
  <si>
    <t>978-5-369-01739-5</t>
  </si>
  <si>
    <t>38.03.01, 38.04.08, 44.03.01</t>
  </si>
  <si>
    <t>212900.09.01</t>
  </si>
  <si>
    <t>Финансовые измерения корп.стратег..: Моногр. / И.В.Ивашковская - 2 изд. - М:НИЦ ИНФРА-М,2023-320с(п)</t>
  </si>
  <si>
    <t>ФИНАНСОВЫЕ ИЗМЕРЕНИЯ КОРПОРАТИВНЫХ СТРАТЕГИЙ. СТЕЙКХОЛДЕРСКИЙ ПОДХОД, ИЗД.2</t>
  </si>
  <si>
    <t>Ивашковская И. В.</t>
  </si>
  <si>
    <t>978-5-16-006874-9</t>
  </si>
  <si>
    <t>654709.03.01</t>
  </si>
  <si>
    <t>Финансовые операции гос. и муниц. органов власти: Уч.пос. / А.Ю.Баранова-М.:НИЦ ИНФРА-М,2020-135с(П)</t>
  </si>
  <si>
    <t>ФИНАНСОВЫЕ ОПЕРАЦИИ ГОСУДАРСТВЕННЫХ И МУНИЦИПАЛЬНЫХ ОРГАНОВ ВЛАСТИ, ИЗД.1</t>
  </si>
  <si>
    <t>978-5-16-013126-9</t>
  </si>
  <si>
    <t>712983.01.01</t>
  </si>
  <si>
    <t>Финансовые операции гос. и муницип. орг. власти: Уч.пос. / А.Ю.Баранова-М.:НИЦ ИНФРА-М,2019-135с(П)</t>
  </si>
  <si>
    <t>978-5-16-015396-4</t>
  </si>
  <si>
    <t>712180.01.01</t>
  </si>
  <si>
    <t>Финансовые особ. устойчив. функционир. малых строит. орг. / Н.И.Морозко-М.:НИЦ ИНФРА-М,2019.-110с(О)</t>
  </si>
  <si>
    <t>ФИНАНСОВЫЕ ОСОБЕННОСТИ УСТОЙЧИВОСТИ ФУНКЦИОНИРОВАНИЯ МАЛЫХ СТРОИТЕЛЬНЫХ ОРГАНИЗАЦИЙ, ИЗД.1</t>
  </si>
  <si>
    <t>Морозко Н.И., Диденко В.Ю.</t>
  </si>
  <si>
    <t>978-5-16-015368-1</t>
  </si>
  <si>
    <t>08.03.01, 08.04.01, 38.03.01, 38.03.02, 38.04.01, 38.04.02</t>
  </si>
  <si>
    <t>475200.09.01</t>
  </si>
  <si>
    <t>Финансовые рынки и институты: Уч.пос. / В.П.Чижик - М.:Форум, НИЦ ИНФРА-М,2025 - 384 с. - (ВО:Бакалавр.)(П)</t>
  </si>
  <si>
    <t>ФИНАНСОВЫЕ РЫНКИ И ИНСТИТУТЫ, ИЗД.1</t>
  </si>
  <si>
    <t>Чижик В.П.</t>
  </si>
  <si>
    <t>978-5-00091-452-6</t>
  </si>
  <si>
    <t>38.03.02, 38.04.08, 41.03.06, 44.03.01</t>
  </si>
  <si>
    <t>681676.04.01</t>
  </si>
  <si>
    <t>Финансовые рынки. Практикум: Уч.пос. / М.Ю.Евсин - М.:НИЦ ИНФРА-М,2023 - 168 с.(ВО)(П)</t>
  </si>
  <si>
    <t>ФИНАНСОВЫЕ РЫНКИ. ПРАКТИКУМ, ИЗД.1</t>
  </si>
  <si>
    <t>Евсин М.Ю., Спесивцев В.А.</t>
  </si>
  <si>
    <t>978-5-16-018720-4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</si>
  <si>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2 от 03.02.2020)</t>
  </si>
  <si>
    <t>Финансовый университет при Правительстве Российской Федерации, Липецкий ф-л</t>
  </si>
  <si>
    <t>167400.08.01</t>
  </si>
  <si>
    <t>Финансовые рынки: проф. деят. на..: Уч. пос. / Б.В.Сребник - ИНФРА-М,2022-366с(ВО)(п)</t>
  </si>
  <si>
    <t>ФИНАНСОВЫЕ РЫНКИ: ПРОФЕССИОНАЛЬНАЯ ДЕЯТЕЛЬНОСТЬ НА РЫНКЕ ЦЕННЫХ БУМАГ, ИЗД.1</t>
  </si>
  <si>
    <t>Сребник Б.В., Вилкова Т.Б.</t>
  </si>
  <si>
    <t>978-5-16-005029-4</t>
  </si>
  <si>
    <t>Рекомендовано Учебно-методическим объединением по образованию в области финансов, учета и мировой экономики в качестве учебного пособия для студентов высших учебных заведений, обучающихся по направлению "Экономика", (профиль "Финансы и кредит")</t>
  </si>
  <si>
    <t>682364.03.01</t>
  </si>
  <si>
    <t>Финансовые рынки: Уч.пос. / М.Ю.Евсин-М.:НИЦ ИНФРА-М,2024.-245 с.(ВО)(п)</t>
  </si>
  <si>
    <t>ФИНАНСОВЫЕ РЫНКИ, ИЗД.1</t>
  </si>
  <si>
    <t>978-5-16-019253-6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</si>
  <si>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4 от 02.03.2020)</t>
  </si>
  <si>
    <t>800813.01.01</t>
  </si>
  <si>
    <t>Финансовые стратегии и инструменты: Уч. / Е.Н.Елисеева. - М.:НИЦ ИНФРА-М,2025. - 208 с.(ВО)(п)</t>
  </si>
  <si>
    <t>ФИНАНСОВЫЕ СТРАТЕГИИ И ИНСТРУМЕНТЫ, ИЗД.1</t>
  </si>
  <si>
    <t>Елисеева Е.Н., Шипкова О.Т., Кузьмина А.А. и др.</t>
  </si>
  <si>
    <t>978-5-16-019537-7</t>
  </si>
  <si>
    <t>27.04.07, 38.03.02, 38.04.01, 38.04.08</t>
  </si>
  <si>
    <t>417550.06.01</t>
  </si>
  <si>
    <t>Финансовые технологии в маркетинге: Уч.пос. / Т.И.Урясьева-М.:Вуз. уч., НИЦ ИНФРА-М,2024.-200 с.(П)</t>
  </si>
  <si>
    <t>ФИНАНСОВЫЕ ТЕХНОЛОГИИ В МАРКЕТИНГЕ, ИЗД.1</t>
  </si>
  <si>
    <t>978-5-9558-0296-1</t>
  </si>
  <si>
    <t>Допущено Учебно-методическим объединением по образованию в области коммерции и по образованию в области маркетинга в качестве учебного пособия для студентов высших учебных заведений, обучающихся по направлению 100700.68 «Торговое дело», по магистерск</t>
  </si>
  <si>
    <t>814980.01.01</t>
  </si>
  <si>
    <t>Финансовые циклы и финансовая политика: Моногр. / В.П.Иваницкий-М.:НИЦ ИНФРА-М,2024.-223 с.(п)</t>
  </si>
  <si>
    <t>ФИНАНСОВЫЕ ЦИКЛЫ И ФИНАНСОВАЯ ПОЛИТИКА, ИЗД.1</t>
  </si>
  <si>
    <t>Иваницкий В.П., Пищулов В.М., Логинов М.П.</t>
  </si>
  <si>
    <t>978-5-16-019323-6</t>
  </si>
  <si>
    <t>452300.11.01</t>
  </si>
  <si>
    <t>Финансовый анализ деят. орг.: Уч. / Н.С.Пласкова, - 3 изд. - М.:НИЦ ИНФРА-М,2027. - 372 с.(ВО)(п)</t>
  </si>
  <si>
    <t>ФИНАНСОВЫЙ АНАЛИЗ ДЕЯТЕЛЬНОСТИ ОРГАНИЗАЦИИ, ИЗД.3</t>
  </si>
  <si>
    <t>978-5-16-018324-4</t>
  </si>
  <si>
    <t>452300.08.01</t>
  </si>
  <si>
    <t>Финансовый анализ деятельности организации: Уч. / Н.С.Пласкова - 2 изд. - М.:НИЦ ИНФРА-М,2022 - 368с(ВО)(П)</t>
  </si>
  <si>
    <t>ФИНАНСОВЫЙ АНАЛИЗ ДЕЯТЕЛЬНОСТИ ОРГАНИЗАЦИИ, ИЗД.2</t>
  </si>
  <si>
    <t>978-5-16-014839-7</t>
  </si>
  <si>
    <t>452300.05.01</t>
  </si>
  <si>
    <t>Финансовый анализ деятельности организации: Уч. / Н.С.Пласкова-М.:Вуз.уч.,НИЦ ИНФРА-М,2019-368с(П)</t>
  </si>
  <si>
    <t>ФИНАНСОВЫЙ АНАЛИЗ ДЕЯТЕЛЬНОСТИ ОРГАНИЗАЦИИ, ИЗД.1</t>
  </si>
  <si>
    <t>978-5-9558-0472-9</t>
  </si>
  <si>
    <t>800189.01.01</t>
  </si>
  <si>
    <t>Финансовый анализ и управление (на рус. и англ. яз.): Уч. / Е.Н.Выборова-М.:НИЦ ИНФРА-М,2024.-362 с.(ВО)(п)</t>
  </si>
  <si>
    <t>ФИНАНСОВЫЙ АНАЛИЗ И УПРАВЛЕНИЕ (НА РУССКОМ И АНГЛИЙСКОМ ЯЗЫКАХ), ИЗД.1</t>
  </si>
  <si>
    <t>Выборова Е.Н.</t>
  </si>
  <si>
    <t>978-5-16-018321-3</t>
  </si>
  <si>
    <t>38.03.02, 38.04.01, 38.04.02, 38.04.04, 38.04.06, 38.04.08, 38.04.09, 38.05.01</t>
  </si>
  <si>
    <t>795897.01.01</t>
  </si>
  <si>
    <t>Финансовый анализ и финансовое моделирование: Уч.пос.-М.:НИЦ ИНФРА-М,2023.-90 с.(ВО (СФУ))(о)</t>
  </si>
  <si>
    <t>ФИНАНСОВЫЙ АНАЛИЗ И ФИНАНСОВОЕ МОДЕЛИРОВАНИЕ, ИЗД.1</t>
  </si>
  <si>
    <t>Шнюкова Е.А.</t>
  </si>
  <si>
    <t>978-5-16-018083-0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</si>
  <si>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38.04.08 «Финансы и кредит» (квалификация (степень) «магистр») (протокол № 6 от 08.06.2022)</t>
  </si>
  <si>
    <t>281400.10.01</t>
  </si>
  <si>
    <t>Финансовый анализ. Управ. финанс. операциями: Уч.пос. / Е.Б.Герасимова - М.:Форум0: ИНФРА-М,2027 - 192 с.(О)</t>
  </si>
  <si>
    <t>ФИНАНСОВЫЙ АНАЛИЗ. УПРАВЛЕНИЕ ФИНАНСОВЫМИ ОПЕРАЦИЯМИ, ИЗД.1</t>
  </si>
  <si>
    <t>Герасимова Е.Б., Редин Д.В.</t>
  </si>
  <si>
    <t>978-5-91134-890-8</t>
  </si>
  <si>
    <t>Рекомендовано Институтом экономики и управления Московского государственного машиностроительного университета (МАМИ) в качестве учебного пособия для студентов и бакалавров высших учебных заведений, обучающихся по направлениям «Экономика» и «Менеджмен</t>
  </si>
  <si>
    <t>467350.06.01</t>
  </si>
  <si>
    <t>Финансовый анализ: Уч.пос. / Л.М.Куприянова - М.:НИЦ ИНФРА-М,2019-157с.(ВО: Бакалавриат)(О)</t>
  </si>
  <si>
    <t>ФИНАНСОВЫЙ АНАЛИЗ, ИЗД.1</t>
  </si>
  <si>
    <t>Куприянова Л.М.</t>
  </si>
  <si>
    <t>978-5-16-009806-7</t>
  </si>
  <si>
    <t>467350.12.01</t>
  </si>
  <si>
    <t>Финансовый анализ: Уч.пос. / Л.М.Куприянова - М.:НИЦ ИНФРА-М,2027 - 157 с.(ВО: Бакалавр.)(п)</t>
  </si>
  <si>
    <t>978-5-16-016300-0</t>
  </si>
  <si>
    <t>741559.02.01</t>
  </si>
  <si>
    <t>Финансовый и банковский менеджмент: Уч. / Я.Ю.Радюкова. - М.:НИЦ ИНФРА-М,2027. - 421 с.(СПО)(п)</t>
  </si>
  <si>
    <t>ФИНАНСОВЫЙ И БАНКОВСКИЙ МЕНЕДЖМЕНТ, ИЗД.1</t>
  </si>
  <si>
    <t>978-5-16-016825-8</t>
  </si>
  <si>
    <t>38.02.01, 38.02.06, 38.02.07</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</si>
  <si>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38.02.06 «Финансы», 38.02.07 «Банковское дело» (протокол № 7 от 21.09.2022)</t>
  </si>
  <si>
    <t>468100.07.01</t>
  </si>
  <si>
    <t>Финансовый и управленческий учет и анализ: Уч. / П.И.Камышанов - М.:НИЦ ИНФРА-М,2027 - 592 с.(ВО)(П)</t>
  </si>
  <si>
    <t>ФИНАНСОВЫЙ И УПРАВЛЕНЧЕСКИЙ УЧЕТ И АНАЛИЗ, ИЗД.1</t>
  </si>
  <si>
    <t>Камышанов П.И., Камышанов А.П.</t>
  </si>
  <si>
    <t>978-5-16-019179-9</t>
  </si>
  <si>
    <t>Рекомендовано Учебно-методическим советом вузов России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t>
  </si>
  <si>
    <t>805079.01.01</t>
  </si>
  <si>
    <t>Финансовый контроллинг бизнес-процессов компании: Уч. / Н.А.Казакова -М.:НИЦ ИНФРА-М,2025.-235 с.(ВО (РЭУ))(п)</t>
  </si>
  <si>
    <t>ФИНАНСОВЫЙ КОНТРОЛЛИНГ БИЗНЕС-ПРОЦЕССОВ КОМПАНИИ, ИЗД.1</t>
  </si>
  <si>
    <t>Казакова Н.А., Ерохина Е.И., Чикурова С.С. и др.</t>
  </si>
  <si>
    <t>978-5-16-018713-6</t>
  </si>
  <si>
    <t>38.03.01, 38.03.02, 38.03.05, 38.04.01, 38.04.02, 38.04.05, 38.04.08</t>
  </si>
  <si>
    <t>839078.01.01</t>
  </si>
  <si>
    <t>Финансовый контроль деят. экономич. субъекта: Уч. / Н.Г.Гаджиев - М.:НИЦ ИНФРА-М,2025. - 396 с.(СПО)(п)</t>
  </si>
  <si>
    <t>ФИНАНСОВЫЙ КОНТРОЛЬ ДЕЯТЕЛЬНОСТИ ЭКОНОМИЧЕСКОГО СУБЪЕКТА, ИЗД.1</t>
  </si>
  <si>
    <t>978-5-16-020389-8</t>
  </si>
  <si>
    <t>646303.09.01</t>
  </si>
  <si>
    <t>Финансовый менеджмент в малом бизнесе: Уч. / Н.И.Морозко - 2 изд. - М.:НИЦ ИНФРА-М,2025. - 348 с.(ВО)(П)</t>
  </si>
  <si>
    <t>ФИНАНСОВЫЙ МЕНЕДЖМЕНТ В МАЛОМ БИЗНЕСЕ, ИЗД.2</t>
  </si>
  <si>
    <t>Морозко Н.И., Морозко Н.И., Диденко В.Ю.</t>
  </si>
  <si>
    <t>978-5-16-017587-4</t>
  </si>
  <si>
    <t>38.03.01, 38.03.02, 38.03.04, 38.03.06, 38.03.07, 38.04.02, 38.04.08, 38.04.09, 38.05.01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</si>
  <si>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38.04.01 «Экономика», 38.04.02 «Менеджмент» (квалификация (степень) «магистр») (протокол № 2 от 09.02.2022)</t>
  </si>
  <si>
    <t>646303.04.01</t>
  </si>
  <si>
    <t>Финансовый менеджмент в малом бизнесе: Уч. / Н.И.Морозко-М.:НИЦ ИНФРА-М,2019-347с(ВО: Бакалавр.)(П)</t>
  </si>
  <si>
    <t>ФИНАНСОВЫЙ МЕНЕДЖМЕНТ В МАЛОМ БИЗНЕСЕ, ИЗД.1</t>
  </si>
  <si>
    <t>978-5-16-013341-6</t>
  </si>
  <si>
    <t>262000.03.01</t>
  </si>
  <si>
    <t>Финансовый менеджмент. углубл. ур: Уч. / П.Н.Тесля-М.:ИЦ РИОР, НИЦ ИНФРА-М,2023.-217 с.(ВО)(О)</t>
  </si>
  <si>
    <t>ФИНАНСОВЫЙ МЕНЕДЖМЕНТ, ИЗД.1</t>
  </si>
  <si>
    <t>Тесля П.Н.</t>
  </si>
  <si>
    <t>978-5-369-01562-9</t>
  </si>
  <si>
    <t>840686.01.01</t>
  </si>
  <si>
    <t>Финансовый менеджмент: теория и практика: Уч. / Е.В.Каранина - М.:НИЦ ИНФРА-М,2025. - 300 с.(ВО)(п)</t>
  </si>
  <si>
    <t>ФИНАНСОВЫЙ МЕНЕДЖМЕНТ: ТЕОРИЯ И ПРАКТИКА, ИЗД.1</t>
  </si>
  <si>
    <t>Каранина Е.В.</t>
  </si>
  <si>
    <t>978-5-16-020449-9</t>
  </si>
  <si>
    <t>38.03.01, 38.03.02, 38.03.04, 38.03.06, 38.04.01, 38.04.02, 38.04.04, 38.04.06, 38.04.08, 38.05.01</t>
  </si>
  <si>
    <t>036100.17.01</t>
  </si>
  <si>
    <t>Финансовый менеджмент: Уч. / Л.Е.Басовский-М.:НИЦ ИНФРА-М,2023.-240 с.(ВО: Бакалавриат)(п)</t>
  </si>
  <si>
    <t>978-5-16-006960-9</t>
  </si>
  <si>
    <t>23.03.01, 25.04.04, 38.03.01, 38.03.02, 38.03.03, 38.03.04, 38.03.05, 38.03.06, 38.03.07, 38.04.01, 38.04.02, 38.04.03, 38.04.04, 38.04.05, 38.04.06, 38.04.07, 38.04.08, 38.04.09, 38.05.01, 41.03.06, 44.03.01, 44.03.05</t>
  </si>
  <si>
    <t>203700.11.01</t>
  </si>
  <si>
    <t>Финансовый менеджмент: Уч. / Под ред. Екимова К.В., - 2 изд. - М.:НИЦ ИНФРА-М,2026. - 185 с.(ВО)(п)</t>
  </si>
  <si>
    <t>ФИНАНСОВЫЙ МЕНЕДЖМЕНТ, ИЗД.2</t>
  </si>
  <si>
    <t>Лисицына Е.В., Ващенко Т.В., Забродина М.В. и др.</t>
  </si>
  <si>
    <t>978-5-16-020759-9</t>
  </si>
  <si>
    <t>Рекомендовано советом Учебно-методического объединения вузов по образованию в области менеджмента в качестве учебника для студентов высших учебных заведений, обучающихся по направлению 38.03.02 «Менеджмент» (квалификация (степень) «бакалавр»)</t>
  </si>
  <si>
    <t>203700.07.01</t>
  </si>
  <si>
    <t>Финансовый менеджмент: Уч. / Под ред. Екимовой К.В. - М.:НИЦ ИНФРА-М,2021-184с.-(ВО: Бакалавриат)(П)</t>
  </si>
  <si>
    <t>Лисицына Е. В., Ващенко Т. В., Забродина М. В., Екимова К. В.</t>
  </si>
  <si>
    <t>978-5-16-006620-2</t>
  </si>
  <si>
    <t>376800.05.01</t>
  </si>
  <si>
    <t>Финансовый менеджмент: Уч. / С.А.Сироткин - М.:НИЦ ИНФРА-М,2025 - 294 с.(ВО:Бакалавр.)(п)</t>
  </si>
  <si>
    <t>СироткинС.А., КельчевскаяН.Р.</t>
  </si>
  <si>
    <t>978-5-16-011106-3</t>
  </si>
  <si>
    <t>25.04.04, 38.03.02, 41.03.06</t>
  </si>
  <si>
    <t>054800.13.01</t>
  </si>
  <si>
    <t>Финансовый менеджмент: Уч. пос. / М.В.Кудина - 2 изд. - М.: ИД ФОРУМ: НИЦ Инфра-М, 2024 - 256с. (ВО) (п)</t>
  </si>
  <si>
    <t>Кудина М. В.</t>
  </si>
  <si>
    <t>978-5-8199-0505-0</t>
  </si>
  <si>
    <t>Рекомендовано Ученым советом факультета государственного управления МГУ имени М. В. Ломоносова в качестве учебного пособия для студентов высших учебных заведений, обучающихся по группе специальностей экономического профиля</t>
  </si>
  <si>
    <t>347600.06.01</t>
  </si>
  <si>
    <t>Финансовый менеджмент: Уч. пос. / М.В.Чараева, - 3 изд. - М.:НИЦ ИНФРА-М,2026. - 248 с.-(ВО)(п)</t>
  </si>
  <si>
    <t>ФИНАНСОВЫЙ МЕНЕДЖМЕНТ, ИЗД.3</t>
  </si>
  <si>
    <t>978-5-16-019424-0</t>
  </si>
  <si>
    <t>426450.08.01</t>
  </si>
  <si>
    <t>Финансовый менеджмент: Уч. пос. / Н.И.Морозко - М.:НИЦ ИНФРА-М,2025. - 224 с.(ВО Бакалавр.)</t>
  </si>
  <si>
    <t>Морозко Н. И., Диденко И. Ю.</t>
  </si>
  <si>
    <t>978-5-16-005786-6</t>
  </si>
  <si>
    <t>38.03.01, 38.03.02, 38.04.01, 38.04.02, 38.04.04, 38.04.08, 41.03.06</t>
  </si>
  <si>
    <t>Рекомендовано Советом Учебно-методического объединения по образованию в области менеджмента в качестве учебника для студентов высших учебных заведений, обучающихся по направлениям подготовки 080200.62 «Менеджмент», 080100.62 «Экономика» (квалификация</t>
  </si>
  <si>
    <t>347600.04.01</t>
  </si>
  <si>
    <t>Финансовый менеджмент: Уч. пос. /М.В. Чараева, -2 изд. -М.: НИЦ ИНФРА-М, 2023 -240 с. (ВО:Бакалавр.) (п)</t>
  </si>
  <si>
    <t>978-5-16-010828-5</t>
  </si>
  <si>
    <t>Рекомендовано в качестве учебного пособия для студентов высших учебных заведений, обучающихся по направлению подготовки 38.03.01 «Экономика», 38.03.02 «Менеджмент», 41.03.06 «Публичная политика и социальные науки»</t>
  </si>
  <si>
    <t>118400.11.01</t>
  </si>
  <si>
    <t>Финансовый менеджмент: Уч. пос./ Т.В.Филатова - М.: ИНФРА-М Издат. Дом, 2027.- 236 с..(ВО) (п)</t>
  </si>
  <si>
    <t>Филатова Т. В.</t>
  </si>
  <si>
    <t>978-5-16-003632-8</t>
  </si>
  <si>
    <t>Рекомендовано УМО по образованию в области финансов, учета и мировой экономики в качестве учебного пособия для студентов вузов, обучающихся по направлению подготовки 38.03.01 "Экономика"</t>
  </si>
  <si>
    <t>640488.03.01</t>
  </si>
  <si>
    <t>Финансовый менеджмент: Уч.пос. / П.А.Левчаев-М.:НИЦ ИНФРА-М,2023.-247 с.(ВО: Магистр.)(п)</t>
  </si>
  <si>
    <t>978-5-16-012755-2</t>
  </si>
  <si>
    <t>38.03.01, 38.03.06, 38.03.07, 38.04.01, 38.04.02, 38.04.06, 38.04.07, 38.04.08, 38.04.09, 38.05.01</t>
  </si>
  <si>
    <t>656128.04.01</t>
  </si>
  <si>
    <t>Финансовый механизм гос. поддерж. АПК в России и Беларуси: Моногр./ Пинская М.Р.-М:НИЦ ИНФРА-М,2023-258с</t>
  </si>
  <si>
    <t>ФИНАНСОВЫЙ МЕХАНИЗМ ГОСУДАРСТВЕННОЙ ПОДДЕРЖКИ АПК В РОССИИ И БЕЛАРУСИ, ИЗД.1</t>
  </si>
  <si>
    <t>Пинская М.Р., Киреева Е.Ф., Сорокина Т.В. и др.</t>
  </si>
  <si>
    <t>978-5-16-012749-1</t>
  </si>
  <si>
    <t>35.03.04, 35.03.05, 35.03.07, 35.04.04, 35.04.05, 38.03.01, 44.03.01, 44.03.05</t>
  </si>
  <si>
    <t>665687.02.01</t>
  </si>
  <si>
    <t>Финансовый механизм и упр.уч.расхода производ.ресурсов.:Моногр./П.А.Левчаев-М.:НИЦ ИНФРА-М,2021-231с</t>
  </si>
  <si>
    <t>ФИНАНСОВЫЙ МЕХАНИЗМ И УПРАВЛЕНЧЕСКИЙ УЧЕТ РАСХОДА ПРОИЗВОДСТВЕННЫХ РЕСУРСОВ КОМПАНИИ, ИЗД.1</t>
  </si>
  <si>
    <t>Левчаев П.А., Осипов В.И.</t>
  </si>
  <si>
    <t>978-5-16-013187-0</t>
  </si>
  <si>
    <t>657634.02.01</t>
  </si>
  <si>
    <t>Финансовый механизм распред.расход.рег.и муниц.бюдж. / В.В.Карпова.-М.:Вуз.уч.,НИЦ ИНФРА-М,2018-188с</t>
  </si>
  <si>
    <t>ФИНАНСОВЫЙ МЕХАНИЗМ РАСПРЕДЕЛЕНИЯ РАСХОДОВ РЕГИОНАЛЬНЫХ И МУНИЦИПАЛЬНЫХ БЮДЖЕТОВ, ИЗД.1</t>
  </si>
  <si>
    <t>Карпова В.В., Карпова Т.П., Ремжов А.В.</t>
  </si>
  <si>
    <t>978-5-9558-0570-2</t>
  </si>
  <si>
    <t>678845.03.01</t>
  </si>
  <si>
    <t>Финансовый надзор в нац платежной сис. РФ. Уч.пос.: Уч.пос. / А.А.Ситник - 2 изд.-М.:Юр.Норма, НИЦ ИНФРА-М,2023-208с(П)</t>
  </si>
  <si>
    <t>ФИНАНСОВЫЙ НАДЗОР В НАЦИОНАЛЬНОЙ ПЛАТЕЖНОЙ СИСТЕМЕ РФ, ИЗД.2</t>
  </si>
  <si>
    <t>978-5-00156-134-7</t>
  </si>
  <si>
    <t>38.04.01, 38.04.08, 38.04.09, 38.05.01, 40.03.01, 40.04.01, 44.03.05</t>
  </si>
  <si>
    <t>678845.05.01</t>
  </si>
  <si>
    <t>Финансовый надзор в нац. платеж. сис. РФ: Уч.пос. / А.Г.Гузнов - 3 изд. - М.:Юр. НОРМА, НИЦ ИНФРА-М,2026 - 248 с.(п)</t>
  </si>
  <si>
    <t>ФИНАНСОВЫЙ НАДЗОР В НАЦИОНАЛЬНОЙ ПЛАТЕЖНОЙ СИСТЕМЕ РФ, ИЗД.3</t>
  </si>
  <si>
    <t>Гузнов А.Г., Рождественская Т.Э., Ситник А.А.</t>
  </si>
  <si>
    <t>978-5-00156-389-1</t>
  </si>
  <si>
    <t>678845.01.01</t>
  </si>
  <si>
    <t>Финансовый надзор в нац. платеж. системе РФ: Уч.пос./ А.А.Ситник-М:Юр.Норма,НИЦ ИНФРА-М,2018-176с(П)</t>
  </si>
  <si>
    <t>ФИНАНСОВЫЙ НАДЗОР В НАЦИОНАЛЬНОЙ ПЛАТЕЖНОЙ СИСТЕМЕ РФ, ИЗД.1</t>
  </si>
  <si>
    <t>978-5-91768-897-8</t>
  </si>
  <si>
    <t>830048.03.01</t>
  </si>
  <si>
    <t>Финансовый суверенитет гос.: теория и...: Моногр. / Е.Ю.Грачева - М.:Юр. НОРМА, НИЦ ИНФРА-М,2026. - 344 с.(п)</t>
  </si>
  <si>
    <t>ФИНАНСОВЫЙ СУВЕРЕНИТЕТ ГОСУДАРСТВА: ТЕОРИЯ И ПРАВОВАЯ РЕАЛЬНОСТЬ, ИЗД.1</t>
  </si>
  <si>
    <t>Грачева Е.Ю., Арзуманова Л.Л., Болтинова О.В. и др.</t>
  </si>
  <si>
    <t>978-5-00156-373-0</t>
  </si>
  <si>
    <t>291200.08.01</t>
  </si>
  <si>
    <t>Финансовый учет для магистров: Уч./Под ред. Петрова А.М.- 2 изд.-М.:Вуз.уч.,НИЦ ИНФРА-М,2024-343с(П)</t>
  </si>
  <si>
    <t>ФИНАНСОВЫЙ УЧЕТ ДЛЯ МАГИСТРОВ, ИЗД.2</t>
  </si>
  <si>
    <t>Петров А.М., под ред.</t>
  </si>
  <si>
    <t>978-5-9558-0380-7</t>
  </si>
  <si>
    <t>247400.10.01</t>
  </si>
  <si>
    <t>Финансовый учет и отчетность: Уч. / А.М.Петров - 3 изд. - М.:НИЦ ИНФРА-М,2025. - 416 с.(ВО)(п)</t>
  </si>
  <si>
    <t>ФИНАНСОВЫЙ УЧЕТ И ОТЧЕТНОСТЬ, ИЗД.3</t>
  </si>
  <si>
    <t>Петров А.М., Листопад Е.Е., Мельникова Л.А. и др.</t>
  </si>
  <si>
    <t>978-5-16-020069-9</t>
  </si>
  <si>
    <t>38.03.02, 38.04.08, 38.04.09, 41.03.06</t>
  </si>
  <si>
    <t>247400.07.01</t>
  </si>
  <si>
    <t>Финансовый учет и отчетность: Уч. / Под ред. Петрова А.М. - М.:Вуз.уч.,НИЦ ИНФРА-М,2021-464с.(П)</t>
  </si>
  <si>
    <t>ФИНАНСОВЫЙ УЧЕТ И ОТЧЕТНОСТЬ, ИЗД.1</t>
  </si>
  <si>
    <t>Петров А. М., Мельникова Л. А., Савин И. А., Петров А. М.</t>
  </si>
  <si>
    <t>978-5-9558-0346-3</t>
  </si>
  <si>
    <t>682609.03.01</t>
  </si>
  <si>
    <t>Финансовый учет: Уч. / Л.К.Никандрова -М.:НИЦ ИНФРА-М, 2023.-280 с..-(ВО: Бакалавриат)(П)</t>
  </si>
  <si>
    <t>ФИНАНСОВЫЙ УЧЕТ, ИЗД.1</t>
  </si>
  <si>
    <t>Никандрова Л.К., Акатьева М.Д.</t>
  </si>
  <si>
    <t>978-5-16-014552-5</t>
  </si>
  <si>
    <t>095230.13.01</t>
  </si>
  <si>
    <t>Финансовый учет: Уч. / Под ред. Гетьмана В.Г. - 6 изд. - М.:НИЦ ИНФРА-М,2027 - 622 с.(ВО)(п)</t>
  </si>
  <si>
    <t>ФИНАНСОВЫЙ УЧЕТ, ИЗД.6</t>
  </si>
  <si>
    <t>Гетьман В.Г., Терехова В.А., Шнейдман Л.З. и др.</t>
  </si>
  <si>
    <t>978-5-16-012347-9</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</si>
  <si>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направлению подготовки 38.03.01 «Экономика» (квалификация (степень) «бакалавр»)</t>
  </si>
  <si>
    <t>095230.07.01</t>
  </si>
  <si>
    <t>Финансовый учет: Уч. / Под ред.Гетьмана В.Г. -  5 изд.-М.:НИЦ ИНФРА-М, ИНФРА-М Изд.Дом,2016-784с.(П)</t>
  </si>
  <si>
    <t>ФИНАНСОВЫЙ УЧЕТ, ИЗД.5</t>
  </si>
  <si>
    <t>Гетьман В.Г.</t>
  </si>
  <si>
    <t>978-5-16-004863-5</t>
  </si>
  <si>
    <t>Рекомендовано Министерством образования и науки Российской Федерации в качестве учебника для студентов высших учебных заведений, обучающихся по экономическим специальностям</t>
  </si>
  <si>
    <t>653330.06.01</t>
  </si>
  <si>
    <t>Финансы бюджетных организаций соц. сферы: Моногр./ Т.В.Шубина - М.:НИЦ ИНФРА-М,2027. - 134 с.(Науч.мысль)(О)</t>
  </si>
  <si>
    <t>ФИНАНСЫ БЮДЖЕТНЫХ ОРГАНИЗАЦИЙ СОЦИАЛЬНОЙ СФЕРЫ, ИЗД.1</t>
  </si>
  <si>
    <t>Шубина Т.В., Есаков С.П., Фролкин А.В.</t>
  </si>
  <si>
    <t>978-5-16-012745-3</t>
  </si>
  <si>
    <t>38.03.04, 38.04.01, 38.04.04</t>
  </si>
  <si>
    <t>767670.01.01</t>
  </si>
  <si>
    <t>Финансы гос. внебюджетных фондов в цифровом...: Уч. / П.А.Левчаев-М.:НИЦ ИНФРА-М,2024.-222 с.(ВО)(п)</t>
  </si>
  <si>
    <t>ФИНАНСЫ ГОСУДАРСТВЕННЫХ ВНЕБЮДЖЕТНЫХ ФОНДОВ В ЦИФРОВОМ ЭКОНОМИЧЕСКОМ УКЛАДЕ, ИЗД.1</t>
  </si>
  <si>
    <t>978-5-16-017368-9</t>
  </si>
  <si>
    <t>38.03.01, 38.04.01, 38.04.08, 38.04.09, 40.04.01</t>
  </si>
  <si>
    <t>231100.10.01</t>
  </si>
  <si>
    <t>Финансы для нефинансистов: Уч.пос. / М.Л.Асмолова - 2 изд. - М.:ИЦ РИОР,НИЦ ИНФРА-М,2026 -154 с.(о)</t>
  </si>
  <si>
    <t>ФИНАНСЫ ДЛЯ НЕФИНАНСИСТОВ, ИЗД.2</t>
  </si>
  <si>
    <t>978-5-369-01514-8</t>
  </si>
  <si>
    <t>239200.13.01</t>
  </si>
  <si>
    <t>Финансы для нефинансовых менеджеров: Уч.пос. / М.А.Карлик - М.:НИЦ ИНФРА-М,2026. - 398 с.(ВО)(п)</t>
  </si>
  <si>
    <t>ФИНАНСЫ ДЛЯ НЕФИНАНСОВЫХ МЕНЕДЖЕРОВ, ИЗД.1</t>
  </si>
  <si>
    <t>Карлик М. А.</t>
  </si>
  <si>
    <t>978-5-16-019022-8</t>
  </si>
  <si>
    <t>Допущено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38.03.02 (080200) «Менеджмент»</t>
  </si>
  <si>
    <t>Учреждение ДПО "Бизнес-Школа Имисп</t>
  </si>
  <si>
    <t>718326.04.01</t>
  </si>
  <si>
    <t>Финансы и кредит. Совр. концепции: Уч. / Под ред. Буракова Д.В.-М.:НИЦ ИНФРА-М,2023.-313 с.(ВО)(П)</t>
  </si>
  <si>
    <t>ФИНАНСЫ И КРЕДИТ. СОВРЕМЕННЫЕ КОНЦЕПЦИИ, ИЗД.1</t>
  </si>
  <si>
    <t>Басс А.Б., Бураков Д.В., Молчанов И.Н. и др.</t>
  </si>
  <si>
    <t>978-5-16-015711-5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</si>
  <si>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38.04.08 «Финансы и кредит» (квалификация (степень) «магистр») (протокол № 8 от 22.06.2020)</t>
  </si>
  <si>
    <t>096650.08.01</t>
  </si>
  <si>
    <t>Финансы и кредит: Уч. / Ж.Г.Голодова, - 2 изд. - М.:НИЦ ИНФРА-М,2026. - 612 с.(ВО)(п)</t>
  </si>
  <si>
    <t>ФИНАНСЫ И КРЕДИТ, ИЗД.2</t>
  </si>
  <si>
    <t>Голодова Ж.Г.</t>
  </si>
  <si>
    <t>978-5-16-016448-9</t>
  </si>
  <si>
    <t>Рекомендовано Учебно-методическим объединением вузов России по образованию в области экономики и экономической теории в качестве учебного пособия для студентов, обучающихся по направлению "Экономика" и экономическим специальностям</t>
  </si>
  <si>
    <t>151500.09.01</t>
  </si>
  <si>
    <t>Финансы и кредит: Уч. / Под. ред. О.В.Соколовой - 2 изд. - М.:Магистр, ИНФРА-М,2020. - 912 с.(П)</t>
  </si>
  <si>
    <t>Соколова О. В.</t>
  </si>
  <si>
    <t>978-5-9776-0196-2</t>
  </si>
  <si>
    <t>27.04.07, 38.03.01, 38.03.02, 38.03.03, 38.03.04, 38.03.05, 38.03.06, 38.04.01, 38.04.02, 38.04.04, 38.04.05, 38.04.06, 38.04.08, 38.04.09, 41.03.06, 44.03.01, 44.03.05</t>
  </si>
  <si>
    <t>Допущено Министерством образования РФ в качестве учебника для студентов высших учебных заведений, обучающихся по финансово-экономическим специальностям</t>
  </si>
  <si>
    <t>745034.07.01</t>
  </si>
  <si>
    <t>Финансы и финансовый анализ: Уч. / Н.А.Казакова и др. - М.:НИЦ ИНФРА-М,2027 - 201 с.(ВО.)(П)</t>
  </si>
  <si>
    <t>ФИНАНСЫ И ФИНАНСОВЫЙ АНАЛИЗ, ИЗД.1</t>
  </si>
  <si>
    <t>Казакова Н.А., Когденко В.Г., Мельник М.В.</t>
  </si>
  <si>
    <t>978-5-16-020652-3</t>
  </si>
  <si>
    <t>38.04.01, 38.04.02, 38.04.04, 38.04.06, 38.04.08, 38.05.01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</si>
  <si>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«магистр») (протокол № 3 от 17.03.2021)</t>
  </si>
  <si>
    <t>834169.01.01</t>
  </si>
  <si>
    <t>Финансы коммерческих организаций: Уч. / М.Б.Траченко. - М.:НИЦ ИНФРА-М,2025. - 492 с.(ВО)(п)</t>
  </si>
  <si>
    <t>ФИНАНСЫ КОММЕРЧЕСКИХ ОРГАНИЗАЦИЙ, ИЗД.1</t>
  </si>
  <si>
    <t>Траченко М.Б., Володин В.А., Володина А.О. и др.</t>
  </si>
  <si>
    <t>978-5-16-020267-9</t>
  </si>
  <si>
    <t>38.03.01, 38.03.05</t>
  </si>
  <si>
    <t>Рекомендовано к изданию Ученым советом федерального государственного бюджетного образовательного учреждения высшего образования «Государственный университет управления» в качестве учебника для обучающихся по направлениям подготовки 38.03.02 «Менеджмент», 38.03.01 «Экономика», 38.04.08 «Финансы и кредит»</t>
  </si>
  <si>
    <t>150500.08.01</t>
  </si>
  <si>
    <t>Финансы организации (предприятий): Уч. / В.А. Слепов - М.: Магистр, 2025 - 352 с.(п)</t>
  </si>
  <si>
    <t>ФИНАНСЫ ОРГАНИЗАЦИИ (ПРЕДПРИЯТИЙ), ИЗД.1</t>
  </si>
  <si>
    <t>Слепов В. А., Шубина Т. В.</t>
  </si>
  <si>
    <t>978-5-9776-0181-8</t>
  </si>
  <si>
    <t>38.03.01, 38.03.02, 38.03.07, 38.04.01, 38.04.02, 41.03.06, 44.03.01, 44.03.05</t>
  </si>
  <si>
    <t>Рекомендовано УМО по образованию в области экономики и экономической теории в качестве учебника для студентов, обучающихся по направлению  "Экономика" и экономическим специальностям</t>
  </si>
  <si>
    <t>208100.09.01</t>
  </si>
  <si>
    <t>Финансы организаций (предпр.): Уч. / К.В.Екимова, - 2 изд. - М.:НИЦ ИНФРА-М,2027. - 375 с.(ВО)(п)</t>
  </si>
  <si>
    <t>ФИНАНСЫ ОРГАНИЗАЦИЙ (ПРЕДПРИЯТИЙ), ИЗД.2</t>
  </si>
  <si>
    <t>Екимова К.В., Шубина Т.В.</t>
  </si>
  <si>
    <t>978-5-16-021681-2</t>
  </si>
  <si>
    <t>659866.03.01</t>
  </si>
  <si>
    <t>Финансы организаций (предпр.): Уч.пос. / Е.Н.Карпова - М.:НИЦ ИНФРА-М,2027 - 285 с.(ВО: Бакалавр.)(П)</t>
  </si>
  <si>
    <t>ФИНАНСЫ ОРГАНИЗАЦИЙ (ПРЕДПРИЯТИЙ), ИЗД.1</t>
  </si>
  <si>
    <t>Карпова Е.Н., Чумаченко Е.А.</t>
  </si>
  <si>
    <t>978-5-16-014792-5</t>
  </si>
  <si>
    <t>Рекомендовано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17 от 11.11.2019)</t>
  </si>
  <si>
    <t>208100.08.01</t>
  </si>
  <si>
    <t>Финансы организаций (предприятий): Уч. / К.В. Екимова - М.: НИЦ ИНФРА-М, 2025 - 375 с.(ВО) (п)</t>
  </si>
  <si>
    <t>Екимова К. В., Шубина Т. В.</t>
  </si>
  <si>
    <t>978-5-16-005759-0</t>
  </si>
  <si>
    <t>736052.09.01</t>
  </si>
  <si>
    <t>Финансы организаций (предприятий): Уч.пос. / Е.Н.Карпова - М.:НИЦ ИНФРА-М,2027 - 285 с.-(СПО)(П)</t>
  </si>
  <si>
    <t>978-5-16-016205-8</t>
  </si>
  <si>
    <t>38.02.01, 38.02.02, 38.02.03, 38.02.06, 38.02.07, 38.02.08, 42.02.08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</si>
  <si>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38.02.00 «Экономика и управление» (протокол № 19 от 09.12.2019)</t>
  </si>
  <si>
    <t>080500.10.01</t>
  </si>
  <si>
    <t>Финансы организаций (предприятий): Уч.пос. / Л.М.Бурмистрова, - 2 изд.-М.:НИЦ ИНФРА-М,2024-240с.(ВО)</t>
  </si>
  <si>
    <t>978-5-16-009951-4</t>
  </si>
  <si>
    <t>38.03.01, 38.04.01, 38.04.02, 38.04.06, 38.04.08</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</si>
  <si>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специальности "Финансы и кредит"</t>
  </si>
  <si>
    <t>801660.01.01</t>
  </si>
  <si>
    <t>Финансы организаций. Практикум: Уч.пос. / А.М.Фридман-М.:ИЦ РИОР, НИЦ ИНФРА-М,2024.-252 с.(ВО)(п)</t>
  </si>
  <si>
    <t>ФИНАНСЫ ОРГАНИЗАЦИЙ. ПРАКТИКУМ, ИЗД.1</t>
  </si>
  <si>
    <t>978-5-369-01950-4</t>
  </si>
  <si>
    <t>636129.07.01</t>
  </si>
  <si>
    <t>Финансы организаций: Уч. / А.М.Фридман - М.:ИЦ РИОР, НИЦ ИНФРА-М,2024 - 202 с.(СПО)(О)</t>
  </si>
  <si>
    <t>ФИНАНСЫ ОРГАНИЗАЦИЙ, ИЗД.1</t>
  </si>
  <si>
    <t>978-5-369-01638-1</t>
  </si>
  <si>
    <t>640459.04.01</t>
  </si>
  <si>
    <t>Финансы организаций: Уч. / П.А.Левчаев - 2 изд. - М.:НИЦ ИНФРА - М,2021-386 с.-(ВО: Бакалавриат)(П)</t>
  </si>
  <si>
    <t>ФИНАНСЫ ОРГАНИЗАЦИЙ, ИЗД.2</t>
  </si>
  <si>
    <t>978-5-16-011342-5</t>
  </si>
  <si>
    <t>38.03.01, 38.03.02, 38.03.04, 38.04.01, 38.04.02, 41.03.06</t>
  </si>
  <si>
    <t>384300.07.01</t>
  </si>
  <si>
    <t>Финансы торговых организаций: Уч.пос. / В.П.Чижик - 2 изд. - М.:НИЦ ИНФРА-М,2024-237 с.(ВО: Бакалавр.)(П)</t>
  </si>
  <si>
    <t>ФИНАНСЫ ТОРГОВЫХ ОРГАНИЗАЦИЙ, ИЗД.2</t>
  </si>
  <si>
    <t>978-5-16-016999-6</t>
  </si>
  <si>
    <t>38.03.01, 38.03.02, 38.03.06, 38.03.07, 38.04.06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</si>
  <si>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38.03.01 «Экономика» (квалификация (степень) «бакалавр») (протокол № 7 от 22.09.2021)</t>
  </si>
  <si>
    <t>384300.05.01</t>
  </si>
  <si>
    <t>Финансы торговых организаций: Уч.пос. / С.Е.Метелев-М.:Форум, НИЦ ИНФРА-М,2020.-200 с.(ВО:Бакалавр.)(О)</t>
  </si>
  <si>
    <t>ФИНАНСЫ ТОРГОВЫХ ОРГАНИЗАЦИЙ, ИЗД.1</t>
  </si>
  <si>
    <t>Метелев С.Е., Чижик В.П.</t>
  </si>
  <si>
    <t>978-5-00091-106-8</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</si>
  <si>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38.03.01 «Экономика» (квалификация «бакалавр»)</t>
  </si>
  <si>
    <t>050070.27.01</t>
  </si>
  <si>
    <t>Финансы, денежное обр. и кредит: Уч. / В.П.Климович - 4 изд. - М.:, НИЦ ИНФРА-М,2026 - 336 с.(СПО)(П)</t>
  </si>
  <si>
    <t>ФИНАНСЫ, ДЕНЕЖНОЕ ОБРАЩЕНИЕ И КРЕДИТ, ИЗД.4</t>
  </si>
  <si>
    <t>Климович В. П.</t>
  </si>
  <si>
    <t>978-5-16-022249-3</t>
  </si>
  <si>
    <t>21.02.19, 38.02.02, 38.02.03, 38.02.06, 38.02.07, 42.02.02</t>
  </si>
  <si>
    <t>Допущено Министерством образования и науки Российской Федерации в качестве учебника для студентов учебных заведений среднего профессионального образования, обучающихся по группе специальностей «Экономика и управление»</t>
  </si>
  <si>
    <t>072350.18.01</t>
  </si>
  <si>
    <t>Финансы, денежное обращение и кредит: Уч. / В.А.Галанов - 2изд-М.:Форум, НИЦ ИНФРА-М,2024-414c.(ПО)(п)</t>
  </si>
  <si>
    <t>ФИНАНСЫ, ДЕНЕЖНОЕ ОБРАЩЕНИЕ И КРЕДИТ, ИЗД.2</t>
  </si>
  <si>
    <t>978-5-91134-552-5</t>
  </si>
  <si>
    <t>38.02.01, 38.02.02, 38.02.03, 38.02.06, 38.02.07, 46.02.01</t>
  </si>
  <si>
    <t>072350.21.01</t>
  </si>
  <si>
    <t>Финансы, денежное обращение и кредит: Уч. / В.А.Галанов, - 3 изд. - М.:НИЦ ИНФРА-М,2026 - 413 с.(СПО)(п)</t>
  </si>
  <si>
    <t>ФИНАНСЫ, ДЕНЕЖНОЕ ОБРАЩЕНИЕ И КРЕДИТ, ИЗД.3</t>
  </si>
  <si>
    <t>Галанов В.А., Галанова А.В.</t>
  </si>
  <si>
    <t>978-5-16-020951-7</t>
  </si>
  <si>
    <t>657349.04.01</t>
  </si>
  <si>
    <t>Финансы, денежное обращение и кредит: Уч. / Г.М.Колпакова, - 5 изд. - М.:НИЦ ИНФРА-М,2025. - 609 с.(ВО)(п)</t>
  </si>
  <si>
    <t>ФИНАНСЫ, ДЕНЕЖНОЕ ОБРАЩЕНИЕ И КРЕДИТ, ИЗД.5</t>
  </si>
  <si>
    <t>Колпакова Г.М., Евдокимова Ю.В.</t>
  </si>
  <si>
    <t>978-5-16-018437-1</t>
  </si>
  <si>
    <t>38.03.01, 38.03.02, 38.03.04, 38.03.05, 38.03.06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</si>
  <si>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38.03.00 «Экономика и управление» (протокол № 10 от 27.05.2019)</t>
  </si>
  <si>
    <t>Институт экономики и антикризисного управления</t>
  </si>
  <si>
    <t>095030.11.01</t>
  </si>
  <si>
    <t>Финансы, денежное обращение и кредит: Уч. пос. / С.А. Чернецов. - М.: Магистр, 2025. - 528 с.(п)</t>
  </si>
  <si>
    <t>ФИНАНСЫ, ДЕНЕЖНОЕ ОБРАЩЕНИЕ И КРЕДИТ, ИЗД.1</t>
  </si>
  <si>
    <t>978-5-9776-0036-1</t>
  </si>
  <si>
    <t>23.03.01, 25.04.03, 38.03.01, 38.03.02, 38.03.05, 38.03.06, 38.04.02, 38.04.05, 38.04.08</t>
  </si>
  <si>
    <t>749697.01.01</t>
  </si>
  <si>
    <t>Финансы, денежное обращение и кредит: Уч.пос. / Под ред. Коршуновой Л.Н.-М.:НИЦ ИНФРА-М,2023.-261 с.(п)</t>
  </si>
  <si>
    <t>978-5-16-017036-7</t>
  </si>
  <si>
    <t>843048.01.01</t>
  </si>
  <si>
    <t>Финансы: Уч. / Н.М.Томина - М.:НИЦ ИНФРА-М,2026. - 374 с.(ВО)(п)</t>
  </si>
  <si>
    <t>ФИНАНСЫ, ИЗД.1</t>
  </si>
  <si>
    <t>Томина Н.М., Чепик О.В.</t>
  </si>
  <si>
    <t>978-5-16-020574-8</t>
  </si>
  <si>
    <t>38.03.01, 38.03.02, 38.03.05, 38.03.06, 38.04.01, 38.04.02, 38.04.05, 38.04.06, 38.04.08, 38.05.01, 38.05.02</t>
  </si>
  <si>
    <t>754659.01.01</t>
  </si>
  <si>
    <t>Финансы: Уч. / Н.Н.Семенова и др.-М.:НИЦ ИНФРА-М,2023.-528 с.(ВО: Бакалавриат)(П)</t>
  </si>
  <si>
    <t>978-5-16-016988-0</t>
  </si>
  <si>
    <t>38.03.01, 38.03.02, 38.03.04, 38.04.01, 38.04.08</t>
  </si>
  <si>
    <t>391300.08.01</t>
  </si>
  <si>
    <t>Финансы: Уч. / Под ред. Дадашева А.З. - М.:Вуз. уч., НИЦ ИНФРА-М,2026 - 178 с.(П)</t>
  </si>
  <si>
    <t>Дадашев А.З.</t>
  </si>
  <si>
    <t>978-5-9558-0457-6</t>
  </si>
  <si>
    <t>096700.13.01</t>
  </si>
  <si>
    <t>Финансы: Уч. / Под ред. Слепова В.А., - 4 изд.-М.:Магистр, НИЦ ИНФРА-М,2024.-336 с.(Бакалавр.)(П)</t>
  </si>
  <si>
    <t>ФИНАНСЫ, ИЗД.4</t>
  </si>
  <si>
    <t>Слепов В.А., Арсланов А.Ф., Бурлачков В.К. и др.</t>
  </si>
  <si>
    <t>978-5-9776-0345-4</t>
  </si>
  <si>
    <t>38.03.01, 38.03.02, 38.03.06, 38.04.01</t>
  </si>
  <si>
    <t>Рекомендовано Министерством образования РФ в качестве учебника для студентов высших учебных заведений, обучающихся по экономическим специальностям и направлениям</t>
  </si>
  <si>
    <t>825968.02.01</t>
  </si>
  <si>
    <t>Финансы: Уч. / С.Н.Макарова и др. - М.:НИЦ ИНФРА-М,2027. - 415 с.(ВО)(п)</t>
  </si>
  <si>
    <t>Ферова И.С., Кузьмина И.Г., Макарова С.Н. и др.</t>
  </si>
  <si>
    <t>978-5-16-020166-5</t>
  </si>
  <si>
    <t>150900.07.01</t>
  </si>
  <si>
    <t>Финансы: Уч. пос. / С.А. Чернецов - М.: Магистр:  ИНФРА-М, 2024-576с. (п)</t>
  </si>
  <si>
    <t>978-5-9776-0182-5</t>
  </si>
  <si>
    <t>Рекомендовано УМО по образованию в области экономики и экономической теории в качестве учебного пособия для студентов высших учебных заведений , обучающихся по направлению "Экономика" и другим экономическим специальностям</t>
  </si>
  <si>
    <t>173500.12.01</t>
  </si>
  <si>
    <t>Финансы: Уч.пос. / Н.А. Лупей - 3 изд. - М.:Магистр, НИЦ ИНФРА-М, 2023 - 448 с.(Бакалавриат) (П)</t>
  </si>
  <si>
    <t>ФИНАНСЫ, ИЗД.3</t>
  </si>
  <si>
    <t>Лупей Н.А., Соболев В.И.</t>
  </si>
  <si>
    <t>978-5-9776-0414-7</t>
  </si>
  <si>
    <t>23.03.01, 38.03.01, 38.03.02, 38.03.05, 38.03.06, 38.04.01, 38.04.02, 38.04.05, 38.04.06, 38.04.08</t>
  </si>
  <si>
    <t>Допущено Учебно-методическим объединением по образованию в области коммерции в качестве учебного пособия для студентов высших учебных заведений, обучающихсяпо спец. "Коммерция (торговое дело)", "Маркетинг" и напр. "Торговое дело</t>
  </si>
  <si>
    <t>866342.01.01</t>
  </si>
  <si>
    <t>Фискальное пространство России...: Моногр. / С.Е.Демидова. - М.:НИЦ ИНФРА-М,2026. - 216 с.(п)</t>
  </si>
  <si>
    <t>ФИСКАЛЬНОЕ ПРОСТРАНСТВО РОССИИ: МЕТОДОЛОГИЯ ОЦЕНКИ И ПУТИ РАСШИРЕНИЯ, ИЗД.1</t>
  </si>
  <si>
    <t>Демидова С.Е., Фрумина С.В., Хузина А.Ф. и др.</t>
  </si>
  <si>
    <t>978-5-16-021515-0</t>
  </si>
  <si>
    <t>870925.01.01</t>
  </si>
  <si>
    <t>Фискальное стимулир. инноваций...: Моногр. / Л.И.Гончаренко. - М.:НИЦ ИНФРА-М,2027. - 249 с.(п)</t>
  </si>
  <si>
    <t>ФИСКАЛЬНОЕ СТИМУЛИРОВАНИЕ ИННОВАЦИЙ: ТЕХНОЛОГИЧЕСКИЙ ПРОРЫВ ГОСУДАРСТВА В НОВЫХ ГЕОПОЛИТИЧЕСКИХ РЕАЛИЯХ, ИЗД.1</t>
  </si>
  <si>
    <t>Гончаренко Л.И., Гончаренко М.А., Караев А.К. и др.</t>
  </si>
  <si>
    <t>978-5-16-021905-9</t>
  </si>
  <si>
    <t>27.04.05, 27.04.06, 27.04.07, 27.04.08, 27.06.01, 38.03.01, 38.03.04, 38.04.01, 38.04.02, 38.06.01, 41.03.06</t>
  </si>
  <si>
    <t>860640.01.01</t>
  </si>
  <si>
    <t>Фитнес: организация и провед. сил. фитнес-тренир.: Уч.пос. / О.В.Булгакова - М.:НИЦ ИНФРА-М, СФУ,2026. - 150 с.)(п)</t>
  </si>
  <si>
    <t>ФИТНЕС: ОРГАНИЗАЦИЯ И ПРОВЕДЕНИЕ СИЛОВОЙ ФИТНЕС-ТРЕНИРОВКИ, ИЗД.1</t>
  </si>
  <si>
    <t>Булгакова О.В., Ратманская Т.И., Соболева Н.В. и др.</t>
  </si>
  <si>
    <t>978-5-16-021345-3</t>
  </si>
  <si>
    <t>00.02.14, 00.03.14, 00.05.14, 49.03.03, 49.04.01</t>
  </si>
  <si>
    <t>634604.08.01</t>
  </si>
  <si>
    <t>Фитоиммунитет: Уч. / Ю.Т.Дьяков - М.:НИЦ ИНФРА-М,2026 - 178 с.(ВО: Магистратура)(П)</t>
  </si>
  <si>
    <t>ФИТОИММУНИТЕТ, ИЗД.1</t>
  </si>
  <si>
    <t>Дьяков Ю.Т.</t>
  </si>
  <si>
    <t>978-5-16-012183-3</t>
  </si>
  <si>
    <t>06.04.01, 35.03.04, 35.04.04</t>
  </si>
  <si>
    <t>281900.10.01</t>
  </si>
  <si>
    <t>Фитопатология: Уч. / Под ред. Белошапкиной О.О. - М.:НИЦ ИНФРА-М,2026 - 288 с.-(ВО: Бакалавр.)(П)</t>
  </si>
  <si>
    <t>ФИТОПАТОЛОГИЯ, ИЗД.1</t>
  </si>
  <si>
    <t>Белошапкина О.О., Глинушкин А.П., Джалилов Ф.С. и др.</t>
  </si>
  <si>
    <t>978-5-16-009862-3</t>
  </si>
  <si>
    <t>35.03.03, 35.03.04, 35.03.05, 35.03.07, 35.04.03, 35.04.04, 35.04.05</t>
  </si>
  <si>
    <t>Допущено УМО вузов РФ по агрономическому образованию в качестве учебника для подготовки бакалавров, обучающихся по направлениям 35.03.04 «Агрономия», 35.03.03 «Агрохимия и агропочвоведение», 35.03.05 «Садоводство», 35.03.07 «Технология производства и переработки сельскохозяйственной продукции»</t>
  </si>
  <si>
    <t>256500.16.01</t>
  </si>
  <si>
    <t>Флористика: технологии аранжировки композиций: Уч.пос. / Д.Г.Брашнов - М.:НИЦ ИНФРА-М,2026 - 221 с.(СПО)(П)</t>
  </si>
  <si>
    <t>ФЛОРИСТИКА: ТЕХНОЛОГИИ АРАНЖИРОВКИ КОМПОЗИЦИЙ, ИЗД.1</t>
  </si>
  <si>
    <t>Брашнов Д.Г.</t>
  </si>
  <si>
    <t>978-5-16-017496-9</t>
  </si>
  <si>
    <t>38.02.02, 42.02.01, 43.01.11, 43.02.02, 52.02.03, 52.02.04, 52.02.05, 54.01.01, 54.01.06, 54.01.12, 54.01.20, 54.02.01, 54.02.02, 54.02.04, 54.02.06, 54.02.08</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</si>
  <si>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программу СПО (регистрационный номер рецензии 403 от 23.09.2013)</t>
  </si>
  <si>
    <t>842604.01.01</t>
  </si>
  <si>
    <t>Флотокомбайны для очистки воды типа КБС...: Моногр. / Б.С.Ксенофонтов - М.:НИЦ ИНФРА-М,2025. - 308 с.(п)</t>
  </si>
  <si>
    <t>ФЛОТОКОМБАЙНЫ ДЛЯ ОЧИСТКИ СТОЧНЫХ ВОД ТИПА КБС ОБЩЕГО И СПЕЦИАЛЬНОГО НАЗНАЧЕНИЯ И РЕЖИМЫ ИХ РАБОТЫ, ИЗД.1</t>
  </si>
  <si>
    <t>978-5-16-020367-6</t>
  </si>
  <si>
    <t>20.03.02, 20.04.02, 20.06.01</t>
  </si>
  <si>
    <t>798955.01.01</t>
  </si>
  <si>
    <t>Флотокомбайны для очистки сточных вод с...: Моногр. / Б.С.Ксенофонтов-М.:НИЦ ИНФРА-М,2023.-184 с.(о)</t>
  </si>
  <si>
    <t>ФЛОТОКОМБАЙНЫ ДЛЯ ОЧИСТКИ СТОЧНЫХ ВОД С НЕСКОЛЬКИМИ РАБОЧИМИ ЖИДКОСТЯМИ, ИЗД.1</t>
  </si>
  <si>
    <t>978-5-16-018246-9</t>
  </si>
  <si>
    <t>08.04.01, 20.04.02, 20.06.01, 20.07.01, 22.04.01</t>
  </si>
  <si>
    <t>865197.01.01</t>
  </si>
  <si>
    <t>Флотокомбайны типа КБС для очистки сточных и...: Моногр. / Б.С.Ксенофонтов - М.:НИЦ ИНФРА-М,2026. - 392 с.(п)</t>
  </si>
  <si>
    <t>ФЛОТОКОМБАЙНЫ ТИПА КБС ДЛЯ ОЧИСТКИ СТОЧНЫХ И ТЕХНОГЕННЫХ ВОД, ИЗД.1</t>
  </si>
  <si>
    <t>978-5-16-021521-1</t>
  </si>
  <si>
    <t>862667.01.01</t>
  </si>
  <si>
    <t>Флотокомбайны типа КБС на принципах биоподобия...: Моногр. / Б.С.Ксенофонтов - М.:НИЦ ИНФРА-М,2026. - 254 с.(п)</t>
  </si>
  <si>
    <t>ФЛОТОКОМБАЙНЫ ТИПА КБС НА ПРИНЦИПАХ БИОПОДОБИЯ И ГИДРОДИНАМИЧЕСКИЕ РЕЖИМЫ ИХ РАБОТЫ, ИЗД.1</t>
  </si>
  <si>
    <t>978-5-16-021255-5</t>
  </si>
  <si>
    <t>08.03.01, 20.03.01, 20.03.02, 20.04.01, 20.04.02, 20.06.01</t>
  </si>
  <si>
    <t>200180.08.01</t>
  </si>
  <si>
    <t>Фондовый рынок Франции: Монография / Р.С.Куракин - М.:НИЦ ИНФРА-М,2021 - 78 с.-(Науч.мысль)(О)</t>
  </si>
  <si>
    <t>ФОНДОВЫЙ РЫНОК ФРАНЦИИ, ИЗД.1</t>
  </si>
  <si>
    <t>978-5-16-006139-9</t>
  </si>
  <si>
    <t>200181.08.01</t>
  </si>
  <si>
    <t>Фондовый рынок ФРГ: Монография / К.В.Мротцек-М.:НИЦ ИНФРА-М,2024.-152 с..-(Научная мысль)(О)</t>
  </si>
  <si>
    <t>ФОНДОВЫЙ РЫНОК ФЕДЕРАТИВНОЙ РЕСПУБЛИКИ ГЕРМАНИЯ, ИЗД.1</t>
  </si>
  <si>
    <t>Мротцек К.В., Куракин Р.С.</t>
  </si>
  <si>
    <t>978-5-16-006143-6</t>
  </si>
  <si>
    <t>054300.15.01</t>
  </si>
  <si>
    <t>Фонетико-орфографич. справ. англ. яз.: Уч.пос. / О.М.Корчажкина - М.:НИЦ ИНФРА-М,2026. - 256 с.(п)</t>
  </si>
  <si>
    <t>ФОНЕТИКО-ОРФОГРАФИЧЕСКИЙ СПРАВОЧНИК АНГЛИЙСКОГО ЯЗЫКА, ИЗД.1</t>
  </si>
  <si>
    <t>Корчажкина О.М., Тихонова Р.М.</t>
  </si>
  <si>
    <t>5-8199-0132-0</t>
  </si>
  <si>
    <t>Допущено УМО по специальностям педагогического образования в качестве учебного пособия для студентов вузов, обучающихся по специальности 033200 - иностранный язык</t>
  </si>
  <si>
    <t>Средняя общеобразовательная школа №1298 г. Москвы</t>
  </si>
  <si>
    <t>711889.04.01</t>
  </si>
  <si>
    <t>Форма Советского государства: Монография / В.А.Рыбаков-М.:НИЦ ИНФРА-М,2024.-191 с.(Науч.мысль)(о)</t>
  </si>
  <si>
    <t>ФОРМА СОВЕТСКОГО ГОСУДАРСТВА, ИЗД.1</t>
  </si>
  <si>
    <t>Рыбаков В.А.</t>
  </si>
  <si>
    <t>978-5-16-015525-8</t>
  </si>
  <si>
    <t>145550.08.01</t>
  </si>
  <si>
    <t>Формальные источники права: Моногр. / С.А. Дробышевский - М.:Норма: НИЦ ИНФРА-М, 2026. - 160 с. (о)</t>
  </si>
  <si>
    <t>ФОРМАЛЬНЫЕ ИСТОЧНИКИ ПРАВА, ИЗД.1</t>
  </si>
  <si>
    <t>Дробышевский С.А., Данцева Т.Н.</t>
  </si>
  <si>
    <t>978-5-91768-143-6</t>
  </si>
  <si>
    <t>678846.10.01</t>
  </si>
  <si>
    <t>Формальные сред. доказ. в уголов.праве и проц. /  А.В.Смирнов - М.:Юр.Норма, НИЦ ИНФРА-М,2026 - 240 с.(п)</t>
  </si>
  <si>
    <t>ФОРМАЛЬНЫЕ СРЕДСТВА ДОКАЗЫВАНИЯ В УГОЛОВНОМ ПРАВЕ И ПРОЦЕССЕ, ИЗД.1</t>
  </si>
  <si>
    <t>978-5-91768-899-2</t>
  </si>
  <si>
    <t>663830.03.01</t>
  </si>
  <si>
    <t>Формирование абилитационной компетентности родителей,: Уч.пос. / Н.Ш.Тюрина-М.:НИЦ ИНФРА-М,2024.-189 с.(ВО)(П)</t>
  </si>
  <si>
    <t>ФОРМИРОВАНИЕ АБИЛИТАЦИОННОЙ КОМПЕТЕНТНОСТИ РОДИТЕЛЕЙ, ВОСПИТЫВАЮЩИХ РЕБЕНКА МЛАДЕНЧЕСКОГО И РАННЕГО ВОЗРАСТА, ИЗД.1</t>
  </si>
  <si>
    <t>978-5-16-015821-1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</si>
  <si>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11 от 09.11.2020)</t>
  </si>
  <si>
    <t>811216.02.01</t>
  </si>
  <si>
    <t>Формирование адапт.-ланд. сис. земледелия...: Моногр. / Под ред. Кочурова Б.И. - М.:НИЦ ИНФРА-М,2026 - 194.с.(о)</t>
  </si>
  <si>
    <t>ФОРМИРОВАНИЕ АДАПТИВНО-ЛАНДШАФТНЫХ СИСТЕМ ЗЕМЛЕДЕЛИЯ ВО ВЛАДИМИРСКОМ ОПОЛЬЕ, ИЗД.1</t>
  </si>
  <si>
    <t>Винокуров И.Ю., Чернов О.С., Кочуров Б.И.</t>
  </si>
  <si>
    <t>978-5-16-019374-8</t>
  </si>
  <si>
    <t>Верхневолжский Федеральный аграрный научный центр</t>
  </si>
  <si>
    <t>781780.06.01</t>
  </si>
  <si>
    <t>Формирование баз. учеб. действий у обучающихся..: Моногр. / И.М.Яковлева - М.:НИЦ ИНФРА-М,2026. - 144 с.(о)</t>
  </si>
  <si>
    <t>ФОРМИРОВАНИЕ БАЗОВЫХ УЧЕБНЫХ ДЕЙСТВИЙ У ОБУЧАЮЩИХСЯ С УМСТВЕННОЙ ОТСТАЛОСТЬЮ НА УРОКАХ МАТЕМАТИКИ В НАЧАЛЬНОЙ ШКОЛЕ, ИЗД.1</t>
  </si>
  <si>
    <t>978-5-16-017840-0</t>
  </si>
  <si>
    <t>44.04.03, 44.05.01, 44.06.01</t>
  </si>
  <si>
    <t>351300.06.01</t>
  </si>
  <si>
    <t>Формирование доступной среды жилищного фонда: Моногр./А.И.Романова-НИЦ ИНФРА-М,2023-157с(Науч.мысль)</t>
  </si>
  <si>
    <t>ФОРМИРОВАНИЕ ДОСТУПНОЙ СРЕДЫ ЖИЛИЩНОГО ФОНДА, ИЗД.1</t>
  </si>
  <si>
    <t>Романова А.И., Буркеев Д.О.</t>
  </si>
  <si>
    <t>978-5-16-010866-7</t>
  </si>
  <si>
    <t>07.03.04, 07.04.04, 08.03.01, 08.04.01, 21.03.02, 21.04.02</t>
  </si>
  <si>
    <t>751089.01.01</t>
  </si>
  <si>
    <t>Формирование и структура биоты природ. экосистем Камчатки: Моногр. / А.Н.Сметанин-М.:НИЦ ИНФРА-М,2022.-183 с.(Науч.мысль)(О)</t>
  </si>
  <si>
    <t>ФОРМИРОВАНИЕ И СТРУКТУРА БИОТЫ ПРИРОДНЫХ ЭКОСИСТЕМ КАМЧАТКИ, ИЗД.1</t>
  </si>
  <si>
    <t>978-5-16-016893-7</t>
  </si>
  <si>
    <t>05.03.06, 05.04.06, 05.06.01, 06.06.01</t>
  </si>
  <si>
    <t>667608.05.01</t>
  </si>
  <si>
    <t>Формирование износостойких композитных покрытий...:Моногр. / С.Б.Ярусова-М.:ИЦ РИОР, ИНФРА-М,2023-155с(П)</t>
  </si>
  <si>
    <t>ФОРМИРОВАНИЕ ИЗНОСОСТОЙКИХ КОМПОЗИТНЫХ ПОКРЫТИЙ НА ТИТАНОВЫХ СПЛАВАХ ПРИ  ЭЛЕКТРОДУГОВОЙ ОБРАБОТКЕ В ВОДНЫХ ЭЛЕКТРОЛИТАХ, ИЗД.1</t>
  </si>
  <si>
    <t>Жевтун И.Г., Гордиенко П.С., Ярусова С.Б.</t>
  </si>
  <si>
    <t>978-5-369-01715-9</t>
  </si>
  <si>
    <t>16.04.02</t>
  </si>
  <si>
    <t>761200.01.01</t>
  </si>
  <si>
    <t>Формирование корпоратив. механизма управ...: Моногр. / Г.С.Клычова - 2 изд.-М.:ИЦ РИОР, НИЦ ИНФРА-М,2021.-171 с.(О)</t>
  </si>
  <si>
    <t>ФОРМИРОВАНИЕ КОРПОРАТИВНОГО МЕХАНИЗМА УПРАВЛЕНИЯ СОЦИАЛЬНО-ЭКОНОМИЧЕСКИМ РАЗВИТИЕМ ПРЕДПРИЯТИЙ АГРАРНОГО СЕКТОРА ЭКОНОМИКИ, ИЗД.2</t>
  </si>
  <si>
    <t>978-5-369-01876-7</t>
  </si>
  <si>
    <t>35.03.04, 35.06.01, 38.04.02, 38.06.01</t>
  </si>
  <si>
    <t>670466.03.01</t>
  </si>
  <si>
    <t>Формирование механизма упр. территор. разв.:Моногр./ З.А.Васильева-М.:НИЦ ИНФРА-М, СФУ,2024-175с(П)</t>
  </si>
  <si>
    <t>ФОРМИРОВАНИЕ МЕХАНИЗМА УПРАВЛЕНИЯ ТЕРРИТОРИАЛЬНЫМ РАЗВИТИЕМ, ИЗД.1</t>
  </si>
  <si>
    <t>Васильева З.А., Лихачев М.А., Москвина А.В. и др.</t>
  </si>
  <si>
    <t>978-5-16-019288-8</t>
  </si>
  <si>
    <t>00.03.13, 00.05.13, 38.03.01, 38.04.01</t>
  </si>
  <si>
    <t>818074.01.01</t>
  </si>
  <si>
    <t>Формирование мыслит. операций старших дош...: Моногр. / М.Ю.Стожарова-М.:НИЦ ИНФРА-М,2025.-225с(о)</t>
  </si>
  <si>
    <t>ФОРМИРОВАНИЕ МЫСЛИТЕЛЬНЫХ ОПЕРАЦИЙ СТАРШИХ ДОШКОЛЬНИКОВ В МАТЕМАТИЧЕСКОЙ ДЕЯТЕЛЬНОСТИ, ИЗД.1</t>
  </si>
  <si>
    <t>Стожарова М.Ю., Забродина Н.А.</t>
  </si>
  <si>
    <t>978-5-16-019681-7</t>
  </si>
  <si>
    <t>842824.01.01</t>
  </si>
  <si>
    <t>Формирование нового образоват. уклада в доп. проф. образ. / О.Е.Ломакин. - М.:НИЦ ИНФРА-М,2025. - 173 с.(о)</t>
  </si>
  <si>
    <t>ФОРМИРОВАНИЕ НОВОГО ОБРАЗОВАТЕЛЬНОГО УКЛАДА В ДОПОЛНИТЕЛЬНОМ ПРОФЕССИОНАЛЬНОМ ОБРАЗОВАНИИ, ИЗД.1</t>
  </si>
  <si>
    <t>Ломакин О.Е., Можаев Е.Е., Марков А.К. и др.</t>
  </si>
  <si>
    <t>978-5-16-020450-5</t>
  </si>
  <si>
    <t>643111.05.01</t>
  </si>
  <si>
    <t>Формирование новой эконом. интеллигенции..: Моногр. / Г.Г.Силласте - М.:НИЦ ИНФРА-М,2023 - 206с.(П)</t>
  </si>
  <si>
    <t>ФОРМИРОВАНИЕ НОВОЙ ЭКОНОМИЧЕСКОЙ ИНТЕЛЛИГЕНЦИИ В УСЛОВИЯХ РЫНОЧНОЙ ЭКОНОМИКИ, ИЗД.1</t>
  </si>
  <si>
    <t>Силласте Г.Г., Борисов Ю.В.</t>
  </si>
  <si>
    <t>978-5-16-012376-9</t>
  </si>
  <si>
    <t>862425.01.01</t>
  </si>
  <si>
    <t>Формирование общественных пространств города: Уч. / Н.Э.Оселко - М.:НИЦ ИНФРА-М,2027. - 166 с.(ВО)(п)</t>
  </si>
  <si>
    <t>ФОРМИРОВАНИЕ ОБЩЕСТВЕННЫХ ПРОСТРАНСТВ ГОРОДА, ИЗД.1</t>
  </si>
  <si>
    <t>978-5-16-021929-5</t>
  </si>
  <si>
    <t>07.04.01, 35.03.10</t>
  </si>
  <si>
    <t>346300.07.01</t>
  </si>
  <si>
    <t>Формирование организац.стратегии управл. кадр.потенциалом / Н.М.Кузьмина - НИЦ ИНФРА-М,2026 - 94 с.(НМ)(О)</t>
  </si>
  <si>
    <t>ФОРМИРОВАНИЕ ОРГАНИЗАЦИОННОЙ СТРАТЕГИИ УПРАВЛЕНИЯ КАДРОВЫМ ПОТЕНЦИАЛОМ: КОМПЕТЕНТНОСТНЫЙ ПОДХОД, ИЗД.1</t>
  </si>
  <si>
    <t>Н.М.Кузьмина, О.В.Толстякова</t>
  </si>
  <si>
    <t>978-5-16-010815-5</t>
  </si>
  <si>
    <t>672657.03.01</t>
  </si>
  <si>
    <t>Формирование предп.общности в условиях трансформ..: Моногр./О.А.Соловьева-М.:НИЦ ИНФРА-М,2024-181с(О)</t>
  </si>
  <si>
    <t>ФОРМИРОВАНИЕ ПРЕДПРИНИМАТЕЛЬСКОЙ ОБЩНОСТИ В УСЛОВИЯХ ТРАНСФОРМАЦИИ ГОСУДАРСТВЕННОГО РЕГУЛИРОВАНИЯ ЭКОНОМИКИ, ИЗД.1</t>
  </si>
  <si>
    <t>Соловьева О.А.</t>
  </si>
  <si>
    <t>978-5-16-013507-6</t>
  </si>
  <si>
    <t>38.03.01, 40.03.01, 44.03.01</t>
  </si>
  <si>
    <t>461700.03.01</t>
  </si>
  <si>
    <t>Формирование профессионал.компетентности курсантов..:Моногр./О.В.Евтихов-М.:НИЦ ИНФРА-М,2024-181с(о)</t>
  </si>
  <si>
    <t>ФОРМИРОВАНИЕ ПРОФЕССИОНАЛЬНОЙ КОМПЕТЕНТНОСТИ КУРСАНТОВ В ОБРАЗОВАТЕЛЬНОЙ СРЕДЕ ВУЗА  ПРАВООХРАНИТЕЛЬНЫХ ОРГАНОВ, ИЗД.1</t>
  </si>
  <si>
    <t>ЕвтиховО.В.</t>
  </si>
  <si>
    <t>978-5-16-011508-5</t>
  </si>
  <si>
    <t>399500.04.01</t>
  </si>
  <si>
    <t>Формирование регион.логист.объед.на основе ресурс.:Моногр./О.В.Рыкалина-М.:НИЦ ИНФРА-М,2024-244с.(о)</t>
  </si>
  <si>
    <t>ФОРМИРОВАНИЕ РЕГИОНАЛЬНЫХ ЛОГИСТИЧЕСКИХ ОБЪЕДИНЕНИЙ НА ОСНОВЕ РЕСУРСНЫХ ПОТЕНЦИАЛОВ ОКРУГОВ РОССИЙСКОЙ ФЕДЕРАЦИИ, ИЗД.1</t>
  </si>
  <si>
    <t>978-5-16-011281-7</t>
  </si>
  <si>
    <t>314800.05.01</t>
  </si>
  <si>
    <t>Формирование системы альтерн.механ...: Науч.-практ.пос. / Н.И.Гайдаенко Шер - М.: НИЦ ИНФРА-М,ИЗиСП,2025 - 176 с.(о)</t>
  </si>
  <si>
    <t>ФОРМИРОВАНИЕ СИСТЕМЫ АЛЬТЕРНАТИВНЫХ МЕХАНИЗМОВ РАЗРЕШЕНИЯ СПОРОВ: БЕСКОНФЛИКТНОЕ ОБЩЕСТВО КАК ОСНОВА ПРОТИВОДЕЙСТВИЯ КОРРУПЦИИ, ИЗД.1</t>
  </si>
  <si>
    <t>Гайдаенко Шер Н.И., Семилютина Н.Г.</t>
  </si>
  <si>
    <t>978-5-16-010369-3</t>
  </si>
  <si>
    <t>753568.02.01</t>
  </si>
  <si>
    <t>Формирование совр. международно-правовой концепции... / А.Я.Капустин.-М.:НИЦ ИНФРА-М,2024.-264 с.(ИЗиСП)(О)</t>
  </si>
  <si>
    <t>ФОРМИРОВАНИЕ СОВРЕМЕННОЙ МЕЖДУНАРОДНО-ПРАВОВОЙ КОНЦЕПЦИИ ИССЛЕДОВАНИЯ И ИСПОЛЬЗОВАНИЯ КОСМИЧЕСКОГО ПРОСТРАНСТВА, ИЗД.1</t>
  </si>
  <si>
    <t>Капустин А.Я., Авхадеев В.Р., Головина А.А. и др.</t>
  </si>
  <si>
    <t>978-5-16-016815-9</t>
  </si>
  <si>
    <t>862647.01.01</t>
  </si>
  <si>
    <t>Формирование соц. компетентности детей и молодежи: Моногр. / И.В.Иванова. - М.:НИЦ ИНФРА-М,2026. - 158 с.(о)</t>
  </si>
  <si>
    <t>ФОРМИРОВАНИЕ СОЦИАЛЬНОЙ КОМПЕТЕНТНОСТИ ДЕТЕЙ И МОЛОДЕЖИ, ИЗД.1</t>
  </si>
  <si>
    <t>Иванова И.В., Астахова Л.Г., Буслаева Е.Н. и др.</t>
  </si>
  <si>
    <t>978-5-16-021367-5</t>
  </si>
  <si>
    <t>39.04.03, 39.06.01, 44.03.01, 44.03.02, 44.04.01, 44.04.02, 44.07.01</t>
  </si>
  <si>
    <t>717642.03.01</t>
  </si>
  <si>
    <t>Формирование у студентов педагогических профилей...: Моногр. / Т.Г.Неретина - М.:НИЦ ИНФРА-М,2027 - 117 с.(О)</t>
  </si>
  <si>
    <t>ФОРМИРОВАНИЕ У СТУДЕНТОВ ПЕДАГОГИЧЕСКИХ ПРОФИЛЕЙ «ОБРАЗА Я РОДИТЕЛЯ» В ПРОЦЕССЕ ПРОФЕССИОНАЛЬНОЙ ПОДГОТОВКИ В ВУЗЕ, ИЗД.1</t>
  </si>
  <si>
    <t>Неретина Т.Г., Орехова Т.Ф.</t>
  </si>
  <si>
    <t>978-5-16-015603-3</t>
  </si>
  <si>
    <t>664213.02.01</t>
  </si>
  <si>
    <t>Формирование фин. резервов и оценочных обязат..:Моногр./А.М.Петров-М.:Вуз.уч.,НИЦ ИНФРА-М,2018-160с</t>
  </si>
  <si>
    <t>ФОРМИРОВАНИЕ ФИНАНСОВЫХ РЕЗЕРВОВ И ОЦЕНОЧНЫХ ОБЯЗАТЕЛЬСТВ В УЧЕТЕ И ОТЧЕТНОСТИ, ИЗД.1</t>
  </si>
  <si>
    <t>Петров А.М., Мельникова Л.А.</t>
  </si>
  <si>
    <t>978-5-9558-0583-2</t>
  </si>
  <si>
    <t>38.03.01, 38.03.02, 38.03.04, 38.04.02, 38.04.08, 38.04.09, 44.03.01, 44.03.05</t>
  </si>
  <si>
    <t>777842.02.01</t>
  </si>
  <si>
    <t>Формирование экологич. мировоззрения шк.: Уч.пос. / Л.Х.Давлетшина - М.:НИЦ ИНФРА-М,2027. - 174 с.(ВО)(п)</t>
  </si>
  <si>
    <t>ФОРМИРОВАНИЕ ЭКОЛОГИЧЕСКОГО МИРОВОЗЗРЕНИЯ ШКОЛЬНИКОВ, ИЗД.1</t>
  </si>
  <si>
    <t>Гринёва Е.А., Давлетшина Л.Х., Бибикова Н.В.</t>
  </si>
  <si>
    <t>978-5-16-017832-5</t>
  </si>
  <si>
    <t>44.03.01, 44.03.02, 44.03.04, 44.03.05, 44.04.01</t>
  </si>
  <si>
    <t>338800.04.01</t>
  </si>
  <si>
    <t>Формирование, развитие и коучинг эмоциональной...: Моногр./ О.Л.Чуланова-М.:НИЦ ИНФРА-М,2019-217с(П)</t>
  </si>
  <si>
    <t>ФОРМИРОВАНИЕ, РАЗВИТИЕ И КОУЧИНГ ЭМОЦИОНАЛЬНОЙ КОМПЕТЕНТНОСТИ В УПРАВЛЕНИИ ПЕРСОНАЛОМ ОРГАНИЗАЦИИ, ИЗД.1</t>
  </si>
  <si>
    <t>978-5-16-010723-3</t>
  </si>
  <si>
    <t>23.03.01, 38.03.01, 38.03.03, 38.03.04, 38.04.03, 41.03.06, 44.03.01</t>
  </si>
  <si>
    <t>338800.05.01</t>
  </si>
  <si>
    <t>Формирование, развитие и коучинг эмоциональной...: Моногр./ О.Л.Чуланова-М.:НИЦ ИНФРА-М,2023-217с(о)</t>
  </si>
  <si>
    <t>978-5-16-018030-4</t>
  </si>
  <si>
    <t>799664.01.01</t>
  </si>
  <si>
    <t>Формирование.информ.-аналит.обеспеч.стратег.управ.фин.эконом... / В.В.Башкатов.-М.:НИЦ ИНФРА-М,2023.-215 с.(о)</t>
  </si>
  <si>
    <t>ФОРМИРОВАНИЕ ИНФОРМАЦИОННО-АНАЛИТИЧЕСКОГО ОБЕСПЕЧЕНИЯ СТРАТЕГИЧЕСКОГО УПРАВЛЕНИЯ ФИНАНСАМИ ЭКОНОМИЧЕСКОГО СУБЪЕКТА, ИЗД.1</t>
  </si>
  <si>
    <t>Башкатов В.В., Миронов О.А., Миронова А.С.</t>
  </si>
  <si>
    <t>978-5-16-018369-5</t>
  </si>
  <si>
    <t>668652.05.01</t>
  </si>
  <si>
    <t>Формовочные материалы: Уч.пос. / Л.И.Мамина - М.:НИЦ ИНФРА-М, СФУ,2027. - 344 с.(ВО: Бакалавр. (СФУ))(П)</t>
  </si>
  <si>
    <t>ФОРМОВОЧНЫЕ МАТЕРИАЛЫ, ИЗД.1</t>
  </si>
  <si>
    <t>Мамина Л.И., Кулаков Б.А.</t>
  </si>
  <si>
    <t>978-5-16-013280-8</t>
  </si>
  <si>
    <t>115800.06.01</t>
  </si>
  <si>
    <t>Формообразование и режущие инструменты: Уч.пос. / А.Н.Овсеенко.-М.:Форум, НИЦ ИНФРА-М,2023.-416 с..-(ВО)(П)</t>
  </si>
  <si>
    <t>ФОРМООБРАЗОВАНИЕ И РЕЖУЩИЕ ИНСТРУМЕНТЫ, ИЗД.1</t>
  </si>
  <si>
    <t>Овсеенко А.Н., Клауч Д.Н., Кирсанов С.В. и др.</t>
  </si>
  <si>
    <t>978-5-91134-281-4</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</si>
  <si>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дипломированных специалистов «Конструкторско-технологическое обеспечение машиностроительного производства»</t>
  </si>
  <si>
    <t>703215.03.01</t>
  </si>
  <si>
    <t>Формообразование и режущие инструменты: Уч.пос. / А.Н.Овсеенко-М.:Форум, НИЦ ИНФРА-М,2023 -416 с.(П)</t>
  </si>
  <si>
    <t>978-5-00091-661-2</t>
  </si>
  <si>
    <t>12.02.04, 15.02.01, 15.02.07, 15.02.09, 15.02.16, 15.02.17, 15.02.18</t>
  </si>
  <si>
    <t>771805.01.01</t>
  </si>
  <si>
    <t>Формы общественного самоуправления: Уч.пос. / С.Ю.Наумов и др.-М.:НИЦ ИНФРА-М,2024.-232 с.(ВО)(п)</t>
  </si>
  <si>
    <t>ФОРМЫ ОБЩЕСТВЕННОГО САМОУПРАВЛЕНИЯ, ИЗД.1</t>
  </si>
  <si>
    <t>978-5-16-017500-3</t>
  </si>
  <si>
    <t>670767.02.01</t>
  </si>
  <si>
    <t>Формы правления в странах СНГ / А.В.Нечкин - М.:Юр.Норма, НИЦ ИНФРА-М,2020 - 208 с.(П)</t>
  </si>
  <si>
    <t>ФОРМЫ ПРАВЛЕНИЯ В СТРАНАХ СНГ, ИЗД.1</t>
  </si>
  <si>
    <t>978-5-91768-874-9</t>
  </si>
  <si>
    <t>860641.01.01</t>
  </si>
  <si>
    <t>Форсайт: общий курс. Форсайт - технология как..: Уч. / Н.Я.Калюжнова - М.:НИЦ ИНФРА-М,2026. - 201 с.(ВО)(п)</t>
  </si>
  <si>
    <t>ФОРСАЙТ: ОБЩИЙ КУРС. ФОРСАЙТ - ТЕХНОЛОГИЯ КАК ИНСТРУМЕНТ ИННОВАЦИОННОГО РАЗВИТИЯ, ИЗД.1</t>
  </si>
  <si>
    <t>Калюжнова Н.Я.</t>
  </si>
  <si>
    <t>978-5-16-021415-3</t>
  </si>
  <si>
    <t>38.03.01, 38.03.02, 38.03.04, 38.04.01, 38.04.02, 38.04.04, 38.05.01</t>
  </si>
  <si>
    <t>АКАДЕМУС-2025, Победитель, II место
Учебник года-2026, Лауреат</t>
  </si>
  <si>
    <t>407400.05.01</t>
  </si>
  <si>
    <t>Фотодело: Уч.пос. / А.В.Левкина - М.:Альфа-М, НИЦ ИНФРА-М,2017 - 319 с.-(ПРОФИль)(п)</t>
  </si>
  <si>
    <t>ФОТОДЕЛО, ИЗД.1</t>
  </si>
  <si>
    <t>978-5-98281-319-0</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</si>
  <si>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учреждений, реализующих программу СПО по специальности 54.02.08 «Техника и искусство фотографии»</t>
  </si>
  <si>
    <t>170850.14.01</t>
  </si>
  <si>
    <t>Фотомонтаж. Пособие для фотохудожников: Уч.пос. / А.П.Крылов - М.:КУРС, НИЦ ИНФРА-М,2026 - 80 с.(О)</t>
  </si>
  <si>
    <t>ФОТОМОНТАЖ. ПОСОБИЕ ДЛЯ ФОТОХУДОЖНИКОВ, ИЗД.1</t>
  </si>
  <si>
    <t>Крылов А. П.</t>
  </si>
  <si>
    <t>978-5-905554-05-6</t>
  </si>
  <si>
    <t>42.03.02, 42.03.04, 51.03.02, 54.02.08, 54.03.01, 54.04.01</t>
  </si>
  <si>
    <t>Российский Государственный Художественно-Промышленный Университет им. С. Г. Строгановаа</t>
  </si>
  <si>
    <t>738658.09.01</t>
  </si>
  <si>
    <t>Фразеологические ед. в аспекте лингвистич..: Уч.пос. / Е.А.Чубина - М.:Юр.Норма, НИЦ ИНФРА-М,2026 -192 с.(П)</t>
  </si>
  <si>
    <t>ФРАЗЕОЛОГИЧЕСКИЕ ЕДИНИЦЫ В АСПЕКТЕ ЛИНГВИСТИЧЕСКОЙ ЭКСПЕРТИЗЫ, ИЗД.1</t>
  </si>
  <si>
    <t>978-5-00156-075-3</t>
  </si>
  <si>
    <t>720222.01.01</t>
  </si>
  <si>
    <t>Фрактально-хаотические свойства когнитивных процес.../ В.Г.Каменская-М.:НИЦ ИНФРА-М,2020.-217 с.(О)</t>
  </si>
  <si>
    <t>ФРАКТАЛЬНО-ХАОТИЧЕСКИЕ СВОЙСТВА КОГНИТИВНЫХ ПРОЦЕССОВ: ВОЗРАСТНОЙ АСПЕКТ, ИЗД.1</t>
  </si>
  <si>
    <t>Каменская В.Г., Томанов Л.В.</t>
  </si>
  <si>
    <t>978-5-16-015748-1</t>
  </si>
  <si>
    <t>37.03.01, 37.06.01, 44.03.04, 44.03.05</t>
  </si>
  <si>
    <t>854010.01.01</t>
  </si>
  <si>
    <t>Французская лит. ХI-ХIХ вв. La littérature Française...: Уч.пос. / Е.Я.Григорьева - М.:НИЦ ИНФРА-М,2026. - 447 с.(п)</t>
  </si>
  <si>
    <t>ФРАНЦУЗСКАЯ ЛИТЕРАТУРА ХI-ХIХ ВВ. LA LITTÉRATURE FRANÇAISE / TEXTES CHOISIS DU XIE AU XIXE SIÈCLES, ИЗД.1</t>
  </si>
  <si>
    <t>Григорьева Е.Я.</t>
  </si>
  <si>
    <t>978-5-16-021689-8</t>
  </si>
  <si>
    <t>42.03.03, 44.03.01, 45.03.01, 45.03.99, 45.04.01, 52.03.06, 52.04.02, 52.05.04</t>
  </si>
  <si>
    <t>631893.04.01</t>
  </si>
  <si>
    <t>Французский язык в Африке: проблемы интерференции: Моногр. / Ж.Багана - М.:НИЦ ИНФРА-М,2026. - 163 с.(о)</t>
  </si>
  <si>
    <t>ФРАНЦУЗСКИЙ ЯЗЫК В АФРИКЕ: ПРОБЛЕМЫ ИНТЕРФЕРЕНЦИИ, ИЗД.1</t>
  </si>
  <si>
    <t>Багана Ж.</t>
  </si>
  <si>
    <t>978-5-16-019040-2</t>
  </si>
  <si>
    <t>631893.02.01</t>
  </si>
  <si>
    <t>Французский язык в Африке: проблемы интерференции: монография / Ж.Багана-М.:НИЦ ИНФРА-М,2018.-163 с..-(Науч.мысль)(П 7БЦ)</t>
  </si>
  <si>
    <t>978-5-16-011952-6</t>
  </si>
  <si>
    <t>059700.13.01</t>
  </si>
  <si>
    <t>Французский язык: Уч.пос. / Т.И.Лалова - М.:Форум, ИНФРА-М Изд. Дом,2024 - 336 с.-(ВО)(П)</t>
  </si>
  <si>
    <t>ФРАНЦУЗСКИЙ ЯЗЫК, ИЗД.1</t>
  </si>
  <si>
    <t>Лалова Т. И.</t>
  </si>
  <si>
    <t>978-5-8199-0127-4</t>
  </si>
  <si>
    <t>442950.09.01</t>
  </si>
  <si>
    <t>Франчайзинг в торговле: Уч. пос. / Г.Г. Иванов - М.: ИД ФОРУМ:  НИЦ ИНФРА-М, 2023. - 104 с.(ВО) (о)</t>
  </si>
  <si>
    <t>ФРАНЧАЙЗИНГ В ТОРГОВЛЕ, ИЗД.1</t>
  </si>
  <si>
    <t>978-5-8199-0553-1</t>
  </si>
  <si>
    <t>38.03.01, 38.03.02, 38.03.06, 38.04.07, 41.03.06</t>
  </si>
  <si>
    <t>800301.01.01</t>
  </si>
  <si>
    <t>Фрикционные волокнисто-армированные керамоматрич. композиц... / А.П.Гаршин.-М.:НИЦ ИНФРА-М,2023.-247 с.(П)</t>
  </si>
  <si>
    <t>ФРИКЦИОННЫЕ ВОЛОКНИСТО-АРМИРОВАННЫЕ КЕРАМОМАТРИЧНЫЕ КОМПОЗИЦИОННЫЕ МАТЕРИАЛЫ, ИЗД.1</t>
  </si>
  <si>
    <t>Гаршин А.П., Нилов А.С., Кулик В.И.</t>
  </si>
  <si>
    <t>978-5-16-018370-1</t>
  </si>
  <si>
    <t>04.04.02, 22.04.01, 22.06.01, 24.04.04, 24.06.01</t>
  </si>
  <si>
    <t>760263.04.01</t>
  </si>
  <si>
    <t>Фундаментальные основы соц. конфликта: Уч. / М.Ю.Зеленков - М.:НИЦ ИНФРА-М,2026. - 321 с.(ВО:Магистр)(п)</t>
  </si>
  <si>
    <t>ФУНДАМЕНТАЛЬНЫЕ ОСНОВЫ СОЦИАЛЬНОГО КОНФЛИКТА, ИЗД.1</t>
  </si>
  <si>
    <t>978-5-16-017263-7</t>
  </si>
  <si>
    <t>37.04.02, 41.03.05, 41.03.06</t>
  </si>
  <si>
    <t>649031.03.01</t>
  </si>
  <si>
    <t>Функции компл. переменной, ряды и операц. исчис.: Уч.пос./К.В.Титов-М.:ИЦ РИОР,НИЦ ИНФРА-М,2023-238с</t>
  </si>
  <si>
    <t>ФУНКЦИИ КОМПЛЕКСНОЙ ПЕРЕМЕННОЙ, РЯДЫ И ОПЕРАЦИОННОЕ ИСЧИСЛЕНИЕ, ИЗД.1</t>
  </si>
  <si>
    <t>Титов К.В., Горелов Н.Д.</t>
  </si>
  <si>
    <t>978-5-369-01677-0</t>
  </si>
  <si>
    <t>01.03.01, 01.03.04, 02.03.01, 02.03.03, 03.03.02, 04.03.02, 15.03.03, 16.03.03</t>
  </si>
  <si>
    <t>874379.01.01</t>
  </si>
  <si>
    <t>Функциональная роль традиционных ценностей в развитии российской правовой сис-мы...: мон. / В.И.Кузьменко-М.:НИЦ ИНФРА-М,2027.-153 с..-(Науч.мысль)(п)</t>
  </si>
  <si>
    <t>ФУНКЦИОНАЛЬНАЯ РОЛЬ ТРАДИЦИОННЫХ ЦЕННОСТЕЙ В РАЗВИТИИ РОССИЙСКОЙ ПРАВОВОЙ СИСТЕМЫ: ТЕОРЕТИКО-МЕТОДОЛОГИЧЕСКИЙ АСПЕКТ, ИЗД.1</t>
  </si>
  <si>
    <t>Кузьменко В.И.</t>
  </si>
  <si>
    <t>978-5-16-022010-9</t>
  </si>
  <si>
    <t>Всероссийский государственный университет юстиции (РПА Минюста России), Казанский институт ф-л</t>
  </si>
  <si>
    <t>679447.03.01</t>
  </si>
  <si>
    <t>Функционально устойчивые сист.упр.: асимптотические..:Моногр./С.А.Дубовик-М.:НИЦ ИНФРА-М,2023-249с.</t>
  </si>
  <si>
    <t>ФУНКЦИОНАЛЬНО УСТОЙЧИВЫЕ СИСТЕМЫ УПРАВЛЕНИЯ: АСИМПТОТИЧЕСКИЕ МЕТОДЫ СИНТЕЗА, ИЗД.1</t>
  </si>
  <si>
    <t>Дубовик С.А., Кабанов А.А.</t>
  </si>
  <si>
    <t>978-5-16-014078-0</t>
  </si>
  <si>
    <t>01.04.03, 13.03.03, 27.03.05</t>
  </si>
  <si>
    <t>776676.01.01</t>
  </si>
  <si>
    <t>Функциональное питание: Уч. / А.Т.Васюкова - М.:НИЦ ИНФРА-М,2025. - 239 с.(ВО)(п)</t>
  </si>
  <si>
    <t>ФУНКЦИОНАЛЬНОЕ ПИТАНИЕ, ИЗД.1</t>
  </si>
  <si>
    <t>978-5-16-020487-1</t>
  </si>
  <si>
    <t>19.04.04, 19.04.05</t>
  </si>
  <si>
    <t>737705.01.01</t>
  </si>
  <si>
    <t>Функционально-семантич. категория альтернатив. в свете традиц...: Моногр. / Н.Г.Склярова-М.:НИЦ ИНФРА-М,2022-413с(О)</t>
  </si>
  <si>
    <t>ФУНКЦИОНАЛЬНО-СЕМАНТИЧЕСКАЯ КАТЕГОРИЯ АЛЬТЕРНАТИВНОСТИ В СВЕТЕ ТРАДИЦИОННЫХ И СОВРЕМЕННЫХ ЛИНГВИСТИЧЕСКИХ КОНЦЕПЦИЙ, ИЗД.1</t>
  </si>
  <si>
    <t>978-5-16-017032-9</t>
  </si>
  <si>
    <t>45.04.01, 45.04.02, 45.04.03</t>
  </si>
  <si>
    <t>864863.01.01</t>
  </si>
  <si>
    <t>Функциональные материалы на основе переход. металлов... / Гордина Н.Е. - М.:НИЦ ИНФРА-М,2026. - 280 с.(п)</t>
  </si>
  <si>
    <t>ФУНКЦИОНАЛЬНЫЕ МАТЕРИАЛЫ НА ОСНОВЕ ПЕРЕХОДНЫХ МЕТАЛЛОВ ДЛЯ КАТАЛИЗА И АДСОРБЦИИ, ИЗД.1</t>
  </si>
  <si>
    <t>Гордина Н.Е., Смирнов Д.В., Прозоров Д.А. и др.</t>
  </si>
  <si>
    <t>978-5-16-021564-8</t>
  </si>
  <si>
    <t>03.04.02, 04.03.01, 04.05.01, 04.06.01, 18.03.01, 18.06.01, 22.03.01, 22.03.02, 22.04.01, 22.06.01</t>
  </si>
  <si>
    <t>248000.05.01</t>
  </si>
  <si>
    <t>Функциональные материалы с эффектом памяти формы: Уч.пос. / М.Ю.Коллеров-М.:НИЦ ИНФРА-М,2024-140с(О)</t>
  </si>
  <si>
    <t>ФУНКЦИОНАЛЬНЫЕ МАТЕРИАЛЫ С ЭФФЕКТОМ ПАМЯТИ ФОРМЫ, ИЗД.1</t>
  </si>
  <si>
    <t>Коллеров М.Ю., Гусев Д.Е., Гуртовая Г.В. и др.</t>
  </si>
  <si>
    <t>978-5-16-011769-0</t>
  </si>
  <si>
    <t>15.03.01, 22.03.01, 22.04.01, 24.03.01, 24.03.04, 24.03.05</t>
  </si>
  <si>
    <t>Допущено Учебно-методическим объединением высших учебных заведений РФ по образованию в области материаловедения, технологии материалов и покрытий в качестве учебного пособия для студентов высших учебных заведений, обучающихся по направлению подготовки магистратуры 22.04.01 «Материаловедение и технологии материалов»</t>
  </si>
  <si>
    <t>425050.09.01</t>
  </si>
  <si>
    <t>Функциональный и интернет-маркетинг: Моногр. / О.С.Сухарев - М.: КУРС,НИЦ ИНФРА-М,2024-352с.(Наука)</t>
  </si>
  <si>
    <t>ФУНКЦИОНАЛЬНЫЙ И ИНТЕРНЕТ-МАРКЕТИНГ, ИЗД.1</t>
  </si>
  <si>
    <t>Сухарев О. С., Курманов Н. В., Мельковская К. Р.</t>
  </si>
  <si>
    <t>978-5-905554-33-9</t>
  </si>
  <si>
    <t>38.03.01, 38.03.02, 38.03.03, 38.03.05, 38.04.01, 38.04.02, 38.04.03, 38.04.05, 38.04.08, 41.03.06, 44.03.01, 44.03.05</t>
  </si>
  <si>
    <t>279600.08.01</t>
  </si>
  <si>
    <t>Характеры героев Шекспира: Моногр. / С.Ю.Поройков - М.:НИЦ ИНФРА-М,2026 - 240 с.(Науч.мысль)(О)</t>
  </si>
  <si>
    <t>ХАРАКТЕРЫ ГЕРОЕВ ШЕКСПИРА, ИЗД.1</t>
  </si>
  <si>
    <t>978-5-16-009822-7</t>
  </si>
  <si>
    <t>37.03.01, 37.04.01, 44.03.01, 44.03.05, 45.03.01, 45.04.01, 45.06.01</t>
  </si>
  <si>
    <t>639321.06.01</t>
  </si>
  <si>
    <t>Хемингуэй и его женщины. Страницы жизни и твор.: Моногр. / Б.А.Гиленсон - М.:НИЦ ИНФРА-М,2026. - 264 с.(о)</t>
  </si>
  <si>
    <t>ХЕМИНГУЭЙ И ЕГО ЖЕНЩИНЫ. СТРАНИЦЫ ЖИЗНИ И ТВОРЧЕСТВА, ИЗД.1</t>
  </si>
  <si>
    <t>978-5-16-018559-0</t>
  </si>
  <si>
    <t>639321.03.01</t>
  </si>
  <si>
    <t>Хемингуэй и его женщины. Страницы жизни и творч.: Моногр. / Б.А.Гиленсон-М.:НИЦ ИНФРА-М,2021.-264 с.(П)</t>
  </si>
  <si>
    <t>978-5-16-012270-0</t>
  </si>
  <si>
    <t>390700.07.01</t>
  </si>
  <si>
    <t>Химизация бетона: Уч.пос. / Б.А.Усов - М.:НИЦ ИНФРА-М,2023 - 381 с.(ВО: Бакалавриат)(П)</t>
  </si>
  <si>
    <t>ХИМИЗАЦИЯ БЕТОНА, ИЗД.1</t>
  </si>
  <si>
    <t>978-5-16-011197-1</t>
  </si>
  <si>
    <t>437850.05.01</t>
  </si>
  <si>
    <t>Химическая безопасность и монитор. живых..: Уч. пос./Г.К.Будников - М.: НИЦ ИНФРА-М, 2023-320с.(ВО) (п)</t>
  </si>
  <si>
    <t>ХИМИЧЕСКАЯ БЕЗОПАСНОСТЬ И МОНИТОРИНГ ЖИВЫХ СИСТЕМ НА ПРИНЦИПАХ БИОМИМЕТИКИ, ИЗД.1</t>
  </si>
  <si>
    <t>Будников Г. К., Гармонов С. Ю., Медянцева Э. П., Евтюгин Г. А.</t>
  </si>
  <si>
    <t>978-5-16-005749-1</t>
  </si>
  <si>
    <t>00.03.31, 04.03.01, 04.03.02, 05.03.06, 06.03.02, 18.03.01, 19.03.04, 25.03.03, 31.05.01, 31.05.02, 31.05.03, 33.05.01, 38.03.07, 44.03.05</t>
  </si>
  <si>
    <t>689723.02.01</t>
  </si>
  <si>
    <t>Химическая связь в переходных металлах, сплавах...: Моногр. / В.И.Наумов-М.:НИЦ ИНФРА-М,2023-311с(О)</t>
  </si>
  <si>
    <t>ХИМИЧЕСКАЯ СВЯЗЬ В ПЕРЕХОДНЫХ МЕТАЛЛАХ, СПЛАВАХ И УПРОЧНЯЮЩИХ ФАЗАХ, ИЗД.1</t>
  </si>
  <si>
    <t>Наумов В.И., Пачурин Г.В., Филиппов А.А.</t>
  </si>
  <si>
    <t>978-5-16-014360-6</t>
  </si>
  <si>
    <t>350600.06.01</t>
  </si>
  <si>
    <t>Химическая термодинам.с Mathcad...: Уч.пос. / Д.Г.Нарышкин - М.:ИЦ РИОР, НИЦ ИНФРА-М,2026 - 199 с.(ВО)(П)</t>
  </si>
  <si>
    <t>ХИМИЧЕСКАЯ ТЕРМОДИНАМИКА С MATHCAD. РАСЧЕТНЫЕ ЗАДАЧИ, ИЗД.1</t>
  </si>
  <si>
    <t>Нарышкин Д.Г.</t>
  </si>
  <si>
    <t>978-5-369-01479-0</t>
  </si>
  <si>
    <t>01.00.00, 04.03.01, 04.03.02, 04.04.01, 04.04.02, 04.05.01</t>
  </si>
  <si>
    <t>773091.02.01</t>
  </si>
  <si>
    <t>Химические и физико-химич. способы очистки сточных...: Моногр. / Б.С.Ксенофонтов - М.:НИЦ ИНФРА-М,2026 - 321 с.(О)</t>
  </si>
  <si>
    <t>ХИМИЧЕСКИЕ И ФИЗИКО-ХИМИЧЕСКИЕ СПОСОБЫ ОЧИСТКИ СТОЧНЫХ И ТЕХНОГЕННЫХ  ВОД, ИЗД.1</t>
  </si>
  <si>
    <t>978-5-16-017605-5</t>
  </si>
  <si>
    <t>18.03.01, 18.03.02, 20.03.01, 20.03.02, 20.04.01, 20.06.01, 22.04.01</t>
  </si>
  <si>
    <t>690326.04.01</t>
  </si>
  <si>
    <t>Химия атмосферы: Уч. / Под ред. Васильчука Ю.К. - М.:НИЦ ИНФРА-М,2024 - 214 с.(ВО)(п)</t>
  </si>
  <si>
    <t>ХИМИЯ АТМОСФЕРЫ, ИЗД.1</t>
  </si>
  <si>
    <t>Суркова Г.В.</t>
  </si>
  <si>
    <t>978-5-16-018861-4</t>
  </si>
  <si>
    <t>05.03.02, 05.03.04, 05.03.05, 05.03.06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</si>
  <si>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направлений подготовки 05.03.00 «Науки о Земле» (квалификация (степень) «бакалавр») (протокол № 11 от 09.11.2020)</t>
  </si>
  <si>
    <t>067250.19.01</t>
  </si>
  <si>
    <t>Химия воды и микробиология: Уч. / А.Л.Ивчатов - М.:НИЦ ИНФРА-М,2026 - 218 с.(СПО)(П)</t>
  </si>
  <si>
    <t>ХИМИЯ ВОДЫ И МИКРОБИОЛОГИЯ, ИЗД.1</t>
  </si>
  <si>
    <t>Ивчатов А. Л., Малов В. И.</t>
  </si>
  <si>
    <t>978-5-16-006616-5</t>
  </si>
  <si>
    <t>08.01.29, 08.02.01, 08.02.04, 35.01.16, 35.01.33, 35.02.09</t>
  </si>
  <si>
    <t>Допущено Федеральным агентством по строительству и жилищно-коммунальному хозяйству в качестве учебника для студентов средних специальных учебных заведений, обучающихся по специальности 08.02.04 "Водоснабжение и водоотведение"</t>
  </si>
  <si>
    <t>278700.04.01</t>
  </si>
  <si>
    <t>Химия горючих ископаемых: Уч. / В.С. Мерчева - М.: НИЦ ИНФРА-М, 2020-336 с. (ВО:Бакалавриат) (П)</t>
  </si>
  <si>
    <t>ХИМИЯ ГОРЮЧИХ ИСКОПАЕМЫХ, ИЗД.1</t>
  </si>
  <si>
    <t>Мерчева В.С., Серебряков А.О., Серебряков О.И. и др.</t>
  </si>
  <si>
    <t>978-5-16-009812-8</t>
  </si>
  <si>
    <t>05.04.01, 21.04.01</t>
  </si>
  <si>
    <t>Допущено УМО по классическому университетскому образованию в качестве учебника для студентов, обучающихся по направлению 020700 «Геология»</t>
  </si>
  <si>
    <t>278700.07.01</t>
  </si>
  <si>
    <t>Химия горючих ископаемых: Уч. / О.И.Серебряков - 2 изд. - М.:НИЦ ИНФРА-М,2025 - 404 с.(ВО: Магистр.)(П)</t>
  </si>
  <si>
    <t>ХИМИЯ ГОРЮЧИХ ИСКОПАЕМЫХ, ИЗД.2</t>
  </si>
  <si>
    <t>Серебряков О.И., Смирнова Т.С., Мерчева В.С. и др.</t>
  </si>
  <si>
    <t>978-5-16-015577-7</t>
  </si>
  <si>
    <t>Рекомендовано Федеральным учебно-методическим объединением Минобрнауки России для магистрантов высших учебных заведений, обучающихсяпо направлению 05.04.01 «Геология»</t>
  </si>
  <si>
    <t>278100.07.01</t>
  </si>
  <si>
    <t>Химия и контроль качества эксплуатационных продуктов: Уч. / Э.А.Иртуганова - М:ИНФРА-М,2026 - 528 с. (ВО)</t>
  </si>
  <si>
    <t>ХИМИЯ И КОНТРОЛЬ КАЧЕСТВА ЭКСПЛУАТАЦИОННЫХ ПРОДУКТОВ, ИЗД.1</t>
  </si>
  <si>
    <t>Иртуганова Э.А., Гармонов С.Ю., Сопин В.Ф.</t>
  </si>
  <si>
    <t>978-5-16-005591-6</t>
  </si>
  <si>
    <t>18.03.01, 18.04.01, 23.03.02, 23.03.03, 23.04.02, 23.04.03</t>
  </si>
  <si>
    <t>Рекомендовано Государственным образовательным учреждением высшего профессионального образования «Российский химико-технологический университет им. Д.И. Менделеева» в качестве учебника для студентов вузов, обучающихся по направлению подготовки «Станда</t>
  </si>
  <si>
    <t>079600.17.01</t>
  </si>
  <si>
    <t>Химия и технология нефти и газа: Уч.пос. / С.В.Вержичинская - 3 изд. - М.: НИЦ ИНФРА-М,2026. - 416 с.(СПО)(п)</t>
  </si>
  <si>
    <t>ХИМИЯ И ТЕХНОЛОГИЯ НЕФТИ И ГАЗА, ИЗД.3</t>
  </si>
  <si>
    <t>Вержичинская С. В., Дигуров Н. Г., Синицин С. А.</t>
  </si>
  <si>
    <t>978-5-16-021832-8</t>
  </si>
  <si>
    <t>18.01.27, 18.01.28, 18.02.09</t>
  </si>
  <si>
    <t>335600.03.98</t>
  </si>
  <si>
    <t>Химия и технология цемента: Уч.пос. / Б.А.Усов - 2изд. - М.:НИЦ ИНФРА-М,2017 -158с.(ВО:Бакалавр.)(о)</t>
  </si>
  <si>
    <t>ХИМИЯ И ТЕХНОЛОГИЯ ЦЕМЕНТА, ИЗД.2</t>
  </si>
  <si>
    <t>978-5-16-011326-5</t>
  </si>
  <si>
    <t>Рекомендовано для студентов высших учебных заведений, обучающихся по направлению подготовки 08.03.01 «Строительство», профиль «Производство и применение строительных материалов, изделий и конструкций» (квалификация (степень) «бакалавр»)</t>
  </si>
  <si>
    <t>335600.09.01</t>
  </si>
  <si>
    <t>Химия и технология цемента: Уч.пос. / Б.А.Усов - М.:НИЦ ИНФРА-М,2026. - 240 с.(ВО: Бакалавр.)(п)</t>
  </si>
  <si>
    <t>978-5-16-010678-6</t>
  </si>
  <si>
    <t>Рекомендовано для студентов высших учебных заведений, обучающихся по направлению подготовки 08.03.01 (270800) '¦Строительство", профиль "Производство и применение строительных материалов, изделий и конструкций" (квалификация (степень) «бакалавр»)</t>
  </si>
  <si>
    <t>106850.09.01</t>
  </si>
  <si>
    <t>Химия нефти и газа: Уч.пос. / В.Д.Рябов - 2изд. - М.:ИД ФОРУМ,НИЦ ИНФРА-М,2019 - 336с.(ВО)(П)</t>
  </si>
  <si>
    <t>ХИМИЯ НЕФТИ И ГАЗА, ИЗД.2</t>
  </si>
  <si>
    <t>Рябов В.Д.</t>
  </si>
  <si>
    <t>978-5-8199-0847-1</t>
  </si>
  <si>
    <t>Рекомендовано Учебно-методическим объединением вузов Российской Федерации по нефтегазовому образованию в качестве учебного пособия для студентов высших учебных заведений, обучающихся по направлению подготовки 21.03.01 «Нефтегазовое дело»</t>
  </si>
  <si>
    <t>106850.17.01</t>
  </si>
  <si>
    <t>Химия нефти и газа: Уч.пос. / В.Д.Рябов - 3 изд., - М.:НИЦ ИНФРА-М,2026 - 311 с.(ВО)(П)</t>
  </si>
  <si>
    <t>ХИМИЯ НЕФТИ И ГАЗА, ИЗД.3</t>
  </si>
  <si>
    <t>978-5-16-019945-0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</si>
  <si>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21.03.01 «Нефтегазовое дело» (квалификация (степень) «бакалавр») (протокол № 1 от 20.01.2021)</t>
  </si>
  <si>
    <t>302500.07.01</t>
  </si>
  <si>
    <t>Химия почв: практикум: Уч.пос. / В.Г.Мамонтов, - 2 изд. - М.:НИЦ ИНФРА-М,2026 - 272 с.(ВО)(п)</t>
  </si>
  <si>
    <t>ХИМИЯ ПОЧВ: ПРАКТИКУМ, ИЗД.2</t>
  </si>
  <si>
    <t>978-5-16-019227-7</t>
  </si>
  <si>
    <t>Учебное пособие содержит сведения, необходимые для формирования профессиональных компетенций при подготовке бакалавров по направлению 35.03.03 «Агрохимия и агропочвоведение», и рекомендуется Научно-методическим советом по сельскому хозяйству для использования в учебном процессе</t>
  </si>
  <si>
    <t>768877.01.01</t>
  </si>
  <si>
    <t>Химия: терминологический словарь / А.П.Гаршин - М.:НИЦ ИНФРА-М,2025. - 310 с.-(Б-ка словарей ИНФРА-М)(п)</t>
  </si>
  <si>
    <t>ХИМИЯ: ТЕРМИНОЛОГИЧЕСКИЙ СЛОВАРЬ, ИЗД.1</t>
  </si>
  <si>
    <t>978-5-16-018292-6</t>
  </si>
  <si>
    <t>00.03.40</t>
  </si>
  <si>
    <t>837250.01.01</t>
  </si>
  <si>
    <t>Химия: Уч.пос. / И.Д.Зыкова и др. - М.:НИЦ ИНФРА-М,2025. - 180 с.(ВО (СФУ))(п)</t>
  </si>
  <si>
    <t>ХИМИЯ, ИЗД.1</t>
  </si>
  <si>
    <t>Зыкова И.Д., Наймушина Л.В., Прокушкина М.П. и др.</t>
  </si>
  <si>
    <t>978-5-16-020275-4</t>
  </si>
  <si>
    <t>799528.01.01</t>
  </si>
  <si>
    <t>Химия: Уч.пос. / О.В.Демина-М.:НИЦ ИНФРА-М,2024.-257 с.(ВО (КрГАУ))(п)</t>
  </si>
  <si>
    <t>978-5-16-018999-4</t>
  </si>
  <si>
    <t>35.03.03, 35.03.04, 35.03.05, 35.03.07, 36.03.02</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</si>
  <si>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направлению подготовки 35.03.06 «Агроинженерия»</t>
  </si>
  <si>
    <t>773008.02.01</t>
  </si>
  <si>
    <t>Хирургические вмешательства в комплекс. лечении туберкулеза... / Е.А.Бородулина. - М.:НИЦ ИНФРА-М,2026. - 187 с(О)</t>
  </si>
  <si>
    <t>ХИРУРГИЧЕСКИЕ ВМЕШАТЕЛЬСТВА В КОМПЛЕКСНОМ ЛЕЧЕНИИ ТУБЕРКУЛЕЗА ЛЕГКИХ. ПРЕДОПЕРАЦИОННОЕ ПЛАНИРОВАНИЕ С 3D МОДЕЛИРОВАНИЕМ, ИЗД.1</t>
  </si>
  <si>
    <t>Бородулина Е.А., Колсанов А.В., Рогожкин П.В.</t>
  </si>
  <si>
    <t>978-5-16-017530-0</t>
  </si>
  <si>
    <t>31.05.01, 31.05.02, 31.05.03, 31.08.35, 31.08.51, 32.05.01</t>
  </si>
  <si>
    <t>860058.01.01</t>
  </si>
  <si>
    <t>Хирургические заболевания щитовид. железы..: Уч.мет.пос. / В.Б.Богданович - М.:НИЦ ИНФРА-М, ГомГМУ,2026 - 90 с.(о)</t>
  </si>
  <si>
    <t>ХИРУРГИЧЕСКИЕ ЗАБОЛЕВАНИЯ ЩИТОВИДНОЙ ЖЕЛЕЗЫ И ОКОЛОЩИТОВИДНЫХ ЖЕЛЕЗ, ИЗД.1</t>
  </si>
  <si>
    <t>Богданович В.Б., Берещенко В.В.</t>
  </si>
  <si>
    <t>978-5-16-021302-6</t>
  </si>
  <si>
    <t>462900.06.01</t>
  </si>
  <si>
    <t>Хирургическое лечение больных с травмами...: Уч.пос. / В.И.Белоконев - М.:НИЦ ИНФРА-М,2026 - 64 с.(ВО)(о)</t>
  </si>
  <si>
    <t>ХИРУРГИЧЕСКОЕ ЛЕЧЕНИЕ БОЛЬНЫХ С ТРАВМАМИ И СТРИКТУРАМИ ЖЕЛЧНЫХ ПРОТОКОВ, ИЗД.1</t>
  </si>
  <si>
    <t>Белоконев В.И., Мелентьева О.Н., Ковалева З.В. и др.</t>
  </si>
  <si>
    <t>978-5-16-016478-6</t>
  </si>
  <si>
    <t>Рекомендовано в качестве учебного пособия для студентов медицинских вузов и системы последипломного профессионального образования врачей по специальности 14.01.17 «Хирургия»</t>
  </si>
  <si>
    <t>413800.08.01</t>
  </si>
  <si>
    <t>Хирургия с сестринским уходом: Уч. пос. / Б.В. Цепунов. - М.: Форум: НИЦ ИНФРА-М,2026 - 576 с.(ПО) (п)</t>
  </si>
  <si>
    <t>ХИРУРГИЯ С СЕСТРИНСКИМ УХОДОМ, ИЗД.1</t>
  </si>
  <si>
    <t>Цепунов Б. В., Гоженко К. Н., Жиляев Е. А.</t>
  </si>
  <si>
    <t>978-5-91134-700-0</t>
  </si>
  <si>
    <t>31.02.01</t>
  </si>
  <si>
    <t>Рекомендовано Департаментом образовательных медицинских учреждений и кадровой политики Министерства здравоохранения и социальной политики РФ в качестве учебного пособия для студентов медицинских колледжей и училищ, обучающихся по специальностям 06050</t>
  </si>
  <si>
    <t>Кисловодский медицинский колледж</t>
  </si>
  <si>
    <t>693869.07.01</t>
  </si>
  <si>
    <t>Хирургия: Уч. / Б.В.Цепунов и др. - М.:НИЦ ИНФРА-М,2027 - 552 с.(СПО)(п)</t>
  </si>
  <si>
    <t>ХИРУРГИЯ, ИЗД.1</t>
  </si>
  <si>
    <t>Цепунов Б.В., Гоженко К.Н., Жиляев Е.А.</t>
  </si>
  <si>
    <t>978-5-16-015726-9</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</si>
  <si>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31.02.01 «Лечебное дело», 31.02.02 «Акушерское дело», 34.02.01 «Сестринское дело» (протокол № 5 от 19.05.2021)</t>
  </si>
  <si>
    <t>689013.07.01</t>
  </si>
  <si>
    <t>Хирургия: эпонимические симптомы и синдромы / Под ред. Колсанова А.В. - М.:НИЦ ИНФРА-М,2025 - 1111 с.(ВО)</t>
  </si>
  <si>
    <t>ХИРУРГИЯ: ЭПОНИМИЧЕСКИЕ СИМПТОМЫ И СИНДРОМЫ, ИЗД.1</t>
  </si>
  <si>
    <t>Авраменко А.А., Адыширин-Заде Э.Э., Алексеев Д.Г. и др.</t>
  </si>
  <si>
    <t>978-5-16-014119-0</t>
  </si>
  <si>
    <t>329700.11.01</t>
  </si>
  <si>
    <t>Хореографическое искусство и балетмейстер: Уч.пос. / В.Н.Карпенко - М.:НИЦ ИНФРА-М,2025 - 192 с.(ВО)(О)</t>
  </si>
  <si>
    <t>ХОРЕОГРАФИЧЕСКОЕ ИСКУССТВО И БАЛЕТМЕЙСТЕР, ИЗД.1</t>
  </si>
  <si>
    <t>В.Н.Карпенко, И.А.Карпенко, Ж.Багана</t>
  </si>
  <si>
    <t>978-5-16-019114-0</t>
  </si>
  <si>
    <t>51.03.02</t>
  </si>
  <si>
    <t>Рекомендовано в качестве учебного пособия для студентов высших учебных заведений, обучающихся по направлению подготовки 52.03.01 «Хореографическое искусство» (квалификация (степень) «бакалавр»)</t>
  </si>
  <si>
    <t>841892.01.01</t>
  </si>
  <si>
    <t>Хореографическое искусство и балетмейстер: Уч.пос. / В.Н.Карпенко - М.:НИЦ ИНФРА-М,2025 - 192с.(СПО)(о)</t>
  </si>
  <si>
    <t>978-5-16-020297-6</t>
  </si>
  <si>
    <t>52.02.01, 52.02.02, 52.02.03, 52.02.05, 53.02.01</t>
  </si>
  <si>
    <t>132500.09.01</t>
  </si>
  <si>
    <t>Хранение прод. товаров: Уч. пос./ М.А. Николаева, Г.Я. Резго. -М.:ИД ФОРУМ: ИНФРА-М, 2024-304с. (ВО) (п)</t>
  </si>
  <si>
    <t>ХРАНЕНИЕ ПРОДОВОЛЬСТВЕННЫХ ТОВАРОВ, ИЗД.1</t>
  </si>
  <si>
    <t>Николаева М. А., Резго Г. Я.</t>
  </si>
  <si>
    <t>978-5-8199-0437-4</t>
  </si>
  <si>
    <t>Допущено УМО по образованию в области коммерции и маркетинга в качестве учебного пособия для студентов высших учебных заведений, обучающихся по специальностям 080301(351300)-Коммерция (торговое дело)" и 080111(061500)-Маркетинг</t>
  </si>
  <si>
    <t>681534.08.01</t>
  </si>
  <si>
    <t>Хрестоматия по ист. гос. и права зарубеж.стран и... / И.А.Исаев - М.:Юр.Норма, НИЦ ИНФРА-М,2026 - 544 с.(П)</t>
  </si>
  <si>
    <t>ХРЕСТОМАТИЯ ПО ИСТОРИИ ГОСУДАРСТВА И ПРАВА ЗАРУБЕЖНЫХ СТРАН И РИМСКОМУ ПРАВУ, ИЗД.1</t>
  </si>
  <si>
    <t>978-5-91768-910-4</t>
  </si>
  <si>
    <t>40.02.02, 40.02.04, 40.03.01, 40.05.01, 40.05.02, 40.05.03, 40.05.04</t>
  </si>
  <si>
    <t>042100.26.01</t>
  </si>
  <si>
    <t>Хрестоматия по истории гос.и права заруб. стран: В 2 т.Т.1 / Н.А.Крашенинникова - М.:Юр.Норма,НИЦ ИНФРА-М,2027 - 816 с.(П)</t>
  </si>
  <si>
    <t>ХРЕСТОМАТИЯ ПО ИСТОРИИ ГОСУДАРСТВА И ПРАВА ЗАРУБЕЖНЫХ СТРАН В 2 ТОМАХ, Т.1</t>
  </si>
  <si>
    <t>Крашенинникова Н.А., Лысенко О.Л., Трикоз Е.Н.</t>
  </si>
  <si>
    <t>978-5-91768-280-8</t>
  </si>
  <si>
    <t>Допущено Министерством образования РФ в качестве учебного пособия для студентов высших учебных заведений, обучающихся по специальности "Юриспруденция"</t>
  </si>
  <si>
    <t>042400.31.01</t>
  </si>
  <si>
    <t>Хрестоматия по истории гос.и права заруб. стран: В 2 т.Т.2 / Н.А. Крашенинникова - М:Норма: НИЦ ИНФРА-М, 2027 - 672 с.(п)</t>
  </si>
  <si>
    <t>ХРЕСТОМАТИЯ ПО ИСТОРИИ ГОСУДАРСТВА И ПРАВА ЗАРУБЕЖНЫХ СТРАН, ИЗД.1</t>
  </si>
  <si>
    <t>978-5-91768-282-2</t>
  </si>
  <si>
    <t>641987.09.01</t>
  </si>
  <si>
    <t>Христианская психология: Уч.пос. / С.В.Кондратьев - М.:НИЦ ИНФРА-М,2025 - 191 с.(ВО: Бакалавр.)(П)</t>
  </si>
  <si>
    <t>ХРИСТИАНСКАЯ ПСИХОЛОГИЯ, ИЗД.1</t>
  </si>
  <si>
    <t>Кондратьев С.В., Кондратьева О.В.</t>
  </si>
  <si>
    <t>978-5-16-012575-6</t>
  </si>
  <si>
    <t>37.03.01, 44.03.01, 44.03.02, 44.04.01, 44.04.02, 48.03.01, 48.04.01</t>
  </si>
  <si>
    <t>Для студентов высших образовательных организаций всех форм обучения по направлениям подготовки: 48.03.01 «Теология» (бакалавриат);¶48.04.01 «Теология» (магистратура); 37.03.01 «Психология» (бакалавриат духовных образовательных организаций); 37.04.01 «Психология» (магистратура духовных образовательных организаций); 44.03.02 «Психолого-педагогическое образование» (бакалавриат духовных образовательных организаций); 44.04.02 «Психолого-педагогическое образование» (магистратура духовных образовательных организаций); 44.03.01 «Педагогическое образование» (бакалавриат духовных образовательных организаций); 44.04.01 «Педагогическое образование» (магистратура духовных образовательных организаций). Для обучающихся в казачьих высших образовательных организациях всех форм обучения по всем направлениям профессиональной подготовки</t>
  </si>
  <si>
    <t>155100.07.01</t>
  </si>
  <si>
    <t>Христианские писатели II-XV вв. Византия и латин. Запад: Сл.-справ. / Ю.В.Балакин - Форум,2024 - 576с. (П)</t>
  </si>
  <si>
    <t>ХРИСТИАНСКИЕ ПИСАТЕЛИ II-XV ВЕКОВ. ВИЗАНТИЯ И ЛАТИНСКИЙ ЗАПАД, ИЗД.1</t>
  </si>
  <si>
    <t>Балакин Ю. В.</t>
  </si>
  <si>
    <t>978-5-91134-497-9</t>
  </si>
  <si>
    <t>431800.08.01</t>
  </si>
  <si>
    <t>Христианство в современном мире: Уч.пос. / О.Е.Казьмина, - 2 изд. - М.:НИЦ ИНФРА-М,2024. - 256 с.(ВО)(п)</t>
  </si>
  <si>
    <t>ХРИСТИАНСТВО В СОВРЕМЕННОМ МИРЕ, ИЗД.2</t>
  </si>
  <si>
    <t>Казьмина О.Е.</t>
  </si>
  <si>
    <t>978-5-16-019519-3</t>
  </si>
  <si>
    <t>46.03.01, 46.04.01, 47.03.03, 47.04.03</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</si>
  <si>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46.04.01 «История»</t>
  </si>
  <si>
    <t>431800.07.01</t>
  </si>
  <si>
    <t>Христианство в современном мире: Уч.пос./ О.Е.Казьмина. - М.: НИЦ ИНФРА-М, 2024 - 240с.(ВО:Магистр.) (п)</t>
  </si>
  <si>
    <t>ХРИСТИАНСТВО В СОВРЕМЕННОМ МИРЕ, ИЗД.1</t>
  </si>
  <si>
    <t>Казьмина О. Е.</t>
  </si>
  <si>
    <t>978-5-16-006425-3</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</si>
  <si>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030600 «История» О.Е. Казьмина</t>
  </si>
  <si>
    <t>803410.02.01</t>
  </si>
  <si>
    <t>Хроническая нейрогенная боль как модификатор злокач. процес. / И.М.Котиева - М.:НИЦ ИНФРА-М,2026. - 341 с.(п)</t>
  </si>
  <si>
    <t>ХРОНИЧЕСКАЯ НЕЙРОГЕННАЯ БОЛЬ КАК МОДИФИКАТОР ЗЛОКАЧЕСТВЕННОГО ПРОЦЕССА, ИЗД.1</t>
  </si>
  <si>
    <t>Котиева И.М.</t>
  </si>
  <si>
    <t>978-5-16-019650-3</t>
  </si>
  <si>
    <t>30.05.01, 30.06.01, 31.05.01, 31.05.02, 31.08.57, 32.05.01</t>
  </si>
  <si>
    <t>850450.03.01</t>
  </si>
  <si>
    <t>Хроноэкономика информац. общества: Моногр. / А.И.Богомолов - М.:Магистр, НИЦ ИНФРА-М,2026. - 248 с.(п)</t>
  </si>
  <si>
    <t>ХРОНОЭКОНОМИКА ИНФОРМАЦИОННОГО ОБЩЕСТВА, ИЗД.1</t>
  </si>
  <si>
    <t>Богомолов А.И.</t>
  </si>
  <si>
    <t>978-5-9776-0569-4</t>
  </si>
  <si>
    <t>276900.06.01</t>
  </si>
  <si>
    <t>Художественная деят. в пространстве культ. общ.: Моногр. / Л.Н.Дорогова - ИНФРА-М, 2023-152с. (о)</t>
  </si>
  <si>
    <t>ХУДОЖЕСТВЕННАЯ ДЕЯТЕЛЬНОСТЬ В ПРОСТРАНСТВЕ КУЛЬТУРЫ ОБЩЕСТВА, ИЗД.1</t>
  </si>
  <si>
    <t>Дорогова Л.Н.</t>
  </si>
  <si>
    <t>978-5-16-009781-7</t>
  </si>
  <si>
    <t>44.03.05, 50.06.01, 50.07.01, 51.03.01, 51.03.02, 51.04.02, 51.06.01</t>
  </si>
  <si>
    <t>732109.06.01</t>
  </si>
  <si>
    <t>Художественное проектирование костюма: Моногр. / Т.В.Козлова, - 2 изд. - М.:НИЦ ИНФРА-М,2026. - 140 с.(О)</t>
  </si>
  <si>
    <t>ХУДОЖЕСТВЕННОЕ ПРОЕКТИРОВАНИЕ КОСТЮМА, ИЗД.2</t>
  </si>
  <si>
    <t>978-5-16-016050-4</t>
  </si>
  <si>
    <t>687643.04.01</t>
  </si>
  <si>
    <t>Художественный мир М.А. Шолохова...: Уч.пос. / Л.Г.Сатарова. - М.:НИЦ ИНФРА-М,2026. - 300 с..ВО)(П)</t>
  </si>
  <si>
    <t>ХУДОЖЕСТВЕННЫЙ МИР М.А. ШОЛОХОВА: НОВЫЙ КОНТЕКСТ ПОНИМАНИЯ, ИЗД.1</t>
  </si>
  <si>
    <t>Сатарова Л.Г., Стюфляева Н.В., Шкурат Л.С. и др.</t>
  </si>
  <si>
    <t>978-5-16-016677-3</t>
  </si>
  <si>
    <t>44.03.01, 44.03.05, 45.03.01, 45.04.01, 52.05.04</t>
  </si>
  <si>
    <t>260300.07.01</t>
  </si>
  <si>
    <t>Цветофразеологизмы рус. и исп. яз. в лингв..: Моногр. / Ж.Багана - М:НИЦ ИНФРА-М,2027 - 116 с.(Науч.мысль)(о)</t>
  </si>
  <si>
    <t>ЦВЕТОФРАЗЕОЛОГИЗМЫ РУССКОГО И ИСПАНСКОГО ЯЗЫКОВ В ЛИНГВОКУЛЬТУРНОМ АСПЕКТЕ, ИЗД.1</t>
  </si>
  <si>
    <t>Багана Ж., Еркова Д. Н.</t>
  </si>
  <si>
    <t>978-5-16-009503-5</t>
  </si>
  <si>
    <t>780147.05.01</t>
  </si>
  <si>
    <t>Ценностное отнош. к семье как основа духовно-нравств... / Т.А.Серебрякова - М.:НИЦ ИНФРА-М,2026. - 185 с.(О)</t>
  </si>
  <si>
    <t>ЦЕННОСТНОЕ ОТНОШЕНИЕ К СЕМЬЕ КАК ОСНОВА ДУХОВНО-НРАВСТВЕННОГО СТАНОВЛЕНИЯ ЛИЧНОСТИ, ИЗД.1</t>
  </si>
  <si>
    <t>Серебрякова Т.А., Конева И.А.</t>
  </si>
  <si>
    <t>978-5-16-018283-4</t>
  </si>
  <si>
    <t>39.04.02, 39.04.03, 39.06.01, 44.04.01, 44.04.02, 44.05.01, 44.06.01</t>
  </si>
  <si>
    <t>803683.04.01</t>
  </si>
  <si>
    <t>Ценностные ориентации совр. рос. молодежи...: Моногр. / М.И.Камалова - М.:НИЦ ИНФРА-М,2026 - 171 с.(п)</t>
  </si>
  <si>
    <t>ЦЕННОСТНЫЕ ОРИЕНТАЦИИ СОВРЕМЕННОЙ РОССИЙСКОЙ МОЛОДЕЖИ: ПУБЛИЧНАЯ ПОЛИТИКА КАК ПРОСТРАНСТВО ФОРМИРОВАНИЯ, ИЗД.1</t>
  </si>
  <si>
    <t>Камалова М.И.</t>
  </si>
  <si>
    <t>978-5-16-018573-6</t>
  </si>
  <si>
    <t>653228.06.01</t>
  </si>
  <si>
    <t>Ценностные основания гос.политики: Уч. / В.Э.Багдасарян-М.:НИЦ ИНФРА-М,2024-286с(ВО: Бакалавриат)(П)</t>
  </si>
  <si>
    <t>ЦЕННОСТНЫЕ ОСНОВАНИЯ ГОСУДАРСТВЕННОЙ ПОЛИТИКИ, ИЗД.1</t>
  </si>
  <si>
    <t>978-5-16-019119-5</t>
  </si>
  <si>
    <t>38.03.04, 41.03.04, 41.03.06, 46.03.01, 51.03.01</t>
  </si>
  <si>
    <t>Рекомендовано в качестве учебника для студентов высших учебных заведений, обучающихся по направлениям подготовки 41.03.04 «Политология», 46.03.01 «История», 51.03.01 «Культурология» (квалификация (степень) «бакалавр»)</t>
  </si>
  <si>
    <t>863568.01.01</t>
  </si>
  <si>
    <t>Ценностные основания формир. проф. потенциала студенческой... / И.А.Газиева - М.:НИЦ ИНФРА-М,2026. - 272 с.(п)</t>
  </si>
  <si>
    <t>ЦЕННОСТНЫЕ ОСНОВАНИЯ ФОРМИРОВАНИЯ ПРОФЕССИОНАЛЬНОГО ПОТЕНЦИАЛА СТУДЕНЧЕСКОЙ МОЛОДЕЖИ, ИЗД.1</t>
  </si>
  <si>
    <t>978-5-16-021351-4</t>
  </si>
  <si>
    <t>38.03.02, 38.03.03, 38.04.02, 38.04.03, 39.03.01</t>
  </si>
  <si>
    <t>681408.02.01</t>
  </si>
  <si>
    <t>Ценностный мир совр. рос. молодежи: Моногр. / И.В.Бормотов - М.:НИЦ ИНФРА-М,2026 - 178 с.(Научная мысль)(О)</t>
  </si>
  <si>
    <t>ЦЕННОСТНЫЙ МИР СОВРЕМЕННОЙ РОССИЙСКОЙ МОЛОДЕЖИ (СОЦИАЛЬНО-ФИЛОСОФСКИЙ АНАЛИЗ), ИЗД.1</t>
  </si>
  <si>
    <t>Бормотов И.В.</t>
  </si>
  <si>
    <t>978-5-16-017332-0</t>
  </si>
  <si>
    <t>39.03.03, 39.04.03, 39.06.01</t>
  </si>
  <si>
    <t>867597.01.01</t>
  </si>
  <si>
    <t>Ценные бумаги в уголовном судопроизводстве РФ: Моногр. / Р.М.Хуснутдинов-М.:Юр. НОРМА,2026.-240 с.(п)</t>
  </si>
  <si>
    <t>ЦЕННЫЕ БУМАГИ В УГОЛОВНОМ СУДОПРОИЗВОДСТВЕ РОССИЙСКОЙ ФЕДЕРАЦИИ, ИЗД.1</t>
  </si>
  <si>
    <t>Хуснутдинов Р.М.</t>
  </si>
  <si>
    <t>978-5-00156-465-2</t>
  </si>
  <si>
    <t>139650.16.01</t>
  </si>
  <si>
    <t>Ценообразование: Уч. / Под ред. Слепова В.А. - 3 изд. - М.:Магистр, НИЦ ИНФРА-М,2027 - 304 с.(П)</t>
  </si>
  <si>
    <t>ЦЕНООБРАЗОВАНИЕ, ИЗД.3</t>
  </si>
  <si>
    <t>Слепов В.А., Николаева Т.Е., Глазова Е.С. и др.</t>
  </si>
  <si>
    <t>978-5-16-022375-9</t>
  </si>
  <si>
    <t>38.03.01, 38.03.02, 38.03.06, 38.04.06</t>
  </si>
  <si>
    <t>751023.05.01</t>
  </si>
  <si>
    <t>Ценообразование: Уч.+ практикум / А.М.Фридман - М.:ИЦ РИОР, НИЦ ИНФРА-М,2026. - 151 с.(п)</t>
  </si>
  <si>
    <t>ЦЕНООБРАЗОВАНИЕ, ИЗД.1</t>
  </si>
  <si>
    <t>978-5-369-01924-5</t>
  </si>
  <si>
    <t>653237.06.01</t>
  </si>
  <si>
    <t>Централизованная бухгалтерия в секторе.: Моногр. / Р.В.Ерженин - М.:ИЦ РИОР, НИЦ ИНФРА-М,2025 - 204 с.(О)</t>
  </si>
  <si>
    <t>ЦЕНТРАЛИЗОВАННАЯ БУХГАЛТЕРИЯ В СЕКТОРЕ ГОСУДАРСТВЕННОГО УПРАВЛЕНИЯ: ТЕОРИЯ И ПРАКТИКА, ИЗД.1</t>
  </si>
  <si>
    <t>Ерженин Р.В.</t>
  </si>
  <si>
    <t>978-5-369-01662-6</t>
  </si>
  <si>
    <t>09.03.03, 09.04.02, 27.03.05, 27.04.04, 38.04.04, 38.04.05, 38.04.09, 38.05.01</t>
  </si>
  <si>
    <t>169450.04.01</t>
  </si>
  <si>
    <t>Центральная Азия в полит. кайзеров. Германии: Моногр./В.В.Ряполов -М.:ИЦ РИОР,НИЦ ИНФРА-М,2019-116с.</t>
  </si>
  <si>
    <t>ЦЕНТРАЛЬНАЯ АЗИЯ В ПОЛИТИКЕ КАЙЗЕРОВСКОЙ ГЕРМАНИИ, ИЗД.1</t>
  </si>
  <si>
    <t>Ряполов В.В.</t>
  </si>
  <si>
    <t>978-5-369-01008-2</t>
  </si>
  <si>
    <t>41.03.04, 41.04.04, 44.03.01, 44.03.05, 46.03.01, 46.04.01</t>
  </si>
  <si>
    <t>817651.02.01</t>
  </si>
  <si>
    <t>Центральные территории Тольятти...: Моногр. / Д.Б.Веретенников - М.:НИЦ ИНФРА-М,2026 - 293 с.(Науч.мысль)(п)</t>
  </si>
  <si>
    <t>ЦЕНТРАЛЬНЫЕ ТЕРРИТОРИИ ТОЛЬЯТТИ: ИСТОРИЯ ФОРМИРОВАНИЯ И ПЕРСПЕКТИВЫ РАЗВИТИЯ, ИЗД.1</t>
  </si>
  <si>
    <t>978-5-16-019913-9</t>
  </si>
  <si>
    <t>07.04.01, 07.04.03, 07.04.04, 07.06.01</t>
  </si>
  <si>
    <t>408550.05.01</t>
  </si>
  <si>
    <t>Цепочка создания стоимости продукта: Моногр. / Т.В.Андреева-М.:ИЦ РИОР, НИЦ ИНФРА-М,2024.-170 с.(О)</t>
  </si>
  <si>
    <t>ЦЕПОЧКА СОЗДАНИЯ СТОИМОСТИ ПРОДУКТА: ФОРМИРОВАНИЕ И ОЦЕНКА  ЭФФЕКТИВНОСТИ, ИЗД.1</t>
  </si>
  <si>
    <t>Андреева Т.В.</t>
  </si>
  <si>
    <t>978-5-369-01147-8</t>
  </si>
  <si>
    <t>825505.03.01</t>
  </si>
  <si>
    <t>Цивилизационные аспекты пробл. прав чел..: Моногр. / Т.Я.Хабриева. - М.:Юр. НОРМА, НИЦ ИНФРА-М,2026 - 208 с.(п)</t>
  </si>
  <si>
    <t>ЦИВИЛИЗАЦИОННЫЕ АСПЕКТЫ ПРОБЛЕМЫ ПРАВ ЧЕЛОВЕКА. К 75-ЛЕТИЮ ВСЕОБЩЕЙ ДЕКЛАРАЦИИ ПРАВ ЧЕЛОВЕКА, ИЗД.1</t>
  </si>
  <si>
    <t>Хабриева Т.Я., Лазарев В.В., Ковлер А.И. и др.</t>
  </si>
  <si>
    <t>978-5-00156-367-9</t>
  </si>
  <si>
    <t>40.04.01, 40.05.04, 40.06.01, 41.04.05</t>
  </si>
  <si>
    <t>407000.04.01</t>
  </si>
  <si>
    <t>Циклида Дюпена и ее приложение: Моногр. / Н.А.Сальков - М.:НИЦ ИНФРА-М,2026. - 141 с.(Науч.мысль)(О)</t>
  </si>
  <si>
    <t>ЦИКЛИДА ДЮПЕНА И ЕЕ ПРИЛОЖЕНИЕ, ИЗД.1</t>
  </si>
  <si>
    <t>978-5-16-011910-6</t>
  </si>
  <si>
    <t>01.03.02, 01.03.04, 02.03.02, 02.03.03, 03.03.02, 04.03.02, 29.04.04</t>
  </si>
  <si>
    <t>785403.01.01</t>
  </si>
  <si>
    <t>Цикличность развития экономики и финансовой сферы: Моногр. / В.М.Пищулов-М.:НИЦ ИНФРА-М,2023.-212 с.(О)</t>
  </si>
  <si>
    <t>ЦИКЛИЧНОСТЬ РАЗВИТИЯ ЭКОНОМИКИ И ФИНАНСОВОЙ СФЕРЫ, ИЗД.1</t>
  </si>
  <si>
    <t>978-5-16-017885-1</t>
  </si>
  <si>
    <t>333900.03.01</t>
  </si>
  <si>
    <t>Циклы и общество: Монография / В.В.Афанасьев -М.:НИЦ ИНФРА-М,2019.-238 с..-(Науч.мысль)(О)</t>
  </si>
  <si>
    <t>ЦИКЛЫ И ОБЩЕСТВО, ИЗД.1</t>
  </si>
  <si>
    <t>978-5-16-010648-9</t>
  </si>
  <si>
    <t>781694.03.01</t>
  </si>
  <si>
    <t>Циркулярная модель экономического роста...: Моногр./ С.В.Ратнер - М.:НИЦ ИНФРА-М,2026 - 212 с.(П)</t>
  </si>
  <si>
    <t>ЦИРКУЛЯРНАЯ МОДЕЛЬ ЭКОНОМИЧЕСКОГО РОСТА: ОПЫТ, ВОЗМОЖНОСТИ И БАРЬЕРЫ, ИЗД.1</t>
  </si>
  <si>
    <t>Ратнер С.В., Назарова Л.Е.</t>
  </si>
  <si>
    <t>978-5-16-017852-3</t>
  </si>
  <si>
    <t>38.04.01, 38.04.02, 38.04.04, 38.06.01, 40.04.01</t>
  </si>
  <si>
    <t>781694.04.01</t>
  </si>
  <si>
    <t>Циркулярная модель экономического роста..: Моногр. / С.В.Ратнер - М.:НИЦ ИНФРА-М,2026. - 212 с.(Науч.мысль)(о)</t>
  </si>
  <si>
    <t>978-5-16-022090-1</t>
  </si>
  <si>
    <t>860229.01.01</t>
  </si>
  <si>
    <t>Циркулярная трансформация экономики России: Моногр. / Н.Р.Амирова. - М.:НИЦ ИНФРА-М,2026. - 185 с.(Науч.мысль)(п)</t>
  </si>
  <si>
    <t>ЦИРКУЛЯРНАЯ ТРАНСФОРМАЦИЯ ЭКОНОМИКИ РОССИИ, ИЗД.1</t>
  </si>
  <si>
    <t>Амирова Н.Р., Саргина Л.В., Бурденко Е.В. и др.</t>
  </si>
  <si>
    <t>978-5-16-021783-3</t>
  </si>
  <si>
    <t>38.03.02, 38.04.01, 38.04.02, 38.04.08, 38.06.01</t>
  </si>
  <si>
    <t>770770.05.01</t>
  </si>
  <si>
    <t>Циркулярная экономика..: Моногр. / И.И.Антонова и др. - М.:НИЦ ИНФРА-М,2026. - 270 с.(П)</t>
  </si>
  <si>
    <t>ЦИРКУЛЯРНАЯ ЭКОНОМИКА: ОБЕСПЕЧЕНИЕ УСТОЙЧИВОГО РАЗВИТИЯ И КОНКУРЕНТОСПОСОБНОСТИ РЕГИОНА, ИЗД.1</t>
  </si>
  <si>
    <t>Антонова И.И., Кормишкина Л.А., Салимова Т.А. и др.</t>
  </si>
  <si>
    <t>978-5-16-017708-3</t>
  </si>
  <si>
    <t>699517.06.01</t>
  </si>
  <si>
    <t>Цитирование как метод сопровожд.и обесп.науч.исслед.: Моногр. / И.В.Понкин - М.:НИЦ ИНФРА-М,2023-86с(О)</t>
  </si>
  <si>
    <t>ЦИТИРОВАНИЕ КАК МЕТОД СОПРОВОЖДЕНИЯ И ОБЕСПЕЧЕНИЯ НАУЧНОГО ИССЛЕДОВАНИЯ, ИЗД.1</t>
  </si>
  <si>
    <t>Понкин И.В., Редькина А.И.</t>
  </si>
  <si>
    <t>978-5-16-014750-5</t>
  </si>
  <si>
    <t>820907.01.01</t>
  </si>
  <si>
    <t>Цитология с основами гистологии: Прак. / Т.И.Голованова-М.:НИЦ ИНФРА-М, СФУ,2024.-116 с.(ВО (СФУ))(п)</t>
  </si>
  <si>
    <t>ЦИТОЛОГИЯ С ОСНОВАМИ ГИСТОЛОГИИ. ПРАКТИКУМ, ИЗД.1</t>
  </si>
  <si>
    <t>Голованова Т.И., Иванова А.Н.</t>
  </si>
  <si>
    <t>978-5-16-019583-4</t>
  </si>
  <si>
    <t>06.03.01, 36.03.01, 36.05.01</t>
  </si>
  <si>
    <t>850107.01.01</t>
  </si>
  <si>
    <t>Цитология, гистология, эмбриология: Уч.пос. / Н.В.Донкова - М.:НИЦ ИНФРА-М,2026. - 162 с.(ВО (КрГАУ))(п)</t>
  </si>
  <si>
    <t>ЦИТОЛОГИЯ, ГИСТОЛОГИЯ, ЭМБРИОЛОГИЯ, ИЗД.1</t>
  </si>
  <si>
    <t>Донкова Н.В.</t>
  </si>
  <si>
    <t>978-5-16-021779-6</t>
  </si>
  <si>
    <t>775127.03.01</t>
  </si>
  <si>
    <t>Цифровая аналитика и контроль финанс. безопас...: Моногр. / Н.А.Казакова - М.:НИЦ ИНФРА-М,2026. - 160 с.(О)</t>
  </si>
  <si>
    <t>ЦИФРОВАЯ АНАЛИТИКА И КОНТРОЛЬ ФИНАНСОВОЙ БЕЗОПАСНОСТИ ОБЩЕСТВЕННО ЗНАЧИМЫХ ОРГАНИЗАЦИЙ, ИЗД.1</t>
  </si>
  <si>
    <t>Казакова Н.А., Сивкова А.Е.</t>
  </si>
  <si>
    <t>978-5-16-017634-5</t>
  </si>
  <si>
    <t>38.04.01, 38.04.02, 38.04.08, 38.05.01, 38.06.01, 38.07.02</t>
  </si>
  <si>
    <t>861393.01.01</t>
  </si>
  <si>
    <t>Цифровая дидактика. Педагог. эксперимент..: Уч.пос. / Р.В.Есин - М.:НИЦ ИНФРА-М, СФУ,2026. - 82 с.(ВО)(о)</t>
  </si>
  <si>
    <t>ЦИФРОВАЯ ДИДАКТИКА. ПЕДАГОГИЧЕСКИЙ ЭКСПЕРИМЕНТ И ЕГО АНАЛИЗ МАТЕМАТИЧЕСКИМИ МЕТОДАМИ, ИЗД.1</t>
  </si>
  <si>
    <t>Есин Р.В., Карнаухова О.А., Кустицкая Т.А.</t>
  </si>
  <si>
    <t>978-5-16-021332-3</t>
  </si>
  <si>
    <t>01.04.02, 44.04.01</t>
  </si>
  <si>
    <t>649816.04.01</t>
  </si>
  <si>
    <t>Цифровая инфраструктура и телематич.сис. контроля раб...: Уч.пос. / В.М.Власов -М.:НИЦ ИНФРА-М,2024.-229с(П)</t>
  </si>
  <si>
    <t>ЦИФРОВАЯ ИНФРАСТРУКТУРА И ТЕЛЕМАТИЧЕСКИЕ СИСТЕМЫ КОНТРОЛЯ РАБОТ ПО СОДЕРЖАНИЮ АВТОМОБИЛЬНЫХ ДОРОГ, ИЗД.1</t>
  </si>
  <si>
    <t>Власов В.М., Байтулаев А.М., Богумил В.Н.</t>
  </si>
  <si>
    <t>978-5-16-015013-0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</si>
  <si>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23.03.03 «Эксплуатация транспортно-технологических машин и комплексов» (квалификация (степень) «бакалавр») (протокол № 1 от 20.01.2021)</t>
  </si>
  <si>
    <t>865466.01.01</t>
  </si>
  <si>
    <t>Цифровая трансформация уголовного судопроизв. России и зарубежных стран: Моногр.-М.:Юр. НОРМА,2026.-208 с.(п)</t>
  </si>
  <si>
    <t>ЦИФРОВАЯ ТРАНСФОРМАЦИЯ УГОЛОВНОГО СУДОПРОИЗВОДСТВА РОССИИ И ЗАРУБЕЖНЫХ СТРАН, ИЗД.1</t>
  </si>
  <si>
    <t>Моругина Н.А.</t>
  </si>
  <si>
    <t>978-5-00156-461-4</t>
  </si>
  <si>
    <t>40.03.01, 40.04.01, 40.05.01, 40.05.02, 40.05.04, 40.03.02</t>
  </si>
  <si>
    <t>Воронежский институт Министерства внутренних дел Российской Федерации</t>
  </si>
  <si>
    <t>673207.14.01</t>
  </si>
  <si>
    <t>Цифровая эконом.: Управ.электр.бизнесом и электр.коммер. / Л.В.Лапидус - М.:НИЦ ИНФРА-М,2027 - 381с.(П)</t>
  </si>
  <si>
    <t>ЦИФРОВАЯ ЭКОНОМИКА: УПРАВЛЕНИЕ ЭЛЕКТРОННЫМ БИЗНЕСОМ И ЭЛЕКТРОННОЙ КОММЕРЦИЕЙ, ИЗД.1</t>
  </si>
  <si>
    <t>978-5-16-013607-3</t>
  </si>
  <si>
    <t>38.03.01, 38.03.04, 40.03.01, 41.03.05, 44.03.01, 44.03.05</t>
  </si>
  <si>
    <t>718993.06.01</t>
  </si>
  <si>
    <t>Цифровая экономика предприятия: Уч. / М.Ф.Меняев - М.:НИЦ ИНФРА-М,2026. - 369 с.(ВО)(П)</t>
  </si>
  <si>
    <t>ЦИФРОВАЯ ЭКОНОМИКА ПРЕДПРИЯТИЯ, ИЗД.1</t>
  </si>
  <si>
    <t>Меняев М.Ф.</t>
  </si>
  <si>
    <t>978-5-16-015656-9</t>
  </si>
  <si>
    <t>27.03.05, 38.03.01, 38.03.02, 38.03.03, 38.03.04, 38.03.05, 38.03.07, 38.03.10</t>
  </si>
  <si>
    <t>Рекомендовано федеральным учебно-методическим объединением в системе высшего образования по укрупненным группам специальностей и направлений подготовки 27.00.00 «Управление в технических системах» в качестве учебного пособия для реализации основных профессиональных образовательных программ высшего образования по направлению подготовки бакалавров 27.03.05 «Инноватика»</t>
  </si>
  <si>
    <t>868281.01.01</t>
  </si>
  <si>
    <t>Цифровая экономика, экономика данных и приклад...: Уч.пос. / Л.В.Лапидус - М.:НИЦ ИНФРА-М,2026. - 544 с.(ВО)(п)</t>
  </si>
  <si>
    <t>ЦИФРОВАЯ ЭКОНОМИКА, ЭКОНОМИКА ДАННЫХ И ПРИКЛАДНОЙ ИСКУССТВЕННЫЙ ИНТЕЛЛЕКТ, ИЗД.1</t>
  </si>
  <si>
    <t>978-5-16-021561-7</t>
  </si>
  <si>
    <t>21.04.02, 38.03.01, 38.03.02, 38.04.01, 41.03.05, 44.03.01</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</si>
  <si>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«магистр»)</t>
  </si>
  <si>
    <t>767628.06.01</t>
  </si>
  <si>
    <t>Цифровая экономика: актуал. направ...: Прак. пос. / И.И.Кучеров - М.:Юр. НОРМА, НИЦ ИНФРА-М,2026 - 376 с.(П)</t>
  </si>
  <si>
    <t>ЦИФРОВАЯ ЭКОНОМИКА: АКТУАЛЬНЫЕ НАПРАВЛЕНИЯ ПРАВОВОГО РЕГУЛИРОВАНИЯ, ИЗД.1</t>
  </si>
  <si>
    <t>Кучеров И.И., Синицын С.А., Нанба С.Б. и др.</t>
  </si>
  <si>
    <t>978-5-00156-210-8</t>
  </si>
  <si>
    <t>38.03.01, 38.03.02, 38.03.04, 38.04.01, 38.04.02, 38.04.04, 38.05.01, 38.06.01, 40.03.01, 40.04.01, 40.06.01</t>
  </si>
  <si>
    <t>673203.12.01</t>
  </si>
  <si>
    <t>Цифровая экономика: Упр. электр. бизнесом и электр. коммер.: Уч. / Л.В.Лапидус - М.:НИЦ ИНФРА-М,2026 - 479 с.(П)</t>
  </si>
  <si>
    <t>978-5-16-018513-2</t>
  </si>
  <si>
    <t>673290.12.01</t>
  </si>
  <si>
    <t>Цифровая экономика: Уч. / В.Д.Маркова - М.:НИЦ ИНФРА-М,2027. - 186 с.(ВО)(п)</t>
  </si>
  <si>
    <t>ЦИФРОВАЯ ЭКОНОМИКА, ИЗД.1</t>
  </si>
  <si>
    <t>978-5-16-019134-8</t>
  </si>
  <si>
    <t>38.03.01, 38.04.01, 44.03.01, 46.02.02</t>
  </si>
  <si>
    <t>820925.01.01</t>
  </si>
  <si>
    <t>Цифровая электроника: Уч.пос. В 2 ч. Ч. 1. Основы/ О.В.Непомнящий-М.:НИЦ ИНФРА-М, СФУ,2024.-234 с.(ВО(п)</t>
  </si>
  <si>
    <t>ЦИФРОВАЯ ЭЛЕКТРОНИКА, Т.1</t>
  </si>
  <si>
    <t>Непомнящий О.В., Медведев М.С., Яблонский А.П. и др.</t>
  </si>
  <si>
    <t>978-5-16-019593-3</t>
  </si>
  <si>
    <t>862510.01.01</t>
  </si>
  <si>
    <t>Цифровизация гражданских правоотношений..: Моногр. / Т.Ю.Астапова. - М.:НИЦ ИНФРА-М,2026. - 216 с.(п)</t>
  </si>
  <si>
    <t>ЦИФРОВИЗАЦИЯ ГРАЖДАНСКИХ ПРАВООТНОШЕНИЙ: ПРОБЛЕМЫ ТЕОРИИ И ПРАКТИКИ, ИЗД.1</t>
  </si>
  <si>
    <t>Астапова Т.Ю., Бандурина Н.В., Барышников М.Ю. и др.</t>
  </si>
  <si>
    <t>978-5-16-021348-4</t>
  </si>
  <si>
    <t>803333.03.01</t>
  </si>
  <si>
    <t>Цифровое гражданство: Моногр. / И.С.Иксанов - М.:НИЦ ИНФРА-М,2026. - 191 с.(Науч.мысль)(п)</t>
  </si>
  <si>
    <t>ЦИФРОВОЕ ГРАЖДАНСТВО, ИЗД.1</t>
  </si>
  <si>
    <t>978-5-16-019003-7</t>
  </si>
  <si>
    <t>880966.01.01</t>
  </si>
  <si>
    <t>Цифровое публичное управление: Уч. / Р.Т.Мухаев - М.:НИЦ ИНФРА-М,2027. - 228 с.(ВО)(п)</t>
  </si>
  <si>
    <t>ЦИФРОВОЕ ПУБЛИЧНОЕ УПРАВЛЕНИЕ, ИЗД.1</t>
  </si>
  <si>
    <t>978-5-16-022216-5</t>
  </si>
  <si>
    <t>720803.01.01</t>
  </si>
  <si>
    <t>Цифровое развит. экономики и прикладная информ... / Под ред. Кожевина О.В.-М.:НИЦ ИНФРА-М,2023.-171с(О)</t>
  </si>
  <si>
    <t>ЦИФРОВОЕ РАЗВИТИЕ ЭКОНОМИКИ И ПРИКЛАДНАЯ ИНФОРМАТИКА В УПРАВЛЕНИИ ТЕРРИТОРИЯМИ: ОПЫТ РОССИИ И КАЗАХСТАНА, ИЗД.1</t>
  </si>
  <si>
    <t>Бейсембай Е., Вдовкина Е.Г., Егорова М.А. и др.</t>
  </si>
  <si>
    <t>978-5-16-017984-1</t>
  </si>
  <si>
    <t>654523.08.01</t>
  </si>
  <si>
    <t>Цифровой бизнес: Уч. / Под ред. Китовой О.В. - М.:НИЦ ИНФРА-М,2025 - 418 с.(ВО: Магистр.)(П)</t>
  </si>
  <si>
    <t>ЦИФРОВОЙ БИЗНЕС, ИЗД.1</t>
  </si>
  <si>
    <t>Китова О.В., Брускин С.Н., Дьяконова Л.П. и др.</t>
  </si>
  <si>
    <t>978-5-16-020622-6</t>
  </si>
  <si>
    <t>Рекомендовано в качестве учебника для студентов высших учебных заведений, обучающихся по направлениям подготовки 38.04.01 «Экономика», 38.04.02 «Менеджмент» (квалификация (степень) «магистр»)</t>
  </si>
  <si>
    <t>862835.01.01</t>
  </si>
  <si>
    <t>Цифровой маркетинг: Уч. / С.В.Зинченко и др. - М.:НИЦ ИНФРА-М,2026. - 281 с.(ВО)(п)</t>
  </si>
  <si>
    <t>ЦИФРОВОЙ МАРКЕТИНГ, ИЗД.1</t>
  </si>
  <si>
    <t>Гамидуллаева Л.А., Зинченко С.В., Бижанова Е.М.</t>
  </si>
  <si>
    <t>978-5-16-021675-1</t>
  </si>
  <si>
    <t>09.03.03, 38.03.02, 38.04.02, 38.04.06</t>
  </si>
  <si>
    <t>815070.01.01</t>
  </si>
  <si>
    <t>Цифровой практикум: текстовый и таблич. процес.: Уч.пос. / Н.В.Апатова-М.:НИЦ ИНФРА-М,2024.-309 с.(ВО)(п)</t>
  </si>
  <si>
    <t>ЦИФРОВОЙ ПРАКТИКУМ: ТЕКСТОВЫЙ И ТАБЛИЧНЫЙ ПРОЦЕССОРЫ, ИЗД.1</t>
  </si>
  <si>
    <t>Апатова Н.В., Бакуменко М.А.</t>
  </si>
  <si>
    <t>978-5-16-019294-9</t>
  </si>
  <si>
    <t>00.03.03</t>
  </si>
  <si>
    <t>817796.01.01</t>
  </si>
  <si>
    <t>Цифровой суверенитет: актуальные проблемы..: Моногр. / А.В.Царегородцев-М.:НИЦ ИНФРА-М,2024.-209 с.(п)</t>
  </si>
  <si>
    <t>ЦИФРОВОЙ СУВЕРЕНИТЕТ: АКТУАЛЬНЫЕ ПРОБЛЕМЫ И РЕШЕНИЯ, ИЗД.1</t>
  </si>
  <si>
    <t>Царегородцев А.В., Романовский С.В.</t>
  </si>
  <si>
    <t>978-5-16-019460-8</t>
  </si>
  <si>
    <t>10.05.03, 10.05.04, 10.05.05, 10.05.07, 10.06.01, 38.04.04, 38.06.01, 40.04.01, 40.05.01, 40.06.01</t>
  </si>
  <si>
    <t>869199.01.01</t>
  </si>
  <si>
    <t>Цифровые валюты: Уч. / В.М.Пищулов - М.:НИЦ ИНФРА-М,2027. - 228 с.(ВО)(п)</t>
  </si>
  <si>
    <t>ЦИФРОВЫЕ ВАЛЮТЫ, ИЗД.1</t>
  </si>
  <si>
    <t>978-5-16-021690-4</t>
  </si>
  <si>
    <t>38.03.01, 38.04.01, 38.04.02, 38.04.06, 38.04.08, 38.05.01</t>
  </si>
  <si>
    <t>800971.07.01</t>
  </si>
  <si>
    <t>Цифровые платформы и экосистемы  в гос. упр. / Под ред. Васильевой Е.В. - М.:НИЦ ИНФРА-М,2026 - 204 с.(п)</t>
  </si>
  <si>
    <t>ЦИФРОВЫЕ ПЛАТФОРМЫ И ЭКОСИСТЕМЫ В ГОСУДАРСТВЕННОМ УПРАВЛЕНИИ, ИЗД.1</t>
  </si>
  <si>
    <t>Васильева Е.В., Громова А.А., Зараменских Е.П. и др.</t>
  </si>
  <si>
    <t>978-5-16-018537-8</t>
  </si>
  <si>
    <t>09.03.02, 09.04.02, 38.03.04, 38.04.02, 38.04.03, 38.04.04, 38.04.09, 38.05.01, 38.06.01, 40.04.01, 40.05.01, 40.05.02, 40.05.04, 40.06.01, 41.03.06</t>
  </si>
  <si>
    <t>821074.02.01</t>
  </si>
  <si>
    <t>Цифровые технологии в педагогической деят.: Уч.пос. / А.А.Кузнецов. - М.:НИЦ ИНФРА-М,2027 - 223 с.(ВО)(п)</t>
  </si>
  <si>
    <t>ЦИФРОВЫЕ ТЕХНОЛОГИИ В ПЕДАГОГИЧЕСКОЙ ДЕЯТЕЛЬНОСТИ, ИЗД.1</t>
  </si>
  <si>
    <t>Кузнецов А.А., Агафонова К.Е., Юсупова К.Т. и др.</t>
  </si>
  <si>
    <t>978-5-16-019825-5</t>
  </si>
  <si>
    <t>44.03.01, 44.03.02, 44.03.03, 44.03.04, 44.03.05, 44.04.01, 44.04.04</t>
  </si>
  <si>
    <t>796190.09.01</t>
  </si>
  <si>
    <t>Цифровые технологии в учеб. процессе: Уч. / В.И.Блинов. - М.:ИЦ РИОР, НИЦ ИНФРА-М,2026. - 311 с.(ВО)(п)</t>
  </si>
  <si>
    <t>ЦИФРОВЫЕ ТЕХНОЛОГИИ В УЧЕБНОМ ПРОЦЕССЕ, ИЗД.1</t>
  </si>
  <si>
    <t>Алексахин С.В., Блинов В.И., Сергеев И.С. и др.</t>
  </si>
  <si>
    <t>978-5-369-01970-2</t>
  </si>
  <si>
    <t>796190.06.01</t>
  </si>
  <si>
    <t>Цифровые технологии в учебном процессе: Уч. / С.В.Алексахин - 2 изд. - М.:ИЦ РИОР, НИЦ ИНФРА-М,2025. - 331 с.(п)</t>
  </si>
  <si>
    <t>ЦИФРОВЫЕ ТЕХНОЛОГИИ В УЧЕБНОМ ПРОЦЕССЕ, ИЗД.2</t>
  </si>
  <si>
    <t>753308.05.01</t>
  </si>
  <si>
    <t>Цифровые технологии как инструмент финанс..: Уч.пос. / И.В.Петрова - М.:Юр.Норма, НИЦ ИНФРА-М,2026. - 104 с.(О)</t>
  </si>
  <si>
    <t>ЦИФРОВЫЕ ТЕХНОЛОГИИ КАК ИНСТРУМЕНТ ФИНАНСОВОГО КОНТРОЛЯ, ИЗД.1</t>
  </si>
  <si>
    <t>Петрова И.В.</t>
  </si>
  <si>
    <t>978-5-00156-155-2</t>
  </si>
  <si>
    <t>38.04.09, 40.03.01</t>
  </si>
  <si>
    <t>747340.03.01</t>
  </si>
  <si>
    <t>Цифровые трудовые платформы: новые формы орг...: Моногр. / Е.А.Савельева-М.:НИЦ ИНФРА-М,2023.-213 с.(О)</t>
  </si>
  <si>
    <t>ЦИФРОВЫЕ ТРУДОВЫЕ ПЛАТФОРМЫ: НОВЫЕ ФОРМЫ ОРГАНИЗАЦИИ И РЕГУЛИРОВАНИЯ ТРУДА, ИЗД.1</t>
  </si>
  <si>
    <t>978-5-16-017186-9</t>
  </si>
  <si>
    <t>796199.03.01</t>
  </si>
  <si>
    <t>Цифровые финансы: Уч. / Под общ. ред. И.П. Хоминич, С.В. Фруминой - М.:НИЦ ИНФРА-М,2026 - 451 с.(ВО (РЭУ))(п)</t>
  </si>
  <si>
    <t>ЦИФРОВЫЕ ФИНАНСЫ, ИЗД.1</t>
  </si>
  <si>
    <t>Асяева Э.А., Ахвледиани Ю.Т., Белянчикова Т.В. и др.</t>
  </si>
  <si>
    <t>978-5-16-019163-8</t>
  </si>
  <si>
    <t>Рекомендовано Учебно-методическим отделом высшего образования в качестве учебника и практикума для студентов высших учебных заведений, обучающихся по экономическим направлениям</t>
  </si>
  <si>
    <t>659643.04.01</t>
  </si>
  <si>
    <t>Частицы в современном рус. яз. Развитие...: Уч.пос. / В.Н.Шапошников - М.:НИЦ ИНФРА-М,2026 - 156 с.(П)</t>
  </si>
  <si>
    <t>ЧАСТИЦЫ В СОВРЕМЕННОМ РУССКОМ ЯЗЫКЕ. РАЗВИТИЕ ГРАММАТИЧЕСКОГО КЛАССА, ИЗД.1</t>
  </si>
  <si>
    <t>978-5-16-013026-2</t>
  </si>
  <si>
    <t>45.03.01, 45.03.03</t>
  </si>
  <si>
    <t>Рекомендовано в качестве учебного пособия для студентов высших учебных заведений, обучающихся по направлению подготовки 45.04.01 «Филология» (квалификация (степень) «магистр»)</t>
  </si>
  <si>
    <t>860820.01.01</t>
  </si>
  <si>
    <t>Частная криминалистич. теория обеспеч. безопас. участников... / А.В.Мишин - М.:НИЦ ИНФРА-М,2026. - 225 с.(п)</t>
  </si>
  <si>
    <t>ЧАСТНАЯ КРИМИНАЛИСТИЧЕСКАЯ ТЕОРИЯ ОБЕСПЕЧЕНИЯ БЕЗОПАСНОСТИ УЧАСТНИКОВ УГОЛОВНОГО СУДОПРОИЗВОДСТВА, ИЗД.1</t>
  </si>
  <si>
    <t>Мишин А.В.</t>
  </si>
  <si>
    <t>978-5-16-021250-0</t>
  </si>
  <si>
    <t>330700.13.01</t>
  </si>
  <si>
    <t>Частная проктология. Геморрой: Уч.пос. / И.В.Макаров - М.:Форум, НИЦ ИНФРА-М,2027. - 96 с.(ВО)(о)</t>
  </si>
  <si>
    <t>ЧАСТНАЯ ПРОКТОЛОГИЯ. ГЕМОРРОЙ, ИЗД.1</t>
  </si>
  <si>
    <t>Макаров И.В., Долгих О.Ю.</t>
  </si>
  <si>
    <t>978-5-00091-025-2</t>
  </si>
  <si>
    <t>Рекомендовано в качестве учебного пособия для студентов высших учебных заведений, обучающихся по основным профессиональным образовательным программам высшего образования — программам специалитета «Лечебное дело» и «Педиатрия»</t>
  </si>
  <si>
    <t>416800.09.01</t>
  </si>
  <si>
    <t>Человек в биосфере: Уч.пос. / Л.Н.Ердаков-М.:НИЦ ИНФРА-М,2024.-206 с.(ВО)(п)</t>
  </si>
  <si>
    <t>ЧЕЛОВЕК В БИОСФЕРЕ, ИЗД.1</t>
  </si>
  <si>
    <t>978-5-16-019159-1</t>
  </si>
  <si>
    <t>05.03.06, 05.04.06, 06.03.01, 06.03.02, 06.04.01</t>
  </si>
  <si>
    <t>332400.04.01</t>
  </si>
  <si>
    <t>Человек в правовой сфере: личн.-деят. подход: Моногр. / Р.В.Шагиева-М.:Юр. НОРМА, НИЦ ИНФРА-М,2024-208с(о)</t>
  </si>
  <si>
    <t>ЧЕЛОВЕК В ПРАВОВОЙ СФЕРЕ: ЛИЧНОСТНО-ДЕЯТЕЛЬНОСТНЫЙ ПОДХОД, ИЗД.1</t>
  </si>
  <si>
    <t>Шагиева Р.В., Казаков В.Н.</t>
  </si>
  <si>
    <t>978-5-91768-588-5</t>
  </si>
  <si>
    <t>831794.01.01</t>
  </si>
  <si>
    <t>Человек в условиях совр. ист. вызова: идеи...: Моногр. / И.И.Кальной - М.:НИЦ ИНФРА-М,2025. - 352 с.(п)</t>
  </si>
  <si>
    <t>ЧЕЛОВЕК В УСЛОВИЯХ СОВРЕМЕННОГО ИСТОРИЧЕСКОГО ВЫЗОВА: ИДЕИ, ПРОЕКТЫ, ПРАКТИКА, ИЗД.1</t>
  </si>
  <si>
    <t>Кальной И.И., Жупник О.Н., Зябрева Г.А. и др.</t>
  </si>
  <si>
    <t>978-5-16-020270-9</t>
  </si>
  <si>
    <t>46.04.01, 47.03.01, 47.04.01</t>
  </si>
  <si>
    <t>431300.06.01</t>
  </si>
  <si>
    <t>Человек и его потребности: Уч. пос. / Б.М. Генкин. - М.: Норма:  НИЦ ИНФРА-М, 2026. - 256 с. (п)</t>
  </si>
  <si>
    <t>ЧЕЛОВЕК И ЕГО ПОТРЕБНОСТИ, ИЗД.1</t>
  </si>
  <si>
    <t>978-5-91768-348-5</t>
  </si>
  <si>
    <t>38.03.02, 38.03.03, 38.04.02, 38.04.03, 41.03.06, 43.03.01, 43.03.02, 43.03.03, 43.04.01, 43.04.02, 43.04.03</t>
  </si>
  <si>
    <t>734293.04.01</t>
  </si>
  <si>
    <t>Человек и его просвещение..: Моногр. / Под ред. Кального И.И. - М.:НИЦ ИНФРА-М,2026 - 336 с.(Науч.мысль)(О)</t>
  </si>
  <si>
    <t>ЧЕЛОВЕК И ЕГО ПРОСВЕЩЕНИЕ: ИДЕИ, ПРОЕКТЫ, ПРАКТИКА, ИЗД.1</t>
  </si>
  <si>
    <t>Володин А.Н., Габриелян А.М., Жупник О.Н. и др.</t>
  </si>
  <si>
    <t>978-5-16-016611-7</t>
  </si>
  <si>
    <t>00.03.04, 00.03.05, 00.03.11, 00.05.04, 00.05.05, 00.05.11</t>
  </si>
  <si>
    <t>657029.03.01</t>
  </si>
  <si>
    <t>Человек политический как нормативный тип личности в России.: Моногр. / А.В.Лубский-М.:НИЦ ИНФРА-М,2023-229с(О)</t>
  </si>
  <si>
    <t>ЧЕЛОВЕК ПОЛИТИЧЕСКИЙ КАК НОРМАТИВНЫЙ ТИП ЛИЧНОСТИ В РОССИИ: МЕНТАЛЬНАЯ МАТРИЦА И НОРМАТИВНАЯ МОДЕЛЬ ПОВЕДЕНИЯ, ИЗД.1</t>
  </si>
  <si>
    <t>Лубский А.В., Лубский Р.А.</t>
  </si>
  <si>
    <t>978-5-16-015683-5</t>
  </si>
  <si>
    <t>39.04.01, 39.06.01, 41.04.04, 41.06.01, 46.04.03, 51.06.01</t>
  </si>
  <si>
    <t>671332.03.01</t>
  </si>
  <si>
    <t>Человек рисующий. Отображение иерарх.и инверсив...: Моногр./ Д.А.Севостьянов-М.:НИЦ ИНФРА-М,2024-208с(П)</t>
  </si>
  <si>
    <t>ЧЕЛОВЕК РИСУЮЩИЙ. ОТОБРАЖЕНИЕ ИЕРАРХИЧЕСКИХ И ИНВЕРСИВНЫХ ОТНОШЕНИЙ В ГРАФИЧЕСКОЙ ДЕЯТЕЛЬНОСТИ, ИЗД.1</t>
  </si>
  <si>
    <t>978-5-16-013504-5</t>
  </si>
  <si>
    <t>31.05.02, 37.03.01, 37.05.01, 44.03.01, 44.03.02, 44.03.03, 44.03.04, 44.03.05, 44.05.01</t>
  </si>
  <si>
    <t>103200.10.01</t>
  </si>
  <si>
    <t>Человек, право, цивилизации: нормат.-ценност. измер.: Моногр. / Е.А.Лукашева - М.:Норма:ИНФРА-М, 2026 - 384 с. (п)</t>
  </si>
  <si>
    <t>ЧЕЛОВЕК, ПРАВО, ЦИВИЛИЗАЦИИ: НОРМАТИВНО-ЦЕННОСТНОЕ ИЗМЕРЕНИЕ, ИЗД.1</t>
  </si>
  <si>
    <t>Лукашева Е. А.</t>
  </si>
  <si>
    <t>978-5-91768-398-0</t>
  </si>
  <si>
    <t>753390.04.01</t>
  </si>
  <si>
    <t>Человек: индивид, индивидуал., личность: Моногр. / Под ред. Кального И.И. - М.:НИЦ ИНФРА-М,2026 - 351 с.(П)</t>
  </si>
  <si>
    <t>ЧЕЛОВЕК: ИНДИВИД, ИНДИВИДУАЛЬНОСТЬ, ЛИЧНОСТЬ, ИЗД.1</t>
  </si>
  <si>
    <t>Бельский В.Ю., Боровинская Д.Н., Воеводин А.П. и др.</t>
  </si>
  <si>
    <t>978-5-16-017105-0</t>
  </si>
  <si>
    <t>00.05.10, 00.05.11, 44.03.01, 47.04.01, 47.06.01, 51.04.01</t>
  </si>
  <si>
    <t>753390.05.01</t>
  </si>
  <si>
    <t>Человек: индивид, индивидуальность, личность: Моногр. / Под ред. Кальной И.И. - М.:НИЦ ИНФРА-М,2026. - 351 с.(о)</t>
  </si>
  <si>
    <t>978-5-16-022238-7</t>
  </si>
  <si>
    <t>813143.01.01</t>
  </si>
  <si>
    <t>Человеческая идентичность в цифровую эпоху: Моногр. / Под ред. Евстратова Ю.А.-М.:НИЦ ИНФРА-М,2024.-140 с.(о)</t>
  </si>
  <si>
    <t>ЧЕЛОВЕЧЕСКАЯ ИДЕНТИЧНОСТЬ В ЦИФРОВУЮ ЭПОХУ: ГУМАНИТАРНЫЕ И СОЦИАЛЬНЫЕ АСПЕКТЫ, ИЗД.1</t>
  </si>
  <si>
    <t>Власова И.В., Гулый А.М., Гуров М.П. и др.</t>
  </si>
  <si>
    <t>978-5-16-019094-5</t>
  </si>
  <si>
    <t>37.03.01, 38.04.01, 38.06.01, 39.03.01, 39.04.01, 39.06.01, 39.07.01, 40.04.01, 40.06.01, 41.03.04, 41.06.01, 41.07.01, 44.04.01, 44.06.01, 44.07.01, 46.04.01, 46.06.01, 47.04.01, 47.06.01, 47.07.01</t>
  </si>
  <si>
    <t>667065.05.01</t>
  </si>
  <si>
    <t>Человеческий капитал организ. в разрезе..: Моногр. / Т.Е.Даниловских - М.:ИЦ РИОР,ИНФРА-М,2022-149с(О)</t>
  </si>
  <si>
    <t>ЧЕЛОВЕЧЕСКИЙ КАПИТАЛ ОРГАНИЗАЦИИ В РАЗРЕЗЕ ОЦЕНКИ СТОИМОСТИ БИЗНЕСА, ИЗД.1</t>
  </si>
  <si>
    <t>Даниловских Т.Е., Ворожбит О.Ю., Уксуменко А.А. и др.</t>
  </si>
  <si>
    <t>978-5-369-01714-2</t>
  </si>
  <si>
    <t>465450.08.01</t>
  </si>
  <si>
    <t>Человеческий капитал: теория и практика управ...: Моногр. / Р.М.Нижегородцев - М:ИНФРА-М,2025 - 290 с.(О)</t>
  </si>
  <si>
    <t>ЧЕЛОВЕЧЕСКИЙ КАПИТАЛ: ТЕОРИЯ И ПРАКТИКА УПРАВЛЕНИЯ В СОЦИАЛЬНО-ЭКОНОМИЧЕСКИХ СИСТЕМАХ, ИЗД.1</t>
  </si>
  <si>
    <t>Нижегородцев Р. М., Нижегородцев Р. М., Резник С. Д.</t>
  </si>
  <si>
    <t>978-5-16-009681-0</t>
  </si>
  <si>
    <t>258300.14.01</t>
  </si>
  <si>
    <t>Чертеж архитект.сооруж.в ортогон.проекц: Уч.пос. / И.А.Максимова - М.: КУРС,НИЦ ИНФРА-М,2026 - 112 с.(О)</t>
  </si>
  <si>
    <t>ЧЕРТЕЖ АРХИТЕКТУРНОГО СООРУЖЕНИЯ В ОРТОГОНАЛЬНЫХ ПРОЕКЦИЯХ, ИЗД.1</t>
  </si>
  <si>
    <t>Максимова И. А., Лисенкова Ю. В.</t>
  </si>
  <si>
    <t>978-5-905554-50-6</t>
  </si>
  <si>
    <t>07.03.01, 07.03.02, 07.03.03, 07.03.04, 08.03.01</t>
  </si>
  <si>
    <t>454700.11.01</t>
  </si>
  <si>
    <t>Черчение для слушателей подготовит. курсов: Уч.пос. / Н.А.Сальков - М.:НИЦ ИНФРА-М,2027 - 128с.(О)</t>
  </si>
  <si>
    <t>ЧЕРЧЕНИЕ ДЛЯ СЛУШАТЕЛЕЙ ПОДГОТОВИТЕЛЬНЫХ КУРСОВ, ИЗД.1</t>
  </si>
  <si>
    <t>978-5-16-011473-6</t>
  </si>
  <si>
    <t>222500.11.01</t>
  </si>
  <si>
    <t>Черчение: Уч. / И.С.Вышнепольский, - 3-е изд.-М.:НИЦ ИНФРА-М,2026.-400 с.[цв].-(СПО)(п)</t>
  </si>
  <si>
    <t>ЧЕРЧЕНИЕ, ИЗД.3</t>
  </si>
  <si>
    <t>Вышнепольский И.С., Вышнепольский В.И.</t>
  </si>
  <si>
    <t>978-5-16-005474-2</t>
  </si>
  <si>
    <t>15.02.03, 15.02.04, 15.02.06, 15.02.09, 15.02.16, 15.02.17, 15.02.18, 15.02.19</t>
  </si>
  <si>
    <t>Рекомендовано в качестве учебника для учебных заведений, реализующих программу среднего профессионального образования по техническим специальностям</t>
  </si>
  <si>
    <t>465950.07.01</t>
  </si>
  <si>
    <t>Численные методы в матем. моделир.: Уч.пос. / Н.П.Савенкова - 2 изд.-М.:НИЦ ИНФРА-М,2023.-176 с.(о)</t>
  </si>
  <si>
    <t>ЧИСЛЕННЫЕ МЕТОДЫ В МАТЕМАТИЧЕСКОМ МОДЕЛИРОВАНИИ, ИЗД.2</t>
  </si>
  <si>
    <t>Савенкова Н.П., Проворова О.Г., Мокин А.Ю.</t>
  </si>
  <si>
    <t>978-5-16-018743-3</t>
  </si>
  <si>
    <t>01.03.04, 02.03.03, 02.04.03, 03.03.02, 09.04.03</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</si>
  <si>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направлениям ВО 01.03.04 «Прикладная математика» и 02.03.02 «Фундаментальная информатика и информационные технологии»</t>
  </si>
  <si>
    <t>782908.04.01</t>
  </si>
  <si>
    <t>Численные методы в оценке и прогнозир. качества...: Моногр. / А.В.Абрамов. - М.:НИЦ ИНФРА-М,2026. - 217 с.(О)</t>
  </si>
  <si>
    <t>ЧИСЛЕННЫЕ МЕТОДЫ В ОЦЕНКЕ И ПРОГНОЗИРОВАНИИ КАЧЕСТВА ТЕПЛОЗАЩИТНОЙ ОДЕЖДЫ, ИЗД.1</t>
  </si>
  <si>
    <t>Абрамов А.В., Родичева М.В., Шустов Ю.С.</t>
  </si>
  <si>
    <t>978-5-16-017848-6</t>
  </si>
  <si>
    <t>29.04.01, 29.04.02, 29.06.01</t>
  </si>
  <si>
    <t>688829.04.01</t>
  </si>
  <si>
    <t>Численные методы в строительстве: Моногр. / В.Т.Чемодуров. - М.:НИЦ ИНФРА-М,2026. - 151 с.(Науч.мысль)(О)</t>
  </si>
  <si>
    <t>ЧИСЛЕННЫЕ МЕТОДЫ В СТРОИТЕЛЬСТВЕ, ИЗД.1</t>
  </si>
  <si>
    <t>Чемодуров В.Т., Литвинова Э.В., Сеитжелилов М.С.</t>
  </si>
  <si>
    <t>978-5-16-014363-7</t>
  </si>
  <si>
    <t>085730.22.01</t>
  </si>
  <si>
    <t>Численные методы и програм.: Уч.пос. / Под ред. Гагариной Л.Г. - М.:ИД ФОРУМ,НИЦ ИНФРА-М,2026 - 336 с.(СПО)(П)</t>
  </si>
  <si>
    <t>ЧИСЛЕННЫЕ МЕТОДЫ И ПРОГРАММИРОВАНИЕ, ИЗД.1</t>
  </si>
  <si>
    <t>Колдаев В.Д., Гагарина Л.Г.</t>
  </si>
  <si>
    <t>978-5-8199-0779-5</t>
  </si>
  <si>
    <t>09.02.01, 09.02.02, 09.02.03, 09.02.04, 09.02.05, 09.02.07, 09.02.10</t>
  </si>
  <si>
    <t>832080.02.01</t>
  </si>
  <si>
    <t>Численные методы и работа в параллельности: Уч.пос. / М.С.Максютов - М.:НИЦ ИНФРА-М,2026. - 355 с.(ВО)(п)</t>
  </si>
  <si>
    <t>ЧИСЛЕННЫЕ МЕТОДЫ И РАБОТА В ПАРАЛЛЕЛЬНОСТИ, ИЗД.1</t>
  </si>
  <si>
    <t>Максютов М.С.</t>
  </si>
  <si>
    <t>978-5-16-020223-5</t>
  </si>
  <si>
    <t>01.03.02, 01.03.04, 01.04.02, 02.03.01, 02.03.03, 09.03.01, 09.03.03, 09.03.04, 10.05.02, 10.05.04, 12.03.01, 28.03.01</t>
  </si>
  <si>
    <t>Московская международная академия</t>
  </si>
  <si>
    <t>753321.03.01</t>
  </si>
  <si>
    <t>Численные методы линейной алгебры: Уч.пос. / Г.С.Шевцов - 3 изд. - М.:НИЦ ИНФРА-М, 2026. - 528 с.(п)</t>
  </si>
  <si>
    <t>ЧИСЛЕННЫЕ МЕТОДЫ ЛИНЕЙНОЙ АЛГЕБРЫ, ИЗД.3</t>
  </si>
  <si>
    <t>Шевцов Г.С., Крюкова О.Г., Мызникова Б.И.</t>
  </si>
  <si>
    <t>978-5-16-016796-1</t>
  </si>
  <si>
    <t>01.03.01, 01.03.02, 01.03.03, 01.03.04, 02.03.01, 02.03.02, 02.03.03, 03.03.02, 03.03.03, 04.03.02, 24.03.01, 38.03.01</t>
  </si>
  <si>
    <t>289600.06.01</t>
  </si>
  <si>
    <t>Численные методы расчета в энергомаш.: Уч.пос. / А.Н.Гоц - 3изд. - М.:Форум, НИЦ ИНФРА-М,2026 - 352 с.(ВО)</t>
  </si>
  <si>
    <t>ЧИСЛЕННЫЕ МЕТОДЫ РАСЧЕТА В ЭНЕРГОМАШИНОСТРОЕНИИ, ИЗД.3</t>
  </si>
  <si>
    <t>978-5-91134-926-4</t>
  </si>
  <si>
    <t>13.03.03, 13.04.03</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</si>
  <si>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13.03.03 «Энергетическое машиностроение», профиль «Двигатели внутреннего сгора</t>
  </si>
  <si>
    <t>635935.03.01</t>
  </si>
  <si>
    <t>Численные методы. Практикум: Уч.пос. / А.В.Пантелеев - М.:НИЦ ИНФРА-М,2023 - 512 с.(ВО)(П)</t>
  </si>
  <si>
    <t>ЧИСЛЕННЫЕ МЕТОДЫ. ПРАКТИКУМ, ИЗД.1</t>
  </si>
  <si>
    <t>Пантелеев А.В., Кудрявцева И.А.</t>
  </si>
  <si>
    <t>978-5-16-018445-6</t>
  </si>
  <si>
    <t>01.03.01, 01.03.02, 01.03.03, 01.03.04, 02.03.01, 02.03.02, 02.03.03, 03.03.02, 03.03.03, 04.03.02, 26.04.01</t>
  </si>
  <si>
    <t>233600.06.01</t>
  </si>
  <si>
    <t>Численные методы...: Уч.пос. / В.Б.Маничев - М.: НИЦ ИНФРА-М, 2026 - 152 с. (ВО:Бакалавр.)(О)</t>
  </si>
  <si>
    <t>ЧИСЛЕННЫЕ МЕТОДЫ. ДОСТОВЕРНОЕ И ТОЧНОЕ ЧИСЛЕННОЕ РЕШЕНИЕ ДИФФЕРЕНЦИАЛЬНЫХ И АЛГЕБРАИЧЕСКИХ УРАВНЕНИЙ В CAE-СИСТЕМАХ САПР, ИЗД.1</t>
  </si>
  <si>
    <t>Маничев В.Б., Глазкова В.В., Кузьмина И.А.</t>
  </si>
  <si>
    <t>978-5-16-010366-2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</si>
  <si>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09.03.01 «Информатика и вычислительная техника», 09.03.02 «Информационные системы и технологии», 09.03.03 «Прикладная информатика», 09.03.04 «Программная инженерия»</t>
  </si>
  <si>
    <t>670833.02.01</t>
  </si>
  <si>
    <t>Численные методы: Уч.пос. / А.С.Шевченко - М.:НИЦ ИНФРА-М,2027 - 381 с.(ВО: Бакалавриат)(П)</t>
  </si>
  <si>
    <t>ЧИСЛЕННЫЕ МЕТОДЫ, ИЗД.1</t>
  </si>
  <si>
    <t>978-5-16-014605-8</t>
  </si>
  <si>
    <t>01.03.01, 01.03.02, 01.03.03, 01.03.04, 01.05.01, 02.03.01, 02.03.02, 02.03.03, 03.03.02, 03.03.03, 04.03.02, 12.03.01, 21.05.04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</si>
  <si>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математическим, естественным и техническим направлениям подготовки (квалификация (степень) «бакалавр») (протокол № 6 от 16.06.2021)</t>
  </si>
  <si>
    <t>848745.01.01</t>
  </si>
  <si>
    <t>Швейные нитки и клеевые матер. для одежды: Уч.пос. / Б.А.Бузов - М.:ИД Форум, НИЦ ИНФРА-М,2026. - 192 с.(СПО)(п)</t>
  </si>
  <si>
    <t>ШВЕЙНЫЕ НИТКИ И КЛЕЕВЫЕ МАТЕРИАЛЫ ДЛЯ ОДЕЖДЫ, ИЗД.1</t>
  </si>
  <si>
    <t>Бузов Б.А., Смирнова Н.А.</t>
  </si>
  <si>
    <t>978-5-8199-0965-2</t>
  </si>
  <si>
    <t>29.01.04, 29.01.09, 29.01.33, 29.01.34, 29.02.10</t>
  </si>
  <si>
    <t>427350.08.01</t>
  </si>
  <si>
    <t>Швейные нитки и клеевые материалы для одежды: Уч.пос. / Б.А.Бузов - М.:ИД ФОРУМ, НИЦ ИНФРА-М,2022-192с(ВО)(П)</t>
  </si>
  <si>
    <t>978-5-8199-0863-1</t>
  </si>
  <si>
    <t>29.03.01, 29.03.02, 29.03.05, 29.04.01, 29.04.02, 43.03.01, 43.04.01</t>
  </si>
  <si>
    <t>Рекомендовано Учебно-методическим объединением по образованию в области технологии, конструировании изделий легкой промышленности в качестве учебного пособия для студентов высших учебных заведений, обучающихся по направлениям подготовки бакалавров и</t>
  </si>
  <si>
    <t>423150.07.01</t>
  </si>
  <si>
    <t>Шизофрения и сахарный диабет типа 2...: Уч. пос. / Л.М.Барденштейн - М.: НИЦ ИНФРА-М,2026 - 83 с.(ВО)(о)</t>
  </si>
  <si>
    <t>ШИЗОФРЕНИЯ И САХАРНЫЙ ДИАБЕТ ТИПА 2 (ВОПРОСЫ КОМОРБИДНОСТИ И ПСИХОФАРМАКОТЕРАПИИ), ИЗД.1</t>
  </si>
  <si>
    <t>Барденштейн Л. М., Мкртумян А. М., Алешкина Г. А.</t>
  </si>
  <si>
    <t>978-5-16-006573-1</t>
  </si>
  <si>
    <t>664711.01.01</t>
  </si>
  <si>
    <t>Шэньчжэньский камертон. Трансформация модели эконом.. / В.Я.Потряков-М.:ИД ФОРУМ, НИЦ ИНФРА-М,2017-156с</t>
  </si>
  <si>
    <t>ШЭНЬЧЖЭНЬСКИЙ КАМЕРТОН. ТРАНСФОРМАЦИЯ МОДЕЛИ ЭКОНОМИЧЕСКОГО РОСТА В КИТАЕ И РАЗВИТИЕ ШЭНЬЧЖЭНЯ, ИЗД.1</t>
  </si>
  <si>
    <t>Потряков В.Я.</t>
  </si>
  <si>
    <t>978-5-8199-0684-2</t>
  </si>
  <si>
    <t>690265.02.01</t>
  </si>
  <si>
    <t>ЭВМ и периферийные устройства: Уч.пос. / В.Ф.Лянг - М.:НИЦ ИНФРА-М,2026.- 580 с.(ВО: Бакалавр.)(п)</t>
  </si>
  <si>
    <t>ЭВМ И ПЕРИФЕРИЙНЫЕ УСТРОЙСТВА, ИЗД.1</t>
  </si>
  <si>
    <t>978-5-16-018135-6</t>
  </si>
  <si>
    <t>09.03.01, 09.05.01</t>
  </si>
  <si>
    <t>832026.01.01</t>
  </si>
  <si>
    <t>Эволюция  международного права от Версаля до Мюнхена... / И.З.Фархутдинов - М.:НИЦ ИНФРА-М,2026. - 496 с.(п)</t>
  </si>
  <si>
    <t>ЭВОЛЮЦИЯ  МЕЖДУНАРОДНОГО ПРАВА ОТ ВЕРСАЛЯ ДО МЮНХЕНА (1919-1938). МИФЫ И РЕАЛИИ, ИЗД.1</t>
  </si>
  <si>
    <t>978-5-16-020676-9</t>
  </si>
  <si>
    <t>40.04.01, 40.06.01, 41.04.04, 41.04.05, 41.06.01</t>
  </si>
  <si>
    <t>664909.02.01</t>
  </si>
  <si>
    <t>Эволюция восприятия маркетинга. Проект..: Уч.практ.пос./В.И.Грушенко-М.:НИЦ ИНФРА-М,2023-360с(ВО)(П)</t>
  </si>
  <si>
    <t>ЭВОЛЮЦИЯ ВОСПРИЯТИЯ МАРКЕТИНГА. ПРОЕКТИРОВАНИЕ МАРКЕТИНГОВОЙ СТРАТЕГИИ, ИЗД.1</t>
  </si>
  <si>
    <t>Грушенко В.И.</t>
  </si>
  <si>
    <t>978-5-16-013811-4</t>
  </si>
  <si>
    <t>27.03.02, 35.03.03, 35.03.04, 38.03.02, 38.03.05, 38.04.05, 44.03.01, 44.03.05</t>
  </si>
  <si>
    <t>672661.04.01</t>
  </si>
  <si>
    <t>Эволюция государства: истор. динамика...: Моногр. / В.Я.Любашиц-М.:ИЦ РИОР,НИЦ ИНФРА-М,2023-533с(П)</t>
  </si>
  <si>
    <t>ЭВОЛЮЦИЯ ГОСУДАРСТВА: ИСТОРИЧЕСКАЯ ДИНАМИКА И ТЕОРЕТИЧЕСКАЯ МОДЕЛЬ, ИЗД.1</t>
  </si>
  <si>
    <t>Любашиц В.Я., Разуваев Н.В.</t>
  </si>
  <si>
    <t>978-5-369-01744-9</t>
  </si>
  <si>
    <t>663005.06.01</t>
  </si>
  <si>
    <t>Эволюция древнеславянского права...: Моногр. / А.В.Серегин - М.:НИЦ ИНФРА-М,2026 - 324 с.(Науч. мысль)(о)</t>
  </si>
  <si>
    <t>ЭВОЛЮЦИЯ ДРЕВНЕСЛАВЯНСКОГО ПРАВА (ЭПОХА СРЕДНЕВЕКОВЬЯ: ОТ ОБЩИННО-ВЕЧЕВЫХ ИСТОКОВ К КРЕПОСТНИЧЕСТВУ), ИЗД.1</t>
  </si>
  <si>
    <t>Серегин А.В.</t>
  </si>
  <si>
    <t>978-5-16-018013-7</t>
  </si>
  <si>
    <t>663005.04.01</t>
  </si>
  <si>
    <t>Эволюция древнеславянского права...: Моногр. / А.В.Серегин-М.:НИЦ ИНФРА-М,2020-324с.(Науч. мысль)(П)</t>
  </si>
  <si>
    <t>978-5-16-013650-9</t>
  </si>
  <si>
    <t>678511.05.01</t>
  </si>
  <si>
    <t>Эволюция концепции устойчивого развития в контексте ..: Моногр. / Т.В.Алферова - М.:НИЦ ИНФРА-М,2022-185 с.(О)</t>
  </si>
  <si>
    <t>ЭВОЛЮЦИЯ КОНЦЕПЦИИ УСТОЙЧИВОГО РАЗВИТИЯ В КОНТЕКСТЕ ИСТОРИЧЕСКИХ ПРОЦЕССОВ, ИЗД.1</t>
  </si>
  <si>
    <t>Алферова Т.В., Третьякова Е.А., Осипова М.Ю. и др.</t>
  </si>
  <si>
    <t>978-5-16-014048-3</t>
  </si>
  <si>
    <t>661732.03.01</t>
  </si>
  <si>
    <t>Эволюция культуры: Монография / С.В.Борзых - М.:НИЦ ИНФРА-М,2024.-142 с.(Науч.мысль)(О)</t>
  </si>
  <si>
    <t>ЭВОЛЮЦИЯ КУЛЬТУРЫ, ИЗД.1</t>
  </si>
  <si>
    <t>978-5-16-013860-2</t>
  </si>
  <si>
    <t>40.03.01, 44.03.01, 44.03.05, 47.03.01, 51.03.01, 51.03.04, 51.04.01</t>
  </si>
  <si>
    <t>822340.03.01</t>
  </si>
  <si>
    <t>Эволюция международ. права - от Вестфаля до Версаля / И.З.Фархутдинов - М.:НИЦ ИНФРА-М,2026. - 484 с.(п)</t>
  </si>
  <si>
    <t>ЭВОЛЮЦИЯ МЕЖДУНАРОДНОГО ПРАВА - ОТ ВЕСТФАЛЯ ДО ВЕРСАЛЯ, ИЗД.1</t>
  </si>
  <si>
    <t>978-5-16-019746-3</t>
  </si>
  <si>
    <t>40.03.01, 40.04.01, 40.05.01, 40.05.02, 40.06.01, 41.03.05, 41.04.05, 41.06.01</t>
  </si>
  <si>
    <t>797736.05.01</t>
  </si>
  <si>
    <t>Эволюция науки ист. права и гос. России (XVIII-XX) в.: Моногр. / М.А.Кожевина - М.:Юр. НОРМА,2027 - 576 с.(п)</t>
  </si>
  <si>
    <t>ЭВОЛЮЦИЯ НАУКИ ИСТОРИИ ПРАВА И ГОСУДАРСТВА РОССИИ (XVIII-XX) ВЕКА, ИЗД.1</t>
  </si>
  <si>
    <t>Кожевина М.А.</t>
  </si>
  <si>
    <t>978-5-00156-284-9</t>
  </si>
  <si>
    <t>845650.01.01</t>
  </si>
  <si>
    <t>Эволюция полномочий прокур. в России в сфере угол.-преслед... / Г.К.Жуков - М.:НИЦ ИНФРА-М,2025. - 451 с.(п)</t>
  </si>
  <si>
    <t>ЭВОЛЮЦИЯ ПОЛНОМОЧИЙ ПРОКУРОРА В РОССИИ В СФЕРЕ УГОЛОВНОГО ПРЕСЛЕДОВАНИЯ ЛИЦ, СОВЕРШИВШИХ ПРЕСТУПЛЕНИЯ (XVIII-XXI ВЕКА), ИЗД.1</t>
  </si>
  <si>
    <t>Жуков Г.К.</t>
  </si>
  <si>
    <t>978-5-16-020545-8</t>
  </si>
  <si>
    <t>690054.04.01</t>
  </si>
  <si>
    <t>Эволюция понятийного аппарата педагог..: Моногр. / М.А.Галагузова - М.:НИЦ ИНФРА-М,2025 - 137 с.(Науч.мысль)(О)</t>
  </si>
  <si>
    <t>ЭВОЛЮЦИЯ ПОНЯТИЙНОГО АППАРАТА ПЕДАГОГИКИ И ОБРАЗОВАНИЯ, ИЗД.1</t>
  </si>
  <si>
    <t>Галагузова М.А., Штинова Г.Н.</t>
  </si>
  <si>
    <t>978-5-16-014479-5</t>
  </si>
  <si>
    <t>37.03.01, 37.05.01, 44.03.01, 44.03.03, 44.03.05, 44.04.04, 46.04.02, 49.03.03, 51.03.01, 51.03.02, 51.03.05, 51.03.06</t>
  </si>
  <si>
    <t>803411.03.01</t>
  </si>
  <si>
    <t>Эволюция права под воздействием цифровых технологий: Моногр. / Р.В.Амелин - М.:Юр. НОРМА,2025. - 280 с.(п)</t>
  </si>
  <si>
    <t>ЭВОЛЮЦИЯ ПРАВА ПОД ВОЗДЕЙСТВИЕМ ЦИФРОВЫХ ТЕХНОЛОГИЙ, ИЗД.1</t>
  </si>
  <si>
    <t>Амелин Р.В., Чаннов С.Е.</t>
  </si>
  <si>
    <t>978-5-00156-304-4</t>
  </si>
  <si>
    <t>640997.01.01</t>
  </si>
  <si>
    <t>Эволюция российских инстит.аграрного кредита:Моногр. / О.У.Авис-М.:ИЦ РИОР,НИЦ ИНФРА-М,2017-225с.(О)</t>
  </si>
  <si>
    <t>ЭВОЛЮЦИЯ РОССИЙСКИХ ИНСТИТУТОВ АГРАРНОГО КРЕДИТА: ОТ ДОМИНИРОВАНИЯ К СИСТЕМНОСТИ, ИЗД.1</t>
  </si>
  <si>
    <t>Авис О.У.</t>
  </si>
  <si>
    <t>978-5-369-01626-8</t>
  </si>
  <si>
    <t>38.03.01, 38.04.01, 38.04.02, 40.03.01, 44.03.05</t>
  </si>
  <si>
    <t>848910.01.01</t>
  </si>
  <si>
    <t>Эволюция российской государственности..: Моногр. / А.Ю.Саломатин -М.:ИЦ РИОР, НИЦ ИНФРА-М,2025.-281 с.(п)</t>
  </si>
  <si>
    <t>ЭВОЛЮЦИЯ РОССИЙСКОЙ ГОСУДАРСТВЕННОСТИ: СРАВНИТЕЛЬНЫЙ ЦИВИЛИЗАЦИОННО-МОДЕРНИЗАЦИОННЫЙ АНАЛИЗ, ИЗД.1</t>
  </si>
  <si>
    <t>Саломатин А.Ю., Гуляков А.Д., Бахлов И.В.</t>
  </si>
  <si>
    <t>978-5-369-01976-4</t>
  </si>
  <si>
    <t>00.05.18, 40.04.01, 40.05.01, 40.05.02, 40.05.03, 40.05.04, 40.06.01</t>
  </si>
  <si>
    <t>863941.01.01</t>
  </si>
  <si>
    <t>Эволюция технологий информац.-психологич. воздействия: Моногр. / А.Г.Караяни - М.:НИЦ ИНФРА-М,2026. - 205 с.(п)</t>
  </si>
  <si>
    <t>ЭВОЛЮЦИЯ ТЕХНОЛОГИЙ ИНФОРМАЦИОННО-ПСИХОЛОГИЧЕСКОГО ВОЗДЕЙСТВИЯ, ИЗД.1</t>
  </si>
  <si>
    <t>Караяни А.Г., Караяни Ю.М.</t>
  </si>
  <si>
    <t>978-5-16-021490-0</t>
  </si>
  <si>
    <t>37.04.01, 37.05.01, 37.05.02, 37.06.01</t>
  </si>
  <si>
    <t>854708.01.01</t>
  </si>
  <si>
    <t>Эволюция физиологич. и патофизиологич. ответ. реакций... / В.Н.Байматов. - М.:НИЦ ИНФРА-М,2026. - 189 с.(п)</t>
  </si>
  <si>
    <t>ЭВОЛЮЦИЯ ФИЗИОЛОГИЧЕСКИХ И ПАТОФИЗИОЛОГИЧЕСКИХ ОТВЕТНЫХ РЕАКЦИЙ У ЖИВОТНЫХ, ИЗД.1</t>
  </si>
  <si>
    <t>Байматов В.Н., Акопян Н.А., Селиванова И.Р.</t>
  </si>
  <si>
    <t>978-5-16-020965-4</t>
  </si>
  <si>
    <t>36.04.01, 36.04.02, 36.05.01, 36.06.01</t>
  </si>
  <si>
    <t>432100.07.01</t>
  </si>
  <si>
    <t>Эволюция, экология и этология медоносной пчелы: Моногр. / Е.К.Еськов - М.:НИЦ ИНФРА-М,2026. - 291 с.(п)</t>
  </si>
  <si>
    <t>ЭВОЛЮЦИЯ, ЭКОЛОГИЯ И ЭТОЛОГИЯ МЕДОНОСНОЙ ПЧЕЛЫ, ИЗД.1</t>
  </si>
  <si>
    <t>978-5-16-012149-9</t>
  </si>
  <si>
    <t>725296.02.01</t>
  </si>
  <si>
    <t>Экзистенциалы Шекспира: Монография / П.А.Горохов - М.:НИЦ ИНФРА-М,2027 - 218 с.(Науч.мысль)(О)</t>
  </si>
  <si>
    <t>ЭКЗИСТЕНЦИАЛЫ ШЕКСПИРА, ИЗД.1</t>
  </si>
  <si>
    <t>978-5-16-015883-9</t>
  </si>
  <si>
    <t>450700.08.01</t>
  </si>
  <si>
    <t>Экодиагностика и сбалансир. разв.: Уч. пос. / Б.И.Кочуров - 2 изд. - М.:НИЦ ИНФРА-М,2024 -362 с.(ВО)(п)</t>
  </si>
  <si>
    <t>ЭКОДИАГНОСТИКА И СБАЛАНСИРОВАННОЕ РАЗВИТИЕ, ИЗД.2</t>
  </si>
  <si>
    <t>Кочуров Б.И.</t>
  </si>
  <si>
    <t>978-5-16-019602-2</t>
  </si>
  <si>
    <t>Рекомендовано Учебно-методическим объединением по специальностям педагогического образования в качестве учебного пособия для студентов высших учебных заведений, обучающихся по специальности 05.03.02 «География»</t>
  </si>
  <si>
    <t>Институт географии Российской академии наук</t>
  </si>
  <si>
    <t>769695.02.01</t>
  </si>
  <si>
    <t>Экокомбайны как новый вид экозащитной техники: Моногр. / Б.С.Ксенофонтов - М.:НИЦ ИНФРА-М,2027. - 190 с.(О)</t>
  </si>
  <si>
    <t>ЭКОКОМБАЙНЫ КАК НОВЫЙ ВИД ЭКОЗАЩИТНОЙ ТЕХНИКИ, ИЗД.1</t>
  </si>
  <si>
    <t>978-5-16-017406-8</t>
  </si>
  <si>
    <t>20.04.01, 20.04.02, 20.06.01, 20.07.01</t>
  </si>
  <si>
    <t>686097.04.01</t>
  </si>
  <si>
    <t>Экологическая безоп.конструкционных матер.: Уч.пос. / В.П.Дмитренко.-М.:НИЦ ИНФРА-М,2023.-228 с.(ВО)(П)</t>
  </si>
  <si>
    <t>ЭКОЛОГИЧЕСКАЯ БЕЗОПАСНОСТЬ КОНСТРУКЦИОННЫХ МАТЕРИАЛОВ, ИЗД.1</t>
  </si>
  <si>
    <t>Дмитренко В.П., Горбачев С.И., Мануйлова Н.Б. и др.</t>
  </si>
  <si>
    <t>978-5-16-014958-5</t>
  </si>
  <si>
    <t>15.04.01, 15.04.02, 15.05.01, 15.06.01, 22.04.01, 22.04.02, 22.06.01</t>
  </si>
  <si>
    <t>Рекомендовано Редакционно-издательским советом Московского авиационного института (национального исследовательского университета) вкачестве учебного пособия</t>
  </si>
  <si>
    <t>633416.03.01</t>
  </si>
  <si>
    <t>Экологическая безоп.морских природно-хоз.систем..:Моногр./ В.М.Питулько-М.:НИЦ ИНФРА-М,2023-317с.(П)</t>
  </si>
  <si>
    <t>ЭКОЛОГИЧЕСКАЯ БЕЗОПАСНОСТЬ МОРСКИХ ПРИРОДНО-ХОЗЯЙСТВЕННЫХ СИСТЕМ РОССИЙСКОЙ ПРИБАЛТИКИ, ИЗД.1</t>
  </si>
  <si>
    <t>Питулько В.М., Иванова В.В., Кулибаба В.В.</t>
  </si>
  <si>
    <t>978-5-16-012066-9</t>
  </si>
  <si>
    <t>05.03.06, 05.04.05, 06.04.01</t>
  </si>
  <si>
    <t>469900.06.01</t>
  </si>
  <si>
    <t>Экологическая безоп.на предпр.легкой промышл.: Уч.пос. / О.Г.Любская - М.:НИЦ ИНФРА-М,2025 - 158 с.(ВО)(о)</t>
  </si>
  <si>
    <t>ЭКОЛОГИЧЕСКАЯ БЕЗОПАСНОСТЬ НА ПРЕДПРИЯТИЯХ ЛЕГКОЙ ПРОМЫШЛЕННОСТИ, ИЗД.1</t>
  </si>
  <si>
    <t>Любская О.Г., Свищев Г.А., Седляров О.И.</t>
  </si>
  <si>
    <t>978-5-16-010684-7</t>
  </si>
  <si>
    <t>Рекомендовано УМО по образованию в области технологии, конструирования изделий легкой промышленности в качестве учебного пособия для студентов высших учебных заведений, обучающихся по направлениям подготовки бакалавров и магистров 20.03.01 и 20.04.01 « Техносферная безопасность»</t>
  </si>
  <si>
    <t>646430.04.01</t>
  </si>
  <si>
    <t>Экологическая безопасность строит. матер.: Уч.пос. / Н.И.Зубрев - М.:НИЦ ИНФРА-М,2027 - 195 с.(ВО)(П)</t>
  </si>
  <si>
    <t>ЭКОЛОГИЧЕСКАЯ БЕЗОПАСНОСТЬ СТРОИТЕЛЬНЫХ МАТЕРИАЛОВ, ИЗД.1</t>
  </si>
  <si>
    <t>Зубрев Н.И., Устинова М.В.</t>
  </si>
  <si>
    <t>978-5-16-015019-2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</si>
  <si>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08.04.01 «Строительство» (квалификация (степень) «магистр») (протокол № 11 от 09.11.2020)</t>
  </si>
  <si>
    <t>677848.03.01</t>
  </si>
  <si>
    <t>Экологическая геология: Уч. / А.О.Серебряков - М.:НИЦ ИНФРА-М,2024 - 235 с.(ВО)(П)</t>
  </si>
  <si>
    <t>ЭКОЛОГИЧЕСКАЯ ГЕОЛОГИЯ, ИЗД.1</t>
  </si>
  <si>
    <t>Серебряков А.О.</t>
  </si>
  <si>
    <t>978-5-16-020027-9</t>
  </si>
  <si>
    <t>Рекомендовано Федеральным учебно-методическим объединением Минобрнауки России для бакалавров высших учебных заведений, обучающихся по направлению 05.03.01 «Геология»</t>
  </si>
  <si>
    <t>363200.05.01</t>
  </si>
  <si>
    <t>Экологическая и продов.безопасность: Уч.пос./Р.И.Айзман-М.:НИЦ ИНФРА-М,2023-240с.(ВО:Бакалавриат)(п)</t>
  </si>
  <si>
    <t>ЭКОЛОГИЧЕСКАЯ И ПРОДОВОЛЬСТВЕННАЯ БЕЗОПАСНОСТЬ, ИЗД.1</t>
  </si>
  <si>
    <t>Айзман Р.И., Иашвили М.В., Петров С.В. и др.</t>
  </si>
  <si>
    <t>978-5-16-010973-2</t>
  </si>
  <si>
    <t>Рекомендовано УМО по образованию в области подготовки педагогических кадров в качестве учебного пособия для студентов высших учебных заведений</t>
  </si>
  <si>
    <t>710007.06.01</t>
  </si>
  <si>
    <t>Экологическая конфликтология... / О.Л.Дубовик - М.:Юр.Норма, НИЦ ИНФРА-М,2026 - 280 с.(П)</t>
  </si>
  <si>
    <t>ЭКОЛОГИЧЕСКАЯ КОНФЛИКТОЛОГИЯ (ПРЕДУПРЕЖДЕНИЕ И РАЗРЕШЕНИЕ ЭКОЛОГО-ПРАВОВЫХ КОНФЛИКТОВ), ИЗД.1</t>
  </si>
  <si>
    <t>Дубовик О.Л.</t>
  </si>
  <si>
    <t>978-5-91768-982-1</t>
  </si>
  <si>
    <t>752440.01.01</t>
  </si>
  <si>
    <t>Экологическая ответственность и фин. политика компании: методические...: Моногр. / А.С.Макаров, -М.:НИЦ ИНФРА-М,2022.-261 с.(О)</t>
  </si>
  <si>
    <t>ЭКОЛОГИЧЕСКАЯ ОТВЕТСТВЕННОСТЬ И ФИНАНСОВАЯ ПОЛИТИКА КОМПАНИИ: МЕТОДИЧЕСКИЕ АСПЕКТЫ АНАЛИЗА, ИЗД.1</t>
  </si>
  <si>
    <t>Макаров А.С., Хвостова И.Е., Рябова Е.В. и др.</t>
  </si>
  <si>
    <t>978-5-16-016853-1</t>
  </si>
  <si>
    <t>871510.01.01</t>
  </si>
  <si>
    <t>Экологическая парадигма российского права / Под ред. Боголюбова С.А. - М.:НИЦ ИНФРА-М, ИЗиСП,2026. - 352 с.(п)</t>
  </si>
  <si>
    <t>ЭКОЛОГИЧЕСКАЯ ПАРАДИГМА РОССИЙСКОГО ПРАВА, ИЗД.1</t>
  </si>
  <si>
    <t>978-5-16-021773-4</t>
  </si>
  <si>
    <t>20.03.01, 40.03.01, 40.05.01, 40.05.02, 40.05.04</t>
  </si>
  <si>
    <t>846999.01.01</t>
  </si>
  <si>
    <t>Экологическая паразитология: Уч. мет. пос. / Е.М.Бутенкова - М.:НИЦ ИНФРА-М, ГомГМУ,2026. - 190 с.(ВО)(п)</t>
  </si>
  <si>
    <t>ЭКОЛОГИЧЕСКАЯ ПАРАЗИТОЛОГИЯ, ИЗД.1</t>
  </si>
  <si>
    <t>Бутенкова Е.М., Протасовицкая Р.Н.</t>
  </si>
  <si>
    <t>978-5-16-021005-6</t>
  </si>
  <si>
    <t>474150.07.01</t>
  </si>
  <si>
    <t>Экологическая токсикология и биотестирование вод..: Уч.пос./С.В.Котелевцев-НИЦ ИНФРА-М,2023-252с.(ВО)</t>
  </si>
  <si>
    <t>ЭКОЛОГИЧЕСКАЯ ТОКСИКОЛОГИЯ И БИОТЕСТИРОВАНИЕ ВОДНЫХ ЭКОСИСТЕМ, ИЗД.1</t>
  </si>
  <si>
    <t>С.В.Котелевцев, Д.Н.Маторин, А.П.Садчиков</t>
  </si>
  <si>
    <t>978-5-16-010160-6</t>
  </si>
  <si>
    <t>Допущено Учебно-методическим объединением по классическому университетскому образованию в качестве учебного пособия для студентов высших учебних заведений, обучающихся по направлению 06.03.01 «Биология» и смежным направлениям</t>
  </si>
  <si>
    <t>703673.03.01</t>
  </si>
  <si>
    <t>Экологическая эпидемиология и оценка риска: Уч. / В.В.Стрельников-М.:НИЦ ИНФРА-М,2023.-320 с.(ВО: Бакалавр.)(П)</t>
  </si>
  <si>
    <t>ЭКОЛОГИЧЕСКАЯ ЭПИДЕМИОЛОГИЯ И ОЦЕНКА РИСКА, ИЗД.1</t>
  </si>
  <si>
    <t>Стрельников В.В., Хмара И.В.</t>
  </si>
  <si>
    <t>978-5-16-015167-0</t>
  </si>
  <si>
    <t>05.03.06, 31.05.01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</si>
  <si>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05.03.06 «Экология и природопользование» (квалификация (степень) «бакалавр») (протокол № 10 от 12.10.2020)</t>
  </si>
  <si>
    <t>832351.01.01</t>
  </si>
  <si>
    <t>Экологические основы безотходных биотехнологич. производств/ Б.С.Ксенофонтов-М.:НИЦ ИНФРА-М,2025.-200 с.(п)</t>
  </si>
  <si>
    <t>ЭКОЛОГИЧЕСКИЕ ОСНОВЫ БЕЗОТХОДНЫХ БИОТЕХНОЛОГИЧЕСКИХ ПРОИЗВОДСТВ, ИЗД.1</t>
  </si>
  <si>
    <t>978-5-16-020039-2</t>
  </si>
  <si>
    <t>05.04.06, 19.03.01, 19.04.01</t>
  </si>
  <si>
    <t>818407.01.01</t>
  </si>
  <si>
    <t>Экологические основы инновац. деят.: Уч.пос. / А.В.Вершков-М.:НИЦ ИНФРА-М, СФУ,2024.-221 с.(ВО (СФУ))(п)</t>
  </si>
  <si>
    <t>ЭКОЛОГИЧЕСКИЕ ОСНОВЫ ИННОВАЦИОННОЙ ДЕЯТЕЛЬНОСТИ, ИЗД.1</t>
  </si>
  <si>
    <t>978-5-16-019507-0</t>
  </si>
  <si>
    <t>27.03.05, 38.04.01, 38.04.04</t>
  </si>
  <si>
    <t>084040.22.01</t>
  </si>
  <si>
    <t>Экологические основы природопольз.: Уч.пос. / Е.К.Хандогина - 2 изд. - М., НИЦ ИНФРА-М,2026 -160 с.(СПО)(о)</t>
  </si>
  <si>
    <t>ЭКОЛОГИЧЕСКИЕ ОСНОВЫ ПРИРОДОПОЛЬЗОВАНИЯ, ИЗД.2</t>
  </si>
  <si>
    <t>Хандогина Е.К., Герасимова Н.А., Хандогина А.В. и др.</t>
  </si>
  <si>
    <t>978-5-16-022166-3</t>
  </si>
  <si>
    <t>00.02.36, 05.02.01, 21.02.12, 21.02.15, 26.02.04, 27.02.06</t>
  </si>
  <si>
    <t>038200.25.01</t>
  </si>
  <si>
    <t>Экологические основы природопользования: Уч. / М.В.Гальперин - 2 изд. - М.:НИЦ ИНФРА-М,2026 - 256 с.(СПО)(П)</t>
  </si>
  <si>
    <t>Гальперин М.В.</t>
  </si>
  <si>
    <t>978-5-16-016287-4</t>
  </si>
  <si>
    <t>00.02.36, 21.02.12, 21.02.15, 26.02.04</t>
  </si>
  <si>
    <t>799530.03.01</t>
  </si>
  <si>
    <t>Экологические основы природопользования: Уч.пос. / И.С.Коротченко - М.:НИЦ ИНФРА-М,2026 - 153 с.(СПО (КрГАУ))(п)</t>
  </si>
  <si>
    <t>ЭКОЛОГИЧЕСКИЕ ОСНОВЫ ПРИРОДОПОЛЬЗОВАНИЯ, ИЗД.1</t>
  </si>
  <si>
    <t>Коротченко И.С., Романова. О.В.</t>
  </si>
  <si>
    <t>978-5-16-019009-9</t>
  </si>
  <si>
    <t>35.02.07, 35.02.08, 35.02.14</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</si>
  <si>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качестве¶учебного пособия для студентов по специальностям 35.02.07 «Механизация сельского хозяйства», 35.02.08 «Электрификация и автоматизация сельского хозяйства», 35.02.13 «Пчеловодство», 35.02.14 «Охотоведение и звероводство»,19.02.08 «Технология мяса и мясных продуктов»</t>
  </si>
  <si>
    <t>666546.04.01</t>
  </si>
  <si>
    <t>Экологические свойства автомоб. эксплуат. матер.: Уч.пос./А.И.Грушевский-М:НИЦ ИНФРА-М,СФУ,2023-217с</t>
  </si>
  <si>
    <t>ЭКОЛОГИЧЕСКИЕ СВОЙСТВА АВТОМОБИЛЬНЫХ ЭКСПЛУАТАЦИОННЫХ МАТЕРИАЛОВ, ИЗД.1</t>
  </si>
  <si>
    <t>Грушевский А.И., Кашура А.С., Блянкинштейн И.М. и др.</t>
  </si>
  <si>
    <t>978-5-16-013134-4</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</si>
  <si>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направлениям подготовки бакалавров «Технология транспортных процессов» (профиль подготовки: «Организация перевозок и управление на автомобильном транспорте») и «Эксплуатация транспортно-технологических машин и комплексов» (профили подготовки: «Автомобили и автомобильное хозяйство», «Автомобильный сервис», «Сервис транспортных и транспортно-технологических машин и оборудования (Нефте-продуктообеспечение и газоснабжение)», «Сервис транспортных и транспортно-технологических машин и оборудования (Трубопроводный транспорт нефти и газа)»)</t>
  </si>
  <si>
    <t>636266.07.01</t>
  </si>
  <si>
    <t>Экологический каркас территории: Уч.пос. / Л.И.Егоренков - М.:НИЦ ИНФРА-М,2023 -73с(ВО:Бакалавр.)(О)</t>
  </si>
  <si>
    <t>ЭКОЛОГИЧЕСКИЙ КАРКАС ТЕРРИТОРИИ, ИЗД.1</t>
  </si>
  <si>
    <t>978-5-16-012954-9</t>
  </si>
  <si>
    <t>403850.11.01</t>
  </si>
  <si>
    <t>Экологический мониторинг водных объектов: Уч.пос. / И.О.Тихонова-2изд..-М.:НИЦ ИНФРА-М,2023-202 с(П)</t>
  </si>
  <si>
    <t>ЭКОЛОГИЧЕСКИЙ МОНИТОРИНГ ВОДНЫХ ОБЪЕКТОВ, ИЗД.2</t>
  </si>
  <si>
    <t>978-5-16-015959-1</t>
  </si>
  <si>
    <t>05.03.06, 05.04.06, 18.03.02, 20.03.01, 20.03.02</t>
  </si>
  <si>
    <t>Допущено Учебно-методическим объединением по образованию в области химической технологии и биотехнологии в качестве учебного пособия для студентов вузов, обучающихся по направлению «Энерго- и ресурсосберегающие процессы в химической технологии, нефтехимии и биотехнологии»</t>
  </si>
  <si>
    <t>443350.09.01</t>
  </si>
  <si>
    <t>Экологический мониторинг и экологич. экспертиза: Уч.пос. / Под ред. Ясовеева М.Г.-М.:НИЦ ИНФРА-М,2023.-304с(п)</t>
  </si>
  <si>
    <t>ЭКОЛОГИЧЕСКИЙ МОНИТОРИНГ И ЭКОЛОГИЧЕСКАЯ ЭКСПЕРТИЗА, ИЗД.1</t>
  </si>
  <si>
    <t>Ясовеев М.Г., Стреха Н.Л., Какарека Э.В. и др.</t>
  </si>
  <si>
    <t>978-5-16-006845-9</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</si>
  <si>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«География. Охрана природы» Рекомендовано в качестве учебного пособия для студентов высших учебных заведений, обучающихся по направлениям подготовки 05.03.06. «Экология и природопользование» и 20.03.02. «Природообустройство и водопользование» (квалификация (степень) «бакалавр»)</t>
  </si>
  <si>
    <t>658444.11.01</t>
  </si>
  <si>
    <t>Экологический мониторинг почв: Уч.пос. / И.О.Тихонова - М.:НИЦ ИНФРА-М,2026 - 106 с.(ВО)(О)</t>
  </si>
  <si>
    <t>ЭКОЛОГИЧЕСКИЙ МОНИТОРИНГ ПОЧВ, ИЗД.1</t>
  </si>
  <si>
    <t>Тихонова И.О.</t>
  </si>
  <si>
    <t>978-5-16-013155-9</t>
  </si>
  <si>
    <t>05.03.06, 18.03.02, 20.03.01, 20.03.02</t>
  </si>
  <si>
    <t>Допущено Учебно-методическим объединением по образованию в области химической технологии и биотехнологии в качестве учебного пособия для бакалавров и магистров, обучающихся по направлениям подготовки «Экология и природопользование», «Энерго- и ресурсосберегающие процессы в химической технологии, нефтехимии и биотехнологии», «Техносферная безопасность»</t>
  </si>
  <si>
    <t>703670.05.01</t>
  </si>
  <si>
    <t>Экологический мониторинг: Уч. / В.В.Стрельников - М.:НИЦ ИНФРА-М,2027 - 372 с.(ВО: Бакалавриат)(П)</t>
  </si>
  <si>
    <t>ЭКОЛОГИЧЕСКИЙ МОНИТОРИНГ, ИЗД.1</t>
  </si>
  <si>
    <t>Стрельников В.В., Мельченко А.И.</t>
  </si>
  <si>
    <t>978-5-16-015166-3</t>
  </si>
  <si>
    <t>720048.05.01</t>
  </si>
  <si>
    <t>Экологический мониторинг: Уч.пос. / Е.П.Лысова - М.:НИЦ ИНФРА-М,2027 - 151 с.-(ВО)(п)</t>
  </si>
  <si>
    <t>Лысова Е.П., Парамонова О.Н., Самарская Н.С. и др.</t>
  </si>
  <si>
    <t>978-5-16-022371-1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</si>
  <si>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20.03.01 «Техносферная безопасность», 05.03.06 «Экология и природопользование» (квалификация (степень) «бакалавр») (протокол № 17 от 11.11.2019)</t>
  </si>
  <si>
    <t>081550.13.01</t>
  </si>
  <si>
    <t>Экологическое право. Практикум: Уч.пос. / Е.И.Майорова - 3 изд. - М.:НИЦ ИНФРА-М,2026 - 133 с.(СПО)(П)</t>
  </si>
  <si>
    <t>ЭКОЛОГИЧЕСКОЕ ПРАВО. ПРАКТИКУМ, ИЗД.3</t>
  </si>
  <si>
    <t>Майорова Е.И., Попов В.А.</t>
  </si>
  <si>
    <t>978-5-16-014317-0</t>
  </si>
  <si>
    <t>Рекомендовано Министерством образования и науки Российской Федерации в качестве учебного пособия для студентов учебных заведений среднего профессионального образования, обучающихся по специальностям правоведческого профиля</t>
  </si>
  <si>
    <t>849852.01.01</t>
  </si>
  <si>
    <t>Экологическое право: теория и совершенств..: Моногр. / Л.И.Брославский - М.:НИЦ ИНФРА-М,2025. - 163 с.(п)</t>
  </si>
  <si>
    <t>ЭКОЛОГИЧЕСКОЕ ПРАВО: ТЕОРИЯ И СОВЕРШЕНСТВОВАНИЕ ПРИРОДООХРАННОГО ЗАКОНОДАТЕЛЬСТВА, ИЗД.1</t>
  </si>
  <si>
    <t>978-5-16-020666-0</t>
  </si>
  <si>
    <t>036720.19.01</t>
  </si>
  <si>
    <t>Экологическое право: Уч. / Б.В.Ерофеев, - 5 изд. - М.:ИД Форум, НИЦ ИНФРА-М,2025. -  399 с.(СПО)(п)</t>
  </si>
  <si>
    <t>ЭКОЛОГИЧЕСКОЕ ПРАВО, ИЗД.5</t>
  </si>
  <si>
    <t>Ерофеев Б.В.</t>
  </si>
  <si>
    <t>978-5-8199-0695-8</t>
  </si>
  <si>
    <t>Рекомендовано Министерством образования и науки Российской Федерации в качестве учебника для студентов учебных заведений среднего профессионального образования, обучающихся по специальностям правоведческого профиля</t>
  </si>
  <si>
    <t>726239.07.01</t>
  </si>
  <si>
    <t>Экологическое право: Уч. / Н.В.Барбашова - М.:НИЦ ИНФРА-М,2026 - 538 с.(ВО: Специалитет)(П)</t>
  </si>
  <si>
    <t>ЭКОЛОГИЧЕСКОЕ ПРАВО, ИЗД.1</t>
  </si>
  <si>
    <t>Барбашова Н.В.</t>
  </si>
  <si>
    <t>978-5-16-016098-6</t>
  </si>
  <si>
    <t>00.03.08, 40.03.01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</si>
  <si>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юридическим направлениям подготовки (квалификация «юрист») (протокол № 6 от 16.06.2021)</t>
  </si>
  <si>
    <t>355600.15.01</t>
  </si>
  <si>
    <t>Экологическое право: Уч. / О.И.Крассов - 4 изд. - М:Юр.Норма,НИЦ ИНФРА-М,2025 - 528 с.(Для юр.вузов и фак.)</t>
  </si>
  <si>
    <t>ЭКОЛОГИЧЕСКОЕ ПРАВО, ИЗД.4</t>
  </si>
  <si>
    <t>978-5-91768-632-5</t>
  </si>
  <si>
    <t>05.03.06, 40.03.01, 40.05.01, 40.05.02, 40.05.03, 40.05.04</t>
  </si>
  <si>
    <t>657184.02.01</t>
  </si>
  <si>
    <t>Экологичные системы защиты воздуш. среды объект. автотр. компл.: Уч.пос./В.А.Михайлов -М.:НИЦ ИНФРА-М,2020-178с.(ВО) (П)</t>
  </si>
  <si>
    <t>ЭКОЛОГИЧНЫЕ СИСТЕМЫ ЗАЩИТЫ ВОЗДУШНОЙ СРЕДЫ ОБЪЕКТОВ АВТОТРАНСПОРТНОГО КОМПЛЕКСА, ИЗД.1</t>
  </si>
  <si>
    <t>Михайлов В.А., Сотникова Е.В., Калпина Н.Ю.</t>
  </si>
  <si>
    <t>978-5-16-012929-7</t>
  </si>
  <si>
    <t>05.03.06, 20.03.01, 23.03.02, 23.03.03</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</si>
  <si>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«Наземные транспортно-технологические средства»</t>
  </si>
  <si>
    <t>657184.03.01</t>
  </si>
  <si>
    <t>Экологичные системы защиты воздуш. среды объект. автотр. компл.: Уч.пос./В.А.Михайлов -М.:НИЦ ИНФРА-М,2022-178с.(ВО) (П)</t>
  </si>
  <si>
    <t>ЭКОЛОГИЧНЫЕ СИСТЕМЫ ЗАЩИТЫ ВОЗДУШНОЙ СРЕДЫ ОБЪЕКТОВ АВТОТРАНСПОРТНОГО КОМПЛЕКСА, ИЗД.2</t>
  </si>
  <si>
    <t>978-5-16-016284-3</t>
  </si>
  <si>
    <t>406750.08.01</t>
  </si>
  <si>
    <t>Экология и бизнес = Green Business: Уч. пос. / З.В.Маньковская - М.: Инфра-М, 2026 - 144 с.(ВО) (о)</t>
  </si>
  <si>
    <t>ЭКОЛОГИЯ И БИЗНЕС = GREEN BUSINESS, ИЗД.1</t>
  </si>
  <si>
    <t>978-5-16-006496-3</t>
  </si>
  <si>
    <t>05.03.06, 38.03.01, 38.03.02, 38.03.03, 38.03.04, 38.03.05, 38.03.06, 38.03.07, 45.03.02, 45.05.01</t>
  </si>
  <si>
    <t>674636.05.01</t>
  </si>
  <si>
    <t>Экология и охрана окруж.среды: законы и реалии в США..../ Л.И.Брославский - М.:НИЦ ИНФРА-М,2026.-582с/(П)</t>
  </si>
  <si>
    <t>ЭКОЛОГИЯ И ОХРАНА ОКРУЖАЮЩЕЙ СРЕДЫ: ЗАКОНЫ И РЕАЛИИ В США, РОССИИ И ЕВРОСОЮЗА, ИЗД.1</t>
  </si>
  <si>
    <t>978-5-16-014110-7</t>
  </si>
  <si>
    <t>05.03.06, 06.04.01, 20.03.02, 40.03.01, 44.03.05</t>
  </si>
  <si>
    <t>799529.01.01</t>
  </si>
  <si>
    <t>Экология и рационал. природопользование: практикум: Уч.пос. / И.С.Коротченко-М.:НИЦ ИНФРА-М,2024.-164 с.(п)</t>
  </si>
  <si>
    <t>ЭКОЛОГИЯ И РАЦИОНАЛЬНОЕ ПРИРОДОПОЛЬЗОВАНИЕ: ПРАКТИКУМ, ИЗД.1</t>
  </si>
  <si>
    <t>978-5-16-019000-6</t>
  </si>
  <si>
    <t>06.03.01, 35.03.07, 35.03.10, 36.03.02</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</si>
  <si>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по направлению подготовки 35.03.07 «Технология производства и переработки сельскохозяйственной продукции»</t>
  </si>
  <si>
    <t>115600.10.01</t>
  </si>
  <si>
    <t>Экология и экологическая безоп.авто.: Уч. / М.В.Графкина- 2 изд.-М.:Форум,НИЦ ИНФРА-М, 2024-320с.(П)</t>
  </si>
  <si>
    <t>ЭКОЛОГИЯ И ЭКОЛОГИЧЕСКАЯ БЕЗОПАСНОСТЬ АВТОМОБИЛЯ, ИЗД.2</t>
  </si>
  <si>
    <t>Графкина М. В., Михайлов В. А., Иванов К. С.</t>
  </si>
  <si>
    <t>978-5-00091-117-4</t>
  </si>
  <si>
    <t>05.03.06, 15.03.01, 15.03.02, 15.03.03, 15.03.04, 15.03.05, 15.03.06, 23.03.01, 23.03.02, 23.03.03</t>
  </si>
  <si>
    <t>Допущено УМО вузов РФ по образованию в области транспортных машин и транспортно-технологических комплексов честве учебника для студентов, обучающихся по специальности «Автомобиле- и тракторостроение»</t>
  </si>
  <si>
    <t>634133.07.01</t>
  </si>
  <si>
    <t>Экология природопользования: Уч.пос. / В.П.Герасименко - М.:НИЦ ИНФРА-М,2026 - 355 с.-(ВО)(П)</t>
  </si>
  <si>
    <t>ЭКОЛОГИЯ ПРИРОДОПОЛЬЗОВАНИЯ, ИЗД.1</t>
  </si>
  <si>
    <t>Герасименко В.П.</t>
  </si>
  <si>
    <t>978-5-16-021243-2</t>
  </si>
  <si>
    <t>00.03.12, 05.03.06, 20.03.01, 20.03.02, 35.03.04, 35.03.05, 35.03.07</t>
  </si>
  <si>
    <t>Допущено Учебно-методическим объединением вузов РФ по агрономическому образованию в качестве учебного пособия для бакалавров, обучающихся по направлениям подготовки 35.03.04 «Агрономия», 35.03.05 «Садоводство», 35.03.07 «Технология производства и переработки сельскохозяйственной продукции». Рекомендовано к изданию Федеральным учебно-методическим объединением по УГСН «Техносферная безопасность и природообустройство» для студентов, обучающихся по направлению подготовки 20.03.02 «Природообустройство и водопользование»</t>
  </si>
  <si>
    <t>Курский государственный аграрный университет имени И.И. Иванова</t>
  </si>
  <si>
    <t>638070.07.01</t>
  </si>
  <si>
    <t>Экология растений: Уч. / Н.А.Березина - 2 изд. - М.:НИЦ ИНФРА-М,2025 - 408 с.(ВО: Бакалавриат)(П)</t>
  </si>
  <si>
    <t>ЭКОЛОГИЯ РАСТЕНИЙ, ИЗД.2</t>
  </si>
  <si>
    <t>Березина Н.А., Афанасьева Н.Б.</t>
  </si>
  <si>
    <t>978-5-16-012239-7</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</si>
  <si>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05.03.06 «Экология и природопользование»</t>
  </si>
  <si>
    <t>Зоологический институт Российской Академии Наук</t>
  </si>
  <si>
    <t>263300.06.01</t>
  </si>
  <si>
    <t>Экология техносферы: Практикум / С.А. Медведева - М.: Форум: ИНФРА-М, 2023. - 200 с. (ВО) (о)</t>
  </si>
  <si>
    <t>ЭКОЛОГИЯ ТЕХНОСФЕРЫ: ПРАКТИКУМ, ИЗД.1</t>
  </si>
  <si>
    <t>Медведева С. А., Тимофеева С. С.</t>
  </si>
  <si>
    <t>978-5-91134-848-9</t>
  </si>
  <si>
    <t>Рекомендовано научно-методическим советом по экологии и природопользованию Сибирского регионального учебно-методического центра в качестве учебного пособия для студентов высших технических учебных заведений</t>
  </si>
  <si>
    <t>263300.07.01</t>
  </si>
  <si>
    <t>Экология техносферы: практикум: Уч.пос. / С.А.Медведева-М.:Форум, НИЦ ИНФРА-М,2024.-200с(ВО)(П)</t>
  </si>
  <si>
    <t>978-5-00091-718-3</t>
  </si>
  <si>
    <t>308700.08.01</t>
  </si>
  <si>
    <t>Экология урбанизированных территорий: уч.пос. / Под ред. Ясовеев М.Г.-М.:НИЦ ИНФРА-М,2025.-293 с..-(ВО)(п)</t>
  </si>
  <si>
    <t>ЭКОЛОГИЯ УРБАНИЗИРОВАННЫХ ТЕРРИТОРИЙ, ИЗД.1</t>
  </si>
  <si>
    <t>Ясовеев М. Г., Стреха Н. Л., Пацыкайлик Д. А., Ясовеев М. Г.</t>
  </si>
  <si>
    <t>978-5-16-018518-7</t>
  </si>
  <si>
    <t>Рекомендовано в качестве учебного пособия для студентов высших учебных заведений, обучающихся по направлениям 05.03.06 "Экология и природопользование", 20.03.01 "Техносферная безопасность"</t>
  </si>
  <si>
    <t>777493.05.01</t>
  </si>
  <si>
    <t>Экология экранных искусств: Моногр. / А.И.Чупринский - М.:НИЦ ИНФРА-М,2026. - 182 с.(Науч.мысль)(о)</t>
  </si>
  <si>
    <t>ЭКОЛОГИЯ ЭКРАННЫХ ИСКУССТВ, ИЗД.1</t>
  </si>
  <si>
    <t>Чупринский А.И.</t>
  </si>
  <si>
    <t>978-5-16-017731-1</t>
  </si>
  <si>
    <t>42.03.04, 42.03.05, 42.04.04, 42.04.05, 42.06.01, 50.04.04, 55.05.05</t>
  </si>
  <si>
    <t>Белорусская государственная академия искусств</t>
  </si>
  <si>
    <t>318400.08.01</t>
  </si>
  <si>
    <t>Экология: Уч. / А.Д.Потапов - 2 изд. - М.:НИЦ ИНФРА-М,2024.-528 с.-(ВО: Бакалавриат)(П)</t>
  </si>
  <si>
    <t>ЭКОЛОГИЯ, ИЗД.2</t>
  </si>
  <si>
    <t>Потапов А.Д.</t>
  </si>
  <si>
    <t>978-5-16-010409-6</t>
  </si>
  <si>
    <t>00.03.12, 00.05.12, 08.03.01</t>
  </si>
  <si>
    <t>Допущено Министерством образования Российской Федерации в качестве учебника для студентов высших учебных заведений, обучающихся по направлению «Строительство»</t>
  </si>
  <si>
    <t>479600.07.01</t>
  </si>
  <si>
    <t>Экология: Уч. / В.С.Пушкарь - М.:НИЦ ИНФРА-М,2024 - 397 с.-(ВО: Бакалавриат)(П)</t>
  </si>
  <si>
    <t>ЭКОЛОГИЯ, ИЗД.1</t>
  </si>
  <si>
    <t>ПушкарьВ.С., ЯкименкоЛ.В.</t>
  </si>
  <si>
    <t>978-5-16-011679-2</t>
  </si>
  <si>
    <t>00.03.12, 00.05.12, 05.03.06, 06.03.01</t>
  </si>
  <si>
    <t>Рекомендовано Учебно-методическим объединением по классическому университетскому образованию в качестве учебника для студентов, обучающихся по направлению 06.03.01 «Биология» и смежным направлениям</t>
  </si>
  <si>
    <t>635940.10.01</t>
  </si>
  <si>
    <t>Экология: Уч. / Н.И.Николайкин и др., - 9 изд. -  М.:НИЦ ИНФРА-М,2026. - 615 с.(ВО)(п)</t>
  </si>
  <si>
    <t>ЭКОЛОГИЯ, ИЗД.9</t>
  </si>
  <si>
    <t>Николайкин Н.И., Николайкина Н.Е., Мелехова О.П.</t>
  </si>
  <si>
    <t>978-5-16-021000-1</t>
  </si>
  <si>
    <t>Рекомендовано в качестве учебника для студентов высших учебных заведений, обучающихся по техническим направлениям подготовки (квалификация (степень) «бакалавр»)</t>
  </si>
  <si>
    <t>0918</t>
  </si>
  <si>
    <t>793501.01.01</t>
  </si>
  <si>
    <t>Экология: Уч.пос. / А.Ф.Гордова - М.:НИЦ ИНФРА-М,2026. - 168 с.(СПО)(п)</t>
  </si>
  <si>
    <t>Гордова А.Ф.</t>
  </si>
  <si>
    <t>978-5-16-020865-7</t>
  </si>
  <si>
    <t>00.02.37</t>
  </si>
  <si>
    <t>187100.15.01</t>
  </si>
  <si>
    <t>Экология: Уч.пос. / В.А.Разумов - М.:НИЦ ИНФРА-М,2026 - 296 с.-(ВО: Бакалавр.)(п)</t>
  </si>
  <si>
    <t>978-5-16-020299-0</t>
  </si>
  <si>
    <t>Допущено Научно-методическим советом по экологии Министерства образования и науки Российской Федерации в качестве учебного пособия для студентов высших учебных заведений, обучающихся по естественнонаучным и техническим направлениям подготовки</t>
  </si>
  <si>
    <t>813799.01.01</t>
  </si>
  <si>
    <t>Экология: Уч.пос. / И.С.Коротченко-М.:НИЦ ИНФРА-М,2024.-270 с.(СПО (КрГАУ))(п)</t>
  </si>
  <si>
    <t>978-5-16-019670-1</t>
  </si>
  <si>
    <t>27.02.03, 35.02.07, 35.02.08</t>
  </si>
  <si>
    <t>Рекомендовано Учебно-методическим советом федерального государственного бюджетного образовательного учреждения высшего образования «Красноярский государственный аграрный университет» для внутривузовского использования в качестве учебного пособия для студентов, обучающихся по специальностям 35.02.07 «Механизация сельского хозяйства», 35.02.08 «Электрификация и автоматизация сельского хозяйства»</t>
  </si>
  <si>
    <t>315700.04.01</t>
  </si>
  <si>
    <t>Экология: Уч.пос. / Л.Л.Никифоров - М.:НИЦ ИНФРА-М,2019.-204 с.-(ВО: Бакалавриат)(П)</t>
  </si>
  <si>
    <t>Л.Л.Никифоров</t>
  </si>
  <si>
    <t>978-5-16-010377-8</t>
  </si>
  <si>
    <t>416900.10.01</t>
  </si>
  <si>
    <t>Экология: Уч.пос. / Л.Н.Ердаков - М.:НИЦ ИНФРА-М,2024 - 360 с.-(ВО: Магистратура)(П)</t>
  </si>
  <si>
    <t>Ердаков Л. Н., Чернышова О. Н.</t>
  </si>
  <si>
    <t>978-5-16-006248-8</t>
  </si>
  <si>
    <t>00.03.12, 44.03.05</t>
  </si>
  <si>
    <t>Рекомендовано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направлению 38.04.02 «Менеджмент» (квалификация (степень) «магистр»)</t>
  </si>
  <si>
    <t>649782.06.01</t>
  </si>
  <si>
    <t>Эколого-геологические проб.разр.нефтегаз...Прикаспия: Моногр. / О.И.Серебряков - М.:НИЦ ИНФРА-М,2026 - 308 с.(п)</t>
  </si>
  <si>
    <t>ЭКОЛОГО-ГЕОЛОГИЧЕСКИЕ ПРОБЛЕМЫ РАЗРАБОТКИ НЕФТЕГАЗОВЫХ МЕСТОРОЖДЕНИЙ ПРИКАСПИЯ, ИЗД.1</t>
  </si>
  <si>
    <t>Серебряков О.И., Попков В.И., Ларичев В.В., Серебряков А.О.</t>
  </si>
  <si>
    <t>978-5-16-012607-4</t>
  </si>
  <si>
    <t>777879.02.01</t>
  </si>
  <si>
    <t>Эколого-правовые огранич. и стимулы эконом. деят. в России / Н.И.Хлуденева - М.:НИЦ ИНФРА-М,2023-192 с.(П)</t>
  </si>
  <si>
    <t>ЭКОЛОГО-ПРАВОВЫЕ ОГРАНИЧЕНИЯ И СТИМУЛЫ ЭКОНОМИЧЕСКОЙ ДЕЯТЕЛЬНОСТИ В РОССИИ, ИЗД.1</t>
  </si>
  <si>
    <t>Хлуденева Н.И.</t>
  </si>
  <si>
    <t>978-5-16-017680-2</t>
  </si>
  <si>
    <t>38.03.01, 38.04.04, 38.06.01</t>
  </si>
  <si>
    <t>299100.08.01</t>
  </si>
  <si>
    <t>Эконометрика - 2: продв. курс с прилож. в финансах: Уч. / С.А.Айвазян - М.: НИЦ ИНФРА-М, 2026 - 944 с.(п)</t>
  </si>
  <si>
    <t>ЭКОНОМЕТРИКА - 2: ПРОДВИНУТЫЙ КУРС С ПРИЛОЖЕНИЯМИ В ФИНАНСАХ, ИЗД.1</t>
  </si>
  <si>
    <t>Айвазян С.А., Фантаццини Д.</t>
  </si>
  <si>
    <t>978-5-16-021657-7</t>
  </si>
  <si>
    <t>01.03.02, 01.04.02, 02.03.02, 03.03.02, 04.03.02, 38.03.01, 38.04.01, 38.04.08</t>
  </si>
  <si>
    <t>658350.03.01</t>
  </si>
  <si>
    <t>Эконометрика и эконом.моделирование: Уч. / Л.О.Бабешко - М.:Вуз.уч., НИЦ ИНФРА-М,2019 - 385с(ВО)(П)</t>
  </si>
  <si>
    <t>ЭКОНОМЕТРИКА И ЭКОНОМЕТРИЧЕСКОЕ  МОДЕЛИРОВАНИЕ, ИЗД.1</t>
  </si>
  <si>
    <t>Бабешко Л.О., Бич М.Г., Орлова И.В.</t>
  </si>
  <si>
    <t>978-5-9558-0576-4</t>
  </si>
  <si>
    <t>01.03.02, 38.03.01, 38.03.02, 38.03.05, 38.04.01, 38.04.02, 38.04.05, 38.05.01</t>
  </si>
  <si>
    <t>724743.10.01</t>
  </si>
  <si>
    <t>Эконометрика и эконометрич. моделир. в Excel и R: Уч. / Л.О.Бабешко - М.:НИЦ ИНФРА-М,2027 - 300 с.(ВО)(п)</t>
  </si>
  <si>
    <t>ЭКОНОМЕТРИКА И ЭКОНОМЕТРИЧЕСКОЕ МОДЕЛИРОВАНИЕ В EXCEL И R, ИЗД.1</t>
  </si>
  <si>
    <t>Бабешко Л.О., Орлова И.В.</t>
  </si>
  <si>
    <t>978-5-16-020683-7</t>
  </si>
  <si>
    <t>01.04.02, 38.04.01, 38.04.02, 38.04.03, 38.04.04, 38.04.05, 38.04.06, 38.04.07, 38.04.08, 38.04.09</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</si>
  <si>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38.04.00 «Экономика и управление»  (квалификация (степень) «магистр») (протокол № 8 от 22.06.2020)</t>
  </si>
  <si>
    <t>658350.09.01</t>
  </si>
  <si>
    <t>Эконометрика и эконометрич. моделир.: Уч. / Л.О.Бабешко - 2 изд.-М.:НИЦ ИНФРА-М,2026.-387 с.[цв].-(ВО)(п)</t>
  </si>
  <si>
    <t>ЭКОНОМЕТРИКА И ЭКОНОМЕТРИЧЕСКОЕ МОДЕЛИРОВАНИЕ, ИЗД.2</t>
  </si>
  <si>
    <t>978-5-16-018722-8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</si>
  <si>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экономическим направлениям подготовки (квалификация (степень) «бакалавр», «магистр») (протокол № 10 от 12.10.2020)</t>
  </si>
  <si>
    <t>254300.09.01</t>
  </si>
  <si>
    <t>Эконометрика. Практикум: Уч.пос. / С.А. Бородич. - М:ИНФРА-М; Мн.: Нов. знание, 2026. - 329 с.(ВО.Бак.)</t>
  </si>
  <si>
    <t>ЭКОНОМЕТРИКА. ПРАКТИКУМ, ИЗД.1</t>
  </si>
  <si>
    <t>Бородич С. А.</t>
  </si>
  <si>
    <t>978-5-16-009429-8</t>
  </si>
  <si>
    <t>164100.13.01</t>
  </si>
  <si>
    <t>Эконометрика: теоретические основы: Уч.пос. / Г.А.Соколов - М.:НИЦ ИНФРА-М,2027 - 216 с.(ВО: Бакалавр.)(о)</t>
  </si>
  <si>
    <t>ЭКОНОМЕТРИКА: ТЕОРЕТИЧЕСКИЕ ОСНОВЫ, ИЗД.1</t>
  </si>
  <si>
    <t>978-5-16-010851-3</t>
  </si>
  <si>
    <t>38.03.01, 38.03.02, 38.03.03, 38.03.04, 38.03.05, 38.03.06, 38.03.07, 38.04.01, 38.04.02, 38.04.03, 38.04.04, 38.04.05, 38.04.06, 38.04.07, 38.04.08, 38.04.09, 38.05.01, 38.05.02, 38.06.01, 38.07.02</t>
  </si>
  <si>
    <t>Рекомендовано Учебно-методическим объединением по образованию в области статистики и антикризисного управления в качестве учебного пособия для магистров и аспирантов высших учебных заведений, обучающихся по направлению 38.03.01 «Экономика» и другим экономическим направлениям</t>
  </si>
  <si>
    <t>655202.02.01</t>
  </si>
  <si>
    <t>Эконометрика: теория и практика: Уч.пос. / Л.И.Ниворожкина-М.:ИЦ РИОР, НИЦ ИНФРА-М,2020-207с.(ВО)(О)</t>
  </si>
  <si>
    <t>ЭКОНОМЕТРИКА: ТЕОРИЯ И ПРАКТИКА, ИЗД.1</t>
  </si>
  <si>
    <t>Ниворожкина Л.И., Арженовский С.В., Кокина Е.П.</t>
  </si>
  <si>
    <t>978-5-369-01698-5</t>
  </si>
  <si>
    <t>046290.18.01</t>
  </si>
  <si>
    <t>Эконометрика: Уч. пос./А.И.Новиков - М.:НИЦ ИНФРА-М,2026. - 272 с.(ВО: Бакалавриат)(о)</t>
  </si>
  <si>
    <t>ЭКОНОМЕТРИКА, ИЗД.3</t>
  </si>
  <si>
    <t>Новиков А. И.</t>
  </si>
  <si>
    <t>978-5-16-004634-1</t>
  </si>
  <si>
    <t>826772.01.01</t>
  </si>
  <si>
    <t>Эконометрика: Уч.пос. / Д.А.Власов - М.: НИЦ ИНФРА-М,2025. - 223 с.(ВО (РЭУ))(п)</t>
  </si>
  <si>
    <t>ЭКОНОМЕТРИКА, ИЗД.1</t>
  </si>
  <si>
    <t>978-5-16-019918-4</t>
  </si>
  <si>
    <t>066950.09.01</t>
  </si>
  <si>
    <t>Эконометрика: Уч.пос. / Л.Е.Басовский - М.:ИЦ РИОР, НИЦ ИНФРА-М,2023  -48 с(Карманное уч.пособие)(О)</t>
  </si>
  <si>
    <t>978-5-369-01569-8</t>
  </si>
  <si>
    <t>676795.03.01</t>
  </si>
  <si>
    <t>Эконометрическая методология исслед. сис.: Уч. / Е.В.Орлова, - 2 изд.-М.:НИЦ ИНФРА-М,2023.-221 с.(ВО)(П)</t>
  </si>
  <si>
    <t>ЭКОНОМЕТРИЧЕСКАЯ МЕТОДОЛОГИЯ ИССЛЕДОВАНИЯ СИСТЕМ, ИЗД.2</t>
  </si>
  <si>
    <t>978-5-16-016405-2</t>
  </si>
  <si>
    <t>38.03.01, 38.03.02, 38.03.03, 38.03.04, 38.03.05, 38.03.06, 38.03.07, 40.03.01</t>
  </si>
  <si>
    <t>Рекомендовано Учебно-методическим советом ВО в качестве учебника для студентов высших учебных заведений, обучающихся по укрупненной группе специальностей и направлений 38.00.00 «Экономика и управление» (квалификация (степень) «бакалавр»)</t>
  </si>
  <si>
    <t>676795.01.01</t>
  </si>
  <si>
    <t>Эконометрическая методология исслед. систем: Уч./Е.В.Орлова-М.:НИЦ ИНФРА-М,2019-216(ВО:Бакалавр.)(П)</t>
  </si>
  <si>
    <t>ЭКОНОМЕТРИЧЕСКАЯ МЕТОДОЛОГИЯ ИССЛЕДОВАНИЯ СИСТЕМ, ИЗД.1</t>
  </si>
  <si>
    <t>978-5-16-013616-5</t>
  </si>
  <si>
    <t>757883.01.01</t>
  </si>
  <si>
    <t>Эконометрическое моделир. в пакете GRETL: Уч.пос. / А.И.Новиков-М.:НИЦ ИНФРА-М,2023.-236 с.(ВО)(п)</t>
  </si>
  <si>
    <t>ЭКОНОМЕТРИЧЕСКОЕ МОДЕЛИРОВАНИЕ В ПАКЕТЕ GRETL, ИЗД.1</t>
  </si>
  <si>
    <t>Новиков А.И., Солодкая Т.И.</t>
  </si>
  <si>
    <t>978-5-16-017097-8</t>
  </si>
  <si>
    <t>38.03.01, 38.03.02, 38.03.03, 38.03.04, 38.03.05, 38.03.06, 38.03.07, 38.04.01, 38.04.08, 38.04.10, 38.05.01, 38.05.02</t>
  </si>
  <si>
    <t>653066.12.01</t>
  </si>
  <si>
    <t>Экономика  организации: Уч. / А.М.Фридман - М.:ИЦ РИОР, НИЦ ИНФРА-М,2025 - 239 с.(П)</t>
  </si>
  <si>
    <t>ЭКОНОМИКА  ОРГАНИЗАЦИИ, ИЗД.1</t>
  </si>
  <si>
    <t>978-5-369-01729-6</t>
  </si>
  <si>
    <t>00.02.38, 08.02.01, 08.02.04, 15.02.07, 21.02.15, 21.02.16, 21.02.17, 31.02.04, 31.02.05, 31.02.06, 32.02.01, 33.02.01, 35.02.12, 35.02.18, 38.02.01, 38.02.03, 38.02.06, 38.02.07, 38.02.08, 40.02.04, 42.02.01, 46.02.01</t>
  </si>
  <si>
    <t>073600.13.01</t>
  </si>
  <si>
    <t>Экономика автотранспортного предприятия: Уч. / В.П.Бычков - 2 изд. - М.:НИЦ ИНФРА-М,2026 - 404 с.(ВО)(П)</t>
  </si>
  <si>
    <t>ЭКОНОМИКА АВТОТРАНСПОРТНОГО ПРЕДПРИЯТИЯ, ИЗД.2</t>
  </si>
  <si>
    <t>Бычков В.П.</t>
  </si>
  <si>
    <t>978-5-16-018767-9</t>
  </si>
  <si>
    <t>23.03.03, 23.04.03, 44.03.01</t>
  </si>
  <si>
    <t>073600.09.01</t>
  </si>
  <si>
    <t>Экономика автотранспортного предприятия: Уч. / В.П.Бычков-М.:НИЦ ИНФРА-М,2016.-384 с..-(ВО)(П)</t>
  </si>
  <si>
    <t>ЭКОНОМИКА АВТОТРАНСПОРТНОГО ПРЕДПРИЯТИЯ, ИЗД.1</t>
  </si>
  <si>
    <t>978-5-16-002699-2</t>
  </si>
  <si>
    <t>Допущено Учебно-методическим объединением по образованию в области производственного менеджмента в качестве учебника для студентов, обучающихся по специальности 080502 «Экономика и управление на предприятии транспорта»</t>
  </si>
  <si>
    <t>229800.07.01</t>
  </si>
  <si>
    <t>Экономика агропродовольств. рынка: Уч. пос. / И.А.Минаков - М.: НИЦ ИНФРА-М, 2025 - 232 с.(ВО) (п)</t>
  </si>
  <si>
    <t>ЭКОНОМИКА АГРОПРОДОВОЛЬСТВЕННОГО РЫНКА, ИЗД.1</t>
  </si>
  <si>
    <t>Минаков И. А., Квочкин А. Н., Сабетова Л. А., Дубовицкий А. А., Минаков И. А.</t>
  </si>
  <si>
    <t>978-5-16-009054-2</t>
  </si>
  <si>
    <t>Допущено Министерством сельского хозяйства Российской Федерации в качестве учебного пособия для студентов высших аграрных учебных заведений, обучающихся по направлениям 080100 «Экономика» и 080200 «Менеджмент»</t>
  </si>
  <si>
    <t>Мичуринский государственный аграрный университет</t>
  </si>
  <si>
    <t>673204.07.01</t>
  </si>
  <si>
    <t>Экономика горного производства: Уч.пос. / З.М.Хашева - М.:ИЦ РИОР, НИЦ ИНФРА-М,2026. - 193 с.(П)</t>
  </si>
  <si>
    <t>ЭКОНОМИКА ГОРНОГО ПРОИЗВОДСТВА, ИЗД.1</t>
  </si>
  <si>
    <t>Хашева З.М., Голик В.И.</t>
  </si>
  <si>
    <t>978-5-369-01741-8</t>
  </si>
  <si>
    <t>21.02.15, 21.02.16, 21.02.17, 21.05.04</t>
  </si>
  <si>
    <t>437950.13.01</t>
  </si>
  <si>
    <t>Экономика гостиничного предприятия: Уч.пос. / Н.И.Малых - М.:НИЦ ИНФРА-М,2026. - 320 с.(ВО)(п)</t>
  </si>
  <si>
    <t>ЭКОНОМИКА ГОСТИНИЧНОГО ПРЕДПРИЯТИЯ, ИЗД.1</t>
  </si>
  <si>
    <t>Малых Н.И., Можаева Н.Г.</t>
  </si>
  <si>
    <t>978-5-16-021635-5</t>
  </si>
  <si>
    <t>38.03.01, 38.04.01, 43.03.03, 43.04.03</t>
  </si>
  <si>
    <t>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 обучающихся по направлению подготовки 101100.62 «Гостиничное дело»</t>
  </si>
  <si>
    <t>842371.03.01</t>
  </si>
  <si>
    <t>Экономика гостиничного предприятия: Уч.пос. / Н.И.Малых - М.:Форум,НИЦ ИНФРА-М,2027 - 320 с.(СПО)(п)</t>
  </si>
  <si>
    <t>Малых Н. И., Можаева Н. Г.</t>
  </si>
  <si>
    <t>978-5-00091-811-1</t>
  </si>
  <si>
    <t>883240.01.01</t>
  </si>
  <si>
    <t>Экономика данных и цифр. трансформация уголов. судопроизводства / С.В.Зуев. - М.:Юр. НОРМА,2026. - 296 с.(п)</t>
  </si>
  <si>
    <t>ЭКОНОМИКА ДАННЫХ И ЦИФРОВАЯ ТРАНСФОРМАЦИЯ УГОЛОВНОГО СУДОПРОИЗВОДСТВА, ИЗД.1</t>
  </si>
  <si>
    <t>Зуев С.В., Чурикова А.Ю., Пастухов П.С. и др.</t>
  </si>
  <si>
    <t>978-5-00156-494-2</t>
  </si>
  <si>
    <t>834102.01.01</t>
  </si>
  <si>
    <t>Экономика данных: медицинские информац. сис.: Уч.пос. / О.В.Бахарева - М.:НИЦ ИНФРА-М,2025. - 189 с.(ВО)(п)</t>
  </si>
  <si>
    <t>ЭКОНОМИКА ДАННЫХ: МЕДИЦИНСКИЕ ИНФОРМАЦИОННЫЕ СИСТЕМЫ, ИЗД.1</t>
  </si>
  <si>
    <t>Бахарева О.В., Юсупова А.Р., Альмухаметов А.А.</t>
  </si>
  <si>
    <t>978-5-16-020266-2</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</si>
  <si>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бакалавриата 34.03.01 «Сестринское дело»</t>
  </si>
  <si>
    <t>714121.06.01</t>
  </si>
  <si>
    <t>Экономика для юристов: Уч. / А.А.Петров и др. - М.:Юр.Норма, НИЦ ИНФРА-М,2026 - 328 с.(П)</t>
  </si>
  <si>
    <t>ЭКОНОМИКА ДЛЯ ЮРИСТОВ, ИЗД.1</t>
  </si>
  <si>
    <t>Петров А.А., Бариев С.Р., Чхутиашвили Л.В. и др.</t>
  </si>
  <si>
    <t>978-5-00156-013-5</t>
  </si>
  <si>
    <t>799046.01.01</t>
  </si>
  <si>
    <t>Экономика домашнего хозяйства...: Уч.пос. / Н.Г.Привалов - М.:НИЦ ИНФРА-М,2025. - 215 с.(ВО)(п)</t>
  </si>
  <si>
    <t>ЭКОНОМИКА ДОМАШНЕГО ХОЗЯЙСТВА. НРАВСТВЕННАЯ ЭКОНОМИКА, ИЗД.1</t>
  </si>
  <si>
    <t>978-5-16-018333-6</t>
  </si>
  <si>
    <t>490150.05.01</t>
  </si>
  <si>
    <t>Экономика домашних хозяйств: Моногр. / В.М.Жеребин - М.:НИЦ ИНФРА-М,2026. - 231 с.(Науч.мысль)(п)</t>
  </si>
  <si>
    <t>ЭКОНОМИКА ДОМАШНИХ ХОЗЯЙСТВ, ИЗД.1</t>
  </si>
  <si>
    <t>Жеребин В.М., Романов А.Н.</t>
  </si>
  <si>
    <t>978-5-16-010855-1</t>
  </si>
  <si>
    <t>38.03.01, 38.03.02, 38.03.03, 38.03.04, 38.03.05, 38.03.06, 38.03.07, 38.05.01, 38.05.02, 40.03.01, 44.03.05</t>
  </si>
  <si>
    <t>653085.06.01</t>
  </si>
  <si>
    <t>Экономика Европейского Союза: Уч. для магистр. / Под ред.Зарицкого Б.Е.-М.:Вуз.уч.,НИЦ ИНФРА-М,2023-328с.(П)</t>
  </si>
  <si>
    <t>ЭКОНОМИКА ЕВРОПЕЙСКОГО СОЮЗА, ИЗД.1</t>
  </si>
  <si>
    <t>Зарицкий Б.Е., Поспелов В.К., Стародубцева Е.Б. и др.</t>
  </si>
  <si>
    <t>978-5-9558-0553-5</t>
  </si>
  <si>
    <t>38.03.01, 38.04.01, 41.03.05, 41.04.05, 44.03.05</t>
  </si>
  <si>
    <t>364900.06.01</t>
  </si>
  <si>
    <t>Экономика жилищной сферы: Уч. / Под ред. Бузырева В.В., - 2 изд. - М.:ИЦ РИОР, НИЦ ИНФРА-М,2025. - 363 с.(ВО)(п)</t>
  </si>
  <si>
    <t>ЭКОНОМИКА ЖИЛИЩНОЙ СФЕРЫ, ИЗД.2</t>
  </si>
  <si>
    <t>Бузырев В.В., Васильева Н.В., Чекалин В.С.и др.</t>
  </si>
  <si>
    <t>978-5-369-01471-4</t>
  </si>
  <si>
    <t>38.03.01, 38.03.02, 38.03.10</t>
  </si>
  <si>
    <t>Допущено УМО по образованию в области производственного менеджмента в качестве учебника для студентов высших учебных заведений, обучающихся по направлению подготовки «Менеджмент»(профиль «Производственный менеджмент»)</t>
  </si>
  <si>
    <t>838631.01.01</t>
  </si>
  <si>
    <t>Экономика замкнутого цикла: опыт, пробл., пути реш.: Моногр. / С.В.Мудрова. - М.:НИЦ ИНФРА-М,2025. - 229 с.(о)</t>
  </si>
  <si>
    <t>ЭКОНОМИКА ЗАМКНУТОГО ЦИКЛА: ОПЫТ, ПРОБЛЕМЫ, ПУТИ РЕШЕНИЯ, ИЗД.1</t>
  </si>
  <si>
    <t>Мудрова С.В., Амирова Н.Р., Саргина Л.В. и др.</t>
  </si>
  <si>
    <t>978-5-16-020291-4</t>
  </si>
  <si>
    <t>05.04.06, 38.04.01, 38.04.02, 38.04.04, 38.04.09, 38.05.01, 38.06.01</t>
  </si>
  <si>
    <t>780825.03.01</t>
  </si>
  <si>
    <t>Экономика знаний и цифр. трансформация бизнеса: Уч. / Н.Р.Кельчевская - М.:НИЦ ИНФРА-М,2026. - 254 с.(ВО)(п)</t>
  </si>
  <si>
    <t>ЭКОНОМИКА ЗНАНИЙ И ЦИФРОВАЯ ТРАНСФОРМАЦИЯ БИЗНЕСА, ИЗД.1</t>
  </si>
  <si>
    <t>978-5-16-017839-4</t>
  </si>
  <si>
    <t>38.03.01, 38.03.02, 38.04.02, 41.03.05, 44.03.01</t>
  </si>
  <si>
    <t>229500.09.01</t>
  </si>
  <si>
    <t>Экономика знаний промыш. предпр.:  когнит. аспект: Моногр. / Н .А.Кипень - ИНФРА-М, 2026 - 118 с. (о)</t>
  </si>
  <si>
    <t>ЭКОНОМИКА ЗНАНИЙ ПРОМЫШЛЕННОГО ПРЕДПРИЯТИЯ: КОГНИТИВНЫЙ АСПЕКТ, ИЗД.1</t>
  </si>
  <si>
    <t>Кипень Н. А., Дудяшова В. П.</t>
  </si>
  <si>
    <t>978-5-16-009051-1</t>
  </si>
  <si>
    <t>866562.01.01</t>
  </si>
  <si>
    <t>Экономика и бух. учет (введение в спец.): Уч.пос. / Н.М.Зубко и др. - М.:НИЦ ИНФРА-М,2027. - 413 с.(СПО)(п)</t>
  </si>
  <si>
    <t>ЭКОНОМИКА И БУХГАЛТЕРСКИЙ УЧЕТ (ВВЕДЕНИЕ В СПЕЦИАЛЬНОСТЬ), ИЗД.1</t>
  </si>
  <si>
    <t>Зубко А.Н., Пинчук А.Н., Зубко Н.М.</t>
  </si>
  <si>
    <t>978-5-16-021511-2</t>
  </si>
  <si>
    <t>00.02.38</t>
  </si>
  <si>
    <t>637130.10.01</t>
  </si>
  <si>
    <t>Экономика и бух. учет. Общепроф. дисциплины: Уч. / М.Ю.Елицур. - М.:НИЦ ИНФРА-М,2027. - 544 с.(СПО)(п)</t>
  </si>
  <si>
    <t>ЭКОНОМИКА И БУХГАЛТЕРСКИЙ УЧЕТ. ОБЩЕПРОФЕССИОНАЛЬНЫЕ ДИСЦИПЛИНЫ, ИЗД.1</t>
  </si>
  <si>
    <t>Елицур М.Ю., Наумов В.П., Носова О.М. и др.</t>
  </si>
  <si>
    <t>978-5-16-022489-3</t>
  </si>
  <si>
    <t>Рекомендовано в качестве учебника для учебных заведений, реализующих программу среднего профессионального образования по специальности 38.02.01 «Экономика и бухгалтерский учет (по отраслям)»</t>
  </si>
  <si>
    <t>Колледж малого бизнеса № 4, г. Москва</t>
  </si>
  <si>
    <t>637133.12.01</t>
  </si>
  <si>
    <t>Экономика и бух. учет. Проф. модули: Уч. / М.Ю.Елицур - М.:Форум, НИЦ ИНФРА-М,2025 - 200 с.(СПО)(П)</t>
  </si>
  <si>
    <t>ЭКОНОМИКА И БУХГАЛТЕРСКИЙ УЧЕТ. ПРОФЕССИОНАЛЬНЫЕ МОДУЛИ, ИЗД.1</t>
  </si>
  <si>
    <t>Елицур М.Ю., Носова О.М., Фролова М.В.</t>
  </si>
  <si>
    <t>978-5-00091-417-5</t>
  </si>
  <si>
    <t>35.01.23, 38.02.01, 38.02.03, 38.02.06, 38.02.07, 38.02.08, 43.01.09, 43.02.16</t>
  </si>
  <si>
    <t>457600.08.01</t>
  </si>
  <si>
    <t>Экономика и коммерциал.  интеллектуал. собств.: Уч. / В.И.Мухопад, - 2 изд.-М.:Магистр, НИЦ ИНФРА-М,2023.-576 с.(п)</t>
  </si>
  <si>
    <t>ЭКОНОМИКА И КОММЕРЦИАЛИЗАЦИЯ  ИНТЕЛЛЕКТУАЛЬНОЙ СОБСТВЕННОСТИ, ИЗД.2</t>
  </si>
  <si>
    <t>978-5-9776-0486-4</t>
  </si>
  <si>
    <t>27.04.07, 28.04.04, 38.03.01, 38.03.06</t>
  </si>
  <si>
    <t>457600.02.98</t>
  </si>
  <si>
    <t>Экономика и коммерциализация  интеллект. собств.: Уч. /В.И.Мухопад -М.:Магистр,НИЦ ИНФРА-М,2017-512с.(П)</t>
  </si>
  <si>
    <t>ЭКОНОМИКА И КОММЕРЦИАЛИЗАЦИЯ  ИНТЕЛЛЕКТУАЛЬНОЙ СОБСТВЕННОСТИ, ИЗД.1</t>
  </si>
  <si>
    <t>978-5-9776-0406-2</t>
  </si>
  <si>
    <t>720252.04.01</t>
  </si>
  <si>
    <t>Экономика и орг. деят. предпр. питания: Уч.пос. / А.Р.Давыдович, - 2 изд. - М.:НИЦ ИНФРА-М,2026. - 221 с.(П)</t>
  </si>
  <si>
    <t>ЭКОНОМИКА И ОРГАНИЗАЦИЯ ДЕЯТЕЛЬНОСТИ ПРЕДПРИЯТИЙ ПИТАНИЯ, ИЗД.2</t>
  </si>
  <si>
    <t>Давыдович А.Р.</t>
  </si>
  <si>
    <t>978-5-16-015822-8</t>
  </si>
  <si>
    <t>08.02.13, 08.02.14, 15.02.17, 19.02.10, 19.02.11, 19.02.12, 21.02.20, 29.02.08, 29.02.10, 35.02.05, 35.02.07, 35.02.08, 35.02.10, 35.02.14, 35.02.15, 35.02.16, 36.01.03, 36.02.01, 36.02.03, 43.01.04, 43.01.05, 43.01.06, 43.01.07, 43.01.09, 43.01.11, 43.02.01, 43.02.15, 43.02.16,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</si>
  <si>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43.02.15 «Поварское и кондитерское дело», 19.02.10 «Технология продукции общественного питания», 43.02.01 «Организация обслуживания в общественном питании» (протокол № 11 от 09.11.2020)</t>
  </si>
  <si>
    <t>404350.08.01</t>
  </si>
  <si>
    <t>Экономика и орг. инвестир. в строит.: Уч.пос. / Н.В.Казакова, - 2 изд. - М.:НИЦ ИНФРА-М,2026 - 317 с.(ВО)(п)</t>
  </si>
  <si>
    <t>ЭКОНОМИКА И ОРГАНИЗАЦИЯ ИНВЕСТИРОВАНИЯ В СТРОИТЕЛЬСТВЕ, ИЗД.2</t>
  </si>
  <si>
    <t>Казакова Н.В., Плотников А.Н.</t>
  </si>
  <si>
    <t>978-5-16-019517-9</t>
  </si>
  <si>
    <t>404350.06.01</t>
  </si>
  <si>
    <t>Экономика и орг. инвестир. в строит.: Уч.пос. / Н.В.Казакова-М.:Альфа-М, НИЦ ИНФРА-М,2023.-256 с.(П)</t>
  </si>
  <si>
    <t>ЭКОНОМИКА И ОРГАНИЗАЦИЯ ИНВЕСТИРОВАНИЯ В СТРОИТЕЛЬСТВЕ, ИЗД.1</t>
  </si>
  <si>
    <t>Казакова Н. В., Плотников А. Н.</t>
  </si>
  <si>
    <t>978-5-98281-315-2</t>
  </si>
  <si>
    <t>201800.09.01</t>
  </si>
  <si>
    <t>Экономика и орг. производства: Уч.пос. / Под ред. Трещевского Ю.И. - М.:НИЦ ИНФРА-М,2025. - 381 с.(ВО)(П)</t>
  </si>
  <si>
    <t>ЭКОНОМИКА И ОРГАНИЗАЦИЯ ПРОИЗВОДСТВА, ИЗД.1</t>
  </si>
  <si>
    <t>Вертакова Ю.В., Трещевский Ю.И., Франовская Г.Н. и др.</t>
  </si>
  <si>
    <t>978-5-16-020757-5</t>
  </si>
  <si>
    <t>21.02.12, 38.03.01, 38.03.02, 38.03.03, 38.03.04, 38.03.05, 38.03.06, 38.03.07</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</si>
  <si>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«Менеджмент» (квалификация (степень) «бакалавр»)</t>
  </si>
  <si>
    <t>418900.09.01</t>
  </si>
  <si>
    <t>Экономика и организация малого и сред...: Уч. пос. / Н.М.Филимонова - 2 изд. - ИНФРА-М, 2026 - 222 с.(ВО)(п)</t>
  </si>
  <si>
    <t>ЭКОНОМИКА И ОРГАНИЗАЦИЯ МАЛОГО И СРЕДНЕГО БИЗНЕСА, ИЗД.2</t>
  </si>
  <si>
    <t>Филимонова Н.М., Моргунова Н.В., Ловкова Е.С.</t>
  </si>
  <si>
    <t>978-5-16-009934-7</t>
  </si>
  <si>
    <t>400800.06.01</t>
  </si>
  <si>
    <t>Экономика и организация управл. рознич. торг..: Практ./В.П.Чеглов - М: Вуз. учеб.:Инфра-М, 2023-224с (п)</t>
  </si>
  <si>
    <t>ЭКОНОМИКА И ОРГАНИЗАЦИЯ УПРАВЛЕНИЯ РОЗНИЧНЫМИ ТОРГОВЫМИ СЕТЯМИ, ИЗД.1</t>
  </si>
  <si>
    <t>Чеглов В. П.</t>
  </si>
  <si>
    <t>978-5-9558-0274-9</t>
  </si>
  <si>
    <t>785687.01.01</t>
  </si>
  <si>
    <t>Экономика и предприним. в туризме и гостепр.: Уч.пос. / Т.Ю.Анисимов-М.:НИЦ ИНФРА-М,2024.-207 с.(ВО)(п)</t>
  </si>
  <si>
    <t>ЭКОНОМИКА И ПРЕДПРИНИМАТЕЛЬСТВО В ТУРИЗМЕ И ГОСТЕПРИИМСТВЕ, ИЗД.1</t>
  </si>
  <si>
    <t>Анисимов Т.Ю., Енова А.Ю., Игнатьева И.Ф. и др.</t>
  </si>
  <si>
    <t>978-5-16-017981-0</t>
  </si>
  <si>
    <t>666706.03.01</t>
  </si>
  <si>
    <t>Экономика и предпринимательство в сервисе и туризме:Уч. / Г.А.Гомилевская и др.-М.:ИЦ РИОР, НИЦ ИНФРА-М,2019.-190 с.(П 7БЦ)</t>
  </si>
  <si>
    <t>ЭКОНОМИКА И ПРЕДПРИНИМАТЕЛЬСТВО В СЕРВИСЕ И ТУРИЗМЕ, ИЗД.1</t>
  </si>
  <si>
    <t>Гомилевская Г.А., Квасов А.С., Терентьева Т.В.</t>
  </si>
  <si>
    <t>978-5-369-01712-8</t>
  </si>
  <si>
    <t>048050.17.01</t>
  </si>
  <si>
    <t>Экономика и социология труда: Уч. / Под ред. Кибанова А.Я.-М.:НИЦ ИНФРА-М,2024.-584 с.(ВО)(П)</t>
  </si>
  <si>
    <t>ЭКОНОМИКА И СОЦИОЛОГИЯ ТРУДА, ИЗД.1</t>
  </si>
  <si>
    <t>Кибанов А. Я., Баткаева И. А., Ивановсккая Л. В., Кибанов А. Я.</t>
  </si>
  <si>
    <t>978-5-16-003458-4</t>
  </si>
  <si>
    <t>Допущено Министерством образования РФ в качестве учебника для студентов высших учебных заведений, обучающихся по специальности  062100 "Управление персоналом"</t>
  </si>
  <si>
    <t>409350.07.01</t>
  </si>
  <si>
    <t>Экономика и социология труда: Уч.пос. / А.И.Маскаева. - М.: НИЦ ИНФРА-М, 2023. -172 с.(ВО:Бакалавр.) (о)</t>
  </si>
  <si>
    <t>Маскаева А. И., Амирова Д. Р.</t>
  </si>
  <si>
    <t>978-5-16-006422-2</t>
  </si>
  <si>
    <t>38.04.02, 38.04.03</t>
  </si>
  <si>
    <t>733754.07.01</t>
  </si>
  <si>
    <t>Экономика и управ. матер. ресурс. на ж/д транспорте: Уч. / А.В.Цевелев - М.:НИЦ ИНФРА-М,2026. - 365 с.(П)</t>
  </si>
  <si>
    <t>ЭКОНОМИКА И УПРАВЛЕНИЕ МАТЕРИАЛЬНЫМИ РЕСУРСАМИ НА ЖЕЛЕЗНОДОРОЖНОМ ТРАНСПОРТЕ, ИЗД.1</t>
  </si>
  <si>
    <t>978-5-16-016177-8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</si>
  <si>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(квалификация (степень) «бакалавр») (протокол № 4 от 02.03.2020)</t>
  </si>
  <si>
    <t>429600.14.01</t>
  </si>
  <si>
    <t>Экономика и управ. недвижимостью: уч.пос. / Е.А.Савельева, - 2 изд. - М.:НИЦ ИНФРА-М,2027 - 447 с.(ВО)(п)</t>
  </si>
  <si>
    <t>ЭКОНОМИКА И УПРАВЛЕНИЕ НЕДВИЖИМОСТЬЮ, ИЗД.2</t>
  </si>
  <si>
    <t>978-5-16-021272-2</t>
  </si>
  <si>
    <t>38.03.01, 38.03.02, 38.03.04, 38.03.10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</si>
  <si>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38.03.01 «Экономика», 38.03.02 «Менеджмент» (квалификация (степень) «бакалавр») (протокол № 3 от 17.02.2020)</t>
  </si>
  <si>
    <t>753523.03.01</t>
  </si>
  <si>
    <t>Экономика и управление инновациями: Уч. / Э.А.Козловская-3 изд.-М.:НИЦ ИНФРА-М,2024.-376 с.(ВО)(п)</t>
  </si>
  <si>
    <t>ЭКОНОМИКА И УПРАВЛЕНИЕ ИННОВАЦИЯМИ, ИЗД.3</t>
  </si>
  <si>
    <t>Козловская Э.А., Яковлева Е.А., Бучаев Я.Г. и др.</t>
  </si>
  <si>
    <t>978-5-16-017367-2</t>
  </si>
  <si>
    <t>429600.09.01</t>
  </si>
  <si>
    <t>Экономика и управление недвижимостью: Уч.пос. / Е.А.Савельева-М.:Вуз. уч., НИЦ ИНФРА-М,2020.-336 с.(ВО)(П)</t>
  </si>
  <si>
    <t>ЭКОНОМИКА И УПРАВЛЕНИЕ НЕДВИЖИМОСТЬЮ, ИЗД.1</t>
  </si>
  <si>
    <t>978-5-9558-0291-6</t>
  </si>
  <si>
    <t>216500.09.01</t>
  </si>
  <si>
    <t>Экономика и управление чел. ресурсами: Уч.пос. / А.М.Асалиев - М.:НИЦ ИНФРА-М,2024 -143 с.(ВО)(П)</t>
  </si>
  <si>
    <t>ЭКОНОМИКА И УПРАВЛЕНИЕ ЧЕЛОВЕЧЕСКИМИ РЕСУРСАМИ, ИЗД.1</t>
  </si>
  <si>
    <t>Асалиев А.М., Вукович Г.Г., Строителева Т.Г.</t>
  </si>
  <si>
    <t>978-5-16-018770-9</t>
  </si>
  <si>
    <t>38.03.01, 38.03.03, 38.04.01, 38.04.03, 41.03.06</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</si>
  <si>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38.03.01 «Экономика»</t>
  </si>
  <si>
    <t>399100.11.01</t>
  </si>
  <si>
    <t>Экономика и финансы оборон. комплекса России: Уч.пос. / А.В.Иванов - М.:НИЦ ИНФРА-М,2026 - 360 с.(п)</t>
  </si>
  <si>
    <t>ЭКОНОМИКА И ФИНАНСЫ ОБОРОННОГО КОМПЛЕКСА РОССИИ, ИЗД.1</t>
  </si>
  <si>
    <t>Иванов А.В., Кузнецов О.В., Шевалкин И.С. и др.</t>
  </si>
  <si>
    <t>978-5-16-022025-3</t>
  </si>
  <si>
    <t>201500.08.01</t>
  </si>
  <si>
    <t>Экономика и финансы обществ. сектора: Уч. / Е.В.Пономаренко - М.:НИЦ ИНФРА-М,2026. - 377 с.(ВО: Магистр.)(П)</t>
  </si>
  <si>
    <t>ЭКОНОМИКА И ФИНАНСЫ ОБЩЕСТВЕННОГО СЕКТОРА, ИЗД.1</t>
  </si>
  <si>
    <t>Пономаренко Е.В.</t>
  </si>
  <si>
    <t>978-5-16-005663-0</t>
  </si>
  <si>
    <t>776708.02.01</t>
  </si>
  <si>
    <t>Экономика и финансы региона: современные тенденции: Моногр. / М.М.Богданова-М.:НИЦ ИНФРА-М,2023.-228 с.(о)</t>
  </si>
  <si>
    <t>ЭКОНОМИКА И ФИНАНСЫ РЕГИОНА: СОВРЕМЕННЫЕ ТЕНДЕНЦИИ, ИЗД.1</t>
  </si>
  <si>
    <t>Богданова М.М., Воблая И.Н., Гаража Н.А. и др.</t>
  </si>
  <si>
    <t>978-5-16-017886-8</t>
  </si>
  <si>
    <t>704537.07.01</t>
  </si>
  <si>
    <t>Экономика и финансы СССР. 1979-1991 гг.: Моногр. / Р.Г.Кирсанов - М.:НИЦ ИНФРА-М,2024 - 219 с.(п)</t>
  </si>
  <si>
    <t>ЭКОНОМИКА И ФИНАНСЫ СССР. 1979-1991 ГГ., ИЗД.1</t>
  </si>
  <si>
    <t>Кирсанов Р.Г.</t>
  </si>
  <si>
    <t>978-5-16-014941-7</t>
  </si>
  <si>
    <t>449350.06.01</t>
  </si>
  <si>
    <t>Экономика индустр.видов деятел.в России: Моногр./С.В.Казаков-М.:НИЦ ИНФРА-М,2023-304с.(Науч.мысль)(п)</t>
  </si>
  <si>
    <t>ЭКОНОМИКА ИНДУСТРИАЛЬНЫХ ВИДОВ ДЕЯТЕЛЬНОСТИ В РОССИИ, ИЗД.1</t>
  </si>
  <si>
    <t>Казаков С. В., Поздняков В. Я.</t>
  </si>
  <si>
    <t>978-5-16-009113-6</t>
  </si>
  <si>
    <t>109350.12.01</t>
  </si>
  <si>
    <t>Экономика инноваций: Уч. / Под ред. В.Я.Горфинкеля - 2 изд - М.:Вуз. уч.: НИЦ ИНФРА-М, 2024 - 336 с. (п)</t>
  </si>
  <si>
    <t>ЭКОНОМИКА ИННОВАЦИЙ, ИЗД.2</t>
  </si>
  <si>
    <t>Горфинкель В. Я., Попадюк Т. Г.</t>
  </si>
  <si>
    <t>978-5-9558-0220-6</t>
  </si>
  <si>
    <t>Рекомендовано Учебно-методическим объединением вузов России по образованию в области экономики ,в качестве учебника для студентов высших учебных заведений, обучающихся в магистратуре по экономическим специальностям</t>
  </si>
  <si>
    <t>683818.03.01</t>
  </si>
  <si>
    <t>Экономика информац. общества: Уч.пос. / Под ред. Башина Ю.Б. - М.:НИЦ ИНФРА-М,2027. - 302 с.(ВО)(П)</t>
  </si>
  <si>
    <t>ЭКОНОМИКА ИНФОРМАЦИОННОГО ОБЩЕСТВА, ИЗД.1</t>
  </si>
  <si>
    <t>Башин Ю.Б., Дремова Ю.Г., Гринёв Г.Н. и др.</t>
  </si>
  <si>
    <t>978-5-16-015543-2</t>
  </si>
  <si>
    <t>38.03.05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</si>
  <si>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38.03.05 «Бизнес-информатика» (квалификация (степень) «бакалавр») (протокол № 8 от 22.06.2020)</t>
  </si>
  <si>
    <t>818695.04.01</t>
  </si>
  <si>
    <t>Экономика компаний нефтегазового комплекса: Уч. / Ю.Н.Линник. - М.:НИЦ ИНФРА-М,2027. - 334 с.(ВО)(п)</t>
  </si>
  <si>
    <t>ЭКОНОМИКА КОМПАНИЙ НЕФТЕГАЗОВОГО КОМПЛЕКСА, ИЗД.1</t>
  </si>
  <si>
    <t>Линник Ю.Н., Байкова О.В., Линник В.Ю.</t>
  </si>
  <si>
    <t>978-5-16-020417-8</t>
  </si>
  <si>
    <t>21.03.01, 21.04.01, 21.05.06, 38.03.01, 38.04.01</t>
  </si>
  <si>
    <t>864109.01.01</t>
  </si>
  <si>
    <t>Экономика конструир. высокотех. продукции на основе..: Уч. / А.А.Чурсин. - М.:НИЦ ИНФРА-М,2026. - 509 с.(п)</t>
  </si>
  <si>
    <t>ЭКОНОМИКА КОНСТРУИРОВАНИЯ ВЫСОКОТЕХНОЛОГИЧНОЙ ПРОДУКЦИИ НА ОСНОВЕ КОГНИТИВНЫХ ЦИФРОВЫХ ТЕХНОЛОГИЙ, ИЗД.1</t>
  </si>
  <si>
    <t>Чурсин А.А., Тюлин А.Е., Шиболденков В.А. и др.</t>
  </si>
  <si>
    <t>978-5-16-021445-0</t>
  </si>
  <si>
    <t>11.03.03, 11.04.03, 12.03.01, 12.04.01, 14.03.02, 15.03.05, 15.04.05, 15.05.01, 27.04.01</t>
  </si>
  <si>
    <t>681872.03.01</t>
  </si>
  <si>
    <t>Экономика кооперационно-сетевых  взаимод. Теор...: Моногр./ В.В.Куимов-М.:НИЦ ИНФРА-М, 2023-220с(О)</t>
  </si>
  <si>
    <t>ЭКОНОМИКА КООПЕРАЦИОННО-СЕТЕВЫХ  ВЗАИМОДЕЙСТВИЙ. ТЕОРИЯ. ПРАКТИКА. ВОЗМОЖНОСТИ, ИЗД.1</t>
  </si>
  <si>
    <t>Куимов В.В.</t>
  </si>
  <si>
    <t>978-5-16-014815-1</t>
  </si>
  <si>
    <t>742802.02.01</t>
  </si>
  <si>
    <t>Экономика маркетинг. и рекл. деят.: Уч.пос. / М.Б.Щепакин.-М.:Магистр, НИЦ ИНФРА-М,2024.-232 с.(П)</t>
  </si>
  <si>
    <t>ЭКОНОМИКА МАРКЕТИНГОВОЙ И РЕКЛАМНОЙ ДЕЯТЕЛЬНОСТИ, ИЗД.1</t>
  </si>
  <si>
    <t>Щепакин М.Б., Хандамова Э.Ф., Михайлова В.М.</t>
  </si>
  <si>
    <t>978-5-9776-0529-8</t>
  </si>
  <si>
    <t>673877.03.01</t>
  </si>
  <si>
    <t>Экономика некоммерческого сектора: Уч. / Н.Г.Привалов, - 2 изд.-М.:НИЦ ИНФРА-М,2024.-552 с.(ВО)(П)</t>
  </si>
  <si>
    <t>ЭКОНОМИКА НЕКОММЕРЧЕСКОГО СЕКТОРА, ИЗД.2</t>
  </si>
  <si>
    <t>978-5-16-014665-2</t>
  </si>
  <si>
    <t>38.03.01, 38.03.02, 41.03.06, 42.03.01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</si>
  <si>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41.03.06 «Публичная политика и социальные науки», 42.03.01 «Реклама и связи с общественностью» (квалификация (степень) «бакалавр») (протокол № 5 от 16.03.2020)</t>
  </si>
  <si>
    <t>788233.01.01</t>
  </si>
  <si>
    <t>Экономика нефтегазового региона: Уч.пос. / И.Л.Беилин-М.:НИЦ ИНФРА-М,2024.-215 с.(ВО:Магистр)(п)</t>
  </si>
  <si>
    <t>ЭКОНОМИКА НЕФТЕГАЗОВОГО РЕГИОНА, ИЗД.1</t>
  </si>
  <si>
    <t>978-5-16-018099-1</t>
  </si>
  <si>
    <t>21.03.01, 21.05.06, 38.04.01</t>
  </si>
  <si>
    <t>708398.02.01</t>
  </si>
  <si>
    <t>Экономика образов. учр.: Уч.пос. / Л.А.Захарчук - 3 изд. - М.:Форум, НИЦ ИНФРА-М,2023 - 169с.(ВО)(П)</t>
  </si>
  <si>
    <t>ЭКОНОМИКА ОБРАЗОВАТЕЛЬНОГО УЧРЕЖДЕНИЯ, ИЗД.3</t>
  </si>
  <si>
    <t>Захарчук Л.А.</t>
  </si>
  <si>
    <t>978-5-00091-695-7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</si>
  <si>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6 от 25.03.2019)</t>
  </si>
  <si>
    <t>689571.02.01</t>
  </si>
  <si>
    <t>Экономика образования: практикум: Уч.пос. / В.И.Столяров-М.:НИЦ ИНФРА-М,2023-207с.(ВО: Бакалавр.)(П)</t>
  </si>
  <si>
    <t>ЭКОНОМИКА ОБРАЗОВАНИЯ: ПРАКТИКУМ, ИЗД.1</t>
  </si>
  <si>
    <t>Столяров В.И., Поздняк С.Н.</t>
  </si>
  <si>
    <t>978-5-16-014644-7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</si>
  <si>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12 от 24.06.2019)</t>
  </si>
  <si>
    <t>652891.06.01</t>
  </si>
  <si>
    <t>Экономика образования: практикум: Уч.пос. / Под ред. Василенко Н.В. - М.:НИЦ ИНФРА-М,2027 - 304 с.(ВО)(П)</t>
  </si>
  <si>
    <t>Василенко Н.В., Линьков А.Я., Вахитова Л.Р. и др.</t>
  </si>
  <si>
    <t>978-5-16-012768-2</t>
  </si>
  <si>
    <t>38.03.01, 44.03.01, 44.03.02, 44.03.03, 44.03.05</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</si>
  <si>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t>
  </si>
  <si>
    <t>345000.09.01</t>
  </si>
  <si>
    <t>Экономика образования: Уч. / В.И.Столяров - 2 изд. - М.:КУРС, НИЦ ИНФРА-М,2021 - 384 с.(П)</t>
  </si>
  <si>
    <t>ЭКОНОМИКА ОБРАЗОВАНИЯ, ИЗД.2</t>
  </si>
  <si>
    <t>978-5-906923-77-6</t>
  </si>
  <si>
    <t>38.03.01, 44.03.01, 44.03.02, 44.03.03, 44.03.04, 44.03.05</t>
  </si>
  <si>
    <t>Рекомендовано Ученым советом федерального государственного бюджетного образовательного учреждения высшего профессионального образования «Уральский государственный педагогический университет»</t>
  </si>
  <si>
    <t>345000.04.01</t>
  </si>
  <si>
    <t>Экономика образования: Уч. / В.И.Столяров - М.:КУРС, НИЦ ИНФРА-М, 2017.-384 с.(п)</t>
  </si>
  <si>
    <t>ЭКОНОМИКА ОБРАЗОВАНИЯ, ИЗД.1</t>
  </si>
  <si>
    <t>978-5-906818-33-1</t>
  </si>
  <si>
    <t>632188.05.01</t>
  </si>
  <si>
    <t>Экономика образования: Уч. / Н.В.Василенко-М.:НИЦ ИНФРА-М,2023.-413 с..-(ВО: Бакалавриат)(П)</t>
  </si>
  <si>
    <t>Василенко Н.В., Линьков А.Я.</t>
  </si>
  <si>
    <t>978-5-16-012154-3</t>
  </si>
  <si>
    <t>38.03.01, 38.03.02, 38.03.04, 44.03.01, 44.03.02, 44.03.03, 44.03.04, 44.03.05</t>
  </si>
  <si>
    <t>Рекомендовано в качестве учебника для студентов высших учебных заведений, обучающихся по направлениям подготовки  44.03.01 «Педагогическое образование», 38.03.01 «Экономика», 38.03.02 «Менеджмент» (квалификация (степень) «бакалавр»)</t>
  </si>
  <si>
    <t>469300.07.01</t>
  </si>
  <si>
    <t>Экономика образования: Уч. / О.В.Комарова - М.:НИЦ ИНФРА-М,2024.-205 с.-(ВО: Бакалавриат)(П)</t>
  </si>
  <si>
    <t>Комарова О.В., Зырянова Н.И.</t>
  </si>
  <si>
    <t>978-5-16-011006-6</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</si>
  <si>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44.03.03 «Специальное (дефектологическое) образование», 44.03.05 «Педагогическое образование (с двумя профилями подготовки)» (квалификация (степень) «бакалавр»)</t>
  </si>
  <si>
    <t>233400.11.01</t>
  </si>
  <si>
    <t>Экономика образования: Уч.пос. / Л.Е.Басовский - М.:НИЦ ИНФРА-М,2025. - 219 с.(ВО: Бакалавр.)(п)</t>
  </si>
  <si>
    <t>Басовский Л. Е., Панин В. А.</t>
  </si>
  <si>
    <t>978-5-16-009086-3</t>
  </si>
  <si>
    <t>Рекомендовано Учебно-методическим объединением вузов России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050100 «Педагогическое образование»</t>
  </si>
  <si>
    <t>084300.18.01</t>
  </si>
  <si>
    <t>Экономика образовательного учр.: Уч.пос. / Л.А.Захарчук - 3 изд.-М.:Форум, НИЦ ИНФРА-М,2024-180 с.(СПО)(п)</t>
  </si>
  <si>
    <t>978-5-00091-607-0</t>
  </si>
  <si>
    <t>Допущено Министерством образования и науки РФ в качестве учебного пособия для студентов образовательных организаций среднего профессионального образования</t>
  </si>
  <si>
    <t>116000.14.01</t>
  </si>
  <si>
    <t>Экономика обществ. сектора: Уч. / Под ред. П.В.Савченко - 2 изд. - М.:НИЦ ИНФРА-М,2026 - 556 с.(ВО:Бакалавр.)(п)</t>
  </si>
  <si>
    <t>ЭКОНОМИКА ОБЩЕСТВЕННОГО СЕКТОРА, ИЗД.2</t>
  </si>
  <si>
    <t>Савченко П. В., Погосов И. А., Жильцов Е. Н.</t>
  </si>
  <si>
    <t>978-5-16-010119-4</t>
  </si>
  <si>
    <t>38.03.01, 38.03.02, 38.03.04, 38.04.01, 38.04.02, 38.04.04, 38.04.09, 39.03.02</t>
  </si>
  <si>
    <t>Допущено УМО по образованию в области экономики и экономической теории в качестве учебника для студентов, обучающихся по направлению  Экономика и экономическим специальностям</t>
  </si>
  <si>
    <t>146500.09.01</t>
  </si>
  <si>
    <t>Экономика общественного сектора: Уч. / Г.А.Ахинов - М.:НИЦ ИНФРА-М,2017 -331 с.-(ВО: Бакалавриат)(П)</t>
  </si>
  <si>
    <t>ЭКОНОМИКА ОБЩЕСТВЕННОГО СЕКТОРА, ИЗД.1</t>
  </si>
  <si>
    <t>Ахинов Г.А., Мысляева И.Н.</t>
  </si>
  <si>
    <t>978-5-16-004442-2</t>
  </si>
  <si>
    <t>Допущено Советом Учебно-методического объединения вузов России по образованию в области менеджмента в качестве учебника по направлению подготовки 38.03.02 «Менеджмент»</t>
  </si>
  <si>
    <t>146500.15.01</t>
  </si>
  <si>
    <t>Экономика общественного сектора: Уч. / Г.А.Ахинов, - 2 изд. - М.:НИЦ ИНФРА-М,2025 - 341 с.(ВО)(п)</t>
  </si>
  <si>
    <t>978-5-16-020728-5</t>
  </si>
  <si>
    <t>Рекомендовано в качестве учебника для студентов высших учебных заведений, обучающихся по направлениям подготовки «Экономика» и «Государственное и муниципальное управление» (квалификация (степень) «бакалавр» и «магистр»)</t>
  </si>
  <si>
    <t>304900.11.01</t>
  </si>
  <si>
    <t>Экономика Олимпийских игр: Моногр. / Р.М. Нуреев - М.: Норма:  НИЦ ИНФРА-М, 2026 - 144 с.(о)</t>
  </si>
  <si>
    <t>ЭКОНОМИКА ОЛИМПИЙСКИХ ИГР, ИЗД.1</t>
  </si>
  <si>
    <t>Нуреев Р. М., Маркина Е. В.</t>
  </si>
  <si>
    <t>978-5-91768-542-7</t>
  </si>
  <si>
    <t>094780.17.01</t>
  </si>
  <si>
    <t>Экономика организации (предпр.): Уч. /Н.А.Сафронов - 2 изд. - М.: Магистр, НИЦ ИНФРА-М, 2022 - 256с(П)</t>
  </si>
  <si>
    <t>ЭКОНОМИКА ОРГАНИЗАЦИИ (ПРЕДПРИЯТИЯ), ИЗД.2</t>
  </si>
  <si>
    <t>Сафронов Н. А.</t>
  </si>
  <si>
    <t>978-5-9776-0059-0</t>
  </si>
  <si>
    <t>11.02.15, 26.02.02, 38.02.01, 38.02.02, 38.02.03, 38.02.06, 38.02.07</t>
  </si>
  <si>
    <t>Допущено Минобрнауки РФ в качестве учебного пособия для студентов образовательных учреждений среднего профессионального образования, обучающихся по финансово-экономическим специальностям</t>
  </si>
  <si>
    <t>163600.07.01</t>
  </si>
  <si>
    <t>Экономика организации (торговля): Уч. / Г.Г. Иванов. - М.: ИД ФОРУМ:  ИНФРА-М, 2025 - 352 с. (ВО) (п)</t>
  </si>
  <si>
    <t>ЭКОНОМИКА ОРГАНИЗАЦИИ (ТОРГОВЛЯ), ИЗД.1</t>
  </si>
  <si>
    <t>Иванов Г. Г.</t>
  </si>
  <si>
    <t>978-5-8199-0489-3</t>
  </si>
  <si>
    <t>38.03.01, 38.03.07</t>
  </si>
  <si>
    <t>702147.09.01</t>
  </si>
  <si>
    <t>Экономика организации. Практикум: Уч.пос. / А.М.Фридман - М.:ИЦ РИОР, НИЦ ИНФРА-М,2026 - 180 с.(СПО)(П)</t>
  </si>
  <si>
    <t>ЭКОНОМИКА ОРГАНИЗАЦИИ. ПРАКТИКУМ, ИЗД.1</t>
  </si>
  <si>
    <t>978-5-369-01830-9</t>
  </si>
  <si>
    <t>00.02.38, 21.02.15, 21.02.16, 21.02.17, 38.02.01, 38.02.02, 38.02.03, 38.02.06, 38.02.07, 38.02.08</t>
  </si>
  <si>
    <t>633953.12.01</t>
  </si>
  <si>
    <t>Экономика организации: Уч. / Е.Б.Маевская - М.:НИЦ ИНФРА-М,2023-351с.(ВО: Бакалавриат)(П)</t>
  </si>
  <si>
    <t>ЭКОНОМИКА ОРГАНИЗАЦИИ, ИЗД.1</t>
  </si>
  <si>
    <t>978-5-16-012769-9</t>
  </si>
  <si>
    <t>053200.25.01</t>
  </si>
  <si>
    <t>Экономика организации: Уч. / Е.Н.Кнышова - М.:НИЦ ИНФРА-М,2026. - 335 с.(СПО)(п)</t>
  </si>
  <si>
    <t>Кнышова Е.Н., Панфилова Е.Е.</t>
  </si>
  <si>
    <t>978-5-16-021840-3</t>
  </si>
  <si>
    <t>00.02.38, 08.02.01, 08.02.02, 15.02.07, 21.02.15, 21.02.16, 21.02.17, 21.02.18, 26.02.03, 26.02.04, 31.02.05, 31.02.06, 32.02.01, 33.02.01, 35.02.12, 35.02.18, 38.02.01, 38.02.02, 38.02.03, 38.02.06, 38.02.07, 38.02.08, 40.02.04, 42.02.01</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</si>
  <si>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специальности «Экономика и управление»</t>
  </si>
  <si>
    <t>798637.03.01</t>
  </si>
  <si>
    <t>Экономика организации: Уч. / О.В.Девяткин и др. - М.:НИЦ ИНФРА-М,2026. -  952 с.(ВО)(п)</t>
  </si>
  <si>
    <t>Девяткин О.В., Быстров А.В., Акуленко Н.Б. и др.</t>
  </si>
  <si>
    <t>978-5-16-018289-6</t>
  </si>
  <si>
    <t>38.03.01, 38.03.02, 38.03.03, 38.03.04, 38.03.05, 38.03.06, 38.03.07, 38.05.01, 44.03.01</t>
  </si>
  <si>
    <t>078000.12.01</t>
  </si>
  <si>
    <t>Экономика от "А" до "Я": Тематический справочник / Г.М.Гукасьян - М.:НИЦ ИНФРА-М,2026 - 480 с.(П)</t>
  </si>
  <si>
    <t>ЭКОНОМИКА ОТ "А" ДО "Я": ТЕМАТИЧЕСКИЙ СПРАВОЧНИК, ИЗД.1</t>
  </si>
  <si>
    <t>Гукасьян Г. М.</t>
  </si>
  <si>
    <t>978-5-16-012527-5</t>
  </si>
  <si>
    <t>00.03.13, 00.05.13</t>
  </si>
  <si>
    <t>079250.24.01</t>
  </si>
  <si>
    <t>Экономика отрасли (автомобильный транспорт): Уч. / И.С.Туревский - М.:НИЦ ИНФРА-М,2026. - 288 с.(п)</t>
  </si>
  <si>
    <t>ЭКОНОМИКА ОТРАСЛИ (АВТОМОБИЛЬНЫЙ ТРАНСПОРТ), ИЗД.1</t>
  </si>
  <si>
    <t>978-5-16-021692-8</t>
  </si>
  <si>
    <t>23.02.03, 23.02.07</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</si>
  <si>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специальности «Техническое обслуживание и ремонт автомобильного транспорта»</t>
  </si>
  <si>
    <t>062050.24.01</t>
  </si>
  <si>
    <t>Экономика отрасли (строительство): Уч./ В.В.Акимов - 2 изд. - М.:НИЦ ИНФРА-М,2025 - 300 с.(СПО)(П)</t>
  </si>
  <si>
    <t>ЭКОНОМИКА ОТРАСЛИ (СТРОИТЕЛЬСТВО), ИЗД.2</t>
  </si>
  <si>
    <t>Акимов В.В., Герасимова А.Г., Макарова Т.Н. и др.</t>
  </si>
  <si>
    <t>978-5-16-009339-0</t>
  </si>
  <si>
    <t>08.02.01, 08.02.02, 08.02.03, 08.02.04, 08.02.08, 08.02.09, 08.02.12, 08.02.13, 08.02.14</t>
  </si>
  <si>
    <t>Рекомендовано ФГУ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укрупненной группе специальностей 08.00.00 «Строительство»</t>
  </si>
  <si>
    <t>424600.08.01</t>
  </si>
  <si>
    <t>Экономика отрасли туризм: Уч. / Е.И.Богданова - М.: НИЦ Инфра-М, 2025 - 318 с. (ВО:Бакалавр.) (п)</t>
  </si>
  <si>
    <t>ЭКОНОМИКА ОТРАСЛИ ТУРИЗМ, ИЗД.1</t>
  </si>
  <si>
    <t>Богданов Е. И., Богомолова Е. С., Орловская В. П., Богданов Е. И.</t>
  </si>
  <si>
    <t>978-5-16-004712-6</t>
  </si>
  <si>
    <t>38.03.01, 38.03.02, 43.03.02, 43.04.02</t>
  </si>
  <si>
    <t>701934.05.01</t>
  </si>
  <si>
    <t>Экономика отрасли туризм: Уч. / Под ред. Богданова Е.И. - М.:НИЦ ИНФРА-М,2026. - 318 с.-(СПО)(П)</t>
  </si>
  <si>
    <t>Богданов Е.И., Богомолова Е.С., Орловская В.П. и др.</t>
  </si>
  <si>
    <t>978-5-16-014813-7</t>
  </si>
  <si>
    <t>720382.05.01</t>
  </si>
  <si>
    <t>Экономика отрасли: Уч.пос. / Л.Е.Басовский - М.:НИЦ ИНФРА-М,2026 - 145 с.-(СПО)(П)</t>
  </si>
  <si>
    <t>ЭКОНОМИКА ОТРАСЛИ, ИЗД.1</t>
  </si>
  <si>
    <t>978-5-16-015694-1</t>
  </si>
  <si>
    <t>08.02.01, 08.02.15, 09.02.04, 09.02.06, 09.02.07, 13.02.07, 15.02.17, 19.02.11, 19.02.12, 21.02.01, 21.02.11, 21.02.12, 21.02.15, 21.02.16, 21.02.17, 21.02.18, 24.02.04, 25.02.02, 25.02.03, 25.02.05, 25.02.06, 27.02.03, 27.02.04, 43.02.02, 43.02.06, 43.02.16, 44.02.06, 53.02.08, 09.02.10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</si>
  <si>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38.02.00 «Экономика и управление», 44.02.00 «Образование и педагогические науки» (протокол № 12 от 24.06.2019)</t>
  </si>
  <si>
    <t>102100.16.01</t>
  </si>
  <si>
    <t>Экономика отрасли: Уч.пос. / Л.Е.Басовский - М.:НИЦ ИНФРА-М,2027 - 145 с.-(ВО: Бакалавриат)(П)</t>
  </si>
  <si>
    <t>978-5-16-018632-0</t>
  </si>
  <si>
    <t>38.03.01, 38.03.02, 38.03.06, 38.03.07, 38.04.01, 38.04.02, 38.04.06, 44.03.04</t>
  </si>
  <si>
    <t>Рекомендовано в качестве учебного пособия для студентов высших учебных заведений, обучающихся по направлениям подготовки 38.03.02 «Менеджмент», 44.03.04 «Профессиональное обучение» (квалификация (степень) «бакалавр»)</t>
  </si>
  <si>
    <t>134100.10.01</t>
  </si>
  <si>
    <t>Экономика предп. и основы предпр. в сфере авт..: Уч. / В.П.Бычков - 2 изд.-М.:НИЦ ИНФРА-М,2024-394с(п)</t>
  </si>
  <si>
    <t>ЭКОНОМИКА ПРЕДПРИЯТИЯ И ОСНОВЫ ПРЕДПРИНИМАТЕЛЬСТВА В СФЕРЕ АВТОСЕРВИСНЫХ УСЛУГ, ИЗД.2</t>
  </si>
  <si>
    <t>978-5-16-018831-7</t>
  </si>
  <si>
    <t>Допущено УМО Российской Федерации по образованию в области транспортных машин и транспортно-технологического комплекса в качестве учебного пособия для студентов вузов, обучающихся по направлению подготовки 23.03.03 «Эксплуатация наземного транспорта и транспортного оборудования»</t>
  </si>
  <si>
    <t>336800.11.01</t>
  </si>
  <si>
    <t>Экономика предприятий: Уч.пос. / Л.Н.Краснова - М.:НИЦ ИНФРА-М,2027 - 374 с.(ВО.)(П)</t>
  </si>
  <si>
    <t>ЭКОНОМИКА ПРЕДПРИЯТИЙ, ИЗД.1</t>
  </si>
  <si>
    <t>Краснова Л.Н., Гинзбург С.Е., Садыкова Р.Р.</t>
  </si>
  <si>
    <t>978-5-16-022521-0</t>
  </si>
  <si>
    <t>20.03.02, 21.05.04, 23.03.03, 29.03.03, 38.03.01, 38.03.02, 38.03.03, 38.03.04, 38.03.05, 38.03.06, 38.03.07, 38.04.01, 38.04.02, 38.04.03, 38.04.04, 38.04.05, 38.04.06, 38.04.08, 41.03.06, 44.03.01</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</si>
  <si>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38.03.02 «Менеджмент»</t>
  </si>
  <si>
    <t>Альметьевский государственный нефтяной институт</t>
  </si>
  <si>
    <t>037840.18.01</t>
  </si>
  <si>
    <t>Экономика предприятия (в схем., табл., расч.): Уч. пос. / В.К.Скляренко - М.:ИНФРА-М, 2025-256с.(ВО)</t>
  </si>
  <si>
    <t>ЭКОНОМИКА ПРЕДПРИЯТИЯ (В СХЕМАХ, ТАБЛИЦАХ, РАСЧЕТАХ), ИЗД.1</t>
  </si>
  <si>
    <t>Скляренко В.К., Прудников В.М., Акуленко Н.Б. и др.</t>
  </si>
  <si>
    <t>978-5-16-021063-6</t>
  </si>
  <si>
    <t>17.03.01, 20.03.02, 21.05.04, 23.03.03, 26.03.02, 29.03.03, 35.03.02, 38.03.01, 38.03.02, 38.03.03, 38.03.04, 38.03.05, 38.03.06, 38.03.07, 38.04.01, 38.04.02, 38.04.03, 38.04.04, 38.04.05, 38.04.06, 38.04.07, 38.04.08, 41.03.06, 44.03.01</t>
  </si>
  <si>
    <t>Рекомендовано Учебно-методическим объединением вузов Российской Федерации по образованию в области экономики и экономической теории в качестве учебного пособия для студентов, обучающихся по направлению 38.03.01 «Экономика»</t>
  </si>
  <si>
    <t>412050.08.01</t>
  </si>
  <si>
    <t>Экономика предприятия туризма: Уч. / С.А.Степанова - М.:НИЦ ИНФРА-М,2027 - 346 с.(ВО: Бакалавриат)(П)</t>
  </si>
  <si>
    <t>ЭКОНОМИКА ПРЕДПРИЯТИЯ ТУРИЗМА, ИЗД.1</t>
  </si>
  <si>
    <t>Степанова С. А., Крыга А. В.</t>
  </si>
  <si>
    <t>978-5-16-005445-2</t>
  </si>
  <si>
    <t>38.03.01, 38.03.02, 43.03.02</t>
  </si>
  <si>
    <t>Рекомендовано Учебно-методическим объединением по образованию в области производственного менеджмента в качестве учебника для студентов высших учебных заведений, обучающихся по специальности 080502 «Экономика и управление на предприятиях туризма» и н</t>
  </si>
  <si>
    <t>060500.11.01</t>
  </si>
  <si>
    <t>Экономика предприятия: Уч. / В.К.Скляренко - 2 изд. - М.:НИЦ ИНФРА-М,2018-346с(ВО: Бакалавр.)(П)</t>
  </si>
  <si>
    <t>ЭКОНОМИКА ПРЕДПРИЯТИЯ, ИЗД.2</t>
  </si>
  <si>
    <t>Скляренко В.К., Прудников В.М.</t>
  </si>
  <si>
    <t>978-5-16-009163-1</t>
  </si>
  <si>
    <t>Допущено УМО по образованию в области экономики и экономической теории в качестве учебника для студентов, обучающихся по направлению 521600 Экономика и экономическим специальностям</t>
  </si>
  <si>
    <t>005620.24.01</t>
  </si>
  <si>
    <t>Экономика предприятия: Уч. Практ. / В.Д.Грибов - 8 изд. - М.:КУРС,НИЦ ИНФРА-М,2026 - 448 с.(Бакалавр.)(П)</t>
  </si>
  <si>
    <t>ЭКОНОМИКА ПРЕДПРИЯТИЯ, ИЗД.8</t>
  </si>
  <si>
    <t>Грибов В.Д., Грузинов В.П.</t>
  </si>
  <si>
    <t>978-5-906923-73-8</t>
  </si>
  <si>
    <t>023992.18.01</t>
  </si>
  <si>
    <t>Экономика предприятия: Уч.пос. / В.В.Жиделева, - 2 изд. - М.:НИЦ ИНФРА-М,2026. - 133 с.(ВО)(О)</t>
  </si>
  <si>
    <t>Жиделева В.В., Каптейн Ю.Н.</t>
  </si>
  <si>
    <t>978-5-16-018640-5</t>
  </si>
  <si>
    <t>Рекомендовано Министерством общего и профессионального образования РФ в качестве учебного пособия для студентов экономических вузов</t>
  </si>
  <si>
    <t>033040.14.01</t>
  </si>
  <si>
    <t>Экономика предприятия: Уч.пос. / В.К.Скляренко, - 2-е изд.-М.:НИЦ ИНФРА-М,2022.-192 с..-(ВО)(П)</t>
  </si>
  <si>
    <t>978-5-16-006291-4</t>
  </si>
  <si>
    <t>029009.27.01</t>
  </si>
  <si>
    <t>Экономика предприятия: Уч.пос. / О.И.Волков - 2 изд. - М.:НИЦ ИНФРА-М,2026 - 264 с.(ВО)(П)</t>
  </si>
  <si>
    <t>Волков О.И., Скляренко В.К.</t>
  </si>
  <si>
    <t>978-5-16-018630-6</t>
  </si>
  <si>
    <t>Рекомендовано в качестве учебного пособия для студентов высших учебных заведений, обучающихся по экономическим специальностям и направлениям</t>
  </si>
  <si>
    <t>654632.05.01</t>
  </si>
  <si>
    <t>Экономика прибрежных зон и морских акваторий...: Моногр./ Коряков А.Г.-М.:НИЦ ИНФРА-М,2023.-274 с(П)</t>
  </si>
  <si>
    <t>ЭКОНОМИКА ПРИБРЕЖНЫХ ЗОН И МОРСКИХ АКВАТОРИЙ: АРХАНГЕЛЬСКАЯ ОБЛАСТЬ, ИЗД.1</t>
  </si>
  <si>
    <t>Коряков А.Г., Руденко Л.Г., Тумин В.М. и др.</t>
  </si>
  <si>
    <t>978-5-16-012688-3</t>
  </si>
  <si>
    <t>465400.05.01</t>
  </si>
  <si>
    <t>Экономика производ.электронных средств: Уч. / В.Д.Сыров - 3 изд. - М.:ИЦ РИОР,НИЦ ИНФРА-М,2026 - 216 с.(ВО)(п)</t>
  </si>
  <si>
    <t>ЭКОНОМИКА ПРОИЗВОДСТВА ЭЛЕКТРОННЫХ СРЕДСТВ, ИЗД.3</t>
  </si>
  <si>
    <t>978-5-369-01523-0</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</si>
  <si>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специальностям направления подготовки «Электроника, радиотехника и системы связи»</t>
  </si>
  <si>
    <t>090000.14.01</t>
  </si>
  <si>
    <t>Экономика развития: мод. стан. рын. экон.: Уч. / Р.М.Нуреев - 2 изд. - М:Юр.Норма,НИЦ ИНФРА-М,2026 - 640 с.(П)</t>
  </si>
  <si>
    <t>ЭКОНОМИКА РАЗВИТИЯ: МОДЕЛИ СТАНОВЛЕНИЯ РЫНОЧНОЙ ЭКОНОМИКИ, ИЗД.2</t>
  </si>
  <si>
    <t>978-5-91768-536-6</t>
  </si>
  <si>
    <t>653027.06.01</t>
  </si>
  <si>
    <t>Экономика развития: практикум / Под ред. Нуреева Р.М.-М.:Юр.Норма, НИЦ ИНФРА-М,2021.-512 с.(П)</t>
  </si>
  <si>
    <t>ЭКОНОМИКА РАЗВИТИЯ, ИЗД.1</t>
  </si>
  <si>
    <t>Нуреев Р.М., Алленых М.А., Арефьев П.В. и др.</t>
  </si>
  <si>
    <t>978-5-91768-820-6</t>
  </si>
  <si>
    <t>788685.01.01</t>
  </si>
  <si>
    <t>Экономика России и пенсионная система за 30 л.: Моногр. / А.П.Егоршин-М.:НИЦ ИНФРА-М,2023.-337 с.(п)</t>
  </si>
  <si>
    <t>ЭКОНОМИКА РОССИИ И ПЕНСИОННАЯ СИСТЕМА ЗА 30 ЛЕТ, ИЗД.1</t>
  </si>
  <si>
    <t>Егоршин А.П., Гуськова И.В., Елисеев Ю.А.</t>
  </si>
  <si>
    <t>978-5-16-018136-3</t>
  </si>
  <si>
    <t>38.04.01, 38.06.01, 39.03.02, 39.04.02, 39.06.01</t>
  </si>
  <si>
    <t>462250.06.01</t>
  </si>
  <si>
    <t>Экономика России:проблемы роста и развития: Моногр. / Н.В.Расков - М.:НИЦ ИНФРА-М,2022 - 186(Науч.мысль)</t>
  </si>
  <si>
    <t>ЭКОНОМИКА РОССИИ: ПРОБЛЕМЫ РОСТА И РАЗВИТИЯ, ИЗД.1</t>
  </si>
  <si>
    <t>Расков Н.В.</t>
  </si>
  <si>
    <t>978-5-16-009559-2</t>
  </si>
  <si>
    <t>870255.01.01</t>
  </si>
  <si>
    <t>Экономика сельского хозяйства и АПК: Уч. / О.В.Каурова и др. - М.:НИЦ ИНФРА-М,2026. - 285 с.(ВО)(п)</t>
  </si>
  <si>
    <t>ЭКОНОМИКА СЕЛЬСКОГО ХОЗЯЙСТВА И АПК, ИЗД.1</t>
  </si>
  <si>
    <t>Каурова О.В., Васютина Е.С., Ерпелев А.В. и др.</t>
  </si>
  <si>
    <t>978-5-16-021806-9</t>
  </si>
  <si>
    <t>35.06.01, 38.06.01</t>
  </si>
  <si>
    <t>210700.10.01</t>
  </si>
  <si>
    <t>Экономика сельского хозяйства: Уч. / И.А.Минаков - 3 изд. - М.: ИНФРА-М,2025 - 352 с.(ВО: Магистр.)(п)</t>
  </si>
  <si>
    <t>ЭКОНОМИКА СЕЛЬСКОГО ХОЗЯЙСТВА, ИЗД.3</t>
  </si>
  <si>
    <t>Минаков И. А.</t>
  </si>
  <si>
    <t>978-5-16-006852-7</t>
  </si>
  <si>
    <t>35.03.04, 35.03.05, 35.03.07, 35.04.04, 35.04.05, 38.04.01, 38.04.02</t>
  </si>
  <si>
    <t>172900.13.01</t>
  </si>
  <si>
    <t>Экономика сельского хозяйства: Уч. / Под ред. Петраневой Г.А. - М.:НИЦ ИНФРА-М,2025 - 288 с.(СПО)(П)</t>
  </si>
  <si>
    <t>ЭКОНОМИКА СЕЛЬСКОГО ХОЗЯЙСТВА, ИЗД.1</t>
  </si>
  <si>
    <t>Петранева Г.А., Коваленко Н.Я., Романов А.Н. и др.</t>
  </si>
  <si>
    <t>978-5-16-013596-0</t>
  </si>
  <si>
    <t>35.02.05, 35.02.07, 35.02.16, 36.02.03</t>
  </si>
  <si>
    <t>Рекомендовано Государственным университетом управления в качестве учебника для студентов среднего профессионального образования, обучающихся по специальностям 35.02.05 «Агрономия», 36.02.02 «Зоотехния», 35.02.06 «Технология производства и переработки сельскохозяйственной продукции»</t>
  </si>
  <si>
    <t>203300.09.01</t>
  </si>
  <si>
    <t>Экономика сельскохозяйственного предпр.: Уч. / И.А.Минаков - 2 изд. - М.:НИЦ ИНФРА-М,2025. - 363 с.(п)</t>
  </si>
  <si>
    <t>ЭКОНОМИКА СЕЛЬСКОХОЗЯЙСТВЕННОГО ПРЕДПРИЯТИЯ, ИЗД.2</t>
  </si>
  <si>
    <t>Минаков И. А., Сабетова Л. А., Касторнов Н. П., Минаков И. А.</t>
  </si>
  <si>
    <t>978-5-16-006012-5</t>
  </si>
  <si>
    <t>Допущено Министерством сельского хозяйства Российской Федерации в качестве учебника для студентов высших аграрных учебных заведений, обучающихся по направлениям 080100 «Экономика» и 080200 «Менеджмент»</t>
  </si>
  <si>
    <t>719138.02.01</t>
  </si>
  <si>
    <t>Экономика строит.-монтаж. орг.: Уч. / В.М.Серов. -  М.:НИЦ ИНФРА-М,2025 - 272 с.(ВО: Бакалавриат)(П)</t>
  </si>
  <si>
    <t>ЭКОНОМИКА СТРОИТЕЛЬНО-МОНТАЖНЫХ ОРГАНИЗАЦИЙ, ИЗД.1</t>
  </si>
  <si>
    <t>978-5-16-020576-2</t>
  </si>
  <si>
    <t>270800.12.01</t>
  </si>
  <si>
    <t>Экономика строительства: Уч. / Г.М.Загидуллина - 2 изд. - М.:НИЦ ИНФРА-М,2025 - 360 с.-(ВО)(П)</t>
  </si>
  <si>
    <t>ЭКОНОМИКА СТРОИТЕЛЬСТВА, ИЗД.2</t>
  </si>
  <si>
    <t>Загидуллина Г.М., Романова А.И., Мухаррамова Э.Р. и др.</t>
  </si>
  <si>
    <t>978-5-16-020300-3</t>
  </si>
  <si>
    <t>Допущено УМО по образованию в области производственного менеджмента в качестве учебника для студентов, обучающихся по специальности 080502 «Экономика и управление на предприятии строительства» и по направлению подготовки 38.03.02 (080200) «Менеджмент» (профиль «Производственный менеджмент»)</t>
  </si>
  <si>
    <t>652893.05.01</t>
  </si>
  <si>
    <t>Экономика сферы услуг: Уч. / Н.В.Василенко - М.:НИЦ ИНФРА-М,2027 - 439 с.-(ВО: Бакалавр.)(П)</t>
  </si>
  <si>
    <t>ЭКОНОМИКА СФЕРЫ УСЛУГ, ИЗД.1</t>
  </si>
  <si>
    <t>Василенко Н.В.</t>
  </si>
  <si>
    <t>978-5-16-014659-1</t>
  </si>
  <si>
    <t>38.03.01, 43.03.01, 43.03.02, 43.03.03, 44.03.01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</si>
  <si>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и направлений 38.00.00 «Экономика и управление», 43.00.00 «Сервис и туризм», 44.00.00 «Образование и педагогические науки» (квалификация (степень) «бакалавр») (протокол № 13 от 16.09.2019)</t>
  </si>
  <si>
    <t>869399.01.01</t>
  </si>
  <si>
    <t>Экономика США: Уч. / В.Б.Супян и др. - М.:НИЦ ИНФРА-М,2026. - 648 с.(п)</t>
  </si>
  <si>
    <t>ЭКОНОМИКА США, ИЗД.1</t>
  </si>
  <si>
    <t>Супян В.Б., Лукашенко И.В., Шведова Н.А. и др.</t>
  </si>
  <si>
    <t>978-5-16-022414-5</t>
  </si>
  <si>
    <t>268800.07.01</t>
  </si>
  <si>
    <t>Экономика США: эволюция модели в условиях глобализ.: Уч./ В.Б.Супян - М: Магистр: ИНФРА-М, 2023- 560с. (п)</t>
  </si>
  <si>
    <t>ЭКОНОМИКА США: ЭВОЛЮЦИЯ МОДЕЛИ В УСЛОВИЯХ ГЛОБАЛИЗАЦИИ, ИЗД.1</t>
  </si>
  <si>
    <t>Супян В. Б., Бабич С. Н., Давыдов А. Ю., Зименков Р. И., Супян В. Б.</t>
  </si>
  <si>
    <t>978-5-9776-0308-9</t>
  </si>
  <si>
    <t>38.03.01, 38.04.01, 41.03.01, 41.03.05, 41.03.06, 41.04.01, 41.04.05</t>
  </si>
  <si>
    <t>699765.05.01</t>
  </si>
  <si>
    <t>Экономика торговой организации: Уч. / Г.Г.Иванов - М.:НИЦ ИНФРА-М,2025. - 182 с.(ВО: Бакалавр. (РЭУ))(П)</t>
  </si>
  <si>
    <t>ЭКОНОМИКА ТОРГОВОЙ ОРГАНИЗАЦИИ, ИЗД.1</t>
  </si>
  <si>
    <t>Иванов Г.Г.</t>
  </si>
  <si>
    <t>Высшее образование: Бакалавриат (РЭУ)</t>
  </si>
  <si>
    <t>978-5-16-015076-5</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</si>
  <si>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38.03.02 «Менеджмент», 38.03.06 «Торговое дело» (квалификация (степень) «бакалавр») (протокол № 8 от 22.06.2020)</t>
  </si>
  <si>
    <t>757417.04.01</t>
  </si>
  <si>
    <t>Экономика торговой организации: Уч. / Г.Г.Иванов - М.:НИЦ ИНФРА-М,2027 - 182 с.(СПО)(П)</t>
  </si>
  <si>
    <t>978-5-16-016902-6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</si>
  <si>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38.02.04 «Коммерция (по отраслям)», 38.02.05 «Товароведение и экспертиза качества потребительских товаров» (протокол № 10 от 12.10.2020)</t>
  </si>
  <si>
    <t>439350.05.01</t>
  </si>
  <si>
    <t>Экономика труда в орг. АПК: Уч.пос./ Ю.Н.Шумаков. - М.:НИЦ ИНФРА-М, 2023 - 223 с.(ВО:Бакалавр.) (п)</t>
  </si>
  <si>
    <t>ЭКОНОМИКА ТРУДА В ОРГАНИЗАЦИЯХ АПК, ИЗД.1</t>
  </si>
  <si>
    <t>Шумаков Ю. Н., Винничек Л. Б., Алексеева С. Н., Максимова Т. А.</t>
  </si>
  <si>
    <t>978-5-16-005661-6</t>
  </si>
  <si>
    <t>35.03.04, 35.03.06</t>
  </si>
  <si>
    <t>Допущено Министерством сельского хозяйства Российской Федерации в качестве учебного пособия для студентов аграрных вузов, обучающихся по направлениям «Экономика» и «Менеджмент»</t>
  </si>
  <si>
    <t>294500.10.01</t>
  </si>
  <si>
    <t>Экономика труда: Уч. / Б.М.Генкин-М.:Юр.Норма, НИЦ ИНФРА-М,2024.-352 с.(П)</t>
  </si>
  <si>
    <t>ЭКОНОМИКА ТРУДА, ИЗД.1</t>
  </si>
  <si>
    <t>978-5-91768-521-2</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</si>
  <si>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учебника для студентов высших учебных заведений, обучающихся по направлению 38.</t>
  </si>
  <si>
    <t>307600.06.01</t>
  </si>
  <si>
    <t>Экономика труда: Уч. / Д.Г.Щипанова - М.: РИОР, НИЦ ИНФРА-М,2022 - 332 с.(ВО. Бакалавриат)(П)</t>
  </si>
  <si>
    <t>Д.Г.Щипанова, М.В.Мелкумова</t>
  </si>
  <si>
    <t>978-5-369-01390-8</t>
  </si>
  <si>
    <t>651106.06.01</t>
  </si>
  <si>
    <t>Экономика труда: Уч. / Е.В.Михалкина - М.:ИЦ РИОР, НИЦ ИНФРА-М,2023 - 273 с.(ВО:Бакалавриат)(П)</t>
  </si>
  <si>
    <t>Михалкина Е.В., Белокрылова О.С., Фурса Е.В.</t>
  </si>
  <si>
    <t>978-5-369-01672-5</t>
  </si>
  <si>
    <t>635091.04.01</t>
  </si>
  <si>
    <t>Экономика труда: Уч. / М.Б.Щепакин и др.-М.:Магистр, НИЦ ИНФРА-М, 2023.-400 с..-(Бакалавриат) (П)</t>
  </si>
  <si>
    <t>Щепакин М.Б., Молчан А.С., Хандамова Э.Ф.</t>
  </si>
  <si>
    <t>978-5-9776-0447-5</t>
  </si>
  <si>
    <t>253700.12.01</t>
  </si>
  <si>
    <t>Экономика труда: Уч. / Под ред. Асалиева А.М. - М.:НИЦ ИНФРА-М,2026 - 336 с.(ВО: Бакалавр.)(П)</t>
  </si>
  <si>
    <t>Асалиев А. М., Бычин В. Б., Бобков В. Н., Асалиев А. М.</t>
  </si>
  <si>
    <t>978-5-16-009415-1</t>
  </si>
  <si>
    <t>Рекомендовано Учебно-методическим объединением вузов России по образованию в области экономики, экономической теории, национальной экономики и экономики труда в качестве учебника для студентов высших учебных заведений, обучающихся  по направлению подготовки 38.03.01 «Экономика» (квалификация (степень) «бакалавр»)</t>
  </si>
  <si>
    <t>216400.09.01</t>
  </si>
  <si>
    <t>Экономика труда: Уч.пос. / А.М.Асалиев. - М.:НИЦ ИНФРА-М,2026 - 171 с.(ВО: Бакалавриат)(П)</t>
  </si>
  <si>
    <t>Асалиев А. М., Вукович Г. Г., Сланченко Л. И.</t>
  </si>
  <si>
    <t>978-5-16-013239-6</t>
  </si>
  <si>
    <t>Рекомендовано Учебно-методическим объединением вузов России по образованию в области экономики и экономической теории, национальной экономики и экономики труда в качестве учебного пособия для студентов высших учебных заведений, обучающихся по направлению 38.03.01 «Экономика» (квалификация (степень) «бакалавр»)</t>
  </si>
  <si>
    <t>401400.08.01</t>
  </si>
  <si>
    <t>Экономика туризма: Уч.пос. / А.О.Овчаров - 2 изд. - М.:НИЦ ИНФРА-М,2024 - 264 с.(ВО: Бакалавриат)(П)</t>
  </si>
  <si>
    <t>ЭКОНОМИКА ТУРИЗМА, ИЗД.2</t>
  </si>
  <si>
    <t>978-5-16-017365-8</t>
  </si>
  <si>
    <t>Рекомендовано ФГБОУ ВПО «Санкт-Петербургский государственный университет сервиса и экономики» в качестве учебного пособия для студентов высших учебных заведений,обучающихся по направлению 43.03.02 «Туризм» (регистрационный номер рецензии 1772 от 27.03.2012, МГУП)</t>
  </si>
  <si>
    <t>401400.06.01</t>
  </si>
  <si>
    <t>Экономика туризма: Уч.пос. / А.О.Овчаров - М.:НИЦ ИНФРА-М,2022 - 253 с.-(ВО: Бакалавриат)(о)</t>
  </si>
  <si>
    <t>ЭКОНОМИКА ТУРИЗМА, ИЗД.1</t>
  </si>
  <si>
    <t>978-5-16-005335-6</t>
  </si>
  <si>
    <t>Рекомендовано ФГБОУ ВПО «Санкт-Петербургский государственный университет сервиса и экономики» в качестве учебного пособия для студентов высших учебных заведений, обучающихся по направлению 43.03.02 «Туризм» (регистрационный номер рецензии 1772 от 27.03.2012, МГУП)</t>
  </si>
  <si>
    <t>405200.09.01</t>
  </si>
  <si>
    <t>Экономика туристских предприятий: Уч.пос. / А.О.Овчаров - М.:НИЦ ИНФРА-М,2027. - 176 с.(ВО)(П)</t>
  </si>
  <si>
    <t>ЭКОНОМИКА ТУРИСТСКИХ ПРЕДПРИЯТИЙ, ИЗД.1</t>
  </si>
  <si>
    <t>978-5-16-005423-0</t>
  </si>
  <si>
    <t>38.03.01, 38.04.01, 43.03.02, 43.03.03, 43.04.02, 43.04.03</t>
  </si>
  <si>
    <t>202300.10.01</t>
  </si>
  <si>
    <t>Экономика управления персоналом: Уч. / Под ред. Кибанова А.Я. - М.:НИЦ ИНФРА-М,2026. - 427 с.(ВО: Бак.)(П)</t>
  </si>
  <si>
    <t>ЭКОНОМИКА УПРАВЛЕНИЯ ПЕРСОНАЛОМ, ИЗД.1</t>
  </si>
  <si>
    <t>Кибанов А.Я., Митрофанова Е.А., Эсаулова И.А. и др.</t>
  </si>
  <si>
    <t>978-5-16-006018-7</t>
  </si>
  <si>
    <t>Рекомендовано Советом УМО по образованию в области менеджмента в качестве учебника для студентов высших учебных заведений, обучающихся по направлению 38.03.03 (080400) «Управление персоналом» (квалификация (степень) «бакалавр»)</t>
  </si>
  <si>
    <t>734006.03.01</t>
  </si>
  <si>
    <t>Экономика устойчивого промышленного роста...: Моногр. / В.М.Полетаева-М.:НИЦ ИНФРА-М,2023.-223 с.(О)</t>
  </si>
  <si>
    <t>ЭКОНОМИКА УСТОЙЧИВОГО ПРОМЫШЛЕННОГО РОСТА: ПОНЯТИЕ, ПРОБЛЕМЫ И ВОЗМОЖНЫЕ МЕХАНИЗМЫ ФОРМИРОВАНИЯ, ИЗД.1</t>
  </si>
  <si>
    <t>Полетаева В.М.</t>
  </si>
  <si>
    <t>978-5-16-016195-2</t>
  </si>
  <si>
    <t>134950.08.01</t>
  </si>
  <si>
    <t>Экономика фирмы: орг. послепрод. обслуж. прод.: Уч. пос. / В.Я.Поздняков - М.: ИНФРА-М, 2027 - 108 с.(ВО) (о)</t>
  </si>
  <si>
    <t>ЭКОНОМИКА ФИРМЫ: ОРГАНИЗАЦИЯ ПОСЛЕПРОДАЖНОГО ОБСЛУЖИВАНИЯ ПРОДУКЦИИ, ИЗД.1</t>
  </si>
  <si>
    <t>Поздняков В. Я., Моргунова Е. П., Табачун А. С.</t>
  </si>
  <si>
    <t>978-5-16-004301-2</t>
  </si>
  <si>
    <t>Рекомендовано УМО по образованию в области национальной экономики и экономики труда в качестве учебного пособия для студентов, обуч. по спец. 080103  "Национальная экономика", 080104 "Экономика труда" и другим экономическим специальностям</t>
  </si>
  <si>
    <t>454550.06.01</t>
  </si>
  <si>
    <t>Экономика фирмы: схемы, определения..: Справ. пос. /Е.В.Арсенова - Магистр: ИНФРА-М, 2027 - 248 с.(о)</t>
  </si>
  <si>
    <t>ЭКОНОМИКА ФИРМЫ: СХЕМЫ, ОПРЕДЕЛЕНИЯ, ПОКАЗАТЕЛИ, ИЗД.1</t>
  </si>
  <si>
    <t>Арсенова Е. В., Крюкова О. Г.</t>
  </si>
  <si>
    <t>978-5-9776-0296-9</t>
  </si>
  <si>
    <t>38.03.01, 38.03.02, 38.03.03, 38.03.04, 38.03.05, 38.03.06, 38.04.01, 38.04.02, 41.03.06</t>
  </si>
  <si>
    <t>113700.11.01</t>
  </si>
  <si>
    <t>Экономика фирмы: Уч. пос./ А.Н. Ряховская - М.: Магистр:  НИЦ ИНФРА-М, 2024. - 512 с.(Бакалавр.) (п)</t>
  </si>
  <si>
    <t>ЭКОНОМИКА ФИРМЫ, ИЗД.1</t>
  </si>
  <si>
    <t>Ряховская А. Н., Арсенова Е. В., Волков Л. В., Данилова О. В., Ряховская А. Н.</t>
  </si>
  <si>
    <t>978-5-9776-0111-5</t>
  </si>
  <si>
    <t>Рекомендовано УМО по образованию в обл. финансов, учета и мировой экономики в качестве уч. пособия для студентов вузов, обучающихся по напр. "Экономика"</t>
  </si>
  <si>
    <t>636368.02.01</t>
  </si>
  <si>
    <t>Экономика, организация и планир. производ.: Уч.пос. / Л.Т.Печеная. - М.:НИЦ ИНФРА-М,2027 - 196 с.(ВО)(п)</t>
  </si>
  <si>
    <t>ЭКОНОМИКА, ОРГАНИЗАЦИЯ И ПЛАНИРОВАНИЕ ПРОИЗВОДСТВА, ИЗД.1</t>
  </si>
  <si>
    <t>Печеная Л.Т., Астраханцева Е.Ю., Домарев И.Е.</t>
  </si>
  <si>
    <t>978-5-16-019092-1</t>
  </si>
  <si>
    <t>417050.07.01</t>
  </si>
  <si>
    <t>Экономика, организация, основы маркетинга в перерабат...: Уч. пос./Е.В.Савватеев-ИНФРА-М,2024-317с. (п)</t>
  </si>
  <si>
    <t>ЭКОНОМИКА, ОРГАНИЗАЦИЯ, ОСНОВЫ МАРКЕТИНГА В ПЕРЕРАБАТЫВАЮЩЕЙ ПРОМЫШЛЕННОСТИ, ИЗД.1</t>
  </si>
  <si>
    <t>Савватеев Е. В., Рокотянская В. В., Мощенко О. В., Власенкова Т. А., Савватеев Е. В.</t>
  </si>
  <si>
    <t>978-5-16-006503-8</t>
  </si>
  <si>
    <t>36.03.01, 38.03.01, 38.03.07, 38.04.01</t>
  </si>
  <si>
    <t>Рекомендовано Учебно-методическим объединением вузов по образованию в области технологии сырья и продуктов животного происхождения в качестве учебного пособия для студентов высших учебных заведений, обучающихся по направлению подготовки бакалавров 11</t>
  </si>
  <si>
    <t>640872.08.01</t>
  </si>
  <si>
    <t>Экономика,орг.и упр.промыш.предпр.: Уч. / Е.Д.Коршунова - М.:КУРС,НИЦ ИНФРА-М,2027 - 272 с.(Бакалавр.)(П)</t>
  </si>
  <si>
    <t>ЭКОНОМИКА, ОРГАНИЗАЦИЯ И УПРАВЛЕНИЕ ПРОМЫШЛЕННЫМ ПРЕДПРИЯТИЕМ, ИЗД.1</t>
  </si>
  <si>
    <t>Коршунова Е.Д., Попова О.В., Дорожкин И.Н.</t>
  </si>
  <si>
    <t>978-5-906818-90-4</t>
  </si>
  <si>
    <t>Допущено УМО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"Конструкторско-технологическое обеспечение машиностроительных производств", "Автоматизация технолгических процессов и производств"</t>
  </si>
  <si>
    <t>364800.05.01</t>
  </si>
  <si>
    <t>Экономика. Деловые игры / Б.В.Корнейчук - М.:Магистр, НИЦ ИНФРА-М,2023-208с.(О)</t>
  </si>
  <si>
    <t>ЭКОНОМИКА. ДЕЛОВЫЕ ИГРЫ, ИЗД.1</t>
  </si>
  <si>
    <t>Корнейчук Б.В.</t>
  </si>
  <si>
    <t>978-5-9776-0366-9</t>
  </si>
  <si>
    <t>00.05.13, 38.03.01, 38.03.02, 38.03.03, 38.03.04, 38.03.05, 38.03.06, 38.03.07, 38.04.01, 38.04.02, 38.04.03, 38.04.04, 38.04.05, 38.04.06, 38.04.07, 38.04.08, 38.04.09, 38.05.01, 38.05.02, 40.03.01, 41.03.06</t>
  </si>
  <si>
    <t>166950.12.01</t>
  </si>
  <si>
    <t>Экономика. Словарь: Уч. пос. / В.М. Пушкарева. - М.: Вуз. уч.: ИНФРА-М, 2026. - 232 с. (п)</t>
  </si>
  <si>
    <t>ЭКОНОМИКА. СЛОВАРЬ, ИЗД.1</t>
  </si>
  <si>
    <t>978-5-9558-0229-9</t>
  </si>
  <si>
    <t>Рекомендовано Методическим советом НОУ высшего профессионального образования "ИНЭП" в качестве учебного пособия для подготовки бакалавров по направлению "Экономика" всех профилей</t>
  </si>
  <si>
    <t>432200.04.01</t>
  </si>
  <si>
    <t>Экономика: бакалаврская работа: Уч.пос. /С.Д.Резник-2изд.-М.:НИЦ ИНФРА-М,2020-222с.(ВО:Бакалавр.)(п)</t>
  </si>
  <si>
    <t>ЭКОНОМИКА: БАКАЛАВРСКАЯ РАБОТА, ИЗД.2</t>
  </si>
  <si>
    <t>Резник С.Д., Мебадури З.А., Белянская Н.М. и др.</t>
  </si>
  <si>
    <t>978-5-16-011293-0</t>
  </si>
  <si>
    <t>Рекомендовано Учебно-методическим объединением по образованию в области экономики, товароведения, торгового дела на базе ФГБОУВО «РЭУим. Г.В. Плеханова» в качестве учебного пособия для студентов высших учебных заведений, обучающихся по направлению38.03.01 «Экономика» (квалификация «бакалавр»)</t>
  </si>
  <si>
    <t>432200.05.01</t>
  </si>
  <si>
    <t>Экономика: выпуск. квалификац. работа бакалавра: Уч.пос. / С.Д.Резник - 4изд.-М.:НИЦ ИНФРА-М,2024.-210 с(п)</t>
  </si>
  <si>
    <t>ЭКОНОМИКА: ВЫПУСКНАЯ КВАЛИФИКАЦИОННАЯ РАБОТА БАКАЛАВРА, ИЗД.4</t>
  </si>
  <si>
    <t>978-5-16-018904-8</t>
  </si>
  <si>
    <t>317700.06.01</t>
  </si>
  <si>
    <t>Экономика: уч. / А.И.Балашов-М.:Магистр, НИЦ ИНФРА-М,2025.-432 с..-(Бакалавриат)(п)</t>
  </si>
  <si>
    <t>ЭКОНОМИКА, ИЗД.1</t>
  </si>
  <si>
    <t>Балашов А.И., Тертышный С.А.</t>
  </si>
  <si>
    <t>978-5-9776-0340-9</t>
  </si>
  <si>
    <t>376000.01.01</t>
  </si>
  <si>
    <t>Экономика: Уч. / В.А.Федотов - 4 изд. - М.:НИЦ ИНФРА-М,2017-196с.(ВО: Бакалавриат)(О)</t>
  </si>
  <si>
    <t>ЭКОНОМИКА, ИЗД.4</t>
  </si>
  <si>
    <t>Федотов В.А., Комарова О.В.</t>
  </si>
  <si>
    <t>978-5-16-011887-1</t>
  </si>
  <si>
    <t>Рекомендовано в качестве учебника для студентов высших учебных заведений, обучающихся по неэкономическим укрупненным группам специальностей (квалификация (степень) "бакалавр»)</t>
  </si>
  <si>
    <t>705370.08.01</t>
  </si>
  <si>
    <t>Экономика: Уч. / В.А.Федотов - 4 изд. - М.:НИЦ ИНФРА-М,2026 - 196 с.(СПО)(П)</t>
  </si>
  <si>
    <t>978-5-16-015038-3</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</si>
  <si>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(протокол № 5 от 11.03.2019)</t>
  </si>
  <si>
    <t>376000.05.01</t>
  </si>
  <si>
    <t>Экономика: Уч. / В.А.Федотов, - 4-е изд.-М.:НИЦ ИНФРА-М,2024.-196 с.(ВО)(п)</t>
  </si>
  <si>
    <t>978-5-16-019152-2</t>
  </si>
  <si>
    <t>139100.05.01</t>
  </si>
  <si>
    <t>Экономика: Уч. / Е.С. Дубровская. - М.: ИЦ РИОР:  ИНФРА-М, 2024. - 256 с.(ВО) (п)</t>
  </si>
  <si>
    <t>Дубровская Е. С.</t>
  </si>
  <si>
    <t>978-5-369-00902-4</t>
  </si>
  <si>
    <t>00.03.13, 00.05.13, 15.03.01, 23.03.01</t>
  </si>
  <si>
    <t>699359.01.01</t>
  </si>
  <si>
    <t>Экономика: Уч. / З.К.Океанова - М.:НИЦ ИНФРА-М,2019 - 566 с.-(ВО: Бакалавриат)(П)</t>
  </si>
  <si>
    <t>978-5-16-014706-2</t>
  </si>
  <si>
    <t>00.05.13, 38.03.01, 38.03.07, 40.03.01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</si>
  <si>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(протокол № 6 от 25.03.2019)</t>
  </si>
  <si>
    <t>070950.14.01</t>
  </si>
  <si>
    <t>Экономика: Уч. / М.В.Кудина - М.:ИД ФОРУМ, НИЦ ИНФРА-М,2026. - 368 с.(ВО)(П)</t>
  </si>
  <si>
    <t>978-5-8199-0504-3</t>
  </si>
  <si>
    <t>Рекомендовано Ученым советом факультета государственного управления МГУ имени М.В. Ломоносова в качестве учебника для студентов учреждений высшего и профессионального образования</t>
  </si>
  <si>
    <t>688744.06.01</t>
  </si>
  <si>
    <t>Экономика: Уч. / С.У.Нуралиев - 2 изд. - М.:НИЦ ИНФРА-М,2026 - 363 с.(ВО: Бакалавр.)(П)</t>
  </si>
  <si>
    <t>ЭКОНОМИКА, ИЗД.2</t>
  </si>
  <si>
    <t>Нуралиев С.У., Нуралиева Д.С.</t>
  </si>
  <si>
    <t>978-5-16-014578-5</t>
  </si>
  <si>
    <t>Рекомендовано Учебно-методическим советом ВО в качестве учебника для студентов высших учебных заведений, обучающихся по направлениям подготовки 38.03.01 «Экономика», 38.03.02 «Менеджмент», 38.03.04 «Государственное и муниципальное управление» (квалификация (степень) «бакалавр»)</t>
  </si>
  <si>
    <t>146600.13.01</t>
  </si>
  <si>
    <t>Экономика: Уч. пос./ Л.Е. Басовский - М.: НИЦ ИНФРА-М, 2026. - 375 с. (ВО: Бакалавриат) (п)</t>
  </si>
  <si>
    <t>978-5-16-004825-3</t>
  </si>
  <si>
    <t>Рекомендовано УМО по образованию в области экономики и экономической теории в качестве учебного пособия для студентов вузов, обучающихся по неэкономическим специальностям</t>
  </si>
  <si>
    <t>321700.11.01</t>
  </si>
  <si>
    <t>Экономика: Уч.пос. / С.Д.Резник и др., - 4- изд. - М.:НИЦ ИНФРА-М,2026. - 242 с.(ВО)(п)</t>
  </si>
  <si>
    <t>Резник С.Д., Духанина Е.В., Мебадури З.А. и др.</t>
  </si>
  <si>
    <t>978-5-16-021494-8</t>
  </si>
  <si>
    <t>Рекомендовано Учебно-методическим объединением в области менеджмента в качестве учебного пособия для студентов высших учебных заведений, обучающихся по направлению «Экономика»</t>
  </si>
  <si>
    <t>085690.18.01</t>
  </si>
  <si>
    <t>Экономико-матем. методы и модели..: Уч. пос. / И.В.Орлова - 3 изд. - М.:Вуз. уч.:ИНФРА-М,2026 - 389 с.(п)</t>
  </si>
  <si>
    <t>ЭКОНОМИКО-МАТЕМАТИЧЕСКИЕ МЕТОДЫ И МОДЕЛИ: КОМПЬЮТЕРНОЕ МОДЕЛИРОВАНИЕ, ИЗД.3</t>
  </si>
  <si>
    <t>Орлова И. В., Половников В. А.</t>
  </si>
  <si>
    <t>978-5-9558-0208-4</t>
  </si>
  <si>
    <t>Допущено Учебно-методическим объединением по образованию в области статистики в качестве учебного пособия для студентов высших учебных заведений, обучающихся по экономическим направлениям</t>
  </si>
  <si>
    <t>059950.13.01</t>
  </si>
  <si>
    <t>Экономико-матем. модели и прогнозир. рынка труда: Уч. / В.В.Федосеев - 3 изд. - М.:Вуз. уч.,НИЦ ИНФРА-М,2025 - 148 с.(П)</t>
  </si>
  <si>
    <t>ЭКОНОМИКО-МАТЕМАТИЧЕСКИЕ МОДЕЛИ И ПРОГНОЗИРОВАНИЕ РЫНКА ТРУДА, ИЗД.3</t>
  </si>
  <si>
    <t>Федосеев В.В.</t>
  </si>
  <si>
    <t>978-5-9558-0603-7</t>
  </si>
  <si>
    <t>01.03.02, 01.03.04, 01.04.02, 02.03.02, 03.03.02, 09.04.01, 38.03.01, 38.03.03</t>
  </si>
  <si>
    <t>027592.02.01</t>
  </si>
  <si>
    <t>Экономико-матем. моделир. в управ. бизнесом: Уч. / Е.В.Бережная - М.:НИЦ ИНФРА-М,2027. - 456 с.(ВО)(п)</t>
  </si>
  <si>
    <t>ЭКОНОМИКО-МАТЕМАТИЧЕСКОЕ МОДЕЛИРОВАНИЕ В УПРАВЛЕНИИ БИЗНЕСОМ, ИЗД.1</t>
  </si>
  <si>
    <t>Бережная Е.В., Бережной В.И., Бережная О.В.</t>
  </si>
  <si>
    <t>978-5-16-018607-8</t>
  </si>
  <si>
    <t>050950.19.01</t>
  </si>
  <si>
    <t>Экономико-матем. моделирование.: Прак. пос. / И.В.Орлова - 3 изд. - М.:,НИЦ ИНФРА-М,2027 - 190 с.(п)</t>
  </si>
  <si>
    <t>ЭКОНОМИКО-МАТЕМАТИЧЕСКОЕ МОДЕЛИРОВАНИЕ, ИЗД.3</t>
  </si>
  <si>
    <t>Орлова И.В., Бич М.Г.</t>
  </si>
  <si>
    <t>978-5-16-022383-4</t>
  </si>
  <si>
    <t>21.03.02, 38.03.01, 38.03.02, 38.03.03, 38.03.04, 38.03.05, 38.03.06, 38.03.07, 38.04.01, 38.04.02, 38.04.03, 38.04.04, 38.04.05, 38.04.06, 38.04.07, 38.04.08, 38.04.09, 38.05.01, 38.05.02, 41.03.06</t>
  </si>
  <si>
    <t>445750.08.01</t>
  </si>
  <si>
    <t>Экономико-матем.методы в примерах...: Уч.пос. / Под ред.Гармаша А.Н. - М.:Вуз.уч.,НИЦ ИНФРА-М,2024 - 416с(П)</t>
  </si>
  <si>
    <t>ЭКОНОМИКО-МАТЕМАТИЧЕСКИЕ МЕТОДЫ В ПРИМЕРАХ И ЗАДАЧАХ, ИЗД.1</t>
  </si>
  <si>
    <t>Гармаш А.Н., Орлова И.В., Концевая Н.В. и др.</t>
  </si>
  <si>
    <t>978-5-9558-0322-7</t>
  </si>
  <si>
    <t>Рекомендовано Учебно-методическим объединением по образованию в области математических методов в экономике в качестве учебного пособия для студентов высших учебных заведений, обучающихся по направлению «Математические методы в экономике» и другим эко</t>
  </si>
  <si>
    <t>866464.01.01</t>
  </si>
  <si>
    <t>Экономико-матема. моделир. и методы оптимизации слож. сис.: Уч. / С.Н.Косников. - М.:НИЦ ИНФРА-М,2026. - 217 с.(п)</t>
  </si>
  <si>
    <t>ЭКОНОМИКО-МАТЕМАТИЧЕСКОЕ МОДЕЛИРОВАНИЕ И МЕТОДЫ ОПТИМИЗАЦИИ СЛОЖНЫХ СИСТЕМ, ИЗД.1</t>
  </si>
  <si>
    <t>Косников С.Н., Косникова О.В., Бурда А.Г.</t>
  </si>
  <si>
    <t>978-5-16-021524-2</t>
  </si>
  <si>
    <t>430100.06.01</t>
  </si>
  <si>
    <t>Экономико-математические методы и модели: Уч. пос./Р.Ш.Хуснутдинов - М.: НИЦ ИНФРА-М, 2023-224с.(ВО) (п)</t>
  </si>
  <si>
    <t>ЭКОНОМИКО-МАТЕМАТИЧЕСКИЕ МЕТОДЫ И МОДЕЛИ, ИЗД.1</t>
  </si>
  <si>
    <t>978-5-16-005313-4</t>
  </si>
  <si>
    <t>21.03.02, 38.03.01, 38.03.02, 38.04.01, 38.04.02</t>
  </si>
  <si>
    <t>Рекомендовано ФБГОУ ВПО «Государственный университет управления» в качестве учебного пособия для студентов высших учебных заведений, обучающихся по специальности 080116 «Математические методы в экономике»</t>
  </si>
  <si>
    <t>059950.08.01</t>
  </si>
  <si>
    <t>Экономико-математические модели..: Уч.пос. / В.В.Федосеев - 2 изд. - М.:Вуз.уч.:ИНФРА-М,2018-144с(о)</t>
  </si>
  <si>
    <t>ЭКОНОМИКО-МАТЕМАТИЧЕСКИЕ МОДЕЛИ И ПРОГНОЗИРОВАНИЕ РЫНКА ТРУДА, ИЗД.2</t>
  </si>
  <si>
    <t>Федосеев В. В.</t>
  </si>
  <si>
    <t>978-5-9558-0159-9</t>
  </si>
  <si>
    <t>Рекомендовано Мин. обр. и науки РФ в качестве учебного пособия для студентов вузов, обучающихся по специальности "Экономика труда"</t>
  </si>
  <si>
    <t>645725.05.01</t>
  </si>
  <si>
    <t>Экономико-математическое и экономет.моделирование: Уч.пос. / В.Ф.Колпаков - М.:НИЦ ИНФРА-М,2027 - 396 с.(п)</t>
  </si>
  <si>
    <t>ЭКОНОМИКО-МАТЕМАТИЧЕСКОЕ И ЭКОНОМЕТРИЧЕСКОЕ МОДЕЛИРОВАНИЕ: КОМПЬЮТЕРНЫЙ ПРАКТИКУМ, ИЗД.1</t>
  </si>
  <si>
    <t>Колпаков В.Ф.</t>
  </si>
  <si>
    <t>978-5-16-010967-1</t>
  </si>
  <si>
    <t>Рекомендовано в качестве учебного пособия для студентов высших учебных заведений,обучающихся по направлениям подготовки 38.03.01 «Экономика», 38.03.02 «Менеджмент» (квалификация (степень) «бакалавр»)</t>
  </si>
  <si>
    <t>802130.01.01</t>
  </si>
  <si>
    <t>Экономико-правовое воспитание и просв. населения: Моногр. / С.А.Баженова - М.:НИЦ ИНФРА-М,2025 - 229 с.(о)</t>
  </si>
  <si>
    <t>ЭКОНОМИКО-ПРАВОВОЕ ВОСПИТАНИЕ И ПРОСВЕЩЕНИЕ НАСЕЛЕНИЯ: ВАЖНОСТЬ, ЗНАЧИМОСТЬ, ПРАКТИКИ РЕАЛИЗАЦИИ, ИЗД.1</t>
  </si>
  <si>
    <t>Баженова С.А., Воблая И.Н., Гаража Н.А. и др.</t>
  </si>
  <si>
    <t>978-5-16-019786-9</t>
  </si>
  <si>
    <t>Финансовый университет при Правительстве Российской Федерации, Новороссийский ф-л</t>
  </si>
  <si>
    <t>757871.03.01</t>
  </si>
  <si>
    <t>Экономикс: завершение «спора двух Кембриджей»: Моногр. / В.С.Гродский - М.:ИЦ РИОР, НИЦ ИНФРА-М,2025 - 323 с.(О)</t>
  </si>
  <si>
    <t>ЭКОНОМИКС: ЗАВЕРШЕНИЕ «СПОРА ДВУХ КЕМБРИДЖЕЙ», ИЗД.1</t>
  </si>
  <si>
    <t>978-5-369-01868-2</t>
  </si>
  <si>
    <t>00.03.13, 00.05.13, 38.04.01, 38.04.02, 38.05.01, 38.05.02, 38.06.01</t>
  </si>
  <si>
    <t>020000.24.01</t>
  </si>
  <si>
    <t>Экономикс: принципы, проблемы и политика: Уч. / К.Р.Макконнелл - 21 изд. - М.:НИЦ ИНФРА-М,2025 -1152 с.(П)</t>
  </si>
  <si>
    <t>ЭКОНОМИКС: ПРИНЦИПЫ, ПРОБЛЕМЫ И ПОЛИТИКА, ИЗД.21</t>
  </si>
  <si>
    <t>Макконнелл К.Р., Брю С.Л., Флинн Ш.М.</t>
  </si>
  <si>
    <t>978-5-16-012985-3</t>
  </si>
  <si>
    <t>38.03.01, 38.03.02, 38.03.03, 38.03.04, 38.03.05, 38.03.06, 38.03.07, 38.03.10, 38.05.01, 38.05.02, 41.03.04, 41.03.06</t>
  </si>
  <si>
    <t>2119</t>
  </si>
  <si>
    <t>186150.08.01</t>
  </si>
  <si>
    <t>Экономикс: Уч. пос. / В.С.Гродский - М.: ИЦ РИОР: НИЦ Инфра-М, 2025 - 222 с.(ВО: Бакалавр.; Магистр.) (п)</t>
  </si>
  <si>
    <t>ЭКОНОМИКС, ИЗД.1</t>
  </si>
  <si>
    <t>978-5-369-01003-7</t>
  </si>
  <si>
    <t>Рекомендовано Межвузовским центром экономического образования Мин. обр. и науки РФ в качестве учебного пособия для бакалавров, обучающихся по направлениям "Экономика" и "Менеджмент"</t>
  </si>
  <si>
    <t>734726.04.01</t>
  </si>
  <si>
    <t>Экономическая безоп. хоз. субъектов. Сов. подходы / Н.Н.Макарова - М.:ИЦ РИОР, НИЦ ИНФРА-М,2026. - 148 с.(О)</t>
  </si>
  <si>
    <t>ЭКОНОМИЧЕСКАЯ БЕЗОПАСНОСТЬ ХОЗЯЙСТВУЮЩИХ СУБЪЕКТОВ, ИЗД.1</t>
  </si>
  <si>
    <t>Макарова Н.Н.</t>
  </si>
  <si>
    <t>978-5-369-01858-3</t>
  </si>
  <si>
    <t>Российский университет кооперации, ф-л Волгоградский кооперативный институт</t>
  </si>
  <si>
    <t>653879.11.01</t>
  </si>
  <si>
    <t>Экономическая безопас. орг.(предпр.): Уч.пос. / Л.А.Кормишкина - М.:ИЦ РИОР,НИЦ ИНФРА-М,2026 - 293 с.(П)</t>
  </si>
  <si>
    <t>ЭКОНОМИЧЕСКАЯ БЕЗОПАСНОСТЬ ОРГАНИЗАЦИИ (ПРЕДПРИЯТИЯ), ИЗД.1</t>
  </si>
  <si>
    <t>Кормишкина Л.А., Кормишкин Е.Д., Илякова И.Е.</t>
  </si>
  <si>
    <t>978-5-369-01671-8</t>
  </si>
  <si>
    <t>709102.04.01</t>
  </si>
  <si>
    <t>Экономическая безопасность предприятия: Уч.пос. / О.А.Коваленко-М.:ИЦ РИОР, НИЦ ИНФРА-М,2023-359с(П)</t>
  </si>
  <si>
    <t>ЭКОНОМИЧЕСКАЯ БЕЗОПАСНОСТЬ ПРЕДПРИЯТИЯ, ИЗД.1</t>
  </si>
  <si>
    <t>Коваленко О.А., Малютина Т.Д., Ткаченко Д.Д.</t>
  </si>
  <si>
    <t>978-5-369-01814-9</t>
  </si>
  <si>
    <t>766064.04.01</t>
  </si>
  <si>
    <t>Экономическая безопасность Рос. на совр. этапе...: Моногр. / Под ред. Гаджиева Н.Г. - М.:НИЦ ИНФРА-М,2026 - 233 с.(О)</t>
  </si>
  <si>
    <t>ЭКОНОМИЧЕСКАЯ БЕЗОПАСНОСТЬ РОССИИ НА СОВРЕМЕННОМ ЭТАПЕ СОЦИАЛЬНО-ЭКОНОМИЧЕСКОГО РАЗВИТИЯ ОБЩЕСТВА, ИЗД.1</t>
  </si>
  <si>
    <t>978-5-16-017258-3</t>
  </si>
  <si>
    <t>38.03.01, 38.05.01, 38.06.01, 38.07.02</t>
  </si>
  <si>
    <t>264800.10.01</t>
  </si>
  <si>
    <t>Экономическая безопасность современной России...: Моногр./Т.Р.Орехова - М:НИЦ ИНФРА-М,2026 - 105 с.(о)</t>
  </si>
  <si>
    <t>ЭКОНОМИЧЕСКАЯ БЕЗОПАСНОСТЬ СОВРЕМЕННОЙ РОССИИ В УСЛОВИЯХ КРИЗИСА, ИЗД.1</t>
  </si>
  <si>
    <t>Орехова Т.Р., Карагодина О.В., Орехов В.И.</t>
  </si>
  <si>
    <t>978-5-16-009568-4</t>
  </si>
  <si>
    <t>716860.08.01</t>
  </si>
  <si>
    <t>Экономическая безопасность. Практ.: Уч.пос. / Н.Г.Гаджиев - М.:НИЦ ИНФРА-М,2026 - 204 с.(ВО: Спец.)(П)</t>
  </si>
  <si>
    <t>ЭКОНОМИЧЕСКАЯ БЕЗОПАСНОСТЬ. ПРАКТИКУМ, ИЗД.1</t>
  </si>
  <si>
    <t>Гаджиев Н.Г., Газимагомедов М.А., Доронин А.В. и др.</t>
  </si>
  <si>
    <t>978-5-16-015730-6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</si>
  <si>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38.05.01 «Экономическая безопасность» (квалификация «экономист») (протокол № 9 от 28.09.2020)</t>
  </si>
  <si>
    <t>716863.08.01</t>
  </si>
  <si>
    <t>Экономическая безопасность: Уч. / Н.Г.Гаджиев - М.:НИЦ ИНФРА-М,2026 - 526 с.(ВО:Специалитет)(П)</t>
  </si>
  <si>
    <t>ЭКОНОМИЧЕСКАЯ БЕЗОПАСНОСТЬ, ИЗД.1</t>
  </si>
  <si>
    <t>978-5-16-015729-0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</si>
  <si>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специальности 38.05.01 «Экономическая безопасность» (квалификация (степень) «экономист») (протокол № 8 от 22.06.2020)</t>
  </si>
  <si>
    <t>223400.11.01</t>
  </si>
  <si>
    <t>Экономическая безопасность: Уч.пос. / Под ред. Манохиной Н.В. - М.:НИЦ ИНФРА-М,2026. - 320 с.(ВО)(П)</t>
  </si>
  <si>
    <t>Попов М.В., Манохина Н.В., Колядин Н.П. и др.</t>
  </si>
  <si>
    <t>978-5-16-009002-3</t>
  </si>
  <si>
    <t>Данное учебное издание 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38.05.01 «Экономическая безопасность»</t>
  </si>
  <si>
    <t>155500.11.01</t>
  </si>
  <si>
    <t>Экономическая география и регионалистика: Уч.пос. / И.А.Козьева - 2изд.-М.:НИЦ ИНФРА-М,2024.-319 с.(ВО)(П)</t>
  </si>
  <si>
    <t>ЭКОНОМИЧЕСКАЯ ГЕОГРАФИЯ И РЕГИОНАЛИСТИКА, ИЗД.2</t>
  </si>
  <si>
    <t>Козьева И.А., Кузьбожев Э.Н.</t>
  </si>
  <si>
    <t>978-5-16-006838-1</t>
  </si>
  <si>
    <t>38.03.01, 38.03.03, 38.03.04, 38.04.01, 38.04.04</t>
  </si>
  <si>
    <t>Допущено Советом Учебно-методического объединения вузов России по образованию в области менеджмента в качестве учебного пособия по специальности 080504 "Государственное и муниципальное управление"</t>
  </si>
  <si>
    <t>155500.12.01</t>
  </si>
  <si>
    <t>Экономическая география и регионалистика: Уч.пос. / И.А.Козьева, - 3 изд. - М.:НИЦ ИНФРА-М,2026. - 310 с.(ВО)(п)</t>
  </si>
  <si>
    <t>ЭКОНОМИЧЕСКАЯ ГЕОГРАФИЯ И РЕГИОНАЛИСТИКА, ИЗД.3</t>
  </si>
  <si>
    <t>Козьева И.А.</t>
  </si>
  <si>
    <t>978-5-16-020383-6</t>
  </si>
  <si>
    <t>856602.01.01</t>
  </si>
  <si>
    <t>Экономическая дипломатия в совр. сис. междунар. отн.: Уч./ Е.С.Соколова - М.:НИЦ ИНФРА-М,2026. - 271 с.(п)</t>
  </si>
  <si>
    <t>ЭКОНОМИЧЕСКАЯ ДИПЛОМАТИЯ В СОВРЕМЕННОЙ СИСТЕМЕ МЕЖДУНАРОДНЫХ ОТНОШЕНИЙ, ИЗД.1</t>
  </si>
  <si>
    <t>Соколова Е.С., Праневич А.А., Селезнев П.С. и др.</t>
  </si>
  <si>
    <t>978-5-16-021602-7</t>
  </si>
  <si>
    <t>41.04.05</t>
  </si>
  <si>
    <t>274200.06.01</t>
  </si>
  <si>
    <t>Экономическая история (философские, социолог...): Уч.пос. / Ю.П.Дусь - Форум: ИНФРА-М,2025 - 240 с.(п)</t>
  </si>
  <si>
    <t>ЭКОНОМИЧЕСКАЯ ИСТОРИЯ (ФИЛОСОФСКИЕ, СОЦИОЛОГИЧЕСКИЕ, ИНФОРМАЦИОННЫЕ АСПЕКТЫ), ИЗД.1</t>
  </si>
  <si>
    <t>Дусь Ю.П.</t>
  </si>
  <si>
    <t>978-5-91134-873-1</t>
  </si>
  <si>
    <t>337100.08.01</t>
  </si>
  <si>
    <t>Экономическая история: взгляд из XXI в.: Моногр. / Под ред. Шапкина И.Н. - М.: НИЦ ИНФРА-М,2026. - 288 с.(О)</t>
  </si>
  <si>
    <t>ЭКОНОМИЧЕСКАЯ ИСТОРИЯ: ВЗГЛЯД ИЗ XXI ВЕКА. ИНСТИТУЦИОНАЛЬНЫЕ АСПЕКТЫ ТЕОРИИ И ПРАКТИКИ ХОЗЯЙСТВЕННОЙ ЖИЗНИ., ИЗД.1</t>
  </si>
  <si>
    <t>Шапкин И.Н., Воскресенская Н.О.</t>
  </si>
  <si>
    <t>978-5-16-021470-2</t>
  </si>
  <si>
    <t>820931.03.01</t>
  </si>
  <si>
    <t>Экономическая культура и финанс. грамотность: Уч.пос. / Е.П.Севастьянова. - М.:НИЦ ИНФРА-М, СФУ,2024. - 176 с.(п)</t>
  </si>
  <si>
    <t>ЭКОНОМИЧЕСКАЯ КУЛЬТУРА И ФИНАНСОВАЯ ГРАМОТНОСТЬ, ИЗД.1</t>
  </si>
  <si>
    <t>Севастьянова Е.П., Горячев В.П., Кузьмина Н.Н. и др.</t>
  </si>
  <si>
    <t>978-5-16-019600-8</t>
  </si>
  <si>
    <t>01.03.01, 01.03.02, 02.03.01, 05.03.02, 05.03.06, 38.03.01, 38.03.03, 38.03.04, 40.03.01, 42.03.02, 44.03.01, 44.03.05</t>
  </si>
  <si>
    <t>842776.02.01</t>
  </si>
  <si>
    <t>Экономическая наука в «новой реальности»: Моногр. / М.Л.Альпидовская. - М.:НИЦ ИНФРА-М,2026. - 245 с.(п)</t>
  </si>
  <si>
    <t>ЭКОНОМИЧЕСКАЯ НАУКА В «НОВОЙ РЕАЛЬНОСТИ»: ОТ ДОГМЫ К ИСТИНЕ, ИЗД.1</t>
  </si>
  <si>
    <t>Альпидовская М.Л., Дамениа О.Н., Карасева Л.А. и др.</t>
  </si>
  <si>
    <t>978-5-16-020473-4</t>
  </si>
  <si>
    <t>656771.03.01</t>
  </si>
  <si>
    <t>Экономическая оценка инвестиц. проектов: Уч. / С.А.Сироткин - М.:НИЦ ИНФРА-М,2025 - 274 с.(ВО)(П)</t>
  </si>
  <si>
    <t>ЭКОНОМИЧЕСКАЯ ОЦЕНКА ИНВЕСТИЦИОННЫХ ПРОЕКТОВ, ИЗД.1</t>
  </si>
  <si>
    <t>978-5-16-021078-0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</si>
  <si>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38.03.02 «Менеджмент» квалификация (степень) «бакалавр») (протокол № 5 от 16.03.2020)</t>
  </si>
  <si>
    <t>428350.09.01</t>
  </si>
  <si>
    <t>Экономическая оценка инвестиций на транспорте: Уч.пос. / Н.А.Логинова - М.:НИЦ ИНФРА-М,2026 - 252 с.(ВО)(П)</t>
  </si>
  <si>
    <t>ЭКОНОМИЧЕСКАЯ ОЦЕНКА ИНВЕСТИЦИЙ НА ТРАНСПОРТЕ, ИЗД.1</t>
  </si>
  <si>
    <t>978-5-16-005785-9</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</si>
  <si>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направлению подготовки 080200 Менеджмент (профиль «Производственный менеджмент»)</t>
  </si>
  <si>
    <t>787647.01.01</t>
  </si>
  <si>
    <t>Экономическая оценка инвестиций: Уч. пос. / Н.Г.Гаджиев и др. - М.:НИЦ ИНФРА-М,2024. - 211 с.(ВО)(п)</t>
  </si>
  <si>
    <t>ЭКОНОМИЧЕСКАЯ ОЦЕНКА ИНВЕСТИЦИЙ, ИЗД.1</t>
  </si>
  <si>
    <t>Гаджиев Н.Г., Гаврилова Т.М., Коноваленко С.А. и др.</t>
  </si>
  <si>
    <t>978-5-16-017951-3</t>
  </si>
  <si>
    <t>08.03.01, 09.03.01, 13.03.03, 15.03.05, 27.03.04, 38.03.01, 38.05.01</t>
  </si>
  <si>
    <t>Учебное пособие рекомендовано Межрегиональным учебно-методическим советом профессионального образования в качестве учебного пособия для обучающихся по направлениям подготовки 08.03.01 «Строительство», 09.03.01 «Информатика и вычислительная техника», 27.03.04 «Управление в технических системах», 13.03.03 «Энергетическое машиностроение», 15.03.05 «Конструкторско-технологическое обеспечение машиностроительных производств»</t>
  </si>
  <si>
    <t>078700.14.01</t>
  </si>
  <si>
    <t>Экономическая оценка инвестиций: Уч. пос./ Л.Е.Басовский - М.: ИНФРА-М,2025 - 241с.(ВО: Бакалавр.) (п)</t>
  </si>
  <si>
    <t>978-5-16-009915-6</t>
  </si>
  <si>
    <t>Допущено Учебно-методическим объединением по образованию в области производственного менеджмента в качестве учебного пособия для студентов, обучающихся по специальности 080502 Экономика и управление на предприятии (по отраслям)</t>
  </si>
  <si>
    <t>475850.08.01</t>
  </si>
  <si>
    <t>Экономическая оценка инвестиций: Уч.пос. / Г.В. Маркова - М.: КУРС: НИЦ ИНФРА-М, 2025 - 144с. (о)</t>
  </si>
  <si>
    <t>Маркова Г.В.</t>
  </si>
  <si>
    <t>978-5-905554-73-5</t>
  </si>
  <si>
    <t>475850.03.01</t>
  </si>
  <si>
    <t>Экономическая оценка инвестиций: Уч.пос. / Г.В.Маркова - М.:КУРС, НИЦ ИНФРА-М,2017 - 144 с.(П)</t>
  </si>
  <si>
    <t>Рекомендовано федеральным государственным бюджетным образовательным учреждением высшего профессионзльнального образования "Государственный университет управления" в качестве учебного пособия для студентов высших учебных заведений, обучающихся по напр</t>
  </si>
  <si>
    <t>815804.01.01</t>
  </si>
  <si>
    <t>Экономическая политика и инклюзив. производств. развитие... / И.Л.Беилин-М.:НИЦ ИНФРА-М,2024.-206 с.(о)</t>
  </si>
  <si>
    <t>ЭКОНОМИЧЕСКАЯ ПОЛИТИКА И ИНКЛЮЗИВНОЕ ПРОИЗВОДСТВЕННОЕ РАЗВИТИЕ НЕФТЕГАЗОВОГО РЕГИОНА, ИЗД.1</t>
  </si>
  <si>
    <t>978-5-16-019345-8</t>
  </si>
  <si>
    <t>38.03.01, 38.04.01, 38.04.02, 38.04.04</t>
  </si>
  <si>
    <t>451100.05.01</t>
  </si>
  <si>
    <t>Экономическая социология: Уч. / М.А.Васьков - М.:ИЦ РИОР,НИЦ ИНФРА-М,2026 - 252с.(ВО:Бакалавр.)(п)</t>
  </si>
  <si>
    <t>ЭКОНОМИЧЕСКАЯ СОЦИОЛОГИЯ, ИЗД.1</t>
  </si>
  <si>
    <t>ВаськовМ.А., ВоденкоК.В., СамыгинС.И. и др.</t>
  </si>
  <si>
    <t>978-5-369-01478-3</t>
  </si>
  <si>
    <t>Рекомендовано УМО РАЕ по классическому университетскому и техническому образованию в качестве учебника для социально-экономических направлений подготовки (бакалавриат)</t>
  </si>
  <si>
    <t>678770.01.01</t>
  </si>
  <si>
    <t>Экономическая среда промыш. бизнеса: Уч. / С.А.Сироткин-М.:НИЦ ИНФРА-М,2023.-366 с.(ВО: Магистр. (УрФУ))(п)</t>
  </si>
  <si>
    <t>ЭКОНОМИЧЕСКАЯ СРЕДА ПРОМЫШЛЕННОГО БИЗНЕСА, ИЗД.1</t>
  </si>
  <si>
    <t>Высшее образование: Магистратура (УрФУ)</t>
  </si>
  <si>
    <t>978-5-16-016622-3</t>
  </si>
  <si>
    <t>38.03.03, 38.04.01, 38.04.02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</si>
  <si>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38.04.01 «Экономика» (квалификация (степень) «магистр») (протокол № 10 от 21.12.2022)</t>
  </si>
  <si>
    <t>642999.08.01</t>
  </si>
  <si>
    <t>Экономическая статистика. Прак.: Уч.пос. / Под ред. Иванова Ю.Н. - М.:НИЦ ИНФРА-М,2026 - 176 с.(ВО)(О)</t>
  </si>
  <si>
    <t>ЭКОНОМИЧЕСКАЯ СТАТИСТИКА. ПРАКТИКУМ, ИЗД.1</t>
  </si>
  <si>
    <t>Иванов Ю.Н., Громыко Г.Л., Воробьев А.Н. и др.</t>
  </si>
  <si>
    <t>978-5-16-021424-5</t>
  </si>
  <si>
    <t>008528.30.01</t>
  </si>
  <si>
    <t>Экономическая статистика: Уч. / Под ред. Ю.Н.Иванова - 5 изд. - М.:НИЦ ИНФРА-М,2027 - 584 с.(ВО)(П)</t>
  </si>
  <si>
    <t>ЭКОНОМИЧЕСКАЯ СТАТИСТИКА, ИЗД.5</t>
  </si>
  <si>
    <t>Иванов Ю.Н.</t>
  </si>
  <si>
    <t>978-5-16-020030-9</t>
  </si>
  <si>
    <t>Рекомендовано УМО по классическому университетскому образованию в качестве учебника для студентов высших учебных заведений, обучающихся по направлению подготовки 38.03.01 «Экономика» и 38.03.02 «Менеджмент» (академический бакалавриат) по Федеральному государственному образовательному стандарту высшего образования</t>
  </si>
  <si>
    <t>008728.17.01</t>
  </si>
  <si>
    <t>Экономическая теория (политэкономия): Уч. / Под общ. Г.П. Журавлевой - 5 изд. - ИНФРА-М,2025 - 864 с.(П)</t>
  </si>
  <si>
    <t>ЭКОНОМИЧЕСКАЯ ТЕОРИЯ (ПОЛИТЭКОНОМИЯ), ИЗД.5</t>
  </si>
  <si>
    <t>Журавлева Г.П.</t>
  </si>
  <si>
    <t>978-5-16-004084-4</t>
  </si>
  <si>
    <t>Рекомендовано Министерством образования Российской Федерации в качестве учебника для студентов высших учебных заведений, обучающихся по экономическим специальностям</t>
  </si>
  <si>
    <t>867251.01.01</t>
  </si>
  <si>
    <t>Экономическая теория Джона Мейнарда Кейнса: Моногр. / В.С.Гродский - М.:НИЦ ИНФРА-М,2026. - 249 с.:цв.ил.(п)</t>
  </si>
  <si>
    <t>ЭКОНОМИЧЕСКАЯ ТЕОРИЯ ДЖОНА МЕЙНАРДА КЕЙНСА, ИЗД.1</t>
  </si>
  <si>
    <t>978-5-16-021573-0</t>
  </si>
  <si>
    <t>38.03.01, 38.04.01, 38.04.04, 38.04.09, 38.05.01, 38.06.01</t>
  </si>
  <si>
    <t>849947.01.01</t>
  </si>
  <si>
    <t>Экономическая теория постиндустриал. общества: Моногр. / В.С.Гродский - М.:НИЦ ИНФРА-М,2025. - 373 с.(п)</t>
  </si>
  <si>
    <t>ЭКОНОМИЧЕСКАЯ ТЕОРИЯ ПОСТИНДУСТРИАЛЬНОГО ОБЩЕСТВА, ИЗД.1</t>
  </si>
  <si>
    <t>978-5-16-020706-3</t>
  </si>
  <si>
    <t>133500.11.01</t>
  </si>
  <si>
    <t>Экономическая теория. Микроэкономика: Уч. / Г.П.Журавлева - М.:НИЦ ИНФРА-М,2027 - 440 с.(ВО: Бакалавр.)(П)</t>
  </si>
  <si>
    <t>ЭКОНОМИЧЕСКАЯ ТЕОРИЯ. МИКРОЭКОНОМИКА, ИЗД.1</t>
  </si>
  <si>
    <t>Журавлева Г. П., Поздняков Н. А., Поздняков Ю. А.</t>
  </si>
  <si>
    <t>978-5-16-004044-8</t>
  </si>
  <si>
    <t>Рекомендовано УМО по образованию в области экономики и экономической теории в качестве учебного пособия для студентов вузов, обучающихся по направлению 080100 "Экономика" и экономическим специальностям</t>
  </si>
  <si>
    <t>011877.24.01</t>
  </si>
  <si>
    <t>Экономическая теория: ключ. вопр.: Уч.пос. / Г.М.Гукасьян - 4 изд. - М.:НИЦ ИНФРА-М,2026 - 224 с.(ВО)(О)</t>
  </si>
  <si>
    <t>ЭКОНОМИЧЕСКАЯ ТЕОРИЯ: КЛЮЧЕВЫЕ ВОПРОСЫ, ИЗД.4</t>
  </si>
  <si>
    <t>Гукасьян Г.М.</t>
  </si>
  <si>
    <t>978-5-16-017095-4</t>
  </si>
  <si>
    <t>00.03.13, 00.05.13, 38.03.01, 38.03.02, 38.03.03, 38.03.04, 38.03.05, 38.03.06, 38.03.07, 38.03.10, 38.05.01, 38.05.02</t>
  </si>
  <si>
    <t>Рекомендовано Министерством общего и профессионального образования Российской Федерации в качестве учебника для студентов высших экономических заведений</t>
  </si>
  <si>
    <t>429650.09.01</t>
  </si>
  <si>
    <t>Экономическая теория: курс лекций по..: Уч. пос. / Л.Н.Даниленко - М.: НИЦ ИНФРА-М, 2026 - 576 с.(ВО)</t>
  </si>
  <si>
    <t>ЭКОНОМИЧЕСКАЯ ТЕОРИЯ: КУРС ЛЕКЦИЙ ПО МИКРО- И МАКРОЭКОНОМИКЕ, ИЗД.1</t>
  </si>
  <si>
    <t>978-5-16-004799-7</t>
  </si>
  <si>
    <t>38.03.01, 38.03.02, 38.03.03, 38.03.04, 38.03.05, 38.03.06, 38.03.07, 38.03.10, 38.04.08</t>
  </si>
  <si>
    <t>Рекомендовано ФГБОУ ВПО «Государственный университет управления» в качестве учебного пособия для студентов высших учебных заведений, обучающихся по направлению подготовки 0805.00.62 «Менеджмент» по специальностям 080507.65 «Менеджмент организации», 0</t>
  </si>
  <si>
    <t>048070.13.01</t>
  </si>
  <si>
    <t>Экономическая теория: Раб. тетр. / В.Г.Слагода - 5 изд. - М.:Форум, ИНФРА-М,2023 - 176с(Проф.обр.)(о)</t>
  </si>
  <si>
    <t>ЭКОНОМИЧЕСКАЯ ТЕОРИЯ, ИЗД.5</t>
  </si>
  <si>
    <t>Слагода В.Г.</t>
  </si>
  <si>
    <t>978-5-91134-834-2</t>
  </si>
  <si>
    <t>Допущено Министерством образования и науки Российской Федерации в качестве учебного пособия для студентов учреждений среднего специального образования, обучающихся по группе специальностей «Экономика и управление»</t>
  </si>
  <si>
    <t>076900.17.01</t>
  </si>
  <si>
    <t>Экономическая теория: Уч. / В.П.Бардовский и др. - М.:ИД ФОРУМ, НИЦ ИНФРА-М,2025. - 399 с.(СПО)(П)</t>
  </si>
  <si>
    <t>ЭКОНОМИЧЕСКАЯ ТЕОРИЯ, ИЗД.1</t>
  </si>
  <si>
    <t>Бардовский В. П., Рудакова О. В., Самородова Е. М.</t>
  </si>
  <si>
    <t>978-5-8199-0879-2</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</si>
  <si>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 обучающихся по группе специальностей «Экономика и управление»</t>
  </si>
  <si>
    <t>009741.22.01</t>
  </si>
  <si>
    <t>Экономическая теория: Уч. / М.А.Сажина - 3 изд. - М.:ИД ФОРУМ, НИЦ ИНФРА-М,2026 - 608 с.-(П)</t>
  </si>
  <si>
    <t>ЭКОНОМИЧЕСКАЯ ТЕОРИЯ, ИЗД.3</t>
  </si>
  <si>
    <t>Сажина М. А., Чибриков Г. Г.</t>
  </si>
  <si>
    <t>978-5-8199-0459-6</t>
  </si>
  <si>
    <t>00.03.13, 00.05.13, 38.03.01, 38.03.02, 38.03.03, 38.03.04, 38.03.05, 38.03.06, 38.03.07, 38.03.10</t>
  </si>
  <si>
    <t>777409.01.01</t>
  </si>
  <si>
    <t>Экономическая теория: Уч. / Н.Г.Привалов - М.:НИЦ ИНФРА-М,2024-716 с.(ВО:Магистр)(п)</t>
  </si>
  <si>
    <t>978-5-16-017773-1</t>
  </si>
  <si>
    <t>38.03.01, 38.03.03, 38.04.01, 38.04.04, 38.05.01, 38.05.02</t>
  </si>
  <si>
    <t>226400.07.01</t>
  </si>
  <si>
    <t>Экономическая теория: Уч. / Под ред. Р.С. Гайсина. - М.: НИЦ ИНФРА-М, 2024 - 330 с.(ВО: Бакалавриат) (п)</t>
  </si>
  <si>
    <t>Гайсин Р. С., Кирюшин О. И., Кучкин В. Г., Семенович В. С., Гайсин Р. С.</t>
  </si>
  <si>
    <t>978-5-16-005470-4</t>
  </si>
  <si>
    <t>35.03.03, 35.03.04, 35.03.05, 35.03.06, 35.03.07, 38.03.01, 38.03.02, 38.03.03, 38.03.04, 38.03.05, 38.03.06, 38.03.07, 38.03.10</t>
  </si>
  <si>
    <t>Рекомендовано УМО вузов России по образованию в области экономики и экономической теории в качестве учебника для студентов высших учебных заведений, обучающихся по направлению 080100 "Экономика" и другим специальностям</t>
  </si>
  <si>
    <t>421200.07.01</t>
  </si>
  <si>
    <t>Экономическая теория: Уч. / Р.А. Бурганов. - М.: НИЦ Инфра-М, 2026. - 416 с.(ВО: Бакалавр.) (п)</t>
  </si>
  <si>
    <t>Бурганов Р. А.</t>
  </si>
  <si>
    <t>978-5-16-004942-7</t>
  </si>
  <si>
    <t>Рекомендовано УМО по образованию в области финансов, учета и мировой экономики в качестве учебника для студентов, обучающихся по специальностям 080109 «Бухгалтерский учет, анализ и аудит» и 080105 «Финансы и кредит»</t>
  </si>
  <si>
    <t>128350.12.01</t>
  </si>
  <si>
    <t>Экономическая теория: Уч. пос. / Л.Е. Басовский, Е.Н. Басовская. - М.: ИНФРА-М, 2026 -375с.(ВО) (п)</t>
  </si>
  <si>
    <t>978-5-16-003957-2</t>
  </si>
  <si>
    <t>027100.21.01</t>
  </si>
  <si>
    <t>Экономическая теория: Уч./Под общ. ред. А.И.Добрынина - 2 изд. - М.: НИЦ ИНФРА-М, 2024-747с.(ВО) (п)</t>
  </si>
  <si>
    <t>ЭКОНОМИЧЕСКАЯ ТЕОРИЯ, ИЗД.2</t>
  </si>
  <si>
    <t>Багинова В.В., Бродская Т.Г., Громыко В.В. и др.</t>
  </si>
  <si>
    <t>978-5-16-004056-1</t>
  </si>
  <si>
    <t>201300.09.01</t>
  </si>
  <si>
    <t>Экономическая теория: Уч.пос. / А.О.Руднева - М.:НИЦ ИНФРА-М,2025 - 255 с.(ВО: Бакалавр.)(П)</t>
  </si>
  <si>
    <t>978-5-16-006491-8</t>
  </si>
  <si>
    <t>00.03.13, 00.05.13, 38.03.01</t>
  </si>
  <si>
    <t>Рекомендовано 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учебного пособия для студентов высших учебных заведений, обучающихся по направлению подготовки 080100.62 «Экономика» (квалификация (степень) «бакалавр» Регистрационный номер рецензии 270 от 17 июня 2013 г. (ФГАУ ФИРО)</t>
  </si>
  <si>
    <t>083560.08.01</t>
  </si>
  <si>
    <t>Экономическая теория: Уч.пос. / Т.Д.Викулина - 2 изд.-М.:ИЦ РИОР, НИЦ ИНФРА-М,2022-209с.(ВО)(О)</t>
  </si>
  <si>
    <t>Викулина Т.Д.</t>
  </si>
  <si>
    <t>978-5-369-00522-4</t>
  </si>
  <si>
    <t>745025.01.01</t>
  </si>
  <si>
    <t>Экономическая теория: элементы инстит. анализа: Уч.пос. / В.М.Пищулов-М.:НИЦ ИНФРА-М,2023.-185 с.(ВО)(П)</t>
  </si>
  <si>
    <t>ЭКОНОМИЧЕСКАЯ ТЕОРИЯ: ЭЛЕМЕНТЫ ИНСТИТУЦИОНАЛЬНОГО АНАЛИЗА, ИЗД.1</t>
  </si>
  <si>
    <t>978-5-16-016733-6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</si>
  <si>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экономическим направлениям подготовки (квалификация (степень) «бакалавр») (протокол № 7 от 21.09.2022)</t>
  </si>
  <si>
    <t>272600.06.01</t>
  </si>
  <si>
    <t>Экономическая эффективность метролог.обеспечения изд..: Уч.пос. / Д.Д.Грибанов-НИЦ ИНФРА-М,2024-111с(о)</t>
  </si>
  <si>
    <t>ЭКОНОМИЧЕСКАЯ ЭФФЕКТИВНОСТЬ МЕТРОЛОГИЧЕСКОГО ОБЕСПЕЧЕНИЯ ИЗДЕЛИЙ НА ЭТАПАХ ИХ ЖИЗНЕННОГО ЦИКЛА, ИЗД.1</t>
  </si>
  <si>
    <t>978-5-16-009678-0</t>
  </si>
  <si>
    <t>27.03.01, 38.03.01</t>
  </si>
  <si>
    <t>664100.02.01</t>
  </si>
  <si>
    <t>Экономические и соц.функции городов...: Моногр./ Т.Д.Белкина-М.:НИЦ ИНФРА-М,2019-206с(Науч.мысль)(П)</t>
  </si>
  <si>
    <t>ЭКОНОМИЧЕСКИЕ И СОЦИАЛЬНЫЕ ФУНКЦИИ ГОРОДОВ: МЕТОДОЛОГИЯ АНАЛИЗА, ИЗД.1</t>
  </si>
  <si>
    <t>Белкина Т.Д.</t>
  </si>
  <si>
    <t>978-5-16-013340-9</t>
  </si>
  <si>
    <t>712880.02.01</t>
  </si>
  <si>
    <t>Экономические исслед.: история, теория...: Моногр. / В.З.Баликоев - М.:НИЦ ИНФРА-М,2023 - 350 с.(П)</t>
  </si>
  <si>
    <t>ЭКОНОМИЧЕСКИЕ ИССЛЕДОВАНИЯ: ИСТОРИЯ, ТЕОРИЯ, МЕТОДОЛОГИЯ, ИЗД.1</t>
  </si>
  <si>
    <t>978-5-16-015476-3</t>
  </si>
  <si>
    <t>780376.03.01</t>
  </si>
  <si>
    <t>Экономические кризисы и их влияние на экономику России / Под ред. Малкиной М.Ю.-М.:НИЦ ИНФРА-М,2025.-248 с.(п)</t>
  </si>
  <si>
    <t>ЭКОНОМИЧЕСКИЕ КРИЗИСЫ И ИХ ВЛИЯНИЕ НА ЭКОНОМИКУ РОССИИ, ИЗД.1</t>
  </si>
  <si>
    <t>Малкина М.Ю., Овчаров А.О., Виноградова А.В. и др.</t>
  </si>
  <si>
    <t>978-5-16-017934-6</t>
  </si>
  <si>
    <t>АКАДЕМУС, Победитель, II место</t>
  </si>
  <si>
    <t>673933.02.01</t>
  </si>
  <si>
    <t>Экономические основ.разв. новых форм трудовых отнош.: Моногр. / Р.А.Долженко-М.:НИЦ ИНФРА-М,2023.324с(П)</t>
  </si>
  <si>
    <t>ЭКОНОМИЧЕСКИЕ ОСНОВАНИЯ РАЗВИТИЯ НОВЫХ ФОРМ ТРУДОВЫХ ОТНОШЕНИЙ, ИЗД.1</t>
  </si>
  <si>
    <t>Долженко Р.А.</t>
  </si>
  <si>
    <t>978-5-16-014342-2</t>
  </si>
  <si>
    <t>086100.11.01</t>
  </si>
  <si>
    <t>Экономические основы логистики: Уч. / Н.К.Моисеева - М.:НИЦ ИНФРА-М,2021-528 с.-(ВО: Бакалавриат)(П)</t>
  </si>
  <si>
    <t>ЭКОНОМИЧЕСКИЕ ОСНОВЫ ЛОГИСТИКИ, ИЗД.1</t>
  </si>
  <si>
    <t>Моисеева Н.К., Сергеев В.И.</t>
  </si>
  <si>
    <t>978-5-16-003146-0</t>
  </si>
  <si>
    <t>23.03.01, 38.03.01, 38.03.02, 38.03.04, 38.03.06, 38.03.07, 38.04.01, 38.04.02, 38.04.04, 38.04.05, 38.04.06, 38.04.07</t>
  </si>
  <si>
    <t>Рекомендовано Учебно-методическим объединением вузов России по образованию в области логистики в качестве учебника для студентов высших учебных заведений, обучающихся по специальности «Логистика и управление цепями поставок»</t>
  </si>
  <si>
    <t>086100.13.01</t>
  </si>
  <si>
    <t>Экономические основы логистики: Уч. / С.П.Олейник - 2 изд. - М.:НИЦ ИНФРА-М,2024 - 578 с.-(ВО)(П)</t>
  </si>
  <si>
    <t>ЭКОНОМИЧЕСКИЕ ОСНОВЫ ЛОГИСТИКИ, ИЗД.2</t>
  </si>
  <si>
    <t>Олейник С.П., Моисеева Н.К.</t>
  </si>
  <si>
    <t>978-5-16-020025-5</t>
  </si>
  <si>
    <t>090750.16.01</t>
  </si>
  <si>
    <t>Экономические основы работы с молодежью: Уч.пос. / М.П.Переверзев - М.:НИЦ ИНФРА-М,2025.- 208 с.(ВО)(П</t>
  </si>
  <si>
    <t>ЭКОНОМИЧЕСКИЕ ОСНОВЫ РАБОТЫ С МОЛОДЕЖЬЮ, ИЗД.1</t>
  </si>
  <si>
    <t>Переверзев М. П., Калинина З. Н., Переверзев М. П.</t>
  </si>
  <si>
    <t>978-5-16-010918-3</t>
  </si>
  <si>
    <t>Допущено УМО по классическому университетскому образованию РФ в качестве учебного пособия  для студентов высших учебных заведений, обучающихся по специальности 040104 "Организация работы с молодежью"</t>
  </si>
  <si>
    <t>200400.09.01</t>
  </si>
  <si>
    <t>Экономические основы соц. работы: Уч./В.И.Шарин - М.: НИЦ ИНФРА-М, 2024 - 237с.(ВО:Бакалавр.) (п)</t>
  </si>
  <si>
    <t>ЭКОНОМИЧЕСКИЕ ОСНОВЫ СОЦИАЛЬНОЙ РАБОТЫ, ИЗД.1</t>
  </si>
  <si>
    <t>Шарин В. И.</t>
  </si>
  <si>
    <t>978-5-16-006435-2</t>
  </si>
  <si>
    <t>Рекомендовано УМО Российской Академии естествознания по классическому университетскому и техническому образованию в качестве учебника для студентов высших учебных заведений, обучающихся по специальности 13.00.08 «Теория и методика профессионального о</t>
  </si>
  <si>
    <t>692944.01.01</t>
  </si>
  <si>
    <t>Экономические основы хоз. религиозных орг.: Уч. / В.И.Столяров-М.:НИЦ ИНФРА-М,2021.-319 с.(ВО)(П)</t>
  </si>
  <si>
    <t>ЭКОНОМИЧЕСКИЕ ОСНОВЫ ХОЗЯЙСТВОВАНИЯ РЕЛИГИОЗНЫХ ОРГАНИЗАЦИЙ, ИЗД.1</t>
  </si>
  <si>
    <t>978-5-16-015001-7</t>
  </si>
  <si>
    <t>38.03.01, 38.03.02, 38.04.01, 38.04.02, 48.03.01, 48.04.01</t>
  </si>
  <si>
    <t>Рекомендовано Ученым советом негосударственной образовательной организации высшего образования «Миссионерский институт» Екатеринбургской митрополии (решение от 2 октября 2018 г. № 2)</t>
  </si>
  <si>
    <t>833511.02.01</t>
  </si>
  <si>
    <t>Экономические экосистемы: Моногр. / Е.В.Попов и др. - М.:НИЦ ИНФРА-М,2026. - 356 с.(Науч.мысль)(п)</t>
  </si>
  <si>
    <t>ЭКОНОМИЧЕСКИЕ ЭКОСИСТЕМЫ, ИЗД.1</t>
  </si>
  <si>
    <t>Попов Е.В., Веретенникова А.Ю., Комарова О.В. и др.</t>
  </si>
  <si>
    <t>978-5-16-020183-2</t>
  </si>
  <si>
    <t>082960.10.01</t>
  </si>
  <si>
    <t>Экономический анализ деят. коммерч. банка: Уч. пос./Ю.Г.Вешкин - 2 изд. - Магистр:ИНФРА-М,2024-432с (п)</t>
  </si>
  <si>
    <t>ЭКОНОМИЧЕСКИЙ АНАЛИЗ ДЕЯТЕЛЬНОСТИ КОММЕРЧЕСКОГО БАНКА, ИЗД.2</t>
  </si>
  <si>
    <t>978-5-9776-0301-0</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</si>
  <si>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"Финансы и кредит", "Бухгалтерский учет, анализ и аудит"</t>
  </si>
  <si>
    <t>421100.07.01</t>
  </si>
  <si>
    <t>Экономический анализ деят. предпр.: Уч./И.Н.Иванов - НИЦ Инфра-М, 2024-348с.(ВО: Бакалавр.) (п)</t>
  </si>
  <si>
    <t>ЭКОНОМИЧЕСКИЙ АНАЛИЗ ДЕЯТЕЛЬНОСТИ ПРЕДПРИЯТИЯ, ИЗД.1</t>
  </si>
  <si>
    <t>Иванов И. Н.</t>
  </si>
  <si>
    <t>978-5-16-005608-1</t>
  </si>
  <si>
    <t>Рекомендовано Учебно-методическим объединением вузов России в области менеджмента в качестве учебника для студентов высших учебных заведений, обучающихся по направлению подготовки 080200 «Менеджмент» квалификация (степень) — «бакалавр»)</t>
  </si>
  <si>
    <t>789149.01.01</t>
  </si>
  <si>
    <t>Экономический анализ и оценка эффективности инвест. деят..: Уч. / Н.С.Пласкова-М.:НИЦ ИНФРА-М,2024-252 с.(п)</t>
  </si>
  <si>
    <t>ЭКОНОМИЧЕСКИЙ АНАЛИЗ И ОЦЕНКА ЭФФЕКТИВНОСТИ ИНВЕСТИЦИОННОЙ ДЕЯТЕЛЬНОСТИ ОРГАНИЗАЦИИ, ИЗД.1</t>
  </si>
  <si>
    <t>978-5-16-018053-3</t>
  </si>
  <si>
    <t>788177.02.01</t>
  </si>
  <si>
    <t>Экономический анализ развития территорий: Уч. / В.Н.Едронова - М, НИЦ ИНФРА-М,2026. - 328 с.(П)</t>
  </si>
  <si>
    <t>ЭКОНОМИЧЕСКИЙ АНАЛИЗ РАЗВИТИЯ ТЕРРИТОРИЙ, ИЗД.1</t>
  </si>
  <si>
    <t>978-5-16-017925-4</t>
  </si>
  <si>
    <t>38.03.04, 38.04.01, 38.05.01, 41.03.02</t>
  </si>
  <si>
    <t>683358.04.01</t>
  </si>
  <si>
    <t>Экономический анализ. Практикум: Уч.пос. / Л.М.Куприянова-М.:НИЦ ИНФРА-М,2023-172с(ВО)(П)</t>
  </si>
  <si>
    <t>ЭКОНОМИЧЕСКИЙ АНАЛИЗ. ПРАКТИКУМ, ИЗД.1</t>
  </si>
  <si>
    <t>Куприянова Л.М., Никифорова Е.В., Шнайдер О.В.</t>
  </si>
  <si>
    <t>978-5-16-016497-7</t>
  </si>
  <si>
    <t>38.03.01, 38.03.02, 38.03.06, 38.03.10, 44.03.05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</si>
  <si>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38.03.00 «Экономика и управление» (квалификация (степень) «бакалавр») (протокол № 6 от 25.03.2019)</t>
  </si>
  <si>
    <t>091700.13.01</t>
  </si>
  <si>
    <t>Экономический анализ...: Уч.пос./ Н.В.Климова, - 3 изд., - М.:НИЦ ИНФРА-М,2027. - 306 с.(ВО)(п)</t>
  </si>
  <si>
    <t>ЭКОНОМИЧЕСКИЙ АНАЛИЗ (С ТРАДИЦИОННЫМИ И ИНТЕРАКТИВНЫМИ ФОРМАМИ ОБУЧЕНИЯ), ИЗД.3</t>
  </si>
  <si>
    <t>Климова Н.В.</t>
  </si>
  <si>
    <t>978-5-16-019122-5</t>
  </si>
  <si>
    <t>18.04.01, 38.03.01, 43.04.01</t>
  </si>
  <si>
    <t>091700.11.01</t>
  </si>
  <si>
    <t>Экономический анализ..: Уч.пос. / Н.В.Климова - 2 изд. - М.:Вуз. уч., НИЦ ИНФРА-М,2020 - 296 с.(П)</t>
  </si>
  <si>
    <t>ЭКОНОМИЧЕСКИЙ АНАЛИЗ (С ТРАДИЦИОННЫМИ И ИНТЕРАКТИВНЫМИ ФОРМАМИ ОБУЧЕНИЯ), ИЗД.2</t>
  </si>
  <si>
    <t>978-5-9558-0479-8</t>
  </si>
  <si>
    <t>Рекомендовано в качестве учебного пособия для студентов высших учебных заведений, обучающихся по направлению подготовки  38.03.07 «Экономика»</t>
  </si>
  <si>
    <t>724896.05.01</t>
  </si>
  <si>
    <t>Экономический анализ: практ.: Уч.пос. / Л.М.Куприянова и др. - М.:НИЦ ИНФРА-М,2024 - 172 с.(СПО)(П)</t>
  </si>
  <si>
    <t>978-5-16-015802-0</t>
  </si>
  <si>
    <t>21.02.19, 38.02.01, 38.02.03, 38.02.06, 38.02.07, 38.02.08</t>
  </si>
  <si>
    <t>245700.07.01</t>
  </si>
  <si>
    <t>Экономический анализ: теор. и прак.: Уч.пос. / М.Я.Погорелова - М.:ИЦ РИОР, НИЦ ИНФРА-М,2025. - 286 с.(ВО)(о)</t>
  </si>
  <si>
    <t>ЭКОНОМИЧЕСКИЙ АНАЛИЗ: ТЕОРИЯ И ПРАКТИКА, ИЗД.1</t>
  </si>
  <si>
    <t>978-5-369-01295-6</t>
  </si>
  <si>
    <t>38.03.01, 43.04.01</t>
  </si>
  <si>
    <t>651284.03.01</t>
  </si>
  <si>
    <t>Экономический анализ: Уч. / А.Е.Суглобов и др. - М.:ИЦ РИОР, НИЦ ИНФРА-М,2019 - 439 с.-(ВО)(П)</t>
  </si>
  <si>
    <t>ЭКОНОМИЧЕСКИЙ АНАЛИЗ, ИЗД.1</t>
  </si>
  <si>
    <t>Суглобов А.Е., Жарылгасова Б.Т., Карпович О.Г. и др.</t>
  </si>
  <si>
    <t>978-5-369-01700-5</t>
  </si>
  <si>
    <t>007029.21.01</t>
  </si>
  <si>
    <t>Экономический анализ: Уч. / Г.В.Савицкая - 14 изд. - М.:НИЦ ИНФРА-М,2018-649с.(ВО: Бакалавриат)(П)</t>
  </si>
  <si>
    <t>ЭКОНОМИЧЕСКИЙ АНАЛИЗ, ИЗД.14</t>
  </si>
  <si>
    <t>978-5-16-006502-1</t>
  </si>
  <si>
    <t>Рекомендовано Министерством образования Российской Федерации в качестве учебника для студентов высших учебных заведений, обучающихся по экономическим направлениям и специальностям</t>
  </si>
  <si>
    <t>1411</t>
  </si>
  <si>
    <t>007029.31.01</t>
  </si>
  <si>
    <t>Экономический анализ: Уч. / Г.В.Савицкая - 15 изд. - М.:НИЦ ИНФРА-М,2027 - 587 с.(ВО)(п)</t>
  </si>
  <si>
    <t>ЭКОНОМИЧЕСКИЙ АНАЛИЗ, ИЗД.15</t>
  </si>
  <si>
    <t>978-5-16-020083-5</t>
  </si>
  <si>
    <t>1519</t>
  </si>
  <si>
    <t>747731.02.01</t>
  </si>
  <si>
    <t>Экономический анализ: Уч. / Е.Б.Герасимова - М.:НИЦ ИНФРА-М,2027 - 245 с.(СПО (ФинУн))(П)</t>
  </si>
  <si>
    <t>978-5-16-016964-4</t>
  </si>
  <si>
    <t>38.02.01, 38.02.02, 38.02.03, 38.02.06, 38.02.08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</si>
  <si>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38.02.01 «Экономика и бухгалтерский учет (по отраслям)», 21.02.05 «Земельно-имущественные отношения» (протокол № 1 от 12.01.2022)</t>
  </si>
  <si>
    <t>148800.09.01</t>
  </si>
  <si>
    <t>Экономический анализ: Уч. / Н.А. Казакова. - М.: ИНФРА-М, 2027. - 343 с. + CD-ROM. (ВО) (п+cd)</t>
  </si>
  <si>
    <t>978-5-16-004558-0</t>
  </si>
  <si>
    <t>Рекомендовано УМО по образованию в области финансов, учета и мировой экономики в качестве учебника для студентов вузов, обучающихся по экономическим специальностям</t>
  </si>
  <si>
    <t>719716.08.01</t>
  </si>
  <si>
    <t>Экономический анализ: Уч. / Н.С.Пласкова - М.:НИЦ ИНФРА-М,2026. - 324 с.(ВО: Бакалавриат)(П)</t>
  </si>
  <si>
    <t>Пласкова Н.С., Проданова Н.А.</t>
  </si>
  <si>
    <t>978-5-16-015915-7</t>
  </si>
  <si>
    <t>160500.06.01</t>
  </si>
  <si>
    <t>Экономический анализ: Уч. пос. / В.В.Панков, Н.А.Казакова. - М.: Магистр:  ИНФРА-М, 2023-624с (п)</t>
  </si>
  <si>
    <t>Панков В. В., Казакова Н. А.</t>
  </si>
  <si>
    <t>978-5-9776-0189-4</t>
  </si>
  <si>
    <t>412500.06.01</t>
  </si>
  <si>
    <t>Экономический анализ: Уч. пос. / Н.Б. Акуленко - М.: НИЦ ИНФРА-М, 2023-157с.(ВО: Бакалавр.) (о)</t>
  </si>
  <si>
    <t>Акуленко Н. Б., Гарнова В. Ю., Колоколов В. А., Акуленко Н. Б.</t>
  </si>
  <si>
    <t>978-5-16-006202-0</t>
  </si>
  <si>
    <t>Рекомендовано Учебно-методическим объединением по образованию в области экономики в качестве учебного пособия для студентов высших учебных заведений, обучающихся по направлению 080100 «Экономика» (квалификация (степень) - «бакалавр»)</t>
  </si>
  <si>
    <t>428100.05.01</t>
  </si>
  <si>
    <t>Экономический анализ: Уч. пос. / Н.Б. Клишевич - М.: НИЦ ИНФРА-М, 2023. - 192 с.(ВО: Бакалавр.)(П)</t>
  </si>
  <si>
    <t>Клишевич Н. Б., Непомнящая Н. В., Ферова И. С., Харченко О. Н.</t>
  </si>
  <si>
    <t>978-5-16-006370-6</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</si>
  <si>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(степень - бакалавр) и специальности/профилю «Бухгалтерский учет, анализ и аудит»,</t>
  </si>
  <si>
    <t>240900.06.01</t>
  </si>
  <si>
    <t>Экономический анализ: Уч.пос. / Л.М.Куприянова - М.:НИЦ ИНФРА-М,2025 - 158 с(ВО: Бакалавр.)(П)</t>
  </si>
  <si>
    <t>978-5-16-009246-1</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</si>
  <si>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080200.62 «Менеджмент» (квалификация (степень) «бакалавр»)</t>
  </si>
  <si>
    <t>136350.09.01</t>
  </si>
  <si>
    <t>Экономический анализ: Уч.пос. / О.А.Александров - М.:ИНФРА-М,2026. - 288 с.-(ВО)(п)</t>
  </si>
  <si>
    <t>Александров О. А., Егоров Ю. Н.</t>
  </si>
  <si>
    <t>978-5-16-003936-7</t>
  </si>
  <si>
    <t>Рекомендовано УМО по образованию в области финансов, учета и мировой экономики в качестве учебного пособия для студентов, обучающихся по специальностям "Бухгалтерский учет, анализ и аудит", "Финансы и кредит", "Мировая экономика"</t>
  </si>
  <si>
    <t>478400.06.01</t>
  </si>
  <si>
    <t>Экономический анализ: Уч.пос. / О.А.Александров-М.:НИЦ ИНФРА-М,2023.-179 с..-(ВО: Бакалавр.)(П)</t>
  </si>
  <si>
    <t>978-5-16-013027-9</t>
  </si>
  <si>
    <t>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направлениям экономического профиля</t>
  </si>
  <si>
    <t>418700.08.01</t>
  </si>
  <si>
    <t>Экономический и финансовый анализ: Уч.пос. / Н.В.Киреева - М.:НИЦ ИНФРА-М,2024 -293 с.(ВО:Бакалавр.) (П)</t>
  </si>
  <si>
    <t>ЭКОНОМИЧЕСКИЙ И ФИНАНСОВЫЙ АНАЛИЗ, ИЗД.1</t>
  </si>
  <si>
    <t>Киреева Н. В.</t>
  </si>
  <si>
    <t>978-5-16-006267-9</t>
  </si>
  <si>
    <t>654747.10.01</t>
  </si>
  <si>
    <t>Экономический конституц. России: Моногр. / Н.С.Бондарь - 2 изд. - М.:Юр.НОРМА, НИЦ ИНФРА-М,2026 - 304 с.(п)</t>
  </si>
  <si>
    <t>ЭКОНОМИЧЕСКИЙ КОНСТИТУЦИОНАЛИЗМ РОССИИ:, ИЗД.2</t>
  </si>
  <si>
    <t>Бондарь Н.С.</t>
  </si>
  <si>
    <t>978-5-00156-407-2</t>
  </si>
  <si>
    <t>654747.08.01</t>
  </si>
  <si>
    <t>Экономический конституционализм России: очерки.. / Н.С.Бондарь-М.:Юр.Норма, НИЦ ИНФРА-М,2023-272с(П)</t>
  </si>
  <si>
    <t>ЭКОНОМИЧЕСКИЙ КОНСТИТУЦИОНАЛИЗМ РОССИИ: ОЧЕРКИ ТЕОРИИ И ПРАКТИКИ, ИЗД.1</t>
  </si>
  <si>
    <t>978-5-91768-829-9</t>
  </si>
  <si>
    <t>676978.03.01</t>
  </si>
  <si>
    <t>Экономический механизм развития жилищно-коммунал. компл.../ П.В.Немкин - М.:НИЦ ИНФРА-М,2026. - 120 с.(О)</t>
  </si>
  <si>
    <t>ЭКОНОМИЧЕСКИЙ МЕХАНИЗМ РАЗВИТИЯ ЖИЛИЩНО-КОММУНАЛЬНОГО КОМПЛЕКСА КРУПНЫХ ГОРОДОВ РОССИИ, ИЗД.1</t>
  </si>
  <si>
    <t>Немкин П.В., Чекалин В.С.</t>
  </si>
  <si>
    <t>978-5-16-015475-6</t>
  </si>
  <si>
    <t>38.03.01, 38.03.10, 38.06.01</t>
  </si>
  <si>
    <t>838553.01.01</t>
  </si>
  <si>
    <t>Экономический суверенитет: факторы развития гос. в усл...: Моногр. / А.Ю.Филин - М.:НИЦ ИНФРА-М,2024 - 251 с.(п)</t>
  </si>
  <si>
    <t>ЭКОНОМИЧЕСКИЙ СУВЕРЕНИТЕТ: ФАКТОРЫ РАЗВИТИЯ ГОСУДАРСТВА В УСЛОВИЯХ ДЕГЛОБАЛИЗАЦИИ, ИЗД.1</t>
  </si>
  <si>
    <t>Филин А.Ю., Танимов О.В.</t>
  </si>
  <si>
    <t>978-5-16-020271-6</t>
  </si>
  <si>
    <t>00.03.40, 38.04.01, 38.04.08, 38.05.01, 38.06.01, 40.04.01, 40.06.01</t>
  </si>
  <si>
    <t>156750.11.01</t>
  </si>
  <si>
    <t>Экономическое обосн.инженер.проект..: Уч.пос. / А.В.Бабикова - М.:НИЦ ИНФРА-М,2026 - 143 с.(ВО:Бакалавр.)(о)</t>
  </si>
  <si>
    <t>ЭКОНОМИЧЕСКОЕ ОБОСНОВАНИЕ ИНЖЕНЕРНЫХ ПРОЕКТОВ В ИННОВАЦИОННОЙ ЭКОНОМИКЕ, ИЗД.1</t>
  </si>
  <si>
    <t>Бабикова А.В., Задорожняя Е.К., Кобец Е.А. и др.</t>
  </si>
  <si>
    <t>978-5-16-009756-5</t>
  </si>
  <si>
    <t>Рекомендовано Учебно-методическим объединением вузов России по образованию в области экономики и экономической теории в качестве учебного пособия для студентов, обучающихся по направлению 38.03.01 «Экономика» и экономическим специальностям</t>
  </si>
  <si>
    <t>804890.02.01</t>
  </si>
  <si>
    <t>Экономическое развит. и экономич. рост на корпоратив. ур: Уч. / В.Л.Уланов-М.:НИЦ ИНФРА-М,2023.-409 с.(ВО)(п)</t>
  </si>
  <si>
    <t>ЭКОНОМИЧЕСКОЕ РАЗВИТИЕ И ЭКОНОМИЧЕСКИЙ РОСТ НА КОРПОРАТИВНОМ УРОВНЕ, ИЗД.1</t>
  </si>
  <si>
    <t>Уланов В.Л.</t>
  </si>
  <si>
    <t>978-5-16-018708-2</t>
  </si>
  <si>
    <t>727255.03.01</t>
  </si>
  <si>
    <t>Экономия перевозочных ресурсов...: Моногр. / С.Е.Мишенин - М.:НИЦ ИНФРА-М,2026. - 265 с.(О)(Науч.мысль)</t>
  </si>
  <si>
    <t>ЭКОНОМИЯ ПЕРЕВОЗОЧНЫХ РЕСУРСОВ: ОПЫТ ЖЕЛЕЗНОДОРОЖНИКОВ ЗАПАДНОЙ СИБИРИ 1965-1991 ГОДОВ, ИЗД.1</t>
  </si>
  <si>
    <t>978-5-16-016128-0</t>
  </si>
  <si>
    <t>650253.02.01</t>
  </si>
  <si>
    <t>Экосемантика геополитич. пространства: Моногр. / Л.О.Терновая-М:НИЦ ИНФРА-М,2020-312с(Науч.мысль)(П)</t>
  </si>
  <si>
    <t>ЭКОСЕМАНТИКА ГЕОПОЛИТИЧЕСКОГО ПРОСТРАНСТВА, ИЗД.1</t>
  </si>
  <si>
    <t>978-5-16-012550-3</t>
  </si>
  <si>
    <t>05.03.06, 05.06.01, 41.04.04, 41.06.01, 46.06.01, 51.04.01, 51.06.01</t>
  </si>
  <si>
    <t>789947.03.01</t>
  </si>
  <si>
    <t>Экосистема вузов: трансформация рос. системы обр. / Под ред. Прокофьева С.Е. - М.:НИЦ ИНФРА-М,2025. - 485 с.(П)</t>
  </si>
  <si>
    <t>ЭКОСИСТЕМА ВУЗОВ: ТРАНСФОРМАЦИЯ РОССИЙСКОЙ СИСТЕМЫ ОБРАЗОВАНИЯ, ИЗД.1</t>
  </si>
  <si>
    <t>Прокофьев С.Е., Каменева Е.А., Солянникова С.П. и др.</t>
  </si>
  <si>
    <t>978-5-16-017986-5</t>
  </si>
  <si>
    <t>773685.01.01</t>
  </si>
  <si>
    <t>Экосистема фирмы: Моногр. / Е.В.Попов и др.-М.:НИЦ ИНФРА-М,2022.-311 с.(Науч.мысль)(П)</t>
  </si>
  <si>
    <t>ЭКОСИСТЕМА ФИРМЫ, ИЗД.1</t>
  </si>
  <si>
    <t>Попов Е.В., Симонова В.Л., Челак И.П.</t>
  </si>
  <si>
    <t>978-5-16-017643-7</t>
  </si>
  <si>
    <t>779636.02.01</t>
  </si>
  <si>
    <t>Экосистемные форматы и цифр. модели в переходе региона... / В.В.Куимов. - М.:НИЦ ИНФРА-М,2027. - 307 с.(П)</t>
  </si>
  <si>
    <t>ЭКОСИСТЕМНЫЕ ФОРМАТЫ И ЦИФРОВЫЕ МОДЕЛИ В ПЕРЕХОДЕ РЕГИОНА К НОВОМУ ТЕХНОЛОГИЧЕСКОМУ УКЛАДУ, ИЗД.1</t>
  </si>
  <si>
    <t>Куимов В.В., Симонов К.В., Щербенко Е.В. и др.</t>
  </si>
  <si>
    <t>978-5-16-018421-0</t>
  </si>
  <si>
    <t>38.04.01, 38.04.04, 38.06.01, 41.03.02</t>
  </si>
  <si>
    <t>809856.02.01</t>
  </si>
  <si>
    <t>Экосистемы в ретейле или ретейл в экосистемах: Моногр. / В.П.Чеглов - М.:НИЦ ИНФРА-М,2026. - 187 с.(п)</t>
  </si>
  <si>
    <t>ЭКОСИСТЕМЫ В РЕТЕЙЛЕ ИЛИ РЕТЕЙЛ В ЭКОСИСТЕМАХ, ИЗД.1</t>
  </si>
  <si>
    <t>Чеглов В.П., Чеглов А.В.</t>
  </si>
  <si>
    <t>978-5-16-019004-4</t>
  </si>
  <si>
    <t>38.03.01, 38.03.02, 38.03.06, 38.04.01, 38.04.02, 38.04.06, 38.05.02, 38.06.01, 43.04.01</t>
  </si>
  <si>
    <t>154340.11.01</t>
  </si>
  <si>
    <t>Экотерапия как средство коррекции страхов детей..: Уч.-мет.пос. / С.О.Грунина - Форум,2025 - 64 с.(ВО) (о)</t>
  </si>
  <si>
    <t>ЭКОТЕРАПИЯ КАК СРЕДСТВО КОРРЕКЦИИ СТРАХОВ ДЕТЕЙ С НАРУШЕНИЯМИ ОПОРНО-ДВИГАТЕЛЬНОГО АППАРАТА, ИЗД.1</t>
  </si>
  <si>
    <t>Грунина С. О., Киселева Т. В.</t>
  </si>
  <si>
    <t>978-5-91134-526-6</t>
  </si>
  <si>
    <t>735066.06.01</t>
  </si>
  <si>
    <t>Экскурсионная деят. в индустрии гостеприимства: Уч.пос. / И.С.Барчуков. - М.:Вуз. уч., НИЦ ИНФРА-М,2025. - 204 с.(П)</t>
  </si>
  <si>
    <t>ЭКСКУРСИОННАЯ ДЕЯТЕЛЬНОСТЬ В ИНДУСТРИИ ГОСТЕПРИИМСТВА, ИЗД.1</t>
  </si>
  <si>
    <t>Барчуков И.С., Башин Ю.Б., Зайцев А.В. и др.</t>
  </si>
  <si>
    <t>978-5-9558-0645-7</t>
  </si>
  <si>
    <t>43.02.06, 43.02.16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</si>
  <si>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43.02.10 «Туризм» (протокол № 5 от 16.03.2020)</t>
  </si>
  <si>
    <t>156150.11.01</t>
  </si>
  <si>
    <t>Экскурсионная деятельность в индустрии гостеприимства: Уч. пос. / Ю.Б.Башин - М.:Вуз. уч.:ИНФРА-М, 2026 - 204 с.(п)</t>
  </si>
  <si>
    <t>Башин Ю. Б., Зайцев А. В., Баумгартен Л. В., Барчуков И. С., Башин Ю. Б.</t>
  </si>
  <si>
    <t>978-5-9558-0209-1</t>
  </si>
  <si>
    <t>43.03.01, 43.03.03, 43.04.01, 43.04.03, 51.03.04, 51.04.04</t>
  </si>
  <si>
    <t>270200.11.01</t>
  </si>
  <si>
    <t>Экспериментальная психология: практикум: Уч. пос. / Н.И. Чернецкая. - М.: ИНФРА-М, 2026 - 120 с.(ВО)(о)</t>
  </si>
  <si>
    <t>ЭКСПЕРИМЕНТАЛЬНАЯ ПСИХОЛОГИЯ: ПРАКТИКУМ, ИЗД.1</t>
  </si>
  <si>
    <t>Чернецкая Н.И.</t>
  </si>
  <si>
    <t>978-5-16-019454-7</t>
  </si>
  <si>
    <t>Рекомендуется в качестве учебного пособия для студентов высших учебных заведений, обучающихся по направлению 37.03.01 (030300) "Психология»</t>
  </si>
  <si>
    <t>277600.06.01</t>
  </si>
  <si>
    <t>Экспериментальные исслед.в электроэнерг.и..: Уч.пос. / В.Я.Хорольский - М:Форум,НИЦ ИНФРА-М,2026 - 96 с.(О)</t>
  </si>
  <si>
    <t>ЭКСПЕРИМЕНТАЛЬНЫЕ ИССЛЕДОВАНИЯ В ЭЛЕКТРОЭНЕРГЕТИКЕ И АГРОИНЖЕНЕРИИ, ИЗД.1</t>
  </si>
  <si>
    <t>978-5-91134-882-3</t>
  </si>
  <si>
    <t>Допущено Министерством сельского хозяйства Российской Федерации в качестве учебного пособия для студентов высших аграрных учебных заведений, обучающихся по направлениям 140400 «Электроэнергетика и электротехника» и 110800 «Агроинженерия»</t>
  </si>
  <si>
    <t>408850.10.01</t>
  </si>
  <si>
    <t>Экспертиза вреда здоровью. Психич..: Науч.-прак. пос. / В.А. Клевно - М.: Норма: Инфра-М, 2026 - 176 с.(о)</t>
  </si>
  <si>
    <t>ЭКСПЕРТИЗА ВРЕДА ЗДОРОВЬЮ. ПСИХИЧЕСКОЕ РАССТРОЙСТВО, ЗАБОЛЕВАНИЕ НАРКОМАНИЕЙ ЛИБО ТОКСИКОМАНИЕЙ, ИЗД.1</t>
  </si>
  <si>
    <t>Клевно В. А., Ткаченко А. А.</t>
  </si>
  <si>
    <t>978-5-91768-351-5</t>
  </si>
  <si>
    <t>31.05.01, 32.05.01, 40.03.01, 40.04.01, 40.05.03</t>
  </si>
  <si>
    <t>Бюро судебно-медицинской экспертизы</t>
  </si>
  <si>
    <t>219100.09.01</t>
  </si>
  <si>
    <t>Экспертиза вреда здоровью. Утрата общей : Науч.-практ.пос. / Клевно В.А. - М.:Юр.НОРМА, НИЦ ИНФРА-М,2025 - 320 с.(о)</t>
  </si>
  <si>
    <t>ЭКСПЕРТИЗА ВРЕДА ЗДОРОВЬЮ. УТРАТА ОБЩЕЙ И ПРОФЕССИОНАЛЬНОЙ ТРУДОСПОСОБНОСТИ, ИЗД.1</t>
  </si>
  <si>
    <t>Клевно В. А., Пузин С. Н.</t>
  </si>
  <si>
    <t>978-5-91768-405-5</t>
  </si>
  <si>
    <t>25.03.04, 31.05.01, 31.08.10, 31.08.41, 32.04.01, 32.05.01, 34.03.01, 40.03.01, 40.04.01</t>
  </si>
  <si>
    <t>632306.04.01</t>
  </si>
  <si>
    <t>Экспертиза дикорастущих плодов, ягод и травян..: Уч. / И.Э.Цапалова-6 изд.-М.:НИЦ ИНФРА-М,2024-463с(ВО)(п)</t>
  </si>
  <si>
    <t>ЭКСПЕРТИЗА ДИКОРАСТУЩИХ ПЛОДОВ, ЯГОД И ТРАВЯНИСТЫХ РАСТЕНИЙ. КАЧЕСТВО И БЕЗОПАСНОСТЬ, ИЗД.6</t>
  </si>
  <si>
    <t>Цапалова И.Э., Голуб О.В., Губина М.Д. и др.</t>
  </si>
  <si>
    <t>978-5-16-019306-9</t>
  </si>
  <si>
    <t>Рекомендовано в качестве учебника для студентов высших учебных заведений, обучающихся по направлениям подготовки 38.03.07 и 38.04.07 «Товароведение» (квалификация (степень) «бакалавр» и «магистр»)</t>
  </si>
  <si>
    <t>155700.09.01</t>
  </si>
  <si>
    <t>Экспертиза качества и сертиф. рыбы.: Уч. пос. / О.А. Голубенко - М.: Альфа-М,ИНФРА-М,2026  - 256 с. (П)</t>
  </si>
  <si>
    <t>ЭКСПЕРТИЗА КАЧЕСТВА И СЕРТИФИКАЦИЯ РЫБЫ И РЫБНЫХ ПРОДУКТОВ, ИЗД.1</t>
  </si>
  <si>
    <t>Голубенко О. А., Коник Н. В.</t>
  </si>
  <si>
    <t>978-5-98281-258-2</t>
  </si>
  <si>
    <t>19.01.18, 19.01.19, 19.02.13, 35.01.32, 35.02.09, 35.02.10, 35.02.11, 38.02.08, 43.01.09, 43.02.01</t>
  </si>
  <si>
    <t>Рекомендовано Федеральным государственным учреждением «Федеральный институт развития образования» (ФГУ «ФИРО») в качестве учебного пособия для использования в учебном процессе образовательных учреждений, реализующих программы среднего профессионально образования по специальностям "Организация обслуживания в общественном питании", "Менеджмент (по отраслям)", "Коммерция (по отраслям)", "Стандартизация и сертификация продукции (по отраслям)", "Товароведение и экспертиза качества потребительских товаров"</t>
  </si>
  <si>
    <t>153300.09.01</t>
  </si>
  <si>
    <t>Экспертиза качества и сертификация кондит. товаров: Уч. пос. / О.А.Голубенко - М.: Альфа-М, 2025 - 240 с.(П)</t>
  </si>
  <si>
    <t>ЭКСПЕРТИЗА КАЧЕСТВА И СЕРТИФИКАЦИЯ КОНДИТЕРСКИХ ТОВАРОВ, ИЗД.1</t>
  </si>
  <si>
    <t>978-5-98281-242-1</t>
  </si>
  <si>
    <t>19.01.18, 19.01.19, 19.02.11, 19.02.13, 38.02.08, 43.01.09, 43.02.15</t>
  </si>
  <si>
    <t>Рекомендовано ФГУ "ФИРО" в качестве уч. пос. для использ. в учеб. процессе образов. учр., реализ. прогр. СПО по спец 100106 Орг-ция обслуж. в обществ. питании, 080501 Менеджмент(по отр.), 080302 Коммерция(по отр.), 200504 Стандарт. и сетриф. прод, 08</t>
  </si>
  <si>
    <t>635869.08.01</t>
  </si>
  <si>
    <t>Экспертиза мучных кондит. изделий. Качество и безоп.: Уч. / Т.В.Рензяева - М:НИЦ ИНФРА-М,2027 - 274 с.(ВО)</t>
  </si>
  <si>
    <t>ЭКСПЕРТИЗА МУЧНЫХ КОНДИТЕРСКИХ ИЗДЕЛИЙ. КАЧЕСТВО И БЕЗОПАСНОСТЬ, ИЗД.1</t>
  </si>
  <si>
    <t>Рензяева Т.В., Резниченко И.Ю., Савенкова Т.В. и др.</t>
  </si>
  <si>
    <t>978-5-16-019091-4</t>
  </si>
  <si>
    <t>19.03.02, 19.03.04, 19.04.04, 38.03.07, 38.04.07</t>
  </si>
  <si>
    <t>Рекомендовано в качестве учебника для студентов высших учебных заведений, обучающихся по направлениям подготовки 38.03.07 «Товароведение», 19.03.02 «Продукты питания из растительного сырья»  (квалификация (степень) «бакалавр»)</t>
  </si>
  <si>
    <t>729488.01.01</t>
  </si>
  <si>
    <t>Экспертиза нормативных прав.актов в сфере реализации промыш.полит.: Моногр.-М.:Юр.Норма,2020-216с(П)</t>
  </si>
  <si>
    <t>ЭКСПЕРТИЗА НОРМАТИВНЫХ ПРАВОВЫХ АКТОВ В СФЕРЕ РЕАЛИЗАЦИИ ПРОМЫШЛЕННОЙ ПОЛИТИКИ, ИЗД.1</t>
  </si>
  <si>
    <t>Дементьев А.Н., Дементьева О.А.</t>
  </si>
  <si>
    <t>978-5-00156-045-6</t>
  </si>
  <si>
    <t>257700.06.01</t>
  </si>
  <si>
    <t>Экспертиза пищ.концентратов. Качество и безоп.: Уч.-спр.пос. / И.Ю.Резниченко-4изд. М.:НИЦ ИНФРА-М,2024-270с(ВО)(П)</t>
  </si>
  <si>
    <t>ЭКСПЕРТИЗА ПИЩЕВЫХ КОНЦЕНТРАТОВ. КАЧЕСТВО И БЕЗОПАСНОСТЬ, ИЗД.4</t>
  </si>
  <si>
    <t>И.Ю.Резниченко, В.М.Позняковский, А.О.Камбаров и др.</t>
  </si>
  <si>
    <t>978-5-16-009477-9</t>
  </si>
  <si>
    <t>469850.05.01</t>
  </si>
  <si>
    <t>Экспертиза строительных товаров: Уч. пос. / Ф.А. Петрище - М.: ИД ФОРУМ: ИНФРА-М, 2023 - 320 с. (ВО)</t>
  </si>
  <si>
    <t>ЭКСПЕРТИЗА СТРОИТЕЛЬНЫХ ТОВАРОВ, ИЗД.1</t>
  </si>
  <si>
    <t>978-5-8199-0598-2</t>
  </si>
  <si>
    <t>439400.10.01</t>
  </si>
  <si>
    <t>Экспертная деят. в обяз. мед. страхов.: Практ. пос. / А.В.Березников - М.:НИЦ ИНФРА-М,2026. - 184 с.(ВО)(О)</t>
  </si>
  <si>
    <t>ЭКСПЕРТНАЯ ДЕЯТЕЛЬНОСТЬ В ОБЯЗАТЕЛЬНОМ МЕДИЦИНСКОМ СТРАХОВАНИИ, ИЗД.1</t>
  </si>
  <si>
    <t>Березников А.В., Конев В.П., Онуфрийчук Ю.О. и др.</t>
  </si>
  <si>
    <t>978-5-16-011353-1</t>
  </si>
  <si>
    <t>31.05.01, 31.05.02, 31.05.03, 31.06.01, 31.07.01, 31.08.01, 31.08.02, 31.08.03, 31.08.04, 31.08.05, 31.08.06, 31.08.07, 31.08.08, 31.08.09, 31.08.10, 31.08.11, 31.08.12, 31.08.13, 31.08.14, 31.08.15, 31.08.16, 31.08.17, 31.08.18, 31.08.19, 31.08.20, 31.08.21, 31.08.22, 31.08.23, 31.08.24, 31.08.25, 31.08.26,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 38.03.01</t>
  </si>
  <si>
    <t>111050.12.01</t>
  </si>
  <si>
    <t>Экспертные системы САПР: Уч.пос. / А.Л.Ездаков - М.:ИД ФОРУМ,НИЦ ИНФРА-М,2025 - 160 с.(ВО)(П)</t>
  </si>
  <si>
    <t>ЭКСПЕРТНЫЕ СИСТЕМЫ САПР, ИЗД.1</t>
  </si>
  <si>
    <t>Ездаков А.Л.</t>
  </si>
  <si>
    <t>978-5-8199-0886-0</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</si>
  <si>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направлениям 09.00.00 «Информатика и вычислительная техника»</t>
  </si>
  <si>
    <t>764234.04.01</t>
  </si>
  <si>
    <t>Эксперты и экспертизы на стр. лит. произвед.: Уч.пос. / Е.А.Чубина - М.:Юр.Норма, НИЦ ИНФРА-М,2026 - 240 с(П)</t>
  </si>
  <si>
    <t>ЭКСПЕРТЫ И ЭКСПЕРТИЗЫ НА СТРАНИЦАХ ЛИТЕРАТУРНЫХ ПРОИЗВЕДЕНИЙ, ИЗД.1</t>
  </si>
  <si>
    <t>978-5-00156-196-5</t>
  </si>
  <si>
    <t>634695.10.01</t>
  </si>
  <si>
    <t>Эксплуатационная работа ж/д: аксиомы и закономер.: Уч.пос. / Д.Ю.Левин - М.:НИЦ ИНФРА-М,2026 - 332 с.(ВО)</t>
  </si>
  <si>
    <t>ЭКСПЛУАТАЦИОННАЯ РАБОТА ЖЕЛЕЗНЫХ ДОРОГ: АКСИОМЫ И ЗАКОНОМЕРНОСТИ, ИЗД.1</t>
  </si>
  <si>
    <t>978-5-16-012092-8</t>
  </si>
  <si>
    <t>Рекомендовано в качестве учебного пособия для студентов высших учебных заведений, обучающихся по направлению подготовки 23.05.04 «Эксплуатация железных дорог» (квалификация (степень) «инженер путей сообщения»)</t>
  </si>
  <si>
    <t>860647.01.01</t>
  </si>
  <si>
    <t>Эксплуатационные материалы: Уч.пос. / В.А.Ганжа и др. - М.:НИЦ ИНФРА-М, СФУ,2026. - 292 с.(ВО (СФУ))(п)</t>
  </si>
  <si>
    <t>ЭКСПЛУАТАЦИОННЫЕ МАТЕРИАЛЫ: В 2 ЧАСТЯХ, ИЗД.1</t>
  </si>
  <si>
    <t>Ганжа В.А., Барышев Р.А., Безбородов Ю.Н. и др.</t>
  </si>
  <si>
    <t>978-5-16-021382-8</t>
  </si>
  <si>
    <t>23.03.02, 23.03.03, 23.04.02, 23.05.01, 23.05.02</t>
  </si>
  <si>
    <t>834940.01.01</t>
  </si>
  <si>
    <t>Эксплуатация авто. в усл. Крайнего Севера: Уч.пос. / С.С.Головачев - М.:НИЦ ИНФРА-М,2025 - 183 с.(СПО)(п)</t>
  </si>
  <si>
    <t>ЭКСПЛУАТАЦИЯ АВТОМОБИЛЕЙ В УСЛОВИЯХ КРАЙНЕГО СЕВЕРА, ИЗД.1</t>
  </si>
  <si>
    <t>Головачев С.С.</t>
  </si>
  <si>
    <t>978-5-16-020307-2</t>
  </si>
  <si>
    <t>Чукотский полярный техникум поселка Эгвекинот</t>
  </si>
  <si>
    <t>786546.01.01</t>
  </si>
  <si>
    <t>Эксплуатация автомобилей и тракторов...: Практи.: Уч.пос. / А.Н.Зинцов-М.:НИЦ ИНФРА-М,2024.-277 с.(п)</t>
  </si>
  <si>
    <t>ЭКСПЛУАТАЦИЯ АВТОМОБИЛЕЙ И ТРАКТОРОВ: КОНТРОЛЬНО-ДИАГНОСТИЧЕСКИЕ И РЕГУЛИРОВОЧНЫЕ РАБОТЫ: ПРАКТИКУМ, ИЗД.1</t>
  </si>
  <si>
    <t>Зинцов А.Н.</t>
  </si>
  <si>
    <t>978-5-16-017980-3</t>
  </si>
  <si>
    <t>23.05.01, 35.03.06</t>
  </si>
  <si>
    <t>701976.09.01</t>
  </si>
  <si>
    <t>Эксплуатация бронетанковой техники: Уч. / И.Ю.Лепешинский - М.:НИЦ ИНФРА-М,2026 - 273 с.(П)</t>
  </si>
  <si>
    <t>ЭКСПЛУАТАЦИЯ БРОНЕТАНКОВОЙ ТЕХНИКИ, ИЗД.1</t>
  </si>
  <si>
    <t>Лепешинский И.Ю.</t>
  </si>
  <si>
    <t>978-5-16-015025-3</t>
  </si>
  <si>
    <t>15.02.04, 23.03.01, 23.03.02, 23.03.03, 56.04.04</t>
  </si>
  <si>
    <t>Рекомендуется федеральным государственным казенным военным образовательным учреждением высшего образования — Военным учебно-научным центром Сухопутных войск «Общевойсковая академия Вооруженных Сил Российской Федерации» в качестве учебника для студентов высших учебных заведений,обучающихся по направлению подготовки «Транспортные машины и транспортно-технологические комплексы»</t>
  </si>
  <si>
    <t>841182.01.01</t>
  </si>
  <si>
    <t>Эксплуатация вооружения и военной техники: Уч. / А.А.Кочуров. - М.:НИЦ ИНФРА-М,2026. - 542 с.(Воен. образ.)(п)</t>
  </si>
  <si>
    <t>ЭКСПЛУАТАЦИЯ ВООРУЖЕНИЯ И ВОЕННОЙ ТЕХНИКИ, ИЗД.1</t>
  </si>
  <si>
    <t>Кочуров А.А., Михневич М.А., Крайнюков А.В. и др.</t>
  </si>
  <si>
    <t>978-5-16-020392-8</t>
  </si>
  <si>
    <t>23.05.02, 56.04.04</t>
  </si>
  <si>
    <t>476750.08.01</t>
  </si>
  <si>
    <t>Эксплуатация горно-транспорт. машин на карьерах Севера: Уч.пос. / А.М.Ишков - 2 изд. - М.:НИЦ ИНФРА-М,2025 - 201 с.(П)</t>
  </si>
  <si>
    <t>ЭКСПЛУАТАЦИЯ ГОРНО-ТРАНСПОРТНЫХ МАШИН НА КАРЬЕРАХ СЕВЕРА, ИЗД.2</t>
  </si>
  <si>
    <t>Ишков А.М., Викулов М.А., Бочкарев Ю.С.</t>
  </si>
  <si>
    <t>978-5-16-016004-7</t>
  </si>
  <si>
    <t>21.02.15, 21.05.04, 23.03.03, 23.04.03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</si>
  <si>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специальности 21.05.04 «Горное дело» (квалификация «горный инженер (специалист)») (протокол № 1 от 20.01.2021)</t>
  </si>
  <si>
    <t>476750.04.01</t>
  </si>
  <si>
    <t>Эксплуатация горнотранспортных машин на карьерах Севера: Уч.пос./А.М.Ишков-Форум:ИНФРА-М,2020-144с.(ВО)(О)</t>
  </si>
  <si>
    <t>ЭКСПЛУАТАЦИЯ ГОРНОТРАНСПОРТНЫХ МАШИН НА КАРЬЕРАХ СЕВЕРА, ИЗД.1</t>
  </si>
  <si>
    <t>Ишков А.М., Викулов М.А.</t>
  </si>
  <si>
    <t>978-5-91134-963-9</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</si>
  <si>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высших учебных заведений, обучающихся по специальности 150402 «Горные машины и оборудование» направле</t>
  </si>
  <si>
    <t>810785.02.01</t>
  </si>
  <si>
    <t>Эксплуатация и ремонт бронетанковой техники: Уч.пос. / К.С.Крюков - М.:НИЦ ИНФРА-М,2026. - 199 с.(о)</t>
  </si>
  <si>
    <t>ЭКСПЛУАТАЦИЯ И РЕМОНТ БРОНЕТАНКОВОЙ ТЕХНИКИ, ИЗД.1</t>
  </si>
  <si>
    <t>Крюков К.С., Пепеляев А.В., Герасимов С.Д. и др.</t>
  </si>
  <si>
    <t>978-5-16-019016-7</t>
  </si>
  <si>
    <t>664723.04.01</t>
  </si>
  <si>
    <t>Эксплуатация месторождений нефти и газа горизонт. скваж.: Уч. / О.И.Серебряков. - М.:НИЦ ИНФРА-М,2026. - 200 с.(ВО)(П)</t>
  </si>
  <si>
    <t>ЭКСПЛУАТАЦИЯ МЕСТОРОЖДЕНИЙ НЕФТИ И ГАЗА ГОРИЗОНТАЛЬНЫМИ СКВАЖИНАМИ, ИЗД.1</t>
  </si>
  <si>
    <t>Серебряков О.И., Серебряков А.О., Журавлев Г.И.</t>
  </si>
  <si>
    <t>978-5-16-014236-4</t>
  </si>
  <si>
    <t>21.04.01, 21.05.06</t>
  </si>
  <si>
    <t>Рекомендовано Федеральным Учебно-методическим объединением Минобрнауки России для магистрантов высших учебных заведений, обучающихся по направлению 05.04.01 «Геология»</t>
  </si>
  <si>
    <t>058750.22.01</t>
  </si>
  <si>
    <t>Эксплуатация оборуд. и сис. водоснабж. и водоотвед.: Уч. / Г.Н.Жмаков - М.:НИЦ ИНФРА-М,2026. - 237 с.(СПО)(п)</t>
  </si>
  <si>
    <t>ЭКСПЛУАТАЦИЯ ОБОРУДОВАНИЯ И СИСТЕМ ВОДОСНАБЖЕНИЯ И ВОДООТВЕДЕНИЯ, ИЗД.1</t>
  </si>
  <si>
    <t>Жмаков Г. Н.</t>
  </si>
  <si>
    <t>978-5-16-018753-2</t>
  </si>
  <si>
    <t>08.01.29, 08.02.01, 08.02.02, 08.02.04, 08.02.13, 08.02.14, 13.02.02, 18.01.27, 18.01.28, 19.01.01</t>
  </si>
  <si>
    <t>Рекомендовано Управлением кадров и учебных заведений Министерства РФ по земельной политике, строительству и жилищно-комм. хоз-ву в качестве учебника для студентов средних спец. заведений, обуч. по специальности 08.02.04 «Водоснабжение и водоотведение»</t>
  </si>
  <si>
    <t>640318.14.01</t>
  </si>
  <si>
    <t>Эксплуатация объектов сетевой инфраструкт.: Уч. / А.В.Назаров - М.:КУРС, НИЦ ИНФРА-М,2027 - 360 с.(СПО)(П)</t>
  </si>
  <si>
    <t>ЭКСПЛУАТАЦИЯ ОБЪЕКТОВ СЕТЕВОЙ ИНФРАСТРУКТУРЫ, ИЗД.1</t>
  </si>
  <si>
    <t>Назаров А.В., Енгалычев А.Н., Мельников В.П.</t>
  </si>
  <si>
    <t>978-5-906923-06-6</t>
  </si>
  <si>
    <t>09.02.02, 09.02.06, 09.02.08, 10.02.03, 10.02.05, 11.02.15</t>
  </si>
  <si>
    <t>251300.07.01</t>
  </si>
  <si>
    <t>Эксплуатация сельскохоз. техники. Практ.: Уч.пос. / А.В.Новиков - М.:НИЦ ИНФРА-М,,2026 - 176 с.(П)</t>
  </si>
  <si>
    <t>ЭКСПЛУАТАЦИЯ СЕЛЬСКОХОЗЯЙСТВЕННОЙ ТЕХНИКИ. ПРАКТИКУМ, ИЗД.1</t>
  </si>
  <si>
    <t>978-5-16-018927-7</t>
  </si>
  <si>
    <t>23.03.02, 23.04.02, 35.03.06, 35.04.06</t>
  </si>
  <si>
    <t>Допущено Министерством образования Республики Беларусь в качестве учебного пособия для студентов учреждений высшего образования по агрономическим специальностям</t>
  </si>
  <si>
    <t>689279.08.01</t>
  </si>
  <si>
    <t>Эксплуатация систем электроснабжения: Уч.пос. / В.Я.Хорольский - М.:НИЦ ИНФРА-М,2026 - 288 с.(СПО)(П)</t>
  </si>
  <si>
    <t>ЭКСПЛУАТАЦИЯ СИСТЕМ ЭЛЕКТРОСНАБЖЕНИЯ, ИЗД.1</t>
  </si>
  <si>
    <t>978-5-16-014458-0</t>
  </si>
  <si>
    <t>08.02.09, 11.01.02, 11.01.05, 13.01.07, 13.01.10, 13.02.07, 13.02.09, 13.02.12, 13.02.13, 21.01.15, 21.02.12, 26.01.05, 26.02.04, 26.02.05, 26.02.06, 35.01.15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</si>
  <si>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13.02.01 «Тепловые электрические станции», 13.02.03 «Электрические станции, сети и системы», 13.02.07 «Электроснабжение (по отраслям)»</t>
  </si>
  <si>
    <t>232400.15.01</t>
  </si>
  <si>
    <t>Эксплуатация систем электроснабжения: Уч.пос. / В.Я.Хорольский - М.:НИЦ ИНФРА-М,2026. - 288 с.(П)</t>
  </si>
  <si>
    <t>978-5-16-021022-3</t>
  </si>
  <si>
    <t>756601.02.01</t>
  </si>
  <si>
    <t>Эксплуатация судовых котельных и паропроизв. установок: Уч.пос. / В.В.Кузнецов - М.:НИЦ ИНФРА-М,2026 - 135 с.(о)</t>
  </si>
  <si>
    <t>ЭКСПЛУАТАЦИЯ СУДОВЫХ КОТЕЛЬНЫХ И ПАРОПРОИЗВОДЯЩИХ УСТАНОВОК, ИЗД.1</t>
  </si>
  <si>
    <t>Кузнецов В.В., Польский Е.В., Печенка С.Н.</t>
  </si>
  <si>
    <t>978-5-16-017930-8</t>
  </si>
  <si>
    <t>18.01.28, 26.01.01, 26.01.03, 26.01.05, 26.01.07, 26.01.09, 26.02.01, 26.02.03, 26.02.04, 26.02.05, 26.02.06, 26.05.02, 26.05.05, 26.05.06, 35.01.32</t>
  </si>
  <si>
    <t>827926.01.01</t>
  </si>
  <si>
    <t>Эксплуатация судовых турбинных установок: Уч.пос. / В.В.Кузнецов - М.:НИЦ ИНФРА-М,2025. - 231 с.(п)</t>
  </si>
  <si>
    <t>ЭКСПЛУАТАЦИЯ СУДОВЫХ ТУРБИННЫХ УСТАНОВОК, ИЗД.1</t>
  </si>
  <si>
    <t>978-5-16-020089-7</t>
  </si>
  <si>
    <t>Рекомендовано экспертным советом ЧВВМУ имени П.С. Нахимова в качестве учебного пособия по дисциплине «Судовые турбомашины». Предназначено для студентов специальности 26.05.06 «Эксплуатация судовых энергетических установок»</t>
  </si>
  <si>
    <t>725335.04.01</t>
  </si>
  <si>
    <t>Эксплуатация судовых энерг. установок. Сис. охлаждения...: Уч.пос. / В.В.Кузнецов. - М.:НИЦ ИНФРА-М, 2026. - 38 с.(О)</t>
  </si>
  <si>
    <t>ЭКСПЛУАТАЦИЯ СУДОВЫХ ЭНЕРГЕТИЧЕСКИХ УСТАНОВОК. СИСТЕМЫ ОХЛАЖДЕНИЯ СУДОВЫХ ДИЗЕЛЬНЫХ ЭНЕРГЕТИЧЕСКИХ УСТАНОВОК, ИЗД.1</t>
  </si>
  <si>
    <t>Кузнецов В.В., Максимов С.В., Толстой С.И. и др.</t>
  </si>
  <si>
    <t>978-5-16-017160-9</t>
  </si>
  <si>
    <t>18.01.28, 26.01.01, 26.01.03, 26.01.05, 26.02.01, 26.02.03, 26.02.04, 26.02.05, 26.02.06</t>
  </si>
  <si>
    <t>Рекомендовано экспертным советом ЧВВМУ имени П.С. Нахимова в качестве учебного пособия по дисциплине «Эксплуатация судовых энергетических установок» для студентов специальности 26.05.06 «Эксплуатация судовых энергетических установок» уровня управления</t>
  </si>
  <si>
    <t>725336.07.01</t>
  </si>
  <si>
    <t>Эксплуатация судовых энергетич. установок..: Уч.пос. / В.В.Кузнецов -  М.:НИЦ ИНФРА-М,2027 - 51 с.(О)</t>
  </si>
  <si>
    <t>ЭКСПЛУАТАЦИЯ СУДОВЫХ ЭНЕРГЕТИЧЕСКИХ УСТАНОВОК. ТОПЛИВНЫЕ СИСТЕМЫ СУДОВЫХ ДИЗЕЛЬНЫХ ЭНЕРГЕТИЧЕСКИХ УСТАНОВОК, ИЗД.1</t>
  </si>
  <si>
    <t>978-5-16-017163-0</t>
  </si>
  <si>
    <t>666689.06.01</t>
  </si>
  <si>
    <t>Эксплуатация транспортного оборудования: Уч.пос. / П.С.Пушмин и др.-М.:НИЦ ИНФРА-М,СФУ,2024-191с(ВО)(П)</t>
  </si>
  <si>
    <t>ЭКСПЛУАТАЦИЯ ТРАНСПОРТНОГО ОБОРУДОВАНИЯ, ИЗД.1</t>
  </si>
  <si>
    <t>Пушмин П.С., Нескоромных В.В., Леонов С.О.</t>
  </si>
  <si>
    <t>978-5-16-019301-4</t>
  </si>
  <si>
    <t>Рекомендовано федеральным государственным бюджетным образовательным учреждением высшего профессионального образования «Национальный минерально-сырьевой университет "Горный”» в качестве учебного пособия для студентов высших учебных заведений, обучающихся по направлению подготовки 21.05.03 «Технологии геологической разведки»</t>
  </si>
  <si>
    <t>272300.12.01</t>
  </si>
  <si>
    <t>Эксплуатация электрооборудования. Задачник: Уч.пос. / В.Я.Хорольский - М.:Форум, НИЦ ИНФРА-М,2025 - 176 с.(ВО)(О)</t>
  </si>
  <si>
    <t>ЭКСПЛУАТАЦИЯ ЭЛЕКТРООБОРУДОВАНИЯ. ЗАДАЧНИК, ИЗД.1</t>
  </si>
  <si>
    <t>Хорольский В.Я., Таранов М.А., Медведько Ю.А.</t>
  </si>
  <si>
    <t>978-5-00091-741-1</t>
  </si>
  <si>
    <t>13.03.01, 13.03.02, 35.03.06</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</si>
  <si>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направлениям подготовки 13.03.01 «Теплоэнергетика», 13.03.02 «Электроэнергетика», 35.03.06 «Агроинженерия»</t>
  </si>
  <si>
    <t>704322.06.01</t>
  </si>
  <si>
    <t>Эксплуатация электрооборудования. Задачник: Уч.пос. / В.Я.Хорольский - М.:Форум, НИЦ ИНФРА-М,2025. - 176 с.(о)</t>
  </si>
  <si>
    <t>978-5-00091-669-8</t>
  </si>
  <si>
    <t>08.02.09, 11.01.02, 11.01.05, 13.01.07, 13.01.10, 13.02.07, 13.02.08, 13.02.09, 13.02.12, 13.02.13, 18.01.28, 21.01.15, 26.01.05, 26.02.04, 26.02.05, 26.02.06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</si>
  <si>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13.02.11 «Техническая эксплуатация и обслуживание электрического и электромеханического оборудования (по отраслям)», 35.02.08 «Электрификация и автоматизация сельского хозяйства» (протокол № 3 от 11.02.2019)</t>
  </si>
  <si>
    <t>240700.07.01</t>
  </si>
  <si>
    <t>Эксплуатация электрооборудования: Уч. / Г.Н. Ерошенко - М.: НИЦ ИНФРА-М, 2019-336с.(ВО) (п)</t>
  </si>
  <si>
    <t>ЭКСПЛУАТАЦИЯ ЭЛЕКТРООБОРУДОВАНИЯ, ИЗД.1</t>
  </si>
  <si>
    <t>Ерошенко Г.П., Кондратьева Н.П.</t>
  </si>
  <si>
    <t>978-5-16-006017-0</t>
  </si>
  <si>
    <t>742691.11.01</t>
  </si>
  <si>
    <t>Эксплуатация, диагностика и ремонт электрооборуд.: Уч.пос. / В.И.Полищук - М.:НИЦ ИНФРА-М,2026 - 203с(П)</t>
  </si>
  <si>
    <t>ЭКСПЛУАТАЦИЯ, ДИАГНОСТИКА И РЕМОНТ ЭЛЕКТРООБОРУДОВАНИЯ, ИЗД.1</t>
  </si>
  <si>
    <t>978-5-16-016457-1</t>
  </si>
  <si>
    <t>08.02.09, 11.01.02, 11.01.05, 13.01.07, 13.01.10, 13.02.01, 13.02.02, 13.02.04, 13.02.07, 13.02.08, 13.02.09, 13.02.12, 13.02.13, 14.02.01, 15.02.06, 18.01.28, 21.01.15, 26.01.05, 26.02.04, 26.02.05, 26.02.06, 35.01.15, 35.02.08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</si>
  <si>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техническим специальностям (протокол № 5 от 16.03.2020)</t>
  </si>
  <si>
    <t>712561.10.01</t>
  </si>
  <si>
    <t>Эксплуатация, диагностика и ремонт электрооборуд.: Уч.пос. / В.И.Полищук - М.:НИЦ ИНФРА-М,2027. - 203 с.(ВО)(п)</t>
  </si>
  <si>
    <t>978-5-16-018963-5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</si>
  <si>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17 от 11.11.2019)</t>
  </si>
  <si>
    <t>682611.09.01</t>
  </si>
  <si>
    <t>Эксплуатация, обслуж. и диагност. технологич. машин: Уч.пос. / В.Б.Богуцкий - М.:НИЦ ИНФРА-М,2027-356с(П)</t>
  </si>
  <si>
    <t>ЭКСПЛУАТАЦИЯ, ОБСЛУЖИВАНИЕ И ДИАГНОСТИКА ТЕХНОЛОГИЧЕСКИХ МАШИН, ИЗД.1</t>
  </si>
  <si>
    <t>Богуцкий В.Б., Шрон Л.Б., Ягьяев Э.Э.</t>
  </si>
  <si>
    <t>978-5-16-014425-2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</si>
  <si>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15.03.01 «Машиностроение», 15.03.02 «Технологические машины и оборудование», 15.03.05 «Конструкторско-технологическое обеспечение машиностроительных производств» (протокол № 12 от 24.06.2019)</t>
  </si>
  <si>
    <t>693406.08.01</t>
  </si>
  <si>
    <t>Эксплуатация, обслуж. и ремонт общего имущества...: Уч. / В.Б.Акимов. - М.:НИЦ ИНФРА-М,2027. - 295 с.(П)</t>
  </si>
  <si>
    <t>ЭКСПЛУАТАЦИЯ, ОБСЛУЖИВАНИЕ И РЕМОНТ ОБЩЕГО ИМУЩЕСТВА МНОГОКВАРТИРНОГО ДОМА, ИЗД.1</t>
  </si>
  <si>
    <t>Акимов В.Б., Тимахова Н.С., Комков В.А.</t>
  </si>
  <si>
    <t>978-5-16-015410-7</t>
  </si>
  <si>
    <t>08.02.01, 08.02.13, 08.02.14, 08.02.16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</si>
  <si>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08.02.11 «Управление, эксплуатация и обслуживание многоквартирного дома»  (протокол № 11 от 26.10.2020)</t>
  </si>
  <si>
    <t>732044.07.01</t>
  </si>
  <si>
    <t>Эксплуатация, обслуживание и диагностика тех. машин: Уч.пос. / В.Б.Богуцкий - М.:НИЦ ИНФРА-М,2026 - 356 с.(п)</t>
  </si>
  <si>
    <t>978-5-16-015996-6</t>
  </si>
  <si>
    <t>15.01.35, 15.02.01, 21.02.12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</si>
  <si>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(протокол № 3 от 17.02.2020)</t>
  </si>
  <si>
    <t>388300.05.01</t>
  </si>
  <si>
    <t>Экстремальные задачи дискрет. матем.: Уч. / С.А.Канцедал - М.:ИД ФОРУМ, НИЦ ИНФРА-М,2026. - 304 с.(ВО)(П)</t>
  </si>
  <si>
    <t>ЭКСТРЕМАЛЬНЫЕ ЗАДАЧИ ДИСКРЕТНОЙ МАТЕМАТИКИ, ИЗД.1</t>
  </si>
  <si>
    <t>С.А.Канцедал</t>
  </si>
  <si>
    <t>978-5-8199-0633-0</t>
  </si>
  <si>
    <t>01.03.01, 01.03.02, 01.03.04, 01.04.01, 01.04.02, 01.04.04, 02.03.01, 02.04.01, 03.03.01, 03.03.02, 03.04.01</t>
  </si>
  <si>
    <t>823729.03.01</t>
  </si>
  <si>
    <t>Экстремизм в России: сущность, содержание...: Моногр. / М.П.Ситникова - М.:НИЦ ИНФРА-М,2027 - 184 с.(о)</t>
  </si>
  <si>
    <t>ЭКСТРЕМИЗМ В РОССИИ: СУЩНОСТЬ, СОДЕРЖАНИЕ, ПРОТИВОДЕЙСТВИЕ, ИЗД.1</t>
  </si>
  <si>
    <t>Ситникова М.П.</t>
  </si>
  <si>
    <t>978-5-16-019838-5</t>
  </si>
  <si>
    <t>ВЯТСКИЙ ГУМАНИТАРНО-ЭКОНОМИЧЕСКИЙ КОЛЛЕДЖ</t>
  </si>
  <si>
    <t>776798.06.01</t>
  </si>
  <si>
    <t>Экстремизм: теория и противодействие: Сл.-справ. / В.О.Давыдов - М.:НИЦ ИНФРА-М,2027. - 323 с.(п)</t>
  </si>
  <si>
    <t>ЭКСТРЕМИЗМ: ТЕОРИЯ И ПРОТИВОДЕЙСТВИЕ, ИЗД.1</t>
  </si>
  <si>
    <t>978-5-16-017775-5</t>
  </si>
  <si>
    <t>702086.09.01</t>
  </si>
  <si>
    <t>Электрические аппараты и цепи подвиж. состава: Уч.пос. / А.С.Мазнев - 2 изд. - М.:НИЦ ИНФРА-М,2027 - 278 с.(п)</t>
  </si>
  <si>
    <t>ЭЛЕКТРИЧЕСКИЕ АППАРАТЫ И ЦЕПИ ПОДВИЖНОГО СОСТАВА, ИЗД.2</t>
  </si>
  <si>
    <t>Мазнев А.С., Шатнев О.И.</t>
  </si>
  <si>
    <t>978-5-16-015014-7</t>
  </si>
  <si>
    <t>23.02.06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</si>
  <si>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23.02.06 «Техническая эксплуатация подвижного состава железных дорог» (протокол № 1 от 20.01.2020)</t>
  </si>
  <si>
    <t>289900.13.01</t>
  </si>
  <si>
    <t>Электрические аппараты: Уч.пос. / Е.Ф.Щербаков - М.:Форум, НИЦ ИНФРА-М,2026 - 303 с.(П)</t>
  </si>
  <si>
    <t>ЭЛЕКТРИЧЕСКИЕ АППАРАТЫ, ИЗД.1</t>
  </si>
  <si>
    <t>Щербаков Е.Ф., Александров Д.С.</t>
  </si>
  <si>
    <t>978-5-00091-797-8</t>
  </si>
  <si>
    <t>Рекомендовано в качестве учебного пособия для студентов высших учебных заведений, обучающихся по направлению подготовки 13.03.02 «Электроэнергетика и электротехника»</t>
  </si>
  <si>
    <t>683136.12.01</t>
  </si>
  <si>
    <t>Электрические аппараты: Уч.пос. / Е.Ф.Щербаков - М.:Форум, НИЦ ИНФРА-М,2026 - 303 с.(СПО)(П)</t>
  </si>
  <si>
    <t>978-5-00091-561-5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</si>
  <si>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13.02.00 «Электроэнергетика и электротехника»</t>
  </si>
  <si>
    <t>672472.08.01</t>
  </si>
  <si>
    <t>Электрические измерения: Уч.пос. / А.В.Кравцов - М.:ИЦ РИОР, НИЦ ИНФРА-М,2026 - 148 с.(О)</t>
  </si>
  <si>
    <t>ЭЛЕКТРИЧЕСКИЕ ИЗМЕРЕНИЯ, ИЗД.1</t>
  </si>
  <si>
    <t>Кравцов А.В., Пузарин А.В.</t>
  </si>
  <si>
    <t>978-5-369-01736-4</t>
  </si>
  <si>
    <t>04.03.02, 13.03.02</t>
  </si>
  <si>
    <t>822503.01.01</t>
  </si>
  <si>
    <t>Электрические машины и микромашины: Уч.пос./ В.И.Пантелеев-М.:НИЦ ИНФРА-М, СФУ,2024.-275 с.(ВО (СФУ))(п)</t>
  </si>
  <si>
    <t>ЭЛЕКТРИЧЕСКИЕ МАШИНЫ И МИКРОМАШИНЫ, ИЗД.1</t>
  </si>
  <si>
    <t>Пантелеев В.И.</t>
  </si>
  <si>
    <t>978-5-16-019698-5</t>
  </si>
  <si>
    <t>719249.05.01</t>
  </si>
  <si>
    <t>Электрические машины, электропривод и сис. интеллект...: Уч.пос. / А.Е.Поляков - М., НИЦ ИНФРА-М,2026 - 224 с.(о)</t>
  </si>
  <si>
    <t>ЭЛЕКТРИЧЕСКИЕ МАШИНЫ, ЭЛЕКТРОПРИВОД И СИСТЕМЫ ИНТЕЛЛЕКТУАЛЬНОГО УПРАВЛЕНИЯ ЭЛЕКТРОТЕХНИЧЕСКИМИ КОМПЛЕКСАМИ, ИЗД.1</t>
  </si>
  <si>
    <t>Поляков А.Е., Чесноков А.В., Филимонова Е.М.</t>
  </si>
  <si>
    <t>978-5-16-022300-1</t>
  </si>
  <si>
    <t>13.02.13, 15.02.01, 15.02.04, 15.02.07, 15.02.16, 15.02.17, 15.02.18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</si>
  <si>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15.02.00 «Машиностроение» и специальности 13.02.10 «Электрические машины и аппараты» (протокол № 12 от 24.06.2019)</t>
  </si>
  <si>
    <t>359600.11.01</t>
  </si>
  <si>
    <t>Электрические машины, электропривод и сис.: Уч.пос. / А.Е.Поляков - М.:Форум, НИЦ ИНФРА-М,2026. - 224 с.(ВО)(О)</t>
  </si>
  <si>
    <t>978-5-00091-707-7</t>
  </si>
  <si>
    <t>00.03.31, 09.03.01, 09.03.02, 13.03.01, 15.03.04, 29.03.02</t>
  </si>
  <si>
    <t>249900.12.01</t>
  </si>
  <si>
    <t>Электрические машины. Лаб. раб.: Уч.пос. / А.В.Глазков - М.:ИЦ РИОР, НИЦ ИНФРА-М,2025. - 96 с.(СПО)(О)</t>
  </si>
  <si>
    <t>ЭЛЕКТРИЧЕСКИЕ МАШИНЫ. ЛАБОРАТОРНЫЕ РАБОТЫ, ИЗД.1</t>
  </si>
  <si>
    <t>Глазков А.В.</t>
  </si>
  <si>
    <t>978-5-369-01312-0</t>
  </si>
  <si>
    <t>11.02.06, 15.02.01, 15.02.06, 15.02.07, 15.02.18, 23.02.04, 23.02.06, 25.02.01, 25.02.03</t>
  </si>
  <si>
    <t>Рекомендовано федеральным государственным автономным учреждением «Федеральный институт развития образования» (ФГАУ"ФИРО") в качестве учебного пособия для использования в учебном процессе образовательных учреждений, реализующих программы СПО</t>
  </si>
  <si>
    <t>427700.09.01</t>
  </si>
  <si>
    <t>Электрические машины: Уч.пос. / А.Л.Встовский - М.:НИЦ ИНФРА-М, СФУ,2023 - 462 с.(ВО: Бакалавр. (СФУ))(П)</t>
  </si>
  <si>
    <t>ЭЛЕКТРИЧЕСКИЕ МАШИНЫ, ИЗД.1</t>
  </si>
  <si>
    <t>Встовский А.Л.</t>
  </si>
  <si>
    <t>978-5-16-016213-3</t>
  </si>
  <si>
    <t>Рекомендовано федеральным государственным бюджетным образовательным учреждением высшего образования «Национальный исследовательский университет "МЭИ”» в качестве учебного пособия для студентов высших учебных заведений, обучающихся по направлению подготовки 13.03.02 «Электроэнергетика и электротехника»</t>
  </si>
  <si>
    <t>708645.07.01</t>
  </si>
  <si>
    <t>Электрические машины: Уч.пос. / А.Л.Встовский - М.:НИЦ ИНФРА-М, СФУ,2026 - 462 с.(СПО (СФУ))(п)</t>
  </si>
  <si>
    <t>978-5-16-015261-5</t>
  </si>
  <si>
    <t>08.02.09, 13.02.12, 13.02.13, 15.02.07, 15.02.10, 15.02.18, 27.02.04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</si>
  <si>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13.02.00 «Электро- и теплоэнергетика» (протокол № 4 от 25.02.2019)</t>
  </si>
  <si>
    <t>700582.08.01</t>
  </si>
  <si>
    <t>Электрический привод: Уч. / В.В.Москаленко - М.:НИЦ ИНФРА-М,2026 - 364 с.(СПО)(П)</t>
  </si>
  <si>
    <t>ЭЛЕКТРИЧЕСКИЙ ПРИВОД, ИЗД.1</t>
  </si>
  <si>
    <t>Москаленко В.В.</t>
  </si>
  <si>
    <t>978-5-16-014733-8</t>
  </si>
  <si>
    <t>13.01.10, 13.02.01, 13.02.02, 13.02.04, 13.02.05, 13.02.07, 13.02.08, 13.02.09, 13.02.12, 13.02.13, 55.02.01</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</si>
  <si>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13.02.00 «Электро- и теплоэнергетика»</t>
  </si>
  <si>
    <t>257500.10.01</t>
  </si>
  <si>
    <t>Электрический привод: Уч. / В.В.Москаленко - М.:НИЦ ИНФРА-М,2026. - 364 с.-(ВО: Бакалавр.)(П)</t>
  </si>
  <si>
    <t>978-5-16-009474-8</t>
  </si>
  <si>
    <t>Рекомендовано УМО вузов России по образованию в области энергетики и электротехники в качестве учебника для студентов высших учебных заведений, обучающихся по направлению подготовки «Электроэнергетика и электротехника»</t>
  </si>
  <si>
    <t>156550.12.01</t>
  </si>
  <si>
    <t>Электрический привод: Уч. / Е.М.Овсянников - М.:Форум, НИЦ ИНФРА-М,2023 - 224 с.-(ВО: Бакалавр.)(П)</t>
  </si>
  <si>
    <t>Овсянников Е. М.</t>
  </si>
  <si>
    <t>978-5-00091-644-5</t>
  </si>
  <si>
    <t>13.03.02, 23.03.02, 23.04.02</t>
  </si>
  <si>
    <t>Рекомендован УМО вузов РФ по образованию в области транспортных машин и транспортно-технологических комплексов в качестве учебника для студентов вузов, обучающихся по специальности «Автомобиле- и тракторостроение»</t>
  </si>
  <si>
    <t>683138.04.01</t>
  </si>
  <si>
    <t>Электрический привод: Уч. / Е.М.Овсянников - М.:Форум, НИЦ ИНФРА-М,2025 - 224 с.(СПО)(П)</t>
  </si>
  <si>
    <t>978-5-00091-562-2</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</si>
  <si>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23.02.00 «Техника и технологии наземного транспорта»</t>
  </si>
  <si>
    <t>054900.23.01</t>
  </si>
  <si>
    <t>Электрическое и электромех. оборуд.: Уч. / В.П.Шеховцов - 3 изд. - М.:НИЦ ИНФРА-М,2026 - 407 с.(СПО)(П)</t>
  </si>
  <si>
    <t>ЭЛЕКТРИЧЕСКОЕ И ЭЛЕКТРОМЕХАНИЧЕСКОЕ ОБОРУДОВАНИЕ, ИЗД.3</t>
  </si>
  <si>
    <t>978-5-16-013394-2</t>
  </si>
  <si>
    <t>08.02.01, 11.01.02, 11.01.09, 11.01.11, 11.01.12, 11.02.14, 12.01.04, 12.01.05, 12.01.06, 12.01.07, 12.02.04, 13.01.05, 13.02.01, 13.02.02, 13.02.07, 13.02.08, 13.02.09, 13.02.12, 13.02.13, 15.02.06, 15.02.09, 15.02.10</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</si>
  <si>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группе специальностей «Электротехника»</t>
  </si>
  <si>
    <t>741175.01.01</t>
  </si>
  <si>
    <t>Электроактивация сред в технологиях сельск. хоз...: Моногр. / Н.В.Ксенз-М.:НИЦ ИНФРА-М,2021.-306 с.(Науч.мысль)(О)</t>
  </si>
  <si>
    <t>ЭЛЕКТРОАКТИВАЦИЯ СРЕД В ТЕХНОЛОГИЯХ СЕЛЬСКОГО ХОЗЯЙСТВА КАК СПОСОБ ИНТЕНСИФИКАЦИИ ПРОИЗВОДСТВЕННЫХ ПРОЦЕССОВ, ИЗД.1</t>
  </si>
  <si>
    <t>Ксенз Н.В., Чеба Б.П., Юдаев И.В. и др.</t>
  </si>
  <si>
    <t>978-5-16-016462-5</t>
  </si>
  <si>
    <t>35.03.06, 35.04.06, 35.06.04</t>
  </si>
  <si>
    <t>Донской государственный аграрный университет, ф-л Азово-Черноморский инженерный институт</t>
  </si>
  <si>
    <t>704321.03.01</t>
  </si>
  <si>
    <t>Электробезопасность эксплуатации сельск. электроуст.: Уч.пос. / М.А.Таранов - М.:Форум, НИЦ ИНФРА-М,2027 - 96 с.(О)</t>
  </si>
  <si>
    <t>ЭЛЕКТРОБЕЗОПАСНОСТЬ ЭКСПЛУАТАЦИИ СЕЛЬСКИХ ЭЛЕКТРОУСТАНОВОК, ИЗД.1</t>
  </si>
  <si>
    <t>Таранов М.А., Хорольский В.Я., Привалов Е.Е.</t>
  </si>
  <si>
    <t>978-5-00091-668-1</t>
  </si>
  <si>
    <t>13.01.10, 13.02.01, 13.02.02, 13.02.07, 13.02.09, 13.02.12, 13.02.13, 20.02.02, 20.02.03, 20.02.04, 21.01.08, 23.01.18, 35.02.07, 35.02.08, 35.02.16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</si>
  <si>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13.00.00 «Электро- и теплоэнергетика», 20.00.00 «Техносферная безопасность и природообустройство», 35.00.00 «Сельское, лесное и рыбное хозяйство» (протокол № 12 от 14.12.2020)</t>
  </si>
  <si>
    <t>268100.09.01</t>
  </si>
  <si>
    <t>Электробезопасность эксплуатации сельских электроустан.: Уч. пос./М.А.Таранов - Форум:ИНФРА-М,2026 - 96 с. (о)</t>
  </si>
  <si>
    <t>Таранов М. А., Хорольский В. Я., Привалов Е. Е.</t>
  </si>
  <si>
    <t>978-5-91134-858-8</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</si>
  <si>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направлениям подготовки дипломированных специалистов 650800 «Теплоэнергетика», 650900 «Электроэнергетик</t>
  </si>
  <si>
    <t>440450.06.01</t>
  </si>
  <si>
    <t>Электродинамика: Уч. пос. / И.И.Каликинский - 3 изд. - М.: НИЦ ИНФРА-М, 2026 - 159 с.(ВО: Магистр.) (п)</t>
  </si>
  <si>
    <t>ЭЛЕКТРОДИНАМИКА, ИЗД.3</t>
  </si>
  <si>
    <t>Каликинский И. И.</t>
  </si>
  <si>
    <t>978-5-16-006771-1</t>
  </si>
  <si>
    <t>03.03.02, 03.04.02, 03.04.03, 04.04.02, 11.03.01</t>
  </si>
  <si>
    <t>412150.07.01</t>
  </si>
  <si>
    <t>Электродинамика: Уч.пос. / И.Ф.Будагян. - М.:Альфа-М, НИЦ ИНФРА-М,2025. - 304 с.(Магистратура)(П)</t>
  </si>
  <si>
    <t>ЭЛЕКТРОДИНАМИКА, ИЗД.1</t>
  </si>
  <si>
    <t>Будагян И. Ф., Дубровин В. Ф., Сигов А. С.</t>
  </si>
  <si>
    <t>978-5-98281-329-9</t>
  </si>
  <si>
    <t>03.03.02, 11.03.01, 11.03.04, 11.04.01, 11.04.04</t>
  </si>
  <si>
    <t>Допущено Учебно-методическим объединением вузов по университетскому политехническому образованию в качестве учебного пособия для студентов высших учебных заведений, обучающихся по специальности 210601 «Радиоэлектронные системы и комплексы»</t>
  </si>
  <si>
    <t>424250.05.01</t>
  </si>
  <si>
    <t>Электромагнитные поля и волны: Уч.пос. / А.В.Стрекалов - М.: ИЦ РИОР: НИЦ ИНФРА-М, 2025 - 375 с.(ВО) (п)</t>
  </si>
  <si>
    <t>ЭЛЕКТРОМАГНИТНЫЕ ПОЛЯ И ВОЛНЫ, ИЗД.1</t>
  </si>
  <si>
    <t>Стрекалов А.В., Стрекалов Ю.А.</t>
  </si>
  <si>
    <t>978-5-369-01181-2</t>
  </si>
  <si>
    <t>Рекомендовано УМО по образованию в области телекоммуникаций в качестве учебного пособия для студентов высших учебных заведений, обучающихся по направлению подготовки дипломированных специалистов 210400(654400) Телекоммуникации</t>
  </si>
  <si>
    <t>647236.02.01</t>
  </si>
  <si>
    <t>Электромеханика. Основы теории и...: Уч.пос. / А.Ю.Смирнов - М.:НИЦ ИНФРА-М,2026. - 349 с.(ВО)(п)</t>
  </si>
  <si>
    <t>ЭЛЕКТРОМЕХАНИКА. ОСНОВЫ ТЕОРИИ И ВЫЧИСЛИТЕЛЬНЫЙ АНАЛИЗ ЭЛЕКТРИЧЕСКИХ МАШИН, ИЗД.2</t>
  </si>
  <si>
    <t>978-5-16-016661-2</t>
  </si>
  <si>
    <t>01.00.00, 01.03.03, 02.03.03, 03.03.03, 15.03.03</t>
  </si>
  <si>
    <t>837101.01.01</t>
  </si>
  <si>
    <t>Электроника и схемотехника: Уч./ А.Ф.Синяговский - М.:НИЦ ИНФРА-М, СФУ,2025. - 581 с.(ВО (СФУ))(п)</t>
  </si>
  <si>
    <t>ЭЛЕКТРОНИКА И СХЕМОТЕХНИКА, ИЗД.1</t>
  </si>
  <si>
    <t>Синяговский А.Ф., Довгун В.П., Новиков В.В. и др.</t>
  </si>
  <si>
    <t>978-5-16-020172-6</t>
  </si>
  <si>
    <t>09.03.01, 10.05.01, 10.05.02, 10.05.03</t>
  </si>
  <si>
    <t>756361.03.01</t>
  </si>
  <si>
    <t>Электроника: Уч.пос. / А.Л.Марченко - М.:НИЦ ИНФРА-М,2026. - 242 с.(ВО: Бакалавр.)(п)</t>
  </si>
  <si>
    <t>ЭЛЕКТРОНИКА, ИЗД.1</t>
  </si>
  <si>
    <t>Марченко А.Л.</t>
  </si>
  <si>
    <t>978-5-16-017057-2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</si>
  <si>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9 от 17.11.2022)</t>
  </si>
  <si>
    <t>653184.09.01</t>
  </si>
  <si>
    <t>Электронная б-ка в контексте электр. инф.-обр.среды..: Моногр. / М.В.Носков - М.:НИЦ ИНФРА-М,2025 - 106 с.(О)</t>
  </si>
  <si>
    <t>ЭЛЕКТРОННАЯ БИБЛИОТЕКА В КОНТЕКСТЕ ЭЛЕКТРОННОЙ ИНФОРМАЦИОННО-ОБРАЗОВАТЕЛЬНОЙ СРЕДЫ ВУЗА, ИЗД.1</t>
  </si>
  <si>
    <t>Носков М.В., Барышев Р.А., Манушкина М.М.</t>
  </si>
  <si>
    <t>978-5-16-012679-1</t>
  </si>
  <si>
    <t>180550.09.01</t>
  </si>
  <si>
    <t>Электронная коммерция: Уч. / Л.А.Брагин, Г.Г.Иванов - М.: ИД ФОРУМ: НИЦ Инфра-М, 2025 - 192 с.(ВО) (п)</t>
  </si>
  <si>
    <t>ЭЛЕКТРОННАЯ КОММЕРЦИЯ, ИЗД.1</t>
  </si>
  <si>
    <t>Брагин Л. А., Иванов Г. Г., Никишин А. Ф., Панкина Т. В.</t>
  </si>
  <si>
    <t>978-5-8199-0507-4</t>
  </si>
  <si>
    <t>09.04.02, 38.03.01, 38.03.05, 38.03.06, 38.04.01, 38.04.05, 38.04.06</t>
  </si>
  <si>
    <t>042420.18.01</t>
  </si>
  <si>
    <t>Электронная техника: Уч./ М.В.Гальперин, - 2 изд., - М.:НИЦ ИНФРА-М,2026 - 352 с.(СПО)(П)</t>
  </si>
  <si>
    <t>ЭЛЕКТРОННАЯ ТЕХНИКА, ИЗД.2</t>
  </si>
  <si>
    <t>978-5-16-015415-2</t>
  </si>
  <si>
    <t>10.02.04, 11.02.03, 11.02.06, 11.02.07, 11.02.09, 11.02.11, 11.02.12, 11.02.13, 11.02.14, 11.02.15, 11.02.16, 11.02.17, 11.02.18, 12.02.01, 12.02.02, 12.02.03, 12.02.04, 12.02.05, 12.02.06, 12.02.07, 12.02.09, 12.02.10, 13.02.09, 13.02.12, 14.02.02, 21.02.15, 21.02.18, 24.02.04, 27.02.06</t>
  </si>
  <si>
    <t>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 обучающихся по группам специальностей «Приборостроение», «Электроника и микроэлектроника, радиотехника и телекоммуникации», «Автоматизация и управление», «Информатика и вычислительная техника»</t>
  </si>
  <si>
    <t>094770.17.01</t>
  </si>
  <si>
    <t>Электронное библиографическое пособие: Практ. рук. / Е.В.Панкова - 2 изд. - М.:НИЦ ИНФРА-М,2026 - 127 с.(О)</t>
  </si>
  <si>
    <t>ЭЛЕКТРОННОЕ БИБЛИОГРАФИЧЕСКОЕ ПОСОБИЕ: ПРАКТИЧЕСКОЕ РУКОВОДСТВО ДЛЯ БИБЛИОТЕЧНЫХ РАБОТНИКОВ, ИЗД.2</t>
  </si>
  <si>
    <t>Панкова Е.В., Беркутова Л.С.</t>
  </si>
  <si>
    <t>978-5-16-015528-9</t>
  </si>
  <si>
    <t>42.03.03, 51.02.03, 51.03.06</t>
  </si>
  <si>
    <t>Санкт-Петербургский техникум библиотечных и информационных технологий</t>
  </si>
  <si>
    <t>094770.08.01</t>
  </si>
  <si>
    <t>Электронное библиографическое пособие: Практ. рук. / Е.В.Панкова - М.:Форум,НИЦ ИНФРА-М,2019-128с(О)</t>
  </si>
  <si>
    <t>ЭЛЕКТРОННОЕ БИБЛИОГРАФИЧЕСКОЕ ПОСОБИЕ, ИЗД.1</t>
  </si>
  <si>
    <t>978-5-91134-223-4</t>
  </si>
  <si>
    <t>788939.05.01</t>
  </si>
  <si>
    <t>Электронное голосование: рос.и зарубеж. опыт: Моногр. / В.И.Федоров - М.:НИЦ ИНФРА-М,2027. - 237 с.(п)</t>
  </si>
  <si>
    <t>ЭЛЕКТРОННОЕ ГОЛОСОВАНИЕ: РОССИЙСКИЙ И ЗАРУБЕЖНЫЙ ОПЫТ, ИЗД.1</t>
  </si>
  <si>
    <t>Федоров В.И.</t>
  </si>
  <si>
    <t>978-5-16-018036-6</t>
  </si>
  <si>
    <t>38.05.01, 39.04.01, 40.04.01, 40.05.01, 40.05.02, 40.05.03, 40.05.04, 41.04.04</t>
  </si>
  <si>
    <t>637592.08.01</t>
  </si>
  <si>
    <t>Электронное обуч.в уч.высшего обр.: Уч.мет.пос. / Б.А.Бурняшов - М.:ИЦ РИОР, НИЦ ИНФРА-М,2026 - 119 с.(О)</t>
  </si>
  <si>
    <t>ЭЛЕКТРОННОЕ ОБУЧЕНИЕ В УЧРЕЖДЕНИИ ВЫСШЕГО ОБРАЗОВАНИЯ, ИЗД.1</t>
  </si>
  <si>
    <t>Бурняшов Б.А.</t>
  </si>
  <si>
    <t>978-5-369-01624-4</t>
  </si>
  <si>
    <t>35.04.08, 39.04.02, 45.04.02, 47.04.03, 51.04.04</t>
  </si>
  <si>
    <t>442650.07.01</t>
  </si>
  <si>
    <t>Электронное правительство. Электр. документооб.: Уч.пос. / С.Ю.Кабашов-М:НИЦ ИНФРА-М,2024 -320с.(ВО)</t>
  </si>
  <si>
    <t>ЭЛЕКТРОННОЕ ПРАВИТЕЛЬСТВО. ЭЛЕКТРОННЫЙ ДОКУМЕНТООБОРОТ. ТЕРМИНЫ И ОПРЕДЕЛЕНИЯ, ИЗД.1</t>
  </si>
  <si>
    <t>978-5-16-019274-1</t>
  </si>
  <si>
    <t>38.03.02, 38.03.04, 40.02.04, 40.03.01, 40.04.01, 46.03.02</t>
  </si>
  <si>
    <t>Допущено Учебно-методическим объединением вузов РФ по образованию в области историко-архивоведения в качестве учебного пособия для студентов высших учебных заведений, обучающихся по направлению подготовки 46.03.02 «Документоведение и архивоведение» (квалификация (степень) «бакалавр»)</t>
  </si>
  <si>
    <t>702448.06.01</t>
  </si>
  <si>
    <t>Электронные и  электромех. сис. упр. электр. машинами...: Уч.пос. / А.С.Мазнев - М.:НИЦ ИНФРА-М,2026 - 139 с.(П)</t>
  </si>
  <si>
    <t>ЭЛЕКТРОННЫЕ И ЭЛЕКТРОМЕХАНИЧЕСКИЕ СИСТЕМЫ УПРАВЛЕНИЯ ЭЛЕКТРИЧЕСКИМИ МАШИНАМИ ВЫСОКОСКОРОСТНОГО ТРАНСПОРТА, ИЗД.1</t>
  </si>
  <si>
    <t>Мазнев А.С., Колпахчьян П.Г., Пахомин С.А.</t>
  </si>
  <si>
    <t>978-5-16-014939-4</t>
  </si>
  <si>
    <t>140900.07.01</t>
  </si>
  <si>
    <t>Электронные приборы и устройства: Уч./ Ф.А.Ткаченко - М.:ИНФРА-М,Нов.зн.,2024 - 682 с.(ВО)(П)</t>
  </si>
  <si>
    <t>ЭЛЕКТРОННЫЕ ПРИБОРЫ И УСТРОЙСТВА, ИЗД.1</t>
  </si>
  <si>
    <t>Ткаченко Ф. А.</t>
  </si>
  <si>
    <t>978-5-16-019337-3</t>
  </si>
  <si>
    <t>Утверждено Министерством образования Республики Беларусь в качестве учебника для студентов высших учебных заведений по специальностям телекоммуникационного и радиотехнического профилей. Рекомендовано в качестве учебника для студентов высших учебных заведений, обучающихся по направлениям подготовки 11.03.01 «Радиотехника», 11.03.02 «Инфокоммуникационные технологии и системы связи», 11.03.03 «Конструирование и технология электронных средств» (квалификация (степень) «бакалавр»)</t>
  </si>
  <si>
    <t>719355.04.01</t>
  </si>
  <si>
    <t>Электронные сис. управ. раб. дизель. двигателей: Уч.пос. / Под ред. Головина С.И. - М.:НИЦ ИНФРА-М,2026 - 160 с.(п)</t>
  </si>
  <si>
    <t>ЭЛЕКТРОННЫЕ СИСТЕМЫ УПРАВЛЕНИЯ РАБОТОЙ ДИЗЕЛЬНЫХ ДВИГАТЕЛЕЙ, ИЗД.1</t>
  </si>
  <si>
    <t>Карелина М.Ю., Кравченко И.Н., Коломейченко А.В. и др.</t>
  </si>
  <si>
    <t>978-5-16-015626-2</t>
  </si>
  <si>
    <t>13.02.13, 23.02.02, 23.02.03, 23.02.04, 23.02.05</t>
  </si>
  <si>
    <t>428950.05.01</t>
  </si>
  <si>
    <t>Электронные системы мобильных машин: Уч.пос. / А.В.Богатырев - М.:НИЦ ИНФРА-М,2023 - 224 с. (ВО)(П)</t>
  </si>
  <si>
    <t>ЭЛЕКТРОННЫЕ СИСТЕМЫ МОБИЛЬНЫХ МАШИН, ИЗД.1</t>
  </si>
  <si>
    <t>Богатырев А.В.</t>
  </si>
  <si>
    <t>978-5-16-006638-7</t>
  </si>
  <si>
    <t>23.03.02, 23.05.01, 35.03.06, 35.04.06, 44.03.04, 44.03.05, 44.04.04</t>
  </si>
  <si>
    <t>Допущено Министерством сельского хозяйства Российской Федерации в качестве учебного пособия для студентов учебных заведений, обучающихся по направлению 35.03.06 «Агроинженерия»</t>
  </si>
  <si>
    <t>683139.02.01</t>
  </si>
  <si>
    <t>Электронные системы мобильных машин: Уч.пос. / А.В.Богатырев-М.:НИЦ ИНФРА-М,2023.-224 с.(СПО)(П)</t>
  </si>
  <si>
    <t>978-5-16-014015-5</t>
  </si>
  <si>
    <t>633621.06.01</t>
  </si>
  <si>
    <t>Электронные системы упр. работой дизел.двиг.: Уч.пос. / М.Ю.Карелина - М.:НИЦ ИНФРА-М,2023-160с.(ВО)(О)</t>
  </si>
  <si>
    <t>978-5-16-012067-6</t>
  </si>
  <si>
    <t>15.03.01, 15.04.01, 23.03.03, 23.04.03</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</si>
  <si>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23.03.03 «Эксплуатация транспортно-технологических машин и комплексов» (квалификация (степень) «бакалавр», профиль подготовки «Автомобили и автомобильное хозяйство»)</t>
  </si>
  <si>
    <t>655199.08.01</t>
  </si>
  <si>
    <t>Электронный док. и обесп. безоп. станд. сред. windows: Уч.пос. / Л.М.Евдокимова - М:КУРС,НИЦ ИНФРА-М,2026 - 296 с.(П)</t>
  </si>
  <si>
    <t>ЭЛЕКТРОННЫЙ ДОКУМЕНТООБОРОТ И ОБЕСПЕЧЕНИЕ БЕЗОПАСНОСТИ СТАНДАРТНЫМИ СРЕДСТВАМИ WINDOWS, ИЗД.1</t>
  </si>
  <si>
    <t>Евдокимова Л.М., Корябкин В.В., Пылькин А.Н. и др.</t>
  </si>
  <si>
    <t>978-5-906923-24-0</t>
  </si>
  <si>
    <t>09.02.06, 09.03.03, 09.03.04, 10.02.04, 10.02.05, 11.02.15, 46.02.01</t>
  </si>
  <si>
    <t>043400.26.01</t>
  </si>
  <si>
    <t>Электрооборудование автомобилей: Уч.пос. / И.С.Туревский - М.:ИД ФОРУМ,НИЦ ИНФРА-М,2027 - 368 с.-(СПО)(П)</t>
  </si>
  <si>
    <t>ЭЛЕКТРООБОРУДОВАНИЕ АВТОМОБИЛЕЙ, ИЗД.1</t>
  </si>
  <si>
    <t>978-5-8199-0697-2</t>
  </si>
  <si>
    <t>23.01.03, 23.01.17, 23.02.01, 23.02.02, 23.02.03, 23.02.04, 23.02.05, 23.02.07</t>
  </si>
  <si>
    <t>652894.08.01</t>
  </si>
  <si>
    <t>Электрооборудование и электроника автомобилей.: Сл.-справ. / С.М.Зуев - М.:НИЦ ИНФРА-М,2026 - 200 с.(П)</t>
  </si>
  <si>
    <t>ЭЛЕКТРООБОРУДОВАНИЕ И ЭЛЕКТРОНИКА АВТОМОБИЛЕЙ. КРАТКИЙ ТОЛКОВЫЙ РУССКО-АНГЛИЙСКИЙ ТЕРМИНОЛОГИЧЕСКИЙ СЛОВАРЬ, ИЗД.1</t>
  </si>
  <si>
    <t>Зуев С.М., Варламов Д.О., Лавриков А.А. и др.</t>
  </si>
  <si>
    <t>978-5-16-016826-5</t>
  </si>
  <si>
    <t>23.03.01, 23.03.02, 23.03.03, 23.04.02</t>
  </si>
  <si>
    <t>679125.07.01</t>
  </si>
  <si>
    <t>Электрооборудование и электроснаб. электротехн. установок: Уч.пос. / А.Н.Миронова - 2 изд. - М.:НИЦ ИНФРА-М,2026 - 470 с.(П)</t>
  </si>
  <si>
    <t>ЭЛЕКТРООБОРУДОВАНИЕ И ЭЛЕКТРОСНАБЖЕНИЕ ЭЛЕКТРОТЕХНОЛОГИЧЕСКИХ УСТАНОВОК, ИЗД.2</t>
  </si>
  <si>
    <t>Миронова А.Н., Миронов Ю.М.</t>
  </si>
  <si>
    <t>978-5-16-018519-4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</si>
  <si>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13.03.02 «Электроэнергетика и электротехника» (квалификация (степень) «бакалавр») (протокол № 13 от 16.09.2019)</t>
  </si>
  <si>
    <t>836960.04.01</t>
  </si>
  <si>
    <t>Электрооборудование корабля: Уч.пос. / А.Н.Гулевич и др. - М.:НИЦ ИНФРА-М,2026 - 664 с.:цв.ил.(п)</t>
  </si>
  <si>
    <t>ЭЛЕКТРООБОРУДОВАНИЕ КОРАБЛЯ, ИЗД.1</t>
  </si>
  <si>
    <t>978-5-16-020328-7</t>
  </si>
  <si>
    <t>26.03.02, 26.05.02, 26.05.06</t>
  </si>
  <si>
    <t>683140.04.01</t>
  </si>
  <si>
    <t>Электропреобразовательные устр. РЭС: Уч. / Г.Н.Арсеньев - 2 изд. - М.:ИД ФОРУМ,НИЦ ИНФРА-М,2026 - 544 с.(СПО)</t>
  </si>
  <si>
    <t>ЭЛЕКТРОПРЕОБРАЗОВАТЕЛЬНЫЕ УСТРОЙСТВА РЭС, ИЗД.2</t>
  </si>
  <si>
    <t>Арсеньев Г.Н.</t>
  </si>
  <si>
    <t>978-5-8199-0806-8</t>
  </si>
  <si>
    <t>11.01.01, 11.01.02, 11.01.03, 11.01.04, 11.01.05, 11.01.06, 11.01.07, 11.01.08, 11.01.09, 11.01.10, 11.01.11, 11.01.12, 11.01.13, 11.02.03, 11.02.06, 11.02.07, 11.02.09, 11.02.11, 11.02.12, 11.02.13, 11.02.14, 11.02.15, 11.02.16, 11.02.17, 11.02.18, 24.02.04</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</si>
  <si>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УГС 11.02.00 «Электроника, радиотехника и системы связи»</t>
  </si>
  <si>
    <t>093500.11.01</t>
  </si>
  <si>
    <t>Электропреобразовательные устр. РЭС: Уч. / Г.Н.Арсеньев-2 изд.-М.:ИД ФОРУМ,ИНФРА-М,2023-544с(ВО)(П)</t>
  </si>
  <si>
    <t>978-5-8199-0698-9</t>
  </si>
  <si>
    <t>Рекомендовано государственным образовательным учреждением высшего профессионального образования — Общевойсковой академией Вооруженных Сил Российской Федерации в качестве учебника для курсантов высших военно-учебных заведений Космических войск, обучающихся по направлению подготовки «Радиотехника»</t>
  </si>
  <si>
    <t>861392.01.01</t>
  </si>
  <si>
    <t>Электропреобразовательные устройства радиоэлектр. средств: Уч.пос. / А.Ю.Есин. - М.:НИЦ ИНФРА-М, СФУ,2026. - 110 с.(п)</t>
  </si>
  <si>
    <t>ЭЛЕКТРОПРЕОБРАЗОВАТЕЛЬНЫЕ УСТРОЙСТВА РАДИОЭЛЕКТРОННЫХ СРЕДСТВ, ИЗД.1</t>
  </si>
  <si>
    <t>Есин А.Ю., Дашкова А.К., Зандер Ф.В.</t>
  </si>
  <si>
    <t>978-5-16-021394-1</t>
  </si>
  <si>
    <t>11.03.02, 11.05.01, 11.05.02, 12.03.01, 25.05.03</t>
  </si>
  <si>
    <t>647902.03.01</t>
  </si>
  <si>
    <t>Электропривод с бесконтактными синхронными двиг.: Уч.пос. / А.Ю.Смирнов-М.:НИЦ ИНФРА-М,2024.-200 с.(ВО)(П)</t>
  </si>
  <si>
    <t>ЭЛЕКТРОПРИВОД С БЕСКОНТАКТНЫМИ СИНХРОННЫМИ ДВИГАТЕЛЯМИ, ИЗД.1</t>
  </si>
  <si>
    <t>978-5-16-018968-0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</si>
  <si>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13.03.02 «Электроэнергетика и электротехника», 13.04.03 «Энергетическое машиностроение» (квалификация (степень) «бакалавр») (протокол № 10 от 12.10.2020)</t>
  </si>
  <si>
    <t>048900.20.01</t>
  </si>
  <si>
    <t>Электрорадиоизмерения: Уч. / Под ред. Сигов А.С., - 4 изд. - М.:НИЦ ИНФРА-М,2026. - 383 с.-(СПО)(п)</t>
  </si>
  <si>
    <t>ЭЛЕКТРОРАДИОИЗМЕРЕНИЯ, ИЗД.4</t>
  </si>
  <si>
    <t>Нефедов В.И., Сигов А.С., Битюков В.К. и др.</t>
  </si>
  <si>
    <t>978-5-16-021136-7</t>
  </si>
  <si>
    <t>11.01.02, 11.02.03, 11.02.06, 11.02.07, 11.02.09, 11.02.11, 11.02.13, 11.02.14, 11.02.15, 11.02.16, 11.02.17, 11.02.18, 11.02.19, 12.02.01, 12.02.03, 12.02.06, 12.02.07, 12.02.10, 24.02.04, 26.01.05, 27.02.06, 53.02.08, 55.02.01</t>
  </si>
  <si>
    <t>Допущено Министерством образования и науки Российской Федерации в качестве учебника для студентов учреждений среднего профессионального образования, обучающихся по группе специальностей 11.00.00 «Электроника, радиотехника и системы связи»</t>
  </si>
  <si>
    <t>782184.01.01</t>
  </si>
  <si>
    <t>Электроснабжение в тепло- и электроэнергетике: Уч.пос. / Под ред. Зуев С.М.-М.:НИЦ ИНФРА-М,2024.-244 с.(ВО)(п)</t>
  </si>
  <si>
    <t>ЭЛЕКТРОСНАБЖЕНИЕ В ТЕПЛО- И ЭЛЕКТРОЭНЕРГЕТИКЕ, ИЗД.1</t>
  </si>
  <si>
    <t>Зуев С.М., Верещагин А.С., Малеев Р.А. и др.</t>
  </si>
  <si>
    <t>978-5-16-018009-0</t>
  </si>
  <si>
    <t>766453.01.01</t>
  </si>
  <si>
    <t>Электроснабжение горных предприятий. Проектные предлож.: уч.пос. / А.И.Герасимов и др.-М.:НИЦ ИНФРА-М, СФУ, 2022.-264 с.</t>
  </si>
  <si>
    <t>ЭЛЕКТРОСНАБЖЕНИЕ ГОРНЫХ ПРЕДПРИЯТИЙ. ПРОЕКТНЫЕ ПРЕДЛОЖЕНИЯ ДЛЯ КУРСОВОГО И ДИПЛОМНОГО ПРОЕКТИРОВАНИЯ, ИЗД.1</t>
  </si>
  <si>
    <t>Герасимов А.И., Кузьмин С.В., Ковалева О.А.</t>
  </si>
  <si>
    <t>978-5-16-017266-8</t>
  </si>
  <si>
    <t>403650.12.01</t>
  </si>
  <si>
    <t>Электроснабжение и электрооборуд..: Уч. / Т.В.Анчарова - 2 изд. - М., НИЦ ИНФРА-М,2027 - 415 с.(П)</t>
  </si>
  <si>
    <t>ЭЛЕКТРОСНАБЖЕНИЕ И ЭЛЕКТРООБОРУДОВАНИЕ ЗДАНИЙ И СООРУЖЕНИЙ, ИЗД.2</t>
  </si>
  <si>
    <t>Анчарова Т. В., Рашевская М. А., Стебунова Е. Д.</t>
  </si>
  <si>
    <t>978-5-16-022434-3</t>
  </si>
  <si>
    <t>08.03.01, 13.03.02, 13.04.02</t>
  </si>
  <si>
    <t>Рекомендовано УМО высших учебных заведений РФ по образованию в области энергетики и электротехники в качестве учебника для студентов высших учебных заведений, обучающихся по курсу «Электрооборудование и электроснабжение промышленных предприятий»</t>
  </si>
  <si>
    <t>132200.15.01</t>
  </si>
  <si>
    <t>Электроснабжение и электропотреб. на предпр.: Уч.пос. / Е.Ф.Щербаков - 2 изд. - М.:НИЦ ИНФРА-М,2027 - 495 с.(п)</t>
  </si>
  <si>
    <t>ЭЛЕКТРОСНАБЖЕНИЕ И ЭЛЕКТРОПОТРЕБЛЕНИЕ НА ПРЕДПРИЯТИЯХ, ИЗД.2</t>
  </si>
  <si>
    <t>Щербаков Е. Ф., Александров Д. С., Дубов А. Л.</t>
  </si>
  <si>
    <t>978-5-16-022293-6</t>
  </si>
  <si>
    <t>13.02.07, 13.02.13</t>
  </si>
  <si>
    <t>253900.07.01</t>
  </si>
  <si>
    <t>Электроснабжение предпр добычи и перераб...: Уч. / Ю.Д.Сибикин - М.:Форум,НИЦ ИНФРА-М,2022-352с(ПО)(п)</t>
  </si>
  <si>
    <t>ЭЛЕКТРОСНАБЖЕНИЕ ПРЕДПРИЯТИЙ ДОБЫЧИ И ПЕРЕРАБОТКИ НЕФТИ И ГАЗА, ИЗД.1</t>
  </si>
  <si>
    <t>978-5-91134-840-3</t>
  </si>
  <si>
    <t>13.02.07, 18.01.27, 18.01.28, 19.01.01</t>
  </si>
  <si>
    <t>Допущено Управлением по комплектованию и подготовке кадров в качестве учебника для учащихся средних профессиональных учебных заведений, обучающихся по специальности 240404 «Переработка нефти и газа»</t>
  </si>
  <si>
    <t>719057.05.01</t>
  </si>
  <si>
    <t>Электроснабжение предпр. добычи и перераб. нефти..: Уч. / Ю.Д.Сибикин - М.:Форум,НИЦ ИНФРА-М,2026 - 352 с.(П)</t>
  </si>
  <si>
    <t>Сибикин Ю. Д.</t>
  </si>
  <si>
    <t>978-5-00091-715-2</t>
  </si>
  <si>
    <t>13.03.02, 21.03.01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</si>
  <si>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21.03.01 «Нефтегазовое дело» (протокол № 12 от 24.06.2019)</t>
  </si>
  <si>
    <t>664389.12.01</t>
  </si>
  <si>
    <t>Электроснабжение промыш. и гражд. зданий: Уч. / Ю.Д.Сибикин - 5 изд. - М.:НИЦ ИНФРА-М,2025 - 405 с.(СПО)(П)</t>
  </si>
  <si>
    <t>ЭЛЕКТРОСНАБЖЕНИЕ ПРОМЫШЛЕННЫХ И ГРАЖДАНСКИХ ЗДАНИЙ, ИЗД.5</t>
  </si>
  <si>
    <t>978-5-16-013093-4</t>
  </si>
  <si>
    <t>08.01.29, 08.01.30, 08.01.31, 08.01.32, 08.02.09, 08.02.12, 10.02.04, 11.01.05, 11.02.13, 11.02.16, 12.02.01, 12.02.09, 13.01.03, 13.01.04, 13.01.05, 13.01.06, 13.01.07, 13.01.13, 13.01.14, 13.02.07, 13.02.09, 13.02.12, 13.02.13, 15.02.10, 18.01.03, 18.01.06, 18.01.08, 18.01.26, 18.01.27, 18.01.28, 19.01.09, 19.02.14, 21.01.03, 21.01.04, 21.01.10, 23.01.02, 23.01.06, 23.01.07, 23.01.08, 23.01.09, 23.01.10, 23.01.13, 23.01.14, 23.01.15, 23.01.17, 23.02.06, 24.01.04, 24.02.04, 25.02.03, 26.01.05, 26.02.04, 27.02.03, 27.02.04, 27.02.06, 27.02.07, 35.01.06, 35.01.15, 35.01.29, 55.02.01</t>
  </si>
  <si>
    <t>379000.08.01</t>
  </si>
  <si>
    <t>Электроснабжение промыш. предпр. и городов: Уч.пос. / Г.Н.Ополева-М.:ИД ФОРУМ, НИЦ ИНФРА-М,2024.-416 с.(ВО)(П)</t>
  </si>
  <si>
    <t>ЭЛЕКТРОСНАБЖЕНИЕ ПРОМЫШЛЕННЫХ ПРЕДПРИЯТИЙ И ГОРОДОВ, ИЗД.1</t>
  </si>
  <si>
    <t>Ополева Г.Н.</t>
  </si>
  <si>
    <t>978-5-8199-0769-6</t>
  </si>
  <si>
    <t>742798.05.01</t>
  </si>
  <si>
    <t>Электроснабжение промыш. предпр. и установок: Уч.пос. / Ю.Д.Сибикин - 4 изд. - М.:Форум, НИЦ ИНФРА-М,2026 - 367 с.(П)</t>
  </si>
  <si>
    <t>ЭЛЕКТРОСНАБЖЕНИЕ ПРОМЫШЛЕННЫХ ПРЕДПРИЯТИЙ И УСТАНОВОК, ИЗД.4</t>
  </si>
  <si>
    <t>Сибикин Ю.Д., Сибикин М.Ю., Яшков В.А.</t>
  </si>
  <si>
    <t>978-5-00091-744-2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</si>
  <si>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13.03.00 «Электро- и теплоэнергетика» (квалификация (степень) «бакалавр») (протокол № 8 от 22.06.2020)</t>
  </si>
  <si>
    <t>290700.13.01</t>
  </si>
  <si>
    <t>Электроснабжение промыш. предпр..: Уч.пос. / Ю.Д.Сибикин - 3 изд. - М.:Форум, НИЦ ИНФРА-М,2027. - 367 с.(П)</t>
  </si>
  <si>
    <t>ЭЛЕКТРОСНАБЖЕНИЕ ПРОМЫШЛЕННЫХ ПРЕДПРИЯТИЙ И УСТАНОВОК, ИЗД.3</t>
  </si>
  <si>
    <t>978-5-00091-612-4</t>
  </si>
  <si>
    <t>Рекомендовано Экспертным советом по профессиональному образованию Министерства образования и науки Российской Федерации в качестве учебного пособия</t>
  </si>
  <si>
    <t>308200.03.01</t>
  </si>
  <si>
    <t>Электроснабжение сельского хоз-ва: Практ. / Г.И.Янукович - М.: ИНФРА-М,2025 - 516 с.(ВО)</t>
  </si>
  <si>
    <t>ЭЛЕКТРОСНАБЖЕНИЕ СЕЛЬСКОГО ХОЗЯЙСТВА, ИЗД.1</t>
  </si>
  <si>
    <t>Янукович Г.И., Протосовицкий И.В., Зеленькевич А.И.</t>
  </si>
  <si>
    <t>978-5-16-010297-9</t>
  </si>
  <si>
    <t>13.03.02, 35.03.06, 35.04.06</t>
  </si>
  <si>
    <t>814843.01.01</t>
  </si>
  <si>
    <t>Электроснабжение: Уч.пос. / Л.П.Костюченко, - 2 изд. - М.:НИЦ ИНФРА-М,2025. - 395 с. - (ВО (КрГАУ))(п)</t>
  </si>
  <si>
    <t>ЭЛЕКТРОСНАБЖЕНИЕ, ИЗД.2</t>
  </si>
  <si>
    <t>Костюченко Л.П., Чебодаев А.В.</t>
  </si>
  <si>
    <t>978-5-16-019763-0</t>
  </si>
  <si>
    <t>766524.06.01</t>
  </si>
  <si>
    <t>Электроснабжение: Уч.пос. / Ю.Д.Сибикин, - 2 изд. - М.:НИЦ ИНФРА-М,2026. - 328 с.(ВО: Бакалавриат)(П )</t>
  </si>
  <si>
    <t>978-5-16-017612-3</t>
  </si>
  <si>
    <t>08.03.01, 08.05.01, 13.03.01, 13.03.02, 35.03.06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</si>
  <si>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энергетическим направлениям подготовки (квалификация (степень) «бакалавр») (протокол № 4 от 13.04.2022)</t>
  </si>
  <si>
    <t>793339.05.01</t>
  </si>
  <si>
    <t>Электроснабжение: Уч.пос. / Ю.Д.Сибикин, - 2 изд. - М.:НИЦ ИНФРА-М,2026. - 328 с.(СПО)(П)</t>
  </si>
  <si>
    <t>978-5-16-018038-0</t>
  </si>
  <si>
    <t>08.02.09, 11.01.02, 11.01.05, 11.02.15, 13.01.03, 13.01.04, 13.01.05, 13.01.06, 13.01.07, 13.01.10, 13.02.07, 13.02.09, 13.02.12, 13.02.13, 21.01.15, 26.01.05, 26.02.04, 26.02.05, 26.02.06, 35.01.15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</si>
  <si>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электроэнергетическим специальностям (протокол № 4 от 13.04.2022)</t>
  </si>
  <si>
    <t>287500.09.01</t>
  </si>
  <si>
    <t>Электротехника в примерах и задачах: Уч. / А.Е.Поляков - М.:НИЦ ИНФРА-М,2027. - 357 с.(ВО)(п)</t>
  </si>
  <si>
    <t>ЭЛЕКТРОТЕХНИКА В ПРИМЕРАХ И ЗАДАЧАХ, ИЗД.1</t>
  </si>
  <si>
    <t>Поляков А.Е., Чесноков А.В.</t>
  </si>
  <si>
    <t>978-5-16-022111-3</t>
  </si>
  <si>
    <t>Рекомендовано УМО по образованию в области технологии и проектирования текстильных изделий в качестве учебника для студентов высших учебных заведений, обучающихся по направлениям подготовки 29.03.02 «Технология и проектирование текстильных изделий», 15.03.04 «Автоматизация технологических процессов и производств», 13.03.01 «Теплоэнергетика и теплотехника», 15.03.02 «Технологические машины и оборудование»</t>
  </si>
  <si>
    <t>711292.07.01</t>
  </si>
  <si>
    <t>Электротехника в примерах и задачах: Уч. / А.Е.Поляков - М.:Форум, НИЦ ИНФРА-М,2026 - 357 с.(СПО)(П)</t>
  </si>
  <si>
    <t>978-5-00091-701-5</t>
  </si>
  <si>
    <t>00.02.39, 05.02.02, 13.02.07, 13.02.13, 19.02.14, 23.02.05, 26.02.04</t>
  </si>
  <si>
    <t>667631.03.01</t>
  </si>
  <si>
    <t>Электротехника и электроника в электромех...: Уч.пос. / Б.С.Заварыкин-М.:НИЦ ИНФРА-М, СФУ,2023-303 с(П)</t>
  </si>
  <si>
    <t>ЭЛЕКТРОТЕХНИКА И ЭЛЕКТРОНИКА В ЭЛЕКТРОМЕХАНИЧЕСКИХ СИСТЕМАХ ГОРНОГО ПРОИЗВОДСТВА, ИЗД.1</t>
  </si>
  <si>
    <t>Заварыкин Б.С., Кручек О.А., Сайгина Т.А. и др.</t>
  </si>
  <si>
    <t>978-5-16-016087-0</t>
  </si>
  <si>
    <t>Допущено Учебно-методическим объединением вузов Российской Федерации по образованию в области горного дела в качестве учебного пособия для студентов, обучающихся по направлению подготовки (специальности) «Горное дело», специализация «Электрификация и автоматизация горного производства», peг. № 51-16/413 от 13.03.2014</t>
  </si>
  <si>
    <t>739024.04.01</t>
  </si>
  <si>
    <t>Электротехника и электроника: лаб. прак.: Уч.пос. / Под ред. Полякова А.Е. - М.:НИЦ ИНФРА-М,2026. - 378 с.(ВО)(П)</t>
  </si>
  <si>
    <t>ЭЛЕКТРОТЕХНИКА И ЭЛЕКТРОНИКА: ЛАБОРАТОРНЫЙ ПРАКТИКУМ, ИЗД.1</t>
  </si>
  <si>
    <t>Поляков А.Е., Иванов М.С., Рыжкова Е.А. и др.</t>
  </si>
  <si>
    <t>978-5-16-019359-5</t>
  </si>
  <si>
    <t>11.03.01, 11.03.03, 12.03.03, 12.03.04, 13.03.01, 13.03.03, 14.03.01, 15.03.01, 16.03.02, 17.03.01, 19.03.01, 19.03.02, 19.03.04, 21.05.04, 22.03.01, 24.03.05, 25.03.03, 26.03.02, 27.03.01, 27.03.04, 27.03.05, 29.03.02, 29.03.03, 35.03.02</t>
  </si>
  <si>
    <t>703090.07.01</t>
  </si>
  <si>
    <t>Электротехника и электроника: Уч. / М.В.Гальперин - 2 изд. - М., НИЦ ИНФРА-М,2026 - 480 с.-(ВО)(П)</t>
  </si>
  <si>
    <t>ЭЛЕКТРОТЕХНИКА И ЭЛЕКТРОНИКА, ИЗД.2</t>
  </si>
  <si>
    <t>978-5-16-021322-4</t>
  </si>
  <si>
    <t>00.03.31, 05.01.01, 05.02.03, 11.03.01, 11.03.02, 11.03.03, 11.03.04, 11.05.01, 11.05.02, 11.05.04, 13.03.01, 13.03.02, 13.03.03, 13.05.01, 13.05.02, 23.01.17, 23.02.07, 26.02.04, 26.02.05, 26.02.06, 27.02.04, 27.02.07, 35.01.27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</si>
  <si>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11.03.00 «Электроника, радиотехника и системы связи», 12.03.00 «Фотоника, приборостроение, оптические и биотехнические системы и технологии» (квалификация (степень) «бакалавр»)</t>
  </si>
  <si>
    <t>078400.21.01</t>
  </si>
  <si>
    <t>Электротехника и электроника: Уч. / М.В.Гальперин - 2 изд. - М., НИЦ ИНФРА-М,2026 - 480 с.(СПО)(П)</t>
  </si>
  <si>
    <t>978-5-16-021532-7</t>
  </si>
  <si>
    <t>00.02.39, 08.01.30, 08.02.12, 11.02.03, 13.02.07, 13.02.13, 15.02.18, 18.02.04, 19.01.09, 23.01.17, 23.02.05, 23.02.07</t>
  </si>
  <si>
    <t>230600.14.01</t>
  </si>
  <si>
    <t>Электротехника и электроника: Уч.: В 2 т.Т.1 / А.Л.Марченко - М.:НИЦ ИНФРА-М,2026 - 574 с.(ВО)(п)</t>
  </si>
  <si>
    <t>ЭЛЕКТРОТЕХНИКА И ЭЛЕКТРОНИКА. В 2 ТОМАХ., Т.1</t>
  </si>
  <si>
    <t>Марченко А.Л., Опадчий Ю.Ф.</t>
  </si>
  <si>
    <t>978-5-16-009061-0</t>
  </si>
  <si>
    <t>09.01.05, 11.03.04, 11.04.04, 13.03.02, 13.04.02</t>
  </si>
  <si>
    <t>Допущено Научно-методическим советом по электротехнике и электронике Министерства образования и науки Российской Федерации в качестве учебника для студентов высших учебных заведений, обучающихся по неэлектротехническим направлениям подготовки бакалавров и дипломированных специалистов</t>
  </si>
  <si>
    <t>667068.06.01</t>
  </si>
  <si>
    <t>Электротехника и электроника: Уч.: В 2 т.Т.2: Электроника / А.Л.Марченко-М.:НИЦ ИНФРА-М,2023-391с.(ВО)(П)</t>
  </si>
  <si>
    <t>ЭЛЕКТРОТЕХНИКА И ЭЛЕКТРОНИКА, Т.2</t>
  </si>
  <si>
    <t>978-5-16-014295-1</t>
  </si>
  <si>
    <t>13.03.03, 15.03.01, 19.03.01, 19.03.02, 19.03.04, 21.05.04, 22.03.01, 26.03.02, 27.03.01, 27.03.04, 27.03.05, 35.03.02</t>
  </si>
  <si>
    <t>Допущено Ученым советом Института информационных систем и технологий МАИ в качестве учебника для студентов высших учебных заведений, обучающихся по неэлектротехническим направлениям подготовки бакалавров и дипломированных специалистов</t>
  </si>
  <si>
    <t>837240.01.01</t>
  </si>
  <si>
    <t>Электротехника и электроника: Уч.пос. / А.Ф.Синяговский. - М.:НИЦ ИНФРА-М, СФУ,2025. - 491 с.(ВО)(п)</t>
  </si>
  <si>
    <t>ЭЛЕКТРОТЕХНИКА И ЭЛЕКТРОНИКА, ИЗД.1</t>
  </si>
  <si>
    <t>978-5-16-020176-4</t>
  </si>
  <si>
    <t>228100.10.01</t>
  </si>
  <si>
    <t>Электротехника и электроника: Уч.пос. / С.Н. Маркелов - М.:Форум:НИЦ ИНФРА-М,2026 - 267 с.(ВО)(П)</t>
  </si>
  <si>
    <t>Маркелов С.Н., Сазанов Б.Я.</t>
  </si>
  <si>
    <t>978-5-00091-620-9</t>
  </si>
  <si>
    <t>13.03.01, 13.03.02, 13.03.03, 23.03.03</t>
  </si>
  <si>
    <t>Допущено Министерством образования Российской Федерации в качестве учебного пособия для студентов учреждений высшего и среднего профессионального образования, обучающихся по группе специальностей «Энергетика», «Электротехника», «Электроснабжение», «Эксплуатация транспортного электрооборудования и автоматики»</t>
  </si>
  <si>
    <t>690182.07.01</t>
  </si>
  <si>
    <t>Электротехника и электроника: Уч.пос. / С.Н.Маркелов - М.:НИЦ ИНФРА-М,2026 - 267 с.(СПО)(П)</t>
  </si>
  <si>
    <t>978-5-16-014453-5</t>
  </si>
  <si>
    <t>00.02.39, 13.02.02, 13.02.07, 13.02.13, 23.02.05, 27.02.06</t>
  </si>
  <si>
    <t>Допущено Министерством образования и науки Российской Федерации в качестве учебного пособия для студентов учреждений высшего и среднего профессионального образования, обучающихся по группе специальностей «Энергетика», «Электротехника», «Электроснабжение», «Эксплуатация транспортного электрооборудования и автоматики»</t>
  </si>
  <si>
    <t>103150.25.01</t>
  </si>
  <si>
    <t>Электротехника с основами электроники: Уч.пос. / А.К.Славинский - М.:ИД Форум, НИЦ ИНФРА-М,2027 - 448 с.(СПО)(п)</t>
  </si>
  <si>
    <t>ЭЛЕКТРОТЕХНИКА С ОСНОВАМИ ЭЛЕКТРОНИКИ, ИЗД.1</t>
  </si>
  <si>
    <t>Славинский А.К., Туревский И.С.</t>
  </si>
  <si>
    <t>978-5-8199-0747-4</t>
  </si>
  <si>
    <t>00.02.39, 08.02.01, 09.02.01, 12.02.10, 15.01.05, 15.02.06, 15.02.09, 15.02.10, 15.02.18, 18.02.07, 18.02.09, 18.02.12, 18.02.13, 21.02.15, 21.02.18, 23.02.04, 26.02.04, 27.02.06, 27.02.07</t>
  </si>
  <si>
    <t>660118.03.01</t>
  </si>
  <si>
    <t>Электротехника электрометаллургических печей дугового..:Моногр./Ю.М.Миронов-М.:НИЦ ИНФРА-М,2022-336с</t>
  </si>
  <si>
    <t>ЭЛЕКТРОТЕХНИКА ЭЛЕКТРОМЕТАЛЛУРГИЧЕСКИХ ПЕЧЕЙ ДУГОВОГО, РЕЗИСТИВНОГО И СМЕШАННОГО НАГРЕВА, ИЗД.1</t>
  </si>
  <si>
    <t>978-5-16-013474-1</t>
  </si>
  <si>
    <t>660118.04.01</t>
  </si>
  <si>
    <t>Электротехника электрометаллургических печей дугового..:Моногр./Ю.М.Миронов-М.:НИЦ ИНФРА-М,2024-336с(о)</t>
  </si>
  <si>
    <t>978-5-16-019545-2</t>
  </si>
  <si>
    <t>756359.06.01</t>
  </si>
  <si>
    <t>Электротехника: Уч.пос. / А.Л.Марченко - М.:НИЦ ИНФРА-М,2026. - 236 с.(ВО: Бакалавриат)(П)</t>
  </si>
  <si>
    <t>ЭЛЕКТРОТЕХНИКА, ИЗД.1</t>
  </si>
  <si>
    <t>978-5-16-017056-5</t>
  </si>
  <si>
    <t>13.03.02, 20.03.01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</si>
  <si>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техническим направлениям подготовки (квалификация (степень) «бакалавр») (протокол № 4 от 13.04.2022)</t>
  </si>
  <si>
    <t>082460.14.01</t>
  </si>
  <si>
    <t>Электротехника: Уч.пос. / И.С.Рыбков - М.:ИЦ РИОР, НИЦ ИНФРА-М,2026 - 160 с.(ВО:Бакалавр.)(о)</t>
  </si>
  <si>
    <t>Рыбков И.С.</t>
  </si>
  <si>
    <t>978-5-369-00144-8</t>
  </si>
  <si>
    <t>097650.20.01</t>
  </si>
  <si>
    <t>Электротехнические измерения: Уч.пос. / П.К.Хромоин - 3изд..-М.:Форум, НИЦ ИНФРА-М,2024.-288 с.-(П)</t>
  </si>
  <si>
    <t>ЭЛЕКТРОТЕХНИЧЕСКИЕ ИЗМЕРЕНИЯ, ИЗД.3</t>
  </si>
  <si>
    <t>Хромоин П. К.</t>
  </si>
  <si>
    <t>978-5-00091-462-5</t>
  </si>
  <si>
    <t>08.02.09, 09.02.01, 27.02.05, 27.02.06</t>
  </si>
  <si>
    <t>634146.11.01</t>
  </si>
  <si>
    <t>Электротехнические основы источников питания: Уч. / А.В.Ситников - М.:КУРС, НИЦ ИНФРА-М,2026 - 240 с.(СПО)(п)</t>
  </si>
  <si>
    <t>ЭЛЕКТРОТЕХНИЧЕСКИЕ ОСНОВЫ ИСТОЧНИКОВ ПИТАНИЯ, ИЗД.1</t>
  </si>
  <si>
    <t>978-5-906818-76-8</t>
  </si>
  <si>
    <t>09.02.02, 11.02.15, 13.02.07</t>
  </si>
  <si>
    <t>Рекомендовано Экспертным советом при ГБОУ УМЦ ПО ДОгМ для использования в образовательном процессе профессиональных образовательных организаций города Москвы в качестве учебника для студентов среднего профессионального образования по специальности 09.02.02 «Компьютерные сети»</t>
  </si>
  <si>
    <t>669317.08.01</t>
  </si>
  <si>
    <t>Электротехнологические установки: Уч.пос. / А.В.Суворин - М.:НИЦ ИНФРА-М, СФУ,2026 - 376 с.(ВО)(п)</t>
  </si>
  <si>
    <t>ЭЛЕКТРОТЕХНОЛОГИЧЕСКИЕ УСТАНОВКИ, ИЗД.1</t>
  </si>
  <si>
    <t>978-5-16-020028-6</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</si>
  <si>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направлению подготовки 13.03.02 «Электроэнергетика и электротехника»</t>
  </si>
  <si>
    <t>453950.05.01</t>
  </si>
  <si>
    <t>Электрохимические процессы в технологии...:Уч.пос. / А.С.Гаврилов, - 2 изд.-М.:ИЦ РИОР, НИЦ ИНФРА-М,2023.-240 с.(П)</t>
  </si>
  <si>
    <t>ЭЛЕКТРОХИМИЧЕСКИЕ ПРОЦЕССЫ В ТЕХНОЛОГИИ МИКРО- И НАНОЭЛЕКТРОНИКИ, ИЗД.2</t>
  </si>
  <si>
    <t>Гаврилов А.С., Белов А.Н.</t>
  </si>
  <si>
    <t>978-5-369-01299-4</t>
  </si>
  <si>
    <t>11.03.03, 11.03.04, 11.04.04, 28.03.01, 28.03.02, 28.03.03, 28.04.01, 28.04.02, 28.04.03, 28.04.04</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</si>
  <si>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t>
  </si>
  <si>
    <t>712196.04.01</t>
  </si>
  <si>
    <t>Электроэнергетика: Уч.пос. / Ю.В.Шаров и др. - М.:Форум, НИЦ ИНФРА-М,2026 - 384 с.(СПО)(П)</t>
  </si>
  <si>
    <t>ЭЛЕКТРОЭНЕРГЕТИКА, ИЗД.1</t>
  </si>
  <si>
    <t>Шаров Ю.В., Хорольский В.Я., Таранов М.А. и др.</t>
  </si>
  <si>
    <t>978-5-16-021434-4</t>
  </si>
  <si>
    <t>13.02.07, 13.02.09, 13.02.12, 13.02.13, 14.02.01</t>
  </si>
  <si>
    <t>223100.13.01</t>
  </si>
  <si>
    <t>Электроэнергетика: Уч.пос. / Ю.В.Шаров и др. - М.:Форум, НИЦ ИНФРА-М,2026. - 384 с.(ВО)(п)</t>
  </si>
  <si>
    <t>Шаров Ю. В., Хорольский В. Я., Таранов М. А., Шемякин В. Н.</t>
  </si>
  <si>
    <t>978-5-00091-824-1</t>
  </si>
  <si>
    <t>Рекомендовано федеральным государственным бюджетным образовательным учреждением высшего профессионального образования «Национальный исследовательский университет МЭИ» в качестве учебного пособия для студентов высших учебных заведений, обучающихся по</t>
  </si>
  <si>
    <t>695694.03.01</t>
  </si>
  <si>
    <t>Элементарная экономика: Монография / В.С.Соловьев-М.:НИЦ ИНФРА-М,2023.-424 с.(П)</t>
  </si>
  <si>
    <t>ЭЛЕМЕНТАРНАЯ ЭКОНОМИКА, ИЗД.1</t>
  </si>
  <si>
    <t>978-5-16-014571-6</t>
  </si>
  <si>
    <t>38.03.01, 38.03.02, 38.04.01, 38.04.02, 38.04.04</t>
  </si>
  <si>
    <t>316500.09.01</t>
  </si>
  <si>
    <t>Элементы квантовой механики и физики атомного ядра: уч.пос. / А.Г.Браун, - 2-е изд.-М.:НИЦ ИНФРА-М,2026.-84 с.(о)</t>
  </si>
  <si>
    <t>ЭЛЕМЕНТЫ КВАНТОВОЙ МЕХАНИКИ И ФИЗИКИ АТОМНОГО ЯДРА, ИЗД.2</t>
  </si>
  <si>
    <t>978-5-16-010384-6</t>
  </si>
  <si>
    <t>686297.09.01</t>
  </si>
  <si>
    <t>Элитные группы Центральной Азии...: Моногр. / Д.Д.Осинина - М.:НИЦ ИНФРА-М,2026 - 147 с.(О)</t>
  </si>
  <si>
    <t>ЭЛИТНЫЕ ГРУППЫ ЦЕНТРАЛЬНОЙ АЗИИ В БОЛЬШОЙ ГЕОПОЛИТИЧЕСКОЙ «ИГРЕ» РОССИИ, КНР И США В НАЧАЛЕ XXI  ВЕКА, ИЗД.1</t>
  </si>
  <si>
    <t>Осинина Д.Д.</t>
  </si>
  <si>
    <t>978-5-16-016410-6</t>
  </si>
  <si>
    <t>41.03.04, 41.03.05, 41.04.04, 41.04.05</t>
  </si>
  <si>
    <t>695043.02.01</t>
  </si>
  <si>
    <t>Элитология мифа: Монография / П.Л.Карабущенко - М.:НИЦ ИНФРА-М,2021 - 320 с.-(Науч.мысль)(П)</t>
  </si>
  <si>
    <t>ЭЛИТОЛОГИЯ МИФА, ИЗД.1</t>
  </si>
  <si>
    <t>978-5-16-014607-2</t>
  </si>
  <si>
    <t>00.03.07, 00.03.11, 41.06.01, 47.06.01</t>
  </si>
  <si>
    <t>695043.03.01</t>
  </si>
  <si>
    <t>Элитология мифа: Монография / П.Л.Карабущенко - М.:НИЦ ИНФРА-М,2023 - 320 с.-(Науч.мысль)(о)</t>
  </si>
  <si>
    <t>978-5-16-018133-2</t>
  </si>
  <si>
    <t>695041.03.01</t>
  </si>
  <si>
    <t>Элитология Платона (античные аспекты...): Моногр. / П.Л.Карабущенко  - 2 изд. - М.:НИЦ ИНФРА-М,2026 - 348 с.(П)</t>
  </si>
  <si>
    <t>ЭЛИТОЛОГИЯ ПЛАТОНА (АНТИЧНЫЕ АСПЕКТЫ ФИЛОСОФИИ ИЗБРАННОСТИ), ИЗД.2</t>
  </si>
  <si>
    <t>978-5-16-014636-2</t>
  </si>
  <si>
    <t>187050.09.01</t>
  </si>
  <si>
    <t>Элтон Мэйо: теоретик и практик управ.: Моногр. / Л.А.Бурганова. - М:НИЦ ИНФРА-М,2026 - 111 с.(Науч.мысль)(о)</t>
  </si>
  <si>
    <t>ЭЛТОН МЭЙО: ТЕОРЕТИК И ПРАКТИК УПРАВЛЕНИЯ, ИЗД.1</t>
  </si>
  <si>
    <t>Бурганова Л. А., Савкина Е. Г.</t>
  </si>
  <si>
    <t>978-5-16-005629-6</t>
  </si>
  <si>
    <t>674005.10.01</t>
  </si>
  <si>
    <t>Эмоциональное отверж.реб.родителями...: Моногр. / Е.В.Голубева - М.:НИЦ ИНФРА-М,2025 - 186 с.(Науч.мысль)(О)</t>
  </si>
  <si>
    <t>ЭМОЦИОНАЛЬНОЕ ОТВЕРЖЕНИЕ РЕБЕНКА РОДИТЕЛЯМИ: ПРИЧИНЫ И ПОСЛЕДСТВИЯ, ИЗД.1</t>
  </si>
  <si>
    <t>Голубева Е.В., Истратова О.Н.</t>
  </si>
  <si>
    <t>978-5-16-013666-0</t>
  </si>
  <si>
    <t>37.03.01, 37.04.01, 44.03.02, 44.04.01, 44.04.02, 44.05.01</t>
  </si>
  <si>
    <t>674627.06.01</t>
  </si>
  <si>
    <t>Эмоциональный интеллект рук. в бизнес-процессах...: Моногр. / Е.А.Хлевная - М.:НИЦ ИНФРА-М,2026 - 259 с.(О)</t>
  </si>
  <si>
    <t>ЭМОЦИОНАЛЬНЫЙ ИНТЕЛЛЕКТ РУКОВОДИТЕЛЯ В БИЗНЕС-ПРОЦЕССАХ ОРГАНИЗАЦИИ, ИЗД.1</t>
  </si>
  <si>
    <t>Хлевная Е.А., Киселева Т.С.</t>
  </si>
  <si>
    <t>978-5-16-022199-1</t>
  </si>
  <si>
    <t>38.03.01, 38.03.02, 38.03.03, 38.04.02, 44.03.01</t>
  </si>
  <si>
    <t>674627.05.01</t>
  </si>
  <si>
    <t>Эмоциональный интеллект рук. в бизнес-процессах...: Моногр. / Е.А.Хлевная-М.:НИЦ ИНФРА-М,2024-259с(П)</t>
  </si>
  <si>
    <t>978-5-16-014245-6</t>
  </si>
  <si>
    <t>670065.03.01</t>
  </si>
  <si>
    <t>Энергетическая напр. развит. жизни на планете Земля..:Моногр. / Н.С.Печуркин-М:НИЦ ИНФРА-М,СФУ,2022-405с(П)</t>
  </si>
  <si>
    <t>ЭНЕРГЕТИЧЕСКАЯ НАПРАВЛЕННОСТЬ РАЗВИТИЯ ЖИЗНИ НА ПЛАНЕТЕ ЗЕМЛЯ (ЭНЕРГИЯ И ЖИЗНЬ НА ЗЕМЛЕ), ИЗД.1</t>
  </si>
  <si>
    <t>Печуркин Н.С.</t>
  </si>
  <si>
    <t>978-5-16-017945-2</t>
  </si>
  <si>
    <t>751276.04.01</t>
  </si>
  <si>
    <t>Энергетическая эффектив. сис. электрооборудования... / С.М.Зуев - М.:НИЦ ИНФРА-М,2026 - 170 с.(О)</t>
  </si>
  <si>
    <t>ЭНЕРГЕТИЧЕСКАЯ ЭФФЕКТИВНОСТЬ СИСТЕМ ЭЛЕКТРООБОРУДОВАНИЯ АВТОНОМНЫХ ОБЪЕКТОВ, ИЗД.1</t>
  </si>
  <si>
    <t>Зуев С.М., Малеев Р.А., Чернов А.Е.</t>
  </si>
  <si>
    <t>978-5-16-017104-3</t>
  </si>
  <si>
    <t>769155.02.01</t>
  </si>
  <si>
    <t>Энергетическая эффектив. строит. сис.: Моногр. / А.Д.Жуков.-М.:НИЦ ИНФРА-М,2023.-329 с.(Науч.мысль)(О)</t>
  </si>
  <si>
    <t>ЭНЕРГЕТИЧЕСКАЯ ЭФФЕКТИВНОСТЬ СТРОИТЕЛЬНЫХ СИСТЕМ, ИЗД.1</t>
  </si>
  <si>
    <t>Боброва Е.Ю., Бессонов И.В., Медникова Е.А.</t>
  </si>
  <si>
    <t>978-5-16-017479-2</t>
  </si>
  <si>
    <t>849964.01.01</t>
  </si>
  <si>
    <t>Энергетические ресурсы в рос. и мировой экономиках..: Моногр. / В.Л.Уланов - М.:НИЦ ИНФРА-М,2026. - 192 с.(о)</t>
  </si>
  <si>
    <t>ЭНЕРГЕТИЧЕСКИЕ РЕСУРСЫ В РОССИЙСКОЙ И МИРОВОЙ ЭКОНОМИКАХ: ОТ ТРАДИЦИОННЫХ УГЛЕВОДОРОДОВ К ВОЗОБНОВЛЯЕМЫМ ИСТОЧНИКАМ ЭНЕРГИИ, ИЗД.1</t>
  </si>
  <si>
    <t>978-5-16-020725-4</t>
  </si>
  <si>
    <t>466700.05.01</t>
  </si>
  <si>
    <t>Энергетическое использование древесной биомассы: Уч. / Под ред. Левина А.Б. - М.:НИЦ ИНФРА-М,2022-199 с.(ВО)(П)</t>
  </si>
  <si>
    <t>ЭНЕРГЕТИЧЕСКОЕ ИСПОЛЬЗОВАНИЕ ДРЕВЕСНОЙ БИОМАССЫ, ИЗД.1</t>
  </si>
  <si>
    <t>Левин А.Б., Малинин В.Г., Семенов Ю.П. и др.</t>
  </si>
  <si>
    <t>978-5-16-011408-8</t>
  </si>
  <si>
    <t>Рекомендовано УМО по образованию в области лесного дела в качестве учебника для студентов высших учебных заведений, обучающихся по направлениям подготовки бакалавриата 35.03.02 «Технология лесозаготовительных и деревоперерабатывающих производств» и магистратуры 35.04.02 «Технология лесозаготовительных и деревоперерабатывающих производств»</t>
  </si>
  <si>
    <t>135050.14.01</t>
  </si>
  <si>
    <t>Энергосберегающие технологии в промыш.: Уч.пос. / А.М.Афонин  - 2 изд. - М, НИЦ ИНФРА-М,2026. -  271 с.(П)</t>
  </si>
  <si>
    <t>ЭНЕРГОСБЕРЕГАЮЩИЕ ТЕХНОЛОГИИ В ПРОМЫШЛЕННОСТИ, ИЗД.2</t>
  </si>
  <si>
    <t>978-5-16-021738-3</t>
  </si>
  <si>
    <t>08.02.01, 13.02.07, 13.02.12, 13.02.13</t>
  </si>
  <si>
    <t>719250.08.01</t>
  </si>
  <si>
    <t>Энергосберегающие технологии в промыш.: Уч.пос. / А.М.Афонин - 2 изд. - М.:Форум, НИЦ ИНФРА-М,2026 - 271 с.(ВО)(п)</t>
  </si>
  <si>
    <t>978-5-00091-805-0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</si>
  <si>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13.03.00 «Электро- и теплоэнергетика» (квалификация (степень) «бакалавр») (протокол № 12 от 24.06.2019)</t>
  </si>
  <si>
    <t>123100.19.01</t>
  </si>
  <si>
    <t>Энергосбережение в жилищно-коммун. хоз.: Уч. / В.А.Комков - 2 изд. - М.:НИЦ ИНФРА-М,2026 - 204 с.(СПО)(П)</t>
  </si>
  <si>
    <t>ЭНЕРГОСБЕРЕЖЕНИЕ В ЖИЛИЩНО-КОММУНАЛЬНОМ ХОЗЯЙСТВЕ, ИЗД.2</t>
  </si>
  <si>
    <t>978-5-16-006849-7</t>
  </si>
  <si>
    <t>08.01.29, 08.01.31, 08.02.01, 08.02.02, 08.02.04, 08.02.08, 08.02.09, 08.02.13, 08.02.14</t>
  </si>
  <si>
    <t>Допущено Федеральным агентством по строительству и жилищно-коммунальному хозяйству в качестве учебного пособия для студентов средних специальных учебных заведений, обучающихся по строительным специальностям</t>
  </si>
  <si>
    <t>382300.13.01</t>
  </si>
  <si>
    <t>Энергосбережение в котельных устан.ТЭС..: Моногр. /А.А.Кудинов - М.:НИЦ ИНФРА-М,2027 - 320 с.(Науч.мысль)(п)</t>
  </si>
  <si>
    <t>ЭНЕРГОСБЕРЕЖЕНИЕ В КОТЕЛЬНЫХ УСТАНОВКАХ ТЭС И СИСТЕМ ТЕПЛОСНАБЖЕНИЯ, ИЗД.1</t>
  </si>
  <si>
    <t>Кудинов А.А., Зиганшина С.К.</t>
  </si>
  <si>
    <t>978-5-16-011155-1</t>
  </si>
  <si>
    <t>175900.12.01</t>
  </si>
  <si>
    <t>Энергосбережение в сис.теплогазоснаб...: Уч.пос. / А.М.Протасевич - М.:ИНФРА-М;,2025 - 286 с.(ВО)(п)</t>
  </si>
  <si>
    <t>ЭНЕРГОСБЕРЕЖЕНИЕ В СИСТЕМАХ ТЕПЛОГАЗОСНАБЖЕНИЯ, ВЕНТИЛЯЦИИ И КОНДИЦИОНИРОВАНИЯ ВОЗДУХА, ИЗД.1</t>
  </si>
  <si>
    <t>Протасевич А.М.</t>
  </si>
  <si>
    <t>978-5-16-018991-8</t>
  </si>
  <si>
    <t>13.03.01, 13.04.01, 20.03.01, 20.04.01</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</si>
  <si>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специальности «Теплогазоснабжение, вентиляция и охрана воздушного бассейна»</t>
  </si>
  <si>
    <t>734144.02.01</t>
  </si>
  <si>
    <t>Энергоснабжение и энергоэффективность: Моногр. / Г.Ф.Ручкина - М.:НИЦ ИНФРА-М,2022 - 201 с.(О)</t>
  </si>
  <si>
    <t>ЭНЕРГОСНАБЖЕНИЕ И ЭНЕРГОЭФФЕКТИВНОСТЬ: АКТУАЛЬНЫЕ ПРОБЛЕМЫ ПРАВОВОГО РЕГУЛИРОВАНИЯ, ИЗД.1</t>
  </si>
  <si>
    <t>Ручкина Г.Ф., Демченко М.В., Барков А.В.</t>
  </si>
  <si>
    <t>978-5-16-016216-4</t>
  </si>
  <si>
    <t>38.04.01, 38.06.01, 40.03.01, 40.04.01, 40.06.01</t>
  </si>
  <si>
    <t>632784.06.01</t>
  </si>
  <si>
    <t>Энтропийная экономика...: Моногр. / C.А.Дятлов - М.:НИЦ ИНФРА-М,2026 - 350 с.(Науч.мысль)(П)</t>
  </si>
  <si>
    <t>ЭНТРОПИЙНАЯ ЭКОНОМИКА: МЕТОДОЛОГИЯ ИССЛЕДОВАНИЯ ГЛОБАЛЬНОГО КРИЗИСА, ИЗД.1</t>
  </si>
  <si>
    <t>978-5-16-012028-7</t>
  </si>
  <si>
    <t>470500.07.01</t>
  </si>
  <si>
    <t>Энциклопедия рейтингов: экономика, общ.../А.М.Карминский-2 изд -М: ИД ФОРУМ,НИЦ ИНФРА-М,2026-446с(П)</t>
  </si>
  <si>
    <t>ЭНЦИКЛОПЕДИЯ РЕЙТИНГОВ: ЭКОНОМИКА, ОБЩЕСТВО, СПОРТ, ИЗД.2</t>
  </si>
  <si>
    <t>Карминский А.М., Полозов А.А.</t>
  </si>
  <si>
    <t>978-5-16-022170-0</t>
  </si>
  <si>
    <t>38.03.01, 41.03.01, 41.03.06</t>
  </si>
  <si>
    <t>832125.02.01</t>
  </si>
  <si>
    <t>Эпидемиология и вакцинация: Уч.пос. / И.О.Стома - М.:НИЦ ИНФРА-М, ГомГМУ,2026. - 476 с.:цв.ил.(ВО)(п)</t>
  </si>
  <si>
    <t>ЭПИДЕМИОЛОГИЯ И ВАКЦИНАЦИЯ, ИЗД.1</t>
  </si>
  <si>
    <t>Стома И.О.</t>
  </si>
  <si>
    <t>978-5-16-019998-6</t>
  </si>
  <si>
    <t>20.02.01, 31.05.01, 31.05.02, 32.02.01, 32.05.01</t>
  </si>
  <si>
    <t>Допущено Министерством образования Республики Беларусь в качестве учебного пособия для студентов учреждений высшего образования по специальностям «Лечебное дело», «Педиатрия», «Медико-профилактическое дело», «Медико-диагностическое дело»</t>
  </si>
  <si>
    <t>086240.07.01</t>
  </si>
  <si>
    <t>Эпоха глобализации и преступность: Монография/ В.В.Лунеев-М.:Юр.Норма, НИЦ ИНФРА-М,2024.-272 с.(О)</t>
  </si>
  <si>
    <t>ЭПОХА ГЛОБАЛИЗАЦИИ И ПРЕСТУПНОСТЬ, ИЗД.1</t>
  </si>
  <si>
    <t>Лунеев В.В.</t>
  </si>
  <si>
    <t>978-5-91768-636-3</t>
  </si>
  <si>
    <t>639301.08.01</t>
  </si>
  <si>
    <t>Эрнест Хемингуэй: легенда и реальность: Моногр. / Б.А.Гиленсон - М.:НИЦ ИНФРА-М,2026 - 206 с.(Науч.мысль)(П)</t>
  </si>
  <si>
    <t>ЭРНЕСТ ХЕМИНГУЭЙ: ЛЕГЕНДА И РЕАЛЬНОСТЬ, ИЗД.1</t>
  </si>
  <si>
    <t>978-5-16-012268-7</t>
  </si>
  <si>
    <t>41.03.06, 42.03.02, 42.03.03, 42.03.04</t>
  </si>
  <si>
    <t>828056.01.01</t>
  </si>
  <si>
    <t>Эскизное проектир. и модернизация судовых энергетич..: Уч.пос. Ч.2 / А.Л.Кирюхин - М.:НИЦ ИНФРА-М,2025 - 312 с.(п)</t>
  </si>
  <si>
    <t>ЭСКИЗНОЕ ПРОЕКТИРОВАНИЕ И МОДЕРНИЗАЦИЯ СУДОВЫХ ЭНЕРГЕТИЧЕСКИХ УСТАНОВОК. ЧАСТЬ 2, ИЗД.1</t>
  </si>
  <si>
    <t>Кирюхин А.Л., Максимов С.В., Толстой С.И. и др.</t>
  </si>
  <si>
    <t>978-5-16-020088-0</t>
  </si>
  <si>
    <t>26.03.02, 26.04.02, 26.05.01, 26.05.02</t>
  </si>
  <si>
    <t>777705.03.01</t>
  </si>
  <si>
    <t>Эскизное проектир. и модернизация судовых...: Уч.пос.: Ч. I / ЧВВМУ им. П.С Нахимова - М.:НИЦ ИНФРА-М,2026. - 270 с.(П)</t>
  </si>
  <si>
    <t>ЭСКИЗНОЕ ПРОЕКТИРОВАНИЕ И МОДЕРНИЗАЦИЯ СУДОВЫХ ЭНЕРГЕТИЧЕСКИХ УСТАНОВОК. ЧАСТЬ I, ИЗД.1</t>
  </si>
  <si>
    <t>Кирюхин А.Л., Максимов С.В., Толстой С.И.</t>
  </si>
  <si>
    <t>978-5-16-017736-6</t>
  </si>
  <si>
    <t>26.02.04, 26.03.02</t>
  </si>
  <si>
    <t>702854.04.01</t>
  </si>
  <si>
    <t>Эскизное проектир. судовых энергетич. установок: Уч.пос. / В.В.Кузнецов - М.:НИЦ ИНФРА-М,2024 - 220с(П)</t>
  </si>
  <si>
    <t>ЭСКИЗНОЕ ПРОЕКТИРОВАНИЕ СУДОВЫХ ЭНЕРГЕТИЧЕСКИХ УСТАНОВОК, ИЗД.1</t>
  </si>
  <si>
    <t>Кузнецов В.В., Максимов С.В., Толстой С.И.</t>
  </si>
  <si>
    <t>978-5-16-014944-8</t>
  </si>
  <si>
    <t>26.02.02, 26.02.04, 26.05.02, 26.05.06</t>
  </si>
  <si>
    <t>Рекомендовано экспертным советом ЧВВМУ имени П.С. Нахимова в качестве учебного пособия к курсовому и дипломному проектированию по дисциплине «Эксплуатация судовых энергетических установок» для студентов, обучающихся по специальности 26.05.06 «Эксплуатация судовых энергетических установок»</t>
  </si>
  <si>
    <t>801917.04.01</t>
  </si>
  <si>
    <t>Эстетика трансцендент.(непостижим.) в рус.дух.культ. конца XIX... / В.Д.Диденко - М.:НИЦ ИНФРА-М,2027. - 152 с.(о)</t>
  </si>
  <si>
    <t>ЭСТЕТИКА ТРАНСЦЕНДЕНТНОГО (НЕПОСТИЖИМОГО) В РУССКОЙ ДУХОВНОЙ КУЛЬТУРЕ КОНЦА XIX- ПЕРВОЙ ПОЛОВИНЫ XX ВЕКА, ИЗД.1</t>
  </si>
  <si>
    <t>Диденко В.Д.</t>
  </si>
  <si>
    <t>978-5-16-018703-7</t>
  </si>
  <si>
    <t>50.04.01, 50.06.01, 51.04.01, 51.06.01</t>
  </si>
  <si>
    <t>699335.03.01</t>
  </si>
  <si>
    <t>Эстетические парадоксы русской драмы: Уч.пос. / Т.С.Злотникова - М.:НИЦ ИНФРА-М,2026. - 289 с.(ВО)(П)</t>
  </si>
  <si>
    <t>ЭСТЕТИЧЕСКИЕ ПАРАДОКСЫ РУССКОЙ ДРАМЫ, ИЗД.1</t>
  </si>
  <si>
    <t>978-5-16-018797-6</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</si>
  <si>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51.03.01 «Культурология», 52.03.05 «Театроведение», 52.03.06 «Драматургия» (квалификация (степень) «бакалавр»)</t>
  </si>
  <si>
    <t>802134.01.01</t>
  </si>
  <si>
    <t>Этика бизнеса и взаимодействие со стейкхолдерами: Уч. / М.А.Егоров - М.:НИЦ ИНФРА-М,2025. - 291 с.(ВО)(п)</t>
  </si>
  <si>
    <t>ЭТИКА БИЗНЕСА И ВЗАИМОДЕЙСТВИЕ СО СТЕЙКХОЛДЕРАМИ, ИЗД.1</t>
  </si>
  <si>
    <t>Воблая И.Н., Егоров М.А., Марцева Т.Г.</t>
  </si>
  <si>
    <t>978-5-16-019755-5</t>
  </si>
  <si>
    <t>223300.13.01</t>
  </si>
  <si>
    <t>Этика делового общения: Уч.пос. / И.С.Иванова, - 3 изд., - М.:НИЦ ИНФРА-М,2026 - 168 с.(ВО.)(О)</t>
  </si>
  <si>
    <t>ЭТИКА ДЕЛОВОГО ОБЩЕНИЯ, ИЗД.3</t>
  </si>
  <si>
    <t>Иванова И. С.</t>
  </si>
  <si>
    <t>978-5-16-008998-0</t>
  </si>
  <si>
    <t>08.02.14, 38.03.01, 38.03.02, 38.03.03, 38.03.04, 38.03.05, 38.03.06, 38.03.07, 38.04.01, 38.04.02, 38.04.03, 38.04.04, 38.04.05, 38.04.06, 38.04.07, 38.04.08, 38.04.09, 38.05.01, 38.05.02, 39.03.01, 39.03.02, 39.03.03, 39.04.01, 39.04.02, 39.04.03, 40.03.01, 40.04.01, 40.05.01, 40.05.02, 40.05.03, 41.03.01, 41.03.02, 41.03.03, 41.03.04, 41.03.05, 41.03.06, 41.04.01, 41.04.02, 41.04.03, 41.04.04, 41.04.05, 42.03.01, 42.03.02, 42.03.03, 42.03.04, 42.03.05, 42.04.01, 42.04.02, 42.04.03, 42.04.04, 42.04.05, 43.03.01, 43.03.02, 43.03.03, 43.04.01, 43.04.02, 43.04.03</t>
  </si>
  <si>
    <t>Рекомендовано Советом Учебно-методического объединения по образованию в области менеджмента в качестве учебного пособия для студентов высших учебных заведений, обучающихся по направлению подготовки 38.03.02 (080200.62) «Менеджмент» (квалификация (степень) «бакалавр»)</t>
  </si>
  <si>
    <t>037200.21.01</t>
  </si>
  <si>
    <t>Этика деловых отношений: Уч. / Под ред. Кибанова А.Я. - 2 изд. - М.:НИЦ ИНФРА-М,2023 - 383 с.(ВО)(П)</t>
  </si>
  <si>
    <t>ЭТИКА ДЕЛОВЫХ ОТНОШЕНИЙ, ИЗД.2</t>
  </si>
  <si>
    <t>Кибанов А. Я., Захаров Д. К., Коновалова В. Г., Кибанов А. Я.</t>
  </si>
  <si>
    <t>978-5-16-006723-0</t>
  </si>
  <si>
    <t>38.03.01, 38.03.02, 38.03.03, 38.04.02, 38.04.03</t>
  </si>
  <si>
    <t>Рекомендовано Мин. обр. и науки РФ в качестве учебника для студентов высших учебных заведений, обучающихся по специальностям  "Управление персоналом"</t>
  </si>
  <si>
    <t>072730.17.01</t>
  </si>
  <si>
    <t>Этика деловых отношений: Уч. / Ю.Ю.Петрунин и др., - 2 изд. - М.:НИЦ ИНФРА-М,2026. - 161 с.(СПО)(п)</t>
  </si>
  <si>
    <t>Петрунин Ю.Ю., Борисов В.К., Панина Е.М. и др.</t>
  </si>
  <si>
    <t>978-5-16-017800-4</t>
  </si>
  <si>
    <t>38.02.02, 38.02.08, 39.02.03, 40.02.02, 42.02.01, 42.02.02, 43.02.01, 43.02.02, 43.02.06, 43.02.11, 43.02.16, 46.02.01, 51.02.02, 51.02.03</t>
  </si>
  <si>
    <t>072730.13.01</t>
  </si>
  <si>
    <t>Этика деловых отношений:Уч. / В.К.Борисов и др.-М.:ИД ФОРУМ, НИЦ ИНФРА-М,2020.-176 с..-(СПО)(о)</t>
  </si>
  <si>
    <t>ЭТИКА ДЕЛОВЫХ ОТНОШЕНИЙ, ИЗД.1</t>
  </si>
  <si>
    <t>Борисов В.К., Панина Е.М., Панов М.И. и др.</t>
  </si>
  <si>
    <t>978-5-8199-0844-0</t>
  </si>
  <si>
    <t>Рекомендовано Учебно-методическим советом СПО в качестве учебника для студентов учебных заведений, реализующих основную программу среднего профессионального образования на базе основного общего образования</t>
  </si>
  <si>
    <t>861298.01.01</t>
  </si>
  <si>
    <t>Этика конфликта: Моногр. / И.А.Кох - М.:НИЦ ИНФРА-М,2026. - 186 с.(Науч.мысль)(п)</t>
  </si>
  <si>
    <t>ЭТИКА КОНФЛИКТА, ИЗД.1</t>
  </si>
  <si>
    <t>Кох И.А.</t>
  </si>
  <si>
    <t>978-5-16-021311-8</t>
  </si>
  <si>
    <t>37.03.01, 37.03.02, 37.04.02, 37.05.02, 37.06.01, 38.03.03, 38.03.04, 38.04.03, 38.04.04, 38.06.01, 39.03.01, 39.03.03, 39.04.01, 39.04.02, 39.04.03, 39.06.01, 41.03.06, 41.04.04, 41.04.06, 41.06.01, 43.04.01, 44.03.05, 51.03.03</t>
  </si>
  <si>
    <t>669446.05.01</t>
  </si>
  <si>
    <t>Этика ответственности: Уч.пос. / В.А.Канке, - 2 изд., испр. и доп. - М.:НИЦ ИНФРА-М,2026. - 291 с.(ВО)(п)</t>
  </si>
  <si>
    <t>ЭТИКА ОТВЕТСТВЕННОСТИ, ИЗД.2</t>
  </si>
  <si>
    <t>978-5-16-021570-9</t>
  </si>
  <si>
    <t>47.03.01, 47.03.02, 47.03.03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</si>
  <si>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47.03.00 «Философия, этика и религиоведение» (квалификация (степень) «бакалавр») (протокол № 17 от 11.11.2019)</t>
  </si>
  <si>
    <t>724894.03.01</t>
  </si>
  <si>
    <t>Этика чел. достоинства: ист. и совр.: Моногр. / Ю.П.Воропаева - М.:НИЦ ИНФРА-М,2025 - 243 с.(Науч.мысль)(О)</t>
  </si>
  <si>
    <t>ЭТИКА ЧЕЛОВЕЧЕСКОГО ДОСТОИНСТВА: ИСТОРИЯ И СОВРЕМЕННОСТЬ, ИЗД.1</t>
  </si>
  <si>
    <t>Воропаева Ю.П., Коломиец Г.Г.</t>
  </si>
  <si>
    <t>978-5-16-015885-3</t>
  </si>
  <si>
    <t>47.03.01, 47.04.01, 47.04.02, 47.06.01</t>
  </si>
  <si>
    <t>044104.12.01</t>
  </si>
  <si>
    <t>Этика: Уч. / А.В.Разин, - 4 изд. - М.:НИЦ ИНФРА-М,2026. - 415 с.(ВО)(п)</t>
  </si>
  <si>
    <t>ЭТИКА, ИЗД.4</t>
  </si>
  <si>
    <t>Разин А.В.</t>
  </si>
  <si>
    <t>978-5-16-019351-9</t>
  </si>
  <si>
    <t>44.03.05, 47.03.01, 47.03.02, 47.03.03</t>
  </si>
  <si>
    <t>Рекомендовано Отделением по философии, политологии и религиоведению УМО по классическому университетскому образованию в качестве учебного пособия для студентов философских специальностей</t>
  </si>
  <si>
    <t>450350.07.01</t>
  </si>
  <si>
    <t>Этика: Уч. пос. / П.А. Егоров, В.Н. Руднев - М.:НИЦ ИНФРА-М, 2026 - 158 с. (ВО: Бакалавриат) (п)</t>
  </si>
  <si>
    <t>ЭТИКА, ИЗД.1</t>
  </si>
  <si>
    <t>Егоров П. А., Руднев В. Н.</t>
  </si>
  <si>
    <t>978-5-16-009132-7</t>
  </si>
  <si>
    <t>07.03.03, 21.05.04, 37.05.01, 44.03.05, 47.03.01, 47.04.01, 47.04.02, 51.03.01, 51.03.04</t>
  </si>
  <si>
    <t>634882.05.01</t>
  </si>
  <si>
    <t>Этика: Уч.пос. / А.М.Руденко - М.:ИЦ РИОР, НИЦ ИНФРА-М,2025 - 228 с.(ВО: Бакалавриат)(П)</t>
  </si>
  <si>
    <t>Руденко А.М., Котлярова В.В., Шубина М.М. и др.</t>
  </si>
  <si>
    <t>978-5-369-01642-8</t>
  </si>
  <si>
    <t>07.03.03, 37.03.01, 40.03.01, 44.03.05, 47.03.01, 47.03.02, 47.04.02, 51.03.01, 51.03.04</t>
  </si>
  <si>
    <t>Рекомендовано в качестве учебного пособия для студентов высших учебных заведений, обучающихся по гуманитарным направлениям подготовки</t>
  </si>
  <si>
    <t>736062.02.01</t>
  </si>
  <si>
    <t>Этика: Уч.пос. / П.А.Егоров - М.:НИЦ ИНФРА-М,2027 - 158 с.-(СПО)(П)</t>
  </si>
  <si>
    <t>Егоров П.А., Руднев В.Н.</t>
  </si>
  <si>
    <t>978-5-16-016206-5</t>
  </si>
  <si>
    <t>00.02.33, 34.02.01, 38.02.08, 39.02.03, 43.02.02, 43.02.11, 44.02.01, 44.02.02, 44.02.03, 46.02.01, 51.02.02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</si>
  <si>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гуманитарным специальностям (протокол № 19 от 09.12.2019)</t>
  </si>
  <si>
    <t>708231.04.01</t>
  </si>
  <si>
    <t>Этиология, патогенез и лечение рецидивных...: Уч.пос. / В.И.Белоконев - М.:НИЦ ИНФРА-М,2026 - 135 с.(П)</t>
  </si>
  <si>
    <t>ЭТИОЛОГИЯ, ПАТОГЕНЕЗ И ЛЕЧЕНИЕ РЕЦИДИВНЫХ ПОСЛЕОПЕРАЦИОННЫХ ВЕНТРАЛЬНЫХ ГРЫЖ, ИЗД.1</t>
  </si>
  <si>
    <t>978-5-16-021665-2</t>
  </si>
  <si>
    <t>706962.06.01</t>
  </si>
  <si>
    <t>Этиология, патогенез и основы профилактики семи метабол... / В.Н.Титов - М.:НИЦ ИНФРА-М,2026 - 378 с.(П)</t>
  </si>
  <si>
    <t>ЭТИОЛОГИЯ, ПАТОГЕНЕЗ И ОСНОВЫ ПРОФИЛАКТИКИ СЕМИ МЕТАБОЛИЧЕСКИХ ПАНДЕМИЙ — «БОЛЕЗНЕЙ ЦИВИЛИЗАЦИИ», ИЗД.1</t>
  </si>
  <si>
    <t>Титов В.Н., Амелюшкина В.А., Тарасов А.В.</t>
  </si>
  <si>
    <t>978-5-16-015175-5</t>
  </si>
  <si>
    <t>758090.03.01</t>
  </si>
  <si>
    <t>Этические основы предварит. расслед.: Моногр. / А.В.Закомолдин - М.:ИЦ РИОР, НИЦ ИНФРА-М,2025 - 110 с.(О)</t>
  </si>
  <si>
    <t>ЭТИЧЕСКИЕ ОСНОВЫ ПРЕДВАРИТЕЛЬНОГО РАССЛЕДОВАНИЯ, ИЗД.1</t>
  </si>
  <si>
    <t>Закомолдин А.В., Кудзилов Д.Б.</t>
  </si>
  <si>
    <t>978-5-369-01870-5</t>
  </si>
  <si>
    <t>651621.11.01</t>
  </si>
  <si>
    <t>Этническая психология: Уч. / Под ред. Ермакова П.Н. - М.:НИЦ ИНФРА-М,2026 - 317 с.(ВО)(п)</t>
  </si>
  <si>
    <t>ЭТНИЧЕСКАЯ ПСИХОЛОГИЯ, ИЗД.1</t>
  </si>
  <si>
    <t>Ермаков П.Н., Пищик В.И.</t>
  </si>
  <si>
    <t>978-5-16-019448-6</t>
  </si>
  <si>
    <t>Допущено Советом по психологии УМО по классическому университетскому образованию в качестве практико-ориентированного учебника для преподавателей вузов, для студентов (бакалавров, специалистов и магистров) высших учебных заведений, обучающихся по направлениям подготовки ВО 37.03.01 «Психология» (квалификация (степень) «бакалавр»), 37.04.01 «Психология» (квалификация (степень) «магистр»), 37.03.02 «Конфликтология» (квалификация (степень) «бакалавр»)</t>
  </si>
  <si>
    <t>699499.04.01</t>
  </si>
  <si>
    <t>Этнический образ мира: "свои" и "другие": Уч.пос. / В.Ю.Хотинец - М.:НИЦ ИНФРА-М,2027 - 207 с.(ВО)(П)</t>
  </si>
  <si>
    <t>ЭТНИЧЕСКИЙ ОБРАЗ МИРА: "СВОИ" И "ДРУГИЕ", ИЗД.1</t>
  </si>
  <si>
    <t>Хотинец В.Ю., Молчанова Е.А.</t>
  </si>
  <si>
    <t>978-5-16-016736-7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</si>
  <si>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 (протокол № 10 от 15.12.2021)</t>
  </si>
  <si>
    <t>768791.02.01</t>
  </si>
  <si>
    <t>Этнический фактор в становл. и развитии федератив. гос.: Моногр. / А.Ю.Саломатин-М.:ИЦ РИОР, НИЦ ИНФРА-М,2023.-191 с.(П)</t>
  </si>
  <si>
    <t>ЭТНИЧЕСКИЙ ФАКТОР В СТАНОВЛЕНИИ И РАЗВИТИИ ФЕДЕРАТИВНЫХ ОТНОШЕНИЙ, ИЗД.1</t>
  </si>
  <si>
    <t>978-5-369-01887-3</t>
  </si>
  <si>
    <t>663732.08.01</t>
  </si>
  <si>
    <t>Этногерменевтика русской сказки: Моногр. / М.В.Пименова - М.:НИЦ ИНФРА-М,2026. - 355 с.(Науч.мысль)(о)</t>
  </si>
  <si>
    <t>ЭТНОГЕРМЕНЕВТИКА РУССКОЙ СКАЗКИ, ИЗД.1</t>
  </si>
  <si>
    <t>Пименова М.В.</t>
  </si>
  <si>
    <t>978-5-16-018918-5</t>
  </si>
  <si>
    <t>Военная академия материально-технического обеспечения им. Генерала армии А.В. Хрулёва</t>
  </si>
  <si>
    <t>663732.06.01</t>
  </si>
  <si>
    <t>Этногерменевтика русской сказки: Моногр. / М.В.Пименова-М.:НИЦ ИНФРА-М,2024.-355 с.(Науч.мысль)(П)</t>
  </si>
  <si>
    <t>978-5-16-013459-8</t>
  </si>
  <si>
    <t>733608.02.01</t>
  </si>
  <si>
    <t>Этнокультурное развитие детей...: Уч.пос. / С.Н.Федорова - М.:Форум, НИЦ ИНФРА-М,2026 - 176 с.(П)</t>
  </si>
  <si>
    <t>ЭТНОКУЛЬТУРНОЕ РАЗВИТИЕ ДЕТЕЙ. ПСИХОЛОГО-ПЕДАГОГИЧЕСКОЕ СОПРОВОЖДЕНИЕ, ИЗД.1</t>
  </si>
  <si>
    <t>Федорова С.Н.</t>
  </si>
  <si>
    <t>978-5-00091-727-5</t>
  </si>
  <si>
    <t>44.02.01, 44.02.02, 44.02.03, 44.02.05, 44.02.06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</si>
  <si>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17 от 11.11.2019)</t>
  </si>
  <si>
    <t>153050.11.01</t>
  </si>
  <si>
    <t>Этнокультурное развитие детей: Псих.-педагогич..: Уч. пос. / С.Н.Федорова - М.: Форум,2026 - 176 с. (о)</t>
  </si>
  <si>
    <t>Федорова С. Н.</t>
  </si>
  <si>
    <t>978-5-91134-533-4</t>
  </si>
  <si>
    <t>44.03.01, 44.03.02, 44.03.05, 44.04.01</t>
  </si>
  <si>
    <t>697533.07.01</t>
  </si>
  <si>
    <t>Этнология: Уч.пос. / А.П.Садохин - 4 изд. - М.:ИЦ РИОР, НИЦ ИНФРА-М,2022-331 с.-(ВО: Бакалавриат)(П)</t>
  </si>
  <si>
    <t>ЭТНОЛОГИЯ, ИЗД.4</t>
  </si>
  <si>
    <t>Садохин А.П., Грушевицкая Т.Г.</t>
  </si>
  <si>
    <t>978-5-369-01800-2</t>
  </si>
  <si>
    <t>44.03.01, 44.03.05, 46.03.01, 51.03.02, 51.03.04, 51.03.05</t>
  </si>
  <si>
    <t>284100.09.01</t>
  </si>
  <si>
    <t>Этноцентризм в содержании отечеств. и зарубеж. школ. уч.: Моногр. / В.В.Ковригин - М.:ИНФРА-М, 2026 - 87 с. (о)</t>
  </si>
  <si>
    <t>ЭТНОЦЕНТРИЗМ В СОДЕРЖАНИИ ОТЕЧЕСТВЕННЫХ И ЗАРУБЕЖНЫХ ШКОЛЬНЫХ УЧЕБНИКОВ, ИЗД.1</t>
  </si>
  <si>
    <t>Ковригин В. В.</t>
  </si>
  <si>
    <t>978-5-16-009906-4</t>
  </si>
  <si>
    <t>37.03.01, 37.04.01, 39.03.01, 39.04.01, 44.03.01, 44.04.01, 46.03.01, 46.04.01</t>
  </si>
  <si>
    <t>867360.01.01</t>
  </si>
  <si>
    <t>Эффект интервьюера в персональном интервью...: Моногр. / Григорьев М.В. - М.:НИЦ ИНФРА-М,2026. - 241 с.(о)</t>
  </si>
  <si>
    <t>ЭФФЕКТ ИНТЕРВЬЮЕРА В ПЕРСОНАЛЬНОМ ИНТЕРВЬЮ: МЕТОДОЛОГИЯ АНАЛИЗА И МЕТОДЫ ОЦЕНКИ, ИЗД.1</t>
  </si>
  <si>
    <t>Мягков А.Ю., Журавлева И.В., Григорьева М.В.</t>
  </si>
  <si>
    <t>978-5-16-021575-4</t>
  </si>
  <si>
    <t>37.03.01, 37.04.01, 37.06.01, 39.03.01, 39.03.03, 39.04.01, 39.06.01, 41.04.04, 42.04.01</t>
  </si>
  <si>
    <t>678080.03.01</t>
  </si>
  <si>
    <t>Эффективная технология и оборуд. для электроэрозионной...: Моногр. / А.Ф.Бойко - М.:НИЦ ИНФРА-М,2026-298с(О)</t>
  </si>
  <si>
    <t>ЭФФЕКТИВНАЯ ТЕХНОЛОГИЯ И ОБОРУДОВАНИЕ ДЛЯ ЭЛЕКТРОЭРОЗИОННОЙ ПРОШИВКИ ПРЕЦИЗИОННЫХ МИКРООТВЕРСТИЙ, ИЗД.1</t>
  </si>
  <si>
    <t>Бойко А.Ф.</t>
  </si>
  <si>
    <t>978-5-16-013744-5</t>
  </si>
  <si>
    <t>15.03.01, 15.03.04, 15.03.05, 15.04.04, 15.04.05</t>
  </si>
  <si>
    <t>255500.08.01</t>
  </si>
  <si>
    <t>Эффективное научное рук. аспирантами: Моногр. / С.Д.Резник - 2 изд. - М.:НИЦ ИНФРА-М,2024 - 152с(О)</t>
  </si>
  <si>
    <t>ЭФФЕКТИВНОЕ НАУЧНОЕ РУКОВОДСТВО АСПИРАНТАМИ, ИЗД.2</t>
  </si>
  <si>
    <t>Резник С. Д., Макарова С. Н., Резник С. Д.</t>
  </si>
  <si>
    <t>978-5-16-009453-3</t>
  </si>
  <si>
    <t>362500.11.01</t>
  </si>
  <si>
    <t>Эффективное общение и предупр. конфл..: Науч.-практ. пос. / Г.Н.Носачев - М.:Форум,НИЦ ИНФРА-М,2026-104с.(О)</t>
  </si>
  <si>
    <t>ЭФФЕКТИВНОЕ ОБЩЕНИЕ И ПРЕДУПРЕЖДЕНИЕ КОНФЛИКТОВ В СИСТЕМЕ «ВРАЧ — ПАЦИЕНТ», ИЗД.1</t>
  </si>
  <si>
    <t>Носачев Г.Н.</t>
  </si>
  <si>
    <t>978-5-00091-768-8</t>
  </si>
  <si>
    <t>30.06.01, 30.07.01, 31.05.01, 31.05.02, 31.05.03, 31.06.01, 31.07.01, 31.08.01, 31.08.02, 31.08.03, 31.08.04, 31.08.05, 31.08.06, 31.08.07, 31.08.08, 31.08.09, 31.08.10, 31.08.11, 31.08.12, 31.08.13, 31.08.14, 31.08.15, 31.08.16, 31.08.17, 31.08.18, 31.08.19, 31.08.20, 31.08.21, 31.08.22, 31.08.23, 31.08.24, 31.08.25, 31.08.26, 31.08.27,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t>
  </si>
  <si>
    <t>736598.01.01</t>
  </si>
  <si>
    <t>Эффективное упр. орг. и производ. структурами: Моногр. / Логиновский О.В. - М.:НИЦ ИНФРА-М,2020-450 с(П)</t>
  </si>
  <si>
    <t>ЭФФЕКТИВНОЕ УПРАВЛЕНИЕ ОРГАНИЗАЦИОННЫМИ И ПРОИЗВОДСТВЕННЫМИ СТРУКТУРАМИ, ИЗД.1</t>
  </si>
  <si>
    <t>Логиновский О.В., Голлай А.В., Дранко О.И. и др.</t>
  </si>
  <si>
    <t>978-5-16-016217-1</t>
  </si>
  <si>
    <t>747291.04.01</t>
  </si>
  <si>
    <t>Эффективность адм.-правовых санкций: Моногр. / Л.Л.Попов - М.:Юр.Норма, НИЦ ИНФРА-М,2025 - 216 с.(П)</t>
  </si>
  <si>
    <t>ЭФФЕКТИВНОСТЬ АДМИНИСТРАТИВНО-ПРАВОВЫХ САНКЦИЙ, ИЗД.1</t>
  </si>
  <si>
    <t>978-5-00156-101-9</t>
  </si>
  <si>
    <t>837344.01.01</t>
  </si>
  <si>
    <t>Эффективность ветроагрегатов в Арктике и...: Моногр. / В.И.Буяльский - М.:НИЦ ИНФРА-М,2025. - 187 с.(о)</t>
  </si>
  <si>
    <t>ЭФФЕКТИВНОСТЬ ВЕТРОАГРЕГАТОВ В АРКТИКЕ И НА КРАЙНЕМ СЕВЕРЕ, ИЗД.1</t>
  </si>
  <si>
    <t>978-5-16-020227-3</t>
  </si>
  <si>
    <t>799968.04.01</t>
  </si>
  <si>
    <t>Эффективность науч. деят.: критерии прав. оценки / Н.В.Путило - М.:Юр. НОРМА, НИЦ ИНФРА-М,2026. - 204 с.(п)</t>
  </si>
  <si>
    <t>ЭФФЕКТИВНОСТЬ НАУЧНОЙ ДЕЯТЕЛЬНОСТИ: КРИТЕРИИ ПРАВОВОЙ ОЦЕНКИ, ИЗД.1</t>
  </si>
  <si>
    <t>Путило Н.В.</t>
  </si>
  <si>
    <t>978-5-00156-290-0</t>
  </si>
  <si>
    <t>683709.05.01</t>
  </si>
  <si>
    <t>Эффективность упр. кадрами гос. гражд. службы...: Моногр. / Н.Ф.Алтухова - М.:НИЦ ИНФРА-М,2026 - 221 с.(о)</t>
  </si>
  <si>
    <t>ЭФФЕКТИВНОСТЬ УПРАВЛЕНИЯ КАДРАМИ ГОСУДАРСТВЕННОЙ ГРАЖДАНСКОЙ СЛУЖБЫ В УСЛОВИЯХ РАЗВИТИЯ ЦИФРОВОЙ ЭКОНОМИКИ И ОБЩЕСТВА ЗНАНИЙ, ИЗД.1</t>
  </si>
  <si>
    <t>Алтухова Н.Ф., Бондаренко В.В., Васильева Е.В. и др.</t>
  </si>
  <si>
    <t>978-5-16-016453-3</t>
  </si>
  <si>
    <t>683709.02.01</t>
  </si>
  <si>
    <t>Эффективность упр. кадрами гос. гражд. службы...: Моногр. / Н.Ф.Алтухова-М.:НИЦ ИНФРА-М,2019-221с(П)</t>
  </si>
  <si>
    <t>978-5-16-014205-0</t>
  </si>
  <si>
    <t>764167.04.01</t>
  </si>
  <si>
    <t>Эффективные деловые переговоры: Уч.пос. / Л.И.Заволокина - М.:НИЦ ИНФРА-М,2026. - 148 с.(ВО: Магистр.)(П)</t>
  </si>
  <si>
    <t>ЭФФЕКТИВНЫЕ ДЕЛОВЫЕ ПЕРЕГОВОРЫ, ИЗД.1</t>
  </si>
  <si>
    <t>Заволокина Л.И.</t>
  </si>
  <si>
    <t>978-5-16-017208-8</t>
  </si>
  <si>
    <t>38.04.01, 38.04.02, 38.04.04, 38.04.06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</si>
  <si>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38.04.01 «Экономика», 38.04.02 «Менеджмент» (квалификация (степень) «магистр») (протокол № 6 от 08.06.2022)</t>
  </si>
  <si>
    <t>823037.03.01</t>
  </si>
  <si>
    <t>Эффективные приемы сепарации зерна..: Моногр./ Т.А.Клевцова - М.:НИЦ ИНФРА-М,2027 - 158 с.(Науч.мысль)(п)</t>
  </si>
  <si>
    <t>ЭФФЕКТИВНЫЕ ПРИЕМЫ СЕПАРАЦИИ ЗЕРНА ПРИ ПРОИЗВОДСТВЕ КОМБИКОРМОВ, ИЗД.1</t>
  </si>
  <si>
    <t>Клевцова Т.А.</t>
  </si>
  <si>
    <t>978-5-16-019791-3</t>
  </si>
  <si>
    <t>19.04.01</t>
  </si>
  <si>
    <t>433750.06.01</t>
  </si>
  <si>
    <t>Эффективный аутсорсинг. Уч.пос. / Н.П.Родинова - 2 изд.-М.:ИЦ РИОР, НИЦ ИНФРА-М,2024.-126 с.(ВО)(О)</t>
  </si>
  <si>
    <t>ЭФФЕКТИВНЫЙ АУТСОРСИНГ, ИЗД.2</t>
  </si>
  <si>
    <t>Родинова Н.П., Березняковский В.С., Остроухов В.М. и др.</t>
  </si>
  <si>
    <t>978-5-369-01855-2</t>
  </si>
  <si>
    <t>433750.02.01</t>
  </si>
  <si>
    <t>Эффективный аутсорсинг:Мех. принятия упр.реш.:Моногр./И.В.Петрова-М:ИЦ РИОР:НИЦ ИНФРА-М,2017-108с(о)</t>
  </si>
  <si>
    <t>ЭФФЕКТИВНЫЙ АУТСОРСИНГ: МЕХАНИЗМ ПРИНЯТИЯ УПРАВЛЕНЧЕСКИХ РЕШЕНИЙ, ИЗД.1</t>
  </si>
  <si>
    <t>Петрова И. В.</t>
  </si>
  <si>
    <t>978-5-369-01197-3</t>
  </si>
  <si>
    <t>660681.07.01</t>
  </si>
  <si>
    <t>Эффективный менеджмент организации: Уч.пос. / А.П.Егоршин - М.:НИЦ ИНФРА-М,2023 - 388 с.(ВО)(П)</t>
  </si>
  <si>
    <t>ЭФФЕКТИВНЫЙ МЕНЕДЖМЕНТ ОРГАНИЗАЦИИ, ИЗД.1</t>
  </si>
  <si>
    <t>978-5-16-013498-7</t>
  </si>
  <si>
    <t>Рекомендовано Министерством образования и науки Российской Федерации в качестве учебного пособия для системы повышения квалификации и переподготовки кадров. Рекомендовано в качестве учебного пособия для студентов высших учебных заведений, обучающихся по направлениям подготовки 38.04.02 «Менеджмент», 38.04.03 «Управление персоналом», 38.04.01 «Экономика» (квалификация (степень) «магистр»)</t>
  </si>
  <si>
    <t>851899.01.01</t>
  </si>
  <si>
    <t>Эффективный руководитель: готовые реш...: Науч.-прак. пос. / Р.А.Исаев-М.:НИЦ ИНФРА-М,2025.-170 с.(о)</t>
  </si>
  <si>
    <t>ЭФФЕКТИВНЫЙ РУКОВОДИТЕЛЬ: ГОТОВЫЕ РЕШЕНИЯ И ПРАКТИКИ УПРАВЛЕНИЯ, ИЗД.1</t>
  </si>
  <si>
    <t>978-5-16-020780-3</t>
  </si>
  <si>
    <t>667743.06.01</t>
  </si>
  <si>
    <t>Ю.В. Бондарев: творческая эволюция писателя: Моногр. / Л.С.Шкурат - 2 изд. - М.:НИЦ ИНФРА-М,2026-252 с.(П)</t>
  </si>
  <si>
    <t>Ю.В. БОНДАРЕВ: ТВОРЧЕСКАЯ ЭВОЛЮЦИЯ ПИСАТЕЛЯ, ИЗД.2</t>
  </si>
  <si>
    <t>Шкурат Л.С.</t>
  </si>
  <si>
    <t>978-5-16-013289-1</t>
  </si>
  <si>
    <t>667743.05.01</t>
  </si>
  <si>
    <t>Ю.В. Бондарев: творческая эволюция писателя: Моногр. / Л.С.Шкурат, - 2 изд. - М.:НИЦ ИНФРА-М,2026. - 252 с.(о)</t>
  </si>
  <si>
    <t>978-5-16-021604-1</t>
  </si>
  <si>
    <t>870560.01.01</t>
  </si>
  <si>
    <t>Ювелирное искусство Древней Руси. Традиции мастерства: Уч.пос. / В.Н.Корсунь - М.:НИЦ ИНФРА-М,2026. - 253 с.(п)</t>
  </si>
  <si>
    <t>ЮВЕЛИРНОЕ ИСКУССТВО ДРЕВНЕЙ РУСИ. ТРАДИЦИИ МАСТЕРСТВА, ИЗД.1</t>
  </si>
  <si>
    <t>Корсунь В.Н.</t>
  </si>
  <si>
    <t>978-5-16-021971-4</t>
  </si>
  <si>
    <t>21.05.02, 29.03.04, 38.05.02</t>
  </si>
  <si>
    <t>403300.04.01</t>
  </si>
  <si>
    <t>Ювелирное искусство Древней Руси...: Уч. пос. / В.Н.Корсунь - М.: ,2026 - 253 с.:цв.ил.(п)</t>
  </si>
  <si>
    <t>978-5-16-021646-1</t>
  </si>
  <si>
    <t>50.03.03, 50.03.04, 50.04.03, 50.04.04, 54.02.02</t>
  </si>
  <si>
    <t>767829.03.01</t>
  </si>
  <si>
    <t>Южнофранцузская готика: Моногр. / И.И.Орлов - М.:НИЦ ИНФРА-М,2026. - 426 с.(Науч.мысль)(П)</t>
  </si>
  <si>
    <t>ЮЖНОФРАНЦУЗСКАЯ ГОТИКА, ИЗД.1</t>
  </si>
  <si>
    <t>978-5-16-017331-3</t>
  </si>
  <si>
    <t>07.04.01, 07.06.01</t>
  </si>
  <si>
    <t>645470.06.01</t>
  </si>
  <si>
    <t>Юридическая диалогика: Уч.пос. / Н.А.Абрамова - М.:Юр.Норма, НИЦ ИНФРА-М,2026 - 192 с.(П)</t>
  </si>
  <si>
    <t>ЮРИДИЧЕСКАЯ ДИАЛОГИКА, ИЗД.1</t>
  </si>
  <si>
    <t>Абрамова Н.А.</t>
  </si>
  <si>
    <t>978-5-91768-782-7</t>
  </si>
  <si>
    <t>775243.04.01</t>
  </si>
  <si>
    <t>Юридическая конфликтология: теория и ..: Уч.пос. / Марченко М.Н. - М.:Юр.Норма, НИЦ ИНФРА-М,2026 - 296 с.(П)</t>
  </si>
  <si>
    <t>ЮРИДИЧЕСКАЯ КОНФЛИКТОЛОГИЯ: ТЕОРИЯ И МЕТОДОЛОГИЯ ИССЛЕДОВАНИЯ, ИЗД.1</t>
  </si>
  <si>
    <t>Марченко М.Н., Куксин И.Н., Дерябина Е.М. и др.</t>
  </si>
  <si>
    <t>978-5-00156-231-3</t>
  </si>
  <si>
    <t>37.03.02, 40.03.01, 40.04.01, 40.05.01, 40.05.02, 40.05.03, 40.05.04</t>
  </si>
  <si>
    <t>356800.13.01</t>
  </si>
  <si>
    <t>Юридическая конфликтология: Уч.пос. / М.Ш.Гунибский - М.:Юр.Норма, НИЦ ИНФРА-М,2027.- 176 с.(о)</t>
  </si>
  <si>
    <t>ЮРИДИЧЕСКАЯ КОНФЛИКТОЛОГИЯ, ИЗД.1</t>
  </si>
  <si>
    <t>Гунибский М.Ш.</t>
  </si>
  <si>
    <t>978-5-91768-613-4</t>
  </si>
  <si>
    <t>37.03.02, 38.03.03, 40.03.01, 40.04.01, 40.05.01, 40.05.02, 40.05.03, 40.05.04, 44.03.05</t>
  </si>
  <si>
    <t>757873.02.01</t>
  </si>
  <si>
    <t>Юридическая отв. в правовой сис. России: Моногр. / А.В.Малько - М.:ИЦ РИОР, НИЦ ИНФРА-М,2022-590 с.(Науч.мысль)(П)</t>
  </si>
  <si>
    <t>ЮРИДИЧЕСКАЯ ОТВЕТСТВЕННОСТЬ В ПРАВОВОЙ СИСТЕМЕ РОССИИ, ИЗД.1</t>
  </si>
  <si>
    <t>Липинский Д.А., Макарейко Н.В., Станкин А.Н. и др.</t>
  </si>
  <si>
    <t>978-5-369-01891-0</t>
  </si>
  <si>
    <t>775334.01.01</t>
  </si>
  <si>
    <t>Юридическая отв. в правовой системе России / Под ред. Малько А.В. - М.:ИЦ РИОР, НИЦ ИНФРА-М,2022-263 с.(П)</t>
  </si>
  <si>
    <t>Липинский Д.А., Малько А.В., Мусаткина А.А. и др.</t>
  </si>
  <si>
    <t>978-5-369-01905-4</t>
  </si>
  <si>
    <t>444350.04.01</t>
  </si>
  <si>
    <t>Юридическая ответствен., санкции..:Моногр./Д.А.Липинский-М:ИЦ РИОР,НИЦ ИНФРА-М,2021-139с(Науч.мысль)</t>
  </si>
  <si>
    <t>ЮРИДИЧЕСКАЯ ОТВЕТСТВЕННОСТЬ, САНКЦИИ И МЕРЫ ЗАЩИТЫ, ИЗД.1</t>
  </si>
  <si>
    <t>Липинский Д. А., Мусаткина А. А.</t>
  </si>
  <si>
    <t>978-5-369-01226-0</t>
  </si>
  <si>
    <t>088650.16.01</t>
  </si>
  <si>
    <t>Юридическая педагогика: Уч. / К.М.Левитан - 2 изд. - М.:Юр.Норма,НИЦ ИНФРА-М,2026 - 416 с.(П)</t>
  </si>
  <si>
    <t>ЮРИДИЧЕСКАЯ ПЕДАГОГИКА, ИЗД.2</t>
  </si>
  <si>
    <t>Левитан К. М.</t>
  </si>
  <si>
    <t>978-5-91768-623-3</t>
  </si>
  <si>
    <t>Допущено Учебно-методическим советом по образованию в области юриспруденции Уральского федерального округа на базе федерального государственного бюджетного образовательного учреждения высшего образования "Уральский государственный юридический университет" в качестве учебника для студентов вузов, обучающихся по направлению "Юриспруденция"</t>
  </si>
  <si>
    <t>059800.19.01</t>
  </si>
  <si>
    <t>Юридическая психология....: Уч. /М.И.Еникеев - 2 изд., - М.:Юр.Норма, НИЦ ИНФРА-М,2026. - 640 с.(П)</t>
  </si>
  <si>
    <t>ЮРИДИЧЕСКАЯ ПСИХОЛОГИЯ. С ОСНОВАМИ ОБЩЕЙ И СОЦИАЛЬНОЙ ПСИХОЛОГИИ, ИЗД.2</t>
  </si>
  <si>
    <t>978-5-91768-251-8</t>
  </si>
  <si>
    <t>031750.15.01</t>
  </si>
  <si>
    <t>Юридическая психология: Краткий учеб. курс / М.И. Еникеев. - М.: НОРМА: ИНФРА-М, 2026. - 256 с.(о)</t>
  </si>
  <si>
    <t>ЮРИДИЧЕСКАЯ ПСИХОЛОГИЯ, ИЗД.1</t>
  </si>
  <si>
    <t>978-5-89123-550-2</t>
  </si>
  <si>
    <t>40.02.02, 40.03.01, 40.04.01, 44.03.05</t>
  </si>
  <si>
    <t>017945.23.01</t>
  </si>
  <si>
    <t>Юридическая психология: Уч. / М.И.Еникеев - М.:Юр. НОРМА, НИЦ ИНФРА-М,2026 - 512 с.(п)</t>
  </si>
  <si>
    <t>978-5-91768-387-4</t>
  </si>
  <si>
    <t>37.03.01, 37.05.01, 37.05.02, 40.03.01, 40.04.01, 44.03.02, 44.03.05, 44.05.01</t>
  </si>
  <si>
    <t>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"Юриспруденция"</t>
  </si>
  <si>
    <t>148950.10.01</t>
  </si>
  <si>
    <t>Юридическая психология: Уч. пос. / Е.Ю. Николаева, М.Ю. Плетнев. - М.: ИЦ РИОР, 2023-94с. (о) к/ф</t>
  </si>
  <si>
    <t>Николаева Е. Ю., Плетнев М. Ю.</t>
  </si>
  <si>
    <t>978-5-369-00621-4</t>
  </si>
  <si>
    <t>Консалтинговая фирма "Verona-Ltd"</t>
  </si>
  <si>
    <t>176650.08.01</t>
  </si>
  <si>
    <t>Юридическая психология: Уч. пос. / И.В. Хамидова. - М.: ИЦ РИОР: НИЦ Инфра-М, 2025 - 176 с. (ВО) (п)</t>
  </si>
  <si>
    <t>Хамидова И. В.</t>
  </si>
  <si>
    <t>978-5-369-01043-3</t>
  </si>
  <si>
    <t>Московский университет Министерства внутренних дел Российской Федерации им. В.Я. Кикотя,  Московский областной ф-л</t>
  </si>
  <si>
    <t>648909.10.01</t>
  </si>
  <si>
    <t>Юридическая психология: Уч. пос. / Т.В.Мальцева - М.:ИЦ РИОР, НИЦ ИНФРА-М,2026 - 147 с.-(ВО)(о)</t>
  </si>
  <si>
    <t>978-5-369-01679-4</t>
  </si>
  <si>
    <t>633579.06.01</t>
  </si>
  <si>
    <t>Юридическая психология: Уч.пос. / А.М.Шевченко - М.:ИЦ РИОР,НИЦ ИНФРА-М,2025 - 270 с.(ВО:Бакалавр.)(П)</t>
  </si>
  <si>
    <t>Шевченко А.М., Самыгин С.И.</t>
  </si>
  <si>
    <t>978-5-369-01581-0</t>
  </si>
  <si>
    <t>294400.05.01</t>
  </si>
  <si>
    <t>Юридическая риторика: Уч. / Л.А.Брусенская и др. - М.:Юр.Норма, НИЦ ИНФРА-М,2019-288с.(О)</t>
  </si>
  <si>
    <t>ЮРИДИЧЕСКАЯ РИТОРИКА, ИЗД.1</t>
  </si>
  <si>
    <t>Брусенская Л. А., Куликова Э. Г., Беляева И. В.</t>
  </si>
  <si>
    <t>978-5-91768-520-5</t>
  </si>
  <si>
    <t>Допущено Учебно-методическим объединением по юридическому образованию вузов РФ в качестве учебника для студентов, обучающихся по специальности и направлению подготовки "Юриспруденция"</t>
  </si>
  <si>
    <t>294400.15.01</t>
  </si>
  <si>
    <t>Юридическая риторика: Уч. / Л.А.Брусенская и др. - М.:Юр.Норма, НИЦ ИНФРА-М,2026 - 288 с.(П)</t>
  </si>
  <si>
    <t>978-5-91768-605-9</t>
  </si>
  <si>
    <t>019399.26.01</t>
  </si>
  <si>
    <t>Юридическая этика: Уч. / П.А.Кобликов - 3 изд. - М.:Юр.Норма, НИЦ ИНФРА-М,2026 - 176 с.(О)</t>
  </si>
  <si>
    <t>ЮРИДИЧЕСКАЯ ЭТИКА, ИЗД.3</t>
  </si>
  <si>
    <t>Кобликов П.А.</t>
  </si>
  <si>
    <t>978-5-91768-261-7</t>
  </si>
  <si>
    <t>652383.06.01</t>
  </si>
  <si>
    <t>Юридические лица в рос. гражд. праве: Моногр.: В 3 т.Т.2 / А.А.Аюрова. - М.:НИЦ ИНФРА-М,2027 - 352 с.(п)</t>
  </si>
  <si>
    <t>ЮРИДИЧЕСКИЕ ЛИЦА В РОССИЙСКОМ ГРАЖДАНСКОМ ПРАВЕ, Т.2</t>
  </si>
  <si>
    <t>Аюрова А.А., Беляева О.А., Вильданова М.М. и др.</t>
  </si>
  <si>
    <t>978-5-16-011814-7</t>
  </si>
  <si>
    <t>652388.06.01</t>
  </si>
  <si>
    <t>Юридические лица в рос. гражд. праве: Моногр.: В 3 т.Т.3 / А.В.Габов - М.:НИЦ ИНФРА-М,2026 - 280 с.(П)</t>
  </si>
  <si>
    <t>ЮРИДИЧЕСКИЕ ЛИЦА В РОССИЙСКОМ ГРАЖДАНСКОМ ПРАВЕ, Т.3</t>
  </si>
  <si>
    <t>Габов А.В., Гасников К.Д., Емельянцев В.П. и др.</t>
  </si>
  <si>
    <t>978-5-16-011815-4</t>
  </si>
  <si>
    <t>652378.05.01</t>
  </si>
  <si>
    <t>Юридические лица в рос.гражд.праве: Моногр.: В 3т.Т.1 / А.В.Габов -НИЦ ИНФРА-М,2025-384с.(ИЗиСП)(п)</t>
  </si>
  <si>
    <t>ЮРИДИЧЕСКИЕ ЛИЦА В РОССИЙСКОМ ГРАЖДАНСКОМ ПРАВЕ, Т.1</t>
  </si>
  <si>
    <t>Габов А.В., Гутников  О.В., Доронина Н.Г. и др.</t>
  </si>
  <si>
    <t>978-5-16-011513-9</t>
  </si>
  <si>
    <t>646031.10.01</t>
  </si>
  <si>
    <t>Юридические факты в советском праве / В.Б.Исаков - М.:Юр.Норма,НИЦ ИНФРА-М,2026 - 144 с.(П)</t>
  </si>
  <si>
    <t>ЮРИДИЧЕСКИЕ ФАКТЫ В СОВЕТСКОМ ПРАВЕ, ИЗД.1</t>
  </si>
  <si>
    <t>978-5-91768-792-6</t>
  </si>
  <si>
    <t>673550.03.01</t>
  </si>
  <si>
    <t>Юридический конфликт: Монография / О.А.Акопян и др.-М.:НИЦ ИНФРА-М,2019.-312 с..-(ИЗиСП)(П)</t>
  </si>
  <si>
    <t>ЮРИДИЧЕСКИЙ КОНФЛИКТ, ИЗД.1</t>
  </si>
  <si>
    <t>Акопян О.А., Бальхаева С.Б., Головина А.А. и др.</t>
  </si>
  <si>
    <t>978-5-16-013468-0</t>
  </si>
  <si>
    <t>083150.10.01</t>
  </si>
  <si>
    <t>Юридическое лицо публичного права: Моногр. / В.Е.Чиркин - М.:НОРМА,2025 - 352 с.(П)</t>
  </si>
  <si>
    <t>ЮРИДИЧЕСКОЕ ЛИЦО ПУБЛИЧНОГО ПРАВА, ИЗД.1</t>
  </si>
  <si>
    <t>978-5-00156-447-8</t>
  </si>
  <si>
    <t>764217.02.01</t>
  </si>
  <si>
    <t>Юридическое обр. в России и за рубежом: Моногр. / Т.Бочаров - М.:Юр. НОРМА, НИЦ ИНФРА-М,2022-232 с.(О)</t>
  </si>
  <si>
    <t>ЮРИДИЧЕСКОЕ ОБРАЗОВАНИЕ В РОССИИ И ЗА РУБЕЖОМ: МЕЖДУ УНИВЕРСИТЕТОМ, ПРОФЕССИЕЙ, ГОСУДАРСТВОМ И РЫНКОМ, ИЗД.1</t>
  </si>
  <si>
    <t>Бочаров Т., Дмитриева А.</t>
  </si>
  <si>
    <t>978-5-00156-192-7</t>
  </si>
  <si>
    <t>106200.10.01</t>
  </si>
  <si>
    <t>Юристу о нормах правописания: Практ.пос. / Н.Н.Ивакина - М.: Юр.Норма, НИЦ ИНФРА-М,2025 - 288 с.(П)</t>
  </si>
  <si>
    <t>ЮРИСТУ О НОРМАХ ПРАВОПИСАНИЯ, ИЗД.1</t>
  </si>
  <si>
    <t>978-5-91768-357-7</t>
  </si>
  <si>
    <t>634734.11.01</t>
  </si>
  <si>
    <t>Язык деловых межкультурных коммун.: Уч. / Под ред. Черкашиной Т.Т. - М.:НИЦ ИНФРА-М,2025 - 368 с.(ВО)(п)</t>
  </si>
  <si>
    <t>ЯЗЫК ДЕЛОВЫХ МЕЖКУЛЬТУРНЫХ КОММУНИКАЦИЙ, ИЗД.1</t>
  </si>
  <si>
    <t>Черкашина Т.Т.</t>
  </si>
  <si>
    <t>978-5-16-019207-9</t>
  </si>
  <si>
    <t>37.03.01, 38.03.01, 38.03.02, 38.03.03, 38.04.01, 38.04.02, 38.04.03, 41.03.04, 41.03.06, 41.04.04, 42.03.01, 42.03.02, 42.04.01, 42.04.02, 44.03.05, 45.03.01, 45.05.01, 51.03.01, 51.03.02</t>
  </si>
  <si>
    <t>Рекомендовано в качестве учебника для студентов высших учебных заведений, обучающихся по направлениям подготовки 38.03.01 «Экономика», 38.03.02 «Менеджмент», 38.03.03 «Управление персоналом», 42.03.01 «Реклама и связи с общественностью»  (квалификация (степень) «бакалавр»)</t>
  </si>
  <si>
    <t>684156.06.01</t>
  </si>
  <si>
    <t>Язык и среда программирования R: Уч.пос. / А.В.Золотарюк - М.:НИЦ ИНФРА-М,2026 - 162 с.(ВО)(О)</t>
  </si>
  <si>
    <t>ЯЗЫК И СРЕДА ПРОГРАММИРОВАНИЯ R, ИЗД.1</t>
  </si>
  <si>
    <t>Золотарюк А.В.</t>
  </si>
  <si>
    <t>978-5-16-018723-5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</si>
  <si>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01.03.02 «Прикладная математика и информатика», 09.03.03 «Прикладная информатика», 38.03.01 «Экономика», 38.03.02 «Менеджмент» (квалификация (степень) «бакалавр»)</t>
  </si>
  <si>
    <t>766164.04.01</t>
  </si>
  <si>
    <t>Язык настроения: Моногр. / В.К.Харченко - М.:НИЦ ИНФРА-М,2027 - 231 с.(Науч.мысль)(О)</t>
  </si>
  <si>
    <t>ЯЗЫК НАСТРОЕНИЯ, ИЗД.1</t>
  </si>
  <si>
    <t>978-5-16-017224-8</t>
  </si>
  <si>
    <t>45.03.99, 45.04.01, 45.04.02, 45.04.03, 45.06.01, 51.03.02, 51.06.01, 52.05.04</t>
  </si>
  <si>
    <t>661930.10.01</t>
  </si>
  <si>
    <t>Язык права: Моногр. / Н.А.Власенко - М.:Юр.Норма, НИЦ ИНФРА-М,2026 - 176 с.(П)</t>
  </si>
  <si>
    <t>ЯЗЫК ПРАВА, ИЗД.1</t>
  </si>
  <si>
    <t>978-5-91768-885-5</t>
  </si>
  <si>
    <t>661930.03.01</t>
  </si>
  <si>
    <t>Язык права: Монография / Н.А.Власенко - М.:Юр.Норма, НИЦ ИНФРА-М,2018 - 176 с.(О)</t>
  </si>
  <si>
    <t>681551.10.01</t>
  </si>
  <si>
    <t>Язык программирования Python: прак.: Уч.пос. / Р.А.Жуков - М.:НИЦ ИНФРА-М,2026 - 216 с.(ВО)(П)</t>
  </si>
  <si>
    <t>ЯЗЫК ПРОГРАММИРОВАНИЯ PYTHON: ПРАКТИКУМ, ИЗД.1</t>
  </si>
  <si>
    <t>978-5-16-018516-3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</si>
  <si>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38.03.05 «Бизнес-информатика» (квалификация (степень) «бакалавр») (протокол № 6 от 25.03.2019)</t>
  </si>
  <si>
    <t>719488.10.01</t>
  </si>
  <si>
    <t>Язык программирования Python: практикум: Уч.пос. / Р.А.Жуков - М.:НИЦ ИНФРА-М,2027 - 216 с.(СПО)(П)</t>
  </si>
  <si>
    <t>ЯЗЫК ПРОГРАММИРОВАНИЯ PYTHON. ПРАКТИКУМ, ИЗД.1</t>
  </si>
  <si>
    <t>978-5-16-015638-5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</si>
  <si>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09.02.00 «Информатика и вычислительная техника», 38.02.00 «Экономика и управление» (протокол № 12 от 24.06.2019)</t>
  </si>
  <si>
    <t>794806.02.01</t>
  </si>
  <si>
    <t>Язык рук. социальной группы или «Танцы под дождем».: Моногр. / В.К.Харченко - М.:НИЦ ИНФРА-М,2026. - 157 с.(о)</t>
  </si>
  <si>
    <t>ЯЗЫК РУКОВОДИТЕЛЯ СОЦИАЛЬНОЙ ГРУППЫ, ИЛИ «ТАНЦЫ ПОД ДОЖДЕМ»., ИЗД.1</t>
  </si>
  <si>
    <t>978-5-16-018106-6</t>
  </si>
  <si>
    <t>37.04.01, 37.04.02, 37.05.02, 39.04.01, 39.04.03, 39.06.01, 42.04.02, 42.06.01, 45.04.01, 45.06.01</t>
  </si>
  <si>
    <t>279800.10.01</t>
  </si>
  <si>
    <t>Язык Си: кратко и ясно: Уч.пос. / Д.В.Парфенов - М.:НИЦ ИНФРА-М,2026 - 320 с.(ВО)(п)</t>
  </si>
  <si>
    <t>ЯЗЫК СИ: КРАТКО И ЯСНО, ИЗД.1</t>
  </si>
  <si>
    <t>Парфенов Д. В.</t>
  </si>
  <si>
    <t>978-5-16-019382-3</t>
  </si>
  <si>
    <t>01.03.02, 02.03.02, 03.03.02, 09.03.01, 09.03.02, 09.03.03, 09.03.04</t>
  </si>
  <si>
    <t>Допущено УМО по классическому образованию в качестве учебного пособия для студентов высших учебных заведений, обучающихся по направлениям подготовки 01.03.02 «Прикладная математика и информатика» и 02.03.02 «Фундаментальная информатика и информационные технологии»</t>
  </si>
  <si>
    <t>728274.05.01</t>
  </si>
  <si>
    <t>Язык. Речевая деят. Дискурс: Моногр. / В.М.Бурунский - М.:НИЦ ИНФРА-М,2026 - 164 с.(Науч.мысль)(О)</t>
  </si>
  <si>
    <t>ЯЗЫК. РЕЧЕВАЯ ДЕЯТЕЛЬНОСТЬ. ДИСКУРС, ИЗД.1</t>
  </si>
  <si>
    <t>Бурунский В.М., Гвоздев В.В., Девицкая З.Б. и др.</t>
  </si>
  <si>
    <t>978-5-16-015933-1</t>
  </si>
  <si>
    <t>788692.03.01</t>
  </si>
  <si>
    <t>Язык: жизнь смыслов vs  смысл жизни: Моногр. / Е.В.Белоглазова - М.:НИЦ ИНФРА-М,2026. - 292 с.(Науч.мысль)(п)</t>
  </si>
  <si>
    <t>ЯЗЫК: ЖИЗНЬ СМЫСЛОВ VS СМЫСЛ ЖИЗНИ, ИЗД.1</t>
  </si>
  <si>
    <t>Белоглазова Е.В., Бобырева Е.В., Боженкова Н.А. и др.</t>
  </si>
  <si>
    <t>978-5-16-018258-2</t>
  </si>
  <si>
    <t>39.04.01, 39.06.01, 45.04.01, 45.04.02, 51.04.01, 51.06.01</t>
  </si>
  <si>
    <t>088400.16.01</t>
  </si>
  <si>
    <t>Языки программирования: Уч.пос. / О.Л.Голицына и др. - 3 изд. - М: НИЦ ИНФРА-М,2026. - 399 с.(СПО)(П)</t>
  </si>
  <si>
    <t>ЯЗЫКИ ПРОГРАММИРОВАНИЯ, ИЗД.3</t>
  </si>
  <si>
    <t>978-5-16-021693-5</t>
  </si>
  <si>
    <t>09.02.03</t>
  </si>
  <si>
    <t>260200.11.01</t>
  </si>
  <si>
    <t>Языковая вариативность англ. яз. Великобритании, США...: Моногр./ Ж.Багана -М.:НИЦ ИНФРА-М,2023-124 с.(Науч.мысль)(о)</t>
  </si>
  <si>
    <t>ЯЗЫКОВАЯ ВАРИАТИВНОСТЬ АНГЛИЙСКОГО ЯЗЫКА ВЕЛИКОБРИТАНИИ, США И КАНАДЫ, ИЗД.1</t>
  </si>
  <si>
    <t>Багана Ж., Безрукая А. Н., Таранова Е. Н.</t>
  </si>
  <si>
    <t>978-5-16-009502-8</t>
  </si>
  <si>
    <t>842819.01.01</t>
  </si>
  <si>
    <t>Языковые идеологии и американский языковой империализм / М.А.Марусенко - М.:НИЦ ИНФРА-М,2025. - 240 с.(п)</t>
  </si>
  <si>
    <t>ЯЗЫКОВЫЕ ИДЕОЛОГИИ И АМЕРИКАНСКИЙ ЯЗЫКОВОЙ ИМПЕРИАЛИЗМ, ИЗД.1</t>
  </si>
  <si>
    <t>978-5-16-020391-1</t>
  </si>
  <si>
    <t>45.04.01, 45.04.02, 45.06.01</t>
  </si>
  <si>
    <t>818462.02.01</t>
  </si>
  <si>
    <t>Языковые средства создания информац. технологий..: Моногр. / Новосельцев В.И. - М .:НИЦ ИНФРА-М,2026. - 245 с.(о)</t>
  </si>
  <si>
    <t>ЯЗЫКОВЫЕ СРЕДСТВА СОЗДАНИЯ ИНФОРМАЦИОННЫХ ТЕХНОЛОГИЙ ИНТЕЛЛЕКТУАЛЬНОЙ ПОДДЕРЖКИ ПРИНЯТИЯ РЕШЕНИЙ, ИЗД.1</t>
  </si>
  <si>
    <t>978-5-16-019567-4</t>
  </si>
  <si>
    <t>10.04.01, 10.05.01, 10.05.03, 10.05.04, 10.05.05, 10.06.01</t>
  </si>
  <si>
    <t>677008.01.01</t>
  </si>
  <si>
    <t>Ярмарки Тульской губернии в XIX - начале ХХ в.: Моногр./ С.Е.Бочарова-М.:НИЦ ИНФРА-М,2019-216с(П)</t>
  </si>
  <si>
    <t>ЯРМАРКИ ТУЛЬСКОЙ ГУБЕРНИИ В XIX - НАЧАЛЕ ХХ ВЕКА, ИЗД.1</t>
  </si>
  <si>
    <t>Бочарова С.Е.</t>
  </si>
  <si>
    <t>978-5-16-013754-4</t>
  </si>
  <si>
    <t>Детская школа искусств № 1, г. Донской Тульской обл.</t>
  </si>
  <si>
    <t>677008.02.01</t>
  </si>
  <si>
    <t>Ярмарки Тульской губернии в XIX - начале ХХ века: Моногр./ С.Е.Бочарова - М.:НИЦ ИНФРА-М,2026. - 216 с.(о)</t>
  </si>
  <si>
    <t>978-5-16-021599-0</t>
  </si>
  <si>
    <t>цена, ВОЗМОЖНО ИЗМЕНЕНИЕ ЦЕНЫ</t>
  </si>
  <si>
    <t>594802010X</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</si>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</sst>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quot;₽&quot;;General"/>
  </numFmts>
  <fonts count="10" x14ac:knownFonts="1">
    <font>
      <sz val="8"/>
      <name val="Arial"/>
    </font>
    <font>
      <b/>
      <sz val="11"/>
      <color rgb="FF000000"/>
      <name val="Calibri"/>
      <family val="2"/>
      <charset val="204"/>
    </font>
    <font>
      <b/>
      <sz val="16"/>
      <color rgb="FF000000"/>
      <name val="Calibri"/>
      <family val="2"/>
      <charset val="204"/>
    </font>
    <font>
      <b/>
      <u/>
      <sz val="11"/>
      <color rgb="FF000000"/>
      <name val="Calibri"/>
      <family val="2"/>
      <charset val="204"/>
    </font>
    <font>
      <sz val="11"/>
      <color rgb="FF000000"/>
      <name val="Calibri"/>
      <family val="2"/>
      <charset val="204"/>
    </font>
    <font>
      <u/>
      <sz val="11"/>
      <color rgb="FF0000FF"/>
      <name val="Calibri"/>
      <family val="2"/>
      <charset val="204"/>
    </font>
    <font>
      <sz val="8"/>
      <color rgb="FF000000"/>
      <name val="Arial"/>
      <family val="2"/>
      <charset val="204"/>
    </font>
    <font>
      <b/>
      <sz val="8"/>
      <color rgb="FF000000"/>
      <name val="Arial"/>
      <family val="2"/>
      <charset val="204"/>
    </font>
    <font>
      <u/>
      <sz val="8"/>
      <color rgb="FF0000FF"/>
      <name val="Calibri"/>
      <family val="2"/>
      <charset val="204"/>
    </font>
    <font>
      <u/>
      <sz val="8"/>
      <color theme="10"/>
      <name val="Arial"/>
      <family val="2"/>
      <charset val="204"/>
    </font>
  </fonts>
  <fills count="3">
    <fill>
      <patternFill patternType="none"/>
    </fill>
    <fill>
      <patternFill patternType="gray125"/>
    </fill>
    <fill>
      <patternFill patternType="solid">
        <fgColor rgb="FFFAFAD2"/>
        <bgColor auto="1"/>
      </patternFill>
    </fill>
  </fills>
  <borders count="5">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hair">
        <color rgb="FF000000"/>
      </left>
      <right style="hair">
        <color rgb="FF000000"/>
      </right>
      <top style="hair">
        <color rgb="FF000000"/>
      </top>
      <bottom style="hair">
        <color rgb="FF000000"/>
      </bottom>
      <diagonal/>
    </border>
  </borders>
  <cellStyleXfs count="2">
    <xf numFmtId="0" fontId="0" fillId="0" borderId="0"/>
    <xf numFmtId="0" fontId="9" fillId="0" borderId="0" applyNumberFormat="0" applyFill="0" applyBorder="0" applyAlignment="0" applyProtection="0">
      <alignment vertical="top"/>
      <protection locked="0"/>
    </xf>
  </cellStyleXfs>
  <cellXfs count="28">
    <xf numFmtId="0" fontId="0" fillId="0" borderId="0" xfId="0"/>
    <xf numFmtId="0" fontId="0" fillId="0" borderId="0" xfId="0" applyAlignment="1">
      <alignment horizontal="left" wrapText="1"/>
    </xf>
    <xf numFmtId="0" fontId="6" fillId="0" borderId="0" xfId="0" applyFont="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left" vertical="center" wrapText="1"/>
    </xf>
    <xf numFmtId="164" fontId="6" fillId="0" borderId="4" xfId="0" applyNumberFormat="1" applyFont="1" applyBorder="1" applyAlignment="1">
      <alignment horizontal="right" vertical="center" wrapText="1"/>
    </xf>
    <xf numFmtId="0" fontId="6" fillId="0" borderId="4" xfId="0" applyFont="1" applyBorder="1" applyAlignment="1">
      <alignment horizontal="center" vertical="center" wrapText="1"/>
    </xf>
    <xf numFmtId="4" fontId="7" fillId="0" borderId="4" xfId="0" applyNumberFormat="1" applyFont="1" applyBorder="1" applyAlignment="1">
      <alignment horizontal="right" vertical="center" wrapText="1"/>
    </xf>
    <xf numFmtId="0" fontId="6" fillId="0" borderId="4" xfId="0" applyFont="1" applyBorder="1" applyAlignment="1">
      <alignment horizontal="left" vertical="center" wrapText="1"/>
    </xf>
    <xf numFmtId="1" fontId="6" fillId="0" borderId="4" xfId="0" applyNumberFormat="1" applyFont="1" applyBorder="1" applyAlignment="1">
      <alignment horizontal="center" vertical="center" wrapText="1"/>
    </xf>
    <xf numFmtId="0" fontId="6" fillId="0" borderId="4" xfId="0" applyFont="1" applyBorder="1" applyAlignment="1">
      <alignment horizontal="center" vertical="top" wrapText="1"/>
    </xf>
    <xf numFmtId="0" fontId="6" fillId="0" borderId="4" xfId="0" applyFont="1" applyBorder="1" applyAlignment="1">
      <alignment horizontal="left" vertical="top" wrapText="1"/>
    </xf>
    <xf numFmtId="0" fontId="8" fillId="0" borderId="4" xfId="0" applyFont="1" applyBorder="1" applyAlignment="1">
      <alignment horizontal="center" vertical="center" wrapText="1"/>
    </xf>
    <xf numFmtId="2" fontId="7" fillId="0" borderId="4" xfId="0" applyNumberFormat="1" applyFont="1" applyBorder="1" applyAlignment="1">
      <alignment horizontal="right" vertical="center" wrapText="1"/>
    </xf>
    <xf numFmtId="164" fontId="6" fillId="0" borderId="4" xfId="0" applyNumberFormat="1" applyFont="1" applyBorder="1" applyAlignment="1">
      <alignment horizontal="center" vertical="center" wrapText="1"/>
    </xf>
    <xf numFmtId="0" fontId="9" fillId="0" borderId="4" xfId="1" applyBorder="1" applyAlignment="1" applyProtection="1">
      <alignment horizontal="center" vertical="center" wrapText="1"/>
    </xf>
    <xf numFmtId="0" fontId="1" fillId="0" borderId="1" xfId="0" applyFont="1" applyBorder="1" applyAlignment="1">
      <alignment horizontal="left" wrapText="1"/>
    </xf>
    <xf numFmtId="0" fontId="2" fillId="0" borderId="2" xfId="0" applyFont="1" applyBorder="1" applyAlignment="1">
      <alignment horizontal="center" vertical="top" wrapText="1"/>
    </xf>
    <xf numFmtId="0" fontId="2" fillId="0" borderId="0" xfId="0" applyFont="1" applyAlignment="1">
      <alignment horizontal="center" vertical="top" wrapText="1"/>
    </xf>
    <xf numFmtId="0" fontId="3" fillId="2" borderId="1" xfId="0" applyFont="1" applyFill="1" applyBorder="1" applyAlignment="1">
      <alignment horizontal="left" vertical="top" wrapText="1"/>
    </xf>
    <xf numFmtId="0" fontId="4" fillId="0" borderId="1" xfId="0" applyFont="1" applyBorder="1" applyAlignment="1">
      <alignment horizontal="left" wrapText="1"/>
    </xf>
    <xf numFmtId="0" fontId="1" fillId="2" borderId="2" xfId="0" applyFont="1" applyFill="1" applyBorder="1" applyAlignment="1">
      <alignment horizontal="left" vertical="top" wrapText="1"/>
    </xf>
    <xf numFmtId="0" fontId="1" fillId="2" borderId="0" xfId="0" applyFont="1" applyFill="1" applyAlignment="1">
      <alignment horizontal="left" vertical="top" wrapText="1"/>
    </xf>
    <xf numFmtId="0" fontId="9" fillId="0" borderId="1" xfId="1" applyBorder="1" applyAlignment="1" applyProtection="1">
      <alignment horizontal="left" wrapText="1"/>
    </xf>
    <xf numFmtId="0" fontId="5" fillId="0" borderId="1" xfId="0" applyFont="1" applyBorder="1" applyAlignment="1">
      <alignment horizontal="left" wrapText="1"/>
    </xf>
    <xf numFmtId="1" fontId="0" fillId="0" borderId="0" xfId="0" applyNumberFormat="1" applyAlignment="1">
      <alignment horizontal="left" wrapText="1"/>
    </xf>
    <xf numFmtId="1" fontId="6" fillId="0" borderId="3" xfId="0" applyNumberFormat="1" applyFont="1" applyBorder="1" applyAlignment="1">
      <alignment horizontal="center" vertical="center" wrapText="1"/>
    </xf>
    <xf numFmtId="1" fontId="6" fillId="0" borderId="4" xfId="0" applyNumberFormat="1" applyFont="1" applyBorder="1" applyAlignment="1">
      <alignment horizontal="left" vertic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C9645"/>
  <sheetViews>
    <sheetView tabSelected="1" workbookViewId="0">
      <selection activeCell="AD9" sqref="AD9"/>
    </sheetView>
  </sheetViews>
  <sheetFormatPr defaultColWidth="10.42578125" defaultRowHeight="11.4" customHeight="1" x14ac:dyDescent="0.2"/>
  <cols>
    <col min="1" max="1" width="5.85546875" style="1" customWidth="1"/>
    <col min="2" max="2" width="13.85546875" style="1" customWidth="1"/>
    <col min="3" max="3" width="16.42578125" style="1" customWidth="1"/>
    <col min="4" max="4" width="53.42578125" style="1" customWidth="1"/>
    <col min="5" max="5" width="52.7109375" style="1" customWidth="1"/>
    <col min="6" max="6" width="21" style="1" customWidth="1"/>
    <col min="7" max="7" width="13" style="1" customWidth="1"/>
    <col min="8" max="8" width="19.28515625" style="1" customWidth="1"/>
    <col min="9" max="9" width="33.7109375" style="1" customWidth="1"/>
    <col min="10" max="10" width="6.28515625" style="1" customWidth="1"/>
    <col min="11" max="11" width="8.42578125" style="1" customWidth="1"/>
    <col min="12" max="12" width="8.140625" style="1" customWidth="1"/>
    <col min="13" max="13" width="21.140625" style="1" customWidth="1"/>
    <col min="14" max="14" width="43.42578125" style="1" customWidth="1"/>
    <col min="15" max="15" width="35.42578125" style="1" customWidth="1"/>
    <col min="16" max="16" width="34" style="1" customWidth="1"/>
    <col min="17" max="17" width="38.140625" style="1" customWidth="1"/>
    <col min="18" max="19" width="10.42578125" style="1" customWidth="1"/>
    <col min="20" max="20" width="15.28515625" style="1" customWidth="1"/>
    <col min="21" max="21" width="15.140625" style="1" customWidth="1"/>
    <col min="22" max="22" width="55.85546875" style="1" customWidth="1"/>
    <col min="23" max="24" width="10.42578125" style="1" customWidth="1"/>
    <col min="25" max="25" width="14.140625" style="1" customWidth="1"/>
    <col min="26" max="27" width="10.42578125" style="1" customWidth="1"/>
    <col min="28" max="28" width="17.85546875" style="1" customWidth="1"/>
    <col min="29" max="29" width="21.140625" style="25" customWidth="1"/>
  </cols>
  <sheetData>
    <row r="1" spans="1:29" s="1" customFormat="1" ht="15" customHeight="1" x14ac:dyDescent="0.3">
      <c r="A1" s="16" t="s">
        <v>0</v>
      </c>
      <c r="B1" s="16"/>
      <c r="C1" s="16"/>
      <c r="D1" s="16"/>
      <c r="E1" s="16"/>
      <c r="F1" s="17" t="s">
        <v>1</v>
      </c>
      <c r="G1" s="17"/>
      <c r="H1" s="17"/>
      <c r="I1" s="17"/>
      <c r="J1" s="19"/>
      <c r="K1" s="19"/>
      <c r="L1" s="19"/>
      <c r="M1" s="19"/>
      <c r="N1" s="19"/>
      <c r="O1" s="19"/>
      <c r="AC1" s="25"/>
    </row>
    <row r="2" spans="1:29" s="1" customFormat="1" ht="15" customHeight="1" x14ac:dyDescent="0.3">
      <c r="A2" s="20"/>
      <c r="B2" s="20"/>
      <c r="C2" s="20"/>
      <c r="D2" s="20"/>
      <c r="E2" s="20"/>
      <c r="F2" s="18"/>
      <c r="G2" s="18"/>
      <c r="H2" s="18"/>
      <c r="I2" s="18"/>
      <c r="J2" s="21"/>
      <c r="K2" s="21"/>
      <c r="L2" s="21"/>
      <c r="M2" s="21"/>
      <c r="N2" s="21"/>
      <c r="O2" s="21"/>
      <c r="AC2" s="25"/>
    </row>
    <row r="3" spans="1:29" s="1" customFormat="1" ht="15" customHeight="1" x14ac:dyDescent="0.3">
      <c r="A3" s="20"/>
      <c r="B3" s="20"/>
      <c r="C3" s="20"/>
      <c r="D3" s="20"/>
      <c r="E3" s="20"/>
      <c r="F3" s="18"/>
      <c r="G3" s="18"/>
      <c r="H3" s="18"/>
      <c r="I3" s="18"/>
      <c r="J3" s="22"/>
      <c r="K3" s="22"/>
      <c r="L3" s="22"/>
      <c r="M3" s="22"/>
      <c r="N3" s="22"/>
      <c r="O3" s="22"/>
      <c r="AC3" s="25"/>
    </row>
    <row r="4" spans="1:29" s="1" customFormat="1" ht="15" customHeight="1" x14ac:dyDescent="0.3">
      <c r="A4" s="23"/>
      <c r="B4" s="24"/>
      <c r="C4" s="24"/>
      <c r="D4" s="24"/>
      <c r="E4" s="24"/>
      <c r="F4" s="18"/>
      <c r="G4" s="18"/>
      <c r="H4" s="18"/>
      <c r="I4" s="18"/>
      <c r="J4" s="22"/>
      <c r="K4" s="22"/>
      <c r="L4" s="22"/>
      <c r="M4" s="22"/>
      <c r="N4" s="22"/>
      <c r="O4" s="22"/>
      <c r="AC4" s="25"/>
    </row>
    <row r="5" spans="1:29" s="1" customFormat="1" ht="15" customHeight="1" x14ac:dyDescent="0.3">
      <c r="A5" s="23"/>
      <c r="B5" s="24"/>
      <c r="C5" s="24"/>
      <c r="D5" s="24"/>
      <c r="E5" s="24"/>
      <c r="F5" s="18"/>
      <c r="G5" s="18"/>
      <c r="H5" s="18"/>
      <c r="I5" s="18"/>
      <c r="J5" s="22"/>
      <c r="K5" s="22"/>
      <c r="L5" s="22"/>
      <c r="M5" s="22"/>
      <c r="N5" s="22"/>
      <c r="O5" s="22"/>
      <c r="AC5" s="25"/>
    </row>
    <row r="6" spans="1:29" s="1" customFormat="1" ht="11.1" customHeight="1" x14ac:dyDescent="0.2">
      <c r="AC6" s="25"/>
    </row>
    <row r="7" spans="1:29" s="2" customFormat="1" ht="21.9" customHeight="1" x14ac:dyDescent="0.2">
      <c r="A7" s="3" t="s">
        <v>2</v>
      </c>
      <c r="B7" s="3" t="s">
        <v>3</v>
      </c>
      <c r="C7" s="3" t="s">
        <v>53965</v>
      </c>
      <c r="D7" s="3" t="s">
        <v>4</v>
      </c>
      <c r="E7" s="3" t="s">
        <v>5</v>
      </c>
      <c r="F7" s="3" t="s">
        <v>6</v>
      </c>
      <c r="G7" s="3" t="s">
        <v>7</v>
      </c>
      <c r="H7" s="3" t="s">
        <v>8</v>
      </c>
      <c r="I7" s="3" t="s">
        <v>9</v>
      </c>
      <c r="J7" s="3" t="s">
        <v>10</v>
      </c>
      <c r="K7" s="3" t="s">
        <v>11</v>
      </c>
      <c r="L7" s="3" t="s">
        <v>12</v>
      </c>
      <c r="M7" s="3" t="s">
        <v>13</v>
      </c>
      <c r="N7" s="3" t="s">
        <v>14</v>
      </c>
      <c r="O7" s="3" t="s">
        <v>15</v>
      </c>
      <c r="P7" s="3" t="s">
        <v>16</v>
      </c>
      <c r="Q7" s="3" t="s">
        <v>17</v>
      </c>
      <c r="R7" s="3" t="s">
        <v>18</v>
      </c>
      <c r="S7" s="3" t="s">
        <v>19</v>
      </c>
      <c r="T7" s="3" t="s">
        <v>20</v>
      </c>
      <c r="U7" s="3" t="s">
        <v>21</v>
      </c>
      <c r="V7" s="3" t="s">
        <v>22</v>
      </c>
      <c r="W7" s="3" t="s">
        <v>23</v>
      </c>
      <c r="X7" s="3" t="s">
        <v>24</v>
      </c>
      <c r="Y7" s="3" t="s">
        <v>25</v>
      </c>
      <c r="Z7" s="3" t="s">
        <v>26</v>
      </c>
      <c r="AA7" s="3" t="s">
        <v>27</v>
      </c>
      <c r="AB7" s="3" t="s">
        <v>28</v>
      </c>
      <c r="AC7" s="26" t="s">
        <v>53967</v>
      </c>
    </row>
    <row r="8" spans="1:29" s="4" customFormat="1" ht="42" customHeight="1" x14ac:dyDescent="0.2">
      <c r="A8" s="5">
        <v>0</v>
      </c>
      <c r="B8" s="6" t="s">
        <v>29</v>
      </c>
      <c r="C8" s="7">
        <v>2584.8000000000002</v>
      </c>
      <c r="D8" s="8" t="s">
        <v>30</v>
      </c>
      <c r="E8" s="8" t="s">
        <v>31</v>
      </c>
      <c r="F8" s="8" t="s">
        <v>32</v>
      </c>
      <c r="G8" s="6" t="s">
        <v>33</v>
      </c>
      <c r="H8" s="6" t="s">
        <v>34</v>
      </c>
      <c r="I8" s="8" t="s">
        <v>35</v>
      </c>
      <c r="J8" s="9">
        <v>1</v>
      </c>
      <c r="K8" s="9">
        <v>391</v>
      </c>
      <c r="L8" s="9">
        <v>2026</v>
      </c>
      <c r="M8" s="8" t="s">
        <v>36</v>
      </c>
      <c r="N8" s="8" t="s">
        <v>37</v>
      </c>
      <c r="O8" s="8" t="s">
        <v>38</v>
      </c>
      <c r="P8" s="6" t="s">
        <v>39</v>
      </c>
      <c r="Q8" s="8" t="s">
        <v>40</v>
      </c>
      <c r="R8" s="10" t="s">
        <v>41</v>
      </c>
      <c r="S8" s="11"/>
      <c r="T8" s="6"/>
      <c r="U8" s="15" t="str">
        <f>HYPERLINK("https://media.infra-m.ru/2232/2232098/cover/2232098.jpg", "Обложка")</f>
        <v>Обложка</v>
      </c>
      <c r="V8" s="8" t="s">
        <v>42</v>
      </c>
      <c r="W8" s="6"/>
      <c r="X8" s="6"/>
      <c r="Y8" s="6"/>
      <c r="Z8" s="6"/>
      <c r="AA8" s="6" t="s">
        <v>43</v>
      </c>
      <c r="AB8" s="8"/>
      <c r="AC8" s="27">
        <v>9785160168005</v>
      </c>
    </row>
    <row r="9" spans="1:29" s="4" customFormat="1" ht="42" customHeight="1" x14ac:dyDescent="0.2">
      <c r="A9" s="5">
        <v>0</v>
      </c>
      <c r="B9" s="6" t="s">
        <v>44</v>
      </c>
      <c r="C9" s="7">
        <v>1100.4000000000001</v>
      </c>
      <c r="D9" s="8" t="s">
        <v>45</v>
      </c>
      <c r="E9" s="8" t="s">
        <v>46</v>
      </c>
      <c r="F9" s="8" t="s">
        <v>47</v>
      </c>
      <c r="G9" s="6" t="s">
        <v>33</v>
      </c>
      <c r="H9" s="6" t="s">
        <v>48</v>
      </c>
      <c r="I9" s="8"/>
      <c r="J9" s="9">
        <v>1</v>
      </c>
      <c r="K9" s="9">
        <v>128</v>
      </c>
      <c r="L9" s="9">
        <v>2026</v>
      </c>
      <c r="M9" s="8" t="s">
        <v>49</v>
      </c>
      <c r="N9" s="8" t="s">
        <v>37</v>
      </c>
      <c r="O9" s="8" t="s">
        <v>50</v>
      </c>
      <c r="P9" s="6" t="s">
        <v>51</v>
      </c>
      <c r="Q9" s="8" t="s">
        <v>52</v>
      </c>
      <c r="R9" s="10" t="s">
        <v>53</v>
      </c>
      <c r="S9" s="11"/>
      <c r="T9" s="6"/>
      <c r="U9" s="15" t="str">
        <f>HYPERLINK("https://media.infra-m.ru/2218/2218768/cover/2218768.jpg", "Обложка")</f>
        <v>Обложка</v>
      </c>
      <c r="V9" s="8" t="s">
        <v>54</v>
      </c>
      <c r="W9" s="6"/>
      <c r="X9" s="6"/>
      <c r="Y9" s="6"/>
      <c r="Z9" s="6"/>
      <c r="AA9" s="6" t="s">
        <v>55</v>
      </c>
      <c r="AB9" s="8"/>
      <c r="AC9" s="27">
        <v>9785911347253</v>
      </c>
    </row>
    <row r="10" spans="1:29" s="4" customFormat="1" ht="33" customHeight="1" x14ac:dyDescent="0.2">
      <c r="A10" s="5">
        <v>0</v>
      </c>
      <c r="B10" s="6" t="s">
        <v>56</v>
      </c>
      <c r="C10" s="7">
        <v>1988.4</v>
      </c>
      <c r="D10" s="8" t="s">
        <v>57</v>
      </c>
      <c r="E10" s="8" t="s">
        <v>58</v>
      </c>
      <c r="F10" s="8" t="s">
        <v>59</v>
      </c>
      <c r="G10" s="6" t="s">
        <v>60</v>
      </c>
      <c r="H10" s="6" t="s">
        <v>34</v>
      </c>
      <c r="I10" s="8" t="s">
        <v>61</v>
      </c>
      <c r="J10" s="9">
        <v>1</v>
      </c>
      <c r="K10" s="9">
        <v>213</v>
      </c>
      <c r="L10" s="9">
        <v>2026</v>
      </c>
      <c r="M10" s="8" t="s">
        <v>62</v>
      </c>
      <c r="N10" s="8" t="s">
        <v>63</v>
      </c>
      <c r="O10" s="8" t="s">
        <v>64</v>
      </c>
      <c r="P10" s="6" t="s">
        <v>51</v>
      </c>
      <c r="Q10" s="8" t="s">
        <v>65</v>
      </c>
      <c r="R10" s="10" t="s">
        <v>66</v>
      </c>
      <c r="S10" s="11"/>
      <c r="T10" s="6"/>
      <c r="U10" s="12"/>
      <c r="V10" s="8" t="s">
        <v>67</v>
      </c>
      <c r="W10" s="6"/>
      <c r="X10" s="6"/>
      <c r="Y10" s="6"/>
      <c r="Z10" s="6"/>
      <c r="AA10" s="6" t="s">
        <v>68</v>
      </c>
      <c r="AB10" s="8"/>
      <c r="AC10" s="27">
        <v>9785160206011</v>
      </c>
    </row>
    <row r="11" spans="1:29" s="4" customFormat="1" ht="44.1" customHeight="1" x14ac:dyDescent="0.2">
      <c r="A11" s="5">
        <v>0</v>
      </c>
      <c r="B11" s="6" t="s">
        <v>69</v>
      </c>
      <c r="C11" s="7">
        <v>1588.8</v>
      </c>
      <c r="D11" s="8" t="s">
        <v>70</v>
      </c>
      <c r="E11" s="8" t="s">
        <v>71</v>
      </c>
      <c r="F11" s="8" t="s">
        <v>72</v>
      </c>
      <c r="G11" s="6" t="s">
        <v>33</v>
      </c>
      <c r="H11" s="6" t="s">
        <v>34</v>
      </c>
      <c r="I11" s="8" t="s">
        <v>35</v>
      </c>
      <c r="J11" s="9">
        <v>1</v>
      </c>
      <c r="K11" s="9">
        <v>229</v>
      </c>
      <c r="L11" s="9">
        <v>2026</v>
      </c>
      <c r="M11" s="8" t="s">
        <v>73</v>
      </c>
      <c r="N11" s="8" t="s">
        <v>63</v>
      </c>
      <c r="O11" s="8" t="s">
        <v>64</v>
      </c>
      <c r="P11" s="6" t="s">
        <v>39</v>
      </c>
      <c r="Q11" s="8" t="s">
        <v>40</v>
      </c>
      <c r="R11" s="10" t="s">
        <v>74</v>
      </c>
      <c r="S11" s="11"/>
      <c r="T11" s="6"/>
      <c r="U11" s="15" t="str">
        <f>HYPERLINK("https://media.infra-m.ru/2213/2213639/cover/2213639.jpg", "Обложка")</f>
        <v>Обложка</v>
      </c>
      <c r="V11" s="8" t="s">
        <v>75</v>
      </c>
      <c r="W11" s="6"/>
      <c r="X11" s="6"/>
      <c r="Y11" s="6"/>
      <c r="Z11" s="6"/>
      <c r="AA11" s="6" t="s">
        <v>76</v>
      </c>
      <c r="AB11" s="8" t="s">
        <v>77</v>
      </c>
      <c r="AC11" s="27">
        <v>9785160196350</v>
      </c>
    </row>
    <row r="12" spans="1:29" s="4" customFormat="1" ht="44.1" customHeight="1" x14ac:dyDescent="0.2">
      <c r="A12" s="5">
        <v>0</v>
      </c>
      <c r="B12" s="6" t="s">
        <v>78</v>
      </c>
      <c r="C12" s="13">
        <v>600</v>
      </c>
      <c r="D12" s="8" t="s">
        <v>79</v>
      </c>
      <c r="E12" s="8" t="s">
        <v>80</v>
      </c>
      <c r="F12" s="8" t="s">
        <v>81</v>
      </c>
      <c r="G12" s="6" t="s">
        <v>33</v>
      </c>
      <c r="H12" s="6" t="s">
        <v>34</v>
      </c>
      <c r="I12" s="8" t="s">
        <v>35</v>
      </c>
      <c r="J12" s="9">
        <v>1</v>
      </c>
      <c r="K12" s="9">
        <v>100</v>
      </c>
      <c r="L12" s="9">
        <v>2023</v>
      </c>
      <c r="M12" s="8" t="s">
        <v>82</v>
      </c>
      <c r="N12" s="8" t="s">
        <v>37</v>
      </c>
      <c r="O12" s="8" t="s">
        <v>83</v>
      </c>
      <c r="P12" s="6" t="s">
        <v>39</v>
      </c>
      <c r="Q12" s="8" t="s">
        <v>40</v>
      </c>
      <c r="R12" s="10" t="s">
        <v>84</v>
      </c>
      <c r="S12" s="11"/>
      <c r="T12" s="6"/>
      <c r="U12" s="15" t="str">
        <f>HYPERLINK("https://media.infra-m.ru/1915/1915335/cover/1915335.jpg", "Обложка")</f>
        <v>Обложка</v>
      </c>
      <c r="V12" s="8" t="s">
        <v>85</v>
      </c>
      <c r="W12" s="6"/>
      <c r="X12" s="6"/>
      <c r="Y12" s="6"/>
      <c r="Z12" s="6"/>
      <c r="AA12" s="6" t="s">
        <v>86</v>
      </c>
      <c r="AB12" s="8"/>
      <c r="AC12" s="27">
        <v>9785160140797</v>
      </c>
    </row>
    <row r="13" spans="1:29" s="4" customFormat="1" ht="51.9" customHeight="1" x14ac:dyDescent="0.2">
      <c r="A13" s="5">
        <v>0</v>
      </c>
      <c r="B13" s="6" t="s">
        <v>87</v>
      </c>
      <c r="C13" s="7">
        <v>2868</v>
      </c>
      <c r="D13" s="8" t="s">
        <v>88</v>
      </c>
      <c r="E13" s="8" t="s">
        <v>89</v>
      </c>
      <c r="F13" s="8" t="s">
        <v>90</v>
      </c>
      <c r="G13" s="6" t="s">
        <v>60</v>
      </c>
      <c r="H13" s="6" t="s">
        <v>34</v>
      </c>
      <c r="I13" s="8" t="s">
        <v>91</v>
      </c>
      <c r="J13" s="9">
        <v>1</v>
      </c>
      <c r="K13" s="9">
        <v>509</v>
      </c>
      <c r="L13" s="9">
        <v>2024</v>
      </c>
      <c r="M13" s="8" t="s">
        <v>92</v>
      </c>
      <c r="N13" s="8" t="s">
        <v>93</v>
      </c>
      <c r="O13" s="8" t="s">
        <v>94</v>
      </c>
      <c r="P13" s="6" t="s">
        <v>95</v>
      </c>
      <c r="Q13" s="8" t="s">
        <v>40</v>
      </c>
      <c r="R13" s="10" t="s">
        <v>96</v>
      </c>
      <c r="S13" s="11"/>
      <c r="T13" s="6" t="s">
        <v>97</v>
      </c>
      <c r="U13" s="15" t="str">
        <f>HYPERLINK("https://media.infra-m.ru/2122/2122969/cover/2122969.jpg", "Обложка")</f>
        <v>Обложка</v>
      </c>
      <c r="V13" s="8" t="s">
        <v>98</v>
      </c>
      <c r="W13" s="6"/>
      <c r="X13" s="6"/>
      <c r="Y13" s="6"/>
      <c r="Z13" s="6"/>
      <c r="AA13" s="6" t="s">
        <v>99</v>
      </c>
      <c r="AB13" s="8"/>
      <c r="AC13" s="27">
        <v>9785160124124</v>
      </c>
    </row>
    <row r="14" spans="1:29" s="4" customFormat="1" ht="51.9" customHeight="1" x14ac:dyDescent="0.2">
      <c r="A14" s="5">
        <v>0</v>
      </c>
      <c r="B14" s="6" t="s">
        <v>100</v>
      </c>
      <c r="C14" s="7">
        <v>3640.8</v>
      </c>
      <c r="D14" s="8" t="s">
        <v>101</v>
      </c>
      <c r="E14" s="8" t="s">
        <v>102</v>
      </c>
      <c r="F14" s="8" t="s">
        <v>103</v>
      </c>
      <c r="G14" s="6" t="s">
        <v>60</v>
      </c>
      <c r="H14" s="6" t="s">
        <v>34</v>
      </c>
      <c r="I14" s="8" t="s">
        <v>91</v>
      </c>
      <c r="J14" s="9">
        <v>1</v>
      </c>
      <c r="K14" s="9">
        <v>523</v>
      </c>
      <c r="L14" s="9">
        <v>2027</v>
      </c>
      <c r="M14" s="8" t="s">
        <v>104</v>
      </c>
      <c r="N14" s="8" t="s">
        <v>93</v>
      </c>
      <c r="O14" s="8" t="s">
        <v>94</v>
      </c>
      <c r="P14" s="6" t="s">
        <v>105</v>
      </c>
      <c r="Q14" s="8" t="s">
        <v>40</v>
      </c>
      <c r="R14" s="10" t="s">
        <v>96</v>
      </c>
      <c r="S14" s="11"/>
      <c r="T14" s="6" t="s">
        <v>97</v>
      </c>
      <c r="U14" s="15" t="str">
        <f>HYPERLINK("https://media.infra-m.ru/2270/2270169/cover/2270169.jpg", "Обложка")</f>
        <v>Обложка</v>
      </c>
      <c r="V14" s="8" t="s">
        <v>98</v>
      </c>
      <c r="W14" s="6"/>
      <c r="X14" s="6"/>
      <c r="Y14" s="6"/>
      <c r="Z14" s="6"/>
      <c r="AA14" s="6" t="s">
        <v>106</v>
      </c>
      <c r="AB14" s="8"/>
      <c r="AC14" s="27">
        <v>9785160195612</v>
      </c>
    </row>
    <row r="15" spans="1:29" s="4" customFormat="1" ht="51.9" customHeight="1" x14ac:dyDescent="0.2">
      <c r="A15" s="5">
        <v>0</v>
      </c>
      <c r="B15" s="6" t="s">
        <v>107</v>
      </c>
      <c r="C15" s="7">
        <v>1948.8</v>
      </c>
      <c r="D15" s="8" t="s">
        <v>108</v>
      </c>
      <c r="E15" s="8" t="s">
        <v>109</v>
      </c>
      <c r="F15" s="8" t="s">
        <v>110</v>
      </c>
      <c r="G15" s="6" t="s">
        <v>33</v>
      </c>
      <c r="H15" s="6" t="s">
        <v>34</v>
      </c>
      <c r="I15" s="8" t="s">
        <v>111</v>
      </c>
      <c r="J15" s="9">
        <v>1</v>
      </c>
      <c r="K15" s="9">
        <v>311</v>
      </c>
      <c r="L15" s="9">
        <v>2025</v>
      </c>
      <c r="M15" s="8" t="s">
        <v>112</v>
      </c>
      <c r="N15" s="8" t="s">
        <v>63</v>
      </c>
      <c r="O15" s="8" t="s">
        <v>64</v>
      </c>
      <c r="P15" s="6" t="s">
        <v>39</v>
      </c>
      <c r="Q15" s="8" t="s">
        <v>40</v>
      </c>
      <c r="R15" s="10" t="s">
        <v>113</v>
      </c>
      <c r="S15" s="11"/>
      <c r="T15" s="6"/>
      <c r="U15" s="15" t="str">
        <f>HYPERLINK("https://media.infra-m.ru/2206/2206790/cover/2206790.jpg", "Обложка")</f>
        <v>Обложка</v>
      </c>
      <c r="V15" s="8" t="s">
        <v>114</v>
      </c>
      <c r="W15" s="6"/>
      <c r="X15" s="6"/>
      <c r="Y15" s="6"/>
      <c r="Z15" s="6"/>
      <c r="AA15" s="6" t="s">
        <v>115</v>
      </c>
      <c r="AB15" s="8"/>
      <c r="AC15" s="27">
        <v>9785160190723</v>
      </c>
    </row>
    <row r="16" spans="1:29" s="4" customFormat="1" ht="51.9" customHeight="1" x14ac:dyDescent="0.2">
      <c r="A16" s="5">
        <v>0</v>
      </c>
      <c r="B16" s="6" t="s">
        <v>116</v>
      </c>
      <c r="C16" s="7">
        <v>2056.8000000000002</v>
      </c>
      <c r="D16" s="8" t="s">
        <v>117</v>
      </c>
      <c r="E16" s="8" t="s">
        <v>109</v>
      </c>
      <c r="F16" s="8" t="s">
        <v>110</v>
      </c>
      <c r="G16" s="6" t="s">
        <v>118</v>
      </c>
      <c r="H16" s="6" t="s">
        <v>34</v>
      </c>
      <c r="I16" s="8" t="s">
        <v>119</v>
      </c>
      <c r="J16" s="9">
        <v>1</v>
      </c>
      <c r="K16" s="9">
        <v>311</v>
      </c>
      <c r="L16" s="9">
        <v>2026</v>
      </c>
      <c r="M16" s="8" t="s">
        <v>120</v>
      </c>
      <c r="N16" s="8" t="s">
        <v>63</v>
      </c>
      <c r="O16" s="8" t="s">
        <v>64</v>
      </c>
      <c r="P16" s="6" t="s">
        <v>39</v>
      </c>
      <c r="Q16" s="8" t="s">
        <v>40</v>
      </c>
      <c r="R16" s="10" t="s">
        <v>113</v>
      </c>
      <c r="S16" s="11"/>
      <c r="T16" s="6"/>
      <c r="U16" s="15" t="str">
        <f>HYPERLINK("https://media.infra-m.ru/2218/2218065/cover/2218065.jpg", "Обложка")</f>
        <v>Обложка</v>
      </c>
      <c r="V16" s="8" t="s">
        <v>114</v>
      </c>
      <c r="W16" s="6"/>
      <c r="X16" s="6"/>
      <c r="Y16" s="6"/>
      <c r="Z16" s="6"/>
      <c r="AA16" s="6" t="s">
        <v>115</v>
      </c>
      <c r="AB16" s="8"/>
      <c r="AC16" s="27">
        <v>9785160147741</v>
      </c>
    </row>
    <row r="17" spans="1:29" s="4" customFormat="1" ht="51.9" customHeight="1" x14ac:dyDescent="0.2">
      <c r="A17" s="5">
        <v>0</v>
      </c>
      <c r="B17" s="6" t="s">
        <v>121</v>
      </c>
      <c r="C17" s="7">
        <v>2488.8000000000002</v>
      </c>
      <c r="D17" s="8" t="s">
        <v>122</v>
      </c>
      <c r="E17" s="8" t="s">
        <v>123</v>
      </c>
      <c r="F17" s="8" t="s">
        <v>124</v>
      </c>
      <c r="G17" s="6" t="s">
        <v>118</v>
      </c>
      <c r="H17" s="6" t="s">
        <v>34</v>
      </c>
      <c r="I17" s="8" t="s">
        <v>35</v>
      </c>
      <c r="J17" s="9">
        <v>1</v>
      </c>
      <c r="K17" s="9">
        <v>382</v>
      </c>
      <c r="L17" s="9">
        <v>2026</v>
      </c>
      <c r="M17" s="8" t="s">
        <v>125</v>
      </c>
      <c r="N17" s="8" t="s">
        <v>63</v>
      </c>
      <c r="O17" s="8" t="s">
        <v>126</v>
      </c>
      <c r="P17" s="6" t="s">
        <v>39</v>
      </c>
      <c r="Q17" s="8" t="s">
        <v>40</v>
      </c>
      <c r="R17" s="10" t="s">
        <v>127</v>
      </c>
      <c r="S17" s="11"/>
      <c r="T17" s="6"/>
      <c r="U17" s="15" t="str">
        <f>HYPERLINK("https://media.infra-m.ru/2243/2243993/cover/2243993.jpg", "Обложка")</f>
        <v>Обложка</v>
      </c>
      <c r="V17" s="8" t="s">
        <v>128</v>
      </c>
      <c r="W17" s="6"/>
      <c r="X17" s="6"/>
      <c r="Y17" s="6"/>
      <c r="Z17" s="6"/>
      <c r="AA17" s="6" t="s">
        <v>129</v>
      </c>
      <c r="AB17" s="8"/>
      <c r="AC17" s="27">
        <v>9785160097534</v>
      </c>
    </row>
    <row r="18" spans="1:29" s="4" customFormat="1" ht="51.9" customHeight="1" x14ac:dyDescent="0.2">
      <c r="A18" s="5">
        <v>0</v>
      </c>
      <c r="B18" s="6" t="s">
        <v>130</v>
      </c>
      <c r="C18" s="13">
        <v>744</v>
      </c>
      <c r="D18" s="8" t="s">
        <v>131</v>
      </c>
      <c r="E18" s="8" t="s">
        <v>132</v>
      </c>
      <c r="F18" s="8" t="s">
        <v>133</v>
      </c>
      <c r="G18" s="6" t="s">
        <v>33</v>
      </c>
      <c r="H18" s="6" t="s">
        <v>134</v>
      </c>
      <c r="I18" s="8"/>
      <c r="J18" s="9">
        <v>1</v>
      </c>
      <c r="K18" s="9">
        <v>192</v>
      </c>
      <c r="L18" s="9">
        <v>2018</v>
      </c>
      <c r="M18" s="8" t="s">
        <v>135</v>
      </c>
      <c r="N18" s="8" t="s">
        <v>37</v>
      </c>
      <c r="O18" s="8" t="s">
        <v>136</v>
      </c>
      <c r="P18" s="6" t="s">
        <v>39</v>
      </c>
      <c r="Q18" s="8" t="s">
        <v>40</v>
      </c>
      <c r="R18" s="10" t="s">
        <v>137</v>
      </c>
      <c r="S18" s="11"/>
      <c r="T18" s="6"/>
      <c r="U18" s="15" t="str">
        <f>HYPERLINK("https://media.infra-m.ru/0951/0951951/cover/951951.jpg", "Обложка")</f>
        <v>Обложка</v>
      </c>
      <c r="V18" s="8" t="s">
        <v>138</v>
      </c>
      <c r="W18" s="6"/>
      <c r="X18" s="6"/>
      <c r="Y18" s="6"/>
      <c r="Z18" s="6"/>
      <c r="AA18" s="6" t="s">
        <v>86</v>
      </c>
      <c r="AB18" s="8"/>
      <c r="AC18" s="27">
        <v>9785917688800</v>
      </c>
    </row>
    <row r="19" spans="1:29" s="4" customFormat="1" ht="51.9" customHeight="1" x14ac:dyDescent="0.2">
      <c r="A19" s="5">
        <v>0</v>
      </c>
      <c r="B19" s="6" t="s">
        <v>139</v>
      </c>
      <c r="C19" s="7">
        <v>1272</v>
      </c>
      <c r="D19" s="8" t="s">
        <v>140</v>
      </c>
      <c r="E19" s="8" t="s">
        <v>132</v>
      </c>
      <c r="F19" s="8" t="s">
        <v>133</v>
      </c>
      <c r="G19" s="6" t="s">
        <v>118</v>
      </c>
      <c r="H19" s="6" t="s">
        <v>134</v>
      </c>
      <c r="I19" s="8"/>
      <c r="J19" s="9">
        <v>1</v>
      </c>
      <c r="K19" s="9">
        <v>192</v>
      </c>
      <c r="L19" s="9">
        <v>2026</v>
      </c>
      <c r="M19" s="8" t="s">
        <v>135</v>
      </c>
      <c r="N19" s="8" t="s">
        <v>37</v>
      </c>
      <c r="O19" s="8" t="s">
        <v>136</v>
      </c>
      <c r="P19" s="6" t="s">
        <v>39</v>
      </c>
      <c r="Q19" s="8" t="s">
        <v>40</v>
      </c>
      <c r="R19" s="10" t="s">
        <v>137</v>
      </c>
      <c r="S19" s="11"/>
      <c r="T19" s="6"/>
      <c r="U19" s="15" t="str">
        <f>HYPERLINK("https://media.infra-m.ru/2246/2246305/cover/2246305.jpg", "Обложка")</f>
        <v>Обложка</v>
      </c>
      <c r="V19" s="8" t="s">
        <v>138</v>
      </c>
      <c r="W19" s="6"/>
      <c r="X19" s="6"/>
      <c r="Y19" s="6"/>
      <c r="Z19" s="6"/>
      <c r="AA19" s="6" t="s">
        <v>86</v>
      </c>
      <c r="AB19" s="8"/>
      <c r="AC19" s="27">
        <v>9785917688800</v>
      </c>
    </row>
    <row r="20" spans="1:29" s="4" customFormat="1" ht="44.1" customHeight="1" x14ac:dyDescent="0.2">
      <c r="A20" s="5">
        <v>0</v>
      </c>
      <c r="B20" s="6" t="s">
        <v>141</v>
      </c>
      <c r="C20" s="7">
        <v>1644</v>
      </c>
      <c r="D20" s="8" t="s">
        <v>142</v>
      </c>
      <c r="E20" s="8" t="s">
        <v>143</v>
      </c>
      <c r="F20" s="8" t="s">
        <v>144</v>
      </c>
      <c r="G20" s="6" t="s">
        <v>33</v>
      </c>
      <c r="H20" s="6" t="s">
        <v>34</v>
      </c>
      <c r="I20" s="8" t="s">
        <v>35</v>
      </c>
      <c r="J20" s="9">
        <v>1</v>
      </c>
      <c r="K20" s="9">
        <v>235</v>
      </c>
      <c r="L20" s="9">
        <v>2027</v>
      </c>
      <c r="M20" s="8" t="s">
        <v>145</v>
      </c>
      <c r="N20" s="8" t="s">
        <v>63</v>
      </c>
      <c r="O20" s="8" t="s">
        <v>64</v>
      </c>
      <c r="P20" s="6" t="s">
        <v>39</v>
      </c>
      <c r="Q20" s="8" t="s">
        <v>40</v>
      </c>
      <c r="R20" s="10" t="s">
        <v>146</v>
      </c>
      <c r="S20" s="11"/>
      <c r="T20" s="6"/>
      <c r="U20" s="15" t="str">
        <f>HYPERLINK("https://media.infra-m.ru/2268/2268424/cover/2268424.jpg", "Обложка")</f>
        <v>Обложка</v>
      </c>
      <c r="V20" s="8" t="s">
        <v>147</v>
      </c>
      <c r="W20" s="6"/>
      <c r="X20" s="6"/>
      <c r="Y20" s="6"/>
      <c r="Z20" s="6"/>
      <c r="AA20" s="6" t="s">
        <v>148</v>
      </c>
      <c r="AB20" s="8"/>
      <c r="AC20" s="27">
        <v>9785160171524</v>
      </c>
    </row>
    <row r="21" spans="1:29" s="4" customFormat="1" ht="42" customHeight="1" x14ac:dyDescent="0.2">
      <c r="A21" s="5">
        <v>0</v>
      </c>
      <c r="B21" s="6" t="s">
        <v>149</v>
      </c>
      <c r="C21" s="7">
        <v>2136</v>
      </c>
      <c r="D21" s="8" t="s">
        <v>150</v>
      </c>
      <c r="E21" s="8" t="s">
        <v>151</v>
      </c>
      <c r="F21" s="8" t="s">
        <v>152</v>
      </c>
      <c r="G21" s="6" t="s">
        <v>33</v>
      </c>
      <c r="H21" s="6" t="s">
        <v>34</v>
      </c>
      <c r="I21" s="8" t="s">
        <v>35</v>
      </c>
      <c r="J21" s="9">
        <v>1</v>
      </c>
      <c r="K21" s="9">
        <v>342</v>
      </c>
      <c r="L21" s="9">
        <v>2025</v>
      </c>
      <c r="M21" s="8" t="s">
        <v>153</v>
      </c>
      <c r="N21" s="8" t="s">
        <v>63</v>
      </c>
      <c r="O21" s="8" t="s">
        <v>154</v>
      </c>
      <c r="P21" s="6" t="s">
        <v>39</v>
      </c>
      <c r="Q21" s="8" t="s">
        <v>40</v>
      </c>
      <c r="R21" s="10" t="s">
        <v>155</v>
      </c>
      <c r="S21" s="11"/>
      <c r="T21" s="6"/>
      <c r="U21" s="15" t="str">
        <f>HYPERLINK("https://media.infra-m.ru/2214/2214244/cover/2214244.jpg", "Обложка")</f>
        <v>Обложка</v>
      </c>
      <c r="V21" s="8" t="s">
        <v>156</v>
      </c>
      <c r="W21" s="6"/>
      <c r="X21" s="6"/>
      <c r="Y21" s="6"/>
      <c r="Z21" s="6"/>
      <c r="AA21" s="6" t="s">
        <v>157</v>
      </c>
      <c r="AB21" s="8"/>
      <c r="AC21" s="27">
        <v>9785160176710</v>
      </c>
    </row>
    <row r="22" spans="1:29" s="4" customFormat="1" ht="51.9" customHeight="1" x14ac:dyDescent="0.2">
      <c r="A22" s="5">
        <v>0</v>
      </c>
      <c r="B22" s="6" t="s">
        <v>158</v>
      </c>
      <c r="C22" s="7">
        <v>2088</v>
      </c>
      <c r="D22" s="8" t="s">
        <v>159</v>
      </c>
      <c r="E22" s="8" t="s">
        <v>160</v>
      </c>
      <c r="F22" s="8" t="s">
        <v>161</v>
      </c>
      <c r="G22" s="6" t="s">
        <v>33</v>
      </c>
      <c r="H22" s="6" t="s">
        <v>34</v>
      </c>
      <c r="I22" s="8" t="s">
        <v>35</v>
      </c>
      <c r="J22" s="9">
        <v>1</v>
      </c>
      <c r="K22" s="9">
        <v>317</v>
      </c>
      <c r="L22" s="9">
        <v>2026</v>
      </c>
      <c r="M22" s="8" t="s">
        <v>162</v>
      </c>
      <c r="N22" s="8" t="s">
        <v>37</v>
      </c>
      <c r="O22" s="8" t="s">
        <v>83</v>
      </c>
      <c r="P22" s="6" t="s">
        <v>39</v>
      </c>
      <c r="Q22" s="8" t="s">
        <v>40</v>
      </c>
      <c r="R22" s="10" t="s">
        <v>163</v>
      </c>
      <c r="S22" s="11"/>
      <c r="T22" s="6"/>
      <c r="U22" s="15" t="str">
        <f>HYPERLINK("https://media.infra-m.ru/2213/2213687/cover/2213687.jpg", "Обложка")</f>
        <v>Обложка</v>
      </c>
      <c r="V22" s="8" t="s">
        <v>164</v>
      </c>
      <c r="W22" s="6"/>
      <c r="X22" s="6"/>
      <c r="Y22" s="6"/>
      <c r="Z22" s="6"/>
      <c r="AA22" s="6" t="s">
        <v>55</v>
      </c>
      <c r="AB22" s="8"/>
      <c r="AC22" s="27">
        <v>9785160168012</v>
      </c>
    </row>
    <row r="23" spans="1:29" s="4" customFormat="1" ht="51.9" customHeight="1" x14ac:dyDescent="0.2">
      <c r="A23" s="5">
        <v>0</v>
      </c>
      <c r="B23" s="6" t="s">
        <v>165</v>
      </c>
      <c r="C23" s="7">
        <v>1984.8</v>
      </c>
      <c r="D23" s="8" t="s">
        <v>166</v>
      </c>
      <c r="E23" s="8" t="s">
        <v>160</v>
      </c>
      <c r="F23" s="8" t="s">
        <v>167</v>
      </c>
      <c r="G23" s="6" t="s">
        <v>60</v>
      </c>
      <c r="H23" s="6" t="s">
        <v>34</v>
      </c>
      <c r="I23" s="8" t="s">
        <v>35</v>
      </c>
      <c r="J23" s="9">
        <v>1</v>
      </c>
      <c r="K23" s="9">
        <v>317</v>
      </c>
      <c r="L23" s="9">
        <v>2025</v>
      </c>
      <c r="M23" s="8" t="s">
        <v>168</v>
      </c>
      <c r="N23" s="8" t="s">
        <v>37</v>
      </c>
      <c r="O23" s="8" t="s">
        <v>83</v>
      </c>
      <c r="P23" s="6" t="s">
        <v>39</v>
      </c>
      <c r="Q23" s="8" t="s">
        <v>40</v>
      </c>
      <c r="R23" s="10" t="s">
        <v>163</v>
      </c>
      <c r="S23" s="11"/>
      <c r="T23" s="6"/>
      <c r="U23" s="15" t="str">
        <f>HYPERLINK("https://media.infra-m.ru/2198/2198251/cover/2198251.jpg", "Обложка")</f>
        <v>Обложка</v>
      </c>
      <c r="V23" s="8" t="s">
        <v>164</v>
      </c>
      <c r="W23" s="6"/>
      <c r="X23" s="6"/>
      <c r="Y23" s="6"/>
      <c r="Z23" s="6"/>
      <c r="AA23" s="6" t="s">
        <v>55</v>
      </c>
      <c r="AB23" s="8"/>
      <c r="AC23" s="27">
        <v>9785160067728</v>
      </c>
    </row>
    <row r="24" spans="1:29" s="4" customFormat="1" ht="51.9" customHeight="1" x14ac:dyDescent="0.2">
      <c r="A24" s="5">
        <v>0</v>
      </c>
      <c r="B24" s="6" t="s">
        <v>169</v>
      </c>
      <c r="C24" s="7">
        <v>1188</v>
      </c>
      <c r="D24" s="8" t="s">
        <v>170</v>
      </c>
      <c r="E24" s="8" t="s">
        <v>171</v>
      </c>
      <c r="F24" s="8" t="s">
        <v>172</v>
      </c>
      <c r="G24" s="6" t="s">
        <v>60</v>
      </c>
      <c r="H24" s="6" t="s">
        <v>34</v>
      </c>
      <c r="I24" s="8" t="s">
        <v>35</v>
      </c>
      <c r="J24" s="9">
        <v>1</v>
      </c>
      <c r="K24" s="9">
        <v>237</v>
      </c>
      <c r="L24" s="9">
        <v>2022</v>
      </c>
      <c r="M24" s="8" t="s">
        <v>173</v>
      </c>
      <c r="N24" s="8" t="s">
        <v>63</v>
      </c>
      <c r="O24" s="8" t="s">
        <v>126</v>
      </c>
      <c r="P24" s="6" t="s">
        <v>39</v>
      </c>
      <c r="Q24" s="8" t="s">
        <v>40</v>
      </c>
      <c r="R24" s="10" t="s">
        <v>174</v>
      </c>
      <c r="S24" s="11"/>
      <c r="T24" s="6"/>
      <c r="U24" s="15" t="str">
        <f>HYPERLINK("https://media.infra-m.ru/1818/1818427/cover/1818427.jpg", "Обложка")</f>
        <v>Обложка</v>
      </c>
      <c r="V24" s="8" t="s">
        <v>128</v>
      </c>
      <c r="W24" s="6"/>
      <c r="X24" s="6"/>
      <c r="Y24" s="6"/>
      <c r="Z24" s="6"/>
      <c r="AA24" s="6" t="s">
        <v>148</v>
      </c>
      <c r="AB24" s="8"/>
      <c r="AC24" s="27">
        <v>9785160171845</v>
      </c>
    </row>
    <row r="25" spans="1:29" s="4" customFormat="1" ht="51.9" customHeight="1" x14ac:dyDescent="0.2">
      <c r="A25" s="5">
        <v>0</v>
      </c>
      <c r="B25" s="6" t="s">
        <v>175</v>
      </c>
      <c r="C25" s="7">
        <v>1368</v>
      </c>
      <c r="D25" s="8" t="s">
        <v>176</v>
      </c>
      <c r="E25" s="8" t="s">
        <v>177</v>
      </c>
      <c r="F25" s="8" t="s">
        <v>178</v>
      </c>
      <c r="G25" s="6" t="s">
        <v>118</v>
      </c>
      <c r="H25" s="6" t="s">
        <v>34</v>
      </c>
      <c r="I25" s="8" t="s">
        <v>179</v>
      </c>
      <c r="J25" s="9">
        <v>1</v>
      </c>
      <c r="K25" s="9">
        <v>195</v>
      </c>
      <c r="L25" s="9">
        <v>2026</v>
      </c>
      <c r="M25" s="8" t="s">
        <v>180</v>
      </c>
      <c r="N25" s="8" t="s">
        <v>63</v>
      </c>
      <c r="O25" s="8" t="s">
        <v>181</v>
      </c>
      <c r="P25" s="6" t="s">
        <v>182</v>
      </c>
      <c r="Q25" s="8" t="s">
        <v>183</v>
      </c>
      <c r="R25" s="10" t="s">
        <v>184</v>
      </c>
      <c r="S25" s="11"/>
      <c r="T25" s="6"/>
      <c r="U25" s="15" t="str">
        <f>HYPERLINK("https://media.infra-m.ru/2230/2230133/cover/2230133.jpg", "Обложка")</f>
        <v>Обложка</v>
      </c>
      <c r="V25" s="8" t="s">
        <v>185</v>
      </c>
      <c r="W25" s="6" t="s">
        <v>186</v>
      </c>
      <c r="X25" s="6"/>
      <c r="Y25" s="6"/>
      <c r="Z25" s="6"/>
      <c r="AA25" s="6" t="s">
        <v>187</v>
      </c>
      <c r="AB25" s="8"/>
      <c r="AC25" s="27">
        <v>9785160215372</v>
      </c>
    </row>
    <row r="26" spans="1:29" s="4" customFormat="1" ht="42" customHeight="1" x14ac:dyDescent="0.2">
      <c r="A26" s="5">
        <v>0</v>
      </c>
      <c r="B26" s="6" t="s">
        <v>188</v>
      </c>
      <c r="C26" s="7">
        <v>1296</v>
      </c>
      <c r="D26" s="8" t="s">
        <v>189</v>
      </c>
      <c r="E26" s="8" t="s">
        <v>177</v>
      </c>
      <c r="F26" s="8" t="s">
        <v>178</v>
      </c>
      <c r="G26" s="6" t="s">
        <v>118</v>
      </c>
      <c r="H26" s="6" t="s">
        <v>34</v>
      </c>
      <c r="I26" s="8" t="s">
        <v>35</v>
      </c>
      <c r="J26" s="9">
        <v>1</v>
      </c>
      <c r="K26" s="9">
        <v>195</v>
      </c>
      <c r="L26" s="9">
        <v>2026</v>
      </c>
      <c r="M26" s="8" t="s">
        <v>190</v>
      </c>
      <c r="N26" s="8" t="s">
        <v>63</v>
      </c>
      <c r="O26" s="8" t="s">
        <v>181</v>
      </c>
      <c r="P26" s="6" t="s">
        <v>39</v>
      </c>
      <c r="Q26" s="8" t="s">
        <v>40</v>
      </c>
      <c r="R26" s="10" t="s">
        <v>191</v>
      </c>
      <c r="S26" s="11"/>
      <c r="T26" s="6"/>
      <c r="U26" s="15" t="str">
        <f>HYPERLINK("https://media.infra-m.ru/2231/2231267/cover/2231267.jpg", "Обложка")</f>
        <v>Обложка</v>
      </c>
      <c r="V26" s="8" t="s">
        <v>185</v>
      </c>
      <c r="W26" s="6"/>
      <c r="X26" s="6"/>
      <c r="Y26" s="6"/>
      <c r="Z26" s="6"/>
      <c r="AA26" s="6" t="s">
        <v>76</v>
      </c>
      <c r="AB26" s="8"/>
      <c r="AC26" s="27">
        <v>9785160199290</v>
      </c>
    </row>
    <row r="27" spans="1:29" s="4" customFormat="1" ht="44.1" customHeight="1" x14ac:dyDescent="0.2">
      <c r="A27" s="5">
        <v>0</v>
      </c>
      <c r="B27" s="6" t="s">
        <v>192</v>
      </c>
      <c r="C27" s="7">
        <v>1236</v>
      </c>
      <c r="D27" s="8" t="s">
        <v>193</v>
      </c>
      <c r="E27" s="8" t="s">
        <v>194</v>
      </c>
      <c r="F27" s="8" t="s">
        <v>195</v>
      </c>
      <c r="G27" s="6" t="s">
        <v>118</v>
      </c>
      <c r="H27" s="6" t="s">
        <v>34</v>
      </c>
      <c r="I27" s="8" t="s">
        <v>35</v>
      </c>
      <c r="J27" s="9">
        <v>1</v>
      </c>
      <c r="K27" s="9">
        <v>270</v>
      </c>
      <c r="L27" s="9">
        <v>2021</v>
      </c>
      <c r="M27" s="8" t="s">
        <v>196</v>
      </c>
      <c r="N27" s="8" t="s">
        <v>63</v>
      </c>
      <c r="O27" s="8" t="s">
        <v>64</v>
      </c>
      <c r="P27" s="6" t="s">
        <v>39</v>
      </c>
      <c r="Q27" s="8" t="s">
        <v>40</v>
      </c>
      <c r="R27" s="10" t="s">
        <v>197</v>
      </c>
      <c r="S27" s="11"/>
      <c r="T27" s="6"/>
      <c r="U27" s="15" t="str">
        <f>HYPERLINK("https://media.infra-m.ru/1541/1541973/cover/1541973.jpg", "Обложка")</f>
        <v>Обложка</v>
      </c>
      <c r="V27" s="8" t="s">
        <v>198</v>
      </c>
      <c r="W27" s="6"/>
      <c r="X27" s="6"/>
      <c r="Y27" s="6"/>
      <c r="Z27" s="6"/>
      <c r="AA27" s="6" t="s">
        <v>115</v>
      </c>
      <c r="AB27" s="8"/>
      <c r="AC27" s="27">
        <v>9785160141756</v>
      </c>
    </row>
    <row r="28" spans="1:29" s="4" customFormat="1" ht="44.1" customHeight="1" x14ac:dyDescent="0.2">
      <c r="A28" s="5">
        <v>0</v>
      </c>
      <c r="B28" s="6" t="s">
        <v>199</v>
      </c>
      <c r="C28" s="7">
        <v>1884</v>
      </c>
      <c r="D28" s="8" t="s">
        <v>200</v>
      </c>
      <c r="E28" s="8" t="s">
        <v>194</v>
      </c>
      <c r="F28" s="8" t="s">
        <v>195</v>
      </c>
      <c r="G28" s="6" t="s">
        <v>33</v>
      </c>
      <c r="H28" s="6" t="s">
        <v>34</v>
      </c>
      <c r="I28" s="8" t="s">
        <v>35</v>
      </c>
      <c r="J28" s="9">
        <v>1</v>
      </c>
      <c r="K28" s="9">
        <v>270</v>
      </c>
      <c r="L28" s="9">
        <v>2027</v>
      </c>
      <c r="M28" s="8" t="s">
        <v>201</v>
      </c>
      <c r="N28" s="8" t="s">
        <v>63</v>
      </c>
      <c r="O28" s="8" t="s">
        <v>64</v>
      </c>
      <c r="P28" s="6" t="s">
        <v>39</v>
      </c>
      <c r="Q28" s="8" t="s">
        <v>40</v>
      </c>
      <c r="R28" s="10" t="s">
        <v>197</v>
      </c>
      <c r="S28" s="11"/>
      <c r="T28" s="6"/>
      <c r="U28" s="15" t="str">
        <f>HYPERLINK("https://media.infra-m.ru/2263/2263605/cover/2263605.jpg", "Обложка")</f>
        <v>Обложка</v>
      </c>
      <c r="V28" s="8" t="s">
        <v>198</v>
      </c>
      <c r="W28" s="6"/>
      <c r="X28" s="6"/>
      <c r="Y28" s="6"/>
      <c r="Z28" s="6"/>
      <c r="AA28" s="6" t="s">
        <v>115</v>
      </c>
      <c r="AB28" s="8"/>
      <c r="AC28" s="27">
        <v>9785160174815</v>
      </c>
    </row>
    <row r="29" spans="1:29" s="4" customFormat="1" ht="51.9" customHeight="1" x14ac:dyDescent="0.2">
      <c r="A29" s="5">
        <v>0</v>
      </c>
      <c r="B29" s="6" t="s">
        <v>202</v>
      </c>
      <c r="C29" s="7">
        <v>2760</v>
      </c>
      <c r="D29" s="8" t="s">
        <v>203</v>
      </c>
      <c r="E29" s="8" t="s">
        <v>204</v>
      </c>
      <c r="F29" s="8" t="s">
        <v>205</v>
      </c>
      <c r="G29" s="6" t="s">
        <v>60</v>
      </c>
      <c r="H29" s="6" t="s">
        <v>34</v>
      </c>
      <c r="I29" s="8" t="s">
        <v>35</v>
      </c>
      <c r="J29" s="9">
        <v>1</v>
      </c>
      <c r="K29" s="9">
        <v>436</v>
      </c>
      <c r="L29" s="9">
        <v>2025</v>
      </c>
      <c r="M29" s="8" t="s">
        <v>206</v>
      </c>
      <c r="N29" s="8" t="s">
        <v>37</v>
      </c>
      <c r="O29" s="8" t="s">
        <v>207</v>
      </c>
      <c r="P29" s="6" t="s">
        <v>39</v>
      </c>
      <c r="Q29" s="8" t="s">
        <v>40</v>
      </c>
      <c r="R29" s="10" t="s">
        <v>208</v>
      </c>
      <c r="S29" s="11"/>
      <c r="T29" s="6"/>
      <c r="U29" s="15" t="str">
        <f>HYPERLINK("https://media.infra-m.ru/2198/2198541/cover/2198541.jpg", "Обложка")</f>
        <v>Обложка</v>
      </c>
      <c r="V29" s="8" t="s">
        <v>209</v>
      </c>
      <c r="W29" s="6"/>
      <c r="X29" s="6"/>
      <c r="Y29" s="6"/>
      <c r="Z29" s="6"/>
      <c r="AA29" s="6" t="s">
        <v>68</v>
      </c>
      <c r="AB29" s="8"/>
      <c r="AC29" s="27">
        <v>9785160208442</v>
      </c>
    </row>
    <row r="30" spans="1:29" s="4" customFormat="1" ht="42" customHeight="1" x14ac:dyDescent="0.2">
      <c r="A30" s="5">
        <v>0</v>
      </c>
      <c r="B30" s="6" t="s">
        <v>210</v>
      </c>
      <c r="C30" s="7">
        <v>2448</v>
      </c>
      <c r="D30" s="8" t="s">
        <v>211</v>
      </c>
      <c r="E30" s="8" t="s">
        <v>212</v>
      </c>
      <c r="F30" s="8" t="s">
        <v>213</v>
      </c>
      <c r="G30" s="6" t="s">
        <v>118</v>
      </c>
      <c r="H30" s="6" t="s">
        <v>34</v>
      </c>
      <c r="I30" s="8" t="s">
        <v>214</v>
      </c>
      <c r="J30" s="9">
        <v>1</v>
      </c>
      <c r="K30" s="9">
        <v>352</v>
      </c>
      <c r="L30" s="9">
        <v>2026</v>
      </c>
      <c r="M30" s="8" t="s">
        <v>215</v>
      </c>
      <c r="N30" s="8" t="s">
        <v>37</v>
      </c>
      <c r="O30" s="8" t="s">
        <v>38</v>
      </c>
      <c r="P30" s="6" t="s">
        <v>39</v>
      </c>
      <c r="Q30" s="8" t="s">
        <v>40</v>
      </c>
      <c r="R30" s="10" t="s">
        <v>216</v>
      </c>
      <c r="S30" s="11"/>
      <c r="T30" s="6"/>
      <c r="U30" s="15" t="str">
        <f>HYPERLINK("https://media.infra-m.ru/2238/2238283/cover/2238283.jpg", "Обложка")</f>
        <v>Обложка</v>
      </c>
      <c r="V30" s="8" t="s">
        <v>217</v>
      </c>
      <c r="W30" s="6"/>
      <c r="X30" s="6"/>
      <c r="Y30" s="6"/>
      <c r="Z30" s="6"/>
      <c r="AA30" s="6" t="s">
        <v>218</v>
      </c>
      <c r="AB30" s="8"/>
      <c r="AC30" s="27">
        <v>9785160147789</v>
      </c>
    </row>
    <row r="31" spans="1:29" s="4" customFormat="1" ht="51.9" customHeight="1" x14ac:dyDescent="0.2">
      <c r="A31" s="5">
        <v>0</v>
      </c>
      <c r="B31" s="6" t="s">
        <v>219</v>
      </c>
      <c r="C31" s="7">
        <v>2032.8</v>
      </c>
      <c r="D31" s="8" t="s">
        <v>220</v>
      </c>
      <c r="E31" s="8" t="s">
        <v>221</v>
      </c>
      <c r="F31" s="8" t="s">
        <v>222</v>
      </c>
      <c r="G31" s="6" t="s">
        <v>60</v>
      </c>
      <c r="H31" s="6" t="s">
        <v>34</v>
      </c>
      <c r="I31" s="8"/>
      <c r="J31" s="9">
        <v>1</v>
      </c>
      <c r="K31" s="9">
        <v>292</v>
      </c>
      <c r="L31" s="9">
        <v>2027</v>
      </c>
      <c r="M31" s="8" t="s">
        <v>223</v>
      </c>
      <c r="N31" s="8" t="s">
        <v>224</v>
      </c>
      <c r="O31" s="8" t="s">
        <v>225</v>
      </c>
      <c r="P31" s="6" t="s">
        <v>51</v>
      </c>
      <c r="Q31" s="8" t="s">
        <v>52</v>
      </c>
      <c r="R31" s="10" t="s">
        <v>226</v>
      </c>
      <c r="S31" s="11"/>
      <c r="T31" s="6"/>
      <c r="U31" s="15" t="str">
        <f>HYPERLINK("https://media.infra-m.ru/2265/2265002/cover/2265002.jpg", "Обложка")</f>
        <v>Обложка</v>
      </c>
      <c r="V31" s="8" t="s">
        <v>227</v>
      </c>
      <c r="W31" s="6"/>
      <c r="X31" s="6"/>
      <c r="Y31" s="6"/>
      <c r="Z31" s="6"/>
      <c r="AA31" s="6" t="s">
        <v>129</v>
      </c>
      <c r="AB31" s="8"/>
      <c r="AC31" s="27">
        <v>9785160044217</v>
      </c>
    </row>
    <row r="32" spans="1:29" s="4" customFormat="1" ht="44.1" customHeight="1" x14ac:dyDescent="0.2">
      <c r="A32" s="5">
        <v>0</v>
      </c>
      <c r="B32" s="6" t="s">
        <v>228</v>
      </c>
      <c r="C32" s="7">
        <v>1002</v>
      </c>
      <c r="D32" s="8" t="s">
        <v>229</v>
      </c>
      <c r="E32" s="8" t="s">
        <v>230</v>
      </c>
      <c r="F32" s="8" t="s">
        <v>231</v>
      </c>
      <c r="G32" s="6" t="s">
        <v>33</v>
      </c>
      <c r="H32" s="6" t="s">
        <v>34</v>
      </c>
      <c r="I32" s="8"/>
      <c r="J32" s="9">
        <v>1</v>
      </c>
      <c r="K32" s="9">
        <v>150</v>
      </c>
      <c r="L32" s="9">
        <v>2026</v>
      </c>
      <c r="M32" s="8" t="s">
        <v>232</v>
      </c>
      <c r="N32" s="8" t="s">
        <v>37</v>
      </c>
      <c r="O32" s="8" t="s">
        <v>233</v>
      </c>
      <c r="P32" s="6" t="s">
        <v>234</v>
      </c>
      <c r="Q32" s="8" t="s">
        <v>40</v>
      </c>
      <c r="R32" s="10" t="s">
        <v>235</v>
      </c>
      <c r="S32" s="11"/>
      <c r="T32" s="6"/>
      <c r="U32" s="15" t="str">
        <f>HYPERLINK("https://media.infra-m.ru/2234/2234899/cover/2234899.jpg", "Обложка")</f>
        <v>Обложка</v>
      </c>
      <c r="V32" s="8" t="s">
        <v>236</v>
      </c>
      <c r="W32" s="6"/>
      <c r="X32" s="6"/>
      <c r="Y32" s="6"/>
      <c r="Z32" s="6"/>
      <c r="AA32" s="6" t="s">
        <v>157</v>
      </c>
      <c r="AB32" s="8"/>
      <c r="AC32" s="27">
        <v>9785160189710</v>
      </c>
    </row>
    <row r="33" spans="1:29" s="4" customFormat="1" ht="51.9" customHeight="1" x14ac:dyDescent="0.2">
      <c r="A33" s="5">
        <v>0</v>
      </c>
      <c r="B33" s="6" t="s">
        <v>237</v>
      </c>
      <c r="C33" s="7">
        <v>1013.9</v>
      </c>
      <c r="D33" s="8" t="s">
        <v>238</v>
      </c>
      <c r="E33" s="8" t="s">
        <v>239</v>
      </c>
      <c r="F33" s="8" t="s">
        <v>240</v>
      </c>
      <c r="G33" s="6" t="s">
        <v>60</v>
      </c>
      <c r="H33" s="6" t="s">
        <v>241</v>
      </c>
      <c r="I33" s="8"/>
      <c r="J33" s="9">
        <v>16</v>
      </c>
      <c r="K33" s="9">
        <v>288</v>
      </c>
      <c r="L33" s="9">
        <v>2017</v>
      </c>
      <c r="M33" s="8" t="s">
        <v>242</v>
      </c>
      <c r="N33" s="8" t="s">
        <v>243</v>
      </c>
      <c r="O33" s="8" t="s">
        <v>244</v>
      </c>
      <c r="P33" s="6" t="s">
        <v>51</v>
      </c>
      <c r="Q33" s="8" t="s">
        <v>52</v>
      </c>
      <c r="R33" s="10" t="s">
        <v>245</v>
      </c>
      <c r="S33" s="11" t="s">
        <v>246</v>
      </c>
      <c r="T33" s="6"/>
      <c r="U33" s="15" t="str">
        <f>HYPERLINK("https://media.infra-m.ru/0772/0772498/cover/772498.jpg", "Обложка")</f>
        <v>Обложка</v>
      </c>
      <c r="V33" s="8" t="s">
        <v>247</v>
      </c>
      <c r="W33" s="6"/>
      <c r="X33" s="6"/>
      <c r="Y33" s="6"/>
      <c r="Z33" s="6"/>
      <c r="AA33" s="6" t="s">
        <v>248</v>
      </c>
      <c r="AB33" s="8"/>
      <c r="AC33" s="27">
        <v>9785955803944</v>
      </c>
    </row>
    <row r="34" spans="1:29" s="4" customFormat="1" ht="51.9" customHeight="1" x14ac:dyDescent="0.2">
      <c r="A34" s="5">
        <v>0</v>
      </c>
      <c r="B34" s="6" t="s">
        <v>249</v>
      </c>
      <c r="C34" s="7">
        <v>2328</v>
      </c>
      <c r="D34" s="8" t="s">
        <v>250</v>
      </c>
      <c r="E34" s="8" t="s">
        <v>251</v>
      </c>
      <c r="F34" s="8" t="s">
        <v>252</v>
      </c>
      <c r="G34" s="6" t="s">
        <v>118</v>
      </c>
      <c r="H34" s="6" t="s">
        <v>34</v>
      </c>
      <c r="I34" s="8" t="s">
        <v>253</v>
      </c>
      <c r="J34" s="9">
        <v>1</v>
      </c>
      <c r="K34" s="9">
        <v>333</v>
      </c>
      <c r="L34" s="9">
        <v>2027</v>
      </c>
      <c r="M34" s="8" t="s">
        <v>254</v>
      </c>
      <c r="N34" s="8" t="s">
        <v>243</v>
      </c>
      <c r="O34" s="8" t="s">
        <v>244</v>
      </c>
      <c r="P34" s="6" t="s">
        <v>51</v>
      </c>
      <c r="Q34" s="8" t="s">
        <v>52</v>
      </c>
      <c r="R34" s="10" t="s">
        <v>255</v>
      </c>
      <c r="S34" s="11" t="s">
        <v>256</v>
      </c>
      <c r="T34" s="6"/>
      <c r="U34" s="15" t="str">
        <f>HYPERLINK("https://media.infra-m.ru/2269/2269553/cover/2269553.jpg", "Обложка")</f>
        <v>Обложка</v>
      </c>
      <c r="V34" s="8" t="s">
        <v>257</v>
      </c>
      <c r="W34" s="6"/>
      <c r="X34" s="6"/>
      <c r="Y34" s="6"/>
      <c r="Z34" s="6"/>
      <c r="AA34" s="6" t="s">
        <v>258</v>
      </c>
      <c r="AB34" s="8"/>
      <c r="AC34" s="27">
        <v>9785160214689</v>
      </c>
    </row>
    <row r="35" spans="1:29" s="4" customFormat="1" ht="51.9" customHeight="1" x14ac:dyDescent="0.2">
      <c r="A35" s="5">
        <v>0</v>
      </c>
      <c r="B35" s="6" t="s">
        <v>259</v>
      </c>
      <c r="C35" s="7">
        <v>2208</v>
      </c>
      <c r="D35" s="8" t="s">
        <v>260</v>
      </c>
      <c r="E35" s="8" t="s">
        <v>261</v>
      </c>
      <c r="F35" s="8" t="s">
        <v>262</v>
      </c>
      <c r="G35" s="6" t="s">
        <v>118</v>
      </c>
      <c r="H35" s="6" t="s">
        <v>34</v>
      </c>
      <c r="I35" s="8" t="s">
        <v>263</v>
      </c>
      <c r="J35" s="9">
        <v>1</v>
      </c>
      <c r="K35" s="9">
        <v>333</v>
      </c>
      <c r="L35" s="9">
        <v>2026</v>
      </c>
      <c r="M35" s="8" t="s">
        <v>264</v>
      </c>
      <c r="N35" s="8" t="s">
        <v>243</v>
      </c>
      <c r="O35" s="8" t="s">
        <v>244</v>
      </c>
      <c r="P35" s="6" t="s">
        <v>51</v>
      </c>
      <c r="Q35" s="8" t="s">
        <v>265</v>
      </c>
      <c r="R35" s="10" t="s">
        <v>266</v>
      </c>
      <c r="S35" s="11"/>
      <c r="T35" s="6"/>
      <c r="U35" s="15" t="str">
        <f>HYPERLINK("https://media.infra-m.ru/2235/2235477/cover/2235477.jpg", "Обложка")</f>
        <v>Обложка</v>
      </c>
      <c r="V35" s="8" t="s">
        <v>257</v>
      </c>
      <c r="W35" s="6"/>
      <c r="X35" s="6"/>
      <c r="Y35" s="6"/>
      <c r="Z35" s="6" t="s">
        <v>267</v>
      </c>
      <c r="AA35" s="6" t="s">
        <v>106</v>
      </c>
      <c r="AB35" s="8"/>
      <c r="AC35" s="27">
        <v>9785160216942</v>
      </c>
    </row>
    <row r="36" spans="1:29" s="4" customFormat="1" ht="51.9" customHeight="1" x14ac:dyDescent="0.2">
      <c r="A36" s="5">
        <v>0</v>
      </c>
      <c r="B36" s="6" t="s">
        <v>268</v>
      </c>
      <c r="C36" s="13">
        <v>972</v>
      </c>
      <c r="D36" s="8" t="s">
        <v>269</v>
      </c>
      <c r="E36" s="8" t="s">
        <v>270</v>
      </c>
      <c r="F36" s="8" t="s">
        <v>252</v>
      </c>
      <c r="G36" s="6" t="s">
        <v>33</v>
      </c>
      <c r="H36" s="6" t="s">
        <v>48</v>
      </c>
      <c r="I36" s="8" t="s">
        <v>271</v>
      </c>
      <c r="J36" s="9">
        <v>1</v>
      </c>
      <c r="K36" s="9">
        <v>270</v>
      </c>
      <c r="L36" s="9">
        <v>2019</v>
      </c>
      <c r="M36" s="8" t="s">
        <v>272</v>
      </c>
      <c r="N36" s="8" t="s">
        <v>243</v>
      </c>
      <c r="O36" s="8" t="s">
        <v>244</v>
      </c>
      <c r="P36" s="6" t="s">
        <v>51</v>
      </c>
      <c r="Q36" s="8" t="s">
        <v>52</v>
      </c>
      <c r="R36" s="10" t="s">
        <v>255</v>
      </c>
      <c r="S36" s="11" t="s">
        <v>273</v>
      </c>
      <c r="T36" s="6"/>
      <c r="U36" s="15" t="str">
        <f>HYPERLINK("https://media.infra-m.ru/0994/0994914/cover/994914.jpg", "Обложка")</f>
        <v>Обложка</v>
      </c>
      <c r="V36" s="8" t="s">
        <v>257</v>
      </c>
      <c r="W36" s="6"/>
      <c r="X36" s="6"/>
      <c r="Y36" s="6"/>
      <c r="Z36" s="6"/>
      <c r="AA36" s="6" t="s">
        <v>274</v>
      </c>
      <c r="AB36" s="8"/>
      <c r="AC36" s="27">
        <v>9785000915158</v>
      </c>
    </row>
    <row r="37" spans="1:29" s="4" customFormat="1" ht="51.9" customHeight="1" x14ac:dyDescent="0.2">
      <c r="A37" s="5">
        <v>0</v>
      </c>
      <c r="B37" s="6" t="s">
        <v>275</v>
      </c>
      <c r="C37" s="13">
        <v>696</v>
      </c>
      <c r="D37" s="8" t="s">
        <v>276</v>
      </c>
      <c r="E37" s="8" t="s">
        <v>277</v>
      </c>
      <c r="F37" s="8" t="s">
        <v>278</v>
      </c>
      <c r="G37" s="6" t="s">
        <v>33</v>
      </c>
      <c r="H37" s="6" t="s">
        <v>34</v>
      </c>
      <c r="I37" s="8" t="s">
        <v>253</v>
      </c>
      <c r="J37" s="9">
        <v>1</v>
      </c>
      <c r="K37" s="9">
        <v>100</v>
      </c>
      <c r="L37" s="9">
        <v>2027</v>
      </c>
      <c r="M37" s="8" t="s">
        <v>279</v>
      </c>
      <c r="N37" s="8" t="s">
        <v>37</v>
      </c>
      <c r="O37" s="8" t="s">
        <v>280</v>
      </c>
      <c r="P37" s="6" t="s">
        <v>51</v>
      </c>
      <c r="Q37" s="8" t="s">
        <v>65</v>
      </c>
      <c r="R37" s="10" t="s">
        <v>281</v>
      </c>
      <c r="S37" s="11" t="s">
        <v>282</v>
      </c>
      <c r="T37" s="6"/>
      <c r="U37" s="15" t="str">
        <f>HYPERLINK("https://media.infra-m.ru/2263/2263845/cover/2263845.jpg", "Обложка")</f>
        <v>Обложка</v>
      </c>
      <c r="V37" s="8" t="s">
        <v>283</v>
      </c>
      <c r="W37" s="6"/>
      <c r="X37" s="6"/>
      <c r="Y37" s="6"/>
      <c r="Z37" s="6"/>
      <c r="AA37" s="6" t="s">
        <v>43</v>
      </c>
      <c r="AB37" s="8"/>
      <c r="AC37" s="27">
        <v>9785160186047</v>
      </c>
    </row>
    <row r="38" spans="1:29" s="4" customFormat="1" ht="42" customHeight="1" x14ac:dyDescent="0.2">
      <c r="A38" s="5">
        <v>0</v>
      </c>
      <c r="B38" s="6" t="s">
        <v>284</v>
      </c>
      <c r="C38" s="7">
        <v>1092</v>
      </c>
      <c r="D38" s="8" t="s">
        <v>285</v>
      </c>
      <c r="E38" s="8" t="s">
        <v>286</v>
      </c>
      <c r="F38" s="8" t="s">
        <v>287</v>
      </c>
      <c r="G38" s="6" t="s">
        <v>118</v>
      </c>
      <c r="H38" s="6" t="s">
        <v>34</v>
      </c>
      <c r="I38" s="8" t="s">
        <v>288</v>
      </c>
      <c r="J38" s="9">
        <v>1</v>
      </c>
      <c r="K38" s="9">
        <v>146</v>
      </c>
      <c r="L38" s="9">
        <v>2026</v>
      </c>
      <c r="M38" s="8" t="s">
        <v>289</v>
      </c>
      <c r="N38" s="8" t="s">
        <v>37</v>
      </c>
      <c r="O38" s="8" t="s">
        <v>290</v>
      </c>
      <c r="P38" s="6" t="s">
        <v>51</v>
      </c>
      <c r="Q38" s="8" t="s">
        <v>65</v>
      </c>
      <c r="R38" s="10" t="s">
        <v>291</v>
      </c>
      <c r="S38" s="11"/>
      <c r="T38" s="6"/>
      <c r="U38" s="15" t="str">
        <f>HYPERLINK("https://media.infra-m.ru/2216/2216875/cover/2216875.jpg", "Обложка")</f>
        <v>Обложка</v>
      </c>
      <c r="V38" s="8" t="s">
        <v>292</v>
      </c>
      <c r="W38" s="6"/>
      <c r="X38" s="6"/>
      <c r="Y38" s="6"/>
      <c r="Z38" s="6"/>
      <c r="AA38" s="6" t="s">
        <v>76</v>
      </c>
      <c r="AB38" s="8"/>
      <c r="AC38" s="27">
        <v>9785160198224</v>
      </c>
    </row>
    <row r="39" spans="1:29" s="4" customFormat="1" ht="42" customHeight="1" x14ac:dyDescent="0.2">
      <c r="A39" s="5">
        <v>0</v>
      </c>
      <c r="B39" s="6" t="s">
        <v>293</v>
      </c>
      <c r="C39" s="7">
        <v>1428</v>
      </c>
      <c r="D39" s="8" t="s">
        <v>294</v>
      </c>
      <c r="E39" s="8" t="s">
        <v>295</v>
      </c>
      <c r="F39" s="8" t="s">
        <v>296</v>
      </c>
      <c r="G39" s="6" t="s">
        <v>60</v>
      </c>
      <c r="H39" s="6" t="s">
        <v>34</v>
      </c>
      <c r="I39" s="8" t="s">
        <v>288</v>
      </c>
      <c r="J39" s="9">
        <v>1</v>
      </c>
      <c r="K39" s="9">
        <v>180</v>
      </c>
      <c r="L39" s="9">
        <v>2026</v>
      </c>
      <c r="M39" s="8" t="s">
        <v>297</v>
      </c>
      <c r="N39" s="8" t="s">
        <v>37</v>
      </c>
      <c r="O39" s="8" t="s">
        <v>290</v>
      </c>
      <c r="P39" s="6" t="s">
        <v>51</v>
      </c>
      <c r="Q39" s="8" t="s">
        <v>65</v>
      </c>
      <c r="R39" s="10" t="s">
        <v>298</v>
      </c>
      <c r="S39" s="11"/>
      <c r="T39" s="6"/>
      <c r="U39" s="15" t="str">
        <f>HYPERLINK("https://media.infra-m.ru/2221/2221045/cover/2221045.jpg", "Обложка")</f>
        <v>Обложка</v>
      </c>
      <c r="V39" s="8" t="s">
        <v>292</v>
      </c>
      <c r="W39" s="6" t="s">
        <v>299</v>
      </c>
      <c r="X39" s="6"/>
      <c r="Y39" s="6"/>
      <c r="Z39" s="6"/>
      <c r="AA39" s="6" t="s">
        <v>187</v>
      </c>
      <c r="AB39" s="8"/>
      <c r="AC39" s="27">
        <v>9785160212821</v>
      </c>
    </row>
    <row r="40" spans="1:29" s="4" customFormat="1" ht="42" customHeight="1" x14ac:dyDescent="0.2">
      <c r="A40" s="5">
        <v>0</v>
      </c>
      <c r="B40" s="6" t="s">
        <v>300</v>
      </c>
      <c r="C40" s="7">
        <v>3538.8</v>
      </c>
      <c r="D40" s="8" t="s">
        <v>301</v>
      </c>
      <c r="E40" s="8" t="s">
        <v>302</v>
      </c>
      <c r="F40" s="8" t="s">
        <v>303</v>
      </c>
      <c r="G40" s="6" t="s">
        <v>60</v>
      </c>
      <c r="H40" s="6" t="s">
        <v>34</v>
      </c>
      <c r="I40" s="8" t="s">
        <v>304</v>
      </c>
      <c r="J40" s="9">
        <v>1</v>
      </c>
      <c r="K40" s="9">
        <v>359</v>
      </c>
      <c r="L40" s="9">
        <v>2025</v>
      </c>
      <c r="M40" s="8" t="s">
        <v>305</v>
      </c>
      <c r="N40" s="8" t="s">
        <v>63</v>
      </c>
      <c r="O40" s="8" t="s">
        <v>64</v>
      </c>
      <c r="P40" s="6" t="s">
        <v>306</v>
      </c>
      <c r="Q40" s="8" t="s">
        <v>52</v>
      </c>
      <c r="R40" s="10" t="s">
        <v>307</v>
      </c>
      <c r="S40" s="11"/>
      <c r="T40" s="6" t="s">
        <v>97</v>
      </c>
      <c r="U40" s="15" t="str">
        <f>HYPERLINK("https://media.infra-m.ru/2206/2206802/cover/2206802.jpg", "Обложка")</f>
        <v>Обложка</v>
      </c>
      <c r="V40" s="8" t="s">
        <v>247</v>
      </c>
      <c r="W40" s="6"/>
      <c r="X40" s="6"/>
      <c r="Y40" s="6"/>
      <c r="Z40" s="6"/>
      <c r="AA40" s="6" t="s">
        <v>68</v>
      </c>
      <c r="AB40" s="8" t="s">
        <v>308</v>
      </c>
      <c r="AC40" s="27">
        <v>9785160209494</v>
      </c>
    </row>
    <row r="41" spans="1:29" s="4" customFormat="1" ht="42" customHeight="1" x14ac:dyDescent="0.2">
      <c r="A41" s="5">
        <v>0</v>
      </c>
      <c r="B41" s="6" t="s">
        <v>309</v>
      </c>
      <c r="C41" s="7">
        <v>2026.2</v>
      </c>
      <c r="D41" s="8" t="s">
        <v>310</v>
      </c>
      <c r="E41" s="8" t="s">
        <v>311</v>
      </c>
      <c r="F41" s="8" t="s">
        <v>312</v>
      </c>
      <c r="G41" s="6" t="s">
        <v>33</v>
      </c>
      <c r="H41" s="6" t="s">
        <v>313</v>
      </c>
      <c r="I41" s="8"/>
      <c r="J41" s="9">
        <v>20</v>
      </c>
      <c r="K41" s="9">
        <v>122</v>
      </c>
      <c r="L41" s="9">
        <v>2017</v>
      </c>
      <c r="M41" s="8"/>
      <c r="N41" s="8" t="s">
        <v>37</v>
      </c>
      <c r="O41" s="8" t="s">
        <v>136</v>
      </c>
      <c r="P41" s="6" t="s">
        <v>314</v>
      </c>
      <c r="Q41" s="8" t="s">
        <v>40</v>
      </c>
      <c r="R41" s="10"/>
      <c r="S41" s="11"/>
      <c r="T41" s="6"/>
      <c r="U41" s="15" t="str">
        <f>HYPERLINK("https://media.infra-m.ru/0882/0882724/cover/882724.jpg", "Обложка")</f>
        <v>Обложка</v>
      </c>
      <c r="V41" s="8"/>
      <c r="W41" s="6"/>
      <c r="X41" s="6"/>
      <c r="Y41" s="6"/>
      <c r="Z41" s="6"/>
      <c r="AA41" s="6"/>
      <c r="AB41" s="8"/>
      <c r="AC41" s="27"/>
    </row>
    <row r="42" spans="1:29" s="4" customFormat="1" ht="51.9" customHeight="1" x14ac:dyDescent="0.2">
      <c r="A42" s="5">
        <v>0</v>
      </c>
      <c r="B42" s="6" t="s">
        <v>315</v>
      </c>
      <c r="C42" s="13">
        <v>720</v>
      </c>
      <c r="D42" s="8" t="s">
        <v>316</v>
      </c>
      <c r="E42" s="8" t="s">
        <v>317</v>
      </c>
      <c r="F42" s="8" t="s">
        <v>318</v>
      </c>
      <c r="G42" s="6" t="s">
        <v>33</v>
      </c>
      <c r="H42" s="6" t="s">
        <v>34</v>
      </c>
      <c r="I42" s="8" t="s">
        <v>253</v>
      </c>
      <c r="J42" s="9">
        <v>1</v>
      </c>
      <c r="K42" s="9">
        <v>103</v>
      </c>
      <c r="L42" s="9">
        <v>2027</v>
      </c>
      <c r="M42" s="8" t="s">
        <v>319</v>
      </c>
      <c r="N42" s="8" t="s">
        <v>63</v>
      </c>
      <c r="O42" s="8" t="s">
        <v>64</v>
      </c>
      <c r="P42" s="6" t="s">
        <v>51</v>
      </c>
      <c r="Q42" s="8" t="s">
        <v>52</v>
      </c>
      <c r="R42" s="10" t="s">
        <v>320</v>
      </c>
      <c r="S42" s="11" t="s">
        <v>321</v>
      </c>
      <c r="T42" s="6"/>
      <c r="U42" s="15" t="str">
        <f>HYPERLINK("https://media.infra-m.ru/2263/2263014/cover/2263014.jpg", "Обложка")</f>
        <v>Обложка</v>
      </c>
      <c r="V42" s="8" t="s">
        <v>322</v>
      </c>
      <c r="W42" s="6"/>
      <c r="X42" s="6"/>
      <c r="Y42" s="6"/>
      <c r="Z42" s="6"/>
      <c r="AA42" s="6" t="s">
        <v>43</v>
      </c>
      <c r="AB42" s="8"/>
      <c r="AC42" s="27">
        <v>9785160192833</v>
      </c>
    </row>
    <row r="43" spans="1:29" s="4" customFormat="1" ht="51.9" customHeight="1" x14ac:dyDescent="0.2">
      <c r="A43" s="5">
        <v>0</v>
      </c>
      <c r="B43" s="6" t="s">
        <v>323</v>
      </c>
      <c r="C43" s="13">
        <v>952.8</v>
      </c>
      <c r="D43" s="8" t="s">
        <v>324</v>
      </c>
      <c r="E43" s="8" t="s">
        <v>325</v>
      </c>
      <c r="F43" s="8" t="s">
        <v>326</v>
      </c>
      <c r="G43" s="6" t="s">
        <v>118</v>
      </c>
      <c r="H43" s="6" t="s">
        <v>34</v>
      </c>
      <c r="I43" s="8" t="s">
        <v>327</v>
      </c>
      <c r="J43" s="9">
        <v>1</v>
      </c>
      <c r="K43" s="9">
        <v>143</v>
      </c>
      <c r="L43" s="9">
        <v>2026</v>
      </c>
      <c r="M43" s="8" t="s">
        <v>328</v>
      </c>
      <c r="N43" s="8" t="s">
        <v>243</v>
      </c>
      <c r="O43" s="8" t="s">
        <v>329</v>
      </c>
      <c r="P43" s="6" t="s">
        <v>51</v>
      </c>
      <c r="Q43" s="8" t="s">
        <v>52</v>
      </c>
      <c r="R43" s="10" t="s">
        <v>330</v>
      </c>
      <c r="S43" s="11"/>
      <c r="T43" s="6"/>
      <c r="U43" s="15" t="str">
        <f>HYPERLINK("https://media.infra-m.ru/2227/2227051/cover/2227051.jpg", "Обложка")</f>
        <v>Обложка</v>
      </c>
      <c r="V43" s="8" t="s">
        <v>217</v>
      </c>
      <c r="W43" s="6"/>
      <c r="X43" s="6"/>
      <c r="Y43" s="6"/>
      <c r="Z43" s="6"/>
      <c r="AA43" s="6" t="s">
        <v>86</v>
      </c>
      <c r="AB43" s="8"/>
      <c r="AC43" s="27">
        <v>9785160138428</v>
      </c>
    </row>
    <row r="44" spans="1:29" s="4" customFormat="1" ht="51.9" customHeight="1" x14ac:dyDescent="0.2">
      <c r="A44" s="5">
        <v>0</v>
      </c>
      <c r="B44" s="6" t="s">
        <v>331</v>
      </c>
      <c r="C44" s="7">
        <v>2268</v>
      </c>
      <c r="D44" s="8" t="s">
        <v>332</v>
      </c>
      <c r="E44" s="8" t="s">
        <v>333</v>
      </c>
      <c r="F44" s="8" t="s">
        <v>334</v>
      </c>
      <c r="G44" s="6" t="s">
        <v>60</v>
      </c>
      <c r="H44" s="6" t="s">
        <v>34</v>
      </c>
      <c r="I44" s="8" t="s">
        <v>253</v>
      </c>
      <c r="J44" s="9">
        <v>1</v>
      </c>
      <c r="K44" s="9">
        <v>354</v>
      </c>
      <c r="L44" s="9">
        <v>2025</v>
      </c>
      <c r="M44" s="8" t="s">
        <v>335</v>
      </c>
      <c r="N44" s="8" t="s">
        <v>63</v>
      </c>
      <c r="O44" s="8" t="s">
        <v>64</v>
      </c>
      <c r="P44" s="6" t="s">
        <v>306</v>
      </c>
      <c r="Q44" s="8" t="s">
        <v>65</v>
      </c>
      <c r="R44" s="10" t="s">
        <v>336</v>
      </c>
      <c r="S44" s="11"/>
      <c r="T44" s="6"/>
      <c r="U44" s="15" t="str">
        <f>HYPERLINK("https://media.infra-m.ru/2200/2200674/cover/2200674.jpg", "Обложка")</f>
        <v>Обложка</v>
      </c>
      <c r="V44" s="8" t="s">
        <v>337</v>
      </c>
      <c r="W44" s="6"/>
      <c r="X44" s="6"/>
      <c r="Y44" s="6"/>
      <c r="Z44" s="6"/>
      <c r="AA44" s="6" t="s">
        <v>68</v>
      </c>
      <c r="AB44" s="8" t="s">
        <v>308</v>
      </c>
      <c r="AC44" s="27">
        <v>9785160208626</v>
      </c>
    </row>
    <row r="45" spans="1:29" s="4" customFormat="1" ht="51.9" customHeight="1" x14ac:dyDescent="0.2">
      <c r="A45" s="5">
        <v>0</v>
      </c>
      <c r="B45" s="6" t="s">
        <v>338</v>
      </c>
      <c r="C45" s="7">
        <v>2100</v>
      </c>
      <c r="D45" s="8" t="s">
        <v>339</v>
      </c>
      <c r="E45" s="8" t="s">
        <v>333</v>
      </c>
      <c r="F45" s="8" t="s">
        <v>334</v>
      </c>
      <c r="G45" s="6" t="s">
        <v>60</v>
      </c>
      <c r="H45" s="6" t="s">
        <v>34</v>
      </c>
      <c r="I45" s="8" t="s">
        <v>263</v>
      </c>
      <c r="J45" s="9">
        <v>1</v>
      </c>
      <c r="K45" s="9">
        <v>354</v>
      </c>
      <c r="L45" s="9">
        <v>2026</v>
      </c>
      <c r="M45" s="8" t="s">
        <v>340</v>
      </c>
      <c r="N45" s="8" t="s">
        <v>63</v>
      </c>
      <c r="O45" s="8" t="s">
        <v>64</v>
      </c>
      <c r="P45" s="6" t="s">
        <v>306</v>
      </c>
      <c r="Q45" s="8" t="s">
        <v>265</v>
      </c>
      <c r="R45" s="10" t="s">
        <v>341</v>
      </c>
      <c r="S45" s="11"/>
      <c r="T45" s="6"/>
      <c r="U45" s="15" t="str">
        <f>HYPERLINK("https://media.infra-m.ru/2204/2204713/cover/2204713.jpg", "Обложка")</f>
        <v>Обложка</v>
      </c>
      <c r="V45" s="8" t="s">
        <v>337</v>
      </c>
      <c r="W45" s="6" t="s">
        <v>342</v>
      </c>
      <c r="X45" s="6"/>
      <c r="Y45" s="6"/>
      <c r="Z45" s="6"/>
      <c r="AA45" s="6" t="s">
        <v>187</v>
      </c>
      <c r="AB45" s="8" t="s">
        <v>343</v>
      </c>
      <c r="AC45" s="27">
        <v>9785160212043</v>
      </c>
    </row>
    <row r="46" spans="1:29" s="4" customFormat="1" ht="51.9" customHeight="1" x14ac:dyDescent="0.2">
      <c r="A46" s="5">
        <v>0</v>
      </c>
      <c r="B46" s="6" t="s">
        <v>344</v>
      </c>
      <c r="C46" s="7">
        <v>1380</v>
      </c>
      <c r="D46" s="8" t="s">
        <v>345</v>
      </c>
      <c r="E46" s="8" t="s">
        <v>346</v>
      </c>
      <c r="F46" s="8" t="s">
        <v>347</v>
      </c>
      <c r="G46" s="6" t="s">
        <v>60</v>
      </c>
      <c r="H46" s="6" t="s">
        <v>34</v>
      </c>
      <c r="I46" s="8" t="s">
        <v>35</v>
      </c>
      <c r="J46" s="9">
        <v>1</v>
      </c>
      <c r="K46" s="9">
        <v>181</v>
      </c>
      <c r="L46" s="9">
        <v>2026</v>
      </c>
      <c r="M46" s="8" t="s">
        <v>348</v>
      </c>
      <c r="N46" s="8" t="s">
        <v>37</v>
      </c>
      <c r="O46" s="8" t="s">
        <v>233</v>
      </c>
      <c r="P46" s="6" t="s">
        <v>39</v>
      </c>
      <c r="Q46" s="8" t="s">
        <v>40</v>
      </c>
      <c r="R46" s="10" t="s">
        <v>349</v>
      </c>
      <c r="S46" s="11"/>
      <c r="T46" s="6"/>
      <c r="U46" s="15" t="str">
        <f>HYPERLINK("https://media.infra-m.ru/2224/2224023/cover/2224023.jpg", "Обложка")</f>
        <v>Обложка</v>
      </c>
      <c r="V46" s="8" t="s">
        <v>350</v>
      </c>
      <c r="W46" s="6" t="s">
        <v>351</v>
      </c>
      <c r="X46" s="6"/>
      <c r="Y46" s="6"/>
      <c r="Z46" s="6"/>
      <c r="AA46" s="6" t="s">
        <v>187</v>
      </c>
      <c r="AB46" s="8" t="s">
        <v>308</v>
      </c>
      <c r="AC46" s="27">
        <v>9785160214290</v>
      </c>
    </row>
    <row r="47" spans="1:29" s="4" customFormat="1" ht="51.9" customHeight="1" x14ac:dyDescent="0.2">
      <c r="A47" s="5">
        <v>0</v>
      </c>
      <c r="B47" s="6" t="s">
        <v>352</v>
      </c>
      <c r="C47" s="7">
        <v>1910.4</v>
      </c>
      <c r="D47" s="8" t="s">
        <v>353</v>
      </c>
      <c r="E47" s="8" t="s">
        <v>354</v>
      </c>
      <c r="F47" s="8" t="s">
        <v>355</v>
      </c>
      <c r="G47" s="6" t="s">
        <v>118</v>
      </c>
      <c r="H47" s="6" t="s">
        <v>48</v>
      </c>
      <c r="I47" s="8" t="s">
        <v>253</v>
      </c>
      <c r="J47" s="9">
        <v>1</v>
      </c>
      <c r="K47" s="9">
        <v>183</v>
      </c>
      <c r="L47" s="9">
        <v>2027</v>
      </c>
      <c r="M47" s="8" t="s">
        <v>356</v>
      </c>
      <c r="N47" s="8" t="s">
        <v>63</v>
      </c>
      <c r="O47" s="8" t="s">
        <v>64</v>
      </c>
      <c r="P47" s="6" t="s">
        <v>51</v>
      </c>
      <c r="Q47" s="8" t="s">
        <v>52</v>
      </c>
      <c r="R47" s="10" t="s">
        <v>357</v>
      </c>
      <c r="S47" s="11" t="s">
        <v>358</v>
      </c>
      <c r="T47" s="6"/>
      <c r="U47" s="15" t="str">
        <f>HYPERLINK("https://media.infra-m.ru/2263/2263599/cover/2263599.jpg", "Обложка")</f>
        <v>Обложка</v>
      </c>
      <c r="V47" s="8" t="s">
        <v>359</v>
      </c>
      <c r="W47" s="6"/>
      <c r="X47" s="6"/>
      <c r="Y47" s="6"/>
      <c r="Z47" s="6"/>
      <c r="AA47" s="6" t="s">
        <v>360</v>
      </c>
      <c r="AB47" s="8"/>
      <c r="AC47" s="27">
        <v>9785000911167</v>
      </c>
    </row>
    <row r="48" spans="1:29" s="4" customFormat="1" ht="51.9" customHeight="1" x14ac:dyDescent="0.2">
      <c r="A48" s="5">
        <v>0</v>
      </c>
      <c r="B48" s="6" t="s">
        <v>361</v>
      </c>
      <c r="C48" s="7">
        <v>1289.9000000000001</v>
      </c>
      <c r="D48" s="8" t="s">
        <v>362</v>
      </c>
      <c r="E48" s="8" t="s">
        <v>354</v>
      </c>
      <c r="F48" s="8" t="s">
        <v>363</v>
      </c>
      <c r="G48" s="6" t="s">
        <v>33</v>
      </c>
      <c r="H48" s="6" t="s">
        <v>48</v>
      </c>
      <c r="I48" s="8"/>
      <c r="J48" s="9">
        <v>1</v>
      </c>
      <c r="K48" s="9">
        <v>184</v>
      </c>
      <c r="L48" s="9">
        <v>2020</v>
      </c>
      <c r="M48" s="8" t="s">
        <v>356</v>
      </c>
      <c r="N48" s="8" t="s">
        <v>63</v>
      </c>
      <c r="O48" s="8" t="s">
        <v>64</v>
      </c>
      <c r="P48" s="6" t="s">
        <v>51</v>
      </c>
      <c r="Q48" s="8" t="s">
        <v>52</v>
      </c>
      <c r="R48" s="10" t="s">
        <v>357</v>
      </c>
      <c r="S48" s="11" t="s">
        <v>364</v>
      </c>
      <c r="T48" s="6"/>
      <c r="U48" s="15" t="str">
        <f>HYPERLINK("https://media.infra-m.ru/1068/1068847/cover/1068847.jpg", "Обложка")</f>
        <v>Обложка</v>
      </c>
      <c r="V48" s="8" t="s">
        <v>359</v>
      </c>
      <c r="W48" s="6"/>
      <c r="X48" s="6"/>
      <c r="Y48" s="6"/>
      <c r="Z48" s="6"/>
      <c r="AA48" s="6" t="s">
        <v>360</v>
      </c>
      <c r="AB48" s="8"/>
      <c r="AC48" s="27">
        <v>9785000911167</v>
      </c>
    </row>
    <row r="49" spans="1:29" s="4" customFormat="1" ht="51.9" customHeight="1" x14ac:dyDescent="0.2">
      <c r="A49" s="5">
        <v>0</v>
      </c>
      <c r="B49" s="6" t="s">
        <v>365</v>
      </c>
      <c r="C49" s="7">
        <v>1260</v>
      </c>
      <c r="D49" s="8" t="s">
        <v>366</v>
      </c>
      <c r="E49" s="8" t="s">
        <v>367</v>
      </c>
      <c r="F49" s="8" t="s">
        <v>368</v>
      </c>
      <c r="G49" s="6" t="s">
        <v>60</v>
      </c>
      <c r="H49" s="6" t="s">
        <v>34</v>
      </c>
      <c r="I49" s="8" t="s">
        <v>304</v>
      </c>
      <c r="J49" s="9">
        <v>1</v>
      </c>
      <c r="K49" s="9">
        <v>216</v>
      </c>
      <c r="L49" s="9">
        <v>2024</v>
      </c>
      <c r="M49" s="8" t="s">
        <v>369</v>
      </c>
      <c r="N49" s="8" t="s">
        <v>63</v>
      </c>
      <c r="O49" s="8" t="s">
        <v>64</v>
      </c>
      <c r="P49" s="6" t="s">
        <v>306</v>
      </c>
      <c r="Q49" s="8" t="s">
        <v>65</v>
      </c>
      <c r="R49" s="10" t="s">
        <v>370</v>
      </c>
      <c r="S49" s="11"/>
      <c r="T49" s="6"/>
      <c r="U49" s="15" t="str">
        <f>HYPERLINK("https://media.infra-m.ru/2049/2049711/cover/2049711.jpg", "Обложка")</f>
        <v>Обложка</v>
      </c>
      <c r="V49" s="8" t="s">
        <v>247</v>
      </c>
      <c r="W49" s="6"/>
      <c r="X49" s="6"/>
      <c r="Y49" s="6"/>
      <c r="Z49" s="6"/>
      <c r="AA49" s="6" t="s">
        <v>76</v>
      </c>
      <c r="AB49" s="8"/>
      <c r="AC49" s="27">
        <v>9785160187129</v>
      </c>
    </row>
    <row r="50" spans="1:29" s="4" customFormat="1" ht="42" customHeight="1" x14ac:dyDescent="0.2">
      <c r="A50" s="5">
        <v>0</v>
      </c>
      <c r="B50" s="6" t="s">
        <v>371</v>
      </c>
      <c r="C50" s="7">
        <v>1428</v>
      </c>
      <c r="D50" s="8" t="s">
        <v>372</v>
      </c>
      <c r="E50" s="8" t="s">
        <v>373</v>
      </c>
      <c r="F50" s="8" t="s">
        <v>374</v>
      </c>
      <c r="G50" s="6" t="s">
        <v>60</v>
      </c>
      <c r="H50" s="6" t="s">
        <v>34</v>
      </c>
      <c r="I50" s="8" t="s">
        <v>375</v>
      </c>
      <c r="J50" s="14">
        <v>0</v>
      </c>
      <c r="K50" s="9">
        <v>114</v>
      </c>
      <c r="L50" s="9">
        <v>2026</v>
      </c>
      <c r="M50" s="8" t="s">
        <v>376</v>
      </c>
      <c r="N50" s="8"/>
      <c r="O50" s="8"/>
      <c r="P50" s="6" t="s">
        <v>105</v>
      </c>
      <c r="Q50" s="8" t="s">
        <v>377</v>
      </c>
      <c r="R50" s="10" t="s">
        <v>378</v>
      </c>
      <c r="S50" s="11"/>
      <c r="T50" s="6"/>
      <c r="U50" s="15" t="str">
        <f>HYPERLINK("https://media.infra-m.ru/2253/2253176/cover/2253176.jpg", "Обложка")</f>
        <v>Обложка</v>
      </c>
      <c r="V50" s="8" t="s">
        <v>379</v>
      </c>
      <c r="W50" s="6"/>
      <c r="X50" s="6"/>
      <c r="Y50" s="6"/>
      <c r="Z50" s="6"/>
      <c r="AA50" s="6" t="s">
        <v>187</v>
      </c>
      <c r="AB50" s="8"/>
      <c r="AC50" s="27">
        <v>9785160221373</v>
      </c>
    </row>
    <row r="51" spans="1:29" s="4" customFormat="1" ht="51.9" customHeight="1" x14ac:dyDescent="0.2">
      <c r="A51" s="5">
        <v>0</v>
      </c>
      <c r="B51" s="6" t="s">
        <v>380</v>
      </c>
      <c r="C51" s="7">
        <v>2020.8</v>
      </c>
      <c r="D51" s="8" t="s">
        <v>381</v>
      </c>
      <c r="E51" s="8" t="s">
        <v>382</v>
      </c>
      <c r="F51" s="8" t="s">
        <v>383</v>
      </c>
      <c r="G51" s="6" t="s">
        <v>60</v>
      </c>
      <c r="H51" s="6" t="s">
        <v>34</v>
      </c>
      <c r="I51" s="8"/>
      <c r="J51" s="9">
        <v>1</v>
      </c>
      <c r="K51" s="9">
        <v>306</v>
      </c>
      <c r="L51" s="9">
        <v>2026</v>
      </c>
      <c r="M51" s="8" t="s">
        <v>384</v>
      </c>
      <c r="N51" s="8" t="s">
        <v>243</v>
      </c>
      <c r="O51" s="8" t="s">
        <v>385</v>
      </c>
      <c r="P51" s="6" t="s">
        <v>105</v>
      </c>
      <c r="Q51" s="8" t="s">
        <v>65</v>
      </c>
      <c r="R51" s="10" t="s">
        <v>386</v>
      </c>
      <c r="S51" s="11" t="s">
        <v>387</v>
      </c>
      <c r="T51" s="6"/>
      <c r="U51" s="15" t="str">
        <f>HYPERLINK("https://media.infra-m.ru/2238/2238506/cover/2238506.jpg", "Обложка")</f>
        <v>Обложка</v>
      </c>
      <c r="V51" s="8" t="s">
        <v>379</v>
      </c>
      <c r="W51" s="6"/>
      <c r="X51" s="6"/>
      <c r="Y51" s="6"/>
      <c r="Z51" s="6"/>
      <c r="AA51" s="6" t="s">
        <v>76</v>
      </c>
      <c r="AB51" s="8"/>
      <c r="AC51" s="27">
        <v>9785160199801</v>
      </c>
    </row>
    <row r="52" spans="1:29" s="4" customFormat="1" ht="44.1" customHeight="1" x14ac:dyDescent="0.2">
      <c r="A52" s="5">
        <v>0</v>
      </c>
      <c r="B52" s="6" t="s">
        <v>388</v>
      </c>
      <c r="C52" s="13">
        <v>384</v>
      </c>
      <c r="D52" s="8" t="s">
        <v>389</v>
      </c>
      <c r="E52" s="8" t="s">
        <v>390</v>
      </c>
      <c r="F52" s="8" t="s">
        <v>391</v>
      </c>
      <c r="G52" s="6" t="s">
        <v>33</v>
      </c>
      <c r="H52" s="6" t="s">
        <v>313</v>
      </c>
      <c r="I52" s="8" t="s">
        <v>392</v>
      </c>
      <c r="J52" s="9">
        <v>1</v>
      </c>
      <c r="K52" s="9">
        <v>119</v>
      </c>
      <c r="L52" s="9">
        <v>2017</v>
      </c>
      <c r="M52" s="8" t="s">
        <v>393</v>
      </c>
      <c r="N52" s="8" t="s">
        <v>243</v>
      </c>
      <c r="O52" s="8" t="s">
        <v>244</v>
      </c>
      <c r="P52" s="6" t="s">
        <v>394</v>
      </c>
      <c r="Q52" s="8" t="s">
        <v>52</v>
      </c>
      <c r="R52" s="10" t="s">
        <v>395</v>
      </c>
      <c r="S52" s="11"/>
      <c r="T52" s="6"/>
      <c r="U52" s="15" t="str">
        <f>HYPERLINK("https://media.infra-m.ru/0858/0858775/cover/858775.jpg", "Обложка")</f>
        <v>Обложка</v>
      </c>
      <c r="V52" s="8" t="s">
        <v>396</v>
      </c>
      <c r="W52" s="6"/>
      <c r="X52" s="6"/>
      <c r="Y52" s="6"/>
      <c r="Z52" s="6"/>
      <c r="AA52" s="6" t="s">
        <v>43</v>
      </c>
      <c r="AB52" s="8"/>
      <c r="AC52" s="27">
        <v>9785369010846</v>
      </c>
    </row>
    <row r="53" spans="1:29" s="4" customFormat="1" ht="51.9" customHeight="1" x14ac:dyDescent="0.2">
      <c r="A53" s="5">
        <v>0</v>
      </c>
      <c r="B53" s="6" t="s">
        <v>397</v>
      </c>
      <c r="C53" s="13">
        <v>916.8</v>
      </c>
      <c r="D53" s="8" t="s">
        <v>398</v>
      </c>
      <c r="E53" s="8" t="s">
        <v>399</v>
      </c>
      <c r="F53" s="8" t="s">
        <v>400</v>
      </c>
      <c r="G53" s="6" t="s">
        <v>33</v>
      </c>
      <c r="H53" s="6" t="s">
        <v>313</v>
      </c>
      <c r="I53" s="8" t="s">
        <v>401</v>
      </c>
      <c r="J53" s="9">
        <v>1</v>
      </c>
      <c r="K53" s="9">
        <v>138</v>
      </c>
      <c r="L53" s="9">
        <v>2026</v>
      </c>
      <c r="M53" s="8" t="s">
        <v>402</v>
      </c>
      <c r="N53" s="8" t="s">
        <v>243</v>
      </c>
      <c r="O53" s="8" t="s">
        <v>244</v>
      </c>
      <c r="P53" s="6" t="s">
        <v>394</v>
      </c>
      <c r="Q53" s="8" t="s">
        <v>265</v>
      </c>
      <c r="R53" s="10" t="s">
        <v>403</v>
      </c>
      <c r="S53" s="11"/>
      <c r="T53" s="6"/>
      <c r="U53" s="15" t="str">
        <f>HYPERLINK("https://media.infra-m.ru/2219/2219684/cover/2219684.jpg", "Обложка")</f>
        <v>Обложка</v>
      </c>
      <c r="V53" s="8" t="s">
        <v>396</v>
      </c>
      <c r="W53" s="6"/>
      <c r="X53" s="6"/>
      <c r="Y53" s="6"/>
      <c r="Z53" s="6" t="s">
        <v>267</v>
      </c>
      <c r="AA53" s="6" t="s">
        <v>404</v>
      </c>
      <c r="AB53" s="8"/>
      <c r="AC53" s="27">
        <v>9785369017623</v>
      </c>
    </row>
    <row r="54" spans="1:29" s="4" customFormat="1" ht="44.1" customHeight="1" x14ac:dyDescent="0.2">
      <c r="A54" s="5">
        <v>0</v>
      </c>
      <c r="B54" s="6" t="s">
        <v>405</v>
      </c>
      <c r="C54" s="13">
        <v>964.8</v>
      </c>
      <c r="D54" s="8" t="s">
        <v>406</v>
      </c>
      <c r="E54" s="8" t="s">
        <v>399</v>
      </c>
      <c r="F54" s="8" t="s">
        <v>400</v>
      </c>
      <c r="G54" s="6" t="s">
        <v>33</v>
      </c>
      <c r="H54" s="6" t="s">
        <v>313</v>
      </c>
      <c r="I54" s="8" t="s">
        <v>392</v>
      </c>
      <c r="J54" s="9">
        <v>1</v>
      </c>
      <c r="K54" s="9">
        <v>138</v>
      </c>
      <c r="L54" s="9">
        <v>2023</v>
      </c>
      <c r="M54" s="8" t="s">
        <v>407</v>
      </c>
      <c r="N54" s="8" t="s">
        <v>243</v>
      </c>
      <c r="O54" s="8" t="s">
        <v>244</v>
      </c>
      <c r="P54" s="6" t="s">
        <v>394</v>
      </c>
      <c r="Q54" s="8" t="s">
        <v>52</v>
      </c>
      <c r="R54" s="10" t="s">
        <v>395</v>
      </c>
      <c r="S54" s="11"/>
      <c r="T54" s="6"/>
      <c r="U54" s="15" t="str">
        <f>HYPERLINK("https://media.infra-m.ru/1915/1915342/cover/1915342.jpg", "Обложка")</f>
        <v>Обложка</v>
      </c>
      <c r="V54" s="8" t="s">
        <v>396</v>
      </c>
      <c r="W54" s="6"/>
      <c r="X54" s="6"/>
      <c r="Y54" s="6"/>
      <c r="Z54" s="6"/>
      <c r="AA54" s="6" t="s">
        <v>404</v>
      </c>
      <c r="AB54" s="8"/>
      <c r="AC54" s="27">
        <v>9785369017685</v>
      </c>
    </row>
    <row r="55" spans="1:29" s="4" customFormat="1" ht="42" customHeight="1" x14ac:dyDescent="0.2">
      <c r="A55" s="5">
        <v>0</v>
      </c>
      <c r="B55" s="6" t="s">
        <v>408</v>
      </c>
      <c r="C55" s="7">
        <v>1440</v>
      </c>
      <c r="D55" s="8" t="s">
        <v>409</v>
      </c>
      <c r="E55" s="8" t="s">
        <v>410</v>
      </c>
      <c r="F55" s="8" t="s">
        <v>411</v>
      </c>
      <c r="G55" s="6" t="s">
        <v>118</v>
      </c>
      <c r="H55" s="6" t="s">
        <v>34</v>
      </c>
      <c r="I55" s="8" t="s">
        <v>253</v>
      </c>
      <c r="J55" s="9">
        <v>1</v>
      </c>
      <c r="K55" s="9">
        <v>214</v>
      </c>
      <c r="L55" s="9">
        <v>2025</v>
      </c>
      <c r="M55" s="8" t="s">
        <v>412</v>
      </c>
      <c r="N55" s="8" t="s">
        <v>243</v>
      </c>
      <c r="O55" s="8" t="s">
        <v>385</v>
      </c>
      <c r="P55" s="6" t="s">
        <v>51</v>
      </c>
      <c r="Q55" s="8" t="s">
        <v>65</v>
      </c>
      <c r="R55" s="10" t="s">
        <v>413</v>
      </c>
      <c r="S55" s="11"/>
      <c r="T55" s="6"/>
      <c r="U55" s="15" t="str">
        <f>HYPERLINK("https://media.infra-m.ru/2174/2174716/cover/2174716.jpg", "Обложка")</f>
        <v>Обложка</v>
      </c>
      <c r="V55" s="8" t="s">
        <v>414</v>
      </c>
      <c r="W55" s="6"/>
      <c r="X55" s="6"/>
      <c r="Y55" s="6"/>
      <c r="Z55" s="6"/>
      <c r="AA55" s="6" t="s">
        <v>157</v>
      </c>
      <c r="AB55" s="8"/>
      <c r="AC55" s="27">
        <v>9785160185392</v>
      </c>
    </row>
    <row r="56" spans="1:29" s="4" customFormat="1" ht="42" customHeight="1" x14ac:dyDescent="0.2">
      <c r="A56" s="5">
        <v>0</v>
      </c>
      <c r="B56" s="6" t="s">
        <v>415</v>
      </c>
      <c r="C56" s="7">
        <v>2052</v>
      </c>
      <c r="D56" s="8" t="s">
        <v>416</v>
      </c>
      <c r="E56" s="8" t="s">
        <v>417</v>
      </c>
      <c r="F56" s="8" t="s">
        <v>418</v>
      </c>
      <c r="G56" s="6" t="s">
        <v>60</v>
      </c>
      <c r="H56" s="6" t="s">
        <v>34</v>
      </c>
      <c r="I56" s="8" t="s">
        <v>375</v>
      </c>
      <c r="J56" s="14">
        <v>0</v>
      </c>
      <c r="K56" s="9">
        <v>284</v>
      </c>
      <c r="L56" s="9">
        <v>2027</v>
      </c>
      <c r="M56" s="8" t="s">
        <v>419</v>
      </c>
      <c r="N56" s="8" t="s">
        <v>243</v>
      </c>
      <c r="O56" s="8" t="s">
        <v>385</v>
      </c>
      <c r="P56" s="6" t="s">
        <v>51</v>
      </c>
      <c r="Q56" s="8" t="s">
        <v>65</v>
      </c>
      <c r="R56" s="10" t="s">
        <v>378</v>
      </c>
      <c r="S56" s="11"/>
      <c r="T56" s="6"/>
      <c r="U56" s="15" t="str">
        <f>HYPERLINK("https://media.infra-m.ru/2252/2252505/cover/2252505.jpg", "Обложка")</f>
        <v>Обложка</v>
      </c>
      <c r="V56" s="8" t="s">
        <v>379</v>
      </c>
      <c r="W56" s="6"/>
      <c r="X56" s="6"/>
      <c r="Y56" s="6"/>
      <c r="Z56" s="6"/>
      <c r="AA56" s="6" t="s">
        <v>420</v>
      </c>
      <c r="AB56" s="8"/>
      <c r="AC56" s="27">
        <v>9785160220925</v>
      </c>
    </row>
    <row r="57" spans="1:29" s="4" customFormat="1" ht="51.9" customHeight="1" x14ac:dyDescent="0.2">
      <c r="A57" s="5">
        <v>0</v>
      </c>
      <c r="B57" s="6" t="s">
        <v>421</v>
      </c>
      <c r="C57" s="7">
        <v>2176.8000000000002</v>
      </c>
      <c r="D57" s="8" t="s">
        <v>422</v>
      </c>
      <c r="E57" s="8" t="s">
        <v>423</v>
      </c>
      <c r="F57" s="8" t="s">
        <v>424</v>
      </c>
      <c r="G57" s="6" t="s">
        <v>118</v>
      </c>
      <c r="H57" s="6" t="s">
        <v>34</v>
      </c>
      <c r="I57" s="8" t="s">
        <v>253</v>
      </c>
      <c r="J57" s="9">
        <v>1</v>
      </c>
      <c r="K57" s="9">
        <v>314</v>
      </c>
      <c r="L57" s="9">
        <v>2027</v>
      </c>
      <c r="M57" s="8" t="s">
        <v>425</v>
      </c>
      <c r="N57" s="8" t="s">
        <v>63</v>
      </c>
      <c r="O57" s="8" t="s">
        <v>64</v>
      </c>
      <c r="P57" s="6" t="s">
        <v>306</v>
      </c>
      <c r="Q57" s="8" t="s">
        <v>377</v>
      </c>
      <c r="R57" s="10" t="s">
        <v>426</v>
      </c>
      <c r="S57" s="11" t="s">
        <v>427</v>
      </c>
      <c r="T57" s="6" t="s">
        <v>97</v>
      </c>
      <c r="U57" s="15" t="str">
        <f>HYPERLINK("https://media.infra-m.ru/2246/2246060/cover/2246060.jpg", "Обложка")</f>
        <v>Обложка</v>
      </c>
      <c r="V57" s="8" t="s">
        <v>428</v>
      </c>
      <c r="W57" s="6"/>
      <c r="X57" s="6"/>
      <c r="Y57" s="6"/>
      <c r="Z57" s="6" t="s">
        <v>429</v>
      </c>
      <c r="AA57" s="6" t="s">
        <v>430</v>
      </c>
      <c r="AB57" s="8"/>
      <c r="AC57" s="27">
        <v>9785160209913</v>
      </c>
    </row>
    <row r="58" spans="1:29" s="4" customFormat="1" ht="42" customHeight="1" x14ac:dyDescent="0.2">
      <c r="A58" s="5">
        <v>0</v>
      </c>
      <c r="B58" s="6" t="s">
        <v>431</v>
      </c>
      <c r="C58" s="7">
        <v>2700</v>
      </c>
      <c r="D58" s="8" t="s">
        <v>432</v>
      </c>
      <c r="E58" s="8" t="s">
        <v>433</v>
      </c>
      <c r="F58" s="8" t="s">
        <v>368</v>
      </c>
      <c r="G58" s="6" t="s">
        <v>60</v>
      </c>
      <c r="H58" s="6" t="s">
        <v>34</v>
      </c>
      <c r="I58" s="8" t="s">
        <v>434</v>
      </c>
      <c r="J58" s="9">
        <v>1</v>
      </c>
      <c r="K58" s="9">
        <v>437</v>
      </c>
      <c r="L58" s="9">
        <v>2025</v>
      </c>
      <c r="M58" s="8" t="s">
        <v>435</v>
      </c>
      <c r="N58" s="8" t="s">
        <v>63</v>
      </c>
      <c r="O58" s="8" t="s">
        <v>64</v>
      </c>
      <c r="P58" s="6" t="s">
        <v>306</v>
      </c>
      <c r="Q58" s="8" t="s">
        <v>265</v>
      </c>
      <c r="R58" s="10" t="s">
        <v>436</v>
      </c>
      <c r="S58" s="11"/>
      <c r="T58" s="6"/>
      <c r="U58" s="15" t="str">
        <f>HYPERLINK("https://media.infra-m.ru/2167/2167737/cover/2167737.jpg", "Обложка")</f>
        <v>Обложка</v>
      </c>
      <c r="V58" s="8" t="s">
        <v>247</v>
      </c>
      <c r="W58" s="6"/>
      <c r="X58" s="6"/>
      <c r="Y58" s="6"/>
      <c r="Z58" s="6"/>
      <c r="AA58" s="6" t="s">
        <v>68</v>
      </c>
      <c r="AB58" s="8" t="s">
        <v>437</v>
      </c>
      <c r="AC58" s="27">
        <v>9785160202792</v>
      </c>
    </row>
    <row r="59" spans="1:29" s="4" customFormat="1" ht="51.9" customHeight="1" x14ac:dyDescent="0.2">
      <c r="A59" s="5">
        <v>0</v>
      </c>
      <c r="B59" s="6" t="s">
        <v>438</v>
      </c>
      <c r="C59" s="7">
        <v>3284.4</v>
      </c>
      <c r="D59" s="8" t="s">
        <v>439</v>
      </c>
      <c r="E59" s="8" t="s">
        <v>440</v>
      </c>
      <c r="F59" s="8" t="s">
        <v>441</v>
      </c>
      <c r="G59" s="6" t="s">
        <v>118</v>
      </c>
      <c r="H59" s="6" t="s">
        <v>48</v>
      </c>
      <c r="I59" s="8" t="s">
        <v>263</v>
      </c>
      <c r="J59" s="9">
        <v>1</v>
      </c>
      <c r="K59" s="9">
        <v>383</v>
      </c>
      <c r="L59" s="9">
        <v>2026</v>
      </c>
      <c r="M59" s="8" t="s">
        <v>442</v>
      </c>
      <c r="N59" s="8" t="s">
        <v>63</v>
      </c>
      <c r="O59" s="8" t="s">
        <v>64</v>
      </c>
      <c r="P59" s="6" t="s">
        <v>306</v>
      </c>
      <c r="Q59" s="8" t="s">
        <v>265</v>
      </c>
      <c r="R59" s="10" t="s">
        <v>443</v>
      </c>
      <c r="S59" s="11" t="s">
        <v>444</v>
      </c>
      <c r="T59" s="6"/>
      <c r="U59" s="15" t="str">
        <f>HYPERLINK("https://media.infra-m.ru/2257/2257218/cover/2257218.jpg", "Обложка")</f>
        <v>Обложка</v>
      </c>
      <c r="V59" s="8" t="s">
        <v>445</v>
      </c>
      <c r="W59" s="6"/>
      <c r="X59" s="6" t="s">
        <v>24</v>
      </c>
      <c r="Y59" s="6"/>
      <c r="Z59" s="6"/>
      <c r="AA59" s="6" t="s">
        <v>446</v>
      </c>
      <c r="AB59" s="8"/>
      <c r="AC59" s="27">
        <v>9785000917756</v>
      </c>
    </row>
    <row r="60" spans="1:29" s="4" customFormat="1" ht="51.9" customHeight="1" x14ac:dyDescent="0.2">
      <c r="A60" s="5">
        <v>0</v>
      </c>
      <c r="B60" s="6" t="s">
        <v>447</v>
      </c>
      <c r="C60" s="7">
        <v>3048</v>
      </c>
      <c r="D60" s="8" t="s">
        <v>448</v>
      </c>
      <c r="E60" s="8" t="s">
        <v>449</v>
      </c>
      <c r="F60" s="8" t="s">
        <v>450</v>
      </c>
      <c r="G60" s="6" t="s">
        <v>60</v>
      </c>
      <c r="H60" s="6" t="s">
        <v>34</v>
      </c>
      <c r="I60" s="8" t="s">
        <v>434</v>
      </c>
      <c r="J60" s="9">
        <v>1</v>
      </c>
      <c r="K60" s="9">
        <v>462</v>
      </c>
      <c r="L60" s="9">
        <v>2026</v>
      </c>
      <c r="M60" s="8" t="s">
        <v>451</v>
      </c>
      <c r="N60" s="8" t="s">
        <v>63</v>
      </c>
      <c r="O60" s="8" t="s">
        <v>64</v>
      </c>
      <c r="P60" s="6" t="s">
        <v>306</v>
      </c>
      <c r="Q60" s="8" t="s">
        <v>265</v>
      </c>
      <c r="R60" s="10" t="s">
        <v>452</v>
      </c>
      <c r="S60" s="11"/>
      <c r="T60" s="6"/>
      <c r="U60" s="15" t="str">
        <f>HYPERLINK("https://media.infra-m.ru/2248/2248350/cover/2248350.jpg", "Обложка")</f>
        <v>Обложка</v>
      </c>
      <c r="V60" s="8" t="s">
        <v>247</v>
      </c>
      <c r="W60" s="6"/>
      <c r="X60" s="6"/>
      <c r="Y60" s="6"/>
      <c r="Z60" s="6"/>
      <c r="AA60" s="6" t="s">
        <v>157</v>
      </c>
      <c r="AB60" s="8"/>
      <c r="AC60" s="27">
        <v>9785160185095</v>
      </c>
    </row>
    <row r="61" spans="1:29" s="4" customFormat="1" ht="44.1" customHeight="1" x14ac:dyDescent="0.2">
      <c r="A61" s="5">
        <v>0</v>
      </c>
      <c r="B61" s="6" t="s">
        <v>453</v>
      </c>
      <c r="C61" s="7">
        <v>1944</v>
      </c>
      <c r="D61" s="8" t="s">
        <v>454</v>
      </c>
      <c r="E61" s="8" t="s">
        <v>455</v>
      </c>
      <c r="F61" s="8" t="s">
        <v>456</v>
      </c>
      <c r="G61" s="6" t="s">
        <v>60</v>
      </c>
      <c r="H61" s="6" t="s">
        <v>34</v>
      </c>
      <c r="I61" s="8" t="s">
        <v>457</v>
      </c>
      <c r="J61" s="9">
        <v>1</v>
      </c>
      <c r="K61" s="9">
        <v>426</v>
      </c>
      <c r="L61" s="9">
        <v>2022</v>
      </c>
      <c r="M61" s="8" t="s">
        <v>458</v>
      </c>
      <c r="N61" s="8" t="s">
        <v>37</v>
      </c>
      <c r="O61" s="8" t="s">
        <v>233</v>
      </c>
      <c r="P61" s="6" t="s">
        <v>39</v>
      </c>
      <c r="Q61" s="8" t="s">
        <v>40</v>
      </c>
      <c r="R61" s="10" t="s">
        <v>459</v>
      </c>
      <c r="S61" s="11"/>
      <c r="T61" s="6"/>
      <c r="U61" s="15" t="str">
        <f>HYPERLINK("https://media.infra-m.ru/1846/1846180/cover/1846180.jpg", "Обложка")</f>
        <v>Обложка</v>
      </c>
      <c r="V61" s="8" t="s">
        <v>227</v>
      </c>
      <c r="W61" s="6"/>
      <c r="X61" s="6"/>
      <c r="Y61" s="6"/>
      <c r="Z61" s="6"/>
      <c r="AA61" s="6" t="s">
        <v>148</v>
      </c>
      <c r="AB61" s="8"/>
      <c r="AC61" s="27">
        <v>9785160173740</v>
      </c>
    </row>
    <row r="62" spans="1:29" s="4" customFormat="1" ht="42" customHeight="1" x14ac:dyDescent="0.2">
      <c r="A62" s="5">
        <v>0</v>
      </c>
      <c r="B62" s="6" t="s">
        <v>460</v>
      </c>
      <c r="C62" s="7">
        <v>1788</v>
      </c>
      <c r="D62" s="8" t="s">
        <v>461</v>
      </c>
      <c r="E62" s="8" t="s">
        <v>462</v>
      </c>
      <c r="F62" s="8" t="s">
        <v>463</v>
      </c>
      <c r="G62" s="6" t="s">
        <v>60</v>
      </c>
      <c r="H62" s="6" t="s">
        <v>34</v>
      </c>
      <c r="I62" s="8" t="s">
        <v>35</v>
      </c>
      <c r="J62" s="9">
        <v>1</v>
      </c>
      <c r="K62" s="9">
        <v>401</v>
      </c>
      <c r="L62" s="9">
        <v>2021</v>
      </c>
      <c r="M62" s="8" t="s">
        <v>464</v>
      </c>
      <c r="N62" s="8" t="s">
        <v>63</v>
      </c>
      <c r="O62" s="8" t="s">
        <v>126</v>
      </c>
      <c r="P62" s="6" t="s">
        <v>39</v>
      </c>
      <c r="Q62" s="8" t="s">
        <v>40</v>
      </c>
      <c r="R62" s="10" t="s">
        <v>465</v>
      </c>
      <c r="S62" s="11"/>
      <c r="T62" s="6"/>
      <c r="U62" s="15" t="str">
        <f>HYPERLINK("https://media.infra-m.ru/1064/1064931/cover/1064931.jpg", "Обложка")</f>
        <v>Обложка</v>
      </c>
      <c r="V62" s="8" t="s">
        <v>466</v>
      </c>
      <c r="W62" s="6"/>
      <c r="X62" s="6"/>
      <c r="Y62" s="6"/>
      <c r="Z62" s="6"/>
      <c r="AA62" s="6" t="s">
        <v>430</v>
      </c>
      <c r="AB62" s="8" t="s">
        <v>467</v>
      </c>
      <c r="AC62" s="27">
        <v>9785160158822</v>
      </c>
    </row>
    <row r="63" spans="1:29" s="4" customFormat="1" ht="44.1" customHeight="1" x14ac:dyDescent="0.2">
      <c r="A63" s="5">
        <v>0</v>
      </c>
      <c r="B63" s="6" t="s">
        <v>468</v>
      </c>
      <c r="C63" s="7">
        <v>1512</v>
      </c>
      <c r="D63" s="8" t="s">
        <v>469</v>
      </c>
      <c r="E63" s="8" t="s">
        <v>470</v>
      </c>
      <c r="F63" s="8" t="s">
        <v>471</v>
      </c>
      <c r="G63" s="6" t="s">
        <v>60</v>
      </c>
      <c r="H63" s="6" t="s">
        <v>34</v>
      </c>
      <c r="I63" s="8" t="s">
        <v>35</v>
      </c>
      <c r="J63" s="9">
        <v>1</v>
      </c>
      <c r="K63" s="9">
        <v>251</v>
      </c>
      <c r="L63" s="9">
        <v>2024</v>
      </c>
      <c r="M63" s="8" t="s">
        <v>472</v>
      </c>
      <c r="N63" s="8" t="s">
        <v>37</v>
      </c>
      <c r="O63" s="8" t="s">
        <v>233</v>
      </c>
      <c r="P63" s="6" t="s">
        <v>39</v>
      </c>
      <c r="Q63" s="8" t="s">
        <v>40</v>
      </c>
      <c r="R63" s="10" t="s">
        <v>473</v>
      </c>
      <c r="S63" s="11"/>
      <c r="T63" s="6"/>
      <c r="U63" s="15" t="str">
        <f>HYPERLINK("https://media.infra-m.ru/2049/2049716/cover/2049716.jpg", "Обложка")</f>
        <v>Обложка</v>
      </c>
      <c r="V63" s="8" t="s">
        <v>396</v>
      </c>
      <c r="W63" s="6"/>
      <c r="X63" s="6"/>
      <c r="Y63" s="6"/>
      <c r="Z63" s="6"/>
      <c r="AA63" s="6" t="s">
        <v>76</v>
      </c>
      <c r="AB63" s="8"/>
      <c r="AC63" s="27">
        <v>9785160187174</v>
      </c>
    </row>
    <row r="64" spans="1:29" s="4" customFormat="1" ht="51.9" customHeight="1" x14ac:dyDescent="0.2">
      <c r="A64" s="5">
        <v>0</v>
      </c>
      <c r="B64" s="6" t="s">
        <v>474</v>
      </c>
      <c r="C64" s="7">
        <v>1864.8</v>
      </c>
      <c r="D64" s="8" t="s">
        <v>475</v>
      </c>
      <c r="E64" s="8" t="s">
        <v>476</v>
      </c>
      <c r="F64" s="8" t="s">
        <v>477</v>
      </c>
      <c r="G64" s="6" t="s">
        <v>118</v>
      </c>
      <c r="H64" s="6" t="s">
        <v>34</v>
      </c>
      <c r="I64" s="8" t="s">
        <v>263</v>
      </c>
      <c r="J64" s="9">
        <v>1</v>
      </c>
      <c r="K64" s="9">
        <v>282</v>
      </c>
      <c r="L64" s="9">
        <v>2026</v>
      </c>
      <c r="M64" s="8" t="s">
        <v>478</v>
      </c>
      <c r="N64" s="8" t="s">
        <v>63</v>
      </c>
      <c r="O64" s="8" t="s">
        <v>64</v>
      </c>
      <c r="P64" s="6" t="s">
        <v>51</v>
      </c>
      <c r="Q64" s="8" t="s">
        <v>265</v>
      </c>
      <c r="R64" s="10" t="s">
        <v>479</v>
      </c>
      <c r="S64" s="11" t="s">
        <v>480</v>
      </c>
      <c r="T64" s="6"/>
      <c r="U64" s="15" t="str">
        <f>HYPERLINK("https://media.infra-m.ru/2235/2235488/cover/2235488.jpg", "Обложка")</f>
        <v>Обложка</v>
      </c>
      <c r="V64" s="8" t="s">
        <v>292</v>
      </c>
      <c r="W64" s="6"/>
      <c r="X64" s="6"/>
      <c r="Y64" s="6"/>
      <c r="Z64" s="6" t="s">
        <v>267</v>
      </c>
      <c r="AA64" s="6" t="s">
        <v>115</v>
      </c>
      <c r="AB64" s="8"/>
      <c r="AC64" s="27">
        <v>9785160141480</v>
      </c>
    </row>
    <row r="65" spans="1:29" s="4" customFormat="1" ht="51.9" customHeight="1" x14ac:dyDescent="0.2">
      <c r="A65" s="5">
        <v>0</v>
      </c>
      <c r="B65" s="6" t="s">
        <v>481</v>
      </c>
      <c r="C65" s="7">
        <v>1864.8</v>
      </c>
      <c r="D65" s="8" t="s">
        <v>482</v>
      </c>
      <c r="E65" s="8" t="s">
        <v>476</v>
      </c>
      <c r="F65" s="8" t="s">
        <v>477</v>
      </c>
      <c r="G65" s="6" t="s">
        <v>118</v>
      </c>
      <c r="H65" s="6" t="s">
        <v>34</v>
      </c>
      <c r="I65" s="8" t="s">
        <v>271</v>
      </c>
      <c r="J65" s="9">
        <v>1</v>
      </c>
      <c r="K65" s="9">
        <v>282</v>
      </c>
      <c r="L65" s="9">
        <v>2026</v>
      </c>
      <c r="M65" s="8" t="s">
        <v>483</v>
      </c>
      <c r="N65" s="8" t="s">
        <v>63</v>
      </c>
      <c r="O65" s="8" t="s">
        <v>64</v>
      </c>
      <c r="P65" s="6" t="s">
        <v>51</v>
      </c>
      <c r="Q65" s="8" t="s">
        <v>52</v>
      </c>
      <c r="R65" s="10" t="s">
        <v>484</v>
      </c>
      <c r="S65" s="11" t="s">
        <v>485</v>
      </c>
      <c r="T65" s="6"/>
      <c r="U65" s="15" t="str">
        <f>HYPERLINK("https://media.infra-m.ru/2129/2129506/cover/2129506.jpg", "Обложка")</f>
        <v>Обложка</v>
      </c>
      <c r="V65" s="8" t="s">
        <v>292</v>
      </c>
      <c r="W65" s="6"/>
      <c r="X65" s="6"/>
      <c r="Y65" s="6"/>
      <c r="Z65" s="6"/>
      <c r="AA65" s="6" t="s">
        <v>55</v>
      </c>
      <c r="AB65" s="8"/>
      <c r="AC65" s="27">
        <v>9785160056654</v>
      </c>
    </row>
    <row r="66" spans="1:29" s="4" customFormat="1" ht="51.9" customHeight="1" x14ac:dyDescent="0.2">
      <c r="A66" s="5">
        <v>0</v>
      </c>
      <c r="B66" s="6" t="s">
        <v>486</v>
      </c>
      <c r="C66" s="7">
        <v>2592</v>
      </c>
      <c r="D66" s="8" t="s">
        <v>487</v>
      </c>
      <c r="E66" s="8" t="s">
        <v>488</v>
      </c>
      <c r="F66" s="8" t="s">
        <v>489</v>
      </c>
      <c r="G66" s="6" t="s">
        <v>118</v>
      </c>
      <c r="H66" s="6" t="s">
        <v>34</v>
      </c>
      <c r="I66" s="8" t="s">
        <v>253</v>
      </c>
      <c r="J66" s="9">
        <v>1</v>
      </c>
      <c r="K66" s="9">
        <v>393</v>
      </c>
      <c r="L66" s="9">
        <v>2026</v>
      </c>
      <c r="M66" s="8" t="s">
        <v>490</v>
      </c>
      <c r="N66" s="8" t="s">
        <v>37</v>
      </c>
      <c r="O66" s="8" t="s">
        <v>280</v>
      </c>
      <c r="P66" s="6" t="s">
        <v>306</v>
      </c>
      <c r="Q66" s="8" t="s">
        <v>52</v>
      </c>
      <c r="R66" s="10" t="s">
        <v>491</v>
      </c>
      <c r="S66" s="11" t="s">
        <v>492</v>
      </c>
      <c r="T66" s="6"/>
      <c r="U66" s="15" t="str">
        <f>HYPERLINK("https://media.infra-m.ru/2243/2243285/cover/2243285.jpg", "Обложка")</f>
        <v>Обложка</v>
      </c>
      <c r="V66" s="8" t="s">
        <v>396</v>
      </c>
      <c r="W66" s="6"/>
      <c r="X66" s="6"/>
      <c r="Y66" s="6"/>
      <c r="Z66" s="6"/>
      <c r="AA66" s="6" t="s">
        <v>86</v>
      </c>
      <c r="AB66" s="8" t="s">
        <v>493</v>
      </c>
      <c r="AC66" s="27">
        <v>9785160190549</v>
      </c>
    </row>
    <row r="67" spans="1:29" s="4" customFormat="1" ht="51.9" customHeight="1" x14ac:dyDescent="0.2">
      <c r="A67" s="5">
        <v>0</v>
      </c>
      <c r="B67" s="6" t="s">
        <v>494</v>
      </c>
      <c r="C67" s="7">
        <v>1044</v>
      </c>
      <c r="D67" s="8" t="s">
        <v>495</v>
      </c>
      <c r="E67" s="8" t="s">
        <v>496</v>
      </c>
      <c r="F67" s="8" t="s">
        <v>497</v>
      </c>
      <c r="G67" s="6" t="s">
        <v>118</v>
      </c>
      <c r="H67" s="6" t="s">
        <v>34</v>
      </c>
      <c r="I67" s="8" t="s">
        <v>253</v>
      </c>
      <c r="J67" s="9">
        <v>1</v>
      </c>
      <c r="K67" s="9">
        <v>143</v>
      </c>
      <c r="L67" s="9">
        <v>2026</v>
      </c>
      <c r="M67" s="8" t="s">
        <v>498</v>
      </c>
      <c r="N67" s="8" t="s">
        <v>37</v>
      </c>
      <c r="O67" s="8" t="s">
        <v>499</v>
      </c>
      <c r="P67" s="6" t="s">
        <v>51</v>
      </c>
      <c r="Q67" s="8" t="s">
        <v>500</v>
      </c>
      <c r="R67" s="10" t="s">
        <v>501</v>
      </c>
      <c r="S67" s="11"/>
      <c r="T67" s="6"/>
      <c r="U67" s="15" t="str">
        <f>HYPERLINK("https://media.infra-m.ru/2249/2249355/cover/2249355.jpg", "Обложка")</f>
        <v>Обложка</v>
      </c>
      <c r="V67" s="8" t="s">
        <v>247</v>
      </c>
      <c r="W67" s="6"/>
      <c r="X67" s="6"/>
      <c r="Y67" s="6"/>
      <c r="Z67" s="6"/>
      <c r="AA67" s="6" t="s">
        <v>129</v>
      </c>
      <c r="AB67" s="8"/>
      <c r="AC67" s="27">
        <v>9785160220819</v>
      </c>
    </row>
    <row r="68" spans="1:29" s="4" customFormat="1" ht="51.9" customHeight="1" x14ac:dyDescent="0.2">
      <c r="A68" s="5">
        <v>0</v>
      </c>
      <c r="B68" s="6" t="s">
        <v>502</v>
      </c>
      <c r="C68" s="13">
        <v>988.8</v>
      </c>
      <c r="D68" s="8" t="s">
        <v>503</v>
      </c>
      <c r="E68" s="8" t="s">
        <v>496</v>
      </c>
      <c r="F68" s="8" t="s">
        <v>497</v>
      </c>
      <c r="G68" s="6" t="s">
        <v>21</v>
      </c>
      <c r="H68" s="6" t="s">
        <v>34</v>
      </c>
      <c r="I68" s="8" t="s">
        <v>504</v>
      </c>
      <c r="J68" s="9">
        <v>1</v>
      </c>
      <c r="K68" s="9">
        <v>143</v>
      </c>
      <c r="L68" s="9">
        <v>2026</v>
      </c>
      <c r="M68" s="8" t="s">
        <v>505</v>
      </c>
      <c r="N68" s="8" t="s">
        <v>37</v>
      </c>
      <c r="O68" s="8" t="s">
        <v>499</v>
      </c>
      <c r="P68" s="6" t="s">
        <v>51</v>
      </c>
      <c r="Q68" s="8" t="s">
        <v>500</v>
      </c>
      <c r="R68" s="10" t="s">
        <v>501</v>
      </c>
      <c r="S68" s="11"/>
      <c r="T68" s="6"/>
      <c r="U68" s="15" t="str">
        <f>HYPERLINK("https://media.infra-m.ru/2218/2218854/cover/2218854.jpg", "Обложка")</f>
        <v>Обложка</v>
      </c>
      <c r="V68" s="8" t="s">
        <v>247</v>
      </c>
      <c r="W68" s="6"/>
      <c r="X68" s="6"/>
      <c r="Y68" s="6"/>
      <c r="Z68" s="6"/>
      <c r="AA68" s="6" t="s">
        <v>129</v>
      </c>
      <c r="AB68" s="8"/>
      <c r="AC68" s="27">
        <v>9785160175768</v>
      </c>
    </row>
    <row r="69" spans="1:29" s="4" customFormat="1" ht="42" customHeight="1" x14ac:dyDescent="0.2">
      <c r="A69" s="5">
        <v>0</v>
      </c>
      <c r="B69" s="6" t="s">
        <v>506</v>
      </c>
      <c r="C69" s="7">
        <v>1133.9000000000001</v>
      </c>
      <c r="D69" s="8" t="s">
        <v>507</v>
      </c>
      <c r="E69" s="8" t="s">
        <v>508</v>
      </c>
      <c r="F69" s="8" t="s">
        <v>509</v>
      </c>
      <c r="G69" s="6" t="s">
        <v>60</v>
      </c>
      <c r="H69" s="6" t="s">
        <v>34</v>
      </c>
      <c r="I69" s="8" t="s">
        <v>35</v>
      </c>
      <c r="J69" s="9">
        <v>1</v>
      </c>
      <c r="K69" s="9">
        <v>242</v>
      </c>
      <c r="L69" s="9">
        <v>2022</v>
      </c>
      <c r="M69" s="8" t="s">
        <v>510</v>
      </c>
      <c r="N69" s="8" t="s">
        <v>63</v>
      </c>
      <c r="O69" s="8" t="s">
        <v>126</v>
      </c>
      <c r="P69" s="6" t="s">
        <v>39</v>
      </c>
      <c r="Q69" s="8" t="s">
        <v>40</v>
      </c>
      <c r="R69" s="10" t="s">
        <v>511</v>
      </c>
      <c r="S69" s="11"/>
      <c r="T69" s="6"/>
      <c r="U69" s="15" t="str">
        <f>HYPERLINK("https://media.infra-m.ru/1859/1859837/cover/1859837.jpg", "Обложка")</f>
        <v>Обложка</v>
      </c>
      <c r="V69" s="8" t="s">
        <v>512</v>
      </c>
      <c r="W69" s="6"/>
      <c r="X69" s="6"/>
      <c r="Y69" s="6"/>
      <c r="Z69" s="6"/>
      <c r="AA69" s="6" t="s">
        <v>86</v>
      </c>
      <c r="AB69" s="8"/>
      <c r="AC69" s="27">
        <v>9785160136158</v>
      </c>
    </row>
    <row r="70" spans="1:29" s="4" customFormat="1" ht="51.9" customHeight="1" x14ac:dyDescent="0.2">
      <c r="A70" s="5">
        <v>0</v>
      </c>
      <c r="B70" s="6" t="s">
        <v>513</v>
      </c>
      <c r="C70" s="7">
        <v>1488</v>
      </c>
      <c r="D70" s="8" t="s">
        <v>514</v>
      </c>
      <c r="E70" s="8" t="s">
        <v>515</v>
      </c>
      <c r="F70" s="8" t="s">
        <v>516</v>
      </c>
      <c r="G70" s="6" t="s">
        <v>33</v>
      </c>
      <c r="H70" s="6" t="s">
        <v>34</v>
      </c>
      <c r="I70" s="8" t="s">
        <v>517</v>
      </c>
      <c r="J70" s="9">
        <v>1</v>
      </c>
      <c r="K70" s="9">
        <v>224</v>
      </c>
      <c r="L70" s="9">
        <v>2026</v>
      </c>
      <c r="M70" s="8" t="s">
        <v>518</v>
      </c>
      <c r="N70" s="8" t="s">
        <v>37</v>
      </c>
      <c r="O70" s="8" t="s">
        <v>280</v>
      </c>
      <c r="P70" s="6" t="s">
        <v>234</v>
      </c>
      <c r="Q70" s="8" t="s">
        <v>40</v>
      </c>
      <c r="R70" s="10" t="s">
        <v>519</v>
      </c>
      <c r="S70" s="11"/>
      <c r="T70" s="6"/>
      <c r="U70" s="15" t="str">
        <f>HYPERLINK("https://media.infra-m.ru/2235/2235492/cover/2235492.jpg", "Обложка")</f>
        <v>Обложка</v>
      </c>
      <c r="V70" s="8" t="s">
        <v>520</v>
      </c>
      <c r="W70" s="6"/>
      <c r="X70" s="6"/>
      <c r="Y70" s="6"/>
      <c r="Z70" s="6"/>
      <c r="AA70" s="6" t="s">
        <v>274</v>
      </c>
      <c r="AB70" s="8"/>
      <c r="AC70" s="27">
        <v>9785160098043</v>
      </c>
    </row>
    <row r="71" spans="1:29" s="4" customFormat="1" ht="51.9" customHeight="1" x14ac:dyDescent="0.2">
      <c r="A71" s="5">
        <v>0</v>
      </c>
      <c r="B71" s="6" t="s">
        <v>521</v>
      </c>
      <c r="C71" s="7">
        <v>2938.8</v>
      </c>
      <c r="D71" s="8" t="s">
        <v>522</v>
      </c>
      <c r="E71" s="8" t="s">
        <v>523</v>
      </c>
      <c r="F71" s="8" t="s">
        <v>524</v>
      </c>
      <c r="G71" s="6" t="s">
        <v>60</v>
      </c>
      <c r="H71" s="6" t="s">
        <v>34</v>
      </c>
      <c r="I71" s="8" t="s">
        <v>375</v>
      </c>
      <c r="J71" s="9">
        <v>1</v>
      </c>
      <c r="K71" s="9">
        <v>304</v>
      </c>
      <c r="L71" s="9">
        <v>2026</v>
      </c>
      <c r="M71" s="8" t="s">
        <v>525</v>
      </c>
      <c r="N71" s="8" t="s">
        <v>243</v>
      </c>
      <c r="O71" s="8" t="s">
        <v>385</v>
      </c>
      <c r="P71" s="6" t="s">
        <v>51</v>
      </c>
      <c r="Q71" s="8" t="s">
        <v>65</v>
      </c>
      <c r="R71" s="10" t="s">
        <v>526</v>
      </c>
      <c r="S71" s="11"/>
      <c r="T71" s="6"/>
      <c r="U71" s="15" t="str">
        <f>HYPERLINK("https://media.infra-m.ru/2233/2233195/cover/2233195.jpg", "Обложка")</f>
        <v>Обложка</v>
      </c>
      <c r="V71" s="8" t="s">
        <v>527</v>
      </c>
      <c r="W71" s="6" t="s">
        <v>528</v>
      </c>
      <c r="X71" s="6"/>
      <c r="Y71" s="6"/>
      <c r="Z71" s="6"/>
      <c r="AA71" s="6" t="s">
        <v>187</v>
      </c>
      <c r="AB71" s="8"/>
      <c r="AC71" s="27">
        <v>9785160216379</v>
      </c>
    </row>
    <row r="72" spans="1:29" s="4" customFormat="1" ht="51.9" customHeight="1" x14ac:dyDescent="0.2">
      <c r="A72" s="5">
        <v>0</v>
      </c>
      <c r="B72" s="6" t="s">
        <v>529</v>
      </c>
      <c r="C72" s="7">
        <v>3058.8</v>
      </c>
      <c r="D72" s="8" t="s">
        <v>530</v>
      </c>
      <c r="E72" s="8" t="s">
        <v>531</v>
      </c>
      <c r="F72" s="8" t="s">
        <v>524</v>
      </c>
      <c r="G72" s="6" t="s">
        <v>60</v>
      </c>
      <c r="H72" s="6" t="s">
        <v>34</v>
      </c>
      <c r="I72" s="8" t="s">
        <v>375</v>
      </c>
      <c r="J72" s="9">
        <v>1</v>
      </c>
      <c r="K72" s="9">
        <v>315</v>
      </c>
      <c r="L72" s="9">
        <v>2026</v>
      </c>
      <c r="M72" s="8" t="s">
        <v>532</v>
      </c>
      <c r="N72" s="8" t="s">
        <v>243</v>
      </c>
      <c r="O72" s="8" t="s">
        <v>385</v>
      </c>
      <c r="P72" s="6" t="s">
        <v>51</v>
      </c>
      <c r="Q72" s="8" t="s">
        <v>65</v>
      </c>
      <c r="R72" s="10" t="s">
        <v>533</v>
      </c>
      <c r="S72" s="11"/>
      <c r="T72" s="6"/>
      <c r="U72" s="15" t="str">
        <f>HYPERLINK("https://media.infra-m.ru/2233/2233197/cover/2233197.jpg", "Обложка")</f>
        <v>Обложка</v>
      </c>
      <c r="V72" s="8" t="s">
        <v>527</v>
      </c>
      <c r="W72" s="6" t="s">
        <v>528</v>
      </c>
      <c r="X72" s="6"/>
      <c r="Y72" s="6"/>
      <c r="Z72" s="6"/>
      <c r="AA72" s="6" t="s">
        <v>187</v>
      </c>
      <c r="AB72" s="8"/>
      <c r="AC72" s="27">
        <v>9785160216416</v>
      </c>
    </row>
    <row r="73" spans="1:29" s="4" customFormat="1" ht="42" customHeight="1" x14ac:dyDescent="0.2">
      <c r="A73" s="5">
        <v>0</v>
      </c>
      <c r="B73" s="6" t="s">
        <v>534</v>
      </c>
      <c r="C73" s="7">
        <v>1392</v>
      </c>
      <c r="D73" s="8" t="s">
        <v>535</v>
      </c>
      <c r="E73" s="8" t="s">
        <v>536</v>
      </c>
      <c r="F73" s="8" t="s">
        <v>537</v>
      </c>
      <c r="G73" s="6" t="s">
        <v>118</v>
      </c>
      <c r="H73" s="6" t="s">
        <v>34</v>
      </c>
      <c r="I73" s="8" t="s">
        <v>304</v>
      </c>
      <c r="J73" s="9">
        <v>1</v>
      </c>
      <c r="K73" s="9">
        <v>201</v>
      </c>
      <c r="L73" s="9">
        <v>2027</v>
      </c>
      <c r="M73" s="8" t="s">
        <v>538</v>
      </c>
      <c r="N73" s="8" t="s">
        <v>63</v>
      </c>
      <c r="O73" s="8" t="s">
        <v>64</v>
      </c>
      <c r="P73" s="6" t="s">
        <v>51</v>
      </c>
      <c r="Q73" s="8" t="s">
        <v>65</v>
      </c>
      <c r="R73" s="10" t="s">
        <v>539</v>
      </c>
      <c r="S73" s="11"/>
      <c r="T73" s="6"/>
      <c r="U73" s="15" t="str">
        <f>HYPERLINK("https://media.infra-m.ru/2271/2271301/cover/2271301.jpg", "Обложка")</f>
        <v>Обложка</v>
      </c>
      <c r="V73" s="8" t="s">
        <v>247</v>
      </c>
      <c r="W73" s="6"/>
      <c r="X73" s="6"/>
      <c r="Y73" s="6"/>
      <c r="Z73" s="6"/>
      <c r="AA73" s="6" t="s">
        <v>76</v>
      </c>
      <c r="AB73" s="8"/>
      <c r="AC73" s="27">
        <v>9785160198088</v>
      </c>
    </row>
    <row r="74" spans="1:29" s="4" customFormat="1" ht="51.9" customHeight="1" x14ac:dyDescent="0.2">
      <c r="A74" s="5">
        <v>0</v>
      </c>
      <c r="B74" s="6" t="s">
        <v>540</v>
      </c>
      <c r="C74" s="7">
        <v>2340</v>
      </c>
      <c r="D74" s="8" t="s">
        <v>541</v>
      </c>
      <c r="E74" s="8" t="s">
        <v>542</v>
      </c>
      <c r="F74" s="8" t="s">
        <v>543</v>
      </c>
      <c r="G74" s="6" t="s">
        <v>60</v>
      </c>
      <c r="H74" s="6" t="s">
        <v>34</v>
      </c>
      <c r="I74" s="8" t="s">
        <v>35</v>
      </c>
      <c r="J74" s="9">
        <v>1</v>
      </c>
      <c r="K74" s="9">
        <v>336</v>
      </c>
      <c r="L74" s="9">
        <v>2026</v>
      </c>
      <c r="M74" s="8" t="s">
        <v>544</v>
      </c>
      <c r="N74" s="8" t="s">
        <v>37</v>
      </c>
      <c r="O74" s="8" t="s">
        <v>233</v>
      </c>
      <c r="P74" s="6" t="s">
        <v>39</v>
      </c>
      <c r="Q74" s="8" t="s">
        <v>40</v>
      </c>
      <c r="R74" s="10" t="s">
        <v>545</v>
      </c>
      <c r="S74" s="11"/>
      <c r="T74" s="6"/>
      <c r="U74" s="15" t="str">
        <f>HYPERLINK("https://media.infra-m.ru/2206/2206489/cover/2206489.jpg", "Обложка")</f>
        <v>Обложка</v>
      </c>
      <c r="V74" s="8" t="s">
        <v>546</v>
      </c>
      <c r="W74" s="6" t="s">
        <v>547</v>
      </c>
      <c r="X74" s="6"/>
      <c r="Y74" s="6"/>
      <c r="Z74" s="6"/>
      <c r="AA74" s="6" t="s">
        <v>187</v>
      </c>
      <c r="AB74" s="8" t="s">
        <v>308</v>
      </c>
      <c r="AC74" s="27">
        <v>9785160209401</v>
      </c>
    </row>
    <row r="75" spans="1:29" s="4" customFormat="1" ht="42" customHeight="1" x14ac:dyDescent="0.2">
      <c r="A75" s="5">
        <v>0</v>
      </c>
      <c r="B75" s="6" t="s">
        <v>548</v>
      </c>
      <c r="C75" s="13">
        <v>840</v>
      </c>
      <c r="D75" s="8" t="s">
        <v>549</v>
      </c>
      <c r="E75" s="8" t="s">
        <v>550</v>
      </c>
      <c r="F75" s="8" t="s">
        <v>551</v>
      </c>
      <c r="G75" s="6" t="s">
        <v>33</v>
      </c>
      <c r="H75" s="6" t="s">
        <v>34</v>
      </c>
      <c r="I75" s="8" t="s">
        <v>253</v>
      </c>
      <c r="J75" s="9">
        <v>1</v>
      </c>
      <c r="K75" s="9">
        <v>127</v>
      </c>
      <c r="L75" s="9">
        <v>2026</v>
      </c>
      <c r="M75" s="8" t="s">
        <v>552</v>
      </c>
      <c r="N75" s="8" t="s">
        <v>63</v>
      </c>
      <c r="O75" s="8" t="s">
        <v>64</v>
      </c>
      <c r="P75" s="6" t="s">
        <v>51</v>
      </c>
      <c r="Q75" s="8" t="s">
        <v>52</v>
      </c>
      <c r="R75" s="10" t="s">
        <v>553</v>
      </c>
      <c r="S75" s="11"/>
      <c r="T75" s="6"/>
      <c r="U75" s="15" t="str">
        <f>HYPERLINK("https://media.infra-m.ru/2235/2235498/cover/2235498.jpg", "Обложка")</f>
        <v>Обложка</v>
      </c>
      <c r="V75" s="8" t="s">
        <v>322</v>
      </c>
      <c r="W75" s="6"/>
      <c r="X75" s="6"/>
      <c r="Y75" s="6"/>
      <c r="Z75" s="6"/>
      <c r="AA75" s="6" t="s">
        <v>43</v>
      </c>
      <c r="AB75" s="8"/>
      <c r="AC75" s="27">
        <v>9785160178912</v>
      </c>
    </row>
    <row r="76" spans="1:29" s="4" customFormat="1" ht="51.9" customHeight="1" x14ac:dyDescent="0.2">
      <c r="A76" s="5">
        <v>0</v>
      </c>
      <c r="B76" s="6" t="s">
        <v>554</v>
      </c>
      <c r="C76" s="7">
        <v>1592.4</v>
      </c>
      <c r="D76" s="8" t="s">
        <v>555</v>
      </c>
      <c r="E76" s="8" t="s">
        <v>556</v>
      </c>
      <c r="F76" s="8" t="s">
        <v>557</v>
      </c>
      <c r="G76" s="6" t="s">
        <v>60</v>
      </c>
      <c r="H76" s="6" t="s">
        <v>48</v>
      </c>
      <c r="I76" s="8"/>
      <c r="J76" s="9">
        <v>1</v>
      </c>
      <c r="K76" s="9">
        <v>176</v>
      </c>
      <c r="L76" s="9">
        <v>2027</v>
      </c>
      <c r="M76" s="8" t="s">
        <v>558</v>
      </c>
      <c r="N76" s="8" t="s">
        <v>63</v>
      </c>
      <c r="O76" s="8" t="s">
        <v>64</v>
      </c>
      <c r="P76" s="6" t="s">
        <v>51</v>
      </c>
      <c r="Q76" s="8" t="s">
        <v>65</v>
      </c>
      <c r="R76" s="10" t="s">
        <v>559</v>
      </c>
      <c r="S76" s="11" t="s">
        <v>560</v>
      </c>
      <c r="T76" s="6"/>
      <c r="U76" s="15" t="str">
        <f>HYPERLINK("https://media.infra-m.ru/2270/2270130/cover/2270130.jpg", "Обложка")</f>
        <v>Обложка</v>
      </c>
      <c r="V76" s="8" t="s">
        <v>359</v>
      </c>
      <c r="W76" s="6"/>
      <c r="X76" s="6"/>
      <c r="Y76" s="6"/>
      <c r="Z76" s="6"/>
      <c r="AA76" s="6" t="s">
        <v>561</v>
      </c>
      <c r="AB76" s="8"/>
      <c r="AC76" s="27">
        <v>9785911343262</v>
      </c>
    </row>
    <row r="77" spans="1:29" s="4" customFormat="1" ht="51.9" customHeight="1" x14ac:dyDescent="0.2">
      <c r="A77" s="5">
        <v>0</v>
      </c>
      <c r="B77" s="6" t="s">
        <v>562</v>
      </c>
      <c r="C77" s="7">
        <v>2076</v>
      </c>
      <c r="D77" s="8" t="s">
        <v>563</v>
      </c>
      <c r="E77" s="8" t="s">
        <v>564</v>
      </c>
      <c r="F77" s="8" t="s">
        <v>565</v>
      </c>
      <c r="G77" s="6" t="s">
        <v>118</v>
      </c>
      <c r="H77" s="6" t="s">
        <v>34</v>
      </c>
      <c r="I77" s="8" t="s">
        <v>263</v>
      </c>
      <c r="J77" s="9">
        <v>1</v>
      </c>
      <c r="K77" s="9">
        <v>314</v>
      </c>
      <c r="L77" s="9">
        <v>2026</v>
      </c>
      <c r="M77" s="8" t="s">
        <v>566</v>
      </c>
      <c r="N77" s="8" t="s">
        <v>63</v>
      </c>
      <c r="O77" s="8" t="s">
        <v>64</v>
      </c>
      <c r="P77" s="6" t="s">
        <v>306</v>
      </c>
      <c r="Q77" s="8" t="s">
        <v>265</v>
      </c>
      <c r="R77" s="10" t="s">
        <v>479</v>
      </c>
      <c r="S77" s="11" t="s">
        <v>567</v>
      </c>
      <c r="T77" s="6" t="s">
        <v>97</v>
      </c>
      <c r="U77" s="15" t="str">
        <f>HYPERLINK("https://media.infra-m.ru/2252/2252432/cover/2252432.jpg", "Обложка")</f>
        <v>Обложка</v>
      </c>
      <c r="V77" s="8" t="s">
        <v>428</v>
      </c>
      <c r="W77" s="6"/>
      <c r="X77" s="6"/>
      <c r="Y77" s="6"/>
      <c r="Z77" s="6" t="s">
        <v>267</v>
      </c>
      <c r="AA77" s="6" t="s">
        <v>115</v>
      </c>
      <c r="AB77" s="8"/>
      <c r="AC77" s="27">
        <v>9785160153698</v>
      </c>
    </row>
    <row r="78" spans="1:29" s="4" customFormat="1" ht="51.9" customHeight="1" x14ac:dyDescent="0.2">
      <c r="A78" s="5">
        <v>0</v>
      </c>
      <c r="B78" s="6" t="s">
        <v>568</v>
      </c>
      <c r="C78" s="7">
        <v>2188.8000000000002</v>
      </c>
      <c r="D78" s="8" t="s">
        <v>569</v>
      </c>
      <c r="E78" s="8" t="s">
        <v>570</v>
      </c>
      <c r="F78" s="8" t="s">
        <v>565</v>
      </c>
      <c r="G78" s="6" t="s">
        <v>118</v>
      </c>
      <c r="H78" s="6" t="s">
        <v>34</v>
      </c>
      <c r="I78" s="8" t="s">
        <v>271</v>
      </c>
      <c r="J78" s="9">
        <v>1</v>
      </c>
      <c r="K78" s="9">
        <v>314</v>
      </c>
      <c r="L78" s="9">
        <v>2027</v>
      </c>
      <c r="M78" s="8" t="s">
        <v>571</v>
      </c>
      <c r="N78" s="8" t="s">
        <v>63</v>
      </c>
      <c r="O78" s="8" t="s">
        <v>64</v>
      </c>
      <c r="P78" s="6" t="s">
        <v>306</v>
      </c>
      <c r="Q78" s="8" t="s">
        <v>52</v>
      </c>
      <c r="R78" s="10" t="s">
        <v>572</v>
      </c>
      <c r="S78" s="11" t="s">
        <v>573</v>
      </c>
      <c r="T78" s="6" t="s">
        <v>97</v>
      </c>
      <c r="U78" s="15" t="str">
        <f>HYPERLINK("https://media.infra-m.ru/2255/2255318/cover/2255318.jpg", "Обложка")</f>
        <v>Обложка</v>
      </c>
      <c r="V78" s="8" t="s">
        <v>428</v>
      </c>
      <c r="W78" s="6"/>
      <c r="X78" s="6"/>
      <c r="Y78" s="6"/>
      <c r="Z78" s="6"/>
      <c r="AA78" s="6" t="s">
        <v>360</v>
      </c>
      <c r="AB78" s="8"/>
      <c r="AC78" s="27">
        <v>9785160123042</v>
      </c>
    </row>
    <row r="79" spans="1:29" s="4" customFormat="1" ht="42" customHeight="1" x14ac:dyDescent="0.2">
      <c r="A79" s="5">
        <v>0</v>
      </c>
      <c r="B79" s="6" t="s">
        <v>574</v>
      </c>
      <c r="C79" s="7">
        <v>1576.8</v>
      </c>
      <c r="D79" s="8" t="s">
        <v>575</v>
      </c>
      <c r="E79" s="8" t="s">
        <v>576</v>
      </c>
      <c r="F79" s="8" t="s">
        <v>577</v>
      </c>
      <c r="G79" s="6" t="s">
        <v>33</v>
      </c>
      <c r="H79" s="6" t="s">
        <v>34</v>
      </c>
      <c r="I79" s="8"/>
      <c r="J79" s="9">
        <v>1</v>
      </c>
      <c r="K79" s="9">
        <v>160</v>
      </c>
      <c r="L79" s="9">
        <v>2027</v>
      </c>
      <c r="M79" s="8" t="s">
        <v>578</v>
      </c>
      <c r="N79" s="8" t="s">
        <v>63</v>
      </c>
      <c r="O79" s="8" t="s">
        <v>64</v>
      </c>
      <c r="P79" s="6" t="s">
        <v>234</v>
      </c>
      <c r="Q79" s="8" t="s">
        <v>377</v>
      </c>
      <c r="R79" s="10" t="s">
        <v>579</v>
      </c>
      <c r="S79" s="11"/>
      <c r="T79" s="6"/>
      <c r="U79" s="15" t="str">
        <f>HYPERLINK("https://media.infra-m.ru/2265/2265438/cover/2265438.jpg", "Обложка")</f>
        <v>Обложка</v>
      </c>
      <c r="V79" s="8" t="s">
        <v>54</v>
      </c>
      <c r="W79" s="6"/>
      <c r="X79" s="6"/>
      <c r="Y79" s="6"/>
      <c r="Z79" s="6"/>
      <c r="AA79" s="6" t="s">
        <v>157</v>
      </c>
      <c r="AB79" s="8"/>
      <c r="AC79" s="27">
        <v>9785160191119</v>
      </c>
    </row>
    <row r="80" spans="1:29" s="4" customFormat="1" ht="51.9" customHeight="1" x14ac:dyDescent="0.2">
      <c r="A80" s="5">
        <v>0</v>
      </c>
      <c r="B80" s="6" t="s">
        <v>580</v>
      </c>
      <c r="C80" s="7">
        <v>2124</v>
      </c>
      <c r="D80" s="8" t="s">
        <v>581</v>
      </c>
      <c r="E80" s="8" t="s">
        <v>582</v>
      </c>
      <c r="F80" s="8" t="s">
        <v>583</v>
      </c>
      <c r="G80" s="6" t="s">
        <v>118</v>
      </c>
      <c r="H80" s="6" t="s">
        <v>34</v>
      </c>
      <c r="I80" s="8" t="s">
        <v>35</v>
      </c>
      <c r="J80" s="9">
        <v>1</v>
      </c>
      <c r="K80" s="9">
        <v>384</v>
      </c>
      <c r="L80" s="9">
        <v>2024</v>
      </c>
      <c r="M80" s="8" t="s">
        <v>584</v>
      </c>
      <c r="N80" s="8" t="s">
        <v>585</v>
      </c>
      <c r="O80" s="8" t="s">
        <v>586</v>
      </c>
      <c r="P80" s="6" t="s">
        <v>39</v>
      </c>
      <c r="Q80" s="8" t="s">
        <v>40</v>
      </c>
      <c r="R80" s="10" t="s">
        <v>587</v>
      </c>
      <c r="S80" s="11"/>
      <c r="T80" s="6"/>
      <c r="U80" s="15" t="str">
        <f>HYPERLINK("https://media.infra-m.ru/2106/2106183/cover/2106183.jpg", "Обложка")</f>
        <v>Обложка</v>
      </c>
      <c r="V80" s="8" t="s">
        <v>588</v>
      </c>
      <c r="W80" s="6"/>
      <c r="X80" s="6"/>
      <c r="Y80" s="6"/>
      <c r="Z80" s="6"/>
      <c r="AA80" s="6" t="s">
        <v>43</v>
      </c>
      <c r="AB80" s="8"/>
      <c r="AC80" s="27">
        <v>9785160054681</v>
      </c>
    </row>
    <row r="81" spans="1:29" s="4" customFormat="1" ht="42" customHeight="1" x14ac:dyDescent="0.2">
      <c r="A81" s="5">
        <v>0</v>
      </c>
      <c r="B81" s="6" t="s">
        <v>589</v>
      </c>
      <c r="C81" s="13">
        <v>665.9</v>
      </c>
      <c r="D81" s="8" t="s">
        <v>590</v>
      </c>
      <c r="E81" s="8" t="s">
        <v>591</v>
      </c>
      <c r="F81" s="8" t="s">
        <v>592</v>
      </c>
      <c r="G81" s="6" t="s">
        <v>33</v>
      </c>
      <c r="H81" s="6" t="s">
        <v>34</v>
      </c>
      <c r="I81" s="8" t="s">
        <v>119</v>
      </c>
      <c r="J81" s="9">
        <v>1</v>
      </c>
      <c r="K81" s="9">
        <v>143</v>
      </c>
      <c r="L81" s="9">
        <v>2022</v>
      </c>
      <c r="M81" s="8" t="s">
        <v>593</v>
      </c>
      <c r="N81" s="8" t="s">
        <v>93</v>
      </c>
      <c r="O81" s="8" t="s">
        <v>94</v>
      </c>
      <c r="P81" s="6" t="s">
        <v>39</v>
      </c>
      <c r="Q81" s="8" t="s">
        <v>40</v>
      </c>
      <c r="R81" s="10" t="s">
        <v>594</v>
      </c>
      <c r="S81" s="11"/>
      <c r="T81" s="6"/>
      <c r="U81" s="15" t="str">
        <f>HYPERLINK("https://media.infra-m.ru/1855/1855988/cover/1855988.jpg", "Обложка")</f>
        <v>Обложка</v>
      </c>
      <c r="V81" s="8" t="s">
        <v>414</v>
      </c>
      <c r="W81" s="6"/>
      <c r="X81" s="6"/>
      <c r="Y81" s="6"/>
      <c r="Z81" s="6"/>
      <c r="AA81" s="6" t="s">
        <v>115</v>
      </c>
      <c r="AB81" s="8"/>
      <c r="AC81" s="27">
        <v>9785160142067</v>
      </c>
    </row>
    <row r="82" spans="1:29" s="4" customFormat="1" ht="42" customHeight="1" x14ac:dyDescent="0.2">
      <c r="A82" s="5">
        <v>0</v>
      </c>
      <c r="B82" s="6" t="s">
        <v>595</v>
      </c>
      <c r="C82" s="13">
        <v>633.6</v>
      </c>
      <c r="D82" s="8" t="s">
        <v>596</v>
      </c>
      <c r="E82" s="8" t="s">
        <v>597</v>
      </c>
      <c r="F82" s="8" t="s">
        <v>598</v>
      </c>
      <c r="G82" s="6" t="s">
        <v>33</v>
      </c>
      <c r="H82" s="6" t="s">
        <v>34</v>
      </c>
      <c r="I82" s="8" t="s">
        <v>599</v>
      </c>
      <c r="J82" s="9">
        <v>1</v>
      </c>
      <c r="K82" s="9">
        <v>97</v>
      </c>
      <c r="L82" s="9">
        <v>2025</v>
      </c>
      <c r="M82" s="8" t="s">
        <v>600</v>
      </c>
      <c r="N82" s="8" t="s">
        <v>63</v>
      </c>
      <c r="O82" s="8" t="s">
        <v>64</v>
      </c>
      <c r="P82" s="6" t="s">
        <v>601</v>
      </c>
      <c r="Q82" s="8" t="s">
        <v>40</v>
      </c>
      <c r="R82" s="10" t="s">
        <v>602</v>
      </c>
      <c r="S82" s="11"/>
      <c r="T82" s="6"/>
      <c r="U82" s="15" t="str">
        <f>HYPERLINK("https://media.infra-m.ru/2191/2191601/cover/2191601.jpg", "Обложка")</f>
        <v>Обложка</v>
      </c>
      <c r="V82" s="8" t="s">
        <v>227</v>
      </c>
      <c r="W82" s="6"/>
      <c r="X82" s="6"/>
      <c r="Y82" s="6"/>
      <c r="Z82" s="6"/>
      <c r="AA82" s="6" t="s">
        <v>561</v>
      </c>
      <c r="AB82" s="8"/>
      <c r="AC82" s="27">
        <v>9785160188386</v>
      </c>
    </row>
    <row r="83" spans="1:29" s="4" customFormat="1" ht="51.9" customHeight="1" x14ac:dyDescent="0.2">
      <c r="A83" s="5">
        <v>0</v>
      </c>
      <c r="B83" s="6" t="s">
        <v>603</v>
      </c>
      <c r="C83" s="7">
        <v>1860</v>
      </c>
      <c r="D83" s="8" t="s">
        <v>604</v>
      </c>
      <c r="E83" s="8" t="s">
        <v>605</v>
      </c>
      <c r="F83" s="8" t="s">
        <v>606</v>
      </c>
      <c r="G83" s="6" t="s">
        <v>118</v>
      </c>
      <c r="H83" s="6" t="s">
        <v>34</v>
      </c>
      <c r="I83" s="8"/>
      <c r="J83" s="9">
        <v>1</v>
      </c>
      <c r="K83" s="9">
        <v>298</v>
      </c>
      <c r="L83" s="9">
        <v>2025</v>
      </c>
      <c r="M83" s="8" t="s">
        <v>607</v>
      </c>
      <c r="N83" s="8" t="s">
        <v>37</v>
      </c>
      <c r="O83" s="8" t="s">
        <v>499</v>
      </c>
      <c r="P83" s="6" t="s">
        <v>306</v>
      </c>
      <c r="Q83" s="8" t="s">
        <v>265</v>
      </c>
      <c r="R83" s="10" t="s">
        <v>608</v>
      </c>
      <c r="S83" s="11" t="s">
        <v>609</v>
      </c>
      <c r="T83" s="6" t="s">
        <v>97</v>
      </c>
      <c r="U83" s="15" t="str">
        <f>HYPERLINK("https://media.infra-m.ru/2204/2204267/cover/2204267.jpg", "Обложка")</f>
        <v>Обложка</v>
      </c>
      <c r="V83" s="8" t="s">
        <v>247</v>
      </c>
      <c r="W83" s="6"/>
      <c r="X83" s="6"/>
      <c r="Y83" s="6"/>
      <c r="Z83" s="6" t="s">
        <v>267</v>
      </c>
      <c r="AA83" s="6" t="s">
        <v>86</v>
      </c>
      <c r="AB83" s="8"/>
      <c r="AC83" s="27">
        <v>9785160138671</v>
      </c>
    </row>
    <row r="84" spans="1:29" s="4" customFormat="1" ht="51.9" customHeight="1" x14ac:dyDescent="0.2">
      <c r="A84" s="5">
        <v>0</v>
      </c>
      <c r="B84" s="6" t="s">
        <v>610</v>
      </c>
      <c r="C84" s="7">
        <v>1660.8</v>
      </c>
      <c r="D84" s="8" t="s">
        <v>611</v>
      </c>
      <c r="E84" s="8" t="s">
        <v>612</v>
      </c>
      <c r="F84" s="8" t="s">
        <v>613</v>
      </c>
      <c r="G84" s="6" t="s">
        <v>118</v>
      </c>
      <c r="H84" s="6" t="s">
        <v>241</v>
      </c>
      <c r="I84" s="8" t="s">
        <v>263</v>
      </c>
      <c r="J84" s="9">
        <v>1</v>
      </c>
      <c r="K84" s="9">
        <v>238</v>
      </c>
      <c r="L84" s="9">
        <v>2027</v>
      </c>
      <c r="M84" s="8" t="s">
        <v>614</v>
      </c>
      <c r="N84" s="8" t="s">
        <v>37</v>
      </c>
      <c r="O84" s="8" t="s">
        <v>499</v>
      </c>
      <c r="P84" s="6" t="s">
        <v>51</v>
      </c>
      <c r="Q84" s="8" t="s">
        <v>265</v>
      </c>
      <c r="R84" s="10" t="s">
        <v>615</v>
      </c>
      <c r="S84" s="11" t="s">
        <v>616</v>
      </c>
      <c r="T84" s="6"/>
      <c r="U84" s="15" t="str">
        <f>HYPERLINK("https://media.infra-m.ru/2262/2262594/cover/2262594.jpg", "Обложка")</f>
        <v>Обложка</v>
      </c>
      <c r="V84" s="8" t="s">
        <v>617</v>
      </c>
      <c r="W84" s="6"/>
      <c r="X84" s="6"/>
      <c r="Y84" s="6"/>
      <c r="Z84" s="6" t="s">
        <v>267</v>
      </c>
      <c r="AA84" s="6" t="s">
        <v>404</v>
      </c>
      <c r="AB84" s="8"/>
      <c r="AC84" s="27">
        <v>9785955806150</v>
      </c>
    </row>
    <row r="85" spans="1:29" s="4" customFormat="1" ht="51.9" customHeight="1" x14ac:dyDescent="0.2">
      <c r="A85" s="5">
        <v>0</v>
      </c>
      <c r="B85" s="6" t="s">
        <v>618</v>
      </c>
      <c r="C85" s="7">
        <v>1576.8</v>
      </c>
      <c r="D85" s="8" t="s">
        <v>619</v>
      </c>
      <c r="E85" s="8" t="s">
        <v>612</v>
      </c>
      <c r="F85" s="8" t="s">
        <v>613</v>
      </c>
      <c r="G85" s="6" t="s">
        <v>118</v>
      </c>
      <c r="H85" s="6" t="s">
        <v>34</v>
      </c>
      <c r="I85" s="8" t="s">
        <v>253</v>
      </c>
      <c r="J85" s="9">
        <v>1</v>
      </c>
      <c r="K85" s="9">
        <v>238</v>
      </c>
      <c r="L85" s="9">
        <v>2026</v>
      </c>
      <c r="M85" s="8" t="s">
        <v>620</v>
      </c>
      <c r="N85" s="8" t="s">
        <v>37</v>
      </c>
      <c r="O85" s="8" t="s">
        <v>499</v>
      </c>
      <c r="P85" s="6" t="s">
        <v>51</v>
      </c>
      <c r="Q85" s="8" t="s">
        <v>52</v>
      </c>
      <c r="R85" s="10" t="s">
        <v>621</v>
      </c>
      <c r="S85" s="11" t="s">
        <v>622</v>
      </c>
      <c r="T85" s="6"/>
      <c r="U85" s="15" t="str">
        <f>HYPERLINK("https://media.infra-m.ru/2244/2244719/cover/2244719.jpg", "Обложка")</f>
        <v>Обложка</v>
      </c>
      <c r="V85" s="8" t="s">
        <v>617</v>
      </c>
      <c r="W85" s="6"/>
      <c r="X85" s="6"/>
      <c r="Y85" s="6"/>
      <c r="Z85" s="6"/>
      <c r="AA85" s="6" t="s">
        <v>623</v>
      </c>
      <c r="AB85" s="8"/>
      <c r="AC85" s="27">
        <v>9785160196589</v>
      </c>
    </row>
    <row r="86" spans="1:29" s="4" customFormat="1" ht="51.9" customHeight="1" x14ac:dyDescent="0.2">
      <c r="A86" s="5">
        <v>0</v>
      </c>
      <c r="B86" s="6" t="s">
        <v>624</v>
      </c>
      <c r="C86" s="13">
        <v>600</v>
      </c>
      <c r="D86" s="8" t="s">
        <v>625</v>
      </c>
      <c r="E86" s="8" t="s">
        <v>626</v>
      </c>
      <c r="F86" s="8" t="s">
        <v>627</v>
      </c>
      <c r="G86" s="6" t="s">
        <v>33</v>
      </c>
      <c r="H86" s="6" t="s">
        <v>34</v>
      </c>
      <c r="I86" s="8" t="s">
        <v>271</v>
      </c>
      <c r="J86" s="9">
        <v>1</v>
      </c>
      <c r="K86" s="9">
        <v>120</v>
      </c>
      <c r="L86" s="9">
        <v>2022</v>
      </c>
      <c r="M86" s="8" t="s">
        <v>628</v>
      </c>
      <c r="N86" s="8" t="s">
        <v>63</v>
      </c>
      <c r="O86" s="8" t="s">
        <v>64</v>
      </c>
      <c r="P86" s="6" t="s">
        <v>306</v>
      </c>
      <c r="Q86" s="8" t="s">
        <v>52</v>
      </c>
      <c r="R86" s="10" t="s">
        <v>629</v>
      </c>
      <c r="S86" s="11" t="s">
        <v>630</v>
      </c>
      <c r="T86" s="6"/>
      <c r="U86" s="15" t="str">
        <f>HYPERLINK("https://media.infra-m.ru/1878/1878653/cover/1878653.jpg", "Обложка")</f>
        <v>Обложка</v>
      </c>
      <c r="V86" s="8" t="s">
        <v>631</v>
      </c>
      <c r="W86" s="6"/>
      <c r="X86" s="6"/>
      <c r="Y86" s="6"/>
      <c r="Z86" s="6" t="s">
        <v>632</v>
      </c>
      <c r="AA86" s="6" t="s">
        <v>115</v>
      </c>
      <c r="AB86" s="8"/>
      <c r="AC86" s="27">
        <v>9785160143392</v>
      </c>
    </row>
    <row r="87" spans="1:29" s="4" customFormat="1" ht="51.9" customHeight="1" x14ac:dyDescent="0.2">
      <c r="A87" s="5">
        <v>0</v>
      </c>
      <c r="B87" s="6" t="s">
        <v>633</v>
      </c>
      <c r="C87" s="13">
        <v>880.8</v>
      </c>
      <c r="D87" s="8" t="s">
        <v>634</v>
      </c>
      <c r="E87" s="8" t="s">
        <v>626</v>
      </c>
      <c r="F87" s="8" t="s">
        <v>627</v>
      </c>
      <c r="G87" s="6" t="s">
        <v>33</v>
      </c>
      <c r="H87" s="6" t="s">
        <v>34</v>
      </c>
      <c r="I87" s="8" t="s">
        <v>263</v>
      </c>
      <c r="J87" s="9">
        <v>1</v>
      </c>
      <c r="K87" s="9">
        <v>120</v>
      </c>
      <c r="L87" s="9">
        <v>2027</v>
      </c>
      <c r="M87" s="8" t="s">
        <v>635</v>
      </c>
      <c r="N87" s="8" t="s">
        <v>63</v>
      </c>
      <c r="O87" s="8" t="s">
        <v>64</v>
      </c>
      <c r="P87" s="6" t="s">
        <v>51</v>
      </c>
      <c r="Q87" s="8" t="s">
        <v>265</v>
      </c>
      <c r="R87" s="10" t="s">
        <v>636</v>
      </c>
      <c r="S87" s="11" t="s">
        <v>637</v>
      </c>
      <c r="T87" s="6"/>
      <c r="U87" s="15" t="str">
        <f>HYPERLINK("https://media.infra-m.ru/2264/2264962/cover/2264962.jpg", "Обложка")</f>
        <v>Обложка</v>
      </c>
      <c r="V87" s="8" t="s">
        <v>631</v>
      </c>
      <c r="W87" s="6"/>
      <c r="X87" s="6" t="s">
        <v>24</v>
      </c>
      <c r="Y87" s="6"/>
      <c r="Z87" s="6"/>
      <c r="AA87" s="6" t="s">
        <v>248</v>
      </c>
      <c r="AB87" s="8"/>
      <c r="AC87" s="27">
        <v>9785160095363</v>
      </c>
    </row>
    <row r="88" spans="1:29" s="4" customFormat="1" ht="51.9" customHeight="1" x14ac:dyDescent="0.2">
      <c r="A88" s="5">
        <v>0</v>
      </c>
      <c r="B88" s="6" t="s">
        <v>638</v>
      </c>
      <c r="C88" s="7">
        <v>2236.8000000000002</v>
      </c>
      <c r="D88" s="8" t="s">
        <v>639</v>
      </c>
      <c r="E88" s="8" t="s">
        <v>640</v>
      </c>
      <c r="F88" s="8" t="s">
        <v>641</v>
      </c>
      <c r="G88" s="6" t="s">
        <v>60</v>
      </c>
      <c r="H88" s="6" t="s">
        <v>34</v>
      </c>
      <c r="I88" s="8" t="s">
        <v>253</v>
      </c>
      <c r="J88" s="9">
        <v>1</v>
      </c>
      <c r="K88" s="9">
        <v>339</v>
      </c>
      <c r="L88" s="9">
        <v>2026</v>
      </c>
      <c r="M88" s="8" t="s">
        <v>642</v>
      </c>
      <c r="N88" s="8" t="s">
        <v>37</v>
      </c>
      <c r="O88" s="8" t="s">
        <v>280</v>
      </c>
      <c r="P88" s="6" t="s">
        <v>306</v>
      </c>
      <c r="Q88" s="8" t="s">
        <v>52</v>
      </c>
      <c r="R88" s="10" t="s">
        <v>643</v>
      </c>
      <c r="S88" s="11"/>
      <c r="T88" s="6"/>
      <c r="U88" s="15" t="str">
        <f>HYPERLINK("https://media.infra-m.ru/2232/2232089/cover/2232089.jpg", "Обложка")</f>
        <v>Обложка</v>
      </c>
      <c r="V88" s="8" t="s">
        <v>644</v>
      </c>
      <c r="W88" s="6"/>
      <c r="X88" s="6"/>
      <c r="Y88" s="6"/>
      <c r="Z88" s="6"/>
      <c r="AA88" s="6" t="s">
        <v>157</v>
      </c>
      <c r="AB88" s="8"/>
      <c r="AC88" s="27">
        <v>9785160175027</v>
      </c>
    </row>
    <row r="89" spans="1:29" s="4" customFormat="1" ht="51.9" customHeight="1" x14ac:dyDescent="0.2">
      <c r="A89" s="5">
        <v>0</v>
      </c>
      <c r="B89" s="6" t="s">
        <v>645</v>
      </c>
      <c r="C89" s="7">
        <v>2412</v>
      </c>
      <c r="D89" s="8" t="s">
        <v>646</v>
      </c>
      <c r="E89" s="8" t="s">
        <v>647</v>
      </c>
      <c r="F89" s="8" t="s">
        <v>641</v>
      </c>
      <c r="G89" s="6" t="s">
        <v>60</v>
      </c>
      <c r="H89" s="6" t="s">
        <v>34</v>
      </c>
      <c r="I89" s="8" t="s">
        <v>253</v>
      </c>
      <c r="J89" s="9">
        <v>1</v>
      </c>
      <c r="K89" s="9">
        <v>341</v>
      </c>
      <c r="L89" s="9">
        <v>2026</v>
      </c>
      <c r="M89" s="8" t="s">
        <v>648</v>
      </c>
      <c r="N89" s="8" t="s">
        <v>37</v>
      </c>
      <c r="O89" s="8" t="s">
        <v>280</v>
      </c>
      <c r="P89" s="6" t="s">
        <v>306</v>
      </c>
      <c r="Q89" s="8" t="s">
        <v>52</v>
      </c>
      <c r="R89" s="10" t="s">
        <v>643</v>
      </c>
      <c r="S89" s="11"/>
      <c r="T89" s="6"/>
      <c r="U89" s="15" t="str">
        <f>HYPERLINK("https://media.infra-m.ru/2240/2240426/cover/2240426.jpg", "Обложка")</f>
        <v>Обложка</v>
      </c>
      <c r="V89" s="8" t="s">
        <v>644</v>
      </c>
      <c r="W89" s="6" t="s">
        <v>649</v>
      </c>
      <c r="X89" s="6"/>
      <c r="Y89" s="6"/>
      <c r="Z89" s="6"/>
      <c r="AA89" s="6" t="s">
        <v>650</v>
      </c>
      <c r="AB89" s="8"/>
      <c r="AC89" s="27">
        <v>9785160218717</v>
      </c>
    </row>
    <row r="90" spans="1:29" s="4" customFormat="1" ht="42" customHeight="1" x14ac:dyDescent="0.2">
      <c r="A90" s="5">
        <v>0</v>
      </c>
      <c r="B90" s="6" t="s">
        <v>651</v>
      </c>
      <c r="C90" s="7">
        <v>2116.8000000000002</v>
      </c>
      <c r="D90" s="8" t="s">
        <v>652</v>
      </c>
      <c r="E90" s="8" t="s">
        <v>653</v>
      </c>
      <c r="F90" s="8" t="s">
        <v>654</v>
      </c>
      <c r="G90" s="6" t="s">
        <v>60</v>
      </c>
      <c r="H90" s="6" t="s">
        <v>34</v>
      </c>
      <c r="I90" s="8" t="s">
        <v>253</v>
      </c>
      <c r="J90" s="9">
        <v>1</v>
      </c>
      <c r="K90" s="9">
        <v>304</v>
      </c>
      <c r="L90" s="9">
        <v>2027</v>
      </c>
      <c r="M90" s="8" t="s">
        <v>655</v>
      </c>
      <c r="N90" s="8" t="s">
        <v>37</v>
      </c>
      <c r="O90" s="8" t="s">
        <v>280</v>
      </c>
      <c r="P90" s="6" t="s">
        <v>306</v>
      </c>
      <c r="Q90" s="8" t="s">
        <v>65</v>
      </c>
      <c r="R90" s="10" t="s">
        <v>656</v>
      </c>
      <c r="S90" s="11"/>
      <c r="T90" s="6"/>
      <c r="U90" s="15" t="str">
        <f>HYPERLINK("https://media.infra-m.ru/2270/2270172/cover/2270172.jpg", "Обложка")</f>
        <v>Обложка</v>
      </c>
      <c r="V90" s="8" t="s">
        <v>657</v>
      </c>
      <c r="W90" s="6"/>
      <c r="X90" s="6"/>
      <c r="Y90" s="6"/>
      <c r="Z90" s="6"/>
      <c r="AA90" s="6" t="s">
        <v>76</v>
      </c>
      <c r="AB90" s="8"/>
      <c r="AC90" s="27">
        <v>9785160192901</v>
      </c>
    </row>
    <row r="91" spans="1:29" s="4" customFormat="1" ht="42" customHeight="1" x14ac:dyDescent="0.2">
      <c r="A91" s="5">
        <v>0</v>
      </c>
      <c r="B91" s="6" t="s">
        <v>658</v>
      </c>
      <c r="C91" s="7">
        <v>2026.2</v>
      </c>
      <c r="D91" s="8" t="s">
        <v>659</v>
      </c>
      <c r="E91" s="8" t="s">
        <v>660</v>
      </c>
      <c r="F91" s="8" t="s">
        <v>661</v>
      </c>
      <c r="G91" s="6" t="s">
        <v>33</v>
      </c>
      <c r="H91" s="6" t="s">
        <v>313</v>
      </c>
      <c r="I91" s="8"/>
      <c r="J91" s="9">
        <v>1</v>
      </c>
      <c r="K91" s="9">
        <v>174</v>
      </c>
      <c r="L91" s="9">
        <v>2017</v>
      </c>
      <c r="M91" s="8"/>
      <c r="N91" s="8" t="s">
        <v>37</v>
      </c>
      <c r="O91" s="8" t="s">
        <v>280</v>
      </c>
      <c r="P91" s="6" t="s">
        <v>314</v>
      </c>
      <c r="Q91" s="8" t="s">
        <v>40</v>
      </c>
      <c r="R91" s="10"/>
      <c r="S91" s="11"/>
      <c r="T91" s="6"/>
      <c r="U91" s="15" t="str">
        <f>HYPERLINK("https://media.infra-m.ru/0882/0882728/cover/882728.jpg", "Обложка")</f>
        <v>Обложка</v>
      </c>
      <c r="V91" s="8"/>
      <c r="W91" s="6"/>
      <c r="X91" s="6"/>
      <c r="Y91" s="6"/>
      <c r="Z91" s="6"/>
      <c r="AA91" s="6"/>
      <c r="AB91" s="8"/>
      <c r="AC91" s="27"/>
    </row>
    <row r="92" spans="1:29" s="4" customFormat="1" ht="51.9" customHeight="1" x14ac:dyDescent="0.2">
      <c r="A92" s="5">
        <v>0</v>
      </c>
      <c r="B92" s="6" t="s">
        <v>662</v>
      </c>
      <c r="C92" s="7">
        <v>1396.8</v>
      </c>
      <c r="D92" s="8" t="s">
        <v>663</v>
      </c>
      <c r="E92" s="8" t="s">
        <v>664</v>
      </c>
      <c r="F92" s="8" t="s">
        <v>665</v>
      </c>
      <c r="G92" s="6" t="s">
        <v>60</v>
      </c>
      <c r="H92" s="6" t="s">
        <v>34</v>
      </c>
      <c r="I92" s="8" t="s">
        <v>35</v>
      </c>
      <c r="J92" s="9">
        <v>1</v>
      </c>
      <c r="K92" s="9">
        <v>212</v>
      </c>
      <c r="L92" s="9">
        <v>2026</v>
      </c>
      <c r="M92" s="8" t="s">
        <v>666</v>
      </c>
      <c r="N92" s="8" t="s">
        <v>585</v>
      </c>
      <c r="O92" s="8" t="s">
        <v>667</v>
      </c>
      <c r="P92" s="6" t="s">
        <v>39</v>
      </c>
      <c r="Q92" s="8" t="s">
        <v>40</v>
      </c>
      <c r="R92" s="10" t="s">
        <v>668</v>
      </c>
      <c r="S92" s="11"/>
      <c r="T92" s="6"/>
      <c r="U92" s="15" t="str">
        <f>HYPERLINK("https://media.infra-m.ru/2232/2232079/cover/2232079.jpg", "Обложка")</f>
        <v>Обложка</v>
      </c>
      <c r="V92" s="8" t="s">
        <v>669</v>
      </c>
      <c r="W92" s="6"/>
      <c r="X92" s="6"/>
      <c r="Y92" s="6"/>
      <c r="Z92" s="6"/>
      <c r="AA92" s="6" t="s">
        <v>76</v>
      </c>
      <c r="AB92" s="8" t="s">
        <v>670</v>
      </c>
      <c r="AC92" s="27">
        <v>9785160196374</v>
      </c>
    </row>
    <row r="93" spans="1:29" s="4" customFormat="1" ht="51.9" customHeight="1" x14ac:dyDescent="0.2">
      <c r="A93" s="5">
        <v>0</v>
      </c>
      <c r="B93" s="6" t="s">
        <v>671</v>
      </c>
      <c r="C93" s="7">
        <v>1560</v>
      </c>
      <c r="D93" s="8" t="s">
        <v>672</v>
      </c>
      <c r="E93" s="8" t="s">
        <v>673</v>
      </c>
      <c r="F93" s="8" t="s">
        <v>674</v>
      </c>
      <c r="G93" s="6" t="s">
        <v>60</v>
      </c>
      <c r="H93" s="6" t="s">
        <v>134</v>
      </c>
      <c r="I93" s="8"/>
      <c r="J93" s="9">
        <v>1</v>
      </c>
      <c r="K93" s="9">
        <v>344</v>
      </c>
      <c r="L93" s="9">
        <v>2021</v>
      </c>
      <c r="M93" s="8" t="s">
        <v>675</v>
      </c>
      <c r="N93" s="8" t="s">
        <v>37</v>
      </c>
      <c r="O93" s="8" t="s">
        <v>136</v>
      </c>
      <c r="P93" s="6" t="s">
        <v>39</v>
      </c>
      <c r="Q93" s="8" t="s">
        <v>40</v>
      </c>
      <c r="R93" s="10" t="s">
        <v>676</v>
      </c>
      <c r="S93" s="11"/>
      <c r="T93" s="6"/>
      <c r="U93" s="15" t="str">
        <f>HYPERLINK("https://media.infra-m.ru/1372/1372728/cover/1372728.jpg", "Обложка")</f>
        <v>Обложка</v>
      </c>
      <c r="V93" s="8" t="s">
        <v>677</v>
      </c>
      <c r="W93" s="6"/>
      <c r="X93" s="6"/>
      <c r="Y93" s="6"/>
      <c r="Z93" s="6"/>
      <c r="AA93" s="6" t="s">
        <v>430</v>
      </c>
      <c r="AB93" s="8"/>
      <c r="AC93" s="27">
        <v>9785001561743</v>
      </c>
    </row>
    <row r="94" spans="1:29" s="4" customFormat="1" ht="44.1" customHeight="1" x14ac:dyDescent="0.2">
      <c r="A94" s="5">
        <v>0</v>
      </c>
      <c r="B94" s="6" t="s">
        <v>678</v>
      </c>
      <c r="C94" s="13">
        <v>996</v>
      </c>
      <c r="D94" s="8" t="s">
        <v>679</v>
      </c>
      <c r="E94" s="8" t="s">
        <v>680</v>
      </c>
      <c r="F94" s="8" t="s">
        <v>681</v>
      </c>
      <c r="G94" s="6" t="s">
        <v>118</v>
      </c>
      <c r="H94" s="6" t="s">
        <v>134</v>
      </c>
      <c r="I94" s="8"/>
      <c r="J94" s="9">
        <v>1</v>
      </c>
      <c r="K94" s="9">
        <v>216</v>
      </c>
      <c r="L94" s="9">
        <v>2022</v>
      </c>
      <c r="M94" s="8" t="s">
        <v>682</v>
      </c>
      <c r="N94" s="8" t="s">
        <v>37</v>
      </c>
      <c r="O94" s="8" t="s">
        <v>136</v>
      </c>
      <c r="P94" s="6" t="s">
        <v>683</v>
      </c>
      <c r="Q94" s="8" t="s">
        <v>40</v>
      </c>
      <c r="R94" s="10" t="s">
        <v>684</v>
      </c>
      <c r="S94" s="11"/>
      <c r="T94" s="6"/>
      <c r="U94" s="15" t="str">
        <f>HYPERLINK("https://media.infra-m.ru/1854/1854467/cover/1854467.jpg", "Обложка")</f>
        <v>Обложка</v>
      </c>
      <c r="V94" s="8"/>
      <c r="W94" s="6"/>
      <c r="X94" s="6"/>
      <c r="Y94" s="6"/>
      <c r="Z94" s="6"/>
      <c r="AA94" s="6" t="s">
        <v>430</v>
      </c>
      <c r="AB94" s="8"/>
      <c r="AC94" s="27">
        <v>9785001561675</v>
      </c>
    </row>
    <row r="95" spans="1:29" s="4" customFormat="1" ht="42" customHeight="1" x14ac:dyDescent="0.2">
      <c r="A95" s="5">
        <v>0</v>
      </c>
      <c r="B95" s="6" t="s">
        <v>685</v>
      </c>
      <c r="C95" s="13">
        <v>732</v>
      </c>
      <c r="D95" s="8" t="s">
        <v>686</v>
      </c>
      <c r="E95" s="8" t="s">
        <v>687</v>
      </c>
      <c r="F95" s="8" t="s">
        <v>688</v>
      </c>
      <c r="G95" s="6" t="s">
        <v>33</v>
      </c>
      <c r="H95" s="6" t="s">
        <v>34</v>
      </c>
      <c r="I95" s="8" t="s">
        <v>253</v>
      </c>
      <c r="J95" s="9">
        <v>1</v>
      </c>
      <c r="K95" s="9">
        <v>119</v>
      </c>
      <c r="L95" s="9">
        <v>2023</v>
      </c>
      <c r="M95" s="8" t="s">
        <v>689</v>
      </c>
      <c r="N95" s="8" t="s">
        <v>63</v>
      </c>
      <c r="O95" s="8" t="s">
        <v>64</v>
      </c>
      <c r="P95" s="6" t="s">
        <v>51</v>
      </c>
      <c r="Q95" s="8" t="s">
        <v>65</v>
      </c>
      <c r="R95" s="10" t="s">
        <v>690</v>
      </c>
      <c r="S95" s="11"/>
      <c r="T95" s="6"/>
      <c r="U95" s="15" t="str">
        <f>HYPERLINK("https://media.infra-m.ru/1859/1859919/cover/1859919.jpg", "Обложка")</f>
        <v>Обложка</v>
      </c>
      <c r="V95" s="8" t="s">
        <v>657</v>
      </c>
      <c r="W95" s="6"/>
      <c r="X95" s="6"/>
      <c r="Y95" s="6"/>
      <c r="Z95" s="6"/>
      <c r="AA95" s="6" t="s">
        <v>157</v>
      </c>
      <c r="AB95" s="8"/>
      <c r="AC95" s="27">
        <v>9785160175249</v>
      </c>
    </row>
    <row r="96" spans="1:29" s="4" customFormat="1" ht="51.9" customHeight="1" x14ac:dyDescent="0.2">
      <c r="A96" s="5">
        <v>0</v>
      </c>
      <c r="B96" s="6" t="s">
        <v>691</v>
      </c>
      <c r="C96" s="7">
        <v>1548</v>
      </c>
      <c r="D96" s="8" t="s">
        <v>692</v>
      </c>
      <c r="E96" s="8" t="s">
        <v>693</v>
      </c>
      <c r="F96" s="8" t="s">
        <v>694</v>
      </c>
      <c r="G96" s="6" t="s">
        <v>60</v>
      </c>
      <c r="H96" s="6" t="s">
        <v>34</v>
      </c>
      <c r="I96" s="8" t="s">
        <v>375</v>
      </c>
      <c r="J96" s="9">
        <v>1</v>
      </c>
      <c r="K96" s="9">
        <v>202</v>
      </c>
      <c r="L96" s="9">
        <v>2026</v>
      </c>
      <c r="M96" s="8" t="s">
        <v>695</v>
      </c>
      <c r="N96" s="8" t="s">
        <v>243</v>
      </c>
      <c r="O96" s="8" t="s">
        <v>385</v>
      </c>
      <c r="P96" s="6" t="s">
        <v>105</v>
      </c>
      <c r="Q96" s="8" t="s">
        <v>65</v>
      </c>
      <c r="R96" s="10" t="s">
        <v>696</v>
      </c>
      <c r="S96" s="11"/>
      <c r="T96" s="6"/>
      <c r="U96" s="15" t="str">
        <f>HYPERLINK("https://media.infra-m.ru/2233/2233186/cover/2233186.jpg", "Обложка")</f>
        <v>Обложка</v>
      </c>
      <c r="V96" s="8" t="s">
        <v>379</v>
      </c>
      <c r="W96" s="6" t="s">
        <v>528</v>
      </c>
      <c r="X96" s="6"/>
      <c r="Y96" s="6"/>
      <c r="Z96" s="6"/>
      <c r="AA96" s="6" t="s">
        <v>187</v>
      </c>
      <c r="AB96" s="8" t="s">
        <v>697</v>
      </c>
      <c r="AC96" s="27">
        <v>9785160216287</v>
      </c>
    </row>
    <row r="97" spans="1:29" s="4" customFormat="1" ht="51.9" customHeight="1" x14ac:dyDescent="0.2">
      <c r="A97" s="5">
        <v>0</v>
      </c>
      <c r="B97" s="6" t="s">
        <v>698</v>
      </c>
      <c r="C97" s="7">
        <v>1680</v>
      </c>
      <c r="D97" s="8" t="s">
        <v>699</v>
      </c>
      <c r="E97" s="8" t="s">
        <v>700</v>
      </c>
      <c r="F97" s="8" t="s">
        <v>701</v>
      </c>
      <c r="G97" s="6" t="s">
        <v>118</v>
      </c>
      <c r="H97" s="6" t="s">
        <v>34</v>
      </c>
      <c r="I97" s="8" t="s">
        <v>263</v>
      </c>
      <c r="J97" s="9">
        <v>1</v>
      </c>
      <c r="K97" s="9">
        <v>269</v>
      </c>
      <c r="L97" s="9">
        <v>2025</v>
      </c>
      <c r="M97" s="8" t="s">
        <v>702</v>
      </c>
      <c r="N97" s="8" t="s">
        <v>243</v>
      </c>
      <c r="O97" s="8" t="s">
        <v>244</v>
      </c>
      <c r="P97" s="6" t="s">
        <v>234</v>
      </c>
      <c r="Q97" s="8" t="s">
        <v>265</v>
      </c>
      <c r="R97" s="10" t="s">
        <v>703</v>
      </c>
      <c r="S97" s="11"/>
      <c r="T97" s="6" t="s">
        <v>97</v>
      </c>
      <c r="U97" s="15" t="str">
        <f>HYPERLINK("https://media.infra-m.ru/2141/2141697/cover/2141697.jpg", "Обложка")</f>
        <v>Обложка</v>
      </c>
      <c r="V97" s="8" t="s">
        <v>704</v>
      </c>
      <c r="W97" s="6"/>
      <c r="X97" s="6"/>
      <c r="Y97" s="6"/>
      <c r="Z97" s="6" t="s">
        <v>705</v>
      </c>
      <c r="AA97" s="6" t="s">
        <v>86</v>
      </c>
      <c r="AB97" s="8"/>
      <c r="AC97" s="27">
        <v>9785160142197</v>
      </c>
    </row>
    <row r="98" spans="1:29" s="4" customFormat="1" ht="42" customHeight="1" x14ac:dyDescent="0.2">
      <c r="A98" s="5">
        <v>0</v>
      </c>
      <c r="B98" s="6" t="s">
        <v>706</v>
      </c>
      <c r="C98" s="7">
        <v>1768.8</v>
      </c>
      <c r="D98" s="8" t="s">
        <v>707</v>
      </c>
      <c r="E98" s="8" t="s">
        <v>700</v>
      </c>
      <c r="F98" s="8" t="s">
        <v>701</v>
      </c>
      <c r="G98" s="6" t="s">
        <v>33</v>
      </c>
      <c r="H98" s="6" t="s">
        <v>34</v>
      </c>
      <c r="I98" s="8" t="s">
        <v>517</v>
      </c>
      <c r="J98" s="9">
        <v>1</v>
      </c>
      <c r="K98" s="9">
        <v>269</v>
      </c>
      <c r="L98" s="9">
        <v>2026</v>
      </c>
      <c r="M98" s="8" t="s">
        <v>708</v>
      </c>
      <c r="N98" s="8" t="s">
        <v>243</v>
      </c>
      <c r="O98" s="8" t="s">
        <v>244</v>
      </c>
      <c r="P98" s="6" t="s">
        <v>234</v>
      </c>
      <c r="Q98" s="8" t="s">
        <v>40</v>
      </c>
      <c r="R98" s="10" t="s">
        <v>709</v>
      </c>
      <c r="S98" s="11"/>
      <c r="T98" s="6"/>
      <c r="U98" s="15" t="str">
        <f>HYPERLINK("https://media.infra-m.ru/2232/2232188/cover/2232188.jpg", "Обложка")</f>
        <v>Обложка</v>
      </c>
      <c r="V98" s="8" t="s">
        <v>704</v>
      </c>
      <c r="W98" s="6"/>
      <c r="X98" s="6"/>
      <c r="Y98" s="6"/>
      <c r="Z98" s="6"/>
      <c r="AA98" s="6" t="s">
        <v>274</v>
      </c>
      <c r="AB98" s="8"/>
      <c r="AC98" s="27">
        <v>9785160100654</v>
      </c>
    </row>
    <row r="99" spans="1:29" s="4" customFormat="1" ht="51.9" customHeight="1" x14ac:dyDescent="0.2">
      <c r="A99" s="5">
        <v>0</v>
      </c>
      <c r="B99" s="6" t="s">
        <v>710</v>
      </c>
      <c r="C99" s="7">
        <v>2499.6</v>
      </c>
      <c r="D99" s="8" t="s">
        <v>711</v>
      </c>
      <c r="E99" s="8" t="s">
        <v>712</v>
      </c>
      <c r="F99" s="8" t="s">
        <v>713</v>
      </c>
      <c r="G99" s="6" t="s">
        <v>118</v>
      </c>
      <c r="H99" s="6" t="s">
        <v>48</v>
      </c>
      <c r="I99" s="8"/>
      <c r="J99" s="9">
        <v>1</v>
      </c>
      <c r="K99" s="9">
        <v>360</v>
      </c>
      <c r="L99" s="9">
        <v>2027</v>
      </c>
      <c r="M99" s="8" t="s">
        <v>714</v>
      </c>
      <c r="N99" s="8" t="s">
        <v>63</v>
      </c>
      <c r="O99" s="8" t="s">
        <v>64</v>
      </c>
      <c r="P99" s="6" t="s">
        <v>306</v>
      </c>
      <c r="Q99" s="8" t="s">
        <v>52</v>
      </c>
      <c r="R99" s="10" t="s">
        <v>715</v>
      </c>
      <c r="S99" s="11" t="s">
        <v>716</v>
      </c>
      <c r="T99" s="6"/>
      <c r="U99" s="15" t="str">
        <f>HYPERLINK("https://media.infra-m.ru/2257/2257776/cover/2257776.jpg", "Обложка")</f>
        <v>Обложка</v>
      </c>
      <c r="V99" s="8" t="s">
        <v>717</v>
      </c>
      <c r="W99" s="6"/>
      <c r="X99" s="6"/>
      <c r="Y99" s="6"/>
      <c r="Z99" s="6"/>
      <c r="AA99" s="6" t="s">
        <v>718</v>
      </c>
      <c r="AB99" s="8"/>
      <c r="AC99" s="27">
        <v>9785911347666</v>
      </c>
    </row>
    <row r="100" spans="1:29" s="4" customFormat="1" ht="51.9" customHeight="1" x14ac:dyDescent="0.2">
      <c r="A100" s="5">
        <v>0</v>
      </c>
      <c r="B100" s="6" t="s">
        <v>719</v>
      </c>
      <c r="C100" s="7">
        <v>3248.4</v>
      </c>
      <c r="D100" s="8" t="s">
        <v>720</v>
      </c>
      <c r="E100" s="8" t="s">
        <v>712</v>
      </c>
      <c r="F100" s="8" t="s">
        <v>713</v>
      </c>
      <c r="G100" s="6" t="s">
        <v>118</v>
      </c>
      <c r="H100" s="6" t="s">
        <v>48</v>
      </c>
      <c r="I100" s="8" t="s">
        <v>263</v>
      </c>
      <c r="J100" s="9">
        <v>1</v>
      </c>
      <c r="K100" s="9">
        <v>359</v>
      </c>
      <c r="L100" s="9">
        <v>2027</v>
      </c>
      <c r="M100" s="8" t="s">
        <v>721</v>
      </c>
      <c r="N100" s="8" t="s">
        <v>63</v>
      </c>
      <c r="O100" s="8" t="s">
        <v>64</v>
      </c>
      <c r="P100" s="6" t="s">
        <v>306</v>
      </c>
      <c r="Q100" s="8" t="s">
        <v>265</v>
      </c>
      <c r="R100" s="10" t="s">
        <v>722</v>
      </c>
      <c r="S100" s="11" t="s">
        <v>723</v>
      </c>
      <c r="T100" s="6"/>
      <c r="U100" s="15" t="str">
        <f>HYPERLINK("https://media.infra-m.ru/2262/2262595/cover/2262595.jpg", "Обложка")</f>
        <v>Обложка</v>
      </c>
      <c r="V100" s="8" t="s">
        <v>717</v>
      </c>
      <c r="W100" s="6"/>
      <c r="X100" s="6"/>
      <c r="Y100" s="6"/>
      <c r="Z100" s="6" t="s">
        <v>267</v>
      </c>
      <c r="AA100" s="6" t="s">
        <v>404</v>
      </c>
      <c r="AB100" s="8"/>
      <c r="AC100" s="27">
        <v>9785000915349</v>
      </c>
    </row>
    <row r="101" spans="1:29" s="4" customFormat="1" ht="42" customHeight="1" x14ac:dyDescent="0.2">
      <c r="A101" s="5">
        <v>0</v>
      </c>
      <c r="B101" s="6" t="s">
        <v>724</v>
      </c>
      <c r="C101" s="7">
        <v>1624.8</v>
      </c>
      <c r="D101" s="8" t="s">
        <v>725</v>
      </c>
      <c r="E101" s="8" t="s">
        <v>726</v>
      </c>
      <c r="F101" s="8" t="s">
        <v>727</v>
      </c>
      <c r="G101" s="6" t="s">
        <v>60</v>
      </c>
      <c r="H101" s="6" t="s">
        <v>34</v>
      </c>
      <c r="I101" s="8" t="s">
        <v>253</v>
      </c>
      <c r="J101" s="9">
        <v>1</v>
      </c>
      <c r="K101" s="9">
        <v>232</v>
      </c>
      <c r="L101" s="9">
        <v>2027</v>
      </c>
      <c r="M101" s="8" t="s">
        <v>728</v>
      </c>
      <c r="N101" s="8" t="s">
        <v>63</v>
      </c>
      <c r="O101" s="8" t="s">
        <v>64</v>
      </c>
      <c r="P101" s="6" t="s">
        <v>306</v>
      </c>
      <c r="Q101" s="8" t="s">
        <v>500</v>
      </c>
      <c r="R101" s="10" t="s">
        <v>553</v>
      </c>
      <c r="S101" s="11"/>
      <c r="T101" s="6"/>
      <c r="U101" s="15" t="str">
        <f>HYPERLINK("https://media.infra-m.ru/2257/2257170/cover/2257170.jpg", "Обложка")</f>
        <v>Обложка</v>
      </c>
      <c r="V101" s="8" t="s">
        <v>729</v>
      </c>
      <c r="W101" s="6"/>
      <c r="X101" s="6"/>
      <c r="Y101" s="6"/>
      <c r="Z101" s="6"/>
      <c r="AA101" s="6" t="s">
        <v>76</v>
      </c>
      <c r="AB101" s="8"/>
      <c r="AC101" s="27">
        <v>9785160193427</v>
      </c>
    </row>
    <row r="102" spans="1:29" s="4" customFormat="1" ht="42" customHeight="1" x14ac:dyDescent="0.2">
      <c r="A102" s="5">
        <v>0</v>
      </c>
      <c r="B102" s="6" t="s">
        <v>730</v>
      </c>
      <c r="C102" s="7">
        <v>1824</v>
      </c>
      <c r="D102" s="8" t="s">
        <v>731</v>
      </c>
      <c r="E102" s="8" t="s">
        <v>732</v>
      </c>
      <c r="F102" s="8" t="s">
        <v>509</v>
      </c>
      <c r="G102" s="6" t="s">
        <v>60</v>
      </c>
      <c r="H102" s="6" t="s">
        <v>34</v>
      </c>
      <c r="I102" s="8" t="s">
        <v>35</v>
      </c>
      <c r="J102" s="9">
        <v>1</v>
      </c>
      <c r="K102" s="9">
        <v>263</v>
      </c>
      <c r="L102" s="9">
        <v>2027</v>
      </c>
      <c r="M102" s="8" t="s">
        <v>733</v>
      </c>
      <c r="N102" s="8" t="s">
        <v>63</v>
      </c>
      <c r="O102" s="8" t="s">
        <v>126</v>
      </c>
      <c r="P102" s="6" t="s">
        <v>39</v>
      </c>
      <c r="Q102" s="8" t="s">
        <v>40</v>
      </c>
      <c r="R102" s="10" t="s">
        <v>734</v>
      </c>
      <c r="S102" s="11"/>
      <c r="T102" s="6"/>
      <c r="U102" s="15" t="str">
        <f>HYPERLINK("https://media.infra-m.ru/2233/2233284/cover/2233284.jpg", "Обложка")</f>
        <v>Обложка</v>
      </c>
      <c r="V102" s="8" t="s">
        <v>512</v>
      </c>
      <c r="W102" s="6" t="s">
        <v>649</v>
      </c>
      <c r="X102" s="6"/>
      <c r="Y102" s="6"/>
      <c r="Z102" s="6"/>
      <c r="AA102" s="6" t="s">
        <v>420</v>
      </c>
      <c r="AB102" s="8" t="s">
        <v>308</v>
      </c>
      <c r="AC102" s="27">
        <v>9785160216485</v>
      </c>
    </row>
    <row r="103" spans="1:29" s="4" customFormat="1" ht="44.1" customHeight="1" x14ac:dyDescent="0.2">
      <c r="A103" s="5">
        <v>0</v>
      </c>
      <c r="B103" s="6" t="s">
        <v>735</v>
      </c>
      <c r="C103" s="13">
        <v>576</v>
      </c>
      <c r="D103" s="8" t="s">
        <v>736</v>
      </c>
      <c r="E103" s="8" t="s">
        <v>737</v>
      </c>
      <c r="F103" s="8" t="s">
        <v>738</v>
      </c>
      <c r="G103" s="6" t="s">
        <v>33</v>
      </c>
      <c r="H103" s="6" t="s">
        <v>313</v>
      </c>
      <c r="I103" s="8" t="s">
        <v>35</v>
      </c>
      <c r="J103" s="9">
        <v>1</v>
      </c>
      <c r="K103" s="9">
        <v>135</v>
      </c>
      <c r="L103" s="9">
        <v>2018</v>
      </c>
      <c r="M103" s="8" t="s">
        <v>739</v>
      </c>
      <c r="N103" s="8" t="s">
        <v>37</v>
      </c>
      <c r="O103" s="8" t="s">
        <v>83</v>
      </c>
      <c r="P103" s="6" t="s">
        <v>39</v>
      </c>
      <c r="Q103" s="8" t="s">
        <v>40</v>
      </c>
      <c r="R103" s="10" t="s">
        <v>740</v>
      </c>
      <c r="S103" s="11"/>
      <c r="T103" s="6"/>
      <c r="U103" s="15" t="str">
        <f>HYPERLINK("https://media.infra-m.ru/1040/1040436/cover/1040436.jpg", "Обложка")</f>
        <v>Обложка</v>
      </c>
      <c r="V103" s="8" t="s">
        <v>741</v>
      </c>
      <c r="W103" s="6"/>
      <c r="X103" s="6"/>
      <c r="Y103" s="6"/>
      <c r="Z103" s="6"/>
      <c r="AA103" s="6" t="s">
        <v>360</v>
      </c>
      <c r="AB103" s="8"/>
      <c r="AC103" s="27">
        <v>9785369014479</v>
      </c>
    </row>
    <row r="104" spans="1:29" s="4" customFormat="1" ht="44.1" customHeight="1" x14ac:dyDescent="0.2">
      <c r="A104" s="5">
        <v>0</v>
      </c>
      <c r="B104" s="6" t="s">
        <v>742</v>
      </c>
      <c r="C104" s="13">
        <v>948</v>
      </c>
      <c r="D104" s="8" t="s">
        <v>743</v>
      </c>
      <c r="E104" s="8" t="s">
        <v>744</v>
      </c>
      <c r="F104" s="8" t="s">
        <v>745</v>
      </c>
      <c r="G104" s="6" t="s">
        <v>33</v>
      </c>
      <c r="H104" s="6" t="s">
        <v>34</v>
      </c>
      <c r="I104" s="8" t="s">
        <v>746</v>
      </c>
      <c r="J104" s="9">
        <v>1</v>
      </c>
      <c r="K104" s="9">
        <v>143</v>
      </c>
      <c r="L104" s="9">
        <v>2026</v>
      </c>
      <c r="M104" s="8" t="s">
        <v>747</v>
      </c>
      <c r="N104" s="8" t="s">
        <v>243</v>
      </c>
      <c r="O104" s="8" t="s">
        <v>385</v>
      </c>
      <c r="P104" s="6" t="s">
        <v>748</v>
      </c>
      <c r="Q104" s="8" t="s">
        <v>749</v>
      </c>
      <c r="R104" s="10" t="s">
        <v>750</v>
      </c>
      <c r="S104" s="11"/>
      <c r="T104" s="6"/>
      <c r="U104" s="15" t="str">
        <f>HYPERLINK("https://media.infra-m.ru/2248/2248303/cover/2248303.jpg", "Обложка")</f>
        <v>Обложка</v>
      </c>
      <c r="V104" s="8" t="s">
        <v>751</v>
      </c>
      <c r="W104" s="6"/>
      <c r="X104" s="6"/>
      <c r="Y104" s="6"/>
      <c r="Z104" s="6"/>
      <c r="AA104" s="6" t="s">
        <v>248</v>
      </c>
      <c r="AB104" s="8"/>
      <c r="AC104" s="27">
        <v>9785160095820</v>
      </c>
    </row>
    <row r="105" spans="1:29" s="4" customFormat="1" ht="51.9" customHeight="1" x14ac:dyDescent="0.2">
      <c r="A105" s="5">
        <v>0</v>
      </c>
      <c r="B105" s="6" t="s">
        <v>752</v>
      </c>
      <c r="C105" s="7">
        <v>1900.8</v>
      </c>
      <c r="D105" s="8" t="s">
        <v>753</v>
      </c>
      <c r="E105" s="8" t="s">
        <v>754</v>
      </c>
      <c r="F105" s="8" t="s">
        <v>755</v>
      </c>
      <c r="G105" s="6" t="s">
        <v>118</v>
      </c>
      <c r="H105" s="6" t="s">
        <v>34</v>
      </c>
      <c r="I105" s="8" t="s">
        <v>756</v>
      </c>
      <c r="J105" s="9">
        <v>1</v>
      </c>
      <c r="K105" s="9">
        <v>304</v>
      </c>
      <c r="L105" s="9">
        <v>2025</v>
      </c>
      <c r="M105" s="8" t="s">
        <v>757</v>
      </c>
      <c r="N105" s="8" t="s">
        <v>243</v>
      </c>
      <c r="O105" s="8" t="s">
        <v>758</v>
      </c>
      <c r="P105" s="6" t="s">
        <v>759</v>
      </c>
      <c r="Q105" s="8" t="s">
        <v>65</v>
      </c>
      <c r="R105" s="10" t="s">
        <v>760</v>
      </c>
      <c r="S105" s="11"/>
      <c r="T105" s="6"/>
      <c r="U105" s="15" t="str">
        <f>HYPERLINK("https://media.infra-m.ru/2198/2198920/cover/2198920.jpg", "Обложка")</f>
        <v>Обложка</v>
      </c>
      <c r="V105" s="8" t="s">
        <v>761</v>
      </c>
      <c r="W105" s="6"/>
      <c r="X105" s="6"/>
      <c r="Y105" s="6"/>
      <c r="Z105" s="6"/>
      <c r="AA105" s="6" t="s">
        <v>248</v>
      </c>
      <c r="AB105" s="8"/>
      <c r="AC105" s="27">
        <v>9785160103976</v>
      </c>
    </row>
    <row r="106" spans="1:29" s="4" customFormat="1" ht="51.9" customHeight="1" x14ac:dyDescent="0.2">
      <c r="A106" s="5">
        <v>0</v>
      </c>
      <c r="B106" s="6" t="s">
        <v>762</v>
      </c>
      <c r="C106" s="7">
        <v>2380.8000000000002</v>
      </c>
      <c r="D106" s="8" t="s">
        <v>763</v>
      </c>
      <c r="E106" s="8" t="s">
        <v>764</v>
      </c>
      <c r="F106" s="8" t="s">
        <v>765</v>
      </c>
      <c r="G106" s="6" t="s">
        <v>118</v>
      </c>
      <c r="H106" s="6" t="s">
        <v>34</v>
      </c>
      <c r="I106" s="8" t="s">
        <v>271</v>
      </c>
      <c r="J106" s="9">
        <v>1</v>
      </c>
      <c r="K106" s="9">
        <v>360</v>
      </c>
      <c r="L106" s="9">
        <v>2026</v>
      </c>
      <c r="M106" s="8" t="s">
        <v>766</v>
      </c>
      <c r="N106" s="8" t="s">
        <v>37</v>
      </c>
      <c r="O106" s="8" t="s">
        <v>499</v>
      </c>
      <c r="P106" s="6" t="s">
        <v>306</v>
      </c>
      <c r="Q106" s="8" t="s">
        <v>52</v>
      </c>
      <c r="R106" s="10" t="s">
        <v>767</v>
      </c>
      <c r="S106" s="11" t="s">
        <v>768</v>
      </c>
      <c r="T106" s="6"/>
      <c r="U106" s="15" t="str">
        <f>HYPERLINK("https://media.infra-m.ru/2232/2232092/cover/2232092.jpg", "Обложка")</f>
        <v>Обложка</v>
      </c>
      <c r="V106" s="8" t="s">
        <v>644</v>
      </c>
      <c r="W106" s="6"/>
      <c r="X106" s="6"/>
      <c r="Y106" s="6"/>
      <c r="Z106" s="6"/>
      <c r="AA106" s="6" t="s">
        <v>769</v>
      </c>
      <c r="AB106" s="8"/>
      <c r="AC106" s="27">
        <v>9785160062525</v>
      </c>
    </row>
    <row r="107" spans="1:29" s="4" customFormat="1" ht="51.9" customHeight="1" x14ac:dyDescent="0.2">
      <c r="A107" s="5">
        <v>0</v>
      </c>
      <c r="B107" s="6" t="s">
        <v>770</v>
      </c>
      <c r="C107" s="7">
        <v>1252.8</v>
      </c>
      <c r="D107" s="8" t="s">
        <v>771</v>
      </c>
      <c r="E107" s="8" t="s">
        <v>772</v>
      </c>
      <c r="F107" s="8" t="s">
        <v>773</v>
      </c>
      <c r="G107" s="6" t="s">
        <v>118</v>
      </c>
      <c r="H107" s="6" t="s">
        <v>34</v>
      </c>
      <c r="I107" s="8" t="s">
        <v>271</v>
      </c>
      <c r="J107" s="9">
        <v>1</v>
      </c>
      <c r="K107" s="9">
        <v>180</v>
      </c>
      <c r="L107" s="9">
        <v>2027</v>
      </c>
      <c r="M107" s="8" t="s">
        <v>774</v>
      </c>
      <c r="N107" s="8" t="s">
        <v>585</v>
      </c>
      <c r="O107" s="8" t="s">
        <v>775</v>
      </c>
      <c r="P107" s="6" t="s">
        <v>51</v>
      </c>
      <c r="Q107" s="8" t="s">
        <v>52</v>
      </c>
      <c r="R107" s="10" t="s">
        <v>776</v>
      </c>
      <c r="S107" s="11" t="s">
        <v>777</v>
      </c>
      <c r="T107" s="6"/>
      <c r="U107" s="15" t="str">
        <f>HYPERLINK("https://media.infra-m.ru/2263/2263015/cover/2263015.jpg", "Обложка")</f>
        <v>Обложка</v>
      </c>
      <c r="V107" s="8" t="s">
        <v>778</v>
      </c>
      <c r="W107" s="6"/>
      <c r="X107" s="6"/>
      <c r="Y107" s="6"/>
      <c r="Z107" s="6"/>
      <c r="AA107" s="6" t="s">
        <v>779</v>
      </c>
      <c r="AB107" s="8"/>
      <c r="AC107" s="27">
        <v>9785160108308</v>
      </c>
    </row>
    <row r="108" spans="1:29" s="4" customFormat="1" ht="42" customHeight="1" x14ac:dyDescent="0.2">
      <c r="A108" s="5">
        <v>0</v>
      </c>
      <c r="B108" s="6" t="s">
        <v>780</v>
      </c>
      <c r="C108" s="7">
        <v>1852.8</v>
      </c>
      <c r="D108" s="8" t="s">
        <v>781</v>
      </c>
      <c r="E108" s="8" t="s">
        <v>782</v>
      </c>
      <c r="F108" s="8" t="s">
        <v>783</v>
      </c>
      <c r="G108" s="6" t="s">
        <v>33</v>
      </c>
      <c r="H108" s="6" t="s">
        <v>34</v>
      </c>
      <c r="I108" s="8" t="s">
        <v>35</v>
      </c>
      <c r="J108" s="9">
        <v>1</v>
      </c>
      <c r="K108" s="9">
        <v>266</v>
      </c>
      <c r="L108" s="9">
        <v>2026</v>
      </c>
      <c r="M108" s="8" t="s">
        <v>784</v>
      </c>
      <c r="N108" s="8" t="s">
        <v>585</v>
      </c>
      <c r="O108" s="8" t="s">
        <v>775</v>
      </c>
      <c r="P108" s="6" t="s">
        <v>39</v>
      </c>
      <c r="Q108" s="8" t="s">
        <v>40</v>
      </c>
      <c r="R108" s="10" t="s">
        <v>785</v>
      </c>
      <c r="S108" s="11"/>
      <c r="T108" s="6"/>
      <c r="U108" s="15" t="str">
        <f>HYPERLINK("https://media.infra-m.ru/2231/2231473/cover/2231473.jpg", "Обложка")</f>
        <v>Обложка</v>
      </c>
      <c r="V108" s="8" t="s">
        <v>786</v>
      </c>
      <c r="W108" s="6"/>
      <c r="X108" s="6"/>
      <c r="Y108" s="6"/>
      <c r="Z108" s="6"/>
      <c r="AA108" s="6" t="s">
        <v>148</v>
      </c>
      <c r="AB108" s="8"/>
      <c r="AC108" s="27">
        <v>9785160170336</v>
      </c>
    </row>
    <row r="109" spans="1:29" s="4" customFormat="1" ht="42" customHeight="1" x14ac:dyDescent="0.2">
      <c r="A109" s="5">
        <v>0</v>
      </c>
      <c r="B109" s="6" t="s">
        <v>787</v>
      </c>
      <c r="C109" s="7">
        <v>1818</v>
      </c>
      <c r="D109" s="8" t="s">
        <v>788</v>
      </c>
      <c r="E109" s="8" t="s">
        <v>789</v>
      </c>
      <c r="F109" s="8" t="s">
        <v>790</v>
      </c>
      <c r="G109" s="6" t="s">
        <v>118</v>
      </c>
      <c r="H109" s="6" t="s">
        <v>34</v>
      </c>
      <c r="I109" s="8"/>
      <c r="J109" s="9">
        <v>1</v>
      </c>
      <c r="K109" s="9">
        <v>243</v>
      </c>
      <c r="L109" s="9">
        <v>2026</v>
      </c>
      <c r="M109" s="8" t="s">
        <v>791</v>
      </c>
      <c r="N109" s="8" t="s">
        <v>37</v>
      </c>
      <c r="O109" s="8" t="s">
        <v>83</v>
      </c>
      <c r="P109" s="6" t="s">
        <v>39</v>
      </c>
      <c r="Q109" s="8" t="s">
        <v>40</v>
      </c>
      <c r="R109" s="10" t="s">
        <v>792</v>
      </c>
      <c r="S109" s="11"/>
      <c r="T109" s="6"/>
      <c r="U109" s="15" t="str">
        <f>HYPERLINK("https://media.infra-m.ru/2262/2262194/cover/2262194.jpg", "Обложка")</f>
        <v>Обложка</v>
      </c>
      <c r="V109" s="8" t="s">
        <v>546</v>
      </c>
      <c r="W109" s="6"/>
      <c r="X109" s="6"/>
      <c r="Y109" s="6"/>
      <c r="Z109" s="6"/>
      <c r="AA109" s="6" t="s">
        <v>68</v>
      </c>
      <c r="AB109" s="8"/>
      <c r="AC109" s="27">
        <v>9785160203171</v>
      </c>
    </row>
    <row r="110" spans="1:29" s="4" customFormat="1" ht="51.9" customHeight="1" x14ac:dyDescent="0.2">
      <c r="A110" s="5">
        <v>0</v>
      </c>
      <c r="B110" s="6" t="s">
        <v>793</v>
      </c>
      <c r="C110" s="7">
        <v>3148.8</v>
      </c>
      <c r="D110" s="8" t="s">
        <v>794</v>
      </c>
      <c r="E110" s="8" t="s">
        <v>795</v>
      </c>
      <c r="F110" s="8" t="s">
        <v>796</v>
      </c>
      <c r="G110" s="6" t="s">
        <v>60</v>
      </c>
      <c r="H110" s="6" t="s">
        <v>313</v>
      </c>
      <c r="I110" s="8" t="s">
        <v>253</v>
      </c>
      <c r="J110" s="9">
        <v>1</v>
      </c>
      <c r="K110" s="9">
        <v>451</v>
      </c>
      <c r="L110" s="9">
        <v>2026</v>
      </c>
      <c r="M110" s="8" t="s">
        <v>797</v>
      </c>
      <c r="N110" s="8" t="s">
        <v>243</v>
      </c>
      <c r="O110" s="8" t="s">
        <v>798</v>
      </c>
      <c r="P110" s="6" t="s">
        <v>51</v>
      </c>
      <c r="Q110" s="8" t="s">
        <v>52</v>
      </c>
      <c r="R110" s="10" t="s">
        <v>799</v>
      </c>
      <c r="S110" s="11" t="s">
        <v>800</v>
      </c>
      <c r="T110" s="6"/>
      <c r="U110" s="15" t="str">
        <f>HYPERLINK("https://media.infra-m.ru/2232/2232117/cover/2232117.jpg", "Обложка")</f>
        <v>Обложка</v>
      </c>
      <c r="V110" s="8" t="s">
        <v>801</v>
      </c>
      <c r="W110" s="6"/>
      <c r="X110" s="6"/>
      <c r="Y110" s="6"/>
      <c r="Z110" s="6"/>
      <c r="AA110" s="6" t="s">
        <v>718</v>
      </c>
      <c r="AB110" s="8"/>
      <c r="AC110" s="27">
        <v>9785369011096</v>
      </c>
    </row>
    <row r="111" spans="1:29" s="4" customFormat="1" ht="51.9" customHeight="1" x14ac:dyDescent="0.2">
      <c r="A111" s="5">
        <v>0</v>
      </c>
      <c r="B111" s="6" t="s">
        <v>802</v>
      </c>
      <c r="C111" s="7">
        <v>2892</v>
      </c>
      <c r="D111" s="8" t="s">
        <v>803</v>
      </c>
      <c r="E111" s="8" t="s">
        <v>804</v>
      </c>
      <c r="F111" s="8" t="s">
        <v>805</v>
      </c>
      <c r="G111" s="6" t="s">
        <v>60</v>
      </c>
      <c r="H111" s="6" t="s">
        <v>34</v>
      </c>
      <c r="I111" s="8" t="s">
        <v>253</v>
      </c>
      <c r="J111" s="9">
        <v>1</v>
      </c>
      <c r="K111" s="9">
        <v>437</v>
      </c>
      <c r="L111" s="9">
        <v>2026</v>
      </c>
      <c r="M111" s="8" t="s">
        <v>806</v>
      </c>
      <c r="N111" s="8" t="s">
        <v>243</v>
      </c>
      <c r="O111" s="8" t="s">
        <v>798</v>
      </c>
      <c r="P111" s="6" t="s">
        <v>306</v>
      </c>
      <c r="Q111" s="8" t="s">
        <v>52</v>
      </c>
      <c r="R111" s="10" t="s">
        <v>807</v>
      </c>
      <c r="S111" s="11" t="s">
        <v>808</v>
      </c>
      <c r="T111" s="6"/>
      <c r="U111" s="15" t="str">
        <f>HYPERLINK("https://media.infra-m.ru/2244/2244453/cover/2244453.jpg", "Обложка")</f>
        <v>Обложка</v>
      </c>
      <c r="V111" s="8" t="s">
        <v>809</v>
      </c>
      <c r="W111" s="6"/>
      <c r="X111" s="6"/>
      <c r="Y111" s="6"/>
      <c r="Z111" s="6"/>
      <c r="AA111" s="6" t="s">
        <v>68</v>
      </c>
      <c r="AB111" s="8"/>
      <c r="AC111" s="27">
        <v>9785160182810</v>
      </c>
    </row>
    <row r="112" spans="1:29" s="4" customFormat="1" ht="51.9" customHeight="1" x14ac:dyDescent="0.2">
      <c r="A112" s="5">
        <v>0</v>
      </c>
      <c r="B112" s="6" t="s">
        <v>810</v>
      </c>
      <c r="C112" s="7">
        <v>1840.8</v>
      </c>
      <c r="D112" s="8" t="s">
        <v>811</v>
      </c>
      <c r="E112" s="8" t="s">
        <v>812</v>
      </c>
      <c r="F112" s="8" t="s">
        <v>813</v>
      </c>
      <c r="G112" s="6" t="s">
        <v>118</v>
      </c>
      <c r="H112" s="6" t="s">
        <v>34</v>
      </c>
      <c r="I112" s="8" t="s">
        <v>263</v>
      </c>
      <c r="J112" s="9">
        <v>1</v>
      </c>
      <c r="K112" s="9">
        <v>264</v>
      </c>
      <c r="L112" s="9">
        <v>2026</v>
      </c>
      <c r="M112" s="8" t="s">
        <v>814</v>
      </c>
      <c r="N112" s="8" t="s">
        <v>243</v>
      </c>
      <c r="O112" s="8" t="s">
        <v>758</v>
      </c>
      <c r="P112" s="6" t="s">
        <v>51</v>
      </c>
      <c r="Q112" s="8" t="s">
        <v>265</v>
      </c>
      <c r="R112" s="10" t="s">
        <v>815</v>
      </c>
      <c r="S112" s="11" t="s">
        <v>816</v>
      </c>
      <c r="T112" s="6"/>
      <c r="U112" s="15" t="str">
        <f>HYPERLINK("https://media.infra-m.ru/2261/2261991/cover/2261991.jpg", "Обложка")</f>
        <v>Обложка</v>
      </c>
      <c r="V112" s="8" t="s">
        <v>227</v>
      </c>
      <c r="W112" s="6"/>
      <c r="X112" s="6" t="s">
        <v>24</v>
      </c>
      <c r="Y112" s="6"/>
      <c r="Z112" s="6"/>
      <c r="AA112" s="6" t="s">
        <v>129</v>
      </c>
      <c r="AB112" s="8"/>
      <c r="AC112" s="27">
        <v>9785160105314</v>
      </c>
    </row>
    <row r="113" spans="1:29" s="4" customFormat="1" ht="44.1" customHeight="1" x14ac:dyDescent="0.2">
      <c r="A113" s="5">
        <v>0</v>
      </c>
      <c r="B113" s="6" t="s">
        <v>817</v>
      </c>
      <c r="C113" s="7">
        <v>2116.8000000000002</v>
      </c>
      <c r="D113" s="8" t="s">
        <v>818</v>
      </c>
      <c r="E113" s="8" t="s">
        <v>812</v>
      </c>
      <c r="F113" s="8" t="s">
        <v>819</v>
      </c>
      <c r="G113" s="6" t="s">
        <v>118</v>
      </c>
      <c r="H113" s="6" t="s">
        <v>820</v>
      </c>
      <c r="I113" s="8"/>
      <c r="J113" s="9">
        <v>1</v>
      </c>
      <c r="K113" s="9">
        <v>320</v>
      </c>
      <c r="L113" s="9">
        <v>2026</v>
      </c>
      <c r="M113" s="8" t="s">
        <v>821</v>
      </c>
      <c r="N113" s="8" t="s">
        <v>243</v>
      </c>
      <c r="O113" s="8" t="s">
        <v>758</v>
      </c>
      <c r="P113" s="6" t="s">
        <v>306</v>
      </c>
      <c r="Q113" s="8" t="s">
        <v>52</v>
      </c>
      <c r="R113" s="10" t="s">
        <v>822</v>
      </c>
      <c r="S113" s="11"/>
      <c r="T113" s="6"/>
      <c r="U113" s="15" t="str">
        <f>HYPERLINK("https://media.infra-m.ru/2232/2232119/cover/2232119.jpg", "Обложка")</f>
        <v>Обложка</v>
      </c>
      <c r="V113" s="8" t="s">
        <v>823</v>
      </c>
      <c r="W113" s="6"/>
      <c r="X113" s="6"/>
      <c r="Y113" s="6"/>
      <c r="Z113" s="6"/>
      <c r="AA113" s="6" t="s">
        <v>99</v>
      </c>
      <c r="AB113" s="8"/>
      <c r="AC113" s="27">
        <v>9785906818607</v>
      </c>
    </row>
    <row r="114" spans="1:29" s="4" customFormat="1" ht="51.9" customHeight="1" x14ac:dyDescent="0.2">
      <c r="A114" s="5">
        <v>0</v>
      </c>
      <c r="B114" s="6" t="s">
        <v>824</v>
      </c>
      <c r="C114" s="7">
        <v>1444.8</v>
      </c>
      <c r="D114" s="8" t="s">
        <v>825</v>
      </c>
      <c r="E114" s="8" t="s">
        <v>826</v>
      </c>
      <c r="F114" s="8" t="s">
        <v>827</v>
      </c>
      <c r="G114" s="6" t="s">
        <v>118</v>
      </c>
      <c r="H114" s="6" t="s">
        <v>34</v>
      </c>
      <c r="I114" s="8" t="s">
        <v>263</v>
      </c>
      <c r="J114" s="9">
        <v>1</v>
      </c>
      <c r="K114" s="9">
        <v>208</v>
      </c>
      <c r="L114" s="9">
        <v>2026</v>
      </c>
      <c r="M114" s="8" t="s">
        <v>828</v>
      </c>
      <c r="N114" s="8" t="s">
        <v>243</v>
      </c>
      <c r="O114" s="8" t="s">
        <v>758</v>
      </c>
      <c r="P114" s="6" t="s">
        <v>51</v>
      </c>
      <c r="Q114" s="8" t="s">
        <v>265</v>
      </c>
      <c r="R114" s="10" t="s">
        <v>829</v>
      </c>
      <c r="S114" s="11" t="s">
        <v>830</v>
      </c>
      <c r="T114" s="6"/>
      <c r="U114" s="15" t="str">
        <f>HYPERLINK("https://media.infra-m.ru/2259/2259746/cover/2259746.jpg", "Обложка")</f>
        <v>Обложка</v>
      </c>
      <c r="V114" s="8" t="s">
        <v>831</v>
      </c>
      <c r="W114" s="6"/>
      <c r="X114" s="6"/>
      <c r="Y114" s="6"/>
      <c r="Z114" s="6" t="s">
        <v>267</v>
      </c>
      <c r="AA114" s="6" t="s">
        <v>86</v>
      </c>
      <c r="AB114" s="8"/>
      <c r="AC114" s="27">
        <v>9785160138718</v>
      </c>
    </row>
    <row r="115" spans="1:29" s="4" customFormat="1" ht="51.9" customHeight="1" x14ac:dyDescent="0.2">
      <c r="A115" s="5">
        <v>0</v>
      </c>
      <c r="B115" s="6" t="s">
        <v>832</v>
      </c>
      <c r="C115" s="7">
        <v>1260</v>
      </c>
      <c r="D115" s="8" t="s">
        <v>833</v>
      </c>
      <c r="E115" s="8" t="s">
        <v>826</v>
      </c>
      <c r="F115" s="8" t="s">
        <v>827</v>
      </c>
      <c r="G115" s="6" t="s">
        <v>118</v>
      </c>
      <c r="H115" s="6" t="s">
        <v>34</v>
      </c>
      <c r="I115" s="8" t="s">
        <v>253</v>
      </c>
      <c r="J115" s="9">
        <v>1</v>
      </c>
      <c r="K115" s="9">
        <v>208</v>
      </c>
      <c r="L115" s="9">
        <v>2025</v>
      </c>
      <c r="M115" s="8" t="s">
        <v>834</v>
      </c>
      <c r="N115" s="8" t="s">
        <v>243</v>
      </c>
      <c r="O115" s="8" t="s">
        <v>758</v>
      </c>
      <c r="P115" s="6" t="s">
        <v>51</v>
      </c>
      <c r="Q115" s="8" t="s">
        <v>52</v>
      </c>
      <c r="R115" s="10" t="s">
        <v>835</v>
      </c>
      <c r="S115" s="11" t="s">
        <v>836</v>
      </c>
      <c r="T115" s="6"/>
      <c r="U115" s="15" t="str">
        <f>HYPERLINK("https://media.infra-m.ru/2184/2184899/cover/2184899.jpg", "Обложка")</f>
        <v>Обложка</v>
      </c>
      <c r="V115" s="8" t="s">
        <v>831</v>
      </c>
      <c r="W115" s="6"/>
      <c r="X115" s="6"/>
      <c r="Y115" s="6"/>
      <c r="Z115" s="6"/>
      <c r="AA115" s="6" t="s">
        <v>779</v>
      </c>
      <c r="AB115" s="8"/>
      <c r="AC115" s="27">
        <v>9785160205908</v>
      </c>
    </row>
    <row r="116" spans="1:29" s="4" customFormat="1" ht="51.9" customHeight="1" x14ac:dyDescent="0.2">
      <c r="A116" s="5">
        <v>0</v>
      </c>
      <c r="B116" s="6" t="s">
        <v>837</v>
      </c>
      <c r="C116" s="7">
        <v>1912.8</v>
      </c>
      <c r="D116" s="8" t="s">
        <v>838</v>
      </c>
      <c r="E116" s="8" t="s">
        <v>826</v>
      </c>
      <c r="F116" s="8" t="s">
        <v>839</v>
      </c>
      <c r="G116" s="6" t="s">
        <v>118</v>
      </c>
      <c r="H116" s="6" t="s">
        <v>34</v>
      </c>
      <c r="I116" s="8" t="s">
        <v>271</v>
      </c>
      <c r="J116" s="9">
        <v>1</v>
      </c>
      <c r="K116" s="9">
        <v>274</v>
      </c>
      <c r="L116" s="9">
        <v>2027</v>
      </c>
      <c r="M116" s="8" t="s">
        <v>840</v>
      </c>
      <c r="N116" s="8" t="s">
        <v>243</v>
      </c>
      <c r="O116" s="8" t="s">
        <v>758</v>
      </c>
      <c r="P116" s="6" t="s">
        <v>51</v>
      </c>
      <c r="Q116" s="8" t="s">
        <v>52</v>
      </c>
      <c r="R116" s="10" t="s">
        <v>841</v>
      </c>
      <c r="S116" s="11" t="s">
        <v>842</v>
      </c>
      <c r="T116" s="6"/>
      <c r="U116" s="15" t="str">
        <f>HYPERLINK("https://media.infra-m.ru/2271/2271609/cover/2271609.jpg", "Обложка")</f>
        <v>Обложка</v>
      </c>
      <c r="V116" s="8" t="s">
        <v>843</v>
      </c>
      <c r="W116" s="6"/>
      <c r="X116" s="6"/>
      <c r="Y116" s="6"/>
      <c r="Z116" s="6"/>
      <c r="AA116" s="6" t="s">
        <v>115</v>
      </c>
      <c r="AB116" s="8"/>
      <c r="AC116" s="27">
        <v>9785160142562</v>
      </c>
    </row>
    <row r="117" spans="1:29" s="4" customFormat="1" ht="51.9" customHeight="1" x14ac:dyDescent="0.2">
      <c r="A117" s="5">
        <v>0</v>
      </c>
      <c r="B117" s="6" t="s">
        <v>844</v>
      </c>
      <c r="C117" s="7">
        <v>1584</v>
      </c>
      <c r="D117" s="8" t="s">
        <v>845</v>
      </c>
      <c r="E117" s="8" t="s">
        <v>846</v>
      </c>
      <c r="F117" s="8" t="s">
        <v>847</v>
      </c>
      <c r="G117" s="6" t="s">
        <v>33</v>
      </c>
      <c r="H117" s="6" t="s">
        <v>313</v>
      </c>
      <c r="I117" s="8" t="s">
        <v>253</v>
      </c>
      <c r="J117" s="9">
        <v>1</v>
      </c>
      <c r="K117" s="9">
        <v>241</v>
      </c>
      <c r="L117" s="9">
        <v>2026</v>
      </c>
      <c r="M117" s="8" t="s">
        <v>848</v>
      </c>
      <c r="N117" s="8" t="s">
        <v>243</v>
      </c>
      <c r="O117" s="8" t="s">
        <v>798</v>
      </c>
      <c r="P117" s="6" t="s">
        <v>51</v>
      </c>
      <c r="Q117" s="8" t="s">
        <v>65</v>
      </c>
      <c r="R117" s="10" t="s">
        <v>849</v>
      </c>
      <c r="S117" s="11" t="s">
        <v>850</v>
      </c>
      <c r="T117" s="6" t="s">
        <v>97</v>
      </c>
      <c r="U117" s="15" t="str">
        <f>HYPERLINK("https://media.infra-m.ru/2218/2218808/cover/2218808.jpg", "Обложка")</f>
        <v>Обложка</v>
      </c>
      <c r="V117" s="8" t="s">
        <v>851</v>
      </c>
      <c r="W117" s="6"/>
      <c r="X117" s="6"/>
      <c r="Y117" s="6"/>
      <c r="Z117" s="6"/>
      <c r="AA117" s="6" t="s">
        <v>99</v>
      </c>
      <c r="AB117" s="8"/>
      <c r="AC117" s="27">
        <v>9785369015636</v>
      </c>
    </row>
    <row r="118" spans="1:29" s="4" customFormat="1" ht="51.9" customHeight="1" x14ac:dyDescent="0.2">
      <c r="A118" s="5">
        <v>0</v>
      </c>
      <c r="B118" s="6" t="s">
        <v>852</v>
      </c>
      <c r="C118" s="7">
        <v>1272</v>
      </c>
      <c r="D118" s="8" t="s">
        <v>853</v>
      </c>
      <c r="E118" s="8" t="s">
        <v>854</v>
      </c>
      <c r="F118" s="8" t="s">
        <v>855</v>
      </c>
      <c r="G118" s="6" t="s">
        <v>118</v>
      </c>
      <c r="H118" s="6" t="s">
        <v>34</v>
      </c>
      <c r="I118" s="8" t="s">
        <v>263</v>
      </c>
      <c r="J118" s="9">
        <v>1</v>
      </c>
      <c r="K118" s="9">
        <v>192</v>
      </c>
      <c r="L118" s="9">
        <v>2026</v>
      </c>
      <c r="M118" s="8" t="s">
        <v>856</v>
      </c>
      <c r="N118" s="8" t="s">
        <v>243</v>
      </c>
      <c r="O118" s="8" t="s">
        <v>798</v>
      </c>
      <c r="P118" s="6" t="s">
        <v>306</v>
      </c>
      <c r="Q118" s="8" t="s">
        <v>265</v>
      </c>
      <c r="R118" s="10" t="s">
        <v>857</v>
      </c>
      <c r="S118" s="11" t="s">
        <v>858</v>
      </c>
      <c r="T118" s="6" t="s">
        <v>97</v>
      </c>
      <c r="U118" s="15" t="str">
        <f>HYPERLINK("https://media.infra-m.ru/2225/2225676/cover/2225676.jpg", "Обложка")</f>
        <v>Обложка</v>
      </c>
      <c r="V118" s="8" t="s">
        <v>809</v>
      </c>
      <c r="W118" s="6"/>
      <c r="X118" s="6"/>
      <c r="Y118" s="6"/>
      <c r="Z118" s="6"/>
      <c r="AA118" s="6" t="s">
        <v>859</v>
      </c>
      <c r="AB118" s="8"/>
      <c r="AC118" s="27">
        <v>9785160093697</v>
      </c>
    </row>
    <row r="119" spans="1:29" s="4" customFormat="1" ht="51.9" customHeight="1" x14ac:dyDescent="0.2">
      <c r="A119" s="5">
        <v>0</v>
      </c>
      <c r="B119" s="6" t="s">
        <v>860</v>
      </c>
      <c r="C119" s="7">
        <v>1348.8</v>
      </c>
      <c r="D119" s="8" t="s">
        <v>861</v>
      </c>
      <c r="E119" s="8" t="s">
        <v>862</v>
      </c>
      <c r="F119" s="8" t="s">
        <v>863</v>
      </c>
      <c r="G119" s="6" t="s">
        <v>118</v>
      </c>
      <c r="H119" s="6" t="s">
        <v>48</v>
      </c>
      <c r="I119" s="8" t="s">
        <v>263</v>
      </c>
      <c r="J119" s="9">
        <v>1</v>
      </c>
      <c r="K119" s="9">
        <v>224</v>
      </c>
      <c r="L119" s="9">
        <v>2025</v>
      </c>
      <c r="M119" s="8" t="s">
        <v>864</v>
      </c>
      <c r="N119" s="8" t="s">
        <v>243</v>
      </c>
      <c r="O119" s="8" t="s">
        <v>758</v>
      </c>
      <c r="P119" s="6" t="s">
        <v>51</v>
      </c>
      <c r="Q119" s="8" t="s">
        <v>265</v>
      </c>
      <c r="R119" s="10" t="s">
        <v>865</v>
      </c>
      <c r="S119" s="11" t="s">
        <v>866</v>
      </c>
      <c r="T119" s="6"/>
      <c r="U119" s="15" t="str">
        <f>HYPERLINK("https://media.infra-m.ru/2187/2187789/cover/2187789.jpg", "Обложка")</f>
        <v>Обложка</v>
      </c>
      <c r="V119" s="8" t="s">
        <v>867</v>
      </c>
      <c r="W119" s="6"/>
      <c r="X119" s="6" t="s">
        <v>24</v>
      </c>
      <c r="Y119" s="6"/>
      <c r="Z119" s="6" t="s">
        <v>267</v>
      </c>
      <c r="AA119" s="6" t="s">
        <v>404</v>
      </c>
      <c r="AB119" s="8"/>
      <c r="AC119" s="27">
        <v>9785000915356</v>
      </c>
    </row>
    <row r="120" spans="1:29" s="4" customFormat="1" ht="51.9" customHeight="1" x14ac:dyDescent="0.2">
      <c r="A120" s="5">
        <v>0</v>
      </c>
      <c r="B120" s="6" t="s">
        <v>868</v>
      </c>
      <c r="C120" s="7">
        <v>1348.8</v>
      </c>
      <c r="D120" s="8" t="s">
        <v>869</v>
      </c>
      <c r="E120" s="8" t="s">
        <v>862</v>
      </c>
      <c r="F120" s="8" t="s">
        <v>870</v>
      </c>
      <c r="G120" s="6" t="s">
        <v>60</v>
      </c>
      <c r="H120" s="6" t="s">
        <v>48</v>
      </c>
      <c r="I120" s="8" t="s">
        <v>253</v>
      </c>
      <c r="J120" s="9">
        <v>1</v>
      </c>
      <c r="K120" s="9">
        <v>224</v>
      </c>
      <c r="L120" s="9">
        <v>2025</v>
      </c>
      <c r="M120" s="8" t="s">
        <v>871</v>
      </c>
      <c r="N120" s="8" t="s">
        <v>243</v>
      </c>
      <c r="O120" s="8" t="s">
        <v>758</v>
      </c>
      <c r="P120" s="6" t="s">
        <v>51</v>
      </c>
      <c r="Q120" s="8" t="s">
        <v>52</v>
      </c>
      <c r="R120" s="10" t="s">
        <v>872</v>
      </c>
      <c r="S120" s="11" t="s">
        <v>873</v>
      </c>
      <c r="T120" s="6"/>
      <c r="U120" s="15" t="str">
        <f>HYPERLINK("https://media.infra-m.ru/2186/2186897/cover/2186897.jpg", "Обложка")</f>
        <v>Обложка</v>
      </c>
      <c r="V120" s="8" t="s">
        <v>867</v>
      </c>
      <c r="W120" s="6"/>
      <c r="X120" s="6" t="s">
        <v>24</v>
      </c>
      <c r="Y120" s="6"/>
      <c r="Z120" s="6"/>
      <c r="AA120" s="6" t="s">
        <v>874</v>
      </c>
      <c r="AB120" s="8"/>
      <c r="AC120" s="27">
        <v>9785911349486</v>
      </c>
    </row>
    <row r="121" spans="1:29" s="4" customFormat="1" ht="51.9" customHeight="1" x14ac:dyDescent="0.2">
      <c r="A121" s="5">
        <v>0</v>
      </c>
      <c r="B121" s="6" t="s">
        <v>875</v>
      </c>
      <c r="C121" s="7">
        <v>1060.8</v>
      </c>
      <c r="D121" s="8" t="s">
        <v>876</v>
      </c>
      <c r="E121" s="8" t="s">
        <v>877</v>
      </c>
      <c r="F121" s="8" t="s">
        <v>878</v>
      </c>
      <c r="G121" s="6" t="s">
        <v>118</v>
      </c>
      <c r="H121" s="6" t="s">
        <v>48</v>
      </c>
      <c r="I121" s="8" t="s">
        <v>263</v>
      </c>
      <c r="J121" s="9">
        <v>1</v>
      </c>
      <c r="K121" s="9">
        <v>161</v>
      </c>
      <c r="L121" s="9">
        <v>2026</v>
      </c>
      <c r="M121" s="8" t="s">
        <v>879</v>
      </c>
      <c r="N121" s="8" t="s">
        <v>243</v>
      </c>
      <c r="O121" s="8" t="s">
        <v>758</v>
      </c>
      <c r="P121" s="6" t="s">
        <v>51</v>
      </c>
      <c r="Q121" s="8" t="s">
        <v>265</v>
      </c>
      <c r="R121" s="10" t="s">
        <v>880</v>
      </c>
      <c r="S121" s="11" t="s">
        <v>881</v>
      </c>
      <c r="T121" s="6"/>
      <c r="U121" s="15" t="str">
        <f>HYPERLINK("https://media.infra-m.ru/2224/2224429/cover/2224429.jpg", "Обложка")</f>
        <v>Обложка</v>
      </c>
      <c r="V121" s="8" t="s">
        <v>831</v>
      </c>
      <c r="W121" s="6"/>
      <c r="X121" s="6"/>
      <c r="Y121" s="6"/>
      <c r="Z121" s="6" t="s">
        <v>882</v>
      </c>
      <c r="AA121" s="6" t="s">
        <v>86</v>
      </c>
      <c r="AB121" s="8"/>
      <c r="AC121" s="27">
        <v>9785000915363</v>
      </c>
    </row>
    <row r="122" spans="1:29" s="4" customFormat="1" ht="51.9" customHeight="1" x14ac:dyDescent="0.2">
      <c r="A122" s="5">
        <v>0</v>
      </c>
      <c r="B122" s="6" t="s">
        <v>883</v>
      </c>
      <c r="C122" s="7">
        <v>1488</v>
      </c>
      <c r="D122" s="8" t="s">
        <v>884</v>
      </c>
      <c r="E122" s="8" t="s">
        <v>862</v>
      </c>
      <c r="F122" s="8" t="s">
        <v>870</v>
      </c>
      <c r="G122" s="6" t="s">
        <v>33</v>
      </c>
      <c r="H122" s="6" t="s">
        <v>34</v>
      </c>
      <c r="I122" s="8" t="s">
        <v>253</v>
      </c>
      <c r="J122" s="9">
        <v>1</v>
      </c>
      <c r="K122" s="9">
        <v>224</v>
      </c>
      <c r="L122" s="9">
        <v>2026</v>
      </c>
      <c r="M122" s="8" t="s">
        <v>885</v>
      </c>
      <c r="N122" s="8" t="s">
        <v>243</v>
      </c>
      <c r="O122" s="8" t="s">
        <v>758</v>
      </c>
      <c r="P122" s="6" t="s">
        <v>51</v>
      </c>
      <c r="Q122" s="8" t="s">
        <v>52</v>
      </c>
      <c r="R122" s="10" t="s">
        <v>872</v>
      </c>
      <c r="S122" s="11" t="s">
        <v>873</v>
      </c>
      <c r="T122" s="6"/>
      <c r="U122" s="15" t="str">
        <f>HYPERLINK("https://media.infra-m.ru/2227/2227052/cover/2227052.jpg", "Обложка")</f>
        <v>Обложка</v>
      </c>
      <c r="V122" s="8" t="s">
        <v>867</v>
      </c>
      <c r="W122" s="6"/>
      <c r="X122" s="6" t="s">
        <v>24</v>
      </c>
      <c r="Y122" s="6"/>
      <c r="Z122" s="6"/>
      <c r="AA122" s="6" t="s">
        <v>874</v>
      </c>
      <c r="AB122" s="8"/>
      <c r="AC122" s="27">
        <v>9785160215075</v>
      </c>
    </row>
    <row r="123" spans="1:29" s="4" customFormat="1" ht="42" customHeight="1" x14ac:dyDescent="0.2">
      <c r="A123" s="5">
        <v>0</v>
      </c>
      <c r="B123" s="6" t="s">
        <v>886</v>
      </c>
      <c r="C123" s="7">
        <v>1060.8</v>
      </c>
      <c r="D123" s="8" t="s">
        <v>887</v>
      </c>
      <c r="E123" s="8" t="s">
        <v>877</v>
      </c>
      <c r="F123" s="8" t="s">
        <v>888</v>
      </c>
      <c r="G123" s="6" t="s">
        <v>33</v>
      </c>
      <c r="H123" s="6" t="s">
        <v>48</v>
      </c>
      <c r="I123" s="8" t="s">
        <v>271</v>
      </c>
      <c r="J123" s="9">
        <v>1</v>
      </c>
      <c r="K123" s="9">
        <v>192</v>
      </c>
      <c r="L123" s="9">
        <v>2022</v>
      </c>
      <c r="M123" s="8" t="s">
        <v>889</v>
      </c>
      <c r="N123" s="8" t="s">
        <v>243</v>
      </c>
      <c r="O123" s="8" t="s">
        <v>758</v>
      </c>
      <c r="P123" s="6" t="s">
        <v>51</v>
      </c>
      <c r="Q123" s="8" t="s">
        <v>52</v>
      </c>
      <c r="R123" s="10" t="s">
        <v>890</v>
      </c>
      <c r="S123" s="11"/>
      <c r="T123" s="6"/>
      <c r="U123" s="15" t="str">
        <f>HYPERLINK("https://media.infra-m.ru/1817/1817877/cover/1817877.jpg", "Обложка")</f>
        <v>Обложка</v>
      </c>
      <c r="V123" s="8" t="s">
        <v>831</v>
      </c>
      <c r="W123" s="6"/>
      <c r="X123" s="6" t="s">
        <v>24</v>
      </c>
      <c r="Y123" s="6"/>
      <c r="Z123" s="6"/>
      <c r="AA123" s="6" t="s">
        <v>248</v>
      </c>
      <c r="AB123" s="8"/>
      <c r="AC123" s="27">
        <v>9785911348984</v>
      </c>
    </row>
    <row r="124" spans="1:29" s="4" customFormat="1" ht="51.9" customHeight="1" x14ac:dyDescent="0.2">
      <c r="A124" s="5">
        <v>0</v>
      </c>
      <c r="B124" s="6" t="s">
        <v>891</v>
      </c>
      <c r="C124" s="7">
        <v>1276.8</v>
      </c>
      <c r="D124" s="8" t="s">
        <v>892</v>
      </c>
      <c r="E124" s="8" t="s">
        <v>893</v>
      </c>
      <c r="F124" s="8" t="s">
        <v>878</v>
      </c>
      <c r="G124" s="6" t="s">
        <v>118</v>
      </c>
      <c r="H124" s="6" t="s">
        <v>48</v>
      </c>
      <c r="I124" s="8" t="s">
        <v>271</v>
      </c>
      <c r="J124" s="9">
        <v>1</v>
      </c>
      <c r="K124" s="9">
        <v>193</v>
      </c>
      <c r="L124" s="9">
        <v>2026</v>
      </c>
      <c r="M124" s="8" t="s">
        <v>894</v>
      </c>
      <c r="N124" s="8" t="s">
        <v>243</v>
      </c>
      <c r="O124" s="8" t="s">
        <v>758</v>
      </c>
      <c r="P124" s="6" t="s">
        <v>51</v>
      </c>
      <c r="Q124" s="8" t="s">
        <v>65</v>
      </c>
      <c r="R124" s="10" t="s">
        <v>890</v>
      </c>
      <c r="S124" s="11" t="s">
        <v>895</v>
      </c>
      <c r="T124" s="6"/>
      <c r="U124" s="15" t="str">
        <f>HYPERLINK("https://media.infra-m.ru/2224/2224090/cover/2224090.jpg", "Обложка")</f>
        <v>Обложка</v>
      </c>
      <c r="V124" s="8" t="s">
        <v>831</v>
      </c>
      <c r="W124" s="6"/>
      <c r="X124" s="6" t="s">
        <v>24</v>
      </c>
      <c r="Y124" s="6"/>
      <c r="Z124" s="6"/>
      <c r="AA124" s="6" t="s">
        <v>896</v>
      </c>
      <c r="AB124" s="8"/>
      <c r="AC124" s="27">
        <v>9785000916261</v>
      </c>
    </row>
    <row r="125" spans="1:29" s="4" customFormat="1" ht="51.9" customHeight="1" x14ac:dyDescent="0.2">
      <c r="A125" s="5">
        <v>0</v>
      </c>
      <c r="B125" s="6" t="s">
        <v>897</v>
      </c>
      <c r="C125" s="7">
        <v>2628</v>
      </c>
      <c r="D125" s="8" t="s">
        <v>898</v>
      </c>
      <c r="E125" s="8" t="s">
        <v>899</v>
      </c>
      <c r="F125" s="8" t="s">
        <v>900</v>
      </c>
      <c r="G125" s="6" t="s">
        <v>118</v>
      </c>
      <c r="H125" s="6" t="s">
        <v>34</v>
      </c>
      <c r="I125" s="8" t="s">
        <v>253</v>
      </c>
      <c r="J125" s="9">
        <v>1</v>
      </c>
      <c r="K125" s="9">
        <v>377</v>
      </c>
      <c r="L125" s="9">
        <v>2026</v>
      </c>
      <c r="M125" s="8" t="s">
        <v>901</v>
      </c>
      <c r="N125" s="8" t="s">
        <v>243</v>
      </c>
      <c r="O125" s="8" t="s">
        <v>758</v>
      </c>
      <c r="P125" s="6" t="s">
        <v>51</v>
      </c>
      <c r="Q125" s="8" t="s">
        <v>52</v>
      </c>
      <c r="R125" s="10" t="s">
        <v>902</v>
      </c>
      <c r="S125" s="11" t="s">
        <v>903</v>
      </c>
      <c r="T125" s="6"/>
      <c r="U125" s="15" t="str">
        <f>HYPERLINK("https://media.infra-m.ru/2258/2258696/cover/2258696.jpg", "Обложка")</f>
        <v>Обложка</v>
      </c>
      <c r="V125" s="8" t="s">
        <v>904</v>
      </c>
      <c r="W125" s="6"/>
      <c r="X125" s="6"/>
      <c r="Y125" s="6"/>
      <c r="Z125" s="6"/>
      <c r="AA125" s="6" t="s">
        <v>274</v>
      </c>
      <c r="AB125" s="8"/>
      <c r="AC125" s="27">
        <v>9785160223148</v>
      </c>
    </row>
    <row r="126" spans="1:29" s="4" customFormat="1" ht="42" customHeight="1" x14ac:dyDescent="0.2">
      <c r="A126" s="5">
        <v>0</v>
      </c>
      <c r="B126" s="6" t="s">
        <v>905</v>
      </c>
      <c r="C126" s="13">
        <v>972</v>
      </c>
      <c r="D126" s="8" t="s">
        <v>906</v>
      </c>
      <c r="E126" s="8" t="s">
        <v>907</v>
      </c>
      <c r="F126" s="8" t="s">
        <v>908</v>
      </c>
      <c r="G126" s="6" t="s">
        <v>33</v>
      </c>
      <c r="H126" s="6" t="s">
        <v>34</v>
      </c>
      <c r="I126" s="8" t="s">
        <v>35</v>
      </c>
      <c r="J126" s="9">
        <v>1</v>
      </c>
      <c r="K126" s="9">
        <v>175</v>
      </c>
      <c r="L126" s="9">
        <v>2024</v>
      </c>
      <c r="M126" s="8" t="s">
        <v>909</v>
      </c>
      <c r="N126" s="8" t="s">
        <v>243</v>
      </c>
      <c r="O126" s="8" t="s">
        <v>329</v>
      </c>
      <c r="P126" s="6" t="s">
        <v>39</v>
      </c>
      <c r="Q126" s="8" t="s">
        <v>40</v>
      </c>
      <c r="R126" s="10" t="s">
        <v>910</v>
      </c>
      <c r="S126" s="11"/>
      <c r="T126" s="6"/>
      <c r="U126" s="15" t="str">
        <f>HYPERLINK("https://media.infra-m.ru/2125/2125657/cover/2125657.jpg", "Обложка")</f>
        <v>Обложка</v>
      </c>
      <c r="V126" s="8" t="s">
        <v>911</v>
      </c>
      <c r="W126" s="6"/>
      <c r="X126" s="6"/>
      <c r="Y126" s="6"/>
      <c r="Z126" s="6"/>
      <c r="AA126" s="6" t="s">
        <v>129</v>
      </c>
      <c r="AB126" s="8"/>
      <c r="AC126" s="27">
        <v>9785160097596</v>
      </c>
    </row>
    <row r="127" spans="1:29" s="4" customFormat="1" ht="42" customHeight="1" x14ac:dyDescent="0.2">
      <c r="A127" s="5">
        <v>0</v>
      </c>
      <c r="B127" s="6" t="s">
        <v>912</v>
      </c>
      <c r="C127" s="7">
        <v>1668</v>
      </c>
      <c r="D127" s="8" t="s">
        <v>913</v>
      </c>
      <c r="E127" s="8" t="s">
        <v>914</v>
      </c>
      <c r="F127" s="8" t="s">
        <v>915</v>
      </c>
      <c r="G127" s="6" t="s">
        <v>33</v>
      </c>
      <c r="H127" s="6" t="s">
        <v>34</v>
      </c>
      <c r="I127" s="8" t="s">
        <v>35</v>
      </c>
      <c r="J127" s="9">
        <v>1</v>
      </c>
      <c r="K127" s="9">
        <v>267</v>
      </c>
      <c r="L127" s="9">
        <v>2025</v>
      </c>
      <c r="M127" s="8" t="s">
        <v>916</v>
      </c>
      <c r="N127" s="8" t="s">
        <v>243</v>
      </c>
      <c r="O127" s="8" t="s">
        <v>758</v>
      </c>
      <c r="P127" s="6" t="s">
        <v>39</v>
      </c>
      <c r="Q127" s="8" t="s">
        <v>40</v>
      </c>
      <c r="R127" s="10" t="s">
        <v>910</v>
      </c>
      <c r="S127" s="11"/>
      <c r="T127" s="6"/>
      <c r="U127" s="15" t="str">
        <f>HYPERLINK("https://media.infra-m.ru/2162/2162831/cover/2162831.jpg", "Обложка")</f>
        <v>Обложка</v>
      </c>
      <c r="V127" s="8" t="s">
        <v>911</v>
      </c>
      <c r="W127" s="6"/>
      <c r="X127" s="6"/>
      <c r="Y127" s="6"/>
      <c r="Z127" s="6"/>
      <c r="AA127" s="6" t="s">
        <v>917</v>
      </c>
      <c r="AB127" s="8"/>
      <c r="AC127" s="27">
        <v>9785160202006</v>
      </c>
    </row>
    <row r="128" spans="1:29" s="4" customFormat="1" ht="51.9" customHeight="1" x14ac:dyDescent="0.2">
      <c r="A128" s="5">
        <v>0</v>
      </c>
      <c r="B128" s="6" t="s">
        <v>918</v>
      </c>
      <c r="C128" s="7">
        <v>2212.8000000000002</v>
      </c>
      <c r="D128" s="8" t="s">
        <v>919</v>
      </c>
      <c r="E128" s="8" t="s">
        <v>920</v>
      </c>
      <c r="F128" s="8" t="s">
        <v>870</v>
      </c>
      <c r="G128" s="6" t="s">
        <v>60</v>
      </c>
      <c r="H128" s="6" t="s">
        <v>48</v>
      </c>
      <c r="I128" s="8" t="s">
        <v>253</v>
      </c>
      <c r="J128" s="9">
        <v>1</v>
      </c>
      <c r="K128" s="9">
        <v>336</v>
      </c>
      <c r="L128" s="9">
        <v>2026</v>
      </c>
      <c r="M128" s="8" t="s">
        <v>921</v>
      </c>
      <c r="N128" s="8" t="s">
        <v>243</v>
      </c>
      <c r="O128" s="8" t="s">
        <v>758</v>
      </c>
      <c r="P128" s="6" t="s">
        <v>306</v>
      </c>
      <c r="Q128" s="8" t="s">
        <v>52</v>
      </c>
      <c r="R128" s="10" t="s">
        <v>841</v>
      </c>
      <c r="S128" s="11" t="s">
        <v>922</v>
      </c>
      <c r="T128" s="6"/>
      <c r="U128" s="15" t="str">
        <f>HYPERLINK("https://media.infra-m.ru/2238/2238491/cover/2238491.jpg", "Обложка")</f>
        <v>Обложка</v>
      </c>
      <c r="V128" s="8" t="s">
        <v>867</v>
      </c>
      <c r="W128" s="6"/>
      <c r="X128" s="6"/>
      <c r="Y128" s="6"/>
      <c r="Z128" s="6"/>
      <c r="AA128" s="6" t="s">
        <v>43</v>
      </c>
      <c r="AB128" s="8"/>
      <c r="AC128" s="27">
        <v>9785911346027</v>
      </c>
    </row>
    <row r="129" spans="1:29" s="4" customFormat="1" ht="51.9" customHeight="1" x14ac:dyDescent="0.2">
      <c r="A129" s="5">
        <v>0</v>
      </c>
      <c r="B129" s="6" t="s">
        <v>923</v>
      </c>
      <c r="C129" s="7">
        <v>2212.8000000000002</v>
      </c>
      <c r="D129" s="8" t="s">
        <v>924</v>
      </c>
      <c r="E129" s="8" t="s">
        <v>920</v>
      </c>
      <c r="F129" s="8" t="s">
        <v>863</v>
      </c>
      <c r="G129" s="6" t="s">
        <v>118</v>
      </c>
      <c r="H129" s="6" t="s">
        <v>48</v>
      </c>
      <c r="I129" s="8" t="s">
        <v>263</v>
      </c>
      <c r="J129" s="9">
        <v>1</v>
      </c>
      <c r="K129" s="9">
        <v>336</v>
      </c>
      <c r="L129" s="9">
        <v>2026</v>
      </c>
      <c r="M129" s="8" t="s">
        <v>925</v>
      </c>
      <c r="N129" s="8" t="s">
        <v>243</v>
      </c>
      <c r="O129" s="8" t="s">
        <v>758</v>
      </c>
      <c r="P129" s="6" t="s">
        <v>306</v>
      </c>
      <c r="Q129" s="8" t="s">
        <v>265</v>
      </c>
      <c r="R129" s="10" t="s">
        <v>926</v>
      </c>
      <c r="S129" s="11" t="s">
        <v>927</v>
      </c>
      <c r="T129" s="6"/>
      <c r="U129" s="15" t="str">
        <f>HYPERLINK("https://media.infra-m.ru/2226/2226487/cover/2226487.jpg", "Обложка")</f>
        <v>Обложка</v>
      </c>
      <c r="V129" s="8" t="s">
        <v>867</v>
      </c>
      <c r="W129" s="6"/>
      <c r="X129" s="6"/>
      <c r="Y129" s="6"/>
      <c r="Z129" s="6" t="s">
        <v>267</v>
      </c>
      <c r="AA129" s="6" t="s">
        <v>86</v>
      </c>
      <c r="AB129" s="8"/>
      <c r="AC129" s="27">
        <v>9785000915370</v>
      </c>
    </row>
    <row r="130" spans="1:29" s="4" customFormat="1" ht="51.9" customHeight="1" x14ac:dyDescent="0.2">
      <c r="A130" s="5">
        <v>0</v>
      </c>
      <c r="B130" s="6" t="s">
        <v>928</v>
      </c>
      <c r="C130" s="7">
        <v>2292</v>
      </c>
      <c r="D130" s="8" t="s">
        <v>929</v>
      </c>
      <c r="E130" s="8" t="s">
        <v>930</v>
      </c>
      <c r="F130" s="8" t="s">
        <v>931</v>
      </c>
      <c r="G130" s="6" t="s">
        <v>118</v>
      </c>
      <c r="H130" s="6" t="s">
        <v>34</v>
      </c>
      <c r="I130" s="8" t="s">
        <v>263</v>
      </c>
      <c r="J130" s="9">
        <v>1</v>
      </c>
      <c r="K130" s="9">
        <v>329</v>
      </c>
      <c r="L130" s="9">
        <v>2026</v>
      </c>
      <c r="M130" s="8" t="s">
        <v>932</v>
      </c>
      <c r="N130" s="8" t="s">
        <v>243</v>
      </c>
      <c r="O130" s="8" t="s">
        <v>933</v>
      </c>
      <c r="P130" s="6" t="s">
        <v>51</v>
      </c>
      <c r="Q130" s="8" t="s">
        <v>265</v>
      </c>
      <c r="R130" s="10" t="s">
        <v>934</v>
      </c>
      <c r="S130" s="11" t="s">
        <v>935</v>
      </c>
      <c r="T130" s="6"/>
      <c r="U130" s="15" t="str">
        <f>HYPERLINK("https://media.infra-m.ru/2224/2224440/cover/2224440.jpg", "Обложка")</f>
        <v>Обложка</v>
      </c>
      <c r="V130" s="8" t="s">
        <v>936</v>
      </c>
      <c r="W130" s="6"/>
      <c r="X130" s="6" t="s">
        <v>24</v>
      </c>
      <c r="Y130" s="6"/>
      <c r="Z130" s="6"/>
      <c r="AA130" s="6" t="s">
        <v>430</v>
      </c>
      <c r="AB130" s="8"/>
      <c r="AC130" s="27">
        <v>9785160149578</v>
      </c>
    </row>
    <row r="131" spans="1:29" s="4" customFormat="1" ht="51.9" customHeight="1" x14ac:dyDescent="0.2">
      <c r="A131" s="5">
        <v>0</v>
      </c>
      <c r="B131" s="6" t="s">
        <v>937</v>
      </c>
      <c r="C131" s="7">
        <v>1552.8</v>
      </c>
      <c r="D131" s="8" t="s">
        <v>938</v>
      </c>
      <c r="E131" s="8" t="s">
        <v>939</v>
      </c>
      <c r="F131" s="8" t="s">
        <v>940</v>
      </c>
      <c r="G131" s="6" t="s">
        <v>60</v>
      </c>
      <c r="H131" s="6" t="s">
        <v>34</v>
      </c>
      <c r="I131" s="8" t="s">
        <v>263</v>
      </c>
      <c r="J131" s="9">
        <v>1</v>
      </c>
      <c r="K131" s="9">
        <v>232</v>
      </c>
      <c r="L131" s="9">
        <v>2026</v>
      </c>
      <c r="M131" s="8" t="s">
        <v>941</v>
      </c>
      <c r="N131" s="8" t="s">
        <v>243</v>
      </c>
      <c r="O131" s="8" t="s">
        <v>798</v>
      </c>
      <c r="P131" s="6" t="s">
        <v>306</v>
      </c>
      <c r="Q131" s="8" t="s">
        <v>265</v>
      </c>
      <c r="R131" s="10" t="s">
        <v>942</v>
      </c>
      <c r="S131" s="11" t="s">
        <v>943</v>
      </c>
      <c r="T131" s="6"/>
      <c r="U131" s="15" t="str">
        <f>HYPERLINK("https://media.infra-m.ru/2232/2232563/cover/2232563.jpg", "Обложка")</f>
        <v>Обложка</v>
      </c>
      <c r="V131" s="8" t="s">
        <v>809</v>
      </c>
      <c r="W131" s="6"/>
      <c r="X131" s="6" t="s">
        <v>24</v>
      </c>
      <c r="Y131" s="6"/>
      <c r="Z131" s="6"/>
      <c r="AA131" s="6" t="s">
        <v>917</v>
      </c>
      <c r="AB131" s="8" t="s">
        <v>944</v>
      </c>
      <c r="AC131" s="27">
        <v>9785160181936</v>
      </c>
    </row>
    <row r="132" spans="1:29" s="4" customFormat="1" ht="51.9" customHeight="1" x14ac:dyDescent="0.2">
      <c r="A132" s="5">
        <v>0</v>
      </c>
      <c r="B132" s="6" t="s">
        <v>945</v>
      </c>
      <c r="C132" s="7">
        <v>1404</v>
      </c>
      <c r="D132" s="8" t="s">
        <v>946</v>
      </c>
      <c r="E132" s="8" t="s">
        <v>947</v>
      </c>
      <c r="F132" s="8" t="s">
        <v>940</v>
      </c>
      <c r="G132" s="6" t="s">
        <v>118</v>
      </c>
      <c r="H132" s="6" t="s">
        <v>34</v>
      </c>
      <c r="I132" s="8" t="s">
        <v>263</v>
      </c>
      <c r="J132" s="9">
        <v>1</v>
      </c>
      <c r="K132" s="9">
        <v>238</v>
      </c>
      <c r="L132" s="9">
        <v>2023</v>
      </c>
      <c r="M132" s="8" t="s">
        <v>948</v>
      </c>
      <c r="N132" s="8" t="s">
        <v>243</v>
      </c>
      <c r="O132" s="8" t="s">
        <v>798</v>
      </c>
      <c r="P132" s="6" t="s">
        <v>306</v>
      </c>
      <c r="Q132" s="8" t="s">
        <v>265</v>
      </c>
      <c r="R132" s="10" t="s">
        <v>942</v>
      </c>
      <c r="S132" s="11" t="s">
        <v>943</v>
      </c>
      <c r="T132" s="6"/>
      <c r="U132" s="15" t="str">
        <f>HYPERLINK("https://media.infra-m.ru/1895/1895682/cover/1895682.jpg", "Обложка")</f>
        <v>Обложка</v>
      </c>
      <c r="V132" s="8" t="s">
        <v>809</v>
      </c>
      <c r="W132" s="6"/>
      <c r="X132" s="6" t="s">
        <v>24</v>
      </c>
      <c r="Y132" s="6"/>
      <c r="Z132" s="6"/>
      <c r="AA132" s="6" t="s">
        <v>949</v>
      </c>
      <c r="AB132" s="8" t="s">
        <v>944</v>
      </c>
      <c r="AC132" s="27">
        <v>9785160068640</v>
      </c>
    </row>
    <row r="133" spans="1:29" s="4" customFormat="1" ht="51.9" customHeight="1" x14ac:dyDescent="0.2">
      <c r="A133" s="5">
        <v>0</v>
      </c>
      <c r="B133" s="6" t="s">
        <v>950</v>
      </c>
      <c r="C133" s="7">
        <v>1564.8</v>
      </c>
      <c r="D133" s="8" t="s">
        <v>951</v>
      </c>
      <c r="E133" s="8" t="s">
        <v>952</v>
      </c>
      <c r="F133" s="8" t="s">
        <v>953</v>
      </c>
      <c r="G133" s="6" t="s">
        <v>118</v>
      </c>
      <c r="H133" s="6" t="s">
        <v>34</v>
      </c>
      <c r="I133" s="8" t="s">
        <v>954</v>
      </c>
      <c r="J133" s="9">
        <v>1</v>
      </c>
      <c r="K133" s="9">
        <v>237</v>
      </c>
      <c r="L133" s="9">
        <v>2026</v>
      </c>
      <c r="M133" s="8" t="s">
        <v>955</v>
      </c>
      <c r="N133" s="8" t="s">
        <v>37</v>
      </c>
      <c r="O133" s="8" t="s">
        <v>290</v>
      </c>
      <c r="P133" s="6" t="s">
        <v>51</v>
      </c>
      <c r="Q133" s="8" t="s">
        <v>65</v>
      </c>
      <c r="R133" s="10" t="s">
        <v>956</v>
      </c>
      <c r="S133" s="11" t="s">
        <v>957</v>
      </c>
      <c r="T133" s="6"/>
      <c r="U133" s="15" t="str">
        <f>HYPERLINK("https://media.infra-m.ru/2220/2220210/cover/2220210.jpg", "Обложка")</f>
        <v>Обложка</v>
      </c>
      <c r="V133" s="8" t="s">
        <v>958</v>
      </c>
      <c r="W133" s="6"/>
      <c r="X133" s="6"/>
      <c r="Y133" s="6"/>
      <c r="Z133" s="6"/>
      <c r="AA133" s="6" t="s">
        <v>115</v>
      </c>
      <c r="AB133" s="8"/>
      <c r="AC133" s="27">
        <v>9785160150970</v>
      </c>
    </row>
    <row r="134" spans="1:29" s="4" customFormat="1" ht="51.9" customHeight="1" x14ac:dyDescent="0.2">
      <c r="A134" s="5">
        <v>0</v>
      </c>
      <c r="B134" s="6" t="s">
        <v>959</v>
      </c>
      <c r="C134" s="7">
        <v>2320.8000000000002</v>
      </c>
      <c r="D134" s="8" t="s">
        <v>960</v>
      </c>
      <c r="E134" s="8" t="s">
        <v>961</v>
      </c>
      <c r="F134" s="8" t="s">
        <v>962</v>
      </c>
      <c r="G134" s="6" t="s">
        <v>118</v>
      </c>
      <c r="H134" s="6" t="s">
        <v>48</v>
      </c>
      <c r="I134" s="8" t="s">
        <v>253</v>
      </c>
      <c r="J134" s="9">
        <v>1</v>
      </c>
      <c r="K134" s="9">
        <v>352</v>
      </c>
      <c r="L134" s="9">
        <v>2026</v>
      </c>
      <c r="M134" s="8" t="s">
        <v>963</v>
      </c>
      <c r="N134" s="8" t="s">
        <v>243</v>
      </c>
      <c r="O134" s="8" t="s">
        <v>964</v>
      </c>
      <c r="P134" s="6" t="s">
        <v>306</v>
      </c>
      <c r="Q134" s="8" t="s">
        <v>52</v>
      </c>
      <c r="R134" s="10" t="s">
        <v>965</v>
      </c>
      <c r="S134" s="11" t="s">
        <v>966</v>
      </c>
      <c r="T134" s="6"/>
      <c r="U134" s="15" t="str">
        <f>HYPERLINK("https://media.infra-m.ru/2236/2236525/cover/2236525.jpg", "Обложка")</f>
        <v>Обложка</v>
      </c>
      <c r="V134" s="8" t="s">
        <v>867</v>
      </c>
      <c r="W134" s="6"/>
      <c r="X134" s="6"/>
      <c r="Y134" s="6"/>
      <c r="Z134" s="6"/>
      <c r="AA134" s="6" t="s">
        <v>274</v>
      </c>
      <c r="AB134" s="8"/>
      <c r="AC134" s="27">
        <v>9785000916964</v>
      </c>
    </row>
    <row r="135" spans="1:29" s="4" customFormat="1" ht="51.9" customHeight="1" x14ac:dyDescent="0.2">
      <c r="A135" s="5">
        <v>0</v>
      </c>
      <c r="B135" s="6" t="s">
        <v>967</v>
      </c>
      <c r="C135" s="7">
        <v>2448</v>
      </c>
      <c r="D135" s="8" t="s">
        <v>968</v>
      </c>
      <c r="E135" s="8" t="s">
        <v>961</v>
      </c>
      <c r="F135" s="8" t="s">
        <v>962</v>
      </c>
      <c r="G135" s="6" t="s">
        <v>118</v>
      </c>
      <c r="H135" s="6" t="s">
        <v>34</v>
      </c>
      <c r="I135" s="8" t="s">
        <v>263</v>
      </c>
      <c r="J135" s="9">
        <v>1</v>
      </c>
      <c r="K135" s="9">
        <v>352</v>
      </c>
      <c r="L135" s="9">
        <v>2027</v>
      </c>
      <c r="M135" s="8" t="s">
        <v>969</v>
      </c>
      <c r="N135" s="8" t="s">
        <v>243</v>
      </c>
      <c r="O135" s="8" t="s">
        <v>964</v>
      </c>
      <c r="P135" s="6" t="s">
        <v>306</v>
      </c>
      <c r="Q135" s="8" t="s">
        <v>265</v>
      </c>
      <c r="R135" s="10" t="s">
        <v>970</v>
      </c>
      <c r="S135" s="11" t="s">
        <v>971</v>
      </c>
      <c r="T135" s="6"/>
      <c r="U135" s="15" t="str">
        <f>HYPERLINK("https://media.infra-m.ru/2262/2262268/cover/2262268.jpg", "Обложка")</f>
        <v>Обложка</v>
      </c>
      <c r="V135" s="8" t="s">
        <v>867</v>
      </c>
      <c r="W135" s="6"/>
      <c r="X135" s="6"/>
      <c r="Y135" s="6"/>
      <c r="Z135" s="6" t="s">
        <v>267</v>
      </c>
      <c r="AA135" s="6" t="s">
        <v>86</v>
      </c>
      <c r="AB135" s="8"/>
      <c r="AC135" s="27">
        <v>9785160223407</v>
      </c>
    </row>
    <row r="136" spans="1:29" s="4" customFormat="1" ht="51.9" customHeight="1" x14ac:dyDescent="0.2">
      <c r="A136" s="5">
        <v>0</v>
      </c>
      <c r="B136" s="6" t="s">
        <v>972</v>
      </c>
      <c r="C136" s="7">
        <v>1670.4</v>
      </c>
      <c r="D136" s="8" t="s">
        <v>973</v>
      </c>
      <c r="E136" s="8" t="s">
        <v>974</v>
      </c>
      <c r="F136" s="8" t="s">
        <v>975</v>
      </c>
      <c r="G136" s="6" t="s">
        <v>118</v>
      </c>
      <c r="H136" s="6" t="s">
        <v>34</v>
      </c>
      <c r="I136" s="8" t="s">
        <v>954</v>
      </c>
      <c r="J136" s="9">
        <v>1</v>
      </c>
      <c r="K136" s="9">
        <v>194</v>
      </c>
      <c r="L136" s="9">
        <v>2026</v>
      </c>
      <c r="M136" s="8" t="s">
        <v>976</v>
      </c>
      <c r="N136" s="8" t="s">
        <v>37</v>
      </c>
      <c r="O136" s="8" t="s">
        <v>290</v>
      </c>
      <c r="P136" s="6" t="s">
        <v>51</v>
      </c>
      <c r="Q136" s="8" t="s">
        <v>65</v>
      </c>
      <c r="R136" s="10" t="s">
        <v>977</v>
      </c>
      <c r="S136" s="11" t="s">
        <v>978</v>
      </c>
      <c r="T136" s="6"/>
      <c r="U136" s="15" t="str">
        <f>HYPERLINK("https://media.infra-m.ru/2224/2224081/cover/2224081.jpg", "Обложка")</f>
        <v>Обложка</v>
      </c>
      <c r="V136" s="8" t="s">
        <v>958</v>
      </c>
      <c r="W136" s="6"/>
      <c r="X136" s="6"/>
      <c r="Y136" s="6"/>
      <c r="Z136" s="6"/>
      <c r="AA136" s="6" t="s">
        <v>115</v>
      </c>
      <c r="AB136" s="8"/>
      <c r="AC136" s="27">
        <v>9785160149912</v>
      </c>
    </row>
    <row r="137" spans="1:29" s="4" customFormat="1" ht="51.9" customHeight="1" x14ac:dyDescent="0.2">
      <c r="A137" s="5">
        <v>0</v>
      </c>
      <c r="B137" s="6" t="s">
        <v>979</v>
      </c>
      <c r="C137" s="7">
        <v>1540.8</v>
      </c>
      <c r="D137" s="8" t="s">
        <v>980</v>
      </c>
      <c r="E137" s="8" t="s">
        <v>981</v>
      </c>
      <c r="F137" s="8" t="s">
        <v>982</v>
      </c>
      <c r="G137" s="6" t="s">
        <v>118</v>
      </c>
      <c r="H137" s="6" t="s">
        <v>34</v>
      </c>
      <c r="I137" s="8" t="s">
        <v>263</v>
      </c>
      <c r="J137" s="9">
        <v>1</v>
      </c>
      <c r="K137" s="9">
        <v>219</v>
      </c>
      <c r="L137" s="9">
        <v>2027</v>
      </c>
      <c r="M137" s="8" t="s">
        <v>983</v>
      </c>
      <c r="N137" s="8" t="s">
        <v>243</v>
      </c>
      <c r="O137" s="8" t="s">
        <v>798</v>
      </c>
      <c r="P137" s="6" t="s">
        <v>306</v>
      </c>
      <c r="Q137" s="8" t="s">
        <v>265</v>
      </c>
      <c r="R137" s="10" t="s">
        <v>984</v>
      </c>
      <c r="S137" s="11" t="s">
        <v>985</v>
      </c>
      <c r="T137" s="6"/>
      <c r="U137" s="15" t="str">
        <f>HYPERLINK("https://media.infra-m.ru/2271/2271473/cover/2271473.jpg", "Обложка")</f>
        <v>Обложка</v>
      </c>
      <c r="V137" s="8" t="s">
        <v>809</v>
      </c>
      <c r="W137" s="6"/>
      <c r="X137" s="6"/>
      <c r="Y137" s="6"/>
      <c r="Z137" s="6"/>
      <c r="AA137" s="6" t="s">
        <v>718</v>
      </c>
      <c r="AB137" s="8"/>
      <c r="AC137" s="27">
        <v>9785160062167</v>
      </c>
    </row>
    <row r="138" spans="1:29" s="4" customFormat="1" ht="51.9" customHeight="1" x14ac:dyDescent="0.2">
      <c r="A138" s="5">
        <v>0</v>
      </c>
      <c r="B138" s="6" t="s">
        <v>986</v>
      </c>
      <c r="C138" s="7">
        <v>1512</v>
      </c>
      <c r="D138" s="8" t="s">
        <v>987</v>
      </c>
      <c r="E138" s="8" t="s">
        <v>988</v>
      </c>
      <c r="F138" s="8" t="s">
        <v>989</v>
      </c>
      <c r="G138" s="6" t="s">
        <v>118</v>
      </c>
      <c r="H138" s="6" t="s">
        <v>34</v>
      </c>
      <c r="I138" s="8" t="s">
        <v>253</v>
      </c>
      <c r="J138" s="9">
        <v>1</v>
      </c>
      <c r="K138" s="9">
        <v>228</v>
      </c>
      <c r="L138" s="9">
        <v>2026</v>
      </c>
      <c r="M138" s="8" t="s">
        <v>990</v>
      </c>
      <c r="N138" s="8" t="s">
        <v>243</v>
      </c>
      <c r="O138" s="8" t="s">
        <v>758</v>
      </c>
      <c r="P138" s="6" t="s">
        <v>306</v>
      </c>
      <c r="Q138" s="8" t="s">
        <v>500</v>
      </c>
      <c r="R138" s="10" t="s">
        <v>991</v>
      </c>
      <c r="S138" s="11"/>
      <c r="T138" s="6"/>
      <c r="U138" s="15" t="str">
        <f>HYPERLINK("https://media.infra-m.ru/2254/2254188/cover/2254188.jpg", "Обложка")</f>
        <v>Обложка</v>
      </c>
      <c r="V138" s="8" t="s">
        <v>217</v>
      </c>
      <c r="W138" s="6"/>
      <c r="X138" s="6"/>
      <c r="Y138" s="6"/>
      <c r="Z138" s="6"/>
      <c r="AA138" s="6" t="s">
        <v>99</v>
      </c>
      <c r="AB138" s="8"/>
      <c r="AC138" s="27">
        <v>9785160221137</v>
      </c>
    </row>
    <row r="139" spans="1:29" s="4" customFormat="1" ht="42" customHeight="1" x14ac:dyDescent="0.2">
      <c r="A139" s="5">
        <v>0</v>
      </c>
      <c r="B139" s="6" t="s">
        <v>992</v>
      </c>
      <c r="C139" s="7">
        <v>1480.8</v>
      </c>
      <c r="D139" s="8" t="s">
        <v>993</v>
      </c>
      <c r="E139" s="8" t="s">
        <v>994</v>
      </c>
      <c r="F139" s="8" t="s">
        <v>995</v>
      </c>
      <c r="G139" s="6" t="s">
        <v>60</v>
      </c>
      <c r="H139" s="6" t="s">
        <v>48</v>
      </c>
      <c r="I139" s="8" t="s">
        <v>401</v>
      </c>
      <c r="J139" s="9">
        <v>1</v>
      </c>
      <c r="K139" s="9">
        <v>224</v>
      </c>
      <c r="L139" s="9">
        <v>2026</v>
      </c>
      <c r="M139" s="8" t="s">
        <v>996</v>
      </c>
      <c r="N139" s="8" t="s">
        <v>243</v>
      </c>
      <c r="O139" s="8" t="s">
        <v>933</v>
      </c>
      <c r="P139" s="6" t="s">
        <v>51</v>
      </c>
      <c r="Q139" s="8" t="s">
        <v>265</v>
      </c>
      <c r="R139" s="10" t="s">
        <v>997</v>
      </c>
      <c r="S139" s="11"/>
      <c r="T139" s="6"/>
      <c r="U139" s="15" t="str">
        <f>HYPERLINK("https://media.infra-m.ru/2223/2223211/cover/2223211.jpg", "Обложка")</f>
        <v>Обложка</v>
      </c>
      <c r="V139" s="8" t="s">
        <v>998</v>
      </c>
      <c r="W139" s="6"/>
      <c r="X139" s="6"/>
      <c r="Y139" s="6"/>
      <c r="Z139" s="6"/>
      <c r="AA139" s="6" t="s">
        <v>43</v>
      </c>
      <c r="AB139" s="8"/>
      <c r="AC139" s="27">
        <v>9785911345938</v>
      </c>
    </row>
    <row r="140" spans="1:29" s="4" customFormat="1" ht="51.9" customHeight="1" x14ac:dyDescent="0.2">
      <c r="A140" s="5">
        <v>0</v>
      </c>
      <c r="B140" s="6" t="s">
        <v>999</v>
      </c>
      <c r="C140" s="7">
        <v>1396.8</v>
      </c>
      <c r="D140" s="8" t="s">
        <v>1000</v>
      </c>
      <c r="E140" s="8" t="s">
        <v>1001</v>
      </c>
      <c r="F140" s="8" t="s">
        <v>1002</v>
      </c>
      <c r="G140" s="6" t="s">
        <v>118</v>
      </c>
      <c r="H140" s="6" t="s">
        <v>34</v>
      </c>
      <c r="I140" s="8" t="s">
        <v>263</v>
      </c>
      <c r="J140" s="9">
        <v>1</v>
      </c>
      <c r="K140" s="9">
        <v>224</v>
      </c>
      <c r="L140" s="9">
        <v>2025</v>
      </c>
      <c r="M140" s="8" t="s">
        <v>1003</v>
      </c>
      <c r="N140" s="8" t="s">
        <v>243</v>
      </c>
      <c r="O140" s="8" t="s">
        <v>933</v>
      </c>
      <c r="P140" s="6" t="s">
        <v>306</v>
      </c>
      <c r="Q140" s="8" t="s">
        <v>265</v>
      </c>
      <c r="R140" s="10" t="s">
        <v>1004</v>
      </c>
      <c r="S140" s="11" t="s">
        <v>1005</v>
      </c>
      <c r="T140" s="6"/>
      <c r="U140" s="15" t="str">
        <f>HYPERLINK("https://media.infra-m.ru/2196/2196856/cover/2196856.jpg", "Обложка")</f>
        <v>Обложка</v>
      </c>
      <c r="V140" s="8" t="s">
        <v>1006</v>
      </c>
      <c r="W140" s="6"/>
      <c r="X140" s="6"/>
      <c r="Y140" s="6"/>
      <c r="Z140" s="6"/>
      <c r="AA140" s="6" t="s">
        <v>1007</v>
      </c>
      <c r="AB140" s="8"/>
      <c r="AC140" s="27">
        <v>9785160169309</v>
      </c>
    </row>
    <row r="141" spans="1:29" s="4" customFormat="1" ht="51.9" customHeight="1" x14ac:dyDescent="0.2">
      <c r="A141" s="5">
        <v>0</v>
      </c>
      <c r="B141" s="6" t="s">
        <v>1008</v>
      </c>
      <c r="C141" s="7">
        <v>1440</v>
      </c>
      <c r="D141" s="8" t="s">
        <v>1009</v>
      </c>
      <c r="E141" s="8" t="s">
        <v>1001</v>
      </c>
      <c r="F141" s="8" t="s">
        <v>1010</v>
      </c>
      <c r="G141" s="6" t="s">
        <v>118</v>
      </c>
      <c r="H141" s="6" t="s">
        <v>48</v>
      </c>
      <c r="I141" s="8" t="s">
        <v>263</v>
      </c>
      <c r="J141" s="9">
        <v>1</v>
      </c>
      <c r="K141" s="9">
        <v>240</v>
      </c>
      <c r="L141" s="9">
        <v>2025</v>
      </c>
      <c r="M141" s="8" t="s">
        <v>1011</v>
      </c>
      <c r="N141" s="8" t="s">
        <v>243</v>
      </c>
      <c r="O141" s="8" t="s">
        <v>933</v>
      </c>
      <c r="P141" s="6" t="s">
        <v>51</v>
      </c>
      <c r="Q141" s="8" t="s">
        <v>265</v>
      </c>
      <c r="R141" s="10" t="s">
        <v>1012</v>
      </c>
      <c r="S141" s="11" t="s">
        <v>1013</v>
      </c>
      <c r="T141" s="6"/>
      <c r="U141" s="15" t="str">
        <f>HYPERLINK("https://media.infra-m.ru/2184/2184585/cover/2184585.jpg", "Обложка")</f>
        <v>Обложка</v>
      </c>
      <c r="V141" s="8" t="s">
        <v>1014</v>
      </c>
      <c r="W141" s="6"/>
      <c r="X141" s="6"/>
      <c r="Y141" s="6"/>
      <c r="Z141" s="6"/>
      <c r="AA141" s="6" t="s">
        <v>1015</v>
      </c>
      <c r="AB141" s="8"/>
      <c r="AC141" s="27">
        <v>9785000914670</v>
      </c>
    </row>
    <row r="142" spans="1:29" s="4" customFormat="1" ht="51.9" customHeight="1" x14ac:dyDescent="0.2">
      <c r="A142" s="5">
        <v>0</v>
      </c>
      <c r="B142" s="6" t="s">
        <v>1016</v>
      </c>
      <c r="C142" s="7">
        <v>2148</v>
      </c>
      <c r="D142" s="8" t="s">
        <v>1017</v>
      </c>
      <c r="E142" s="8" t="s">
        <v>1018</v>
      </c>
      <c r="F142" s="8" t="s">
        <v>1019</v>
      </c>
      <c r="G142" s="6" t="s">
        <v>118</v>
      </c>
      <c r="H142" s="6" t="s">
        <v>34</v>
      </c>
      <c r="I142" s="8" t="s">
        <v>263</v>
      </c>
      <c r="J142" s="9">
        <v>1</v>
      </c>
      <c r="K142" s="9">
        <v>320</v>
      </c>
      <c r="L142" s="9">
        <v>2026</v>
      </c>
      <c r="M142" s="8" t="s">
        <v>1020</v>
      </c>
      <c r="N142" s="8" t="s">
        <v>243</v>
      </c>
      <c r="O142" s="8" t="s">
        <v>964</v>
      </c>
      <c r="P142" s="6" t="s">
        <v>51</v>
      </c>
      <c r="Q142" s="8" t="s">
        <v>265</v>
      </c>
      <c r="R142" s="10" t="s">
        <v>1021</v>
      </c>
      <c r="S142" s="11" t="s">
        <v>1022</v>
      </c>
      <c r="T142" s="6"/>
      <c r="U142" s="15" t="str">
        <f>HYPERLINK("https://media.infra-m.ru/2250/2250790/cover/2250790.jpg", "Обложка")</f>
        <v>Обложка</v>
      </c>
      <c r="V142" s="8" t="s">
        <v>396</v>
      </c>
      <c r="W142" s="6"/>
      <c r="X142" s="6"/>
      <c r="Y142" s="6"/>
      <c r="Z142" s="6"/>
      <c r="AA142" s="6" t="s">
        <v>43</v>
      </c>
      <c r="AB142" s="8"/>
      <c r="AC142" s="27">
        <v>9785160182711</v>
      </c>
    </row>
    <row r="143" spans="1:29" s="4" customFormat="1" ht="51.9" customHeight="1" x14ac:dyDescent="0.2">
      <c r="A143" s="5">
        <v>0</v>
      </c>
      <c r="B143" s="6" t="s">
        <v>1023</v>
      </c>
      <c r="C143" s="7">
        <v>4560</v>
      </c>
      <c r="D143" s="8" t="s">
        <v>1024</v>
      </c>
      <c r="E143" s="8" t="s">
        <v>1025</v>
      </c>
      <c r="F143" s="8" t="s">
        <v>1026</v>
      </c>
      <c r="G143" s="6" t="s">
        <v>60</v>
      </c>
      <c r="H143" s="6" t="s">
        <v>34</v>
      </c>
      <c r="I143" s="8" t="s">
        <v>263</v>
      </c>
      <c r="J143" s="9">
        <v>1</v>
      </c>
      <c r="K143" s="9">
        <v>655</v>
      </c>
      <c r="L143" s="9">
        <v>2026</v>
      </c>
      <c r="M143" s="8" t="s">
        <v>1027</v>
      </c>
      <c r="N143" s="8" t="s">
        <v>243</v>
      </c>
      <c r="O143" s="8" t="s">
        <v>964</v>
      </c>
      <c r="P143" s="6" t="s">
        <v>306</v>
      </c>
      <c r="Q143" s="8" t="s">
        <v>265</v>
      </c>
      <c r="R143" s="10" t="s">
        <v>1028</v>
      </c>
      <c r="S143" s="11" t="s">
        <v>1029</v>
      </c>
      <c r="T143" s="6"/>
      <c r="U143" s="15" t="str">
        <f>HYPERLINK("https://media.infra-m.ru/2260/2260541/cover/2260541_OZON_f9aba475-a632-4ca7-aa3f-1deac4724c6f.jpg", "Обложка")</f>
        <v>Обложка</v>
      </c>
      <c r="V143" s="8" t="s">
        <v>1030</v>
      </c>
      <c r="W143" s="6"/>
      <c r="X143" s="6"/>
      <c r="Y143" s="6"/>
      <c r="Z143" s="6" t="s">
        <v>267</v>
      </c>
      <c r="AA143" s="6" t="s">
        <v>1031</v>
      </c>
      <c r="AB143" s="8"/>
      <c r="AC143" s="27">
        <v>9785160138756</v>
      </c>
    </row>
    <row r="144" spans="1:29" s="4" customFormat="1" ht="51.9" customHeight="1" x14ac:dyDescent="0.2">
      <c r="A144" s="5">
        <v>0</v>
      </c>
      <c r="B144" s="6" t="s">
        <v>1032</v>
      </c>
      <c r="C144" s="7">
        <v>4540.8</v>
      </c>
      <c r="D144" s="8" t="s">
        <v>1033</v>
      </c>
      <c r="E144" s="8" t="s">
        <v>1025</v>
      </c>
      <c r="F144" s="8" t="s">
        <v>1026</v>
      </c>
      <c r="G144" s="6" t="s">
        <v>60</v>
      </c>
      <c r="H144" s="6" t="s">
        <v>34</v>
      </c>
      <c r="I144" s="8" t="s">
        <v>271</v>
      </c>
      <c r="J144" s="9">
        <v>1</v>
      </c>
      <c r="K144" s="9">
        <v>655</v>
      </c>
      <c r="L144" s="9">
        <v>2027</v>
      </c>
      <c r="M144" s="8" t="s">
        <v>1034</v>
      </c>
      <c r="N144" s="8" t="s">
        <v>243</v>
      </c>
      <c r="O144" s="8" t="s">
        <v>964</v>
      </c>
      <c r="P144" s="6" t="s">
        <v>306</v>
      </c>
      <c r="Q144" s="8" t="s">
        <v>52</v>
      </c>
      <c r="R144" s="10" t="s">
        <v>1035</v>
      </c>
      <c r="S144" s="11" t="s">
        <v>1036</v>
      </c>
      <c r="T144" s="6"/>
      <c r="U144" s="15" t="str">
        <f>HYPERLINK("https://media.infra-m.ru/2269/2269854/cover/2269854.jpg", "Обложка")</f>
        <v>Обложка</v>
      </c>
      <c r="V144" s="8" t="s">
        <v>1030</v>
      </c>
      <c r="W144" s="6"/>
      <c r="X144" s="6"/>
      <c r="Y144" s="6"/>
      <c r="Z144" s="6"/>
      <c r="AA144" s="6" t="s">
        <v>1037</v>
      </c>
      <c r="AB144" s="8"/>
      <c r="AC144" s="27">
        <v>9785160102191</v>
      </c>
    </row>
    <row r="145" spans="1:29" s="4" customFormat="1" ht="51.9" customHeight="1" x14ac:dyDescent="0.2">
      <c r="A145" s="5">
        <v>0</v>
      </c>
      <c r="B145" s="6" t="s">
        <v>1038</v>
      </c>
      <c r="C145" s="7">
        <v>1548</v>
      </c>
      <c r="D145" s="8" t="s">
        <v>1039</v>
      </c>
      <c r="E145" s="8" t="s">
        <v>1040</v>
      </c>
      <c r="F145" s="8" t="s">
        <v>1041</v>
      </c>
      <c r="G145" s="6" t="s">
        <v>118</v>
      </c>
      <c r="H145" s="6" t="s">
        <v>1042</v>
      </c>
      <c r="I145" s="8"/>
      <c r="J145" s="9">
        <v>1</v>
      </c>
      <c r="K145" s="9">
        <v>223</v>
      </c>
      <c r="L145" s="9">
        <v>2026</v>
      </c>
      <c r="M145" s="8" t="s">
        <v>1043</v>
      </c>
      <c r="N145" s="8" t="s">
        <v>243</v>
      </c>
      <c r="O145" s="8" t="s">
        <v>964</v>
      </c>
      <c r="P145" s="6" t="s">
        <v>51</v>
      </c>
      <c r="Q145" s="8" t="s">
        <v>265</v>
      </c>
      <c r="R145" s="10" t="s">
        <v>1044</v>
      </c>
      <c r="S145" s="11" t="s">
        <v>1045</v>
      </c>
      <c r="T145" s="6"/>
      <c r="U145" s="15" t="str">
        <f>HYPERLINK("https://media.infra-m.ru/2249/2249489/cover/2249489.jpg", "Обложка")</f>
        <v>Обложка</v>
      </c>
      <c r="V145" s="8" t="s">
        <v>1046</v>
      </c>
      <c r="W145" s="6"/>
      <c r="X145" s="6" t="s">
        <v>24</v>
      </c>
      <c r="Y145" s="6"/>
      <c r="Z145" s="6"/>
      <c r="AA145" s="6" t="s">
        <v>1047</v>
      </c>
      <c r="AB145" s="8"/>
      <c r="AC145" s="27">
        <v>9785819908662</v>
      </c>
    </row>
    <row r="146" spans="1:29" s="4" customFormat="1" ht="51.9" customHeight="1" x14ac:dyDescent="0.2">
      <c r="A146" s="5">
        <v>0</v>
      </c>
      <c r="B146" s="6" t="s">
        <v>1048</v>
      </c>
      <c r="C146" s="7">
        <v>2004</v>
      </c>
      <c r="D146" s="8" t="s">
        <v>1049</v>
      </c>
      <c r="E146" s="8" t="s">
        <v>1050</v>
      </c>
      <c r="F146" s="8" t="s">
        <v>1051</v>
      </c>
      <c r="G146" s="6" t="s">
        <v>118</v>
      </c>
      <c r="H146" s="6" t="s">
        <v>34</v>
      </c>
      <c r="I146" s="8" t="s">
        <v>263</v>
      </c>
      <c r="J146" s="9">
        <v>1</v>
      </c>
      <c r="K146" s="9">
        <v>304</v>
      </c>
      <c r="L146" s="9">
        <v>2026</v>
      </c>
      <c r="M146" s="8" t="s">
        <v>1052</v>
      </c>
      <c r="N146" s="8" t="s">
        <v>243</v>
      </c>
      <c r="O146" s="8" t="s">
        <v>964</v>
      </c>
      <c r="P146" s="6" t="s">
        <v>51</v>
      </c>
      <c r="Q146" s="8" t="s">
        <v>265</v>
      </c>
      <c r="R146" s="10" t="s">
        <v>1053</v>
      </c>
      <c r="S146" s="11" t="s">
        <v>1054</v>
      </c>
      <c r="T146" s="6"/>
      <c r="U146" s="15" t="str">
        <f>HYPERLINK("https://media.infra-m.ru/2223/2223699/cover/2223699.jpg", "Обложка")</f>
        <v>Обложка</v>
      </c>
      <c r="V146" s="8" t="s">
        <v>1055</v>
      </c>
      <c r="W146" s="6"/>
      <c r="X146" s="6" t="s">
        <v>24</v>
      </c>
      <c r="Y146" s="6"/>
      <c r="Z146" s="6"/>
      <c r="AA146" s="6" t="s">
        <v>1056</v>
      </c>
      <c r="AB146" s="8"/>
      <c r="AC146" s="27">
        <v>9785160214184</v>
      </c>
    </row>
    <row r="147" spans="1:29" s="4" customFormat="1" ht="51.9" customHeight="1" x14ac:dyDescent="0.2">
      <c r="A147" s="5">
        <v>0</v>
      </c>
      <c r="B147" s="6" t="s">
        <v>1057</v>
      </c>
      <c r="C147" s="7">
        <v>2464.8000000000002</v>
      </c>
      <c r="D147" s="8" t="s">
        <v>1058</v>
      </c>
      <c r="E147" s="8" t="s">
        <v>1059</v>
      </c>
      <c r="F147" s="8" t="s">
        <v>1060</v>
      </c>
      <c r="G147" s="6" t="s">
        <v>60</v>
      </c>
      <c r="H147" s="6" t="s">
        <v>48</v>
      </c>
      <c r="I147" s="8"/>
      <c r="J147" s="9">
        <v>1</v>
      </c>
      <c r="K147" s="9">
        <v>288</v>
      </c>
      <c r="L147" s="9">
        <v>2026</v>
      </c>
      <c r="M147" s="8" t="s">
        <v>1061</v>
      </c>
      <c r="N147" s="8" t="s">
        <v>243</v>
      </c>
      <c r="O147" s="8" t="s">
        <v>964</v>
      </c>
      <c r="P147" s="6" t="s">
        <v>759</v>
      </c>
      <c r="Q147" s="8" t="s">
        <v>40</v>
      </c>
      <c r="R147" s="10" t="s">
        <v>1062</v>
      </c>
      <c r="S147" s="11"/>
      <c r="T147" s="6"/>
      <c r="U147" s="15" t="str">
        <f>HYPERLINK("https://media.infra-m.ru/2225/2225124/cover/2225124.jpg", "Обложка")</f>
        <v>Обложка</v>
      </c>
      <c r="V147" s="8" t="s">
        <v>867</v>
      </c>
      <c r="W147" s="6"/>
      <c r="X147" s="6"/>
      <c r="Y147" s="6"/>
      <c r="Z147" s="6"/>
      <c r="AA147" s="6" t="s">
        <v>874</v>
      </c>
      <c r="AB147" s="8"/>
      <c r="AC147" s="27">
        <v>9785911345358</v>
      </c>
    </row>
    <row r="148" spans="1:29" s="4" customFormat="1" ht="51.9" customHeight="1" x14ac:dyDescent="0.2">
      <c r="A148" s="5">
        <v>0</v>
      </c>
      <c r="B148" s="6" t="s">
        <v>1063</v>
      </c>
      <c r="C148" s="13">
        <v>940.8</v>
      </c>
      <c r="D148" s="8" t="s">
        <v>1064</v>
      </c>
      <c r="E148" s="8" t="s">
        <v>1065</v>
      </c>
      <c r="F148" s="8" t="s">
        <v>1066</v>
      </c>
      <c r="G148" s="6" t="s">
        <v>118</v>
      </c>
      <c r="H148" s="6" t="s">
        <v>134</v>
      </c>
      <c r="I148" s="8"/>
      <c r="J148" s="9">
        <v>1</v>
      </c>
      <c r="K148" s="9">
        <v>136</v>
      </c>
      <c r="L148" s="9">
        <v>2027</v>
      </c>
      <c r="M148" s="8" t="s">
        <v>1067</v>
      </c>
      <c r="N148" s="8" t="s">
        <v>37</v>
      </c>
      <c r="O148" s="8" t="s">
        <v>136</v>
      </c>
      <c r="P148" s="6" t="s">
        <v>51</v>
      </c>
      <c r="Q148" s="8" t="s">
        <v>52</v>
      </c>
      <c r="R148" s="10" t="s">
        <v>1068</v>
      </c>
      <c r="S148" s="11"/>
      <c r="T148" s="6"/>
      <c r="U148" s="15" t="str">
        <f>HYPERLINK("https://media.infra-m.ru/2263/2263016/cover/2263016.jpg", "Обложка")</f>
        <v>Обложка</v>
      </c>
      <c r="V148" s="8" t="s">
        <v>1069</v>
      </c>
      <c r="W148" s="6"/>
      <c r="X148" s="6"/>
      <c r="Y148" s="6"/>
      <c r="Z148" s="6"/>
      <c r="AA148" s="6" t="s">
        <v>115</v>
      </c>
      <c r="AB148" s="8"/>
      <c r="AC148" s="27">
        <v>9785001560081</v>
      </c>
    </row>
    <row r="149" spans="1:29" s="4" customFormat="1" ht="42" customHeight="1" x14ac:dyDescent="0.2">
      <c r="A149" s="5">
        <v>0</v>
      </c>
      <c r="B149" s="6" t="s">
        <v>1070</v>
      </c>
      <c r="C149" s="7">
        <v>1776</v>
      </c>
      <c r="D149" s="8" t="s">
        <v>1071</v>
      </c>
      <c r="E149" s="8" t="s">
        <v>1072</v>
      </c>
      <c r="F149" s="8" t="s">
        <v>1073</v>
      </c>
      <c r="G149" s="6" t="s">
        <v>118</v>
      </c>
      <c r="H149" s="6" t="s">
        <v>34</v>
      </c>
      <c r="I149" s="8" t="s">
        <v>1074</v>
      </c>
      <c r="J149" s="9">
        <v>1</v>
      </c>
      <c r="K149" s="9">
        <v>320</v>
      </c>
      <c r="L149" s="9">
        <v>2024</v>
      </c>
      <c r="M149" s="8" t="s">
        <v>1075</v>
      </c>
      <c r="N149" s="8" t="s">
        <v>37</v>
      </c>
      <c r="O149" s="8" t="s">
        <v>136</v>
      </c>
      <c r="P149" s="6" t="s">
        <v>39</v>
      </c>
      <c r="Q149" s="8" t="s">
        <v>40</v>
      </c>
      <c r="R149" s="10" t="s">
        <v>1076</v>
      </c>
      <c r="S149" s="11"/>
      <c r="T149" s="6"/>
      <c r="U149" s="15" t="str">
        <f>HYPERLINK("https://media.infra-m.ru/2125/2125606/cover/2125606.jpg", "Обложка")</f>
        <v>Обложка</v>
      </c>
      <c r="V149" s="8" t="s">
        <v>138</v>
      </c>
      <c r="W149" s="6"/>
      <c r="X149" s="6"/>
      <c r="Y149" s="6"/>
      <c r="Z149" s="6"/>
      <c r="AA149" s="6" t="s">
        <v>779</v>
      </c>
      <c r="AB149" s="8"/>
      <c r="AC149" s="27">
        <v>9785160119977</v>
      </c>
    </row>
    <row r="150" spans="1:29" s="4" customFormat="1" ht="42" customHeight="1" x14ac:dyDescent="0.2">
      <c r="A150" s="5">
        <v>0</v>
      </c>
      <c r="B150" s="6" t="s">
        <v>1077</v>
      </c>
      <c r="C150" s="7">
        <v>1032</v>
      </c>
      <c r="D150" s="8" t="s">
        <v>1078</v>
      </c>
      <c r="E150" s="8" t="s">
        <v>1079</v>
      </c>
      <c r="F150" s="8" t="s">
        <v>1080</v>
      </c>
      <c r="G150" s="6" t="s">
        <v>118</v>
      </c>
      <c r="H150" s="6" t="s">
        <v>34</v>
      </c>
      <c r="I150" s="8" t="s">
        <v>1081</v>
      </c>
      <c r="J150" s="9">
        <v>1</v>
      </c>
      <c r="K150" s="9">
        <v>252</v>
      </c>
      <c r="L150" s="9">
        <v>2019</v>
      </c>
      <c r="M150" s="8" t="s">
        <v>1082</v>
      </c>
      <c r="N150" s="8" t="s">
        <v>37</v>
      </c>
      <c r="O150" s="8" t="s">
        <v>83</v>
      </c>
      <c r="P150" s="6" t="s">
        <v>39</v>
      </c>
      <c r="Q150" s="8" t="s">
        <v>40</v>
      </c>
      <c r="R150" s="10" t="s">
        <v>216</v>
      </c>
      <c r="S150" s="11"/>
      <c r="T150" s="6"/>
      <c r="U150" s="15" t="str">
        <f>HYPERLINK("https://media.infra-m.ru/0989/0989974/cover/989974.jpg", "Обложка")</f>
        <v>Обложка</v>
      </c>
      <c r="V150" s="8" t="s">
        <v>1083</v>
      </c>
      <c r="W150" s="6"/>
      <c r="X150" s="6"/>
      <c r="Y150" s="6"/>
      <c r="Z150" s="6"/>
      <c r="AA150" s="6" t="s">
        <v>86</v>
      </c>
      <c r="AB150" s="8"/>
      <c r="AC150" s="27">
        <v>9785160132969</v>
      </c>
    </row>
    <row r="151" spans="1:29" s="4" customFormat="1" ht="42" customHeight="1" x14ac:dyDescent="0.2">
      <c r="A151" s="5">
        <v>0</v>
      </c>
      <c r="B151" s="6" t="s">
        <v>1084</v>
      </c>
      <c r="C151" s="7">
        <v>1176</v>
      </c>
      <c r="D151" s="8" t="s">
        <v>1085</v>
      </c>
      <c r="E151" s="8" t="s">
        <v>1079</v>
      </c>
      <c r="F151" s="8" t="s">
        <v>1080</v>
      </c>
      <c r="G151" s="6" t="s">
        <v>33</v>
      </c>
      <c r="H151" s="6" t="s">
        <v>34</v>
      </c>
      <c r="I151" s="8" t="s">
        <v>1081</v>
      </c>
      <c r="J151" s="9">
        <v>1</v>
      </c>
      <c r="K151" s="9">
        <v>252</v>
      </c>
      <c r="L151" s="9">
        <v>2022</v>
      </c>
      <c r="M151" s="8" t="s">
        <v>1086</v>
      </c>
      <c r="N151" s="8" t="s">
        <v>37</v>
      </c>
      <c r="O151" s="8" t="s">
        <v>83</v>
      </c>
      <c r="P151" s="6" t="s">
        <v>39</v>
      </c>
      <c r="Q151" s="8" t="s">
        <v>40</v>
      </c>
      <c r="R151" s="10" t="s">
        <v>216</v>
      </c>
      <c r="S151" s="11"/>
      <c r="T151" s="6"/>
      <c r="U151" s="15" t="str">
        <f>HYPERLINK("https://media.infra-m.ru/1831/1831187/cover/1831187.jpg", "Обложка")</f>
        <v>Обложка</v>
      </c>
      <c r="V151" s="8" t="s">
        <v>1083</v>
      </c>
      <c r="W151" s="6"/>
      <c r="X151" s="6"/>
      <c r="Y151" s="6"/>
      <c r="Z151" s="6"/>
      <c r="AA151" s="6" t="s">
        <v>86</v>
      </c>
      <c r="AB151" s="8"/>
      <c r="AC151" s="27">
        <v>9785160172255</v>
      </c>
    </row>
    <row r="152" spans="1:29" s="4" customFormat="1" ht="51.9" customHeight="1" x14ac:dyDescent="0.2">
      <c r="A152" s="5">
        <v>0</v>
      </c>
      <c r="B152" s="6" t="s">
        <v>1087</v>
      </c>
      <c r="C152" s="13">
        <v>612</v>
      </c>
      <c r="D152" s="8" t="s">
        <v>1088</v>
      </c>
      <c r="E152" s="8" t="s">
        <v>1089</v>
      </c>
      <c r="F152" s="8" t="s">
        <v>1090</v>
      </c>
      <c r="G152" s="6" t="s">
        <v>33</v>
      </c>
      <c r="H152" s="6" t="s">
        <v>34</v>
      </c>
      <c r="I152" s="8" t="s">
        <v>1091</v>
      </c>
      <c r="J152" s="9">
        <v>1</v>
      </c>
      <c r="K152" s="9">
        <v>133</v>
      </c>
      <c r="L152" s="9">
        <v>2022</v>
      </c>
      <c r="M152" s="8" t="s">
        <v>1092</v>
      </c>
      <c r="N152" s="8" t="s">
        <v>37</v>
      </c>
      <c r="O152" s="8" t="s">
        <v>233</v>
      </c>
      <c r="P152" s="6" t="s">
        <v>39</v>
      </c>
      <c r="Q152" s="8" t="s">
        <v>40</v>
      </c>
      <c r="R152" s="10" t="s">
        <v>1093</v>
      </c>
      <c r="S152" s="11"/>
      <c r="T152" s="6"/>
      <c r="U152" s="15" t="str">
        <f>HYPERLINK("https://media.infra-m.ru/1846/1846000/cover/1846000.jpg", "Обложка")</f>
        <v>Обложка</v>
      </c>
      <c r="V152" s="8" t="s">
        <v>1094</v>
      </c>
      <c r="W152" s="6"/>
      <c r="X152" s="6"/>
      <c r="Y152" s="6"/>
      <c r="Z152" s="6"/>
      <c r="AA152" s="6" t="s">
        <v>115</v>
      </c>
      <c r="AB152" s="8"/>
      <c r="AC152" s="27">
        <v>9785160147970</v>
      </c>
    </row>
    <row r="153" spans="1:29" s="4" customFormat="1" ht="51.9" customHeight="1" x14ac:dyDescent="0.2">
      <c r="A153" s="5">
        <v>0</v>
      </c>
      <c r="B153" s="6" t="s">
        <v>1095</v>
      </c>
      <c r="C153" s="7">
        <v>4096.8</v>
      </c>
      <c r="D153" s="8" t="s">
        <v>1096</v>
      </c>
      <c r="E153" s="8" t="s">
        <v>1097</v>
      </c>
      <c r="F153" s="8" t="s">
        <v>1098</v>
      </c>
      <c r="G153" s="6" t="s">
        <v>60</v>
      </c>
      <c r="H153" s="6" t="s">
        <v>34</v>
      </c>
      <c r="I153" s="8" t="s">
        <v>271</v>
      </c>
      <c r="J153" s="9">
        <v>1</v>
      </c>
      <c r="K153" s="9">
        <v>725</v>
      </c>
      <c r="L153" s="9">
        <v>2026</v>
      </c>
      <c r="M153" s="8" t="s">
        <v>1099</v>
      </c>
      <c r="N153" s="8" t="s">
        <v>243</v>
      </c>
      <c r="O153" s="8" t="s">
        <v>1100</v>
      </c>
      <c r="P153" s="6" t="s">
        <v>51</v>
      </c>
      <c r="Q153" s="8" t="s">
        <v>52</v>
      </c>
      <c r="R153" s="10" t="s">
        <v>1101</v>
      </c>
      <c r="S153" s="11" t="s">
        <v>1102</v>
      </c>
      <c r="T153" s="6"/>
      <c r="U153" s="15" t="str">
        <f>HYPERLINK("https://media.infra-m.ru/2239/2239453/cover/2239453.jpg", "Обложка")</f>
        <v>Обложка</v>
      </c>
      <c r="V153" s="8" t="s">
        <v>1030</v>
      </c>
      <c r="W153" s="6"/>
      <c r="X153" s="6"/>
      <c r="Y153" s="6"/>
      <c r="Z153" s="6"/>
      <c r="AA153" s="6" t="s">
        <v>248</v>
      </c>
      <c r="AB153" s="8"/>
      <c r="AC153" s="27">
        <v>9785160062228</v>
      </c>
    </row>
    <row r="154" spans="1:29" s="4" customFormat="1" ht="51.9" customHeight="1" x14ac:dyDescent="0.2">
      <c r="A154" s="5">
        <v>0</v>
      </c>
      <c r="B154" s="6" t="s">
        <v>1103</v>
      </c>
      <c r="C154" s="7">
        <v>4008</v>
      </c>
      <c r="D154" s="8" t="s">
        <v>1104</v>
      </c>
      <c r="E154" s="8" t="s">
        <v>1097</v>
      </c>
      <c r="F154" s="8" t="s">
        <v>1105</v>
      </c>
      <c r="G154" s="6" t="s">
        <v>60</v>
      </c>
      <c r="H154" s="6" t="s">
        <v>34</v>
      </c>
      <c r="I154" s="8" t="s">
        <v>263</v>
      </c>
      <c r="J154" s="9">
        <v>1</v>
      </c>
      <c r="K154" s="9">
        <v>725</v>
      </c>
      <c r="L154" s="9">
        <v>2026</v>
      </c>
      <c r="M154" s="8" t="s">
        <v>1106</v>
      </c>
      <c r="N154" s="8" t="s">
        <v>243</v>
      </c>
      <c r="O154" s="8" t="s">
        <v>1100</v>
      </c>
      <c r="P154" s="6" t="s">
        <v>51</v>
      </c>
      <c r="Q154" s="8" t="s">
        <v>265</v>
      </c>
      <c r="R154" s="10" t="s">
        <v>1107</v>
      </c>
      <c r="S154" s="11" t="s">
        <v>1108</v>
      </c>
      <c r="T154" s="6"/>
      <c r="U154" s="15" t="str">
        <f>HYPERLINK("https://media.infra-m.ru/2239/2239077/cover/2239077.jpg", "Обложка")</f>
        <v>Обложка</v>
      </c>
      <c r="V154" s="8" t="s">
        <v>1030</v>
      </c>
      <c r="W154" s="6"/>
      <c r="X154" s="6"/>
      <c r="Y154" s="6"/>
      <c r="Z154" s="6" t="s">
        <v>267</v>
      </c>
      <c r="AA154" s="6" t="s">
        <v>115</v>
      </c>
      <c r="AB154" s="8"/>
      <c r="AC154" s="27">
        <v>9785160138763</v>
      </c>
    </row>
    <row r="155" spans="1:29" s="4" customFormat="1" ht="51.9" customHeight="1" x14ac:dyDescent="0.2">
      <c r="A155" s="5">
        <v>0</v>
      </c>
      <c r="B155" s="6" t="s">
        <v>1109</v>
      </c>
      <c r="C155" s="7">
        <v>2220</v>
      </c>
      <c r="D155" s="8" t="s">
        <v>1110</v>
      </c>
      <c r="E155" s="8" t="s">
        <v>1111</v>
      </c>
      <c r="F155" s="8" t="s">
        <v>1112</v>
      </c>
      <c r="G155" s="6" t="s">
        <v>118</v>
      </c>
      <c r="H155" s="6" t="s">
        <v>34</v>
      </c>
      <c r="I155" s="8" t="s">
        <v>263</v>
      </c>
      <c r="J155" s="9">
        <v>1</v>
      </c>
      <c r="K155" s="9">
        <v>350</v>
      </c>
      <c r="L155" s="9">
        <v>2026</v>
      </c>
      <c r="M155" s="8" t="s">
        <v>1113</v>
      </c>
      <c r="N155" s="8" t="s">
        <v>243</v>
      </c>
      <c r="O155" s="8" t="s">
        <v>1100</v>
      </c>
      <c r="P155" s="6" t="s">
        <v>306</v>
      </c>
      <c r="Q155" s="8" t="s">
        <v>265</v>
      </c>
      <c r="R155" s="10" t="s">
        <v>1114</v>
      </c>
      <c r="S155" s="11" t="s">
        <v>1115</v>
      </c>
      <c r="T155" s="6"/>
      <c r="U155" s="15" t="str">
        <f>HYPERLINK("https://media.infra-m.ru/2180/2180055/cover/2180055.jpg", "Обложка")</f>
        <v>Обложка</v>
      </c>
      <c r="V155" s="8" t="s">
        <v>1116</v>
      </c>
      <c r="W155" s="6"/>
      <c r="X155" s="6" t="s">
        <v>24</v>
      </c>
      <c r="Y155" s="6"/>
      <c r="Z155" s="6" t="s">
        <v>267</v>
      </c>
      <c r="AA155" s="6" t="s">
        <v>1117</v>
      </c>
      <c r="AB155" s="8"/>
      <c r="AC155" s="27">
        <v>9785160138770</v>
      </c>
    </row>
    <row r="156" spans="1:29" s="4" customFormat="1" ht="51.9" customHeight="1" x14ac:dyDescent="0.2">
      <c r="A156" s="5">
        <v>0</v>
      </c>
      <c r="B156" s="6" t="s">
        <v>1118</v>
      </c>
      <c r="C156" s="7">
        <v>2440.8000000000002</v>
      </c>
      <c r="D156" s="8" t="s">
        <v>1119</v>
      </c>
      <c r="E156" s="8" t="s">
        <v>1111</v>
      </c>
      <c r="F156" s="8" t="s">
        <v>1112</v>
      </c>
      <c r="G156" s="6" t="s">
        <v>118</v>
      </c>
      <c r="H156" s="6" t="s">
        <v>34</v>
      </c>
      <c r="I156" s="8" t="s">
        <v>271</v>
      </c>
      <c r="J156" s="9">
        <v>1</v>
      </c>
      <c r="K156" s="9">
        <v>350</v>
      </c>
      <c r="L156" s="9">
        <v>2027</v>
      </c>
      <c r="M156" s="8" t="s">
        <v>1120</v>
      </c>
      <c r="N156" s="8" t="s">
        <v>243</v>
      </c>
      <c r="O156" s="8" t="s">
        <v>1100</v>
      </c>
      <c r="P156" s="6" t="s">
        <v>306</v>
      </c>
      <c r="Q156" s="8" t="s">
        <v>52</v>
      </c>
      <c r="R156" s="10" t="s">
        <v>1121</v>
      </c>
      <c r="S156" s="11" t="s">
        <v>1122</v>
      </c>
      <c r="T156" s="6"/>
      <c r="U156" s="15" t="str">
        <f>HYPERLINK("https://media.infra-m.ru/2270/2270173/cover/2270173.jpg", "Обложка")</f>
        <v>Обложка</v>
      </c>
      <c r="V156" s="8" t="s">
        <v>1116</v>
      </c>
      <c r="W156" s="6"/>
      <c r="X156" s="6"/>
      <c r="Y156" s="6"/>
      <c r="Z156" s="6"/>
      <c r="AA156" s="6" t="s">
        <v>1123</v>
      </c>
      <c r="AB156" s="8"/>
      <c r="AC156" s="27">
        <v>9785160100548</v>
      </c>
    </row>
    <row r="157" spans="1:29" s="4" customFormat="1" ht="51.9" customHeight="1" x14ac:dyDescent="0.2">
      <c r="A157" s="5">
        <v>0</v>
      </c>
      <c r="B157" s="6" t="s">
        <v>1124</v>
      </c>
      <c r="C157" s="7">
        <v>1336.8</v>
      </c>
      <c r="D157" s="8" t="s">
        <v>1125</v>
      </c>
      <c r="E157" s="8" t="s">
        <v>1126</v>
      </c>
      <c r="F157" s="8" t="s">
        <v>1127</v>
      </c>
      <c r="G157" s="6" t="s">
        <v>60</v>
      </c>
      <c r="H157" s="6" t="s">
        <v>34</v>
      </c>
      <c r="I157" s="8" t="s">
        <v>1128</v>
      </c>
      <c r="J157" s="9">
        <v>1</v>
      </c>
      <c r="K157" s="9">
        <v>192</v>
      </c>
      <c r="L157" s="9">
        <v>2026</v>
      </c>
      <c r="M157" s="8" t="s">
        <v>1129</v>
      </c>
      <c r="N157" s="8" t="s">
        <v>243</v>
      </c>
      <c r="O157" s="8" t="s">
        <v>1100</v>
      </c>
      <c r="P157" s="6" t="s">
        <v>51</v>
      </c>
      <c r="Q157" s="8" t="s">
        <v>65</v>
      </c>
      <c r="R157" s="10" t="s">
        <v>1130</v>
      </c>
      <c r="S157" s="11" t="s">
        <v>1131</v>
      </c>
      <c r="T157" s="6"/>
      <c r="U157" s="15" t="str">
        <f>HYPERLINK("https://media.infra-m.ru/2255/2255037/cover/2255037.jpg", "Обложка")</f>
        <v>Обложка</v>
      </c>
      <c r="V157" s="8" t="s">
        <v>1132</v>
      </c>
      <c r="W157" s="6"/>
      <c r="X157" s="6"/>
      <c r="Y157" s="6"/>
      <c r="Z157" s="6"/>
      <c r="AA157" s="6" t="s">
        <v>76</v>
      </c>
      <c r="AB157" s="8"/>
      <c r="AC157" s="27">
        <v>9785160195209</v>
      </c>
    </row>
    <row r="158" spans="1:29" s="4" customFormat="1" ht="51.9" customHeight="1" x14ac:dyDescent="0.2">
      <c r="A158" s="5">
        <v>0</v>
      </c>
      <c r="B158" s="6" t="s">
        <v>1133</v>
      </c>
      <c r="C158" s="7">
        <v>2232</v>
      </c>
      <c r="D158" s="8" t="s">
        <v>1134</v>
      </c>
      <c r="E158" s="8" t="s">
        <v>1135</v>
      </c>
      <c r="F158" s="8" t="s">
        <v>1136</v>
      </c>
      <c r="G158" s="6" t="s">
        <v>118</v>
      </c>
      <c r="H158" s="6" t="s">
        <v>34</v>
      </c>
      <c r="I158" s="8" t="s">
        <v>263</v>
      </c>
      <c r="J158" s="9">
        <v>1</v>
      </c>
      <c r="K158" s="9">
        <v>351</v>
      </c>
      <c r="L158" s="9">
        <v>2026</v>
      </c>
      <c r="M158" s="8" t="s">
        <v>1137</v>
      </c>
      <c r="N158" s="8" t="s">
        <v>243</v>
      </c>
      <c r="O158" s="8" t="s">
        <v>1100</v>
      </c>
      <c r="P158" s="6" t="s">
        <v>51</v>
      </c>
      <c r="Q158" s="8" t="s">
        <v>265</v>
      </c>
      <c r="R158" s="10" t="s">
        <v>1138</v>
      </c>
      <c r="S158" s="11" t="s">
        <v>1139</v>
      </c>
      <c r="T158" s="6"/>
      <c r="U158" s="15" t="str">
        <f>HYPERLINK("https://media.infra-m.ru/2215/2215962/cover/2215962.jpg", "Обложка")</f>
        <v>Обложка</v>
      </c>
      <c r="V158" s="8" t="s">
        <v>1030</v>
      </c>
      <c r="W158" s="6"/>
      <c r="X158" s="6"/>
      <c r="Y158" s="6"/>
      <c r="Z158" s="6" t="s">
        <v>267</v>
      </c>
      <c r="AA158" s="6" t="s">
        <v>115</v>
      </c>
      <c r="AB158" s="8"/>
      <c r="AC158" s="27">
        <v>9785160149370</v>
      </c>
    </row>
    <row r="159" spans="1:29" s="4" customFormat="1" ht="51.9" customHeight="1" x14ac:dyDescent="0.2">
      <c r="A159" s="5">
        <v>0</v>
      </c>
      <c r="B159" s="6" t="s">
        <v>1140</v>
      </c>
      <c r="C159" s="7">
        <v>2196</v>
      </c>
      <c r="D159" s="8" t="s">
        <v>1141</v>
      </c>
      <c r="E159" s="8" t="s">
        <v>1135</v>
      </c>
      <c r="F159" s="8" t="s">
        <v>1136</v>
      </c>
      <c r="G159" s="6" t="s">
        <v>118</v>
      </c>
      <c r="H159" s="6" t="s">
        <v>34</v>
      </c>
      <c r="I159" s="8" t="s">
        <v>253</v>
      </c>
      <c r="J159" s="9">
        <v>1</v>
      </c>
      <c r="K159" s="9">
        <v>351</v>
      </c>
      <c r="L159" s="9">
        <v>2026</v>
      </c>
      <c r="M159" s="8" t="s">
        <v>1142</v>
      </c>
      <c r="N159" s="8" t="s">
        <v>243</v>
      </c>
      <c r="O159" s="8" t="s">
        <v>1100</v>
      </c>
      <c r="P159" s="6" t="s">
        <v>51</v>
      </c>
      <c r="Q159" s="8" t="s">
        <v>52</v>
      </c>
      <c r="R159" s="10" t="s">
        <v>1143</v>
      </c>
      <c r="S159" s="11" t="s">
        <v>1144</v>
      </c>
      <c r="T159" s="6"/>
      <c r="U159" s="15" t="str">
        <f>HYPERLINK("https://media.infra-m.ru/2213/2213667/cover/2213667.jpg", "Обложка")</f>
        <v>Обложка</v>
      </c>
      <c r="V159" s="8" t="s">
        <v>1030</v>
      </c>
      <c r="W159" s="6"/>
      <c r="X159" s="6"/>
      <c r="Y159" s="6"/>
      <c r="Z159" s="6"/>
      <c r="AA159" s="6" t="s">
        <v>274</v>
      </c>
      <c r="AB159" s="8"/>
      <c r="AC159" s="27">
        <v>9785160211091</v>
      </c>
    </row>
    <row r="160" spans="1:29" s="4" customFormat="1" ht="51.9" customHeight="1" x14ac:dyDescent="0.2">
      <c r="A160" s="5">
        <v>0</v>
      </c>
      <c r="B160" s="6" t="s">
        <v>1145</v>
      </c>
      <c r="C160" s="13">
        <v>820.8</v>
      </c>
      <c r="D160" s="8" t="s">
        <v>1146</v>
      </c>
      <c r="E160" s="8" t="s">
        <v>1147</v>
      </c>
      <c r="F160" s="8" t="s">
        <v>1148</v>
      </c>
      <c r="G160" s="6" t="s">
        <v>33</v>
      </c>
      <c r="H160" s="6" t="s">
        <v>34</v>
      </c>
      <c r="I160" s="8" t="s">
        <v>35</v>
      </c>
      <c r="J160" s="9">
        <v>1</v>
      </c>
      <c r="K160" s="9">
        <v>124</v>
      </c>
      <c r="L160" s="9">
        <v>2027</v>
      </c>
      <c r="M160" s="8" t="s">
        <v>1149</v>
      </c>
      <c r="N160" s="8" t="s">
        <v>37</v>
      </c>
      <c r="O160" s="8" t="s">
        <v>280</v>
      </c>
      <c r="P160" s="6" t="s">
        <v>39</v>
      </c>
      <c r="Q160" s="8" t="s">
        <v>40</v>
      </c>
      <c r="R160" s="10" t="s">
        <v>1150</v>
      </c>
      <c r="S160" s="11"/>
      <c r="T160" s="6"/>
      <c r="U160" s="15" t="str">
        <f>HYPERLINK("https://media.infra-m.ru/2257/2257138/cover/2257138.jpg", "Обложка")</f>
        <v>Обложка</v>
      </c>
      <c r="V160" s="8" t="s">
        <v>657</v>
      </c>
      <c r="W160" s="6"/>
      <c r="X160" s="6"/>
      <c r="Y160" s="6"/>
      <c r="Z160" s="6"/>
      <c r="AA160" s="6" t="s">
        <v>248</v>
      </c>
      <c r="AB160" s="8"/>
      <c r="AC160" s="27">
        <v>9785160098210</v>
      </c>
    </row>
    <row r="161" spans="1:29" s="4" customFormat="1" ht="44.1" customHeight="1" x14ac:dyDescent="0.2">
      <c r="A161" s="5">
        <v>0</v>
      </c>
      <c r="B161" s="6" t="s">
        <v>1151</v>
      </c>
      <c r="C161" s="13">
        <v>852</v>
      </c>
      <c r="D161" s="8" t="s">
        <v>1152</v>
      </c>
      <c r="E161" s="8" t="s">
        <v>1153</v>
      </c>
      <c r="F161" s="8" t="s">
        <v>1154</v>
      </c>
      <c r="G161" s="6" t="s">
        <v>33</v>
      </c>
      <c r="H161" s="6" t="s">
        <v>313</v>
      </c>
      <c r="I161" s="8" t="s">
        <v>35</v>
      </c>
      <c r="J161" s="9">
        <v>1</v>
      </c>
      <c r="K161" s="9">
        <v>122</v>
      </c>
      <c r="L161" s="9">
        <v>2026</v>
      </c>
      <c r="M161" s="8" t="s">
        <v>1155</v>
      </c>
      <c r="N161" s="8" t="s">
        <v>243</v>
      </c>
      <c r="O161" s="8" t="s">
        <v>758</v>
      </c>
      <c r="P161" s="6" t="s">
        <v>39</v>
      </c>
      <c r="Q161" s="8" t="s">
        <v>40</v>
      </c>
      <c r="R161" s="10" t="s">
        <v>1156</v>
      </c>
      <c r="S161" s="11"/>
      <c r="T161" s="6"/>
      <c r="U161" s="15" t="str">
        <f>HYPERLINK("https://media.infra-m.ru/2261/2261999/cover/2261999.jpg", "Обложка")</f>
        <v>Обложка</v>
      </c>
      <c r="V161" s="8" t="s">
        <v>1157</v>
      </c>
      <c r="W161" s="6"/>
      <c r="X161" s="6"/>
      <c r="Y161" s="6"/>
      <c r="Z161" s="6"/>
      <c r="AA161" s="6" t="s">
        <v>99</v>
      </c>
      <c r="AB161" s="8"/>
      <c r="AC161" s="27">
        <v>9785369016671</v>
      </c>
    </row>
    <row r="162" spans="1:29" s="4" customFormat="1" ht="51.9" customHeight="1" x14ac:dyDescent="0.2">
      <c r="A162" s="5">
        <v>0</v>
      </c>
      <c r="B162" s="6" t="s">
        <v>1158</v>
      </c>
      <c r="C162" s="7">
        <v>1408.8</v>
      </c>
      <c r="D162" s="8" t="s">
        <v>1159</v>
      </c>
      <c r="E162" s="8" t="s">
        <v>1160</v>
      </c>
      <c r="F162" s="8" t="s">
        <v>1161</v>
      </c>
      <c r="G162" s="6" t="s">
        <v>118</v>
      </c>
      <c r="H162" s="6" t="s">
        <v>34</v>
      </c>
      <c r="I162" s="8" t="s">
        <v>504</v>
      </c>
      <c r="J162" s="9">
        <v>1</v>
      </c>
      <c r="K162" s="9">
        <v>213</v>
      </c>
      <c r="L162" s="9">
        <v>2026</v>
      </c>
      <c r="M162" s="8" t="s">
        <v>1162</v>
      </c>
      <c r="N162" s="8" t="s">
        <v>585</v>
      </c>
      <c r="O162" s="8" t="s">
        <v>775</v>
      </c>
      <c r="P162" s="6" t="s">
        <v>306</v>
      </c>
      <c r="Q162" s="8" t="s">
        <v>500</v>
      </c>
      <c r="R162" s="10" t="s">
        <v>1163</v>
      </c>
      <c r="S162" s="11" t="s">
        <v>1164</v>
      </c>
      <c r="T162" s="6"/>
      <c r="U162" s="15" t="str">
        <f>HYPERLINK("https://media.infra-m.ru/2232/2232187/cover/2232187.jpg", "Обложка")</f>
        <v>Обложка</v>
      </c>
      <c r="V162" s="8" t="s">
        <v>1030</v>
      </c>
      <c r="W162" s="6"/>
      <c r="X162" s="6"/>
      <c r="Y162" s="6"/>
      <c r="Z162" s="6"/>
      <c r="AA162" s="6" t="s">
        <v>86</v>
      </c>
      <c r="AB162" s="8"/>
      <c r="AC162" s="27">
        <v>9785160130682</v>
      </c>
    </row>
    <row r="163" spans="1:29" s="4" customFormat="1" ht="51.9" customHeight="1" x14ac:dyDescent="0.2">
      <c r="A163" s="5">
        <v>0</v>
      </c>
      <c r="B163" s="6" t="s">
        <v>1165</v>
      </c>
      <c r="C163" s="7">
        <v>1080</v>
      </c>
      <c r="D163" s="8" t="s">
        <v>1166</v>
      </c>
      <c r="E163" s="8" t="s">
        <v>1167</v>
      </c>
      <c r="F163" s="8" t="s">
        <v>1168</v>
      </c>
      <c r="G163" s="6" t="s">
        <v>33</v>
      </c>
      <c r="H163" s="6" t="s">
        <v>34</v>
      </c>
      <c r="I163" s="8" t="s">
        <v>35</v>
      </c>
      <c r="J163" s="9">
        <v>1</v>
      </c>
      <c r="K163" s="9">
        <v>200</v>
      </c>
      <c r="L163" s="9">
        <v>2024</v>
      </c>
      <c r="M163" s="8" t="s">
        <v>1169</v>
      </c>
      <c r="N163" s="8" t="s">
        <v>37</v>
      </c>
      <c r="O163" s="8" t="s">
        <v>280</v>
      </c>
      <c r="P163" s="6" t="s">
        <v>39</v>
      </c>
      <c r="Q163" s="8" t="s">
        <v>40</v>
      </c>
      <c r="R163" s="10" t="s">
        <v>1170</v>
      </c>
      <c r="S163" s="11"/>
      <c r="T163" s="6"/>
      <c r="U163" s="15" t="str">
        <f>HYPERLINK("https://media.infra-m.ru/2037/2037422/cover/2037422.jpg", "Обложка")</f>
        <v>Обложка</v>
      </c>
      <c r="V163" s="8" t="s">
        <v>1171</v>
      </c>
      <c r="W163" s="6"/>
      <c r="X163" s="6"/>
      <c r="Y163" s="6"/>
      <c r="Z163" s="6"/>
      <c r="AA163" s="6" t="s">
        <v>274</v>
      </c>
      <c r="AB163" s="8"/>
      <c r="AC163" s="27">
        <v>9785160106700</v>
      </c>
    </row>
    <row r="164" spans="1:29" s="4" customFormat="1" ht="42" customHeight="1" x14ac:dyDescent="0.2">
      <c r="A164" s="5">
        <v>0</v>
      </c>
      <c r="B164" s="6" t="s">
        <v>1172</v>
      </c>
      <c r="C164" s="13">
        <v>912</v>
      </c>
      <c r="D164" s="8" t="s">
        <v>1173</v>
      </c>
      <c r="E164" s="8" t="s">
        <v>1174</v>
      </c>
      <c r="F164" s="8" t="s">
        <v>1175</v>
      </c>
      <c r="G164" s="6" t="s">
        <v>33</v>
      </c>
      <c r="H164" s="6" t="s">
        <v>34</v>
      </c>
      <c r="I164" s="8" t="s">
        <v>1081</v>
      </c>
      <c r="J164" s="9">
        <v>1</v>
      </c>
      <c r="K164" s="9">
        <v>139</v>
      </c>
      <c r="L164" s="9">
        <v>2025</v>
      </c>
      <c r="M164" s="8" t="s">
        <v>1176</v>
      </c>
      <c r="N164" s="8" t="s">
        <v>243</v>
      </c>
      <c r="O164" s="8" t="s">
        <v>244</v>
      </c>
      <c r="P164" s="6" t="s">
        <v>39</v>
      </c>
      <c r="Q164" s="8" t="s">
        <v>40</v>
      </c>
      <c r="R164" s="10" t="s">
        <v>1177</v>
      </c>
      <c r="S164" s="11"/>
      <c r="T164" s="6"/>
      <c r="U164" s="15" t="str">
        <f>HYPERLINK("https://media.infra-m.ru/2199/2199781/cover/2199781.jpg", "Обложка")</f>
        <v>Обложка</v>
      </c>
      <c r="V164" s="8" t="s">
        <v>1083</v>
      </c>
      <c r="W164" s="6"/>
      <c r="X164" s="6"/>
      <c r="Y164" s="6"/>
      <c r="Z164" s="6"/>
      <c r="AA164" s="6" t="s">
        <v>86</v>
      </c>
      <c r="AB164" s="8"/>
      <c r="AC164" s="27">
        <v>9785160186467</v>
      </c>
    </row>
    <row r="165" spans="1:29" s="4" customFormat="1" ht="51.9" customHeight="1" x14ac:dyDescent="0.2">
      <c r="A165" s="5">
        <v>0</v>
      </c>
      <c r="B165" s="6" t="s">
        <v>1178</v>
      </c>
      <c r="C165" s="13">
        <v>780</v>
      </c>
      <c r="D165" s="8" t="s">
        <v>1179</v>
      </c>
      <c r="E165" s="8" t="s">
        <v>1180</v>
      </c>
      <c r="F165" s="8" t="s">
        <v>1181</v>
      </c>
      <c r="G165" s="6" t="s">
        <v>33</v>
      </c>
      <c r="H165" s="6" t="s">
        <v>134</v>
      </c>
      <c r="I165" s="8"/>
      <c r="J165" s="9">
        <v>1</v>
      </c>
      <c r="K165" s="9">
        <v>112</v>
      </c>
      <c r="L165" s="9">
        <v>2026</v>
      </c>
      <c r="M165" s="8" t="s">
        <v>1182</v>
      </c>
      <c r="N165" s="8" t="s">
        <v>37</v>
      </c>
      <c r="O165" s="8" t="s">
        <v>136</v>
      </c>
      <c r="P165" s="6" t="s">
        <v>394</v>
      </c>
      <c r="Q165" s="8" t="s">
        <v>65</v>
      </c>
      <c r="R165" s="10" t="s">
        <v>1183</v>
      </c>
      <c r="S165" s="11"/>
      <c r="T165" s="6"/>
      <c r="U165" s="15" t="str">
        <f>HYPERLINK("https://media.infra-m.ru/2221/2221052/cover/2221052.jpg", "Обложка")</f>
        <v>Обложка</v>
      </c>
      <c r="V165" s="8" t="s">
        <v>1184</v>
      </c>
      <c r="W165" s="6" t="s">
        <v>342</v>
      </c>
      <c r="X165" s="6"/>
      <c r="Y165" s="6"/>
      <c r="Z165" s="6"/>
      <c r="AA165" s="6" t="s">
        <v>187</v>
      </c>
      <c r="AB165" s="8"/>
      <c r="AC165" s="27">
        <v>9785001564577</v>
      </c>
    </row>
    <row r="166" spans="1:29" s="4" customFormat="1" ht="51.9" customHeight="1" x14ac:dyDescent="0.2">
      <c r="A166" s="5">
        <v>0</v>
      </c>
      <c r="B166" s="6" t="s">
        <v>1185</v>
      </c>
      <c r="C166" s="7">
        <v>1380</v>
      </c>
      <c r="D166" s="8" t="s">
        <v>1186</v>
      </c>
      <c r="E166" s="8" t="s">
        <v>1187</v>
      </c>
      <c r="F166" s="8" t="s">
        <v>1188</v>
      </c>
      <c r="G166" s="6" t="s">
        <v>118</v>
      </c>
      <c r="H166" s="6" t="s">
        <v>34</v>
      </c>
      <c r="I166" s="8" t="s">
        <v>263</v>
      </c>
      <c r="J166" s="9">
        <v>1</v>
      </c>
      <c r="K166" s="9">
        <v>209</v>
      </c>
      <c r="L166" s="9">
        <v>2026</v>
      </c>
      <c r="M166" s="8" t="s">
        <v>1189</v>
      </c>
      <c r="N166" s="8" t="s">
        <v>63</v>
      </c>
      <c r="O166" s="8" t="s">
        <v>154</v>
      </c>
      <c r="P166" s="6" t="s">
        <v>51</v>
      </c>
      <c r="Q166" s="8" t="s">
        <v>265</v>
      </c>
      <c r="R166" s="10" t="s">
        <v>1190</v>
      </c>
      <c r="S166" s="11" t="s">
        <v>1191</v>
      </c>
      <c r="T166" s="6"/>
      <c r="U166" s="15" t="str">
        <f>HYPERLINK("https://media.infra-m.ru/2197/2197178/cover/2197178.jpg", "Обложка")</f>
        <v>Обложка</v>
      </c>
      <c r="V166" s="8" t="s">
        <v>1192</v>
      </c>
      <c r="W166" s="6"/>
      <c r="X166" s="6"/>
      <c r="Y166" s="6"/>
      <c r="Z166" s="6" t="s">
        <v>267</v>
      </c>
      <c r="AA166" s="6" t="s">
        <v>86</v>
      </c>
      <c r="AB166" s="8"/>
      <c r="AC166" s="27">
        <v>9785160170220</v>
      </c>
    </row>
    <row r="167" spans="1:29" s="4" customFormat="1" ht="51.9" customHeight="1" x14ac:dyDescent="0.2">
      <c r="A167" s="5">
        <v>0</v>
      </c>
      <c r="B167" s="6" t="s">
        <v>1193</v>
      </c>
      <c r="C167" s="7">
        <v>1336.8</v>
      </c>
      <c r="D167" s="8" t="s">
        <v>1194</v>
      </c>
      <c r="E167" s="8" t="s">
        <v>1187</v>
      </c>
      <c r="F167" s="8" t="s">
        <v>1195</v>
      </c>
      <c r="G167" s="6" t="s">
        <v>33</v>
      </c>
      <c r="H167" s="6" t="s">
        <v>48</v>
      </c>
      <c r="I167" s="8"/>
      <c r="J167" s="9">
        <v>1</v>
      </c>
      <c r="K167" s="9">
        <v>208</v>
      </c>
      <c r="L167" s="9">
        <v>2026</v>
      </c>
      <c r="M167" s="8" t="s">
        <v>1196</v>
      </c>
      <c r="N167" s="8" t="s">
        <v>63</v>
      </c>
      <c r="O167" s="8" t="s">
        <v>154</v>
      </c>
      <c r="P167" s="6" t="s">
        <v>51</v>
      </c>
      <c r="Q167" s="8" t="s">
        <v>52</v>
      </c>
      <c r="R167" s="10" t="s">
        <v>1197</v>
      </c>
      <c r="S167" s="11" t="s">
        <v>1198</v>
      </c>
      <c r="T167" s="6"/>
      <c r="U167" s="15" t="str">
        <f>HYPERLINK("https://media.infra-m.ru/2217/2217551/cover/2217551.jpg", "Обложка")</f>
        <v>Обложка</v>
      </c>
      <c r="V167" s="8" t="s">
        <v>1192</v>
      </c>
      <c r="W167" s="6"/>
      <c r="X167" s="6"/>
      <c r="Y167" s="6"/>
      <c r="Z167" s="6"/>
      <c r="AA167" s="6" t="s">
        <v>129</v>
      </c>
      <c r="AB167" s="8"/>
      <c r="AC167" s="27">
        <v>9785911345082</v>
      </c>
    </row>
    <row r="168" spans="1:29" s="4" customFormat="1" ht="51.9" customHeight="1" x14ac:dyDescent="0.2">
      <c r="A168" s="5">
        <v>0</v>
      </c>
      <c r="B168" s="6" t="s">
        <v>1199</v>
      </c>
      <c r="C168" s="7">
        <v>1368</v>
      </c>
      <c r="D168" s="8" t="s">
        <v>1200</v>
      </c>
      <c r="E168" s="8" t="s">
        <v>1201</v>
      </c>
      <c r="F168" s="8" t="s">
        <v>1202</v>
      </c>
      <c r="G168" s="6" t="s">
        <v>118</v>
      </c>
      <c r="H168" s="6" t="s">
        <v>34</v>
      </c>
      <c r="I168" s="8" t="s">
        <v>1203</v>
      </c>
      <c r="J168" s="9">
        <v>1</v>
      </c>
      <c r="K168" s="9">
        <v>196</v>
      </c>
      <c r="L168" s="9">
        <v>2026</v>
      </c>
      <c r="M168" s="8" t="s">
        <v>1204</v>
      </c>
      <c r="N168" s="8" t="s">
        <v>243</v>
      </c>
      <c r="O168" s="8" t="s">
        <v>758</v>
      </c>
      <c r="P168" s="6" t="s">
        <v>51</v>
      </c>
      <c r="Q168" s="8" t="s">
        <v>65</v>
      </c>
      <c r="R168" s="10" t="s">
        <v>835</v>
      </c>
      <c r="S168" s="11" t="s">
        <v>1205</v>
      </c>
      <c r="T168" s="6"/>
      <c r="U168" s="15" t="str">
        <f>HYPERLINK("https://media.infra-m.ru/2258/2258361/cover/2258361.jpg", "Обложка")</f>
        <v>Обложка</v>
      </c>
      <c r="V168" s="8" t="s">
        <v>1206</v>
      </c>
      <c r="W168" s="6"/>
      <c r="X168" s="6"/>
      <c r="Y168" s="6"/>
      <c r="Z168" s="6"/>
      <c r="AA168" s="6" t="s">
        <v>115</v>
      </c>
      <c r="AB168" s="8"/>
      <c r="AC168" s="27">
        <v>9785160146768</v>
      </c>
    </row>
    <row r="169" spans="1:29" s="4" customFormat="1" ht="42" customHeight="1" x14ac:dyDescent="0.2">
      <c r="A169" s="5">
        <v>0</v>
      </c>
      <c r="B169" s="6" t="s">
        <v>1207</v>
      </c>
      <c r="C169" s="7">
        <v>2928</v>
      </c>
      <c r="D169" s="8" t="s">
        <v>1208</v>
      </c>
      <c r="E169" s="8" t="s">
        <v>1209</v>
      </c>
      <c r="F169" s="8" t="s">
        <v>1210</v>
      </c>
      <c r="G169" s="6" t="s">
        <v>118</v>
      </c>
      <c r="H169" s="6" t="s">
        <v>34</v>
      </c>
      <c r="I169" s="8" t="s">
        <v>263</v>
      </c>
      <c r="J169" s="9">
        <v>1</v>
      </c>
      <c r="K169" s="9">
        <v>376</v>
      </c>
      <c r="L169" s="9">
        <v>2026</v>
      </c>
      <c r="M169" s="8" t="s">
        <v>1211</v>
      </c>
      <c r="N169" s="8" t="s">
        <v>37</v>
      </c>
      <c r="O169" s="8" t="s">
        <v>136</v>
      </c>
      <c r="P169" s="6" t="s">
        <v>306</v>
      </c>
      <c r="Q169" s="8" t="s">
        <v>265</v>
      </c>
      <c r="R169" s="10" t="s">
        <v>479</v>
      </c>
      <c r="S169" s="11"/>
      <c r="T169" s="6"/>
      <c r="U169" s="15" t="str">
        <f>HYPERLINK("https://media.infra-m.ru/2234/2234633/cover/2234633.jpg", "Обложка")</f>
        <v>Обложка</v>
      </c>
      <c r="V169" s="8" t="s">
        <v>1212</v>
      </c>
      <c r="W169" s="6"/>
      <c r="X169" s="6"/>
      <c r="Y169" s="6"/>
      <c r="Z169" s="6"/>
      <c r="AA169" s="6" t="s">
        <v>76</v>
      </c>
      <c r="AB169" s="8" t="s">
        <v>944</v>
      </c>
      <c r="AC169" s="27">
        <v>9785160173559</v>
      </c>
    </row>
    <row r="170" spans="1:29" s="4" customFormat="1" ht="42" customHeight="1" x14ac:dyDescent="0.2">
      <c r="A170" s="5">
        <v>0</v>
      </c>
      <c r="B170" s="6" t="s">
        <v>1213</v>
      </c>
      <c r="C170" s="7">
        <v>1480.8</v>
      </c>
      <c r="D170" s="8" t="s">
        <v>1214</v>
      </c>
      <c r="E170" s="8" t="s">
        <v>1215</v>
      </c>
      <c r="F170" s="8" t="s">
        <v>1216</v>
      </c>
      <c r="G170" s="6" t="s">
        <v>60</v>
      </c>
      <c r="H170" s="6" t="s">
        <v>34</v>
      </c>
      <c r="I170" s="8" t="s">
        <v>253</v>
      </c>
      <c r="J170" s="9">
        <v>1</v>
      </c>
      <c r="K170" s="9">
        <v>222</v>
      </c>
      <c r="L170" s="9">
        <v>2025</v>
      </c>
      <c r="M170" s="8" t="s">
        <v>1217</v>
      </c>
      <c r="N170" s="8" t="s">
        <v>37</v>
      </c>
      <c r="O170" s="8" t="s">
        <v>136</v>
      </c>
      <c r="P170" s="6" t="s">
        <v>51</v>
      </c>
      <c r="Q170" s="8" t="s">
        <v>65</v>
      </c>
      <c r="R170" s="10" t="s">
        <v>1218</v>
      </c>
      <c r="S170" s="11"/>
      <c r="T170" s="6"/>
      <c r="U170" s="15" t="str">
        <f>HYPERLINK("https://media.infra-m.ru/2206/2206547/cover/2206547.jpg", "Обложка")</f>
        <v>Обложка</v>
      </c>
      <c r="V170" s="8" t="s">
        <v>1219</v>
      </c>
      <c r="W170" s="6"/>
      <c r="X170" s="6"/>
      <c r="Y170" s="6"/>
      <c r="Z170" s="6"/>
      <c r="AA170" s="6" t="s">
        <v>76</v>
      </c>
      <c r="AB170" s="8"/>
      <c r="AC170" s="27">
        <v>9785160183206</v>
      </c>
    </row>
    <row r="171" spans="1:29" s="4" customFormat="1" ht="42" customHeight="1" x14ac:dyDescent="0.2">
      <c r="A171" s="5">
        <v>0</v>
      </c>
      <c r="B171" s="6" t="s">
        <v>1220</v>
      </c>
      <c r="C171" s="7">
        <v>1792.8</v>
      </c>
      <c r="D171" s="8" t="s">
        <v>1221</v>
      </c>
      <c r="E171" s="8" t="s">
        <v>1222</v>
      </c>
      <c r="F171" s="8" t="s">
        <v>1216</v>
      </c>
      <c r="G171" s="6" t="s">
        <v>60</v>
      </c>
      <c r="H171" s="6" t="s">
        <v>34</v>
      </c>
      <c r="I171" s="8" t="s">
        <v>253</v>
      </c>
      <c r="J171" s="9">
        <v>1</v>
      </c>
      <c r="K171" s="9">
        <v>257</v>
      </c>
      <c r="L171" s="9">
        <v>2026</v>
      </c>
      <c r="M171" s="8" t="s">
        <v>1223</v>
      </c>
      <c r="N171" s="8" t="s">
        <v>37</v>
      </c>
      <c r="O171" s="8" t="s">
        <v>136</v>
      </c>
      <c r="P171" s="6" t="s">
        <v>51</v>
      </c>
      <c r="Q171" s="8" t="s">
        <v>65</v>
      </c>
      <c r="R171" s="10" t="s">
        <v>1224</v>
      </c>
      <c r="S171" s="11"/>
      <c r="T171" s="6"/>
      <c r="U171" s="15" t="str">
        <f>HYPERLINK("https://media.infra-m.ru/2222/2222962/cover/2222962.jpg", "Обложка")</f>
        <v>Обложка</v>
      </c>
      <c r="V171" s="8" t="s">
        <v>1219</v>
      </c>
      <c r="W171" s="6"/>
      <c r="X171" s="6"/>
      <c r="Y171" s="6"/>
      <c r="Z171" s="6"/>
      <c r="AA171" s="6" t="s">
        <v>68</v>
      </c>
      <c r="AB171" s="8"/>
      <c r="AC171" s="27">
        <v>9785160187150</v>
      </c>
    </row>
    <row r="172" spans="1:29" s="4" customFormat="1" ht="51.9" customHeight="1" x14ac:dyDescent="0.2">
      <c r="A172" s="5">
        <v>0</v>
      </c>
      <c r="B172" s="6" t="s">
        <v>1225</v>
      </c>
      <c r="C172" s="13">
        <v>988.8</v>
      </c>
      <c r="D172" s="8" t="s">
        <v>1226</v>
      </c>
      <c r="E172" s="8" t="s">
        <v>1227</v>
      </c>
      <c r="F172" s="8" t="s">
        <v>1228</v>
      </c>
      <c r="G172" s="6" t="s">
        <v>33</v>
      </c>
      <c r="H172" s="6" t="s">
        <v>34</v>
      </c>
      <c r="I172" s="8" t="s">
        <v>35</v>
      </c>
      <c r="J172" s="9">
        <v>1</v>
      </c>
      <c r="K172" s="9">
        <v>142</v>
      </c>
      <c r="L172" s="9">
        <v>2027</v>
      </c>
      <c r="M172" s="8" t="s">
        <v>1229</v>
      </c>
      <c r="N172" s="8" t="s">
        <v>37</v>
      </c>
      <c r="O172" s="8" t="s">
        <v>136</v>
      </c>
      <c r="P172" s="6" t="s">
        <v>39</v>
      </c>
      <c r="Q172" s="8" t="s">
        <v>40</v>
      </c>
      <c r="R172" s="10" t="s">
        <v>1230</v>
      </c>
      <c r="S172" s="11"/>
      <c r="T172" s="6"/>
      <c r="U172" s="15" t="str">
        <f>HYPERLINK("https://media.infra-m.ru/2255/2255284/cover/2255284.jpg", "Обложка")</f>
        <v>Обложка</v>
      </c>
      <c r="V172" s="8" t="s">
        <v>1231</v>
      </c>
      <c r="W172" s="6"/>
      <c r="X172" s="6"/>
      <c r="Y172" s="6"/>
      <c r="Z172" s="6"/>
      <c r="AA172" s="6" t="s">
        <v>76</v>
      </c>
      <c r="AB172" s="8"/>
      <c r="AC172" s="27">
        <v>9785160198019</v>
      </c>
    </row>
    <row r="173" spans="1:29" s="4" customFormat="1" ht="51.9" customHeight="1" x14ac:dyDescent="0.2">
      <c r="A173" s="5">
        <v>0</v>
      </c>
      <c r="B173" s="6" t="s">
        <v>1232</v>
      </c>
      <c r="C173" s="13">
        <v>829.2</v>
      </c>
      <c r="D173" s="8" t="s">
        <v>1233</v>
      </c>
      <c r="E173" s="8" t="s">
        <v>1234</v>
      </c>
      <c r="F173" s="8" t="s">
        <v>1235</v>
      </c>
      <c r="G173" s="6" t="s">
        <v>118</v>
      </c>
      <c r="H173" s="6" t="s">
        <v>134</v>
      </c>
      <c r="I173" s="8"/>
      <c r="J173" s="9">
        <v>1</v>
      </c>
      <c r="K173" s="9">
        <v>128</v>
      </c>
      <c r="L173" s="9">
        <v>2023</v>
      </c>
      <c r="M173" s="8" t="s">
        <v>1236</v>
      </c>
      <c r="N173" s="8" t="s">
        <v>37</v>
      </c>
      <c r="O173" s="8" t="s">
        <v>136</v>
      </c>
      <c r="P173" s="6" t="s">
        <v>39</v>
      </c>
      <c r="Q173" s="8" t="s">
        <v>40</v>
      </c>
      <c r="R173" s="10" t="s">
        <v>1237</v>
      </c>
      <c r="S173" s="11"/>
      <c r="T173" s="6"/>
      <c r="U173" s="15" t="str">
        <f>HYPERLINK("https://media.infra-m.ru/2037/2037423/cover/2037423.jpg", "Обложка")</f>
        <v>Обложка</v>
      </c>
      <c r="V173" s="8" t="s">
        <v>227</v>
      </c>
      <c r="W173" s="6"/>
      <c r="X173" s="6"/>
      <c r="Y173" s="6"/>
      <c r="Z173" s="6"/>
      <c r="AA173" s="6" t="s">
        <v>115</v>
      </c>
      <c r="AB173" s="8"/>
      <c r="AC173" s="27">
        <v>9785917686578</v>
      </c>
    </row>
    <row r="174" spans="1:29" s="4" customFormat="1" ht="51.9" customHeight="1" x14ac:dyDescent="0.2">
      <c r="A174" s="5">
        <v>0</v>
      </c>
      <c r="B174" s="6" t="s">
        <v>1238</v>
      </c>
      <c r="C174" s="7">
        <v>1000.8</v>
      </c>
      <c r="D174" s="8" t="s">
        <v>1239</v>
      </c>
      <c r="E174" s="8" t="s">
        <v>1240</v>
      </c>
      <c r="F174" s="8" t="s">
        <v>1241</v>
      </c>
      <c r="G174" s="6" t="s">
        <v>33</v>
      </c>
      <c r="H174" s="6" t="s">
        <v>34</v>
      </c>
      <c r="I174" s="8" t="s">
        <v>35</v>
      </c>
      <c r="J174" s="9">
        <v>1</v>
      </c>
      <c r="K174" s="9">
        <v>151</v>
      </c>
      <c r="L174" s="9">
        <v>2025</v>
      </c>
      <c r="M174" s="8" t="s">
        <v>1242</v>
      </c>
      <c r="N174" s="8" t="s">
        <v>37</v>
      </c>
      <c r="O174" s="8" t="s">
        <v>136</v>
      </c>
      <c r="P174" s="6" t="s">
        <v>39</v>
      </c>
      <c r="Q174" s="8" t="s">
        <v>40</v>
      </c>
      <c r="R174" s="10" t="s">
        <v>1230</v>
      </c>
      <c r="S174" s="11"/>
      <c r="T174" s="6"/>
      <c r="U174" s="15" t="str">
        <f>HYPERLINK("https://media.infra-m.ru/2206/2206550/cover/2206550.jpg", "Обложка")</f>
        <v>Обложка</v>
      </c>
      <c r="V174" s="8" t="s">
        <v>1243</v>
      </c>
      <c r="W174" s="6"/>
      <c r="X174" s="6"/>
      <c r="Y174" s="6"/>
      <c r="Z174" s="6"/>
      <c r="AA174" s="6" t="s">
        <v>76</v>
      </c>
      <c r="AB174" s="8"/>
      <c r="AC174" s="27">
        <v>9785160198576</v>
      </c>
    </row>
    <row r="175" spans="1:29" s="4" customFormat="1" ht="42" customHeight="1" x14ac:dyDescent="0.2">
      <c r="A175" s="5">
        <v>0</v>
      </c>
      <c r="B175" s="6" t="s">
        <v>1244</v>
      </c>
      <c r="C175" s="7">
        <v>3146.4</v>
      </c>
      <c r="D175" s="8" t="s">
        <v>1245</v>
      </c>
      <c r="E175" s="8" t="s">
        <v>1246</v>
      </c>
      <c r="F175" s="8" t="s">
        <v>1247</v>
      </c>
      <c r="G175" s="6" t="s">
        <v>60</v>
      </c>
      <c r="H175" s="6" t="s">
        <v>34</v>
      </c>
      <c r="I175" s="8" t="s">
        <v>1248</v>
      </c>
      <c r="J175" s="9">
        <v>1</v>
      </c>
      <c r="K175" s="9">
        <v>403</v>
      </c>
      <c r="L175" s="9">
        <v>2025</v>
      </c>
      <c r="M175" s="8" t="s">
        <v>1249</v>
      </c>
      <c r="N175" s="8" t="s">
        <v>37</v>
      </c>
      <c r="O175" s="8" t="s">
        <v>136</v>
      </c>
      <c r="P175" s="6" t="s">
        <v>51</v>
      </c>
      <c r="Q175" s="8" t="s">
        <v>65</v>
      </c>
      <c r="R175" s="10" t="s">
        <v>1224</v>
      </c>
      <c r="S175" s="11"/>
      <c r="T175" s="6"/>
      <c r="U175" s="15" t="str">
        <f>HYPERLINK("https://media.infra-m.ru/2162/2162078/cover/2162078.jpg", "Обложка")</f>
        <v>Обложка</v>
      </c>
      <c r="V175" s="8" t="s">
        <v>1083</v>
      </c>
      <c r="W175" s="6"/>
      <c r="X175" s="6"/>
      <c r="Y175" s="6"/>
      <c r="Z175" s="6"/>
      <c r="AA175" s="6" t="s">
        <v>68</v>
      </c>
      <c r="AB175" s="8"/>
      <c r="AC175" s="27">
        <v>9785160201818</v>
      </c>
    </row>
    <row r="176" spans="1:29" s="4" customFormat="1" ht="42" customHeight="1" x14ac:dyDescent="0.2">
      <c r="A176" s="5">
        <v>0</v>
      </c>
      <c r="B176" s="6" t="s">
        <v>1250</v>
      </c>
      <c r="C176" s="7">
        <v>1584</v>
      </c>
      <c r="D176" s="8" t="s">
        <v>1251</v>
      </c>
      <c r="E176" s="8" t="s">
        <v>1252</v>
      </c>
      <c r="F176" s="8" t="s">
        <v>1253</v>
      </c>
      <c r="G176" s="6" t="s">
        <v>118</v>
      </c>
      <c r="H176" s="6" t="s">
        <v>134</v>
      </c>
      <c r="I176" s="8"/>
      <c r="J176" s="9">
        <v>1</v>
      </c>
      <c r="K176" s="9">
        <v>248</v>
      </c>
      <c r="L176" s="9">
        <v>2026</v>
      </c>
      <c r="M176" s="8" t="s">
        <v>1254</v>
      </c>
      <c r="N176" s="8" t="s">
        <v>37</v>
      </c>
      <c r="O176" s="8" t="s">
        <v>136</v>
      </c>
      <c r="P176" s="6" t="s">
        <v>51</v>
      </c>
      <c r="Q176" s="8" t="s">
        <v>52</v>
      </c>
      <c r="R176" s="10" t="s">
        <v>1255</v>
      </c>
      <c r="S176" s="11"/>
      <c r="T176" s="6"/>
      <c r="U176" s="15" t="str">
        <f>HYPERLINK("https://media.infra-m.ru/2221/2221486/cover/2221486.jpg", "Обложка")</f>
        <v>Обложка</v>
      </c>
      <c r="V176" s="8" t="s">
        <v>1184</v>
      </c>
      <c r="W176" s="6"/>
      <c r="X176" s="6"/>
      <c r="Y176" s="6"/>
      <c r="Z176" s="6"/>
      <c r="AA176" s="6" t="s">
        <v>1256</v>
      </c>
      <c r="AB176" s="8"/>
      <c r="AC176" s="27">
        <v>9785001560807</v>
      </c>
    </row>
    <row r="177" spans="1:29" s="4" customFormat="1" ht="42" customHeight="1" x14ac:dyDescent="0.2">
      <c r="A177" s="5">
        <v>0</v>
      </c>
      <c r="B177" s="6" t="s">
        <v>1257</v>
      </c>
      <c r="C177" s="7">
        <v>1152</v>
      </c>
      <c r="D177" s="8" t="s">
        <v>1258</v>
      </c>
      <c r="E177" s="8" t="s">
        <v>1259</v>
      </c>
      <c r="F177" s="8" t="s">
        <v>1260</v>
      </c>
      <c r="G177" s="6" t="s">
        <v>60</v>
      </c>
      <c r="H177" s="6" t="s">
        <v>34</v>
      </c>
      <c r="I177" s="8" t="s">
        <v>253</v>
      </c>
      <c r="J177" s="9">
        <v>1</v>
      </c>
      <c r="K177" s="9">
        <v>179</v>
      </c>
      <c r="L177" s="9">
        <v>2025</v>
      </c>
      <c r="M177" s="8" t="s">
        <v>1261</v>
      </c>
      <c r="N177" s="8" t="s">
        <v>37</v>
      </c>
      <c r="O177" s="8" t="s">
        <v>136</v>
      </c>
      <c r="P177" s="6" t="s">
        <v>306</v>
      </c>
      <c r="Q177" s="8" t="s">
        <v>65</v>
      </c>
      <c r="R177" s="10" t="s">
        <v>1262</v>
      </c>
      <c r="S177" s="11"/>
      <c r="T177" s="6"/>
      <c r="U177" s="15" t="str">
        <f>HYPERLINK("https://media.infra-m.ru/2134/2134524/cover/2134524.jpg", "Обложка")</f>
        <v>Обложка</v>
      </c>
      <c r="V177" s="8" t="s">
        <v>1263</v>
      </c>
      <c r="W177" s="6"/>
      <c r="X177" s="6"/>
      <c r="Y177" s="6"/>
      <c r="Z177" s="6"/>
      <c r="AA177" s="6" t="s">
        <v>68</v>
      </c>
      <c r="AB177" s="8"/>
      <c r="AC177" s="27">
        <v>9785160197241</v>
      </c>
    </row>
    <row r="178" spans="1:29" s="4" customFormat="1" ht="51.9" customHeight="1" x14ac:dyDescent="0.2">
      <c r="A178" s="5">
        <v>0</v>
      </c>
      <c r="B178" s="6" t="s">
        <v>1264</v>
      </c>
      <c r="C178" s="7">
        <v>3396</v>
      </c>
      <c r="D178" s="8" t="s">
        <v>1265</v>
      </c>
      <c r="E178" s="8" t="s">
        <v>1266</v>
      </c>
      <c r="F178" s="8" t="s">
        <v>1267</v>
      </c>
      <c r="G178" s="6" t="s">
        <v>60</v>
      </c>
      <c r="H178" s="6" t="s">
        <v>34</v>
      </c>
      <c r="I178" s="8" t="s">
        <v>253</v>
      </c>
      <c r="J178" s="9">
        <v>1</v>
      </c>
      <c r="K178" s="9">
        <v>502</v>
      </c>
      <c r="L178" s="9">
        <v>2026</v>
      </c>
      <c r="M178" s="8" t="s">
        <v>1268</v>
      </c>
      <c r="N178" s="8" t="s">
        <v>37</v>
      </c>
      <c r="O178" s="8" t="s">
        <v>136</v>
      </c>
      <c r="P178" s="6" t="s">
        <v>306</v>
      </c>
      <c r="Q178" s="8" t="s">
        <v>52</v>
      </c>
      <c r="R178" s="10" t="s">
        <v>1269</v>
      </c>
      <c r="S178" s="11"/>
      <c r="T178" s="6"/>
      <c r="U178" s="15" t="str">
        <f>HYPERLINK("https://media.infra-m.ru/2235/2235401/cover/2235401.jpg", "Обложка")</f>
        <v>Обложка</v>
      </c>
      <c r="V178" s="8" t="s">
        <v>1212</v>
      </c>
      <c r="W178" s="6" t="s">
        <v>299</v>
      </c>
      <c r="X178" s="6"/>
      <c r="Y178" s="6"/>
      <c r="Z178" s="6"/>
      <c r="AA178" s="6" t="s">
        <v>187</v>
      </c>
      <c r="AB178" s="8" t="s">
        <v>308</v>
      </c>
      <c r="AC178" s="27">
        <v>9785160216874</v>
      </c>
    </row>
    <row r="179" spans="1:29" s="4" customFormat="1" ht="51.9" customHeight="1" x14ac:dyDescent="0.2">
      <c r="A179" s="5">
        <v>0</v>
      </c>
      <c r="B179" s="6" t="s">
        <v>1270</v>
      </c>
      <c r="C179" s="7">
        <v>1589.9</v>
      </c>
      <c r="D179" s="8" t="s">
        <v>1271</v>
      </c>
      <c r="E179" s="8" t="s">
        <v>1272</v>
      </c>
      <c r="F179" s="8" t="s">
        <v>1273</v>
      </c>
      <c r="G179" s="6" t="s">
        <v>118</v>
      </c>
      <c r="H179" s="6" t="s">
        <v>34</v>
      </c>
      <c r="I179" s="8" t="s">
        <v>271</v>
      </c>
      <c r="J179" s="9">
        <v>1</v>
      </c>
      <c r="K179" s="9">
        <v>293</v>
      </c>
      <c r="L179" s="9">
        <v>2023</v>
      </c>
      <c r="M179" s="8" t="s">
        <v>1274</v>
      </c>
      <c r="N179" s="8" t="s">
        <v>37</v>
      </c>
      <c r="O179" s="8" t="s">
        <v>136</v>
      </c>
      <c r="P179" s="6" t="s">
        <v>51</v>
      </c>
      <c r="Q179" s="8" t="s">
        <v>52</v>
      </c>
      <c r="R179" s="10" t="s">
        <v>1275</v>
      </c>
      <c r="S179" s="11" t="s">
        <v>1276</v>
      </c>
      <c r="T179" s="6"/>
      <c r="U179" s="15" t="str">
        <f>HYPERLINK("https://media.infra-m.ru/1921/1921424/cover/1921424.jpg", "Обложка")</f>
        <v>Обложка</v>
      </c>
      <c r="V179" s="8" t="s">
        <v>1277</v>
      </c>
      <c r="W179" s="6"/>
      <c r="X179" s="6"/>
      <c r="Y179" s="6"/>
      <c r="Z179" s="6"/>
      <c r="AA179" s="6" t="s">
        <v>1256</v>
      </c>
      <c r="AB179" s="8"/>
      <c r="AC179" s="27">
        <v>9785160151298</v>
      </c>
    </row>
    <row r="180" spans="1:29" s="4" customFormat="1" ht="51.9" customHeight="1" x14ac:dyDescent="0.2">
      <c r="A180" s="5">
        <v>0</v>
      </c>
      <c r="B180" s="6" t="s">
        <v>1278</v>
      </c>
      <c r="C180" s="7">
        <v>2332.8000000000002</v>
      </c>
      <c r="D180" s="8" t="s">
        <v>1279</v>
      </c>
      <c r="E180" s="8" t="s">
        <v>1280</v>
      </c>
      <c r="F180" s="8" t="s">
        <v>1281</v>
      </c>
      <c r="G180" s="6" t="s">
        <v>60</v>
      </c>
      <c r="H180" s="6" t="s">
        <v>34</v>
      </c>
      <c r="I180" s="8" t="s">
        <v>253</v>
      </c>
      <c r="J180" s="9">
        <v>1</v>
      </c>
      <c r="K180" s="9">
        <v>335</v>
      </c>
      <c r="L180" s="9">
        <v>2027</v>
      </c>
      <c r="M180" s="8" t="s">
        <v>1282</v>
      </c>
      <c r="N180" s="8" t="s">
        <v>37</v>
      </c>
      <c r="O180" s="8" t="s">
        <v>136</v>
      </c>
      <c r="P180" s="6" t="s">
        <v>51</v>
      </c>
      <c r="Q180" s="8" t="s">
        <v>52</v>
      </c>
      <c r="R180" s="10" t="s">
        <v>1275</v>
      </c>
      <c r="S180" s="11"/>
      <c r="T180" s="6"/>
      <c r="U180" s="15" t="str">
        <f>HYPERLINK("https://media.infra-m.ru/2270/2270175/cover/2270175.jpg", "Обложка")</f>
        <v>Обложка</v>
      </c>
      <c r="V180" s="8" t="s">
        <v>1277</v>
      </c>
      <c r="W180" s="6"/>
      <c r="X180" s="6"/>
      <c r="Y180" s="6"/>
      <c r="Z180" s="6"/>
      <c r="AA180" s="6" t="s">
        <v>917</v>
      </c>
      <c r="AB180" s="8"/>
      <c r="AC180" s="27">
        <v>9785160202693</v>
      </c>
    </row>
    <row r="181" spans="1:29" s="4" customFormat="1" ht="51.9" customHeight="1" x14ac:dyDescent="0.2">
      <c r="A181" s="5">
        <v>0</v>
      </c>
      <c r="B181" s="6" t="s">
        <v>1283</v>
      </c>
      <c r="C181" s="13">
        <v>888</v>
      </c>
      <c r="D181" s="8" t="s">
        <v>1284</v>
      </c>
      <c r="E181" s="8" t="s">
        <v>1285</v>
      </c>
      <c r="F181" s="8" t="s">
        <v>1286</v>
      </c>
      <c r="G181" s="6" t="s">
        <v>60</v>
      </c>
      <c r="H181" s="6" t="s">
        <v>134</v>
      </c>
      <c r="I181" s="8"/>
      <c r="J181" s="9">
        <v>1</v>
      </c>
      <c r="K181" s="9">
        <v>160</v>
      </c>
      <c r="L181" s="9">
        <v>2019</v>
      </c>
      <c r="M181" s="8" t="s">
        <v>1287</v>
      </c>
      <c r="N181" s="8" t="s">
        <v>37</v>
      </c>
      <c r="O181" s="8" t="s">
        <v>136</v>
      </c>
      <c r="P181" s="6" t="s">
        <v>39</v>
      </c>
      <c r="Q181" s="8" t="s">
        <v>40</v>
      </c>
      <c r="R181" s="10" t="s">
        <v>1288</v>
      </c>
      <c r="S181" s="11"/>
      <c r="T181" s="6"/>
      <c r="U181" s="15" t="str">
        <f>HYPERLINK("https://media.infra-m.ru/1027/1027422/cover/1027422.jpg", "Обложка")</f>
        <v>Обложка</v>
      </c>
      <c r="V181" s="8" t="s">
        <v>677</v>
      </c>
      <c r="W181" s="6"/>
      <c r="X181" s="6"/>
      <c r="Y181" s="6"/>
      <c r="Z181" s="6"/>
      <c r="AA181" s="6" t="s">
        <v>86</v>
      </c>
      <c r="AB181" s="8"/>
      <c r="AC181" s="27">
        <v>9785917689470</v>
      </c>
    </row>
    <row r="182" spans="1:29" s="4" customFormat="1" ht="51.9" customHeight="1" x14ac:dyDescent="0.2">
      <c r="A182" s="5">
        <v>0</v>
      </c>
      <c r="B182" s="6" t="s">
        <v>1289</v>
      </c>
      <c r="C182" s="7">
        <v>2476.8000000000002</v>
      </c>
      <c r="D182" s="8" t="s">
        <v>1290</v>
      </c>
      <c r="E182" s="8" t="s">
        <v>1291</v>
      </c>
      <c r="F182" s="8" t="s">
        <v>1253</v>
      </c>
      <c r="G182" s="6" t="s">
        <v>118</v>
      </c>
      <c r="H182" s="6" t="s">
        <v>134</v>
      </c>
      <c r="I182" s="8"/>
      <c r="J182" s="9">
        <v>1</v>
      </c>
      <c r="K182" s="9">
        <v>376</v>
      </c>
      <c r="L182" s="9">
        <v>2026</v>
      </c>
      <c r="M182" s="8" t="s">
        <v>1292</v>
      </c>
      <c r="N182" s="8" t="s">
        <v>37</v>
      </c>
      <c r="O182" s="8" t="s">
        <v>136</v>
      </c>
      <c r="P182" s="6" t="s">
        <v>1293</v>
      </c>
      <c r="Q182" s="8" t="s">
        <v>52</v>
      </c>
      <c r="R182" s="10" t="s">
        <v>1294</v>
      </c>
      <c r="S182" s="11"/>
      <c r="T182" s="6"/>
      <c r="U182" s="15" t="str">
        <f>HYPERLINK("https://media.infra-m.ru/2244/2244249/cover/2244249.jpg", "Обложка")</f>
        <v>Обложка</v>
      </c>
      <c r="V182" s="8" t="s">
        <v>1184</v>
      </c>
      <c r="W182" s="6"/>
      <c r="X182" s="6"/>
      <c r="Y182" s="6"/>
      <c r="Z182" s="6"/>
      <c r="AA182" s="6" t="s">
        <v>1295</v>
      </c>
      <c r="AB182" s="8"/>
      <c r="AC182" s="27">
        <v>9785001563976</v>
      </c>
    </row>
    <row r="183" spans="1:29" s="4" customFormat="1" ht="51.9" customHeight="1" x14ac:dyDescent="0.2">
      <c r="A183" s="5">
        <v>0</v>
      </c>
      <c r="B183" s="6" t="s">
        <v>1296</v>
      </c>
      <c r="C183" s="7">
        <v>1901.9</v>
      </c>
      <c r="D183" s="8" t="s">
        <v>1297</v>
      </c>
      <c r="E183" s="8" t="s">
        <v>1298</v>
      </c>
      <c r="F183" s="8" t="s">
        <v>1253</v>
      </c>
      <c r="G183" s="6" t="s">
        <v>118</v>
      </c>
      <c r="H183" s="6" t="s">
        <v>134</v>
      </c>
      <c r="I183" s="8"/>
      <c r="J183" s="9">
        <v>1</v>
      </c>
      <c r="K183" s="9">
        <v>352</v>
      </c>
      <c r="L183" s="9">
        <v>2023</v>
      </c>
      <c r="M183" s="8" t="s">
        <v>1299</v>
      </c>
      <c r="N183" s="8" t="s">
        <v>37</v>
      </c>
      <c r="O183" s="8" t="s">
        <v>136</v>
      </c>
      <c r="P183" s="6" t="s">
        <v>1293</v>
      </c>
      <c r="Q183" s="8" t="s">
        <v>52</v>
      </c>
      <c r="R183" s="10" t="s">
        <v>1294</v>
      </c>
      <c r="S183" s="11"/>
      <c r="T183" s="6"/>
      <c r="U183" s="15" t="str">
        <f>HYPERLINK("https://media.infra-m.ru/2041/2041710/cover/2041710.jpg", "Обложка")</f>
        <v>Обложка</v>
      </c>
      <c r="V183" s="8" t="s">
        <v>1184</v>
      </c>
      <c r="W183" s="6"/>
      <c r="X183" s="6"/>
      <c r="Y183" s="6"/>
      <c r="Z183" s="6"/>
      <c r="AA183" s="6" t="s">
        <v>896</v>
      </c>
      <c r="AB183" s="8"/>
      <c r="AC183" s="27">
        <v>9785001561880</v>
      </c>
    </row>
    <row r="184" spans="1:29" s="4" customFormat="1" ht="42" customHeight="1" x14ac:dyDescent="0.2">
      <c r="A184" s="5">
        <v>0</v>
      </c>
      <c r="B184" s="6" t="s">
        <v>1300</v>
      </c>
      <c r="C184" s="7">
        <v>2112</v>
      </c>
      <c r="D184" s="8" t="s">
        <v>1301</v>
      </c>
      <c r="E184" s="8" t="s">
        <v>1298</v>
      </c>
      <c r="F184" s="8" t="s">
        <v>1253</v>
      </c>
      <c r="G184" s="6" t="s">
        <v>118</v>
      </c>
      <c r="H184" s="6" t="s">
        <v>134</v>
      </c>
      <c r="I184" s="8" t="s">
        <v>263</v>
      </c>
      <c r="J184" s="9">
        <v>1</v>
      </c>
      <c r="K184" s="9">
        <v>352</v>
      </c>
      <c r="L184" s="9">
        <v>2025</v>
      </c>
      <c r="M184" s="8" t="s">
        <v>1302</v>
      </c>
      <c r="N184" s="8" t="s">
        <v>37</v>
      </c>
      <c r="O184" s="8" t="s">
        <v>136</v>
      </c>
      <c r="P184" s="6" t="s">
        <v>51</v>
      </c>
      <c r="Q184" s="8" t="s">
        <v>265</v>
      </c>
      <c r="R184" s="10" t="s">
        <v>479</v>
      </c>
      <c r="S184" s="11"/>
      <c r="T184" s="6"/>
      <c r="U184" s="15" t="str">
        <f>HYPERLINK("https://media.infra-m.ru/2163/2163182/cover/2163182.jpg", "Обложка")</f>
        <v>Обложка</v>
      </c>
      <c r="V184" s="8" t="s">
        <v>1184</v>
      </c>
      <c r="W184" s="6"/>
      <c r="X184" s="6" t="s">
        <v>24</v>
      </c>
      <c r="Y184" s="6"/>
      <c r="Z184" s="6" t="s">
        <v>267</v>
      </c>
      <c r="AA184" s="6" t="s">
        <v>1303</v>
      </c>
      <c r="AB184" s="8"/>
      <c r="AC184" s="27">
        <v>9785001563068</v>
      </c>
    </row>
    <row r="185" spans="1:29" s="4" customFormat="1" ht="42" customHeight="1" x14ac:dyDescent="0.2">
      <c r="A185" s="5">
        <v>0</v>
      </c>
      <c r="B185" s="6" t="s">
        <v>1304</v>
      </c>
      <c r="C185" s="7">
        <v>2748</v>
      </c>
      <c r="D185" s="8" t="s">
        <v>1305</v>
      </c>
      <c r="E185" s="8" t="s">
        <v>1291</v>
      </c>
      <c r="F185" s="8" t="s">
        <v>1253</v>
      </c>
      <c r="G185" s="6" t="s">
        <v>118</v>
      </c>
      <c r="H185" s="6" t="s">
        <v>134</v>
      </c>
      <c r="I185" s="8" t="s">
        <v>263</v>
      </c>
      <c r="J185" s="9">
        <v>1</v>
      </c>
      <c r="K185" s="9">
        <v>376</v>
      </c>
      <c r="L185" s="9">
        <v>2026</v>
      </c>
      <c r="M185" s="8" t="s">
        <v>1306</v>
      </c>
      <c r="N185" s="8" t="s">
        <v>37</v>
      </c>
      <c r="O185" s="8" t="s">
        <v>136</v>
      </c>
      <c r="P185" s="6" t="s">
        <v>51</v>
      </c>
      <c r="Q185" s="8" t="s">
        <v>265</v>
      </c>
      <c r="R185" s="10" t="s">
        <v>479</v>
      </c>
      <c r="S185" s="11"/>
      <c r="T185" s="6"/>
      <c r="U185" s="15" t="str">
        <f>HYPERLINK("https://media.infra-m.ru/2235/2235904/cover/2235904.jpg", "Обложка")</f>
        <v>Обложка</v>
      </c>
      <c r="V185" s="8" t="s">
        <v>1184</v>
      </c>
      <c r="W185" s="6"/>
      <c r="X185" s="6" t="s">
        <v>24</v>
      </c>
      <c r="Y185" s="6"/>
      <c r="Z185" s="6" t="s">
        <v>267</v>
      </c>
      <c r="AA185" s="6" t="s">
        <v>1295</v>
      </c>
      <c r="AB185" s="8"/>
      <c r="AC185" s="27">
        <v>9785001563969</v>
      </c>
    </row>
    <row r="186" spans="1:29" s="4" customFormat="1" ht="51.9" customHeight="1" x14ac:dyDescent="0.2">
      <c r="A186" s="5">
        <v>0</v>
      </c>
      <c r="B186" s="6" t="s">
        <v>1307</v>
      </c>
      <c r="C186" s="7">
        <v>1524</v>
      </c>
      <c r="D186" s="8" t="s">
        <v>1308</v>
      </c>
      <c r="E186" s="8" t="s">
        <v>1309</v>
      </c>
      <c r="F186" s="8" t="s">
        <v>1253</v>
      </c>
      <c r="G186" s="6" t="s">
        <v>118</v>
      </c>
      <c r="H186" s="6" t="s">
        <v>134</v>
      </c>
      <c r="I186" s="8"/>
      <c r="J186" s="9">
        <v>1</v>
      </c>
      <c r="K186" s="9">
        <v>352</v>
      </c>
      <c r="L186" s="9">
        <v>2021</v>
      </c>
      <c r="M186" s="8" t="s">
        <v>1310</v>
      </c>
      <c r="N186" s="8" t="s">
        <v>37</v>
      </c>
      <c r="O186" s="8" t="s">
        <v>136</v>
      </c>
      <c r="P186" s="6" t="s">
        <v>1293</v>
      </c>
      <c r="Q186" s="8" t="s">
        <v>52</v>
      </c>
      <c r="R186" s="10" t="s">
        <v>1294</v>
      </c>
      <c r="S186" s="11"/>
      <c r="T186" s="6"/>
      <c r="U186" s="15" t="str">
        <f>HYPERLINK("https://media.infra-m.ru/1222/1222790/cover/1222790.jpg", "Обложка")</f>
        <v>Обложка</v>
      </c>
      <c r="V186" s="8" t="s">
        <v>1184</v>
      </c>
      <c r="W186" s="6"/>
      <c r="X186" s="6"/>
      <c r="Y186" s="6"/>
      <c r="Z186" s="6"/>
      <c r="AA186" s="6" t="s">
        <v>99</v>
      </c>
      <c r="AB186" s="8"/>
      <c r="AC186" s="27">
        <v>9785917688428</v>
      </c>
    </row>
    <row r="187" spans="1:29" s="4" customFormat="1" ht="51.9" customHeight="1" x14ac:dyDescent="0.2">
      <c r="A187" s="5">
        <v>0</v>
      </c>
      <c r="B187" s="6" t="s">
        <v>1311</v>
      </c>
      <c r="C187" s="7">
        <v>1800</v>
      </c>
      <c r="D187" s="8" t="s">
        <v>1312</v>
      </c>
      <c r="E187" s="8" t="s">
        <v>1313</v>
      </c>
      <c r="F187" s="8" t="s">
        <v>1314</v>
      </c>
      <c r="G187" s="6" t="s">
        <v>60</v>
      </c>
      <c r="H187" s="6" t="s">
        <v>313</v>
      </c>
      <c r="I187" s="8" t="s">
        <v>253</v>
      </c>
      <c r="J187" s="9">
        <v>1</v>
      </c>
      <c r="K187" s="9">
        <v>287</v>
      </c>
      <c r="L187" s="9">
        <v>2025</v>
      </c>
      <c r="M187" s="8" t="s">
        <v>1315</v>
      </c>
      <c r="N187" s="8" t="s">
        <v>37</v>
      </c>
      <c r="O187" s="8" t="s">
        <v>136</v>
      </c>
      <c r="P187" s="6" t="s">
        <v>306</v>
      </c>
      <c r="Q187" s="8" t="s">
        <v>65</v>
      </c>
      <c r="R187" s="10" t="s">
        <v>1316</v>
      </c>
      <c r="S187" s="11"/>
      <c r="T187" s="6"/>
      <c r="U187" s="15" t="str">
        <f>HYPERLINK("https://media.infra-m.ru/2166/2166767/cover/2166767.jpg", "Обложка")</f>
        <v>Обложка</v>
      </c>
      <c r="V187" s="8" t="s">
        <v>396</v>
      </c>
      <c r="W187" s="6"/>
      <c r="X187" s="6" t="s">
        <v>24</v>
      </c>
      <c r="Y187" s="6"/>
      <c r="Z187" s="6"/>
      <c r="AA187" s="6" t="s">
        <v>1295</v>
      </c>
      <c r="AB187" s="8" t="s">
        <v>1317</v>
      </c>
      <c r="AC187" s="27">
        <v>9785369019771</v>
      </c>
    </row>
    <row r="188" spans="1:29" s="4" customFormat="1" ht="51.9" customHeight="1" x14ac:dyDescent="0.2">
      <c r="A188" s="5">
        <v>0</v>
      </c>
      <c r="B188" s="6" t="s">
        <v>1318</v>
      </c>
      <c r="C188" s="7">
        <v>1968</v>
      </c>
      <c r="D188" s="8" t="s">
        <v>1319</v>
      </c>
      <c r="E188" s="8" t="s">
        <v>1320</v>
      </c>
      <c r="F188" s="8" t="s">
        <v>1321</v>
      </c>
      <c r="G188" s="6" t="s">
        <v>60</v>
      </c>
      <c r="H188" s="6" t="s">
        <v>313</v>
      </c>
      <c r="I188" s="8" t="s">
        <v>253</v>
      </c>
      <c r="J188" s="9">
        <v>1</v>
      </c>
      <c r="K188" s="9">
        <v>298</v>
      </c>
      <c r="L188" s="9">
        <v>2026</v>
      </c>
      <c r="M188" s="8" t="s">
        <v>1322</v>
      </c>
      <c r="N188" s="8" t="s">
        <v>37</v>
      </c>
      <c r="O188" s="8" t="s">
        <v>136</v>
      </c>
      <c r="P188" s="6" t="s">
        <v>306</v>
      </c>
      <c r="Q188" s="8" t="s">
        <v>65</v>
      </c>
      <c r="R188" s="10" t="s">
        <v>1316</v>
      </c>
      <c r="S188" s="11"/>
      <c r="T188" s="6"/>
      <c r="U188" s="15" t="str">
        <f>HYPERLINK("https://media.infra-m.ru/2237/2237118/cover/2237118.jpg", "Обложка")</f>
        <v>Обложка</v>
      </c>
      <c r="V188" s="8" t="s">
        <v>396</v>
      </c>
      <c r="W188" s="6" t="s">
        <v>299</v>
      </c>
      <c r="X188" s="6" t="s">
        <v>24</v>
      </c>
      <c r="Y188" s="6"/>
      <c r="Z188" s="6"/>
      <c r="AA188" s="6" t="s">
        <v>1323</v>
      </c>
      <c r="AB188" s="8" t="s">
        <v>1317</v>
      </c>
      <c r="AC188" s="27">
        <v>9785369030011</v>
      </c>
    </row>
    <row r="189" spans="1:29" s="4" customFormat="1" ht="51.9" customHeight="1" x14ac:dyDescent="0.2">
      <c r="A189" s="5">
        <v>0</v>
      </c>
      <c r="B189" s="6" t="s">
        <v>1324</v>
      </c>
      <c r="C189" s="7">
        <v>2700</v>
      </c>
      <c r="D189" s="8" t="s">
        <v>1325</v>
      </c>
      <c r="E189" s="8" t="s">
        <v>1326</v>
      </c>
      <c r="F189" s="8" t="s">
        <v>1327</v>
      </c>
      <c r="G189" s="6" t="s">
        <v>118</v>
      </c>
      <c r="H189" s="6" t="s">
        <v>313</v>
      </c>
      <c r="I189" s="8" t="s">
        <v>253</v>
      </c>
      <c r="J189" s="9">
        <v>1</v>
      </c>
      <c r="K189" s="9">
        <v>499</v>
      </c>
      <c r="L189" s="9">
        <v>2019</v>
      </c>
      <c r="M189" s="8" t="s">
        <v>1328</v>
      </c>
      <c r="N189" s="8" t="s">
        <v>37</v>
      </c>
      <c r="O189" s="8" t="s">
        <v>136</v>
      </c>
      <c r="P189" s="6" t="s">
        <v>306</v>
      </c>
      <c r="Q189" s="8" t="s">
        <v>500</v>
      </c>
      <c r="R189" s="10" t="s">
        <v>1316</v>
      </c>
      <c r="S189" s="11"/>
      <c r="T189" s="6"/>
      <c r="U189" s="15" t="str">
        <f>HYPERLINK("https://media.infra-m.ru/1941/1941743/cover/1941743.jpg", "Обложка")</f>
        <v>Обложка</v>
      </c>
      <c r="V189" s="8" t="s">
        <v>396</v>
      </c>
      <c r="W189" s="6"/>
      <c r="X189" s="6" t="s">
        <v>24</v>
      </c>
      <c r="Y189" s="6"/>
      <c r="Z189" s="6"/>
      <c r="AA189" s="6" t="s">
        <v>115</v>
      </c>
      <c r="AB189" s="8" t="s">
        <v>1317</v>
      </c>
      <c r="AC189" s="27">
        <v>9785369017982</v>
      </c>
    </row>
    <row r="190" spans="1:29" s="4" customFormat="1" ht="51.9" customHeight="1" x14ac:dyDescent="0.2">
      <c r="A190" s="5">
        <v>0</v>
      </c>
      <c r="B190" s="6" t="s">
        <v>1329</v>
      </c>
      <c r="C190" s="7">
        <v>1636.8</v>
      </c>
      <c r="D190" s="8" t="s">
        <v>1330</v>
      </c>
      <c r="E190" s="8" t="s">
        <v>1331</v>
      </c>
      <c r="F190" s="8" t="s">
        <v>1327</v>
      </c>
      <c r="G190" s="6" t="s">
        <v>118</v>
      </c>
      <c r="H190" s="6" t="s">
        <v>313</v>
      </c>
      <c r="I190" s="8" t="s">
        <v>253</v>
      </c>
      <c r="J190" s="9">
        <v>1</v>
      </c>
      <c r="K190" s="9">
        <v>285</v>
      </c>
      <c r="L190" s="9">
        <v>2024</v>
      </c>
      <c r="M190" s="8" t="s">
        <v>1332</v>
      </c>
      <c r="N190" s="8" t="s">
        <v>37</v>
      </c>
      <c r="O190" s="8" t="s">
        <v>136</v>
      </c>
      <c r="P190" s="6" t="s">
        <v>306</v>
      </c>
      <c r="Q190" s="8" t="s">
        <v>500</v>
      </c>
      <c r="R190" s="10" t="s">
        <v>1316</v>
      </c>
      <c r="S190" s="11"/>
      <c r="T190" s="6"/>
      <c r="U190" s="15" t="str">
        <f>HYPERLINK("https://media.infra-m.ru/2140/2140287/cover/2140287.jpg", "Обложка")</f>
        <v>Обложка</v>
      </c>
      <c r="V190" s="8" t="s">
        <v>396</v>
      </c>
      <c r="W190" s="6"/>
      <c r="X190" s="6" t="s">
        <v>24</v>
      </c>
      <c r="Y190" s="6"/>
      <c r="Z190" s="6"/>
      <c r="AA190" s="6" t="s">
        <v>1303</v>
      </c>
      <c r="AB190" s="8" t="s">
        <v>1317</v>
      </c>
      <c r="AC190" s="27">
        <v>9785369019276</v>
      </c>
    </row>
    <row r="191" spans="1:29" s="4" customFormat="1" ht="51.9" customHeight="1" x14ac:dyDescent="0.2">
      <c r="A191" s="5">
        <v>0</v>
      </c>
      <c r="B191" s="6" t="s">
        <v>1333</v>
      </c>
      <c r="C191" s="7">
        <v>1240.8</v>
      </c>
      <c r="D191" s="8" t="s">
        <v>1334</v>
      </c>
      <c r="E191" s="8" t="s">
        <v>1335</v>
      </c>
      <c r="F191" s="8" t="s">
        <v>1336</v>
      </c>
      <c r="G191" s="6" t="s">
        <v>118</v>
      </c>
      <c r="H191" s="6" t="s">
        <v>34</v>
      </c>
      <c r="I191" s="8" t="s">
        <v>253</v>
      </c>
      <c r="J191" s="9">
        <v>1</v>
      </c>
      <c r="K191" s="9">
        <v>181</v>
      </c>
      <c r="L191" s="9">
        <v>2025</v>
      </c>
      <c r="M191" s="8" t="s">
        <v>1337</v>
      </c>
      <c r="N191" s="8" t="s">
        <v>37</v>
      </c>
      <c r="O191" s="8" t="s">
        <v>136</v>
      </c>
      <c r="P191" s="6" t="s">
        <v>51</v>
      </c>
      <c r="Q191" s="8" t="s">
        <v>52</v>
      </c>
      <c r="R191" s="10" t="s">
        <v>1076</v>
      </c>
      <c r="S191" s="11" t="s">
        <v>1338</v>
      </c>
      <c r="T191" s="6"/>
      <c r="U191" s="15" t="str">
        <f>HYPERLINK("https://media.infra-m.ru/2220/2220863/cover/2220863.jpg", "Обложка")</f>
        <v>Обложка</v>
      </c>
      <c r="V191" s="8" t="s">
        <v>1339</v>
      </c>
      <c r="W191" s="6"/>
      <c r="X191" s="6"/>
      <c r="Y191" s="6"/>
      <c r="Z191" s="6"/>
      <c r="AA191" s="6" t="s">
        <v>1256</v>
      </c>
      <c r="AB191" s="8"/>
      <c r="AC191" s="27">
        <v>9785160200095</v>
      </c>
    </row>
    <row r="192" spans="1:29" s="4" customFormat="1" ht="51.9" customHeight="1" x14ac:dyDescent="0.2">
      <c r="A192" s="5">
        <v>0</v>
      </c>
      <c r="B192" s="6" t="s">
        <v>1340</v>
      </c>
      <c r="C192" s="7">
        <v>1260</v>
      </c>
      <c r="D192" s="8" t="s">
        <v>1341</v>
      </c>
      <c r="E192" s="8" t="s">
        <v>1335</v>
      </c>
      <c r="F192" s="8" t="s">
        <v>1336</v>
      </c>
      <c r="G192" s="6" t="s">
        <v>118</v>
      </c>
      <c r="H192" s="6" t="s">
        <v>34</v>
      </c>
      <c r="I192" s="8" t="s">
        <v>263</v>
      </c>
      <c r="J192" s="9">
        <v>1</v>
      </c>
      <c r="K192" s="9">
        <v>181</v>
      </c>
      <c r="L192" s="9">
        <v>2027</v>
      </c>
      <c r="M192" s="8" t="s">
        <v>1342</v>
      </c>
      <c r="N192" s="8" t="s">
        <v>37</v>
      </c>
      <c r="O192" s="8" t="s">
        <v>136</v>
      </c>
      <c r="P192" s="6" t="s">
        <v>51</v>
      </c>
      <c r="Q192" s="8" t="s">
        <v>265</v>
      </c>
      <c r="R192" s="10" t="s">
        <v>479</v>
      </c>
      <c r="S192" s="11" t="s">
        <v>1343</v>
      </c>
      <c r="T192" s="6"/>
      <c r="U192" s="15" t="str">
        <f>HYPERLINK("https://media.infra-m.ru/2271/2271577/cover/2271577.jpg", "Обложка")</f>
        <v>Обложка</v>
      </c>
      <c r="V192" s="8" t="s">
        <v>1339</v>
      </c>
      <c r="W192" s="6"/>
      <c r="X192" s="6"/>
      <c r="Y192" s="6"/>
      <c r="Z192" s="6" t="s">
        <v>267</v>
      </c>
      <c r="AA192" s="6" t="s">
        <v>430</v>
      </c>
      <c r="AB192" s="8"/>
      <c r="AC192" s="27">
        <v>9785160169095</v>
      </c>
    </row>
    <row r="193" spans="1:29" s="4" customFormat="1" ht="51.9" customHeight="1" x14ac:dyDescent="0.2">
      <c r="A193" s="5">
        <v>0</v>
      </c>
      <c r="B193" s="6" t="s">
        <v>1344</v>
      </c>
      <c r="C193" s="7">
        <v>2748</v>
      </c>
      <c r="D193" s="8" t="s">
        <v>1345</v>
      </c>
      <c r="E193" s="8" t="s">
        <v>1346</v>
      </c>
      <c r="F193" s="8" t="s">
        <v>1347</v>
      </c>
      <c r="G193" s="6" t="s">
        <v>60</v>
      </c>
      <c r="H193" s="6" t="s">
        <v>34</v>
      </c>
      <c r="I193" s="8" t="s">
        <v>253</v>
      </c>
      <c r="J193" s="9">
        <v>1</v>
      </c>
      <c r="K193" s="9">
        <v>403</v>
      </c>
      <c r="L193" s="9">
        <v>2026</v>
      </c>
      <c r="M193" s="8" t="s">
        <v>1348</v>
      </c>
      <c r="N193" s="8" t="s">
        <v>37</v>
      </c>
      <c r="O193" s="8" t="s">
        <v>136</v>
      </c>
      <c r="P193" s="6" t="s">
        <v>306</v>
      </c>
      <c r="Q193" s="8" t="s">
        <v>1349</v>
      </c>
      <c r="R193" s="10" t="s">
        <v>1350</v>
      </c>
      <c r="S193" s="11"/>
      <c r="T193" s="6"/>
      <c r="U193" s="15" t="str">
        <f>HYPERLINK("https://media.infra-m.ru/2222/2222817/cover/2222817.jpg", "Обложка")</f>
        <v>Обложка</v>
      </c>
      <c r="V193" s="8" t="s">
        <v>1231</v>
      </c>
      <c r="W193" s="6" t="s">
        <v>528</v>
      </c>
      <c r="X193" s="6"/>
      <c r="Y193" s="6"/>
      <c r="Z193" s="6"/>
      <c r="AA193" s="6" t="s">
        <v>187</v>
      </c>
      <c r="AB193" s="8"/>
      <c r="AC193" s="27">
        <v>9785160213620</v>
      </c>
    </row>
    <row r="194" spans="1:29" s="4" customFormat="1" ht="51.9" customHeight="1" x14ac:dyDescent="0.2">
      <c r="A194" s="5">
        <v>0</v>
      </c>
      <c r="B194" s="6" t="s">
        <v>1351</v>
      </c>
      <c r="C194" s="7">
        <v>1560</v>
      </c>
      <c r="D194" s="8" t="s">
        <v>1352</v>
      </c>
      <c r="E194" s="8" t="s">
        <v>1353</v>
      </c>
      <c r="F194" s="8" t="s">
        <v>1354</v>
      </c>
      <c r="G194" s="6" t="s">
        <v>118</v>
      </c>
      <c r="H194" s="6" t="s">
        <v>134</v>
      </c>
      <c r="I194" s="8" t="s">
        <v>1355</v>
      </c>
      <c r="J194" s="9">
        <v>1</v>
      </c>
      <c r="K194" s="9">
        <v>224</v>
      </c>
      <c r="L194" s="9">
        <v>2025</v>
      </c>
      <c r="M194" s="8" t="s">
        <v>1356</v>
      </c>
      <c r="N194" s="8" t="s">
        <v>37</v>
      </c>
      <c r="O194" s="8" t="s">
        <v>136</v>
      </c>
      <c r="P194" s="6" t="s">
        <v>394</v>
      </c>
      <c r="Q194" s="8" t="s">
        <v>52</v>
      </c>
      <c r="R194" s="10" t="s">
        <v>1288</v>
      </c>
      <c r="S194" s="11"/>
      <c r="T194" s="6"/>
      <c r="U194" s="15" t="str">
        <f>HYPERLINK("https://media.infra-m.ru/2257/2257318/cover/2257318.jpg", "Обложка")</f>
        <v>Обложка</v>
      </c>
      <c r="V194" s="8" t="s">
        <v>1357</v>
      </c>
      <c r="W194" s="6"/>
      <c r="X194" s="6"/>
      <c r="Y194" s="6"/>
      <c r="Z194" s="6"/>
      <c r="AA194" s="6" t="s">
        <v>917</v>
      </c>
      <c r="AB194" s="8"/>
      <c r="AC194" s="27">
        <v>9785001564430</v>
      </c>
    </row>
    <row r="195" spans="1:29" s="4" customFormat="1" ht="51.9" customHeight="1" x14ac:dyDescent="0.2">
      <c r="A195" s="5">
        <v>0</v>
      </c>
      <c r="B195" s="6" t="s">
        <v>1358</v>
      </c>
      <c r="C195" s="7">
        <v>3948</v>
      </c>
      <c r="D195" s="8" t="s">
        <v>1359</v>
      </c>
      <c r="E195" s="8" t="s">
        <v>1360</v>
      </c>
      <c r="F195" s="8" t="s">
        <v>1361</v>
      </c>
      <c r="G195" s="6" t="s">
        <v>60</v>
      </c>
      <c r="H195" s="6" t="s">
        <v>34</v>
      </c>
      <c r="I195" s="8" t="s">
        <v>253</v>
      </c>
      <c r="J195" s="9">
        <v>1</v>
      </c>
      <c r="K195" s="9">
        <v>590</v>
      </c>
      <c r="L195" s="9">
        <v>2026</v>
      </c>
      <c r="M195" s="8" t="s">
        <v>1362</v>
      </c>
      <c r="N195" s="8" t="s">
        <v>37</v>
      </c>
      <c r="O195" s="8" t="s">
        <v>136</v>
      </c>
      <c r="P195" s="6" t="s">
        <v>51</v>
      </c>
      <c r="Q195" s="8" t="s">
        <v>65</v>
      </c>
      <c r="R195" s="10" t="s">
        <v>1363</v>
      </c>
      <c r="S195" s="11"/>
      <c r="T195" s="6"/>
      <c r="U195" s="15" t="str">
        <f>HYPERLINK("https://media.infra-m.ru/2230/2230804/cover/2230804.jpg", "Обложка")</f>
        <v>Обложка</v>
      </c>
      <c r="V195" s="8" t="s">
        <v>1277</v>
      </c>
      <c r="W195" s="6" t="s">
        <v>351</v>
      </c>
      <c r="X195" s="6"/>
      <c r="Y195" s="6"/>
      <c r="Z195" s="6"/>
      <c r="AA195" s="6" t="s">
        <v>187</v>
      </c>
      <c r="AB195" s="8" t="s">
        <v>308</v>
      </c>
      <c r="AC195" s="27">
        <v>9785160215594</v>
      </c>
    </row>
    <row r="196" spans="1:29" s="4" customFormat="1" ht="51.9" customHeight="1" x14ac:dyDescent="0.2">
      <c r="A196" s="5">
        <v>0</v>
      </c>
      <c r="B196" s="6" t="s">
        <v>1364</v>
      </c>
      <c r="C196" s="7">
        <v>1728</v>
      </c>
      <c r="D196" s="8" t="s">
        <v>1365</v>
      </c>
      <c r="E196" s="8" t="s">
        <v>1366</v>
      </c>
      <c r="F196" s="8" t="s">
        <v>1367</v>
      </c>
      <c r="G196" s="6" t="s">
        <v>118</v>
      </c>
      <c r="H196" s="6" t="s">
        <v>1042</v>
      </c>
      <c r="I196" s="8" t="s">
        <v>263</v>
      </c>
      <c r="J196" s="9">
        <v>1</v>
      </c>
      <c r="K196" s="9">
        <v>320</v>
      </c>
      <c r="L196" s="9">
        <v>2022</v>
      </c>
      <c r="M196" s="8" t="s">
        <v>1368</v>
      </c>
      <c r="N196" s="8" t="s">
        <v>37</v>
      </c>
      <c r="O196" s="8" t="s">
        <v>136</v>
      </c>
      <c r="P196" s="6" t="s">
        <v>306</v>
      </c>
      <c r="Q196" s="8" t="s">
        <v>265</v>
      </c>
      <c r="R196" s="10" t="s">
        <v>1369</v>
      </c>
      <c r="S196" s="11" t="s">
        <v>444</v>
      </c>
      <c r="T196" s="6"/>
      <c r="U196" s="15" t="str">
        <f>HYPERLINK("https://media.infra-m.ru/1897/1897880/cover/1897880.jpg", "Обложка")</f>
        <v>Обложка</v>
      </c>
      <c r="V196" s="8" t="s">
        <v>657</v>
      </c>
      <c r="W196" s="6"/>
      <c r="X196" s="6" t="s">
        <v>24</v>
      </c>
      <c r="Y196" s="6"/>
      <c r="Z196" s="6"/>
      <c r="AA196" s="6" t="s">
        <v>1037</v>
      </c>
      <c r="AB196" s="8"/>
      <c r="AC196" s="27">
        <v>9785819907269</v>
      </c>
    </row>
    <row r="197" spans="1:29" s="4" customFormat="1" ht="51.9" customHeight="1" x14ac:dyDescent="0.2">
      <c r="A197" s="5">
        <v>0</v>
      </c>
      <c r="B197" s="6" t="s">
        <v>1370</v>
      </c>
      <c r="C197" s="7">
        <v>2448</v>
      </c>
      <c r="D197" s="8" t="s">
        <v>1371</v>
      </c>
      <c r="E197" s="8" t="s">
        <v>1372</v>
      </c>
      <c r="F197" s="8" t="s">
        <v>1367</v>
      </c>
      <c r="G197" s="6" t="s">
        <v>118</v>
      </c>
      <c r="H197" s="6" t="s">
        <v>34</v>
      </c>
      <c r="I197" s="8" t="s">
        <v>263</v>
      </c>
      <c r="J197" s="9">
        <v>1</v>
      </c>
      <c r="K197" s="9">
        <v>333</v>
      </c>
      <c r="L197" s="9">
        <v>2026</v>
      </c>
      <c r="M197" s="8" t="s">
        <v>1373</v>
      </c>
      <c r="N197" s="8" t="s">
        <v>37</v>
      </c>
      <c r="O197" s="8" t="s">
        <v>136</v>
      </c>
      <c r="P197" s="6" t="s">
        <v>306</v>
      </c>
      <c r="Q197" s="8" t="s">
        <v>265</v>
      </c>
      <c r="R197" s="10" t="s">
        <v>1369</v>
      </c>
      <c r="S197" s="11" t="s">
        <v>1374</v>
      </c>
      <c r="T197" s="6"/>
      <c r="U197" s="15" t="str">
        <f>HYPERLINK("https://media.infra-m.ru/2234/2234714/cover/2234714.jpg", "Обложка")</f>
        <v>Обложка</v>
      </c>
      <c r="V197" s="8" t="s">
        <v>657</v>
      </c>
      <c r="W197" s="6"/>
      <c r="X197" s="6" t="s">
        <v>24</v>
      </c>
      <c r="Y197" s="6"/>
      <c r="Z197" s="6"/>
      <c r="AA197" s="6" t="s">
        <v>1375</v>
      </c>
      <c r="AB197" s="8"/>
      <c r="AC197" s="27">
        <v>9785160163277</v>
      </c>
    </row>
    <row r="198" spans="1:29" s="4" customFormat="1" ht="51.9" customHeight="1" x14ac:dyDescent="0.2">
      <c r="A198" s="5">
        <v>0</v>
      </c>
      <c r="B198" s="6" t="s">
        <v>1376</v>
      </c>
      <c r="C198" s="7">
        <v>2100</v>
      </c>
      <c r="D198" s="8" t="s">
        <v>1377</v>
      </c>
      <c r="E198" s="8" t="s">
        <v>1378</v>
      </c>
      <c r="F198" s="8" t="s">
        <v>1379</v>
      </c>
      <c r="G198" s="6" t="s">
        <v>60</v>
      </c>
      <c r="H198" s="6" t="s">
        <v>34</v>
      </c>
      <c r="I198" s="8" t="s">
        <v>253</v>
      </c>
      <c r="J198" s="9">
        <v>1</v>
      </c>
      <c r="K198" s="9">
        <v>304</v>
      </c>
      <c r="L198" s="9">
        <v>2026</v>
      </c>
      <c r="M198" s="8" t="s">
        <v>1380</v>
      </c>
      <c r="N198" s="8" t="s">
        <v>37</v>
      </c>
      <c r="O198" s="8" t="s">
        <v>136</v>
      </c>
      <c r="P198" s="6" t="s">
        <v>306</v>
      </c>
      <c r="Q198" s="8" t="s">
        <v>65</v>
      </c>
      <c r="R198" s="10" t="s">
        <v>1381</v>
      </c>
      <c r="S198" s="11"/>
      <c r="T198" s="6"/>
      <c r="U198" s="15" t="str">
        <f>HYPERLINK("https://media.infra-m.ru/2214/2214949/cover/2214949.jpg", "Обложка")</f>
        <v>Обложка</v>
      </c>
      <c r="V198" s="8" t="s">
        <v>292</v>
      </c>
      <c r="W198" s="6" t="s">
        <v>1382</v>
      </c>
      <c r="X198" s="6"/>
      <c r="Y198" s="6"/>
      <c r="Z198" s="6"/>
      <c r="AA198" s="6" t="s">
        <v>187</v>
      </c>
      <c r="AB198" s="8"/>
      <c r="AC198" s="27">
        <v>9785160211282</v>
      </c>
    </row>
    <row r="199" spans="1:29" s="4" customFormat="1" ht="51.9" customHeight="1" x14ac:dyDescent="0.2">
      <c r="A199" s="5">
        <v>0</v>
      </c>
      <c r="B199" s="6" t="s">
        <v>1383</v>
      </c>
      <c r="C199" s="7">
        <v>3952.8</v>
      </c>
      <c r="D199" s="8" t="s">
        <v>1384</v>
      </c>
      <c r="E199" s="8" t="s">
        <v>1366</v>
      </c>
      <c r="F199" s="8" t="s">
        <v>1385</v>
      </c>
      <c r="G199" s="6" t="s">
        <v>60</v>
      </c>
      <c r="H199" s="6" t="s">
        <v>134</v>
      </c>
      <c r="I199" s="8"/>
      <c r="J199" s="9">
        <v>1</v>
      </c>
      <c r="K199" s="9">
        <v>736</v>
      </c>
      <c r="L199" s="9">
        <v>2026</v>
      </c>
      <c r="M199" s="8" t="s">
        <v>1386</v>
      </c>
      <c r="N199" s="8" t="s">
        <v>37</v>
      </c>
      <c r="O199" s="8" t="s">
        <v>136</v>
      </c>
      <c r="P199" s="6" t="s">
        <v>306</v>
      </c>
      <c r="Q199" s="8" t="s">
        <v>65</v>
      </c>
      <c r="R199" s="10" t="s">
        <v>1387</v>
      </c>
      <c r="S199" s="11" t="s">
        <v>1388</v>
      </c>
      <c r="T199" s="6"/>
      <c r="U199" s="15" t="str">
        <f>HYPERLINK("https://media.infra-m.ru/2248/2248226/cover/2248226.jpg", "Обложка")</f>
        <v>Обложка</v>
      </c>
      <c r="V199" s="8" t="s">
        <v>1184</v>
      </c>
      <c r="W199" s="6"/>
      <c r="X199" s="6" t="s">
        <v>24</v>
      </c>
      <c r="Y199" s="6"/>
      <c r="Z199" s="6"/>
      <c r="AA199" s="6" t="s">
        <v>1389</v>
      </c>
      <c r="AB199" s="8"/>
      <c r="AC199" s="27">
        <v>9785001560838</v>
      </c>
    </row>
    <row r="200" spans="1:29" s="4" customFormat="1" ht="51.9" customHeight="1" x14ac:dyDescent="0.2">
      <c r="A200" s="5">
        <v>0</v>
      </c>
      <c r="B200" s="6" t="s">
        <v>1390</v>
      </c>
      <c r="C200" s="7">
        <v>2760</v>
      </c>
      <c r="D200" s="8" t="s">
        <v>1391</v>
      </c>
      <c r="E200" s="8" t="s">
        <v>1353</v>
      </c>
      <c r="F200" s="8" t="s">
        <v>1392</v>
      </c>
      <c r="G200" s="6" t="s">
        <v>118</v>
      </c>
      <c r="H200" s="6" t="s">
        <v>134</v>
      </c>
      <c r="I200" s="8"/>
      <c r="J200" s="9">
        <v>1</v>
      </c>
      <c r="K200" s="9">
        <v>704</v>
      </c>
      <c r="L200" s="9">
        <v>2019</v>
      </c>
      <c r="M200" s="8" t="s">
        <v>1393</v>
      </c>
      <c r="N200" s="8" t="s">
        <v>37</v>
      </c>
      <c r="O200" s="8" t="s">
        <v>136</v>
      </c>
      <c r="P200" s="6" t="s">
        <v>306</v>
      </c>
      <c r="Q200" s="8" t="s">
        <v>65</v>
      </c>
      <c r="R200" s="10" t="s">
        <v>1387</v>
      </c>
      <c r="S200" s="11" t="s">
        <v>1388</v>
      </c>
      <c r="T200" s="6"/>
      <c r="U200" s="15" t="str">
        <f>HYPERLINK("https://media.infra-m.ru/1071/1071806/cover/1071806.jpg", "Обложка")</f>
        <v>Обложка</v>
      </c>
      <c r="V200" s="8" t="s">
        <v>1184</v>
      </c>
      <c r="W200" s="6"/>
      <c r="X200" s="6" t="s">
        <v>24</v>
      </c>
      <c r="Y200" s="6"/>
      <c r="Z200" s="6"/>
      <c r="AA200" s="6" t="s">
        <v>360</v>
      </c>
      <c r="AB200" s="8"/>
      <c r="AC200" s="27">
        <v>9785917686905</v>
      </c>
    </row>
    <row r="201" spans="1:29" s="4" customFormat="1" ht="51.9" customHeight="1" x14ac:dyDescent="0.2">
      <c r="A201" s="5">
        <v>0</v>
      </c>
      <c r="B201" s="6" t="s">
        <v>1394</v>
      </c>
      <c r="C201" s="7">
        <v>1787.9</v>
      </c>
      <c r="D201" s="8" t="s">
        <v>1395</v>
      </c>
      <c r="E201" s="8" t="s">
        <v>1396</v>
      </c>
      <c r="F201" s="8" t="s">
        <v>1397</v>
      </c>
      <c r="G201" s="6" t="s">
        <v>60</v>
      </c>
      <c r="H201" s="6" t="s">
        <v>134</v>
      </c>
      <c r="I201" s="8"/>
      <c r="J201" s="9">
        <v>1</v>
      </c>
      <c r="K201" s="9">
        <v>576</v>
      </c>
      <c r="L201" s="9">
        <v>2018</v>
      </c>
      <c r="M201" s="8" t="s">
        <v>1398</v>
      </c>
      <c r="N201" s="8" t="s">
        <v>37</v>
      </c>
      <c r="O201" s="8" t="s">
        <v>136</v>
      </c>
      <c r="P201" s="6" t="s">
        <v>306</v>
      </c>
      <c r="Q201" s="8" t="s">
        <v>65</v>
      </c>
      <c r="R201" s="10" t="s">
        <v>1399</v>
      </c>
      <c r="S201" s="11" t="s">
        <v>1400</v>
      </c>
      <c r="T201" s="6"/>
      <c r="U201" s="15" t="str">
        <f>HYPERLINK("https://media.infra-m.ru/0922/0922707/cover/922707.jpg", "Обложка")</f>
        <v>Обложка</v>
      </c>
      <c r="V201" s="8" t="s">
        <v>1184</v>
      </c>
      <c r="W201" s="6"/>
      <c r="X201" s="6"/>
      <c r="Y201" s="6"/>
      <c r="Z201" s="6"/>
      <c r="AA201" s="6" t="s">
        <v>1401</v>
      </c>
      <c r="AB201" s="8"/>
      <c r="AC201" s="27">
        <v>9785917685991</v>
      </c>
    </row>
    <row r="202" spans="1:29" s="4" customFormat="1" ht="51.9" customHeight="1" x14ac:dyDescent="0.2">
      <c r="A202" s="5">
        <v>0</v>
      </c>
      <c r="B202" s="6" t="s">
        <v>1402</v>
      </c>
      <c r="C202" s="7">
        <v>4068</v>
      </c>
      <c r="D202" s="8" t="s">
        <v>1403</v>
      </c>
      <c r="E202" s="8" t="s">
        <v>1404</v>
      </c>
      <c r="F202" s="8" t="s">
        <v>1397</v>
      </c>
      <c r="G202" s="6" t="s">
        <v>60</v>
      </c>
      <c r="H202" s="6" t="s">
        <v>134</v>
      </c>
      <c r="I202" s="8"/>
      <c r="J202" s="9">
        <v>1</v>
      </c>
      <c r="K202" s="9">
        <v>840</v>
      </c>
      <c r="L202" s="9">
        <v>2026</v>
      </c>
      <c r="M202" s="8" t="s">
        <v>1405</v>
      </c>
      <c r="N202" s="8" t="s">
        <v>37</v>
      </c>
      <c r="O202" s="8" t="s">
        <v>136</v>
      </c>
      <c r="P202" s="6" t="s">
        <v>306</v>
      </c>
      <c r="Q202" s="8" t="s">
        <v>65</v>
      </c>
      <c r="R202" s="10" t="s">
        <v>1399</v>
      </c>
      <c r="S202" s="11"/>
      <c r="T202" s="6"/>
      <c r="U202" s="15" t="str">
        <f>HYPERLINK("https://media.infra-m.ru/2239/2239173/cover/2239173.jpg", "Обложка")</f>
        <v>Обложка</v>
      </c>
      <c r="V202" s="8" t="s">
        <v>1184</v>
      </c>
      <c r="W202" s="6"/>
      <c r="X202" s="6"/>
      <c r="Y202" s="6"/>
      <c r="Z202" s="6"/>
      <c r="AA202" s="6" t="s">
        <v>1406</v>
      </c>
      <c r="AB202" s="8"/>
      <c r="AC202" s="27">
        <v>9785001563853</v>
      </c>
    </row>
    <row r="203" spans="1:29" s="4" customFormat="1" ht="51.9" customHeight="1" x14ac:dyDescent="0.2">
      <c r="A203" s="5">
        <v>0</v>
      </c>
      <c r="B203" s="6" t="s">
        <v>1407</v>
      </c>
      <c r="C203" s="7">
        <v>2339.9</v>
      </c>
      <c r="D203" s="8" t="s">
        <v>1408</v>
      </c>
      <c r="E203" s="8" t="s">
        <v>1409</v>
      </c>
      <c r="F203" s="8" t="s">
        <v>1397</v>
      </c>
      <c r="G203" s="6" t="s">
        <v>60</v>
      </c>
      <c r="H203" s="6" t="s">
        <v>134</v>
      </c>
      <c r="I203" s="8"/>
      <c r="J203" s="9">
        <v>1</v>
      </c>
      <c r="K203" s="9">
        <v>640</v>
      </c>
      <c r="L203" s="9">
        <v>2019</v>
      </c>
      <c r="M203" s="8" t="s">
        <v>1410</v>
      </c>
      <c r="N203" s="8" t="s">
        <v>37</v>
      </c>
      <c r="O203" s="8" t="s">
        <v>136</v>
      </c>
      <c r="P203" s="6" t="s">
        <v>306</v>
      </c>
      <c r="Q203" s="8" t="s">
        <v>65</v>
      </c>
      <c r="R203" s="10" t="s">
        <v>1399</v>
      </c>
      <c r="S203" s="11"/>
      <c r="T203" s="6"/>
      <c r="U203" s="15" t="str">
        <f>HYPERLINK("https://media.infra-m.ru/0996/0996119/cover/996119.jpg", "Обложка")</f>
        <v>Обложка</v>
      </c>
      <c r="V203" s="8" t="s">
        <v>1184</v>
      </c>
      <c r="W203" s="6"/>
      <c r="X203" s="6"/>
      <c r="Y203" s="6"/>
      <c r="Z203" s="6"/>
      <c r="AA203" s="6" t="s">
        <v>1411</v>
      </c>
      <c r="AB203" s="8"/>
      <c r="AC203" s="27">
        <v>9785917689838</v>
      </c>
    </row>
    <row r="204" spans="1:29" s="4" customFormat="1" ht="51.9" customHeight="1" x14ac:dyDescent="0.2">
      <c r="A204" s="5">
        <v>0</v>
      </c>
      <c r="B204" s="6" t="s">
        <v>1412</v>
      </c>
      <c r="C204" s="7">
        <v>2712</v>
      </c>
      <c r="D204" s="8" t="s">
        <v>1413</v>
      </c>
      <c r="E204" s="8" t="s">
        <v>1378</v>
      </c>
      <c r="F204" s="8" t="s">
        <v>1414</v>
      </c>
      <c r="G204" s="6" t="s">
        <v>60</v>
      </c>
      <c r="H204" s="6" t="s">
        <v>34</v>
      </c>
      <c r="I204" s="8" t="s">
        <v>263</v>
      </c>
      <c r="J204" s="9">
        <v>1</v>
      </c>
      <c r="K204" s="9">
        <v>481</v>
      </c>
      <c r="L204" s="9">
        <v>2024</v>
      </c>
      <c r="M204" s="8" t="s">
        <v>1415</v>
      </c>
      <c r="N204" s="8" t="s">
        <v>37</v>
      </c>
      <c r="O204" s="8" t="s">
        <v>136</v>
      </c>
      <c r="P204" s="6" t="s">
        <v>51</v>
      </c>
      <c r="Q204" s="8" t="s">
        <v>265</v>
      </c>
      <c r="R204" s="10" t="s">
        <v>479</v>
      </c>
      <c r="S204" s="11" t="s">
        <v>1416</v>
      </c>
      <c r="T204" s="6"/>
      <c r="U204" s="15" t="str">
        <f>HYPERLINK("https://media.infra-m.ru/2121/2121597/cover/2121597.jpg", "Обложка")</f>
        <v>Обложка</v>
      </c>
      <c r="V204" s="8" t="s">
        <v>1417</v>
      </c>
      <c r="W204" s="6"/>
      <c r="X204" s="6"/>
      <c r="Y204" s="6"/>
      <c r="Z204" s="6"/>
      <c r="AA204" s="6" t="s">
        <v>430</v>
      </c>
      <c r="AB204" s="8" t="s">
        <v>1418</v>
      </c>
      <c r="AC204" s="27">
        <v>9785160144757</v>
      </c>
    </row>
    <row r="205" spans="1:29" s="4" customFormat="1" ht="51.9" customHeight="1" x14ac:dyDescent="0.2">
      <c r="A205" s="5">
        <v>0</v>
      </c>
      <c r="B205" s="6" t="s">
        <v>1419</v>
      </c>
      <c r="C205" s="7">
        <v>3364.8</v>
      </c>
      <c r="D205" s="8" t="s">
        <v>1420</v>
      </c>
      <c r="E205" s="8" t="s">
        <v>1421</v>
      </c>
      <c r="F205" s="8" t="s">
        <v>1422</v>
      </c>
      <c r="G205" s="6" t="s">
        <v>60</v>
      </c>
      <c r="H205" s="6" t="s">
        <v>34</v>
      </c>
      <c r="I205" s="8" t="s">
        <v>253</v>
      </c>
      <c r="J205" s="9">
        <v>1</v>
      </c>
      <c r="K205" s="9">
        <v>483</v>
      </c>
      <c r="L205" s="9">
        <v>2026</v>
      </c>
      <c r="M205" s="8" t="s">
        <v>1423</v>
      </c>
      <c r="N205" s="8" t="s">
        <v>37</v>
      </c>
      <c r="O205" s="8" t="s">
        <v>136</v>
      </c>
      <c r="P205" s="6" t="s">
        <v>306</v>
      </c>
      <c r="Q205" s="8" t="s">
        <v>52</v>
      </c>
      <c r="R205" s="10" t="s">
        <v>1275</v>
      </c>
      <c r="S205" s="11" t="s">
        <v>1424</v>
      </c>
      <c r="T205" s="6"/>
      <c r="U205" s="15" t="str">
        <f>HYPERLINK("https://media.infra-m.ru/2260/2260532/cover/2260532.jpg", "Обложка")</f>
        <v>Обложка</v>
      </c>
      <c r="V205" s="8" t="s">
        <v>1425</v>
      </c>
      <c r="W205" s="6"/>
      <c r="X205" s="6"/>
      <c r="Y205" s="6"/>
      <c r="Z205" s="6"/>
      <c r="AA205" s="6" t="s">
        <v>115</v>
      </c>
      <c r="AB205" s="8"/>
      <c r="AC205" s="27">
        <v>9785160143842</v>
      </c>
    </row>
    <row r="206" spans="1:29" s="4" customFormat="1" ht="51.9" customHeight="1" x14ac:dyDescent="0.2">
      <c r="A206" s="5">
        <v>0</v>
      </c>
      <c r="B206" s="6" t="s">
        <v>1426</v>
      </c>
      <c r="C206" s="7">
        <v>4348.8</v>
      </c>
      <c r="D206" s="8" t="s">
        <v>1427</v>
      </c>
      <c r="E206" s="8" t="s">
        <v>1428</v>
      </c>
      <c r="F206" s="8" t="s">
        <v>1429</v>
      </c>
      <c r="G206" s="6" t="s">
        <v>60</v>
      </c>
      <c r="H206" s="6" t="s">
        <v>134</v>
      </c>
      <c r="I206" s="8"/>
      <c r="J206" s="9">
        <v>1</v>
      </c>
      <c r="K206" s="9">
        <v>624</v>
      </c>
      <c r="L206" s="9">
        <v>2027</v>
      </c>
      <c r="M206" s="8" t="s">
        <v>1430</v>
      </c>
      <c r="N206" s="8" t="s">
        <v>37</v>
      </c>
      <c r="O206" s="8" t="s">
        <v>136</v>
      </c>
      <c r="P206" s="6" t="s">
        <v>51</v>
      </c>
      <c r="Q206" s="8" t="s">
        <v>52</v>
      </c>
      <c r="R206" s="10" t="s">
        <v>1275</v>
      </c>
      <c r="S206" s="11"/>
      <c r="T206" s="6"/>
      <c r="U206" s="15" t="str">
        <f>HYPERLINK("https://media.infra-m.ru/2262/2262867/cover/2262867.jpg", "Обложка")</f>
        <v>Обложка</v>
      </c>
      <c r="V206" s="8" t="s">
        <v>1357</v>
      </c>
      <c r="W206" s="6"/>
      <c r="X206" s="6"/>
      <c r="Y206" s="6"/>
      <c r="Z206" s="6"/>
      <c r="AA206" s="6" t="s">
        <v>1303</v>
      </c>
      <c r="AB206" s="8"/>
      <c r="AC206" s="27">
        <v>9785001562634</v>
      </c>
    </row>
    <row r="207" spans="1:29" s="4" customFormat="1" ht="51.9" customHeight="1" x14ac:dyDescent="0.2">
      <c r="A207" s="5">
        <v>0</v>
      </c>
      <c r="B207" s="6" t="s">
        <v>1431</v>
      </c>
      <c r="C207" s="7">
        <v>2028</v>
      </c>
      <c r="D207" s="8" t="s">
        <v>1432</v>
      </c>
      <c r="E207" s="8" t="s">
        <v>1421</v>
      </c>
      <c r="F207" s="8" t="s">
        <v>1429</v>
      </c>
      <c r="G207" s="6" t="s">
        <v>60</v>
      </c>
      <c r="H207" s="6" t="s">
        <v>134</v>
      </c>
      <c r="I207" s="8"/>
      <c r="J207" s="9">
        <v>1</v>
      </c>
      <c r="K207" s="9">
        <v>496</v>
      </c>
      <c r="L207" s="9">
        <v>2020</v>
      </c>
      <c r="M207" s="8" t="s">
        <v>1433</v>
      </c>
      <c r="N207" s="8" t="s">
        <v>37</v>
      </c>
      <c r="O207" s="8" t="s">
        <v>136</v>
      </c>
      <c r="P207" s="6" t="s">
        <v>51</v>
      </c>
      <c r="Q207" s="8" t="s">
        <v>52</v>
      </c>
      <c r="R207" s="10" t="s">
        <v>1275</v>
      </c>
      <c r="S207" s="11"/>
      <c r="T207" s="6"/>
      <c r="U207" s="15" t="str">
        <f>HYPERLINK("https://media.infra-m.ru/1061/1061587/cover/1061587.jpg", "Обложка")</f>
        <v>Обложка</v>
      </c>
      <c r="V207" s="8" t="s">
        <v>1357</v>
      </c>
      <c r="W207" s="6"/>
      <c r="X207" s="6"/>
      <c r="Y207" s="6"/>
      <c r="Z207" s="6"/>
      <c r="AA207" s="6" t="s">
        <v>115</v>
      </c>
      <c r="AB207" s="8"/>
      <c r="AC207" s="27">
        <v>9785917689791</v>
      </c>
    </row>
    <row r="208" spans="1:29" s="4" customFormat="1" ht="51.9" customHeight="1" x14ac:dyDescent="0.2">
      <c r="A208" s="5">
        <v>0</v>
      </c>
      <c r="B208" s="6" t="s">
        <v>1434</v>
      </c>
      <c r="C208" s="7">
        <v>1056</v>
      </c>
      <c r="D208" s="8" t="s">
        <v>1435</v>
      </c>
      <c r="E208" s="8" t="s">
        <v>1436</v>
      </c>
      <c r="F208" s="8" t="s">
        <v>1253</v>
      </c>
      <c r="G208" s="6" t="s">
        <v>118</v>
      </c>
      <c r="H208" s="6" t="s">
        <v>134</v>
      </c>
      <c r="I208" s="8"/>
      <c r="J208" s="9">
        <v>1</v>
      </c>
      <c r="K208" s="9">
        <v>168</v>
      </c>
      <c r="L208" s="9">
        <v>2025</v>
      </c>
      <c r="M208" s="8" t="s">
        <v>1437</v>
      </c>
      <c r="N208" s="8" t="s">
        <v>37</v>
      </c>
      <c r="O208" s="8" t="s">
        <v>136</v>
      </c>
      <c r="P208" s="6" t="s">
        <v>39</v>
      </c>
      <c r="Q208" s="8" t="s">
        <v>40</v>
      </c>
      <c r="R208" s="10" t="s">
        <v>1438</v>
      </c>
      <c r="S208" s="11"/>
      <c r="T208" s="6"/>
      <c r="U208" s="15" t="str">
        <f>HYPERLINK("https://media.infra-m.ru/2195/2195988/cover/2195988.jpg", "Обложка")</f>
        <v>Обложка</v>
      </c>
      <c r="V208" s="8" t="s">
        <v>1184</v>
      </c>
      <c r="W208" s="6"/>
      <c r="X208" s="6"/>
      <c r="Y208" s="6"/>
      <c r="Z208" s="6"/>
      <c r="AA208" s="6" t="s">
        <v>1256</v>
      </c>
      <c r="AB208" s="8"/>
      <c r="AC208" s="27">
        <v>9785001560425</v>
      </c>
    </row>
    <row r="209" spans="1:29" s="4" customFormat="1" ht="51.9" customHeight="1" x14ac:dyDescent="0.2">
      <c r="A209" s="5">
        <v>0</v>
      </c>
      <c r="B209" s="6" t="s">
        <v>1439</v>
      </c>
      <c r="C209" s="7">
        <v>1980</v>
      </c>
      <c r="D209" s="8" t="s">
        <v>1440</v>
      </c>
      <c r="E209" s="8" t="s">
        <v>1441</v>
      </c>
      <c r="F209" s="8" t="s">
        <v>1442</v>
      </c>
      <c r="G209" s="6" t="s">
        <v>33</v>
      </c>
      <c r="H209" s="6" t="s">
        <v>34</v>
      </c>
      <c r="I209" s="8" t="s">
        <v>35</v>
      </c>
      <c r="J209" s="9">
        <v>1</v>
      </c>
      <c r="K209" s="9">
        <v>330</v>
      </c>
      <c r="L209" s="9">
        <v>2025</v>
      </c>
      <c r="M209" s="8" t="s">
        <v>1443</v>
      </c>
      <c r="N209" s="8" t="s">
        <v>37</v>
      </c>
      <c r="O209" s="8" t="s">
        <v>136</v>
      </c>
      <c r="P209" s="6" t="s">
        <v>39</v>
      </c>
      <c r="Q209" s="8" t="s">
        <v>40</v>
      </c>
      <c r="R209" s="10" t="s">
        <v>1444</v>
      </c>
      <c r="S209" s="11"/>
      <c r="T209" s="6"/>
      <c r="U209" s="15" t="str">
        <f>HYPERLINK("https://media.infra-m.ru/2116/2116655/cover/2116655.jpg", "Обложка")</f>
        <v>Обложка</v>
      </c>
      <c r="V209" s="8" t="s">
        <v>657</v>
      </c>
      <c r="W209" s="6"/>
      <c r="X209" s="6"/>
      <c r="Y209" s="6"/>
      <c r="Z209" s="6"/>
      <c r="AA209" s="6" t="s">
        <v>430</v>
      </c>
      <c r="AB209" s="8"/>
      <c r="AC209" s="27">
        <v>9785160163567</v>
      </c>
    </row>
    <row r="210" spans="1:29" s="4" customFormat="1" ht="51.9" customHeight="1" x14ac:dyDescent="0.2">
      <c r="A210" s="5">
        <v>0</v>
      </c>
      <c r="B210" s="6" t="s">
        <v>1445</v>
      </c>
      <c r="C210" s="7">
        <v>1344</v>
      </c>
      <c r="D210" s="8" t="s">
        <v>1446</v>
      </c>
      <c r="E210" s="8" t="s">
        <v>1447</v>
      </c>
      <c r="F210" s="8" t="s">
        <v>1448</v>
      </c>
      <c r="G210" s="6" t="s">
        <v>118</v>
      </c>
      <c r="H210" s="6" t="s">
        <v>134</v>
      </c>
      <c r="I210" s="8"/>
      <c r="J210" s="9">
        <v>1</v>
      </c>
      <c r="K210" s="9">
        <v>248</v>
      </c>
      <c r="L210" s="9">
        <v>2023</v>
      </c>
      <c r="M210" s="8" t="s">
        <v>1449</v>
      </c>
      <c r="N210" s="8" t="s">
        <v>37</v>
      </c>
      <c r="O210" s="8" t="s">
        <v>136</v>
      </c>
      <c r="P210" s="6" t="s">
        <v>39</v>
      </c>
      <c r="Q210" s="8" t="s">
        <v>40</v>
      </c>
      <c r="R210" s="10" t="s">
        <v>1288</v>
      </c>
      <c r="S210" s="11"/>
      <c r="T210" s="6"/>
      <c r="U210" s="15" t="str">
        <f>HYPERLINK("https://media.infra-m.ru/1912/1912411/cover/1912411.jpg", "Обложка")</f>
        <v>Обложка</v>
      </c>
      <c r="V210" s="8" t="s">
        <v>1184</v>
      </c>
      <c r="W210" s="6"/>
      <c r="X210" s="6"/>
      <c r="Y210" s="6"/>
      <c r="Z210" s="6"/>
      <c r="AA210" s="6" t="s">
        <v>115</v>
      </c>
      <c r="AB210" s="8"/>
      <c r="AC210" s="27">
        <v>9785917686424</v>
      </c>
    </row>
    <row r="211" spans="1:29" s="4" customFormat="1" ht="51.9" customHeight="1" x14ac:dyDescent="0.2">
      <c r="A211" s="5">
        <v>0</v>
      </c>
      <c r="B211" s="6" t="s">
        <v>1450</v>
      </c>
      <c r="C211" s="7">
        <v>1068</v>
      </c>
      <c r="D211" s="8" t="s">
        <v>1451</v>
      </c>
      <c r="E211" s="8" t="s">
        <v>1452</v>
      </c>
      <c r="F211" s="8" t="s">
        <v>1453</v>
      </c>
      <c r="G211" s="6" t="s">
        <v>33</v>
      </c>
      <c r="H211" s="6" t="s">
        <v>34</v>
      </c>
      <c r="I211" s="8" t="s">
        <v>35</v>
      </c>
      <c r="J211" s="9">
        <v>1</v>
      </c>
      <c r="K211" s="9">
        <v>169</v>
      </c>
      <c r="L211" s="9">
        <v>2025</v>
      </c>
      <c r="M211" s="8" t="s">
        <v>1454</v>
      </c>
      <c r="N211" s="8" t="s">
        <v>37</v>
      </c>
      <c r="O211" s="8" t="s">
        <v>136</v>
      </c>
      <c r="P211" s="6" t="s">
        <v>39</v>
      </c>
      <c r="Q211" s="8" t="s">
        <v>40</v>
      </c>
      <c r="R211" s="10" t="s">
        <v>1230</v>
      </c>
      <c r="S211" s="11"/>
      <c r="T211" s="6"/>
      <c r="U211" s="15" t="str">
        <f>HYPERLINK("https://media.infra-m.ru/2206/2206496/cover/2206496.jpg", "Обложка")</f>
        <v>Обложка</v>
      </c>
      <c r="V211" s="8" t="s">
        <v>1231</v>
      </c>
      <c r="W211" s="6"/>
      <c r="X211" s="6"/>
      <c r="Y211" s="6"/>
      <c r="Z211" s="6"/>
      <c r="AA211" s="6" t="s">
        <v>68</v>
      </c>
      <c r="AB211" s="8" t="s">
        <v>308</v>
      </c>
      <c r="AC211" s="27">
        <v>9785160209432</v>
      </c>
    </row>
    <row r="212" spans="1:29" s="4" customFormat="1" ht="42" customHeight="1" x14ac:dyDescent="0.2">
      <c r="A212" s="5">
        <v>0</v>
      </c>
      <c r="B212" s="6" t="s">
        <v>1455</v>
      </c>
      <c r="C212" s="7">
        <v>1896</v>
      </c>
      <c r="D212" s="8" t="s">
        <v>1456</v>
      </c>
      <c r="E212" s="8" t="s">
        <v>1457</v>
      </c>
      <c r="F212" s="8" t="s">
        <v>1458</v>
      </c>
      <c r="G212" s="6" t="s">
        <v>60</v>
      </c>
      <c r="H212" s="6" t="s">
        <v>34</v>
      </c>
      <c r="I212" s="8" t="s">
        <v>35</v>
      </c>
      <c r="J212" s="9">
        <v>1</v>
      </c>
      <c r="K212" s="9">
        <v>289</v>
      </c>
      <c r="L212" s="9">
        <v>2025</v>
      </c>
      <c r="M212" s="8" t="s">
        <v>1459</v>
      </c>
      <c r="N212" s="8" t="s">
        <v>37</v>
      </c>
      <c r="O212" s="8" t="s">
        <v>136</v>
      </c>
      <c r="P212" s="6" t="s">
        <v>39</v>
      </c>
      <c r="Q212" s="8" t="s">
        <v>40</v>
      </c>
      <c r="R212" s="10" t="s">
        <v>1460</v>
      </c>
      <c r="S212" s="11"/>
      <c r="T212" s="6"/>
      <c r="U212" s="15" t="str">
        <f>HYPERLINK("https://media.infra-m.ru/2189/2189089/cover/2189089.jpg", "Обложка")</f>
        <v>Обложка</v>
      </c>
      <c r="V212" s="8" t="s">
        <v>1231</v>
      </c>
      <c r="W212" s="6"/>
      <c r="X212" s="6"/>
      <c r="Y212" s="6"/>
      <c r="Z212" s="6"/>
      <c r="AA212" s="6" t="s">
        <v>68</v>
      </c>
      <c r="AB212" s="8"/>
      <c r="AC212" s="27">
        <v>9785160207247</v>
      </c>
    </row>
    <row r="213" spans="1:29" s="4" customFormat="1" ht="51.9" customHeight="1" x14ac:dyDescent="0.2">
      <c r="A213" s="5">
        <v>0</v>
      </c>
      <c r="B213" s="6" t="s">
        <v>1461</v>
      </c>
      <c r="C213" s="13">
        <v>756</v>
      </c>
      <c r="D213" s="8" t="s">
        <v>1462</v>
      </c>
      <c r="E213" s="8" t="s">
        <v>1463</v>
      </c>
      <c r="F213" s="8" t="s">
        <v>1464</v>
      </c>
      <c r="G213" s="6" t="s">
        <v>33</v>
      </c>
      <c r="H213" s="6" t="s">
        <v>34</v>
      </c>
      <c r="I213" s="8" t="s">
        <v>35</v>
      </c>
      <c r="J213" s="9">
        <v>1</v>
      </c>
      <c r="K213" s="9">
        <v>124</v>
      </c>
      <c r="L213" s="9">
        <v>2024</v>
      </c>
      <c r="M213" s="8" t="s">
        <v>1465</v>
      </c>
      <c r="N213" s="8" t="s">
        <v>37</v>
      </c>
      <c r="O213" s="8" t="s">
        <v>136</v>
      </c>
      <c r="P213" s="6" t="s">
        <v>39</v>
      </c>
      <c r="Q213" s="8" t="s">
        <v>40</v>
      </c>
      <c r="R213" s="10" t="s">
        <v>1466</v>
      </c>
      <c r="S213" s="11"/>
      <c r="T213" s="6"/>
      <c r="U213" s="15" t="str">
        <f>HYPERLINK("https://media.infra-m.ru/2001/2001725/cover/2001725.jpg", "Обложка")</f>
        <v>Обложка</v>
      </c>
      <c r="V213" s="8" t="s">
        <v>227</v>
      </c>
      <c r="W213" s="6"/>
      <c r="X213" s="6"/>
      <c r="Y213" s="6"/>
      <c r="Z213" s="6"/>
      <c r="AA213" s="6" t="s">
        <v>76</v>
      </c>
      <c r="AB213" s="8"/>
      <c r="AC213" s="27">
        <v>9785160184197</v>
      </c>
    </row>
    <row r="214" spans="1:29" s="4" customFormat="1" ht="51.9" customHeight="1" x14ac:dyDescent="0.2">
      <c r="A214" s="5">
        <v>0</v>
      </c>
      <c r="B214" s="6" t="s">
        <v>1467</v>
      </c>
      <c r="C214" s="13">
        <v>900</v>
      </c>
      <c r="D214" s="8" t="s">
        <v>1468</v>
      </c>
      <c r="E214" s="8" t="s">
        <v>1469</v>
      </c>
      <c r="F214" s="8" t="s">
        <v>1470</v>
      </c>
      <c r="G214" s="6" t="s">
        <v>33</v>
      </c>
      <c r="H214" s="6" t="s">
        <v>134</v>
      </c>
      <c r="I214" s="8"/>
      <c r="J214" s="9">
        <v>1</v>
      </c>
      <c r="K214" s="9">
        <v>128</v>
      </c>
      <c r="L214" s="9">
        <v>2026</v>
      </c>
      <c r="M214" s="8" t="s">
        <v>1471</v>
      </c>
      <c r="N214" s="8" t="s">
        <v>37</v>
      </c>
      <c r="O214" s="8" t="s">
        <v>136</v>
      </c>
      <c r="P214" s="6" t="s">
        <v>51</v>
      </c>
      <c r="Q214" s="8" t="s">
        <v>52</v>
      </c>
      <c r="R214" s="10" t="s">
        <v>1294</v>
      </c>
      <c r="S214" s="11"/>
      <c r="T214" s="6"/>
      <c r="U214" s="15" t="str">
        <f>HYPERLINK("https://media.infra-m.ru/2258/2258357/cover/2258357.jpg", "Обложка")</f>
        <v>Обложка</v>
      </c>
      <c r="V214" s="8" t="s">
        <v>1184</v>
      </c>
      <c r="W214" s="6"/>
      <c r="X214" s="6"/>
      <c r="Y214" s="6"/>
      <c r="Z214" s="6"/>
      <c r="AA214" s="6" t="s">
        <v>86</v>
      </c>
      <c r="AB214" s="8"/>
      <c r="AC214" s="27">
        <v>9785917688732</v>
      </c>
    </row>
    <row r="215" spans="1:29" s="4" customFormat="1" ht="42" customHeight="1" x14ac:dyDescent="0.2">
      <c r="A215" s="5">
        <v>0</v>
      </c>
      <c r="B215" s="6" t="s">
        <v>1472</v>
      </c>
      <c r="C215" s="7">
        <v>1752</v>
      </c>
      <c r="D215" s="8" t="s">
        <v>1473</v>
      </c>
      <c r="E215" s="8" t="s">
        <v>1474</v>
      </c>
      <c r="F215" s="8" t="s">
        <v>1367</v>
      </c>
      <c r="G215" s="6" t="s">
        <v>118</v>
      </c>
      <c r="H215" s="6" t="s">
        <v>34</v>
      </c>
      <c r="I215" s="8" t="s">
        <v>263</v>
      </c>
      <c r="J215" s="9">
        <v>1</v>
      </c>
      <c r="K215" s="9">
        <v>169</v>
      </c>
      <c r="L215" s="9">
        <v>2026</v>
      </c>
      <c r="M215" s="8" t="s">
        <v>1475</v>
      </c>
      <c r="N215" s="8" t="s">
        <v>37</v>
      </c>
      <c r="O215" s="8" t="s">
        <v>136</v>
      </c>
      <c r="P215" s="6" t="s">
        <v>51</v>
      </c>
      <c r="Q215" s="8" t="s">
        <v>265</v>
      </c>
      <c r="R215" s="10" t="s">
        <v>479</v>
      </c>
      <c r="S215" s="11"/>
      <c r="T215" s="6"/>
      <c r="U215" s="15" t="str">
        <f>HYPERLINK("https://media.infra-m.ru/2243/2243281/cover/2243281.jpg", "Обложка")</f>
        <v>Обложка</v>
      </c>
      <c r="V215" s="8" t="s">
        <v>657</v>
      </c>
      <c r="W215" s="6"/>
      <c r="X215" s="6" t="s">
        <v>24</v>
      </c>
      <c r="Y215" s="6"/>
      <c r="Z215" s="6"/>
      <c r="AA215" s="6" t="s">
        <v>404</v>
      </c>
      <c r="AB215" s="8"/>
      <c r="AC215" s="27">
        <v>9785160219479</v>
      </c>
    </row>
    <row r="216" spans="1:29" s="4" customFormat="1" ht="42" customHeight="1" x14ac:dyDescent="0.2">
      <c r="A216" s="5">
        <v>0</v>
      </c>
      <c r="B216" s="6" t="s">
        <v>1476</v>
      </c>
      <c r="C216" s="7">
        <v>1368</v>
      </c>
      <c r="D216" s="8" t="s">
        <v>1477</v>
      </c>
      <c r="E216" s="8" t="s">
        <v>1478</v>
      </c>
      <c r="F216" s="8" t="s">
        <v>1479</v>
      </c>
      <c r="G216" s="6" t="s">
        <v>118</v>
      </c>
      <c r="H216" s="6" t="s">
        <v>34</v>
      </c>
      <c r="I216" s="8" t="s">
        <v>288</v>
      </c>
      <c r="J216" s="9">
        <v>1</v>
      </c>
      <c r="K216" s="9">
        <v>207</v>
      </c>
      <c r="L216" s="9">
        <v>2026</v>
      </c>
      <c r="M216" s="8" t="s">
        <v>1480</v>
      </c>
      <c r="N216" s="8" t="s">
        <v>37</v>
      </c>
      <c r="O216" s="8" t="s">
        <v>136</v>
      </c>
      <c r="P216" s="6" t="s">
        <v>1481</v>
      </c>
      <c r="Q216" s="8" t="s">
        <v>65</v>
      </c>
      <c r="R216" s="10" t="s">
        <v>1482</v>
      </c>
      <c r="S216" s="11"/>
      <c r="T216" s="6"/>
      <c r="U216" s="15" t="str">
        <f>HYPERLINK("https://media.infra-m.ru/2254/2254320/cover/2254320.jpg", "Обложка")</f>
        <v>Обложка</v>
      </c>
      <c r="V216" s="8" t="s">
        <v>1483</v>
      </c>
      <c r="W216" s="6"/>
      <c r="X216" s="6"/>
      <c r="Y216" s="6"/>
      <c r="Z216" s="6"/>
      <c r="AA216" s="6" t="s">
        <v>68</v>
      </c>
      <c r="AB216" s="8"/>
      <c r="AC216" s="27">
        <v>9785160198354</v>
      </c>
    </row>
    <row r="217" spans="1:29" s="4" customFormat="1" ht="44.1" customHeight="1" x14ac:dyDescent="0.2">
      <c r="A217" s="5">
        <v>0</v>
      </c>
      <c r="B217" s="6" t="s">
        <v>1484</v>
      </c>
      <c r="C217" s="7">
        <v>1584</v>
      </c>
      <c r="D217" s="8" t="s">
        <v>1485</v>
      </c>
      <c r="E217" s="8" t="s">
        <v>1486</v>
      </c>
      <c r="F217" s="8" t="s">
        <v>1487</v>
      </c>
      <c r="G217" s="6" t="s">
        <v>118</v>
      </c>
      <c r="H217" s="6" t="s">
        <v>134</v>
      </c>
      <c r="I217" s="8"/>
      <c r="J217" s="9">
        <v>1</v>
      </c>
      <c r="K217" s="9">
        <v>240</v>
      </c>
      <c r="L217" s="9">
        <v>2026</v>
      </c>
      <c r="M217" s="8" t="s">
        <v>1488</v>
      </c>
      <c r="N217" s="8" t="s">
        <v>37</v>
      </c>
      <c r="O217" s="8" t="s">
        <v>136</v>
      </c>
      <c r="P217" s="6" t="s">
        <v>39</v>
      </c>
      <c r="Q217" s="8" t="s">
        <v>40</v>
      </c>
      <c r="R217" s="10" t="s">
        <v>1489</v>
      </c>
      <c r="S217" s="11"/>
      <c r="T217" s="6"/>
      <c r="U217" s="15" t="str">
        <f>HYPERLINK("https://media.infra-m.ru/2232/2232627/cover/2232627.jpg", "Обложка")</f>
        <v>Обложка</v>
      </c>
      <c r="V217" s="8" t="s">
        <v>1184</v>
      </c>
      <c r="W217" s="6"/>
      <c r="X217" s="6"/>
      <c r="Y217" s="6"/>
      <c r="Z217" s="6"/>
      <c r="AA217" s="6" t="s">
        <v>99</v>
      </c>
      <c r="AB217" s="8"/>
      <c r="AC217" s="27">
        <v>9785917688060</v>
      </c>
    </row>
    <row r="218" spans="1:29" s="4" customFormat="1" ht="51.9" customHeight="1" x14ac:dyDescent="0.2">
      <c r="A218" s="5">
        <v>0</v>
      </c>
      <c r="B218" s="6" t="s">
        <v>1490</v>
      </c>
      <c r="C218" s="7">
        <v>1384.8</v>
      </c>
      <c r="D218" s="8" t="s">
        <v>1491</v>
      </c>
      <c r="E218" s="8" t="s">
        <v>1492</v>
      </c>
      <c r="F218" s="8" t="s">
        <v>1493</v>
      </c>
      <c r="G218" s="6" t="s">
        <v>60</v>
      </c>
      <c r="H218" s="6" t="s">
        <v>34</v>
      </c>
      <c r="I218" s="8" t="s">
        <v>35</v>
      </c>
      <c r="J218" s="9">
        <v>1</v>
      </c>
      <c r="K218" s="9">
        <v>196</v>
      </c>
      <c r="L218" s="9">
        <v>2026</v>
      </c>
      <c r="M218" s="8" t="s">
        <v>1494</v>
      </c>
      <c r="N218" s="8" t="s">
        <v>37</v>
      </c>
      <c r="O218" s="8" t="s">
        <v>136</v>
      </c>
      <c r="P218" s="6" t="s">
        <v>39</v>
      </c>
      <c r="Q218" s="8" t="s">
        <v>40</v>
      </c>
      <c r="R218" s="10" t="s">
        <v>1495</v>
      </c>
      <c r="S218" s="11"/>
      <c r="T218" s="6"/>
      <c r="U218" s="15" t="str">
        <f>HYPERLINK("https://media.infra-m.ru/2267/2267375/cover/2267375.jpg", "Обложка")</f>
        <v>Обложка</v>
      </c>
      <c r="V218" s="8" t="s">
        <v>1496</v>
      </c>
      <c r="W218" s="6"/>
      <c r="X218" s="6"/>
      <c r="Y218" s="6"/>
      <c r="Z218" s="6"/>
      <c r="AA218" s="6" t="s">
        <v>187</v>
      </c>
      <c r="AB218" s="8"/>
      <c r="AC218" s="27">
        <v>9785160218656</v>
      </c>
    </row>
    <row r="219" spans="1:29" s="4" customFormat="1" ht="51.9" customHeight="1" x14ac:dyDescent="0.2">
      <c r="A219" s="5">
        <v>0</v>
      </c>
      <c r="B219" s="6" t="s">
        <v>1497</v>
      </c>
      <c r="C219" s="7">
        <v>2896.8</v>
      </c>
      <c r="D219" s="8" t="s">
        <v>1498</v>
      </c>
      <c r="E219" s="8" t="s">
        <v>1499</v>
      </c>
      <c r="F219" s="8" t="s">
        <v>1500</v>
      </c>
      <c r="G219" s="6" t="s">
        <v>60</v>
      </c>
      <c r="H219" s="6" t="s">
        <v>34</v>
      </c>
      <c r="I219" s="8" t="s">
        <v>1501</v>
      </c>
      <c r="J219" s="9">
        <v>1</v>
      </c>
      <c r="K219" s="9">
        <v>416</v>
      </c>
      <c r="L219" s="9">
        <v>2027</v>
      </c>
      <c r="M219" s="8" t="s">
        <v>1502</v>
      </c>
      <c r="N219" s="8" t="s">
        <v>37</v>
      </c>
      <c r="O219" s="8" t="s">
        <v>280</v>
      </c>
      <c r="P219" s="6" t="s">
        <v>306</v>
      </c>
      <c r="Q219" s="8" t="s">
        <v>40</v>
      </c>
      <c r="R219" s="10" t="s">
        <v>1503</v>
      </c>
      <c r="S219" s="11" t="s">
        <v>1504</v>
      </c>
      <c r="T219" s="6"/>
      <c r="U219" s="15" t="str">
        <f>HYPERLINK("https://media.infra-m.ru/2263/2263017/cover/2263017.jpg", "Обложка")</f>
        <v>Обложка</v>
      </c>
      <c r="V219" s="8" t="s">
        <v>1505</v>
      </c>
      <c r="W219" s="6"/>
      <c r="X219" s="6"/>
      <c r="Y219" s="6"/>
      <c r="Z219" s="6"/>
      <c r="AA219" s="6" t="s">
        <v>1506</v>
      </c>
      <c r="AB219" s="8"/>
      <c r="AC219" s="27">
        <v>9785160187693</v>
      </c>
    </row>
    <row r="220" spans="1:29" s="4" customFormat="1" ht="51.9" customHeight="1" x14ac:dyDescent="0.2">
      <c r="A220" s="5">
        <v>0</v>
      </c>
      <c r="B220" s="6" t="s">
        <v>1507</v>
      </c>
      <c r="C220" s="7">
        <v>1728</v>
      </c>
      <c r="D220" s="8" t="s">
        <v>1508</v>
      </c>
      <c r="E220" s="8" t="s">
        <v>1509</v>
      </c>
      <c r="F220" s="8" t="s">
        <v>1510</v>
      </c>
      <c r="G220" s="6" t="s">
        <v>60</v>
      </c>
      <c r="H220" s="6" t="s">
        <v>34</v>
      </c>
      <c r="I220" s="8" t="s">
        <v>35</v>
      </c>
      <c r="J220" s="9">
        <v>1</v>
      </c>
      <c r="K220" s="9">
        <v>256</v>
      </c>
      <c r="L220" s="9">
        <v>2026</v>
      </c>
      <c r="M220" s="8" t="s">
        <v>1511</v>
      </c>
      <c r="N220" s="8" t="s">
        <v>37</v>
      </c>
      <c r="O220" s="8" t="s">
        <v>136</v>
      </c>
      <c r="P220" s="6" t="s">
        <v>39</v>
      </c>
      <c r="Q220" s="8" t="s">
        <v>40</v>
      </c>
      <c r="R220" s="10" t="s">
        <v>1512</v>
      </c>
      <c r="S220" s="11"/>
      <c r="T220" s="6"/>
      <c r="U220" s="15" t="str">
        <f>HYPERLINK("https://media.infra-m.ru/2223/2223619/cover/2223619.jpg", "Обложка")</f>
        <v>Обложка</v>
      </c>
      <c r="V220" s="8" t="s">
        <v>1277</v>
      </c>
      <c r="W220" s="6" t="s">
        <v>186</v>
      </c>
      <c r="X220" s="6"/>
      <c r="Y220" s="6"/>
      <c r="Z220" s="6"/>
      <c r="AA220" s="6" t="s">
        <v>187</v>
      </c>
      <c r="AB220" s="8" t="s">
        <v>308</v>
      </c>
      <c r="AC220" s="27">
        <v>9785160214054</v>
      </c>
    </row>
    <row r="221" spans="1:29" s="4" customFormat="1" ht="44.1" customHeight="1" x14ac:dyDescent="0.2">
      <c r="A221" s="5">
        <v>0</v>
      </c>
      <c r="B221" s="6" t="s">
        <v>1513</v>
      </c>
      <c r="C221" s="7">
        <v>1416</v>
      </c>
      <c r="D221" s="8" t="s">
        <v>1514</v>
      </c>
      <c r="E221" s="8" t="s">
        <v>1515</v>
      </c>
      <c r="F221" s="8" t="s">
        <v>1516</v>
      </c>
      <c r="G221" s="6" t="s">
        <v>33</v>
      </c>
      <c r="H221" s="6" t="s">
        <v>34</v>
      </c>
      <c r="I221" s="8" t="s">
        <v>35</v>
      </c>
      <c r="J221" s="9">
        <v>1</v>
      </c>
      <c r="K221" s="9">
        <v>203</v>
      </c>
      <c r="L221" s="9">
        <v>2027</v>
      </c>
      <c r="M221" s="8" t="s">
        <v>1517</v>
      </c>
      <c r="N221" s="8" t="s">
        <v>585</v>
      </c>
      <c r="O221" s="8" t="s">
        <v>1518</v>
      </c>
      <c r="P221" s="6" t="s">
        <v>39</v>
      </c>
      <c r="Q221" s="8" t="s">
        <v>40</v>
      </c>
      <c r="R221" s="10" t="s">
        <v>1519</v>
      </c>
      <c r="S221" s="11"/>
      <c r="T221" s="6"/>
      <c r="U221" s="15" t="str">
        <f>HYPERLINK("https://media.infra-m.ru/2261/2261352/cover/2261352.jpg", "Обложка")</f>
        <v>Обложка</v>
      </c>
      <c r="V221" s="8" t="s">
        <v>1520</v>
      </c>
      <c r="W221" s="6"/>
      <c r="X221" s="6"/>
      <c r="Y221" s="6"/>
      <c r="Z221" s="6"/>
      <c r="AA221" s="6" t="s">
        <v>248</v>
      </c>
      <c r="AB221" s="8"/>
      <c r="AC221" s="27">
        <v>9785160095813</v>
      </c>
    </row>
    <row r="222" spans="1:29" s="4" customFormat="1" ht="51.9" customHeight="1" x14ac:dyDescent="0.2">
      <c r="A222" s="5">
        <v>0</v>
      </c>
      <c r="B222" s="6" t="s">
        <v>1521</v>
      </c>
      <c r="C222" s="13">
        <v>888</v>
      </c>
      <c r="D222" s="8" t="s">
        <v>1522</v>
      </c>
      <c r="E222" s="8" t="s">
        <v>1523</v>
      </c>
      <c r="F222" s="8" t="s">
        <v>1524</v>
      </c>
      <c r="G222" s="6" t="s">
        <v>118</v>
      </c>
      <c r="H222" s="6" t="s">
        <v>34</v>
      </c>
      <c r="I222" s="8" t="s">
        <v>35</v>
      </c>
      <c r="J222" s="9">
        <v>1</v>
      </c>
      <c r="K222" s="9">
        <v>156</v>
      </c>
      <c r="L222" s="9">
        <v>2023</v>
      </c>
      <c r="M222" s="8" t="s">
        <v>1525</v>
      </c>
      <c r="N222" s="8" t="s">
        <v>243</v>
      </c>
      <c r="O222" s="8" t="s">
        <v>1100</v>
      </c>
      <c r="P222" s="6" t="s">
        <v>39</v>
      </c>
      <c r="Q222" s="8" t="s">
        <v>40</v>
      </c>
      <c r="R222" s="10" t="s">
        <v>1526</v>
      </c>
      <c r="S222" s="11"/>
      <c r="T222" s="6"/>
      <c r="U222" s="15" t="str">
        <f>HYPERLINK("https://media.infra-m.ru/2019/2019757/cover/2019757.jpg", "Обложка")</f>
        <v>Обложка</v>
      </c>
      <c r="V222" s="8" t="s">
        <v>1527</v>
      </c>
      <c r="W222" s="6"/>
      <c r="X222" s="6"/>
      <c r="Y222" s="6"/>
      <c r="Z222" s="6"/>
      <c r="AA222" s="6" t="s">
        <v>86</v>
      </c>
      <c r="AB222" s="8"/>
      <c r="AC222" s="27">
        <v>9785160134994</v>
      </c>
    </row>
    <row r="223" spans="1:29" s="4" customFormat="1" ht="51.9" customHeight="1" x14ac:dyDescent="0.2">
      <c r="A223" s="5">
        <v>0</v>
      </c>
      <c r="B223" s="6" t="s">
        <v>1528</v>
      </c>
      <c r="C223" s="7">
        <v>1372.8</v>
      </c>
      <c r="D223" s="8" t="s">
        <v>1529</v>
      </c>
      <c r="E223" s="8" t="s">
        <v>1530</v>
      </c>
      <c r="F223" s="8" t="s">
        <v>1531</v>
      </c>
      <c r="G223" s="6" t="s">
        <v>33</v>
      </c>
      <c r="H223" s="6" t="s">
        <v>48</v>
      </c>
      <c r="I223" s="8"/>
      <c r="J223" s="9">
        <v>1</v>
      </c>
      <c r="K223" s="9">
        <v>192</v>
      </c>
      <c r="L223" s="9">
        <v>2027</v>
      </c>
      <c r="M223" s="8" t="s">
        <v>1532</v>
      </c>
      <c r="N223" s="8" t="s">
        <v>63</v>
      </c>
      <c r="O223" s="8" t="s">
        <v>154</v>
      </c>
      <c r="P223" s="6" t="s">
        <v>51</v>
      </c>
      <c r="Q223" s="8" t="s">
        <v>52</v>
      </c>
      <c r="R223" s="10" t="s">
        <v>1533</v>
      </c>
      <c r="S223" s="11" t="s">
        <v>1534</v>
      </c>
      <c r="T223" s="6"/>
      <c r="U223" s="15" t="str">
        <f>HYPERLINK("https://media.infra-m.ru/2246/2246785/cover/2246785.jpg", "Обложка")</f>
        <v>Обложка</v>
      </c>
      <c r="V223" s="8" t="s">
        <v>546</v>
      </c>
      <c r="W223" s="6"/>
      <c r="X223" s="6"/>
      <c r="Y223" s="6"/>
      <c r="Z223" s="6"/>
      <c r="AA223" s="6" t="s">
        <v>55</v>
      </c>
      <c r="AB223" s="8"/>
      <c r="AC223" s="27">
        <v>9785911347277</v>
      </c>
    </row>
    <row r="224" spans="1:29" s="4" customFormat="1" ht="42" customHeight="1" x14ac:dyDescent="0.2">
      <c r="A224" s="5">
        <v>0</v>
      </c>
      <c r="B224" s="6" t="s">
        <v>1535</v>
      </c>
      <c r="C224" s="7">
        <v>1308</v>
      </c>
      <c r="D224" s="8" t="s">
        <v>1536</v>
      </c>
      <c r="E224" s="8" t="s">
        <v>1537</v>
      </c>
      <c r="F224" s="8" t="s">
        <v>1538</v>
      </c>
      <c r="G224" s="6" t="s">
        <v>33</v>
      </c>
      <c r="H224" s="6" t="s">
        <v>34</v>
      </c>
      <c r="I224" s="8" t="s">
        <v>35</v>
      </c>
      <c r="J224" s="9">
        <v>1</v>
      </c>
      <c r="K224" s="9">
        <v>170</v>
      </c>
      <c r="L224" s="9">
        <v>2025</v>
      </c>
      <c r="M224" s="8" t="s">
        <v>1539</v>
      </c>
      <c r="N224" s="8" t="s">
        <v>93</v>
      </c>
      <c r="O224" s="8" t="s">
        <v>94</v>
      </c>
      <c r="P224" s="6" t="s">
        <v>39</v>
      </c>
      <c r="Q224" s="8" t="s">
        <v>40</v>
      </c>
      <c r="R224" s="10" t="s">
        <v>1540</v>
      </c>
      <c r="S224" s="11"/>
      <c r="T224" s="6"/>
      <c r="U224" s="15" t="str">
        <f>HYPERLINK("https://media.infra-m.ru/2150/2150917/cover/2150917.jpg", "Обложка")</f>
        <v>Обложка</v>
      </c>
      <c r="V224" s="8" t="s">
        <v>54</v>
      </c>
      <c r="W224" s="6"/>
      <c r="X224" s="6"/>
      <c r="Y224" s="6"/>
      <c r="Z224" s="6"/>
      <c r="AA224" s="6" t="s">
        <v>917</v>
      </c>
      <c r="AB224" s="8"/>
      <c r="AC224" s="27">
        <v>9785160199917</v>
      </c>
    </row>
    <row r="225" spans="1:29" s="4" customFormat="1" ht="42" customHeight="1" x14ac:dyDescent="0.2">
      <c r="A225" s="5">
        <v>0</v>
      </c>
      <c r="B225" s="6" t="s">
        <v>1541</v>
      </c>
      <c r="C225" s="13">
        <v>780</v>
      </c>
      <c r="D225" s="8" t="s">
        <v>1542</v>
      </c>
      <c r="E225" s="8" t="s">
        <v>1543</v>
      </c>
      <c r="F225" s="8" t="s">
        <v>1538</v>
      </c>
      <c r="G225" s="6" t="s">
        <v>33</v>
      </c>
      <c r="H225" s="6" t="s">
        <v>34</v>
      </c>
      <c r="I225" s="8" t="s">
        <v>35</v>
      </c>
      <c r="J225" s="9">
        <v>1</v>
      </c>
      <c r="K225" s="9">
        <v>137</v>
      </c>
      <c r="L225" s="9">
        <v>2024</v>
      </c>
      <c r="M225" s="8" t="s">
        <v>1544</v>
      </c>
      <c r="N225" s="8" t="s">
        <v>93</v>
      </c>
      <c r="O225" s="8" t="s">
        <v>94</v>
      </c>
      <c r="P225" s="6" t="s">
        <v>39</v>
      </c>
      <c r="Q225" s="8" t="s">
        <v>40</v>
      </c>
      <c r="R225" s="10" t="s">
        <v>1540</v>
      </c>
      <c r="S225" s="11"/>
      <c r="T225" s="6"/>
      <c r="U225" s="15" t="str">
        <f>HYPERLINK("https://media.infra-m.ru/2139/2139292/cover/2139292.jpg", "Обложка")</f>
        <v>Обложка</v>
      </c>
      <c r="V225" s="8" t="s">
        <v>54</v>
      </c>
      <c r="W225" s="6"/>
      <c r="X225" s="6"/>
      <c r="Y225" s="6"/>
      <c r="Z225" s="6"/>
      <c r="AA225" s="6" t="s">
        <v>779</v>
      </c>
      <c r="AB225" s="8"/>
      <c r="AC225" s="27">
        <v>9785160123400</v>
      </c>
    </row>
    <row r="226" spans="1:29" s="4" customFormat="1" ht="51.9" customHeight="1" x14ac:dyDescent="0.2">
      <c r="A226" s="5">
        <v>0</v>
      </c>
      <c r="B226" s="6" t="s">
        <v>1545</v>
      </c>
      <c r="C226" s="7">
        <v>1308</v>
      </c>
      <c r="D226" s="8" t="s">
        <v>1546</v>
      </c>
      <c r="E226" s="8" t="s">
        <v>1547</v>
      </c>
      <c r="F226" s="8" t="s">
        <v>1548</v>
      </c>
      <c r="G226" s="6" t="s">
        <v>33</v>
      </c>
      <c r="H226" s="6" t="s">
        <v>34</v>
      </c>
      <c r="I226" s="8" t="s">
        <v>35</v>
      </c>
      <c r="J226" s="9">
        <v>1</v>
      </c>
      <c r="K226" s="9">
        <v>186</v>
      </c>
      <c r="L226" s="9">
        <v>2026</v>
      </c>
      <c r="M226" s="8" t="s">
        <v>1549</v>
      </c>
      <c r="N226" s="8" t="s">
        <v>93</v>
      </c>
      <c r="O226" s="8" t="s">
        <v>94</v>
      </c>
      <c r="P226" s="6" t="s">
        <v>39</v>
      </c>
      <c r="Q226" s="8" t="s">
        <v>40</v>
      </c>
      <c r="R226" s="10" t="s">
        <v>1550</v>
      </c>
      <c r="S226" s="11"/>
      <c r="T226" s="6"/>
      <c r="U226" s="15" t="str">
        <f>HYPERLINK("https://media.infra-m.ru/2233/2233283/cover/2233283.jpg", "Обложка")</f>
        <v>Обложка</v>
      </c>
      <c r="V226" s="8" t="s">
        <v>1551</v>
      </c>
      <c r="W226" s="6" t="s">
        <v>186</v>
      </c>
      <c r="X226" s="6"/>
      <c r="Y226" s="6"/>
      <c r="Z226" s="6"/>
      <c r="AA226" s="6" t="s">
        <v>187</v>
      </c>
      <c r="AB226" s="8" t="s">
        <v>308</v>
      </c>
      <c r="AC226" s="27">
        <v>9785160216478</v>
      </c>
    </row>
    <row r="227" spans="1:29" s="4" customFormat="1" ht="44.1" customHeight="1" x14ac:dyDescent="0.2">
      <c r="A227" s="5">
        <v>0</v>
      </c>
      <c r="B227" s="6" t="s">
        <v>1552</v>
      </c>
      <c r="C227" s="7">
        <v>1576.8</v>
      </c>
      <c r="D227" s="8" t="s">
        <v>1553</v>
      </c>
      <c r="E227" s="8" t="s">
        <v>1554</v>
      </c>
      <c r="F227" s="8" t="s">
        <v>1555</v>
      </c>
      <c r="G227" s="6" t="s">
        <v>33</v>
      </c>
      <c r="H227" s="6" t="s">
        <v>34</v>
      </c>
      <c r="I227" s="8" t="s">
        <v>457</v>
      </c>
      <c r="J227" s="9">
        <v>1</v>
      </c>
      <c r="K227" s="9">
        <v>239</v>
      </c>
      <c r="L227" s="9">
        <v>2026</v>
      </c>
      <c r="M227" s="8" t="s">
        <v>1556</v>
      </c>
      <c r="N227" s="8" t="s">
        <v>37</v>
      </c>
      <c r="O227" s="8" t="s">
        <v>233</v>
      </c>
      <c r="P227" s="6" t="s">
        <v>39</v>
      </c>
      <c r="Q227" s="8" t="s">
        <v>40</v>
      </c>
      <c r="R227" s="10" t="s">
        <v>1557</v>
      </c>
      <c r="S227" s="11"/>
      <c r="T227" s="6"/>
      <c r="U227" s="15" t="str">
        <f>HYPERLINK("https://media.infra-m.ru/2238/2238229/cover/2238229.jpg", "Обложка")</f>
        <v>Обложка</v>
      </c>
      <c r="V227" s="8" t="s">
        <v>247</v>
      </c>
      <c r="W227" s="6"/>
      <c r="X227" s="6"/>
      <c r="Y227" s="6"/>
      <c r="Z227" s="6"/>
      <c r="AA227" s="6" t="s">
        <v>76</v>
      </c>
      <c r="AB227" s="8"/>
      <c r="AC227" s="27">
        <v>9785160190952</v>
      </c>
    </row>
    <row r="228" spans="1:29" s="4" customFormat="1" ht="42" customHeight="1" x14ac:dyDescent="0.2">
      <c r="A228" s="5">
        <v>0</v>
      </c>
      <c r="B228" s="6" t="s">
        <v>1558</v>
      </c>
      <c r="C228" s="7">
        <v>1056</v>
      </c>
      <c r="D228" s="8" t="s">
        <v>1559</v>
      </c>
      <c r="E228" s="8" t="s">
        <v>1560</v>
      </c>
      <c r="F228" s="8" t="s">
        <v>1561</v>
      </c>
      <c r="G228" s="6" t="s">
        <v>60</v>
      </c>
      <c r="H228" s="6" t="s">
        <v>34</v>
      </c>
      <c r="I228" s="8" t="s">
        <v>35</v>
      </c>
      <c r="J228" s="9">
        <v>1</v>
      </c>
      <c r="K228" s="9">
        <v>176</v>
      </c>
      <c r="L228" s="9">
        <v>2024</v>
      </c>
      <c r="M228" s="8" t="s">
        <v>1562</v>
      </c>
      <c r="N228" s="8" t="s">
        <v>93</v>
      </c>
      <c r="O228" s="8" t="s">
        <v>94</v>
      </c>
      <c r="P228" s="6" t="s">
        <v>39</v>
      </c>
      <c r="Q228" s="8" t="s">
        <v>40</v>
      </c>
      <c r="R228" s="10" t="s">
        <v>1563</v>
      </c>
      <c r="S228" s="11"/>
      <c r="T228" s="6"/>
      <c r="U228" s="15" t="str">
        <f>HYPERLINK("https://media.infra-m.ru/2137/2137584/cover/2137584.jpg", "Обложка")</f>
        <v>Обложка</v>
      </c>
      <c r="V228" s="8" t="s">
        <v>67</v>
      </c>
      <c r="W228" s="6"/>
      <c r="X228" s="6"/>
      <c r="Y228" s="6"/>
      <c r="Z228" s="6"/>
      <c r="AA228" s="6" t="s">
        <v>76</v>
      </c>
      <c r="AB228" s="8"/>
      <c r="AC228" s="27">
        <v>9785160197876</v>
      </c>
    </row>
    <row r="229" spans="1:29" s="4" customFormat="1" ht="51.9" customHeight="1" x14ac:dyDescent="0.2">
      <c r="A229" s="5">
        <v>0</v>
      </c>
      <c r="B229" s="6" t="s">
        <v>1564</v>
      </c>
      <c r="C229" s="7">
        <v>2160</v>
      </c>
      <c r="D229" s="8" t="s">
        <v>1565</v>
      </c>
      <c r="E229" s="8" t="s">
        <v>1566</v>
      </c>
      <c r="F229" s="8" t="s">
        <v>1567</v>
      </c>
      <c r="G229" s="6" t="s">
        <v>118</v>
      </c>
      <c r="H229" s="6" t="s">
        <v>34</v>
      </c>
      <c r="I229" s="8" t="s">
        <v>375</v>
      </c>
      <c r="J229" s="9">
        <v>1</v>
      </c>
      <c r="K229" s="9">
        <v>327</v>
      </c>
      <c r="L229" s="9">
        <v>2026</v>
      </c>
      <c r="M229" s="8" t="s">
        <v>1568</v>
      </c>
      <c r="N229" s="8" t="s">
        <v>243</v>
      </c>
      <c r="O229" s="8" t="s">
        <v>385</v>
      </c>
      <c r="P229" s="6" t="s">
        <v>105</v>
      </c>
      <c r="Q229" s="8" t="s">
        <v>500</v>
      </c>
      <c r="R229" s="10" t="s">
        <v>1569</v>
      </c>
      <c r="S229" s="11" t="s">
        <v>1570</v>
      </c>
      <c r="T229" s="6"/>
      <c r="U229" s="15" t="str">
        <f>HYPERLINK("https://media.infra-m.ru/2250/2250949/cover/2250949.jpg", "Обложка")</f>
        <v>Обложка</v>
      </c>
      <c r="V229" s="8" t="s">
        <v>379</v>
      </c>
      <c r="W229" s="6"/>
      <c r="X229" s="6"/>
      <c r="Y229" s="6"/>
      <c r="Z229" s="6"/>
      <c r="AA229" s="6" t="s">
        <v>68</v>
      </c>
      <c r="AB229" s="8"/>
      <c r="AC229" s="27">
        <v>9785160201016</v>
      </c>
    </row>
    <row r="230" spans="1:29" s="4" customFormat="1" ht="42" customHeight="1" x14ac:dyDescent="0.2">
      <c r="A230" s="5">
        <v>0</v>
      </c>
      <c r="B230" s="6" t="s">
        <v>1571</v>
      </c>
      <c r="C230" s="7">
        <v>3588</v>
      </c>
      <c r="D230" s="8" t="s">
        <v>1572</v>
      </c>
      <c r="E230" s="8" t="s">
        <v>1573</v>
      </c>
      <c r="F230" s="8" t="s">
        <v>1574</v>
      </c>
      <c r="G230" s="6" t="s">
        <v>60</v>
      </c>
      <c r="H230" s="6" t="s">
        <v>34</v>
      </c>
      <c r="I230" s="8" t="s">
        <v>253</v>
      </c>
      <c r="J230" s="9">
        <v>1</v>
      </c>
      <c r="K230" s="9">
        <v>534</v>
      </c>
      <c r="L230" s="9">
        <v>2026</v>
      </c>
      <c r="M230" s="8" t="s">
        <v>1575</v>
      </c>
      <c r="N230" s="8" t="s">
        <v>37</v>
      </c>
      <c r="O230" s="8" t="s">
        <v>233</v>
      </c>
      <c r="P230" s="6" t="s">
        <v>306</v>
      </c>
      <c r="Q230" s="8" t="s">
        <v>65</v>
      </c>
      <c r="R230" s="10" t="s">
        <v>1576</v>
      </c>
      <c r="S230" s="11"/>
      <c r="T230" s="6" t="s">
        <v>97</v>
      </c>
      <c r="U230" s="15" t="str">
        <f>HYPERLINK("https://media.infra-m.ru/2211/2211636/cover/2211636.jpg", "Обложка")</f>
        <v>Обложка</v>
      </c>
      <c r="V230" s="8" t="s">
        <v>396</v>
      </c>
      <c r="W230" s="6" t="s">
        <v>299</v>
      </c>
      <c r="X230" s="6"/>
      <c r="Y230" s="6"/>
      <c r="Z230" s="6"/>
      <c r="AA230" s="6" t="s">
        <v>187</v>
      </c>
      <c r="AB230" s="8" t="s">
        <v>308</v>
      </c>
      <c r="AC230" s="27">
        <v>9785160210391</v>
      </c>
    </row>
    <row r="231" spans="1:29" s="4" customFormat="1" ht="51.9" customHeight="1" x14ac:dyDescent="0.2">
      <c r="A231" s="5">
        <v>0</v>
      </c>
      <c r="B231" s="6" t="s">
        <v>1577</v>
      </c>
      <c r="C231" s="7">
        <v>1428</v>
      </c>
      <c r="D231" s="8" t="s">
        <v>1578</v>
      </c>
      <c r="E231" s="8" t="s">
        <v>1579</v>
      </c>
      <c r="F231" s="8" t="s">
        <v>1580</v>
      </c>
      <c r="G231" s="6" t="s">
        <v>33</v>
      </c>
      <c r="H231" s="6" t="s">
        <v>313</v>
      </c>
      <c r="I231" s="8" t="s">
        <v>35</v>
      </c>
      <c r="J231" s="9">
        <v>1</v>
      </c>
      <c r="K231" s="9">
        <v>218</v>
      </c>
      <c r="L231" s="9">
        <v>2026</v>
      </c>
      <c r="M231" s="8" t="s">
        <v>1581</v>
      </c>
      <c r="N231" s="8" t="s">
        <v>243</v>
      </c>
      <c r="O231" s="8" t="s">
        <v>244</v>
      </c>
      <c r="P231" s="6" t="s">
        <v>39</v>
      </c>
      <c r="Q231" s="8" t="s">
        <v>40</v>
      </c>
      <c r="R231" s="10" t="s">
        <v>1582</v>
      </c>
      <c r="S231" s="11"/>
      <c r="T231" s="6"/>
      <c r="U231" s="15" t="str">
        <f>HYPERLINK("https://media.infra-m.ru/2232/2232408/cover/2232408.jpg", "Обложка")</f>
        <v>Обложка</v>
      </c>
      <c r="V231" s="8" t="s">
        <v>644</v>
      </c>
      <c r="W231" s="6"/>
      <c r="X231" s="6"/>
      <c r="Y231" s="6"/>
      <c r="Z231" s="6"/>
      <c r="AA231" s="6" t="s">
        <v>917</v>
      </c>
      <c r="AB231" s="8"/>
      <c r="AC231" s="27">
        <v>9785369019726</v>
      </c>
    </row>
    <row r="232" spans="1:29" s="4" customFormat="1" ht="51.9" customHeight="1" x14ac:dyDescent="0.2">
      <c r="A232" s="5">
        <v>0</v>
      </c>
      <c r="B232" s="6" t="s">
        <v>1583</v>
      </c>
      <c r="C232" s="7">
        <v>1248</v>
      </c>
      <c r="D232" s="8" t="s">
        <v>1584</v>
      </c>
      <c r="E232" s="8" t="s">
        <v>1585</v>
      </c>
      <c r="F232" s="8" t="s">
        <v>1586</v>
      </c>
      <c r="G232" s="6" t="s">
        <v>33</v>
      </c>
      <c r="H232" s="6" t="s">
        <v>34</v>
      </c>
      <c r="I232" s="8" t="s">
        <v>35</v>
      </c>
      <c r="J232" s="9">
        <v>1</v>
      </c>
      <c r="K232" s="9">
        <v>188</v>
      </c>
      <c r="L232" s="9">
        <v>2026</v>
      </c>
      <c r="M232" s="8" t="s">
        <v>1587</v>
      </c>
      <c r="N232" s="8" t="s">
        <v>585</v>
      </c>
      <c r="O232" s="8" t="s">
        <v>775</v>
      </c>
      <c r="P232" s="6" t="s">
        <v>39</v>
      </c>
      <c r="Q232" s="8" t="s">
        <v>40</v>
      </c>
      <c r="R232" s="10" t="s">
        <v>1588</v>
      </c>
      <c r="S232" s="11"/>
      <c r="T232" s="6"/>
      <c r="U232" s="15" t="str">
        <f>HYPERLINK("https://media.infra-m.ru/2239/2239206/cover/2239206.jpg", "Обложка")</f>
        <v>Обложка</v>
      </c>
      <c r="V232" s="8" t="s">
        <v>1116</v>
      </c>
      <c r="W232" s="6"/>
      <c r="X232" s="6"/>
      <c r="Y232" s="6"/>
      <c r="Z232" s="6"/>
      <c r="AA232" s="6" t="s">
        <v>1256</v>
      </c>
      <c r="AB232" s="8"/>
      <c r="AC232" s="27">
        <v>9785160148267</v>
      </c>
    </row>
    <row r="233" spans="1:29" s="4" customFormat="1" ht="51.9" customHeight="1" x14ac:dyDescent="0.2">
      <c r="A233" s="5">
        <v>0</v>
      </c>
      <c r="B233" s="6" t="s">
        <v>1589</v>
      </c>
      <c r="C233" s="13">
        <v>636</v>
      </c>
      <c r="D233" s="8" t="s">
        <v>1590</v>
      </c>
      <c r="E233" s="8" t="s">
        <v>1591</v>
      </c>
      <c r="F233" s="8" t="s">
        <v>1580</v>
      </c>
      <c r="G233" s="6" t="s">
        <v>33</v>
      </c>
      <c r="H233" s="6" t="s">
        <v>313</v>
      </c>
      <c r="I233" s="8" t="s">
        <v>35</v>
      </c>
      <c r="J233" s="9">
        <v>1</v>
      </c>
      <c r="K233" s="9">
        <v>111</v>
      </c>
      <c r="L233" s="9">
        <v>2023</v>
      </c>
      <c r="M233" s="8" t="s">
        <v>1592</v>
      </c>
      <c r="N233" s="8" t="s">
        <v>243</v>
      </c>
      <c r="O233" s="8" t="s">
        <v>244</v>
      </c>
      <c r="P233" s="6" t="s">
        <v>39</v>
      </c>
      <c r="Q233" s="8" t="s">
        <v>40</v>
      </c>
      <c r="R233" s="10" t="s">
        <v>1582</v>
      </c>
      <c r="S233" s="11"/>
      <c r="T233" s="6"/>
      <c r="U233" s="15" t="str">
        <f>HYPERLINK("https://media.infra-m.ru/1915/1915704/cover/1915704.jpg", "Обложка")</f>
        <v>Обложка</v>
      </c>
      <c r="V233" s="8" t="s">
        <v>644</v>
      </c>
      <c r="W233" s="6"/>
      <c r="X233" s="6"/>
      <c r="Y233" s="6"/>
      <c r="Z233" s="6"/>
      <c r="AA233" s="6" t="s">
        <v>99</v>
      </c>
      <c r="AB233" s="8"/>
      <c r="AC233" s="27">
        <v>9785369016800</v>
      </c>
    </row>
    <row r="234" spans="1:29" s="4" customFormat="1" ht="51.9" customHeight="1" x14ac:dyDescent="0.2">
      <c r="A234" s="5">
        <v>0</v>
      </c>
      <c r="B234" s="6" t="s">
        <v>1593</v>
      </c>
      <c r="C234" s="13">
        <v>816</v>
      </c>
      <c r="D234" s="8" t="s">
        <v>1594</v>
      </c>
      <c r="E234" s="8" t="s">
        <v>1595</v>
      </c>
      <c r="F234" s="8" t="s">
        <v>1596</v>
      </c>
      <c r="G234" s="6" t="s">
        <v>33</v>
      </c>
      <c r="H234" s="6" t="s">
        <v>34</v>
      </c>
      <c r="I234" s="8" t="s">
        <v>35</v>
      </c>
      <c r="J234" s="9">
        <v>1</v>
      </c>
      <c r="K234" s="9">
        <v>131</v>
      </c>
      <c r="L234" s="9">
        <v>2026</v>
      </c>
      <c r="M234" s="8" t="s">
        <v>1597</v>
      </c>
      <c r="N234" s="8" t="s">
        <v>93</v>
      </c>
      <c r="O234" s="8" t="s">
        <v>94</v>
      </c>
      <c r="P234" s="6" t="s">
        <v>39</v>
      </c>
      <c r="Q234" s="8" t="s">
        <v>40</v>
      </c>
      <c r="R234" s="10" t="s">
        <v>1598</v>
      </c>
      <c r="S234" s="11"/>
      <c r="T234" s="6"/>
      <c r="U234" s="15" t="str">
        <f>HYPERLINK("https://media.infra-m.ru/2139/2139293/cover/2139293.jpg", "Обложка")</f>
        <v>Обложка</v>
      </c>
      <c r="V234" s="8" t="s">
        <v>1599</v>
      </c>
      <c r="W234" s="6"/>
      <c r="X234" s="6"/>
      <c r="Y234" s="6"/>
      <c r="Z234" s="6"/>
      <c r="AA234" s="6" t="s">
        <v>623</v>
      </c>
      <c r="AB234" s="8"/>
      <c r="AC234" s="27">
        <v>9785160141541</v>
      </c>
    </row>
    <row r="235" spans="1:29" s="4" customFormat="1" ht="51.9" customHeight="1" x14ac:dyDescent="0.2">
      <c r="A235" s="5">
        <v>0</v>
      </c>
      <c r="B235" s="6" t="s">
        <v>1600</v>
      </c>
      <c r="C235" s="7">
        <v>1020</v>
      </c>
      <c r="D235" s="8" t="s">
        <v>1601</v>
      </c>
      <c r="E235" s="8" t="s">
        <v>1602</v>
      </c>
      <c r="F235" s="8" t="s">
        <v>1603</v>
      </c>
      <c r="G235" s="6" t="s">
        <v>33</v>
      </c>
      <c r="H235" s="6" t="s">
        <v>34</v>
      </c>
      <c r="I235" s="8" t="s">
        <v>35</v>
      </c>
      <c r="J235" s="9">
        <v>1</v>
      </c>
      <c r="K235" s="9">
        <v>154</v>
      </c>
      <c r="L235" s="9">
        <v>2026</v>
      </c>
      <c r="M235" s="8" t="s">
        <v>1604</v>
      </c>
      <c r="N235" s="8" t="s">
        <v>37</v>
      </c>
      <c r="O235" s="8" t="s">
        <v>280</v>
      </c>
      <c r="P235" s="6" t="s">
        <v>39</v>
      </c>
      <c r="Q235" s="8" t="s">
        <v>40</v>
      </c>
      <c r="R235" s="10" t="s">
        <v>1605</v>
      </c>
      <c r="S235" s="11"/>
      <c r="T235" s="6"/>
      <c r="U235" s="15" t="str">
        <f>HYPERLINK("https://media.infra-m.ru/2243/2243991/cover/2243991.jpg", "Обложка")</f>
        <v>Обложка</v>
      </c>
      <c r="V235" s="8" t="s">
        <v>1606</v>
      </c>
      <c r="W235" s="6"/>
      <c r="X235" s="6"/>
      <c r="Y235" s="6"/>
      <c r="Z235" s="6"/>
      <c r="AA235" s="6" t="s">
        <v>430</v>
      </c>
      <c r="AB235" s="8"/>
      <c r="AC235" s="27">
        <v>9785160168708</v>
      </c>
    </row>
    <row r="236" spans="1:29" s="4" customFormat="1" ht="51.9" customHeight="1" x14ac:dyDescent="0.2">
      <c r="A236" s="5">
        <v>0</v>
      </c>
      <c r="B236" s="6" t="s">
        <v>1607</v>
      </c>
      <c r="C236" s="7">
        <v>1896</v>
      </c>
      <c r="D236" s="8" t="s">
        <v>1608</v>
      </c>
      <c r="E236" s="8" t="s">
        <v>1609</v>
      </c>
      <c r="F236" s="8" t="s">
        <v>1610</v>
      </c>
      <c r="G236" s="6" t="s">
        <v>33</v>
      </c>
      <c r="H236" s="6" t="s">
        <v>34</v>
      </c>
      <c r="I236" s="8" t="s">
        <v>35</v>
      </c>
      <c r="J236" s="9">
        <v>1</v>
      </c>
      <c r="K236" s="9">
        <v>286</v>
      </c>
      <c r="L236" s="9">
        <v>2026</v>
      </c>
      <c r="M236" s="8" t="s">
        <v>1611</v>
      </c>
      <c r="N236" s="8" t="s">
        <v>243</v>
      </c>
      <c r="O236" s="8" t="s">
        <v>1100</v>
      </c>
      <c r="P236" s="6" t="s">
        <v>39</v>
      </c>
      <c r="Q236" s="8" t="s">
        <v>40</v>
      </c>
      <c r="R236" s="10" t="s">
        <v>1612</v>
      </c>
      <c r="S236" s="11"/>
      <c r="T236" s="6"/>
      <c r="U236" s="15" t="str">
        <f>HYPERLINK("https://media.infra-m.ru/2235/2235720/cover/2235720.jpg", "Обложка")</f>
        <v>Обложка</v>
      </c>
      <c r="V236" s="8" t="s">
        <v>1613</v>
      </c>
      <c r="W236" s="6"/>
      <c r="X236" s="6"/>
      <c r="Y236" s="6"/>
      <c r="Z236" s="6"/>
      <c r="AA236" s="6" t="s">
        <v>1256</v>
      </c>
      <c r="AB236" s="8"/>
      <c r="AC236" s="27">
        <v>9785160159911</v>
      </c>
    </row>
    <row r="237" spans="1:29" s="4" customFormat="1" ht="51.9" customHeight="1" x14ac:dyDescent="0.2">
      <c r="A237" s="5">
        <v>0</v>
      </c>
      <c r="B237" s="6" t="s">
        <v>1614</v>
      </c>
      <c r="C237" s="7">
        <v>1104</v>
      </c>
      <c r="D237" s="8" t="s">
        <v>1615</v>
      </c>
      <c r="E237" s="8" t="s">
        <v>1616</v>
      </c>
      <c r="F237" s="8" t="s">
        <v>1617</v>
      </c>
      <c r="G237" s="6" t="s">
        <v>60</v>
      </c>
      <c r="H237" s="6" t="s">
        <v>34</v>
      </c>
      <c r="I237" s="8" t="s">
        <v>35</v>
      </c>
      <c r="J237" s="9">
        <v>1</v>
      </c>
      <c r="K237" s="9">
        <v>169</v>
      </c>
      <c r="L237" s="9">
        <v>2025</v>
      </c>
      <c r="M237" s="8" t="s">
        <v>1618</v>
      </c>
      <c r="N237" s="8" t="s">
        <v>37</v>
      </c>
      <c r="O237" s="8" t="s">
        <v>136</v>
      </c>
      <c r="P237" s="6" t="s">
        <v>39</v>
      </c>
      <c r="Q237" s="8" t="s">
        <v>40</v>
      </c>
      <c r="R237" s="10" t="s">
        <v>1619</v>
      </c>
      <c r="S237" s="11"/>
      <c r="T237" s="6"/>
      <c r="U237" s="15" t="str">
        <f>HYPERLINK("https://media.infra-m.ru/2171/2171042/cover/2171042.jpg", "Обложка")</f>
        <v>Обложка</v>
      </c>
      <c r="V237" s="8" t="s">
        <v>1212</v>
      </c>
      <c r="W237" s="6"/>
      <c r="X237" s="6"/>
      <c r="Y237" s="6"/>
      <c r="Z237" s="6"/>
      <c r="AA237" s="6" t="s">
        <v>68</v>
      </c>
      <c r="AB237" s="8"/>
      <c r="AC237" s="27">
        <v>9785160203904</v>
      </c>
    </row>
    <row r="238" spans="1:29" s="4" customFormat="1" ht="44.1" customHeight="1" x14ac:dyDescent="0.2">
      <c r="A238" s="5">
        <v>0</v>
      </c>
      <c r="B238" s="6" t="s">
        <v>1620</v>
      </c>
      <c r="C238" s="13">
        <v>600</v>
      </c>
      <c r="D238" s="8" t="s">
        <v>1621</v>
      </c>
      <c r="E238" s="8" t="s">
        <v>1622</v>
      </c>
      <c r="F238" s="8" t="s">
        <v>1623</v>
      </c>
      <c r="G238" s="6" t="s">
        <v>33</v>
      </c>
      <c r="H238" s="6" t="s">
        <v>134</v>
      </c>
      <c r="I238" s="8"/>
      <c r="J238" s="9">
        <v>1</v>
      </c>
      <c r="K238" s="9">
        <v>96</v>
      </c>
      <c r="L238" s="9">
        <v>2025</v>
      </c>
      <c r="M238" s="8" t="s">
        <v>1624</v>
      </c>
      <c r="N238" s="8" t="s">
        <v>37</v>
      </c>
      <c r="O238" s="8" t="s">
        <v>136</v>
      </c>
      <c r="P238" s="6" t="s">
        <v>51</v>
      </c>
      <c r="Q238" s="8" t="s">
        <v>500</v>
      </c>
      <c r="R238" s="10" t="s">
        <v>1625</v>
      </c>
      <c r="S238" s="11"/>
      <c r="T238" s="6"/>
      <c r="U238" s="15" t="str">
        <f>HYPERLINK("https://media.infra-m.ru/2195/2195580/cover/2195580.jpg", "Обложка")</f>
        <v>Обложка</v>
      </c>
      <c r="V238" s="8" t="s">
        <v>1184</v>
      </c>
      <c r="W238" s="6"/>
      <c r="X238" s="6"/>
      <c r="Y238" s="6"/>
      <c r="Z238" s="6"/>
      <c r="AA238" s="6" t="s">
        <v>430</v>
      </c>
      <c r="AB238" s="8"/>
      <c r="AC238" s="27">
        <v>9785001561088</v>
      </c>
    </row>
    <row r="239" spans="1:29" s="4" customFormat="1" ht="42" customHeight="1" x14ac:dyDescent="0.2">
      <c r="A239" s="5">
        <v>0</v>
      </c>
      <c r="B239" s="6" t="s">
        <v>1626</v>
      </c>
      <c r="C239" s="7">
        <v>1932</v>
      </c>
      <c r="D239" s="8" t="s">
        <v>1627</v>
      </c>
      <c r="E239" s="8" t="s">
        <v>1628</v>
      </c>
      <c r="F239" s="8" t="s">
        <v>1629</v>
      </c>
      <c r="G239" s="6" t="s">
        <v>33</v>
      </c>
      <c r="H239" s="6" t="s">
        <v>134</v>
      </c>
      <c r="I239" s="8"/>
      <c r="J239" s="9">
        <v>1</v>
      </c>
      <c r="K239" s="9">
        <v>272</v>
      </c>
      <c r="L239" s="9">
        <v>2027</v>
      </c>
      <c r="M239" s="8" t="s">
        <v>1630</v>
      </c>
      <c r="N239" s="8" t="s">
        <v>37</v>
      </c>
      <c r="O239" s="8" t="s">
        <v>136</v>
      </c>
      <c r="P239" s="6" t="s">
        <v>39</v>
      </c>
      <c r="Q239" s="8" t="s">
        <v>40</v>
      </c>
      <c r="R239" s="10" t="s">
        <v>1631</v>
      </c>
      <c r="S239" s="11"/>
      <c r="T239" s="6"/>
      <c r="U239" s="15" t="str">
        <f>HYPERLINK("https://media.infra-m.ru/2262/2262282/cover/2262282.jpg", "Обложка")</f>
        <v>Обложка</v>
      </c>
      <c r="V239" s="8" t="s">
        <v>1069</v>
      </c>
      <c r="W239" s="6"/>
      <c r="X239" s="6"/>
      <c r="Y239" s="6"/>
      <c r="Z239" s="6"/>
      <c r="AA239" s="6" t="s">
        <v>1506</v>
      </c>
      <c r="AB239" s="8"/>
      <c r="AC239" s="27">
        <v>9785917688848</v>
      </c>
    </row>
    <row r="240" spans="1:29" s="4" customFormat="1" ht="51.9" customHeight="1" x14ac:dyDescent="0.2">
      <c r="A240" s="5">
        <v>0</v>
      </c>
      <c r="B240" s="6" t="s">
        <v>1632</v>
      </c>
      <c r="C240" s="7">
        <v>1816.8</v>
      </c>
      <c r="D240" s="8" t="s">
        <v>1633</v>
      </c>
      <c r="E240" s="8" t="s">
        <v>1634</v>
      </c>
      <c r="F240" s="8" t="s">
        <v>1635</v>
      </c>
      <c r="G240" s="6" t="s">
        <v>118</v>
      </c>
      <c r="H240" s="6" t="s">
        <v>34</v>
      </c>
      <c r="I240" s="8" t="s">
        <v>504</v>
      </c>
      <c r="J240" s="9">
        <v>1</v>
      </c>
      <c r="K240" s="9">
        <v>262</v>
      </c>
      <c r="L240" s="9">
        <v>2027</v>
      </c>
      <c r="M240" s="8" t="s">
        <v>1636</v>
      </c>
      <c r="N240" s="8" t="s">
        <v>243</v>
      </c>
      <c r="O240" s="8" t="s">
        <v>798</v>
      </c>
      <c r="P240" s="6" t="s">
        <v>51</v>
      </c>
      <c r="Q240" s="8" t="s">
        <v>500</v>
      </c>
      <c r="R240" s="10" t="s">
        <v>1637</v>
      </c>
      <c r="S240" s="11" t="s">
        <v>1638</v>
      </c>
      <c r="T240" s="6"/>
      <c r="U240" s="15" t="str">
        <f>HYPERLINK("https://media.infra-m.ru/2263/2263018/cover/2263018.jpg", "Обложка")</f>
        <v>Обложка</v>
      </c>
      <c r="V240" s="8" t="s">
        <v>1639</v>
      </c>
      <c r="W240" s="6"/>
      <c r="X240" s="6"/>
      <c r="Y240" s="6"/>
      <c r="Z240" s="6"/>
      <c r="AA240" s="6" t="s">
        <v>1256</v>
      </c>
      <c r="AB240" s="8" t="s">
        <v>1317</v>
      </c>
      <c r="AC240" s="27">
        <v>9785160145860</v>
      </c>
    </row>
    <row r="241" spans="1:29" s="4" customFormat="1" ht="42" customHeight="1" x14ac:dyDescent="0.2">
      <c r="A241" s="5">
        <v>0</v>
      </c>
      <c r="B241" s="6" t="s">
        <v>1640</v>
      </c>
      <c r="C241" s="7">
        <v>1552.8</v>
      </c>
      <c r="D241" s="8" t="s">
        <v>1641</v>
      </c>
      <c r="E241" s="8" t="s">
        <v>1642</v>
      </c>
      <c r="F241" s="8" t="s">
        <v>1643</v>
      </c>
      <c r="G241" s="6" t="s">
        <v>21</v>
      </c>
      <c r="H241" s="6" t="s">
        <v>1644</v>
      </c>
      <c r="I241" s="8"/>
      <c r="J241" s="9">
        <v>1</v>
      </c>
      <c r="K241" s="9">
        <v>264</v>
      </c>
      <c r="L241" s="9">
        <v>2024</v>
      </c>
      <c r="M241" s="8" t="s">
        <v>1645</v>
      </c>
      <c r="N241" s="8" t="s">
        <v>37</v>
      </c>
      <c r="O241" s="8" t="s">
        <v>233</v>
      </c>
      <c r="P241" s="6" t="s">
        <v>39</v>
      </c>
      <c r="Q241" s="8" t="s">
        <v>40</v>
      </c>
      <c r="R241" s="10" t="s">
        <v>1646</v>
      </c>
      <c r="S241" s="11"/>
      <c r="T241" s="6"/>
      <c r="U241" s="15" t="str">
        <f>HYPERLINK("https://media.infra-m.ru/2157/2157176/cover/2157176.jpg", "Обложка")</f>
        <v>Обложка</v>
      </c>
      <c r="V241" s="8" t="s">
        <v>1647</v>
      </c>
      <c r="W241" s="6"/>
      <c r="X241" s="6"/>
      <c r="Y241" s="6"/>
      <c r="Z241" s="6"/>
      <c r="AA241" s="6" t="s">
        <v>55</v>
      </c>
      <c r="AB241" s="8"/>
      <c r="AC241" s="27">
        <v>9785977602648</v>
      </c>
    </row>
    <row r="242" spans="1:29" s="4" customFormat="1" ht="51.9" customHeight="1" x14ac:dyDescent="0.2">
      <c r="A242" s="5">
        <v>0</v>
      </c>
      <c r="B242" s="6" t="s">
        <v>1648</v>
      </c>
      <c r="C242" s="13">
        <v>564</v>
      </c>
      <c r="D242" s="8" t="s">
        <v>1649</v>
      </c>
      <c r="E242" s="8" t="s">
        <v>1650</v>
      </c>
      <c r="F242" s="8" t="s">
        <v>1651</v>
      </c>
      <c r="G242" s="6" t="s">
        <v>33</v>
      </c>
      <c r="H242" s="6" t="s">
        <v>34</v>
      </c>
      <c r="I242" s="8" t="s">
        <v>504</v>
      </c>
      <c r="J242" s="9">
        <v>1</v>
      </c>
      <c r="K242" s="9">
        <v>105</v>
      </c>
      <c r="L242" s="9">
        <v>2023</v>
      </c>
      <c r="M242" s="8" t="s">
        <v>1652</v>
      </c>
      <c r="N242" s="8" t="s">
        <v>37</v>
      </c>
      <c r="O242" s="8" t="s">
        <v>136</v>
      </c>
      <c r="P242" s="6" t="s">
        <v>51</v>
      </c>
      <c r="Q242" s="8" t="s">
        <v>500</v>
      </c>
      <c r="R242" s="10" t="s">
        <v>1653</v>
      </c>
      <c r="S242" s="11" t="s">
        <v>1654</v>
      </c>
      <c r="T242" s="6"/>
      <c r="U242" s="15" t="str">
        <f>HYPERLINK("https://media.infra-m.ru/1937/1937953/cover/1937953.jpg", "Обложка")</f>
        <v>Обложка</v>
      </c>
      <c r="V242" s="8" t="s">
        <v>1339</v>
      </c>
      <c r="W242" s="6"/>
      <c r="X242" s="6"/>
      <c r="Y242" s="6"/>
      <c r="Z242" s="6"/>
      <c r="AA242" s="6" t="s">
        <v>258</v>
      </c>
      <c r="AB242" s="8"/>
      <c r="AC242" s="27">
        <v>9785160172125</v>
      </c>
    </row>
    <row r="243" spans="1:29" s="4" customFormat="1" ht="51.9" customHeight="1" x14ac:dyDescent="0.2">
      <c r="A243" s="5">
        <v>0</v>
      </c>
      <c r="B243" s="6" t="s">
        <v>1655</v>
      </c>
      <c r="C243" s="7">
        <v>2296.8000000000002</v>
      </c>
      <c r="D243" s="8" t="s">
        <v>1656</v>
      </c>
      <c r="E243" s="8" t="s">
        <v>1657</v>
      </c>
      <c r="F243" s="8" t="s">
        <v>1658</v>
      </c>
      <c r="G243" s="6" t="s">
        <v>60</v>
      </c>
      <c r="H243" s="6" t="s">
        <v>134</v>
      </c>
      <c r="I243" s="8"/>
      <c r="J243" s="9">
        <v>1</v>
      </c>
      <c r="K243" s="9">
        <v>328</v>
      </c>
      <c r="L243" s="9">
        <v>2026</v>
      </c>
      <c r="M243" s="8" t="s">
        <v>1659</v>
      </c>
      <c r="N243" s="8" t="s">
        <v>37</v>
      </c>
      <c r="O243" s="8" t="s">
        <v>136</v>
      </c>
      <c r="P243" s="6" t="s">
        <v>39</v>
      </c>
      <c r="Q243" s="8" t="s">
        <v>1660</v>
      </c>
      <c r="R243" s="10" t="s">
        <v>1661</v>
      </c>
      <c r="S243" s="11"/>
      <c r="T243" s="6"/>
      <c r="U243" s="15" t="str">
        <f>HYPERLINK("https://media.infra-m.ru/2244/2244681/cover/2244681.jpg", "Обложка")</f>
        <v>Обложка</v>
      </c>
      <c r="V243" s="8" t="s">
        <v>1184</v>
      </c>
      <c r="W243" s="6"/>
      <c r="X243" s="6"/>
      <c r="Y243" s="6"/>
      <c r="Z243" s="6"/>
      <c r="AA243" s="6" t="s">
        <v>68</v>
      </c>
      <c r="AB243" s="8"/>
      <c r="AC243" s="27">
        <v>9785001563839</v>
      </c>
    </row>
    <row r="244" spans="1:29" s="4" customFormat="1" ht="51.9" customHeight="1" x14ac:dyDescent="0.2">
      <c r="A244" s="5">
        <v>0</v>
      </c>
      <c r="B244" s="6" t="s">
        <v>1662</v>
      </c>
      <c r="C244" s="7">
        <v>2800.8</v>
      </c>
      <c r="D244" s="8" t="s">
        <v>1663</v>
      </c>
      <c r="E244" s="8" t="s">
        <v>1664</v>
      </c>
      <c r="F244" s="8" t="s">
        <v>1665</v>
      </c>
      <c r="G244" s="6" t="s">
        <v>60</v>
      </c>
      <c r="H244" s="6" t="s">
        <v>34</v>
      </c>
      <c r="I244" s="8" t="s">
        <v>504</v>
      </c>
      <c r="J244" s="9">
        <v>1</v>
      </c>
      <c r="K244" s="9">
        <v>402</v>
      </c>
      <c r="L244" s="9">
        <v>2027</v>
      </c>
      <c r="M244" s="8" t="s">
        <v>1666</v>
      </c>
      <c r="N244" s="8" t="s">
        <v>37</v>
      </c>
      <c r="O244" s="8" t="s">
        <v>136</v>
      </c>
      <c r="P244" s="6" t="s">
        <v>306</v>
      </c>
      <c r="Q244" s="8" t="s">
        <v>500</v>
      </c>
      <c r="R244" s="10" t="s">
        <v>1667</v>
      </c>
      <c r="S244" s="11" t="s">
        <v>1668</v>
      </c>
      <c r="T244" s="6" t="s">
        <v>97</v>
      </c>
      <c r="U244" s="15" t="str">
        <f>HYPERLINK("https://media.infra-m.ru/2269/2269853/cover/2269853.jpg", "Обложка")</f>
        <v>Обложка</v>
      </c>
      <c r="V244" s="8" t="s">
        <v>657</v>
      </c>
      <c r="W244" s="6"/>
      <c r="X244" s="6"/>
      <c r="Y244" s="6"/>
      <c r="Z244" s="6"/>
      <c r="AA244" s="6" t="s">
        <v>148</v>
      </c>
      <c r="AB244" s="8"/>
      <c r="AC244" s="27">
        <v>9785160130248</v>
      </c>
    </row>
    <row r="245" spans="1:29" s="4" customFormat="1" ht="51.9" customHeight="1" x14ac:dyDescent="0.2">
      <c r="A245" s="5">
        <v>0</v>
      </c>
      <c r="B245" s="6" t="s">
        <v>1669</v>
      </c>
      <c r="C245" s="7">
        <v>2116.8000000000002</v>
      </c>
      <c r="D245" s="8" t="s">
        <v>1670</v>
      </c>
      <c r="E245" s="8" t="s">
        <v>1671</v>
      </c>
      <c r="F245" s="8" t="s">
        <v>1672</v>
      </c>
      <c r="G245" s="6" t="s">
        <v>118</v>
      </c>
      <c r="H245" s="6" t="s">
        <v>134</v>
      </c>
      <c r="I245" s="8"/>
      <c r="J245" s="9">
        <v>1</v>
      </c>
      <c r="K245" s="9">
        <v>320</v>
      </c>
      <c r="L245" s="9">
        <v>2026</v>
      </c>
      <c r="M245" s="8" t="s">
        <v>1673</v>
      </c>
      <c r="N245" s="8" t="s">
        <v>37</v>
      </c>
      <c r="O245" s="8" t="s">
        <v>136</v>
      </c>
      <c r="P245" s="6" t="s">
        <v>306</v>
      </c>
      <c r="Q245" s="8" t="s">
        <v>500</v>
      </c>
      <c r="R245" s="10" t="s">
        <v>1275</v>
      </c>
      <c r="S245" s="11" t="s">
        <v>1674</v>
      </c>
      <c r="T245" s="6"/>
      <c r="U245" s="15" t="str">
        <f>HYPERLINK("https://media.infra-m.ru/2221/2221649/cover/2221649.jpg", "Обложка")</f>
        <v>Обложка</v>
      </c>
      <c r="V245" s="8" t="s">
        <v>1675</v>
      </c>
      <c r="W245" s="6"/>
      <c r="X245" s="6"/>
      <c r="Y245" s="6"/>
      <c r="Z245" s="6"/>
      <c r="AA245" s="6" t="s">
        <v>106</v>
      </c>
      <c r="AB245" s="8"/>
      <c r="AC245" s="27">
        <v>9785001563372</v>
      </c>
    </row>
    <row r="246" spans="1:29" s="4" customFormat="1" ht="51.9" customHeight="1" x14ac:dyDescent="0.2">
      <c r="A246" s="5">
        <v>0</v>
      </c>
      <c r="B246" s="6" t="s">
        <v>1676</v>
      </c>
      <c r="C246" s="7">
        <v>1528.8</v>
      </c>
      <c r="D246" s="8" t="s">
        <v>1677</v>
      </c>
      <c r="E246" s="8" t="s">
        <v>1678</v>
      </c>
      <c r="F246" s="8" t="s">
        <v>1679</v>
      </c>
      <c r="G246" s="6" t="s">
        <v>60</v>
      </c>
      <c r="H246" s="6" t="s">
        <v>34</v>
      </c>
      <c r="I246" s="8" t="s">
        <v>504</v>
      </c>
      <c r="J246" s="9">
        <v>1</v>
      </c>
      <c r="K246" s="9">
        <v>219</v>
      </c>
      <c r="L246" s="9">
        <v>2027</v>
      </c>
      <c r="M246" s="8" t="s">
        <v>1680</v>
      </c>
      <c r="N246" s="8" t="s">
        <v>37</v>
      </c>
      <c r="O246" s="8" t="s">
        <v>233</v>
      </c>
      <c r="P246" s="6" t="s">
        <v>306</v>
      </c>
      <c r="Q246" s="8" t="s">
        <v>500</v>
      </c>
      <c r="R246" s="10" t="s">
        <v>1681</v>
      </c>
      <c r="S246" s="11" t="s">
        <v>1682</v>
      </c>
      <c r="T246" s="6"/>
      <c r="U246" s="15" t="str">
        <f>HYPERLINK("https://media.infra-m.ru/2263/2263021/cover/2263021.jpg", "Обложка")</f>
        <v>Обложка</v>
      </c>
      <c r="V246" s="8" t="s">
        <v>1683</v>
      </c>
      <c r="W246" s="6"/>
      <c r="X246" s="6"/>
      <c r="Y246" s="6"/>
      <c r="Z246" s="6"/>
      <c r="AA246" s="6" t="s">
        <v>1256</v>
      </c>
      <c r="AB246" s="8"/>
      <c r="AC246" s="27">
        <v>9785160150123</v>
      </c>
    </row>
    <row r="247" spans="1:29" s="4" customFormat="1" ht="42" customHeight="1" x14ac:dyDescent="0.2">
      <c r="A247" s="5">
        <v>0</v>
      </c>
      <c r="B247" s="6" t="s">
        <v>1684</v>
      </c>
      <c r="C247" s="7">
        <v>2034</v>
      </c>
      <c r="D247" s="8" t="s">
        <v>1685</v>
      </c>
      <c r="E247" s="8" t="s">
        <v>1686</v>
      </c>
      <c r="F247" s="8" t="s">
        <v>1687</v>
      </c>
      <c r="G247" s="6" t="s">
        <v>118</v>
      </c>
      <c r="H247" s="6" t="s">
        <v>134</v>
      </c>
      <c r="I247" s="8"/>
      <c r="J247" s="9">
        <v>1</v>
      </c>
      <c r="K247" s="9">
        <v>304</v>
      </c>
      <c r="L247" s="9">
        <v>2026</v>
      </c>
      <c r="M247" s="8" t="s">
        <v>1688</v>
      </c>
      <c r="N247" s="8" t="s">
        <v>37</v>
      </c>
      <c r="O247" s="8" t="s">
        <v>136</v>
      </c>
      <c r="P247" s="6" t="s">
        <v>1689</v>
      </c>
      <c r="Q247" s="8"/>
      <c r="R247" s="10" t="s">
        <v>1690</v>
      </c>
      <c r="S247" s="11"/>
      <c r="T247" s="6"/>
      <c r="U247" s="15" t="str">
        <f>HYPERLINK("https://media.infra-m.ru/2227/2227441/cover/2227441.jpg", "Обложка")</f>
        <v>Обложка</v>
      </c>
      <c r="V247" s="8"/>
      <c r="W247" s="6"/>
      <c r="X247" s="6"/>
      <c r="Y247" s="6"/>
      <c r="Z247" s="6"/>
      <c r="AA247" s="6" t="s">
        <v>76</v>
      </c>
      <c r="AB247" s="8"/>
      <c r="AC247" s="27">
        <v>9785001563457</v>
      </c>
    </row>
    <row r="248" spans="1:29" s="4" customFormat="1" ht="42" customHeight="1" x14ac:dyDescent="0.2">
      <c r="A248" s="5">
        <v>0</v>
      </c>
      <c r="B248" s="6" t="s">
        <v>1691</v>
      </c>
      <c r="C248" s="7">
        <v>1056</v>
      </c>
      <c r="D248" s="8" t="s">
        <v>1692</v>
      </c>
      <c r="E248" s="8" t="s">
        <v>1693</v>
      </c>
      <c r="F248" s="8" t="s">
        <v>1694</v>
      </c>
      <c r="G248" s="6" t="s">
        <v>33</v>
      </c>
      <c r="H248" s="6" t="s">
        <v>34</v>
      </c>
      <c r="I248" s="8" t="s">
        <v>35</v>
      </c>
      <c r="J248" s="9">
        <v>1</v>
      </c>
      <c r="K248" s="9">
        <v>174</v>
      </c>
      <c r="L248" s="9">
        <v>2024</v>
      </c>
      <c r="M248" s="8" t="s">
        <v>1695</v>
      </c>
      <c r="N248" s="8" t="s">
        <v>37</v>
      </c>
      <c r="O248" s="8" t="s">
        <v>136</v>
      </c>
      <c r="P248" s="6" t="s">
        <v>39</v>
      </c>
      <c r="Q248" s="8" t="s">
        <v>40</v>
      </c>
      <c r="R248" s="10" t="s">
        <v>684</v>
      </c>
      <c r="S248" s="11"/>
      <c r="T248" s="6"/>
      <c r="U248" s="15" t="str">
        <f>HYPERLINK("https://media.infra-m.ru/2137/2137552/cover/2137552.jpg", "Обложка")</f>
        <v>Обложка</v>
      </c>
      <c r="V248" s="8" t="s">
        <v>1212</v>
      </c>
      <c r="W248" s="6"/>
      <c r="X248" s="6"/>
      <c r="Y248" s="6"/>
      <c r="Z248" s="6"/>
      <c r="AA248" s="6" t="s">
        <v>76</v>
      </c>
      <c r="AB248" s="8"/>
      <c r="AC248" s="27">
        <v>9785160197852</v>
      </c>
    </row>
    <row r="249" spans="1:29" s="4" customFormat="1" ht="51.9" customHeight="1" x14ac:dyDescent="0.2">
      <c r="A249" s="5">
        <v>0</v>
      </c>
      <c r="B249" s="6" t="s">
        <v>1696</v>
      </c>
      <c r="C249" s="7">
        <v>1444.8</v>
      </c>
      <c r="D249" s="8" t="s">
        <v>1697</v>
      </c>
      <c r="E249" s="8" t="s">
        <v>1698</v>
      </c>
      <c r="F249" s="8" t="s">
        <v>1699</v>
      </c>
      <c r="G249" s="6" t="s">
        <v>60</v>
      </c>
      <c r="H249" s="6" t="s">
        <v>34</v>
      </c>
      <c r="I249" s="8" t="s">
        <v>504</v>
      </c>
      <c r="J249" s="9">
        <v>1</v>
      </c>
      <c r="K249" s="9">
        <v>208</v>
      </c>
      <c r="L249" s="9">
        <v>2026</v>
      </c>
      <c r="M249" s="8" t="s">
        <v>1700</v>
      </c>
      <c r="N249" s="8" t="s">
        <v>93</v>
      </c>
      <c r="O249" s="8" t="s">
        <v>94</v>
      </c>
      <c r="P249" s="6" t="s">
        <v>51</v>
      </c>
      <c r="Q249" s="8" t="s">
        <v>500</v>
      </c>
      <c r="R249" s="10" t="s">
        <v>1701</v>
      </c>
      <c r="S249" s="11" t="s">
        <v>1702</v>
      </c>
      <c r="T249" s="6"/>
      <c r="U249" s="15" t="str">
        <f>HYPERLINK("https://media.infra-m.ru/2259/2259968/cover/2259968.jpg", "Обложка")</f>
        <v>Обложка</v>
      </c>
      <c r="V249" s="8" t="s">
        <v>1703</v>
      </c>
      <c r="W249" s="6"/>
      <c r="X249" s="6"/>
      <c r="Y249" s="6"/>
      <c r="Z249" s="6"/>
      <c r="AA249" s="6" t="s">
        <v>430</v>
      </c>
      <c r="AB249" s="8"/>
      <c r="AC249" s="27">
        <v>9785160149714</v>
      </c>
    </row>
    <row r="250" spans="1:29" s="4" customFormat="1" ht="42" customHeight="1" x14ac:dyDescent="0.2">
      <c r="A250" s="5">
        <v>0</v>
      </c>
      <c r="B250" s="6" t="s">
        <v>1704</v>
      </c>
      <c r="C250" s="7">
        <v>3232.8</v>
      </c>
      <c r="D250" s="8" t="s">
        <v>1705</v>
      </c>
      <c r="E250" s="8" t="s">
        <v>1706</v>
      </c>
      <c r="F250" s="8" t="s">
        <v>1707</v>
      </c>
      <c r="G250" s="6" t="s">
        <v>60</v>
      </c>
      <c r="H250" s="6" t="s">
        <v>1644</v>
      </c>
      <c r="I250" s="8"/>
      <c r="J250" s="9">
        <v>1</v>
      </c>
      <c r="K250" s="9">
        <v>520</v>
      </c>
      <c r="L250" s="9">
        <v>2025</v>
      </c>
      <c r="M250" s="8" t="s">
        <v>1708</v>
      </c>
      <c r="N250" s="8" t="s">
        <v>37</v>
      </c>
      <c r="O250" s="8" t="s">
        <v>233</v>
      </c>
      <c r="P250" s="6" t="s">
        <v>306</v>
      </c>
      <c r="Q250" s="8" t="s">
        <v>65</v>
      </c>
      <c r="R250" s="10" t="s">
        <v>1646</v>
      </c>
      <c r="S250" s="11"/>
      <c r="T250" s="6"/>
      <c r="U250" s="15" t="str">
        <f>HYPERLINK("https://media.infra-m.ru/2192/2192778/cover/2192778.jpg", "Обложка")</f>
        <v>Обложка</v>
      </c>
      <c r="V250" s="8" t="s">
        <v>247</v>
      </c>
      <c r="W250" s="6"/>
      <c r="X250" s="6"/>
      <c r="Y250" s="6"/>
      <c r="Z250" s="6"/>
      <c r="AA250" s="6" t="s">
        <v>157</v>
      </c>
      <c r="AB250" s="8"/>
      <c r="AC250" s="27">
        <v>9785977605519</v>
      </c>
    </row>
    <row r="251" spans="1:29" s="4" customFormat="1" ht="44.1" customHeight="1" x14ac:dyDescent="0.2">
      <c r="A251" s="5">
        <v>0</v>
      </c>
      <c r="B251" s="6" t="s">
        <v>1709</v>
      </c>
      <c r="C251" s="7">
        <v>1104</v>
      </c>
      <c r="D251" s="8" t="s">
        <v>1710</v>
      </c>
      <c r="E251" s="8" t="s">
        <v>1711</v>
      </c>
      <c r="F251" s="8" t="s">
        <v>1712</v>
      </c>
      <c r="G251" s="6" t="s">
        <v>33</v>
      </c>
      <c r="H251" s="6" t="s">
        <v>34</v>
      </c>
      <c r="I251" s="8" t="s">
        <v>35</v>
      </c>
      <c r="J251" s="9">
        <v>1</v>
      </c>
      <c r="K251" s="9">
        <v>157</v>
      </c>
      <c r="L251" s="9">
        <v>2026</v>
      </c>
      <c r="M251" s="8" t="s">
        <v>1713</v>
      </c>
      <c r="N251" s="8" t="s">
        <v>37</v>
      </c>
      <c r="O251" s="8" t="s">
        <v>38</v>
      </c>
      <c r="P251" s="6" t="s">
        <v>39</v>
      </c>
      <c r="Q251" s="8" t="s">
        <v>40</v>
      </c>
      <c r="R251" s="10" t="s">
        <v>1714</v>
      </c>
      <c r="S251" s="11"/>
      <c r="T251" s="6"/>
      <c r="U251" s="15" t="str">
        <f>HYPERLINK("https://media.infra-m.ru/2261/2261992/cover/2261992.jpg", "Обложка")</f>
        <v>Обложка</v>
      </c>
      <c r="V251" s="8" t="s">
        <v>1715</v>
      </c>
      <c r="W251" s="6"/>
      <c r="X251" s="6"/>
      <c r="Y251" s="6"/>
      <c r="Z251" s="6"/>
      <c r="AA251" s="6" t="s">
        <v>1716</v>
      </c>
      <c r="AB251" s="8"/>
      <c r="AC251" s="27">
        <v>9785160176062</v>
      </c>
    </row>
    <row r="252" spans="1:29" s="4" customFormat="1" ht="51.9" customHeight="1" x14ac:dyDescent="0.2">
      <c r="A252" s="5">
        <v>0</v>
      </c>
      <c r="B252" s="6" t="s">
        <v>1717</v>
      </c>
      <c r="C252" s="7">
        <v>3120</v>
      </c>
      <c r="D252" s="8" t="s">
        <v>1718</v>
      </c>
      <c r="E252" s="8" t="s">
        <v>1719</v>
      </c>
      <c r="F252" s="8" t="s">
        <v>1720</v>
      </c>
      <c r="G252" s="6" t="s">
        <v>60</v>
      </c>
      <c r="H252" s="6" t="s">
        <v>134</v>
      </c>
      <c r="I252" s="8"/>
      <c r="J252" s="9">
        <v>1</v>
      </c>
      <c r="K252" s="9">
        <v>576</v>
      </c>
      <c r="L252" s="9">
        <v>2024</v>
      </c>
      <c r="M252" s="8" t="s">
        <v>1721</v>
      </c>
      <c r="N252" s="8" t="s">
        <v>37</v>
      </c>
      <c r="O252" s="8" t="s">
        <v>136</v>
      </c>
      <c r="P252" s="6" t="s">
        <v>51</v>
      </c>
      <c r="Q252" s="8" t="s">
        <v>500</v>
      </c>
      <c r="R252" s="10" t="s">
        <v>1275</v>
      </c>
      <c r="S252" s="11" t="s">
        <v>1722</v>
      </c>
      <c r="T252" s="6"/>
      <c r="U252" s="15" t="str">
        <f>HYPERLINK("https://media.infra-m.ru/2129/2129511/cover/2129511.jpg", "Обложка")</f>
        <v>Обложка</v>
      </c>
      <c r="V252" s="8" t="s">
        <v>657</v>
      </c>
      <c r="W252" s="6"/>
      <c r="X252" s="6"/>
      <c r="Y252" s="6"/>
      <c r="Z252" s="6"/>
      <c r="AA252" s="6" t="s">
        <v>859</v>
      </c>
      <c r="AB252" s="8"/>
      <c r="AC252" s="27">
        <v>9785917685267</v>
      </c>
    </row>
    <row r="253" spans="1:29" s="4" customFormat="1" ht="51.9" customHeight="1" x14ac:dyDescent="0.2">
      <c r="A253" s="5">
        <v>0</v>
      </c>
      <c r="B253" s="6" t="s">
        <v>1723</v>
      </c>
      <c r="C253" s="7">
        <v>1488</v>
      </c>
      <c r="D253" s="8" t="s">
        <v>1724</v>
      </c>
      <c r="E253" s="8" t="s">
        <v>1725</v>
      </c>
      <c r="F253" s="8" t="s">
        <v>1726</v>
      </c>
      <c r="G253" s="6" t="s">
        <v>118</v>
      </c>
      <c r="H253" s="6" t="s">
        <v>34</v>
      </c>
      <c r="I253" s="8" t="s">
        <v>253</v>
      </c>
      <c r="J253" s="9">
        <v>1</v>
      </c>
      <c r="K253" s="9">
        <v>226</v>
      </c>
      <c r="L253" s="9">
        <v>2026</v>
      </c>
      <c r="M253" s="8" t="s">
        <v>1727</v>
      </c>
      <c r="N253" s="8" t="s">
        <v>37</v>
      </c>
      <c r="O253" s="8" t="s">
        <v>280</v>
      </c>
      <c r="P253" s="6" t="s">
        <v>51</v>
      </c>
      <c r="Q253" s="8" t="s">
        <v>500</v>
      </c>
      <c r="R253" s="10" t="s">
        <v>1728</v>
      </c>
      <c r="S253" s="11" t="s">
        <v>1729</v>
      </c>
      <c r="T253" s="6"/>
      <c r="U253" s="15" t="str">
        <f>HYPERLINK("https://media.infra-m.ru/2233/2233093/cover/2233093.jpg", "Обложка")</f>
        <v>Обложка</v>
      </c>
      <c r="V253" s="8" t="s">
        <v>1357</v>
      </c>
      <c r="W253" s="6"/>
      <c r="X253" s="6"/>
      <c r="Y253" s="6"/>
      <c r="Z253" s="6"/>
      <c r="AA253" s="6" t="s">
        <v>86</v>
      </c>
      <c r="AB253" s="8"/>
      <c r="AC253" s="27">
        <v>9785160216522</v>
      </c>
    </row>
    <row r="254" spans="1:29" s="4" customFormat="1" ht="51.9" customHeight="1" x14ac:dyDescent="0.2">
      <c r="A254" s="5">
        <v>0</v>
      </c>
      <c r="B254" s="6" t="s">
        <v>1730</v>
      </c>
      <c r="C254" s="7">
        <v>1324.8</v>
      </c>
      <c r="D254" s="8" t="s">
        <v>1731</v>
      </c>
      <c r="E254" s="8" t="s">
        <v>1732</v>
      </c>
      <c r="F254" s="8" t="s">
        <v>1733</v>
      </c>
      <c r="G254" s="6" t="s">
        <v>118</v>
      </c>
      <c r="H254" s="6" t="s">
        <v>34</v>
      </c>
      <c r="I254" s="8" t="s">
        <v>504</v>
      </c>
      <c r="J254" s="9">
        <v>1</v>
      </c>
      <c r="K254" s="9">
        <v>190</v>
      </c>
      <c r="L254" s="9">
        <v>2026</v>
      </c>
      <c r="M254" s="8" t="s">
        <v>1734</v>
      </c>
      <c r="N254" s="8" t="s">
        <v>37</v>
      </c>
      <c r="O254" s="8" t="s">
        <v>136</v>
      </c>
      <c r="P254" s="6" t="s">
        <v>51</v>
      </c>
      <c r="Q254" s="8" t="s">
        <v>500</v>
      </c>
      <c r="R254" s="10" t="s">
        <v>1653</v>
      </c>
      <c r="S254" s="11" t="s">
        <v>1735</v>
      </c>
      <c r="T254" s="6"/>
      <c r="U254" s="15" t="str">
        <f>HYPERLINK("https://media.infra-m.ru/2253/2253944/cover/2253944.jpg", "Обложка")</f>
        <v>Обложка</v>
      </c>
      <c r="V254" s="8" t="s">
        <v>247</v>
      </c>
      <c r="W254" s="6"/>
      <c r="X254" s="6"/>
      <c r="Y254" s="6"/>
      <c r="Z254" s="6"/>
      <c r="AA254" s="6" t="s">
        <v>1256</v>
      </c>
      <c r="AB254" s="8"/>
      <c r="AC254" s="27">
        <v>9785160142463</v>
      </c>
    </row>
    <row r="255" spans="1:29" s="4" customFormat="1" ht="51.9" customHeight="1" x14ac:dyDescent="0.2">
      <c r="A255" s="5">
        <v>0</v>
      </c>
      <c r="B255" s="6" t="s">
        <v>1736</v>
      </c>
      <c r="C255" s="7">
        <v>2136</v>
      </c>
      <c r="D255" s="8" t="s">
        <v>1737</v>
      </c>
      <c r="E255" s="8" t="s">
        <v>1738</v>
      </c>
      <c r="F255" s="8" t="s">
        <v>1739</v>
      </c>
      <c r="G255" s="6" t="s">
        <v>118</v>
      </c>
      <c r="H255" s="6" t="s">
        <v>34</v>
      </c>
      <c r="I255" s="8" t="s">
        <v>253</v>
      </c>
      <c r="J255" s="9">
        <v>1</v>
      </c>
      <c r="K255" s="9">
        <v>307</v>
      </c>
      <c r="L255" s="9">
        <v>2026</v>
      </c>
      <c r="M255" s="8" t="s">
        <v>1740</v>
      </c>
      <c r="N255" s="8" t="s">
        <v>37</v>
      </c>
      <c r="O255" s="8" t="s">
        <v>136</v>
      </c>
      <c r="P255" s="6" t="s">
        <v>306</v>
      </c>
      <c r="Q255" s="8" t="s">
        <v>500</v>
      </c>
      <c r="R255" s="10" t="s">
        <v>1667</v>
      </c>
      <c r="S255" s="11" t="s">
        <v>1741</v>
      </c>
      <c r="T255" s="6"/>
      <c r="U255" s="15" t="str">
        <f>HYPERLINK("https://media.infra-m.ru/2258/2258740/cover/2258740.jpg", "Обложка")</f>
        <v>Обложка</v>
      </c>
      <c r="V255" s="8" t="s">
        <v>1742</v>
      </c>
      <c r="W255" s="6"/>
      <c r="X255" s="6"/>
      <c r="Y255" s="6"/>
      <c r="Z255" s="6"/>
      <c r="AA255" s="6" t="s">
        <v>148</v>
      </c>
      <c r="AB255" s="8" t="s">
        <v>1743</v>
      </c>
      <c r="AC255" s="27">
        <v>9785160222288</v>
      </c>
    </row>
    <row r="256" spans="1:29" s="4" customFormat="1" ht="51.9" customHeight="1" x14ac:dyDescent="0.2">
      <c r="A256" s="5">
        <v>0</v>
      </c>
      <c r="B256" s="6" t="s">
        <v>1744</v>
      </c>
      <c r="C256" s="13">
        <v>432</v>
      </c>
      <c r="D256" s="8" t="s">
        <v>1745</v>
      </c>
      <c r="E256" s="8" t="s">
        <v>1746</v>
      </c>
      <c r="F256" s="8" t="s">
        <v>1651</v>
      </c>
      <c r="G256" s="6" t="s">
        <v>33</v>
      </c>
      <c r="H256" s="6" t="s">
        <v>34</v>
      </c>
      <c r="I256" s="8" t="s">
        <v>504</v>
      </c>
      <c r="J256" s="9">
        <v>1</v>
      </c>
      <c r="K256" s="9">
        <v>88</v>
      </c>
      <c r="L256" s="9">
        <v>2019</v>
      </c>
      <c r="M256" s="8" t="s">
        <v>1747</v>
      </c>
      <c r="N256" s="8" t="s">
        <v>37</v>
      </c>
      <c r="O256" s="8" t="s">
        <v>136</v>
      </c>
      <c r="P256" s="6" t="s">
        <v>51</v>
      </c>
      <c r="Q256" s="8" t="s">
        <v>500</v>
      </c>
      <c r="R256" s="10" t="s">
        <v>1653</v>
      </c>
      <c r="S256" s="11" t="s">
        <v>1748</v>
      </c>
      <c r="T256" s="6"/>
      <c r="U256" s="15" t="str">
        <f>HYPERLINK("https://media.infra-m.ru/1020/1020717/cover/1020717.jpg", "Обложка")</f>
        <v>Обложка</v>
      </c>
      <c r="V256" s="8" t="s">
        <v>1339</v>
      </c>
      <c r="W256" s="6"/>
      <c r="X256" s="6"/>
      <c r="Y256" s="6"/>
      <c r="Z256" s="6"/>
      <c r="AA256" s="6" t="s">
        <v>86</v>
      </c>
      <c r="AB256" s="8"/>
      <c r="AC256" s="27">
        <v>9785160137537</v>
      </c>
    </row>
    <row r="257" spans="1:29" s="4" customFormat="1" ht="51.9" customHeight="1" x14ac:dyDescent="0.2">
      <c r="A257" s="5">
        <v>0</v>
      </c>
      <c r="B257" s="6" t="s">
        <v>1749</v>
      </c>
      <c r="C257" s="7">
        <v>2236.8000000000002</v>
      </c>
      <c r="D257" s="8" t="s">
        <v>1750</v>
      </c>
      <c r="E257" s="8" t="s">
        <v>1751</v>
      </c>
      <c r="F257" s="8" t="s">
        <v>1752</v>
      </c>
      <c r="G257" s="6" t="s">
        <v>118</v>
      </c>
      <c r="H257" s="6" t="s">
        <v>34</v>
      </c>
      <c r="I257" s="8" t="s">
        <v>1753</v>
      </c>
      <c r="J257" s="9">
        <v>1</v>
      </c>
      <c r="K257" s="9">
        <v>322</v>
      </c>
      <c r="L257" s="9">
        <v>2027</v>
      </c>
      <c r="M257" s="8" t="s">
        <v>1754</v>
      </c>
      <c r="N257" s="8" t="s">
        <v>37</v>
      </c>
      <c r="O257" s="8" t="s">
        <v>136</v>
      </c>
      <c r="P257" s="6" t="s">
        <v>51</v>
      </c>
      <c r="Q257" s="8" t="s">
        <v>500</v>
      </c>
      <c r="R257" s="10" t="s">
        <v>1755</v>
      </c>
      <c r="S257" s="11" t="s">
        <v>1756</v>
      </c>
      <c r="T257" s="6"/>
      <c r="U257" s="15" t="str">
        <f>HYPERLINK("https://media.infra-m.ru/2263/2263020/cover/2263020.jpg", "Обложка")</f>
        <v>Обложка</v>
      </c>
      <c r="V257" s="8" t="s">
        <v>247</v>
      </c>
      <c r="W257" s="6"/>
      <c r="X257" s="6"/>
      <c r="Y257" s="6"/>
      <c r="Z257" s="6"/>
      <c r="AA257" s="6" t="s">
        <v>99</v>
      </c>
      <c r="AB257" s="8"/>
      <c r="AC257" s="27">
        <v>9785160121680</v>
      </c>
    </row>
    <row r="258" spans="1:29" s="4" customFormat="1" ht="51.9" customHeight="1" x14ac:dyDescent="0.2">
      <c r="A258" s="5">
        <v>0</v>
      </c>
      <c r="B258" s="6" t="s">
        <v>1757</v>
      </c>
      <c r="C258" s="7">
        <v>1536</v>
      </c>
      <c r="D258" s="8" t="s">
        <v>1758</v>
      </c>
      <c r="E258" s="8" t="s">
        <v>1759</v>
      </c>
      <c r="F258" s="8" t="s">
        <v>1760</v>
      </c>
      <c r="G258" s="6" t="s">
        <v>118</v>
      </c>
      <c r="H258" s="6" t="s">
        <v>134</v>
      </c>
      <c r="I258" s="8"/>
      <c r="J258" s="9">
        <v>1</v>
      </c>
      <c r="K258" s="9">
        <v>304</v>
      </c>
      <c r="L258" s="9">
        <v>2022</v>
      </c>
      <c r="M258" s="8" t="s">
        <v>1761</v>
      </c>
      <c r="N258" s="8" t="s">
        <v>37</v>
      </c>
      <c r="O258" s="8" t="s">
        <v>136</v>
      </c>
      <c r="P258" s="6" t="s">
        <v>306</v>
      </c>
      <c r="Q258" s="8" t="s">
        <v>500</v>
      </c>
      <c r="R258" s="10" t="s">
        <v>1275</v>
      </c>
      <c r="S258" s="11" t="s">
        <v>1674</v>
      </c>
      <c r="T258" s="6"/>
      <c r="U258" s="15" t="str">
        <f>HYPERLINK("https://media.infra-m.ru/1873/1873767/cover/1873767.jpg", "Обложка")</f>
        <v>Обложка</v>
      </c>
      <c r="V258" s="8" t="s">
        <v>1675</v>
      </c>
      <c r="W258" s="6"/>
      <c r="X258" s="6"/>
      <c r="Y258" s="6"/>
      <c r="Z258" s="6"/>
      <c r="AA258" s="6" t="s">
        <v>274</v>
      </c>
      <c r="AB258" s="8"/>
      <c r="AC258" s="27">
        <v>9785917685724</v>
      </c>
    </row>
    <row r="259" spans="1:29" s="4" customFormat="1" ht="51.9" customHeight="1" x14ac:dyDescent="0.2">
      <c r="A259" s="5">
        <v>0</v>
      </c>
      <c r="B259" s="6" t="s">
        <v>1762</v>
      </c>
      <c r="C259" s="7">
        <v>2176.8000000000002</v>
      </c>
      <c r="D259" s="8" t="s">
        <v>1763</v>
      </c>
      <c r="E259" s="8" t="s">
        <v>1764</v>
      </c>
      <c r="F259" s="8" t="s">
        <v>1765</v>
      </c>
      <c r="G259" s="6" t="s">
        <v>118</v>
      </c>
      <c r="H259" s="6" t="s">
        <v>34</v>
      </c>
      <c r="I259" s="8" t="s">
        <v>504</v>
      </c>
      <c r="J259" s="9">
        <v>1</v>
      </c>
      <c r="K259" s="9">
        <v>330</v>
      </c>
      <c r="L259" s="9">
        <v>2026</v>
      </c>
      <c r="M259" s="8" t="s">
        <v>1766</v>
      </c>
      <c r="N259" s="8" t="s">
        <v>37</v>
      </c>
      <c r="O259" s="8" t="s">
        <v>136</v>
      </c>
      <c r="P259" s="6" t="s">
        <v>306</v>
      </c>
      <c r="Q259" s="8" t="s">
        <v>500</v>
      </c>
      <c r="R259" s="10" t="s">
        <v>1653</v>
      </c>
      <c r="S259" s="11" t="s">
        <v>1767</v>
      </c>
      <c r="T259" s="6"/>
      <c r="U259" s="15" t="str">
        <f>HYPERLINK("https://media.infra-m.ru/2249/2249504/cover/2249504.jpg", "Обложка")</f>
        <v>Обложка</v>
      </c>
      <c r="V259" s="8" t="s">
        <v>1768</v>
      </c>
      <c r="W259" s="6"/>
      <c r="X259" s="6"/>
      <c r="Y259" s="6"/>
      <c r="Z259" s="6"/>
      <c r="AA259" s="6" t="s">
        <v>86</v>
      </c>
      <c r="AB259" s="8"/>
      <c r="AC259" s="27">
        <v>9785160137469</v>
      </c>
    </row>
    <row r="260" spans="1:29" s="4" customFormat="1" ht="51.9" customHeight="1" x14ac:dyDescent="0.2">
      <c r="A260" s="5">
        <v>0</v>
      </c>
      <c r="B260" s="6" t="s">
        <v>1769</v>
      </c>
      <c r="C260" s="7">
        <v>2232</v>
      </c>
      <c r="D260" s="8" t="s">
        <v>1770</v>
      </c>
      <c r="E260" s="8" t="s">
        <v>1771</v>
      </c>
      <c r="F260" s="8" t="s">
        <v>1772</v>
      </c>
      <c r="G260" s="6" t="s">
        <v>118</v>
      </c>
      <c r="H260" s="6" t="s">
        <v>34</v>
      </c>
      <c r="I260" s="8" t="s">
        <v>304</v>
      </c>
      <c r="J260" s="9">
        <v>1</v>
      </c>
      <c r="K260" s="9">
        <v>320</v>
      </c>
      <c r="L260" s="9">
        <v>2027</v>
      </c>
      <c r="M260" s="8" t="s">
        <v>1773</v>
      </c>
      <c r="N260" s="8" t="s">
        <v>37</v>
      </c>
      <c r="O260" s="8" t="s">
        <v>136</v>
      </c>
      <c r="P260" s="6" t="s">
        <v>306</v>
      </c>
      <c r="Q260" s="8" t="s">
        <v>500</v>
      </c>
      <c r="R260" s="10" t="s">
        <v>1667</v>
      </c>
      <c r="S260" s="11" t="s">
        <v>1774</v>
      </c>
      <c r="T260" s="6"/>
      <c r="U260" s="15" t="str">
        <f>HYPERLINK("https://media.infra-m.ru/2270/2270322/cover/2270322.jpg", "Обложка")</f>
        <v>Обложка</v>
      </c>
      <c r="V260" s="8" t="s">
        <v>247</v>
      </c>
      <c r="W260" s="6"/>
      <c r="X260" s="6"/>
      <c r="Y260" s="6"/>
      <c r="Z260" s="6"/>
      <c r="AA260" s="6" t="s">
        <v>430</v>
      </c>
      <c r="AB260" s="8"/>
      <c r="AC260" s="27">
        <v>9785160224930</v>
      </c>
    </row>
    <row r="261" spans="1:29" s="4" customFormat="1" ht="51.9" customHeight="1" x14ac:dyDescent="0.2">
      <c r="A261" s="5">
        <v>0</v>
      </c>
      <c r="B261" s="6" t="s">
        <v>1775</v>
      </c>
      <c r="C261" s="7">
        <v>2320.8000000000002</v>
      </c>
      <c r="D261" s="8" t="s">
        <v>1776</v>
      </c>
      <c r="E261" s="8" t="s">
        <v>1777</v>
      </c>
      <c r="F261" s="8" t="s">
        <v>1778</v>
      </c>
      <c r="G261" s="6" t="s">
        <v>118</v>
      </c>
      <c r="H261" s="6" t="s">
        <v>1779</v>
      </c>
      <c r="I261" s="8"/>
      <c r="J261" s="9">
        <v>1</v>
      </c>
      <c r="K261" s="9">
        <v>352</v>
      </c>
      <c r="L261" s="9">
        <v>2026</v>
      </c>
      <c r="M261" s="8" t="s">
        <v>1780</v>
      </c>
      <c r="N261" s="8" t="s">
        <v>37</v>
      </c>
      <c r="O261" s="8" t="s">
        <v>136</v>
      </c>
      <c r="P261" s="6" t="s">
        <v>306</v>
      </c>
      <c r="Q261" s="8" t="s">
        <v>500</v>
      </c>
      <c r="R261" s="10" t="s">
        <v>1653</v>
      </c>
      <c r="S261" s="11"/>
      <c r="T261" s="6"/>
      <c r="U261" s="15" t="str">
        <f>HYPERLINK("https://media.infra-m.ru/2221/2221652/cover/2221652.jpg", "Обложка")</f>
        <v>Обложка</v>
      </c>
      <c r="V261" s="8" t="s">
        <v>657</v>
      </c>
      <c r="W261" s="6"/>
      <c r="X261" s="6"/>
      <c r="Y261" s="6"/>
      <c r="Z261" s="6"/>
      <c r="AA261" s="6" t="s">
        <v>779</v>
      </c>
      <c r="AB261" s="8"/>
      <c r="AC261" s="27">
        <v>9785917686974</v>
      </c>
    </row>
    <row r="262" spans="1:29" s="4" customFormat="1" ht="42" customHeight="1" x14ac:dyDescent="0.2">
      <c r="A262" s="5">
        <v>0</v>
      </c>
      <c r="B262" s="6" t="s">
        <v>1781</v>
      </c>
      <c r="C262" s="7">
        <v>1104</v>
      </c>
      <c r="D262" s="8" t="s">
        <v>1782</v>
      </c>
      <c r="E262" s="8" t="s">
        <v>1783</v>
      </c>
      <c r="F262" s="8" t="s">
        <v>1694</v>
      </c>
      <c r="G262" s="6" t="s">
        <v>60</v>
      </c>
      <c r="H262" s="6" t="s">
        <v>34</v>
      </c>
      <c r="I262" s="8" t="s">
        <v>35</v>
      </c>
      <c r="J262" s="9">
        <v>1</v>
      </c>
      <c r="K262" s="9">
        <v>204</v>
      </c>
      <c r="L262" s="9">
        <v>2023</v>
      </c>
      <c r="M262" s="8" t="s">
        <v>1784</v>
      </c>
      <c r="N262" s="8" t="s">
        <v>37</v>
      </c>
      <c r="O262" s="8" t="s">
        <v>136</v>
      </c>
      <c r="P262" s="6" t="s">
        <v>39</v>
      </c>
      <c r="Q262" s="8" t="s">
        <v>40</v>
      </c>
      <c r="R262" s="10" t="s">
        <v>684</v>
      </c>
      <c r="S262" s="11"/>
      <c r="T262" s="6"/>
      <c r="U262" s="15" t="str">
        <f>HYPERLINK("https://media.infra-m.ru/1911/1911445/cover/1911445.jpg", "Обложка")</f>
        <v>Обложка</v>
      </c>
      <c r="V262" s="8" t="s">
        <v>1212</v>
      </c>
      <c r="W262" s="6"/>
      <c r="X262" s="6"/>
      <c r="Y262" s="6"/>
      <c r="Z262" s="6"/>
      <c r="AA262" s="6" t="s">
        <v>157</v>
      </c>
      <c r="AB262" s="8" t="s">
        <v>1785</v>
      </c>
      <c r="AC262" s="27">
        <v>9785160181134</v>
      </c>
    </row>
    <row r="263" spans="1:29" s="4" customFormat="1" ht="42" customHeight="1" x14ac:dyDescent="0.2">
      <c r="A263" s="5">
        <v>0</v>
      </c>
      <c r="B263" s="6" t="s">
        <v>1786</v>
      </c>
      <c r="C263" s="13">
        <v>660</v>
      </c>
      <c r="D263" s="8" t="s">
        <v>1787</v>
      </c>
      <c r="E263" s="8" t="s">
        <v>1788</v>
      </c>
      <c r="F263" s="8" t="s">
        <v>1789</v>
      </c>
      <c r="G263" s="6" t="s">
        <v>33</v>
      </c>
      <c r="H263" s="6" t="s">
        <v>34</v>
      </c>
      <c r="I263" s="8" t="s">
        <v>35</v>
      </c>
      <c r="J263" s="9">
        <v>1</v>
      </c>
      <c r="K263" s="9">
        <v>123</v>
      </c>
      <c r="L263" s="9">
        <v>2023</v>
      </c>
      <c r="M263" s="8" t="s">
        <v>1790</v>
      </c>
      <c r="N263" s="8" t="s">
        <v>37</v>
      </c>
      <c r="O263" s="8" t="s">
        <v>136</v>
      </c>
      <c r="P263" s="6" t="s">
        <v>39</v>
      </c>
      <c r="Q263" s="8" t="s">
        <v>40</v>
      </c>
      <c r="R263" s="10" t="s">
        <v>1631</v>
      </c>
      <c r="S263" s="11"/>
      <c r="T263" s="6"/>
      <c r="U263" s="15" t="str">
        <f>HYPERLINK("https://media.infra-m.ru/1937/1937945/cover/1937945.jpg", "Обложка")</f>
        <v>Обложка</v>
      </c>
      <c r="V263" s="8" t="s">
        <v>911</v>
      </c>
      <c r="W263" s="6"/>
      <c r="X263" s="6"/>
      <c r="Y263" s="6"/>
      <c r="Z263" s="6"/>
      <c r="AA263" s="6" t="s">
        <v>248</v>
      </c>
      <c r="AB263" s="8"/>
      <c r="AC263" s="27">
        <v>9785160094359</v>
      </c>
    </row>
    <row r="264" spans="1:29" s="4" customFormat="1" ht="42" customHeight="1" x14ac:dyDescent="0.2">
      <c r="A264" s="5">
        <v>0</v>
      </c>
      <c r="B264" s="6" t="s">
        <v>1791</v>
      </c>
      <c r="C264" s="7">
        <v>1060.8</v>
      </c>
      <c r="D264" s="8" t="s">
        <v>1792</v>
      </c>
      <c r="E264" s="8" t="s">
        <v>1793</v>
      </c>
      <c r="F264" s="8" t="s">
        <v>1794</v>
      </c>
      <c r="G264" s="6" t="s">
        <v>60</v>
      </c>
      <c r="H264" s="6" t="s">
        <v>1795</v>
      </c>
      <c r="I264" s="8" t="s">
        <v>1796</v>
      </c>
      <c r="J264" s="9">
        <v>1</v>
      </c>
      <c r="K264" s="9">
        <v>192</v>
      </c>
      <c r="L264" s="9">
        <v>2024</v>
      </c>
      <c r="M264" s="8" t="s">
        <v>1797</v>
      </c>
      <c r="N264" s="8" t="s">
        <v>37</v>
      </c>
      <c r="O264" s="8" t="s">
        <v>136</v>
      </c>
      <c r="P264" s="6" t="s">
        <v>39</v>
      </c>
      <c r="Q264" s="8" t="s">
        <v>40</v>
      </c>
      <c r="R264" s="10" t="s">
        <v>1667</v>
      </c>
      <c r="S264" s="11"/>
      <c r="T264" s="6"/>
      <c r="U264" s="15" t="str">
        <f>HYPERLINK("https://media.infra-m.ru/2088/2088245/cover/2088245.jpg", "Обложка")</f>
        <v>Обложка</v>
      </c>
      <c r="V264" s="8" t="s">
        <v>1798</v>
      </c>
      <c r="W264" s="6"/>
      <c r="X264" s="6"/>
      <c r="Y264" s="6"/>
      <c r="Z264" s="6"/>
      <c r="AA264" s="6" t="s">
        <v>274</v>
      </c>
      <c r="AB264" s="8"/>
      <c r="AC264" s="27">
        <v>9785982814203</v>
      </c>
    </row>
    <row r="265" spans="1:29" s="4" customFormat="1" ht="42" customHeight="1" x14ac:dyDescent="0.2">
      <c r="A265" s="5">
        <v>0</v>
      </c>
      <c r="B265" s="6" t="s">
        <v>1799</v>
      </c>
      <c r="C265" s="7">
        <v>1704</v>
      </c>
      <c r="D265" s="8" t="s">
        <v>1800</v>
      </c>
      <c r="E265" s="8" t="s">
        <v>1801</v>
      </c>
      <c r="F265" s="8" t="s">
        <v>1802</v>
      </c>
      <c r="G265" s="6" t="s">
        <v>60</v>
      </c>
      <c r="H265" s="6" t="s">
        <v>34</v>
      </c>
      <c r="I265" s="8" t="s">
        <v>35</v>
      </c>
      <c r="J265" s="9">
        <v>1</v>
      </c>
      <c r="K265" s="9">
        <v>308</v>
      </c>
      <c r="L265" s="9">
        <v>2024</v>
      </c>
      <c r="M265" s="8" t="s">
        <v>1803</v>
      </c>
      <c r="N265" s="8" t="s">
        <v>37</v>
      </c>
      <c r="O265" s="8" t="s">
        <v>136</v>
      </c>
      <c r="P265" s="6" t="s">
        <v>39</v>
      </c>
      <c r="Q265" s="8" t="s">
        <v>40</v>
      </c>
      <c r="R265" s="10" t="s">
        <v>1804</v>
      </c>
      <c r="S265" s="11"/>
      <c r="T265" s="6"/>
      <c r="U265" s="15" t="str">
        <f>HYPERLINK("https://media.infra-m.ru/2052/2052439/cover/2052439.jpg", "Обложка")</f>
        <v>Обложка</v>
      </c>
      <c r="V265" s="8" t="s">
        <v>1805</v>
      </c>
      <c r="W265" s="6"/>
      <c r="X265" s="6"/>
      <c r="Y265" s="6"/>
      <c r="Z265" s="6"/>
      <c r="AA265" s="6" t="s">
        <v>76</v>
      </c>
      <c r="AB265" s="8" t="s">
        <v>1806</v>
      </c>
      <c r="AC265" s="27">
        <v>9785160187419</v>
      </c>
    </row>
    <row r="266" spans="1:29" s="4" customFormat="1" ht="42" customHeight="1" x14ac:dyDescent="0.2">
      <c r="A266" s="5">
        <v>0</v>
      </c>
      <c r="B266" s="6" t="s">
        <v>1807</v>
      </c>
      <c r="C266" s="7">
        <v>1672.8</v>
      </c>
      <c r="D266" s="8" t="s">
        <v>1808</v>
      </c>
      <c r="E266" s="8" t="s">
        <v>1809</v>
      </c>
      <c r="F266" s="8" t="s">
        <v>1810</v>
      </c>
      <c r="G266" s="6" t="s">
        <v>33</v>
      </c>
      <c r="H266" s="6" t="s">
        <v>134</v>
      </c>
      <c r="I266" s="8"/>
      <c r="J266" s="9">
        <v>1</v>
      </c>
      <c r="K266" s="9">
        <v>304</v>
      </c>
      <c r="L266" s="9">
        <v>2024</v>
      </c>
      <c r="M266" s="8" t="s">
        <v>1811</v>
      </c>
      <c r="N266" s="8" t="s">
        <v>37</v>
      </c>
      <c r="O266" s="8" t="s">
        <v>136</v>
      </c>
      <c r="P266" s="6" t="s">
        <v>1293</v>
      </c>
      <c r="Q266" s="8" t="s">
        <v>52</v>
      </c>
      <c r="R266" s="10" t="s">
        <v>1812</v>
      </c>
      <c r="S266" s="11"/>
      <c r="T266" s="6"/>
      <c r="U266" s="15" t="str">
        <f>HYPERLINK("https://media.infra-m.ru/2102/2102181/cover/2102181.jpg", "Обложка")</f>
        <v>Обложка</v>
      </c>
      <c r="V266" s="8" t="s">
        <v>1357</v>
      </c>
      <c r="W266" s="6"/>
      <c r="X266" s="6"/>
      <c r="Y266" s="6"/>
      <c r="Z266" s="6"/>
      <c r="AA266" s="6" t="s">
        <v>55</v>
      </c>
      <c r="AB266" s="8"/>
      <c r="AC266" s="27">
        <v>9785917683676</v>
      </c>
    </row>
    <row r="267" spans="1:29" s="4" customFormat="1" ht="44.1" customHeight="1" x14ac:dyDescent="0.2">
      <c r="A267" s="5">
        <v>0</v>
      </c>
      <c r="B267" s="6" t="s">
        <v>1813</v>
      </c>
      <c r="C267" s="7">
        <v>1644</v>
      </c>
      <c r="D267" s="8" t="s">
        <v>1814</v>
      </c>
      <c r="E267" s="8" t="s">
        <v>1815</v>
      </c>
      <c r="F267" s="8" t="s">
        <v>1816</v>
      </c>
      <c r="G267" s="6" t="s">
        <v>118</v>
      </c>
      <c r="H267" s="6" t="s">
        <v>34</v>
      </c>
      <c r="I267" s="8" t="s">
        <v>1074</v>
      </c>
      <c r="J267" s="9">
        <v>1</v>
      </c>
      <c r="K267" s="9">
        <v>304</v>
      </c>
      <c r="L267" s="9">
        <v>2023</v>
      </c>
      <c r="M267" s="8" t="s">
        <v>1817</v>
      </c>
      <c r="N267" s="8" t="s">
        <v>37</v>
      </c>
      <c r="O267" s="8" t="s">
        <v>136</v>
      </c>
      <c r="P267" s="6" t="s">
        <v>39</v>
      </c>
      <c r="Q267" s="8" t="s">
        <v>40</v>
      </c>
      <c r="R267" s="10" t="s">
        <v>1818</v>
      </c>
      <c r="S267" s="11"/>
      <c r="T267" s="6"/>
      <c r="U267" s="15" t="str">
        <f>HYPERLINK("https://media.infra-m.ru/1912/1912994/cover/1912994.jpg", "Обложка")</f>
        <v>Обложка</v>
      </c>
      <c r="V267" s="8"/>
      <c r="W267" s="6"/>
      <c r="X267" s="6" t="s">
        <v>24</v>
      </c>
      <c r="Y267" s="6"/>
      <c r="Z267" s="6"/>
      <c r="AA267" s="6" t="s">
        <v>274</v>
      </c>
      <c r="AB267" s="8"/>
      <c r="AC267" s="27">
        <v>9785160108636</v>
      </c>
    </row>
    <row r="268" spans="1:29" s="4" customFormat="1" ht="51.9" customHeight="1" x14ac:dyDescent="0.2">
      <c r="A268" s="5">
        <v>0</v>
      </c>
      <c r="B268" s="6" t="s">
        <v>1819</v>
      </c>
      <c r="C268" s="7">
        <v>1260</v>
      </c>
      <c r="D268" s="8" t="s">
        <v>1820</v>
      </c>
      <c r="E268" s="8" t="s">
        <v>1821</v>
      </c>
      <c r="F268" s="8" t="s">
        <v>1822</v>
      </c>
      <c r="G268" s="6" t="s">
        <v>118</v>
      </c>
      <c r="H268" s="6" t="s">
        <v>34</v>
      </c>
      <c r="I268" s="8" t="s">
        <v>253</v>
      </c>
      <c r="J268" s="9">
        <v>1</v>
      </c>
      <c r="K268" s="9">
        <v>191</v>
      </c>
      <c r="L268" s="9">
        <v>2026</v>
      </c>
      <c r="M268" s="8" t="s">
        <v>1823</v>
      </c>
      <c r="N268" s="8" t="s">
        <v>37</v>
      </c>
      <c r="O268" s="8" t="s">
        <v>280</v>
      </c>
      <c r="P268" s="6" t="s">
        <v>51</v>
      </c>
      <c r="Q268" s="8" t="s">
        <v>500</v>
      </c>
      <c r="R268" s="10" t="s">
        <v>1824</v>
      </c>
      <c r="S268" s="11" t="s">
        <v>1825</v>
      </c>
      <c r="T268" s="6"/>
      <c r="U268" s="15" t="str">
        <f>HYPERLINK("https://media.infra-m.ru/2256/2256965/cover/2256965.jpg", "Обложка")</f>
        <v>Обложка</v>
      </c>
      <c r="V268" s="8" t="s">
        <v>1357</v>
      </c>
      <c r="W268" s="6"/>
      <c r="X268" s="6"/>
      <c r="Y268" s="6"/>
      <c r="Z268" s="6"/>
      <c r="AA268" s="6" t="s">
        <v>86</v>
      </c>
      <c r="AB268" s="8"/>
      <c r="AC268" s="27">
        <v>9785160221953</v>
      </c>
    </row>
    <row r="269" spans="1:29" s="4" customFormat="1" ht="42" customHeight="1" x14ac:dyDescent="0.2">
      <c r="A269" s="5">
        <v>0</v>
      </c>
      <c r="B269" s="6" t="s">
        <v>1826</v>
      </c>
      <c r="C269" s="7">
        <v>1374</v>
      </c>
      <c r="D269" s="8" t="s">
        <v>1827</v>
      </c>
      <c r="E269" s="8" t="s">
        <v>1828</v>
      </c>
      <c r="F269" s="8" t="s">
        <v>1829</v>
      </c>
      <c r="G269" s="6" t="s">
        <v>118</v>
      </c>
      <c r="H269" s="6" t="s">
        <v>134</v>
      </c>
      <c r="I269" s="8"/>
      <c r="J269" s="9">
        <v>1</v>
      </c>
      <c r="K269" s="9">
        <v>208</v>
      </c>
      <c r="L269" s="9">
        <v>2024</v>
      </c>
      <c r="M269" s="8" t="s">
        <v>1830</v>
      </c>
      <c r="N269" s="8" t="s">
        <v>37</v>
      </c>
      <c r="O269" s="8" t="s">
        <v>136</v>
      </c>
      <c r="P269" s="6" t="s">
        <v>39</v>
      </c>
      <c r="Q269" s="8" t="s">
        <v>40</v>
      </c>
      <c r="R269" s="10" t="s">
        <v>1812</v>
      </c>
      <c r="S269" s="11"/>
      <c r="T269" s="6"/>
      <c r="U269" s="15" t="str">
        <f>HYPERLINK("https://media.infra-m.ru/2091/2091901/cover/2091901.jpg", "Обложка")</f>
        <v>Обложка</v>
      </c>
      <c r="V269" s="8" t="s">
        <v>1184</v>
      </c>
      <c r="W269" s="6"/>
      <c r="X269" s="6"/>
      <c r="Y269" s="6"/>
      <c r="Z269" s="6"/>
      <c r="AA269" s="6" t="s">
        <v>779</v>
      </c>
      <c r="AB269" s="8" t="s">
        <v>493</v>
      </c>
      <c r="AC269" s="27">
        <v>9785917687339</v>
      </c>
    </row>
    <row r="270" spans="1:29" s="4" customFormat="1" ht="51.9" customHeight="1" x14ac:dyDescent="0.2">
      <c r="A270" s="5">
        <v>0</v>
      </c>
      <c r="B270" s="6" t="s">
        <v>1831</v>
      </c>
      <c r="C270" s="13">
        <v>780</v>
      </c>
      <c r="D270" s="8" t="s">
        <v>1832</v>
      </c>
      <c r="E270" s="8" t="s">
        <v>1833</v>
      </c>
      <c r="F270" s="8" t="s">
        <v>1834</v>
      </c>
      <c r="G270" s="6" t="s">
        <v>33</v>
      </c>
      <c r="H270" s="6" t="s">
        <v>34</v>
      </c>
      <c r="I270" s="8" t="s">
        <v>1835</v>
      </c>
      <c r="J270" s="9">
        <v>1</v>
      </c>
      <c r="K270" s="9">
        <v>112</v>
      </c>
      <c r="L270" s="9">
        <v>2027</v>
      </c>
      <c r="M270" s="8" t="s">
        <v>1836</v>
      </c>
      <c r="N270" s="8" t="s">
        <v>37</v>
      </c>
      <c r="O270" s="8" t="s">
        <v>83</v>
      </c>
      <c r="P270" s="6" t="s">
        <v>1837</v>
      </c>
      <c r="Q270" s="8" t="s">
        <v>40</v>
      </c>
      <c r="R270" s="10" t="s">
        <v>1838</v>
      </c>
      <c r="S270" s="11"/>
      <c r="T270" s="6"/>
      <c r="U270" s="15" t="str">
        <f>HYPERLINK("https://media.infra-m.ru/2249/2249159/cover/2249159.jpg", "Обложка")</f>
        <v>Обложка</v>
      </c>
      <c r="V270" s="8" t="s">
        <v>227</v>
      </c>
      <c r="W270" s="6"/>
      <c r="X270" s="6"/>
      <c r="Y270" s="6"/>
      <c r="Z270" s="6"/>
      <c r="AA270" s="6" t="s">
        <v>274</v>
      </c>
      <c r="AB270" s="8"/>
      <c r="AC270" s="27">
        <v>9785160223421</v>
      </c>
    </row>
    <row r="271" spans="1:29" s="4" customFormat="1" ht="51.9" customHeight="1" x14ac:dyDescent="0.2">
      <c r="A271" s="5">
        <v>0</v>
      </c>
      <c r="B271" s="6" t="s">
        <v>1839</v>
      </c>
      <c r="C271" s="7">
        <v>1440</v>
      </c>
      <c r="D271" s="8" t="s">
        <v>1840</v>
      </c>
      <c r="E271" s="8" t="s">
        <v>1841</v>
      </c>
      <c r="F271" s="8" t="s">
        <v>1842</v>
      </c>
      <c r="G271" s="6" t="s">
        <v>60</v>
      </c>
      <c r="H271" s="6" t="s">
        <v>34</v>
      </c>
      <c r="I271" s="8" t="s">
        <v>375</v>
      </c>
      <c r="J271" s="9">
        <v>1</v>
      </c>
      <c r="K271" s="9">
        <v>228</v>
      </c>
      <c r="L271" s="9">
        <v>2025</v>
      </c>
      <c r="M271" s="8" t="s">
        <v>1843</v>
      </c>
      <c r="N271" s="8" t="s">
        <v>243</v>
      </c>
      <c r="O271" s="8" t="s">
        <v>385</v>
      </c>
      <c r="P271" s="6" t="s">
        <v>105</v>
      </c>
      <c r="Q271" s="8" t="s">
        <v>377</v>
      </c>
      <c r="R271" s="10" t="s">
        <v>1844</v>
      </c>
      <c r="S271" s="11" t="s">
        <v>1845</v>
      </c>
      <c r="T271" s="6"/>
      <c r="U271" s="15" t="str">
        <f>HYPERLINK("https://media.infra-m.ru/2167/2167517/cover/2167517.jpg", "Обложка")</f>
        <v>Обложка</v>
      </c>
      <c r="V271" s="8" t="s">
        <v>379</v>
      </c>
      <c r="W271" s="6"/>
      <c r="X271" s="6"/>
      <c r="Y271" s="6"/>
      <c r="Z271" s="6"/>
      <c r="AA271" s="6" t="s">
        <v>68</v>
      </c>
      <c r="AB271" s="8"/>
      <c r="AC271" s="27">
        <v>9785160202747</v>
      </c>
    </row>
    <row r="272" spans="1:29" s="4" customFormat="1" ht="51.9" customHeight="1" x14ac:dyDescent="0.2">
      <c r="A272" s="5">
        <v>0</v>
      </c>
      <c r="B272" s="6" t="s">
        <v>1846</v>
      </c>
      <c r="C272" s="7">
        <v>1144.8</v>
      </c>
      <c r="D272" s="8" t="s">
        <v>1847</v>
      </c>
      <c r="E272" s="8" t="s">
        <v>1848</v>
      </c>
      <c r="F272" s="8" t="s">
        <v>1849</v>
      </c>
      <c r="G272" s="6" t="s">
        <v>118</v>
      </c>
      <c r="H272" s="6" t="s">
        <v>48</v>
      </c>
      <c r="I272" s="8" t="s">
        <v>263</v>
      </c>
      <c r="J272" s="9">
        <v>1</v>
      </c>
      <c r="K272" s="9">
        <v>174</v>
      </c>
      <c r="L272" s="9">
        <v>2026</v>
      </c>
      <c r="M272" s="8" t="s">
        <v>1850</v>
      </c>
      <c r="N272" s="8" t="s">
        <v>243</v>
      </c>
      <c r="O272" s="8" t="s">
        <v>1100</v>
      </c>
      <c r="P272" s="6" t="s">
        <v>51</v>
      </c>
      <c r="Q272" s="8" t="s">
        <v>265</v>
      </c>
      <c r="R272" s="10" t="s">
        <v>1851</v>
      </c>
      <c r="S272" s="11" t="s">
        <v>1852</v>
      </c>
      <c r="T272" s="6"/>
      <c r="U272" s="15" t="str">
        <f>HYPERLINK("https://media.infra-m.ru/2257/2257155/cover/2257155.jpg", "Обложка")</f>
        <v>Обложка</v>
      </c>
      <c r="V272" s="8" t="s">
        <v>1853</v>
      </c>
      <c r="W272" s="6"/>
      <c r="X272" s="6"/>
      <c r="Y272" s="6"/>
      <c r="Z272" s="6" t="s">
        <v>267</v>
      </c>
      <c r="AA272" s="6" t="s">
        <v>430</v>
      </c>
      <c r="AB272" s="8"/>
      <c r="AC272" s="27">
        <v>9785000915387</v>
      </c>
    </row>
    <row r="273" spans="1:29" s="4" customFormat="1" ht="51.9" customHeight="1" x14ac:dyDescent="0.2">
      <c r="A273" s="5">
        <v>0</v>
      </c>
      <c r="B273" s="6" t="s">
        <v>1854</v>
      </c>
      <c r="C273" s="7">
        <v>1192.8</v>
      </c>
      <c r="D273" s="8" t="s">
        <v>1855</v>
      </c>
      <c r="E273" s="8" t="s">
        <v>1848</v>
      </c>
      <c r="F273" s="8" t="s">
        <v>1856</v>
      </c>
      <c r="G273" s="6" t="s">
        <v>33</v>
      </c>
      <c r="H273" s="6" t="s">
        <v>48</v>
      </c>
      <c r="I273" s="8" t="s">
        <v>253</v>
      </c>
      <c r="J273" s="9">
        <v>1</v>
      </c>
      <c r="K273" s="9">
        <v>176</v>
      </c>
      <c r="L273" s="9">
        <v>2026</v>
      </c>
      <c r="M273" s="8" t="s">
        <v>1857</v>
      </c>
      <c r="N273" s="8" t="s">
        <v>243</v>
      </c>
      <c r="O273" s="8" t="s">
        <v>1100</v>
      </c>
      <c r="P273" s="6" t="s">
        <v>51</v>
      </c>
      <c r="Q273" s="8" t="s">
        <v>52</v>
      </c>
      <c r="R273" s="10" t="s">
        <v>1858</v>
      </c>
      <c r="S273" s="11" t="s">
        <v>1852</v>
      </c>
      <c r="T273" s="6"/>
      <c r="U273" s="15" t="str">
        <f>HYPERLINK("https://media.infra-m.ru/2242/2242885/cover/2242885.jpg", "Обложка")</f>
        <v>Обложка</v>
      </c>
      <c r="V273" s="8" t="s">
        <v>1853</v>
      </c>
      <c r="W273" s="6"/>
      <c r="X273" s="6"/>
      <c r="Y273" s="6"/>
      <c r="Z273" s="6"/>
      <c r="AA273" s="6" t="s">
        <v>1047</v>
      </c>
      <c r="AB273" s="8"/>
      <c r="AC273" s="27">
        <v>9785911342029</v>
      </c>
    </row>
    <row r="274" spans="1:29" s="4" customFormat="1" ht="42" customHeight="1" x14ac:dyDescent="0.2">
      <c r="A274" s="5">
        <v>0</v>
      </c>
      <c r="B274" s="6" t="s">
        <v>1859</v>
      </c>
      <c r="C274" s="7">
        <v>1104</v>
      </c>
      <c r="D274" s="8" t="s">
        <v>1860</v>
      </c>
      <c r="E274" s="8" t="s">
        <v>1861</v>
      </c>
      <c r="F274" s="8" t="s">
        <v>1862</v>
      </c>
      <c r="G274" s="6" t="s">
        <v>33</v>
      </c>
      <c r="H274" s="6" t="s">
        <v>313</v>
      </c>
      <c r="I274" s="8" t="s">
        <v>253</v>
      </c>
      <c r="J274" s="9">
        <v>1</v>
      </c>
      <c r="K274" s="9">
        <v>271</v>
      </c>
      <c r="L274" s="9">
        <v>2026</v>
      </c>
      <c r="M274" s="8" t="s">
        <v>1863</v>
      </c>
      <c r="N274" s="8" t="s">
        <v>243</v>
      </c>
      <c r="O274" s="8" t="s">
        <v>385</v>
      </c>
      <c r="P274" s="6" t="s">
        <v>51</v>
      </c>
      <c r="Q274" s="8" t="s">
        <v>65</v>
      </c>
      <c r="R274" s="10" t="s">
        <v>378</v>
      </c>
      <c r="S274" s="11"/>
      <c r="T274" s="6"/>
      <c r="U274" s="15" t="str">
        <f>HYPERLINK("https://media.infra-m.ru/2206/2206251/cover/2206251.jpg", "Обложка")</f>
        <v>Обложка</v>
      </c>
      <c r="V274" s="8"/>
      <c r="W274" s="6"/>
      <c r="X274" s="6"/>
      <c r="Y274" s="6"/>
      <c r="Z274" s="6"/>
      <c r="AA274" s="6" t="s">
        <v>1506</v>
      </c>
      <c r="AB274" s="8"/>
      <c r="AC274" s="27">
        <v>9785369001530</v>
      </c>
    </row>
    <row r="275" spans="1:29" s="4" customFormat="1" ht="51.9" customHeight="1" x14ac:dyDescent="0.2">
      <c r="A275" s="5">
        <v>0</v>
      </c>
      <c r="B275" s="6" t="s">
        <v>1864</v>
      </c>
      <c r="C275" s="7">
        <v>1792.8</v>
      </c>
      <c r="D275" s="8" t="s">
        <v>1865</v>
      </c>
      <c r="E275" s="8" t="s">
        <v>1866</v>
      </c>
      <c r="F275" s="8" t="s">
        <v>1867</v>
      </c>
      <c r="G275" s="6" t="s">
        <v>118</v>
      </c>
      <c r="H275" s="6" t="s">
        <v>34</v>
      </c>
      <c r="I275" s="8" t="s">
        <v>271</v>
      </c>
      <c r="J275" s="9">
        <v>1</v>
      </c>
      <c r="K275" s="9">
        <v>272</v>
      </c>
      <c r="L275" s="9">
        <v>2026</v>
      </c>
      <c r="M275" s="8" t="s">
        <v>1868</v>
      </c>
      <c r="N275" s="8" t="s">
        <v>585</v>
      </c>
      <c r="O275" s="8" t="s">
        <v>667</v>
      </c>
      <c r="P275" s="6" t="s">
        <v>51</v>
      </c>
      <c r="Q275" s="8" t="s">
        <v>52</v>
      </c>
      <c r="R275" s="10" t="s">
        <v>1869</v>
      </c>
      <c r="S275" s="11" t="s">
        <v>1870</v>
      </c>
      <c r="T275" s="6"/>
      <c r="U275" s="15" t="str">
        <f>HYPERLINK("https://media.infra-m.ru/2237/2237096/cover/2237096.jpg", "Обложка")</f>
        <v>Обложка</v>
      </c>
      <c r="V275" s="8" t="s">
        <v>1871</v>
      </c>
      <c r="W275" s="6"/>
      <c r="X275" s="6"/>
      <c r="Y275" s="6"/>
      <c r="Z275" s="6"/>
      <c r="AA275" s="6" t="s">
        <v>779</v>
      </c>
      <c r="AB275" s="8"/>
      <c r="AC275" s="27">
        <v>9785160123257</v>
      </c>
    </row>
    <row r="276" spans="1:29" s="4" customFormat="1" ht="51.9" customHeight="1" x14ac:dyDescent="0.2">
      <c r="A276" s="5">
        <v>0</v>
      </c>
      <c r="B276" s="6" t="s">
        <v>1872</v>
      </c>
      <c r="C276" s="7">
        <v>1128</v>
      </c>
      <c r="D276" s="8" t="s">
        <v>1873</v>
      </c>
      <c r="E276" s="8" t="s">
        <v>1874</v>
      </c>
      <c r="F276" s="8" t="s">
        <v>1875</v>
      </c>
      <c r="G276" s="6" t="s">
        <v>118</v>
      </c>
      <c r="H276" s="6" t="s">
        <v>313</v>
      </c>
      <c r="I276" s="8"/>
      <c r="J276" s="9">
        <v>1</v>
      </c>
      <c r="K276" s="9">
        <v>160</v>
      </c>
      <c r="L276" s="9">
        <v>2026</v>
      </c>
      <c r="M276" s="8" t="s">
        <v>1876</v>
      </c>
      <c r="N276" s="8" t="s">
        <v>585</v>
      </c>
      <c r="O276" s="8" t="s">
        <v>667</v>
      </c>
      <c r="P276" s="6" t="s">
        <v>51</v>
      </c>
      <c r="Q276" s="8" t="s">
        <v>52</v>
      </c>
      <c r="R276" s="10" t="s">
        <v>1877</v>
      </c>
      <c r="S276" s="11"/>
      <c r="T276" s="6"/>
      <c r="U276" s="15" t="str">
        <f>HYPERLINK("https://media.infra-m.ru/2258/2258024/cover/2258024.jpg", "Обложка")</f>
        <v>Обложка</v>
      </c>
      <c r="V276" s="8" t="s">
        <v>1878</v>
      </c>
      <c r="W276" s="6"/>
      <c r="X276" s="6"/>
      <c r="Y276" s="6"/>
      <c r="Z276" s="6"/>
      <c r="AA276" s="6" t="s">
        <v>86</v>
      </c>
      <c r="AB276" s="8"/>
      <c r="AC276" s="27">
        <v>9785369017081</v>
      </c>
    </row>
    <row r="277" spans="1:29" s="4" customFormat="1" ht="51.9" customHeight="1" x14ac:dyDescent="0.2">
      <c r="A277" s="5">
        <v>0</v>
      </c>
      <c r="B277" s="6" t="s">
        <v>1879</v>
      </c>
      <c r="C277" s="7">
        <v>3664.8</v>
      </c>
      <c r="D277" s="8" t="s">
        <v>1880</v>
      </c>
      <c r="E277" s="8" t="s">
        <v>1881</v>
      </c>
      <c r="F277" s="8" t="s">
        <v>1882</v>
      </c>
      <c r="G277" s="6" t="s">
        <v>60</v>
      </c>
      <c r="H277" s="6" t="s">
        <v>34</v>
      </c>
      <c r="I277" s="8" t="s">
        <v>253</v>
      </c>
      <c r="J277" s="9">
        <v>1</v>
      </c>
      <c r="K277" s="9">
        <v>556</v>
      </c>
      <c r="L277" s="9">
        <v>2026</v>
      </c>
      <c r="M277" s="8" t="s">
        <v>1883</v>
      </c>
      <c r="N277" s="8" t="s">
        <v>243</v>
      </c>
      <c r="O277" s="8" t="s">
        <v>244</v>
      </c>
      <c r="P277" s="6" t="s">
        <v>51</v>
      </c>
      <c r="Q277" s="8" t="s">
        <v>65</v>
      </c>
      <c r="R277" s="10" t="s">
        <v>1884</v>
      </c>
      <c r="S277" s="11"/>
      <c r="T277" s="6"/>
      <c r="U277" s="15" t="str">
        <f>HYPERLINK("https://media.infra-m.ru/2238/2238489/cover/2238489.jpg", "Обложка")</f>
        <v>Обложка</v>
      </c>
      <c r="V277" s="8" t="s">
        <v>1206</v>
      </c>
      <c r="W277" s="6"/>
      <c r="X277" s="6"/>
      <c r="Y277" s="6"/>
      <c r="Z277" s="6"/>
      <c r="AA277" s="6" t="s">
        <v>68</v>
      </c>
      <c r="AB277" s="8" t="s">
        <v>1806</v>
      </c>
      <c r="AC277" s="27">
        <v>9785160185385</v>
      </c>
    </row>
    <row r="278" spans="1:29" s="4" customFormat="1" ht="51.9" customHeight="1" x14ac:dyDescent="0.2">
      <c r="A278" s="5">
        <v>0</v>
      </c>
      <c r="B278" s="6" t="s">
        <v>1885</v>
      </c>
      <c r="C278" s="7">
        <v>2628</v>
      </c>
      <c r="D278" s="8" t="s">
        <v>1886</v>
      </c>
      <c r="E278" s="8" t="s">
        <v>1887</v>
      </c>
      <c r="F278" s="8" t="s">
        <v>1882</v>
      </c>
      <c r="G278" s="6" t="s">
        <v>118</v>
      </c>
      <c r="H278" s="6" t="s">
        <v>34</v>
      </c>
      <c r="I278" s="8" t="s">
        <v>1888</v>
      </c>
      <c r="J278" s="9">
        <v>1</v>
      </c>
      <c r="K278" s="9">
        <v>399</v>
      </c>
      <c r="L278" s="9">
        <v>2026</v>
      </c>
      <c r="M278" s="8" t="s">
        <v>1889</v>
      </c>
      <c r="N278" s="8" t="s">
        <v>93</v>
      </c>
      <c r="O278" s="8" t="s">
        <v>1890</v>
      </c>
      <c r="P278" s="6" t="s">
        <v>51</v>
      </c>
      <c r="Q278" s="8" t="s">
        <v>1891</v>
      </c>
      <c r="R278" s="10" t="s">
        <v>1892</v>
      </c>
      <c r="S278" s="11"/>
      <c r="T278" s="6"/>
      <c r="U278" s="15" t="str">
        <f>HYPERLINK("https://media.infra-m.ru/2254/2254337/cover/2254337.jpg", "Обложка")</f>
        <v>Обложка</v>
      </c>
      <c r="V278" s="8" t="s">
        <v>1206</v>
      </c>
      <c r="W278" s="6"/>
      <c r="X278" s="6"/>
      <c r="Y278" s="6"/>
      <c r="Z278" s="6"/>
      <c r="AA278" s="6" t="s">
        <v>76</v>
      </c>
      <c r="AB278" s="8"/>
      <c r="AC278" s="27">
        <v>9785160163475</v>
      </c>
    </row>
    <row r="279" spans="1:29" s="4" customFormat="1" ht="51.9" customHeight="1" x14ac:dyDescent="0.2">
      <c r="A279" s="5">
        <v>0</v>
      </c>
      <c r="B279" s="6" t="s">
        <v>1893</v>
      </c>
      <c r="C279" s="7">
        <v>2448</v>
      </c>
      <c r="D279" s="8" t="s">
        <v>1894</v>
      </c>
      <c r="E279" s="8" t="s">
        <v>1895</v>
      </c>
      <c r="F279" s="8" t="s">
        <v>1896</v>
      </c>
      <c r="G279" s="6" t="s">
        <v>118</v>
      </c>
      <c r="H279" s="6" t="s">
        <v>1042</v>
      </c>
      <c r="I279" s="8" t="s">
        <v>263</v>
      </c>
      <c r="J279" s="9">
        <v>1</v>
      </c>
      <c r="K279" s="9">
        <v>352</v>
      </c>
      <c r="L279" s="9">
        <v>2026</v>
      </c>
      <c r="M279" s="8" t="s">
        <v>1897</v>
      </c>
      <c r="N279" s="8" t="s">
        <v>243</v>
      </c>
      <c r="O279" s="8" t="s">
        <v>244</v>
      </c>
      <c r="P279" s="6" t="s">
        <v>51</v>
      </c>
      <c r="Q279" s="8" t="s">
        <v>265</v>
      </c>
      <c r="R279" s="10" t="s">
        <v>1898</v>
      </c>
      <c r="S279" s="11" t="s">
        <v>1899</v>
      </c>
      <c r="T279" s="6"/>
      <c r="U279" s="15" t="str">
        <f>HYPERLINK("https://media.infra-m.ru/2258/2258366/cover/2258366.jpg", "Обложка")</f>
        <v>Обложка</v>
      </c>
      <c r="V279" s="8" t="s">
        <v>227</v>
      </c>
      <c r="W279" s="6"/>
      <c r="X279" s="6"/>
      <c r="Y279" s="6"/>
      <c r="Z279" s="6"/>
      <c r="AA279" s="6" t="s">
        <v>1047</v>
      </c>
      <c r="AB279" s="8"/>
      <c r="AC279" s="27">
        <v>9785819907276</v>
      </c>
    </row>
    <row r="280" spans="1:29" s="4" customFormat="1" ht="51.9" customHeight="1" x14ac:dyDescent="0.2">
      <c r="A280" s="5">
        <v>0</v>
      </c>
      <c r="B280" s="6" t="s">
        <v>1900</v>
      </c>
      <c r="C280" s="7">
        <v>1588.8</v>
      </c>
      <c r="D280" s="8" t="s">
        <v>1901</v>
      </c>
      <c r="E280" s="8" t="s">
        <v>1902</v>
      </c>
      <c r="F280" s="8" t="s">
        <v>1903</v>
      </c>
      <c r="G280" s="6" t="s">
        <v>118</v>
      </c>
      <c r="H280" s="6" t="s">
        <v>820</v>
      </c>
      <c r="I280" s="8" t="s">
        <v>1904</v>
      </c>
      <c r="J280" s="9">
        <v>1</v>
      </c>
      <c r="K280" s="9">
        <v>240</v>
      </c>
      <c r="L280" s="9">
        <v>2026</v>
      </c>
      <c r="M280" s="8" t="s">
        <v>1905</v>
      </c>
      <c r="N280" s="8" t="s">
        <v>243</v>
      </c>
      <c r="O280" s="8" t="s">
        <v>244</v>
      </c>
      <c r="P280" s="6" t="s">
        <v>306</v>
      </c>
      <c r="Q280" s="8" t="s">
        <v>52</v>
      </c>
      <c r="R280" s="10" t="s">
        <v>1906</v>
      </c>
      <c r="S280" s="11" t="s">
        <v>1907</v>
      </c>
      <c r="T280" s="6"/>
      <c r="U280" s="15" t="str">
        <f>HYPERLINK("https://media.infra-m.ru/2247/2247409/cover/2247409.jpg", "Обложка")</f>
        <v>Обложка</v>
      </c>
      <c r="V280" s="8" t="s">
        <v>1908</v>
      </c>
      <c r="W280" s="6"/>
      <c r="X280" s="6"/>
      <c r="Y280" s="6"/>
      <c r="Z280" s="6"/>
      <c r="AA280" s="6" t="s">
        <v>779</v>
      </c>
      <c r="AB280" s="8"/>
      <c r="AC280" s="27">
        <v>9785906818256</v>
      </c>
    </row>
    <row r="281" spans="1:29" s="4" customFormat="1" ht="51.9" customHeight="1" x14ac:dyDescent="0.2">
      <c r="A281" s="5">
        <v>0</v>
      </c>
      <c r="B281" s="6" t="s">
        <v>1909</v>
      </c>
      <c r="C281" s="13">
        <v>576</v>
      </c>
      <c r="D281" s="8" t="s">
        <v>1910</v>
      </c>
      <c r="E281" s="8" t="s">
        <v>1911</v>
      </c>
      <c r="F281" s="8" t="s">
        <v>1912</v>
      </c>
      <c r="G281" s="6" t="s">
        <v>33</v>
      </c>
      <c r="H281" s="6" t="s">
        <v>34</v>
      </c>
      <c r="I281" s="8" t="s">
        <v>35</v>
      </c>
      <c r="J281" s="9">
        <v>1</v>
      </c>
      <c r="K281" s="9">
        <v>82</v>
      </c>
      <c r="L281" s="9">
        <v>2027</v>
      </c>
      <c r="M281" s="8" t="s">
        <v>1913</v>
      </c>
      <c r="N281" s="8" t="s">
        <v>63</v>
      </c>
      <c r="O281" s="8" t="s">
        <v>64</v>
      </c>
      <c r="P281" s="6" t="s">
        <v>39</v>
      </c>
      <c r="Q281" s="8" t="s">
        <v>40</v>
      </c>
      <c r="R281" s="10" t="s">
        <v>1914</v>
      </c>
      <c r="S281" s="11"/>
      <c r="T281" s="6"/>
      <c r="U281" s="15" t="str">
        <f>HYPERLINK("https://media.infra-m.ru/2272/2272343/cover/2272343.jpg", "Обложка")</f>
        <v>Обложка</v>
      </c>
      <c r="V281" s="8" t="s">
        <v>1915</v>
      </c>
      <c r="W281" s="6"/>
      <c r="X281" s="6"/>
      <c r="Y281" s="6"/>
      <c r="Z281" s="6"/>
      <c r="AA281" s="6" t="s">
        <v>86</v>
      </c>
      <c r="AB281" s="8"/>
      <c r="AC281" s="27">
        <v>9785160133874</v>
      </c>
    </row>
    <row r="282" spans="1:29" s="4" customFormat="1" ht="44.1" customHeight="1" x14ac:dyDescent="0.2">
      <c r="A282" s="5">
        <v>0</v>
      </c>
      <c r="B282" s="6" t="s">
        <v>1916</v>
      </c>
      <c r="C282" s="7">
        <v>1380</v>
      </c>
      <c r="D282" s="8" t="s">
        <v>1917</v>
      </c>
      <c r="E282" s="8" t="s">
        <v>1918</v>
      </c>
      <c r="F282" s="8" t="s">
        <v>1919</v>
      </c>
      <c r="G282" s="6" t="s">
        <v>60</v>
      </c>
      <c r="H282" s="6" t="s">
        <v>34</v>
      </c>
      <c r="I282" s="8" t="s">
        <v>35</v>
      </c>
      <c r="J282" s="9">
        <v>1</v>
      </c>
      <c r="K282" s="9">
        <v>244</v>
      </c>
      <c r="L282" s="9">
        <v>2023</v>
      </c>
      <c r="M282" s="8" t="s">
        <v>1920</v>
      </c>
      <c r="N282" s="8" t="s">
        <v>63</v>
      </c>
      <c r="O282" s="8" t="s">
        <v>181</v>
      </c>
      <c r="P282" s="6" t="s">
        <v>39</v>
      </c>
      <c r="Q282" s="8" t="s">
        <v>40</v>
      </c>
      <c r="R282" s="10" t="s">
        <v>1921</v>
      </c>
      <c r="S282" s="11"/>
      <c r="T282" s="6"/>
      <c r="U282" s="15" t="str">
        <f>HYPERLINK("https://media.infra-m.ru/1903/1903337/cover/1903337.jpg", "Обложка")</f>
        <v>Обложка</v>
      </c>
      <c r="V282" s="8" t="s">
        <v>1922</v>
      </c>
      <c r="W282" s="6"/>
      <c r="X282" s="6"/>
      <c r="Y282" s="6"/>
      <c r="Z282" s="6"/>
      <c r="AA282" s="6" t="s">
        <v>157</v>
      </c>
      <c r="AB282" s="8"/>
      <c r="AC282" s="27">
        <v>9785160180083</v>
      </c>
    </row>
    <row r="283" spans="1:29" s="4" customFormat="1" ht="42" customHeight="1" x14ac:dyDescent="0.2">
      <c r="A283" s="5">
        <v>0</v>
      </c>
      <c r="B283" s="6" t="s">
        <v>1923</v>
      </c>
      <c r="C283" s="7">
        <v>1380</v>
      </c>
      <c r="D283" s="8" t="s">
        <v>1924</v>
      </c>
      <c r="E283" s="8" t="s">
        <v>1925</v>
      </c>
      <c r="F283" s="8" t="s">
        <v>1926</v>
      </c>
      <c r="G283" s="6" t="s">
        <v>118</v>
      </c>
      <c r="H283" s="6" t="s">
        <v>34</v>
      </c>
      <c r="I283" s="8" t="s">
        <v>253</v>
      </c>
      <c r="J283" s="9">
        <v>1</v>
      </c>
      <c r="K283" s="9">
        <v>209</v>
      </c>
      <c r="L283" s="9">
        <v>2026</v>
      </c>
      <c r="M283" s="8" t="s">
        <v>1927</v>
      </c>
      <c r="N283" s="8" t="s">
        <v>37</v>
      </c>
      <c r="O283" s="8" t="s">
        <v>136</v>
      </c>
      <c r="P283" s="6" t="s">
        <v>51</v>
      </c>
      <c r="Q283" s="8" t="s">
        <v>65</v>
      </c>
      <c r="R283" s="10" t="s">
        <v>1667</v>
      </c>
      <c r="S283" s="11"/>
      <c r="T283" s="6"/>
      <c r="U283" s="15" t="str">
        <f>HYPERLINK("https://media.infra-m.ru/2231/2231092/cover/2231092.jpg", "Обложка")</f>
        <v>Обложка</v>
      </c>
      <c r="V283" s="8" t="s">
        <v>1928</v>
      </c>
      <c r="W283" s="6"/>
      <c r="X283" s="6"/>
      <c r="Y283" s="6"/>
      <c r="Z283" s="6"/>
      <c r="AA283" s="6" t="s">
        <v>68</v>
      </c>
      <c r="AB283" s="8"/>
      <c r="AC283" s="27">
        <v>9785160200149</v>
      </c>
    </row>
    <row r="284" spans="1:29" s="4" customFormat="1" ht="42" customHeight="1" x14ac:dyDescent="0.2">
      <c r="A284" s="5">
        <v>0</v>
      </c>
      <c r="B284" s="6" t="s">
        <v>1929</v>
      </c>
      <c r="C284" s="7">
        <v>1524</v>
      </c>
      <c r="D284" s="8" t="s">
        <v>1930</v>
      </c>
      <c r="E284" s="8" t="s">
        <v>1931</v>
      </c>
      <c r="F284" s="8" t="s">
        <v>1932</v>
      </c>
      <c r="G284" s="6" t="s">
        <v>118</v>
      </c>
      <c r="H284" s="6" t="s">
        <v>34</v>
      </c>
      <c r="I284" s="8" t="s">
        <v>263</v>
      </c>
      <c r="J284" s="9">
        <v>1</v>
      </c>
      <c r="K284" s="9">
        <v>247</v>
      </c>
      <c r="L284" s="9">
        <v>2025</v>
      </c>
      <c r="M284" s="8" t="s">
        <v>1933</v>
      </c>
      <c r="N284" s="8" t="s">
        <v>243</v>
      </c>
      <c r="O284" s="8" t="s">
        <v>758</v>
      </c>
      <c r="P284" s="6" t="s">
        <v>51</v>
      </c>
      <c r="Q284" s="8" t="s">
        <v>265</v>
      </c>
      <c r="R284" s="10" t="s">
        <v>1934</v>
      </c>
      <c r="S284" s="11"/>
      <c r="T284" s="6"/>
      <c r="U284" s="15" t="str">
        <f>HYPERLINK("https://media.infra-m.ru/2164/2164049/cover/2164049.jpg", "Обложка")</f>
        <v>Обложка</v>
      </c>
      <c r="V284" s="8" t="s">
        <v>227</v>
      </c>
      <c r="W284" s="6"/>
      <c r="X284" s="6"/>
      <c r="Y284" s="6"/>
      <c r="Z284" s="6" t="s">
        <v>267</v>
      </c>
      <c r="AA284" s="6" t="s">
        <v>917</v>
      </c>
      <c r="AB284" s="8"/>
      <c r="AC284" s="27">
        <v>9785160202402</v>
      </c>
    </row>
    <row r="285" spans="1:29" s="4" customFormat="1" ht="42" customHeight="1" x14ac:dyDescent="0.2">
      <c r="A285" s="5">
        <v>0</v>
      </c>
      <c r="B285" s="6" t="s">
        <v>1935</v>
      </c>
      <c r="C285" s="7">
        <v>1500</v>
      </c>
      <c r="D285" s="8" t="s">
        <v>1936</v>
      </c>
      <c r="E285" s="8" t="s">
        <v>1931</v>
      </c>
      <c r="F285" s="8" t="s">
        <v>1932</v>
      </c>
      <c r="G285" s="6" t="s">
        <v>118</v>
      </c>
      <c r="H285" s="6" t="s">
        <v>34</v>
      </c>
      <c r="I285" s="8" t="s">
        <v>253</v>
      </c>
      <c r="J285" s="9">
        <v>1</v>
      </c>
      <c r="K285" s="9">
        <v>247</v>
      </c>
      <c r="L285" s="9">
        <v>2023</v>
      </c>
      <c r="M285" s="8" t="s">
        <v>1937</v>
      </c>
      <c r="N285" s="8" t="s">
        <v>243</v>
      </c>
      <c r="O285" s="8" t="s">
        <v>758</v>
      </c>
      <c r="P285" s="6" t="s">
        <v>51</v>
      </c>
      <c r="Q285" s="8" t="s">
        <v>52</v>
      </c>
      <c r="R285" s="10" t="s">
        <v>1938</v>
      </c>
      <c r="S285" s="11"/>
      <c r="T285" s="6"/>
      <c r="U285" s="15" t="str">
        <f>HYPERLINK("https://media.infra-m.ru/2125/2125722/cover/2125722.jpg", "Обложка")</f>
        <v>Обложка</v>
      </c>
      <c r="V285" s="8" t="s">
        <v>227</v>
      </c>
      <c r="W285" s="6"/>
      <c r="X285" s="6"/>
      <c r="Y285" s="6"/>
      <c r="Z285" s="6"/>
      <c r="AA285" s="6" t="s">
        <v>896</v>
      </c>
      <c r="AB285" s="8"/>
      <c r="AC285" s="27">
        <v>9785160194943</v>
      </c>
    </row>
    <row r="286" spans="1:29" s="4" customFormat="1" ht="51.9" customHeight="1" x14ac:dyDescent="0.2">
      <c r="A286" s="5">
        <v>0</v>
      </c>
      <c r="B286" s="6" t="s">
        <v>1939</v>
      </c>
      <c r="C286" s="7">
        <v>1260</v>
      </c>
      <c r="D286" s="8" t="s">
        <v>1940</v>
      </c>
      <c r="E286" s="8" t="s">
        <v>1941</v>
      </c>
      <c r="F286" s="8" t="s">
        <v>1942</v>
      </c>
      <c r="G286" s="6" t="s">
        <v>118</v>
      </c>
      <c r="H286" s="6" t="s">
        <v>34</v>
      </c>
      <c r="I286" s="8" t="s">
        <v>1074</v>
      </c>
      <c r="J286" s="9">
        <v>1</v>
      </c>
      <c r="K286" s="9">
        <v>248</v>
      </c>
      <c r="L286" s="9">
        <v>2022</v>
      </c>
      <c r="M286" s="8" t="s">
        <v>1943</v>
      </c>
      <c r="N286" s="8" t="s">
        <v>37</v>
      </c>
      <c r="O286" s="8" t="s">
        <v>136</v>
      </c>
      <c r="P286" s="6" t="s">
        <v>39</v>
      </c>
      <c r="Q286" s="8" t="s">
        <v>40</v>
      </c>
      <c r="R286" s="10" t="s">
        <v>484</v>
      </c>
      <c r="S286" s="11"/>
      <c r="T286" s="6"/>
      <c r="U286" s="15" t="str">
        <f>HYPERLINK("https://media.infra-m.ru/1877/1877127/cover/1877127.jpg", "Обложка")</f>
        <v>Обложка</v>
      </c>
      <c r="V286" s="8" t="s">
        <v>138</v>
      </c>
      <c r="W286" s="6"/>
      <c r="X286" s="6"/>
      <c r="Y286" s="6"/>
      <c r="Z286" s="6"/>
      <c r="AA286" s="6" t="s">
        <v>779</v>
      </c>
      <c r="AB286" s="8"/>
      <c r="AC286" s="27">
        <v>9785160122434</v>
      </c>
    </row>
    <row r="287" spans="1:29" s="4" customFormat="1" ht="42" customHeight="1" x14ac:dyDescent="0.2">
      <c r="A287" s="5">
        <v>0</v>
      </c>
      <c r="B287" s="6" t="s">
        <v>1944</v>
      </c>
      <c r="C287" s="13">
        <v>780</v>
      </c>
      <c r="D287" s="8" t="s">
        <v>1945</v>
      </c>
      <c r="E287" s="8" t="s">
        <v>1946</v>
      </c>
      <c r="F287" s="8" t="s">
        <v>1947</v>
      </c>
      <c r="G287" s="6" t="s">
        <v>33</v>
      </c>
      <c r="H287" s="6" t="s">
        <v>313</v>
      </c>
      <c r="I287" s="8" t="s">
        <v>35</v>
      </c>
      <c r="J287" s="9">
        <v>1</v>
      </c>
      <c r="K287" s="9">
        <v>184</v>
      </c>
      <c r="L287" s="9">
        <v>2020</v>
      </c>
      <c r="M287" s="8" t="s">
        <v>1948</v>
      </c>
      <c r="N287" s="8" t="s">
        <v>37</v>
      </c>
      <c r="O287" s="8" t="s">
        <v>136</v>
      </c>
      <c r="P287" s="6" t="s">
        <v>39</v>
      </c>
      <c r="Q287" s="8" t="s">
        <v>40</v>
      </c>
      <c r="R287" s="10" t="s">
        <v>684</v>
      </c>
      <c r="S287" s="11"/>
      <c r="T287" s="6"/>
      <c r="U287" s="15" t="str">
        <f>HYPERLINK("https://media.infra-m.ru/1078/1078355/cover/1078355.jpg", "Обложка")</f>
        <v>Обложка</v>
      </c>
      <c r="V287" s="8" t="s">
        <v>1949</v>
      </c>
      <c r="W287" s="6"/>
      <c r="X287" s="6"/>
      <c r="Y287" s="6"/>
      <c r="Z287" s="6"/>
      <c r="AA287" s="6" t="s">
        <v>115</v>
      </c>
      <c r="AB287" s="8"/>
      <c r="AC287" s="27">
        <v>9785369018033</v>
      </c>
    </row>
    <row r="288" spans="1:29" s="4" customFormat="1" ht="44.1" customHeight="1" x14ac:dyDescent="0.2">
      <c r="A288" s="5">
        <v>0</v>
      </c>
      <c r="B288" s="6" t="s">
        <v>1950</v>
      </c>
      <c r="C288" s="7">
        <v>1452</v>
      </c>
      <c r="D288" s="8" t="s">
        <v>1951</v>
      </c>
      <c r="E288" s="8" t="s">
        <v>1952</v>
      </c>
      <c r="F288" s="8" t="s">
        <v>1953</v>
      </c>
      <c r="G288" s="6" t="s">
        <v>118</v>
      </c>
      <c r="H288" s="6" t="s">
        <v>34</v>
      </c>
      <c r="I288" s="8" t="s">
        <v>35</v>
      </c>
      <c r="J288" s="9">
        <v>1</v>
      </c>
      <c r="K288" s="9">
        <v>232</v>
      </c>
      <c r="L288" s="9">
        <v>2025</v>
      </c>
      <c r="M288" s="8" t="s">
        <v>1954</v>
      </c>
      <c r="N288" s="8" t="s">
        <v>37</v>
      </c>
      <c r="O288" s="8" t="s">
        <v>136</v>
      </c>
      <c r="P288" s="6" t="s">
        <v>39</v>
      </c>
      <c r="Q288" s="8" t="s">
        <v>40</v>
      </c>
      <c r="R288" s="10" t="s">
        <v>1955</v>
      </c>
      <c r="S288" s="11"/>
      <c r="T288" s="6"/>
      <c r="U288" s="15" t="str">
        <f>HYPERLINK("https://media.infra-m.ru/2196/2196343/cover/2196343.jpg", "Обложка")</f>
        <v>Обложка</v>
      </c>
      <c r="V288" s="8" t="s">
        <v>1956</v>
      </c>
      <c r="W288" s="6"/>
      <c r="X288" s="6"/>
      <c r="Y288" s="6"/>
      <c r="Z288" s="6"/>
      <c r="AA288" s="6" t="s">
        <v>76</v>
      </c>
      <c r="AB288" s="8"/>
      <c r="AC288" s="27">
        <v>9785160183749</v>
      </c>
    </row>
    <row r="289" spans="1:29" s="4" customFormat="1" ht="42" customHeight="1" x14ac:dyDescent="0.2">
      <c r="A289" s="5">
        <v>0</v>
      </c>
      <c r="B289" s="6" t="s">
        <v>1957</v>
      </c>
      <c r="C289" s="7">
        <v>1680</v>
      </c>
      <c r="D289" s="8" t="s">
        <v>1958</v>
      </c>
      <c r="E289" s="8" t="s">
        <v>1959</v>
      </c>
      <c r="F289" s="8" t="s">
        <v>1960</v>
      </c>
      <c r="G289" s="6" t="s">
        <v>33</v>
      </c>
      <c r="H289" s="6" t="s">
        <v>34</v>
      </c>
      <c r="I289" s="8" t="s">
        <v>35</v>
      </c>
      <c r="J289" s="9">
        <v>1</v>
      </c>
      <c r="K289" s="9">
        <v>370</v>
      </c>
      <c r="L289" s="9">
        <v>2021</v>
      </c>
      <c r="M289" s="8" t="s">
        <v>1961</v>
      </c>
      <c r="N289" s="8" t="s">
        <v>63</v>
      </c>
      <c r="O289" s="8" t="s">
        <v>126</v>
      </c>
      <c r="P289" s="6" t="s">
        <v>39</v>
      </c>
      <c r="Q289" s="8" t="s">
        <v>40</v>
      </c>
      <c r="R289" s="10" t="s">
        <v>465</v>
      </c>
      <c r="S289" s="11"/>
      <c r="T289" s="6"/>
      <c r="U289" s="15" t="str">
        <f>HYPERLINK("https://media.infra-m.ru/1487/1487716/cover/1487716.jpg", "Обложка")</f>
        <v>Обложка</v>
      </c>
      <c r="V289" s="8" t="s">
        <v>227</v>
      </c>
      <c r="W289" s="6"/>
      <c r="X289" s="6"/>
      <c r="Y289" s="6"/>
      <c r="Z289" s="6"/>
      <c r="AA289" s="6" t="s">
        <v>430</v>
      </c>
      <c r="AB289" s="8"/>
      <c r="AC289" s="27">
        <v>9785160170039</v>
      </c>
    </row>
    <row r="290" spans="1:29" s="4" customFormat="1" ht="51.9" customHeight="1" x14ac:dyDescent="0.2">
      <c r="A290" s="5">
        <v>0</v>
      </c>
      <c r="B290" s="6" t="s">
        <v>1962</v>
      </c>
      <c r="C290" s="7">
        <v>1128</v>
      </c>
      <c r="D290" s="8" t="s">
        <v>1963</v>
      </c>
      <c r="E290" s="8" t="s">
        <v>1964</v>
      </c>
      <c r="F290" s="8" t="s">
        <v>1965</v>
      </c>
      <c r="G290" s="6" t="s">
        <v>33</v>
      </c>
      <c r="H290" s="6" t="s">
        <v>34</v>
      </c>
      <c r="I290" s="8" t="s">
        <v>35</v>
      </c>
      <c r="J290" s="9">
        <v>1</v>
      </c>
      <c r="K290" s="9">
        <v>188</v>
      </c>
      <c r="L290" s="9">
        <v>2025</v>
      </c>
      <c r="M290" s="8" t="s">
        <v>1966</v>
      </c>
      <c r="N290" s="8" t="s">
        <v>63</v>
      </c>
      <c r="O290" s="8" t="s">
        <v>64</v>
      </c>
      <c r="P290" s="6" t="s">
        <v>39</v>
      </c>
      <c r="Q290" s="8" t="s">
        <v>40</v>
      </c>
      <c r="R290" s="10" t="s">
        <v>1967</v>
      </c>
      <c r="S290" s="11"/>
      <c r="T290" s="6"/>
      <c r="U290" s="15" t="str">
        <f>HYPERLINK("https://media.infra-m.ru/2174/2174429/cover/2174429.jpg", "Обложка")</f>
        <v>Обложка</v>
      </c>
      <c r="V290" s="8" t="s">
        <v>1599</v>
      </c>
      <c r="W290" s="6"/>
      <c r="X290" s="6"/>
      <c r="Y290" s="6"/>
      <c r="Z290" s="6"/>
      <c r="AA290" s="6" t="s">
        <v>360</v>
      </c>
      <c r="AB290" s="8"/>
      <c r="AC290" s="27">
        <v>9785160204697</v>
      </c>
    </row>
    <row r="291" spans="1:29" s="4" customFormat="1" ht="51.9" customHeight="1" x14ac:dyDescent="0.2">
      <c r="A291" s="5">
        <v>0</v>
      </c>
      <c r="B291" s="6" t="s">
        <v>1968</v>
      </c>
      <c r="C291" s="7">
        <v>1068</v>
      </c>
      <c r="D291" s="8" t="s">
        <v>1969</v>
      </c>
      <c r="E291" s="8" t="s">
        <v>1964</v>
      </c>
      <c r="F291" s="8" t="s">
        <v>1965</v>
      </c>
      <c r="G291" s="6" t="s">
        <v>118</v>
      </c>
      <c r="H291" s="6" t="s">
        <v>34</v>
      </c>
      <c r="I291" s="8" t="s">
        <v>35</v>
      </c>
      <c r="J291" s="9">
        <v>1</v>
      </c>
      <c r="K291" s="9">
        <v>188</v>
      </c>
      <c r="L291" s="9">
        <v>2022</v>
      </c>
      <c r="M291" s="8" t="s">
        <v>1970</v>
      </c>
      <c r="N291" s="8" t="s">
        <v>63</v>
      </c>
      <c r="O291" s="8" t="s">
        <v>64</v>
      </c>
      <c r="P291" s="6" t="s">
        <v>39</v>
      </c>
      <c r="Q291" s="8" t="s">
        <v>40</v>
      </c>
      <c r="R291" s="10" t="s">
        <v>1967</v>
      </c>
      <c r="S291" s="11"/>
      <c r="T291" s="6"/>
      <c r="U291" s="15" t="str">
        <f>HYPERLINK("https://media.infra-m.ru/1850/1850128/cover/1850128.jpg", "Обложка")</f>
        <v>Обложка</v>
      </c>
      <c r="V291" s="8" t="s">
        <v>1599</v>
      </c>
      <c r="W291" s="6"/>
      <c r="X291" s="6"/>
      <c r="Y291" s="6"/>
      <c r="Z291" s="6"/>
      <c r="AA291" s="6" t="s">
        <v>360</v>
      </c>
      <c r="AB291" s="8"/>
      <c r="AC291" s="27">
        <v>9785160120249</v>
      </c>
    </row>
    <row r="292" spans="1:29" s="4" customFormat="1" ht="42" customHeight="1" x14ac:dyDescent="0.2">
      <c r="A292" s="5">
        <v>0</v>
      </c>
      <c r="B292" s="6" t="s">
        <v>1971</v>
      </c>
      <c r="C292" s="7">
        <v>2916</v>
      </c>
      <c r="D292" s="8" t="s">
        <v>1972</v>
      </c>
      <c r="E292" s="8" t="s">
        <v>1973</v>
      </c>
      <c r="F292" s="8" t="s">
        <v>1974</v>
      </c>
      <c r="G292" s="6" t="s">
        <v>60</v>
      </c>
      <c r="H292" s="6" t="s">
        <v>34</v>
      </c>
      <c r="I292" s="8" t="s">
        <v>35</v>
      </c>
      <c r="J292" s="9">
        <v>1</v>
      </c>
      <c r="K292" s="9">
        <v>419</v>
      </c>
      <c r="L292" s="9">
        <v>2027</v>
      </c>
      <c r="M292" s="8" t="s">
        <v>1975</v>
      </c>
      <c r="N292" s="8" t="s">
        <v>37</v>
      </c>
      <c r="O292" s="8" t="s">
        <v>83</v>
      </c>
      <c r="P292" s="6" t="s">
        <v>39</v>
      </c>
      <c r="Q292" s="8" t="s">
        <v>40</v>
      </c>
      <c r="R292" s="10" t="s">
        <v>1976</v>
      </c>
      <c r="S292" s="11"/>
      <c r="T292" s="6"/>
      <c r="U292" s="15" t="str">
        <f>HYPERLINK("https://media.infra-m.ru/2268/2268354/cover/2268354.jpg", "Обложка")</f>
        <v>Обложка</v>
      </c>
      <c r="V292" s="8" t="s">
        <v>1069</v>
      </c>
      <c r="W292" s="6"/>
      <c r="X292" s="6"/>
      <c r="Y292" s="6"/>
      <c r="Z292" s="6"/>
      <c r="AA292" s="6" t="s">
        <v>86</v>
      </c>
      <c r="AB292" s="8"/>
      <c r="AC292" s="27">
        <v>9785160143002</v>
      </c>
    </row>
    <row r="293" spans="1:29" s="4" customFormat="1" ht="42" customHeight="1" x14ac:dyDescent="0.2">
      <c r="A293" s="5">
        <v>0</v>
      </c>
      <c r="B293" s="6" t="s">
        <v>1977</v>
      </c>
      <c r="C293" s="13">
        <v>880.8</v>
      </c>
      <c r="D293" s="8" t="s">
        <v>1978</v>
      </c>
      <c r="E293" s="8" t="s">
        <v>1979</v>
      </c>
      <c r="F293" s="8" t="s">
        <v>1980</v>
      </c>
      <c r="G293" s="6" t="s">
        <v>33</v>
      </c>
      <c r="H293" s="6" t="s">
        <v>34</v>
      </c>
      <c r="I293" s="8" t="s">
        <v>35</v>
      </c>
      <c r="J293" s="9">
        <v>1</v>
      </c>
      <c r="K293" s="9">
        <v>148</v>
      </c>
      <c r="L293" s="9">
        <v>2025</v>
      </c>
      <c r="M293" s="8" t="s">
        <v>1981</v>
      </c>
      <c r="N293" s="8" t="s">
        <v>243</v>
      </c>
      <c r="O293" s="8" t="s">
        <v>385</v>
      </c>
      <c r="P293" s="6" t="s">
        <v>39</v>
      </c>
      <c r="Q293" s="8" t="s">
        <v>40</v>
      </c>
      <c r="R293" s="10" t="s">
        <v>378</v>
      </c>
      <c r="S293" s="11"/>
      <c r="T293" s="6"/>
      <c r="U293" s="15" t="str">
        <f>HYPERLINK("https://media.infra-m.ru/2170/2170646/cover/2170646.jpg", "Обложка")</f>
        <v>Обложка</v>
      </c>
      <c r="V293" s="8" t="s">
        <v>227</v>
      </c>
      <c r="W293" s="6"/>
      <c r="X293" s="6"/>
      <c r="Y293" s="6"/>
      <c r="Z293" s="6"/>
      <c r="AA293" s="6" t="s">
        <v>86</v>
      </c>
      <c r="AB293" s="8"/>
      <c r="AC293" s="27">
        <v>9785160135274</v>
      </c>
    </row>
    <row r="294" spans="1:29" s="4" customFormat="1" ht="51.9" customHeight="1" x14ac:dyDescent="0.2">
      <c r="A294" s="5">
        <v>0</v>
      </c>
      <c r="B294" s="6" t="s">
        <v>1982</v>
      </c>
      <c r="C294" s="7">
        <v>1020</v>
      </c>
      <c r="D294" s="8" t="s">
        <v>1983</v>
      </c>
      <c r="E294" s="8" t="s">
        <v>1984</v>
      </c>
      <c r="F294" s="8" t="s">
        <v>1985</v>
      </c>
      <c r="G294" s="6" t="s">
        <v>60</v>
      </c>
      <c r="H294" s="6" t="s">
        <v>34</v>
      </c>
      <c r="I294" s="8" t="s">
        <v>35</v>
      </c>
      <c r="J294" s="9">
        <v>1</v>
      </c>
      <c r="K294" s="9">
        <v>187</v>
      </c>
      <c r="L294" s="9">
        <v>2023</v>
      </c>
      <c r="M294" s="8" t="s">
        <v>1986</v>
      </c>
      <c r="N294" s="8" t="s">
        <v>37</v>
      </c>
      <c r="O294" s="8" t="s">
        <v>136</v>
      </c>
      <c r="P294" s="6" t="s">
        <v>39</v>
      </c>
      <c r="Q294" s="8" t="s">
        <v>40</v>
      </c>
      <c r="R294" s="10" t="s">
        <v>1661</v>
      </c>
      <c r="S294" s="11"/>
      <c r="T294" s="6"/>
      <c r="U294" s="15" t="str">
        <f>HYPERLINK("https://media.infra-m.ru/1903/1903335/cover/1903335.jpg", "Обложка")</f>
        <v>Обложка</v>
      </c>
      <c r="V294" s="8" t="s">
        <v>1987</v>
      </c>
      <c r="W294" s="6"/>
      <c r="X294" s="6"/>
      <c r="Y294" s="6"/>
      <c r="Z294" s="6"/>
      <c r="AA294" s="6" t="s">
        <v>1303</v>
      </c>
      <c r="AB294" s="8"/>
      <c r="AC294" s="27">
        <v>9785160180076</v>
      </c>
    </row>
    <row r="295" spans="1:29" s="4" customFormat="1" ht="51.9" customHeight="1" x14ac:dyDescent="0.2">
      <c r="A295" s="5">
        <v>0</v>
      </c>
      <c r="B295" s="6" t="s">
        <v>1988</v>
      </c>
      <c r="C295" s="13">
        <v>816</v>
      </c>
      <c r="D295" s="8" t="s">
        <v>1989</v>
      </c>
      <c r="E295" s="8" t="s">
        <v>1990</v>
      </c>
      <c r="F295" s="8" t="s">
        <v>1991</v>
      </c>
      <c r="G295" s="6" t="s">
        <v>33</v>
      </c>
      <c r="H295" s="6" t="s">
        <v>34</v>
      </c>
      <c r="I295" s="8" t="s">
        <v>35</v>
      </c>
      <c r="J295" s="9">
        <v>1</v>
      </c>
      <c r="K295" s="9">
        <v>175</v>
      </c>
      <c r="L295" s="9">
        <v>2022</v>
      </c>
      <c r="M295" s="8" t="s">
        <v>1992</v>
      </c>
      <c r="N295" s="8" t="s">
        <v>37</v>
      </c>
      <c r="O295" s="8" t="s">
        <v>233</v>
      </c>
      <c r="P295" s="6" t="s">
        <v>39</v>
      </c>
      <c r="Q295" s="8" t="s">
        <v>40</v>
      </c>
      <c r="R295" s="10" t="s">
        <v>1993</v>
      </c>
      <c r="S295" s="11"/>
      <c r="T295" s="6"/>
      <c r="U295" s="15" t="str">
        <f>HYPERLINK("https://media.infra-m.ru/1854/1854743/cover/1854743.jpg", "Обложка")</f>
        <v>Обложка</v>
      </c>
      <c r="V295" s="8" t="s">
        <v>1994</v>
      </c>
      <c r="W295" s="6"/>
      <c r="X295" s="6"/>
      <c r="Y295" s="6"/>
      <c r="Z295" s="6"/>
      <c r="AA295" s="6" t="s">
        <v>274</v>
      </c>
      <c r="AB295" s="8"/>
      <c r="AC295" s="27">
        <v>9785160101415</v>
      </c>
    </row>
    <row r="296" spans="1:29" s="4" customFormat="1" ht="51.9" customHeight="1" x14ac:dyDescent="0.2">
      <c r="A296" s="5">
        <v>0</v>
      </c>
      <c r="B296" s="6" t="s">
        <v>1995</v>
      </c>
      <c r="C296" s="7">
        <v>1740</v>
      </c>
      <c r="D296" s="8" t="s">
        <v>1996</v>
      </c>
      <c r="E296" s="8" t="s">
        <v>1997</v>
      </c>
      <c r="F296" s="8" t="s">
        <v>1998</v>
      </c>
      <c r="G296" s="6" t="s">
        <v>118</v>
      </c>
      <c r="H296" s="6" t="s">
        <v>313</v>
      </c>
      <c r="I296" s="8" t="s">
        <v>401</v>
      </c>
      <c r="J296" s="9">
        <v>1</v>
      </c>
      <c r="K296" s="9">
        <v>264</v>
      </c>
      <c r="L296" s="9">
        <v>2026</v>
      </c>
      <c r="M296" s="8" t="s">
        <v>1999</v>
      </c>
      <c r="N296" s="8" t="s">
        <v>37</v>
      </c>
      <c r="O296" s="8" t="s">
        <v>233</v>
      </c>
      <c r="P296" s="6" t="s">
        <v>306</v>
      </c>
      <c r="Q296" s="8" t="s">
        <v>265</v>
      </c>
      <c r="R296" s="10" t="s">
        <v>2000</v>
      </c>
      <c r="S296" s="11"/>
      <c r="T296" s="6"/>
      <c r="U296" s="15" t="str">
        <f>HYPERLINK("https://media.infra-m.ru/2234/2234104/cover/2234104.jpg", "Обложка")</f>
        <v>Обложка</v>
      </c>
      <c r="V296" s="8" t="s">
        <v>2001</v>
      </c>
      <c r="W296" s="6"/>
      <c r="X296" s="6" t="s">
        <v>24</v>
      </c>
      <c r="Y296" s="6"/>
      <c r="Z296" s="6"/>
      <c r="AA296" s="6" t="s">
        <v>115</v>
      </c>
      <c r="AB296" s="8"/>
      <c r="AC296" s="27">
        <v>9785369017913</v>
      </c>
    </row>
    <row r="297" spans="1:29" s="4" customFormat="1" ht="42" customHeight="1" x14ac:dyDescent="0.2">
      <c r="A297" s="5">
        <v>0</v>
      </c>
      <c r="B297" s="6" t="s">
        <v>2002</v>
      </c>
      <c r="C297" s="7">
        <v>1188</v>
      </c>
      <c r="D297" s="8" t="s">
        <v>2003</v>
      </c>
      <c r="E297" s="8" t="s">
        <v>2004</v>
      </c>
      <c r="F297" s="8" t="s">
        <v>2005</v>
      </c>
      <c r="G297" s="6" t="s">
        <v>118</v>
      </c>
      <c r="H297" s="6" t="s">
        <v>34</v>
      </c>
      <c r="I297" s="8" t="s">
        <v>304</v>
      </c>
      <c r="J297" s="9">
        <v>1</v>
      </c>
      <c r="K297" s="9">
        <v>158</v>
      </c>
      <c r="L297" s="9">
        <v>2026</v>
      </c>
      <c r="M297" s="8" t="s">
        <v>2006</v>
      </c>
      <c r="N297" s="8" t="s">
        <v>37</v>
      </c>
      <c r="O297" s="8" t="s">
        <v>83</v>
      </c>
      <c r="P297" s="6" t="s">
        <v>51</v>
      </c>
      <c r="Q297" s="8" t="s">
        <v>65</v>
      </c>
      <c r="R297" s="10" t="s">
        <v>2007</v>
      </c>
      <c r="S297" s="11"/>
      <c r="T297" s="6"/>
      <c r="U297" s="15" t="str">
        <f>HYPERLINK("https://media.infra-m.ru/2224/2224055/cover/2224055.jpg", "Обложка")</f>
        <v>Обложка</v>
      </c>
      <c r="V297" s="8" t="s">
        <v>247</v>
      </c>
      <c r="W297" s="6"/>
      <c r="X297" s="6"/>
      <c r="Y297" s="6"/>
      <c r="Z297" s="6"/>
      <c r="AA297" s="6" t="s">
        <v>68</v>
      </c>
      <c r="AB297" s="8"/>
      <c r="AC297" s="27">
        <v>9785160184777</v>
      </c>
    </row>
    <row r="298" spans="1:29" s="4" customFormat="1" ht="42" customHeight="1" x14ac:dyDescent="0.2">
      <c r="A298" s="5">
        <v>0</v>
      </c>
      <c r="B298" s="6" t="s">
        <v>2008</v>
      </c>
      <c r="C298" s="7">
        <v>4192.8</v>
      </c>
      <c r="D298" s="8" t="s">
        <v>2009</v>
      </c>
      <c r="E298" s="8" t="s">
        <v>2010</v>
      </c>
      <c r="F298" s="8" t="s">
        <v>2011</v>
      </c>
      <c r="G298" s="6" t="s">
        <v>60</v>
      </c>
      <c r="H298" s="6" t="s">
        <v>34</v>
      </c>
      <c r="I298" s="8" t="s">
        <v>304</v>
      </c>
      <c r="J298" s="9">
        <v>1</v>
      </c>
      <c r="K298" s="9">
        <v>678</v>
      </c>
      <c r="L298" s="9">
        <v>2026</v>
      </c>
      <c r="M298" s="8" t="s">
        <v>2012</v>
      </c>
      <c r="N298" s="8" t="s">
        <v>585</v>
      </c>
      <c r="O298" s="8" t="s">
        <v>667</v>
      </c>
      <c r="P298" s="6" t="s">
        <v>51</v>
      </c>
      <c r="Q298" s="8" t="s">
        <v>65</v>
      </c>
      <c r="R298" s="10" t="s">
        <v>1646</v>
      </c>
      <c r="S298" s="11"/>
      <c r="T298" s="6"/>
      <c r="U298" s="15" t="str">
        <f>HYPERLINK("https://media.infra-m.ru/2222/2222959/cover/2222959.jpg", "Обложка")</f>
        <v>Обложка</v>
      </c>
      <c r="V298" s="8" t="s">
        <v>247</v>
      </c>
      <c r="W298" s="6"/>
      <c r="X298" s="6"/>
      <c r="Y298" s="6"/>
      <c r="Z298" s="6"/>
      <c r="AA298" s="6" t="s">
        <v>68</v>
      </c>
      <c r="AB298" s="8"/>
      <c r="AC298" s="27">
        <v>9785160186160</v>
      </c>
    </row>
    <row r="299" spans="1:29" s="4" customFormat="1" ht="51.9" customHeight="1" x14ac:dyDescent="0.2">
      <c r="A299" s="5">
        <v>0</v>
      </c>
      <c r="B299" s="6" t="s">
        <v>2013</v>
      </c>
      <c r="C299" s="7">
        <v>1108.8</v>
      </c>
      <c r="D299" s="8" t="s">
        <v>2014</v>
      </c>
      <c r="E299" s="8" t="s">
        <v>2015</v>
      </c>
      <c r="F299" s="8" t="s">
        <v>2016</v>
      </c>
      <c r="G299" s="6" t="s">
        <v>33</v>
      </c>
      <c r="H299" s="6" t="s">
        <v>34</v>
      </c>
      <c r="I299" s="8" t="s">
        <v>271</v>
      </c>
      <c r="J299" s="9">
        <v>1</v>
      </c>
      <c r="K299" s="9">
        <v>159</v>
      </c>
      <c r="L299" s="9">
        <v>2027</v>
      </c>
      <c r="M299" s="8" t="s">
        <v>2017</v>
      </c>
      <c r="N299" s="8" t="s">
        <v>37</v>
      </c>
      <c r="O299" s="8" t="s">
        <v>280</v>
      </c>
      <c r="P299" s="6" t="s">
        <v>51</v>
      </c>
      <c r="Q299" s="8" t="s">
        <v>52</v>
      </c>
      <c r="R299" s="10" t="s">
        <v>2018</v>
      </c>
      <c r="S299" s="11" t="s">
        <v>2019</v>
      </c>
      <c r="T299" s="6"/>
      <c r="U299" s="15" t="str">
        <f>HYPERLINK("https://media.infra-m.ru/2263/2263023/cover/2263023.jpg", "Обложка")</f>
        <v>Обложка</v>
      </c>
      <c r="V299" s="8" t="s">
        <v>2020</v>
      </c>
      <c r="W299" s="6"/>
      <c r="X299" s="6"/>
      <c r="Y299" s="6"/>
      <c r="Z299" s="6"/>
      <c r="AA299" s="6" t="s">
        <v>248</v>
      </c>
      <c r="AB299" s="8"/>
      <c r="AC299" s="27">
        <v>9785160096230</v>
      </c>
    </row>
    <row r="300" spans="1:29" s="4" customFormat="1" ht="51.9" customHeight="1" x14ac:dyDescent="0.2">
      <c r="A300" s="5">
        <v>0</v>
      </c>
      <c r="B300" s="6" t="s">
        <v>2021</v>
      </c>
      <c r="C300" s="7">
        <v>2212.8000000000002</v>
      </c>
      <c r="D300" s="8" t="s">
        <v>2022</v>
      </c>
      <c r="E300" s="8" t="s">
        <v>2023</v>
      </c>
      <c r="F300" s="8" t="s">
        <v>2024</v>
      </c>
      <c r="G300" s="6" t="s">
        <v>118</v>
      </c>
      <c r="H300" s="6" t="s">
        <v>34</v>
      </c>
      <c r="I300" s="8" t="s">
        <v>2025</v>
      </c>
      <c r="J300" s="9">
        <v>1</v>
      </c>
      <c r="K300" s="9">
        <v>318</v>
      </c>
      <c r="L300" s="9">
        <v>2027</v>
      </c>
      <c r="M300" s="8" t="s">
        <v>2026</v>
      </c>
      <c r="N300" s="8" t="s">
        <v>37</v>
      </c>
      <c r="O300" s="8" t="s">
        <v>233</v>
      </c>
      <c r="P300" s="6" t="s">
        <v>306</v>
      </c>
      <c r="Q300" s="8" t="s">
        <v>52</v>
      </c>
      <c r="R300" s="10" t="s">
        <v>357</v>
      </c>
      <c r="S300" s="11" t="s">
        <v>2027</v>
      </c>
      <c r="T300" s="6"/>
      <c r="U300" s="15" t="str">
        <f>HYPERLINK("https://media.infra-m.ru/2269/2269319/cover/2269319.jpg", "Обложка")</f>
        <v>Обложка</v>
      </c>
      <c r="V300" s="8" t="s">
        <v>247</v>
      </c>
      <c r="W300" s="6"/>
      <c r="X300" s="6"/>
      <c r="Y300" s="6"/>
      <c r="Z300" s="6"/>
      <c r="AA300" s="6" t="s">
        <v>1256</v>
      </c>
      <c r="AB300" s="8"/>
      <c r="AC300" s="27">
        <v>9785160144924</v>
      </c>
    </row>
    <row r="301" spans="1:29" s="4" customFormat="1" ht="51.9" customHeight="1" x14ac:dyDescent="0.2">
      <c r="A301" s="5">
        <v>0</v>
      </c>
      <c r="B301" s="6" t="s">
        <v>2028</v>
      </c>
      <c r="C301" s="7">
        <v>2280</v>
      </c>
      <c r="D301" s="8" t="s">
        <v>2029</v>
      </c>
      <c r="E301" s="8" t="s">
        <v>2030</v>
      </c>
      <c r="F301" s="8" t="s">
        <v>2031</v>
      </c>
      <c r="G301" s="6" t="s">
        <v>60</v>
      </c>
      <c r="H301" s="6" t="s">
        <v>34</v>
      </c>
      <c r="I301" s="8" t="s">
        <v>271</v>
      </c>
      <c r="J301" s="9">
        <v>1</v>
      </c>
      <c r="K301" s="9">
        <v>421</v>
      </c>
      <c r="L301" s="9">
        <v>2023</v>
      </c>
      <c r="M301" s="8" t="s">
        <v>2032</v>
      </c>
      <c r="N301" s="8" t="s">
        <v>37</v>
      </c>
      <c r="O301" s="8" t="s">
        <v>233</v>
      </c>
      <c r="P301" s="6" t="s">
        <v>306</v>
      </c>
      <c r="Q301" s="8" t="s">
        <v>52</v>
      </c>
      <c r="R301" s="10" t="s">
        <v>2033</v>
      </c>
      <c r="S301" s="11" t="s">
        <v>2034</v>
      </c>
      <c r="T301" s="6"/>
      <c r="U301" s="15" t="str">
        <f>HYPERLINK("https://media.infra-m.ru/1831/1831614/cover/1831614.jpg", "Обложка")</f>
        <v>Обложка</v>
      </c>
      <c r="V301" s="8" t="s">
        <v>2035</v>
      </c>
      <c r="W301" s="6"/>
      <c r="X301" s="6"/>
      <c r="Y301" s="6"/>
      <c r="Z301" s="6"/>
      <c r="AA301" s="6" t="s">
        <v>1303</v>
      </c>
      <c r="AB301" s="8"/>
      <c r="AC301" s="27">
        <v>9785160172194</v>
      </c>
    </row>
    <row r="302" spans="1:29" s="4" customFormat="1" ht="51.9" customHeight="1" x14ac:dyDescent="0.2">
      <c r="A302" s="5">
        <v>0</v>
      </c>
      <c r="B302" s="6" t="s">
        <v>2036</v>
      </c>
      <c r="C302" s="7">
        <v>1756.8</v>
      </c>
      <c r="D302" s="8" t="s">
        <v>2037</v>
      </c>
      <c r="E302" s="8" t="s">
        <v>2038</v>
      </c>
      <c r="F302" s="8" t="s">
        <v>2039</v>
      </c>
      <c r="G302" s="6" t="s">
        <v>60</v>
      </c>
      <c r="H302" s="6" t="s">
        <v>34</v>
      </c>
      <c r="I302" s="8" t="s">
        <v>271</v>
      </c>
      <c r="J302" s="9">
        <v>1</v>
      </c>
      <c r="K302" s="9">
        <v>267</v>
      </c>
      <c r="L302" s="9">
        <v>2026</v>
      </c>
      <c r="M302" s="8" t="s">
        <v>2040</v>
      </c>
      <c r="N302" s="8" t="s">
        <v>37</v>
      </c>
      <c r="O302" s="8" t="s">
        <v>499</v>
      </c>
      <c r="P302" s="6" t="s">
        <v>51</v>
      </c>
      <c r="Q302" s="8" t="s">
        <v>52</v>
      </c>
      <c r="R302" s="10" t="s">
        <v>767</v>
      </c>
      <c r="S302" s="11" t="s">
        <v>2041</v>
      </c>
      <c r="T302" s="6"/>
      <c r="U302" s="15" t="str">
        <f>HYPERLINK("https://media.infra-m.ru/2232/2232135/cover/2232135.jpg", "Обложка")</f>
        <v>Обложка</v>
      </c>
      <c r="V302" s="8" t="s">
        <v>761</v>
      </c>
      <c r="W302" s="6"/>
      <c r="X302" s="6"/>
      <c r="Y302" s="6"/>
      <c r="Z302" s="6"/>
      <c r="AA302" s="6" t="s">
        <v>274</v>
      </c>
      <c r="AB302" s="8"/>
      <c r="AC302" s="27">
        <v>9785160102153</v>
      </c>
    </row>
    <row r="303" spans="1:29" s="4" customFormat="1" ht="42" customHeight="1" x14ac:dyDescent="0.2">
      <c r="A303" s="5">
        <v>0</v>
      </c>
      <c r="B303" s="6" t="s">
        <v>2042</v>
      </c>
      <c r="C303" s="7">
        <v>1164</v>
      </c>
      <c r="D303" s="8" t="s">
        <v>2043</v>
      </c>
      <c r="E303" s="8" t="s">
        <v>2044</v>
      </c>
      <c r="F303" s="8" t="s">
        <v>2045</v>
      </c>
      <c r="G303" s="6" t="s">
        <v>118</v>
      </c>
      <c r="H303" s="6" t="s">
        <v>34</v>
      </c>
      <c r="I303" s="8" t="s">
        <v>253</v>
      </c>
      <c r="J303" s="9">
        <v>1</v>
      </c>
      <c r="K303" s="9">
        <v>176</v>
      </c>
      <c r="L303" s="9">
        <v>2026</v>
      </c>
      <c r="M303" s="8" t="s">
        <v>2046</v>
      </c>
      <c r="N303" s="8" t="s">
        <v>37</v>
      </c>
      <c r="O303" s="8" t="s">
        <v>233</v>
      </c>
      <c r="P303" s="6" t="s">
        <v>51</v>
      </c>
      <c r="Q303" s="8" t="s">
        <v>52</v>
      </c>
      <c r="R303" s="10" t="s">
        <v>1646</v>
      </c>
      <c r="S303" s="11"/>
      <c r="T303" s="6"/>
      <c r="U303" s="15" t="str">
        <f>HYPERLINK("https://media.infra-m.ru/2255/2255042/cover/2255042.jpg", "Обложка")</f>
        <v>Обложка</v>
      </c>
      <c r="V303" s="8" t="s">
        <v>2047</v>
      </c>
      <c r="W303" s="6"/>
      <c r="X303" s="6"/>
      <c r="Y303" s="6"/>
      <c r="Z303" s="6"/>
      <c r="AA303" s="6" t="s">
        <v>274</v>
      </c>
      <c r="AB303" s="8"/>
      <c r="AC303" s="27">
        <v>9785160200163</v>
      </c>
    </row>
    <row r="304" spans="1:29" s="4" customFormat="1" ht="51.9" customHeight="1" x14ac:dyDescent="0.2">
      <c r="A304" s="5">
        <v>0</v>
      </c>
      <c r="B304" s="6" t="s">
        <v>2048</v>
      </c>
      <c r="C304" s="7">
        <v>2064</v>
      </c>
      <c r="D304" s="8" t="s">
        <v>2049</v>
      </c>
      <c r="E304" s="8" t="s">
        <v>2050</v>
      </c>
      <c r="F304" s="8" t="s">
        <v>2051</v>
      </c>
      <c r="G304" s="6" t="s">
        <v>118</v>
      </c>
      <c r="H304" s="6" t="s">
        <v>34</v>
      </c>
      <c r="I304" s="8" t="s">
        <v>253</v>
      </c>
      <c r="J304" s="9">
        <v>1</v>
      </c>
      <c r="K304" s="9">
        <v>374</v>
      </c>
      <c r="L304" s="9">
        <v>2024</v>
      </c>
      <c r="M304" s="8" t="s">
        <v>2052</v>
      </c>
      <c r="N304" s="8" t="s">
        <v>37</v>
      </c>
      <c r="O304" s="8" t="s">
        <v>233</v>
      </c>
      <c r="P304" s="6" t="s">
        <v>306</v>
      </c>
      <c r="Q304" s="8" t="s">
        <v>52</v>
      </c>
      <c r="R304" s="10" t="s">
        <v>2053</v>
      </c>
      <c r="S304" s="11" t="s">
        <v>2054</v>
      </c>
      <c r="T304" s="6"/>
      <c r="U304" s="15" t="str">
        <f>HYPERLINK("https://media.infra-m.ru/2067/2067389/cover/2067389.jpg", "Обложка")</f>
        <v>Обложка</v>
      </c>
      <c r="V304" s="8" t="s">
        <v>2055</v>
      </c>
      <c r="W304" s="6"/>
      <c r="X304" s="6"/>
      <c r="Y304" s="6"/>
      <c r="Z304" s="6"/>
      <c r="AA304" s="6" t="s">
        <v>623</v>
      </c>
      <c r="AB304" s="8"/>
      <c r="AC304" s="27">
        <v>9785160189826</v>
      </c>
    </row>
    <row r="305" spans="1:29" s="4" customFormat="1" ht="51.9" customHeight="1" x14ac:dyDescent="0.2">
      <c r="A305" s="5">
        <v>0</v>
      </c>
      <c r="B305" s="6" t="s">
        <v>2056</v>
      </c>
      <c r="C305" s="7">
        <v>2548.8000000000002</v>
      </c>
      <c r="D305" s="8" t="s">
        <v>2057</v>
      </c>
      <c r="E305" s="8" t="s">
        <v>2058</v>
      </c>
      <c r="F305" s="8" t="s">
        <v>2059</v>
      </c>
      <c r="G305" s="6" t="s">
        <v>118</v>
      </c>
      <c r="H305" s="6" t="s">
        <v>34</v>
      </c>
      <c r="I305" s="8" t="s">
        <v>271</v>
      </c>
      <c r="J305" s="9">
        <v>1</v>
      </c>
      <c r="K305" s="9">
        <v>366</v>
      </c>
      <c r="L305" s="9">
        <v>2027</v>
      </c>
      <c r="M305" s="8" t="s">
        <v>2060</v>
      </c>
      <c r="N305" s="8" t="s">
        <v>37</v>
      </c>
      <c r="O305" s="8" t="s">
        <v>233</v>
      </c>
      <c r="P305" s="6" t="s">
        <v>306</v>
      </c>
      <c r="Q305" s="8" t="s">
        <v>52</v>
      </c>
      <c r="R305" s="10" t="s">
        <v>2061</v>
      </c>
      <c r="S305" s="11" t="s">
        <v>2062</v>
      </c>
      <c r="T305" s="6" t="s">
        <v>97</v>
      </c>
      <c r="U305" s="15" t="str">
        <f>HYPERLINK("https://media.infra-m.ru/2263/2263088/cover/2263088.jpg", "Обложка")</f>
        <v>Обложка</v>
      </c>
      <c r="V305" s="8" t="s">
        <v>396</v>
      </c>
      <c r="W305" s="6"/>
      <c r="X305" s="6"/>
      <c r="Y305" s="6"/>
      <c r="Z305" s="6"/>
      <c r="AA305" s="6" t="s">
        <v>779</v>
      </c>
      <c r="AB305" s="8"/>
      <c r="AC305" s="27">
        <v>9785160099958</v>
      </c>
    </row>
    <row r="306" spans="1:29" s="4" customFormat="1" ht="51.9" customHeight="1" x14ac:dyDescent="0.2">
      <c r="A306" s="5">
        <v>0</v>
      </c>
      <c r="B306" s="6" t="s">
        <v>2063</v>
      </c>
      <c r="C306" s="7">
        <v>1277.9000000000001</v>
      </c>
      <c r="D306" s="8" t="s">
        <v>2064</v>
      </c>
      <c r="E306" s="8" t="s">
        <v>2065</v>
      </c>
      <c r="F306" s="8" t="s">
        <v>2066</v>
      </c>
      <c r="G306" s="6" t="s">
        <v>60</v>
      </c>
      <c r="H306" s="6" t="s">
        <v>313</v>
      </c>
      <c r="I306" s="8" t="s">
        <v>253</v>
      </c>
      <c r="J306" s="9">
        <v>1</v>
      </c>
      <c r="K306" s="9">
        <v>313</v>
      </c>
      <c r="L306" s="9">
        <v>2020</v>
      </c>
      <c r="M306" s="8" t="s">
        <v>2067</v>
      </c>
      <c r="N306" s="8" t="s">
        <v>37</v>
      </c>
      <c r="O306" s="8" t="s">
        <v>233</v>
      </c>
      <c r="P306" s="6" t="s">
        <v>51</v>
      </c>
      <c r="Q306" s="8" t="s">
        <v>52</v>
      </c>
      <c r="R306" s="10" t="s">
        <v>2068</v>
      </c>
      <c r="S306" s="11"/>
      <c r="T306" s="6"/>
      <c r="U306" s="15" t="str">
        <f>HYPERLINK("https://media.infra-m.ru/1088/1088083/cover/1088083.jpg", "Обложка")</f>
        <v>Обложка</v>
      </c>
      <c r="V306" s="8"/>
      <c r="W306" s="6"/>
      <c r="X306" s="6"/>
      <c r="Y306" s="6"/>
      <c r="Z306" s="6"/>
      <c r="AA306" s="6" t="s">
        <v>859</v>
      </c>
      <c r="AB306" s="8"/>
      <c r="AC306" s="27">
        <v>9785369013335</v>
      </c>
    </row>
    <row r="307" spans="1:29" s="4" customFormat="1" ht="51.9" customHeight="1" x14ac:dyDescent="0.2">
      <c r="A307" s="5">
        <v>0</v>
      </c>
      <c r="B307" s="6" t="s">
        <v>2069</v>
      </c>
      <c r="C307" s="7">
        <v>1336.8</v>
      </c>
      <c r="D307" s="8" t="s">
        <v>2070</v>
      </c>
      <c r="E307" s="8" t="s">
        <v>2050</v>
      </c>
      <c r="F307" s="8" t="s">
        <v>2071</v>
      </c>
      <c r="G307" s="6" t="s">
        <v>118</v>
      </c>
      <c r="H307" s="6" t="s">
        <v>1042</v>
      </c>
      <c r="I307" s="8" t="s">
        <v>253</v>
      </c>
      <c r="J307" s="9">
        <v>1</v>
      </c>
      <c r="K307" s="9">
        <v>192</v>
      </c>
      <c r="L307" s="9">
        <v>2027</v>
      </c>
      <c r="M307" s="8" t="s">
        <v>2072</v>
      </c>
      <c r="N307" s="8" t="s">
        <v>37</v>
      </c>
      <c r="O307" s="8" t="s">
        <v>233</v>
      </c>
      <c r="P307" s="6" t="s">
        <v>394</v>
      </c>
      <c r="Q307" s="8" t="s">
        <v>52</v>
      </c>
      <c r="R307" s="10" t="s">
        <v>2073</v>
      </c>
      <c r="S307" s="11" t="s">
        <v>2074</v>
      </c>
      <c r="T307" s="6"/>
      <c r="U307" s="15" t="str">
        <f>HYPERLINK("https://media.infra-m.ru/2263/2263024/cover/2263024.jpg", "Обложка")</f>
        <v>Обложка</v>
      </c>
      <c r="V307" s="8" t="s">
        <v>2075</v>
      </c>
      <c r="W307" s="6"/>
      <c r="X307" s="6"/>
      <c r="Y307" s="6"/>
      <c r="Z307" s="6"/>
      <c r="AA307" s="6" t="s">
        <v>718</v>
      </c>
      <c r="AB307" s="8"/>
      <c r="AC307" s="27">
        <v>9785819909065</v>
      </c>
    </row>
    <row r="308" spans="1:29" s="4" customFormat="1" ht="51.9" customHeight="1" x14ac:dyDescent="0.2">
      <c r="A308" s="5">
        <v>0</v>
      </c>
      <c r="B308" s="6" t="s">
        <v>2076</v>
      </c>
      <c r="C308" s="7">
        <v>2604</v>
      </c>
      <c r="D308" s="8" t="s">
        <v>2077</v>
      </c>
      <c r="E308" s="8" t="s">
        <v>2050</v>
      </c>
      <c r="F308" s="8" t="s">
        <v>2051</v>
      </c>
      <c r="G308" s="6" t="s">
        <v>118</v>
      </c>
      <c r="H308" s="6" t="s">
        <v>34</v>
      </c>
      <c r="I308" s="8" t="s">
        <v>263</v>
      </c>
      <c r="J308" s="9">
        <v>1</v>
      </c>
      <c r="K308" s="9">
        <v>374</v>
      </c>
      <c r="L308" s="9">
        <v>2026</v>
      </c>
      <c r="M308" s="8" t="s">
        <v>2078</v>
      </c>
      <c r="N308" s="8" t="s">
        <v>37</v>
      </c>
      <c r="O308" s="8" t="s">
        <v>233</v>
      </c>
      <c r="P308" s="6" t="s">
        <v>306</v>
      </c>
      <c r="Q308" s="8" t="s">
        <v>265</v>
      </c>
      <c r="R308" s="10" t="s">
        <v>2079</v>
      </c>
      <c r="S308" s="11" t="s">
        <v>2080</v>
      </c>
      <c r="T308" s="6"/>
      <c r="U308" s="15" t="str">
        <f>HYPERLINK("https://media.infra-m.ru/2261/2261160/cover/2261160.jpg", "Обложка")</f>
        <v>Обложка</v>
      </c>
      <c r="V308" s="8" t="s">
        <v>2055</v>
      </c>
      <c r="W308" s="6"/>
      <c r="X308" s="6" t="s">
        <v>24</v>
      </c>
      <c r="Y308" s="6"/>
      <c r="Z308" s="6" t="s">
        <v>267</v>
      </c>
      <c r="AA308" s="6" t="s">
        <v>218</v>
      </c>
      <c r="AB308" s="8"/>
      <c r="AC308" s="27">
        <v>9785160156347</v>
      </c>
    </row>
    <row r="309" spans="1:29" s="4" customFormat="1" ht="51.9" customHeight="1" x14ac:dyDescent="0.2">
      <c r="A309" s="5">
        <v>0</v>
      </c>
      <c r="B309" s="6" t="s">
        <v>2081</v>
      </c>
      <c r="C309" s="7">
        <v>3280.8</v>
      </c>
      <c r="D309" s="8" t="s">
        <v>2082</v>
      </c>
      <c r="E309" s="8" t="s">
        <v>2083</v>
      </c>
      <c r="F309" s="8" t="s">
        <v>2084</v>
      </c>
      <c r="G309" s="6" t="s">
        <v>60</v>
      </c>
      <c r="H309" s="6" t="s">
        <v>34</v>
      </c>
      <c r="I309" s="8" t="s">
        <v>253</v>
      </c>
      <c r="J309" s="9">
        <v>1</v>
      </c>
      <c r="K309" s="9">
        <v>471</v>
      </c>
      <c r="L309" s="9">
        <v>2027</v>
      </c>
      <c r="M309" s="8" t="s">
        <v>2085</v>
      </c>
      <c r="N309" s="8" t="s">
        <v>37</v>
      </c>
      <c r="O309" s="8" t="s">
        <v>280</v>
      </c>
      <c r="P309" s="6" t="s">
        <v>306</v>
      </c>
      <c r="Q309" s="8" t="s">
        <v>52</v>
      </c>
      <c r="R309" s="10" t="s">
        <v>2086</v>
      </c>
      <c r="S309" s="11" t="s">
        <v>2087</v>
      </c>
      <c r="T309" s="6"/>
      <c r="U309" s="15" t="str">
        <f>HYPERLINK("https://media.infra-m.ru/2265/2265538/cover/2265538.jpg", "Обложка")</f>
        <v>Обложка</v>
      </c>
      <c r="V309" s="8" t="s">
        <v>2088</v>
      </c>
      <c r="W309" s="6"/>
      <c r="X309" s="6"/>
      <c r="Y309" s="6"/>
      <c r="Z309" s="6"/>
      <c r="AA309" s="6" t="s">
        <v>917</v>
      </c>
      <c r="AB309" s="8"/>
      <c r="AC309" s="27">
        <v>9785160191089</v>
      </c>
    </row>
    <row r="310" spans="1:29" s="4" customFormat="1" ht="51.9" customHeight="1" x14ac:dyDescent="0.2">
      <c r="A310" s="5">
        <v>0</v>
      </c>
      <c r="B310" s="6" t="s">
        <v>2089</v>
      </c>
      <c r="C310" s="7">
        <v>2620.8000000000002</v>
      </c>
      <c r="D310" s="8" t="s">
        <v>2090</v>
      </c>
      <c r="E310" s="8" t="s">
        <v>2091</v>
      </c>
      <c r="F310" s="8" t="s">
        <v>2092</v>
      </c>
      <c r="G310" s="6" t="s">
        <v>60</v>
      </c>
      <c r="H310" s="6" t="s">
        <v>34</v>
      </c>
      <c r="I310" s="8" t="s">
        <v>271</v>
      </c>
      <c r="J310" s="9">
        <v>1</v>
      </c>
      <c r="K310" s="9">
        <v>421</v>
      </c>
      <c r="L310" s="9">
        <v>2025</v>
      </c>
      <c r="M310" s="8" t="s">
        <v>2093</v>
      </c>
      <c r="N310" s="8" t="s">
        <v>37</v>
      </c>
      <c r="O310" s="8" t="s">
        <v>233</v>
      </c>
      <c r="P310" s="6" t="s">
        <v>306</v>
      </c>
      <c r="Q310" s="8" t="s">
        <v>52</v>
      </c>
      <c r="R310" s="10" t="s">
        <v>2053</v>
      </c>
      <c r="S310" s="11" t="s">
        <v>2094</v>
      </c>
      <c r="T310" s="6" t="s">
        <v>97</v>
      </c>
      <c r="U310" s="15" t="str">
        <f>HYPERLINK("https://media.infra-m.ru/2197/2197792/cover/2197792.jpg", "Обложка")</f>
        <v>Обложка</v>
      </c>
      <c r="V310" s="8" t="s">
        <v>2095</v>
      </c>
      <c r="W310" s="6"/>
      <c r="X310" s="6"/>
      <c r="Y310" s="6"/>
      <c r="Z310" s="6"/>
      <c r="AA310" s="6" t="s">
        <v>99</v>
      </c>
      <c r="AB310" s="8"/>
      <c r="AC310" s="27">
        <v>9785160127507</v>
      </c>
    </row>
    <row r="311" spans="1:29" s="4" customFormat="1" ht="51.9" customHeight="1" x14ac:dyDescent="0.2">
      <c r="A311" s="5">
        <v>0</v>
      </c>
      <c r="B311" s="6" t="s">
        <v>2096</v>
      </c>
      <c r="C311" s="7">
        <v>1528.8</v>
      </c>
      <c r="D311" s="8" t="s">
        <v>2097</v>
      </c>
      <c r="E311" s="8" t="s">
        <v>2098</v>
      </c>
      <c r="F311" s="8" t="s">
        <v>2024</v>
      </c>
      <c r="G311" s="6" t="s">
        <v>60</v>
      </c>
      <c r="H311" s="6" t="s">
        <v>34</v>
      </c>
      <c r="I311" s="8" t="s">
        <v>1753</v>
      </c>
      <c r="J311" s="9">
        <v>1</v>
      </c>
      <c r="K311" s="9">
        <v>220</v>
      </c>
      <c r="L311" s="9">
        <v>2027</v>
      </c>
      <c r="M311" s="8" t="s">
        <v>2099</v>
      </c>
      <c r="N311" s="8" t="s">
        <v>37</v>
      </c>
      <c r="O311" s="8" t="s">
        <v>280</v>
      </c>
      <c r="P311" s="6" t="s">
        <v>306</v>
      </c>
      <c r="Q311" s="8" t="s">
        <v>500</v>
      </c>
      <c r="R311" s="10" t="s">
        <v>2100</v>
      </c>
      <c r="S311" s="11" t="s">
        <v>2101</v>
      </c>
      <c r="T311" s="6"/>
      <c r="U311" s="15" t="str">
        <f>HYPERLINK("https://media.infra-m.ru/2188/2188861/cover/2188861.jpg", "Обложка")</f>
        <v>Обложка</v>
      </c>
      <c r="V311" s="8" t="s">
        <v>247</v>
      </c>
      <c r="W311" s="6"/>
      <c r="X311" s="6"/>
      <c r="Y311" s="6"/>
      <c r="Z311" s="6"/>
      <c r="AA311" s="6" t="s">
        <v>157</v>
      </c>
      <c r="AB311" s="8"/>
      <c r="AC311" s="27">
        <v>9785160169132</v>
      </c>
    </row>
    <row r="312" spans="1:29" s="4" customFormat="1" ht="51.9" customHeight="1" x14ac:dyDescent="0.2">
      <c r="A312" s="5">
        <v>0</v>
      </c>
      <c r="B312" s="6" t="s">
        <v>2102</v>
      </c>
      <c r="C312" s="13">
        <v>892.8</v>
      </c>
      <c r="D312" s="8" t="s">
        <v>2103</v>
      </c>
      <c r="E312" s="8" t="s">
        <v>2104</v>
      </c>
      <c r="F312" s="8" t="s">
        <v>2105</v>
      </c>
      <c r="G312" s="6" t="s">
        <v>33</v>
      </c>
      <c r="H312" s="6" t="s">
        <v>241</v>
      </c>
      <c r="I312" s="8"/>
      <c r="J312" s="9">
        <v>1</v>
      </c>
      <c r="K312" s="9">
        <v>128</v>
      </c>
      <c r="L312" s="9">
        <v>2026</v>
      </c>
      <c r="M312" s="8" t="s">
        <v>2106</v>
      </c>
      <c r="N312" s="8" t="s">
        <v>243</v>
      </c>
      <c r="O312" s="8" t="s">
        <v>933</v>
      </c>
      <c r="P312" s="6" t="s">
        <v>51</v>
      </c>
      <c r="Q312" s="8" t="s">
        <v>52</v>
      </c>
      <c r="R312" s="10" t="s">
        <v>2107</v>
      </c>
      <c r="S312" s="11"/>
      <c r="T312" s="6"/>
      <c r="U312" s="15" t="str">
        <f>HYPERLINK("https://media.infra-m.ru/2218/2218873/cover/2218873.jpg", "Обложка")</f>
        <v>Обложка</v>
      </c>
      <c r="V312" s="8" t="s">
        <v>217</v>
      </c>
      <c r="W312" s="6"/>
      <c r="X312" s="6"/>
      <c r="Y312" s="6"/>
      <c r="Z312" s="6"/>
      <c r="AA312" s="6" t="s">
        <v>99</v>
      </c>
      <c r="AB312" s="8"/>
      <c r="AC312" s="27">
        <v>9785955805641</v>
      </c>
    </row>
    <row r="313" spans="1:29" s="4" customFormat="1" ht="51.9" customHeight="1" x14ac:dyDescent="0.2">
      <c r="A313" s="5">
        <v>0</v>
      </c>
      <c r="B313" s="6" t="s">
        <v>2108</v>
      </c>
      <c r="C313" s="7">
        <v>1908</v>
      </c>
      <c r="D313" s="8" t="s">
        <v>2109</v>
      </c>
      <c r="E313" s="8" t="s">
        <v>2110</v>
      </c>
      <c r="F313" s="8" t="s">
        <v>2111</v>
      </c>
      <c r="G313" s="6" t="s">
        <v>60</v>
      </c>
      <c r="H313" s="6" t="s">
        <v>34</v>
      </c>
      <c r="I313" s="8" t="s">
        <v>253</v>
      </c>
      <c r="J313" s="9">
        <v>1</v>
      </c>
      <c r="K313" s="9">
        <v>264</v>
      </c>
      <c r="L313" s="9">
        <v>2027</v>
      </c>
      <c r="M313" s="8" t="s">
        <v>2112</v>
      </c>
      <c r="N313" s="8" t="s">
        <v>37</v>
      </c>
      <c r="O313" s="8" t="s">
        <v>233</v>
      </c>
      <c r="P313" s="6" t="s">
        <v>306</v>
      </c>
      <c r="Q313" s="8" t="s">
        <v>500</v>
      </c>
      <c r="R313" s="10" t="s">
        <v>2113</v>
      </c>
      <c r="S313" s="11" t="s">
        <v>2114</v>
      </c>
      <c r="T313" s="6"/>
      <c r="U313" s="15" t="str">
        <f>HYPERLINK("https://media.infra-m.ru/2238/2238040/cover/2238040.jpg", "Обложка")</f>
        <v>Обложка</v>
      </c>
      <c r="V313" s="8" t="s">
        <v>396</v>
      </c>
      <c r="W313" s="6" t="s">
        <v>2115</v>
      </c>
      <c r="X313" s="6"/>
      <c r="Y313" s="6"/>
      <c r="Z313" s="6"/>
      <c r="AA313" s="6" t="s">
        <v>420</v>
      </c>
      <c r="AB313" s="8"/>
      <c r="AC313" s="27">
        <v>9785160217772</v>
      </c>
    </row>
    <row r="314" spans="1:29" s="4" customFormat="1" ht="51.9" customHeight="1" x14ac:dyDescent="0.2">
      <c r="A314" s="5">
        <v>0</v>
      </c>
      <c r="B314" s="6" t="s">
        <v>2116</v>
      </c>
      <c r="C314" s="7">
        <v>2236.8000000000002</v>
      </c>
      <c r="D314" s="8" t="s">
        <v>2117</v>
      </c>
      <c r="E314" s="8" t="s">
        <v>2118</v>
      </c>
      <c r="F314" s="8" t="s">
        <v>2119</v>
      </c>
      <c r="G314" s="6" t="s">
        <v>118</v>
      </c>
      <c r="H314" s="6" t="s">
        <v>34</v>
      </c>
      <c r="I314" s="8" t="s">
        <v>271</v>
      </c>
      <c r="J314" s="9">
        <v>1</v>
      </c>
      <c r="K314" s="9">
        <v>339</v>
      </c>
      <c r="L314" s="9">
        <v>2026</v>
      </c>
      <c r="M314" s="8" t="s">
        <v>2120</v>
      </c>
      <c r="N314" s="8" t="s">
        <v>585</v>
      </c>
      <c r="O314" s="8" t="s">
        <v>775</v>
      </c>
      <c r="P314" s="6" t="s">
        <v>306</v>
      </c>
      <c r="Q314" s="8" t="s">
        <v>52</v>
      </c>
      <c r="R314" s="10" t="s">
        <v>785</v>
      </c>
      <c r="S314" s="11" t="s">
        <v>2121</v>
      </c>
      <c r="T314" s="6"/>
      <c r="U314" s="15" t="str">
        <f>HYPERLINK("https://media.infra-m.ru/2234/2234117/cover/2234117.jpg", "Обложка")</f>
        <v>Обложка</v>
      </c>
      <c r="V314" s="8" t="s">
        <v>1994</v>
      </c>
      <c r="W314" s="6"/>
      <c r="X314" s="6"/>
      <c r="Y314" s="6"/>
      <c r="Z314" s="6"/>
      <c r="AA314" s="6" t="s">
        <v>430</v>
      </c>
      <c r="AB314" s="8"/>
      <c r="AC314" s="27">
        <v>9785160153896</v>
      </c>
    </row>
    <row r="315" spans="1:29" s="4" customFormat="1" ht="44.1" customHeight="1" x14ac:dyDescent="0.2">
      <c r="A315" s="5">
        <v>0</v>
      </c>
      <c r="B315" s="6" t="s">
        <v>2122</v>
      </c>
      <c r="C315" s="7">
        <v>1308</v>
      </c>
      <c r="D315" s="8" t="s">
        <v>2123</v>
      </c>
      <c r="E315" s="8" t="s">
        <v>2124</v>
      </c>
      <c r="F315" s="8" t="s">
        <v>2125</v>
      </c>
      <c r="G315" s="6" t="s">
        <v>60</v>
      </c>
      <c r="H315" s="6" t="s">
        <v>34</v>
      </c>
      <c r="I315" s="8" t="s">
        <v>253</v>
      </c>
      <c r="J315" s="9">
        <v>1</v>
      </c>
      <c r="K315" s="9">
        <v>180</v>
      </c>
      <c r="L315" s="9">
        <v>2026</v>
      </c>
      <c r="M315" s="8" t="s">
        <v>2126</v>
      </c>
      <c r="N315" s="8" t="s">
        <v>37</v>
      </c>
      <c r="O315" s="8" t="s">
        <v>233</v>
      </c>
      <c r="P315" s="6" t="s">
        <v>51</v>
      </c>
      <c r="Q315" s="8" t="s">
        <v>65</v>
      </c>
      <c r="R315" s="10" t="s">
        <v>2127</v>
      </c>
      <c r="S315" s="11"/>
      <c r="T315" s="6"/>
      <c r="U315" s="15" t="str">
        <f>HYPERLINK("https://media.infra-m.ru/2238/2238047/cover/2238047.jpg", "Обложка")</f>
        <v>Обложка</v>
      </c>
      <c r="V315" s="8" t="s">
        <v>2128</v>
      </c>
      <c r="W315" s="6" t="s">
        <v>649</v>
      </c>
      <c r="X315" s="6"/>
      <c r="Y315" s="6"/>
      <c r="Z315" s="6"/>
      <c r="AA315" s="6" t="s">
        <v>187</v>
      </c>
      <c r="AB315" s="8"/>
      <c r="AC315" s="27">
        <v>9785160217819</v>
      </c>
    </row>
    <row r="316" spans="1:29" s="4" customFormat="1" ht="51.9" customHeight="1" x14ac:dyDescent="0.2">
      <c r="A316" s="5">
        <v>0</v>
      </c>
      <c r="B316" s="6" t="s">
        <v>2129</v>
      </c>
      <c r="C316" s="13">
        <v>629.9</v>
      </c>
      <c r="D316" s="8" t="s">
        <v>2130</v>
      </c>
      <c r="E316" s="8" t="s">
        <v>2131</v>
      </c>
      <c r="F316" s="8" t="s">
        <v>2132</v>
      </c>
      <c r="G316" s="6" t="s">
        <v>60</v>
      </c>
      <c r="H316" s="6" t="s">
        <v>48</v>
      </c>
      <c r="I316" s="8" t="s">
        <v>253</v>
      </c>
      <c r="J316" s="9">
        <v>1</v>
      </c>
      <c r="K316" s="9">
        <v>240</v>
      </c>
      <c r="L316" s="9">
        <v>2014</v>
      </c>
      <c r="M316" s="8" t="s">
        <v>2133</v>
      </c>
      <c r="N316" s="8" t="s">
        <v>37</v>
      </c>
      <c r="O316" s="8" t="s">
        <v>280</v>
      </c>
      <c r="P316" s="6" t="s">
        <v>51</v>
      </c>
      <c r="Q316" s="8" t="s">
        <v>52</v>
      </c>
      <c r="R316" s="10" t="s">
        <v>2134</v>
      </c>
      <c r="S316" s="11" t="s">
        <v>2135</v>
      </c>
      <c r="T316" s="6"/>
      <c r="U316" s="15" t="str">
        <f>HYPERLINK("https://media.infra-m.ru/0536/0536583/cover/536583.jpg", "Обложка")</f>
        <v>Обложка</v>
      </c>
      <c r="V316" s="8" t="s">
        <v>657</v>
      </c>
      <c r="W316" s="6"/>
      <c r="X316" s="6"/>
      <c r="Y316" s="6"/>
      <c r="Z316" s="6"/>
      <c r="AA316" s="6" t="s">
        <v>1056</v>
      </c>
      <c r="AB316" s="8"/>
      <c r="AC316" s="27">
        <v>9785911343552</v>
      </c>
    </row>
    <row r="317" spans="1:29" s="4" customFormat="1" ht="51.9" customHeight="1" x14ac:dyDescent="0.2">
      <c r="A317" s="5">
        <v>0</v>
      </c>
      <c r="B317" s="6" t="s">
        <v>2136</v>
      </c>
      <c r="C317" s="7">
        <v>1720.8</v>
      </c>
      <c r="D317" s="8" t="s">
        <v>2137</v>
      </c>
      <c r="E317" s="8" t="s">
        <v>2138</v>
      </c>
      <c r="F317" s="8" t="s">
        <v>2139</v>
      </c>
      <c r="G317" s="6" t="s">
        <v>118</v>
      </c>
      <c r="H317" s="6" t="s">
        <v>34</v>
      </c>
      <c r="I317" s="8" t="s">
        <v>271</v>
      </c>
      <c r="J317" s="9">
        <v>1</v>
      </c>
      <c r="K317" s="9">
        <v>248</v>
      </c>
      <c r="L317" s="9">
        <v>2027</v>
      </c>
      <c r="M317" s="8" t="s">
        <v>2140</v>
      </c>
      <c r="N317" s="8" t="s">
        <v>37</v>
      </c>
      <c r="O317" s="8" t="s">
        <v>280</v>
      </c>
      <c r="P317" s="6" t="s">
        <v>51</v>
      </c>
      <c r="Q317" s="8" t="s">
        <v>52</v>
      </c>
      <c r="R317" s="10" t="s">
        <v>2134</v>
      </c>
      <c r="S317" s="11" t="s">
        <v>2141</v>
      </c>
      <c r="T317" s="6"/>
      <c r="U317" s="15" t="str">
        <f>HYPERLINK("https://media.infra-m.ru/2263/2263370/cover/2263370.jpg", "Обложка")</f>
        <v>Обложка</v>
      </c>
      <c r="V317" s="8" t="s">
        <v>657</v>
      </c>
      <c r="W317" s="6"/>
      <c r="X317" s="6"/>
      <c r="Y317" s="6"/>
      <c r="Z317" s="6"/>
      <c r="AA317" s="6" t="s">
        <v>1031</v>
      </c>
      <c r="AB317" s="8"/>
      <c r="AC317" s="27">
        <v>9785160131634</v>
      </c>
    </row>
    <row r="318" spans="1:29" s="4" customFormat="1" ht="44.1" customHeight="1" x14ac:dyDescent="0.2">
      <c r="A318" s="5">
        <v>0</v>
      </c>
      <c r="B318" s="6" t="s">
        <v>2142</v>
      </c>
      <c r="C318" s="13">
        <v>756</v>
      </c>
      <c r="D318" s="8" t="s">
        <v>2143</v>
      </c>
      <c r="E318" s="8" t="s">
        <v>2144</v>
      </c>
      <c r="F318" s="8" t="s">
        <v>2145</v>
      </c>
      <c r="G318" s="6" t="s">
        <v>33</v>
      </c>
      <c r="H318" s="6" t="s">
        <v>34</v>
      </c>
      <c r="I318" s="8" t="s">
        <v>35</v>
      </c>
      <c r="J318" s="9">
        <v>1</v>
      </c>
      <c r="K318" s="9">
        <v>140</v>
      </c>
      <c r="L318" s="9">
        <v>2023</v>
      </c>
      <c r="M318" s="8" t="s">
        <v>2146</v>
      </c>
      <c r="N318" s="8" t="s">
        <v>224</v>
      </c>
      <c r="O318" s="8" t="s">
        <v>225</v>
      </c>
      <c r="P318" s="6" t="s">
        <v>39</v>
      </c>
      <c r="Q318" s="8" t="s">
        <v>40</v>
      </c>
      <c r="R318" s="10" t="s">
        <v>2147</v>
      </c>
      <c r="S318" s="11"/>
      <c r="T318" s="6"/>
      <c r="U318" s="15" t="str">
        <f>HYPERLINK("https://media.infra-m.ru/1859/1859802/cover/1859802.jpg", "Обложка")</f>
        <v>Обложка</v>
      </c>
      <c r="V318" s="8" t="s">
        <v>396</v>
      </c>
      <c r="W318" s="6"/>
      <c r="X318" s="6"/>
      <c r="Y318" s="6"/>
      <c r="Z318" s="6"/>
      <c r="AA318" s="6" t="s">
        <v>779</v>
      </c>
      <c r="AB318" s="8"/>
      <c r="AC318" s="27">
        <v>9785160118611</v>
      </c>
    </row>
    <row r="319" spans="1:29" s="4" customFormat="1" ht="42" customHeight="1" x14ac:dyDescent="0.2">
      <c r="A319" s="5">
        <v>0</v>
      </c>
      <c r="B319" s="6" t="s">
        <v>2148</v>
      </c>
      <c r="C319" s="13">
        <v>964.8</v>
      </c>
      <c r="D319" s="8" t="s">
        <v>2149</v>
      </c>
      <c r="E319" s="8" t="s">
        <v>2150</v>
      </c>
      <c r="F319" s="8" t="s">
        <v>2151</v>
      </c>
      <c r="G319" s="6" t="s">
        <v>33</v>
      </c>
      <c r="H319" s="6" t="s">
        <v>34</v>
      </c>
      <c r="I319" s="8" t="s">
        <v>2152</v>
      </c>
      <c r="J319" s="9">
        <v>1</v>
      </c>
      <c r="K319" s="9">
        <v>147</v>
      </c>
      <c r="L319" s="9">
        <v>2026</v>
      </c>
      <c r="M319" s="8" t="s">
        <v>2153</v>
      </c>
      <c r="N319" s="8" t="s">
        <v>243</v>
      </c>
      <c r="O319" s="8" t="s">
        <v>385</v>
      </c>
      <c r="P319" s="6" t="s">
        <v>39</v>
      </c>
      <c r="Q319" s="8" t="s">
        <v>40</v>
      </c>
      <c r="R319" s="10" t="s">
        <v>378</v>
      </c>
      <c r="S319" s="11"/>
      <c r="T319" s="6"/>
      <c r="U319" s="15" t="str">
        <f>HYPERLINK("https://media.infra-m.ru/2238/2238532/cover/2238532.jpg", "Обложка")</f>
        <v>Обложка</v>
      </c>
      <c r="V319" s="8" t="s">
        <v>2154</v>
      </c>
      <c r="W319" s="6"/>
      <c r="X319" s="6"/>
      <c r="Y319" s="6"/>
      <c r="Z319" s="6"/>
      <c r="AA319" s="6" t="s">
        <v>115</v>
      </c>
      <c r="AB319" s="8"/>
      <c r="AC319" s="27">
        <v>9785160148045</v>
      </c>
    </row>
    <row r="320" spans="1:29" s="4" customFormat="1" ht="51.9" customHeight="1" x14ac:dyDescent="0.2">
      <c r="A320" s="5">
        <v>0</v>
      </c>
      <c r="B320" s="6" t="s">
        <v>2155</v>
      </c>
      <c r="C320" s="13">
        <v>948</v>
      </c>
      <c r="D320" s="8" t="s">
        <v>2156</v>
      </c>
      <c r="E320" s="8" t="s">
        <v>2157</v>
      </c>
      <c r="F320" s="8" t="s">
        <v>2158</v>
      </c>
      <c r="G320" s="6" t="s">
        <v>33</v>
      </c>
      <c r="H320" s="6" t="s">
        <v>34</v>
      </c>
      <c r="I320" s="8" t="s">
        <v>2159</v>
      </c>
      <c r="J320" s="9">
        <v>1</v>
      </c>
      <c r="K320" s="9">
        <v>167</v>
      </c>
      <c r="L320" s="9">
        <v>2023</v>
      </c>
      <c r="M320" s="8" t="s">
        <v>2160</v>
      </c>
      <c r="N320" s="8" t="s">
        <v>37</v>
      </c>
      <c r="O320" s="8" t="s">
        <v>136</v>
      </c>
      <c r="P320" s="6" t="s">
        <v>39</v>
      </c>
      <c r="Q320" s="8" t="s">
        <v>40</v>
      </c>
      <c r="R320" s="10" t="s">
        <v>1230</v>
      </c>
      <c r="S320" s="11"/>
      <c r="T320" s="6"/>
      <c r="U320" s="15" t="str">
        <f>HYPERLINK("https://media.infra-m.ru/1913/1913533/cover/1913533.jpg", "Обложка")</f>
        <v>Обложка</v>
      </c>
      <c r="V320" s="8" t="s">
        <v>2161</v>
      </c>
      <c r="W320" s="6"/>
      <c r="X320" s="6"/>
      <c r="Y320" s="6"/>
      <c r="Z320" s="6"/>
      <c r="AA320" s="6" t="s">
        <v>157</v>
      </c>
      <c r="AB320" s="8"/>
      <c r="AC320" s="27">
        <v>9785160181479</v>
      </c>
    </row>
    <row r="321" spans="1:29" s="4" customFormat="1" ht="42" customHeight="1" x14ac:dyDescent="0.2">
      <c r="A321" s="5">
        <v>0</v>
      </c>
      <c r="B321" s="6" t="s">
        <v>2162</v>
      </c>
      <c r="C321" s="7">
        <v>2544</v>
      </c>
      <c r="D321" s="8" t="s">
        <v>2163</v>
      </c>
      <c r="E321" s="8" t="s">
        <v>2164</v>
      </c>
      <c r="F321" s="8" t="s">
        <v>2165</v>
      </c>
      <c r="G321" s="6" t="s">
        <v>118</v>
      </c>
      <c r="H321" s="6" t="s">
        <v>34</v>
      </c>
      <c r="I321" s="8" t="s">
        <v>35</v>
      </c>
      <c r="J321" s="9">
        <v>1</v>
      </c>
      <c r="K321" s="9">
        <v>365</v>
      </c>
      <c r="L321" s="9">
        <v>2027</v>
      </c>
      <c r="M321" s="8" t="s">
        <v>2166</v>
      </c>
      <c r="N321" s="8" t="s">
        <v>37</v>
      </c>
      <c r="O321" s="8" t="s">
        <v>136</v>
      </c>
      <c r="P321" s="6" t="s">
        <v>39</v>
      </c>
      <c r="Q321" s="8" t="s">
        <v>40</v>
      </c>
      <c r="R321" s="10" t="s">
        <v>684</v>
      </c>
      <c r="S321" s="11"/>
      <c r="T321" s="6"/>
      <c r="U321" s="15" t="str">
        <f>HYPERLINK("https://media.infra-m.ru/2266/2266081/cover/2266081.jpg", "Обложка")</f>
        <v>Обложка</v>
      </c>
      <c r="V321" s="8"/>
      <c r="W321" s="6"/>
      <c r="X321" s="6"/>
      <c r="Y321" s="6"/>
      <c r="Z321" s="6"/>
      <c r="AA321" s="6" t="s">
        <v>430</v>
      </c>
      <c r="AB321" s="8"/>
      <c r="AC321" s="27">
        <v>9785160167039</v>
      </c>
    </row>
    <row r="322" spans="1:29" s="4" customFormat="1" ht="51.9" customHeight="1" x14ac:dyDescent="0.2">
      <c r="A322" s="5">
        <v>0</v>
      </c>
      <c r="B322" s="6" t="s">
        <v>2167</v>
      </c>
      <c r="C322" s="13">
        <v>804</v>
      </c>
      <c r="D322" s="8" t="s">
        <v>2168</v>
      </c>
      <c r="E322" s="8" t="s">
        <v>2169</v>
      </c>
      <c r="F322" s="8" t="s">
        <v>2170</v>
      </c>
      <c r="G322" s="6" t="s">
        <v>33</v>
      </c>
      <c r="H322" s="6" t="s">
        <v>34</v>
      </c>
      <c r="I322" s="8" t="s">
        <v>2171</v>
      </c>
      <c r="J322" s="9">
        <v>1</v>
      </c>
      <c r="K322" s="9">
        <v>70</v>
      </c>
      <c r="L322" s="9">
        <v>2026</v>
      </c>
      <c r="M322" s="8" t="s">
        <v>2172</v>
      </c>
      <c r="N322" s="8" t="s">
        <v>243</v>
      </c>
      <c r="O322" s="8" t="s">
        <v>964</v>
      </c>
      <c r="P322" s="6" t="s">
        <v>51</v>
      </c>
      <c r="Q322" s="8" t="s">
        <v>65</v>
      </c>
      <c r="R322" s="10" t="s">
        <v>2173</v>
      </c>
      <c r="S322" s="11" t="s">
        <v>2174</v>
      </c>
      <c r="T322" s="6"/>
      <c r="U322" s="15" t="str">
        <f>HYPERLINK("https://media.infra-m.ru/2232/2232551/cover/2232551.jpg", "Обложка")</f>
        <v>Обложка</v>
      </c>
      <c r="V322" s="8" t="s">
        <v>2175</v>
      </c>
      <c r="W322" s="6"/>
      <c r="X322" s="6"/>
      <c r="Y322" s="6"/>
      <c r="Z322" s="6"/>
      <c r="AA322" s="6" t="s">
        <v>115</v>
      </c>
      <c r="AB322" s="8"/>
      <c r="AC322" s="27">
        <v>9785160149622</v>
      </c>
    </row>
    <row r="323" spans="1:29" s="4" customFormat="1" ht="51.9" customHeight="1" x14ac:dyDescent="0.2">
      <c r="A323" s="5">
        <v>0</v>
      </c>
      <c r="B323" s="6" t="s">
        <v>2176</v>
      </c>
      <c r="C323" s="7">
        <v>2032.8</v>
      </c>
      <c r="D323" s="8" t="s">
        <v>2177</v>
      </c>
      <c r="E323" s="8" t="s">
        <v>2178</v>
      </c>
      <c r="F323" s="8" t="s">
        <v>2179</v>
      </c>
      <c r="G323" s="6" t="s">
        <v>60</v>
      </c>
      <c r="H323" s="6" t="s">
        <v>34</v>
      </c>
      <c r="I323" s="8" t="s">
        <v>263</v>
      </c>
      <c r="J323" s="9">
        <v>1</v>
      </c>
      <c r="K323" s="9">
        <v>287</v>
      </c>
      <c r="L323" s="9">
        <v>2027</v>
      </c>
      <c r="M323" s="8" t="s">
        <v>2180</v>
      </c>
      <c r="N323" s="8" t="s">
        <v>37</v>
      </c>
      <c r="O323" s="8" t="s">
        <v>233</v>
      </c>
      <c r="P323" s="6" t="s">
        <v>306</v>
      </c>
      <c r="Q323" s="8" t="s">
        <v>265</v>
      </c>
      <c r="R323" s="10" t="s">
        <v>2181</v>
      </c>
      <c r="S323" s="11"/>
      <c r="T323" s="6"/>
      <c r="U323" s="15" t="str">
        <f>HYPERLINK("https://media.infra-m.ru/2270/2270179/cover/2270179.jpg", "Обложка")</f>
        <v>Обложка</v>
      </c>
      <c r="V323" s="8" t="s">
        <v>227</v>
      </c>
      <c r="W323" s="6"/>
      <c r="X323" s="6"/>
      <c r="Y323" s="6"/>
      <c r="Z323" s="6"/>
      <c r="AA323" s="6" t="s">
        <v>2182</v>
      </c>
      <c r="AB323" s="8"/>
      <c r="AC323" s="27">
        <v>9785160201108</v>
      </c>
    </row>
    <row r="324" spans="1:29" s="4" customFormat="1" ht="51.9" customHeight="1" x14ac:dyDescent="0.2">
      <c r="A324" s="5">
        <v>0</v>
      </c>
      <c r="B324" s="6" t="s">
        <v>2183</v>
      </c>
      <c r="C324" s="7">
        <v>2040</v>
      </c>
      <c r="D324" s="8" t="s">
        <v>2184</v>
      </c>
      <c r="E324" s="8" t="s">
        <v>2185</v>
      </c>
      <c r="F324" s="8" t="s">
        <v>2186</v>
      </c>
      <c r="G324" s="6" t="s">
        <v>118</v>
      </c>
      <c r="H324" s="6" t="s">
        <v>34</v>
      </c>
      <c r="I324" s="8" t="s">
        <v>263</v>
      </c>
      <c r="J324" s="9">
        <v>1</v>
      </c>
      <c r="K324" s="9">
        <v>368</v>
      </c>
      <c r="L324" s="9">
        <v>2024</v>
      </c>
      <c r="M324" s="8" t="s">
        <v>2187</v>
      </c>
      <c r="N324" s="8" t="s">
        <v>37</v>
      </c>
      <c r="O324" s="8" t="s">
        <v>233</v>
      </c>
      <c r="P324" s="6" t="s">
        <v>306</v>
      </c>
      <c r="Q324" s="8" t="s">
        <v>265</v>
      </c>
      <c r="R324" s="10" t="s">
        <v>2181</v>
      </c>
      <c r="S324" s="11" t="s">
        <v>2188</v>
      </c>
      <c r="T324" s="6"/>
      <c r="U324" s="15" t="str">
        <f>HYPERLINK("https://media.infra-m.ru/2126/2126914/cover/2126914.jpg", "Обложка")</f>
        <v>Обложка</v>
      </c>
      <c r="V324" s="8" t="s">
        <v>227</v>
      </c>
      <c r="W324" s="6"/>
      <c r="X324" s="6"/>
      <c r="Y324" s="6"/>
      <c r="Z324" s="6"/>
      <c r="AA324" s="6" t="s">
        <v>2189</v>
      </c>
      <c r="AB324" s="8"/>
      <c r="AC324" s="27">
        <v>9785160042824</v>
      </c>
    </row>
    <row r="325" spans="1:29" s="4" customFormat="1" ht="51.9" customHeight="1" x14ac:dyDescent="0.2">
      <c r="A325" s="5">
        <v>0</v>
      </c>
      <c r="B325" s="6" t="s">
        <v>2190</v>
      </c>
      <c r="C325" s="7">
        <v>1996.8</v>
      </c>
      <c r="D325" s="8" t="s">
        <v>2191</v>
      </c>
      <c r="E325" s="8" t="s">
        <v>2192</v>
      </c>
      <c r="F325" s="8" t="s">
        <v>2193</v>
      </c>
      <c r="G325" s="6" t="s">
        <v>118</v>
      </c>
      <c r="H325" s="6" t="s">
        <v>34</v>
      </c>
      <c r="I325" s="8" t="s">
        <v>271</v>
      </c>
      <c r="J325" s="9">
        <v>1</v>
      </c>
      <c r="K325" s="9">
        <v>302</v>
      </c>
      <c r="L325" s="9">
        <v>2026</v>
      </c>
      <c r="M325" s="8" t="s">
        <v>2194</v>
      </c>
      <c r="N325" s="8" t="s">
        <v>37</v>
      </c>
      <c r="O325" s="8" t="s">
        <v>233</v>
      </c>
      <c r="P325" s="6" t="s">
        <v>306</v>
      </c>
      <c r="Q325" s="8" t="s">
        <v>52</v>
      </c>
      <c r="R325" s="10" t="s">
        <v>2195</v>
      </c>
      <c r="S325" s="11" t="s">
        <v>2196</v>
      </c>
      <c r="T325" s="6"/>
      <c r="U325" s="15" t="str">
        <f>HYPERLINK("https://media.infra-m.ru/2239/2239125/cover/2239125.jpg", "Обложка")</f>
        <v>Обложка</v>
      </c>
      <c r="V325" s="8" t="s">
        <v>1505</v>
      </c>
      <c r="W325" s="6"/>
      <c r="X325" s="6"/>
      <c r="Y325" s="6"/>
      <c r="Z325" s="6"/>
      <c r="AA325" s="6" t="s">
        <v>115</v>
      </c>
      <c r="AB325" s="8"/>
      <c r="AC325" s="27">
        <v>9785160138374</v>
      </c>
    </row>
    <row r="326" spans="1:29" s="4" customFormat="1" ht="51.9" customHeight="1" x14ac:dyDescent="0.2">
      <c r="A326" s="5">
        <v>0</v>
      </c>
      <c r="B326" s="6" t="s">
        <v>2197</v>
      </c>
      <c r="C326" s="7">
        <v>2104.8000000000002</v>
      </c>
      <c r="D326" s="8" t="s">
        <v>2198</v>
      </c>
      <c r="E326" s="8" t="s">
        <v>2192</v>
      </c>
      <c r="F326" s="8" t="s">
        <v>2193</v>
      </c>
      <c r="G326" s="6" t="s">
        <v>118</v>
      </c>
      <c r="H326" s="6" t="s">
        <v>34</v>
      </c>
      <c r="I326" s="8" t="s">
        <v>263</v>
      </c>
      <c r="J326" s="9">
        <v>1</v>
      </c>
      <c r="K326" s="9">
        <v>302</v>
      </c>
      <c r="L326" s="9">
        <v>2027</v>
      </c>
      <c r="M326" s="8" t="s">
        <v>2199</v>
      </c>
      <c r="N326" s="8" t="s">
        <v>37</v>
      </c>
      <c r="O326" s="8" t="s">
        <v>233</v>
      </c>
      <c r="P326" s="6" t="s">
        <v>306</v>
      </c>
      <c r="Q326" s="8" t="s">
        <v>265</v>
      </c>
      <c r="R326" s="10" t="s">
        <v>2200</v>
      </c>
      <c r="S326" s="11" t="s">
        <v>2201</v>
      </c>
      <c r="T326" s="6"/>
      <c r="U326" s="15" t="str">
        <f>HYPERLINK("https://media.infra-m.ru/2266/2266285/cover/2266285.jpg", "Обложка")</f>
        <v>Обложка</v>
      </c>
      <c r="V326" s="8" t="s">
        <v>1505</v>
      </c>
      <c r="W326" s="6"/>
      <c r="X326" s="6"/>
      <c r="Y326" s="6"/>
      <c r="Z326" s="6" t="s">
        <v>267</v>
      </c>
      <c r="AA326" s="6" t="s">
        <v>115</v>
      </c>
      <c r="AB326" s="8"/>
      <c r="AC326" s="27">
        <v>9785160153223</v>
      </c>
    </row>
    <row r="327" spans="1:29" s="4" customFormat="1" ht="51.9" customHeight="1" x14ac:dyDescent="0.2">
      <c r="A327" s="5">
        <v>0</v>
      </c>
      <c r="B327" s="6" t="s">
        <v>2202</v>
      </c>
      <c r="C327" s="7">
        <v>1188</v>
      </c>
      <c r="D327" s="8" t="s">
        <v>2203</v>
      </c>
      <c r="E327" s="8" t="s">
        <v>2204</v>
      </c>
      <c r="F327" s="8" t="s">
        <v>2205</v>
      </c>
      <c r="G327" s="6" t="s">
        <v>33</v>
      </c>
      <c r="H327" s="6" t="s">
        <v>34</v>
      </c>
      <c r="I327" s="8" t="s">
        <v>457</v>
      </c>
      <c r="J327" s="9">
        <v>1</v>
      </c>
      <c r="K327" s="9">
        <v>198</v>
      </c>
      <c r="L327" s="9">
        <v>2024</v>
      </c>
      <c r="M327" s="8" t="s">
        <v>2206</v>
      </c>
      <c r="N327" s="8" t="s">
        <v>243</v>
      </c>
      <c r="O327" s="8" t="s">
        <v>244</v>
      </c>
      <c r="P327" s="6" t="s">
        <v>39</v>
      </c>
      <c r="Q327" s="8" t="s">
        <v>40</v>
      </c>
      <c r="R327" s="10" t="s">
        <v>2207</v>
      </c>
      <c r="S327" s="11"/>
      <c r="T327" s="6"/>
      <c r="U327" s="15" t="str">
        <f>HYPERLINK("https://media.infra-m.ru/2049/2049718/cover/2049718.jpg", "Обложка")</f>
        <v>Обложка</v>
      </c>
      <c r="V327" s="8" t="s">
        <v>247</v>
      </c>
      <c r="W327" s="6"/>
      <c r="X327" s="6"/>
      <c r="Y327" s="6"/>
      <c r="Z327" s="6"/>
      <c r="AA327" s="6" t="s">
        <v>76</v>
      </c>
      <c r="AB327" s="8" t="s">
        <v>2208</v>
      </c>
      <c r="AC327" s="27">
        <v>9785160187198</v>
      </c>
    </row>
    <row r="328" spans="1:29" s="4" customFormat="1" ht="44.1" customHeight="1" x14ac:dyDescent="0.2">
      <c r="A328" s="5">
        <v>0</v>
      </c>
      <c r="B328" s="6" t="s">
        <v>2209</v>
      </c>
      <c r="C328" s="7">
        <v>1476</v>
      </c>
      <c r="D328" s="8" t="s">
        <v>2210</v>
      </c>
      <c r="E328" s="8" t="s">
        <v>2211</v>
      </c>
      <c r="F328" s="8" t="s">
        <v>2212</v>
      </c>
      <c r="G328" s="6" t="s">
        <v>33</v>
      </c>
      <c r="H328" s="6" t="s">
        <v>34</v>
      </c>
      <c r="I328" s="8" t="s">
        <v>35</v>
      </c>
      <c r="J328" s="9">
        <v>1</v>
      </c>
      <c r="K328" s="9">
        <v>378</v>
      </c>
      <c r="L328" s="9">
        <v>2019</v>
      </c>
      <c r="M328" s="8" t="s">
        <v>2213</v>
      </c>
      <c r="N328" s="8" t="s">
        <v>37</v>
      </c>
      <c r="O328" s="8" t="s">
        <v>83</v>
      </c>
      <c r="P328" s="6" t="s">
        <v>39</v>
      </c>
      <c r="Q328" s="8" t="s">
        <v>40</v>
      </c>
      <c r="R328" s="10" t="s">
        <v>2214</v>
      </c>
      <c r="S328" s="11"/>
      <c r="T328" s="6"/>
      <c r="U328" s="15" t="str">
        <f>HYPERLINK("https://media.infra-m.ru/1009/1009386/cover/1009386.jpg", "Обложка")</f>
        <v>Обложка</v>
      </c>
      <c r="V328" s="8" t="s">
        <v>2215</v>
      </c>
      <c r="W328" s="6"/>
      <c r="X328" s="6"/>
      <c r="Y328" s="6"/>
      <c r="Z328" s="6"/>
      <c r="AA328" s="6" t="s">
        <v>274</v>
      </c>
      <c r="AB328" s="8"/>
      <c r="AC328" s="27">
        <v>9785160104799</v>
      </c>
    </row>
    <row r="329" spans="1:29" s="4" customFormat="1" ht="51.9" customHeight="1" x14ac:dyDescent="0.2">
      <c r="A329" s="5">
        <v>0</v>
      </c>
      <c r="B329" s="6" t="s">
        <v>2216</v>
      </c>
      <c r="C329" s="7">
        <v>1492.8</v>
      </c>
      <c r="D329" s="8" t="s">
        <v>2217</v>
      </c>
      <c r="E329" s="8" t="s">
        <v>2218</v>
      </c>
      <c r="F329" s="8" t="s">
        <v>2219</v>
      </c>
      <c r="G329" s="6" t="s">
        <v>33</v>
      </c>
      <c r="H329" s="6" t="s">
        <v>34</v>
      </c>
      <c r="I329" s="8" t="s">
        <v>504</v>
      </c>
      <c r="J329" s="9">
        <v>1</v>
      </c>
      <c r="K329" s="9">
        <v>214</v>
      </c>
      <c r="L329" s="9">
        <v>2027</v>
      </c>
      <c r="M329" s="8" t="s">
        <v>2220</v>
      </c>
      <c r="N329" s="8" t="s">
        <v>37</v>
      </c>
      <c r="O329" s="8" t="s">
        <v>233</v>
      </c>
      <c r="P329" s="6" t="s">
        <v>51</v>
      </c>
      <c r="Q329" s="8" t="s">
        <v>500</v>
      </c>
      <c r="R329" s="10" t="s">
        <v>1576</v>
      </c>
      <c r="S329" s="11" t="s">
        <v>2221</v>
      </c>
      <c r="T329" s="6"/>
      <c r="U329" s="15" t="str">
        <f>HYPERLINK("https://media.infra-m.ru/2263/2263025/cover/2263025.jpg", "Обложка")</f>
        <v>Обложка</v>
      </c>
      <c r="V329" s="8" t="s">
        <v>2222</v>
      </c>
      <c r="W329" s="6"/>
      <c r="X329" s="6"/>
      <c r="Y329" s="6"/>
      <c r="Z329" s="6"/>
      <c r="AA329" s="6" t="s">
        <v>129</v>
      </c>
      <c r="AB329" s="8"/>
      <c r="AC329" s="27">
        <v>9785160064048</v>
      </c>
    </row>
    <row r="330" spans="1:29" s="4" customFormat="1" ht="51.9" customHeight="1" x14ac:dyDescent="0.2">
      <c r="A330" s="5">
        <v>0</v>
      </c>
      <c r="B330" s="6" t="s">
        <v>2223</v>
      </c>
      <c r="C330" s="7">
        <v>1824</v>
      </c>
      <c r="D330" s="8" t="s">
        <v>2224</v>
      </c>
      <c r="E330" s="8" t="s">
        <v>2225</v>
      </c>
      <c r="F330" s="8" t="s">
        <v>2226</v>
      </c>
      <c r="G330" s="6" t="s">
        <v>118</v>
      </c>
      <c r="H330" s="6" t="s">
        <v>34</v>
      </c>
      <c r="I330" s="8" t="s">
        <v>253</v>
      </c>
      <c r="J330" s="9">
        <v>1</v>
      </c>
      <c r="K330" s="9">
        <v>276</v>
      </c>
      <c r="L330" s="9">
        <v>2026</v>
      </c>
      <c r="M330" s="8" t="s">
        <v>2227</v>
      </c>
      <c r="N330" s="8" t="s">
        <v>37</v>
      </c>
      <c r="O330" s="8" t="s">
        <v>233</v>
      </c>
      <c r="P330" s="6" t="s">
        <v>306</v>
      </c>
      <c r="Q330" s="8" t="s">
        <v>500</v>
      </c>
      <c r="R330" s="10" t="s">
        <v>2228</v>
      </c>
      <c r="S330" s="11" t="s">
        <v>2229</v>
      </c>
      <c r="T330" s="6"/>
      <c r="U330" s="15" t="str">
        <f>HYPERLINK("https://media.infra-m.ru/2239/2239413/cover/2239413.jpg", "Обложка")</f>
        <v>Обложка</v>
      </c>
      <c r="V330" s="8" t="s">
        <v>396</v>
      </c>
      <c r="W330" s="6"/>
      <c r="X330" s="6"/>
      <c r="Y330" s="6"/>
      <c r="Z330" s="6"/>
      <c r="AA330" s="6" t="s">
        <v>2230</v>
      </c>
      <c r="AB330" s="8" t="s">
        <v>2231</v>
      </c>
      <c r="AC330" s="27">
        <v>9785160218441</v>
      </c>
    </row>
    <row r="331" spans="1:29" s="4" customFormat="1" ht="51.9" customHeight="1" x14ac:dyDescent="0.2">
      <c r="A331" s="5">
        <v>0</v>
      </c>
      <c r="B331" s="6" t="s">
        <v>2232</v>
      </c>
      <c r="C331" s="7">
        <v>2032.8</v>
      </c>
      <c r="D331" s="8" t="s">
        <v>2233</v>
      </c>
      <c r="E331" s="8" t="s">
        <v>2234</v>
      </c>
      <c r="F331" s="8" t="s">
        <v>2235</v>
      </c>
      <c r="G331" s="6" t="s">
        <v>118</v>
      </c>
      <c r="H331" s="6" t="s">
        <v>34</v>
      </c>
      <c r="I331" s="8" t="s">
        <v>253</v>
      </c>
      <c r="J331" s="9">
        <v>1</v>
      </c>
      <c r="K331" s="9">
        <v>292</v>
      </c>
      <c r="L331" s="9">
        <v>2027</v>
      </c>
      <c r="M331" s="8" t="s">
        <v>2236</v>
      </c>
      <c r="N331" s="8" t="s">
        <v>37</v>
      </c>
      <c r="O331" s="8" t="s">
        <v>233</v>
      </c>
      <c r="P331" s="6" t="s">
        <v>51</v>
      </c>
      <c r="Q331" s="8" t="s">
        <v>52</v>
      </c>
      <c r="R331" s="10" t="s">
        <v>2237</v>
      </c>
      <c r="S331" s="11" t="s">
        <v>2238</v>
      </c>
      <c r="T331" s="6"/>
      <c r="U331" s="15" t="str">
        <f>HYPERLINK("https://media.infra-m.ru/2263/2263028/cover/2263028.jpg", "Обложка")</f>
        <v>Обложка</v>
      </c>
      <c r="V331" s="8" t="s">
        <v>2239</v>
      </c>
      <c r="W331" s="6"/>
      <c r="X331" s="6"/>
      <c r="Y331" s="6"/>
      <c r="Z331" s="6"/>
      <c r="AA331" s="6" t="s">
        <v>2240</v>
      </c>
      <c r="AB331" s="8"/>
      <c r="AC331" s="27">
        <v>9785160195704</v>
      </c>
    </row>
    <row r="332" spans="1:29" s="4" customFormat="1" ht="42" customHeight="1" x14ac:dyDescent="0.2">
      <c r="A332" s="5">
        <v>0</v>
      </c>
      <c r="B332" s="6" t="s">
        <v>2241</v>
      </c>
      <c r="C332" s="7">
        <v>1104</v>
      </c>
      <c r="D332" s="8" t="s">
        <v>2242</v>
      </c>
      <c r="E332" s="8" t="s">
        <v>2243</v>
      </c>
      <c r="F332" s="8" t="s">
        <v>2226</v>
      </c>
      <c r="G332" s="6" t="s">
        <v>118</v>
      </c>
      <c r="H332" s="6" t="s">
        <v>241</v>
      </c>
      <c r="I332" s="8"/>
      <c r="J332" s="9">
        <v>1</v>
      </c>
      <c r="K332" s="9">
        <v>269</v>
      </c>
      <c r="L332" s="9">
        <v>2020</v>
      </c>
      <c r="M332" s="8" t="s">
        <v>2244</v>
      </c>
      <c r="N332" s="8" t="s">
        <v>37</v>
      </c>
      <c r="O332" s="8" t="s">
        <v>233</v>
      </c>
      <c r="P332" s="6" t="s">
        <v>306</v>
      </c>
      <c r="Q332" s="8" t="s">
        <v>500</v>
      </c>
      <c r="R332" s="10" t="s">
        <v>2228</v>
      </c>
      <c r="S332" s="11"/>
      <c r="T332" s="6"/>
      <c r="U332" s="15" t="str">
        <f>HYPERLINK("https://media.infra-m.ru/1063/1063801/cover/1063801.jpg", "Обложка")</f>
        <v>Обложка</v>
      </c>
      <c r="V332" s="8" t="s">
        <v>396</v>
      </c>
      <c r="W332" s="6"/>
      <c r="X332" s="6"/>
      <c r="Y332" s="6"/>
      <c r="Z332" s="6"/>
      <c r="AA332" s="6" t="s">
        <v>623</v>
      </c>
      <c r="AB332" s="8" t="s">
        <v>2231</v>
      </c>
      <c r="AC332" s="27">
        <v>9785955804897</v>
      </c>
    </row>
    <row r="333" spans="1:29" s="4" customFormat="1" ht="51.9" customHeight="1" x14ac:dyDescent="0.2">
      <c r="A333" s="5">
        <v>0</v>
      </c>
      <c r="B333" s="6" t="s">
        <v>2245</v>
      </c>
      <c r="C333" s="7">
        <v>1468.8</v>
      </c>
      <c r="D333" s="8" t="s">
        <v>2246</v>
      </c>
      <c r="E333" s="8" t="s">
        <v>2247</v>
      </c>
      <c r="F333" s="8" t="s">
        <v>2248</v>
      </c>
      <c r="G333" s="6" t="s">
        <v>118</v>
      </c>
      <c r="H333" s="6" t="s">
        <v>34</v>
      </c>
      <c r="I333" s="8" t="s">
        <v>304</v>
      </c>
      <c r="J333" s="9">
        <v>1</v>
      </c>
      <c r="K333" s="9">
        <v>211</v>
      </c>
      <c r="L333" s="9">
        <v>2027</v>
      </c>
      <c r="M333" s="8" t="s">
        <v>2249</v>
      </c>
      <c r="N333" s="8" t="s">
        <v>37</v>
      </c>
      <c r="O333" s="8" t="s">
        <v>280</v>
      </c>
      <c r="P333" s="6" t="s">
        <v>306</v>
      </c>
      <c r="Q333" s="8" t="s">
        <v>65</v>
      </c>
      <c r="R333" s="10" t="s">
        <v>2250</v>
      </c>
      <c r="S333" s="11" t="s">
        <v>2251</v>
      </c>
      <c r="T333" s="6"/>
      <c r="U333" s="15" t="str">
        <f>HYPERLINK("https://media.infra-m.ru/2263/2263026/cover/2263026.jpg", "Обложка")</f>
        <v>Обложка</v>
      </c>
      <c r="V333" s="8" t="s">
        <v>247</v>
      </c>
      <c r="W333" s="6"/>
      <c r="X333" s="6"/>
      <c r="Y333" s="6"/>
      <c r="Z333" s="6"/>
      <c r="AA333" s="6" t="s">
        <v>157</v>
      </c>
      <c r="AB333" s="8"/>
      <c r="AC333" s="27">
        <v>9785160185910</v>
      </c>
    </row>
    <row r="334" spans="1:29" s="4" customFormat="1" ht="51.9" customHeight="1" x14ac:dyDescent="0.2">
      <c r="A334" s="5">
        <v>0</v>
      </c>
      <c r="B334" s="6" t="s">
        <v>2252</v>
      </c>
      <c r="C334" s="7">
        <v>2412</v>
      </c>
      <c r="D334" s="8" t="s">
        <v>2253</v>
      </c>
      <c r="E334" s="8" t="s">
        <v>2254</v>
      </c>
      <c r="F334" s="8" t="s">
        <v>2255</v>
      </c>
      <c r="G334" s="6" t="s">
        <v>60</v>
      </c>
      <c r="H334" s="6" t="s">
        <v>34</v>
      </c>
      <c r="I334" s="8" t="s">
        <v>304</v>
      </c>
      <c r="J334" s="9">
        <v>1</v>
      </c>
      <c r="K334" s="9">
        <v>434</v>
      </c>
      <c r="L334" s="9">
        <v>2024</v>
      </c>
      <c r="M334" s="8" t="s">
        <v>2256</v>
      </c>
      <c r="N334" s="8" t="s">
        <v>37</v>
      </c>
      <c r="O334" s="8" t="s">
        <v>233</v>
      </c>
      <c r="P334" s="6" t="s">
        <v>306</v>
      </c>
      <c r="Q334" s="8" t="s">
        <v>65</v>
      </c>
      <c r="R334" s="10" t="s">
        <v>2257</v>
      </c>
      <c r="S334" s="11" t="s">
        <v>2258</v>
      </c>
      <c r="T334" s="6" t="s">
        <v>97</v>
      </c>
      <c r="U334" s="15" t="str">
        <f>HYPERLINK("https://media.infra-m.ru/2131/2131071/cover/2131071.jpg", "Обложка")</f>
        <v>Обложка</v>
      </c>
      <c r="V334" s="8" t="s">
        <v>247</v>
      </c>
      <c r="W334" s="6"/>
      <c r="X334" s="6"/>
      <c r="Y334" s="6"/>
      <c r="Z334" s="6"/>
      <c r="AA334" s="6" t="s">
        <v>2259</v>
      </c>
      <c r="AB334" s="8"/>
      <c r="AC334" s="27">
        <v>9785160184319</v>
      </c>
    </row>
    <row r="335" spans="1:29" s="4" customFormat="1" ht="51.9" customHeight="1" x14ac:dyDescent="0.2">
      <c r="A335" s="5">
        <v>0</v>
      </c>
      <c r="B335" s="6" t="s">
        <v>2260</v>
      </c>
      <c r="C335" s="7">
        <v>1668</v>
      </c>
      <c r="D335" s="8" t="s">
        <v>2261</v>
      </c>
      <c r="E335" s="8" t="s">
        <v>2262</v>
      </c>
      <c r="F335" s="8" t="s">
        <v>2263</v>
      </c>
      <c r="G335" s="6" t="s">
        <v>118</v>
      </c>
      <c r="H335" s="6" t="s">
        <v>241</v>
      </c>
      <c r="I335" s="8"/>
      <c r="J335" s="9">
        <v>1</v>
      </c>
      <c r="K335" s="9">
        <v>432</v>
      </c>
      <c r="L335" s="9">
        <v>2019</v>
      </c>
      <c r="M335" s="8" t="s">
        <v>2264</v>
      </c>
      <c r="N335" s="8" t="s">
        <v>37</v>
      </c>
      <c r="O335" s="8" t="s">
        <v>233</v>
      </c>
      <c r="P335" s="6" t="s">
        <v>306</v>
      </c>
      <c r="Q335" s="8" t="s">
        <v>52</v>
      </c>
      <c r="R335" s="10" t="s">
        <v>2257</v>
      </c>
      <c r="S335" s="11" t="s">
        <v>2265</v>
      </c>
      <c r="T335" s="6" t="s">
        <v>97</v>
      </c>
      <c r="U335" s="15" t="str">
        <f>HYPERLINK("https://media.infra-m.ru/1012/1012372/cover/1012372.jpg", "Обложка")</f>
        <v>Обложка</v>
      </c>
      <c r="V335" s="8" t="s">
        <v>247</v>
      </c>
      <c r="W335" s="6"/>
      <c r="X335" s="6"/>
      <c r="Y335" s="6"/>
      <c r="Z335" s="6"/>
      <c r="AA335" s="6" t="s">
        <v>1123</v>
      </c>
      <c r="AB335" s="8"/>
      <c r="AC335" s="27">
        <v>9785955804361</v>
      </c>
    </row>
    <row r="336" spans="1:29" s="4" customFormat="1" ht="51.9" customHeight="1" x14ac:dyDescent="0.2">
      <c r="A336" s="5">
        <v>0</v>
      </c>
      <c r="B336" s="6" t="s">
        <v>2266</v>
      </c>
      <c r="C336" s="7">
        <v>2484</v>
      </c>
      <c r="D336" s="8" t="s">
        <v>2267</v>
      </c>
      <c r="E336" s="8" t="s">
        <v>2247</v>
      </c>
      <c r="F336" s="8" t="s">
        <v>2268</v>
      </c>
      <c r="G336" s="6" t="s">
        <v>118</v>
      </c>
      <c r="H336" s="6" t="s">
        <v>34</v>
      </c>
      <c r="I336" s="8" t="s">
        <v>253</v>
      </c>
      <c r="J336" s="9">
        <v>1</v>
      </c>
      <c r="K336" s="9">
        <v>356</v>
      </c>
      <c r="L336" s="9">
        <v>2027</v>
      </c>
      <c r="M336" s="8" t="s">
        <v>2269</v>
      </c>
      <c r="N336" s="8" t="s">
        <v>37</v>
      </c>
      <c r="O336" s="8" t="s">
        <v>233</v>
      </c>
      <c r="P336" s="6" t="s">
        <v>306</v>
      </c>
      <c r="Q336" s="8" t="s">
        <v>52</v>
      </c>
      <c r="R336" s="10" t="s">
        <v>2270</v>
      </c>
      <c r="S336" s="11" t="s">
        <v>2271</v>
      </c>
      <c r="T336" s="6"/>
      <c r="U336" s="15" t="str">
        <f>HYPERLINK("https://media.infra-m.ru/2263/2263027/cover/2263027.jpg", "Обложка")</f>
        <v>Обложка</v>
      </c>
      <c r="V336" s="8" t="s">
        <v>1994</v>
      </c>
      <c r="W336" s="6"/>
      <c r="X336" s="6"/>
      <c r="Y336" s="6"/>
      <c r="Z336" s="6"/>
      <c r="AA336" s="6" t="s">
        <v>157</v>
      </c>
      <c r="AB336" s="8"/>
      <c r="AC336" s="27">
        <v>9785160223544</v>
      </c>
    </row>
    <row r="337" spans="1:29" s="4" customFormat="1" ht="51.9" customHeight="1" x14ac:dyDescent="0.2">
      <c r="A337" s="5">
        <v>0</v>
      </c>
      <c r="B337" s="6" t="s">
        <v>2272</v>
      </c>
      <c r="C337" s="7">
        <v>2548.8000000000002</v>
      </c>
      <c r="D337" s="8" t="s">
        <v>2273</v>
      </c>
      <c r="E337" s="8" t="s">
        <v>2274</v>
      </c>
      <c r="F337" s="8" t="s">
        <v>2024</v>
      </c>
      <c r="G337" s="6" t="s">
        <v>118</v>
      </c>
      <c r="H337" s="6" t="s">
        <v>34</v>
      </c>
      <c r="I337" s="8" t="s">
        <v>1753</v>
      </c>
      <c r="J337" s="9">
        <v>1</v>
      </c>
      <c r="K337" s="9">
        <v>366</v>
      </c>
      <c r="L337" s="9">
        <v>2027</v>
      </c>
      <c r="M337" s="8" t="s">
        <v>2275</v>
      </c>
      <c r="N337" s="8" t="s">
        <v>37</v>
      </c>
      <c r="O337" s="8" t="s">
        <v>233</v>
      </c>
      <c r="P337" s="6" t="s">
        <v>306</v>
      </c>
      <c r="Q337" s="8" t="s">
        <v>500</v>
      </c>
      <c r="R337" s="10" t="s">
        <v>2276</v>
      </c>
      <c r="S337" s="11" t="s">
        <v>2277</v>
      </c>
      <c r="T337" s="6"/>
      <c r="U337" s="15" t="str">
        <f>HYPERLINK("https://media.infra-m.ru/2263/2263068/cover/2263068.jpg", "Обложка")</f>
        <v>Обложка</v>
      </c>
      <c r="V337" s="8" t="s">
        <v>247</v>
      </c>
      <c r="W337" s="6"/>
      <c r="X337" s="6"/>
      <c r="Y337" s="6"/>
      <c r="Z337" s="6"/>
      <c r="AA337" s="6" t="s">
        <v>115</v>
      </c>
      <c r="AB337" s="8"/>
      <c r="AC337" s="27">
        <v>9785160142272</v>
      </c>
    </row>
    <row r="338" spans="1:29" s="4" customFormat="1" ht="51.9" customHeight="1" x14ac:dyDescent="0.2">
      <c r="A338" s="5">
        <v>0</v>
      </c>
      <c r="B338" s="6" t="s">
        <v>2278</v>
      </c>
      <c r="C338" s="7">
        <v>1596</v>
      </c>
      <c r="D338" s="8" t="s">
        <v>2279</v>
      </c>
      <c r="E338" s="8" t="s">
        <v>2280</v>
      </c>
      <c r="F338" s="8" t="s">
        <v>2235</v>
      </c>
      <c r="G338" s="6" t="s">
        <v>118</v>
      </c>
      <c r="H338" s="6" t="s">
        <v>34</v>
      </c>
      <c r="I338" s="8" t="s">
        <v>263</v>
      </c>
      <c r="J338" s="9">
        <v>1</v>
      </c>
      <c r="K338" s="9">
        <v>256</v>
      </c>
      <c r="L338" s="9">
        <v>2026</v>
      </c>
      <c r="M338" s="8" t="s">
        <v>2281</v>
      </c>
      <c r="N338" s="8" t="s">
        <v>37</v>
      </c>
      <c r="O338" s="8" t="s">
        <v>233</v>
      </c>
      <c r="P338" s="6" t="s">
        <v>51</v>
      </c>
      <c r="Q338" s="8" t="s">
        <v>265</v>
      </c>
      <c r="R338" s="10" t="s">
        <v>2000</v>
      </c>
      <c r="S338" s="11" t="s">
        <v>2282</v>
      </c>
      <c r="T338" s="6"/>
      <c r="U338" s="15" t="str">
        <f>HYPERLINK("https://media.infra-m.ru/2216/2216929/cover/2216929.jpg", "Обложка")</f>
        <v>Обложка</v>
      </c>
      <c r="V338" s="8" t="s">
        <v>2239</v>
      </c>
      <c r="W338" s="6"/>
      <c r="X338" s="6" t="s">
        <v>24</v>
      </c>
      <c r="Y338" s="6"/>
      <c r="Z338" s="6" t="s">
        <v>267</v>
      </c>
      <c r="AA338" s="6" t="s">
        <v>115</v>
      </c>
      <c r="AB338" s="8"/>
      <c r="AC338" s="27">
        <v>9785160138800</v>
      </c>
    </row>
    <row r="339" spans="1:29" s="4" customFormat="1" ht="51.9" customHeight="1" x14ac:dyDescent="0.2">
      <c r="A339" s="5">
        <v>0</v>
      </c>
      <c r="B339" s="6" t="s">
        <v>2283</v>
      </c>
      <c r="C339" s="7">
        <v>1344</v>
      </c>
      <c r="D339" s="8" t="s">
        <v>2284</v>
      </c>
      <c r="E339" s="8" t="s">
        <v>2285</v>
      </c>
      <c r="F339" s="8" t="s">
        <v>1998</v>
      </c>
      <c r="G339" s="6" t="s">
        <v>118</v>
      </c>
      <c r="H339" s="6" t="s">
        <v>313</v>
      </c>
      <c r="I339" s="8" t="s">
        <v>401</v>
      </c>
      <c r="J339" s="9">
        <v>1</v>
      </c>
      <c r="K339" s="9">
        <v>204</v>
      </c>
      <c r="L339" s="9">
        <v>2025</v>
      </c>
      <c r="M339" s="8" t="s">
        <v>2286</v>
      </c>
      <c r="N339" s="8" t="s">
        <v>37</v>
      </c>
      <c r="O339" s="8" t="s">
        <v>233</v>
      </c>
      <c r="P339" s="6" t="s">
        <v>51</v>
      </c>
      <c r="Q339" s="8" t="s">
        <v>265</v>
      </c>
      <c r="R339" s="10" t="s">
        <v>2200</v>
      </c>
      <c r="S339" s="11"/>
      <c r="T339" s="6"/>
      <c r="U339" s="15" t="str">
        <f>HYPERLINK("https://media.infra-m.ru/2199/2199628/cover/2199628.jpg", "Обложка")</f>
        <v>Обложка</v>
      </c>
      <c r="V339" s="8" t="s">
        <v>2001</v>
      </c>
      <c r="W339" s="6"/>
      <c r="X339" s="6"/>
      <c r="Y339" s="6"/>
      <c r="Z339" s="6"/>
      <c r="AA339" s="6" t="s">
        <v>430</v>
      </c>
      <c r="AB339" s="8"/>
      <c r="AC339" s="27">
        <v>9785369018606</v>
      </c>
    </row>
    <row r="340" spans="1:29" s="4" customFormat="1" ht="51.9" customHeight="1" x14ac:dyDescent="0.2">
      <c r="A340" s="5">
        <v>0</v>
      </c>
      <c r="B340" s="6" t="s">
        <v>2287</v>
      </c>
      <c r="C340" s="7">
        <v>1372.8</v>
      </c>
      <c r="D340" s="8" t="s">
        <v>2288</v>
      </c>
      <c r="E340" s="8" t="s">
        <v>2289</v>
      </c>
      <c r="F340" s="8" t="s">
        <v>2290</v>
      </c>
      <c r="G340" s="6" t="s">
        <v>118</v>
      </c>
      <c r="H340" s="6" t="s">
        <v>34</v>
      </c>
      <c r="I340" s="8" t="s">
        <v>263</v>
      </c>
      <c r="J340" s="9">
        <v>1</v>
      </c>
      <c r="K340" s="9">
        <v>198</v>
      </c>
      <c r="L340" s="9">
        <v>2027</v>
      </c>
      <c r="M340" s="8" t="s">
        <v>2291</v>
      </c>
      <c r="N340" s="8" t="s">
        <v>37</v>
      </c>
      <c r="O340" s="8" t="s">
        <v>233</v>
      </c>
      <c r="P340" s="6" t="s">
        <v>51</v>
      </c>
      <c r="Q340" s="8" t="s">
        <v>265</v>
      </c>
      <c r="R340" s="10" t="s">
        <v>2200</v>
      </c>
      <c r="S340" s="11" t="s">
        <v>2292</v>
      </c>
      <c r="T340" s="6"/>
      <c r="U340" s="15" t="str">
        <f>HYPERLINK("https://media.infra-m.ru/2244/2244128/cover/2244128.jpg", "Обложка")</f>
        <v>Обложка</v>
      </c>
      <c r="V340" s="8" t="s">
        <v>2075</v>
      </c>
      <c r="W340" s="6"/>
      <c r="X340" s="6"/>
      <c r="Y340" s="6"/>
      <c r="Z340" s="6"/>
      <c r="AA340" s="6" t="s">
        <v>2230</v>
      </c>
      <c r="AB340" s="8"/>
      <c r="AC340" s="27">
        <v>9785160168586</v>
      </c>
    </row>
    <row r="341" spans="1:29" s="4" customFormat="1" ht="42" customHeight="1" x14ac:dyDescent="0.2">
      <c r="A341" s="5">
        <v>0</v>
      </c>
      <c r="B341" s="6" t="s">
        <v>2293</v>
      </c>
      <c r="C341" s="7">
        <v>3928.8</v>
      </c>
      <c r="D341" s="8" t="s">
        <v>2294</v>
      </c>
      <c r="E341" s="8" t="s">
        <v>2295</v>
      </c>
      <c r="F341" s="8" t="s">
        <v>2296</v>
      </c>
      <c r="G341" s="6" t="s">
        <v>60</v>
      </c>
      <c r="H341" s="6" t="s">
        <v>34</v>
      </c>
      <c r="I341" s="8" t="s">
        <v>253</v>
      </c>
      <c r="J341" s="9">
        <v>1</v>
      </c>
      <c r="K341" s="9">
        <v>624</v>
      </c>
      <c r="L341" s="9">
        <v>2026</v>
      </c>
      <c r="M341" s="8" t="s">
        <v>2297</v>
      </c>
      <c r="N341" s="8" t="s">
        <v>37</v>
      </c>
      <c r="O341" s="8" t="s">
        <v>233</v>
      </c>
      <c r="P341" s="6" t="s">
        <v>306</v>
      </c>
      <c r="Q341" s="8" t="s">
        <v>52</v>
      </c>
      <c r="R341" s="10" t="s">
        <v>1646</v>
      </c>
      <c r="S341" s="11"/>
      <c r="T341" s="6" t="s">
        <v>97</v>
      </c>
      <c r="U341" s="15" t="str">
        <f>HYPERLINK("https://media.infra-m.ru/2251/2251634/cover/2251634.jpg", "Обложка")</f>
        <v>Обложка</v>
      </c>
      <c r="V341" s="8" t="s">
        <v>2095</v>
      </c>
      <c r="W341" s="6"/>
      <c r="X341" s="6"/>
      <c r="Y341" s="6"/>
      <c r="Z341" s="6"/>
      <c r="AA341" s="6" t="s">
        <v>55</v>
      </c>
      <c r="AB341" s="8"/>
      <c r="AC341" s="27">
        <v>9785160161730</v>
      </c>
    </row>
    <row r="342" spans="1:29" s="4" customFormat="1" ht="51.9" customHeight="1" x14ac:dyDescent="0.2">
      <c r="A342" s="5">
        <v>0</v>
      </c>
      <c r="B342" s="6" t="s">
        <v>2298</v>
      </c>
      <c r="C342" s="7">
        <v>1620</v>
      </c>
      <c r="D342" s="8" t="s">
        <v>2299</v>
      </c>
      <c r="E342" s="8" t="s">
        <v>2300</v>
      </c>
      <c r="F342" s="8" t="s">
        <v>2301</v>
      </c>
      <c r="G342" s="6" t="s">
        <v>33</v>
      </c>
      <c r="H342" s="6" t="s">
        <v>1042</v>
      </c>
      <c r="I342" s="8" t="s">
        <v>401</v>
      </c>
      <c r="J342" s="9">
        <v>1</v>
      </c>
      <c r="K342" s="9">
        <v>288</v>
      </c>
      <c r="L342" s="9">
        <v>2024</v>
      </c>
      <c r="M342" s="8" t="s">
        <v>2302</v>
      </c>
      <c r="N342" s="8" t="s">
        <v>37</v>
      </c>
      <c r="O342" s="8" t="s">
        <v>233</v>
      </c>
      <c r="P342" s="6" t="s">
        <v>51</v>
      </c>
      <c r="Q342" s="8" t="s">
        <v>265</v>
      </c>
      <c r="R342" s="10" t="s">
        <v>2200</v>
      </c>
      <c r="S342" s="11" t="s">
        <v>2303</v>
      </c>
      <c r="T342" s="6"/>
      <c r="U342" s="15" t="str">
        <f>HYPERLINK("https://media.infra-m.ru/2039/2039079/cover/2039079.jpg", "Обложка")</f>
        <v>Обложка</v>
      </c>
      <c r="V342" s="8" t="s">
        <v>247</v>
      </c>
      <c r="W342" s="6"/>
      <c r="X342" s="6" t="s">
        <v>24</v>
      </c>
      <c r="Y342" s="6"/>
      <c r="Z342" s="6"/>
      <c r="AA342" s="6" t="s">
        <v>2304</v>
      </c>
      <c r="AB342" s="8"/>
      <c r="AC342" s="27">
        <v>9785819909140</v>
      </c>
    </row>
    <row r="343" spans="1:29" s="4" customFormat="1" ht="51.9" customHeight="1" x14ac:dyDescent="0.2">
      <c r="A343" s="5">
        <v>0</v>
      </c>
      <c r="B343" s="6" t="s">
        <v>2305</v>
      </c>
      <c r="C343" s="7">
        <v>1368</v>
      </c>
      <c r="D343" s="8" t="s">
        <v>2306</v>
      </c>
      <c r="E343" s="8" t="s">
        <v>2307</v>
      </c>
      <c r="F343" s="8" t="s">
        <v>2308</v>
      </c>
      <c r="G343" s="6" t="s">
        <v>118</v>
      </c>
      <c r="H343" s="6" t="s">
        <v>34</v>
      </c>
      <c r="I343" s="8" t="s">
        <v>263</v>
      </c>
      <c r="J343" s="9">
        <v>1</v>
      </c>
      <c r="K343" s="9">
        <v>208</v>
      </c>
      <c r="L343" s="9">
        <v>2026</v>
      </c>
      <c r="M343" s="8" t="s">
        <v>2309</v>
      </c>
      <c r="N343" s="8" t="s">
        <v>37</v>
      </c>
      <c r="O343" s="8" t="s">
        <v>233</v>
      </c>
      <c r="P343" s="6" t="s">
        <v>51</v>
      </c>
      <c r="Q343" s="8" t="s">
        <v>265</v>
      </c>
      <c r="R343" s="10" t="s">
        <v>2200</v>
      </c>
      <c r="S343" s="11" t="s">
        <v>2310</v>
      </c>
      <c r="T343" s="6"/>
      <c r="U343" s="15" t="str">
        <f>HYPERLINK("https://media.infra-m.ru/2215/2215953/cover/2215953.jpg", "Обложка")</f>
        <v>Обложка</v>
      </c>
      <c r="V343" s="8" t="s">
        <v>247</v>
      </c>
      <c r="W343" s="6"/>
      <c r="X343" s="6" t="s">
        <v>24</v>
      </c>
      <c r="Y343" s="6"/>
      <c r="Z343" s="6"/>
      <c r="AA343" s="6" t="s">
        <v>2311</v>
      </c>
      <c r="AB343" s="8"/>
      <c r="AC343" s="27">
        <v>9785160211558</v>
      </c>
    </row>
    <row r="344" spans="1:29" s="4" customFormat="1" ht="51.9" customHeight="1" x14ac:dyDescent="0.2">
      <c r="A344" s="5">
        <v>0</v>
      </c>
      <c r="B344" s="6" t="s">
        <v>2312</v>
      </c>
      <c r="C344" s="7">
        <v>2064</v>
      </c>
      <c r="D344" s="8" t="s">
        <v>2313</v>
      </c>
      <c r="E344" s="8" t="s">
        <v>2314</v>
      </c>
      <c r="F344" s="8" t="s">
        <v>2179</v>
      </c>
      <c r="G344" s="6" t="s">
        <v>118</v>
      </c>
      <c r="H344" s="6" t="s">
        <v>34</v>
      </c>
      <c r="I344" s="8" t="s">
        <v>263</v>
      </c>
      <c r="J344" s="9">
        <v>1</v>
      </c>
      <c r="K344" s="9">
        <v>286</v>
      </c>
      <c r="L344" s="9">
        <v>2027</v>
      </c>
      <c r="M344" s="8" t="s">
        <v>2315</v>
      </c>
      <c r="N344" s="8" t="s">
        <v>37</v>
      </c>
      <c r="O344" s="8" t="s">
        <v>233</v>
      </c>
      <c r="P344" s="6" t="s">
        <v>306</v>
      </c>
      <c r="Q344" s="8" t="s">
        <v>265</v>
      </c>
      <c r="R344" s="10" t="s">
        <v>2200</v>
      </c>
      <c r="S344" s="11" t="s">
        <v>2316</v>
      </c>
      <c r="T344" s="6"/>
      <c r="U344" s="15" t="str">
        <f>HYPERLINK("https://media.infra-m.ru/2265/2265000/cover/2265000.jpg", "Обложка")</f>
        <v>Обложка</v>
      </c>
      <c r="V344" s="8" t="s">
        <v>227</v>
      </c>
      <c r="W344" s="6"/>
      <c r="X344" s="6" t="s">
        <v>24</v>
      </c>
      <c r="Y344" s="6"/>
      <c r="Z344" s="6"/>
      <c r="AA344" s="6" t="s">
        <v>1406</v>
      </c>
      <c r="AB344" s="8"/>
      <c r="AC344" s="27">
        <v>9785160209791</v>
      </c>
    </row>
    <row r="345" spans="1:29" s="4" customFormat="1" ht="51.9" customHeight="1" x14ac:dyDescent="0.2">
      <c r="A345" s="5">
        <v>0</v>
      </c>
      <c r="B345" s="6" t="s">
        <v>2317</v>
      </c>
      <c r="C345" s="7">
        <v>1816.8</v>
      </c>
      <c r="D345" s="8" t="s">
        <v>2318</v>
      </c>
      <c r="E345" s="8" t="s">
        <v>2319</v>
      </c>
      <c r="F345" s="8" t="s">
        <v>2024</v>
      </c>
      <c r="G345" s="6" t="s">
        <v>118</v>
      </c>
      <c r="H345" s="6" t="s">
        <v>34</v>
      </c>
      <c r="I345" s="8" t="s">
        <v>434</v>
      </c>
      <c r="J345" s="9">
        <v>1</v>
      </c>
      <c r="K345" s="9">
        <v>262</v>
      </c>
      <c r="L345" s="9">
        <v>2027</v>
      </c>
      <c r="M345" s="8" t="s">
        <v>2320</v>
      </c>
      <c r="N345" s="8" t="s">
        <v>37</v>
      </c>
      <c r="O345" s="8" t="s">
        <v>233</v>
      </c>
      <c r="P345" s="6" t="s">
        <v>306</v>
      </c>
      <c r="Q345" s="8" t="s">
        <v>265</v>
      </c>
      <c r="R345" s="10" t="s">
        <v>2200</v>
      </c>
      <c r="S345" s="11" t="s">
        <v>2321</v>
      </c>
      <c r="T345" s="6"/>
      <c r="U345" s="15" t="str">
        <f>HYPERLINK("https://media.infra-m.ru/2263/2263092/cover/2263092.jpg", "Обложка")</f>
        <v>Обложка</v>
      </c>
      <c r="V345" s="8" t="s">
        <v>247</v>
      </c>
      <c r="W345" s="6"/>
      <c r="X345" s="6"/>
      <c r="Y345" s="6"/>
      <c r="Z345" s="6"/>
      <c r="AA345" s="6" t="s">
        <v>430</v>
      </c>
      <c r="AB345" s="8"/>
      <c r="AC345" s="27">
        <v>9785160167381</v>
      </c>
    </row>
    <row r="346" spans="1:29" s="4" customFormat="1" ht="51.9" customHeight="1" x14ac:dyDescent="0.2">
      <c r="A346" s="5">
        <v>0</v>
      </c>
      <c r="B346" s="6" t="s">
        <v>2322</v>
      </c>
      <c r="C346" s="7">
        <v>1620</v>
      </c>
      <c r="D346" s="8" t="s">
        <v>2323</v>
      </c>
      <c r="E346" s="8" t="s">
        <v>2319</v>
      </c>
      <c r="F346" s="8" t="s">
        <v>2324</v>
      </c>
      <c r="G346" s="6" t="s">
        <v>118</v>
      </c>
      <c r="H346" s="6" t="s">
        <v>34</v>
      </c>
      <c r="I346" s="8" t="s">
        <v>263</v>
      </c>
      <c r="J346" s="9">
        <v>1</v>
      </c>
      <c r="K346" s="9">
        <v>269</v>
      </c>
      <c r="L346" s="9">
        <v>2025</v>
      </c>
      <c r="M346" s="8" t="s">
        <v>2325</v>
      </c>
      <c r="N346" s="8" t="s">
        <v>37</v>
      </c>
      <c r="O346" s="8" t="s">
        <v>233</v>
      </c>
      <c r="P346" s="6" t="s">
        <v>51</v>
      </c>
      <c r="Q346" s="8" t="s">
        <v>265</v>
      </c>
      <c r="R346" s="10" t="s">
        <v>2000</v>
      </c>
      <c r="S346" s="11" t="s">
        <v>2326</v>
      </c>
      <c r="T346" s="6" t="s">
        <v>97</v>
      </c>
      <c r="U346" s="15" t="str">
        <f>HYPERLINK("https://media.infra-m.ru/2163/2163829/cover/2163829.jpg", "Обложка")</f>
        <v>Обложка</v>
      </c>
      <c r="V346" s="8" t="s">
        <v>2327</v>
      </c>
      <c r="W346" s="6"/>
      <c r="X346" s="6"/>
      <c r="Y346" s="6"/>
      <c r="Z346" s="6"/>
      <c r="AA346" s="6" t="s">
        <v>148</v>
      </c>
      <c r="AB346" s="8"/>
      <c r="AC346" s="27">
        <v>9785160160979</v>
      </c>
    </row>
    <row r="347" spans="1:29" s="4" customFormat="1" ht="51.9" customHeight="1" x14ac:dyDescent="0.2">
      <c r="A347" s="5">
        <v>0</v>
      </c>
      <c r="B347" s="6" t="s">
        <v>2328</v>
      </c>
      <c r="C347" s="13">
        <v>833.9</v>
      </c>
      <c r="D347" s="8" t="s">
        <v>2329</v>
      </c>
      <c r="E347" s="8" t="s">
        <v>2280</v>
      </c>
      <c r="F347" s="8" t="s">
        <v>2235</v>
      </c>
      <c r="G347" s="6" t="s">
        <v>33</v>
      </c>
      <c r="H347" s="6" t="s">
        <v>34</v>
      </c>
      <c r="I347" s="8" t="s">
        <v>271</v>
      </c>
      <c r="J347" s="9">
        <v>1</v>
      </c>
      <c r="K347" s="9">
        <v>256</v>
      </c>
      <c r="L347" s="9">
        <v>2018</v>
      </c>
      <c r="M347" s="8" t="s">
        <v>2330</v>
      </c>
      <c r="N347" s="8" t="s">
        <v>37</v>
      </c>
      <c r="O347" s="8" t="s">
        <v>233</v>
      </c>
      <c r="P347" s="6" t="s">
        <v>51</v>
      </c>
      <c r="Q347" s="8" t="s">
        <v>52</v>
      </c>
      <c r="R347" s="10" t="s">
        <v>2237</v>
      </c>
      <c r="S347" s="11" t="s">
        <v>2331</v>
      </c>
      <c r="T347" s="6"/>
      <c r="U347" s="15" t="str">
        <f>HYPERLINK("https://media.infra-m.ru/0946/0946115/cover/946115.jpg", "Обложка")</f>
        <v>Обложка</v>
      </c>
      <c r="V347" s="8" t="s">
        <v>2239</v>
      </c>
      <c r="W347" s="6"/>
      <c r="X347" s="6"/>
      <c r="Y347" s="6"/>
      <c r="Z347" s="6"/>
      <c r="AA347" s="6" t="s">
        <v>274</v>
      </c>
      <c r="AB347" s="8"/>
      <c r="AC347" s="27">
        <v>9785160100784</v>
      </c>
    </row>
    <row r="348" spans="1:29" s="4" customFormat="1" ht="51.9" customHeight="1" x14ac:dyDescent="0.2">
      <c r="A348" s="5">
        <v>0</v>
      </c>
      <c r="B348" s="6" t="s">
        <v>2332</v>
      </c>
      <c r="C348" s="13">
        <v>876</v>
      </c>
      <c r="D348" s="8" t="s">
        <v>2333</v>
      </c>
      <c r="E348" s="8" t="s">
        <v>2334</v>
      </c>
      <c r="F348" s="8" t="s">
        <v>2335</v>
      </c>
      <c r="G348" s="6" t="s">
        <v>118</v>
      </c>
      <c r="H348" s="6" t="s">
        <v>1042</v>
      </c>
      <c r="I348" s="8" t="s">
        <v>263</v>
      </c>
      <c r="J348" s="9">
        <v>1</v>
      </c>
      <c r="K348" s="9">
        <v>192</v>
      </c>
      <c r="L348" s="9">
        <v>2021</v>
      </c>
      <c r="M348" s="8" t="s">
        <v>2336</v>
      </c>
      <c r="N348" s="8" t="s">
        <v>37</v>
      </c>
      <c r="O348" s="8" t="s">
        <v>233</v>
      </c>
      <c r="P348" s="6" t="s">
        <v>51</v>
      </c>
      <c r="Q348" s="8" t="s">
        <v>265</v>
      </c>
      <c r="R348" s="10" t="s">
        <v>2200</v>
      </c>
      <c r="S348" s="11" t="s">
        <v>2337</v>
      </c>
      <c r="T348" s="6"/>
      <c r="U348" s="15" t="str">
        <f>HYPERLINK("https://media.infra-m.ru/1844/1844464/cover/1844464.jpg", "Обложка")</f>
        <v>Обложка</v>
      </c>
      <c r="V348" s="8" t="s">
        <v>2075</v>
      </c>
      <c r="W348" s="6"/>
      <c r="X348" s="6"/>
      <c r="Y348" s="6"/>
      <c r="Z348" s="6"/>
      <c r="AA348" s="6" t="s">
        <v>2338</v>
      </c>
      <c r="AB348" s="8"/>
      <c r="AC348" s="27">
        <v>9785819907313</v>
      </c>
    </row>
    <row r="349" spans="1:29" s="4" customFormat="1" ht="51.9" customHeight="1" x14ac:dyDescent="0.2">
      <c r="A349" s="5">
        <v>0</v>
      </c>
      <c r="B349" s="6" t="s">
        <v>2339</v>
      </c>
      <c r="C349" s="7">
        <v>2212.8000000000002</v>
      </c>
      <c r="D349" s="8" t="s">
        <v>2340</v>
      </c>
      <c r="E349" s="8" t="s">
        <v>2341</v>
      </c>
      <c r="F349" s="8" t="s">
        <v>2290</v>
      </c>
      <c r="G349" s="6" t="s">
        <v>118</v>
      </c>
      <c r="H349" s="6" t="s">
        <v>1042</v>
      </c>
      <c r="I349" s="8" t="s">
        <v>263</v>
      </c>
      <c r="J349" s="9">
        <v>1</v>
      </c>
      <c r="K349" s="9">
        <v>335</v>
      </c>
      <c r="L349" s="9">
        <v>2026</v>
      </c>
      <c r="M349" s="8" t="s">
        <v>2342</v>
      </c>
      <c r="N349" s="8" t="s">
        <v>37</v>
      </c>
      <c r="O349" s="8" t="s">
        <v>233</v>
      </c>
      <c r="P349" s="6" t="s">
        <v>306</v>
      </c>
      <c r="Q349" s="8" t="s">
        <v>265</v>
      </c>
      <c r="R349" s="10" t="s">
        <v>2200</v>
      </c>
      <c r="S349" s="11" t="s">
        <v>2343</v>
      </c>
      <c r="T349" s="6"/>
      <c r="U349" s="15" t="str">
        <f>HYPERLINK("https://media.infra-m.ru/2252/2252430/cover/2252430.jpg", "Обложка")</f>
        <v>Обложка</v>
      </c>
      <c r="V349" s="8" t="s">
        <v>2075</v>
      </c>
      <c r="W349" s="6"/>
      <c r="X349" s="6"/>
      <c r="Y349" s="6"/>
      <c r="Z349" s="6"/>
      <c r="AA349" s="6" t="s">
        <v>718</v>
      </c>
      <c r="AB349" s="8"/>
      <c r="AC349" s="27">
        <v>9785819907108</v>
      </c>
    </row>
    <row r="350" spans="1:29" s="4" customFormat="1" ht="44.1" customHeight="1" x14ac:dyDescent="0.2">
      <c r="A350" s="5">
        <v>0</v>
      </c>
      <c r="B350" s="6" t="s">
        <v>2344</v>
      </c>
      <c r="C350" s="7">
        <v>1500</v>
      </c>
      <c r="D350" s="8" t="s">
        <v>2345</v>
      </c>
      <c r="E350" s="8" t="s">
        <v>2295</v>
      </c>
      <c r="F350" s="8" t="s">
        <v>2346</v>
      </c>
      <c r="G350" s="6" t="s">
        <v>60</v>
      </c>
      <c r="H350" s="6" t="s">
        <v>34</v>
      </c>
      <c r="I350" s="8" t="s">
        <v>253</v>
      </c>
      <c r="J350" s="9">
        <v>1</v>
      </c>
      <c r="K350" s="9">
        <v>235</v>
      </c>
      <c r="L350" s="9">
        <v>2025</v>
      </c>
      <c r="M350" s="8" t="s">
        <v>2347</v>
      </c>
      <c r="N350" s="8" t="s">
        <v>37</v>
      </c>
      <c r="O350" s="8" t="s">
        <v>233</v>
      </c>
      <c r="P350" s="6" t="s">
        <v>306</v>
      </c>
      <c r="Q350" s="8" t="s">
        <v>52</v>
      </c>
      <c r="R350" s="10" t="s">
        <v>2348</v>
      </c>
      <c r="S350" s="11"/>
      <c r="T350" s="6"/>
      <c r="U350" s="15" t="str">
        <f>HYPERLINK("https://media.infra-m.ru/2162/2162835/cover/2162835.jpg", "Обложка")</f>
        <v>Обложка</v>
      </c>
      <c r="V350" s="8" t="s">
        <v>2047</v>
      </c>
      <c r="W350" s="6"/>
      <c r="X350" s="6"/>
      <c r="Y350" s="6"/>
      <c r="Z350" s="6"/>
      <c r="AA350" s="6" t="s">
        <v>68</v>
      </c>
      <c r="AB350" s="8"/>
      <c r="AC350" s="27">
        <v>9785160202013</v>
      </c>
    </row>
    <row r="351" spans="1:29" s="4" customFormat="1" ht="51.9" customHeight="1" x14ac:dyDescent="0.2">
      <c r="A351" s="5">
        <v>0</v>
      </c>
      <c r="B351" s="6" t="s">
        <v>2349</v>
      </c>
      <c r="C351" s="7">
        <v>3424.8</v>
      </c>
      <c r="D351" s="8" t="s">
        <v>2350</v>
      </c>
      <c r="E351" s="8" t="s">
        <v>2351</v>
      </c>
      <c r="F351" s="8" t="s">
        <v>2186</v>
      </c>
      <c r="G351" s="6" t="s">
        <v>118</v>
      </c>
      <c r="H351" s="6" t="s">
        <v>34</v>
      </c>
      <c r="I351" s="8" t="s">
        <v>271</v>
      </c>
      <c r="J351" s="9">
        <v>1</v>
      </c>
      <c r="K351" s="9">
        <v>519</v>
      </c>
      <c r="L351" s="9">
        <v>2026</v>
      </c>
      <c r="M351" s="8" t="s">
        <v>2352</v>
      </c>
      <c r="N351" s="8" t="s">
        <v>37</v>
      </c>
      <c r="O351" s="8" t="s">
        <v>233</v>
      </c>
      <c r="P351" s="6" t="s">
        <v>306</v>
      </c>
      <c r="Q351" s="8" t="s">
        <v>52</v>
      </c>
      <c r="R351" s="10" t="s">
        <v>2353</v>
      </c>
      <c r="S351" s="11" t="s">
        <v>2094</v>
      </c>
      <c r="T351" s="6"/>
      <c r="U351" s="15" t="str">
        <f>HYPERLINK("https://media.infra-m.ru/2250/2250927/cover/2250927.jpg", "Обложка")</f>
        <v>Обложка</v>
      </c>
      <c r="V351" s="8" t="s">
        <v>227</v>
      </c>
      <c r="W351" s="6"/>
      <c r="X351" s="6"/>
      <c r="Y351" s="6"/>
      <c r="Z351" s="6"/>
      <c r="AA351" s="6" t="s">
        <v>2354</v>
      </c>
      <c r="AB351" s="8"/>
      <c r="AC351" s="27">
        <v>9785160093031</v>
      </c>
    </row>
    <row r="352" spans="1:29" s="4" customFormat="1" ht="51.9" customHeight="1" x14ac:dyDescent="0.2">
      <c r="A352" s="5">
        <v>0</v>
      </c>
      <c r="B352" s="6" t="s">
        <v>2355</v>
      </c>
      <c r="C352" s="7">
        <v>2332.8000000000002</v>
      </c>
      <c r="D352" s="8" t="s">
        <v>2356</v>
      </c>
      <c r="E352" s="8" t="s">
        <v>2357</v>
      </c>
      <c r="F352" s="8" t="s">
        <v>2186</v>
      </c>
      <c r="G352" s="6" t="s">
        <v>118</v>
      </c>
      <c r="H352" s="6" t="s">
        <v>34</v>
      </c>
      <c r="I352" s="8" t="s">
        <v>263</v>
      </c>
      <c r="J352" s="9">
        <v>1</v>
      </c>
      <c r="K352" s="9">
        <v>378</v>
      </c>
      <c r="L352" s="9">
        <v>2025</v>
      </c>
      <c r="M352" s="8" t="s">
        <v>2358</v>
      </c>
      <c r="N352" s="8" t="s">
        <v>37</v>
      </c>
      <c r="O352" s="8" t="s">
        <v>233</v>
      </c>
      <c r="P352" s="6" t="s">
        <v>306</v>
      </c>
      <c r="Q352" s="8" t="s">
        <v>265</v>
      </c>
      <c r="R352" s="10" t="s">
        <v>2200</v>
      </c>
      <c r="S352" s="11" t="s">
        <v>2316</v>
      </c>
      <c r="T352" s="6"/>
      <c r="U352" s="15" t="str">
        <f>HYPERLINK("https://media.infra-m.ru/2163/2163826/cover/2163826.jpg", "Обложка")</f>
        <v>Обложка</v>
      </c>
      <c r="V352" s="8" t="s">
        <v>227</v>
      </c>
      <c r="W352" s="6"/>
      <c r="X352" s="6" t="s">
        <v>24</v>
      </c>
      <c r="Y352" s="6"/>
      <c r="Z352" s="6"/>
      <c r="AA352" s="6" t="s">
        <v>2359</v>
      </c>
      <c r="AB352" s="8"/>
      <c r="AC352" s="27">
        <v>9785160067070</v>
      </c>
    </row>
    <row r="353" spans="1:29" s="4" customFormat="1" ht="51.9" customHeight="1" x14ac:dyDescent="0.2">
      <c r="A353" s="5">
        <v>0</v>
      </c>
      <c r="B353" s="6" t="s">
        <v>2360</v>
      </c>
      <c r="C353" s="7">
        <v>1912.8</v>
      </c>
      <c r="D353" s="8" t="s">
        <v>2361</v>
      </c>
      <c r="E353" s="8" t="s">
        <v>2362</v>
      </c>
      <c r="F353" s="8" t="s">
        <v>2186</v>
      </c>
      <c r="G353" s="6" t="s">
        <v>118</v>
      </c>
      <c r="H353" s="6" t="s">
        <v>34</v>
      </c>
      <c r="I353" s="8" t="s">
        <v>35</v>
      </c>
      <c r="J353" s="9">
        <v>1</v>
      </c>
      <c r="K353" s="9">
        <v>291</v>
      </c>
      <c r="L353" s="9">
        <v>2026</v>
      </c>
      <c r="M353" s="8" t="s">
        <v>2363</v>
      </c>
      <c r="N353" s="8" t="s">
        <v>37</v>
      </c>
      <c r="O353" s="8" t="s">
        <v>233</v>
      </c>
      <c r="P353" s="6" t="s">
        <v>39</v>
      </c>
      <c r="Q353" s="8" t="s">
        <v>40</v>
      </c>
      <c r="R353" s="10" t="s">
        <v>2364</v>
      </c>
      <c r="S353" s="11"/>
      <c r="T353" s="6"/>
      <c r="U353" s="15" t="str">
        <f>HYPERLINK("https://media.infra-m.ru/2215/2215293/cover/2215293.jpg", "Обложка")</f>
        <v>Обложка</v>
      </c>
      <c r="V353" s="8" t="s">
        <v>227</v>
      </c>
      <c r="W353" s="6"/>
      <c r="X353" s="6"/>
      <c r="Y353" s="6"/>
      <c r="Z353" s="6"/>
      <c r="AA353" s="6" t="s">
        <v>623</v>
      </c>
      <c r="AB353" s="8"/>
      <c r="AC353" s="27">
        <v>9785160123738</v>
      </c>
    </row>
    <row r="354" spans="1:29" s="4" customFormat="1" ht="51.9" customHeight="1" x14ac:dyDescent="0.2">
      <c r="A354" s="5">
        <v>0</v>
      </c>
      <c r="B354" s="6" t="s">
        <v>2365</v>
      </c>
      <c r="C354" s="13">
        <v>940.8</v>
      </c>
      <c r="D354" s="8" t="s">
        <v>2366</v>
      </c>
      <c r="E354" s="8" t="s">
        <v>2367</v>
      </c>
      <c r="F354" s="8" t="s">
        <v>2368</v>
      </c>
      <c r="G354" s="6" t="s">
        <v>33</v>
      </c>
      <c r="H354" s="6" t="s">
        <v>241</v>
      </c>
      <c r="I354" s="8" t="s">
        <v>241</v>
      </c>
      <c r="J354" s="9">
        <v>1</v>
      </c>
      <c r="K354" s="9">
        <v>136</v>
      </c>
      <c r="L354" s="9">
        <v>2027</v>
      </c>
      <c r="M354" s="8" t="s">
        <v>2369</v>
      </c>
      <c r="N354" s="8" t="s">
        <v>37</v>
      </c>
      <c r="O354" s="8" t="s">
        <v>280</v>
      </c>
      <c r="P354" s="6" t="s">
        <v>51</v>
      </c>
      <c r="Q354" s="8" t="s">
        <v>52</v>
      </c>
      <c r="R354" s="10" t="s">
        <v>2370</v>
      </c>
      <c r="S354" s="11"/>
      <c r="T354" s="6"/>
      <c r="U354" s="15" t="str">
        <f>HYPERLINK("https://media.infra-m.ru/2233/2233581/cover/2233581.jpg", "Обложка")</f>
        <v>Обложка</v>
      </c>
      <c r="V354" s="8" t="s">
        <v>247</v>
      </c>
      <c r="W354" s="6"/>
      <c r="X354" s="6"/>
      <c r="Y354" s="6"/>
      <c r="Z354" s="6"/>
      <c r="AA354" s="6" t="s">
        <v>360</v>
      </c>
      <c r="AB354" s="8"/>
      <c r="AC354" s="27">
        <v>9785955804866</v>
      </c>
    </row>
    <row r="355" spans="1:29" s="4" customFormat="1" ht="51.9" customHeight="1" x14ac:dyDescent="0.2">
      <c r="A355" s="5">
        <v>0</v>
      </c>
      <c r="B355" s="6" t="s">
        <v>2371</v>
      </c>
      <c r="C355" s="7">
        <v>1432.8</v>
      </c>
      <c r="D355" s="8" t="s">
        <v>2372</v>
      </c>
      <c r="E355" s="8" t="s">
        <v>2373</v>
      </c>
      <c r="F355" s="8" t="s">
        <v>2374</v>
      </c>
      <c r="G355" s="6" t="s">
        <v>60</v>
      </c>
      <c r="H355" s="6" t="s">
        <v>34</v>
      </c>
      <c r="I355" s="8" t="s">
        <v>35</v>
      </c>
      <c r="J355" s="9">
        <v>1</v>
      </c>
      <c r="K355" s="9">
        <v>217</v>
      </c>
      <c r="L355" s="9">
        <v>2026</v>
      </c>
      <c r="M355" s="8" t="s">
        <v>2375</v>
      </c>
      <c r="N355" s="8" t="s">
        <v>37</v>
      </c>
      <c r="O355" s="8" t="s">
        <v>233</v>
      </c>
      <c r="P355" s="6" t="s">
        <v>39</v>
      </c>
      <c r="Q355" s="8" t="s">
        <v>40</v>
      </c>
      <c r="R355" s="10" t="s">
        <v>2376</v>
      </c>
      <c r="S355" s="11"/>
      <c r="T355" s="6"/>
      <c r="U355" s="15" t="str">
        <f>HYPERLINK("https://media.infra-m.ru/2250/2250147/cover/2250147.jpg", "Обложка")</f>
        <v>Обложка</v>
      </c>
      <c r="V355" s="8" t="s">
        <v>396</v>
      </c>
      <c r="W355" s="6"/>
      <c r="X355" s="6"/>
      <c r="Y355" s="6"/>
      <c r="Z355" s="6"/>
      <c r="AA355" s="6" t="s">
        <v>76</v>
      </c>
      <c r="AB355" s="8"/>
      <c r="AC355" s="27">
        <v>9785160189024</v>
      </c>
    </row>
    <row r="356" spans="1:29" s="4" customFormat="1" ht="51.9" customHeight="1" x14ac:dyDescent="0.2">
      <c r="A356" s="5">
        <v>0</v>
      </c>
      <c r="B356" s="6" t="s">
        <v>2377</v>
      </c>
      <c r="C356" s="7">
        <v>1464</v>
      </c>
      <c r="D356" s="8" t="s">
        <v>2378</v>
      </c>
      <c r="E356" s="8" t="s">
        <v>2379</v>
      </c>
      <c r="F356" s="8" t="s">
        <v>2380</v>
      </c>
      <c r="G356" s="6" t="s">
        <v>33</v>
      </c>
      <c r="H356" s="6" t="s">
        <v>34</v>
      </c>
      <c r="I356" s="8" t="s">
        <v>35</v>
      </c>
      <c r="J356" s="9">
        <v>1</v>
      </c>
      <c r="K356" s="9">
        <v>210</v>
      </c>
      <c r="L356" s="9">
        <v>2027</v>
      </c>
      <c r="M356" s="8" t="s">
        <v>2381</v>
      </c>
      <c r="N356" s="8" t="s">
        <v>63</v>
      </c>
      <c r="O356" s="8" t="s">
        <v>126</v>
      </c>
      <c r="P356" s="6" t="s">
        <v>39</v>
      </c>
      <c r="Q356" s="8" t="s">
        <v>40</v>
      </c>
      <c r="R356" s="10" t="s">
        <v>127</v>
      </c>
      <c r="S356" s="11"/>
      <c r="T356" s="6"/>
      <c r="U356" s="15" t="str">
        <f>HYPERLINK("https://media.infra-m.ru/2270/2270327/cover/2270327.jpg", "Обложка")</f>
        <v>Обложка</v>
      </c>
      <c r="V356" s="8" t="s">
        <v>2382</v>
      </c>
      <c r="W356" s="6"/>
      <c r="X356" s="6"/>
      <c r="Y356" s="6"/>
      <c r="Z356" s="6"/>
      <c r="AA356" s="6" t="s">
        <v>248</v>
      </c>
      <c r="AB356" s="8"/>
      <c r="AC356" s="27">
        <v>9785160097190</v>
      </c>
    </row>
    <row r="357" spans="1:29" s="4" customFormat="1" ht="51.9" customHeight="1" x14ac:dyDescent="0.2">
      <c r="A357" s="5">
        <v>0</v>
      </c>
      <c r="B357" s="6" t="s">
        <v>2383</v>
      </c>
      <c r="C357" s="7">
        <v>1392</v>
      </c>
      <c r="D357" s="8" t="s">
        <v>2384</v>
      </c>
      <c r="E357" s="8" t="s">
        <v>2385</v>
      </c>
      <c r="F357" s="8" t="s">
        <v>2386</v>
      </c>
      <c r="G357" s="6" t="s">
        <v>118</v>
      </c>
      <c r="H357" s="6" t="s">
        <v>34</v>
      </c>
      <c r="I357" s="8" t="s">
        <v>253</v>
      </c>
      <c r="J357" s="9">
        <v>1</v>
      </c>
      <c r="K357" s="9">
        <v>210</v>
      </c>
      <c r="L357" s="9">
        <v>2026</v>
      </c>
      <c r="M357" s="8" t="s">
        <v>2387</v>
      </c>
      <c r="N357" s="8" t="s">
        <v>37</v>
      </c>
      <c r="O357" s="8" t="s">
        <v>50</v>
      </c>
      <c r="P357" s="6" t="s">
        <v>51</v>
      </c>
      <c r="Q357" s="8" t="s">
        <v>52</v>
      </c>
      <c r="R357" s="10" t="s">
        <v>2388</v>
      </c>
      <c r="S357" s="11"/>
      <c r="T357" s="6"/>
      <c r="U357" s="15" t="str">
        <f>HYPERLINK("https://media.infra-m.ru/2221/2221949/cover/2221949.jpg", "Обложка")</f>
        <v>Обложка</v>
      </c>
      <c r="V357" s="8" t="s">
        <v>2389</v>
      </c>
      <c r="W357" s="6"/>
      <c r="X357" s="6"/>
      <c r="Y357" s="6"/>
      <c r="Z357" s="6"/>
      <c r="AA357" s="6" t="s">
        <v>157</v>
      </c>
      <c r="AB357" s="8" t="s">
        <v>2390</v>
      </c>
      <c r="AC357" s="27">
        <v>9785160178646</v>
      </c>
    </row>
    <row r="358" spans="1:29" s="4" customFormat="1" ht="51.9" customHeight="1" x14ac:dyDescent="0.2">
      <c r="A358" s="5">
        <v>0</v>
      </c>
      <c r="B358" s="6" t="s">
        <v>2391</v>
      </c>
      <c r="C358" s="7">
        <v>3268.8</v>
      </c>
      <c r="D358" s="8" t="s">
        <v>2392</v>
      </c>
      <c r="E358" s="8" t="s">
        <v>2393</v>
      </c>
      <c r="F358" s="8" t="s">
        <v>2394</v>
      </c>
      <c r="G358" s="6" t="s">
        <v>60</v>
      </c>
      <c r="H358" s="6" t="s">
        <v>34</v>
      </c>
      <c r="I358" s="8" t="s">
        <v>271</v>
      </c>
      <c r="J358" s="9">
        <v>1</v>
      </c>
      <c r="K358" s="9">
        <v>496</v>
      </c>
      <c r="L358" s="9">
        <v>2026</v>
      </c>
      <c r="M358" s="8" t="s">
        <v>2395</v>
      </c>
      <c r="N358" s="8" t="s">
        <v>585</v>
      </c>
      <c r="O358" s="8" t="s">
        <v>667</v>
      </c>
      <c r="P358" s="6" t="s">
        <v>51</v>
      </c>
      <c r="Q358" s="8" t="s">
        <v>52</v>
      </c>
      <c r="R358" s="10" t="s">
        <v>2396</v>
      </c>
      <c r="S358" s="11" t="s">
        <v>2397</v>
      </c>
      <c r="T358" s="6"/>
      <c r="U358" s="15" t="str">
        <f>HYPERLINK("https://media.infra-m.ru/2249/2249260/cover/2249260.jpg", "Обложка")</f>
        <v>Обложка</v>
      </c>
      <c r="V358" s="8" t="s">
        <v>2398</v>
      </c>
      <c r="W358" s="6"/>
      <c r="X358" s="6"/>
      <c r="Y358" s="6"/>
      <c r="Z358" s="6"/>
      <c r="AA358" s="6" t="s">
        <v>360</v>
      </c>
      <c r="AB358" s="8"/>
      <c r="AC358" s="27">
        <v>9785160112022</v>
      </c>
    </row>
    <row r="359" spans="1:29" s="4" customFormat="1" ht="51.9" customHeight="1" x14ac:dyDescent="0.2">
      <c r="A359" s="5">
        <v>0</v>
      </c>
      <c r="B359" s="6" t="s">
        <v>2399</v>
      </c>
      <c r="C359" s="7">
        <v>2676</v>
      </c>
      <c r="D359" s="8" t="s">
        <v>2400</v>
      </c>
      <c r="E359" s="8" t="s">
        <v>2401</v>
      </c>
      <c r="F359" s="8" t="s">
        <v>2402</v>
      </c>
      <c r="G359" s="6" t="s">
        <v>60</v>
      </c>
      <c r="H359" s="6" t="s">
        <v>34</v>
      </c>
      <c r="I359" s="8" t="s">
        <v>253</v>
      </c>
      <c r="J359" s="9">
        <v>1</v>
      </c>
      <c r="K359" s="9">
        <v>428</v>
      </c>
      <c r="L359" s="9">
        <v>2025</v>
      </c>
      <c r="M359" s="8" t="s">
        <v>2403</v>
      </c>
      <c r="N359" s="8" t="s">
        <v>243</v>
      </c>
      <c r="O359" s="8" t="s">
        <v>385</v>
      </c>
      <c r="P359" s="6" t="s">
        <v>51</v>
      </c>
      <c r="Q359" s="8" t="s">
        <v>52</v>
      </c>
      <c r="R359" s="10" t="s">
        <v>2404</v>
      </c>
      <c r="S359" s="11" t="s">
        <v>2405</v>
      </c>
      <c r="T359" s="6"/>
      <c r="U359" s="15" t="str">
        <f>HYPERLINK("https://media.infra-m.ru/2210/2210307/cover/2210307.jpg", "Обложка")</f>
        <v>Обложка</v>
      </c>
      <c r="V359" s="8" t="s">
        <v>2406</v>
      </c>
      <c r="W359" s="6"/>
      <c r="X359" s="6" t="s">
        <v>24</v>
      </c>
      <c r="Y359" s="6"/>
      <c r="Z359" s="6"/>
      <c r="AA359" s="6" t="s">
        <v>55</v>
      </c>
      <c r="AB359" s="8"/>
      <c r="AC359" s="27">
        <v>9785160090436</v>
      </c>
    </row>
    <row r="360" spans="1:29" s="4" customFormat="1" ht="51.9" customHeight="1" x14ac:dyDescent="0.2">
      <c r="A360" s="5">
        <v>0</v>
      </c>
      <c r="B360" s="6" t="s">
        <v>2407</v>
      </c>
      <c r="C360" s="7">
        <v>3396</v>
      </c>
      <c r="D360" s="8" t="s">
        <v>2408</v>
      </c>
      <c r="E360" s="8" t="s">
        <v>2409</v>
      </c>
      <c r="F360" s="8" t="s">
        <v>2410</v>
      </c>
      <c r="G360" s="6" t="s">
        <v>60</v>
      </c>
      <c r="H360" s="6" t="s">
        <v>34</v>
      </c>
      <c r="I360" s="8" t="s">
        <v>253</v>
      </c>
      <c r="J360" s="9">
        <v>1</v>
      </c>
      <c r="K360" s="9">
        <v>542</v>
      </c>
      <c r="L360" s="9">
        <v>2026</v>
      </c>
      <c r="M360" s="8" t="s">
        <v>2411</v>
      </c>
      <c r="N360" s="8" t="s">
        <v>585</v>
      </c>
      <c r="O360" s="8" t="s">
        <v>1518</v>
      </c>
      <c r="P360" s="6" t="s">
        <v>51</v>
      </c>
      <c r="Q360" s="8" t="s">
        <v>52</v>
      </c>
      <c r="R360" s="10" t="s">
        <v>2412</v>
      </c>
      <c r="S360" s="11" t="s">
        <v>2413</v>
      </c>
      <c r="T360" s="6"/>
      <c r="U360" s="15" t="str">
        <f>HYPERLINK("https://media.infra-m.ru/2214/2214877/cover/2214877.jpg", "Обложка")</f>
        <v>Обложка</v>
      </c>
      <c r="V360" s="8" t="s">
        <v>2406</v>
      </c>
      <c r="W360" s="6"/>
      <c r="X360" s="6"/>
      <c r="Y360" s="6"/>
      <c r="Z360" s="6"/>
      <c r="AA360" s="6" t="s">
        <v>2338</v>
      </c>
      <c r="AB360" s="8"/>
      <c r="AC360" s="27">
        <v>9785160211336</v>
      </c>
    </row>
    <row r="361" spans="1:29" s="4" customFormat="1" ht="51.9" customHeight="1" x14ac:dyDescent="0.2">
      <c r="A361" s="5">
        <v>0</v>
      </c>
      <c r="B361" s="6" t="s">
        <v>2414</v>
      </c>
      <c r="C361" s="7">
        <v>1284</v>
      </c>
      <c r="D361" s="8" t="s">
        <v>2415</v>
      </c>
      <c r="E361" s="8" t="s">
        <v>2416</v>
      </c>
      <c r="F361" s="8" t="s">
        <v>2417</v>
      </c>
      <c r="G361" s="6" t="s">
        <v>118</v>
      </c>
      <c r="H361" s="6" t="s">
        <v>34</v>
      </c>
      <c r="I361" s="8" t="s">
        <v>253</v>
      </c>
      <c r="J361" s="9">
        <v>1</v>
      </c>
      <c r="K361" s="9">
        <v>206</v>
      </c>
      <c r="L361" s="9">
        <v>2025</v>
      </c>
      <c r="M361" s="8" t="s">
        <v>2418</v>
      </c>
      <c r="N361" s="8" t="s">
        <v>585</v>
      </c>
      <c r="O361" s="8" t="s">
        <v>1518</v>
      </c>
      <c r="P361" s="6" t="s">
        <v>51</v>
      </c>
      <c r="Q361" s="8" t="s">
        <v>52</v>
      </c>
      <c r="R361" s="10" t="s">
        <v>2419</v>
      </c>
      <c r="S361" s="11" t="s">
        <v>2420</v>
      </c>
      <c r="T361" s="6"/>
      <c r="U361" s="15" t="str">
        <f>HYPERLINK("https://media.infra-m.ru/2208/2208352/cover/2208352.jpg", "Обложка")</f>
        <v>Обложка</v>
      </c>
      <c r="V361" s="8" t="s">
        <v>2406</v>
      </c>
      <c r="W361" s="6"/>
      <c r="X361" s="6"/>
      <c r="Y361" s="6"/>
      <c r="Z361" s="6"/>
      <c r="AA361" s="6" t="s">
        <v>55</v>
      </c>
      <c r="AB361" s="8"/>
      <c r="AC361" s="27">
        <v>9785160066158</v>
      </c>
    </row>
    <row r="362" spans="1:29" s="4" customFormat="1" ht="51.9" customHeight="1" x14ac:dyDescent="0.2">
      <c r="A362" s="5">
        <v>0</v>
      </c>
      <c r="B362" s="6" t="s">
        <v>2421</v>
      </c>
      <c r="C362" s="7">
        <v>2388</v>
      </c>
      <c r="D362" s="8" t="s">
        <v>2422</v>
      </c>
      <c r="E362" s="8" t="s">
        <v>2423</v>
      </c>
      <c r="F362" s="8" t="s">
        <v>2424</v>
      </c>
      <c r="G362" s="6" t="s">
        <v>60</v>
      </c>
      <c r="H362" s="6" t="s">
        <v>34</v>
      </c>
      <c r="I362" s="8" t="s">
        <v>263</v>
      </c>
      <c r="J362" s="9">
        <v>1</v>
      </c>
      <c r="K362" s="9">
        <v>394</v>
      </c>
      <c r="L362" s="9">
        <v>2025</v>
      </c>
      <c r="M362" s="8" t="s">
        <v>2425</v>
      </c>
      <c r="N362" s="8" t="s">
        <v>585</v>
      </c>
      <c r="O362" s="8" t="s">
        <v>1518</v>
      </c>
      <c r="P362" s="6" t="s">
        <v>306</v>
      </c>
      <c r="Q362" s="8" t="s">
        <v>265</v>
      </c>
      <c r="R362" s="10" t="s">
        <v>2426</v>
      </c>
      <c r="S362" s="11"/>
      <c r="T362" s="6"/>
      <c r="U362" s="15" t="str">
        <f>HYPERLINK("https://media.infra-m.ru/2169/2169779/cover/2169779.jpg", "Обложка")</f>
        <v>Обложка</v>
      </c>
      <c r="V362" s="8" t="s">
        <v>2427</v>
      </c>
      <c r="W362" s="6"/>
      <c r="X362" s="6"/>
      <c r="Y362" s="6"/>
      <c r="Z362" s="6" t="s">
        <v>267</v>
      </c>
      <c r="AA362" s="6" t="s">
        <v>68</v>
      </c>
      <c r="AB362" s="8"/>
      <c r="AC362" s="27">
        <v>9785160203430</v>
      </c>
    </row>
    <row r="363" spans="1:29" s="4" customFormat="1" ht="51.9" customHeight="1" x14ac:dyDescent="0.2">
      <c r="A363" s="5">
        <v>0</v>
      </c>
      <c r="B363" s="6" t="s">
        <v>2428</v>
      </c>
      <c r="C363" s="7">
        <v>2452.8000000000002</v>
      </c>
      <c r="D363" s="8" t="s">
        <v>2429</v>
      </c>
      <c r="E363" s="8" t="s">
        <v>2423</v>
      </c>
      <c r="F363" s="8" t="s">
        <v>2424</v>
      </c>
      <c r="G363" s="6" t="s">
        <v>118</v>
      </c>
      <c r="H363" s="6" t="s">
        <v>34</v>
      </c>
      <c r="I363" s="8" t="s">
        <v>271</v>
      </c>
      <c r="J363" s="9">
        <v>1</v>
      </c>
      <c r="K363" s="9">
        <v>394</v>
      </c>
      <c r="L363" s="9">
        <v>2025</v>
      </c>
      <c r="M363" s="8" t="s">
        <v>2430</v>
      </c>
      <c r="N363" s="8" t="s">
        <v>585</v>
      </c>
      <c r="O363" s="8" t="s">
        <v>1518</v>
      </c>
      <c r="P363" s="6" t="s">
        <v>306</v>
      </c>
      <c r="Q363" s="8" t="s">
        <v>52</v>
      </c>
      <c r="R363" s="10" t="s">
        <v>2431</v>
      </c>
      <c r="S363" s="11" t="s">
        <v>2432</v>
      </c>
      <c r="T363" s="6"/>
      <c r="U363" s="15" t="str">
        <f>HYPERLINK("https://media.infra-m.ru/2198/2198261/cover/2198261.jpg", "Обложка")</f>
        <v>Обложка</v>
      </c>
      <c r="V363" s="8" t="s">
        <v>2427</v>
      </c>
      <c r="W363" s="6"/>
      <c r="X363" s="6"/>
      <c r="Y363" s="6"/>
      <c r="Z363" s="6"/>
      <c r="AA363" s="6" t="s">
        <v>779</v>
      </c>
      <c r="AB363" s="8"/>
      <c r="AC363" s="27">
        <v>9785160093116</v>
      </c>
    </row>
    <row r="364" spans="1:29" s="4" customFormat="1" ht="42" customHeight="1" x14ac:dyDescent="0.2">
      <c r="A364" s="5">
        <v>0</v>
      </c>
      <c r="B364" s="6" t="s">
        <v>2433</v>
      </c>
      <c r="C364" s="7">
        <v>1192.8</v>
      </c>
      <c r="D364" s="8" t="s">
        <v>2434</v>
      </c>
      <c r="E364" s="8" t="s">
        <v>2435</v>
      </c>
      <c r="F364" s="8" t="s">
        <v>2436</v>
      </c>
      <c r="G364" s="6" t="s">
        <v>60</v>
      </c>
      <c r="H364" s="6" t="s">
        <v>34</v>
      </c>
      <c r="I364" s="8" t="s">
        <v>271</v>
      </c>
      <c r="J364" s="9">
        <v>1</v>
      </c>
      <c r="K364" s="9">
        <v>172</v>
      </c>
      <c r="L364" s="9">
        <v>2027</v>
      </c>
      <c r="M364" s="8" t="s">
        <v>2437</v>
      </c>
      <c r="N364" s="8" t="s">
        <v>585</v>
      </c>
      <c r="O364" s="8" t="s">
        <v>775</v>
      </c>
      <c r="P364" s="6" t="s">
        <v>51</v>
      </c>
      <c r="Q364" s="8" t="s">
        <v>52</v>
      </c>
      <c r="R364" s="10" t="s">
        <v>2438</v>
      </c>
      <c r="S364" s="11"/>
      <c r="T364" s="6"/>
      <c r="U364" s="15" t="str">
        <f>HYPERLINK("https://media.infra-m.ru/2253/2253942/cover/2253942.jpg", "Обложка")</f>
        <v>Обложка</v>
      </c>
      <c r="V364" s="8" t="s">
        <v>227</v>
      </c>
      <c r="W364" s="6"/>
      <c r="X364" s="6"/>
      <c r="Y364" s="6"/>
      <c r="Z364" s="6"/>
      <c r="AA364" s="6" t="s">
        <v>148</v>
      </c>
      <c r="AB364" s="8"/>
      <c r="AC364" s="27">
        <v>9785160170435</v>
      </c>
    </row>
    <row r="365" spans="1:29" s="4" customFormat="1" ht="51.9" customHeight="1" x14ac:dyDescent="0.2">
      <c r="A365" s="5">
        <v>0</v>
      </c>
      <c r="B365" s="6" t="s">
        <v>2439</v>
      </c>
      <c r="C365" s="7">
        <v>2724</v>
      </c>
      <c r="D365" s="8" t="s">
        <v>2440</v>
      </c>
      <c r="E365" s="8" t="s">
        <v>2441</v>
      </c>
      <c r="F365" s="8" t="s">
        <v>2442</v>
      </c>
      <c r="G365" s="6" t="s">
        <v>118</v>
      </c>
      <c r="H365" s="6" t="s">
        <v>34</v>
      </c>
      <c r="I365" s="8" t="s">
        <v>253</v>
      </c>
      <c r="J365" s="9">
        <v>1</v>
      </c>
      <c r="K365" s="9">
        <v>391</v>
      </c>
      <c r="L365" s="9">
        <v>2027</v>
      </c>
      <c r="M365" s="8" t="s">
        <v>2443</v>
      </c>
      <c r="N365" s="8" t="s">
        <v>243</v>
      </c>
      <c r="O365" s="8" t="s">
        <v>329</v>
      </c>
      <c r="P365" s="6" t="s">
        <v>51</v>
      </c>
      <c r="Q365" s="8" t="s">
        <v>52</v>
      </c>
      <c r="R365" s="10" t="s">
        <v>2444</v>
      </c>
      <c r="S365" s="11" t="s">
        <v>2445</v>
      </c>
      <c r="T365" s="6"/>
      <c r="U365" s="15" t="str">
        <f>HYPERLINK("https://media.infra-m.ru/2263/2263097/cover/2263097.jpg", "Обложка")</f>
        <v>Обложка</v>
      </c>
      <c r="V365" s="8" t="s">
        <v>2446</v>
      </c>
      <c r="W365" s="6"/>
      <c r="X365" s="6"/>
      <c r="Y365" s="6"/>
      <c r="Z365" s="6"/>
      <c r="AA365" s="6" t="s">
        <v>55</v>
      </c>
      <c r="AB365" s="8"/>
      <c r="AC365" s="27">
        <v>9785160223551</v>
      </c>
    </row>
    <row r="366" spans="1:29" s="4" customFormat="1" ht="51.9" customHeight="1" x14ac:dyDescent="0.2">
      <c r="A366" s="5">
        <v>0</v>
      </c>
      <c r="B366" s="6" t="s">
        <v>2447</v>
      </c>
      <c r="C366" s="7">
        <v>1156.8</v>
      </c>
      <c r="D366" s="8" t="s">
        <v>2448</v>
      </c>
      <c r="E366" s="8" t="s">
        <v>2449</v>
      </c>
      <c r="F366" s="8" t="s">
        <v>2450</v>
      </c>
      <c r="G366" s="6" t="s">
        <v>33</v>
      </c>
      <c r="H366" s="6" t="s">
        <v>34</v>
      </c>
      <c r="I366" s="8" t="s">
        <v>271</v>
      </c>
      <c r="J366" s="9">
        <v>1</v>
      </c>
      <c r="K366" s="9">
        <v>176</v>
      </c>
      <c r="L366" s="9">
        <v>2026</v>
      </c>
      <c r="M366" s="8" t="s">
        <v>2451</v>
      </c>
      <c r="N366" s="8" t="s">
        <v>243</v>
      </c>
      <c r="O366" s="8" t="s">
        <v>758</v>
      </c>
      <c r="P366" s="6" t="s">
        <v>51</v>
      </c>
      <c r="Q366" s="8" t="s">
        <v>52</v>
      </c>
      <c r="R366" s="10" t="s">
        <v>2452</v>
      </c>
      <c r="S366" s="11" t="s">
        <v>2453</v>
      </c>
      <c r="T366" s="6"/>
      <c r="U366" s="15" t="str">
        <f>HYPERLINK("https://media.infra-m.ru/2249/2249264/cover/2249264.jpg", "Обложка")</f>
        <v>Обложка</v>
      </c>
      <c r="V366" s="8" t="s">
        <v>1157</v>
      </c>
      <c r="W366" s="6"/>
      <c r="X366" s="6"/>
      <c r="Y366" s="6"/>
      <c r="Z366" s="6"/>
      <c r="AA366" s="6" t="s">
        <v>779</v>
      </c>
      <c r="AB366" s="8"/>
      <c r="AC366" s="27">
        <v>9785160117416</v>
      </c>
    </row>
    <row r="367" spans="1:29" s="4" customFormat="1" ht="51.9" customHeight="1" x14ac:dyDescent="0.2">
      <c r="A367" s="5">
        <v>0</v>
      </c>
      <c r="B367" s="6" t="s">
        <v>2454</v>
      </c>
      <c r="C367" s="7">
        <v>1896</v>
      </c>
      <c r="D367" s="8" t="s">
        <v>2455</v>
      </c>
      <c r="E367" s="8" t="s">
        <v>2456</v>
      </c>
      <c r="F367" s="8" t="s">
        <v>2457</v>
      </c>
      <c r="G367" s="6" t="s">
        <v>118</v>
      </c>
      <c r="H367" s="6" t="s">
        <v>34</v>
      </c>
      <c r="I367" s="8" t="s">
        <v>253</v>
      </c>
      <c r="J367" s="9">
        <v>1</v>
      </c>
      <c r="K367" s="9">
        <v>288</v>
      </c>
      <c r="L367" s="9">
        <v>2026</v>
      </c>
      <c r="M367" s="8" t="s">
        <v>2458</v>
      </c>
      <c r="N367" s="8" t="s">
        <v>37</v>
      </c>
      <c r="O367" s="8" t="s">
        <v>499</v>
      </c>
      <c r="P367" s="6" t="s">
        <v>51</v>
      </c>
      <c r="Q367" s="8" t="s">
        <v>52</v>
      </c>
      <c r="R367" s="10" t="s">
        <v>2459</v>
      </c>
      <c r="S367" s="11" t="s">
        <v>2460</v>
      </c>
      <c r="T367" s="6"/>
      <c r="U367" s="15" t="str">
        <f>HYPERLINK("https://media.infra-m.ru/2230/2230299/cover/2230299.jpg", "Обложка")</f>
        <v>Обложка</v>
      </c>
      <c r="V367" s="8" t="s">
        <v>761</v>
      </c>
      <c r="W367" s="6"/>
      <c r="X367" s="6"/>
      <c r="Y367" s="6"/>
      <c r="Z367" s="6"/>
      <c r="AA367" s="6" t="s">
        <v>55</v>
      </c>
      <c r="AB367" s="8"/>
      <c r="AC367" s="27">
        <v>9785160197746</v>
      </c>
    </row>
    <row r="368" spans="1:29" s="4" customFormat="1" ht="42" customHeight="1" x14ac:dyDescent="0.2">
      <c r="A368" s="5">
        <v>0</v>
      </c>
      <c r="B368" s="6" t="s">
        <v>2461</v>
      </c>
      <c r="C368" s="13">
        <v>996</v>
      </c>
      <c r="D368" s="8" t="s">
        <v>2462</v>
      </c>
      <c r="E368" s="8" t="s">
        <v>2463</v>
      </c>
      <c r="F368" s="8" t="s">
        <v>2464</v>
      </c>
      <c r="G368" s="6" t="s">
        <v>33</v>
      </c>
      <c r="H368" s="6" t="s">
        <v>313</v>
      </c>
      <c r="I368" s="8" t="s">
        <v>35</v>
      </c>
      <c r="J368" s="9">
        <v>1</v>
      </c>
      <c r="K368" s="9">
        <v>138</v>
      </c>
      <c r="L368" s="9">
        <v>2027</v>
      </c>
      <c r="M368" s="8" t="s">
        <v>2465</v>
      </c>
      <c r="N368" s="8" t="s">
        <v>37</v>
      </c>
      <c r="O368" s="8" t="s">
        <v>136</v>
      </c>
      <c r="P368" s="6" t="s">
        <v>39</v>
      </c>
      <c r="Q368" s="8" t="s">
        <v>40</v>
      </c>
      <c r="R368" s="10" t="s">
        <v>1631</v>
      </c>
      <c r="S368" s="11"/>
      <c r="T368" s="6"/>
      <c r="U368" s="15" t="str">
        <f>HYPERLINK("https://media.infra-m.ru/2266/2266123/cover/2266123.jpg", "Обложка")</f>
        <v>Обложка</v>
      </c>
      <c r="V368" s="8" t="s">
        <v>2466</v>
      </c>
      <c r="W368" s="6"/>
      <c r="X368" s="6"/>
      <c r="Y368" s="6"/>
      <c r="Z368" s="6"/>
      <c r="AA368" s="6" t="s">
        <v>360</v>
      </c>
      <c r="AB368" s="8"/>
      <c r="AC368" s="27">
        <v>9785369015339</v>
      </c>
    </row>
    <row r="369" spans="1:29" s="4" customFormat="1" ht="51.9" customHeight="1" x14ac:dyDescent="0.2">
      <c r="A369" s="5">
        <v>0</v>
      </c>
      <c r="B369" s="6" t="s">
        <v>2467</v>
      </c>
      <c r="C369" s="7">
        <v>2328</v>
      </c>
      <c r="D369" s="8" t="s">
        <v>2468</v>
      </c>
      <c r="E369" s="8" t="s">
        <v>2469</v>
      </c>
      <c r="F369" s="8" t="s">
        <v>2470</v>
      </c>
      <c r="G369" s="6" t="s">
        <v>118</v>
      </c>
      <c r="H369" s="6" t="s">
        <v>34</v>
      </c>
      <c r="I369" s="8" t="s">
        <v>263</v>
      </c>
      <c r="J369" s="9">
        <v>1</v>
      </c>
      <c r="K369" s="9">
        <v>352</v>
      </c>
      <c r="L369" s="9">
        <v>2026</v>
      </c>
      <c r="M369" s="8" t="s">
        <v>2471</v>
      </c>
      <c r="N369" s="8" t="s">
        <v>585</v>
      </c>
      <c r="O369" s="8" t="s">
        <v>2472</v>
      </c>
      <c r="P369" s="6" t="s">
        <v>306</v>
      </c>
      <c r="Q369" s="8" t="s">
        <v>265</v>
      </c>
      <c r="R369" s="10" t="s">
        <v>2473</v>
      </c>
      <c r="S369" s="11" t="s">
        <v>2474</v>
      </c>
      <c r="T369" s="6"/>
      <c r="U369" s="15" t="str">
        <f>HYPERLINK("https://media.infra-m.ru/2227/2227071/cover/2227071.jpg", "Обложка")</f>
        <v>Обложка</v>
      </c>
      <c r="V369" s="8" t="s">
        <v>2475</v>
      </c>
      <c r="W369" s="6"/>
      <c r="X369" s="6"/>
      <c r="Y369" s="6"/>
      <c r="Z369" s="6" t="s">
        <v>267</v>
      </c>
      <c r="AA369" s="6" t="s">
        <v>115</v>
      </c>
      <c r="AB369" s="8"/>
      <c r="AC369" s="27">
        <v>9785160138817</v>
      </c>
    </row>
    <row r="370" spans="1:29" s="4" customFormat="1" ht="51.9" customHeight="1" x14ac:dyDescent="0.2">
      <c r="A370" s="5">
        <v>0</v>
      </c>
      <c r="B370" s="6" t="s">
        <v>2476</v>
      </c>
      <c r="C370" s="7">
        <v>2328</v>
      </c>
      <c r="D370" s="8" t="s">
        <v>2477</v>
      </c>
      <c r="E370" s="8" t="s">
        <v>2469</v>
      </c>
      <c r="F370" s="8" t="s">
        <v>2470</v>
      </c>
      <c r="G370" s="6" t="s">
        <v>118</v>
      </c>
      <c r="H370" s="6" t="s">
        <v>34</v>
      </c>
      <c r="I370" s="8" t="s">
        <v>253</v>
      </c>
      <c r="J370" s="9">
        <v>1</v>
      </c>
      <c r="K370" s="9">
        <v>352</v>
      </c>
      <c r="L370" s="9">
        <v>2026</v>
      </c>
      <c r="M370" s="8" t="s">
        <v>2478</v>
      </c>
      <c r="N370" s="8" t="s">
        <v>585</v>
      </c>
      <c r="O370" s="8" t="s">
        <v>2472</v>
      </c>
      <c r="P370" s="6" t="s">
        <v>306</v>
      </c>
      <c r="Q370" s="8" t="s">
        <v>52</v>
      </c>
      <c r="R370" s="10" t="s">
        <v>2479</v>
      </c>
      <c r="S370" s="11" t="s">
        <v>2480</v>
      </c>
      <c r="T370" s="6"/>
      <c r="U370" s="15" t="str">
        <f>HYPERLINK("https://media.infra-m.ru/2243/2243996/cover/2243996.jpg", "Обложка")</f>
        <v>Обложка</v>
      </c>
      <c r="V370" s="8" t="s">
        <v>2475</v>
      </c>
      <c r="W370" s="6"/>
      <c r="X370" s="6"/>
      <c r="Y370" s="6"/>
      <c r="Z370" s="6"/>
      <c r="AA370" s="6" t="s">
        <v>248</v>
      </c>
      <c r="AB370" s="8"/>
      <c r="AC370" s="27">
        <v>9785160197388</v>
      </c>
    </row>
    <row r="371" spans="1:29" s="4" customFormat="1" ht="51.9" customHeight="1" x14ac:dyDescent="0.2">
      <c r="A371" s="5">
        <v>0</v>
      </c>
      <c r="B371" s="6" t="s">
        <v>2481</v>
      </c>
      <c r="C371" s="7">
        <v>1176</v>
      </c>
      <c r="D371" s="8" t="s">
        <v>2482</v>
      </c>
      <c r="E371" s="8" t="s">
        <v>2483</v>
      </c>
      <c r="F371" s="8" t="s">
        <v>2484</v>
      </c>
      <c r="G371" s="6" t="s">
        <v>33</v>
      </c>
      <c r="H371" s="6" t="s">
        <v>34</v>
      </c>
      <c r="I371" s="8" t="s">
        <v>253</v>
      </c>
      <c r="J371" s="9">
        <v>1</v>
      </c>
      <c r="K371" s="9">
        <v>178</v>
      </c>
      <c r="L371" s="9">
        <v>2026</v>
      </c>
      <c r="M371" s="8" t="s">
        <v>2485</v>
      </c>
      <c r="N371" s="8" t="s">
        <v>243</v>
      </c>
      <c r="O371" s="8" t="s">
        <v>385</v>
      </c>
      <c r="P371" s="6" t="s">
        <v>306</v>
      </c>
      <c r="Q371" s="8" t="s">
        <v>52</v>
      </c>
      <c r="R371" s="10" t="s">
        <v>2486</v>
      </c>
      <c r="S371" s="11" t="s">
        <v>2487</v>
      </c>
      <c r="T371" s="6"/>
      <c r="U371" s="15" t="str">
        <f>HYPERLINK("https://media.infra-m.ru/2224/2224084/cover/2224084.jpg", "Обложка")</f>
        <v>Обложка</v>
      </c>
      <c r="V371" s="8" t="s">
        <v>257</v>
      </c>
      <c r="W371" s="6"/>
      <c r="X371" s="6"/>
      <c r="Y371" s="6"/>
      <c r="Z371" s="6"/>
      <c r="AA371" s="6" t="s">
        <v>779</v>
      </c>
      <c r="AB371" s="8"/>
      <c r="AC371" s="27">
        <v>9785160196657</v>
      </c>
    </row>
    <row r="372" spans="1:29" s="4" customFormat="1" ht="51.9" customHeight="1" x14ac:dyDescent="0.2">
      <c r="A372" s="5">
        <v>0</v>
      </c>
      <c r="B372" s="6" t="s">
        <v>2488</v>
      </c>
      <c r="C372" s="7">
        <v>1176</v>
      </c>
      <c r="D372" s="8" t="s">
        <v>2489</v>
      </c>
      <c r="E372" s="8" t="s">
        <v>2483</v>
      </c>
      <c r="F372" s="8" t="s">
        <v>2490</v>
      </c>
      <c r="G372" s="6" t="s">
        <v>118</v>
      </c>
      <c r="H372" s="6" t="s">
        <v>34</v>
      </c>
      <c r="I372" s="8" t="s">
        <v>263</v>
      </c>
      <c r="J372" s="9">
        <v>1</v>
      </c>
      <c r="K372" s="9">
        <v>178</v>
      </c>
      <c r="L372" s="9">
        <v>2026</v>
      </c>
      <c r="M372" s="8" t="s">
        <v>2491</v>
      </c>
      <c r="N372" s="8" t="s">
        <v>243</v>
      </c>
      <c r="O372" s="8" t="s">
        <v>385</v>
      </c>
      <c r="P372" s="6" t="s">
        <v>306</v>
      </c>
      <c r="Q372" s="8" t="s">
        <v>265</v>
      </c>
      <c r="R372" s="10" t="s">
        <v>2492</v>
      </c>
      <c r="S372" s="11" t="s">
        <v>2493</v>
      </c>
      <c r="T372" s="6"/>
      <c r="U372" s="15" t="str">
        <f>HYPERLINK("https://media.infra-m.ru/2217/2217049/cover/2217049.jpg", "Обложка")</f>
        <v>Обложка</v>
      </c>
      <c r="V372" s="8" t="s">
        <v>257</v>
      </c>
      <c r="W372" s="6"/>
      <c r="X372" s="6"/>
      <c r="Y372" s="6"/>
      <c r="Z372" s="6" t="s">
        <v>267</v>
      </c>
      <c r="AA372" s="6" t="s">
        <v>86</v>
      </c>
      <c r="AB372" s="8"/>
      <c r="AC372" s="27">
        <v>9785160138824</v>
      </c>
    </row>
    <row r="373" spans="1:29" s="4" customFormat="1" ht="51.9" customHeight="1" x14ac:dyDescent="0.2">
      <c r="A373" s="5">
        <v>0</v>
      </c>
      <c r="B373" s="6" t="s">
        <v>2494</v>
      </c>
      <c r="C373" s="7">
        <v>2188.8000000000002</v>
      </c>
      <c r="D373" s="8" t="s">
        <v>2495</v>
      </c>
      <c r="E373" s="8" t="s">
        <v>2496</v>
      </c>
      <c r="F373" s="8" t="s">
        <v>2497</v>
      </c>
      <c r="G373" s="6" t="s">
        <v>118</v>
      </c>
      <c r="H373" s="6" t="s">
        <v>34</v>
      </c>
      <c r="I373" s="8" t="s">
        <v>263</v>
      </c>
      <c r="J373" s="9">
        <v>1</v>
      </c>
      <c r="K373" s="9">
        <v>330</v>
      </c>
      <c r="L373" s="9">
        <v>2026</v>
      </c>
      <c r="M373" s="8" t="s">
        <v>2498</v>
      </c>
      <c r="N373" s="8" t="s">
        <v>243</v>
      </c>
      <c r="O373" s="8" t="s">
        <v>1100</v>
      </c>
      <c r="P373" s="6" t="s">
        <v>51</v>
      </c>
      <c r="Q373" s="8" t="s">
        <v>265</v>
      </c>
      <c r="R373" s="10" t="s">
        <v>2499</v>
      </c>
      <c r="S373" s="11" t="s">
        <v>2500</v>
      </c>
      <c r="T373" s="6" t="s">
        <v>97</v>
      </c>
      <c r="U373" s="15" t="str">
        <f>HYPERLINK("https://media.infra-m.ru/2250/2250577/cover/2250577.jpg", "Обложка")</f>
        <v>Обложка</v>
      </c>
      <c r="V373" s="8" t="s">
        <v>2475</v>
      </c>
      <c r="W373" s="6"/>
      <c r="X373" s="6"/>
      <c r="Y373" s="6"/>
      <c r="Z373" s="6" t="s">
        <v>267</v>
      </c>
      <c r="AA373" s="6" t="s">
        <v>2240</v>
      </c>
      <c r="AB373" s="8"/>
      <c r="AC373" s="27">
        <v>9785160138831</v>
      </c>
    </row>
    <row r="374" spans="1:29" s="4" customFormat="1" ht="42" customHeight="1" x14ac:dyDescent="0.2">
      <c r="A374" s="5">
        <v>0</v>
      </c>
      <c r="B374" s="6" t="s">
        <v>2501</v>
      </c>
      <c r="C374" s="7">
        <v>2056.8000000000002</v>
      </c>
      <c r="D374" s="8" t="s">
        <v>2502</v>
      </c>
      <c r="E374" s="8" t="s">
        <v>2496</v>
      </c>
      <c r="F374" s="8" t="s">
        <v>2503</v>
      </c>
      <c r="G374" s="6" t="s">
        <v>60</v>
      </c>
      <c r="H374" s="6" t="s">
        <v>34</v>
      </c>
      <c r="I374" s="8" t="s">
        <v>271</v>
      </c>
      <c r="J374" s="9">
        <v>1</v>
      </c>
      <c r="K374" s="9">
        <v>330</v>
      </c>
      <c r="L374" s="9">
        <v>2026</v>
      </c>
      <c r="M374" s="8" t="s">
        <v>2504</v>
      </c>
      <c r="N374" s="8" t="s">
        <v>243</v>
      </c>
      <c r="O374" s="8" t="s">
        <v>1100</v>
      </c>
      <c r="P374" s="6" t="s">
        <v>51</v>
      </c>
      <c r="Q374" s="8" t="s">
        <v>52</v>
      </c>
      <c r="R374" s="10" t="s">
        <v>2505</v>
      </c>
      <c r="S374" s="11"/>
      <c r="T374" s="6" t="s">
        <v>97</v>
      </c>
      <c r="U374" s="15" t="str">
        <f>HYPERLINK("https://media.infra-m.ru/2221/2221115/cover/2221115.jpg", "Обложка")</f>
        <v>Обложка</v>
      </c>
      <c r="V374" s="8" t="s">
        <v>2475</v>
      </c>
      <c r="W374" s="6"/>
      <c r="X374" s="6"/>
      <c r="Y374" s="6"/>
      <c r="Z374" s="6"/>
      <c r="AA374" s="6" t="s">
        <v>874</v>
      </c>
      <c r="AB374" s="8"/>
      <c r="AC374" s="27">
        <v>9785160097794</v>
      </c>
    </row>
    <row r="375" spans="1:29" s="4" customFormat="1" ht="51.9" customHeight="1" x14ac:dyDescent="0.2">
      <c r="A375" s="5">
        <v>0</v>
      </c>
      <c r="B375" s="6" t="s">
        <v>2506</v>
      </c>
      <c r="C375" s="13">
        <v>660</v>
      </c>
      <c r="D375" s="8" t="s">
        <v>2507</v>
      </c>
      <c r="E375" s="8" t="s">
        <v>2508</v>
      </c>
      <c r="F375" s="8" t="s">
        <v>2509</v>
      </c>
      <c r="G375" s="6" t="s">
        <v>33</v>
      </c>
      <c r="H375" s="6" t="s">
        <v>34</v>
      </c>
      <c r="I375" s="8" t="s">
        <v>746</v>
      </c>
      <c r="J375" s="9">
        <v>1</v>
      </c>
      <c r="K375" s="9">
        <v>94</v>
      </c>
      <c r="L375" s="9">
        <v>2027</v>
      </c>
      <c r="M375" s="8" t="s">
        <v>2510</v>
      </c>
      <c r="N375" s="8" t="s">
        <v>243</v>
      </c>
      <c r="O375" s="8" t="s">
        <v>385</v>
      </c>
      <c r="P375" s="6" t="s">
        <v>51</v>
      </c>
      <c r="Q375" s="8" t="s">
        <v>377</v>
      </c>
      <c r="R375" s="10" t="s">
        <v>2511</v>
      </c>
      <c r="S375" s="11" t="s">
        <v>2512</v>
      </c>
      <c r="T375" s="6"/>
      <c r="U375" s="15" t="str">
        <f>HYPERLINK("https://media.infra-m.ru/2266/2266122/cover/2266122.jpg", "Обложка")</f>
        <v>Обложка</v>
      </c>
      <c r="V375" s="8" t="s">
        <v>2513</v>
      </c>
      <c r="W375" s="6"/>
      <c r="X375" s="6"/>
      <c r="Y375" s="6"/>
      <c r="Z375" s="6"/>
      <c r="AA375" s="6" t="s">
        <v>248</v>
      </c>
      <c r="AB375" s="8"/>
      <c r="AC375" s="27">
        <v>9785160093833</v>
      </c>
    </row>
    <row r="376" spans="1:29" s="4" customFormat="1" ht="51.9" customHeight="1" x14ac:dyDescent="0.2">
      <c r="A376" s="5">
        <v>0</v>
      </c>
      <c r="B376" s="6" t="s">
        <v>2514</v>
      </c>
      <c r="C376" s="7">
        <v>3756</v>
      </c>
      <c r="D376" s="8" t="s">
        <v>2515</v>
      </c>
      <c r="E376" s="8" t="s">
        <v>2516</v>
      </c>
      <c r="F376" s="8" t="s">
        <v>2517</v>
      </c>
      <c r="G376" s="6" t="s">
        <v>60</v>
      </c>
      <c r="H376" s="6" t="s">
        <v>34</v>
      </c>
      <c r="I376" s="8" t="s">
        <v>2518</v>
      </c>
      <c r="J376" s="9">
        <v>1</v>
      </c>
      <c r="K376" s="9">
        <v>600</v>
      </c>
      <c r="L376" s="9">
        <v>2026</v>
      </c>
      <c r="M376" s="8" t="s">
        <v>2519</v>
      </c>
      <c r="N376" s="8" t="s">
        <v>243</v>
      </c>
      <c r="O376" s="8" t="s">
        <v>1100</v>
      </c>
      <c r="P376" s="6" t="s">
        <v>306</v>
      </c>
      <c r="Q376" s="8" t="s">
        <v>265</v>
      </c>
      <c r="R376" s="10" t="s">
        <v>2520</v>
      </c>
      <c r="S376" s="11" t="s">
        <v>2521</v>
      </c>
      <c r="T376" s="6" t="s">
        <v>97</v>
      </c>
      <c r="U376" s="15" t="str">
        <f>HYPERLINK("https://media.infra-m.ru/2210/2210556/cover/2210556.jpg", "Обложка")</f>
        <v>Обложка</v>
      </c>
      <c r="V376" s="8" t="s">
        <v>2522</v>
      </c>
      <c r="W376" s="6"/>
      <c r="X376" s="6"/>
      <c r="Y376" s="6"/>
      <c r="Z376" s="6"/>
      <c r="AA376" s="6" t="s">
        <v>779</v>
      </c>
      <c r="AB376" s="8"/>
      <c r="AC376" s="27">
        <v>9785160104157</v>
      </c>
    </row>
    <row r="377" spans="1:29" s="4" customFormat="1" ht="51.9" customHeight="1" x14ac:dyDescent="0.2">
      <c r="A377" s="5">
        <v>0</v>
      </c>
      <c r="B377" s="6" t="s">
        <v>2523</v>
      </c>
      <c r="C377" s="7">
        <v>2952</v>
      </c>
      <c r="D377" s="8" t="s">
        <v>2524</v>
      </c>
      <c r="E377" s="8" t="s">
        <v>2525</v>
      </c>
      <c r="F377" s="8" t="s">
        <v>2526</v>
      </c>
      <c r="G377" s="6" t="s">
        <v>60</v>
      </c>
      <c r="H377" s="6" t="s">
        <v>34</v>
      </c>
      <c r="I377" s="8" t="s">
        <v>263</v>
      </c>
      <c r="J377" s="9">
        <v>1</v>
      </c>
      <c r="K377" s="9">
        <v>424</v>
      </c>
      <c r="L377" s="9">
        <v>2027</v>
      </c>
      <c r="M377" s="8" t="s">
        <v>2527</v>
      </c>
      <c r="N377" s="8" t="s">
        <v>243</v>
      </c>
      <c r="O377" s="8" t="s">
        <v>385</v>
      </c>
      <c r="P377" s="6" t="s">
        <v>306</v>
      </c>
      <c r="Q377" s="8" t="s">
        <v>265</v>
      </c>
      <c r="R377" s="10" t="s">
        <v>2528</v>
      </c>
      <c r="S377" s="11"/>
      <c r="T377" s="6"/>
      <c r="U377" s="15" t="str">
        <f>HYPERLINK("https://media.infra-m.ru/2271/2271040/cover/2271040.jpg", "Обложка")</f>
        <v>Обложка</v>
      </c>
      <c r="V377" s="8" t="s">
        <v>2529</v>
      </c>
      <c r="W377" s="6"/>
      <c r="X377" s="6"/>
      <c r="Y377" s="6"/>
      <c r="Z377" s="6"/>
      <c r="AA377" s="6" t="s">
        <v>76</v>
      </c>
      <c r="AB377" s="8" t="s">
        <v>944</v>
      </c>
      <c r="AC377" s="27">
        <v>9785160183299</v>
      </c>
    </row>
    <row r="378" spans="1:29" s="4" customFormat="1" ht="51.9" customHeight="1" x14ac:dyDescent="0.2">
      <c r="A378" s="5">
        <v>0</v>
      </c>
      <c r="B378" s="6" t="s">
        <v>2530</v>
      </c>
      <c r="C378" s="7">
        <v>3024</v>
      </c>
      <c r="D378" s="8" t="s">
        <v>2531</v>
      </c>
      <c r="E378" s="8" t="s">
        <v>2532</v>
      </c>
      <c r="F378" s="8" t="s">
        <v>2533</v>
      </c>
      <c r="G378" s="6" t="s">
        <v>60</v>
      </c>
      <c r="H378" s="6" t="s">
        <v>34</v>
      </c>
      <c r="I378" s="8" t="s">
        <v>253</v>
      </c>
      <c r="J378" s="9">
        <v>1</v>
      </c>
      <c r="K378" s="9">
        <v>459</v>
      </c>
      <c r="L378" s="9">
        <v>2026</v>
      </c>
      <c r="M378" s="8" t="s">
        <v>2534</v>
      </c>
      <c r="N378" s="8" t="s">
        <v>243</v>
      </c>
      <c r="O378" s="8" t="s">
        <v>385</v>
      </c>
      <c r="P378" s="6" t="s">
        <v>51</v>
      </c>
      <c r="Q378" s="8" t="s">
        <v>52</v>
      </c>
      <c r="R378" s="10" t="s">
        <v>2535</v>
      </c>
      <c r="S378" s="11" t="s">
        <v>2536</v>
      </c>
      <c r="T378" s="6"/>
      <c r="U378" s="15" t="str">
        <f>HYPERLINK("https://media.infra-m.ru/2223/2223795/cover/2223795.jpg", "Обложка")</f>
        <v>Обложка</v>
      </c>
      <c r="V378" s="8" t="s">
        <v>2537</v>
      </c>
      <c r="W378" s="6"/>
      <c r="X378" s="6"/>
      <c r="Y378" s="6"/>
      <c r="Z378" s="6"/>
      <c r="AA378" s="6" t="s">
        <v>55</v>
      </c>
      <c r="AB378" s="8"/>
      <c r="AC378" s="27">
        <v>9785160069548</v>
      </c>
    </row>
    <row r="379" spans="1:29" s="4" customFormat="1" ht="51.9" customHeight="1" x14ac:dyDescent="0.2">
      <c r="A379" s="5">
        <v>0</v>
      </c>
      <c r="B379" s="6" t="s">
        <v>2538</v>
      </c>
      <c r="C379" s="7">
        <v>1156.8</v>
      </c>
      <c r="D379" s="8" t="s">
        <v>2539</v>
      </c>
      <c r="E379" s="8" t="s">
        <v>2540</v>
      </c>
      <c r="F379" s="8" t="s">
        <v>2541</v>
      </c>
      <c r="G379" s="6" t="s">
        <v>33</v>
      </c>
      <c r="H379" s="6" t="s">
        <v>34</v>
      </c>
      <c r="I379" s="8" t="s">
        <v>35</v>
      </c>
      <c r="J379" s="9">
        <v>1</v>
      </c>
      <c r="K379" s="9">
        <v>176</v>
      </c>
      <c r="L379" s="9">
        <v>2026</v>
      </c>
      <c r="M379" s="8" t="s">
        <v>2542</v>
      </c>
      <c r="N379" s="8" t="s">
        <v>63</v>
      </c>
      <c r="O379" s="8" t="s">
        <v>64</v>
      </c>
      <c r="P379" s="6" t="s">
        <v>39</v>
      </c>
      <c r="Q379" s="8" t="s">
        <v>40</v>
      </c>
      <c r="R379" s="10" t="s">
        <v>2543</v>
      </c>
      <c r="S379" s="11"/>
      <c r="T379" s="6"/>
      <c r="U379" s="15" t="str">
        <f>HYPERLINK("https://media.infra-m.ru/2244/2244459/cover/2244459.jpg", "Обложка")</f>
        <v>Обложка</v>
      </c>
      <c r="V379" s="8" t="s">
        <v>2544</v>
      </c>
      <c r="W379" s="6"/>
      <c r="X379" s="6"/>
      <c r="Y379" s="6"/>
      <c r="Z379" s="6"/>
      <c r="AA379" s="6" t="s">
        <v>86</v>
      </c>
      <c r="AB379" s="8"/>
      <c r="AC379" s="27">
        <v>9785160170312</v>
      </c>
    </row>
    <row r="380" spans="1:29" s="4" customFormat="1" ht="51.9" customHeight="1" x14ac:dyDescent="0.2">
      <c r="A380" s="5">
        <v>0</v>
      </c>
      <c r="B380" s="6" t="s">
        <v>2545</v>
      </c>
      <c r="C380" s="7">
        <v>1000.8</v>
      </c>
      <c r="D380" s="8" t="s">
        <v>2546</v>
      </c>
      <c r="E380" s="8" t="s">
        <v>2540</v>
      </c>
      <c r="F380" s="8" t="s">
        <v>2541</v>
      </c>
      <c r="G380" s="6" t="s">
        <v>118</v>
      </c>
      <c r="H380" s="6" t="s">
        <v>34</v>
      </c>
      <c r="I380" s="8" t="s">
        <v>35</v>
      </c>
      <c r="J380" s="9">
        <v>1</v>
      </c>
      <c r="K380" s="9">
        <v>176</v>
      </c>
      <c r="L380" s="9">
        <v>2024</v>
      </c>
      <c r="M380" s="8" t="s">
        <v>2542</v>
      </c>
      <c r="N380" s="8" t="s">
        <v>63</v>
      </c>
      <c r="O380" s="8" t="s">
        <v>64</v>
      </c>
      <c r="P380" s="6" t="s">
        <v>39</v>
      </c>
      <c r="Q380" s="8" t="s">
        <v>40</v>
      </c>
      <c r="R380" s="10" t="s">
        <v>2543</v>
      </c>
      <c r="S380" s="11"/>
      <c r="T380" s="6"/>
      <c r="U380" s="15" t="str">
        <f>HYPERLINK("https://media.infra-m.ru/2110/2110066/cover/2110066.jpg", "Обложка")</f>
        <v>Обложка</v>
      </c>
      <c r="V380" s="8" t="s">
        <v>2544</v>
      </c>
      <c r="W380" s="6"/>
      <c r="X380" s="6"/>
      <c r="Y380" s="6"/>
      <c r="Z380" s="6"/>
      <c r="AA380" s="6" t="s">
        <v>86</v>
      </c>
      <c r="AB380" s="8"/>
      <c r="AC380" s="27">
        <v>9785160170312</v>
      </c>
    </row>
    <row r="381" spans="1:29" s="4" customFormat="1" ht="51.9" customHeight="1" x14ac:dyDescent="0.2">
      <c r="A381" s="5">
        <v>0</v>
      </c>
      <c r="B381" s="6" t="s">
        <v>2547</v>
      </c>
      <c r="C381" s="13">
        <v>796.8</v>
      </c>
      <c r="D381" s="8" t="s">
        <v>2548</v>
      </c>
      <c r="E381" s="8" t="s">
        <v>2549</v>
      </c>
      <c r="F381" s="8" t="s">
        <v>2550</v>
      </c>
      <c r="G381" s="6" t="s">
        <v>33</v>
      </c>
      <c r="H381" s="6" t="s">
        <v>34</v>
      </c>
      <c r="I381" s="8" t="s">
        <v>35</v>
      </c>
      <c r="J381" s="9">
        <v>1</v>
      </c>
      <c r="K381" s="9">
        <v>120</v>
      </c>
      <c r="L381" s="9">
        <v>2026</v>
      </c>
      <c r="M381" s="8" t="s">
        <v>2551</v>
      </c>
      <c r="N381" s="8" t="s">
        <v>63</v>
      </c>
      <c r="O381" s="8" t="s">
        <v>64</v>
      </c>
      <c r="P381" s="6" t="s">
        <v>39</v>
      </c>
      <c r="Q381" s="8" t="s">
        <v>40</v>
      </c>
      <c r="R381" s="10" t="s">
        <v>2552</v>
      </c>
      <c r="S381" s="11"/>
      <c r="T381" s="6"/>
      <c r="U381" s="15" t="str">
        <f>HYPERLINK("https://media.infra-m.ru/2213/2213708/cover/2213708.jpg", "Обложка")</f>
        <v>Обложка</v>
      </c>
      <c r="V381" s="8" t="s">
        <v>322</v>
      </c>
      <c r="W381" s="6"/>
      <c r="X381" s="6"/>
      <c r="Y381" s="6"/>
      <c r="Z381" s="6"/>
      <c r="AA381" s="6" t="s">
        <v>248</v>
      </c>
      <c r="AB381" s="8"/>
      <c r="AC381" s="27">
        <v>9785160095042</v>
      </c>
    </row>
    <row r="382" spans="1:29" s="4" customFormat="1" ht="42" customHeight="1" x14ac:dyDescent="0.2">
      <c r="A382" s="5">
        <v>0</v>
      </c>
      <c r="B382" s="6" t="s">
        <v>2553</v>
      </c>
      <c r="C382" s="13">
        <v>588</v>
      </c>
      <c r="D382" s="8" t="s">
        <v>2554</v>
      </c>
      <c r="E382" s="8" t="s">
        <v>2555</v>
      </c>
      <c r="F382" s="8" t="s">
        <v>2556</v>
      </c>
      <c r="G382" s="6" t="s">
        <v>33</v>
      </c>
      <c r="H382" s="6" t="s">
        <v>34</v>
      </c>
      <c r="I382" s="8" t="s">
        <v>35</v>
      </c>
      <c r="J382" s="9">
        <v>1</v>
      </c>
      <c r="K382" s="9">
        <v>106</v>
      </c>
      <c r="L382" s="9">
        <v>2024</v>
      </c>
      <c r="M382" s="8" t="s">
        <v>2557</v>
      </c>
      <c r="N382" s="8" t="s">
        <v>63</v>
      </c>
      <c r="O382" s="8" t="s">
        <v>64</v>
      </c>
      <c r="P382" s="6" t="s">
        <v>39</v>
      </c>
      <c r="Q382" s="8" t="s">
        <v>40</v>
      </c>
      <c r="R382" s="10" t="s">
        <v>2558</v>
      </c>
      <c r="S382" s="11"/>
      <c r="T382" s="6"/>
      <c r="U382" s="15" t="str">
        <f>HYPERLINK("https://media.infra-m.ru/2093/2093942/cover/2093942.jpg", "Обложка")</f>
        <v>Обложка</v>
      </c>
      <c r="V382" s="8" t="s">
        <v>322</v>
      </c>
      <c r="W382" s="6"/>
      <c r="X382" s="6"/>
      <c r="Y382" s="6"/>
      <c r="Z382" s="6"/>
      <c r="AA382" s="6" t="s">
        <v>248</v>
      </c>
      <c r="AB382" s="8"/>
      <c r="AC382" s="27">
        <v>9785160092553</v>
      </c>
    </row>
    <row r="383" spans="1:29" s="4" customFormat="1" ht="51.9" customHeight="1" x14ac:dyDescent="0.2">
      <c r="A383" s="5">
        <v>0</v>
      </c>
      <c r="B383" s="6" t="s">
        <v>2559</v>
      </c>
      <c r="C383" s="7">
        <v>5388</v>
      </c>
      <c r="D383" s="8" t="s">
        <v>2560</v>
      </c>
      <c r="E383" s="8" t="s">
        <v>2561</v>
      </c>
      <c r="F383" s="8" t="s">
        <v>2562</v>
      </c>
      <c r="G383" s="6" t="s">
        <v>60</v>
      </c>
      <c r="H383" s="6" t="s">
        <v>34</v>
      </c>
      <c r="I383" s="8" t="s">
        <v>1835</v>
      </c>
      <c r="J383" s="9">
        <v>1</v>
      </c>
      <c r="K383" s="9">
        <v>1180</v>
      </c>
      <c r="L383" s="9">
        <v>2026</v>
      </c>
      <c r="M383" s="8" t="s">
        <v>2563</v>
      </c>
      <c r="N383" s="8" t="s">
        <v>63</v>
      </c>
      <c r="O383" s="8" t="s">
        <v>64</v>
      </c>
      <c r="P383" s="6" t="s">
        <v>1837</v>
      </c>
      <c r="Q383" s="8" t="s">
        <v>40</v>
      </c>
      <c r="R383" s="10" t="s">
        <v>2564</v>
      </c>
      <c r="S383" s="11"/>
      <c r="T383" s="6"/>
      <c r="U383" s="15" t="str">
        <f>HYPERLINK("https://media.infra-m.ru/2211/2211641/cover/2211641.jpg", "Обложка")</f>
        <v>Обложка</v>
      </c>
      <c r="V383" s="8" t="s">
        <v>843</v>
      </c>
      <c r="W383" s="6" t="s">
        <v>2565</v>
      </c>
      <c r="X383" s="6"/>
      <c r="Y383" s="6"/>
      <c r="Z383" s="6"/>
      <c r="AA383" s="6" t="s">
        <v>187</v>
      </c>
      <c r="AB383" s="8"/>
      <c r="AC383" s="27">
        <v>9785160210438</v>
      </c>
    </row>
    <row r="384" spans="1:29" s="4" customFormat="1" ht="51.9" customHeight="1" x14ac:dyDescent="0.2">
      <c r="A384" s="5">
        <v>0</v>
      </c>
      <c r="B384" s="6" t="s">
        <v>2566</v>
      </c>
      <c r="C384" s="7">
        <v>3996</v>
      </c>
      <c r="D384" s="8" t="s">
        <v>2567</v>
      </c>
      <c r="E384" s="8" t="s">
        <v>2568</v>
      </c>
      <c r="F384" s="8" t="s">
        <v>2562</v>
      </c>
      <c r="G384" s="6" t="s">
        <v>60</v>
      </c>
      <c r="H384" s="6" t="s">
        <v>34</v>
      </c>
      <c r="I384" s="8" t="s">
        <v>1835</v>
      </c>
      <c r="J384" s="9">
        <v>1</v>
      </c>
      <c r="K384" s="9">
        <v>875</v>
      </c>
      <c r="L384" s="9">
        <v>2026</v>
      </c>
      <c r="M384" s="8" t="s">
        <v>2569</v>
      </c>
      <c r="N384" s="8" t="s">
        <v>63</v>
      </c>
      <c r="O384" s="8" t="s">
        <v>64</v>
      </c>
      <c r="P384" s="6" t="s">
        <v>1837</v>
      </c>
      <c r="Q384" s="8" t="s">
        <v>40</v>
      </c>
      <c r="R384" s="10" t="s">
        <v>2564</v>
      </c>
      <c r="S384" s="11"/>
      <c r="T384" s="6"/>
      <c r="U384" s="15" t="str">
        <f>HYPERLINK("https://media.infra-m.ru/2211/2211642/cover/2211642.jpg", "Обложка")</f>
        <v>Обложка</v>
      </c>
      <c r="V384" s="8" t="s">
        <v>843</v>
      </c>
      <c r="W384" s="6" t="s">
        <v>342</v>
      </c>
      <c r="X384" s="6"/>
      <c r="Y384" s="6"/>
      <c r="Z384" s="6"/>
      <c r="AA384" s="6" t="s">
        <v>187</v>
      </c>
      <c r="AB384" s="8"/>
      <c r="AC384" s="27">
        <v>9785160210445</v>
      </c>
    </row>
    <row r="385" spans="1:29" s="4" customFormat="1" ht="42" customHeight="1" x14ac:dyDescent="0.2">
      <c r="A385" s="5">
        <v>0</v>
      </c>
      <c r="B385" s="6" t="s">
        <v>2570</v>
      </c>
      <c r="C385" s="7">
        <v>2392.8000000000002</v>
      </c>
      <c r="D385" s="8" t="s">
        <v>2571</v>
      </c>
      <c r="E385" s="8" t="s">
        <v>2572</v>
      </c>
      <c r="F385" s="8" t="s">
        <v>450</v>
      </c>
      <c r="G385" s="6" t="s">
        <v>60</v>
      </c>
      <c r="H385" s="6" t="s">
        <v>34</v>
      </c>
      <c r="I385" s="8" t="s">
        <v>263</v>
      </c>
      <c r="J385" s="9">
        <v>1</v>
      </c>
      <c r="K385" s="9">
        <v>379</v>
      </c>
      <c r="L385" s="9">
        <v>2026</v>
      </c>
      <c r="M385" s="8" t="s">
        <v>2573</v>
      </c>
      <c r="N385" s="8" t="s">
        <v>63</v>
      </c>
      <c r="O385" s="8" t="s">
        <v>64</v>
      </c>
      <c r="P385" s="6" t="s">
        <v>306</v>
      </c>
      <c r="Q385" s="8" t="s">
        <v>265</v>
      </c>
      <c r="R385" s="10" t="s">
        <v>2574</v>
      </c>
      <c r="S385" s="11"/>
      <c r="T385" s="6"/>
      <c r="U385" s="15" t="str">
        <f>HYPERLINK("https://media.infra-m.ru/2220/2220881/cover/2220881.jpg", "Обложка")</f>
        <v>Обложка</v>
      </c>
      <c r="V385" s="8" t="s">
        <v>247</v>
      </c>
      <c r="W385" s="6"/>
      <c r="X385" s="6"/>
      <c r="Y385" s="6"/>
      <c r="Z385" s="6"/>
      <c r="AA385" s="6" t="s">
        <v>76</v>
      </c>
      <c r="AB385" s="8"/>
      <c r="AC385" s="27">
        <v>9785160180373</v>
      </c>
    </row>
    <row r="386" spans="1:29" s="4" customFormat="1" ht="51.9" customHeight="1" x14ac:dyDescent="0.2">
      <c r="A386" s="5">
        <v>0</v>
      </c>
      <c r="B386" s="6" t="s">
        <v>2575</v>
      </c>
      <c r="C386" s="7">
        <v>1476</v>
      </c>
      <c r="D386" s="8" t="s">
        <v>2576</v>
      </c>
      <c r="E386" s="8" t="s">
        <v>2577</v>
      </c>
      <c r="F386" s="8" t="s">
        <v>2578</v>
      </c>
      <c r="G386" s="6" t="s">
        <v>118</v>
      </c>
      <c r="H386" s="6" t="s">
        <v>34</v>
      </c>
      <c r="I386" s="8" t="s">
        <v>2579</v>
      </c>
      <c r="J386" s="9">
        <v>1</v>
      </c>
      <c r="K386" s="9">
        <v>224</v>
      </c>
      <c r="L386" s="9">
        <v>2026</v>
      </c>
      <c r="M386" s="8" t="s">
        <v>2580</v>
      </c>
      <c r="N386" s="8" t="s">
        <v>63</v>
      </c>
      <c r="O386" s="8" t="s">
        <v>64</v>
      </c>
      <c r="P386" s="6" t="s">
        <v>51</v>
      </c>
      <c r="Q386" s="8" t="s">
        <v>65</v>
      </c>
      <c r="R386" s="10" t="s">
        <v>2581</v>
      </c>
      <c r="S386" s="11" t="s">
        <v>2582</v>
      </c>
      <c r="T386" s="6"/>
      <c r="U386" s="15" t="str">
        <f>HYPERLINK("https://media.infra-m.ru/2230/2230998/cover/2230998.jpg", "Обложка")</f>
        <v>Обложка</v>
      </c>
      <c r="V386" s="8" t="s">
        <v>1157</v>
      </c>
      <c r="W386" s="6"/>
      <c r="X386" s="6"/>
      <c r="Y386" s="6"/>
      <c r="Z386" s="6"/>
      <c r="AA386" s="6" t="s">
        <v>248</v>
      </c>
      <c r="AB386" s="8"/>
      <c r="AC386" s="27">
        <v>9785160215686</v>
      </c>
    </row>
    <row r="387" spans="1:29" s="4" customFormat="1" ht="51.9" customHeight="1" x14ac:dyDescent="0.2">
      <c r="A387" s="5">
        <v>0</v>
      </c>
      <c r="B387" s="6" t="s">
        <v>2583</v>
      </c>
      <c r="C387" s="7">
        <v>1212</v>
      </c>
      <c r="D387" s="8" t="s">
        <v>2584</v>
      </c>
      <c r="E387" s="8" t="s">
        <v>2585</v>
      </c>
      <c r="F387" s="8" t="s">
        <v>2586</v>
      </c>
      <c r="G387" s="6" t="s">
        <v>118</v>
      </c>
      <c r="H387" s="6" t="s">
        <v>34</v>
      </c>
      <c r="I387" s="8" t="s">
        <v>253</v>
      </c>
      <c r="J387" s="9">
        <v>1</v>
      </c>
      <c r="K387" s="9">
        <v>188</v>
      </c>
      <c r="L387" s="9">
        <v>2026</v>
      </c>
      <c r="M387" s="8" t="s">
        <v>2587</v>
      </c>
      <c r="N387" s="8" t="s">
        <v>63</v>
      </c>
      <c r="O387" s="8" t="s">
        <v>64</v>
      </c>
      <c r="P387" s="6" t="s">
        <v>51</v>
      </c>
      <c r="Q387" s="8" t="s">
        <v>1349</v>
      </c>
      <c r="R387" s="10" t="s">
        <v>2588</v>
      </c>
      <c r="S387" s="11"/>
      <c r="T387" s="6"/>
      <c r="U387" s="15" t="str">
        <f>HYPERLINK("https://media.infra-m.ru/2214/2214799/cover/2214799.jpg", "Обложка")</f>
        <v>Обложка</v>
      </c>
      <c r="V387" s="8" t="s">
        <v>227</v>
      </c>
      <c r="W387" s="6"/>
      <c r="X387" s="6"/>
      <c r="Y387" s="6"/>
      <c r="Z387" s="6"/>
      <c r="AA387" s="6" t="s">
        <v>360</v>
      </c>
      <c r="AB387" s="8"/>
      <c r="AC387" s="27">
        <v>9785160211190</v>
      </c>
    </row>
    <row r="388" spans="1:29" s="4" customFormat="1" ht="51.9" customHeight="1" x14ac:dyDescent="0.2">
      <c r="A388" s="5">
        <v>0</v>
      </c>
      <c r="B388" s="6" t="s">
        <v>2589</v>
      </c>
      <c r="C388" s="7">
        <v>1140</v>
      </c>
      <c r="D388" s="8" t="s">
        <v>2590</v>
      </c>
      <c r="E388" s="8" t="s">
        <v>2591</v>
      </c>
      <c r="F388" s="8" t="s">
        <v>2592</v>
      </c>
      <c r="G388" s="6" t="s">
        <v>118</v>
      </c>
      <c r="H388" s="6" t="s">
        <v>313</v>
      </c>
      <c r="I388" s="8" t="s">
        <v>401</v>
      </c>
      <c r="J388" s="9">
        <v>1</v>
      </c>
      <c r="K388" s="9">
        <v>132</v>
      </c>
      <c r="L388" s="9">
        <v>2026</v>
      </c>
      <c r="M388" s="8" t="s">
        <v>2593</v>
      </c>
      <c r="N388" s="8" t="s">
        <v>63</v>
      </c>
      <c r="O388" s="8" t="s">
        <v>64</v>
      </c>
      <c r="P388" s="6" t="s">
        <v>306</v>
      </c>
      <c r="Q388" s="8" t="s">
        <v>265</v>
      </c>
      <c r="R388" s="10" t="s">
        <v>2594</v>
      </c>
      <c r="S388" s="11"/>
      <c r="T388" s="6"/>
      <c r="U388" s="15" t="str">
        <f>HYPERLINK("https://media.infra-m.ru/2254/2254333/cover/2254333.jpg", "Обложка")</f>
        <v>Обложка</v>
      </c>
      <c r="V388" s="8" t="s">
        <v>2595</v>
      </c>
      <c r="W388" s="6"/>
      <c r="X388" s="6" t="s">
        <v>24</v>
      </c>
      <c r="Y388" s="6"/>
      <c r="Z388" s="6"/>
      <c r="AA388" s="6" t="s">
        <v>115</v>
      </c>
      <c r="AB388" s="8"/>
      <c r="AC388" s="27">
        <v>9785369018217</v>
      </c>
    </row>
    <row r="389" spans="1:29" s="4" customFormat="1" ht="42" customHeight="1" x14ac:dyDescent="0.2">
      <c r="A389" s="5">
        <v>0</v>
      </c>
      <c r="B389" s="6" t="s">
        <v>2596</v>
      </c>
      <c r="C389" s="7">
        <v>3916.8</v>
      </c>
      <c r="D389" s="8" t="s">
        <v>2597</v>
      </c>
      <c r="E389" s="8" t="s">
        <v>2598</v>
      </c>
      <c r="F389" s="8" t="s">
        <v>2599</v>
      </c>
      <c r="G389" s="6" t="s">
        <v>60</v>
      </c>
      <c r="H389" s="6" t="s">
        <v>34</v>
      </c>
      <c r="I389" s="8" t="s">
        <v>253</v>
      </c>
      <c r="J389" s="9">
        <v>1</v>
      </c>
      <c r="K389" s="9">
        <v>563</v>
      </c>
      <c r="L389" s="9">
        <v>2027</v>
      </c>
      <c r="M389" s="8" t="s">
        <v>2600</v>
      </c>
      <c r="N389" s="8" t="s">
        <v>63</v>
      </c>
      <c r="O389" s="8" t="s">
        <v>64</v>
      </c>
      <c r="P389" s="6" t="s">
        <v>306</v>
      </c>
      <c r="Q389" s="8" t="s">
        <v>52</v>
      </c>
      <c r="R389" s="10" t="s">
        <v>2601</v>
      </c>
      <c r="S389" s="11"/>
      <c r="T389" s="6"/>
      <c r="U389" s="15" t="str">
        <f>HYPERLINK("https://media.infra-m.ru/2270/2270180/cover/2270180.jpg", "Обложка")</f>
        <v>Обложка</v>
      </c>
      <c r="V389" s="8" t="s">
        <v>2602</v>
      </c>
      <c r="W389" s="6"/>
      <c r="X389" s="6"/>
      <c r="Y389" s="6"/>
      <c r="Z389" s="6"/>
      <c r="AA389" s="6" t="s">
        <v>76</v>
      </c>
      <c r="AB389" s="8"/>
      <c r="AC389" s="27">
        <v>9785160160283</v>
      </c>
    </row>
    <row r="390" spans="1:29" s="4" customFormat="1" ht="42" customHeight="1" x14ac:dyDescent="0.2">
      <c r="A390" s="5">
        <v>0</v>
      </c>
      <c r="B390" s="6" t="s">
        <v>2603</v>
      </c>
      <c r="C390" s="7">
        <v>1276.8</v>
      </c>
      <c r="D390" s="8" t="s">
        <v>2604</v>
      </c>
      <c r="E390" s="8" t="s">
        <v>2605</v>
      </c>
      <c r="F390" s="8" t="s">
        <v>2606</v>
      </c>
      <c r="G390" s="6" t="s">
        <v>60</v>
      </c>
      <c r="H390" s="6" t="s">
        <v>34</v>
      </c>
      <c r="I390" s="8" t="s">
        <v>1248</v>
      </c>
      <c r="J390" s="9">
        <v>1</v>
      </c>
      <c r="K390" s="9">
        <v>184</v>
      </c>
      <c r="L390" s="9">
        <v>2027</v>
      </c>
      <c r="M390" s="8" t="s">
        <v>2607</v>
      </c>
      <c r="N390" s="8" t="s">
        <v>63</v>
      </c>
      <c r="O390" s="8" t="s">
        <v>64</v>
      </c>
      <c r="P390" s="6" t="s">
        <v>51</v>
      </c>
      <c r="Q390" s="8" t="s">
        <v>52</v>
      </c>
      <c r="R390" s="10" t="s">
        <v>2608</v>
      </c>
      <c r="S390" s="11"/>
      <c r="T390" s="6"/>
      <c r="U390" s="15" t="str">
        <f>HYPERLINK("https://media.infra-m.ru/2270/2270181/cover/2270181.jpg", "Обложка")</f>
        <v>Обложка</v>
      </c>
      <c r="V390" s="8" t="s">
        <v>1083</v>
      </c>
      <c r="W390" s="6"/>
      <c r="X390" s="6"/>
      <c r="Y390" s="6"/>
      <c r="Z390" s="6"/>
      <c r="AA390" s="6" t="s">
        <v>76</v>
      </c>
      <c r="AB390" s="8"/>
      <c r="AC390" s="27">
        <v>9785160195155</v>
      </c>
    </row>
    <row r="391" spans="1:29" s="4" customFormat="1" ht="51.9" customHeight="1" x14ac:dyDescent="0.2">
      <c r="A391" s="5">
        <v>0</v>
      </c>
      <c r="B391" s="6" t="s">
        <v>2609</v>
      </c>
      <c r="C391" s="7">
        <v>1108.8</v>
      </c>
      <c r="D391" s="8" t="s">
        <v>2610</v>
      </c>
      <c r="E391" s="8" t="s">
        <v>2611</v>
      </c>
      <c r="F391" s="8" t="s">
        <v>2612</v>
      </c>
      <c r="G391" s="6" t="s">
        <v>60</v>
      </c>
      <c r="H391" s="6" t="s">
        <v>34</v>
      </c>
      <c r="I391" s="8" t="s">
        <v>271</v>
      </c>
      <c r="J391" s="9">
        <v>1</v>
      </c>
      <c r="K391" s="9">
        <v>176</v>
      </c>
      <c r="L391" s="9">
        <v>2026</v>
      </c>
      <c r="M391" s="8" t="s">
        <v>2613</v>
      </c>
      <c r="N391" s="8" t="s">
        <v>63</v>
      </c>
      <c r="O391" s="8" t="s">
        <v>64</v>
      </c>
      <c r="P391" s="6" t="s">
        <v>51</v>
      </c>
      <c r="Q391" s="8" t="s">
        <v>52</v>
      </c>
      <c r="R391" s="10" t="s">
        <v>2614</v>
      </c>
      <c r="S391" s="11" t="s">
        <v>2615</v>
      </c>
      <c r="T391" s="6"/>
      <c r="U391" s="15" t="str">
        <f>HYPERLINK("https://media.infra-m.ru/2218/2218855/cover/2218855.jpg", "Обложка")</f>
        <v>Обложка</v>
      </c>
      <c r="V391" s="8" t="s">
        <v>2616</v>
      </c>
      <c r="W391" s="6"/>
      <c r="X391" s="6"/>
      <c r="Y391" s="6"/>
      <c r="Z391" s="6"/>
      <c r="AA391" s="6" t="s">
        <v>404</v>
      </c>
      <c r="AB391" s="8"/>
      <c r="AC391" s="27">
        <v>9785160141008</v>
      </c>
    </row>
    <row r="392" spans="1:29" s="4" customFormat="1" ht="51.9" customHeight="1" x14ac:dyDescent="0.2">
      <c r="A392" s="5">
        <v>0</v>
      </c>
      <c r="B392" s="6" t="s">
        <v>2617</v>
      </c>
      <c r="C392" s="7">
        <v>1552.8</v>
      </c>
      <c r="D392" s="8" t="s">
        <v>2618</v>
      </c>
      <c r="E392" s="8" t="s">
        <v>2619</v>
      </c>
      <c r="F392" s="8" t="s">
        <v>2620</v>
      </c>
      <c r="G392" s="6" t="s">
        <v>118</v>
      </c>
      <c r="H392" s="6" t="s">
        <v>34</v>
      </c>
      <c r="I392" s="8" t="s">
        <v>271</v>
      </c>
      <c r="J392" s="9">
        <v>1</v>
      </c>
      <c r="K392" s="9">
        <v>223</v>
      </c>
      <c r="L392" s="9">
        <v>2026</v>
      </c>
      <c r="M392" s="8" t="s">
        <v>2621</v>
      </c>
      <c r="N392" s="8" t="s">
        <v>63</v>
      </c>
      <c r="O392" s="8" t="s">
        <v>64</v>
      </c>
      <c r="P392" s="6" t="s">
        <v>51</v>
      </c>
      <c r="Q392" s="8" t="s">
        <v>52</v>
      </c>
      <c r="R392" s="10" t="s">
        <v>690</v>
      </c>
      <c r="S392" s="11" t="s">
        <v>2622</v>
      </c>
      <c r="T392" s="6"/>
      <c r="U392" s="15" t="str">
        <f>HYPERLINK("https://media.infra-m.ru/2246/2246843/cover/2246843.jpg", "Обложка")</f>
        <v>Обложка</v>
      </c>
      <c r="V392" s="8" t="s">
        <v>2623</v>
      </c>
      <c r="W392" s="6"/>
      <c r="X392" s="6"/>
      <c r="Y392" s="6"/>
      <c r="Z392" s="6"/>
      <c r="AA392" s="6" t="s">
        <v>43</v>
      </c>
      <c r="AB392" s="8"/>
      <c r="AC392" s="27">
        <v>9785160050652</v>
      </c>
    </row>
    <row r="393" spans="1:29" s="4" customFormat="1" ht="51.9" customHeight="1" x14ac:dyDescent="0.2">
      <c r="A393" s="5">
        <v>0</v>
      </c>
      <c r="B393" s="6" t="s">
        <v>2624</v>
      </c>
      <c r="C393" s="7">
        <v>1552.8</v>
      </c>
      <c r="D393" s="8" t="s">
        <v>2625</v>
      </c>
      <c r="E393" s="8" t="s">
        <v>2619</v>
      </c>
      <c r="F393" s="8" t="s">
        <v>2620</v>
      </c>
      <c r="G393" s="6" t="s">
        <v>118</v>
      </c>
      <c r="H393" s="6" t="s">
        <v>34</v>
      </c>
      <c r="I393" s="8" t="s">
        <v>263</v>
      </c>
      <c r="J393" s="9">
        <v>1</v>
      </c>
      <c r="K393" s="9">
        <v>223</v>
      </c>
      <c r="L393" s="9">
        <v>2027</v>
      </c>
      <c r="M393" s="8" t="s">
        <v>2626</v>
      </c>
      <c r="N393" s="8" t="s">
        <v>63</v>
      </c>
      <c r="O393" s="8" t="s">
        <v>64</v>
      </c>
      <c r="P393" s="6" t="s">
        <v>51</v>
      </c>
      <c r="Q393" s="8" t="s">
        <v>265</v>
      </c>
      <c r="R393" s="10" t="s">
        <v>2627</v>
      </c>
      <c r="S393" s="11" t="s">
        <v>2628</v>
      </c>
      <c r="T393" s="6"/>
      <c r="U393" s="15" t="str">
        <f>HYPERLINK("https://media.infra-m.ru/2263/2263100/cover/2263100.jpg", "Обложка")</f>
        <v>Обложка</v>
      </c>
      <c r="V393" s="8" t="s">
        <v>2623</v>
      </c>
      <c r="W393" s="6"/>
      <c r="X393" s="6" t="s">
        <v>24</v>
      </c>
      <c r="Y393" s="6"/>
      <c r="Z393" s="6" t="s">
        <v>267</v>
      </c>
      <c r="AA393" s="6" t="s">
        <v>115</v>
      </c>
      <c r="AB393" s="8"/>
      <c r="AC393" s="27">
        <v>9785160141497</v>
      </c>
    </row>
    <row r="394" spans="1:29" s="4" customFormat="1" ht="51.9" customHeight="1" x14ac:dyDescent="0.2">
      <c r="A394" s="5">
        <v>0</v>
      </c>
      <c r="B394" s="6" t="s">
        <v>2629</v>
      </c>
      <c r="C394" s="7">
        <v>3516</v>
      </c>
      <c r="D394" s="8" t="s">
        <v>2630</v>
      </c>
      <c r="E394" s="8" t="s">
        <v>2631</v>
      </c>
      <c r="F394" s="8" t="s">
        <v>450</v>
      </c>
      <c r="G394" s="6" t="s">
        <v>60</v>
      </c>
      <c r="H394" s="6" t="s">
        <v>34</v>
      </c>
      <c r="I394" s="8" t="s">
        <v>2579</v>
      </c>
      <c r="J394" s="9">
        <v>1</v>
      </c>
      <c r="K394" s="9">
        <v>523</v>
      </c>
      <c r="L394" s="9">
        <v>2026</v>
      </c>
      <c r="M394" s="8" t="s">
        <v>2632</v>
      </c>
      <c r="N394" s="8" t="s">
        <v>63</v>
      </c>
      <c r="O394" s="8" t="s">
        <v>64</v>
      </c>
      <c r="P394" s="6" t="s">
        <v>306</v>
      </c>
      <c r="Q394" s="8" t="s">
        <v>65</v>
      </c>
      <c r="R394" s="10" t="s">
        <v>2633</v>
      </c>
      <c r="S394" s="11"/>
      <c r="T394" s="6"/>
      <c r="U394" s="15" t="str">
        <f>HYPERLINK("https://media.infra-m.ru/2230/2230805/cover/2230805.jpg", "Обложка")</f>
        <v>Обложка</v>
      </c>
      <c r="V394" s="8" t="s">
        <v>247</v>
      </c>
      <c r="W394" s="6" t="s">
        <v>351</v>
      </c>
      <c r="X394" s="6"/>
      <c r="Y394" s="6"/>
      <c r="Z394" s="6"/>
      <c r="AA394" s="6" t="s">
        <v>187</v>
      </c>
      <c r="AB394" s="8" t="s">
        <v>2634</v>
      </c>
      <c r="AC394" s="27">
        <v>9785160215600</v>
      </c>
    </row>
    <row r="395" spans="1:29" s="4" customFormat="1" ht="42" customHeight="1" x14ac:dyDescent="0.2">
      <c r="A395" s="5">
        <v>0</v>
      </c>
      <c r="B395" s="6" t="s">
        <v>2635</v>
      </c>
      <c r="C395" s="7">
        <v>2044.8</v>
      </c>
      <c r="D395" s="8" t="s">
        <v>2636</v>
      </c>
      <c r="E395" s="8" t="s">
        <v>2637</v>
      </c>
      <c r="F395" s="8" t="s">
        <v>2638</v>
      </c>
      <c r="G395" s="6" t="s">
        <v>60</v>
      </c>
      <c r="H395" s="6" t="s">
        <v>34</v>
      </c>
      <c r="I395" s="8" t="s">
        <v>304</v>
      </c>
      <c r="J395" s="9">
        <v>1</v>
      </c>
      <c r="K395" s="9">
        <v>294</v>
      </c>
      <c r="L395" s="9">
        <v>2027</v>
      </c>
      <c r="M395" s="8" t="s">
        <v>2639</v>
      </c>
      <c r="N395" s="8" t="s">
        <v>63</v>
      </c>
      <c r="O395" s="8" t="s">
        <v>64</v>
      </c>
      <c r="P395" s="6" t="s">
        <v>306</v>
      </c>
      <c r="Q395" s="8" t="s">
        <v>65</v>
      </c>
      <c r="R395" s="10" t="s">
        <v>2640</v>
      </c>
      <c r="S395" s="11"/>
      <c r="T395" s="6"/>
      <c r="U395" s="15" t="str">
        <f>HYPERLINK("https://media.infra-m.ru/2263/2263498/cover/2263498.jpg", "Обложка")</f>
        <v>Обложка</v>
      </c>
      <c r="V395" s="8" t="s">
        <v>2641</v>
      </c>
      <c r="W395" s="6"/>
      <c r="X395" s="6"/>
      <c r="Y395" s="6"/>
      <c r="Z395" s="6"/>
      <c r="AA395" s="6" t="s">
        <v>68</v>
      </c>
      <c r="AB395" s="8"/>
      <c r="AC395" s="27">
        <v>9785160188805</v>
      </c>
    </row>
    <row r="396" spans="1:29" s="4" customFormat="1" ht="51.9" customHeight="1" x14ac:dyDescent="0.2">
      <c r="A396" s="5">
        <v>0</v>
      </c>
      <c r="B396" s="6" t="s">
        <v>2642</v>
      </c>
      <c r="C396" s="7">
        <v>1612.8</v>
      </c>
      <c r="D396" s="8" t="s">
        <v>2643</v>
      </c>
      <c r="E396" s="8" t="s">
        <v>2644</v>
      </c>
      <c r="F396" s="8" t="s">
        <v>2645</v>
      </c>
      <c r="G396" s="6" t="s">
        <v>118</v>
      </c>
      <c r="H396" s="6" t="s">
        <v>134</v>
      </c>
      <c r="I396" s="8" t="s">
        <v>263</v>
      </c>
      <c r="J396" s="9">
        <v>1</v>
      </c>
      <c r="K396" s="9">
        <v>208</v>
      </c>
      <c r="L396" s="9">
        <v>2026</v>
      </c>
      <c r="M396" s="8" t="s">
        <v>2646</v>
      </c>
      <c r="N396" s="8" t="s">
        <v>63</v>
      </c>
      <c r="O396" s="8" t="s">
        <v>64</v>
      </c>
      <c r="P396" s="6" t="s">
        <v>306</v>
      </c>
      <c r="Q396" s="8" t="s">
        <v>265</v>
      </c>
      <c r="R396" s="10" t="s">
        <v>479</v>
      </c>
      <c r="S396" s="11" t="s">
        <v>1388</v>
      </c>
      <c r="T396" s="6"/>
      <c r="U396" s="15" t="str">
        <f>HYPERLINK("https://media.infra-m.ru/2234/2234896/cover/2234896.jpg", "Обложка")</f>
        <v>Обложка</v>
      </c>
      <c r="V396" s="8"/>
      <c r="W396" s="6"/>
      <c r="X396" s="6"/>
      <c r="Y396" s="6"/>
      <c r="Z396" s="6" t="s">
        <v>267</v>
      </c>
      <c r="AA396" s="6" t="s">
        <v>86</v>
      </c>
      <c r="AB396" s="8"/>
      <c r="AC396" s="27">
        <v>9785917689265</v>
      </c>
    </row>
    <row r="397" spans="1:29" s="4" customFormat="1" ht="44.1" customHeight="1" x14ac:dyDescent="0.2">
      <c r="A397" s="5">
        <v>0</v>
      </c>
      <c r="B397" s="6" t="s">
        <v>2647</v>
      </c>
      <c r="C397" s="7">
        <v>2880</v>
      </c>
      <c r="D397" s="8" t="s">
        <v>2648</v>
      </c>
      <c r="E397" s="8" t="s">
        <v>2649</v>
      </c>
      <c r="F397" s="8" t="s">
        <v>450</v>
      </c>
      <c r="G397" s="6" t="s">
        <v>60</v>
      </c>
      <c r="H397" s="6" t="s">
        <v>34</v>
      </c>
      <c r="I397" s="8" t="s">
        <v>304</v>
      </c>
      <c r="J397" s="9">
        <v>1</v>
      </c>
      <c r="K397" s="9">
        <v>460</v>
      </c>
      <c r="L397" s="9">
        <v>2026</v>
      </c>
      <c r="M397" s="8" t="s">
        <v>2650</v>
      </c>
      <c r="N397" s="8" t="s">
        <v>63</v>
      </c>
      <c r="O397" s="8" t="s">
        <v>64</v>
      </c>
      <c r="P397" s="6" t="s">
        <v>306</v>
      </c>
      <c r="Q397" s="8" t="s">
        <v>52</v>
      </c>
      <c r="R397" s="10" t="s">
        <v>2651</v>
      </c>
      <c r="S397" s="11"/>
      <c r="T397" s="6"/>
      <c r="U397" s="15" t="str">
        <f>HYPERLINK("https://media.infra-m.ru/2212/2212765/cover/2212765.jpg", "Обложка")</f>
        <v>Обложка</v>
      </c>
      <c r="V397" s="8" t="s">
        <v>247</v>
      </c>
      <c r="W397" s="6"/>
      <c r="X397" s="6"/>
      <c r="Y397" s="6"/>
      <c r="Z397" s="6"/>
      <c r="AA397" s="6" t="s">
        <v>187</v>
      </c>
      <c r="AB397" s="8" t="s">
        <v>308</v>
      </c>
      <c r="AC397" s="27">
        <v>9785160210834</v>
      </c>
    </row>
    <row r="398" spans="1:29" s="4" customFormat="1" ht="51.9" customHeight="1" x14ac:dyDescent="0.2">
      <c r="A398" s="5">
        <v>0</v>
      </c>
      <c r="B398" s="6" t="s">
        <v>2652</v>
      </c>
      <c r="C398" s="7">
        <v>3040.8</v>
      </c>
      <c r="D398" s="8" t="s">
        <v>2653</v>
      </c>
      <c r="E398" s="8" t="s">
        <v>2649</v>
      </c>
      <c r="F398" s="8" t="s">
        <v>450</v>
      </c>
      <c r="G398" s="6" t="s">
        <v>60</v>
      </c>
      <c r="H398" s="6" t="s">
        <v>34</v>
      </c>
      <c r="I398" s="8" t="s">
        <v>434</v>
      </c>
      <c r="J398" s="9">
        <v>1</v>
      </c>
      <c r="K398" s="9">
        <v>460</v>
      </c>
      <c r="L398" s="9">
        <v>2026</v>
      </c>
      <c r="M398" s="8" t="s">
        <v>2654</v>
      </c>
      <c r="N398" s="8" t="s">
        <v>63</v>
      </c>
      <c r="O398" s="8" t="s">
        <v>64</v>
      </c>
      <c r="P398" s="6" t="s">
        <v>306</v>
      </c>
      <c r="Q398" s="8" t="s">
        <v>265</v>
      </c>
      <c r="R398" s="10" t="s">
        <v>2655</v>
      </c>
      <c r="S398" s="11"/>
      <c r="T398" s="6"/>
      <c r="U398" s="15" t="str">
        <f>HYPERLINK("https://media.infra-m.ru/2224/2224100/cover/2224100.jpg", "Обложка")</f>
        <v>Обложка</v>
      </c>
      <c r="V398" s="8" t="s">
        <v>247</v>
      </c>
      <c r="W398" s="6"/>
      <c r="X398" s="6"/>
      <c r="Y398" s="6"/>
      <c r="Z398" s="6"/>
      <c r="AA398" s="6" t="s">
        <v>76</v>
      </c>
      <c r="AB398" s="8"/>
      <c r="AC398" s="27">
        <v>9785160189031</v>
      </c>
    </row>
    <row r="399" spans="1:29" s="4" customFormat="1" ht="42" customHeight="1" x14ac:dyDescent="0.2">
      <c r="A399" s="5">
        <v>0</v>
      </c>
      <c r="B399" s="6" t="s">
        <v>2656</v>
      </c>
      <c r="C399" s="7">
        <v>2916</v>
      </c>
      <c r="D399" s="8" t="s">
        <v>2657</v>
      </c>
      <c r="E399" s="8" t="s">
        <v>2658</v>
      </c>
      <c r="F399" s="8" t="s">
        <v>450</v>
      </c>
      <c r="G399" s="6" t="s">
        <v>60</v>
      </c>
      <c r="H399" s="6" t="s">
        <v>34</v>
      </c>
      <c r="I399" s="8" t="s">
        <v>2579</v>
      </c>
      <c r="J399" s="9">
        <v>1</v>
      </c>
      <c r="K399" s="9">
        <v>409</v>
      </c>
      <c r="L399" s="9">
        <v>2027</v>
      </c>
      <c r="M399" s="8" t="s">
        <v>2659</v>
      </c>
      <c r="N399" s="8" t="s">
        <v>63</v>
      </c>
      <c r="O399" s="8" t="s">
        <v>64</v>
      </c>
      <c r="P399" s="6" t="s">
        <v>306</v>
      </c>
      <c r="Q399" s="8" t="s">
        <v>65</v>
      </c>
      <c r="R399" s="10" t="s">
        <v>2660</v>
      </c>
      <c r="S399" s="11"/>
      <c r="T399" s="6"/>
      <c r="U399" s="15" t="str">
        <f>HYPERLINK("https://media.infra-m.ru/2237/2237299/cover/2237299.jpg", "Обложка")</f>
        <v>Обложка</v>
      </c>
      <c r="V399" s="8" t="s">
        <v>247</v>
      </c>
      <c r="W399" s="6" t="s">
        <v>649</v>
      </c>
      <c r="X399" s="6"/>
      <c r="Y399" s="6"/>
      <c r="Z399" s="6"/>
      <c r="AA399" s="6" t="s">
        <v>420</v>
      </c>
      <c r="AB399" s="8"/>
      <c r="AC399" s="27">
        <v>9785160217635</v>
      </c>
    </row>
    <row r="400" spans="1:29" s="4" customFormat="1" ht="51.9" customHeight="1" x14ac:dyDescent="0.2">
      <c r="A400" s="5">
        <v>0</v>
      </c>
      <c r="B400" s="6" t="s">
        <v>2661</v>
      </c>
      <c r="C400" s="7">
        <v>2148</v>
      </c>
      <c r="D400" s="8" t="s">
        <v>2662</v>
      </c>
      <c r="E400" s="8" t="s">
        <v>2663</v>
      </c>
      <c r="F400" s="8" t="s">
        <v>450</v>
      </c>
      <c r="G400" s="6" t="s">
        <v>60</v>
      </c>
      <c r="H400" s="6" t="s">
        <v>34</v>
      </c>
      <c r="I400" s="8" t="s">
        <v>304</v>
      </c>
      <c r="J400" s="9">
        <v>1</v>
      </c>
      <c r="K400" s="9">
        <v>338</v>
      </c>
      <c r="L400" s="9">
        <v>2026</v>
      </c>
      <c r="M400" s="8" t="s">
        <v>2664</v>
      </c>
      <c r="N400" s="8" t="s">
        <v>63</v>
      </c>
      <c r="O400" s="8" t="s">
        <v>64</v>
      </c>
      <c r="P400" s="6" t="s">
        <v>306</v>
      </c>
      <c r="Q400" s="8" t="s">
        <v>65</v>
      </c>
      <c r="R400" s="10" t="s">
        <v>2665</v>
      </c>
      <c r="S400" s="11"/>
      <c r="T400" s="6"/>
      <c r="U400" s="15" t="str">
        <f>HYPERLINK("https://media.infra-m.ru/2198/2198208/cover/2198208.jpg", "Обложка")</f>
        <v>Обложка</v>
      </c>
      <c r="V400" s="8" t="s">
        <v>247</v>
      </c>
      <c r="W400" s="6"/>
      <c r="X400" s="6"/>
      <c r="Y400" s="6"/>
      <c r="Z400" s="6"/>
      <c r="AA400" s="6" t="s">
        <v>187</v>
      </c>
      <c r="AB400" s="8" t="s">
        <v>308</v>
      </c>
      <c r="AC400" s="27">
        <v>9785160208299</v>
      </c>
    </row>
    <row r="401" spans="1:29" s="4" customFormat="1" ht="51.9" customHeight="1" x14ac:dyDescent="0.2">
      <c r="A401" s="5">
        <v>0</v>
      </c>
      <c r="B401" s="6" t="s">
        <v>2666</v>
      </c>
      <c r="C401" s="7">
        <v>1346.4</v>
      </c>
      <c r="D401" s="8" t="s">
        <v>2667</v>
      </c>
      <c r="E401" s="8" t="s">
        <v>2668</v>
      </c>
      <c r="F401" s="8" t="s">
        <v>355</v>
      </c>
      <c r="G401" s="6" t="s">
        <v>33</v>
      </c>
      <c r="H401" s="6" t="s">
        <v>34</v>
      </c>
      <c r="I401" s="8" t="s">
        <v>253</v>
      </c>
      <c r="J401" s="9">
        <v>1</v>
      </c>
      <c r="K401" s="9">
        <v>160</v>
      </c>
      <c r="L401" s="9">
        <v>2026</v>
      </c>
      <c r="M401" s="8" t="s">
        <v>2669</v>
      </c>
      <c r="N401" s="8" t="s">
        <v>63</v>
      </c>
      <c r="O401" s="8" t="s">
        <v>64</v>
      </c>
      <c r="P401" s="6" t="s">
        <v>51</v>
      </c>
      <c r="Q401" s="8" t="s">
        <v>52</v>
      </c>
      <c r="R401" s="10" t="s">
        <v>2670</v>
      </c>
      <c r="S401" s="11"/>
      <c r="T401" s="6"/>
      <c r="U401" s="15" t="str">
        <f>HYPERLINK("https://media.infra-m.ru/2213/2213045/cover/2213045.jpg", "Обложка")</f>
        <v>Обложка</v>
      </c>
      <c r="V401" s="8" t="s">
        <v>359</v>
      </c>
      <c r="W401" s="6"/>
      <c r="X401" s="6"/>
      <c r="Y401" s="6"/>
      <c r="Z401" s="6"/>
      <c r="AA401" s="6" t="s">
        <v>129</v>
      </c>
      <c r="AB401" s="8"/>
      <c r="AC401" s="27">
        <v>9785160210889</v>
      </c>
    </row>
    <row r="402" spans="1:29" s="4" customFormat="1" ht="51.9" customHeight="1" x14ac:dyDescent="0.2">
      <c r="A402" s="5">
        <v>0</v>
      </c>
      <c r="B402" s="6" t="s">
        <v>2671</v>
      </c>
      <c r="C402" s="7">
        <v>3144</v>
      </c>
      <c r="D402" s="8" t="s">
        <v>2672</v>
      </c>
      <c r="E402" s="8" t="s">
        <v>2673</v>
      </c>
      <c r="F402" s="8" t="s">
        <v>450</v>
      </c>
      <c r="G402" s="6" t="s">
        <v>60</v>
      </c>
      <c r="H402" s="6" t="s">
        <v>34</v>
      </c>
      <c r="I402" s="8" t="s">
        <v>304</v>
      </c>
      <c r="J402" s="9">
        <v>1</v>
      </c>
      <c r="K402" s="9">
        <v>503</v>
      </c>
      <c r="L402" s="9">
        <v>2026</v>
      </c>
      <c r="M402" s="8" t="s">
        <v>2674</v>
      </c>
      <c r="N402" s="8" t="s">
        <v>63</v>
      </c>
      <c r="O402" s="8" t="s">
        <v>64</v>
      </c>
      <c r="P402" s="6" t="s">
        <v>306</v>
      </c>
      <c r="Q402" s="8" t="s">
        <v>52</v>
      </c>
      <c r="R402" s="10" t="s">
        <v>2675</v>
      </c>
      <c r="S402" s="11"/>
      <c r="T402" s="6" t="s">
        <v>97</v>
      </c>
      <c r="U402" s="15" t="str">
        <f>HYPERLINK("https://media.infra-m.ru/2212/2212254/cover/2212254.jpg", "Обложка")</f>
        <v>Обложка</v>
      </c>
      <c r="V402" s="8" t="s">
        <v>247</v>
      </c>
      <c r="W402" s="6"/>
      <c r="X402" s="6"/>
      <c r="Y402" s="6"/>
      <c r="Z402" s="6"/>
      <c r="AA402" s="6" t="s">
        <v>187</v>
      </c>
      <c r="AB402" s="8"/>
      <c r="AC402" s="27">
        <v>9785160210667</v>
      </c>
    </row>
    <row r="403" spans="1:29" s="4" customFormat="1" ht="51.9" customHeight="1" x14ac:dyDescent="0.2">
      <c r="A403" s="5">
        <v>0</v>
      </c>
      <c r="B403" s="6" t="s">
        <v>2676</v>
      </c>
      <c r="C403" s="7">
        <v>1224</v>
      </c>
      <c r="D403" s="8" t="s">
        <v>2677</v>
      </c>
      <c r="E403" s="8" t="s">
        <v>2678</v>
      </c>
      <c r="F403" s="8" t="s">
        <v>2679</v>
      </c>
      <c r="G403" s="6" t="s">
        <v>118</v>
      </c>
      <c r="H403" s="6" t="s">
        <v>34</v>
      </c>
      <c r="I403" s="8" t="s">
        <v>263</v>
      </c>
      <c r="J403" s="9">
        <v>1</v>
      </c>
      <c r="K403" s="9">
        <v>190</v>
      </c>
      <c r="L403" s="9">
        <v>2026</v>
      </c>
      <c r="M403" s="8" t="s">
        <v>2680</v>
      </c>
      <c r="N403" s="8" t="s">
        <v>63</v>
      </c>
      <c r="O403" s="8" t="s">
        <v>64</v>
      </c>
      <c r="P403" s="6" t="s">
        <v>51</v>
      </c>
      <c r="Q403" s="8" t="s">
        <v>265</v>
      </c>
      <c r="R403" s="10" t="s">
        <v>2681</v>
      </c>
      <c r="S403" s="11" t="s">
        <v>2682</v>
      </c>
      <c r="T403" s="6"/>
      <c r="U403" s="15" t="str">
        <f>HYPERLINK("https://media.infra-m.ru/2220/2220968/cover/2220968.jpg", "Обложка")</f>
        <v>Обложка</v>
      </c>
      <c r="V403" s="8" t="s">
        <v>2683</v>
      </c>
      <c r="W403" s="6"/>
      <c r="X403" s="6" t="s">
        <v>24</v>
      </c>
      <c r="Y403" s="6"/>
      <c r="Z403" s="6"/>
      <c r="AA403" s="6" t="s">
        <v>404</v>
      </c>
      <c r="AB403" s="8"/>
      <c r="AC403" s="27">
        <v>9785160136486</v>
      </c>
    </row>
    <row r="404" spans="1:29" s="4" customFormat="1" ht="51.9" customHeight="1" x14ac:dyDescent="0.2">
      <c r="A404" s="5">
        <v>0</v>
      </c>
      <c r="B404" s="6" t="s">
        <v>2684</v>
      </c>
      <c r="C404" s="7">
        <v>1744.8</v>
      </c>
      <c r="D404" s="8" t="s">
        <v>2685</v>
      </c>
      <c r="E404" s="8" t="s">
        <v>2686</v>
      </c>
      <c r="F404" s="8" t="s">
        <v>2687</v>
      </c>
      <c r="G404" s="6" t="s">
        <v>60</v>
      </c>
      <c r="H404" s="6" t="s">
        <v>34</v>
      </c>
      <c r="I404" s="8" t="s">
        <v>263</v>
      </c>
      <c r="J404" s="9">
        <v>1</v>
      </c>
      <c r="K404" s="9">
        <v>266</v>
      </c>
      <c r="L404" s="9">
        <v>2026</v>
      </c>
      <c r="M404" s="8" t="s">
        <v>2688</v>
      </c>
      <c r="N404" s="8" t="s">
        <v>63</v>
      </c>
      <c r="O404" s="8" t="s">
        <v>64</v>
      </c>
      <c r="P404" s="6" t="s">
        <v>306</v>
      </c>
      <c r="Q404" s="8" t="s">
        <v>265</v>
      </c>
      <c r="R404" s="10" t="s">
        <v>2689</v>
      </c>
      <c r="S404" s="11" t="s">
        <v>2690</v>
      </c>
      <c r="T404" s="6"/>
      <c r="U404" s="15" t="str">
        <f>HYPERLINK("https://media.infra-m.ru/2232/2232014/cover/2232014.jpg", "Обложка")</f>
        <v>Обложка</v>
      </c>
      <c r="V404" s="8" t="s">
        <v>801</v>
      </c>
      <c r="W404" s="6"/>
      <c r="X404" s="6"/>
      <c r="Y404" s="6"/>
      <c r="Z404" s="6"/>
      <c r="AA404" s="6" t="s">
        <v>157</v>
      </c>
      <c r="AB404" s="8" t="s">
        <v>2691</v>
      </c>
      <c r="AC404" s="27">
        <v>9785160183978</v>
      </c>
    </row>
    <row r="405" spans="1:29" s="4" customFormat="1" ht="51.9" customHeight="1" x14ac:dyDescent="0.2">
      <c r="A405" s="5">
        <v>0</v>
      </c>
      <c r="B405" s="6" t="s">
        <v>2692</v>
      </c>
      <c r="C405" s="7">
        <v>5160</v>
      </c>
      <c r="D405" s="8" t="s">
        <v>2693</v>
      </c>
      <c r="E405" s="8" t="s">
        <v>2694</v>
      </c>
      <c r="F405" s="8" t="s">
        <v>450</v>
      </c>
      <c r="G405" s="6" t="s">
        <v>60</v>
      </c>
      <c r="H405" s="6" t="s">
        <v>34</v>
      </c>
      <c r="I405" s="8" t="s">
        <v>434</v>
      </c>
      <c r="J405" s="9">
        <v>1</v>
      </c>
      <c r="K405" s="9">
        <v>782</v>
      </c>
      <c r="L405" s="9">
        <v>2026</v>
      </c>
      <c r="M405" s="8" t="s">
        <v>2695</v>
      </c>
      <c r="N405" s="8" t="s">
        <v>63</v>
      </c>
      <c r="O405" s="8" t="s">
        <v>64</v>
      </c>
      <c r="P405" s="6" t="s">
        <v>306</v>
      </c>
      <c r="Q405" s="8" t="s">
        <v>265</v>
      </c>
      <c r="R405" s="10" t="s">
        <v>2696</v>
      </c>
      <c r="S405" s="11"/>
      <c r="T405" s="6"/>
      <c r="U405" s="15" t="str">
        <f>HYPERLINK("https://media.infra-m.ru/2244/2244707/cover/2244707.jpg", "Обложка")</f>
        <v>Обложка</v>
      </c>
      <c r="V405" s="8" t="s">
        <v>247</v>
      </c>
      <c r="W405" s="6"/>
      <c r="X405" s="6"/>
      <c r="Y405" s="6"/>
      <c r="Z405" s="6"/>
      <c r="AA405" s="6" t="s">
        <v>76</v>
      </c>
      <c r="AB405" s="8" t="s">
        <v>2697</v>
      </c>
      <c r="AC405" s="27">
        <v>9785160179001</v>
      </c>
    </row>
    <row r="406" spans="1:29" s="4" customFormat="1" ht="51.9" customHeight="1" x14ac:dyDescent="0.2">
      <c r="A406" s="5">
        <v>0</v>
      </c>
      <c r="B406" s="6" t="s">
        <v>2698</v>
      </c>
      <c r="C406" s="7">
        <v>4884</v>
      </c>
      <c r="D406" s="8" t="s">
        <v>2699</v>
      </c>
      <c r="E406" s="8" t="s">
        <v>2694</v>
      </c>
      <c r="F406" s="8" t="s">
        <v>450</v>
      </c>
      <c r="G406" s="6" t="s">
        <v>60</v>
      </c>
      <c r="H406" s="6" t="s">
        <v>34</v>
      </c>
      <c r="I406" s="8" t="s">
        <v>304</v>
      </c>
      <c r="J406" s="9">
        <v>1</v>
      </c>
      <c r="K406" s="9">
        <v>782</v>
      </c>
      <c r="L406" s="9">
        <v>2026</v>
      </c>
      <c r="M406" s="8" t="s">
        <v>2700</v>
      </c>
      <c r="N406" s="8" t="s">
        <v>63</v>
      </c>
      <c r="O406" s="8" t="s">
        <v>64</v>
      </c>
      <c r="P406" s="6" t="s">
        <v>306</v>
      </c>
      <c r="Q406" s="8" t="s">
        <v>52</v>
      </c>
      <c r="R406" s="10" t="s">
        <v>2701</v>
      </c>
      <c r="S406" s="11"/>
      <c r="T406" s="6"/>
      <c r="U406" s="15" t="str">
        <f>HYPERLINK("https://media.infra-m.ru/2212/2212256/cover/2212256.jpg", "Обложка")</f>
        <v>Обложка</v>
      </c>
      <c r="V406" s="8" t="s">
        <v>247</v>
      </c>
      <c r="W406" s="6"/>
      <c r="X406" s="6"/>
      <c r="Y406" s="6"/>
      <c r="Z406" s="6"/>
      <c r="AA406" s="6" t="s">
        <v>187</v>
      </c>
      <c r="AB406" s="8" t="s">
        <v>308</v>
      </c>
      <c r="AC406" s="27">
        <v>9785160210674</v>
      </c>
    </row>
    <row r="407" spans="1:29" s="4" customFormat="1" ht="51.9" customHeight="1" x14ac:dyDescent="0.2">
      <c r="A407" s="5">
        <v>0</v>
      </c>
      <c r="B407" s="6" t="s">
        <v>2702</v>
      </c>
      <c r="C407" s="7">
        <v>2388</v>
      </c>
      <c r="D407" s="8" t="s">
        <v>2703</v>
      </c>
      <c r="E407" s="8" t="s">
        <v>2704</v>
      </c>
      <c r="F407" s="8" t="s">
        <v>450</v>
      </c>
      <c r="G407" s="6" t="s">
        <v>60</v>
      </c>
      <c r="H407" s="6" t="s">
        <v>34</v>
      </c>
      <c r="I407" s="8" t="s">
        <v>2579</v>
      </c>
      <c r="J407" s="9">
        <v>1</v>
      </c>
      <c r="K407" s="9">
        <v>348</v>
      </c>
      <c r="L407" s="9">
        <v>2026</v>
      </c>
      <c r="M407" s="8" t="s">
        <v>2705</v>
      </c>
      <c r="N407" s="8" t="s">
        <v>63</v>
      </c>
      <c r="O407" s="8" t="s">
        <v>64</v>
      </c>
      <c r="P407" s="6" t="s">
        <v>306</v>
      </c>
      <c r="Q407" s="8" t="s">
        <v>65</v>
      </c>
      <c r="R407" s="10" t="s">
        <v>2706</v>
      </c>
      <c r="S407" s="11"/>
      <c r="T407" s="6"/>
      <c r="U407" s="15" t="str">
        <f>HYPERLINK("https://media.infra-m.ru/2221/2221301/cover/2221301.jpg", "Обложка")</f>
        <v>Обложка</v>
      </c>
      <c r="V407" s="8" t="s">
        <v>247</v>
      </c>
      <c r="W407" s="6" t="s">
        <v>186</v>
      </c>
      <c r="X407" s="6"/>
      <c r="Y407" s="6"/>
      <c r="Z407" s="6"/>
      <c r="AA407" s="6" t="s">
        <v>187</v>
      </c>
      <c r="AB407" s="8" t="s">
        <v>308</v>
      </c>
      <c r="AC407" s="27">
        <v>9785160213033</v>
      </c>
    </row>
    <row r="408" spans="1:29" s="4" customFormat="1" ht="51.9" customHeight="1" x14ac:dyDescent="0.2">
      <c r="A408" s="5">
        <v>0</v>
      </c>
      <c r="B408" s="6" t="s">
        <v>2707</v>
      </c>
      <c r="C408" s="7">
        <v>1574.4</v>
      </c>
      <c r="D408" s="8" t="s">
        <v>2708</v>
      </c>
      <c r="E408" s="8" t="s">
        <v>2709</v>
      </c>
      <c r="F408" s="8" t="s">
        <v>2612</v>
      </c>
      <c r="G408" s="6" t="s">
        <v>33</v>
      </c>
      <c r="H408" s="6" t="s">
        <v>48</v>
      </c>
      <c r="I408" s="8" t="s">
        <v>271</v>
      </c>
      <c r="J408" s="9">
        <v>1</v>
      </c>
      <c r="K408" s="9">
        <v>192</v>
      </c>
      <c r="L408" s="9">
        <v>2026</v>
      </c>
      <c r="M408" s="8" t="s">
        <v>2710</v>
      </c>
      <c r="N408" s="8" t="s">
        <v>63</v>
      </c>
      <c r="O408" s="8" t="s">
        <v>64</v>
      </c>
      <c r="P408" s="6" t="s">
        <v>306</v>
      </c>
      <c r="Q408" s="8" t="s">
        <v>52</v>
      </c>
      <c r="R408" s="10" t="s">
        <v>2711</v>
      </c>
      <c r="S408" s="11" t="s">
        <v>2712</v>
      </c>
      <c r="T408" s="6"/>
      <c r="U408" s="15" t="str">
        <f>HYPERLINK("https://media.infra-m.ru/2220/2220973/cover/2220973.jpg", "Обложка")</f>
        <v>Обложка</v>
      </c>
      <c r="V408" s="8" t="s">
        <v>2616</v>
      </c>
      <c r="W408" s="6"/>
      <c r="X408" s="6"/>
      <c r="Y408" s="6"/>
      <c r="Z408" s="6"/>
      <c r="AA408" s="6" t="s">
        <v>360</v>
      </c>
      <c r="AB408" s="8"/>
      <c r="AC408" s="27">
        <v>9785000915295</v>
      </c>
    </row>
    <row r="409" spans="1:29" s="4" customFormat="1" ht="51.9" customHeight="1" x14ac:dyDescent="0.2">
      <c r="A409" s="5">
        <v>0</v>
      </c>
      <c r="B409" s="6" t="s">
        <v>2713</v>
      </c>
      <c r="C409" s="7">
        <v>5428.8</v>
      </c>
      <c r="D409" s="8" t="s">
        <v>2714</v>
      </c>
      <c r="E409" s="8" t="s">
        <v>2715</v>
      </c>
      <c r="F409" s="8" t="s">
        <v>2716</v>
      </c>
      <c r="G409" s="6" t="s">
        <v>60</v>
      </c>
      <c r="H409" s="6" t="s">
        <v>34</v>
      </c>
      <c r="I409" s="8" t="s">
        <v>2579</v>
      </c>
      <c r="J409" s="9">
        <v>1</v>
      </c>
      <c r="K409" s="9">
        <v>514</v>
      </c>
      <c r="L409" s="9">
        <v>2027</v>
      </c>
      <c r="M409" s="8" t="s">
        <v>2717</v>
      </c>
      <c r="N409" s="8" t="s">
        <v>63</v>
      </c>
      <c r="O409" s="8" t="s">
        <v>64</v>
      </c>
      <c r="P409" s="6" t="s">
        <v>51</v>
      </c>
      <c r="Q409" s="8" t="s">
        <v>265</v>
      </c>
      <c r="R409" s="10" t="s">
        <v>2718</v>
      </c>
      <c r="S409" s="11"/>
      <c r="T409" s="6"/>
      <c r="U409" s="15" t="str">
        <f>HYPERLINK("https://media.infra-m.ru/2269/2269513/cover/2269513.jpg", "Обложка")</f>
        <v>Обложка</v>
      </c>
      <c r="V409" s="8" t="s">
        <v>2719</v>
      </c>
      <c r="W409" s="6"/>
      <c r="X409" s="6"/>
      <c r="Y409" s="6"/>
      <c r="Z409" s="6"/>
      <c r="AA409" s="6" t="s">
        <v>187</v>
      </c>
      <c r="AB409" s="8" t="s">
        <v>2720</v>
      </c>
      <c r="AC409" s="27">
        <v>9785160210261</v>
      </c>
    </row>
    <row r="410" spans="1:29" s="4" customFormat="1" ht="42" customHeight="1" x14ac:dyDescent="0.2">
      <c r="A410" s="5">
        <v>0</v>
      </c>
      <c r="B410" s="6" t="s">
        <v>2721</v>
      </c>
      <c r="C410" s="7">
        <v>2484</v>
      </c>
      <c r="D410" s="8" t="s">
        <v>2722</v>
      </c>
      <c r="E410" s="8" t="s">
        <v>2723</v>
      </c>
      <c r="F410" s="8" t="s">
        <v>450</v>
      </c>
      <c r="G410" s="6" t="s">
        <v>60</v>
      </c>
      <c r="H410" s="6" t="s">
        <v>34</v>
      </c>
      <c r="I410" s="8" t="s">
        <v>434</v>
      </c>
      <c r="J410" s="9">
        <v>1</v>
      </c>
      <c r="K410" s="9">
        <v>395</v>
      </c>
      <c r="L410" s="9">
        <v>2025</v>
      </c>
      <c r="M410" s="8" t="s">
        <v>2724</v>
      </c>
      <c r="N410" s="8" t="s">
        <v>63</v>
      </c>
      <c r="O410" s="8" t="s">
        <v>64</v>
      </c>
      <c r="P410" s="6" t="s">
        <v>306</v>
      </c>
      <c r="Q410" s="8" t="s">
        <v>265</v>
      </c>
      <c r="R410" s="10" t="s">
        <v>2725</v>
      </c>
      <c r="S410" s="11"/>
      <c r="T410" s="6"/>
      <c r="U410" s="15" t="str">
        <f>HYPERLINK("https://media.infra-m.ru/2165/2165400/cover/2165400.jpg", "Обложка")</f>
        <v>Обложка</v>
      </c>
      <c r="V410" s="8" t="s">
        <v>247</v>
      </c>
      <c r="W410" s="6"/>
      <c r="X410" s="6"/>
      <c r="Y410" s="6"/>
      <c r="Z410" s="6"/>
      <c r="AA410" s="6" t="s">
        <v>68</v>
      </c>
      <c r="AB410" s="8" t="s">
        <v>437</v>
      </c>
      <c r="AC410" s="27">
        <v>9785160202518</v>
      </c>
    </row>
    <row r="411" spans="1:29" s="4" customFormat="1" ht="51.9" customHeight="1" x14ac:dyDescent="0.2">
      <c r="A411" s="5">
        <v>0</v>
      </c>
      <c r="B411" s="6" t="s">
        <v>2726</v>
      </c>
      <c r="C411" s="7">
        <v>2472</v>
      </c>
      <c r="D411" s="8" t="s">
        <v>2727</v>
      </c>
      <c r="E411" s="8" t="s">
        <v>2728</v>
      </c>
      <c r="F411" s="8" t="s">
        <v>450</v>
      </c>
      <c r="G411" s="6" t="s">
        <v>60</v>
      </c>
      <c r="H411" s="6" t="s">
        <v>34</v>
      </c>
      <c r="I411" s="8" t="s">
        <v>304</v>
      </c>
      <c r="J411" s="9">
        <v>1</v>
      </c>
      <c r="K411" s="9">
        <v>395</v>
      </c>
      <c r="L411" s="9">
        <v>2026</v>
      </c>
      <c r="M411" s="8" t="s">
        <v>2729</v>
      </c>
      <c r="N411" s="8" t="s">
        <v>63</v>
      </c>
      <c r="O411" s="8" t="s">
        <v>64</v>
      </c>
      <c r="P411" s="6" t="s">
        <v>306</v>
      </c>
      <c r="Q411" s="8" t="s">
        <v>52</v>
      </c>
      <c r="R411" s="10" t="s">
        <v>2730</v>
      </c>
      <c r="S411" s="11"/>
      <c r="T411" s="6"/>
      <c r="U411" s="15" t="str">
        <f>HYPERLINK("https://media.infra-m.ru/2212/2212769/cover/2212769.jpg", "Обложка")</f>
        <v>Обложка</v>
      </c>
      <c r="V411" s="8" t="s">
        <v>247</v>
      </c>
      <c r="W411" s="6"/>
      <c r="X411" s="6"/>
      <c r="Y411" s="6"/>
      <c r="Z411" s="6"/>
      <c r="AA411" s="6" t="s">
        <v>187</v>
      </c>
      <c r="AB411" s="8" t="s">
        <v>308</v>
      </c>
      <c r="AC411" s="27">
        <v>9785160210858</v>
      </c>
    </row>
    <row r="412" spans="1:29" s="4" customFormat="1" ht="51.9" customHeight="1" x14ac:dyDescent="0.2">
      <c r="A412" s="5">
        <v>0</v>
      </c>
      <c r="B412" s="6" t="s">
        <v>2731</v>
      </c>
      <c r="C412" s="7">
        <v>2544</v>
      </c>
      <c r="D412" s="8" t="s">
        <v>2732</v>
      </c>
      <c r="E412" s="8" t="s">
        <v>2733</v>
      </c>
      <c r="F412" s="8" t="s">
        <v>450</v>
      </c>
      <c r="G412" s="6" t="s">
        <v>60</v>
      </c>
      <c r="H412" s="6" t="s">
        <v>34</v>
      </c>
      <c r="I412" s="8" t="s">
        <v>434</v>
      </c>
      <c r="J412" s="9">
        <v>1</v>
      </c>
      <c r="K412" s="9">
        <v>399</v>
      </c>
      <c r="L412" s="9">
        <v>2025</v>
      </c>
      <c r="M412" s="8" t="s">
        <v>2734</v>
      </c>
      <c r="N412" s="8" t="s">
        <v>63</v>
      </c>
      <c r="O412" s="8" t="s">
        <v>64</v>
      </c>
      <c r="P412" s="6" t="s">
        <v>306</v>
      </c>
      <c r="Q412" s="8" t="s">
        <v>265</v>
      </c>
      <c r="R412" s="10" t="s">
        <v>2735</v>
      </c>
      <c r="S412" s="11"/>
      <c r="T412" s="6"/>
      <c r="U412" s="15" t="str">
        <f>HYPERLINK("https://media.infra-m.ru/2162/2162082/cover/2162082.jpg", "Обложка")</f>
        <v>Обложка</v>
      </c>
      <c r="V412" s="8" t="s">
        <v>247</v>
      </c>
      <c r="W412" s="6"/>
      <c r="X412" s="6"/>
      <c r="Y412" s="6"/>
      <c r="Z412" s="6"/>
      <c r="AA412" s="6" t="s">
        <v>68</v>
      </c>
      <c r="AB412" s="8" t="s">
        <v>2736</v>
      </c>
      <c r="AC412" s="27">
        <v>9785160201856</v>
      </c>
    </row>
    <row r="413" spans="1:29" s="4" customFormat="1" ht="51.9" customHeight="1" x14ac:dyDescent="0.2">
      <c r="A413" s="5">
        <v>0</v>
      </c>
      <c r="B413" s="6" t="s">
        <v>2737</v>
      </c>
      <c r="C413" s="7">
        <v>2520</v>
      </c>
      <c r="D413" s="8" t="s">
        <v>2738</v>
      </c>
      <c r="E413" s="8" t="s">
        <v>2739</v>
      </c>
      <c r="F413" s="8" t="s">
        <v>450</v>
      </c>
      <c r="G413" s="6" t="s">
        <v>60</v>
      </c>
      <c r="H413" s="6" t="s">
        <v>34</v>
      </c>
      <c r="I413" s="8" t="s">
        <v>304</v>
      </c>
      <c r="J413" s="9">
        <v>1</v>
      </c>
      <c r="K413" s="9">
        <v>403</v>
      </c>
      <c r="L413" s="9">
        <v>2026</v>
      </c>
      <c r="M413" s="8" t="s">
        <v>2740</v>
      </c>
      <c r="N413" s="8" t="s">
        <v>63</v>
      </c>
      <c r="O413" s="8" t="s">
        <v>64</v>
      </c>
      <c r="P413" s="6" t="s">
        <v>306</v>
      </c>
      <c r="Q413" s="8" t="s">
        <v>52</v>
      </c>
      <c r="R413" s="10" t="s">
        <v>2741</v>
      </c>
      <c r="S413" s="11"/>
      <c r="T413" s="6"/>
      <c r="U413" s="15" t="str">
        <f>HYPERLINK("https://media.infra-m.ru/2212/2212768/cover/2212768.jpg", "Обложка")</f>
        <v>Обложка</v>
      </c>
      <c r="V413" s="8" t="s">
        <v>247</v>
      </c>
      <c r="W413" s="6"/>
      <c r="X413" s="6"/>
      <c r="Y413" s="6"/>
      <c r="Z413" s="6"/>
      <c r="AA413" s="6" t="s">
        <v>187</v>
      </c>
      <c r="AB413" s="8" t="s">
        <v>308</v>
      </c>
      <c r="AC413" s="27">
        <v>9785160210841</v>
      </c>
    </row>
    <row r="414" spans="1:29" s="4" customFormat="1" ht="42" customHeight="1" x14ac:dyDescent="0.2">
      <c r="A414" s="5">
        <v>0</v>
      </c>
      <c r="B414" s="6" t="s">
        <v>2742</v>
      </c>
      <c r="C414" s="7">
        <v>2424</v>
      </c>
      <c r="D414" s="8" t="s">
        <v>2743</v>
      </c>
      <c r="E414" s="8" t="s">
        <v>2739</v>
      </c>
      <c r="F414" s="8" t="s">
        <v>450</v>
      </c>
      <c r="G414" s="6" t="s">
        <v>60</v>
      </c>
      <c r="H414" s="6" t="s">
        <v>34</v>
      </c>
      <c r="I414" s="8" t="s">
        <v>434</v>
      </c>
      <c r="J414" s="9">
        <v>1</v>
      </c>
      <c r="K414" s="9">
        <v>403</v>
      </c>
      <c r="L414" s="9">
        <v>2025</v>
      </c>
      <c r="M414" s="8" t="s">
        <v>2744</v>
      </c>
      <c r="N414" s="8" t="s">
        <v>63</v>
      </c>
      <c r="O414" s="8" t="s">
        <v>64</v>
      </c>
      <c r="P414" s="6" t="s">
        <v>306</v>
      </c>
      <c r="Q414" s="8" t="s">
        <v>265</v>
      </c>
      <c r="R414" s="10" t="s">
        <v>2745</v>
      </c>
      <c r="S414" s="11"/>
      <c r="T414" s="6"/>
      <c r="U414" s="15" t="str">
        <f>HYPERLINK("https://media.infra-m.ru/2160/2160990/cover/2160990.jpg", "Обложка")</f>
        <v>Обложка</v>
      </c>
      <c r="V414" s="8" t="s">
        <v>247</v>
      </c>
      <c r="W414" s="6"/>
      <c r="X414" s="6"/>
      <c r="Y414" s="6"/>
      <c r="Z414" s="6"/>
      <c r="AA414" s="6" t="s">
        <v>68</v>
      </c>
      <c r="AB414" s="8"/>
      <c r="AC414" s="27">
        <v>9785160201375</v>
      </c>
    </row>
    <row r="415" spans="1:29" s="4" customFormat="1" ht="42" customHeight="1" x14ac:dyDescent="0.2">
      <c r="A415" s="5">
        <v>0</v>
      </c>
      <c r="B415" s="6" t="s">
        <v>2746</v>
      </c>
      <c r="C415" s="7">
        <v>3540</v>
      </c>
      <c r="D415" s="8" t="s">
        <v>2747</v>
      </c>
      <c r="E415" s="8" t="s">
        <v>2748</v>
      </c>
      <c r="F415" s="8" t="s">
        <v>450</v>
      </c>
      <c r="G415" s="6" t="s">
        <v>60</v>
      </c>
      <c r="H415" s="6" t="s">
        <v>34</v>
      </c>
      <c r="I415" s="8" t="s">
        <v>2579</v>
      </c>
      <c r="J415" s="9">
        <v>1</v>
      </c>
      <c r="K415" s="9">
        <v>526</v>
      </c>
      <c r="L415" s="9">
        <v>2026</v>
      </c>
      <c r="M415" s="8" t="s">
        <v>2749</v>
      </c>
      <c r="N415" s="8" t="s">
        <v>63</v>
      </c>
      <c r="O415" s="8" t="s">
        <v>64</v>
      </c>
      <c r="P415" s="6" t="s">
        <v>306</v>
      </c>
      <c r="Q415" s="8" t="s">
        <v>65</v>
      </c>
      <c r="R415" s="10" t="s">
        <v>2750</v>
      </c>
      <c r="S415" s="11"/>
      <c r="T415" s="6"/>
      <c r="U415" s="15" t="str">
        <f>HYPERLINK("https://media.infra-m.ru/2227/2227073/cover/2227073.jpg", "Обложка")</f>
        <v>Обложка</v>
      </c>
      <c r="V415" s="8" t="s">
        <v>247</v>
      </c>
      <c r="W415" s="6" t="s">
        <v>351</v>
      </c>
      <c r="X415" s="6"/>
      <c r="Y415" s="6"/>
      <c r="Z415" s="6"/>
      <c r="AA415" s="6" t="s">
        <v>187</v>
      </c>
      <c r="AB415" s="8" t="s">
        <v>308</v>
      </c>
      <c r="AC415" s="27">
        <v>9785160214832</v>
      </c>
    </row>
    <row r="416" spans="1:29" s="4" customFormat="1" ht="51.9" customHeight="1" x14ac:dyDescent="0.2">
      <c r="A416" s="5">
        <v>0</v>
      </c>
      <c r="B416" s="6" t="s">
        <v>2751</v>
      </c>
      <c r="C416" s="7">
        <v>1872</v>
      </c>
      <c r="D416" s="8" t="s">
        <v>2752</v>
      </c>
      <c r="E416" s="8" t="s">
        <v>2753</v>
      </c>
      <c r="F416" s="8" t="s">
        <v>450</v>
      </c>
      <c r="G416" s="6" t="s">
        <v>118</v>
      </c>
      <c r="H416" s="6" t="s">
        <v>34</v>
      </c>
      <c r="I416" s="8" t="s">
        <v>263</v>
      </c>
      <c r="J416" s="9">
        <v>1</v>
      </c>
      <c r="K416" s="9">
        <v>283</v>
      </c>
      <c r="L416" s="9">
        <v>2026</v>
      </c>
      <c r="M416" s="8" t="s">
        <v>2754</v>
      </c>
      <c r="N416" s="8" t="s">
        <v>63</v>
      </c>
      <c r="O416" s="8" t="s">
        <v>64</v>
      </c>
      <c r="P416" s="6" t="s">
        <v>306</v>
      </c>
      <c r="Q416" s="8" t="s">
        <v>265</v>
      </c>
      <c r="R416" s="10" t="s">
        <v>2755</v>
      </c>
      <c r="S416" s="11"/>
      <c r="T416" s="6"/>
      <c r="U416" s="15" t="str">
        <f>HYPERLINK("https://media.infra-m.ru/2243/2243452/cover/2243452.jpg", "Обложка")</f>
        <v>Обложка</v>
      </c>
      <c r="V416" s="8" t="s">
        <v>247</v>
      </c>
      <c r="W416" s="6"/>
      <c r="X416" s="6"/>
      <c r="Y416" s="6"/>
      <c r="Z416" s="6"/>
      <c r="AA416" s="6" t="s">
        <v>76</v>
      </c>
      <c r="AB416" s="8" t="s">
        <v>2697</v>
      </c>
      <c r="AC416" s="27">
        <v>9785160180656</v>
      </c>
    </row>
    <row r="417" spans="1:29" s="4" customFormat="1" ht="51.9" customHeight="1" x14ac:dyDescent="0.2">
      <c r="A417" s="5">
        <v>0</v>
      </c>
      <c r="B417" s="6" t="s">
        <v>2756</v>
      </c>
      <c r="C417" s="7">
        <v>1876.8</v>
      </c>
      <c r="D417" s="8" t="s">
        <v>2757</v>
      </c>
      <c r="E417" s="8" t="s">
        <v>2758</v>
      </c>
      <c r="F417" s="8" t="s">
        <v>2620</v>
      </c>
      <c r="G417" s="6" t="s">
        <v>60</v>
      </c>
      <c r="H417" s="6" t="s">
        <v>34</v>
      </c>
      <c r="I417" s="8" t="s">
        <v>271</v>
      </c>
      <c r="J417" s="9">
        <v>1</v>
      </c>
      <c r="K417" s="9">
        <v>270</v>
      </c>
      <c r="L417" s="9">
        <v>2026</v>
      </c>
      <c r="M417" s="8" t="s">
        <v>2759</v>
      </c>
      <c r="N417" s="8" t="s">
        <v>63</v>
      </c>
      <c r="O417" s="8" t="s">
        <v>64</v>
      </c>
      <c r="P417" s="6" t="s">
        <v>51</v>
      </c>
      <c r="Q417" s="8" t="s">
        <v>52</v>
      </c>
      <c r="R417" s="10" t="s">
        <v>2760</v>
      </c>
      <c r="S417" s="11" t="s">
        <v>2761</v>
      </c>
      <c r="T417" s="6"/>
      <c r="U417" s="15" t="str">
        <f>HYPERLINK("https://media.infra-m.ru/2257/2257148/cover/2257148.jpg", "Обложка")</f>
        <v>Обложка</v>
      </c>
      <c r="V417" s="8" t="s">
        <v>2623</v>
      </c>
      <c r="W417" s="6"/>
      <c r="X417" s="6"/>
      <c r="Y417" s="6"/>
      <c r="Z417" s="6"/>
      <c r="AA417" s="6" t="s">
        <v>430</v>
      </c>
      <c r="AB417" s="8"/>
      <c r="AC417" s="27">
        <v>9785160154527</v>
      </c>
    </row>
    <row r="418" spans="1:29" s="4" customFormat="1" ht="42" customHeight="1" x14ac:dyDescent="0.2">
      <c r="A418" s="5">
        <v>0</v>
      </c>
      <c r="B418" s="6" t="s">
        <v>2762</v>
      </c>
      <c r="C418" s="7">
        <v>2968.8</v>
      </c>
      <c r="D418" s="8" t="s">
        <v>2763</v>
      </c>
      <c r="E418" s="8" t="s">
        <v>2764</v>
      </c>
      <c r="F418" s="8" t="s">
        <v>450</v>
      </c>
      <c r="G418" s="6" t="s">
        <v>60</v>
      </c>
      <c r="H418" s="6" t="s">
        <v>34</v>
      </c>
      <c r="I418" s="8" t="s">
        <v>2765</v>
      </c>
      <c r="J418" s="9">
        <v>1</v>
      </c>
      <c r="K418" s="9">
        <v>426</v>
      </c>
      <c r="L418" s="9">
        <v>2027</v>
      </c>
      <c r="M418" s="8" t="s">
        <v>2766</v>
      </c>
      <c r="N418" s="8" t="s">
        <v>63</v>
      </c>
      <c r="O418" s="8" t="s">
        <v>64</v>
      </c>
      <c r="P418" s="6" t="s">
        <v>51</v>
      </c>
      <c r="Q418" s="8" t="s">
        <v>52</v>
      </c>
      <c r="R418" s="10" t="s">
        <v>2767</v>
      </c>
      <c r="S418" s="11"/>
      <c r="T418" s="6"/>
      <c r="U418" s="15" t="str">
        <f>HYPERLINK("https://media.infra-m.ru/2270/2270190/cover/2270190.jpg", "Обложка")</f>
        <v>Обложка</v>
      </c>
      <c r="V418" s="8" t="s">
        <v>247</v>
      </c>
      <c r="W418" s="6"/>
      <c r="X418" s="6"/>
      <c r="Y418" s="6"/>
      <c r="Z418" s="6"/>
      <c r="AA418" s="6" t="s">
        <v>76</v>
      </c>
      <c r="AB418" s="8"/>
      <c r="AC418" s="27">
        <v>9785160178998</v>
      </c>
    </row>
    <row r="419" spans="1:29" s="4" customFormat="1" ht="51.9" customHeight="1" x14ac:dyDescent="0.2">
      <c r="A419" s="5">
        <v>0</v>
      </c>
      <c r="B419" s="6" t="s">
        <v>2768</v>
      </c>
      <c r="C419" s="7">
        <v>1240.8</v>
      </c>
      <c r="D419" s="8" t="s">
        <v>2769</v>
      </c>
      <c r="E419" s="8" t="s">
        <v>2770</v>
      </c>
      <c r="F419" s="8" t="s">
        <v>2771</v>
      </c>
      <c r="G419" s="6" t="s">
        <v>118</v>
      </c>
      <c r="H419" s="6" t="s">
        <v>34</v>
      </c>
      <c r="I419" s="8" t="s">
        <v>2772</v>
      </c>
      <c r="J419" s="9">
        <v>1</v>
      </c>
      <c r="K419" s="9">
        <v>189</v>
      </c>
      <c r="L419" s="9">
        <v>2026</v>
      </c>
      <c r="M419" s="8" t="s">
        <v>2773</v>
      </c>
      <c r="N419" s="8" t="s">
        <v>63</v>
      </c>
      <c r="O419" s="8" t="s">
        <v>64</v>
      </c>
      <c r="P419" s="6" t="s">
        <v>51</v>
      </c>
      <c r="Q419" s="8" t="s">
        <v>52</v>
      </c>
      <c r="R419" s="10" t="s">
        <v>2774</v>
      </c>
      <c r="S419" s="11" t="s">
        <v>2775</v>
      </c>
      <c r="T419" s="6"/>
      <c r="U419" s="15" t="str">
        <f>HYPERLINK("https://media.infra-m.ru/2179/2179366/cover/2179366.jpg", "Обложка")</f>
        <v>Обложка</v>
      </c>
      <c r="V419" s="8" t="s">
        <v>414</v>
      </c>
      <c r="W419" s="6"/>
      <c r="X419" s="6"/>
      <c r="Y419" s="6"/>
      <c r="Z419" s="6"/>
      <c r="AA419" s="6" t="s">
        <v>115</v>
      </c>
      <c r="AB419" s="8"/>
      <c r="AC419" s="27">
        <v>9785160172859</v>
      </c>
    </row>
    <row r="420" spans="1:29" s="4" customFormat="1" ht="51.9" customHeight="1" x14ac:dyDescent="0.2">
      <c r="A420" s="5">
        <v>0</v>
      </c>
      <c r="B420" s="6" t="s">
        <v>2776</v>
      </c>
      <c r="C420" s="7">
        <v>2868</v>
      </c>
      <c r="D420" s="8" t="s">
        <v>2777</v>
      </c>
      <c r="E420" s="8" t="s">
        <v>2778</v>
      </c>
      <c r="F420" s="8" t="s">
        <v>450</v>
      </c>
      <c r="G420" s="6" t="s">
        <v>60</v>
      </c>
      <c r="H420" s="6" t="s">
        <v>34</v>
      </c>
      <c r="I420" s="8" t="s">
        <v>304</v>
      </c>
      <c r="J420" s="9">
        <v>1</v>
      </c>
      <c r="K420" s="9">
        <v>443</v>
      </c>
      <c r="L420" s="9">
        <v>2025</v>
      </c>
      <c r="M420" s="8" t="s">
        <v>2779</v>
      </c>
      <c r="N420" s="8" t="s">
        <v>63</v>
      </c>
      <c r="O420" s="8" t="s">
        <v>64</v>
      </c>
      <c r="P420" s="6" t="s">
        <v>306</v>
      </c>
      <c r="Q420" s="8" t="s">
        <v>52</v>
      </c>
      <c r="R420" s="10" t="s">
        <v>2780</v>
      </c>
      <c r="S420" s="11"/>
      <c r="T420" s="6"/>
      <c r="U420" s="15" t="str">
        <f>HYPERLINK("https://media.infra-m.ru/2195/2195554/cover/2195554.jpg", "Обложка")</f>
        <v>Обложка</v>
      </c>
      <c r="V420" s="8" t="s">
        <v>247</v>
      </c>
      <c r="W420" s="6"/>
      <c r="X420" s="6"/>
      <c r="Y420" s="6"/>
      <c r="Z420" s="6"/>
      <c r="AA420" s="6" t="s">
        <v>68</v>
      </c>
      <c r="AB420" s="8" t="s">
        <v>308</v>
      </c>
      <c r="AC420" s="27">
        <v>9785160208039</v>
      </c>
    </row>
    <row r="421" spans="1:29" s="4" customFormat="1" ht="42" customHeight="1" x14ac:dyDescent="0.2">
      <c r="A421" s="5">
        <v>0</v>
      </c>
      <c r="B421" s="6" t="s">
        <v>2781</v>
      </c>
      <c r="C421" s="13">
        <v>880.8</v>
      </c>
      <c r="D421" s="8" t="s">
        <v>2782</v>
      </c>
      <c r="E421" s="8" t="s">
        <v>2783</v>
      </c>
      <c r="F421" s="8" t="s">
        <v>2784</v>
      </c>
      <c r="G421" s="6" t="s">
        <v>60</v>
      </c>
      <c r="H421" s="6" t="s">
        <v>34</v>
      </c>
      <c r="I421" s="8" t="s">
        <v>1248</v>
      </c>
      <c r="J421" s="9">
        <v>1</v>
      </c>
      <c r="K421" s="9">
        <v>126</v>
      </c>
      <c r="L421" s="9">
        <v>2027</v>
      </c>
      <c r="M421" s="8" t="s">
        <v>2785</v>
      </c>
      <c r="N421" s="8" t="s">
        <v>63</v>
      </c>
      <c r="O421" s="8" t="s">
        <v>64</v>
      </c>
      <c r="P421" s="6" t="s">
        <v>51</v>
      </c>
      <c r="Q421" s="8" t="s">
        <v>65</v>
      </c>
      <c r="R421" s="10" t="s">
        <v>2786</v>
      </c>
      <c r="S421" s="11"/>
      <c r="T421" s="6"/>
      <c r="U421" s="15" t="str">
        <f>HYPERLINK("https://media.infra-m.ru/2270/2270228/cover/2270228.jpg", "Обложка")</f>
        <v>Обложка</v>
      </c>
      <c r="V421" s="8" t="s">
        <v>1083</v>
      </c>
      <c r="W421" s="6"/>
      <c r="X421" s="6"/>
      <c r="Y421" s="6"/>
      <c r="Z421" s="6"/>
      <c r="AA421" s="6" t="s">
        <v>76</v>
      </c>
      <c r="AB421" s="8"/>
      <c r="AC421" s="27">
        <v>9785160195810</v>
      </c>
    </row>
    <row r="422" spans="1:29" s="4" customFormat="1" ht="51.9" customHeight="1" x14ac:dyDescent="0.2">
      <c r="A422" s="5">
        <v>0</v>
      </c>
      <c r="B422" s="6" t="s">
        <v>2787</v>
      </c>
      <c r="C422" s="7">
        <v>3156</v>
      </c>
      <c r="D422" s="8" t="s">
        <v>2788</v>
      </c>
      <c r="E422" s="8" t="s">
        <v>2789</v>
      </c>
      <c r="F422" s="8" t="s">
        <v>450</v>
      </c>
      <c r="G422" s="6" t="s">
        <v>60</v>
      </c>
      <c r="H422" s="6" t="s">
        <v>34</v>
      </c>
      <c r="I422" s="8" t="s">
        <v>2579</v>
      </c>
      <c r="J422" s="9">
        <v>1</v>
      </c>
      <c r="K422" s="9">
        <v>460</v>
      </c>
      <c r="L422" s="9">
        <v>2026</v>
      </c>
      <c r="M422" s="8" t="s">
        <v>2790</v>
      </c>
      <c r="N422" s="8" t="s">
        <v>63</v>
      </c>
      <c r="O422" s="8" t="s">
        <v>64</v>
      </c>
      <c r="P422" s="6" t="s">
        <v>306</v>
      </c>
      <c r="Q422" s="8" t="s">
        <v>65</v>
      </c>
      <c r="R422" s="10" t="s">
        <v>2791</v>
      </c>
      <c r="S422" s="11"/>
      <c r="T422" s="6"/>
      <c r="U422" s="15" t="str">
        <f>HYPERLINK("https://media.infra-m.ru/2234/2234127/cover/2234127.jpg", "Обложка")</f>
        <v>Обложка</v>
      </c>
      <c r="V422" s="8" t="s">
        <v>247</v>
      </c>
      <c r="W422" s="6" t="s">
        <v>351</v>
      </c>
      <c r="X422" s="6"/>
      <c r="Y422" s="6"/>
      <c r="Z422" s="6"/>
      <c r="AA422" s="6" t="s">
        <v>187</v>
      </c>
      <c r="AB422" s="8" t="s">
        <v>308</v>
      </c>
      <c r="AC422" s="27">
        <v>9785160216720</v>
      </c>
    </row>
    <row r="423" spans="1:29" s="4" customFormat="1" ht="51.9" customHeight="1" x14ac:dyDescent="0.2">
      <c r="A423" s="5">
        <v>0</v>
      </c>
      <c r="B423" s="6" t="s">
        <v>2792</v>
      </c>
      <c r="C423" s="7">
        <v>2364</v>
      </c>
      <c r="D423" s="8" t="s">
        <v>2793</v>
      </c>
      <c r="E423" s="8" t="s">
        <v>2794</v>
      </c>
      <c r="F423" s="8" t="s">
        <v>450</v>
      </c>
      <c r="G423" s="6" t="s">
        <v>118</v>
      </c>
      <c r="H423" s="6" t="s">
        <v>34</v>
      </c>
      <c r="I423" s="8" t="s">
        <v>434</v>
      </c>
      <c r="J423" s="9">
        <v>1</v>
      </c>
      <c r="K423" s="9">
        <v>358</v>
      </c>
      <c r="L423" s="9">
        <v>2026</v>
      </c>
      <c r="M423" s="8" t="s">
        <v>2795</v>
      </c>
      <c r="N423" s="8" t="s">
        <v>63</v>
      </c>
      <c r="O423" s="8" t="s">
        <v>64</v>
      </c>
      <c r="P423" s="6" t="s">
        <v>306</v>
      </c>
      <c r="Q423" s="8" t="s">
        <v>265</v>
      </c>
      <c r="R423" s="10" t="s">
        <v>2796</v>
      </c>
      <c r="S423" s="11" t="s">
        <v>2797</v>
      </c>
      <c r="T423" s="6"/>
      <c r="U423" s="15" t="str">
        <f>HYPERLINK("https://media.infra-m.ru/2226/2226465/cover/2226465.jpg", "Обложка")</f>
        <v>Обложка</v>
      </c>
      <c r="V423" s="8" t="s">
        <v>247</v>
      </c>
      <c r="W423" s="6"/>
      <c r="X423" s="6"/>
      <c r="Y423" s="6"/>
      <c r="Z423" s="6"/>
      <c r="AA423" s="6" t="s">
        <v>148</v>
      </c>
      <c r="AB423" s="8"/>
      <c r="AC423" s="27">
        <v>9785160172415</v>
      </c>
    </row>
    <row r="424" spans="1:29" s="4" customFormat="1" ht="42" customHeight="1" x14ac:dyDescent="0.2">
      <c r="A424" s="5">
        <v>0</v>
      </c>
      <c r="B424" s="6" t="s">
        <v>2798</v>
      </c>
      <c r="C424" s="7">
        <v>1520.4</v>
      </c>
      <c r="D424" s="8" t="s">
        <v>2799</v>
      </c>
      <c r="E424" s="8" t="s">
        <v>2800</v>
      </c>
      <c r="F424" s="8" t="s">
        <v>2801</v>
      </c>
      <c r="G424" s="6" t="s">
        <v>60</v>
      </c>
      <c r="H424" s="6" t="s">
        <v>34</v>
      </c>
      <c r="I424" s="8" t="s">
        <v>1248</v>
      </c>
      <c r="J424" s="9">
        <v>1</v>
      </c>
      <c r="K424" s="9">
        <v>167</v>
      </c>
      <c r="L424" s="9">
        <v>2027</v>
      </c>
      <c r="M424" s="8" t="s">
        <v>2802</v>
      </c>
      <c r="N424" s="8" t="s">
        <v>63</v>
      </c>
      <c r="O424" s="8" t="s">
        <v>64</v>
      </c>
      <c r="P424" s="6" t="s">
        <v>51</v>
      </c>
      <c r="Q424" s="8" t="s">
        <v>52</v>
      </c>
      <c r="R424" s="10" t="s">
        <v>2803</v>
      </c>
      <c r="S424" s="11"/>
      <c r="T424" s="6"/>
      <c r="U424" s="15" t="str">
        <f>HYPERLINK("https://media.infra-m.ru/2270/2270229/cover/2270229.jpg", "Обложка")</f>
        <v>Обложка</v>
      </c>
      <c r="V424" s="8" t="s">
        <v>1083</v>
      </c>
      <c r="W424" s="6"/>
      <c r="X424" s="6"/>
      <c r="Y424" s="6"/>
      <c r="Z424" s="6"/>
      <c r="AA424" s="6" t="s">
        <v>76</v>
      </c>
      <c r="AB424" s="8"/>
      <c r="AC424" s="27">
        <v>9785160196930</v>
      </c>
    </row>
    <row r="425" spans="1:29" s="4" customFormat="1" ht="42" customHeight="1" x14ac:dyDescent="0.2">
      <c r="A425" s="5">
        <v>0</v>
      </c>
      <c r="B425" s="6" t="s">
        <v>2804</v>
      </c>
      <c r="C425" s="7">
        <v>2988</v>
      </c>
      <c r="D425" s="8" t="s">
        <v>2805</v>
      </c>
      <c r="E425" s="8" t="s">
        <v>2806</v>
      </c>
      <c r="F425" s="8" t="s">
        <v>450</v>
      </c>
      <c r="G425" s="6" t="s">
        <v>60</v>
      </c>
      <c r="H425" s="6" t="s">
        <v>34</v>
      </c>
      <c r="I425" s="8" t="s">
        <v>2579</v>
      </c>
      <c r="J425" s="9">
        <v>1</v>
      </c>
      <c r="K425" s="9">
        <v>432</v>
      </c>
      <c r="L425" s="9">
        <v>2026</v>
      </c>
      <c r="M425" s="8" t="s">
        <v>2807</v>
      </c>
      <c r="N425" s="8" t="s">
        <v>63</v>
      </c>
      <c r="O425" s="8" t="s">
        <v>64</v>
      </c>
      <c r="P425" s="6" t="s">
        <v>306</v>
      </c>
      <c r="Q425" s="8" t="s">
        <v>65</v>
      </c>
      <c r="R425" s="10" t="s">
        <v>2808</v>
      </c>
      <c r="S425" s="11"/>
      <c r="T425" s="6"/>
      <c r="U425" s="15" t="str">
        <f>HYPERLINK("https://media.infra-m.ru/2236/2236980/cover/2236980.jpg", "Обложка")</f>
        <v>Обложка</v>
      </c>
      <c r="V425" s="8" t="s">
        <v>247</v>
      </c>
      <c r="W425" s="6" t="s">
        <v>351</v>
      </c>
      <c r="X425" s="6"/>
      <c r="Y425" s="6"/>
      <c r="Z425" s="6"/>
      <c r="AA425" s="6" t="s">
        <v>187</v>
      </c>
      <c r="AB425" s="8"/>
      <c r="AC425" s="27">
        <v>9785160217284</v>
      </c>
    </row>
    <row r="426" spans="1:29" s="4" customFormat="1" ht="51.9" customHeight="1" x14ac:dyDescent="0.2">
      <c r="A426" s="5">
        <v>0</v>
      </c>
      <c r="B426" s="6" t="s">
        <v>2809</v>
      </c>
      <c r="C426" s="7">
        <v>2594.4</v>
      </c>
      <c r="D426" s="8" t="s">
        <v>2810</v>
      </c>
      <c r="E426" s="8" t="s">
        <v>2811</v>
      </c>
      <c r="F426" s="8" t="s">
        <v>2612</v>
      </c>
      <c r="G426" s="6" t="s">
        <v>118</v>
      </c>
      <c r="H426" s="6" t="s">
        <v>34</v>
      </c>
      <c r="I426" s="8"/>
      <c r="J426" s="9">
        <v>1</v>
      </c>
      <c r="K426" s="9">
        <v>302</v>
      </c>
      <c r="L426" s="9">
        <v>2026</v>
      </c>
      <c r="M426" s="8" t="s">
        <v>2812</v>
      </c>
      <c r="N426" s="8" t="s">
        <v>63</v>
      </c>
      <c r="O426" s="8" t="s">
        <v>64</v>
      </c>
      <c r="P426" s="6" t="s">
        <v>51</v>
      </c>
      <c r="Q426" s="8" t="s">
        <v>265</v>
      </c>
      <c r="R426" s="10" t="s">
        <v>2813</v>
      </c>
      <c r="S426" s="11" t="s">
        <v>2814</v>
      </c>
      <c r="T426" s="6"/>
      <c r="U426" s="15" t="str">
        <f>HYPERLINK("https://media.infra-m.ru/2226/2226466/cover/2226466.jpg", "Обложка")</f>
        <v>Обложка</v>
      </c>
      <c r="V426" s="8" t="s">
        <v>2616</v>
      </c>
      <c r="W426" s="6"/>
      <c r="X426" s="6"/>
      <c r="Y426" s="6"/>
      <c r="Z426" s="6" t="s">
        <v>267</v>
      </c>
      <c r="AA426" s="6" t="s">
        <v>86</v>
      </c>
      <c r="AB426" s="8"/>
      <c r="AC426" s="27">
        <v>9785160214672</v>
      </c>
    </row>
    <row r="427" spans="1:29" s="4" customFormat="1" ht="42" customHeight="1" x14ac:dyDescent="0.2">
      <c r="A427" s="5">
        <v>0</v>
      </c>
      <c r="B427" s="6" t="s">
        <v>2815</v>
      </c>
      <c r="C427" s="7">
        <v>1356</v>
      </c>
      <c r="D427" s="8" t="s">
        <v>2816</v>
      </c>
      <c r="E427" s="8" t="s">
        <v>2817</v>
      </c>
      <c r="F427" s="8" t="s">
        <v>2818</v>
      </c>
      <c r="G427" s="6" t="s">
        <v>60</v>
      </c>
      <c r="H427" s="6" t="s">
        <v>34</v>
      </c>
      <c r="I427" s="8" t="s">
        <v>1128</v>
      </c>
      <c r="J427" s="9">
        <v>1</v>
      </c>
      <c r="K427" s="9">
        <v>210</v>
      </c>
      <c r="L427" s="9">
        <v>2025</v>
      </c>
      <c r="M427" s="8" t="s">
        <v>2819</v>
      </c>
      <c r="N427" s="8" t="s">
        <v>63</v>
      </c>
      <c r="O427" s="8" t="s">
        <v>64</v>
      </c>
      <c r="P427" s="6" t="s">
        <v>51</v>
      </c>
      <c r="Q427" s="8" t="s">
        <v>52</v>
      </c>
      <c r="R427" s="10" t="s">
        <v>2820</v>
      </c>
      <c r="S427" s="11"/>
      <c r="T427" s="6"/>
      <c r="U427" s="15" t="str">
        <f>HYPERLINK("https://media.infra-m.ru/2151/2151111/cover/2151111.jpg", "Обложка")</f>
        <v>Обложка</v>
      </c>
      <c r="V427" s="8" t="s">
        <v>1132</v>
      </c>
      <c r="W427" s="6"/>
      <c r="X427" s="6"/>
      <c r="Y427" s="6"/>
      <c r="Z427" s="6"/>
      <c r="AA427" s="6" t="s">
        <v>68</v>
      </c>
      <c r="AB427" s="8"/>
      <c r="AC427" s="27">
        <v>9785160200033</v>
      </c>
    </row>
    <row r="428" spans="1:29" s="4" customFormat="1" ht="42" customHeight="1" x14ac:dyDescent="0.2">
      <c r="A428" s="5">
        <v>0</v>
      </c>
      <c r="B428" s="6" t="s">
        <v>2821</v>
      </c>
      <c r="C428" s="7">
        <v>3076.8</v>
      </c>
      <c r="D428" s="8" t="s">
        <v>2822</v>
      </c>
      <c r="E428" s="8" t="s">
        <v>2823</v>
      </c>
      <c r="F428" s="8" t="s">
        <v>450</v>
      </c>
      <c r="G428" s="6" t="s">
        <v>60</v>
      </c>
      <c r="H428" s="6" t="s">
        <v>34</v>
      </c>
      <c r="I428" s="8" t="s">
        <v>434</v>
      </c>
      <c r="J428" s="9">
        <v>1</v>
      </c>
      <c r="K428" s="9">
        <v>467</v>
      </c>
      <c r="L428" s="9">
        <v>2026</v>
      </c>
      <c r="M428" s="8" t="s">
        <v>2824</v>
      </c>
      <c r="N428" s="8" t="s">
        <v>63</v>
      </c>
      <c r="O428" s="8" t="s">
        <v>64</v>
      </c>
      <c r="P428" s="6" t="s">
        <v>306</v>
      </c>
      <c r="Q428" s="8" t="s">
        <v>265</v>
      </c>
      <c r="R428" s="10" t="s">
        <v>2825</v>
      </c>
      <c r="S428" s="11"/>
      <c r="T428" s="6"/>
      <c r="U428" s="15" t="str">
        <f>HYPERLINK("https://media.infra-m.ru/2241/2241209/cover/2241209.jpg", "Обложка")</f>
        <v>Обложка</v>
      </c>
      <c r="V428" s="8" t="s">
        <v>247</v>
      </c>
      <c r="W428" s="6"/>
      <c r="X428" s="6"/>
      <c r="Y428" s="6"/>
      <c r="Z428" s="6"/>
      <c r="AA428" s="6" t="s">
        <v>76</v>
      </c>
      <c r="AB428" s="8"/>
      <c r="AC428" s="27">
        <v>9785160196169</v>
      </c>
    </row>
    <row r="429" spans="1:29" s="4" customFormat="1" ht="51.9" customHeight="1" x14ac:dyDescent="0.2">
      <c r="A429" s="5">
        <v>0</v>
      </c>
      <c r="B429" s="6" t="s">
        <v>2826</v>
      </c>
      <c r="C429" s="7">
        <v>2388</v>
      </c>
      <c r="D429" s="8" t="s">
        <v>2827</v>
      </c>
      <c r="E429" s="8" t="s">
        <v>2828</v>
      </c>
      <c r="F429" s="8" t="s">
        <v>450</v>
      </c>
      <c r="G429" s="6" t="s">
        <v>60</v>
      </c>
      <c r="H429" s="6" t="s">
        <v>34</v>
      </c>
      <c r="I429" s="8" t="s">
        <v>253</v>
      </c>
      <c r="J429" s="9">
        <v>1</v>
      </c>
      <c r="K429" s="9">
        <v>373</v>
      </c>
      <c r="L429" s="9">
        <v>2025</v>
      </c>
      <c r="M429" s="8" t="s">
        <v>2829</v>
      </c>
      <c r="N429" s="8" t="s">
        <v>63</v>
      </c>
      <c r="O429" s="8" t="s">
        <v>64</v>
      </c>
      <c r="P429" s="6" t="s">
        <v>306</v>
      </c>
      <c r="Q429" s="8" t="s">
        <v>52</v>
      </c>
      <c r="R429" s="10" t="s">
        <v>2830</v>
      </c>
      <c r="S429" s="11"/>
      <c r="T429" s="6"/>
      <c r="U429" s="15" t="str">
        <f>HYPERLINK("https://media.infra-m.ru/2193/2193749/cover/2193749.jpg", "Обложка")</f>
        <v>Обложка</v>
      </c>
      <c r="V429" s="8" t="s">
        <v>247</v>
      </c>
      <c r="W429" s="6"/>
      <c r="X429" s="6"/>
      <c r="Y429" s="6"/>
      <c r="Z429" s="6"/>
      <c r="AA429" s="6" t="s">
        <v>68</v>
      </c>
      <c r="AB429" s="8" t="s">
        <v>308</v>
      </c>
      <c r="AC429" s="27">
        <v>9785160207872</v>
      </c>
    </row>
    <row r="430" spans="1:29" s="4" customFormat="1" ht="51.9" customHeight="1" x14ac:dyDescent="0.2">
      <c r="A430" s="5">
        <v>0</v>
      </c>
      <c r="B430" s="6" t="s">
        <v>2831</v>
      </c>
      <c r="C430" s="7">
        <v>2124</v>
      </c>
      <c r="D430" s="8" t="s">
        <v>2832</v>
      </c>
      <c r="E430" s="8" t="s">
        <v>2833</v>
      </c>
      <c r="F430" s="8" t="s">
        <v>450</v>
      </c>
      <c r="G430" s="6" t="s">
        <v>60</v>
      </c>
      <c r="H430" s="6" t="s">
        <v>34</v>
      </c>
      <c r="I430" s="8" t="s">
        <v>304</v>
      </c>
      <c r="J430" s="9">
        <v>1</v>
      </c>
      <c r="K430" s="9">
        <v>340</v>
      </c>
      <c r="L430" s="9">
        <v>2026</v>
      </c>
      <c r="M430" s="8" t="s">
        <v>2834</v>
      </c>
      <c r="N430" s="8" t="s">
        <v>63</v>
      </c>
      <c r="O430" s="8" t="s">
        <v>64</v>
      </c>
      <c r="P430" s="6" t="s">
        <v>306</v>
      </c>
      <c r="Q430" s="8" t="s">
        <v>52</v>
      </c>
      <c r="R430" s="10" t="s">
        <v>2835</v>
      </c>
      <c r="S430" s="11"/>
      <c r="T430" s="6"/>
      <c r="U430" s="15" t="str">
        <f>HYPERLINK("https://media.infra-m.ru/2212/2212763/cover/2212763.jpg", "Обложка")</f>
        <v>Обложка</v>
      </c>
      <c r="V430" s="8" t="s">
        <v>247</v>
      </c>
      <c r="W430" s="6"/>
      <c r="X430" s="6"/>
      <c r="Y430" s="6"/>
      <c r="Z430" s="6"/>
      <c r="AA430" s="6" t="s">
        <v>187</v>
      </c>
      <c r="AB430" s="8"/>
      <c r="AC430" s="27">
        <v>9785160210827</v>
      </c>
    </row>
    <row r="431" spans="1:29" s="4" customFormat="1" ht="51.9" customHeight="1" x14ac:dyDescent="0.2">
      <c r="A431" s="5">
        <v>0</v>
      </c>
      <c r="B431" s="6" t="s">
        <v>2836</v>
      </c>
      <c r="C431" s="7">
        <v>2368.8000000000002</v>
      </c>
      <c r="D431" s="8" t="s">
        <v>2837</v>
      </c>
      <c r="E431" s="8" t="s">
        <v>2838</v>
      </c>
      <c r="F431" s="8" t="s">
        <v>450</v>
      </c>
      <c r="G431" s="6" t="s">
        <v>60</v>
      </c>
      <c r="H431" s="6" t="s">
        <v>34</v>
      </c>
      <c r="I431" s="8" t="s">
        <v>434</v>
      </c>
      <c r="J431" s="9">
        <v>1</v>
      </c>
      <c r="K431" s="9">
        <v>340</v>
      </c>
      <c r="L431" s="9">
        <v>2027</v>
      </c>
      <c r="M431" s="8" t="s">
        <v>2839</v>
      </c>
      <c r="N431" s="8" t="s">
        <v>63</v>
      </c>
      <c r="O431" s="8" t="s">
        <v>64</v>
      </c>
      <c r="P431" s="6" t="s">
        <v>306</v>
      </c>
      <c r="Q431" s="8" t="s">
        <v>265</v>
      </c>
      <c r="R431" s="10" t="s">
        <v>2840</v>
      </c>
      <c r="S431" s="11"/>
      <c r="T431" s="6"/>
      <c r="U431" s="15" t="str">
        <f>HYPERLINK("https://media.infra-m.ru/2270/2270183/cover/2270183.jpg", "Обложка")</f>
        <v>Обложка</v>
      </c>
      <c r="V431" s="8" t="s">
        <v>247</v>
      </c>
      <c r="W431" s="6"/>
      <c r="X431" s="6"/>
      <c r="Y431" s="6"/>
      <c r="Z431" s="6"/>
      <c r="AA431" s="6" t="s">
        <v>76</v>
      </c>
      <c r="AB431" s="8" t="s">
        <v>944</v>
      </c>
      <c r="AC431" s="27">
        <v>9785160188133</v>
      </c>
    </row>
    <row r="432" spans="1:29" s="4" customFormat="1" ht="51.9" customHeight="1" x14ac:dyDescent="0.2">
      <c r="A432" s="5">
        <v>0</v>
      </c>
      <c r="B432" s="6" t="s">
        <v>2841</v>
      </c>
      <c r="C432" s="7">
        <v>1780.8</v>
      </c>
      <c r="D432" s="8" t="s">
        <v>2842</v>
      </c>
      <c r="E432" s="8" t="s">
        <v>2843</v>
      </c>
      <c r="F432" s="8" t="s">
        <v>2844</v>
      </c>
      <c r="G432" s="6" t="s">
        <v>60</v>
      </c>
      <c r="H432" s="6" t="s">
        <v>34</v>
      </c>
      <c r="I432" s="8" t="s">
        <v>271</v>
      </c>
      <c r="J432" s="9">
        <v>1</v>
      </c>
      <c r="K432" s="9">
        <v>256</v>
      </c>
      <c r="L432" s="9">
        <v>2027</v>
      </c>
      <c r="M432" s="8" t="s">
        <v>2845</v>
      </c>
      <c r="N432" s="8" t="s">
        <v>63</v>
      </c>
      <c r="O432" s="8" t="s">
        <v>64</v>
      </c>
      <c r="P432" s="6" t="s">
        <v>51</v>
      </c>
      <c r="Q432" s="8" t="s">
        <v>52</v>
      </c>
      <c r="R432" s="10" t="s">
        <v>370</v>
      </c>
      <c r="S432" s="11" t="s">
        <v>2846</v>
      </c>
      <c r="T432" s="6"/>
      <c r="U432" s="15" t="str">
        <f>HYPERLINK("https://media.infra-m.ru/2263/2263135/cover/2263135.jpg", "Обложка")</f>
        <v>Обложка</v>
      </c>
      <c r="V432" s="8" t="s">
        <v>227</v>
      </c>
      <c r="W432" s="6"/>
      <c r="X432" s="6"/>
      <c r="Y432" s="6"/>
      <c r="Z432" s="6"/>
      <c r="AA432" s="6" t="s">
        <v>274</v>
      </c>
      <c r="AB432" s="8"/>
      <c r="AC432" s="27">
        <v>9785160095769</v>
      </c>
    </row>
    <row r="433" spans="1:29" s="4" customFormat="1" ht="51.9" customHeight="1" x14ac:dyDescent="0.2">
      <c r="A433" s="5">
        <v>0</v>
      </c>
      <c r="B433" s="6" t="s">
        <v>2847</v>
      </c>
      <c r="C433" s="13">
        <v>600</v>
      </c>
      <c r="D433" s="8" t="s">
        <v>2848</v>
      </c>
      <c r="E433" s="8" t="s">
        <v>2849</v>
      </c>
      <c r="F433" s="8" t="s">
        <v>2850</v>
      </c>
      <c r="G433" s="6" t="s">
        <v>33</v>
      </c>
      <c r="H433" s="6" t="s">
        <v>34</v>
      </c>
      <c r="I433" s="8" t="s">
        <v>2579</v>
      </c>
      <c r="J433" s="9">
        <v>1</v>
      </c>
      <c r="K433" s="9">
        <v>80</v>
      </c>
      <c r="L433" s="9">
        <v>2026</v>
      </c>
      <c r="M433" s="8" t="s">
        <v>2851</v>
      </c>
      <c r="N433" s="8" t="s">
        <v>63</v>
      </c>
      <c r="O433" s="8" t="s">
        <v>64</v>
      </c>
      <c r="P433" s="6" t="s">
        <v>51</v>
      </c>
      <c r="Q433" s="8" t="s">
        <v>500</v>
      </c>
      <c r="R433" s="10" t="s">
        <v>2852</v>
      </c>
      <c r="S433" s="11" t="s">
        <v>2853</v>
      </c>
      <c r="T433" s="6"/>
      <c r="U433" s="15" t="str">
        <f>HYPERLINK("https://media.infra-m.ru/2254/2254342/cover/2254342.jpg", "Обложка")</f>
        <v>Обложка</v>
      </c>
      <c r="V433" s="8" t="s">
        <v>2854</v>
      </c>
      <c r="W433" s="6"/>
      <c r="X433" s="6"/>
      <c r="Y433" s="6"/>
      <c r="Z433" s="6"/>
      <c r="AA433" s="6" t="s">
        <v>360</v>
      </c>
      <c r="AB433" s="8"/>
      <c r="AC433" s="27">
        <v>9785160221380</v>
      </c>
    </row>
    <row r="434" spans="1:29" s="4" customFormat="1" ht="51.9" customHeight="1" x14ac:dyDescent="0.2">
      <c r="A434" s="5">
        <v>0</v>
      </c>
      <c r="B434" s="6" t="s">
        <v>2855</v>
      </c>
      <c r="C434" s="7">
        <v>1624.8</v>
      </c>
      <c r="D434" s="8" t="s">
        <v>2856</v>
      </c>
      <c r="E434" s="8" t="s">
        <v>2857</v>
      </c>
      <c r="F434" s="8" t="s">
        <v>2858</v>
      </c>
      <c r="G434" s="6" t="s">
        <v>60</v>
      </c>
      <c r="H434" s="6" t="s">
        <v>34</v>
      </c>
      <c r="I434" s="8" t="s">
        <v>304</v>
      </c>
      <c r="J434" s="9">
        <v>1</v>
      </c>
      <c r="K434" s="9">
        <v>234</v>
      </c>
      <c r="L434" s="9">
        <v>2027</v>
      </c>
      <c r="M434" s="8" t="s">
        <v>2859</v>
      </c>
      <c r="N434" s="8" t="s">
        <v>63</v>
      </c>
      <c r="O434" s="8" t="s">
        <v>64</v>
      </c>
      <c r="P434" s="6" t="s">
        <v>51</v>
      </c>
      <c r="Q434" s="8" t="s">
        <v>52</v>
      </c>
      <c r="R434" s="10" t="s">
        <v>2860</v>
      </c>
      <c r="S434" s="11" t="s">
        <v>2861</v>
      </c>
      <c r="T434" s="6"/>
      <c r="U434" s="15" t="str">
        <f>HYPERLINK("https://media.infra-m.ru/2270/2270434/cover/2270434.jpg", "Обложка")</f>
        <v>Обложка</v>
      </c>
      <c r="V434" s="8" t="s">
        <v>247</v>
      </c>
      <c r="W434" s="6"/>
      <c r="X434" s="6"/>
      <c r="Y434" s="6"/>
      <c r="Z434" s="6"/>
      <c r="AA434" s="6" t="s">
        <v>76</v>
      </c>
      <c r="AB434" s="8"/>
      <c r="AC434" s="27">
        <v>9785160183114</v>
      </c>
    </row>
    <row r="435" spans="1:29" s="4" customFormat="1" ht="51.9" customHeight="1" x14ac:dyDescent="0.2">
      <c r="A435" s="5">
        <v>0</v>
      </c>
      <c r="B435" s="6" t="s">
        <v>2862</v>
      </c>
      <c r="C435" s="7">
        <v>2448</v>
      </c>
      <c r="D435" s="8" t="s">
        <v>2863</v>
      </c>
      <c r="E435" s="8" t="s">
        <v>2864</v>
      </c>
      <c r="F435" s="8" t="s">
        <v>450</v>
      </c>
      <c r="G435" s="6" t="s">
        <v>118</v>
      </c>
      <c r="H435" s="6" t="s">
        <v>34</v>
      </c>
      <c r="I435" s="8" t="s">
        <v>434</v>
      </c>
      <c r="J435" s="9">
        <v>1</v>
      </c>
      <c r="K435" s="9">
        <v>371</v>
      </c>
      <c r="L435" s="9">
        <v>2026</v>
      </c>
      <c r="M435" s="8" t="s">
        <v>2865</v>
      </c>
      <c r="N435" s="8" t="s">
        <v>63</v>
      </c>
      <c r="O435" s="8" t="s">
        <v>64</v>
      </c>
      <c r="P435" s="6" t="s">
        <v>306</v>
      </c>
      <c r="Q435" s="8" t="s">
        <v>265</v>
      </c>
      <c r="R435" s="10" t="s">
        <v>2866</v>
      </c>
      <c r="S435" s="11"/>
      <c r="T435" s="6"/>
      <c r="U435" s="15" t="str">
        <f>HYPERLINK("https://media.infra-m.ru/2198/2198783/cover/2198783.jpg", "Обложка")</f>
        <v>Обложка</v>
      </c>
      <c r="V435" s="8" t="s">
        <v>247</v>
      </c>
      <c r="W435" s="6"/>
      <c r="X435" s="6"/>
      <c r="Y435" s="6"/>
      <c r="Z435" s="6"/>
      <c r="AA435" s="6" t="s">
        <v>76</v>
      </c>
      <c r="AB435" s="8" t="s">
        <v>944</v>
      </c>
      <c r="AC435" s="27">
        <v>9785160187112</v>
      </c>
    </row>
    <row r="436" spans="1:29" s="4" customFormat="1" ht="51.9" customHeight="1" x14ac:dyDescent="0.2">
      <c r="A436" s="5">
        <v>0</v>
      </c>
      <c r="B436" s="6" t="s">
        <v>2867</v>
      </c>
      <c r="C436" s="7">
        <v>2316</v>
      </c>
      <c r="D436" s="8" t="s">
        <v>2868</v>
      </c>
      <c r="E436" s="8" t="s">
        <v>2864</v>
      </c>
      <c r="F436" s="8" t="s">
        <v>450</v>
      </c>
      <c r="G436" s="6" t="s">
        <v>60</v>
      </c>
      <c r="H436" s="6" t="s">
        <v>34</v>
      </c>
      <c r="I436" s="8" t="s">
        <v>304</v>
      </c>
      <c r="J436" s="9">
        <v>1</v>
      </c>
      <c r="K436" s="9">
        <v>371</v>
      </c>
      <c r="L436" s="9">
        <v>2026</v>
      </c>
      <c r="M436" s="8" t="s">
        <v>2869</v>
      </c>
      <c r="N436" s="8" t="s">
        <v>63</v>
      </c>
      <c r="O436" s="8" t="s">
        <v>64</v>
      </c>
      <c r="P436" s="6" t="s">
        <v>306</v>
      </c>
      <c r="Q436" s="8" t="s">
        <v>52</v>
      </c>
      <c r="R436" s="10" t="s">
        <v>2870</v>
      </c>
      <c r="S436" s="11"/>
      <c r="T436" s="6"/>
      <c r="U436" s="15" t="str">
        <f>HYPERLINK("https://media.infra-m.ru/2212/2212385/cover/2212385.jpg", "Обложка")</f>
        <v>Обложка</v>
      </c>
      <c r="V436" s="8" t="s">
        <v>247</v>
      </c>
      <c r="W436" s="6"/>
      <c r="X436" s="6"/>
      <c r="Y436" s="6"/>
      <c r="Z436" s="6"/>
      <c r="AA436" s="6" t="s">
        <v>187</v>
      </c>
      <c r="AB436" s="8"/>
      <c r="AC436" s="27">
        <v>9785160210704</v>
      </c>
    </row>
    <row r="437" spans="1:29" s="4" customFormat="1" ht="51.9" customHeight="1" x14ac:dyDescent="0.2">
      <c r="A437" s="5">
        <v>0</v>
      </c>
      <c r="B437" s="6" t="s">
        <v>2871</v>
      </c>
      <c r="C437" s="7">
        <v>1372.8</v>
      </c>
      <c r="D437" s="8" t="s">
        <v>2872</v>
      </c>
      <c r="E437" s="8" t="s">
        <v>2644</v>
      </c>
      <c r="F437" s="8" t="s">
        <v>2645</v>
      </c>
      <c r="G437" s="6" t="s">
        <v>33</v>
      </c>
      <c r="H437" s="6" t="s">
        <v>134</v>
      </c>
      <c r="I437" s="8"/>
      <c r="J437" s="9">
        <v>1</v>
      </c>
      <c r="K437" s="9">
        <v>208</v>
      </c>
      <c r="L437" s="9">
        <v>2026</v>
      </c>
      <c r="M437" s="8" t="s">
        <v>2873</v>
      </c>
      <c r="N437" s="8" t="s">
        <v>63</v>
      </c>
      <c r="O437" s="8" t="s">
        <v>64</v>
      </c>
      <c r="P437" s="6" t="s">
        <v>306</v>
      </c>
      <c r="Q437" s="8" t="s">
        <v>52</v>
      </c>
      <c r="R437" s="10" t="s">
        <v>1255</v>
      </c>
      <c r="S437" s="11" t="s">
        <v>1388</v>
      </c>
      <c r="T437" s="6"/>
      <c r="U437" s="15" t="str">
        <f>HYPERLINK("https://media.infra-m.ru/2234/2234895/cover/2234895.jpg", "Обложка")</f>
        <v>Обложка</v>
      </c>
      <c r="V437" s="8"/>
      <c r="W437" s="6"/>
      <c r="X437" s="6"/>
      <c r="Y437" s="6"/>
      <c r="Z437" s="6"/>
      <c r="AA437" s="6" t="s">
        <v>779</v>
      </c>
      <c r="AB437" s="8"/>
      <c r="AC437" s="27">
        <v>9785917687445</v>
      </c>
    </row>
    <row r="438" spans="1:29" s="4" customFormat="1" ht="42" customHeight="1" x14ac:dyDescent="0.2">
      <c r="A438" s="5">
        <v>0</v>
      </c>
      <c r="B438" s="6" t="s">
        <v>2874</v>
      </c>
      <c r="C438" s="7">
        <v>3552</v>
      </c>
      <c r="D438" s="8" t="s">
        <v>2875</v>
      </c>
      <c r="E438" s="8" t="s">
        <v>2876</v>
      </c>
      <c r="F438" s="8" t="s">
        <v>450</v>
      </c>
      <c r="G438" s="6" t="s">
        <v>60</v>
      </c>
      <c r="H438" s="6" t="s">
        <v>34</v>
      </c>
      <c r="I438" s="8" t="s">
        <v>2579</v>
      </c>
      <c r="J438" s="9">
        <v>1</v>
      </c>
      <c r="K438" s="9">
        <v>538</v>
      </c>
      <c r="L438" s="9">
        <v>2026</v>
      </c>
      <c r="M438" s="8" t="s">
        <v>2877</v>
      </c>
      <c r="N438" s="8" t="s">
        <v>63</v>
      </c>
      <c r="O438" s="8" t="s">
        <v>64</v>
      </c>
      <c r="P438" s="6" t="s">
        <v>306</v>
      </c>
      <c r="Q438" s="8" t="s">
        <v>65</v>
      </c>
      <c r="R438" s="10" t="s">
        <v>2878</v>
      </c>
      <c r="S438" s="11"/>
      <c r="T438" s="6"/>
      <c r="U438" s="15" t="str">
        <f>HYPERLINK("https://media.infra-m.ru/2216/2216486/cover/2216486.jpg", "Обложка")</f>
        <v>Обложка</v>
      </c>
      <c r="V438" s="8" t="s">
        <v>247</v>
      </c>
      <c r="W438" s="6" t="s">
        <v>1382</v>
      </c>
      <c r="X438" s="6"/>
      <c r="Y438" s="6"/>
      <c r="Z438" s="6"/>
      <c r="AA438" s="6" t="s">
        <v>187</v>
      </c>
      <c r="AB438" s="8" t="s">
        <v>308</v>
      </c>
      <c r="AC438" s="27">
        <v>9785160211725</v>
      </c>
    </row>
    <row r="439" spans="1:29" s="4" customFormat="1" ht="51.9" customHeight="1" x14ac:dyDescent="0.2">
      <c r="A439" s="5">
        <v>0</v>
      </c>
      <c r="B439" s="6" t="s">
        <v>2879</v>
      </c>
      <c r="C439" s="7">
        <v>2988</v>
      </c>
      <c r="D439" s="8" t="s">
        <v>2880</v>
      </c>
      <c r="E439" s="8" t="s">
        <v>2881</v>
      </c>
      <c r="F439" s="8" t="s">
        <v>450</v>
      </c>
      <c r="G439" s="6" t="s">
        <v>60</v>
      </c>
      <c r="H439" s="6" t="s">
        <v>34</v>
      </c>
      <c r="I439" s="8" t="s">
        <v>304</v>
      </c>
      <c r="J439" s="9">
        <v>1</v>
      </c>
      <c r="K439" s="9">
        <v>469</v>
      </c>
      <c r="L439" s="9">
        <v>2026</v>
      </c>
      <c r="M439" s="8" t="s">
        <v>2882</v>
      </c>
      <c r="N439" s="8" t="s">
        <v>63</v>
      </c>
      <c r="O439" s="8" t="s">
        <v>64</v>
      </c>
      <c r="P439" s="6" t="s">
        <v>306</v>
      </c>
      <c r="Q439" s="8" t="s">
        <v>65</v>
      </c>
      <c r="R439" s="10" t="s">
        <v>2883</v>
      </c>
      <c r="S439" s="11"/>
      <c r="T439" s="6"/>
      <c r="U439" s="15" t="str">
        <f>HYPERLINK("https://media.infra-m.ru/2203/2203311/cover/2203311.jpg", "Обложка")</f>
        <v>Обложка</v>
      </c>
      <c r="V439" s="8" t="s">
        <v>247</v>
      </c>
      <c r="W439" s="6"/>
      <c r="X439" s="6"/>
      <c r="Y439" s="6"/>
      <c r="Z439" s="6"/>
      <c r="AA439" s="6" t="s">
        <v>187</v>
      </c>
      <c r="AB439" s="8" t="s">
        <v>308</v>
      </c>
      <c r="AC439" s="27">
        <v>9785160209104</v>
      </c>
    </row>
    <row r="440" spans="1:29" s="4" customFormat="1" ht="42" customHeight="1" x14ac:dyDescent="0.2">
      <c r="A440" s="5">
        <v>0</v>
      </c>
      <c r="B440" s="6" t="s">
        <v>2884</v>
      </c>
      <c r="C440" s="7">
        <v>2388</v>
      </c>
      <c r="D440" s="8" t="s">
        <v>2885</v>
      </c>
      <c r="E440" s="8" t="s">
        <v>2886</v>
      </c>
      <c r="F440" s="8" t="s">
        <v>450</v>
      </c>
      <c r="G440" s="6" t="s">
        <v>60</v>
      </c>
      <c r="H440" s="6" t="s">
        <v>34</v>
      </c>
      <c r="I440" s="8" t="s">
        <v>2579</v>
      </c>
      <c r="J440" s="9">
        <v>1</v>
      </c>
      <c r="K440" s="9">
        <v>356</v>
      </c>
      <c r="L440" s="9">
        <v>2026</v>
      </c>
      <c r="M440" s="8" t="s">
        <v>2887</v>
      </c>
      <c r="N440" s="8" t="s">
        <v>63</v>
      </c>
      <c r="O440" s="8" t="s">
        <v>64</v>
      </c>
      <c r="P440" s="6" t="s">
        <v>306</v>
      </c>
      <c r="Q440" s="8" t="s">
        <v>265</v>
      </c>
      <c r="R440" s="10" t="s">
        <v>2888</v>
      </c>
      <c r="S440" s="11"/>
      <c r="T440" s="6"/>
      <c r="U440" s="15" t="str">
        <f>HYPERLINK("https://media.infra-m.ru/2212/2212034/cover/2212034.jpg", "Обложка")</f>
        <v>Обложка</v>
      </c>
      <c r="V440" s="8" t="s">
        <v>247</v>
      </c>
      <c r="W440" s="6" t="s">
        <v>342</v>
      </c>
      <c r="X440" s="6"/>
      <c r="Y440" s="6"/>
      <c r="Z440" s="6"/>
      <c r="AA440" s="6" t="s">
        <v>187</v>
      </c>
      <c r="AB440" s="8"/>
      <c r="AC440" s="27">
        <v>9785160210537</v>
      </c>
    </row>
    <row r="441" spans="1:29" s="4" customFormat="1" ht="51.9" customHeight="1" x14ac:dyDescent="0.2">
      <c r="A441" s="5">
        <v>0</v>
      </c>
      <c r="B441" s="6" t="s">
        <v>2889</v>
      </c>
      <c r="C441" s="7">
        <v>4274.3999999999996</v>
      </c>
      <c r="D441" s="8" t="s">
        <v>2890</v>
      </c>
      <c r="E441" s="8" t="s">
        <v>2891</v>
      </c>
      <c r="F441" s="8" t="s">
        <v>2892</v>
      </c>
      <c r="G441" s="6" t="s">
        <v>33</v>
      </c>
      <c r="H441" s="6" t="s">
        <v>820</v>
      </c>
      <c r="I441" s="8"/>
      <c r="J441" s="9">
        <v>1</v>
      </c>
      <c r="K441" s="9">
        <v>400</v>
      </c>
      <c r="L441" s="9">
        <v>2027</v>
      </c>
      <c r="M441" s="8" t="s">
        <v>2893</v>
      </c>
      <c r="N441" s="8" t="s">
        <v>63</v>
      </c>
      <c r="O441" s="8" t="s">
        <v>64</v>
      </c>
      <c r="P441" s="6" t="s">
        <v>306</v>
      </c>
      <c r="Q441" s="8" t="s">
        <v>65</v>
      </c>
      <c r="R441" s="10" t="s">
        <v>2894</v>
      </c>
      <c r="S441" s="11" t="s">
        <v>2895</v>
      </c>
      <c r="T441" s="6"/>
      <c r="U441" s="15" t="str">
        <f>HYPERLINK("https://media.infra-m.ru/2266/2266124/cover/2266124.jpg", "Обложка")</f>
        <v>Обложка</v>
      </c>
      <c r="V441" s="8" t="s">
        <v>2896</v>
      </c>
      <c r="W441" s="6"/>
      <c r="X441" s="6"/>
      <c r="Y441" s="6"/>
      <c r="Z441" s="6"/>
      <c r="AA441" s="6" t="s">
        <v>859</v>
      </c>
      <c r="AB441" s="8"/>
      <c r="AC441" s="27">
        <v>9785905554384</v>
      </c>
    </row>
    <row r="442" spans="1:29" s="4" customFormat="1" ht="44.1" customHeight="1" x14ac:dyDescent="0.2">
      <c r="A442" s="5">
        <v>0</v>
      </c>
      <c r="B442" s="6" t="s">
        <v>2897</v>
      </c>
      <c r="C442" s="7">
        <v>1800</v>
      </c>
      <c r="D442" s="8" t="s">
        <v>2898</v>
      </c>
      <c r="E442" s="8" t="s">
        <v>2899</v>
      </c>
      <c r="F442" s="8" t="s">
        <v>2900</v>
      </c>
      <c r="G442" s="6" t="s">
        <v>118</v>
      </c>
      <c r="H442" s="6" t="s">
        <v>34</v>
      </c>
      <c r="I442" s="8" t="s">
        <v>2579</v>
      </c>
      <c r="J442" s="9">
        <v>1</v>
      </c>
      <c r="K442" s="9">
        <v>272</v>
      </c>
      <c r="L442" s="9">
        <v>2026</v>
      </c>
      <c r="M442" s="8" t="s">
        <v>2901</v>
      </c>
      <c r="N442" s="8" t="s">
        <v>63</v>
      </c>
      <c r="O442" s="8" t="s">
        <v>64</v>
      </c>
      <c r="P442" s="6" t="s">
        <v>51</v>
      </c>
      <c r="Q442" s="8" t="s">
        <v>377</v>
      </c>
      <c r="R442" s="10" t="s">
        <v>2902</v>
      </c>
      <c r="S442" s="11"/>
      <c r="T442" s="6"/>
      <c r="U442" s="15" t="str">
        <f>HYPERLINK("https://media.infra-m.ru/2228/2228687/cover/2228687.jpg", "Обложка")</f>
        <v>Обложка</v>
      </c>
      <c r="V442" s="8" t="s">
        <v>2095</v>
      </c>
      <c r="W442" s="6"/>
      <c r="X442" s="6"/>
      <c r="Y442" s="6"/>
      <c r="Z442" s="6"/>
      <c r="AA442" s="6" t="s">
        <v>148</v>
      </c>
      <c r="AB442" s="8"/>
      <c r="AC442" s="27">
        <v>9785160216980</v>
      </c>
    </row>
    <row r="443" spans="1:29" s="4" customFormat="1" ht="51.9" customHeight="1" x14ac:dyDescent="0.2">
      <c r="A443" s="5">
        <v>0</v>
      </c>
      <c r="B443" s="6" t="s">
        <v>2903</v>
      </c>
      <c r="C443" s="7">
        <v>3136.8</v>
      </c>
      <c r="D443" s="8" t="s">
        <v>2904</v>
      </c>
      <c r="E443" s="8" t="s">
        <v>2673</v>
      </c>
      <c r="F443" s="8" t="s">
        <v>450</v>
      </c>
      <c r="G443" s="6" t="s">
        <v>60</v>
      </c>
      <c r="H443" s="6" t="s">
        <v>34</v>
      </c>
      <c r="I443" s="8" t="s">
        <v>434</v>
      </c>
      <c r="J443" s="9">
        <v>1</v>
      </c>
      <c r="K443" s="9">
        <v>503</v>
      </c>
      <c r="L443" s="9">
        <v>2026</v>
      </c>
      <c r="M443" s="8" t="s">
        <v>2905</v>
      </c>
      <c r="N443" s="8" t="s">
        <v>63</v>
      </c>
      <c r="O443" s="8" t="s">
        <v>64</v>
      </c>
      <c r="P443" s="6" t="s">
        <v>306</v>
      </c>
      <c r="Q443" s="8" t="s">
        <v>265</v>
      </c>
      <c r="R443" s="10" t="s">
        <v>2906</v>
      </c>
      <c r="S443" s="11"/>
      <c r="T443" s="6"/>
      <c r="U443" s="15" t="str">
        <f>HYPERLINK("https://media.infra-m.ru/2202/2202113/cover/2202113.jpg", "Обложка")</f>
        <v>Обложка</v>
      </c>
      <c r="V443" s="8" t="s">
        <v>247</v>
      </c>
      <c r="W443" s="6"/>
      <c r="X443" s="6"/>
      <c r="Y443" s="6"/>
      <c r="Z443" s="6"/>
      <c r="AA443" s="6" t="s">
        <v>76</v>
      </c>
      <c r="AB443" s="8" t="s">
        <v>2697</v>
      </c>
      <c r="AC443" s="27">
        <v>9785160174433</v>
      </c>
    </row>
    <row r="444" spans="1:29" s="4" customFormat="1" ht="51.9" customHeight="1" x14ac:dyDescent="0.2">
      <c r="A444" s="5">
        <v>0</v>
      </c>
      <c r="B444" s="6" t="s">
        <v>2907</v>
      </c>
      <c r="C444" s="13">
        <v>677.9</v>
      </c>
      <c r="D444" s="8" t="s">
        <v>2908</v>
      </c>
      <c r="E444" s="8" t="s">
        <v>2909</v>
      </c>
      <c r="F444" s="8" t="s">
        <v>2910</v>
      </c>
      <c r="G444" s="6" t="s">
        <v>60</v>
      </c>
      <c r="H444" s="6" t="s">
        <v>1795</v>
      </c>
      <c r="I444" s="8" t="s">
        <v>2911</v>
      </c>
      <c r="J444" s="9">
        <v>1</v>
      </c>
      <c r="K444" s="9">
        <v>192</v>
      </c>
      <c r="L444" s="9">
        <v>2017</v>
      </c>
      <c r="M444" s="8" t="s">
        <v>2912</v>
      </c>
      <c r="N444" s="8" t="s">
        <v>63</v>
      </c>
      <c r="O444" s="8" t="s">
        <v>64</v>
      </c>
      <c r="P444" s="6" t="s">
        <v>51</v>
      </c>
      <c r="Q444" s="8" t="s">
        <v>265</v>
      </c>
      <c r="R444" s="10" t="s">
        <v>2681</v>
      </c>
      <c r="S444" s="11" t="s">
        <v>2682</v>
      </c>
      <c r="T444" s="6"/>
      <c r="U444" s="12"/>
      <c r="V444" s="8" t="s">
        <v>2683</v>
      </c>
      <c r="W444" s="6"/>
      <c r="X444" s="6" t="s">
        <v>24</v>
      </c>
      <c r="Y444" s="6"/>
      <c r="Z444" s="6"/>
      <c r="AA444" s="6" t="s">
        <v>274</v>
      </c>
      <c r="AB444" s="8"/>
      <c r="AC444" s="27">
        <v>9785982814098</v>
      </c>
    </row>
    <row r="445" spans="1:29" s="4" customFormat="1" ht="42" customHeight="1" x14ac:dyDescent="0.2">
      <c r="A445" s="5">
        <v>0</v>
      </c>
      <c r="B445" s="6" t="s">
        <v>2913</v>
      </c>
      <c r="C445" s="7">
        <v>3228</v>
      </c>
      <c r="D445" s="8" t="s">
        <v>2914</v>
      </c>
      <c r="E445" s="8" t="s">
        <v>2915</v>
      </c>
      <c r="F445" s="8" t="s">
        <v>450</v>
      </c>
      <c r="G445" s="6" t="s">
        <v>60</v>
      </c>
      <c r="H445" s="6" t="s">
        <v>34</v>
      </c>
      <c r="I445" s="8" t="s">
        <v>434</v>
      </c>
      <c r="J445" s="9">
        <v>1</v>
      </c>
      <c r="K445" s="9">
        <v>524</v>
      </c>
      <c r="L445" s="9">
        <v>2025</v>
      </c>
      <c r="M445" s="8" t="s">
        <v>2916</v>
      </c>
      <c r="N445" s="8" t="s">
        <v>63</v>
      </c>
      <c r="O445" s="8" t="s">
        <v>64</v>
      </c>
      <c r="P445" s="6" t="s">
        <v>306</v>
      </c>
      <c r="Q445" s="8" t="s">
        <v>265</v>
      </c>
      <c r="R445" s="10" t="s">
        <v>2917</v>
      </c>
      <c r="S445" s="11"/>
      <c r="T445" s="6"/>
      <c r="U445" s="15" t="str">
        <f>HYPERLINK("https://media.infra-m.ru/2157/2157620/cover/2157620.jpg", "Обложка")</f>
        <v>Обложка</v>
      </c>
      <c r="V445" s="8" t="s">
        <v>247</v>
      </c>
      <c r="W445" s="6"/>
      <c r="X445" s="6"/>
      <c r="Y445" s="6"/>
      <c r="Z445" s="6"/>
      <c r="AA445" s="6" t="s">
        <v>68</v>
      </c>
      <c r="AB445" s="8" t="s">
        <v>437</v>
      </c>
      <c r="AC445" s="27">
        <v>9785160200927</v>
      </c>
    </row>
    <row r="446" spans="1:29" s="4" customFormat="1" ht="51.9" customHeight="1" x14ac:dyDescent="0.2">
      <c r="A446" s="5">
        <v>0</v>
      </c>
      <c r="B446" s="6" t="s">
        <v>2918</v>
      </c>
      <c r="C446" s="7">
        <v>3300</v>
      </c>
      <c r="D446" s="8" t="s">
        <v>2919</v>
      </c>
      <c r="E446" s="8" t="s">
        <v>2920</v>
      </c>
      <c r="F446" s="8" t="s">
        <v>450</v>
      </c>
      <c r="G446" s="6" t="s">
        <v>60</v>
      </c>
      <c r="H446" s="6" t="s">
        <v>34</v>
      </c>
      <c r="I446" s="8" t="s">
        <v>304</v>
      </c>
      <c r="J446" s="9">
        <v>1</v>
      </c>
      <c r="K446" s="9">
        <v>527</v>
      </c>
      <c r="L446" s="9">
        <v>2025</v>
      </c>
      <c r="M446" s="8" t="s">
        <v>2921</v>
      </c>
      <c r="N446" s="8" t="s">
        <v>63</v>
      </c>
      <c r="O446" s="8" t="s">
        <v>64</v>
      </c>
      <c r="P446" s="6" t="s">
        <v>306</v>
      </c>
      <c r="Q446" s="8" t="s">
        <v>65</v>
      </c>
      <c r="R446" s="10" t="s">
        <v>484</v>
      </c>
      <c r="S446" s="11"/>
      <c r="T446" s="6"/>
      <c r="U446" s="15" t="str">
        <f>HYPERLINK("https://media.infra-m.ru/2180/2180370/cover/2180370.jpg", "Обложка")</f>
        <v>Обложка</v>
      </c>
      <c r="V446" s="8" t="s">
        <v>247</v>
      </c>
      <c r="W446" s="6"/>
      <c r="X446" s="6"/>
      <c r="Y446" s="6"/>
      <c r="Z446" s="6"/>
      <c r="AA446" s="6" t="s">
        <v>68</v>
      </c>
      <c r="AB446" s="8" t="s">
        <v>2922</v>
      </c>
      <c r="AC446" s="27">
        <v>9785160205267</v>
      </c>
    </row>
    <row r="447" spans="1:29" s="4" customFormat="1" ht="51.9" customHeight="1" x14ac:dyDescent="0.2">
      <c r="A447" s="5">
        <v>0</v>
      </c>
      <c r="B447" s="6" t="s">
        <v>2923</v>
      </c>
      <c r="C447" s="13">
        <v>928.8</v>
      </c>
      <c r="D447" s="8" t="s">
        <v>2924</v>
      </c>
      <c r="E447" s="8" t="s">
        <v>2925</v>
      </c>
      <c r="F447" s="8" t="s">
        <v>2926</v>
      </c>
      <c r="G447" s="6" t="s">
        <v>33</v>
      </c>
      <c r="H447" s="6" t="s">
        <v>34</v>
      </c>
      <c r="I447" s="8" t="s">
        <v>2927</v>
      </c>
      <c r="J447" s="9">
        <v>1</v>
      </c>
      <c r="K447" s="9">
        <v>140</v>
      </c>
      <c r="L447" s="9">
        <v>2026</v>
      </c>
      <c r="M447" s="8" t="s">
        <v>2928</v>
      </c>
      <c r="N447" s="8" t="s">
        <v>63</v>
      </c>
      <c r="O447" s="8" t="s">
        <v>64</v>
      </c>
      <c r="P447" s="6" t="s">
        <v>51</v>
      </c>
      <c r="Q447" s="8" t="s">
        <v>65</v>
      </c>
      <c r="R447" s="10" t="s">
        <v>2929</v>
      </c>
      <c r="S447" s="11" t="s">
        <v>2930</v>
      </c>
      <c r="T447" s="6"/>
      <c r="U447" s="15" t="str">
        <f>HYPERLINK("https://media.infra-m.ru/2230/2230653/cover/2230653.jpg", "Обложка")</f>
        <v>Обложка</v>
      </c>
      <c r="V447" s="8" t="s">
        <v>1083</v>
      </c>
      <c r="W447" s="6"/>
      <c r="X447" s="6"/>
      <c r="Y447" s="6"/>
      <c r="Z447" s="6"/>
      <c r="AA447" s="6" t="s">
        <v>99</v>
      </c>
      <c r="AB447" s="8"/>
      <c r="AC447" s="27">
        <v>9785160172095</v>
      </c>
    </row>
    <row r="448" spans="1:29" s="4" customFormat="1" ht="42" customHeight="1" x14ac:dyDescent="0.2">
      <c r="A448" s="5">
        <v>0</v>
      </c>
      <c r="B448" s="6" t="s">
        <v>2931</v>
      </c>
      <c r="C448" s="7">
        <v>2100</v>
      </c>
      <c r="D448" s="8" t="s">
        <v>2932</v>
      </c>
      <c r="E448" s="8" t="s">
        <v>2933</v>
      </c>
      <c r="F448" s="8" t="s">
        <v>2934</v>
      </c>
      <c r="G448" s="6" t="s">
        <v>60</v>
      </c>
      <c r="H448" s="6" t="s">
        <v>34</v>
      </c>
      <c r="I448" s="8" t="s">
        <v>2579</v>
      </c>
      <c r="J448" s="9">
        <v>1</v>
      </c>
      <c r="K448" s="9">
        <v>302</v>
      </c>
      <c r="L448" s="9">
        <v>2026</v>
      </c>
      <c r="M448" s="8" t="s">
        <v>2935</v>
      </c>
      <c r="N448" s="8" t="s">
        <v>63</v>
      </c>
      <c r="O448" s="8" t="s">
        <v>64</v>
      </c>
      <c r="P448" s="6" t="s">
        <v>51</v>
      </c>
      <c r="Q448" s="8" t="s">
        <v>65</v>
      </c>
      <c r="R448" s="10" t="s">
        <v>357</v>
      </c>
      <c r="S448" s="11"/>
      <c r="T448" s="6"/>
      <c r="U448" s="15" t="str">
        <f>HYPERLINK("https://media.infra-m.ru/2228/2228128/cover/2228128.jpg", "Обложка")</f>
        <v>Обложка</v>
      </c>
      <c r="V448" s="8" t="s">
        <v>396</v>
      </c>
      <c r="W448" s="6" t="s">
        <v>649</v>
      </c>
      <c r="X448" s="6"/>
      <c r="Y448" s="6"/>
      <c r="Z448" s="6"/>
      <c r="AA448" s="6" t="s">
        <v>187</v>
      </c>
      <c r="AB448" s="8" t="s">
        <v>308</v>
      </c>
      <c r="AC448" s="27">
        <v>9785160215082</v>
      </c>
    </row>
    <row r="449" spans="1:29" s="4" customFormat="1" ht="42" customHeight="1" x14ac:dyDescent="0.2">
      <c r="A449" s="5">
        <v>0</v>
      </c>
      <c r="B449" s="6" t="s">
        <v>2936</v>
      </c>
      <c r="C449" s="7">
        <v>3180</v>
      </c>
      <c r="D449" s="8" t="s">
        <v>2937</v>
      </c>
      <c r="E449" s="8" t="s">
        <v>2938</v>
      </c>
      <c r="F449" s="8" t="s">
        <v>450</v>
      </c>
      <c r="G449" s="6" t="s">
        <v>60</v>
      </c>
      <c r="H449" s="6" t="s">
        <v>34</v>
      </c>
      <c r="I449" s="8" t="s">
        <v>2579</v>
      </c>
      <c r="J449" s="9">
        <v>1</v>
      </c>
      <c r="K449" s="9">
        <v>463</v>
      </c>
      <c r="L449" s="9">
        <v>2026</v>
      </c>
      <c r="M449" s="8" t="s">
        <v>2939</v>
      </c>
      <c r="N449" s="8" t="s">
        <v>63</v>
      </c>
      <c r="O449" s="8" t="s">
        <v>64</v>
      </c>
      <c r="P449" s="6" t="s">
        <v>306</v>
      </c>
      <c r="Q449" s="8" t="s">
        <v>65</v>
      </c>
      <c r="R449" s="10" t="s">
        <v>2940</v>
      </c>
      <c r="S449" s="11"/>
      <c r="T449" s="6"/>
      <c r="U449" s="15" t="str">
        <f>HYPERLINK("https://media.infra-m.ru/2221/2221295/cover/2221295.jpg", "Обложка")</f>
        <v>Обложка</v>
      </c>
      <c r="V449" s="8" t="s">
        <v>247</v>
      </c>
      <c r="W449" s="6" t="s">
        <v>2941</v>
      </c>
      <c r="X449" s="6"/>
      <c r="Y449" s="6"/>
      <c r="Z449" s="6"/>
      <c r="AA449" s="6" t="s">
        <v>187</v>
      </c>
      <c r="AB449" s="8" t="s">
        <v>308</v>
      </c>
      <c r="AC449" s="27">
        <v>9785160212975</v>
      </c>
    </row>
    <row r="450" spans="1:29" s="4" customFormat="1" ht="51.9" customHeight="1" x14ac:dyDescent="0.2">
      <c r="A450" s="5">
        <v>0</v>
      </c>
      <c r="B450" s="6" t="s">
        <v>2942</v>
      </c>
      <c r="C450" s="7">
        <v>2136</v>
      </c>
      <c r="D450" s="8" t="s">
        <v>2943</v>
      </c>
      <c r="E450" s="8" t="s">
        <v>2944</v>
      </c>
      <c r="F450" s="8" t="s">
        <v>450</v>
      </c>
      <c r="G450" s="6" t="s">
        <v>60</v>
      </c>
      <c r="H450" s="6" t="s">
        <v>34</v>
      </c>
      <c r="I450" s="8" t="s">
        <v>434</v>
      </c>
      <c r="J450" s="9">
        <v>1</v>
      </c>
      <c r="K450" s="9">
        <v>329</v>
      </c>
      <c r="L450" s="9">
        <v>2026</v>
      </c>
      <c r="M450" s="8" t="s">
        <v>2945</v>
      </c>
      <c r="N450" s="8" t="s">
        <v>63</v>
      </c>
      <c r="O450" s="8" t="s">
        <v>64</v>
      </c>
      <c r="P450" s="6" t="s">
        <v>306</v>
      </c>
      <c r="Q450" s="8" t="s">
        <v>265</v>
      </c>
      <c r="R450" s="10" t="s">
        <v>2946</v>
      </c>
      <c r="S450" s="11"/>
      <c r="T450" s="6"/>
      <c r="U450" s="15" t="str">
        <f>HYPERLINK("https://media.infra-m.ru/2203/2203350/cover/2203350.jpg", "Обложка")</f>
        <v>Обложка</v>
      </c>
      <c r="V450" s="8" t="s">
        <v>247</v>
      </c>
      <c r="W450" s="6"/>
      <c r="X450" s="6"/>
      <c r="Y450" s="6"/>
      <c r="Z450" s="6"/>
      <c r="AA450" s="6" t="s">
        <v>187</v>
      </c>
      <c r="AB450" s="8"/>
      <c r="AC450" s="27">
        <v>9785160209111</v>
      </c>
    </row>
    <row r="451" spans="1:29" s="4" customFormat="1" ht="42" customHeight="1" x14ac:dyDescent="0.2">
      <c r="A451" s="5">
        <v>0</v>
      </c>
      <c r="B451" s="6" t="s">
        <v>2947</v>
      </c>
      <c r="C451" s="7">
        <v>2424</v>
      </c>
      <c r="D451" s="8" t="s">
        <v>2948</v>
      </c>
      <c r="E451" s="8" t="s">
        <v>2949</v>
      </c>
      <c r="F451" s="8" t="s">
        <v>450</v>
      </c>
      <c r="G451" s="6" t="s">
        <v>60</v>
      </c>
      <c r="H451" s="6" t="s">
        <v>34</v>
      </c>
      <c r="I451" s="8" t="s">
        <v>434</v>
      </c>
      <c r="J451" s="9">
        <v>1</v>
      </c>
      <c r="K451" s="9">
        <v>388</v>
      </c>
      <c r="L451" s="9">
        <v>2025</v>
      </c>
      <c r="M451" s="8" t="s">
        <v>2950</v>
      </c>
      <c r="N451" s="8" t="s">
        <v>63</v>
      </c>
      <c r="O451" s="8" t="s">
        <v>64</v>
      </c>
      <c r="P451" s="6" t="s">
        <v>306</v>
      </c>
      <c r="Q451" s="8" t="s">
        <v>265</v>
      </c>
      <c r="R451" s="10" t="s">
        <v>2951</v>
      </c>
      <c r="S451" s="11"/>
      <c r="T451" s="6"/>
      <c r="U451" s="15" t="str">
        <f>HYPERLINK("https://media.infra-m.ru/2171/2171040/cover/2171040.jpg", "Обложка")</f>
        <v>Обложка</v>
      </c>
      <c r="V451" s="8" t="s">
        <v>247</v>
      </c>
      <c r="W451" s="6"/>
      <c r="X451" s="6"/>
      <c r="Y451" s="6"/>
      <c r="Z451" s="6"/>
      <c r="AA451" s="6" t="s">
        <v>68</v>
      </c>
      <c r="AB451" s="8" t="s">
        <v>437</v>
      </c>
      <c r="AC451" s="27">
        <v>9785160203881</v>
      </c>
    </row>
    <row r="452" spans="1:29" s="4" customFormat="1" ht="42" customHeight="1" x14ac:dyDescent="0.2">
      <c r="A452" s="5">
        <v>0</v>
      </c>
      <c r="B452" s="6" t="s">
        <v>2952</v>
      </c>
      <c r="C452" s="7">
        <v>1792.8</v>
      </c>
      <c r="D452" s="8" t="s">
        <v>2953</v>
      </c>
      <c r="E452" s="8" t="s">
        <v>2954</v>
      </c>
      <c r="F452" s="8" t="s">
        <v>368</v>
      </c>
      <c r="G452" s="6" t="s">
        <v>60</v>
      </c>
      <c r="H452" s="6" t="s">
        <v>34</v>
      </c>
      <c r="I452" s="8" t="s">
        <v>304</v>
      </c>
      <c r="J452" s="9">
        <v>1</v>
      </c>
      <c r="K452" s="9">
        <v>258</v>
      </c>
      <c r="L452" s="9">
        <v>2027</v>
      </c>
      <c r="M452" s="8" t="s">
        <v>2955</v>
      </c>
      <c r="N452" s="8" t="s">
        <v>63</v>
      </c>
      <c r="O452" s="8" t="s">
        <v>64</v>
      </c>
      <c r="P452" s="6" t="s">
        <v>306</v>
      </c>
      <c r="Q452" s="8" t="s">
        <v>500</v>
      </c>
      <c r="R452" s="10" t="s">
        <v>2956</v>
      </c>
      <c r="S452" s="11"/>
      <c r="T452" s="6"/>
      <c r="U452" s="15" t="str">
        <f>HYPERLINK("https://media.infra-m.ru/2270/2270226/cover/2270226.jpg", "Обложка")</f>
        <v>Обложка</v>
      </c>
      <c r="V452" s="8" t="s">
        <v>247</v>
      </c>
      <c r="W452" s="6"/>
      <c r="X452" s="6"/>
      <c r="Y452" s="6"/>
      <c r="Z452" s="6"/>
      <c r="AA452" s="6" t="s">
        <v>76</v>
      </c>
      <c r="AB452" s="8"/>
      <c r="AC452" s="27">
        <v>9785160196060</v>
      </c>
    </row>
    <row r="453" spans="1:29" s="4" customFormat="1" ht="51.9" customHeight="1" x14ac:dyDescent="0.2">
      <c r="A453" s="5">
        <v>0</v>
      </c>
      <c r="B453" s="6" t="s">
        <v>2957</v>
      </c>
      <c r="C453" s="7">
        <v>1316.4</v>
      </c>
      <c r="D453" s="8" t="s">
        <v>2958</v>
      </c>
      <c r="E453" s="8" t="s">
        <v>2959</v>
      </c>
      <c r="F453" s="8" t="s">
        <v>2960</v>
      </c>
      <c r="G453" s="6" t="s">
        <v>33</v>
      </c>
      <c r="H453" s="6" t="s">
        <v>48</v>
      </c>
      <c r="I453" s="8" t="s">
        <v>253</v>
      </c>
      <c r="J453" s="9">
        <v>1</v>
      </c>
      <c r="K453" s="9">
        <v>152</v>
      </c>
      <c r="L453" s="9">
        <v>2026</v>
      </c>
      <c r="M453" s="8" t="s">
        <v>2961</v>
      </c>
      <c r="N453" s="8" t="s">
        <v>63</v>
      </c>
      <c r="O453" s="8" t="s">
        <v>64</v>
      </c>
      <c r="P453" s="6" t="s">
        <v>51</v>
      </c>
      <c r="Q453" s="8" t="s">
        <v>52</v>
      </c>
      <c r="R453" s="10" t="s">
        <v>2962</v>
      </c>
      <c r="S453" s="11" t="s">
        <v>2963</v>
      </c>
      <c r="T453" s="6"/>
      <c r="U453" s="15" t="str">
        <f>HYPERLINK("https://media.infra-m.ru/2241/2241182/cover/2241182.jpg", "Обложка")</f>
        <v>Обложка</v>
      </c>
      <c r="V453" s="8" t="s">
        <v>2623</v>
      </c>
      <c r="W453" s="6"/>
      <c r="X453" s="6"/>
      <c r="Y453" s="6"/>
      <c r="Z453" s="6"/>
      <c r="AA453" s="6" t="s">
        <v>874</v>
      </c>
      <c r="AB453" s="8"/>
      <c r="AC453" s="27">
        <v>9785911349752</v>
      </c>
    </row>
    <row r="454" spans="1:29" s="4" customFormat="1" ht="42" customHeight="1" x14ac:dyDescent="0.2">
      <c r="A454" s="5">
        <v>0</v>
      </c>
      <c r="B454" s="6" t="s">
        <v>2964</v>
      </c>
      <c r="C454" s="7">
        <v>2640</v>
      </c>
      <c r="D454" s="8" t="s">
        <v>2965</v>
      </c>
      <c r="E454" s="8" t="s">
        <v>2966</v>
      </c>
      <c r="F454" s="8" t="s">
        <v>450</v>
      </c>
      <c r="G454" s="6" t="s">
        <v>60</v>
      </c>
      <c r="H454" s="6" t="s">
        <v>34</v>
      </c>
      <c r="I454" s="8" t="s">
        <v>434</v>
      </c>
      <c r="J454" s="9">
        <v>1</v>
      </c>
      <c r="K454" s="9">
        <v>422</v>
      </c>
      <c r="L454" s="9">
        <v>2025</v>
      </c>
      <c r="M454" s="8" t="s">
        <v>2967</v>
      </c>
      <c r="N454" s="8" t="s">
        <v>63</v>
      </c>
      <c r="O454" s="8" t="s">
        <v>64</v>
      </c>
      <c r="P454" s="6" t="s">
        <v>306</v>
      </c>
      <c r="Q454" s="8" t="s">
        <v>265</v>
      </c>
      <c r="R454" s="10" t="s">
        <v>2725</v>
      </c>
      <c r="S454" s="11"/>
      <c r="T454" s="6"/>
      <c r="U454" s="15" t="str">
        <f>HYPERLINK("https://media.infra-m.ru/2169/2169270/cover/2169270.jpg", "Обложка")</f>
        <v>Обложка</v>
      </c>
      <c r="V454" s="8" t="s">
        <v>247</v>
      </c>
      <c r="W454" s="6"/>
      <c r="X454" s="6"/>
      <c r="Y454" s="6"/>
      <c r="Z454" s="6"/>
      <c r="AA454" s="6" t="s">
        <v>68</v>
      </c>
      <c r="AB454" s="8"/>
      <c r="AC454" s="27">
        <v>9785160203089</v>
      </c>
    </row>
    <row r="455" spans="1:29" s="4" customFormat="1" ht="51.9" customHeight="1" x14ac:dyDescent="0.2">
      <c r="A455" s="5">
        <v>0</v>
      </c>
      <c r="B455" s="6" t="s">
        <v>2968</v>
      </c>
      <c r="C455" s="7">
        <v>2268</v>
      </c>
      <c r="D455" s="8" t="s">
        <v>2969</v>
      </c>
      <c r="E455" s="8" t="s">
        <v>2970</v>
      </c>
      <c r="F455" s="8" t="s">
        <v>450</v>
      </c>
      <c r="G455" s="6" t="s">
        <v>60</v>
      </c>
      <c r="H455" s="6" t="s">
        <v>34</v>
      </c>
      <c r="I455" s="8" t="s">
        <v>253</v>
      </c>
      <c r="J455" s="9">
        <v>1</v>
      </c>
      <c r="K455" s="9">
        <v>348</v>
      </c>
      <c r="L455" s="9">
        <v>2026</v>
      </c>
      <c r="M455" s="8" t="s">
        <v>2971</v>
      </c>
      <c r="N455" s="8" t="s">
        <v>63</v>
      </c>
      <c r="O455" s="8" t="s">
        <v>64</v>
      </c>
      <c r="P455" s="6" t="s">
        <v>306</v>
      </c>
      <c r="Q455" s="8" t="s">
        <v>65</v>
      </c>
      <c r="R455" s="10" t="s">
        <v>2972</v>
      </c>
      <c r="S455" s="11"/>
      <c r="T455" s="6"/>
      <c r="U455" s="15" t="str">
        <f>HYPERLINK("https://media.infra-m.ru/2208/2208843/cover/2208843.jpg", "Обложка")</f>
        <v>Обложка</v>
      </c>
      <c r="V455" s="8" t="s">
        <v>247</v>
      </c>
      <c r="W455" s="6"/>
      <c r="X455" s="6"/>
      <c r="Y455" s="6"/>
      <c r="Z455" s="6"/>
      <c r="AA455" s="6" t="s">
        <v>187</v>
      </c>
      <c r="AB455" s="8" t="s">
        <v>308</v>
      </c>
      <c r="AC455" s="27">
        <v>9785160209845</v>
      </c>
    </row>
    <row r="456" spans="1:29" s="4" customFormat="1" ht="51.9" customHeight="1" x14ac:dyDescent="0.2">
      <c r="A456" s="5">
        <v>0</v>
      </c>
      <c r="B456" s="6" t="s">
        <v>2973</v>
      </c>
      <c r="C456" s="7">
        <v>1576.8</v>
      </c>
      <c r="D456" s="8" t="s">
        <v>2974</v>
      </c>
      <c r="E456" s="8" t="s">
        <v>2975</v>
      </c>
      <c r="F456" s="8" t="s">
        <v>2976</v>
      </c>
      <c r="G456" s="6" t="s">
        <v>118</v>
      </c>
      <c r="H456" s="6" t="s">
        <v>34</v>
      </c>
      <c r="I456" s="8" t="s">
        <v>263</v>
      </c>
      <c r="J456" s="9">
        <v>1</v>
      </c>
      <c r="K456" s="9">
        <v>252</v>
      </c>
      <c r="L456" s="9">
        <v>2026</v>
      </c>
      <c r="M456" s="8" t="s">
        <v>2977</v>
      </c>
      <c r="N456" s="8" t="s">
        <v>63</v>
      </c>
      <c r="O456" s="8" t="s">
        <v>64</v>
      </c>
      <c r="P456" s="6" t="s">
        <v>51</v>
      </c>
      <c r="Q456" s="8" t="s">
        <v>265</v>
      </c>
      <c r="R456" s="10" t="s">
        <v>2978</v>
      </c>
      <c r="S456" s="11" t="s">
        <v>2979</v>
      </c>
      <c r="T456" s="6"/>
      <c r="U456" s="15" t="str">
        <f>HYPERLINK("https://media.infra-m.ru/2216/2216838/cover/2216838.jpg", "Обложка")</f>
        <v>Обложка</v>
      </c>
      <c r="V456" s="8" t="s">
        <v>2980</v>
      </c>
      <c r="W456" s="6"/>
      <c r="X456" s="6" t="s">
        <v>24</v>
      </c>
      <c r="Y456" s="6"/>
      <c r="Z456" s="6"/>
      <c r="AA456" s="6" t="s">
        <v>1256</v>
      </c>
      <c r="AB456" s="8" t="s">
        <v>1418</v>
      </c>
      <c r="AC456" s="27">
        <v>9785160145358</v>
      </c>
    </row>
    <row r="457" spans="1:29" s="4" customFormat="1" ht="51.9" customHeight="1" x14ac:dyDescent="0.2">
      <c r="A457" s="5">
        <v>0</v>
      </c>
      <c r="B457" s="6" t="s">
        <v>2981</v>
      </c>
      <c r="C457" s="7">
        <v>2000.4</v>
      </c>
      <c r="D457" s="8" t="s">
        <v>2982</v>
      </c>
      <c r="E457" s="8" t="s">
        <v>2983</v>
      </c>
      <c r="F457" s="8" t="s">
        <v>2984</v>
      </c>
      <c r="G457" s="6" t="s">
        <v>21</v>
      </c>
      <c r="H457" s="6" t="s">
        <v>820</v>
      </c>
      <c r="I457" s="8"/>
      <c r="J457" s="9">
        <v>1</v>
      </c>
      <c r="K457" s="9">
        <v>160</v>
      </c>
      <c r="L457" s="9">
        <v>2025</v>
      </c>
      <c r="M457" s="8" t="s">
        <v>2985</v>
      </c>
      <c r="N457" s="8" t="s">
        <v>63</v>
      </c>
      <c r="O457" s="8" t="s">
        <v>64</v>
      </c>
      <c r="P457" s="6" t="s">
        <v>51</v>
      </c>
      <c r="Q457" s="8" t="s">
        <v>52</v>
      </c>
      <c r="R457" s="10" t="s">
        <v>370</v>
      </c>
      <c r="S457" s="11" t="s">
        <v>2986</v>
      </c>
      <c r="T457" s="6" t="s">
        <v>97</v>
      </c>
      <c r="U457" s="15" t="str">
        <f>HYPERLINK("https://media.infra-m.ru/2192/2192229/cover/2192229.jpg", "Обложка")</f>
        <v>Обложка</v>
      </c>
      <c r="V457" s="8" t="s">
        <v>247</v>
      </c>
      <c r="W457" s="6"/>
      <c r="X457" s="6"/>
      <c r="Y457" s="6"/>
      <c r="Z457" s="6"/>
      <c r="AA457" s="6" t="s">
        <v>874</v>
      </c>
      <c r="AB457" s="8"/>
      <c r="AC457" s="27">
        <v>9785905554711</v>
      </c>
    </row>
    <row r="458" spans="1:29" s="4" customFormat="1" ht="42" customHeight="1" x14ac:dyDescent="0.2">
      <c r="A458" s="5">
        <v>0</v>
      </c>
      <c r="B458" s="6" t="s">
        <v>2987</v>
      </c>
      <c r="C458" s="7">
        <v>1104</v>
      </c>
      <c r="D458" s="8" t="s">
        <v>2988</v>
      </c>
      <c r="E458" s="8" t="s">
        <v>2989</v>
      </c>
      <c r="F458" s="8" t="s">
        <v>2990</v>
      </c>
      <c r="G458" s="6" t="s">
        <v>118</v>
      </c>
      <c r="H458" s="6" t="s">
        <v>313</v>
      </c>
      <c r="I458" s="8" t="s">
        <v>253</v>
      </c>
      <c r="J458" s="9">
        <v>1</v>
      </c>
      <c r="K458" s="9">
        <v>192</v>
      </c>
      <c r="L458" s="9">
        <v>2024</v>
      </c>
      <c r="M458" s="8" t="s">
        <v>2991</v>
      </c>
      <c r="N458" s="8" t="s">
        <v>63</v>
      </c>
      <c r="O458" s="8" t="s">
        <v>64</v>
      </c>
      <c r="P458" s="6" t="s">
        <v>306</v>
      </c>
      <c r="Q458" s="8" t="s">
        <v>65</v>
      </c>
      <c r="R458" s="10" t="s">
        <v>2992</v>
      </c>
      <c r="S458" s="11"/>
      <c r="T458" s="6"/>
      <c r="U458" s="15" t="str">
        <f>HYPERLINK("https://media.infra-m.ru/2078/2078399/cover/2078399.jpg", "Обложка")</f>
        <v>Обложка</v>
      </c>
      <c r="V458" s="8" t="s">
        <v>2095</v>
      </c>
      <c r="W458" s="6"/>
      <c r="X458" s="6"/>
      <c r="Y458" s="6"/>
      <c r="Z458" s="6"/>
      <c r="AA458" s="6" t="s">
        <v>779</v>
      </c>
      <c r="AB458" s="8"/>
      <c r="AC458" s="27">
        <v>9785369016008</v>
      </c>
    </row>
    <row r="459" spans="1:29" s="4" customFormat="1" ht="42" customHeight="1" x14ac:dyDescent="0.2">
      <c r="A459" s="5">
        <v>0</v>
      </c>
      <c r="B459" s="6" t="s">
        <v>2993</v>
      </c>
      <c r="C459" s="7">
        <v>2592</v>
      </c>
      <c r="D459" s="8" t="s">
        <v>2994</v>
      </c>
      <c r="E459" s="8" t="s">
        <v>2995</v>
      </c>
      <c r="F459" s="8" t="s">
        <v>450</v>
      </c>
      <c r="G459" s="6" t="s">
        <v>60</v>
      </c>
      <c r="H459" s="6" t="s">
        <v>34</v>
      </c>
      <c r="I459" s="8" t="s">
        <v>434</v>
      </c>
      <c r="J459" s="9">
        <v>1</v>
      </c>
      <c r="K459" s="9">
        <v>415</v>
      </c>
      <c r="L459" s="9">
        <v>2025</v>
      </c>
      <c r="M459" s="8" t="s">
        <v>2996</v>
      </c>
      <c r="N459" s="8" t="s">
        <v>63</v>
      </c>
      <c r="O459" s="8" t="s">
        <v>64</v>
      </c>
      <c r="P459" s="6" t="s">
        <v>306</v>
      </c>
      <c r="Q459" s="8" t="s">
        <v>265</v>
      </c>
      <c r="R459" s="10" t="s">
        <v>2997</v>
      </c>
      <c r="S459" s="11"/>
      <c r="T459" s="6"/>
      <c r="U459" s="15" t="str">
        <f>HYPERLINK("https://media.infra-m.ru/2170/2170823/cover/2170823.jpg", "Обложка")</f>
        <v>Обложка</v>
      </c>
      <c r="V459" s="8" t="s">
        <v>247</v>
      </c>
      <c r="W459" s="6"/>
      <c r="X459" s="6"/>
      <c r="Y459" s="6"/>
      <c r="Z459" s="6"/>
      <c r="AA459" s="6" t="s">
        <v>68</v>
      </c>
      <c r="AB459" s="8"/>
      <c r="AC459" s="27">
        <v>9785160203737</v>
      </c>
    </row>
    <row r="460" spans="1:29" s="4" customFormat="1" ht="42" customHeight="1" x14ac:dyDescent="0.2">
      <c r="A460" s="5">
        <v>0</v>
      </c>
      <c r="B460" s="6" t="s">
        <v>2998</v>
      </c>
      <c r="C460" s="7">
        <v>2568</v>
      </c>
      <c r="D460" s="8" t="s">
        <v>2999</v>
      </c>
      <c r="E460" s="8" t="s">
        <v>3000</v>
      </c>
      <c r="F460" s="8" t="s">
        <v>450</v>
      </c>
      <c r="G460" s="6" t="s">
        <v>60</v>
      </c>
      <c r="H460" s="6" t="s">
        <v>34</v>
      </c>
      <c r="I460" s="8" t="s">
        <v>253</v>
      </c>
      <c r="J460" s="9">
        <v>1</v>
      </c>
      <c r="K460" s="9">
        <v>410</v>
      </c>
      <c r="L460" s="9">
        <v>2025</v>
      </c>
      <c r="M460" s="8" t="s">
        <v>3001</v>
      </c>
      <c r="N460" s="8" t="s">
        <v>63</v>
      </c>
      <c r="O460" s="8" t="s">
        <v>64</v>
      </c>
      <c r="P460" s="6" t="s">
        <v>306</v>
      </c>
      <c r="Q460" s="8" t="s">
        <v>52</v>
      </c>
      <c r="R460" s="10" t="s">
        <v>3002</v>
      </c>
      <c r="S460" s="11"/>
      <c r="T460" s="6"/>
      <c r="U460" s="15" t="str">
        <f>HYPERLINK("https://media.infra-m.ru/2186/2186788/cover/2186788.jpg", "Обложка")</f>
        <v>Обложка</v>
      </c>
      <c r="V460" s="8" t="s">
        <v>247</v>
      </c>
      <c r="W460" s="6"/>
      <c r="X460" s="6"/>
      <c r="Y460" s="6"/>
      <c r="Z460" s="6"/>
      <c r="AA460" s="6" t="s">
        <v>68</v>
      </c>
      <c r="AB460" s="8" t="s">
        <v>308</v>
      </c>
      <c r="AC460" s="27">
        <v>9785160206325</v>
      </c>
    </row>
    <row r="461" spans="1:29" s="4" customFormat="1" ht="42" customHeight="1" x14ac:dyDescent="0.2">
      <c r="A461" s="5">
        <v>0</v>
      </c>
      <c r="B461" s="6" t="s">
        <v>3003</v>
      </c>
      <c r="C461" s="7">
        <v>3202.8</v>
      </c>
      <c r="D461" s="8" t="s">
        <v>3004</v>
      </c>
      <c r="E461" s="8" t="s">
        <v>3005</v>
      </c>
      <c r="F461" s="8" t="s">
        <v>3006</v>
      </c>
      <c r="G461" s="6" t="s">
        <v>118</v>
      </c>
      <c r="H461" s="6" t="s">
        <v>34</v>
      </c>
      <c r="I461" s="8" t="s">
        <v>2579</v>
      </c>
      <c r="J461" s="9">
        <v>1</v>
      </c>
      <c r="K461" s="9">
        <v>339</v>
      </c>
      <c r="L461" s="9">
        <v>2026</v>
      </c>
      <c r="M461" s="8" t="s">
        <v>3007</v>
      </c>
      <c r="N461" s="8" t="s">
        <v>63</v>
      </c>
      <c r="O461" s="8" t="s">
        <v>64</v>
      </c>
      <c r="P461" s="6" t="s">
        <v>306</v>
      </c>
      <c r="Q461" s="8" t="s">
        <v>52</v>
      </c>
      <c r="R461" s="10" t="s">
        <v>3008</v>
      </c>
      <c r="S461" s="11"/>
      <c r="T461" s="6"/>
      <c r="U461" s="15" t="str">
        <f>HYPERLINK("https://media.infra-m.ru/2263/2263644/cover/2263644.jpg", "Обложка")</f>
        <v>Обложка</v>
      </c>
      <c r="V461" s="8" t="s">
        <v>247</v>
      </c>
      <c r="W461" s="6"/>
      <c r="X461" s="6"/>
      <c r="Y461" s="6"/>
      <c r="Z461" s="6"/>
      <c r="AA461" s="6" t="s">
        <v>187</v>
      </c>
      <c r="AB461" s="8"/>
      <c r="AC461" s="27">
        <v>9785160218847</v>
      </c>
    </row>
    <row r="462" spans="1:29" s="4" customFormat="1" ht="42" customHeight="1" x14ac:dyDescent="0.2">
      <c r="A462" s="5">
        <v>0</v>
      </c>
      <c r="B462" s="6" t="s">
        <v>3009</v>
      </c>
      <c r="C462" s="7">
        <v>2352</v>
      </c>
      <c r="D462" s="8" t="s">
        <v>3010</v>
      </c>
      <c r="E462" s="8" t="s">
        <v>3011</v>
      </c>
      <c r="F462" s="8" t="s">
        <v>450</v>
      </c>
      <c r="G462" s="6" t="s">
        <v>60</v>
      </c>
      <c r="H462" s="6" t="s">
        <v>34</v>
      </c>
      <c r="I462" s="8" t="s">
        <v>304</v>
      </c>
      <c r="J462" s="9">
        <v>1</v>
      </c>
      <c r="K462" s="9">
        <v>379</v>
      </c>
      <c r="L462" s="9">
        <v>2025</v>
      </c>
      <c r="M462" s="8" t="s">
        <v>3012</v>
      </c>
      <c r="N462" s="8" t="s">
        <v>63</v>
      </c>
      <c r="O462" s="8" t="s">
        <v>64</v>
      </c>
      <c r="P462" s="6" t="s">
        <v>306</v>
      </c>
      <c r="Q462" s="8" t="s">
        <v>65</v>
      </c>
      <c r="R462" s="10" t="s">
        <v>3013</v>
      </c>
      <c r="S462" s="11"/>
      <c r="T462" s="6"/>
      <c r="U462" s="15" t="str">
        <f>HYPERLINK("https://media.infra-m.ru/2137/2137711/cover/2137711.jpg", "Обложка")</f>
        <v>Обложка</v>
      </c>
      <c r="V462" s="8" t="s">
        <v>247</v>
      </c>
      <c r="W462" s="6"/>
      <c r="X462" s="6"/>
      <c r="Y462" s="6"/>
      <c r="Z462" s="6"/>
      <c r="AA462" s="6" t="s">
        <v>68</v>
      </c>
      <c r="AB462" s="8"/>
      <c r="AC462" s="27">
        <v>9785160197999</v>
      </c>
    </row>
    <row r="463" spans="1:29" s="4" customFormat="1" ht="42" customHeight="1" x14ac:dyDescent="0.2">
      <c r="A463" s="5">
        <v>0</v>
      </c>
      <c r="B463" s="6" t="s">
        <v>3014</v>
      </c>
      <c r="C463" s="7">
        <v>2844</v>
      </c>
      <c r="D463" s="8" t="s">
        <v>3015</v>
      </c>
      <c r="E463" s="8" t="s">
        <v>3016</v>
      </c>
      <c r="F463" s="8" t="s">
        <v>450</v>
      </c>
      <c r="G463" s="6" t="s">
        <v>60</v>
      </c>
      <c r="H463" s="6" t="s">
        <v>34</v>
      </c>
      <c r="I463" s="8" t="s">
        <v>434</v>
      </c>
      <c r="J463" s="9">
        <v>1</v>
      </c>
      <c r="K463" s="9">
        <v>455</v>
      </c>
      <c r="L463" s="9">
        <v>2025</v>
      </c>
      <c r="M463" s="8" t="s">
        <v>3017</v>
      </c>
      <c r="N463" s="8" t="s">
        <v>63</v>
      </c>
      <c r="O463" s="8" t="s">
        <v>64</v>
      </c>
      <c r="P463" s="6" t="s">
        <v>306</v>
      </c>
      <c r="Q463" s="8" t="s">
        <v>265</v>
      </c>
      <c r="R463" s="10" t="s">
        <v>3018</v>
      </c>
      <c r="S463" s="11"/>
      <c r="T463" s="6"/>
      <c r="U463" s="15" t="str">
        <f>HYPERLINK("https://media.infra-m.ru/2174/2174704/cover/2174704.jpg", "Обложка")</f>
        <v>Обложка</v>
      </c>
      <c r="V463" s="8" t="s">
        <v>247</v>
      </c>
      <c r="W463" s="6"/>
      <c r="X463" s="6"/>
      <c r="Y463" s="6"/>
      <c r="Z463" s="6"/>
      <c r="AA463" s="6" t="s">
        <v>68</v>
      </c>
      <c r="AB463" s="8" t="s">
        <v>2922</v>
      </c>
      <c r="AC463" s="27">
        <v>9785160204468</v>
      </c>
    </row>
    <row r="464" spans="1:29" s="4" customFormat="1" ht="51.9" customHeight="1" x14ac:dyDescent="0.2">
      <c r="A464" s="5">
        <v>0</v>
      </c>
      <c r="B464" s="6" t="s">
        <v>3019</v>
      </c>
      <c r="C464" s="7">
        <v>2368.8000000000002</v>
      </c>
      <c r="D464" s="8" t="s">
        <v>3020</v>
      </c>
      <c r="E464" s="8" t="s">
        <v>2794</v>
      </c>
      <c r="F464" s="8" t="s">
        <v>450</v>
      </c>
      <c r="G464" s="6" t="s">
        <v>60</v>
      </c>
      <c r="H464" s="6" t="s">
        <v>34</v>
      </c>
      <c r="I464" s="8" t="s">
        <v>271</v>
      </c>
      <c r="J464" s="9">
        <v>1</v>
      </c>
      <c r="K464" s="9">
        <v>358</v>
      </c>
      <c r="L464" s="9">
        <v>2026</v>
      </c>
      <c r="M464" s="8" t="s">
        <v>3021</v>
      </c>
      <c r="N464" s="8" t="s">
        <v>63</v>
      </c>
      <c r="O464" s="8" t="s">
        <v>64</v>
      </c>
      <c r="P464" s="6" t="s">
        <v>306</v>
      </c>
      <c r="Q464" s="8" t="s">
        <v>52</v>
      </c>
      <c r="R464" s="10" t="s">
        <v>3022</v>
      </c>
      <c r="S464" s="11" t="s">
        <v>3023</v>
      </c>
      <c r="T464" s="6"/>
      <c r="U464" s="15" t="str">
        <f>HYPERLINK("https://media.infra-m.ru/2226/2226467/cover/2226467.jpg", "Обложка")</f>
        <v>Обложка</v>
      </c>
      <c r="V464" s="8" t="s">
        <v>247</v>
      </c>
      <c r="W464" s="6"/>
      <c r="X464" s="6"/>
      <c r="Y464" s="6"/>
      <c r="Z464" s="6" t="s">
        <v>632</v>
      </c>
      <c r="AA464" s="6" t="s">
        <v>148</v>
      </c>
      <c r="AB464" s="8" t="s">
        <v>3024</v>
      </c>
      <c r="AC464" s="27">
        <v>9785160175997</v>
      </c>
    </row>
    <row r="465" spans="1:29" s="4" customFormat="1" ht="42" customHeight="1" x14ac:dyDescent="0.2">
      <c r="A465" s="5">
        <v>0</v>
      </c>
      <c r="B465" s="6" t="s">
        <v>3025</v>
      </c>
      <c r="C465" s="13">
        <v>808.8</v>
      </c>
      <c r="D465" s="8" t="s">
        <v>3026</v>
      </c>
      <c r="E465" s="8" t="s">
        <v>3027</v>
      </c>
      <c r="F465" s="8" t="s">
        <v>3028</v>
      </c>
      <c r="G465" s="6" t="s">
        <v>33</v>
      </c>
      <c r="H465" s="6" t="s">
        <v>1644</v>
      </c>
      <c r="I465" s="8"/>
      <c r="J465" s="9">
        <v>1</v>
      </c>
      <c r="K465" s="9">
        <v>128</v>
      </c>
      <c r="L465" s="9">
        <v>2025</v>
      </c>
      <c r="M465" s="8" t="s">
        <v>3029</v>
      </c>
      <c r="N465" s="8" t="s">
        <v>63</v>
      </c>
      <c r="O465" s="8" t="s">
        <v>64</v>
      </c>
      <c r="P465" s="6" t="s">
        <v>51</v>
      </c>
      <c r="Q465" s="8" t="s">
        <v>52</v>
      </c>
      <c r="R465" s="10" t="s">
        <v>553</v>
      </c>
      <c r="S465" s="11"/>
      <c r="T465" s="6"/>
      <c r="U465" s="15" t="str">
        <f>HYPERLINK("https://media.infra-m.ru/2192/2192774/cover/2192774.jpg", "Обложка")</f>
        <v>Обложка</v>
      </c>
      <c r="V465" s="8" t="s">
        <v>247</v>
      </c>
      <c r="W465" s="6"/>
      <c r="X465" s="6"/>
      <c r="Y465" s="6"/>
      <c r="Z465" s="6"/>
      <c r="AA465" s="6" t="s">
        <v>1256</v>
      </c>
      <c r="AB465" s="8"/>
      <c r="AC465" s="27">
        <v>9785977605144</v>
      </c>
    </row>
    <row r="466" spans="1:29" s="4" customFormat="1" ht="51.9" customHeight="1" x14ac:dyDescent="0.2">
      <c r="A466" s="5">
        <v>0</v>
      </c>
      <c r="B466" s="6" t="s">
        <v>3030</v>
      </c>
      <c r="C466" s="7">
        <v>2268</v>
      </c>
      <c r="D466" s="8" t="s">
        <v>3031</v>
      </c>
      <c r="E466" s="8" t="s">
        <v>3032</v>
      </c>
      <c r="F466" s="8" t="s">
        <v>450</v>
      </c>
      <c r="G466" s="6" t="s">
        <v>60</v>
      </c>
      <c r="H466" s="6" t="s">
        <v>34</v>
      </c>
      <c r="I466" s="8" t="s">
        <v>2579</v>
      </c>
      <c r="J466" s="9">
        <v>1</v>
      </c>
      <c r="K466" s="9">
        <v>326</v>
      </c>
      <c r="L466" s="9">
        <v>2026</v>
      </c>
      <c r="M466" s="8" t="s">
        <v>3033</v>
      </c>
      <c r="N466" s="8" t="s">
        <v>63</v>
      </c>
      <c r="O466" s="8" t="s">
        <v>64</v>
      </c>
      <c r="P466" s="6" t="s">
        <v>306</v>
      </c>
      <c r="Q466" s="8" t="s">
        <v>65</v>
      </c>
      <c r="R466" s="10" t="s">
        <v>3034</v>
      </c>
      <c r="S466" s="11"/>
      <c r="T466" s="6"/>
      <c r="U466" s="15" t="str">
        <f>HYPERLINK("https://media.infra-m.ru/2234/2234128/cover/2234128.jpg", "Обложка")</f>
        <v>Обложка</v>
      </c>
      <c r="V466" s="8" t="s">
        <v>247</v>
      </c>
      <c r="W466" s="6" t="s">
        <v>351</v>
      </c>
      <c r="X466" s="6"/>
      <c r="Y466" s="6"/>
      <c r="Z466" s="6"/>
      <c r="AA466" s="6" t="s">
        <v>187</v>
      </c>
      <c r="AB466" s="8" t="s">
        <v>308</v>
      </c>
      <c r="AC466" s="27">
        <v>9785160216737</v>
      </c>
    </row>
    <row r="467" spans="1:29" s="4" customFormat="1" ht="51.9" customHeight="1" x14ac:dyDescent="0.2">
      <c r="A467" s="5">
        <v>0</v>
      </c>
      <c r="B467" s="6" t="s">
        <v>3035</v>
      </c>
      <c r="C467" s="7">
        <v>1108.8</v>
      </c>
      <c r="D467" s="8" t="s">
        <v>3036</v>
      </c>
      <c r="E467" s="8" t="s">
        <v>3037</v>
      </c>
      <c r="F467" s="8" t="s">
        <v>3038</v>
      </c>
      <c r="G467" s="6" t="s">
        <v>60</v>
      </c>
      <c r="H467" s="6" t="s">
        <v>34</v>
      </c>
      <c r="I467" s="8" t="s">
        <v>263</v>
      </c>
      <c r="J467" s="9">
        <v>1</v>
      </c>
      <c r="K467" s="9">
        <v>160</v>
      </c>
      <c r="L467" s="9">
        <v>2027</v>
      </c>
      <c r="M467" s="8" t="s">
        <v>3039</v>
      </c>
      <c r="N467" s="8" t="s">
        <v>63</v>
      </c>
      <c r="O467" s="8" t="s">
        <v>64</v>
      </c>
      <c r="P467" s="6" t="s">
        <v>51</v>
      </c>
      <c r="Q467" s="8" t="s">
        <v>265</v>
      </c>
      <c r="R467" s="10" t="s">
        <v>3040</v>
      </c>
      <c r="S467" s="11"/>
      <c r="T467" s="6"/>
      <c r="U467" s="15" t="str">
        <f>HYPERLINK("https://media.infra-m.ru/2270/2270232/cover/2270232.jpg", "Обложка")</f>
        <v>Обложка</v>
      </c>
      <c r="V467" s="8" t="s">
        <v>3041</v>
      </c>
      <c r="W467" s="6"/>
      <c r="X467" s="6"/>
      <c r="Y467" s="6"/>
      <c r="Z467" s="6"/>
      <c r="AA467" s="6" t="s">
        <v>76</v>
      </c>
      <c r="AB467" s="8" t="s">
        <v>3042</v>
      </c>
      <c r="AC467" s="27">
        <v>9785160183763</v>
      </c>
    </row>
    <row r="468" spans="1:29" s="4" customFormat="1" ht="42" customHeight="1" x14ac:dyDescent="0.2">
      <c r="A468" s="5">
        <v>0</v>
      </c>
      <c r="B468" s="6" t="s">
        <v>3043</v>
      </c>
      <c r="C468" s="7">
        <v>1912.8</v>
      </c>
      <c r="D468" s="8" t="s">
        <v>3044</v>
      </c>
      <c r="E468" s="8" t="s">
        <v>3045</v>
      </c>
      <c r="F468" s="8" t="s">
        <v>3046</v>
      </c>
      <c r="G468" s="6" t="s">
        <v>60</v>
      </c>
      <c r="H468" s="6" t="s">
        <v>34</v>
      </c>
      <c r="I468" s="8" t="s">
        <v>271</v>
      </c>
      <c r="J468" s="9">
        <v>1</v>
      </c>
      <c r="K468" s="9">
        <v>319</v>
      </c>
      <c r="L468" s="9">
        <v>2025</v>
      </c>
      <c r="M468" s="8" t="s">
        <v>3047</v>
      </c>
      <c r="N468" s="8" t="s">
        <v>63</v>
      </c>
      <c r="O468" s="8" t="s">
        <v>64</v>
      </c>
      <c r="P468" s="6" t="s">
        <v>51</v>
      </c>
      <c r="Q468" s="8" t="s">
        <v>52</v>
      </c>
      <c r="R468" s="10" t="s">
        <v>357</v>
      </c>
      <c r="S468" s="11"/>
      <c r="T468" s="6"/>
      <c r="U468" s="15" t="str">
        <f>HYPERLINK("https://media.infra-m.ru/2185/2185903/cover/2185903.jpg", "Обложка")</f>
        <v>Обложка</v>
      </c>
      <c r="V468" s="8" t="s">
        <v>227</v>
      </c>
      <c r="W468" s="6"/>
      <c r="X468" s="6"/>
      <c r="Y468" s="6"/>
      <c r="Z468" s="6"/>
      <c r="AA468" s="6" t="s">
        <v>718</v>
      </c>
      <c r="AB468" s="8"/>
      <c r="AC468" s="27">
        <v>9785160062549</v>
      </c>
    </row>
    <row r="469" spans="1:29" s="4" customFormat="1" ht="42" customHeight="1" x14ac:dyDescent="0.2">
      <c r="A469" s="5">
        <v>0</v>
      </c>
      <c r="B469" s="6" t="s">
        <v>3048</v>
      </c>
      <c r="C469" s="7">
        <v>2612.4</v>
      </c>
      <c r="D469" s="8" t="s">
        <v>3049</v>
      </c>
      <c r="E469" s="8" t="s">
        <v>2811</v>
      </c>
      <c r="F469" s="8" t="s">
        <v>2612</v>
      </c>
      <c r="G469" s="6" t="s">
        <v>60</v>
      </c>
      <c r="H469" s="6" t="s">
        <v>48</v>
      </c>
      <c r="I469" s="8" t="s">
        <v>271</v>
      </c>
      <c r="J469" s="9">
        <v>1</v>
      </c>
      <c r="K469" s="9">
        <v>304</v>
      </c>
      <c r="L469" s="9">
        <v>2026</v>
      </c>
      <c r="M469" s="8" t="s">
        <v>3050</v>
      </c>
      <c r="N469" s="8" t="s">
        <v>63</v>
      </c>
      <c r="O469" s="8" t="s">
        <v>64</v>
      </c>
      <c r="P469" s="6" t="s">
        <v>51</v>
      </c>
      <c r="Q469" s="8" t="s">
        <v>52</v>
      </c>
      <c r="R469" s="10" t="s">
        <v>3051</v>
      </c>
      <c r="S469" s="11"/>
      <c r="T469" s="6"/>
      <c r="U469" s="15" t="str">
        <f>HYPERLINK("https://media.infra-m.ru/2226/2226497/cover/2226497.jpg", "Обложка")</f>
        <v>Обложка</v>
      </c>
      <c r="V469" s="8" t="s">
        <v>2616</v>
      </c>
      <c r="W469" s="6"/>
      <c r="X469" s="6"/>
      <c r="Y469" s="6"/>
      <c r="Z469" s="6"/>
      <c r="AA469" s="6" t="s">
        <v>274</v>
      </c>
      <c r="AB469" s="8"/>
      <c r="AC469" s="27">
        <v>9785000910450</v>
      </c>
    </row>
    <row r="470" spans="1:29" s="4" customFormat="1" ht="51.9" customHeight="1" x14ac:dyDescent="0.2">
      <c r="A470" s="5">
        <v>0</v>
      </c>
      <c r="B470" s="6" t="s">
        <v>3052</v>
      </c>
      <c r="C470" s="7">
        <v>1320</v>
      </c>
      <c r="D470" s="8" t="s">
        <v>3053</v>
      </c>
      <c r="E470" s="8" t="s">
        <v>3054</v>
      </c>
      <c r="F470" s="8" t="s">
        <v>2620</v>
      </c>
      <c r="G470" s="6" t="s">
        <v>118</v>
      </c>
      <c r="H470" s="6" t="s">
        <v>34</v>
      </c>
      <c r="I470" s="8" t="s">
        <v>263</v>
      </c>
      <c r="J470" s="9">
        <v>1</v>
      </c>
      <c r="K470" s="9">
        <v>200</v>
      </c>
      <c r="L470" s="9">
        <v>2026</v>
      </c>
      <c r="M470" s="8" t="s">
        <v>3055</v>
      </c>
      <c r="N470" s="8" t="s">
        <v>63</v>
      </c>
      <c r="O470" s="8" t="s">
        <v>64</v>
      </c>
      <c r="P470" s="6" t="s">
        <v>51</v>
      </c>
      <c r="Q470" s="8" t="s">
        <v>265</v>
      </c>
      <c r="R470" s="10" t="s">
        <v>3056</v>
      </c>
      <c r="S470" s="11" t="s">
        <v>3057</v>
      </c>
      <c r="T470" s="6"/>
      <c r="U470" s="15" t="str">
        <f>HYPERLINK("https://media.infra-m.ru/2233/2233820/cover/2233820.jpg", "Обложка")</f>
        <v>Обложка</v>
      </c>
      <c r="V470" s="8" t="s">
        <v>2623</v>
      </c>
      <c r="W470" s="6"/>
      <c r="X470" s="6" t="s">
        <v>24</v>
      </c>
      <c r="Y470" s="6"/>
      <c r="Z470" s="6"/>
      <c r="AA470" s="6" t="s">
        <v>99</v>
      </c>
      <c r="AB470" s="8"/>
      <c r="AC470" s="27">
        <v>9785160123639</v>
      </c>
    </row>
    <row r="471" spans="1:29" s="4" customFormat="1" ht="51.9" customHeight="1" x14ac:dyDescent="0.2">
      <c r="A471" s="5">
        <v>0</v>
      </c>
      <c r="B471" s="6" t="s">
        <v>3058</v>
      </c>
      <c r="C471" s="7">
        <v>1912.8</v>
      </c>
      <c r="D471" s="8" t="s">
        <v>3059</v>
      </c>
      <c r="E471" s="8" t="s">
        <v>3045</v>
      </c>
      <c r="F471" s="8" t="s">
        <v>2844</v>
      </c>
      <c r="G471" s="6" t="s">
        <v>118</v>
      </c>
      <c r="H471" s="6" t="s">
        <v>34</v>
      </c>
      <c r="I471" s="8" t="s">
        <v>263</v>
      </c>
      <c r="J471" s="9">
        <v>1</v>
      </c>
      <c r="K471" s="9">
        <v>319</v>
      </c>
      <c r="L471" s="9">
        <v>2025</v>
      </c>
      <c r="M471" s="8" t="s">
        <v>3060</v>
      </c>
      <c r="N471" s="8" t="s">
        <v>63</v>
      </c>
      <c r="O471" s="8" t="s">
        <v>64</v>
      </c>
      <c r="P471" s="6" t="s">
        <v>51</v>
      </c>
      <c r="Q471" s="8" t="s">
        <v>265</v>
      </c>
      <c r="R471" s="10" t="s">
        <v>2200</v>
      </c>
      <c r="S471" s="11" t="s">
        <v>3061</v>
      </c>
      <c r="T471" s="6"/>
      <c r="U471" s="15" t="str">
        <f>HYPERLINK("https://media.infra-m.ru/2174/2174260/cover/2174260.jpg", "Обложка")</f>
        <v>Обложка</v>
      </c>
      <c r="V471" s="8" t="s">
        <v>227</v>
      </c>
      <c r="W471" s="6"/>
      <c r="X471" s="6"/>
      <c r="Y471" s="6"/>
      <c r="Z471" s="6" t="s">
        <v>267</v>
      </c>
      <c r="AA471" s="6" t="s">
        <v>2240</v>
      </c>
      <c r="AB471" s="8"/>
      <c r="AC471" s="27">
        <v>9785160138862</v>
      </c>
    </row>
    <row r="472" spans="1:29" s="4" customFormat="1" ht="51.9" customHeight="1" x14ac:dyDescent="0.2">
      <c r="A472" s="5">
        <v>0</v>
      </c>
      <c r="B472" s="6" t="s">
        <v>3062</v>
      </c>
      <c r="C472" s="7">
        <v>2736</v>
      </c>
      <c r="D472" s="8" t="s">
        <v>3063</v>
      </c>
      <c r="E472" s="8" t="s">
        <v>3064</v>
      </c>
      <c r="F472" s="8" t="s">
        <v>450</v>
      </c>
      <c r="G472" s="6" t="s">
        <v>118</v>
      </c>
      <c r="H472" s="6" t="s">
        <v>34</v>
      </c>
      <c r="I472" s="8" t="s">
        <v>434</v>
      </c>
      <c r="J472" s="9">
        <v>1</v>
      </c>
      <c r="K472" s="9">
        <v>393</v>
      </c>
      <c r="L472" s="9">
        <v>2026</v>
      </c>
      <c r="M472" s="8" t="s">
        <v>3065</v>
      </c>
      <c r="N472" s="8" t="s">
        <v>63</v>
      </c>
      <c r="O472" s="8" t="s">
        <v>64</v>
      </c>
      <c r="P472" s="6" t="s">
        <v>306</v>
      </c>
      <c r="Q472" s="8" t="s">
        <v>265</v>
      </c>
      <c r="R472" s="10" t="s">
        <v>3066</v>
      </c>
      <c r="S472" s="11"/>
      <c r="T472" s="6"/>
      <c r="U472" s="15" t="str">
        <f>HYPERLINK("https://media.infra-m.ru/2235/2235142/cover/2235142.jpg", "Обложка")</f>
        <v>Обложка</v>
      </c>
      <c r="V472" s="8" t="s">
        <v>247</v>
      </c>
      <c r="W472" s="6"/>
      <c r="X472" s="6"/>
      <c r="Y472" s="6"/>
      <c r="Z472" s="6"/>
      <c r="AA472" s="6" t="s">
        <v>68</v>
      </c>
      <c r="AB472" s="8"/>
      <c r="AC472" s="27">
        <v>9785160202204</v>
      </c>
    </row>
    <row r="473" spans="1:29" s="4" customFormat="1" ht="51.9" customHeight="1" x14ac:dyDescent="0.2">
      <c r="A473" s="5">
        <v>0</v>
      </c>
      <c r="B473" s="6" t="s">
        <v>3067</v>
      </c>
      <c r="C473" s="7">
        <v>1624.8</v>
      </c>
      <c r="D473" s="8" t="s">
        <v>3068</v>
      </c>
      <c r="E473" s="8" t="s">
        <v>3069</v>
      </c>
      <c r="F473" s="8" t="s">
        <v>3070</v>
      </c>
      <c r="G473" s="6" t="s">
        <v>118</v>
      </c>
      <c r="H473" s="6" t="s">
        <v>34</v>
      </c>
      <c r="I473" s="8" t="s">
        <v>271</v>
      </c>
      <c r="J473" s="9">
        <v>1</v>
      </c>
      <c r="K473" s="9">
        <v>246</v>
      </c>
      <c r="L473" s="9">
        <v>2026</v>
      </c>
      <c r="M473" s="8" t="s">
        <v>3071</v>
      </c>
      <c r="N473" s="8" t="s">
        <v>63</v>
      </c>
      <c r="O473" s="8" t="s">
        <v>64</v>
      </c>
      <c r="P473" s="6" t="s">
        <v>51</v>
      </c>
      <c r="Q473" s="8" t="s">
        <v>52</v>
      </c>
      <c r="R473" s="10" t="s">
        <v>3072</v>
      </c>
      <c r="S473" s="11" t="s">
        <v>3073</v>
      </c>
      <c r="T473" s="6"/>
      <c r="U473" s="15" t="str">
        <f>HYPERLINK("https://media.infra-m.ru/2244/2244298/cover/2244298.jpg", "Обложка")</f>
        <v>Обложка</v>
      </c>
      <c r="V473" s="8" t="s">
        <v>3074</v>
      </c>
      <c r="W473" s="6"/>
      <c r="X473" s="6"/>
      <c r="Y473" s="6"/>
      <c r="Z473" s="6"/>
      <c r="AA473" s="6" t="s">
        <v>115</v>
      </c>
      <c r="AB473" s="8"/>
      <c r="AC473" s="27">
        <v>9785160145938</v>
      </c>
    </row>
    <row r="474" spans="1:29" s="4" customFormat="1" ht="51.9" customHeight="1" x14ac:dyDescent="0.2">
      <c r="A474" s="5">
        <v>0</v>
      </c>
      <c r="B474" s="6" t="s">
        <v>3075</v>
      </c>
      <c r="C474" s="7">
        <v>1716</v>
      </c>
      <c r="D474" s="8" t="s">
        <v>3076</v>
      </c>
      <c r="E474" s="8" t="s">
        <v>3069</v>
      </c>
      <c r="F474" s="8" t="s">
        <v>3070</v>
      </c>
      <c r="G474" s="6" t="s">
        <v>118</v>
      </c>
      <c r="H474" s="6" t="s">
        <v>34</v>
      </c>
      <c r="I474" s="8" t="s">
        <v>263</v>
      </c>
      <c r="J474" s="9">
        <v>1</v>
      </c>
      <c r="K474" s="9">
        <v>246</v>
      </c>
      <c r="L474" s="9">
        <v>2027</v>
      </c>
      <c r="M474" s="8" t="s">
        <v>3077</v>
      </c>
      <c r="N474" s="8" t="s">
        <v>63</v>
      </c>
      <c r="O474" s="8" t="s">
        <v>64</v>
      </c>
      <c r="P474" s="6" t="s">
        <v>51</v>
      </c>
      <c r="Q474" s="8" t="s">
        <v>265</v>
      </c>
      <c r="R474" s="10" t="s">
        <v>3078</v>
      </c>
      <c r="S474" s="11" t="s">
        <v>3079</v>
      </c>
      <c r="T474" s="6"/>
      <c r="U474" s="15" t="str">
        <f>HYPERLINK("https://media.infra-m.ru/2266/2266089/cover/2266089.jpg", "Обложка")</f>
        <v>Обложка</v>
      </c>
      <c r="V474" s="8" t="s">
        <v>3074</v>
      </c>
      <c r="W474" s="6"/>
      <c r="X474" s="6" t="s">
        <v>24</v>
      </c>
      <c r="Y474" s="6"/>
      <c r="Z474" s="6" t="s">
        <v>267</v>
      </c>
      <c r="AA474" s="6" t="s">
        <v>115</v>
      </c>
      <c r="AB474" s="8"/>
      <c r="AC474" s="27">
        <v>9785160153674</v>
      </c>
    </row>
    <row r="475" spans="1:29" s="4" customFormat="1" ht="51.9" customHeight="1" x14ac:dyDescent="0.2">
      <c r="A475" s="5">
        <v>0</v>
      </c>
      <c r="B475" s="6" t="s">
        <v>3080</v>
      </c>
      <c r="C475" s="7">
        <v>2340</v>
      </c>
      <c r="D475" s="8" t="s">
        <v>3081</v>
      </c>
      <c r="E475" s="8" t="s">
        <v>3082</v>
      </c>
      <c r="F475" s="8" t="s">
        <v>3083</v>
      </c>
      <c r="G475" s="6" t="s">
        <v>60</v>
      </c>
      <c r="H475" s="6" t="s">
        <v>34</v>
      </c>
      <c r="I475" s="8" t="s">
        <v>1835</v>
      </c>
      <c r="J475" s="9">
        <v>1</v>
      </c>
      <c r="K475" s="9">
        <v>336</v>
      </c>
      <c r="L475" s="9">
        <v>2025</v>
      </c>
      <c r="M475" s="8" t="s">
        <v>3084</v>
      </c>
      <c r="N475" s="8" t="s">
        <v>63</v>
      </c>
      <c r="O475" s="8" t="s">
        <v>64</v>
      </c>
      <c r="P475" s="6" t="s">
        <v>1837</v>
      </c>
      <c r="Q475" s="8" t="s">
        <v>65</v>
      </c>
      <c r="R475" s="10" t="s">
        <v>3085</v>
      </c>
      <c r="S475" s="11" t="s">
        <v>3086</v>
      </c>
      <c r="T475" s="6"/>
      <c r="U475" s="15" t="str">
        <f>HYPERLINK("https://media.infra-m.ru/2141/2141117/cover/2141117.jpg", "Обложка")</f>
        <v>Обложка</v>
      </c>
      <c r="V475" s="8" t="s">
        <v>3087</v>
      </c>
      <c r="W475" s="6"/>
      <c r="X475" s="6"/>
      <c r="Y475" s="6"/>
      <c r="Z475" s="6"/>
      <c r="AA475" s="6" t="s">
        <v>68</v>
      </c>
      <c r="AB475" s="8"/>
      <c r="AC475" s="27">
        <v>9785160198620</v>
      </c>
    </row>
    <row r="476" spans="1:29" s="4" customFormat="1" ht="51.9" customHeight="1" x14ac:dyDescent="0.2">
      <c r="A476" s="5">
        <v>0</v>
      </c>
      <c r="B476" s="6" t="s">
        <v>3088</v>
      </c>
      <c r="C476" s="7">
        <v>2030.4</v>
      </c>
      <c r="D476" s="8" t="s">
        <v>3089</v>
      </c>
      <c r="E476" s="8" t="s">
        <v>3090</v>
      </c>
      <c r="F476" s="8" t="s">
        <v>3091</v>
      </c>
      <c r="G476" s="6" t="s">
        <v>118</v>
      </c>
      <c r="H476" s="6" t="s">
        <v>34</v>
      </c>
      <c r="I476" s="8" t="s">
        <v>3092</v>
      </c>
      <c r="J476" s="9">
        <v>1</v>
      </c>
      <c r="K476" s="9">
        <v>243</v>
      </c>
      <c r="L476" s="9">
        <v>2025</v>
      </c>
      <c r="M476" s="8" t="s">
        <v>3093</v>
      </c>
      <c r="N476" s="8" t="s">
        <v>63</v>
      </c>
      <c r="O476" s="8" t="s">
        <v>64</v>
      </c>
      <c r="P476" s="6" t="s">
        <v>1837</v>
      </c>
      <c r="Q476" s="8" t="s">
        <v>40</v>
      </c>
      <c r="R476" s="10" t="s">
        <v>3094</v>
      </c>
      <c r="S476" s="11"/>
      <c r="T476" s="6"/>
      <c r="U476" s="15" t="str">
        <f>HYPERLINK("https://media.infra-m.ru/2210/2210558/cover/2210558.jpg", "Обложка")</f>
        <v>Обложка</v>
      </c>
      <c r="V476" s="8" t="s">
        <v>3095</v>
      </c>
      <c r="W476" s="6"/>
      <c r="X476" s="6"/>
      <c r="Y476" s="6"/>
      <c r="Z476" s="6"/>
      <c r="AA476" s="6" t="s">
        <v>55</v>
      </c>
      <c r="AB476" s="8"/>
      <c r="AC476" s="27">
        <v>9785160051734</v>
      </c>
    </row>
    <row r="477" spans="1:29" s="4" customFormat="1" ht="51.9" customHeight="1" x14ac:dyDescent="0.2">
      <c r="A477" s="5">
        <v>0</v>
      </c>
      <c r="B477" s="6" t="s">
        <v>3096</v>
      </c>
      <c r="C477" s="7">
        <v>1560</v>
      </c>
      <c r="D477" s="8" t="s">
        <v>3097</v>
      </c>
      <c r="E477" s="8" t="s">
        <v>3098</v>
      </c>
      <c r="F477" s="8" t="s">
        <v>3099</v>
      </c>
      <c r="G477" s="6" t="s">
        <v>118</v>
      </c>
      <c r="H477" s="6" t="s">
        <v>34</v>
      </c>
      <c r="I477" s="8" t="s">
        <v>1835</v>
      </c>
      <c r="J477" s="9">
        <v>1</v>
      </c>
      <c r="K477" s="9">
        <v>238</v>
      </c>
      <c r="L477" s="9">
        <v>2026</v>
      </c>
      <c r="M477" s="8" t="s">
        <v>3100</v>
      </c>
      <c r="N477" s="8" t="s">
        <v>63</v>
      </c>
      <c r="O477" s="8" t="s">
        <v>64</v>
      </c>
      <c r="P477" s="6" t="s">
        <v>1837</v>
      </c>
      <c r="Q477" s="8" t="s">
        <v>40</v>
      </c>
      <c r="R477" s="10" t="s">
        <v>3101</v>
      </c>
      <c r="S477" s="11"/>
      <c r="T477" s="6"/>
      <c r="U477" s="15" t="str">
        <f>HYPERLINK("https://media.infra-m.ru/2249/2249158/cover/2249158.jpg", "Обложка")</f>
        <v>Обложка</v>
      </c>
      <c r="V477" s="8" t="s">
        <v>3102</v>
      </c>
      <c r="W477" s="6"/>
      <c r="X477" s="6"/>
      <c r="Y477" s="6"/>
      <c r="Z477" s="6"/>
      <c r="AA477" s="6" t="s">
        <v>99</v>
      </c>
      <c r="AB477" s="8"/>
      <c r="AC477" s="27">
        <v>9785160124490</v>
      </c>
    </row>
    <row r="478" spans="1:29" s="4" customFormat="1" ht="44.1" customHeight="1" x14ac:dyDescent="0.2">
      <c r="A478" s="5">
        <v>0</v>
      </c>
      <c r="B478" s="6" t="s">
        <v>3103</v>
      </c>
      <c r="C478" s="7">
        <v>2416.8000000000002</v>
      </c>
      <c r="D478" s="8" t="s">
        <v>3104</v>
      </c>
      <c r="E478" s="8" t="s">
        <v>3105</v>
      </c>
      <c r="F478" s="8" t="s">
        <v>3106</v>
      </c>
      <c r="G478" s="6" t="s">
        <v>60</v>
      </c>
      <c r="H478" s="6" t="s">
        <v>34</v>
      </c>
      <c r="I478" s="8" t="s">
        <v>35</v>
      </c>
      <c r="J478" s="9">
        <v>1</v>
      </c>
      <c r="K478" s="9">
        <v>367</v>
      </c>
      <c r="L478" s="9">
        <v>2026</v>
      </c>
      <c r="M478" s="8" t="s">
        <v>3107</v>
      </c>
      <c r="N478" s="8" t="s">
        <v>37</v>
      </c>
      <c r="O478" s="8" t="s">
        <v>83</v>
      </c>
      <c r="P478" s="6" t="s">
        <v>39</v>
      </c>
      <c r="Q478" s="8" t="s">
        <v>40</v>
      </c>
      <c r="R478" s="10" t="s">
        <v>3108</v>
      </c>
      <c r="S478" s="11"/>
      <c r="T478" s="6"/>
      <c r="U478" s="15" t="str">
        <f>HYPERLINK("https://media.infra-m.ru/2253/2253773/cover/2253773.jpg", "Обложка")</f>
        <v>Обложка</v>
      </c>
      <c r="V478" s="8" t="s">
        <v>3109</v>
      </c>
      <c r="W478" s="6"/>
      <c r="X478" s="6"/>
      <c r="Y478" s="6"/>
      <c r="Z478" s="6"/>
      <c r="AA478" s="6" t="s">
        <v>157</v>
      </c>
      <c r="AB478" s="8"/>
      <c r="AC478" s="27">
        <v>9785160178141</v>
      </c>
    </row>
    <row r="479" spans="1:29" s="4" customFormat="1" ht="42" customHeight="1" x14ac:dyDescent="0.2">
      <c r="A479" s="5">
        <v>0</v>
      </c>
      <c r="B479" s="6" t="s">
        <v>3110</v>
      </c>
      <c r="C479" s="13">
        <v>996</v>
      </c>
      <c r="D479" s="8" t="s">
        <v>3111</v>
      </c>
      <c r="E479" s="8" t="s">
        <v>3112</v>
      </c>
      <c r="F479" s="8" t="s">
        <v>3113</v>
      </c>
      <c r="G479" s="6" t="s">
        <v>60</v>
      </c>
      <c r="H479" s="6" t="s">
        <v>34</v>
      </c>
      <c r="I479" s="8" t="s">
        <v>1248</v>
      </c>
      <c r="J479" s="9">
        <v>1</v>
      </c>
      <c r="K479" s="9">
        <v>160</v>
      </c>
      <c r="L479" s="9">
        <v>2025</v>
      </c>
      <c r="M479" s="8" t="s">
        <v>3114</v>
      </c>
      <c r="N479" s="8" t="s">
        <v>37</v>
      </c>
      <c r="O479" s="8" t="s">
        <v>50</v>
      </c>
      <c r="P479" s="6" t="s">
        <v>51</v>
      </c>
      <c r="Q479" s="8" t="s">
        <v>65</v>
      </c>
      <c r="R479" s="10" t="s">
        <v>3115</v>
      </c>
      <c r="S479" s="11"/>
      <c r="T479" s="6"/>
      <c r="U479" s="15" t="str">
        <f>HYPERLINK("https://media.infra-m.ru/2162/2162077/cover/2162077.jpg", "Обложка")</f>
        <v>Обложка</v>
      </c>
      <c r="V479" s="8" t="s">
        <v>1083</v>
      </c>
      <c r="W479" s="6"/>
      <c r="X479" s="6"/>
      <c r="Y479" s="6"/>
      <c r="Z479" s="6"/>
      <c r="AA479" s="6" t="s">
        <v>68</v>
      </c>
      <c r="AB479" s="8"/>
      <c r="AC479" s="27">
        <v>9785160201801</v>
      </c>
    </row>
    <row r="480" spans="1:29" s="4" customFormat="1" ht="51.9" customHeight="1" x14ac:dyDescent="0.2">
      <c r="A480" s="5">
        <v>0</v>
      </c>
      <c r="B480" s="6" t="s">
        <v>3116</v>
      </c>
      <c r="C480" s="7">
        <v>3120</v>
      </c>
      <c r="D480" s="8" t="s">
        <v>3117</v>
      </c>
      <c r="E480" s="8" t="s">
        <v>3118</v>
      </c>
      <c r="F480" s="8" t="s">
        <v>489</v>
      </c>
      <c r="G480" s="6" t="s">
        <v>60</v>
      </c>
      <c r="H480" s="6" t="s">
        <v>34</v>
      </c>
      <c r="I480" s="8" t="s">
        <v>3119</v>
      </c>
      <c r="J480" s="9">
        <v>1</v>
      </c>
      <c r="K480" s="9">
        <v>506</v>
      </c>
      <c r="L480" s="9">
        <v>2026</v>
      </c>
      <c r="M480" s="8" t="s">
        <v>3120</v>
      </c>
      <c r="N480" s="8" t="s">
        <v>37</v>
      </c>
      <c r="O480" s="8" t="s">
        <v>136</v>
      </c>
      <c r="P480" s="6" t="s">
        <v>306</v>
      </c>
      <c r="Q480" s="8" t="s">
        <v>65</v>
      </c>
      <c r="R480" s="10" t="s">
        <v>3121</v>
      </c>
      <c r="S480" s="11" t="s">
        <v>3122</v>
      </c>
      <c r="T480" s="6"/>
      <c r="U480" s="15" t="str">
        <f>HYPERLINK("https://media.infra-m.ru/2218/2218787/cover/2218787.jpg", "Обложка")</f>
        <v>Обложка</v>
      </c>
      <c r="V480" s="8" t="s">
        <v>396</v>
      </c>
      <c r="W480" s="6"/>
      <c r="X480" s="6"/>
      <c r="Y480" s="6"/>
      <c r="Z480" s="6"/>
      <c r="AA480" s="6" t="s">
        <v>76</v>
      </c>
      <c r="AB480" s="8"/>
      <c r="AC480" s="27">
        <v>9785160193557</v>
      </c>
    </row>
    <row r="481" spans="1:29" s="4" customFormat="1" ht="51.9" customHeight="1" x14ac:dyDescent="0.2">
      <c r="A481" s="5">
        <v>0</v>
      </c>
      <c r="B481" s="6" t="s">
        <v>3123</v>
      </c>
      <c r="C481" s="7">
        <v>1588.8</v>
      </c>
      <c r="D481" s="8" t="s">
        <v>3124</v>
      </c>
      <c r="E481" s="8" t="s">
        <v>3125</v>
      </c>
      <c r="F481" s="8" t="s">
        <v>3126</v>
      </c>
      <c r="G481" s="6" t="s">
        <v>118</v>
      </c>
      <c r="H481" s="6" t="s">
        <v>34</v>
      </c>
      <c r="I481" s="8" t="s">
        <v>271</v>
      </c>
      <c r="J481" s="9">
        <v>1</v>
      </c>
      <c r="K481" s="9">
        <v>240</v>
      </c>
      <c r="L481" s="9">
        <v>2026</v>
      </c>
      <c r="M481" s="8" t="s">
        <v>3127</v>
      </c>
      <c r="N481" s="8" t="s">
        <v>37</v>
      </c>
      <c r="O481" s="8" t="s">
        <v>280</v>
      </c>
      <c r="P481" s="6" t="s">
        <v>51</v>
      </c>
      <c r="Q481" s="8" t="s">
        <v>52</v>
      </c>
      <c r="R481" s="10" t="s">
        <v>3128</v>
      </c>
      <c r="S481" s="11" t="s">
        <v>3129</v>
      </c>
      <c r="T481" s="6"/>
      <c r="U481" s="15" t="str">
        <f>HYPERLINK("https://media.infra-m.ru/2238/2238191/cover/2238191.jpg", "Обложка")</f>
        <v>Обложка</v>
      </c>
      <c r="V481" s="8" t="s">
        <v>3130</v>
      </c>
      <c r="W481" s="6"/>
      <c r="X481" s="6"/>
      <c r="Y481" s="6"/>
      <c r="Z481" s="6"/>
      <c r="AA481" s="6" t="s">
        <v>274</v>
      </c>
      <c r="AB481" s="8"/>
      <c r="AC481" s="27">
        <v>9785160098784</v>
      </c>
    </row>
    <row r="482" spans="1:29" s="4" customFormat="1" ht="42" customHeight="1" x14ac:dyDescent="0.2">
      <c r="A482" s="5">
        <v>0</v>
      </c>
      <c r="B482" s="6" t="s">
        <v>3131</v>
      </c>
      <c r="C482" s="7">
        <v>1060.8</v>
      </c>
      <c r="D482" s="8" t="s">
        <v>3132</v>
      </c>
      <c r="E482" s="8" t="s">
        <v>3133</v>
      </c>
      <c r="F482" s="8" t="s">
        <v>3134</v>
      </c>
      <c r="G482" s="6" t="s">
        <v>33</v>
      </c>
      <c r="H482" s="6" t="s">
        <v>134</v>
      </c>
      <c r="I482" s="8"/>
      <c r="J482" s="9">
        <v>1</v>
      </c>
      <c r="K482" s="9">
        <v>160</v>
      </c>
      <c r="L482" s="9">
        <v>2026</v>
      </c>
      <c r="M482" s="8" t="s">
        <v>3135</v>
      </c>
      <c r="N482" s="8" t="s">
        <v>37</v>
      </c>
      <c r="O482" s="8" t="s">
        <v>136</v>
      </c>
      <c r="P482" s="6" t="s">
        <v>39</v>
      </c>
      <c r="Q482" s="8" t="s">
        <v>40</v>
      </c>
      <c r="R482" s="10" t="s">
        <v>1625</v>
      </c>
      <c r="S482" s="11"/>
      <c r="T482" s="6"/>
      <c r="U482" s="15" t="str">
        <f>HYPERLINK("https://media.infra-m.ru/2245/2245213/cover/2245213.jpg", "Обложка")</f>
        <v>Обложка</v>
      </c>
      <c r="V482" s="8" t="s">
        <v>1184</v>
      </c>
      <c r="W482" s="6"/>
      <c r="X482" s="6"/>
      <c r="Y482" s="6"/>
      <c r="Z482" s="6"/>
      <c r="AA482" s="6" t="s">
        <v>248</v>
      </c>
      <c r="AB482" s="8"/>
      <c r="AC482" s="27">
        <v>9785917684512</v>
      </c>
    </row>
    <row r="483" spans="1:29" s="4" customFormat="1" ht="51.9" customHeight="1" x14ac:dyDescent="0.2">
      <c r="A483" s="5">
        <v>0</v>
      </c>
      <c r="B483" s="6" t="s">
        <v>3136</v>
      </c>
      <c r="C483" s="13">
        <v>864</v>
      </c>
      <c r="D483" s="8" t="s">
        <v>3137</v>
      </c>
      <c r="E483" s="8" t="s">
        <v>3138</v>
      </c>
      <c r="F483" s="8" t="s">
        <v>3139</v>
      </c>
      <c r="G483" s="6" t="s">
        <v>33</v>
      </c>
      <c r="H483" s="6" t="s">
        <v>34</v>
      </c>
      <c r="I483" s="8" t="s">
        <v>1074</v>
      </c>
      <c r="J483" s="9">
        <v>1</v>
      </c>
      <c r="K483" s="9">
        <v>124</v>
      </c>
      <c r="L483" s="9">
        <v>2026</v>
      </c>
      <c r="M483" s="8" t="s">
        <v>3140</v>
      </c>
      <c r="N483" s="8" t="s">
        <v>37</v>
      </c>
      <c r="O483" s="8" t="s">
        <v>280</v>
      </c>
      <c r="P483" s="6" t="s">
        <v>3141</v>
      </c>
      <c r="Q483" s="8" t="s">
        <v>40</v>
      </c>
      <c r="R483" s="10" t="s">
        <v>3142</v>
      </c>
      <c r="S483" s="11"/>
      <c r="T483" s="6"/>
      <c r="U483" s="15" t="str">
        <f>HYPERLINK("https://media.infra-m.ru/2258/2258662/cover/2258662.jpg", "Обложка")</f>
        <v>Обложка</v>
      </c>
      <c r="V483" s="8" t="s">
        <v>138</v>
      </c>
      <c r="W483" s="6"/>
      <c r="X483" s="6"/>
      <c r="Y483" s="6"/>
      <c r="Z483" s="6"/>
      <c r="AA483" s="6" t="s">
        <v>86</v>
      </c>
      <c r="AB483" s="8"/>
      <c r="AC483" s="27">
        <v>9785160137360</v>
      </c>
    </row>
    <row r="484" spans="1:29" s="4" customFormat="1" ht="51.9" customHeight="1" x14ac:dyDescent="0.2">
      <c r="A484" s="5">
        <v>0</v>
      </c>
      <c r="B484" s="6" t="s">
        <v>3143</v>
      </c>
      <c r="C484" s="7">
        <v>1644</v>
      </c>
      <c r="D484" s="8" t="s">
        <v>3144</v>
      </c>
      <c r="E484" s="8" t="s">
        <v>3145</v>
      </c>
      <c r="F484" s="8" t="s">
        <v>3146</v>
      </c>
      <c r="G484" s="6" t="s">
        <v>118</v>
      </c>
      <c r="H484" s="6" t="s">
        <v>34</v>
      </c>
      <c r="I484" s="8" t="s">
        <v>1074</v>
      </c>
      <c r="J484" s="9">
        <v>1</v>
      </c>
      <c r="K484" s="9">
        <v>296</v>
      </c>
      <c r="L484" s="9">
        <v>2024</v>
      </c>
      <c r="M484" s="8" t="s">
        <v>3147</v>
      </c>
      <c r="N484" s="8" t="s">
        <v>37</v>
      </c>
      <c r="O484" s="8" t="s">
        <v>136</v>
      </c>
      <c r="P484" s="6" t="s">
        <v>39</v>
      </c>
      <c r="Q484" s="8" t="s">
        <v>40</v>
      </c>
      <c r="R484" s="10" t="s">
        <v>3148</v>
      </c>
      <c r="S484" s="11"/>
      <c r="T484" s="6"/>
      <c r="U484" s="15" t="str">
        <f>HYPERLINK("https://media.infra-m.ru/2122/2122502/cover/2122502.jpg", "Обложка")</f>
        <v>Обложка</v>
      </c>
      <c r="V484" s="8" t="s">
        <v>138</v>
      </c>
      <c r="W484" s="6"/>
      <c r="X484" s="6"/>
      <c r="Y484" s="6"/>
      <c r="Z484" s="6"/>
      <c r="AA484" s="6" t="s">
        <v>779</v>
      </c>
      <c r="AB484" s="8"/>
      <c r="AC484" s="27">
        <v>9785160110332</v>
      </c>
    </row>
    <row r="485" spans="1:29" s="4" customFormat="1" ht="42" customHeight="1" x14ac:dyDescent="0.2">
      <c r="A485" s="5">
        <v>0</v>
      </c>
      <c r="B485" s="6" t="s">
        <v>3149</v>
      </c>
      <c r="C485" s="13">
        <v>600</v>
      </c>
      <c r="D485" s="8" t="s">
        <v>3150</v>
      </c>
      <c r="E485" s="8" t="s">
        <v>3151</v>
      </c>
      <c r="F485" s="8" t="s">
        <v>3152</v>
      </c>
      <c r="G485" s="6" t="s">
        <v>33</v>
      </c>
      <c r="H485" s="6" t="s">
        <v>34</v>
      </c>
      <c r="I485" s="8" t="s">
        <v>35</v>
      </c>
      <c r="J485" s="9">
        <v>1</v>
      </c>
      <c r="K485" s="9">
        <v>111</v>
      </c>
      <c r="L485" s="9">
        <v>2023</v>
      </c>
      <c r="M485" s="8" t="s">
        <v>3153</v>
      </c>
      <c r="N485" s="8" t="s">
        <v>37</v>
      </c>
      <c r="O485" s="8" t="s">
        <v>233</v>
      </c>
      <c r="P485" s="6" t="s">
        <v>39</v>
      </c>
      <c r="Q485" s="8" t="s">
        <v>40</v>
      </c>
      <c r="R485" s="10" t="s">
        <v>1646</v>
      </c>
      <c r="S485" s="11"/>
      <c r="T485" s="6"/>
      <c r="U485" s="15" t="str">
        <f>HYPERLINK("https://media.infra-m.ru/1937/1937967/cover/1937967.jpg", "Обложка")</f>
        <v>Обложка</v>
      </c>
      <c r="V485" s="8" t="s">
        <v>3154</v>
      </c>
      <c r="W485" s="6"/>
      <c r="X485" s="6"/>
      <c r="Y485" s="6"/>
      <c r="Z485" s="6"/>
      <c r="AA485" s="6" t="s">
        <v>55</v>
      </c>
      <c r="AB485" s="8"/>
      <c r="AC485" s="27">
        <v>9785160095523</v>
      </c>
    </row>
    <row r="486" spans="1:29" s="4" customFormat="1" ht="51.9" customHeight="1" x14ac:dyDescent="0.2">
      <c r="A486" s="5">
        <v>0</v>
      </c>
      <c r="B486" s="6" t="s">
        <v>3155</v>
      </c>
      <c r="C486" s="7">
        <v>1908</v>
      </c>
      <c r="D486" s="8" t="s">
        <v>3156</v>
      </c>
      <c r="E486" s="8" t="s">
        <v>3157</v>
      </c>
      <c r="F486" s="8" t="s">
        <v>3158</v>
      </c>
      <c r="G486" s="6" t="s">
        <v>118</v>
      </c>
      <c r="H486" s="6" t="s">
        <v>1644</v>
      </c>
      <c r="I486" s="8"/>
      <c r="J486" s="9">
        <v>1</v>
      </c>
      <c r="K486" s="9">
        <v>304</v>
      </c>
      <c r="L486" s="9">
        <v>2025</v>
      </c>
      <c r="M486" s="8" t="s">
        <v>3159</v>
      </c>
      <c r="N486" s="8" t="s">
        <v>37</v>
      </c>
      <c r="O486" s="8" t="s">
        <v>280</v>
      </c>
      <c r="P486" s="6" t="s">
        <v>39</v>
      </c>
      <c r="Q486" s="8" t="s">
        <v>40</v>
      </c>
      <c r="R486" s="10" t="s">
        <v>1993</v>
      </c>
      <c r="S486" s="11"/>
      <c r="T486" s="6"/>
      <c r="U486" s="15" t="str">
        <f>HYPERLINK("https://media.infra-m.ru/2202/2202332/cover/2202332.jpg", "Обложка")</f>
        <v>Обложка</v>
      </c>
      <c r="V486" s="8" t="s">
        <v>247</v>
      </c>
      <c r="W486" s="6"/>
      <c r="X486" s="6"/>
      <c r="Y486" s="6"/>
      <c r="Z486" s="6"/>
      <c r="AA486" s="6" t="s">
        <v>2240</v>
      </c>
      <c r="AB486" s="8"/>
      <c r="AC486" s="27">
        <v>9785977604994</v>
      </c>
    </row>
    <row r="487" spans="1:29" s="4" customFormat="1" ht="51.9" customHeight="1" x14ac:dyDescent="0.2">
      <c r="A487" s="5">
        <v>0</v>
      </c>
      <c r="B487" s="6" t="s">
        <v>3160</v>
      </c>
      <c r="C487" s="13">
        <v>977.9</v>
      </c>
      <c r="D487" s="8" t="s">
        <v>3161</v>
      </c>
      <c r="E487" s="8" t="s">
        <v>3162</v>
      </c>
      <c r="F487" s="8" t="s">
        <v>3158</v>
      </c>
      <c r="G487" s="6" t="s">
        <v>33</v>
      </c>
      <c r="H487" s="6" t="s">
        <v>1644</v>
      </c>
      <c r="I487" s="8"/>
      <c r="J487" s="9">
        <v>1</v>
      </c>
      <c r="K487" s="9">
        <v>240</v>
      </c>
      <c r="L487" s="9">
        <v>2019</v>
      </c>
      <c r="M487" s="8" t="s">
        <v>3163</v>
      </c>
      <c r="N487" s="8" t="s">
        <v>37</v>
      </c>
      <c r="O487" s="8" t="s">
        <v>280</v>
      </c>
      <c r="P487" s="6" t="s">
        <v>39</v>
      </c>
      <c r="Q487" s="8" t="s">
        <v>40</v>
      </c>
      <c r="R487" s="10" t="s">
        <v>1993</v>
      </c>
      <c r="S487" s="11"/>
      <c r="T487" s="6"/>
      <c r="U487" s="15" t="str">
        <f>HYPERLINK("https://media.infra-m.ru/1015/1015851/cover/1015851.jpg", "Обложка")</f>
        <v>Обложка</v>
      </c>
      <c r="V487" s="8" t="s">
        <v>247</v>
      </c>
      <c r="W487" s="6"/>
      <c r="X487" s="6"/>
      <c r="Y487" s="6"/>
      <c r="Z487" s="6"/>
      <c r="AA487" s="6" t="s">
        <v>43</v>
      </c>
      <c r="AB487" s="8"/>
      <c r="AC487" s="27">
        <v>9785977602471</v>
      </c>
    </row>
    <row r="488" spans="1:29" s="4" customFormat="1" ht="42" customHeight="1" x14ac:dyDescent="0.2">
      <c r="A488" s="5">
        <v>0</v>
      </c>
      <c r="B488" s="6" t="s">
        <v>3164</v>
      </c>
      <c r="C488" s="7">
        <v>1024.8</v>
      </c>
      <c r="D488" s="8" t="s">
        <v>3165</v>
      </c>
      <c r="E488" s="8" t="s">
        <v>3166</v>
      </c>
      <c r="F488" s="8" t="s">
        <v>3167</v>
      </c>
      <c r="G488" s="6" t="s">
        <v>33</v>
      </c>
      <c r="H488" s="6" t="s">
        <v>34</v>
      </c>
      <c r="I488" s="8" t="s">
        <v>35</v>
      </c>
      <c r="J488" s="9">
        <v>1</v>
      </c>
      <c r="K488" s="9">
        <v>169</v>
      </c>
      <c r="L488" s="9">
        <v>2025</v>
      </c>
      <c r="M488" s="8" t="s">
        <v>3168</v>
      </c>
      <c r="N488" s="8" t="s">
        <v>37</v>
      </c>
      <c r="O488" s="8" t="s">
        <v>280</v>
      </c>
      <c r="P488" s="6" t="s">
        <v>39</v>
      </c>
      <c r="Q488" s="8" t="s">
        <v>40</v>
      </c>
      <c r="R488" s="10" t="s">
        <v>3169</v>
      </c>
      <c r="S488" s="11"/>
      <c r="T488" s="6"/>
      <c r="U488" s="15" t="str">
        <f>HYPERLINK("https://media.infra-m.ru/2181/2181367/cover/2181367.jpg", "Обложка")</f>
        <v>Обложка</v>
      </c>
      <c r="V488" s="8" t="s">
        <v>247</v>
      </c>
      <c r="W488" s="6"/>
      <c r="X488" s="6"/>
      <c r="Y488" s="6"/>
      <c r="Z488" s="6"/>
      <c r="AA488" s="6" t="s">
        <v>779</v>
      </c>
      <c r="AB488" s="8"/>
      <c r="AC488" s="27">
        <v>9785160111377</v>
      </c>
    </row>
    <row r="489" spans="1:29" s="4" customFormat="1" ht="51.9" customHeight="1" x14ac:dyDescent="0.2">
      <c r="A489" s="5">
        <v>0</v>
      </c>
      <c r="B489" s="6" t="s">
        <v>3170</v>
      </c>
      <c r="C489" s="7">
        <v>1000.8</v>
      </c>
      <c r="D489" s="8" t="s">
        <v>3171</v>
      </c>
      <c r="E489" s="8" t="s">
        <v>3172</v>
      </c>
      <c r="F489" s="8" t="s">
        <v>3173</v>
      </c>
      <c r="G489" s="6" t="s">
        <v>33</v>
      </c>
      <c r="H489" s="6" t="s">
        <v>34</v>
      </c>
      <c r="I489" s="8" t="s">
        <v>253</v>
      </c>
      <c r="J489" s="9">
        <v>1</v>
      </c>
      <c r="K489" s="9">
        <v>143</v>
      </c>
      <c r="L489" s="9">
        <v>2027</v>
      </c>
      <c r="M489" s="8" t="s">
        <v>3174</v>
      </c>
      <c r="N489" s="8" t="s">
        <v>37</v>
      </c>
      <c r="O489" s="8" t="s">
        <v>280</v>
      </c>
      <c r="P489" s="6" t="s">
        <v>306</v>
      </c>
      <c r="Q489" s="8" t="s">
        <v>65</v>
      </c>
      <c r="R489" s="10" t="s">
        <v>3175</v>
      </c>
      <c r="S489" s="11" t="s">
        <v>3176</v>
      </c>
      <c r="T489" s="6"/>
      <c r="U489" s="15" t="str">
        <f>HYPERLINK("https://media.infra-m.ru/2267/2267152/cover/2267152.jpg", "Обложка")</f>
        <v>Обложка</v>
      </c>
      <c r="V489" s="8" t="s">
        <v>3177</v>
      </c>
      <c r="W489" s="6"/>
      <c r="X489" s="6"/>
      <c r="Y489" s="6"/>
      <c r="Z489" s="6"/>
      <c r="AA489" s="6" t="s">
        <v>779</v>
      </c>
      <c r="AB489" s="8"/>
      <c r="AC489" s="27">
        <v>9785160188416</v>
      </c>
    </row>
    <row r="490" spans="1:29" s="4" customFormat="1" ht="51.9" customHeight="1" x14ac:dyDescent="0.2">
      <c r="A490" s="5">
        <v>0</v>
      </c>
      <c r="B490" s="6" t="s">
        <v>3178</v>
      </c>
      <c r="C490" s="7">
        <v>1440</v>
      </c>
      <c r="D490" s="8" t="s">
        <v>3179</v>
      </c>
      <c r="E490" s="8" t="s">
        <v>3180</v>
      </c>
      <c r="F490" s="8" t="s">
        <v>3181</v>
      </c>
      <c r="G490" s="6" t="s">
        <v>118</v>
      </c>
      <c r="H490" s="6" t="s">
        <v>34</v>
      </c>
      <c r="I490" s="8" t="s">
        <v>271</v>
      </c>
      <c r="J490" s="9">
        <v>1</v>
      </c>
      <c r="K490" s="9">
        <v>268</v>
      </c>
      <c r="L490" s="9">
        <v>2019</v>
      </c>
      <c r="M490" s="8" t="s">
        <v>3182</v>
      </c>
      <c r="N490" s="8" t="s">
        <v>37</v>
      </c>
      <c r="O490" s="8" t="s">
        <v>280</v>
      </c>
      <c r="P490" s="6" t="s">
        <v>51</v>
      </c>
      <c r="Q490" s="8" t="s">
        <v>52</v>
      </c>
      <c r="R490" s="10" t="s">
        <v>357</v>
      </c>
      <c r="S490" s="11" t="s">
        <v>3183</v>
      </c>
      <c r="T490" s="6" t="s">
        <v>97</v>
      </c>
      <c r="U490" s="15" t="str">
        <f>HYPERLINK("https://media.infra-m.ru/1008/1008123/cover/1008123.jpg", "Обложка")</f>
        <v>Обложка</v>
      </c>
      <c r="V490" s="8" t="s">
        <v>3154</v>
      </c>
      <c r="W490" s="6"/>
      <c r="X490" s="6"/>
      <c r="Y490" s="6"/>
      <c r="Z490" s="6"/>
      <c r="AA490" s="6" t="s">
        <v>1056</v>
      </c>
      <c r="AB490" s="8"/>
      <c r="AC490" s="27">
        <v>9785160067902</v>
      </c>
    </row>
    <row r="491" spans="1:29" s="4" customFormat="1" ht="51.9" customHeight="1" x14ac:dyDescent="0.2">
      <c r="A491" s="5">
        <v>0</v>
      </c>
      <c r="B491" s="6" t="s">
        <v>3184</v>
      </c>
      <c r="C491" s="7">
        <v>3376.8</v>
      </c>
      <c r="D491" s="8" t="s">
        <v>3185</v>
      </c>
      <c r="E491" s="8" t="s">
        <v>3186</v>
      </c>
      <c r="F491" s="8" t="s">
        <v>3187</v>
      </c>
      <c r="G491" s="6" t="s">
        <v>60</v>
      </c>
      <c r="H491" s="6" t="s">
        <v>34</v>
      </c>
      <c r="I491" s="8" t="s">
        <v>253</v>
      </c>
      <c r="J491" s="9">
        <v>1</v>
      </c>
      <c r="K491" s="9">
        <v>541</v>
      </c>
      <c r="L491" s="9">
        <v>2026</v>
      </c>
      <c r="M491" s="8" t="s">
        <v>3188</v>
      </c>
      <c r="N491" s="8" t="s">
        <v>37</v>
      </c>
      <c r="O491" s="8" t="s">
        <v>280</v>
      </c>
      <c r="P491" s="6" t="s">
        <v>51</v>
      </c>
      <c r="Q491" s="8" t="s">
        <v>52</v>
      </c>
      <c r="R491" s="10" t="s">
        <v>357</v>
      </c>
      <c r="S491" s="11" t="s">
        <v>3183</v>
      </c>
      <c r="T491" s="6"/>
      <c r="U491" s="15" t="str">
        <f>HYPERLINK("https://media.infra-m.ru/2213/2213196/cover/2213196.jpg", "Обложка")</f>
        <v>Обложка</v>
      </c>
      <c r="V491" s="8" t="s">
        <v>3154</v>
      </c>
      <c r="W491" s="6"/>
      <c r="X491" s="6"/>
      <c r="Y491" s="6"/>
      <c r="Z491" s="6"/>
      <c r="AA491" s="6" t="s">
        <v>3189</v>
      </c>
      <c r="AB491" s="8"/>
      <c r="AC491" s="27">
        <v>9785160187570</v>
      </c>
    </row>
    <row r="492" spans="1:29" s="4" customFormat="1" ht="51.9" customHeight="1" x14ac:dyDescent="0.2">
      <c r="A492" s="5">
        <v>0</v>
      </c>
      <c r="B492" s="6" t="s">
        <v>3190</v>
      </c>
      <c r="C492" s="7">
        <v>1500</v>
      </c>
      <c r="D492" s="8" t="s">
        <v>3191</v>
      </c>
      <c r="E492" s="8" t="s">
        <v>3192</v>
      </c>
      <c r="F492" s="8" t="s">
        <v>3193</v>
      </c>
      <c r="G492" s="6" t="s">
        <v>118</v>
      </c>
      <c r="H492" s="6" t="s">
        <v>313</v>
      </c>
      <c r="I492" s="8" t="s">
        <v>253</v>
      </c>
      <c r="J492" s="9">
        <v>1</v>
      </c>
      <c r="K492" s="9">
        <v>272</v>
      </c>
      <c r="L492" s="9">
        <v>2023</v>
      </c>
      <c r="M492" s="8" t="s">
        <v>3194</v>
      </c>
      <c r="N492" s="8" t="s">
        <v>37</v>
      </c>
      <c r="O492" s="8" t="s">
        <v>280</v>
      </c>
      <c r="P492" s="6" t="s">
        <v>51</v>
      </c>
      <c r="Q492" s="8" t="s">
        <v>65</v>
      </c>
      <c r="R492" s="10" t="s">
        <v>2053</v>
      </c>
      <c r="S492" s="11" t="s">
        <v>3195</v>
      </c>
      <c r="T492" s="6" t="s">
        <v>97</v>
      </c>
      <c r="U492" s="15" t="str">
        <f>HYPERLINK("https://media.infra-m.ru/2007/2007877/cover/2007877.jpg", "Обложка")</f>
        <v>Обложка</v>
      </c>
      <c r="V492" s="8" t="s">
        <v>3196</v>
      </c>
      <c r="W492" s="6"/>
      <c r="X492" s="6"/>
      <c r="Y492" s="6"/>
      <c r="Z492" s="6"/>
      <c r="AA492" s="6" t="s">
        <v>99</v>
      </c>
      <c r="AB492" s="8"/>
      <c r="AC492" s="27">
        <v>9785369015575</v>
      </c>
    </row>
    <row r="493" spans="1:29" s="4" customFormat="1" ht="51.9" customHeight="1" x14ac:dyDescent="0.2">
      <c r="A493" s="5">
        <v>0</v>
      </c>
      <c r="B493" s="6" t="s">
        <v>3197</v>
      </c>
      <c r="C493" s="7">
        <v>3484.8</v>
      </c>
      <c r="D493" s="8" t="s">
        <v>3198</v>
      </c>
      <c r="E493" s="8" t="s">
        <v>3199</v>
      </c>
      <c r="F493" s="8" t="s">
        <v>3187</v>
      </c>
      <c r="G493" s="6" t="s">
        <v>60</v>
      </c>
      <c r="H493" s="6" t="s">
        <v>34</v>
      </c>
      <c r="I493" s="8" t="s">
        <v>2025</v>
      </c>
      <c r="J493" s="9">
        <v>1</v>
      </c>
      <c r="K493" s="9">
        <v>500</v>
      </c>
      <c r="L493" s="9">
        <v>2027</v>
      </c>
      <c r="M493" s="8" t="s">
        <v>3200</v>
      </c>
      <c r="N493" s="8" t="s">
        <v>37</v>
      </c>
      <c r="O493" s="8" t="s">
        <v>280</v>
      </c>
      <c r="P493" s="6" t="s">
        <v>51</v>
      </c>
      <c r="Q493" s="8" t="s">
        <v>52</v>
      </c>
      <c r="R493" s="10" t="s">
        <v>3201</v>
      </c>
      <c r="S493" s="11" t="s">
        <v>3202</v>
      </c>
      <c r="T493" s="6"/>
      <c r="U493" s="15" t="str">
        <f>HYPERLINK("https://media.infra-m.ru/2270/2270233/cover/2270233.jpg", "Обложка")</f>
        <v>Обложка</v>
      </c>
      <c r="V493" s="8" t="s">
        <v>3154</v>
      </c>
      <c r="W493" s="6"/>
      <c r="X493" s="6"/>
      <c r="Y493" s="6"/>
      <c r="Z493" s="6"/>
      <c r="AA493" s="6" t="s">
        <v>430</v>
      </c>
      <c r="AB493" s="8"/>
      <c r="AC493" s="27">
        <v>9785160162805</v>
      </c>
    </row>
    <row r="494" spans="1:29" s="4" customFormat="1" ht="51.9" customHeight="1" x14ac:dyDescent="0.2">
      <c r="A494" s="5">
        <v>0</v>
      </c>
      <c r="B494" s="6" t="s">
        <v>3203</v>
      </c>
      <c r="C494" s="7">
        <v>2032.8</v>
      </c>
      <c r="D494" s="8" t="s">
        <v>3204</v>
      </c>
      <c r="E494" s="8" t="s">
        <v>3205</v>
      </c>
      <c r="F494" s="8" t="s">
        <v>3206</v>
      </c>
      <c r="G494" s="6" t="s">
        <v>118</v>
      </c>
      <c r="H494" s="6" t="s">
        <v>34</v>
      </c>
      <c r="I494" s="8" t="s">
        <v>504</v>
      </c>
      <c r="J494" s="9">
        <v>1</v>
      </c>
      <c r="K494" s="9">
        <v>293</v>
      </c>
      <c r="L494" s="9">
        <v>2027</v>
      </c>
      <c r="M494" s="8" t="s">
        <v>3207</v>
      </c>
      <c r="N494" s="8" t="s">
        <v>37</v>
      </c>
      <c r="O494" s="8" t="s">
        <v>280</v>
      </c>
      <c r="P494" s="6" t="s">
        <v>306</v>
      </c>
      <c r="Q494" s="8" t="s">
        <v>500</v>
      </c>
      <c r="R494" s="10" t="s">
        <v>3208</v>
      </c>
      <c r="S494" s="11" t="s">
        <v>3209</v>
      </c>
      <c r="T494" s="6"/>
      <c r="U494" s="15" t="str">
        <f>HYPERLINK("https://media.infra-m.ru/2270/2270235/cover/2270235.jpg", "Обложка")</f>
        <v>Обложка</v>
      </c>
      <c r="V494" s="8" t="s">
        <v>396</v>
      </c>
      <c r="W494" s="6"/>
      <c r="X494" s="6"/>
      <c r="Y494" s="6"/>
      <c r="Z494" s="6"/>
      <c r="AA494" s="6" t="s">
        <v>157</v>
      </c>
      <c r="AB494" s="8"/>
      <c r="AC494" s="27">
        <v>9785160175973</v>
      </c>
    </row>
    <row r="495" spans="1:29" s="4" customFormat="1" ht="51.9" customHeight="1" x14ac:dyDescent="0.2">
      <c r="A495" s="5">
        <v>0</v>
      </c>
      <c r="B495" s="6" t="s">
        <v>3210</v>
      </c>
      <c r="C495" s="7">
        <v>1200</v>
      </c>
      <c r="D495" s="8" t="s">
        <v>3211</v>
      </c>
      <c r="E495" s="8" t="s">
        <v>3212</v>
      </c>
      <c r="F495" s="8" t="s">
        <v>3213</v>
      </c>
      <c r="G495" s="6" t="s">
        <v>33</v>
      </c>
      <c r="H495" s="6" t="s">
        <v>34</v>
      </c>
      <c r="I495" s="8" t="s">
        <v>35</v>
      </c>
      <c r="J495" s="9">
        <v>1</v>
      </c>
      <c r="K495" s="9">
        <v>181</v>
      </c>
      <c r="L495" s="9">
        <v>2026</v>
      </c>
      <c r="M495" s="8" t="s">
        <v>3214</v>
      </c>
      <c r="N495" s="8" t="s">
        <v>243</v>
      </c>
      <c r="O495" s="8" t="s">
        <v>1100</v>
      </c>
      <c r="P495" s="6" t="s">
        <v>39</v>
      </c>
      <c r="Q495" s="8" t="s">
        <v>40</v>
      </c>
      <c r="R495" s="10" t="s">
        <v>3215</v>
      </c>
      <c r="S495" s="11"/>
      <c r="T495" s="6"/>
      <c r="U495" s="15" t="str">
        <f>HYPERLINK("https://media.infra-m.ru/2242/2242902/cover/2242902.jpg", "Обложка")</f>
        <v>Обложка</v>
      </c>
      <c r="V495" s="8" t="s">
        <v>3216</v>
      </c>
      <c r="W495" s="6"/>
      <c r="X495" s="6"/>
      <c r="Y495" s="6"/>
      <c r="Z495" s="6"/>
      <c r="AA495" s="6" t="s">
        <v>1256</v>
      </c>
      <c r="AB495" s="8"/>
      <c r="AC495" s="27">
        <v>9785160156668</v>
      </c>
    </row>
    <row r="496" spans="1:29" s="4" customFormat="1" ht="42" customHeight="1" x14ac:dyDescent="0.2">
      <c r="A496" s="5">
        <v>0</v>
      </c>
      <c r="B496" s="6" t="s">
        <v>3217</v>
      </c>
      <c r="C496" s="7">
        <v>1396.8</v>
      </c>
      <c r="D496" s="8" t="s">
        <v>3218</v>
      </c>
      <c r="E496" s="8" t="s">
        <v>3219</v>
      </c>
      <c r="F496" s="8" t="s">
        <v>3220</v>
      </c>
      <c r="G496" s="6" t="s">
        <v>33</v>
      </c>
      <c r="H496" s="6" t="s">
        <v>34</v>
      </c>
      <c r="I496" s="8" t="s">
        <v>35</v>
      </c>
      <c r="J496" s="9">
        <v>1</v>
      </c>
      <c r="K496" s="9">
        <v>201</v>
      </c>
      <c r="L496" s="9">
        <v>2027</v>
      </c>
      <c r="M496" s="8" t="s">
        <v>3221</v>
      </c>
      <c r="N496" s="8" t="s">
        <v>37</v>
      </c>
      <c r="O496" s="8" t="s">
        <v>233</v>
      </c>
      <c r="P496" s="6" t="s">
        <v>39</v>
      </c>
      <c r="Q496" s="8" t="s">
        <v>40</v>
      </c>
      <c r="R496" s="10" t="s">
        <v>3222</v>
      </c>
      <c r="S496" s="11"/>
      <c r="T496" s="6"/>
      <c r="U496" s="15" t="str">
        <f>HYPERLINK("https://media.infra-m.ru/2269/2269999/cover/2269999.jpg", "Обложка")</f>
        <v>Обложка</v>
      </c>
      <c r="V496" s="8" t="s">
        <v>3223</v>
      </c>
      <c r="W496" s="6"/>
      <c r="X496" s="6"/>
      <c r="Y496" s="6"/>
      <c r="Z496" s="6"/>
      <c r="AA496" s="6" t="s">
        <v>148</v>
      </c>
      <c r="AB496" s="8" t="s">
        <v>1743</v>
      </c>
      <c r="AC496" s="27">
        <v>9785160173238</v>
      </c>
    </row>
    <row r="497" spans="1:29" s="4" customFormat="1" ht="51.9" customHeight="1" x14ac:dyDescent="0.2">
      <c r="A497" s="5">
        <v>0</v>
      </c>
      <c r="B497" s="6" t="s">
        <v>3224</v>
      </c>
      <c r="C497" s="7">
        <v>1265.9000000000001</v>
      </c>
      <c r="D497" s="8" t="s">
        <v>3225</v>
      </c>
      <c r="E497" s="8" t="s">
        <v>3226</v>
      </c>
      <c r="F497" s="8" t="s">
        <v>3227</v>
      </c>
      <c r="G497" s="6" t="s">
        <v>33</v>
      </c>
      <c r="H497" s="6" t="s">
        <v>34</v>
      </c>
      <c r="I497" s="8" t="s">
        <v>35</v>
      </c>
      <c r="J497" s="9">
        <v>1</v>
      </c>
      <c r="K497" s="9">
        <v>235</v>
      </c>
      <c r="L497" s="9">
        <v>2023</v>
      </c>
      <c r="M497" s="8" t="s">
        <v>3228</v>
      </c>
      <c r="N497" s="8" t="s">
        <v>37</v>
      </c>
      <c r="O497" s="8" t="s">
        <v>233</v>
      </c>
      <c r="P497" s="6" t="s">
        <v>39</v>
      </c>
      <c r="Q497" s="8" t="s">
        <v>40</v>
      </c>
      <c r="R497" s="10" t="s">
        <v>3229</v>
      </c>
      <c r="S497" s="11"/>
      <c r="T497" s="6"/>
      <c r="U497" s="15" t="str">
        <f>HYPERLINK("https://media.infra-m.ru/1981/1981619/cover/1981619.jpg", "Обложка")</f>
        <v>Обложка</v>
      </c>
      <c r="V497" s="8" t="s">
        <v>644</v>
      </c>
      <c r="W497" s="6"/>
      <c r="X497" s="6"/>
      <c r="Y497" s="6"/>
      <c r="Z497" s="6"/>
      <c r="AA497" s="6" t="s">
        <v>248</v>
      </c>
      <c r="AB497" s="8"/>
      <c r="AC497" s="27">
        <v>9785160096308</v>
      </c>
    </row>
    <row r="498" spans="1:29" s="4" customFormat="1" ht="44.1" customHeight="1" x14ac:dyDescent="0.2">
      <c r="A498" s="5">
        <v>0</v>
      </c>
      <c r="B498" s="6" t="s">
        <v>3230</v>
      </c>
      <c r="C498" s="7">
        <v>1598.4</v>
      </c>
      <c r="D498" s="8" t="s">
        <v>3231</v>
      </c>
      <c r="E498" s="8" t="s">
        <v>3232</v>
      </c>
      <c r="F498" s="8" t="s">
        <v>3233</v>
      </c>
      <c r="G498" s="6" t="s">
        <v>33</v>
      </c>
      <c r="H498" s="6" t="s">
        <v>313</v>
      </c>
      <c r="I498" s="8" t="s">
        <v>35</v>
      </c>
      <c r="J498" s="9">
        <v>1</v>
      </c>
      <c r="K498" s="9">
        <v>178</v>
      </c>
      <c r="L498" s="9">
        <v>2026</v>
      </c>
      <c r="M498" s="8" t="s">
        <v>3234</v>
      </c>
      <c r="N498" s="8" t="s">
        <v>37</v>
      </c>
      <c r="O498" s="8" t="s">
        <v>38</v>
      </c>
      <c r="P498" s="6" t="s">
        <v>3235</v>
      </c>
      <c r="Q498" s="8" t="s">
        <v>40</v>
      </c>
      <c r="R498" s="10" t="s">
        <v>3236</v>
      </c>
      <c r="S498" s="11"/>
      <c r="T498" s="6"/>
      <c r="U498" s="15" t="str">
        <f>HYPERLINK("https://media.infra-m.ru/2254/2254346/cover/2254346.jpg", "Обложка")</f>
        <v>Обложка</v>
      </c>
      <c r="V498" s="8"/>
      <c r="W498" s="6"/>
      <c r="X498" s="6"/>
      <c r="Y498" s="6"/>
      <c r="Z498" s="6"/>
      <c r="AA498" s="6" t="s">
        <v>248</v>
      </c>
      <c r="AB498" s="8"/>
      <c r="AC498" s="27">
        <v>9785369014158</v>
      </c>
    </row>
    <row r="499" spans="1:29" s="4" customFormat="1" ht="44.1" customHeight="1" x14ac:dyDescent="0.2">
      <c r="A499" s="5">
        <v>0</v>
      </c>
      <c r="B499" s="6" t="s">
        <v>3237</v>
      </c>
      <c r="C499" s="7">
        <v>1548</v>
      </c>
      <c r="D499" s="8" t="s">
        <v>3238</v>
      </c>
      <c r="E499" s="8" t="s">
        <v>3239</v>
      </c>
      <c r="F499" s="8" t="s">
        <v>3240</v>
      </c>
      <c r="G499" s="6" t="s">
        <v>118</v>
      </c>
      <c r="H499" s="6" t="s">
        <v>34</v>
      </c>
      <c r="I499" s="8" t="s">
        <v>35</v>
      </c>
      <c r="J499" s="9">
        <v>1</v>
      </c>
      <c r="K499" s="9">
        <v>222</v>
      </c>
      <c r="L499" s="9">
        <v>2027</v>
      </c>
      <c r="M499" s="8" t="s">
        <v>3241</v>
      </c>
      <c r="N499" s="8" t="s">
        <v>37</v>
      </c>
      <c r="O499" s="8" t="s">
        <v>136</v>
      </c>
      <c r="P499" s="6" t="s">
        <v>39</v>
      </c>
      <c r="Q499" s="8" t="s">
        <v>40</v>
      </c>
      <c r="R499" s="10" t="s">
        <v>3242</v>
      </c>
      <c r="S499" s="11"/>
      <c r="T499" s="6"/>
      <c r="U499" s="15" t="str">
        <f>HYPERLINK("https://media.infra-m.ru/2264/2264644/cover/2264644.jpg", "Обложка")</f>
        <v>Обложка</v>
      </c>
      <c r="V499" s="8" t="s">
        <v>3243</v>
      </c>
      <c r="W499" s="6"/>
      <c r="X499" s="6"/>
      <c r="Y499" s="6"/>
      <c r="Z499" s="6"/>
      <c r="AA499" s="6" t="s">
        <v>86</v>
      </c>
      <c r="AB499" s="8"/>
      <c r="AC499" s="27">
        <v>9785160133089</v>
      </c>
    </row>
    <row r="500" spans="1:29" s="4" customFormat="1" ht="42" customHeight="1" x14ac:dyDescent="0.2">
      <c r="A500" s="5">
        <v>0</v>
      </c>
      <c r="B500" s="6" t="s">
        <v>3244</v>
      </c>
      <c r="C500" s="7">
        <v>1156.8</v>
      </c>
      <c r="D500" s="8" t="s">
        <v>3245</v>
      </c>
      <c r="E500" s="8" t="s">
        <v>3246</v>
      </c>
      <c r="F500" s="8" t="s">
        <v>3240</v>
      </c>
      <c r="G500" s="6" t="s">
        <v>118</v>
      </c>
      <c r="H500" s="6" t="s">
        <v>34</v>
      </c>
      <c r="I500" s="8" t="s">
        <v>35</v>
      </c>
      <c r="J500" s="9">
        <v>1</v>
      </c>
      <c r="K500" s="9">
        <v>166</v>
      </c>
      <c r="L500" s="9">
        <v>2027</v>
      </c>
      <c r="M500" s="8" t="s">
        <v>3247</v>
      </c>
      <c r="N500" s="8" t="s">
        <v>37</v>
      </c>
      <c r="O500" s="8" t="s">
        <v>136</v>
      </c>
      <c r="P500" s="6" t="s">
        <v>39</v>
      </c>
      <c r="Q500" s="8" t="s">
        <v>40</v>
      </c>
      <c r="R500" s="10" t="s">
        <v>1631</v>
      </c>
      <c r="S500" s="11"/>
      <c r="T500" s="6"/>
      <c r="U500" s="15" t="str">
        <f>HYPERLINK("https://media.infra-m.ru/2264/2264643/cover/2264643.jpg", "Обложка")</f>
        <v>Обложка</v>
      </c>
      <c r="V500" s="8" t="s">
        <v>3243</v>
      </c>
      <c r="W500" s="6"/>
      <c r="X500" s="6"/>
      <c r="Y500" s="6"/>
      <c r="Z500" s="6"/>
      <c r="AA500" s="6" t="s">
        <v>99</v>
      </c>
      <c r="AB500" s="8"/>
      <c r="AC500" s="27">
        <v>9785160127385</v>
      </c>
    </row>
    <row r="501" spans="1:29" s="4" customFormat="1" ht="42" customHeight="1" x14ac:dyDescent="0.2">
      <c r="A501" s="5">
        <v>0</v>
      </c>
      <c r="B501" s="6" t="s">
        <v>3248</v>
      </c>
      <c r="C501" s="7">
        <v>1668</v>
      </c>
      <c r="D501" s="8" t="s">
        <v>3249</v>
      </c>
      <c r="E501" s="8" t="s">
        <v>3250</v>
      </c>
      <c r="F501" s="8" t="s">
        <v>3240</v>
      </c>
      <c r="G501" s="6" t="s">
        <v>118</v>
      </c>
      <c r="H501" s="6" t="s">
        <v>34</v>
      </c>
      <c r="I501" s="8" t="s">
        <v>35</v>
      </c>
      <c r="J501" s="9">
        <v>1</v>
      </c>
      <c r="K501" s="9">
        <v>239</v>
      </c>
      <c r="L501" s="9">
        <v>2027</v>
      </c>
      <c r="M501" s="8" t="s">
        <v>3251</v>
      </c>
      <c r="N501" s="8" t="s">
        <v>37</v>
      </c>
      <c r="O501" s="8" t="s">
        <v>136</v>
      </c>
      <c r="P501" s="6" t="s">
        <v>39</v>
      </c>
      <c r="Q501" s="8" t="s">
        <v>40</v>
      </c>
      <c r="R501" s="10" t="s">
        <v>1631</v>
      </c>
      <c r="S501" s="11"/>
      <c r="T501" s="6"/>
      <c r="U501" s="15" t="str">
        <f>HYPERLINK("https://media.infra-m.ru/2263/2263094/cover/2263094.jpg", "Обложка")</f>
        <v>Обложка</v>
      </c>
      <c r="V501" s="8" t="s">
        <v>3243</v>
      </c>
      <c r="W501" s="6"/>
      <c r="X501" s="6"/>
      <c r="Y501" s="6"/>
      <c r="Z501" s="6"/>
      <c r="AA501" s="6" t="s">
        <v>99</v>
      </c>
      <c r="AB501" s="8"/>
      <c r="AC501" s="27">
        <v>9785160127392</v>
      </c>
    </row>
    <row r="502" spans="1:29" s="4" customFormat="1" ht="44.1" customHeight="1" x14ac:dyDescent="0.2">
      <c r="A502" s="5">
        <v>0</v>
      </c>
      <c r="B502" s="6" t="s">
        <v>3252</v>
      </c>
      <c r="C502" s="7">
        <v>2368.8000000000002</v>
      </c>
      <c r="D502" s="8" t="s">
        <v>3253</v>
      </c>
      <c r="E502" s="8" t="s">
        <v>3254</v>
      </c>
      <c r="F502" s="8" t="s">
        <v>3255</v>
      </c>
      <c r="G502" s="6" t="s">
        <v>118</v>
      </c>
      <c r="H502" s="6" t="s">
        <v>34</v>
      </c>
      <c r="I502" s="8" t="s">
        <v>35</v>
      </c>
      <c r="J502" s="9">
        <v>1</v>
      </c>
      <c r="K502" s="9">
        <v>340</v>
      </c>
      <c r="L502" s="9">
        <v>2027</v>
      </c>
      <c r="M502" s="8" t="s">
        <v>3256</v>
      </c>
      <c r="N502" s="8" t="s">
        <v>37</v>
      </c>
      <c r="O502" s="8" t="s">
        <v>83</v>
      </c>
      <c r="P502" s="6" t="s">
        <v>39</v>
      </c>
      <c r="Q502" s="8" t="s">
        <v>40</v>
      </c>
      <c r="R502" s="10" t="s">
        <v>3257</v>
      </c>
      <c r="S502" s="11"/>
      <c r="T502" s="6"/>
      <c r="U502" s="15" t="str">
        <f>HYPERLINK("https://media.infra-m.ru/2272/2272028/cover/2272028.jpg", "Обложка")</f>
        <v>Обложка</v>
      </c>
      <c r="V502" s="8" t="s">
        <v>3109</v>
      </c>
      <c r="W502" s="6"/>
      <c r="X502" s="6"/>
      <c r="Y502" s="6"/>
      <c r="Z502" s="6"/>
      <c r="AA502" s="6" t="s">
        <v>1256</v>
      </c>
      <c r="AB502" s="8"/>
      <c r="AC502" s="27">
        <v>9785160146379</v>
      </c>
    </row>
    <row r="503" spans="1:29" s="4" customFormat="1" ht="51.9" customHeight="1" x14ac:dyDescent="0.2">
      <c r="A503" s="5">
        <v>0</v>
      </c>
      <c r="B503" s="6" t="s">
        <v>3258</v>
      </c>
      <c r="C503" s="7">
        <v>1788</v>
      </c>
      <c r="D503" s="8" t="s">
        <v>3259</v>
      </c>
      <c r="E503" s="8" t="s">
        <v>3260</v>
      </c>
      <c r="F503" s="8" t="s">
        <v>3261</v>
      </c>
      <c r="G503" s="6" t="s">
        <v>60</v>
      </c>
      <c r="H503" s="6" t="s">
        <v>34</v>
      </c>
      <c r="I503" s="8" t="s">
        <v>35</v>
      </c>
      <c r="J503" s="9">
        <v>1</v>
      </c>
      <c r="K503" s="9">
        <v>252</v>
      </c>
      <c r="L503" s="9">
        <v>2027</v>
      </c>
      <c r="M503" s="8" t="s">
        <v>3262</v>
      </c>
      <c r="N503" s="8" t="s">
        <v>63</v>
      </c>
      <c r="O503" s="8" t="s">
        <v>126</v>
      </c>
      <c r="P503" s="6" t="s">
        <v>39</v>
      </c>
      <c r="Q503" s="8" t="s">
        <v>40</v>
      </c>
      <c r="R503" s="10" t="s">
        <v>3263</v>
      </c>
      <c r="S503" s="11"/>
      <c r="T503" s="6"/>
      <c r="U503" s="15" t="str">
        <f>HYPERLINK("https://media.infra-m.ru/2234/2234122/cover/2234122.jpg", "Обложка")</f>
        <v>Обложка</v>
      </c>
      <c r="V503" s="8" t="s">
        <v>3264</v>
      </c>
      <c r="W503" s="6" t="s">
        <v>2115</v>
      </c>
      <c r="X503" s="6"/>
      <c r="Y503" s="6"/>
      <c r="Z503" s="6"/>
      <c r="AA503" s="6" t="s">
        <v>420</v>
      </c>
      <c r="AB503" s="8" t="s">
        <v>308</v>
      </c>
      <c r="AC503" s="27">
        <v>9785160216676</v>
      </c>
    </row>
    <row r="504" spans="1:29" s="4" customFormat="1" ht="51.9" customHeight="1" x14ac:dyDescent="0.2">
      <c r="A504" s="5">
        <v>0</v>
      </c>
      <c r="B504" s="6" t="s">
        <v>3265</v>
      </c>
      <c r="C504" s="7">
        <v>1668</v>
      </c>
      <c r="D504" s="8" t="s">
        <v>3266</v>
      </c>
      <c r="E504" s="8" t="s">
        <v>3267</v>
      </c>
      <c r="F504" s="8" t="s">
        <v>3268</v>
      </c>
      <c r="G504" s="6" t="s">
        <v>118</v>
      </c>
      <c r="H504" s="6" t="s">
        <v>34</v>
      </c>
      <c r="I504" s="8" t="s">
        <v>253</v>
      </c>
      <c r="J504" s="9">
        <v>1</v>
      </c>
      <c r="K504" s="9">
        <v>252</v>
      </c>
      <c r="L504" s="9">
        <v>2026</v>
      </c>
      <c r="M504" s="8" t="s">
        <v>3269</v>
      </c>
      <c r="N504" s="8" t="s">
        <v>243</v>
      </c>
      <c r="O504" s="8" t="s">
        <v>758</v>
      </c>
      <c r="P504" s="6" t="s">
        <v>306</v>
      </c>
      <c r="Q504" s="8" t="s">
        <v>52</v>
      </c>
      <c r="R504" s="10" t="s">
        <v>3270</v>
      </c>
      <c r="S504" s="11" t="s">
        <v>3271</v>
      </c>
      <c r="T504" s="6"/>
      <c r="U504" s="15" t="str">
        <f>HYPERLINK("https://media.infra-m.ru/2256/2256725/cover/2256725.jpg", "Обложка")</f>
        <v>Обложка</v>
      </c>
      <c r="V504" s="8" t="s">
        <v>1157</v>
      </c>
      <c r="W504" s="6"/>
      <c r="X504" s="6"/>
      <c r="Y504" s="6"/>
      <c r="Z504" s="6"/>
      <c r="AA504" s="6" t="s">
        <v>148</v>
      </c>
      <c r="AB504" s="8"/>
      <c r="AC504" s="27">
        <v>9785160206530</v>
      </c>
    </row>
    <row r="505" spans="1:29" s="4" customFormat="1" ht="51.9" customHeight="1" x14ac:dyDescent="0.2">
      <c r="A505" s="5">
        <v>0</v>
      </c>
      <c r="B505" s="6" t="s">
        <v>3272</v>
      </c>
      <c r="C505" s="7">
        <v>1104</v>
      </c>
      <c r="D505" s="8" t="s">
        <v>3273</v>
      </c>
      <c r="E505" s="8" t="s">
        <v>3274</v>
      </c>
      <c r="F505" s="8" t="s">
        <v>3275</v>
      </c>
      <c r="G505" s="6" t="s">
        <v>33</v>
      </c>
      <c r="H505" s="6" t="s">
        <v>34</v>
      </c>
      <c r="I505" s="8" t="s">
        <v>35</v>
      </c>
      <c r="J505" s="9">
        <v>1</v>
      </c>
      <c r="K505" s="9">
        <v>158</v>
      </c>
      <c r="L505" s="9">
        <v>2027</v>
      </c>
      <c r="M505" s="8" t="s">
        <v>3276</v>
      </c>
      <c r="N505" s="8" t="s">
        <v>93</v>
      </c>
      <c r="O505" s="8" t="s">
        <v>94</v>
      </c>
      <c r="P505" s="6" t="s">
        <v>39</v>
      </c>
      <c r="Q505" s="8" t="s">
        <v>40</v>
      </c>
      <c r="R505" s="10" t="s">
        <v>3277</v>
      </c>
      <c r="S505" s="11"/>
      <c r="T505" s="6"/>
      <c r="U505" s="15" t="str">
        <f>HYPERLINK("https://media.infra-m.ru/2270/2270189/cover/2270189.jpg", "Обложка")</f>
        <v>Обложка</v>
      </c>
      <c r="V505" s="8" t="s">
        <v>1094</v>
      </c>
      <c r="W505" s="6"/>
      <c r="X505" s="6"/>
      <c r="Y505" s="6"/>
      <c r="Z505" s="6"/>
      <c r="AA505" s="6" t="s">
        <v>1256</v>
      </c>
      <c r="AB505" s="8"/>
      <c r="AC505" s="27">
        <v>9785160156361</v>
      </c>
    </row>
    <row r="506" spans="1:29" s="4" customFormat="1" ht="51.9" customHeight="1" x14ac:dyDescent="0.2">
      <c r="A506" s="5">
        <v>0</v>
      </c>
      <c r="B506" s="6" t="s">
        <v>3278</v>
      </c>
      <c r="C506" s="7">
        <v>3168</v>
      </c>
      <c r="D506" s="8" t="s">
        <v>3279</v>
      </c>
      <c r="E506" s="8" t="s">
        <v>3280</v>
      </c>
      <c r="F506" s="8" t="s">
        <v>3281</v>
      </c>
      <c r="G506" s="6" t="s">
        <v>60</v>
      </c>
      <c r="H506" s="6" t="s">
        <v>134</v>
      </c>
      <c r="I506" s="8"/>
      <c r="J506" s="9">
        <v>1</v>
      </c>
      <c r="K506" s="9">
        <v>480</v>
      </c>
      <c r="L506" s="9">
        <v>2026</v>
      </c>
      <c r="M506" s="8" t="s">
        <v>3282</v>
      </c>
      <c r="N506" s="8" t="s">
        <v>37</v>
      </c>
      <c r="O506" s="8" t="s">
        <v>136</v>
      </c>
      <c r="P506" s="6" t="s">
        <v>306</v>
      </c>
      <c r="Q506" s="8" t="s">
        <v>52</v>
      </c>
      <c r="R506" s="10" t="s">
        <v>3283</v>
      </c>
      <c r="S506" s="11"/>
      <c r="T506" s="6"/>
      <c r="U506" s="15" t="str">
        <f>HYPERLINK("https://media.infra-m.ru/2242/2242874/cover/2242874.jpg", "Обложка")</f>
        <v>Обложка</v>
      </c>
      <c r="V506" s="8" t="s">
        <v>138</v>
      </c>
      <c r="W506" s="6"/>
      <c r="X506" s="6"/>
      <c r="Y506" s="6"/>
      <c r="Z506" s="6"/>
      <c r="AA506" s="6" t="s">
        <v>115</v>
      </c>
      <c r="AB506" s="8"/>
      <c r="AC506" s="27">
        <v>9785917685557</v>
      </c>
    </row>
    <row r="507" spans="1:29" s="4" customFormat="1" ht="51.9" customHeight="1" x14ac:dyDescent="0.2">
      <c r="A507" s="5">
        <v>0</v>
      </c>
      <c r="B507" s="6" t="s">
        <v>3284</v>
      </c>
      <c r="C507" s="7">
        <v>1588.8</v>
      </c>
      <c r="D507" s="8" t="s">
        <v>3285</v>
      </c>
      <c r="E507" s="8" t="s">
        <v>3286</v>
      </c>
      <c r="F507" s="8" t="s">
        <v>3287</v>
      </c>
      <c r="G507" s="6" t="s">
        <v>118</v>
      </c>
      <c r="H507" s="6" t="s">
        <v>34</v>
      </c>
      <c r="I507" s="8" t="s">
        <v>271</v>
      </c>
      <c r="J507" s="9">
        <v>1</v>
      </c>
      <c r="K507" s="9">
        <v>240</v>
      </c>
      <c r="L507" s="9">
        <v>2026</v>
      </c>
      <c r="M507" s="8" t="s">
        <v>3288</v>
      </c>
      <c r="N507" s="8" t="s">
        <v>37</v>
      </c>
      <c r="O507" s="8" t="s">
        <v>83</v>
      </c>
      <c r="P507" s="6" t="s">
        <v>51</v>
      </c>
      <c r="Q507" s="8" t="s">
        <v>52</v>
      </c>
      <c r="R507" s="10" t="s">
        <v>3289</v>
      </c>
      <c r="S507" s="11" t="s">
        <v>3290</v>
      </c>
      <c r="T507" s="6"/>
      <c r="U507" s="15" t="str">
        <f>HYPERLINK("https://media.infra-m.ru/2214/2214600/cover/2214600.jpg", "Обложка")</f>
        <v>Обложка</v>
      </c>
      <c r="V507" s="8"/>
      <c r="W507" s="6"/>
      <c r="X507" s="6"/>
      <c r="Y507" s="6"/>
      <c r="Z507" s="6"/>
      <c r="AA507" s="6" t="s">
        <v>1047</v>
      </c>
      <c r="AB507" s="8"/>
      <c r="AC507" s="27">
        <v>9785160091310</v>
      </c>
    </row>
    <row r="508" spans="1:29" s="4" customFormat="1" ht="51.9" customHeight="1" x14ac:dyDescent="0.2">
      <c r="A508" s="5">
        <v>0</v>
      </c>
      <c r="B508" s="6" t="s">
        <v>3291</v>
      </c>
      <c r="C508" s="7">
        <v>1454.4</v>
      </c>
      <c r="D508" s="8" t="s">
        <v>3292</v>
      </c>
      <c r="E508" s="8" t="s">
        <v>3293</v>
      </c>
      <c r="F508" s="8" t="s">
        <v>3294</v>
      </c>
      <c r="G508" s="6" t="s">
        <v>33</v>
      </c>
      <c r="H508" s="6" t="s">
        <v>34</v>
      </c>
      <c r="I508" s="8" t="s">
        <v>263</v>
      </c>
      <c r="J508" s="9">
        <v>1</v>
      </c>
      <c r="K508" s="9">
        <v>160</v>
      </c>
      <c r="L508" s="9">
        <v>2026</v>
      </c>
      <c r="M508" s="8" t="s">
        <v>3295</v>
      </c>
      <c r="N508" s="8" t="s">
        <v>243</v>
      </c>
      <c r="O508" s="8" t="s">
        <v>758</v>
      </c>
      <c r="P508" s="6" t="s">
        <v>51</v>
      </c>
      <c r="Q508" s="8" t="s">
        <v>65</v>
      </c>
      <c r="R508" s="10" t="s">
        <v>3296</v>
      </c>
      <c r="S508" s="11" t="s">
        <v>1013</v>
      </c>
      <c r="T508" s="6"/>
      <c r="U508" s="15" t="str">
        <f>HYPERLINK("https://media.infra-m.ru/2256/2256598/cover/2256598.jpg", "Обложка")</f>
        <v>Обложка</v>
      </c>
      <c r="V508" s="8" t="s">
        <v>3297</v>
      </c>
      <c r="W508" s="6"/>
      <c r="X508" s="6"/>
      <c r="Y508" s="6"/>
      <c r="Z508" s="6"/>
      <c r="AA508" s="6" t="s">
        <v>1015</v>
      </c>
      <c r="AB508" s="8"/>
      <c r="AC508" s="27">
        <v>9785160163260</v>
      </c>
    </row>
    <row r="509" spans="1:29" s="4" customFormat="1" ht="51.9" customHeight="1" x14ac:dyDescent="0.2">
      <c r="A509" s="5">
        <v>0</v>
      </c>
      <c r="B509" s="6" t="s">
        <v>3298</v>
      </c>
      <c r="C509" s="7">
        <v>1094.4000000000001</v>
      </c>
      <c r="D509" s="8" t="s">
        <v>3299</v>
      </c>
      <c r="E509" s="8" t="s">
        <v>3300</v>
      </c>
      <c r="F509" s="8" t="s">
        <v>3301</v>
      </c>
      <c r="G509" s="6" t="s">
        <v>33</v>
      </c>
      <c r="H509" s="6" t="s">
        <v>34</v>
      </c>
      <c r="I509" s="8" t="s">
        <v>35</v>
      </c>
      <c r="J509" s="9">
        <v>1</v>
      </c>
      <c r="K509" s="9">
        <v>149</v>
      </c>
      <c r="L509" s="9">
        <v>2024</v>
      </c>
      <c r="M509" s="8" t="s">
        <v>3302</v>
      </c>
      <c r="N509" s="8" t="s">
        <v>585</v>
      </c>
      <c r="O509" s="8" t="s">
        <v>667</v>
      </c>
      <c r="P509" s="6" t="s">
        <v>39</v>
      </c>
      <c r="Q509" s="8" t="s">
        <v>40</v>
      </c>
      <c r="R509" s="10" t="s">
        <v>3303</v>
      </c>
      <c r="S509" s="11"/>
      <c r="T509" s="6"/>
      <c r="U509" s="15" t="str">
        <f>HYPERLINK("https://media.infra-m.ru/2104/2104876/cover/2104876.jpg", "Обложка")</f>
        <v>Обложка</v>
      </c>
      <c r="V509" s="8" t="s">
        <v>3304</v>
      </c>
      <c r="W509" s="6"/>
      <c r="X509" s="6"/>
      <c r="Y509" s="6"/>
      <c r="Z509" s="6"/>
      <c r="AA509" s="6" t="s">
        <v>76</v>
      </c>
      <c r="AB509" s="8"/>
      <c r="AC509" s="27">
        <v>9785160192956</v>
      </c>
    </row>
    <row r="510" spans="1:29" s="4" customFormat="1" ht="51.9" customHeight="1" x14ac:dyDescent="0.2">
      <c r="A510" s="5">
        <v>0</v>
      </c>
      <c r="B510" s="6" t="s">
        <v>3305</v>
      </c>
      <c r="C510" s="7">
        <v>1380</v>
      </c>
      <c r="D510" s="8" t="s">
        <v>3306</v>
      </c>
      <c r="E510" s="8" t="s">
        <v>3307</v>
      </c>
      <c r="F510" s="8" t="s">
        <v>3308</v>
      </c>
      <c r="G510" s="6" t="s">
        <v>33</v>
      </c>
      <c r="H510" s="6" t="s">
        <v>134</v>
      </c>
      <c r="I510" s="8"/>
      <c r="J510" s="9">
        <v>1</v>
      </c>
      <c r="K510" s="9">
        <v>400</v>
      </c>
      <c r="L510" s="9">
        <v>2019</v>
      </c>
      <c r="M510" s="8" t="s">
        <v>3309</v>
      </c>
      <c r="N510" s="8" t="s">
        <v>37</v>
      </c>
      <c r="O510" s="8" t="s">
        <v>136</v>
      </c>
      <c r="P510" s="6" t="s">
        <v>3310</v>
      </c>
      <c r="Q510" s="8" t="s">
        <v>65</v>
      </c>
      <c r="R510" s="10" t="s">
        <v>3311</v>
      </c>
      <c r="S510" s="11"/>
      <c r="T510" s="6"/>
      <c r="U510" s="15" t="str">
        <f>HYPERLINK("https://media.infra-m.ru/0996/0996219/cover/996219.jpg", "Обложка")</f>
        <v>Обложка</v>
      </c>
      <c r="V510" s="8" t="s">
        <v>1277</v>
      </c>
      <c r="W510" s="6"/>
      <c r="X510" s="6"/>
      <c r="Y510" s="6"/>
      <c r="Z510" s="6"/>
      <c r="AA510" s="6" t="s">
        <v>623</v>
      </c>
      <c r="AB510" s="8"/>
      <c r="AC510" s="27">
        <v>9785917687810</v>
      </c>
    </row>
    <row r="511" spans="1:29" s="4" customFormat="1" ht="51.9" customHeight="1" x14ac:dyDescent="0.2">
      <c r="A511" s="5">
        <v>0</v>
      </c>
      <c r="B511" s="6" t="s">
        <v>3312</v>
      </c>
      <c r="C511" s="7">
        <v>2428.8000000000002</v>
      </c>
      <c r="D511" s="8" t="s">
        <v>3313</v>
      </c>
      <c r="E511" s="8" t="s">
        <v>3314</v>
      </c>
      <c r="F511" s="8" t="s">
        <v>3315</v>
      </c>
      <c r="G511" s="6" t="s">
        <v>33</v>
      </c>
      <c r="H511" s="6" t="s">
        <v>134</v>
      </c>
      <c r="I511" s="8"/>
      <c r="J511" s="9">
        <v>1</v>
      </c>
      <c r="K511" s="9">
        <v>368</v>
      </c>
      <c r="L511" s="9">
        <v>2026</v>
      </c>
      <c r="M511" s="8" t="s">
        <v>3316</v>
      </c>
      <c r="N511" s="8" t="s">
        <v>37</v>
      </c>
      <c r="O511" s="8" t="s">
        <v>136</v>
      </c>
      <c r="P511" s="6" t="s">
        <v>3310</v>
      </c>
      <c r="Q511" s="8" t="s">
        <v>65</v>
      </c>
      <c r="R511" s="10" t="s">
        <v>3311</v>
      </c>
      <c r="S511" s="11"/>
      <c r="T511" s="6"/>
      <c r="U511" s="15" t="str">
        <f>HYPERLINK("https://media.infra-m.ru/2184/2184357/cover/2184357.jpg", "Обложка")</f>
        <v>Обложка</v>
      </c>
      <c r="V511" s="8"/>
      <c r="W511" s="6"/>
      <c r="X511" s="6"/>
      <c r="Y511" s="6"/>
      <c r="Z511" s="6"/>
      <c r="AA511" s="6" t="s">
        <v>1389</v>
      </c>
      <c r="AB511" s="8"/>
      <c r="AC511" s="27">
        <v>9785001560708</v>
      </c>
    </row>
    <row r="512" spans="1:29" s="4" customFormat="1" ht="42" customHeight="1" x14ac:dyDescent="0.2">
      <c r="A512" s="5">
        <v>0</v>
      </c>
      <c r="B512" s="6" t="s">
        <v>3317</v>
      </c>
      <c r="C512" s="7">
        <v>3268.8</v>
      </c>
      <c r="D512" s="8" t="s">
        <v>3318</v>
      </c>
      <c r="E512" s="8" t="s">
        <v>3319</v>
      </c>
      <c r="F512" s="8" t="s">
        <v>3320</v>
      </c>
      <c r="G512" s="6" t="s">
        <v>60</v>
      </c>
      <c r="H512" s="6" t="s">
        <v>48</v>
      </c>
      <c r="I512" s="8"/>
      <c r="J512" s="9">
        <v>1</v>
      </c>
      <c r="K512" s="9">
        <v>496</v>
      </c>
      <c r="L512" s="9">
        <v>2026</v>
      </c>
      <c r="M512" s="8" t="s">
        <v>3321</v>
      </c>
      <c r="N512" s="8" t="s">
        <v>585</v>
      </c>
      <c r="O512" s="8" t="s">
        <v>667</v>
      </c>
      <c r="P512" s="6" t="s">
        <v>51</v>
      </c>
      <c r="Q512" s="8" t="s">
        <v>65</v>
      </c>
      <c r="R512" s="10" t="s">
        <v>3322</v>
      </c>
      <c r="S512" s="11"/>
      <c r="T512" s="6"/>
      <c r="U512" s="15" t="str">
        <f>HYPERLINK("https://media.infra-m.ru/2237/2237100/cover/2237100.jpg", "Обложка")</f>
        <v>Обложка</v>
      </c>
      <c r="V512" s="8" t="s">
        <v>2398</v>
      </c>
      <c r="W512" s="6"/>
      <c r="X512" s="6"/>
      <c r="Y512" s="6"/>
      <c r="Z512" s="6"/>
      <c r="AA512" s="6" t="s">
        <v>248</v>
      </c>
      <c r="AB512" s="8"/>
      <c r="AC512" s="27">
        <v>9785911348243</v>
      </c>
    </row>
    <row r="513" spans="1:29" s="4" customFormat="1" ht="51.9" customHeight="1" x14ac:dyDescent="0.2">
      <c r="A513" s="5">
        <v>0</v>
      </c>
      <c r="B513" s="6" t="s">
        <v>3323</v>
      </c>
      <c r="C513" s="7">
        <v>1036.8</v>
      </c>
      <c r="D513" s="8" t="s">
        <v>3324</v>
      </c>
      <c r="E513" s="8" t="s">
        <v>3325</v>
      </c>
      <c r="F513" s="8" t="s">
        <v>3326</v>
      </c>
      <c r="G513" s="6" t="s">
        <v>33</v>
      </c>
      <c r="H513" s="6" t="s">
        <v>34</v>
      </c>
      <c r="I513" s="8" t="s">
        <v>35</v>
      </c>
      <c r="J513" s="9">
        <v>1</v>
      </c>
      <c r="K513" s="9">
        <v>157</v>
      </c>
      <c r="L513" s="9">
        <v>2026</v>
      </c>
      <c r="M513" s="8" t="s">
        <v>3327</v>
      </c>
      <c r="N513" s="8" t="s">
        <v>243</v>
      </c>
      <c r="O513" s="8" t="s">
        <v>385</v>
      </c>
      <c r="P513" s="6" t="s">
        <v>39</v>
      </c>
      <c r="Q513" s="8" t="s">
        <v>40</v>
      </c>
      <c r="R513" s="10" t="s">
        <v>3328</v>
      </c>
      <c r="S513" s="11"/>
      <c r="T513" s="6"/>
      <c r="U513" s="15" t="str">
        <f>HYPERLINK("https://media.infra-m.ru/2251/2251053/cover/2251053.jpg", "Обложка")</f>
        <v>Обложка</v>
      </c>
      <c r="V513" s="8" t="s">
        <v>3329</v>
      </c>
      <c r="W513" s="6"/>
      <c r="X513" s="6"/>
      <c r="Y513" s="6"/>
      <c r="Z513" s="6"/>
      <c r="AA513" s="6" t="s">
        <v>43</v>
      </c>
      <c r="AB513" s="8"/>
      <c r="AC513" s="27">
        <v>9785160062198</v>
      </c>
    </row>
    <row r="514" spans="1:29" s="4" customFormat="1" ht="51.9" customHeight="1" x14ac:dyDescent="0.2">
      <c r="A514" s="5">
        <v>0</v>
      </c>
      <c r="B514" s="6" t="s">
        <v>3330</v>
      </c>
      <c r="C514" s="7">
        <v>1560</v>
      </c>
      <c r="D514" s="8" t="s">
        <v>3331</v>
      </c>
      <c r="E514" s="8" t="s">
        <v>3332</v>
      </c>
      <c r="F514" s="8" t="s">
        <v>3333</v>
      </c>
      <c r="G514" s="6" t="s">
        <v>118</v>
      </c>
      <c r="H514" s="6" t="s">
        <v>34</v>
      </c>
      <c r="I514" s="8" t="s">
        <v>253</v>
      </c>
      <c r="J514" s="9">
        <v>1</v>
      </c>
      <c r="K514" s="9">
        <v>249</v>
      </c>
      <c r="L514" s="9">
        <v>2026</v>
      </c>
      <c r="M514" s="8" t="s">
        <v>3334</v>
      </c>
      <c r="N514" s="8" t="s">
        <v>37</v>
      </c>
      <c r="O514" s="8" t="s">
        <v>280</v>
      </c>
      <c r="P514" s="6" t="s">
        <v>306</v>
      </c>
      <c r="Q514" s="8" t="s">
        <v>52</v>
      </c>
      <c r="R514" s="10" t="s">
        <v>3335</v>
      </c>
      <c r="S514" s="11" t="s">
        <v>3336</v>
      </c>
      <c r="T514" s="6" t="s">
        <v>97</v>
      </c>
      <c r="U514" s="15" t="str">
        <f>HYPERLINK("https://media.infra-m.ru/2216/2216510/cover/2216510.jpg", "Обложка")</f>
        <v>Обложка</v>
      </c>
      <c r="V514" s="8" t="s">
        <v>3337</v>
      </c>
      <c r="W514" s="6"/>
      <c r="X514" s="6"/>
      <c r="Y514" s="6"/>
      <c r="Z514" s="6"/>
      <c r="AA514" s="6" t="s">
        <v>1303</v>
      </c>
      <c r="AB514" s="8"/>
      <c r="AC514" s="27">
        <v>9785160211794</v>
      </c>
    </row>
    <row r="515" spans="1:29" s="4" customFormat="1" ht="51.9" customHeight="1" x14ac:dyDescent="0.2">
      <c r="A515" s="5">
        <v>0</v>
      </c>
      <c r="B515" s="6" t="s">
        <v>3338</v>
      </c>
      <c r="C515" s="7">
        <v>1560</v>
      </c>
      <c r="D515" s="8" t="s">
        <v>3339</v>
      </c>
      <c r="E515" s="8" t="s">
        <v>3340</v>
      </c>
      <c r="F515" s="8" t="s">
        <v>3333</v>
      </c>
      <c r="G515" s="6" t="s">
        <v>118</v>
      </c>
      <c r="H515" s="6" t="s">
        <v>34</v>
      </c>
      <c r="I515" s="8" t="s">
        <v>253</v>
      </c>
      <c r="J515" s="9">
        <v>1</v>
      </c>
      <c r="K515" s="9">
        <v>194</v>
      </c>
      <c r="L515" s="9">
        <v>2026</v>
      </c>
      <c r="M515" s="8" t="s">
        <v>3341</v>
      </c>
      <c r="N515" s="8" t="s">
        <v>37</v>
      </c>
      <c r="O515" s="8" t="s">
        <v>280</v>
      </c>
      <c r="P515" s="6" t="s">
        <v>306</v>
      </c>
      <c r="Q515" s="8" t="s">
        <v>52</v>
      </c>
      <c r="R515" s="10" t="s">
        <v>3335</v>
      </c>
      <c r="S515" s="11" t="s">
        <v>3336</v>
      </c>
      <c r="T515" s="6" t="s">
        <v>97</v>
      </c>
      <c r="U515" s="15" t="str">
        <f>HYPERLINK("https://media.infra-m.ru/2213/2213670/cover/2213670.jpg", "Обложка")</f>
        <v>Обложка</v>
      </c>
      <c r="V515" s="8" t="s">
        <v>3337</v>
      </c>
      <c r="W515" s="6"/>
      <c r="X515" s="6"/>
      <c r="Y515" s="6"/>
      <c r="Z515" s="6"/>
      <c r="AA515" s="6" t="s">
        <v>99</v>
      </c>
      <c r="AB515" s="8"/>
      <c r="AC515" s="27">
        <v>9785160211084</v>
      </c>
    </row>
    <row r="516" spans="1:29" s="4" customFormat="1" ht="42" customHeight="1" x14ac:dyDescent="0.2">
      <c r="A516" s="5">
        <v>0</v>
      </c>
      <c r="B516" s="6" t="s">
        <v>3342</v>
      </c>
      <c r="C516" s="7">
        <v>2568</v>
      </c>
      <c r="D516" s="8" t="s">
        <v>3343</v>
      </c>
      <c r="E516" s="8" t="s">
        <v>3344</v>
      </c>
      <c r="F516" s="8" t="s">
        <v>3345</v>
      </c>
      <c r="G516" s="6" t="s">
        <v>118</v>
      </c>
      <c r="H516" s="6" t="s">
        <v>134</v>
      </c>
      <c r="I516" s="8"/>
      <c r="J516" s="9">
        <v>1</v>
      </c>
      <c r="K516" s="9">
        <v>232</v>
      </c>
      <c r="L516" s="9">
        <v>2026</v>
      </c>
      <c r="M516" s="8" t="s">
        <v>3346</v>
      </c>
      <c r="N516" s="8" t="s">
        <v>37</v>
      </c>
      <c r="O516" s="8" t="s">
        <v>136</v>
      </c>
      <c r="P516" s="6" t="s">
        <v>39</v>
      </c>
      <c r="Q516" s="8" t="s">
        <v>40</v>
      </c>
      <c r="R516" s="10" t="s">
        <v>684</v>
      </c>
      <c r="S516" s="11"/>
      <c r="T516" s="6"/>
      <c r="U516" s="15" t="str">
        <f>HYPERLINK("https://media.infra-m.ru/2216/2216844/cover/2216844.jpg", "Обложка")</f>
        <v>Обложка</v>
      </c>
      <c r="V516" s="8" t="s">
        <v>546</v>
      </c>
      <c r="W516" s="6"/>
      <c r="X516" s="6"/>
      <c r="Y516" s="6"/>
      <c r="Z516" s="6"/>
      <c r="AA516" s="6" t="s">
        <v>1256</v>
      </c>
      <c r="AB516" s="8"/>
      <c r="AC516" s="27">
        <v>9785001560524</v>
      </c>
    </row>
    <row r="517" spans="1:29" s="4" customFormat="1" ht="44.1" customHeight="1" x14ac:dyDescent="0.2">
      <c r="A517" s="5">
        <v>0</v>
      </c>
      <c r="B517" s="6" t="s">
        <v>3347</v>
      </c>
      <c r="C517" s="7">
        <v>2088</v>
      </c>
      <c r="D517" s="8" t="s">
        <v>3348</v>
      </c>
      <c r="E517" s="8" t="s">
        <v>3349</v>
      </c>
      <c r="F517" s="8" t="s">
        <v>3350</v>
      </c>
      <c r="G517" s="6" t="s">
        <v>118</v>
      </c>
      <c r="H517" s="6" t="s">
        <v>34</v>
      </c>
      <c r="I517" s="8" t="s">
        <v>253</v>
      </c>
      <c r="J517" s="9">
        <v>1</v>
      </c>
      <c r="K517" s="9">
        <v>259</v>
      </c>
      <c r="L517" s="9">
        <v>2026</v>
      </c>
      <c r="M517" s="8" t="s">
        <v>3351</v>
      </c>
      <c r="N517" s="8" t="s">
        <v>63</v>
      </c>
      <c r="O517" s="8" t="s">
        <v>154</v>
      </c>
      <c r="P517" s="6" t="s">
        <v>51</v>
      </c>
      <c r="Q517" s="8" t="s">
        <v>65</v>
      </c>
      <c r="R517" s="10" t="s">
        <v>3352</v>
      </c>
      <c r="S517" s="11"/>
      <c r="T517" s="6"/>
      <c r="U517" s="15" t="str">
        <f>HYPERLINK("https://media.infra-m.ru/2239/2239056/cover/2239056.jpg", "Обложка")</f>
        <v>Обложка</v>
      </c>
      <c r="V517" s="8" t="s">
        <v>2389</v>
      </c>
      <c r="W517" s="6"/>
      <c r="X517" s="6"/>
      <c r="Y517" s="6"/>
      <c r="Z517" s="6"/>
      <c r="AA517" s="6" t="s">
        <v>187</v>
      </c>
      <c r="AB517" s="8"/>
      <c r="AC517" s="27">
        <v>9785160204307</v>
      </c>
    </row>
    <row r="518" spans="1:29" s="4" customFormat="1" ht="51.9" customHeight="1" x14ac:dyDescent="0.2">
      <c r="A518" s="5">
        <v>0</v>
      </c>
      <c r="B518" s="6" t="s">
        <v>3353</v>
      </c>
      <c r="C518" s="7">
        <v>3528</v>
      </c>
      <c r="D518" s="8" t="s">
        <v>3354</v>
      </c>
      <c r="E518" s="8" t="s">
        <v>3355</v>
      </c>
      <c r="F518" s="8" t="s">
        <v>3356</v>
      </c>
      <c r="G518" s="6" t="s">
        <v>60</v>
      </c>
      <c r="H518" s="6" t="s">
        <v>34</v>
      </c>
      <c r="I518" s="8" t="s">
        <v>35</v>
      </c>
      <c r="J518" s="9">
        <v>1</v>
      </c>
      <c r="K518" s="9">
        <v>597</v>
      </c>
      <c r="L518" s="9">
        <v>2026</v>
      </c>
      <c r="M518" s="8" t="s">
        <v>3357</v>
      </c>
      <c r="N518" s="8" t="s">
        <v>63</v>
      </c>
      <c r="O518" s="8" t="s">
        <v>154</v>
      </c>
      <c r="P518" s="6" t="s">
        <v>39</v>
      </c>
      <c r="Q518" s="8" t="s">
        <v>40</v>
      </c>
      <c r="R518" s="10" t="s">
        <v>3358</v>
      </c>
      <c r="S518" s="11"/>
      <c r="T518" s="6"/>
      <c r="U518" s="15" t="str">
        <f>HYPERLINK("https://media.infra-m.ru/2215/2215332/cover/2215332.jpg", "Обложка")</f>
        <v>Обложка</v>
      </c>
      <c r="V518" s="8" t="s">
        <v>3087</v>
      </c>
      <c r="W518" s="6"/>
      <c r="X518" s="6"/>
      <c r="Y518" s="6"/>
      <c r="Z518" s="6"/>
      <c r="AA518" s="6" t="s">
        <v>129</v>
      </c>
      <c r="AB518" s="8"/>
      <c r="AC518" s="27">
        <v>9785160116174</v>
      </c>
    </row>
    <row r="519" spans="1:29" s="4" customFormat="1" ht="51.9" customHeight="1" x14ac:dyDescent="0.2">
      <c r="A519" s="5">
        <v>0</v>
      </c>
      <c r="B519" s="6" t="s">
        <v>3359</v>
      </c>
      <c r="C519" s="7">
        <v>1432.8</v>
      </c>
      <c r="D519" s="8" t="s">
        <v>3360</v>
      </c>
      <c r="E519" s="8" t="s">
        <v>3361</v>
      </c>
      <c r="F519" s="8" t="s">
        <v>3362</v>
      </c>
      <c r="G519" s="6" t="s">
        <v>118</v>
      </c>
      <c r="H519" s="6" t="s">
        <v>34</v>
      </c>
      <c r="I519" s="8" t="s">
        <v>263</v>
      </c>
      <c r="J519" s="9">
        <v>1</v>
      </c>
      <c r="K519" s="9">
        <v>206</v>
      </c>
      <c r="L519" s="9">
        <v>2027</v>
      </c>
      <c r="M519" s="8" t="s">
        <v>3363</v>
      </c>
      <c r="N519" s="8" t="s">
        <v>37</v>
      </c>
      <c r="O519" s="8" t="s">
        <v>50</v>
      </c>
      <c r="P519" s="6" t="s">
        <v>51</v>
      </c>
      <c r="Q519" s="8" t="s">
        <v>265</v>
      </c>
      <c r="R519" s="10" t="s">
        <v>3364</v>
      </c>
      <c r="S519" s="11"/>
      <c r="T519" s="6"/>
      <c r="U519" s="15" t="str">
        <f>HYPERLINK("https://media.infra-m.ru/2272/2272362/cover/2272362.jpg", "Обложка")</f>
        <v>Обложка</v>
      </c>
      <c r="V519" s="8" t="s">
        <v>3365</v>
      </c>
      <c r="W519" s="6"/>
      <c r="X519" s="6"/>
      <c r="Y519" s="6"/>
      <c r="Z519" s="6" t="s">
        <v>267</v>
      </c>
      <c r="AA519" s="6" t="s">
        <v>68</v>
      </c>
      <c r="AB519" s="8" t="s">
        <v>3366</v>
      </c>
      <c r="AC519" s="27">
        <v>9785160200958</v>
      </c>
    </row>
    <row r="520" spans="1:29" s="4" customFormat="1" ht="42" customHeight="1" x14ac:dyDescent="0.2">
      <c r="A520" s="5">
        <v>0</v>
      </c>
      <c r="B520" s="6" t="s">
        <v>3367</v>
      </c>
      <c r="C520" s="7">
        <v>1368</v>
      </c>
      <c r="D520" s="8" t="s">
        <v>3368</v>
      </c>
      <c r="E520" s="8" t="s">
        <v>3361</v>
      </c>
      <c r="F520" s="8" t="s">
        <v>3362</v>
      </c>
      <c r="G520" s="6" t="s">
        <v>118</v>
      </c>
      <c r="H520" s="6" t="s">
        <v>34</v>
      </c>
      <c r="I520" s="8" t="s">
        <v>253</v>
      </c>
      <c r="J520" s="9">
        <v>1</v>
      </c>
      <c r="K520" s="9">
        <v>206</v>
      </c>
      <c r="L520" s="9">
        <v>2026</v>
      </c>
      <c r="M520" s="8" t="s">
        <v>3369</v>
      </c>
      <c r="N520" s="8" t="s">
        <v>37</v>
      </c>
      <c r="O520" s="8" t="s">
        <v>50</v>
      </c>
      <c r="P520" s="6" t="s">
        <v>51</v>
      </c>
      <c r="Q520" s="8" t="s">
        <v>52</v>
      </c>
      <c r="R520" s="10" t="s">
        <v>3370</v>
      </c>
      <c r="S520" s="11"/>
      <c r="T520" s="6"/>
      <c r="U520" s="15" t="str">
        <f>HYPERLINK("https://media.infra-m.ru/2252/2252160/cover/2252160.jpg", "Обложка")</f>
        <v>Обложка</v>
      </c>
      <c r="V520" s="8" t="s">
        <v>3365</v>
      </c>
      <c r="W520" s="6"/>
      <c r="X520" s="6"/>
      <c r="Y520" s="6"/>
      <c r="Z520" s="6"/>
      <c r="AA520" s="6" t="s">
        <v>157</v>
      </c>
      <c r="AB520" s="8"/>
      <c r="AC520" s="27">
        <v>9785160153117</v>
      </c>
    </row>
    <row r="521" spans="1:29" s="4" customFormat="1" ht="42" customHeight="1" x14ac:dyDescent="0.2">
      <c r="A521" s="5">
        <v>0</v>
      </c>
      <c r="B521" s="6" t="s">
        <v>3371</v>
      </c>
      <c r="C521" s="7">
        <v>1320</v>
      </c>
      <c r="D521" s="8" t="s">
        <v>3372</v>
      </c>
      <c r="E521" s="8" t="s">
        <v>3373</v>
      </c>
      <c r="F521" s="8" t="s">
        <v>3374</v>
      </c>
      <c r="G521" s="6" t="s">
        <v>118</v>
      </c>
      <c r="H521" s="6" t="s">
        <v>34</v>
      </c>
      <c r="I521" s="8" t="s">
        <v>253</v>
      </c>
      <c r="J521" s="9">
        <v>1</v>
      </c>
      <c r="K521" s="9">
        <v>186</v>
      </c>
      <c r="L521" s="9">
        <v>2026</v>
      </c>
      <c r="M521" s="8" t="s">
        <v>3375</v>
      </c>
      <c r="N521" s="8" t="s">
        <v>37</v>
      </c>
      <c r="O521" s="8" t="s">
        <v>50</v>
      </c>
      <c r="P521" s="6" t="s">
        <v>51</v>
      </c>
      <c r="Q521" s="8" t="s">
        <v>52</v>
      </c>
      <c r="R521" s="10" t="s">
        <v>3376</v>
      </c>
      <c r="S521" s="11"/>
      <c r="T521" s="6"/>
      <c r="U521" s="15" t="str">
        <f>HYPERLINK("https://media.infra-m.ru/2244/2244524/cover/2244524.jpg", "Обложка")</f>
        <v>Обложка</v>
      </c>
      <c r="V521" s="8" t="s">
        <v>445</v>
      </c>
      <c r="W521" s="6"/>
      <c r="X521" s="6"/>
      <c r="Y521" s="6"/>
      <c r="Z521" s="6"/>
      <c r="AA521" s="6" t="s">
        <v>157</v>
      </c>
      <c r="AB521" s="8"/>
      <c r="AC521" s="27">
        <v>9785160178790</v>
      </c>
    </row>
    <row r="522" spans="1:29" s="4" customFormat="1" ht="51.9" customHeight="1" x14ac:dyDescent="0.2">
      <c r="A522" s="5">
        <v>0</v>
      </c>
      <c r="B522" s="6" t="s">
        <v>3377</v>
      </c>
      <c r="C522" s="7">
        <v>4060.8</v>
      </c>
      <c r="D522" s="8" t="s">
        <v>3378</v>
      </c>
      <c r="E522" s="8" t="s">
        <v>3379</v>
      </c>
      <c r="F522" s="8" t="s">
        <v>3380</v>
      </c>
      <c r="G522" s="6" t="s">
        <v>118</v>
      </c>
      <c r="H522" s="6" t="s">
        <v>34</v>
      </c>
      <c r="I522" s="8"/>
      <c r="J522" s="9">
        <v>1</v>
      </c>
      <c r="K522" s="9">
        <v>333</v>
      </c>
      <c r="L522" s="9">
        <v>2026</v>
      </c>
      <c r="M522" s="8" t="s">
        <v>3381</v>
      </c>
      <c r="N522" s="8" t="s">
        <v>63</v>
      </c>
      <c r="O522" s="8" t="s">
        <v>181</v>
      </c>
      <c r="P522" s="6" t="s">
        <v>51</v>
      </c>
      <c r="Q522" s="8" t="s">
        <v>52</v>
      </c>
      <c r="R522" s="10" t="s">
        <v>3382</v>
      </c>
      <c r="S522" s="11" t="s">
        <v>3383</v>
      </c>
      <c r="T522" s="6"/>
      <c r="U522" s="15" t="str">
        <f>HYPERLINK("https://media.infra-m.ru/2253/2253940/cover/2253940.jpg", "Обложка")</f>
        <v>Обложка</v>
      </c>
      <c r="V522" s="8" t="s">
        <v>1157</v>
      </c>
      <c r="W522" s="6"/>
      <c r="X522" s="6"/>
      <c r="Y522" s="6"/>
      <c r="Z522" s="6"/>
      <c r="AA522" s="6" t="s">
        <v>274</v>
      </c>
      <c r="AB522" s="8" t="s">
        <v>493</v>
      </c>
      <c r="AC522" s="27">
        <v>9785160108742</v>
      </c>
    </row>
    <row r="523" spans="1:29" s="4" customFormat="1" ht="51.9" customHeight="1" x14ac:dyDescent="0.2">
      <c r="A523" s="5">
        <v>0</v>
      </c>
      <c r="B523" s="6" t="s">
        <v>3384</v>
      </c>
      <c r="C523" s="7">
        <v>2104.8000000000002</v>
      </c>
      <c r="D523" s="8" t="s">
        <v>3385</v>
      </c>
      <c r="E523" s="8" t="s">
        <v>3386</v>
      </c>
      <c r="F523" s="8" t="s">
        <v>3387</v>
      </c>
      <c r="G523" s="6" t="s">
        <v>118</v>
      </c>
      <c r="H523" s="6" t="s">
        <v>34</v>
      </c>
      <c r="I523" s="8" t="s">
        <v>263</v>
      </c>
      <c r="J523" s="9">
        <v>1</v>
      </c>
      <c r="K523" s="9">
        <v>319</v>
      </c>
      <c r="L523" s="9">
        <v>2026</v>
      </c>
      <c r="M523" s="8" t="s">
        <v>3388</v>
      </c>
      <c r="N523" s="8" t="s">
        <v>63</v>
      </c>
      <c r="O523" s="8" t="s">
        <v>181</v>
      </c>
      <c r="P523" s="6" t="s">
        <v>306</v>
      </c>
      <c r="Q523" s="8" t="s">
        <v>265</v>
      </c>
      <c r="R523" s="10" t="s">
        <v>3389</v>
      </c>
      <c r="S523" s="11" t="s">
        <v>3390</v>
      </c>
      <c r="T523" s="6"/>
      <c r="U523" s="15" t="str">
        <f>HYPERLINK("https://media.infra-m.ru/2247/2247574/cover/2247574.jpg", "Обложка")</f>
        <v>Обложка</v>
      </c>
      <c r="V523" s="8" t="s">
        <v>227</v>
      </c>
      <c r="W523" s="6"/>
      <c r="X523" s="6" t="s">
        <v>24</v>
      </c>
      <c r="Y523" s="6"/>
      <c r="Z523" s="6"/>
      <c r="AA523" s="6" t="s">
        <v>3391</v>
      </c>
      <c r="AB523" s="8"/>
      <c r="AC523" s="27">
        <v>9785160042794</v>
      </c>
    </row>
    <row r="524" spans="1:29" s="4" customFormat="1" ht="51.9" customHeight="1" x14ac:dyDescent="0.2">
      <c r="A524" s="5">
        <v>0</v>
      </c>
      <c r="B524" s="6" t="s">
        <v>3392</v>
      </c>
      <c r="C524" s="7">
        <v>2608.8000000000002</v>
      </c>
      <c r="D524" s="8" t="s">
        <v>3393</v>
      </c>
      <c r="E524" s="8" t="s">
        <v>3394</v>
      </c>
      <c r="F524" s="8" t="s">
        <v>3395</v>
      </c>
      <c r="G524" s="6" t="s">
        <v>118</v>
      </c>
      <c r="H524" s="6" t="s">
        <v>34</v>
      </c>
      <c r="I524" s="8" t="s">
        <v>35</v>
      </c>
      <c r="J524" s="9">
        <v>1</v>
      </c>
      <c r="K524" s="9">
        <v>374</v>
      </c>
      <c r="L524" s="9">
        <v>2026</v>
      </c>
      <c r="M524" s="8" t="s">
        <v>3396</v>
      </c>
      <c r="N524" s="8" t="s">
        <v>243</v>
      </c>
      <c r="O524" s="8" t="s">
        <v>244</v>
      </c>
      <c r="P524" s="6" t="s">
        <v>39</v>
      </c>
      <c r="Q524" s="8" t="s">
        <v>40</v>
      </c>
      <c r="R524" s="10" t="s">
        <v>3397</v>
      </c>
      <c r="S524" s="11"/>
      <c r="T524" s="6"/>
      <c r="U524" s="15" t="str">
        <f>HYPERLINK("https://media.infra-m.ru/2239/2239208/cover/2239208.jpg", "Обложка")</f>
        <v>Обложка</v>
      </c>
      <c r="V524" s="8" t="s">
        <v>3398</v>
      </c>
      <c r="W524" s="6"/>
      <c r="X524" s="6"/>
      <c r="Y524" s="6"/>
      <c r="Z524" s="6"/>
      <c r="AA524" s="6" t="s">
        <v>360</v>
      </c>
      <c r="AB524" s="8"/>
      <c r="AC524" s="27">
        <v>9785160117539</v>
      </c>
    </row>
    <row r="525" spans="1:29" s="4" customFormat="1" ht="42" customHeight="1" x14ac:dyDescent="0.2">
      <c r="A525" s="5">
        <v>0</v>
      </c>
      <c r="B525" s="6" t="s">
        <v>3399</v>
      </c>
      <c r="C525" s="7">
        <v>2724</v>
      </c>
      <c r="D525" s="8" t="s">
        <v>3400</v>
      </c>
      <c r="E525" s="8" t="s">
        <v>3401</v>
      </c>
      <c r="F525" s="8" t="s">
        <v>3402</v>
      </c>
      <c r="G525" s="6" t="s">
        <v>60</v>
      </c>
      <c r="H525" s="6" t="s">
        <v>34</v>
      </c>
      <c r="I525" s="8" t="s">
        <v>35</v>
      </c>
      <c r="J525" s="9">
        <v>1</v>
      </c>
      <c r="K525" s="9">
        <v>412</v>
      </c>
      <c r="L525" s="9">
        <v>2026</v>
      </c>
      <c r="M525" s="8" t="s">
        <v>3403</v>
      </c>
      <c r="N525" s="8" t="s">
        <v>63</v>
      </c>
      <c r="O525" s="8" t="s">
        <v>181</v>
      </c>
      <c r="P525" s="6" t="s">
        <v>39</v>
      </c>
      <c r="Q525" s="8" t="s">
        <v>40</v>
      </c>
      <c r="R525" s="10" t="s">
        <v>3404</v>
      </c>
      <c r="S525" s="11"/>
      <c r="T525" s="6"/>
      <c r="U525" s="15" t="str">
        <f>HYPERLINK("https://media.infra-m.ru/2244/2244462/cover/2244462.jpg", "Обложка")</f>
        <v>Обложка</v>
      </c>
      <c r="V525" s="8" t="s">
        <v>3405</v>
      </c>
      <c r="W525" s="6"/>
      <c r="X525" s="6"/>
      <c r="Y525" s="6"/>
      <c r="Z525" s="6"/>
      <c r="AA525" s="6" t="s">
        <v>115</v>
      </c>
      <c r="AB525" s="8"/>
      <c r="AC525" s="27">
        <v>9785160140704</v>
      </c>
    </row>
    <row r="526" spans="1:29" s="4" customFormat="1" ht="51.9" customHeight="1" x14ac:dyDescent="0.2">
      <c r="A526" s="5">
        <v>0</v>
      </c>
      <c r="B526" s="6" t="s">
        <v>3406</v>
      </c>
      <c r="C526" s="7">
        <v>3376.8</v>
      </c>
      <c r="D526" s="8" t="s">
        <v>3407</v>
      </c>
      <c r="E526" s="8" t="s">
        <v>3408</v>
      </c>
      <c r="F526" s="8" t="s">
        <v>3409</v>
      </c>
      <c r="G526" s="6" t="s">
        <v>118</v>
      </c>
      <c r="H526" s="6" t="s">
        <v>48</v>
      </c>
      <c r="I526" s="8" t="s">
        <v>263</v>
      </c>
      <c r="J526" s="9">
        <v>1</v>
      </c>
      <c r="K526" s="9">
        <v>511</v>
      </c>
      <c r="L526" s="9">
        <v>2026</v>
      </c>
      <c r="M526" s="8" t="s">
        <v>3410</v>
      </c>
      <c r="N526" s="8" t="s">
        <v>243</v>
      </c>
      <c r="O526" s="8" t="s">
        <v>244</v>
      </c>
      <c r="P526" s="6" t="s">
        <v>306</v>
      </c>
      <c r="Q526" s="8" t="s">
        <v>265</v>
      </c>
      <c r="R526" s="10" t="s">
        <v>3411</v>
      </c>
      <c r="S526" s="11" t="s">
        <v>3412</v>
      </c>
      <c r="T526" s="6"/>
      <c r="U526" s="15" t="str">
        <f>HYPERLINK("https://media.infra-m.ru/2236/2236521/cover/2236521.jpg", "Обложка")</f>
        <v>Обложка</v>
      </c>
      <c r="V526" s="8" t="s">
        <v>3413</v>
      </c>
      <c r="W526" s="6"/>
      <c r="X526" s="6" t="s">
        <v>24</v>
      </c>
      <c r="Y526" s="6"/>
      <c r="Z526" s="6"/>
      <c r="AA526" s="6" t="s">
        <v>3414</v>
      </c>
      <c r="AB526" s="8"/>
      <c r="AC526" s="27">
        <v>9785000915110</v>
      </c>
    </row>
    <row r="527" spans="1:29" s="4" customFormat="1" ht="51.9" customHeight="1" x14ac:dyDescent="0.2">
      <c r="A527" s="5">
        <v>0</v>
      </c>
      <c r="B527" s="6" t="s">
        <v>3415</v>
      </c>
      <c r="C527" s="7">
        <v>2532</v>
      </c>
      <c r="D527" s="8" t="s">
        <v>3416</v>
      </c>
      <c r="E527" s="8" t="s">
        <v>3417</v>
      </c>
      <c r="F527" s="8" t="s">
        <v>3418</v>
      </c>
      <c r="G527" s="6" t="s">
        <v>118</v>
      </c>
      <c r="H527" s="6" t="s">
        <v>820</v>
      </c>
      <c r="I527" s="8" t="s">
        <v>263</v>
      </c>
      <c r="J527" s="9">
        <v>1</v>
      </c>
      <c r="K527" s="9">
        <v>384</v>
      </c>
      <c r="L527" s="9">
        <v>2026</v>
      </c>
      <c r="M527" s="8" t="s">
        <v>3419</v>
      </c>
      <c r="N527" s="8" t="s">
        <v>243</v>
      </c>
      <c r="O527" s="8" t="s">
        <v>244</v>
      </c>
      <c r="P527" s="6" t="s">
        <v>306</v>
      </c>
      <c r="Q527" s="8" t="s">
        <v>265</v>
      </c>
      <c r="R527" s="10" t="s">
        <v>3420</v>
      </c>
      <c r="S527" s="11"/>
      <c r="T527" s="6"/>
      <c r="U527" s="15" t="str">
        <f>HYPERLINK("https://media.infra-m.ru/2228/2228878/cover/2228878.jpg", "Обложка")</f>
        <v>Обложка</v>
      </c>
      <c r="V527" s="8" t="s">
        <v>3421</v>
      </c>
      <c r="W527" s="6"/>
      <c r="X527" s="6" t="s">
        <v>24</v>
      </c>
      <c r="Y527" s="6"/>
      <c r="Z527" s="6"/>
      <c r="AA527" s="6" t="s">
        <v>99</v>
      </c>
      <c r="AB527" s="8"/>
      <c r="AC527" s="27">
        <v>9785906923073</v>
      </c>
    </row>
    <row r="528" spans="1:29" s="4" customFormat="1" ht="51.9" customHeight="1" x14ac:dyDescent="0.2">
      <c r="A528" s="5">
        <v>0</v>
      </c>
      <c r="B528" s="6" t="s">
        <v>3422</v>
      </c>
      <c r="C528" s="7">
        <v>2536.8000000000002</v>
      </c>
      <c r="D528" s="8" t="s">
        <v>3423</v>
      </c>
      <c r="E528" s="8" t="s">
        <v>3424</v>
      </c>
      <c r="F528" s="8" t="s">
        <v>3425</v>
      </c>
      <c r="G528" s="6" t="s">
        <v>118</v>
      </c>
      <c r="H528" s="6" t="s">
        <v>1042</v>
      </c>
      <c r="I528" s="8" t="s">
        <v>263</v>
      </c>
      <c r="J528" s="9">
        <v>1</v>
      </c>
      <c r="K528" s="9">
        <v>383</v>
      </c>
      <c r="L528" s="9">
        <v>2026</v>
      </c>
      <c r="M528" s="8" t="s">
        <v>3426</v>
      </c>
      <c r="N528" s="8" t="s">
        <v>243</v>
      </c>
      <c r="O528" s="8" t="s">
        <v>244</v>
      </c>
      <c r="P528" s="6" t="s">
        <v>51</v>
      </c>
      <c r="Q528" s="8" t="s">
        <v>265</v>
      </c>
      <c r="R528" s="10" t="s">
        <v>3427</v>
      </c>
      <c r="S528" s="11" t="s">
        <v>1899</v>
      </c>
      <c r="T528" s="6"/>
      <c r="U528" s="15" t="str">
        <f>HYPERLINK("https://media.infra-m.ru/2250/2250384/cover/2250384.jpg", "Обложка")</f>
        <v>Обложка</v>
      </c>
      <c r="V528" s="8" t="s">
        <v>3428</v>
      </c>
      <c r="W528" s="6"/>
      <c r="X528" s="6" t="s">
        <v>24</v>
      </c>
      <c r="Y528" s="6"/>
      <c r="Z528" s="6"/>
      <c r="AA528" s="6" t="s">
        <v>561</v>
      </c>
      <c r="AB528" s="8"/>
      <c r="AC528" s="27">
        <v>9785819908686</v>
      </c>
    </row>
    <row r="529" spans="1:29" s="4" customFormat="1" ht="42" customHeight="1" x14ac:dyDescent="0.2">
      <c r="A529" s="5">
        <v>0</v>
      </c>
      <c r="B529" s="6" t="s">
        <v>3429</v>
      </c>
      <c r="C529" s="7">
        <v>1236</v>
      </c>
      <c r="D529" s="8" t="s">
        <v>3430</v>
      </c>
      <c r="E529" s="8" t="s">
        <v>3431</v>
      </c>
      <c r="F529" s="8" t="s">
        <v>3432</v>
      </c>
      <c r="G529" s="6" t="s">
        <v>33</v>
      </c>
      <c r="H529" s="6" t="s">
        <v>34</v>
      </c>
      <c r="I529" s="8" t="s">
        <v>35</v>
      </c>
      <c r="J529" s="9">
        <v>1</v>
      </c>
      <c r="K529" s="9">
        <v>186</v>
      </c>
      <c r="L529" s="9">
        <v>2026</v>
      </c>
      <c r="M529" s="8" t="s">
        <v>3433</v>
      </c>
      <c r="N529" s="8" t="s">
        <v>37</v>
      </c>
      <c r="O529" s="8" t="s">
        <v>50</v>
      </c>
      <c r="P529" s="6" t="s">
        <v>39</v>
      </c>
      <c r="Q529" s="8" t="s">
        <v>40</v>
      </c>
      <c r="R529" s="10" t="s">
        <v>3434</v>
      </c>
      <c r="S529" s="11"/>
      <c r="T529" s="6"/>
      <c r="U529" s="15" t="str">
        <f>HYPERLINK("https://media.infra-m.ru/2143/2143157/cover/2143157.jpg", "Обложка")</f>
        <v>Обложка</v>
      </c>
      <c r="V529" s="8"/>
      <c r="W529" s="6"/>
      <c r="X529" s="6"/>
      <c r="Y529" s="6"/>
      <c r="Z529" s="6"/>
      <c r="AA529" s="6" t="s">
        <v>430</v>
      </c>
      <c r="AB529" s="8"/>
      <c r="AC529" s="27">
        <v>9785160169163</v>
      </c>
    </row>
    <row r="530" spans="1:29" s="4" customFormat="1" ht="51.9" customHeight="1" x14ac:dyDescent="0.2">
      <c r="A530" s="5">
        <v>0</v>
      </c>
      <c r="B530" s="6" t="s">
        <v>3435</v>
      </c>
      <c r="C530" s="7">
        <v>2392.8000000000002</v>
      </c>
      <c r="D530" s="8" t="s">
        <v>3436</v>
      </c>
      <c r="E530" s="8" t="s">
        <v>3437</v>
      </c>
      <c r="F530" s="8" t="s">
        <v>3438</v>
      </c>
      <c r="G530" s="6" t="s">
        <v>118</v>
      </c>
      <c r="H530" s="6" t="s">
        <v>34</v>
      </c>
      <c r="I530" s="8" t="s">
        <v>271</v>
      </c>
      <c r="J530" s="9">
        <v>1</v>
      </c>
      <c r="K530" s="9">
        <v>363</v>
      </c>
      <c r="L530" s="9">
        <v>2026</v>
      </c>
      <c r="M530" s="8" t="s">
        <v>3439</v>
      </c>
      <c r="N530" s="8" t="s">
        <v>243</v>
      </c>
      <c r="O530" s="8" t="s">
        <v>798</v>
      </c>
      <c r="P530" s="6" t="s">
        <v>51</v>
      </c>
      <c r="Q530" s="8" t="s">
        <v>52</v>
      </c>
      <c r="R530" s="10" t="s">
        <v>3440</v>
      </c>
      <c r="S530" s="11" t="s">
        <v>3441</v>
      </c>
      <c r="T530" s="6"/>
      <c r="U530" s="15" t="str">
        <f>HYPERLINK("https://media.infra-m.ru/2212/2212250/cover/2212250.jpg", "Обложка")</f>
        <v>Обложка</v>
      </c>
      <c r="V530" s="8" t="s">
        <v>3442</v>
      </c>
      <c r="W530" s="6"/>
      <c r="X530" s="6"/>
      <c r="Y530" s="6"/>
      <c r="Z530" s="6"/>
      <c r="AA530" s="6" t="s">
        <v>779</v>
      </c>
      <c r="AB530" s="8"/>
      <c r="AC530" s="27">
        <v>9785160118550</v>
      </c>
    </row>
    <row r="531" spans="1:29" s="4" customFormat="1" ht="42" customHeight="1" x14ac:dyDescent="0.2">
      <c r="A531" s="5">
        <v>0</v>
      </c>
      <c r="B531" s="6" t="s">
        <v>3443</v>
      </c>
      <c r="C531" s="13">
        <v>960</v>
      </c>
      <c r="D531" s="8" t="s">
        <v>3444</v>
      </c>
      <c r="E531" s="8" t="s">
        <v>3445</v>
      </c>
      <c r="F531" s="8" t="s">
        <v>3446</v>
      </c>
      <c r="G531" s="6" t="s">
        <v>60</v>
      </c>
      <c r="H531" s="6" t="s">
        <v>34</v>
      </c>
      <c r="I531" s="8" t="s">
        <v>253</v>
      </c>
      <c r="J531" s="9">
        <v>1</v>
      </c>
      <c r="K531" s="9">
        <v>156</v>
      </c>
      <c r="L531" s="9">
        <v>2024</v>
      </c>
      <c r="M531" s="8" t="s">
        <v>3447</v>
      </c>
      <c r="N531" s="8" t="s">
        <v>63</v>
      </c>
      <c r="O531" s="8" t="s">
        <v>181</v>
      </c>
      <c r="P531" s="6" t="s">
        <v>51</v>
      </c>
      <c r="Q531" s="8" t="s">
        <v>65</v>
      </c>
      <c r="R531" s="10" t="s">
        <v>3404</v>
      </c>
      <c r="S531" s="11"/>
      <c r="T531" s="6"/>
      <c r="U531" s="15" t="str">
        <f>HYPERLINK("https://media.infra-m.ru/2116/2116159/cover/2116159.jpg", "Обложка")</f>
        <v>Обложка</v>
      </c>
      <c r="V531" s="8" t="s">
        <v>2602</v>
      </c>
      <c r="W531" s="6"/>
      <c r="X531" s="6"/>
      <c r="Y531" s="6"/>
      <c r="Z531" s="6"/>
      <c r="AA531" s="6" t="s">
        <v>76</v>
      </c>
      <c r="AB531" s="8" t="s">
        <v>2208</v>
      </c>
      <c r="AC531" s="27">
        <v>9785160194011</v>
      </c>
    </row>
    <row r="532" spans="1:29" s="4" customFormat="1" ht="51.9" customHeight="1" x14ac:dyDescent="0.2">
      <c r="A532" s="5">
        <v>0</v>
      </c>
      <c r="B532" s="6" t="s">
        <v>3448</v>
      </c>
      <c r="C532" s="7">
        <v>2998.8</v>
      </c>
      <c r="D532" s="8" t="s">
        <v>3449</v>
      </c>
      <c r="E532" s="8" t="s">
        <v>3450</v>
      </c>
      <c r="F532" s="8" t="s">
        <v>3402</v>
      </c>
      <c r="G532" s="6" t="s">
        <v>118</v>
      </c>
      <c r="H532" s="6" t="s">
        <v>34</v>
      </c>
      <c r="I532" s="8" t="s">
        <v>253</v>
      </c>
      <c r="J532" s="9">
        <v>1</v>
      </c>
      <c r="K532" s="9">
        <v>373</v>
      </c>
      <c r="L532" s="9">
        <v>2027</v>
      </c>
      <c r="M532" s="8" t="s">
        <v>3451</v>
      </c>
      <c r="N532" s="8" t="s">
        <v>63</v>
      </c>
      <c r="O532" s="8" t="s">
        <v>181</v>
      </c>
      <c r="P532" s="6" t="s">
        <v>306</v>
      </c>
      <c r="Q532" s="8" t="s">
        <v>500</v>
      </c>
      <c r="R532" s="10" t="s">
        <v>3404</v>
      </c>
      <c r="S532" s="11" t="s">
        <v>3452</v>
      </c>
      <c r="T532" s="6"/>
      <c r="U532" s="15" t="str">
        <f>HYPERLINK("https://media.infra-m.ru/2267/2267681/cover/2267681.jpg", "Обложка")</f>
        <v>Обложка</v>
      </c>
      <c r="V532" s="8" t="s">
        <v>3405</v>
      </c>
      <c r="W532" s="6"/>
      <c r="X532" s="6"/>
      <c r="Y532" s="6"/>
      <c r="Z532" s="6"/>
      <c r="AA532" s="6" t="s">
        <v>1303</v>
      </c>
      <c r="AB532" s="8"/>
      <c r="AC532" s="27">
        <v>9785160184005</v>
      </c>
    </row>
    <row r="533" spans="1:29" s="4" customFormat="1" ht="51.9" customHeight="1" x14ac:dyDescent="0.2">
      <c r="A533" s="5">
        <v>0</v>
      </c>
      <c r="B533" s="6" t="s">
        <v>3453</v>
      </c>
      <c r="C533" s="7">
        <v>1985.9</v>
      </c>
      <c r="D533" s="8" t="s">
        <v>3454</v>
      </c>
      <c r="E533" s="8" t="s">
        <v>3455</v>
      </c>
      <c r="F533" s="8" t="s">
        <v>3402</v>
      </c>
      <c r="G533" s="6" t="s">
        <v>118</v>
      </c>
      <c r="H533" s="6" t="s">
        <v>34</v>
      </c>
      <c r="I533" s="8" t="s">
        <v>504</v>
      </c>
      <c r="J533" s="9">
        <v>1</v>
      </c>
      <c r="K533" s="9">
        <v>368</v>
      </c>
      <c r="L533" s="9">
        <v>2023</v>
      </c>
      <c r="M533" s="8" t="s">
        <v>3456</v>
      </c>
      <c r="N533" s="8" t="s">
        <v>63</v>
      </c>
      <c r="O533" s="8" t="s">
        <v>181</v>
      </c>
      <c r="P533" s="6" t="s">
        <v>306</v>
      </c>
      <c r="Q533" s="8" t="s">
        <v>500</v>
      </c>
      <c r="R533" s="10" t="s">
        <v>3404</v>
      </c>
      <c r="S533" s="11" t="s">
        <v>3457</v>
      </c>
      <c r="T533" s="6"/>
      <c r="U533" s="15" t="str">
        <f>HYPERLINK("https://media.infra-m.ru/1911/1911808/cover/1911808.jpg", "Обложка")</f>
        <v>Обложка</v>
      </c>
      <c r="V533" s="8" t="s">
        <v>3405</v>
      </c>
      <c r="W533" s="6"/>
      <c r="X533" s="6"/>
      <c r="Y533" s="6"/>
      <c r="Z533" s="6"/>
      <c r="AA533" s="6" t="s">
        <v>779</v>
      </c>
      <c r="AB533" s="8"/>
      <c r="AC533" s="27">
        <v>9785160107394</v>
      </c>
    </row>
    <row r="534" spans="1:29" s="4" customFormat="1" ht="42" customHeight="1" x14ac:dyDescent="0.2">
      <c r="A534" s="5">
        <v>0</v>
      </c>
      <c r="B534" s="6" t="s">
        <v>3458</v>
      </c>
      <c r="C534" s="7">
        <v>1654.8</v>
      </c>
      <c r="D534" s="8" t="s">
        <v>3459</v>
      </c>
      <c r="E534" s="8" t="s">
        <v>3460</v>
      </c>
      <c r="F534" s="8" t="s">
        <v>3461</v>
      </c>
      <c r="G534" s="6" t="s">
        <v>33</v>
      </c>
      <c r="H534" s="6" t="s">
        <v>34</v>
      </c>
      <c r="I534" s="8" t="s">
        <v>253</v>
      </c>
      <c r="J534" s="9">
        <v>1</v>
      </c>
      <c r="K534" s="9">
        <v>176</v>
      </c>
      <c r="L534" s="9">
        <v>2026</v>
      </c>
      <c r="M534" s="8" t="s">
        <v>3462</v>
      </c>
      <c r="N534" s="8" t="s">
        <v>63</v>
      </c>
      <c r="O534" s="8" t="s">
        <v>181</v>
      </c>
      <c r="P534" s="6" t="s">
        <v>51</v>
      </c>
      <c r="Q534" s="8" t="s">
        <v>52</v>
      </c>
      <c r="R534" s="10" t="s">
        <v>3463</v>
      </c>
      <c r="S534" s="11"/>
      <c r="T534" s="6"/>
      <c r="U534" s="15" t="str">
        <f>HYPERLINK("https://media.infra-m.ru/2230/2230093/cover/2230093.jpg", "Обложка")</f>
        <v>Обложка</v>
      </c>
      <c r="V534" s="8" t="s">
        <v>2446</v>
      </c>
      <c r="W534" s="6"/>
      <c r="X534" s="6"/>
      <c r="Y534" s="6"/>
      <c r="Z534" s="6"/>
      <c r="AA534" s="6" t="s">
        <v>274</v>
      </c>
      <c r="AB534" s="8"/>
      <c r="AC534" s="27">
        <v>9785160217222</v>
      </c>
    </row>
    <row r="535" spans="1:29" s="4" customFormat="1" ht="42" customHeight="1" x14ac:dyDescent="0.2">
      <c r="A535" s="5">
        <v>0</v>
      </c>
      <c r="B535" s="6" t="s">
        <v>3464</v>
      </c>
      <c r="C535" s="7">
        <v>1636.8</v>
      </c>
      <c r="D535" s="8" t="s">
        <v>3465</v>
      </c>
      <c r="E535" s="8" t="s">
        <v>3466</v>
      </c>
      <c r="F535" s="8" t="s">
        <v>3467</v>
      </c>
      <c r="G535" s="6" t="s">
        <v>33</v>
      </c>
      <c r="H535" s="6" t="s">
        <v>34</v>
      </c>
      <c r="I535" s="8" t="s">
        <v>35</v>
      </c>
      <c r="J535" s="9">
        <v>1</v>
      </c>
      <c r="K535" s="9">
        <v>257</v>
      </c>
      <c r="L535" s="9">
        <v>2026</v>
      </c>
      <c r="M535" s="8" t="s">
        <v>3468</v>
      </c>
      <c r="N535" s="8" t="s">
        <v>63</v>
      </c>
      <c r="O535" s="8" t="s">
        <v>181</v>
      </c>
      <c r="P535" s="6" t="s">
        <v>39</v>
      </c>
      <c r="Q535" s="8" t="s">
        <v>40</v>
      </c>
      <c r="R535" s="10" t="s">
        <v>3469</v>
      </c>
      <c r="S535" s="11"/>
      <c r="T535" s="6"/>
      <c r="U535" s="15" t="str">
        <f>HYPERLINK("https://media.infra-m.ru/2220/2220326/cover/2220326.jpg", "Обложка")</f>
        <v>Обложка</v>
      </c>
      <c r="V535" s="8" t="s">
        <v>2602</v>
      </c>
      <c r="W535" s="6"/>
      <c r="X535" s="6"/>
      <c r="Y535" s="6"/>
      <c r="Z535" s="6"/>
      <c r="AA535" s="6" t="s">
        <v>218</v>
      </c>
      <c r="AB535" s="8"/>
      <c r="AC535" s="27">
        <v>9785160155128</v>
      </c>
    </row>
    <row r="536" spans="1:29" s="4" customFormat="1" ht="42" customHeight="1" x14ac:dyDescent="0.2">
      <c r="A536" s="5">
        <v>0</v>
      </c>
      <c r="B536" s="6" t="s">
        <v>3470</v>
      </c>
      <c r="C536" s="13">
        <v>372</v>
      </c>
      <c r="D536" s="8" t="s">
        <v>3471</v>
      </c>
      <c r="E536" s="8" t="s">
        <v>3472</v>
      </c>
      <c r="F536" s="8" t="s">
        <v>3467</v>
      </c>
      <c r="G536" s="6" t="s">
        <v>33</v>
      </c>
      <c r="H536" s="6" t="s">
        <v>34</v>
      </c>
      <c r="I536" s="8" t="s">
        <v>35</v>
      </c>
      <c r="J536" s="9">
        <v>1</v>
      </c>
      <c r="K536" s="9">
        <v>99</v>
      </c>
      <c r="L536" s="9">
        <v>2018</v>
      </c>
      <c r="M536" s="8" t="s">
        <v>3473</v>
      </c>
      <c r="N536" s="8" t="s">
        <v>63</v>
      </c>
      <c r="O536" s="8" t="s">
        <v>181</v>
      </c>
      <c r="P536" s="6" t="s">
        <v>39</v>
      </c>
      <c r="Q536" s="8" t="s">
        <v>40</v>
      </c>
      <c r="R536" s="10" t="s">
        <v>3469</v>
      </c>
      <c r="S536" s="11"/>
      <c r="T536" s="6"/>
      <c r="U536" s="15" t="str">
        <f>HYPERLINK("https://media.infra-m.ru/0962/0962580/cover/962580.jpg", "Обложка")</f>
        <v>Обложка</v>
      </c>
      <c r="V536" s="8" t="s">
        <v>2602</v>
      </c>
      <c r="W536" s="6"/>
      <c r="X536" s="6"/>
      <c r="Y536" s="6"/>
      <c r="Z536" s="6"/>
      <c r="AA536" s="6" t="s">
        <v>86</v>
      </c>
      <c r="AB536" s="8"/>
      <c r="AC536" s="27">
        <v>9785160127576</v>
      </c>
    </row>
    <row r="537" spans="1:29" s="4" customFormat="1" ht="51.9" customHeight="1" x14ac:dyDescent="0.2">
      <c r="A537" s="5">
        <v>0</v>
      </c>
      <c r="B537" s="6" t="s">
        <v>3474</v>
      </c>
      <c r="C537" s="7">
        <v>1512</v>
      </c>
      <c r="D537" s="8" t="s">
        <v>3475</v>
      </c>
      <c r="E537" s="8" t="s">
        <v>3476</v>
      </c>
      <c r="F537" s="8" t="s">
        <v>3477</v>
      </c>
      <c r="G537" s="6" t="s">
        <v>118</v>
      </c>
      <c r="H537" s="6" t="s">
        <v>34</v>
      </c>
      <c r="I537" s="8" t="s">
        <v>271</v>
      </c>
      <c r="J537" s="9">
        <v>1</v>
      </c>
      <c r="K537" s="9">
        <v>280</v>
      </c>
      <c r="L537" s="9">
        <v>2023</v>
      </c>
      <c r="M537" s="8" t="s">
        <v>3478</v>
      </c>
      <c r="N537" s="8" t="s">
        <v>63</v>
      </c>
      <c r="O537" s="8" t="s">
        <v>181</v>
      </c>
      <c r="P537" s="6" t="s">
        <v>51</v>
      </c>
      <c r="Q537" s="8" t="s">
        <v>52</v>
      </c>
      <c r="R537" s="10" t="s">
        <v>3479</v>
      </c>
      <c r="S537" s="11" t="s">
        <v>3480</v>
      </c>
      <c r="T537" s="6"/>
      <c r="U537" s="15" t="str">
        <f>HYPERLINK("https://media.infra-m.ru/1894/1894763/cover/1894763.jpg", "Обложка")</f>
        <v>Обложка</v>
      </c>
      <c r="V537" s="8" t="s">
        <v>809</v>
      </c>
      <c r="W537" s="6"/>
      <c r="X537" s="6"/>
      <c r="Y537" s="6"/>
      <c r="Z537" s="6"/>
      <c r="AA537" s="6" t="s">
        <v>779</v>
      </c>
      <c r="AB537" s="8"/>
      <c r="AC537" s="27">
        <v>9785160114002</v>
      </c>
    </row>
    <row r="538" spans="1:29" s="4" customFormat="1" ht="51.9" customHeight="1" x14ac:dyDescent="0.2">
      <c r="A538" s="5">
        <v>0</v>
      </c>
      <c r="B538" s="6" t="s">
        <v>3481</v>
      </c>
      <c r="C538" s="7">
        <v>1860</v>
      </c>
      <c r="D538" s="8" t="s">
        <v>3482</v>
      </c>
      <c r="E538" s="8" t="s">
        <v>3483</v>
      </c>
      <c r="F538" s="8" t="s">
        <v>3477</v>
      </c>
      <c r="G538" s="6" t="s">
        <v>118</v>
      </c>
      <c r="H538" s="6" t="s">
        <v>34</v>
      </c>
      <c r="I538" s="8" t="s">
        <v>263</v>
      </c>
      <c r="J538" s="9">
        <v>1</v>
      </c>
      <c r="K538" s="9">
        <v>280</v>
      </c>
      <c r="L538" s="9">
        <v>2026</v>
      </c>
      <c r="M538" s="8" t="s">
        <v>3484</v>
      </c>
      <c r="N538" s="8" t="s">
        <v>63</v>
      </c>
      <c r="O538" s="8" t="s">
        <v>181</v>
      </c>
      <c r="P538" s="6" t="s">
        <v>51</v>
      </c>
      <c r="Q538" s="8" t="s">
        <v>265</v>
      </c>
      <c r="R538" s="10" t="s">
        <v>3485</v>
      </c>
      <c r="S538" s="11" t="s">
        <v>3486</v>
      </c>
      <c r="T538" s="6"/>
      <c r="U538" s="15" t="str">
        <f>HYPERLINK("https://media.infra-m.ru/2232/2232548/cover/2232548.jpg", "Обложка")</f>
        <v>Обложка</v>
      </c>
      <c r="V538" s="8" t="s">
        <v>809</v>
      </c>
      <c r="W538" s="6"/>
      <c r="X538" s="6"/>
      <c r="Y538" s="6"/>
      <c r="Z538" s="6" t="s">
        <v>267</v>
      </c>
      <c r="AA538" s="6" t="s">
        <v>115</v>
      </c>
      <c r="AB538" s="8"/>
      <c r="AC538" s="27">
        <v>9785160142388</v>
      </c>
    </row>
    <row r="539" spans="1:29" s="4" customFormat="1" ht="51.9" customHeight="1" x14ac:dyDescent="0.2">
      <c r="A539" s="5">
        <v>0</v>
      </c>
      <c r="B539" s="6" t="s">
        <v>3487</v>
      </c>
      <c r="C539" s="7">
        <v>1680</v>
      </c>
      <c r="D539" s="8" t="s">
        <v>3488</v>
      </c>
      <c r="E539" s="8" t="s">
        <v>3489</v>
      </c>
      <c r="F539" s="8" t="s">
        <v>3490</v>
      </c>
      <c r="G539" s="6" t="s">
        <v>118</v>
      </c>
      <c r="H539" s="6" t="s">
        <v>34</v>
      </c>
      <c r="I539" s="8" t="s">
        <v>253</v>
      </c>
      <c r="J539" s="9">
        <v>1</v>
      </c>
      <c r="K539" s="9">
        <v>258</v>
      </c>
      <c r="L539" s="9">
        <v>2026</v>
      </c>
      <c r="M539" s="8" t="s">
        <v>3491</v>
      </c>
      <c r="N539" s="8" t="s">
        <v>63</v>
      </c>
      <c r="O539" s="8" t="s">
        <v>181</v>
      </c>
      <c r="P539" s="6" t="s">
        <v>51</v>
      </c>
      <c r="Q539" s="8" t="s">
        <v>52</v>
      </c>
      <c r="R539" s="10" t="s">
        <v>3479</v>
      </c>
      <c r="S539" s="11" t="s">
        <v>3480</v>
      </c>
      <c r="T539" s="6"/>
      <c r="U539" s="15" t="str">
        <f>HYPERLINK("https://media.infra-m.ru/2218/2218812/cover/2218812.jpg", "Обложка")</f>
        <v>Обложка</v>
      </c>
      <c r="V539" s="8" t="s">
        <v>809</v>
      </c>
      <c r="W539" s="6"/>
      <c r="X539" s="6"/>
      <c r="Y539" s="6"/>
      <c r="Z539" s="6"/>
      <c r="AA539" s="6" t="s">
        <v>2240</v>
      </c>
      <c r="AB539" s="8"/>
      <c r="AC539" s="27">
        <v>9785160182032</v>
      </c>
    </row>
    <row r="540" spans="1:29" s="4" customFormat="1" ht="51.9" customHeight="1" x14ac:dyDescent="0.2">
      <c r="A540" s="5">
        <v>0</v>
      </c>
      <c r="B540" s="6" t="s">
        <v>3492</v>
      </c>
      <c r="C540" s="7">
        <v>1625.9</v>
      </c>
      <c r="D540" s="8" t="s">
        <v>3493</v>
      </c>
      <c r="E540" s="8" t="s">
        <v>3494</v>
      </c>
      <c r="F540" s="8" t="s">
        <v>3495</v>
      </c>
      <c r="G540" s="6" t="s">
        <v>60</v>
      </c>
      <c r="H540" s="6" t="s">
        <v>241</v>
      </c>
      <c r="I540" s="8" t="s">
        <v>3496</v>
      </c>
      <c r="J540" s="9">
        <v>1</v>
      </c>
      <c r="K540" s="9">
        <v>301</v>
      </c>
      <c r="L540" s="9">
        <v>2023</v>
      </c>
      <c r="M540" s="8" t="s">
        <v>3497</v>
      </c>
      <c r="N540" s="8" t="s">
        <v>37</v>
      </c>
      <c r="O540" s="8" t="s">
        <v>233</v>
      </c>
      <c r="P540" s="6" t="s">
        <v>39</v>
      </c>
      <c r="Q540" s="8" t="s">
        <v>40</v>
      </c>
      <c r="R540" s="10" t="s">
        <v>3498</v>
      </c>
      <c r="S540" s="11"/>
      <c r="T540" s="6"/>
      <c r="U540" s="15" t="str">
        <f>HYPERLINK("https://media.infra-m.ru/1981/1981664/cover/1981664.jpg", "Обложка")</f>
        <v>Обложка</v>
      </c>
      <c r="V540" s="8" t="s">
        <v>247</v>
      </c>
      <c r="W540" s="6"/>
      <c r="X540" s="6"/>
      <c r="Y540" s="6"/>
      <c r="Z540" s="6"/>
      <c r="AA540" s="6" t="s">
        <v>248</v>
      </c>
      <c r="AB540" s="8"/>
      <c r="AC540" s="27">
        <v>9785955803289</v>
      </c>
    </row>
    <row r="541" spans="1:29" s="4" customFormat="1" ht="42" customHeight="1" x14ac:dyDescent="0.2">
      <c r="A541" s="5">
        <v>0</v>
      </c>
      <c r="B541" s="6" t="s">
        <v>3499</v>
      </c>
      <c r="C541" s="7">
        <v>2066.4</v>
      </c>
      <c r="D541" s="8" t="s">
        <v>3500</v>
      </c>
      <c r="E541" s="8" t="s">
        <v>3501</v>
      </c>
      <c r="F541" s="8" t="s">
        <v>3502</v>
      </c>
      <c r="G541" s="6" t="s">
        <v>60</v>
      </c>
      <c r="H541" s="6" t="s">
        <v>34</v>
      </c>
      <c r="I541" s="8" t="s">
        <v>1248</v>
      </c>
      <c r="J541" s="9">
        <v>1</v>
      </c>
      <c r="K541" s="9">
        <v>172</v>
      </c>
      <c r="L541" s="9">
        <v>2025</v>
      </c>
      <c r="M541" s="8" t="s">
        <v>3503</v>
      </c>
      <c r="N541" s="8" t="s">
        <v>63</v>
      </c>
      <c r="O541" s="8" t="s">
        <v>181</v>
      </c>
      <c r="P541" s="6" t="s">
        <v>51</v>
      </c>
      <c r="Q541" s="8" t="s">
        <v>65</v>
      </c>
      <c r="R541" s="10" t="s">
        <v>3504</v>
      </c>
      <c r="S541" s="11"/>
      <c r="T541" s="6"/>
      <c r="U541" s="15" t="str">
        <f>HYPERLINK("https://media.infra-m.ru/2162/2162076/cover/2162076.jpg", "Обложка")</f>
        <v>Обложка</v>
      </c>
      <c r="V541" s="8" t="s">
        <v>1083</v>
      </c>
      <c r="W541" s="6"/>
      <c r="X541" s="6"/>
      <c r="Y541" s="6"/>
      <c r="Z541" s="6"/>
      <c r="AA541" s="6" t="s">
        <v>68</v>
      </c>
      <c r="AB541" s="8"/>
      <c r="AC541" s="27">
        <v>9785160201795</v>
      </c>
    </row>
    <row r="542" spans="1:29" s="4" customFormat="1" ht="42" customHeight="1" x14ac:dyDescent="0.2">
      <c r="A542" s="5">
        <v>0</v>
      </c>
      <c r="B542" s="6" t="s">
        <v>3505</v>
      </c>
      <c r="C542" s="7">
        <v>1394.4</v>
      </c>
      <c r="D542" s="8" t="s">
        <v>3506</v>
      </c>
      <c r="E542" s="8" t="s">
        <v>3507</v>
      </c>
      <c r="F542" s="8" t="s">
        <v>3508</v>
      </c>
      <c r="G542" s="6" t="s">
        <v>60</v>
      </c>
      <c r="H542" s="6" t="s">
        <v>34</v>
      </c>
      <c r="I542" s="8" t="s">
        <v>1248</v>
      </c>
      <c r="J542" s="9">
        <v>1</v>
      </c>
      <c r="K542" s="9">
        <v>178</v>
      </c>
      <c r="L542" s="9">
        <v>2025</v>
      </c>
      <c r="M542" s="8" t="s">
        <v>3509</v>
      </c>
      <c r="N542" s="8" t="s">
        <v>63</v>
      </c>
      <c r="O542" s="8" t="s">
        <v>181</v>
      </c>
      <c r="P542" s="6" t="s">
        <v>51</v>
      </c>
      <c r="Q542" s="8" t="s">
        <v>65</v>
      </c>
      <c r="R542" s="10" t="s">
        <v>3510</v>
      </c>
      <c r="S542" s="11"/>
      <c r="T542" s="6"/>
      <c r="U542" s="15" t="str">
        <f>HYPERLINK("https://media.infra-m.ru/2162/2162075/cover/2162075.jpg", "Обложка")</f>
        <v>Обложка</v>
      </c>
      <c r="V542" s="8" t="s">
        <v>1083</v>
      </c>
      <c r="W542" s="6"/>
      <c r="X542" s="6"/>
      <c r="Y542" s="6"/>
      <c r="Z542" s="6"/>
      <c r="AA542" s="6" t="s">
        <v>68</v>
      </c>
      <c r="AB542" s="8"/>
      <c r="AC542" s="27">
        <v>9785160201788</v>
      </c>
    </row>
    <row r="543" spans="1:29" s="4" customFormat="1" ht="42" customHeight="1" x14ac:dyDescent="0.2">
      <c r="A543" s="5">
        <v>0</v>
      </c>
      <c r="B543" s="6" t="s">
        <v>3511</v>
      </c>
      <c r="C543" s="7">
        <v>1396.8</v>
      </c>
      <c r="D543" s="8" t="s">
        <v>3512</v>
      </c>
      <c r="E543" s="8" t="s">
        <v>3513</v>
      </c>
      <c r="F543" s="8" t="s">
        <v>3514</v>
      </c>
      <c r="G543" s="6" t="s">
        <v>118</v>
      </c>
      <c r="H543" s="6" t="s">
        <v>34</v>
      </c>
      <c r="I543" s="8" t="s">
        <v>1074</v>
      </c>
      <c r="J543" s="9">
        <v>1</v>
      </c>
      <c r="K543" s="9">
        <v>256</v>
      </c>
      <c r="L543" s="9">
        <v>2023</v>
      </c>
      <c r="M543" s="8" t="s">
        <v>3515</v>
      </c>
      <c r="N543" s="8" t="s">
        <v>37</v>
      </c>
      <c r="O543" s="8" t="s">
        <v>233</v>
      </c>
      <c r="P543" s="6" t="s">
        <v>39</v>
      </c>
      <c r="Q543" s="8" t="s">
        <v>40</v>
      </c>
      <c r="R543" s="10" t="s">
        <v>3516</v>
      </c>
      <c r="S543" s="11"/>
      <c r="T543" s="6"/>
      <c r="U543" s="15" t="str">
        <f>HYPERLINK("https://media.infra-m.ru/2006/2006048/cover/2006048.jpg", "Обложка")</f>
        <v>Обложка</v>
      </c>
      <c r="V543" s="8" t="s">
        <v>3517</v>
      </c>
      <c r="W543" s="6"/>
      <c r="X543" s="6"/>
      <c r="Y543" s="6"/>
      <c r="Z543" s="6"/>
      <c r="AA543" s="6" t="s">
        <v>779</v>
      </c>
      <c r="AB543" s="8"/>
      <c r="AC543" s="27">
        <v>9785160126418</v>
      </c>
    </row>
    <row r="544" spans="1:29" s="4" customFormat="1" ht="42" customHeight="1" x14ac:dyDescent="0.2">
      <c r="A544" s="5">
        <v>0</v>
      </c>
      <c r="B544" s="6" t="s">
        <v>3518</v>
      </c>
      <c r="C544" s="13">
        <v>996</v>
      </c>
      <c r="D544" s="8" t="s">
        <v>3519</v>
      </c>
      <c r="E544" s="8" t="s">
        <v>3520</v>
      </c>
      <c r="F544" s="8" t="s">
        <v>3521</v>
      </c>
      <c r="G544" s="6" t="s">
        <v>60</v>
      </c>
      <c r="H544" s="6" t="s">
        <v>34</v>
      </c>
      <c r="I544" s="8" t="s">
        <v>61</v>
      </c>
      <c r="J544" s="9">
        <v>1</v>
      </c>
      <c r="K544" s="9">
        <v>135</v>
      </c>
      <c r="L544" s="9">
        <v>2025</v>
      </c>
      <c r="M544" s="8" t="s">
        <v>3522</v>
      </c>
      <c r="N544" s="8" t="s">
        <v>585</v>
      </c>
      <c r="O544" s="8" t="s">
        <v>1518</v>
      </c>
      <c r="P544" s="6" t="s">
        <v>51</v>
      </c>
      <c r="Q544" s="8" t="s">
        <v>65</v>
      </c>
      <c r="R544" s="10" t="s">
        <v>3523</v>
      </c>
      <c r="S544" s="11"/>
      <c r="T544" s="6"/>
      <c r="U544" s="15" t="str">
        <f>HYPERLINK("https://media.infra-m.ru/2185/2185536/cover/2185536.jpg", "Обложка")</f>
        <v>Обложка</v>
      </c>
      <c r="V544" s="8" t="s">
        <v>67</v>
      </c>
      <c r="W544" s="6"/>
      <c r="X544" s="6"/>
      <c r="Y544" s="6"/>
      <c r="Z544" s="6"/>
      <c r="AA544" s="6" t="s">
        <v>917</v>
      </c>
      <c r="AB544" s="8"/>
      <c r="AC544" s="27">
        <v>9785160206028</v>
      </c>
    </row>
    <row r="545" spans="1:29" s="4" customFormat="1" ht="44.1" customHeight="1" x14ac:dyDescent="0.2">
      <c r="A545" s="5">
        <v>0</v>
      </c>
      <c r="B545" s="6" t="s">
        <v>3524</v>
      </c>
      <c r="C545" s="13">
        <v>828</v>
      </c>
      <c r="D545" s="8" t="s">
        <v>3525</v>
      </c>
      <c r="E545" s="8" t="s">
        <v>3526</v>
      </c>
      <c r="F545" s="8" t="s">
        <v>3527</v>
      </c>
      <c r="G545" s="6" t="s">
        <v>33</v>
      </c>
      <c r="H545" s="6" t="s">
        <v>34</v>
      </c>
      <c r="I545" s="8" t="s">
        <v>35</v>
      </c>
      <c r="J545" s="9">
        <v>1</v>
      </c>
      <c r="K545" s="9">
        <v>195</v>
      </c>
      <c r="L545" s="9">
        <v>2019</v>
      </c>
      <c r="M545" s="8" t="s">
        <v>3528</v>
      </c>
      <c r="N545" s="8" t="s">
        <v>37</v>
      </c>
      <c r="O545" s="8" t="s">
        <v>499</v>
      </c>
      <c r="P545" s="6" t="s">
        <v>39</v>
      </c>
      <c r="Q545" s="8" t="s">
        <v>40</v>
      </c>
      <c r="R545" s="10" t="s">
        <v>2053</v>
      </c>
      <c r="S545" s="11"/>
      <c r="T545" s="6"/>
      <c r="U545" s="15" t="str">
        <f>HYPERLINK("https://media.infra-m.ru/1018/1018873/cover/1018873.jpg", "Обложка")</f>
        <v>Обложка</v>
      </c>
      <c r="V545" s="8" t="s">
        <v>396</v>
      </c>
      <c r="W545" s="6"/>
      <c r="X545" s="6"/>
      <c r="Y545" s="6"/>
      <c r="Z545" s="6"/>
      <c r="AA545" s="6" t="s">
        <v>115</v>
      </c>
      <c r="AB545" s="8"/>
      <c r="AC545" s="27">
        <v>9785160151519</v>
      </c>
    </row>
    <row r="546" spans="1:29" s="4" customFormat="1" ht="51.9" customHeight="1" x14ac:dyDescent="0.2">
      <c r="A546" s="5">
        <v>0</v>
      </c>
      <c r="B546" s="6" t="s">
        <v>3529</v>
      </c>
      <c r="C546" s="13">
        <v>804</v>
      </c>
      <c r="D546" s="8" t="s">
        <v>3530</v>
      </c>
      <c r="E546" s="8" t="s">
        <v>3531</v>
      </c>
      <c r="F546" s="8" t="s">
        <v>3532</v>
      </c>
      <c r="G546" s="6" t="s">
        <v>33</v>
      </c>
      <c r="H546" s="6" t="s">
        <v>34</v>
      </c>
      <c r="I546" s="8" t="s">
        <v>35</v>
      </c>
      <c r="J546" s="9">
        <v>1</v>
      </c>
      <c r="K546" s="9">
        <v>190</v>
      </c>
      <c r="L546" s="9">
        <v>2020</v>
      </c>
      <c r="M546" s="8" t="s">
        <v>3533</v>
      </c>
      <c r="N546" s="8" t="s">
        <v>585</v>
      </c>
      <c r="O546" s="8" t="s">
        <v>775</v>
      </c>
      <c r="P546" s="6" t="s">
        <v>39</v>
      </c>
      <c r="Q546" s="8" t="s">
        <v>40</v>
      </c>
      <c r="R546" s="10" t="s">
        <v>3534</v>
      </c>
      <c r="S546" s="11"/>
      <c r="T546" s="6"/>
      <c r="U546" s="15" t="str">
        <f>HYPERLINK("https://media.infra-m.ru/1080/1080557/cover/1080557.jpg", "Обложка")</f>
        <v>Обложка</v>
      </c>
      <c r="V546" s="8" t="s">
        <v>396</v>
      </c>
      <c r="W546" s="6"/>
      <c r="X546" s="6"/>
      <c r="Y546" s="6"/>
      <c r="Z546" s="6"/>
      <c r="AA546" s="6" t="s">
        <v>248</v>
      </c>
      <c r="AB546" s="8"/>
      <c r="AC546" s="27">
        <v>9785160094960</v>
      </c>
    </row>
    <row r="547" spans="1:29" s="4" customFormat="1" ht="51.9" customHeight="1" x14ac:dyDescent="0.2">
      <c r="A547" s="5">
        <v>0</v>
      </c>
      <c r="B547" s="6" t="s">
        <v>3535</v>
      </c>
      <c r="C547" s="7">
        <v>1728</v>
      </c>
      <c r="D547" s="8" t="s">
        <v>3536</v>
      </c>
      <c r="E547" s="8" t="s">
        <v>3537</v>
      </c>
      <c r="F547" s="8" t="s">
        <v>661</v>
      </c>
      <c r="G547" s="6" t="s">
        <v>118</v>
      </c>
      <c r="H547" s="6" t="s">
        <v>34</v>
      </c>
      <c r="I547" s="8" t="s">
        <v>3538</v>
      </c>
      <c r="J547" s="9">
        <v>1</v>
      </c>
      <c r="K547" s="9">
        <v>400</v>
      </c>
      <c r="L547" s="9">
        <v>2021</v>
      </c>
      <c r="M547" s="8" t="s">
        <v>3539</v>
      </c>
      <c r="N547" s="8" t="s">
        <v>93</v>
      </c>
      <c r="O547" s="8" t="s">
        <v>94</v>
      </c>
      <c r="P547" s="6" t="s">
        <v>306</v>
      </c>
      <c r="Q547" s="8" t="s">
        <v>1349</v>
      </c>
      <c r="R547" s="10" t="s">
        <v>3169</v>
      </c>
      <c r="S547" s="11" t="s">
        <v>3540</v>
      </c>
      <c r="T547" s="6" t="s">
        <v>97</v>
      </c>
      <c r="U547" s="15" t="str">
        <f>HYPERLINK("https://media.infra-m.ru/1200/1200671/cover/1200671.jpg", "Обложка")</f>
        <v>Обложка</v>
      </c>
      <c r="V547" s="8" t="s">
        <v>3196</v>
      </c>
      <c r="W547" s="6"/>
      <c r="X547" s="6"/>
      <c r="Y547" s="6"/>
      <c r="Z547" s="6"/>
      <c r="AA547" s="6" t="s">
        <v>3541</v>
      </c>
      <c r="AB547" s="8"/>
      <c r="AC547" s="27">
        <v>9785160135854</v>
      </c>
    </row>
    <row r="548" spans="1:29" s="4" customFormat="1" ht="51.9" customHeight="1" x14ac:dyDescent="0.2">
      <c r="A548" s="5">
        <v>0</v>
      </c>
      <c r="B548" s="6" t="s">
        <v>3542</v>
      </c>
      <c r="C548" s="7">
        <v>2560.8000000000002</v>
      </c>
      <c r="D548" s="8" t="s">
        <v>3543</v>
      </c>
      <c r="E548" s="8" t="s">
        <v>3544</v>
      </c>
      <c r="F548" s="8" t="s">
        <v>661</v>
      </c>
      <c r="G548" s="6" t="s">
        <v>118</v>
      </c>
      <c r="H548" s="6" t="s">
        <v>34</v>
      </c>
      <c r="I548" s="8" t="s">
        <v>3538</v>
      </c>
      <c r="J548" s="9">
        <v>1</v>
      </c>
      <c r="K548" s="9">
        <v>388</v>
      </c>
      <c r="L548" s="9">
        <v>2026</v>
      </c>
      <c r="M548" s="8" t="s">
        <v>3545</v>
      </c>
      <c r="N548" s="8" t="s">
        <v>93</v>
      </c>
      <c r="O548" s="8" t="s">
        <v>94</v>
      </c>
      <c r="P548" s="6" t="s">
        <v>306</v>
      </c>
      <c r="Q548" s="8" t="s">
        <v>1349</v>
      </c>
      <c r="R548" s="10" t="s">
        <v>3169</v>
      </c>
      <c r="S548" s="11" t="s">
        <v>3546</v>
      </c>
      <c r="T548" s="6" t="s">
        <v>97</v>
      </c>
      <c r="U548" s="15" t="str">
        <f>HYPERLINK("https://media.infra-m.ru/2231/2231246/cover/2231246.jpg", "Обложка")</f>
        <v>Обложка</v>
      </c>
      <c r="V548" s="8" t="s">
        <v>3196</v>
      </c>
      <c r="W548" s="6"/>
      <c r="X548" s="6"/>
      <c r="Y548" s="6"/>
      <c r="Z548" s="6"/>
      <c r="AA548" s="6" t="s">
        <v>3547</v>
      </c>
      <c r="AB548" s="8"/>
      <c r="AC548" s="27">
        <v>9785160174129</v>
      </c>
    </row>
    <row r="549" spans="1:29" s="4" customFormat="1" ht="51.9" customHeight="1" x14ac:dyDescent="0.2">
      <c r="A549" s="5">
        <v>0</v>
      </c>
      <c r="B549" s="6" t="s">
        <v>3548</v>
      </c>
      <c r="C549" s="7">
        <v>1577.9</v>
      </c>
      <c r="D549" s="8" t="s">
        <v>3549</v>
      </c>
      <c r="E549" s="8" t="s">
        <v>3550</v>
      </c>
      <c r="F549" s="8" t="s">
        <v>661</v>
      </c>
      <c r="G549" s="6" t="s">
        <v>60</v>
      </c>
      <c r="H549" s="6" t="s">
        <v>34</v>
      </c>
      <c r="I549" s="8" t="s">
        <v>3538</v>
      </c>
      <c r="J549" s="9">
        <v>1</v>
      </c>
      <c r="K549" s="9">
        <v>451</v>
      </c>
      <c r="L549" s="9">
        <v>2018</v>
      </c>
      <c r="M549" s="8" t="s">
        <v>3551</v>
      </c>
      <c r="N549" s="8" t="s">
        <v>93</v>
      </c>
      <c r="O549" s="8" t="s">
        <v>94</v>
      </c>
      <c r="P549" s="6" t="s">
        <v>306</v>
      </c>
      <c r="Q549" s="8" t="s">
        <v>1349</v>
      </c>
      <c r="R549" s="10" t="s">
        <v>3169</v>
      </c>
      <c r="S549" s="11" t="s">
        <v>3552</v>
      </c>
      <c r="T549" s="6" t="s">
        <v>97</v>
      </c>
      <c r="U549" s="15" t="str">
        <f>HYPERLINK("https://media.infra-m.ru/0929/0929674/cover/929674.jpg", "Обложка")</f>
        <v>Обложка</v>
      </c>
      <c r="V549" s="8" t="s">
        <v>3196</v>
      </c>
      <c r="W549" s="6"/>
      <c r="X549" s="6"/>
      <c r="Y549" s="6"/>
      <c r="Z549" s="6"/>
      <c r="AA549" s="6" t="s">
        <v>3553</v>
      </c>
      <c r="AB549" s="8"/>
      <c r="AC549" s="27">
        <v>9785160117546</v>
      </c>
    </row>
    <row r="550" spans="1:29" s="4" customFormat="1" ht="42" customHeight="1" x14ac:dyDescent="0.2">
      <c r="A550" s="5">
        <v>0</v>
      </c>
      <c r="B550" s="6" t="s">
        <v>3554</v>
      </c>
      <c r="C550" s="7">
        <v>1284</v>
      </c>
      <c r="D550" s="8" t="s">
        <v>3555</v>
      </c>
      <c r="E550" s="8" t="s">
        <v>3556</v>
      </c>
      <c r="F550" s="8" t="s">
        <v>3557</v>
      </c>
      <c r="G550" s="6" t="s">
        <v>33</v>
      </c>
      <c r="H550" s="6" t="s">
        <v>34</v>
      </c>
      <c r="I550" s="8" t="s">
        <v>35</v>
      </c>
      <c r="J550" s="9">
        <v>1</v>
      </c>
      <c r="K550" s="9">
        <v>236</v>
      </c>
      <c r="L550" s="9">
        <v>2023</v>
      </c>
      <c r="M550" s="8" t="s">
        <v>3558</v>
      </c>
      <c r="N550" s="8" t="s">
        <v>37</v>
      </c>
      <c r="O550" s="8" t="s">
        <v>280</v>
      </c>
      <c r="P550" s="6" t="s">
        <v>39</v>
      </c>
      <c r="Q550" s="8" t="s">
        <v>40</v>
      </c>
      <c r="R550" s="10" t="s">
        <v>3559</v>
      </c>
      <c r="S550" s="11"/>
      <c r="T550" s="6"/>
      <c r="U550" s="15" t="str">
        <f>HYPERLINK("https://media.infra-m.ru/1896/1896465/cover/1896465.jpg", "Обложка")</f>
        <v>Обложка</v>
      </c>
      <c r="V550" s="8" t="s">
        <v>3196</v>
      </c>
      <c r="W550" s="6"/>
      <c r="X550" s="6"/>
      <c r="Y550" s="6"/>
      <c r="Z550" s="6"/>
      <c r="AA550" s="6" t="s">
        <v>718</v>
      </c>
      <c r="AB550" s="8"/>
      <c r="AC550" s="27">
        <v>9785160069296</v>
      </c>
    </row>
    <row r="551" spans="1:29" s="4" customFormat="1" ht="51.9" customHeight="1" x14ac:dyDescent="0.2">
      <c r="A551" s="5">
        <v>0</v>
      </c>
      <c r="B551" s="6" t="s">
        <v>3560</v>
      </c>
      <c r="C551" s="7">
        <v>1792.8</v>
      </c>
      <c r="D551" s="8" t="s">
        <v>3561</v>
      </c>
      <c r="E551" s="8" t="s">
        <v>3562</v>
      </c>
      <c r="F551" s="8" t="s">
        <v>3563</v>
      </c>
      <c r="G551" s="6" t="s">
        <v>60</v>
      </c>
      <c r="H551" s="6" t="s">
        <v>1042</v>
      </c>
      <c r="I551" s="8" t="s">
        <v>253</v>
      </c>
      <c r="J551" s="9">
        <v>1</v>
      </c>
      <c r="K551" s="9">
        <v>272</v>
      </c>
      <c r="L551" s="9">
        <v>2026</v>
      </c>
      <c r="M551" s="8" t="s">
        <v>3564</v>
      </c>
      <c r="N551" s="8" t="s">
        <v>37</v>
      </c>
      <c r="O551" s="8" t="s">
        <v>499</v>
      </c>
      <c r="P551" s="6" t="s">
        <v>51</v>
      </c>
      <c r="Q551" s="8" t="s">
        <v>52</v>
      </c>
      <c r="R551" s="10" t="s">
        <v>3565</v>
      </c>
      <c r="S551" s="11" t="s">
        <v>3566</v>
      </c>
      <c r="T551" s="6"/>
      <c r="U551" s="15" t="str">
        <f>HYPERLINK("https://media.infra-m.ru/2232/2232131/cover/2232131.jpg", "Обложка")</f>
        <v>Обложка</v>
      </c>
      <c r="V551" s="8" t="s">
        <v>227</v>
      </c>
      <c r="W551" s="6"/>
      <c r="X551" s="6"/>
      <c r="Y551" s="6"/>
      <c r="Z551" s="6"/>
      <c r="AA551" s="6" t="s">
        <v>129</v>
      </c>
      <c r="AB551" s="8"/>
      <c r="AC551" s="27">
        <v>9785819904541</v>
      </c>
    </row>
    <row r="552" spans="1:29" s="4" customFormat="1" ht="51.9" customHeight="1" x14ac:dyDescent="0.2">
      <c r="A552" s="5">
        <v>0</v>
      </c>
      <c r="B552" s="6" t="s">
        <v>3567</v>
      </c>
      <c r="C552" s="7">
        <v>1792.8</v>
      </c>
      <c r="D552" s="8" t="s">
        <v>3568</v>
      </c>
      <c r="E552" s="8" t="s">
        <v>3562</v>
      </c>
      <c r="F552" s="8" t="s">
        <v>3569</v>
      </c>
      <c r="G552" s="6" t="s">
        <v>118</v>
      </c>
      <c r="H552" s="6" t="s">
        <v>34</v>
      </c>
      <c r="I552" s="8" t="s">
        <v>263</v>
      </c>
      <c r="J552" s="9">
        <v>1</v>
      </c>
      <c r="K552" s="9">
        <v>272</v>
      </c>
      <c r="L552" s="9">
        <v>2026</v>
      </c>
      <c r="M552" s="8" t="s">
        <v>3570</v>
      </c>
      <c r="N552" s="8" t="s">
        <v>37</v>
      </c>
      <c r="O552" s="8" t="s">
        <v>499</v>
      </c>
      <c r="P552" s="6" t="s">
        <v>51</v>
      </c>
      <c r="Q552" s="8" t="s">
        <v>265</v>
      </c>
      <c r="R552" s="10" t="s">
        <v>3571</v>
      </c>
      <c r="S552" s="11" t="s">
        <v>3572</v>
      </c>
      <c r="T552" s="6"/>
      <c r="U552" s="15" t="str">
        <f>HYPERLINK("https://media.infra-m.ru/2232/2232133/cover/2232133.jpg", "Обложка")</f>
        <v>Обложка</v>
      </c>
      <c r="V552" s="8" t="s">
        <v>227</v>
      </c>
      <c r="W552" s="6"/>
      <c r="X552" s="6"/>
      <c r="Y552" s="6"/>
      <c r="Z552" s="6" t="s">
        <v>267</v>
      </c>
      <c r="AA552" s="6" t="s">
        <v>115</v>
      </c>
      <c r="AB552" s="8"/>
      <c r="AC552" s="27">
        <v>9785819907849</v>
      </c>
    </row>
    <row r="553" spans="1:29" s="4" customFormat="1" ht="51.9" customHeight="1" x14ac:dyDescent="0.2">
      <c r="A553" s="5">
        <v>0</v>
      </c>
      <c r="B553" s="6" t="s">
        <v>3573</v>
      </c>
      <c r="C553" s="13">
        <v>780</v>
      </c>
      <c r="D553" s="8" t="s">
        <v>3574</v>
      </c>
      <c r="E553" s="8" t="s">
        <v>3575</v>
      </c>
      <c r="F553" s="8" t="s">
        <v>3576</v>
      </c>
      <c r="G553" s="6" t="s">
        <v>33</v>
      </c>
      <c r="H553" s="6" t="s">
        <v>34</v>
      </c>
      <c r="I553" s="8" t="s">
        <v>263</v>
      </c>
      <c r="J553" s="9">
        <v>1</v>
      </c>
      <c r="K553" s="9">
        <v>127</v>
      </c>
      <c r="L553" s="9">
        <v>2023</v>
      </c>
      <c r="M553" s="8" t="s">
        <v>3577</v>
      </c>
      <c r="N553" s="8" t="s">
        <v>585</v>
      </c>
      <c r="O553" s="8" t="s">
        <v>667</v>
      </c>
      <c r="P553" s="6" t="s">
        <v>51</v>
      </c>
      <c r="Q553" s="8" t="s">
        <v>265</v>
      </c>
      <c r="R553" s="10" t="s">
        <v>3578</v>
      </c>
      <c r="S553" s="11" t="s">
        <v>3579</v>
      </c>
      <c r="T553" s="6"/>
      <c r="U553" s="15" t="str">
        <f>HYPERLINK("https://media.infra-m.ru/1912/1912949/cover/1912949.jpg", "Обложка")</f>
        <v>Обложка</v>
      </c>
      <c r="V553" s="8" t="s">
        <v>3580</v>
      </c>
      <c r="W553" s="6"/>
      <c r="X553" s="6"/>
      <c r="Y553" s="6"/>
      <c r="Z553" s="6"/>
      <c r="AA553" s="6" t="s">
        <v>218</v>
      </c>
      <c r="AB553" s="8" t="s">
        <v>3581</v>
      </c>
      <c r="AC553" s="27">
        <v>9785160153483</v>
      </c>
    </row>
    <row r="554" spans="1:29" s="4" customFormat="1" ht="42" customHeight="1" x14ac:dyDescent="0.2">
      <c r="A554" s="5">
        <v>0</v>
      </c>
      <c r="B554" s="6" t="s">
        <v>3582</v>
      </c>
      <c r="C554" s="7">
        <v>2364</v>
      </c>
      <c r="D554" s="8" t="s">
        <v>3583</v>
      </c>
      <c r="E554" s="8" t="s">
        <v>3584</v>
      </c>
      <c r="F554" s="8" t="s">
        <v>3585</v>
      </c>
      <c r="G554" s="6" t="s">
        <v>118</v>
      </c>
      <c r="H554" s="6" t="s">
        <v>34</v>
      </c>
      <c r="I554" s="8" t="s">
        <v>179</v>
      </c>
      <c r="J554" s="9">
        <v>1</v>
      </c>
      <c r="K554" s="9">
        <v>346</v>
      </c>
      <c r="L554" s="9">
        <v>2026</v>
      </c>
      <c r="M554" s="8" t="s">
        <v>3586</v>
      </c>
      <c r="N554" s="8" t="s">
        <v>585</v>
      </c>
      <c r="O554" s="8" t="s">
        <v>667</v>
      </c>
      <c r="P554" s="6" t="s">
        <v>182</v>
      </c>
      <c r="Q554" s="8" t="s">
        <v>3587</v>
      </c>
      <c r="R554" s="10" t="s">
        <v>3578</v>
      </c>
      <c r="S554" s="11"/>
      <c r="T554" s="6"/>
      <c r="U554" s="15" t="str">
        <f>HYPERLINK("https://media.infra-m.ru/2230/2230298/cover/2230298.jpg", "Обложка")</f>
        <v>Обложка</v>
      </c>
      <c r="V554" s="8" t="s">
        <v>3588</v>
      </c>
      <c r="W554" s="6"/>
      <c r="X554" s="6"/>
      <c r="Y554" s="6"/>
      <c r="Z554" s="6"/>
      <c r="AA554" s="6" t="s">
        <v>68</v>
      </c>
      <c r="AB554" s="8"/>
      <c r="AC554" s="27">
        <v>9785160204765</v>
      </c>
    </row>
    <row r="555" spans="1:29" s="4" customFormat="1" ht="51.9" customHeight="1" x14ac:dyDescent="0.2">
      <c r="A555" s="5">
        <v>0</v>
      </c>
      <c r="B555" s="6" t="s">
        <v>3589</v>
      </c>
      <c r="C555" s="7">
        <v>1804.8</v>
      </c>
      <c r="D555" s="8" t="s">
        <v>3590</v>
      </c>
      <c r="E555" s="8" t="s">
        <v>3584</v>
      </c>
      <c r="F555" s="8" t="s">
        <v>3591</v>
      </c>
      <c r="G555" s="6" t="s">
        <v>118</v>
      </c>
      <c r="H555" s="6" t="s">
        <v>34</v>
      </c>
      <c r="I555" s="8" t="s">
        <v>263</v>
      </c>
      <c r="J555" s="9">
        <v>1</v>
      </c>
      <c r="K555" s="9">
        <v>272</v>
      </c>
      <c r="L555" s="9">
        <v>2026</v>
      </c>
      <c r="M555" s="8" t="s">
        <v>3592</v>
      </c>
      <c r="N555" s="8" t="s">
        <v>585</v>
      </c>
      <c r="O555" s="8" t="s">
        <v>667</v>
      </c>
      <c r="P555" s="6" t="s">
        <v>51</v>
      </c>
      <c r="Q555" s="8" t="s">
        <v>265</v>
      </c>
      <c r="R555" s="10" t="s">
        <v>3593</v>
      </c>
      <c r="S555" s="11" t="s">
        <v>3594</v>
      </c>
      <c r="T555" s="6"/>
      <c r="U555" s="15" t="str">
        <f>HYPERLINK("https://media.infra-m.ru/2227/2227485/cover/2227485.jpg", "Обложка")</f>
        <v>Обложка</v>
      </c>
      <c r="V555" s="8" t="s">
        <v>3595</v>
      </c>
      <c r="W555" s="6"/>
      <c r="X555" s="6"/>
      <c r="Y555" s="6"/>
      <c r="Z555" s="6"/>
      <c r="AA555" s="6" t="s">
        <v>1256</v>
      </c>
      <c r="AB555" s="8" t="s">
        <v>3596</v>
      </c>
      <c r="AC555" s="27">
        <v>9785160161471</v>
      </c>
    </row>
    <row r="556" spans="1:29" s="4" customFormat="1" ht="51.9" customHeight="1" x14ac:dyDescent="0.2">
      <c r="A556" s="5">
        <v>0</v>
      </c>
      <c r="B556" s="6" t="s">
        <v>3597</v>
      </c>
      <c r="C556" s="7">
        <v>2398.8000000000002</v>
      </c>
      <c r="D556" s="8" t="s">
        <v>3598</v>
      </c>
      <c r="E556" s="8" t="s">
        <v>3584</v>
      </c>
      <c r="F556" s="8" t="s">
        <v>3585</v>
      </c>
      <c r="G556" s="6" t="s">
        <v>118</v>
      </c>
      <c r="H556" s="6" t="s">
        <v>34</v>
      </c>
      <c r="I556" s="8" t="s">
        <v>263</v>
      </c>
      <c r="J556" s="9">
        <v>1</v>
      </c>
      <c r="K556" s="9">
        <v>359</v>
      </c>
      <c r="L556" s="9">
        <v>2025</v>
      </c>
      <c r="M556" s="8" t="s">
        <v>3599</v>
      </c>
      <c r="N556" s="8" t="s">
        <v>585</v>
      </c>
      <c r="O556" s="8" t="s">
        <v>667</v>
      </c>
      <c r="P556" s="6" t="s">
        <v>51</v>
      </c>
      <c r="Q556" s="8" t="s">
        <v>265</v>
      </c>
      <c r="R556" s="10" t="s">
        <v>3600</v>
      </c>
      <c r="S556" s="11" t="s">
        <v>3601</v>
      </c>
      <c r="T556" s="6"/>
      <c r="U556" s="15" t="str">
        <f>HYPERLINK("https://media.infra-m.ru/2204/2204894/cover/2204894.jpg", "Обложка")</f>
        <v>Обложка</v>
      </c>
      <c r="V556" s="8" t="s">
        <v>3588</v>
      </c>
      <c r="W556" s="6"/>
      <c r="X556" s="6"/>
      <c r="Y556" s="6"/>
      <c r="Z556" s="6"/>
      <c r="AA556" s="6" t="s">
        <v>430</v>
      </c>
      <c r="AB556" s="8"/>
      <c r="AC556" s="27">
        <v>9785160164434</v>
      </c>
    </row>
    <row r="557" spans="1:29" s="4" customFormat="1" ht="42" customHeight="1" x14ac:dyDescent="0.2">
      <c r="A557" s="5">
        <v>0</v>
      </c>
      <c r="B557" s="6" t="s">
        <v>3602</v>
      </c>
      <c r="C557" s="7">
        <v>1192.8</v>
      </c>
      <c r="D557" s="8" t="s">
        <v>3603</v>
      </c>
      <c r="E557" s="8" t="s">
        <v>3604</v>
      </c>
      <c r="F557" s="8" t="s">
        <v>3605</v>
      </c>
      <c r="G557" s="6" t="s">
        <v>33</v>
      </c>
      <c r="H557" s="6" t="s">
        <v>34</v>
      </c>
      <c r="I557" s="8" t="s">
        <v>35</v>
      </c>
      <c r="J557" s="9">
        <v>1</v>
      </c>
      <c r="K557" s="9">
        <v>171</v>
      </c>
      <c r="L557" s="9">
        <v>2027</v>
      </c>
      <c r="M557" s="8" t="s">
        <v>3606</v>
      </c>
      <c r="N557" s="8" t="s">
        <v>243</v>
      </c>
      <c r="O557" s="8" t="s">
        <v>385</v>
      </c>
      <c r="P557" s="6" t="s">
        <v>39</v>
      </c>
      <c r="Q557" s="8" t="s">
        <v>40</v>
      </c>
      <c r="R557" s="10" t="s">
        <v>3607</v>
      </c>
      <c r="S557" s="11"/>
      <c r="T557" s="6"/>
      <c r="U557" s="15" t="str">
        <f>HYPERLINK("https://media.infra-m.ru/2273/2273016/cover/2273016.jpg", "Обложка")</f>
        <v>Обложка</v>
      </c>
      <c r="V557" s="8" t="s">
        <v>3608</v>
      </c>
      <c r="W557" s="6"/>
      <c r="X557" s="6"/>
      <c r="Y557" s="6"/>
      <c r="Z557" s="6"/>
      <c r="AA557" s="6" t="s">
        <v>148</v>
      </c>
      <c r="AB557" s="8"/>
      <c r="AC557" s="27">
        <v>9785160177106</v>
      </c>
    </row>
    <row r="558" spans="1:29" s="4" customFormat="1" ht="42" customHeight="1" x14ac:dyDescent="0.2">
      <c r="A558" s="5">
        <v>0</v>
      </c>
      <c r="B558" s="6" t="s">
        <v>3609</v>
      </c>
      <c r="C558" s="7">
        <v>1128</v>
      </c>
      <c r="D558" s="8" t="s">
        <v>3610</v>
      </c>
      <c r="E558" s="8" t="s">
        <v>3611</v>
      </c>
      <c r="F558" s="8" t="s">
        <v>3612</v>
      </c>
      <c r="G558" s="6" t="s">
        <v>33</v>
      </c>
      <c r="H558" s="6" t="s">
        <v>34</v>
      </c>
      <c r="I558" s="8" t="s">
        <v>35</v>
      </c>
      <c r="J558" s="9">
        <v>1</v>
      </c>
      <c r="K558" s="9">
        <v>188</v>
      </c>
      <c r="L558" s="9">
        <v>2024</v>
      </c>
      <c r="M558" s="8" t="s">
        <v>3613</v>
      </c>
      <c r="N558" s="8" t="s">
        <v>585</v>
      </c>
      <c r="O558" s="8" t="s">
        <v>775</v>
      </c>
      <c r="P558" s="6" t="s">
        <v>39</v>
      </c>
      <c r="Q558" s="8" t="s">
        <v>40</v>
      </c>
      <c r="R558" s="10" t="s">
        <v>3614</v>
      </c>
      <c r="S558" s="11"/>
      <c r="T558" s="6"/>
      <c r="U558" s="15" t="str">
        <f>HYPERLINK("https://media.infra-m.ru/2164/2164861/cover/2164861.jpg", "Обложка")</f>
        <v>Обложка</v>
      </c>
      <c r="V558" s="8" t="s">
        <v>3615</v>
      </c>
      <c r="W558" s="6"/>
      <c r="X558" s="6"/>
      <c r="Y558" s="6"/>
      <c r="Z558" s="6"/>
      <c r="AA558" s="6" t="s">
        <v>76</v>
      </c>
      <c r="AB558" s="8"/>
      <c r="AC558" s="27">
        <v>9785160202464</v>
      </c>
    </row>
    <row r="559" spans="1:29" s="4" customFormat="1" ht="51.9" customHeight="1" x14ac:dyDescent="0.2">
      <c r="A559" s="5">
        <v>0</v>
      </c>
      <c r="B559" s="6" t="s">
        <v>3616</v>
      </c>
      <c r="C559" s="13">
        <v>684</v>
      </c>
      <c r="D559" s="8" t="s">
        <v>3617</v>
      </c>
      <c r="E559" s="8" t="s">
        <v>3618</v>
      </c>
      <c r="F559" s="8" t="s">
        <v>3619</v>
      </c>
      <c r="G559" s="6" t="s">
        <v>33</v>
      </c>
      <c r="H559" s="6" t="s">
        <v>34</v>
      </c>
      <c r="I559" s="8" t="s">
        <v>3620</v>
      </c>
      <c r="J559" s="9">
        <v>1</v>
      </c>
      <c r="K559" s="9">
        <v>88</v>
      </c>
      <c r="L559" s="9">
        <v>2027</v>
      </c>
      <c r="M559" s="8" t="s">
        <v>3621</v>
      </c>
      <c r="N559" s="8" t="s">
        <v>585</v>
      </c>
      <c r="O559" s="8" t="s">
        <v>667</v>
      </c>
      <c r="P559" s="6" t="s">
        <v>51</v>
      </c>
      <c r="Q559" s="8" t="s">
        <v>52</v>
      </c>
      <c r="R559" s="10" t="s">
        <v>3622</v>
      </c>
      <c r="S559" s="11" t="s">
        <v>3623</v>
      </c>
      <c r="T559" s="6"/>
      <c r="U559" s="15" t="str">
        <f>HYPERLINK("https://media.infra-m.ru/2263/2263010/cover/2263010.jpg", "Обложка")</f>
        <v>Обложка</v>
      </c>
      <c r="V559" s="8" t="s">
        <v>2398</v>
      </c>
      <c r="W559" s="6"/>
      <c r="X559" s="6"/>
      <c r="Y559" s="6"/>
      <c r="Z559" s="6"/>
      <c r="AA559" s="6" t="s">
        <v>779</v>
      </c>
      <c r="AB559" s="8"/>
      <c r="AC559" s="27">
        <v>9785160191485</v>
      </c>
    </row>
    <row r="560" spans="1:29" s="4" customFormat="1" ht="51.9" customHeight="1" x14ac:dyDescent="0.2">
      <c r="A560" s="5">
        <v>0</v>
      </c>
      <c r="B560" s="6" t="s">
        <v>3624</v>
      </c>
      <c r="C560" s="7">
        <v>2268</v>
      </c>
      <c r="D560" s="8" t="s">
        <v>3625</v>
      </c>
      <c r="E560" s="8" t="s">
        <v>3626</v>
      </c>
      <c r="F560" s="8" t="s">
        <v>3083</v>
      </c>
      <c r="G560" s="6" t="s">
        <v>60</v>
      </c>
      <c r="H560" s="6" t="s">
        <v>34</v>
      </c>
      <c r="I560" s="8" t="s">
        <v>253</v>
      </c>
      <c r="J560" s="9">
        <v>1</v>
      </c>
      <c r="K560" s="9">
        <v>358</v>
      </c>
      <c r="L560" s="9">
        <v>2025</v>
      </c>
      <c r="M560" s="8" t="s">
        <v>3627</v>
      </c>
      <c r="N560" s="8" t="s">
        <v>63</v>
      </c>
      <c r="O560" s="8" t="s">
        <v>64</v>
      </c>
      <c r="P560" s="6" t="s">
        <v>51</v>
      </c>
      <c r="Q560" s="8" t="s">
        <v>65</v>
      </c>
      <c r="R560" s="10" t="s">
        <v>3628</v>
      </c>
      <c r="S560" s="11" t="s">
        <v>3629</v>
      </c>
      <c r="T560" s="6" t="s">
        <v>97</v>
      </c>
      <c r="U560" s="15" t="str">
        <f>HYPERLINK("https://media.infra-m.ru/2170/2170847/cover/2170847.jpg", "Обложка")</f>
        <v>Обложка</v>
      </c>
      <c r="V560" s="8" t="s">
        <v>3087</v>
      </c>
      <c r="W560" s="6" t="s">
        <v>2565</v>
      </c>
      <c r="X560" s="6"/>
      <c r="Y560" s="6"/>
      <c r="Z560" s="6"/>
      <c r="AA560" s="6" t="s">
        <v>68</v>
      </c>
      <c r="AB560" s="8"/>
      <c r="AC560" s="27">
        <v>9785160203782</v>
      </c>
    </row>
    <row r="561" spans="1:29" s="4" customFormat="1" ht="42" customHeight="1" x14ac:dyDescent="0.2">
      <c r="A561" s="5">
        <v>0</v>
      </c>
      <c r="B561" s="6" t="s">
        <v>3630</v>
      </c>
      <c r="C561" s="7">
        <v>1464</v>
      </c>
      <c r="D561" s="8" t="s">
        <v>3631</v>
      </c>
      <c r="E561" s="8" t="s">
        <v>3632</v>
      </c>
      <c r="F561" s="8" t="s">
        <v>3633</v>
      </c>
      <c r="G561" s="6" t="s">
        <v>60</v>
      </c>
      <c r="H561" s="6" t="s">
        <v>34</v>
      </c>
      <c r="I561" s="8" t="s">
        <v>253</v>
      </c>
      <c r="J561" s="9">
        <v>1</v>
      </c>
      <c r="K561" s="9">
        <v>200</v>
      </c>
      <c r="L561" s="9">
        <v>2027</v>
      </c>
      <c r="M561" s="8" t="s">
        <v>3634</v>
      </c>
      <c r="N561" s="8" t="s">
        <v>63</v>
      </c>
      <c r="O561" s="8" t="s">
        <v>154</v>
      </c>
      <c r="P561" s="6" t="s">
        <v>51</v>
      </c>
      <c r="Q561" s="8" t="s">
        <v>65</v>
      </c>
      <c r="R561" s="10" t="s">
        <v>3635</v>
      </c>
      <c r="S561" s="11"/>
      <c r="T561" s="6"/>
      <c r="U561" s="15" t="str">
        <f>HYPERLINK("https://media.infra-m.ru/2234/2234097/cover/2234097.jpg", "Обложка")</f>
        <v>Обложка</v>
      </c>
      <c r="V561" s="8" t="s">
        <v>3636</v>
      </c>
      <c r="W561" s="6" t="s">
        <v>649</v>
      </c>
      <c r="X561" s="6"/>
      <c r="Y561" s="6"/>
      <c r="Z561" s="6"/>
      <c r="AA561" s="6" t="s">
        <v>420</v>
      </c>
      <c r="AB561" s="8" t="s">
        <v>2634</v>
      </c>
      <c r="AC561" s="27">
        <v>9785160216645</v>
      </c>
    </row>
    <row r="562" spans="1:29" s="4" customFormat="1" ht="51.9" customHeight="1" x14ac:dyDescent="0.2">
      <c r="A562" s="5">
        <v>0</v>
      </c>
      <c r="B562" s="6" t="s">
        <v>3637</v>
      </c>
      <c r="C562" s="7">
        <v>2280</v>
      </c>
      <c r="D562" s="8" t="s">
        <v>3638</v>
      </c>
      <c r="E562" s="8" t="s">
        <v>3639</v>
      </c>
      <c r="F562" s="8" t="s">
        <v>3640</v>
      </c>
      <c r="G562" s="6" t="s">
        <v>60</v>
      </c>
      <c r="H562" s="6" t="s">
        <v>34</v>
      </c>
      <c r="I562" s="8" t="s">
        <v>253</v>
      </c>
      <c r="J562" s="9">
        <v>1</v>
      </c>
      <c r="K562" s="9">
        <v>413</v>
      </c>
      <c r="L562" s="9">
        <v>2024</v>
      </c>
      <c r="M562" s="8" t="s">
        <v>3641</v>
      </c>
      <c r="N562" s="8" t="s">
        <v>37</v>
      </c>
      <c r="O562" s="8" t="s">
        <v>233</v>
      </c>
      <c r="P562" s="6" t="s">
        <v>306</v>
      </c>
      <c r="Q562" s="8" t="s">
        <v>52</v>
      </c>
      <c r="R562" s="10" t="s">
        <v>3642</v>
      </c>
      <c r="S562" s="11" t="s">
        <v>3643</v>
      </c>
      <c r="T562" s="6"/>
      <c r="U562" s="15" t="str">
        <f>HYPERLINK("https://media.infra-m.ru/2110/2110956/cover/2110956.jpg", "Обложка")</f>
        <v>Обложка</v>
      </c>
      <c r="V562" s="8" t="s">
        <v>631</v>
      </c>
      <c r="W562" s="6"/>
      <c r="X562" s="6"/>
      <c r="Y562" s="6"/>
      <c r="Z562" s="6"/>
      <c r="AA562" s="6" t="s">
        <v>86</v>
      </c>
      <c r="AB562" s="8"/>
      <c r="AC562" s="27">
        <v>9785160193540</v>
      </c>
    </row>
    <row r="563" spans="1:29" s="4" customFormat="1" ht="51.9" customHeight="1" x14ac:dyDescent="0.2">
      <c r="A563" s="5">
        <v>0</v>
      </c>
      <c r="B563" s="6" t="s">
        <v>3644</v>
      </c>
      <c r="C563" s="7">
        <v>1997.9</v>
      </c>
      <c r="D563" s="8" t="s">
        <v>3645</v>
      </c>
      <c r="E563" s="8" t="s">
        <v>3639</v>
      </c>
      <c r="F563" s="8" t="s">
        <v>3640</v>
      </c>
      <c r="G563" s="6" t="s">
        <v>60</v>
      </c>
      <c r="H563" s="6" t="s">
        <v>34</v>
      </c>
      <c r="I563" s="8" t="s">
        <v>263</v>
      </c>
      <c r="J563" s="9">
        <v>1</v>
      </c>
      <c r="K563" s="9">
        <v>370</v>
      </c>
      <c r="L563" s="9">
        <v>2023</v>
      </c>
      <c r="M563" s="8" t="s">
        <v>3646</v>
      </c>
      <c r="N563" s="8" t="s">
        <v>37</v>
      </c>
      <c r="O563" s="8" t="s">
        <v>233</v>
      </c>
      <c r="P563" s="6" t="s">
        <v>306</v>
      </c>
      <c r="Q563" s="8" t="s">
        <v>265</v>
      </c>
      <c r="R563" s="10" t="s">
        <v>3647</v>
      </c>
      <c r="S563" s="11" t="s">
        <v>3648</v>
      </c>
      <c r="T563" s="6"/>
      <c r="U563" s="15" t="str">
        <f>HYPERLINK("https://media.infra-m.ru/1976/1976142/cover/1976142.jpg", "Обложка")</f>
        <v>Обложка</v>
      </c>
      <c r="V563" s="8" t="s">
        <v>631</v>
      </c>
      <c r="W563" s="6"/>
      <c r="X563" s="6"/>
      <c r="Y563" s="6"/>
      <c r="Z563" s="6" t="s">
        <v>267</v>
      </c>
      <c r="AA563" s="6" t="s">
        <v>115</v>
      </c>
      <c r="AB563" s="8"/>
      <c r="AC563" s="27">
        <v>9785160150703</v>
      </c>
    </row>
    <row r="564" spans="1:29" s="4" customFormat="1" ht="51.9" customHeight="1" x14ac:dyDescent="0.2">
      <c r="A564" s="5">
        <v>0</v>
      </c>
      <c r="B564" s="6" t="s">
        <v>3649</v>
      </c>
      <c r="C564" s="7">
        <v>1200</v>
      </c>
      <c r="D564" s="8" t="s">
        <v>3650</v>
      </c>
      <c r="E564" s="8" t="s">
        <v>3651</v>
      </c>
      <c r="F564" s="8" t="s">
        <v>3652</v>
      </c>
      <c r="G564" s="6" t="s">
        <v>60</v>
      </c>
      <c r="H564" s="6" t="s">
        <v>34</v>
      </c>
      <c r="I564" s="8" t="s">
        <v>3653</v>
      </c>
      <c r="J564" s="9">
        <v>1</v>
      </c>
      <c r="K564" s="9">
        <v>345</v>
      </c>
      <c r="L564" s="9">
        <v>2018</v>
      </c>
      <c r="M564" s="8" t="s">
        <v>3654</v>
      </c>
      <c r="N564" s="8" t="s">
        <v>37</v>
      </c>
      <c r="O564" s="8" t="s">
        <v>233</v>
      </c>
      <c r="P564" s="6" t="s">
        <v>306</v>
      </c>
      <c r="Q564" s="8" t="s">
        <v>500</v>
      </c>
      <c r="R564" s="10" t="s">
        <v>3655</v>
      </c>
      <c r="S564" s="11" t="s">
        <v>3656</v>
      </c>
      <c r="T564" s="6"/>
      <c r="U564" s="15" t="str">
        <f>HYPERLINK("https://media.infra-m.ru/0941/0941135/cover/941135.jpg", "Обложка")</f>
        <v>Обложка</v>
      </c>
      <c r="V564" s="8" t="s">
        <v>396</v>
      </c>
      <c r="W564" s="6"/>
      <c r="X564" s="6"/>
      <c r="Y564" s="6"/>
      <c r="Z564" s="6"/>
      <c r="AA564" s="6" t="s">
        <v>99</v>
      </c>
      <c r="AB564" s="8"/>
      <c r="AC564" s="27">
        <v>9785160121666</v>
      </c>
    </row>
    <row r="565" spans="1:29" s="4" customFormat="1" ht="51.9" customHeight="1" x14ac:dyDescent="0.2">
      <c r="A565" s="5">
        <v>0</v>
      </c>
      <c r="B565" s="6" t="s">
        <v>3657</v>
      </c>
      <c r="C565" s="7">
        <v>1356</v>
      </c>
      <c r="D565" s="8" t="s">
        <v>3658</v>
      </c>
      <c r="E565" s="8" t="s">
        <v>3659</v>
      </c>
      <c r="F565" s="8" t="s">
        <v>3660</v>
      </c>
      <c r="G565" s="6" t="s">
        <v>60</v>
      </c>
      <c r="H565" s="6" t="s">
        <v>34</v>
      </c>
      <c r="I565" s="8" t="s">
        <v>504</v>
      </c>
      <c r="J565" s="9">
        <v>1</v>
      </c>
      <c r="K565" s="9">
        <v>387</v>
      </c>
      <c r="L565" s="9">
        <v>2018</v>
      </c>
      <c r="M565" s="8" t="s">
        <v>3661</v>
      </c>
      <c r="N565" s="8" t="s">
        <v>37</v>
      </c>
      <c r="O565" s="8" t="s">
        <v>233</v>
      </c>
      <c r="P565" s="6" t="s">
        <v>306</v>
      </c>
      <c r="Q565" s="8" t="s">
        <v>500</v>
      </c>
      <c r="R565" s="10" t="s">
        <v>3662</v>
      </c>
      <c r="S565" s="11" t="s">
        <v>3663</v>
      </c>
      <c r="T565" s="6"/>
      <c r="U565" s="15" t="str">
        <f>HYPERLINK("https://media.infra-m.ru/0972/0972201/cover/972201.jpg", "Обложка")</f>
        <v>Обложка</v>
      </c>
      <c r="V565" s="8" t="s">
        <v>396</v>
      </c>
      <c r="W565" s="6"/>
      <c r="X565" s="6"/>
      <c r="Y565" s="6"/>
      <c r="Z565" s="6"/>
      <c r="AA565" s="6" t="s">
        <v>99</v>
      </c>
      <c r="AB565" s="8"/>
      <c r="AC565" s="27">
        <v>9785160121673</v>
      </c>
    </row>
    <row r="566" spans="1:29" s="4" customFormat="1" ht="42" customHeight="1" x14ac:dyDescent="0.2">
      <c r="A566" s="5">
        <v>0</v>
      </c>
      <c r="B566" s="6" t="s">
        <v>3664</v>
      </c>
      <c r="C566" s="7">
        <v>2632.8</v>
      </c>
      <c r="D566" s="8" t="s">
        <v>3665</v>
      </c>
      <c r="E566" s="8" t="s">
        <v>3666</v>
      </c>
      <c r="F566" s="8" t="s">
        <v>3667</v>
      </c>
      <c r="G566" s="6" t="s">
        <v>60</v>
      </c>
      <c r="H566" s="6" t="s">
        <v>34</v>
      </c>
      <c r="I566" s="8" t="s">
        <v>253</v>
      </c>
      <c r="J566" s="9">
        <v>1</v>
      </c>
      <c r="K566" s="9">
        <v>385</v>
      </c>
      <c r="L566" s="9">
        <v>2026</v>
      </c>
      <c r="M566" s="8" t="s">
        <v>3668</v>
      </c>
      <c r="N566" s="8" t="s">
        <v>37</v>
      </c>
      <c r="O566" s="8" t="s">
        <v>233</v>
      </c>
      <c r="P566" s="6" t="s">
        <v>306</v>
      </c>
      <c r="Q566" s="8" t="s">
        <v>500</v>
      </c>
      <c r="R566" s="10" t="s">
        <v>3669</v>
      </c>
      <c r="S566" s="11"/>
      <c r="T566" s="6"/>
      <c r="U566" s="15" t="str">
        <f>HYPERLINK("https://media.infra-m.ru/2218/2218797/cover/2218797.jpg", "Обложка")</f>
        <v>Обложка</v>
      </c>
      <c r="V566" s="8" t="s">
        <v>247</v>
      </c>
      <c r="W566" s="6"/>
      <c r="X566" s="6"/>
      <c r="Y566" s="6"/>
      <c r="Z566" s="6"/>
      <c r="AA566" s="6" t="s">
        <v>917</v>
      </c>
      <c r="AB566" s="8"/>
      <c r="AC566" s="27">
        <v>9785160178516</v>
      </c>
    </row>
    <row r="567" spans="1:29" s="4" customFormat="1" ht="33" customHeight="1" x14ac:dyDescent="0.2">
      <c r="A567" s="5">
        <v>0</v>
      </c>
      <c r="B567" s="6" t="s">
        <v>3670</v>
      </c>
      <c r="C567" s="13">
        <v>395.9</v>
      </c>
      <c r="D567" s="8" t="s">
        <v>3671</v>
      </c>
      <c r="E567" s="8" t="s">
        <v>3672</v>
      </c>
      <c r="F567" s="8" t="s">
        <v>3667</v>
      </c>
      <c r="G567" s="6" t="s">
        <v>60</v>
      </c>
      <c r="H567" s="6" t="s">
        <v>241</v>
      </c>
      <c r="I567" s="8"/>
      <c r="J567" s="9">
        <v>15</v>
      </c>
      <c r="K567" s="9">
        <v>188</v>
      </c>
      <c r="L567" s="9">
        <v>2014</v>
      </c>
      <c r="M567" s="8" t="s">
        <v>3673</v>
      </c>
      <c r="N567" s="8" t="s">
        <v>37</v>
      </c>
      <c r="O567" s="8" t="s">
        <v>233</v>
      </c>
      <c r="P567" s="6" t="s">
        <v>394</v>
      </c>
      <c r="Q567" s="8" t="s">
        <v>500</v>
      </c>
      <c r="R567" s="10" t="s">
        <v>3669</v>
      </c>
      <c r="S567" s="11"/>
      <c r="T567" s="6"/>
      <c r="U567" s="12"/>
      <c r="V567" s="8" t="s">
        <v>247</v>
      </c>
      <c r="W567" s="6"/>
      <c r="X567" s="6"/>
      <c r="Y567" s="6"/>
      <c r="Z567" s="6"/>
      <c r="AA567" s="6" t="s">
        <v>43</v>
      </c>
      <c r="AB567" s="8"/>
      <c r="AC567" s="27">
        <v>9785955802275</v>
      </c>
    </row>
    <row r="568" spans="1:29" s="4" customFormat="1" ht="51.9" customHeight="1" x14ac:dyDescent="0.2">
      <c r="A568" s="5">
        <v>0</v>
      </c>
      <c r="B568" s="6" t="s">
        <v>3674</v>
      </c>
      <c r="C568" s="7">
        <v>1248</v>
      </c>
      <c r="D568" s="8" t="s">
        <v>3675</v>
      </c>
      <c r="E568" s="8" t="s">
        <v>3676</v>
      </c>
      <c r="F568" s="8" t="s">
        <v>3677</v>
      </c>
      <c r="G568" s="6" t="s">
        <v>33</v>
      </c>
      <c r="H568" s="6" t="s">
        <v>34</v>
      </c>
      <c r="I568" s="8" t="s">
        <v>35</v>
      </c>
      <c r="J568" s="9">
        <v>1</v>
      </c>
      <c r="K568" s="9">
        <v>207</v>
      </c>
      <c r="L568" s="9">
        <v>2025</v>
      </c>
      <c r="M568" s="8" t="s">
        <v>3678</v>
      </c>
      <c r="N568" s="8" t="s">
        <v>37</v>
      </c>
      <c r="O568" s="8" t="s">
        <v>233</v>
      </c>
      <c r="P568" s="6" t="s">
        <v>39</v>
      </c>
      <c r="Q568" s="8" t="s">
        <v>40</v>
      </c>
      <c r="R568" s="10" t="s">
        <v>3679</v>
      </c>
      <c r="S568" s="11"/>
      <c r="T568" s="6" t="s">
        <v>97</v>
      </c>
      <c r="U568" s="15" t="str">
        <f>HYPERLINK("https://media.infra-m.ru/2162/2162892/cover/2162892.jpg", "Обложка")</f>
        <v>Обложка</v>
      </c>
      <c r="V568" s="8" t="s">
        <v>657</v>
      </c>
      <c r="W568" s="6"/>
      <c r="X568" s="6"/>
      <c r="Y568" s="6"/>
      <c r="Z568" s="6"/>
      <c r="AA568" s="6" t="s">
        <v>55</v>
      </c>
      <c r="AB568" s="8"/>
      <c r="AC568" s="27">
        <v>9785160060293</v>
      </c>
    </row>
    <row r="569" spans="1:29" s="4" customFormat="1" ht="42" customHeight="1" x14ac:dyDescent="0.2">
      <c r="A569" s="5">
        <v>0</v>
      </c>
      <c r="B569" s="6" t="s">
        <v>3680</v>
      </c>
      <c r="C569" s="7">
        <v>2196</v>
      </c>
      <c r="D569" s="8" t="s">
        <v>3681</v>
      </c>
      <c r="E569" s="8" t="s">
        <v>3682</v>
      </c>
      <c r="F569" s="8" t="s">
        <v>3683</v>
      </c>
      <c r="G569" s="6" t="s">
        <v>60</v>
      </c>
      <c r="H569" s="6" t="s">
        <v>34</v>
      </c>
      <c r="I569" s="8"/>
      <c r="J569" s="9">
        <v>1</v>
      </c>
      <c r="K569" s="9">
        <v>352</v>
      </c>
      <c r="L569" s="9">
        <v>2026</v>
      </c>
      <c r="M569" s="8" t="s">
        <v>3684</v>
      </c>
      <c r="N569" s="8" t="s">
        <v>37</v>
      </c>
      <c r="O569" s="8" t="s">
        <v>233</v>
      </c>
      <c r="P569" s="6" t="s">
        <v>51</v>
      </c>
      <c r="Q569" s="8" t="s">
        <v>65</v>
      </c>
      <c r="R569" s="10" t="s">
        <v>3685</v>
      </c>
      <c r="S569" s="11"/>
      <c r="T569" s="6"/>
      <c r="U569" s="15" t="str">
        <f>HYPERLINK("https://media.infra-m.ru/2212/2212622/cover/2212622.jpg", "Обложка")</f>
        <v>Обложка</v>
      </c>
      <c r="V569" s="8" t="s">
        <v>3686</v>
      </c>
      <c r="W569" s="6"/>
      <c r="X569" s="6"/>
      <c r="Y569" s="6"/>
      <c r="Z569" s="6"/>
      <c r="AA569" s="6" t="s">
        <v>187</v>
      </c>
      <c r="AB569" s="8"/>
      <c r="AC569" s="27">
        <v>9785160210810</v>
      </c>
    </row>
    <row r="570" spans="1:29" s="4" customFormat="1" ht="51.9" customHeight="1" x14ac:dyDescent="0.2">
      <c r="A570" s="5">
        <v>0</v>
      </c>
      <c r="B570" s="6" t="s">
        <v>3687</v>
      </c>
      <c r="C570" s="13">
        <v>736.8</v>
      </c>
      <c r="D570" s="8" t="s">
        <v>3688</v>
      </c>
      <c r="E570" s="8" t="s">
        <v>3689</v>
      </c>
      <c r="F570" s="8" t="s">
        <v>3690</v>
      </c>
      <c r="G570" s="6" t="s">
        <v>60</v>
      </c>
      <c r="H570" s="6" t="s">
        <v>34</v>
      </c>
      <c r="I570" s="8" t="s">
        <v>271</v>
      </c>
      <c r="J570" s="9">
        <v>1</v>
      </c>
      <c r="K570" s="9">
        <v>112</v>
      </c>
      <c r="L570" s="9">
        <v>2026</v>
      </c>
      <c r="M570" s="8" t="s">
        <v>3691</v>
      </c>
      <c r="N570" s="8" t="s">
        <v>37</v>
      </c>
      <c r="O570" s="8" t="s">
        <v>280</v>
      </c>
      <c r="P570" s="6" t="s">
        <v>51</v>
      </c>
      <c r="Q570" s="8" t="s">
        <v>52</v>
      </c>
      <c r="R570" s="10" t="s">
        <v>2086</v>
      </c>
      <c r="S570" s="11" t="s">
        <v>3692</v>
      </c>
      <c r="T570" s="6"/>
      <c r="U570" s="15" t="str">
        <f>HYPERLINK("https://media.infra-m.ru/2246/2246039/cover/2246039.jpg", "Обложка")</f>
        <v>Обложка</v>
      </c>
      <c r="V570" s="8" t="s">
        <v>3693</v>
      </c>
      <c r="W570" s="6"/>
      <c r="X570" s="6"/>
      <c r="Y570" s="6"/>
      <c r="Z570" s="6"/>
      <c r="AA570" s="6" t="s">
        <v>248</v>
      </c>
      <c r="AB570" s="8"/>
      <c r="AC570" s="27">
        <v>9785160090108</v>
      </c>
    </row>
    <row r="571" spans="1:29" s="4" customFormat="1" ht="51.9" customHeight="1" x14ac:dyDescent="0.2">
      <c r="A571" s="5">
        <v>0</v>
      </c>
      <c r="B571" s="6" t="s">
        <v>3694</v>
      </c>
      <c r="C571" s="7">
        <v>3592.8</v>
      </c>
      <c r="D571" s="8" t="s">
        <v>3695</v>
      </c>
      <c r="E571" s="8" t="s">
        <v>3696</v>
      </c>
      <c r="F571" s="8" t="s">
        <v>3697</v>
      </c>
      <c r="G571" s="6" t="s">
        <v>118</v>
      </c>
      <c r="H571" s="6" t="s">
        <v>34</v>
      </c>
      <c r="I571" s="8" t="s">
        <v>2025</v>
      </c>
      <c r="J571" s="9">
        <v>1</v>
      </c>
      <c r="K571" s="9">
        <v>594</v>
      </c>
      <c r="L571" s="9">
        <v>2026</v>
      </c>
      <c r="M571" s="8" t="s">
        <v>3698</v>
      </c>
      <c r="N571" s="8" t="s">
        <v>37</v>
      </c>
      <c r="O571" s="8" t="s">
        <v>233</v>
      </c>
      <c r="P571" s="6" t="s">
        <v>51</v>
      </c>
      <c r="Q571" s="8" t="s">
        <v>52</v>
      </c>
      <c r="R571" s="10" t="s">
        <v>3699</v>
      </c>
      <c r="S571" s="11" t="s">
        <v>3700</v>
      </c>
      <c r="T571" s="6"/>
      <c r="U571" s="15" t="str">
        <f>HYPERLINK("https://media.infra-m.ru/2213/2213308/cover/2213308.jpg", "Обложка")</f>
        <v>Обложка</v>
      </c>
      <c r="V571" s="8" t="s">
        <v>247</v>
      </c>
      <c r="W571" s="6"/>
      <c r="X571" s="6"/>
      <c r="Y571" s="6"/>
      <c r="Z571" s="6"/>
      <c r="AA571" s="6" t="s">
        <v>3189</v>
      </c>
      <c r="AB571" s="8"/>
      <c r="AC571" s="27">
        <v>9785160169927</v>
      </c>
    </row>
    <row r="572" spans="1:29" s="4" customFormat="1" ht="51.9" customHeight="1" x14ac:dyDescent="0.2">
      <c r="A572" s="5">
        <v>0</v>
      </c>
      <c r="B572" s="6" t="s">
        <v>3701</v>
      </c>
      <c r="C572" s="7">
        <v>1288.8</v>
      </c>
      <c r="D572" s="8" t="s">
        <v>3702</v>
      </c>
      <c r="E572" s="8" t="s">
        <v>3703</v>
      </c>
      <c r="F572" s="8" t="s">
        <v>3704</v>
      </c>
      <c r="G572" s="6" t="s">
        <v>60</v>
      </c>
      <c r="H572" s="6" t="s">
        <v>34</v>
      </c>
      <c r="I572" s="8" t="s">
        <v>504</v>
      </c>
      <c r="J572" s="9">
        <v>1</v>
      </c>
      <c r="K572" s="9">
        <v>206</v>
      </c>
      <c r="L572" s="9">
        <v>2025</v>
      </c>
      <c r="M572" s="8" t="s">
        <v>3705</v>
      </c>
      <c r="N572" s="8" t="s">
        <v>37</v>
      </c>
      <c r="O572" s="8" t="s">
        <v>233</v>
      </c>
      <c r="P572" s="6" t="s">
        <v>51</v>
      </c>
      <c r="Q572" s="8" t="s">
        <v>500</v>
      </c>
      <c r="R572" s="10" t="s">
        <v>1646</v>
      </c>
      <c r="S572" s="11" t="s">
        <v>3706</v>
      </c>
      <c r="T572" s="6"/>
      <c r="U572" s="15" t="str">
        <f>HYPERLINK("https://media.infra-m.ru/2199/2199630/cover/2199630.jpg", "Обложка")</f>
        <v>Обложка</v>
      </c>
      <c r="V572" s="8" t="s">
        <v>3707</v>
      </c>
      <c r="W572" s="6"/>
      <c r="X572" s="6"/>
      <c r="Y572" s="6"/>
      <c r="Z572" s="6"/>
      <c r="AA572" s="6" t="s">
        <v>430</v>
      </c>
      <c r="AB572" s="8"/>
      <c r="AC572" s="27">
        <v>9785160158372</v>
      </c>
    </row>
    <row r="573" spans="1:29" s="4" customFormat="1" ht="51.9" customHeight="1" x14ac:dyDescent="0.2">
      <c r="A573" s="5">
        <v>0</v>
      </c>
      <c r="B573" s="6" t="s">
        <v>3708</v>
      </c>
      <c r="C573" s="7">
        <v>2748</v>
      </c>
      <c r="D573" s="8" t="s">
        <v>3709</v>
      </c>
      <c r="E573" s="8" t="s">
        <v>3710</v>
      </c>
      <c r="F573" s="8" t="s">
        <v>3711</v>
      </c>
      <c r="G573" s="6" t="s">
        <v>60</v>
      </c>
      <c r="H573" s="6" t="s">
        <v>34</v>
      </c>
      <c r="I573" s="8" t="s">
        <v>1835</v>
      </c>
      <c r="J573" s="9">
        <v>1</v>
      </c>
      <c r="K573" s="9">
        <v>379</v>
      </c>
      <c r="L573" s="9">
        <v>2026</v>
      </c>
      <c r="M573" s="8" t="s">
        <v>3712</v>
      </c>
      <c r="N573" s="8" t="s">
        <v>37</v>
      </c>
      <c r="O573" s="8" t="s">
        <v>233</v>
      </c>
      <c r="P573" s="6" t="s">
        <v>1837</v>
      </c>
      <c r="Q573" s="8" t="s">
        <v>40</v>
      </c>
      <c r="R573" s="10" t="s">
        <v>3713</v>
      </c>
      <c r="S573" s="11"/>
      <c r="T573" s="6"/>
      <c r="U573" s="15" t="str">
        <f>HYPERLINK("https://media.infra-m.ru/2232/2232185/cover/2232185.jpg", "Обложка")</f>
        <v>Обложка</v>
      </c>
      <c r="V573" s="8" t="s">
        <v>657</v>
      </c>
      <c r="W573" s="6" t="s">
        <v>299</v>
      </c>
      <c r="X573" s="6"/>
      <c r="Y573" s="6"/>
      <c r="Z573" s="6"/>
      <c r="AA573" s="6" t="s">
        <v>187</v>
      </c>
      <c r="AB573" s="8"/>
      <c r="AC573" s="27">
        <v>9785160216089</v>
      </c>
    </row>
    <row r="574" spans="1:29" s="4" customFormat="1" ht="51.9" customHeight="1" x14ac:dyDescent="0.2">
      <c r="A574" s="5">
        <v>0</v>
      </c>
      <c r="B574" s="6" t="s">
        <v>3714</v>
      </c>
      <c r="C574" s="7">
        <v>1884</v>
      </c>
      <c r="D574" s="8" t="s">
        <v>3715</v>
      </c>
      <c r="E574" s="8" t="s">
        <v>3716</v>
      </c>
      <c r="F574" s="8" t="s">
        <v>3717</v>
      </c>
      <c r="G574" s="6" t="s">
        <v>118</v>
      </c>
      <c r="H574" s="6" t="s">
        <v>34</v>
      </c>
      <c r="I574" s="8" t="s">
        <v>263</v>
      </c>
      <c r="J574" s="9">
        <v>1</v>
      </c>
      <c r="K574" s="9">
        <v>286</v>
      </c>
      <c r="L574" s="9">
        <v>2026</v>
      </c>
      <c r="M574" s="8" t="s">
        <v>3718</v>
      </c>
      <c r="N574" s="8" t="s">
        <v>37</v>
      </c>
      <c r="O574" s="8" t="s">
        <v>233</v>
      </c>
      <c r="P574" s="6" t="s">
        <v>51</v>
      </c>
      <c r="Q574" s="8" t="s">
        <v>265</v>
      </c>
      <c r="R574" s="10" t="s">
        <v>3719</v>
      </c>
      <c r="S574" s="11" t="s">
        <v>3720</v>
      </c>
      <c r="T574" s="6"/>
      <c r="U574" s="15" t="str">
        <f>HYPERLINK("https://media.infra-m.ru/2196/2196778/cover/2196778.jpg", "Обложка")</f>
        <v>Обложка</v>
      </c>
      <c r="V574" s="8" t="s">
        <v>717</v>
      </c>
      <c r="W574" s="6"/>
      <c r="X574" s="6"/>
      <c r="Y574" s="6"/>
      <c r="Z574" s="6"/>
      <c r="AA574" s="6" t="s">
        <v>3721</v>
      </c>
      <c r="AB574" s="8"/>
      <c r="AC574" s="27">
        <v>9785160211275</v>
      </c>
    </row>
    <row r="575" spans="1:29" s="4" customFormat="1" ht="51.9" customHeight="1" x14ac:dyDescent="0.2">
      <c r="A575" s="5">
        <v>0</v>
      </c>
      <c r="B575" s="6" t="s">
        <v>3722</v>
      </c>
      <c r="C575" s="13">
        <v>540</v>
      </c>
      <c r="D575" s="8" t="s">
        <v>3723</v>
      </c>
      <c r="E575" s="8" t="s">
        <v>3724</v>
      </c>
      <c r="F575" s="8" t="s">
        <v>3725</v>
      </c>
      <c r="G575" s="6" t="s">
        <v>33</v>
      </c>
      <c r="H575" s="6" t="s">
        <v>34</v>
      </c>
      <c r="I575" s="8" t="s">
        <v>35</v>
      </c>
      <c r="J575" s="9">
        <v>1</v>
      </c>
      <c r="K575" s="9">
        <v>100</v>
      </c>
      <c r="L575" s="9">
        <v>2023</v>
      </c>
      <c r="M575" s="8" t="s">
        <v>3726</v>
      </c>
      <c r="N575" s="8" t="s">
        <v>37</v>
      </c>
      <c r="O575" s="8" t="s">
        <v>233</v>
      </c>
      <c r="P575" s="6" t="s">
        <v>39</v>
      </c>
      <c r="Q575" s="8" t="s">
        <v>40</v>
      </c>
      <c r="R575" s="10" t="s">
        <v>3727</v>
      </c>
      <c r="S575" s="11"/>
      <c r="T575" s="6"/>
      <c r="U575" s="15" t="str">
        <f>HYPERLINK("https://media.infra-m.ru/1937/1937993/cover/1937993.jpg", "Обложка")</f>
        <v>Обложка</v>
      </c>
      <c r="V575" s="8" t="s">
        <v>729</v>
      </c>
      <c r="W575" s="6"/>
      <c r="X575" s="6"/>
      <c r="Y575" s="6"/>
      <c r="Z575" s="6"/>
      <c r="AA575" s="6" t="s">
        <v>55</v>
      </c>
      <c r="AB575" s="8"/>
      <c r="AC575" s="27">
        <v>9785160065755</v>
      </c>
    </row>
    <row r="576" spans="1:29" s="4" customFormat="1" ht="51.9" customHeight="1" x14ac:dyDescent="0.2">
      <c r="A576" s="5">
        <v>0</v>
      </c>
      <c r="B576" s="6" t="s">
        <v>3728</v>
      </c>
      <c r="C576" s="7">
        <v>2140.8000000000002</v>
      </c>
      <c r="D576" s="8" t="s">
        <v>3729</v>
      </c>
      <c r="E576" s="8" t="s">
        <v>3730</v>
      </c>
      <c r="F576" s="8" t="s">
        <v>3731</v>
      </c>
      <c r="G576" s="6" t="s">
        <v>118</v>
      </c>
      <c r="H576" s="6" t="s">
        <v>34</v>
      </c>
      <c r="I576" s="8" t="s">
        <v>504</v>
      </c>
      <c r="J576" s="9">
        <v>1</v>
      </c>
      <c r="K576" s="9">
        <v>344</v>
      </c>
      <c r="L576" s="9">
        <v>2026</v>
      </c>
      <c r="M576" s="8" t="s">
        <v>3732</v>
      </c>
      <c r="N576" s="8" t="s">
        <v>37</v>
      </c>
      <c r="O576" s="8" t="s">
        <v>233</v>
      </c>
      <c r="P576" s="6" t="s">
        <v>306</v>
      </c>
      <c r="Q576" s="8" t="s">
        <v>500</v>
      </c>
      <c r="R576" s="10" t="s">
        <v>3733</v>
      </c>
      <c r="S576" s="11" t="s">
        <v>3734</v>
      </c>
      <c r="T576" s="6"/>
      <c r="U576" s="15" t="str">
        <f>HYPERLINK("https://media.infra-m.ru/2223/2223530/cover/2223530.jpg", "Обложка")</f>
        <v>Обложка</v>
      </c>
      <c r="V576" s="8" t="s">
        <v>3735</v>
      </c>
      <c r="W576" s="6"/>
      <c r="X576" s="6"/>
      <c r="Y576" s="6"/>
      <c r="Z576" s="6"/>
      <c r="AA576" s="6" t="s">
        <v>3736</v>
      </c>
      <c r="AB576" s="8"/>
      <c r="AC576" s="27">
        <v>9785160131511</v>
      </c>
    </row>
    <row r="577" spans="1:29" s="4" customFormat="1" ht="51.9" customHeight="1" x14ac:dyDescent="0.2">
      <c r="A577" s="5">
        <v>0</v>
      </c>
      <c r="B577" s="6" t="s">
        <v>3737</v>
      </c>
      <c r="C577" s="7">
        <v>1960.8</v>
      </c>
      <c r="D577" s="8" t="s">
        <v>3738</v>
      </c>
      <c r="E577" s="8" t="s">
        <v>3739</v>
      </c>
      <c r="F577" s="8" t="s">
        <v>3731</v>
      </c>
      <c r="G577" s="6" t="s">
        <v>118</v>
      </c>
      <c r="H577" s="6" t="s">
        <v>34</v>
      </c>
      <c r="I577" s="8" t="s">
        <v>504</v>
      </c>
      <c r="J577" s="9">
        <v>1</v>
      </c>
      <c r="K577" s="9">
        <v>314</v>
      </c>
      <c r="L577" s="9">
        <v>2026</v>
      </c>
      <c r="M577" s="8" t="s">
        <v>3740</v>
      </c>
      <c r="N577" s="8" t="s">
        <v>37</v>
      </c>
      <c r="O577" s="8" t="s">
        <v>233</v>
      </c>
      <c r="P577" s="6" t="s">
        <v>306</v>
      </c>
      <c r="Q577" s="8" t="s">
        <v>500</v>
      </c>
      <c r="R577" s="10" t="s">
        <v>1646</v>
      </c>
      <c r="S577" s="11" t="s">
        <v>3734</v>
      </c>
      <c r="T577" s="6"/>
      <c r="U577" s="15" t="str">
        <f>HYPERLINK("https://media.infra-m.ru/2222/2222985/cover/2222985.jpg", "Обложка")</f>
        <v>Обложка</v>
      </c>
      <c r="V577" s="8" t="s">
        <v>3735</v>
      </c>
      <c r="W577" s="6"/>
      <c r="X577" s="6"/>
      <c r="Y577" s="6"/>
      <c r="Z577" s="6"/>
      <c r="AA577" s="6" t="s">
        <v>3736</v>
      </c>
      <c r="AB577" s="8"/>
      <c r="AC577" s="27">
        <v>9785160131504</v>
      </c>
    </row>
    <row r="578" spans="1:29" s="4" customFormat="1" ht="51.9" customHeight="1" x14ac:dyDescent="0.2">
      <c r="A578" s="5">
        <v>0</v>
      </c>
      <c r="B578" s="6" t="s">
        <v>3741</v>
      </c>
      <c r="C578" s="7">
        <v>1948.8</v>
      </c>
      <c r="D578" s="8" t="s">
        <v>3742</v>
      </c>
      <c r="E578" s="8" t="s">
        <v>3743</v>
      </c>
      <c r="F578" s="8" t="s">
        <v>3744</v>
      </c>
      <c r="G578" s="6" t="s">
        <v>118</v>
      </c>
      <c r="H578" s="6" t="s">
        <v>34</v>
      </c>
      <c r="I578" s="8" t="s">
        <v>271</v>
      </c>
      <c r="J578" s="9">
        <v>1</v>
      </c>
      <c r="K578" s="9">
        <v>281</v>
      </c>
      <c r="L578" s="9">
        <v>2027</v>
      </c>
      <c r="M578" s="8" t="s">
        <v>3745</v>
      </c>
      <c r="N578" s="8" t="s">
        <v>37</v>
      </c>
      <c r="O578" s="8" t="s">
        <v>233</v>
      </c>
      <c r="P578" s="6" t="s">
        <v>306</v>
      </c>
      <c r="Q578" s="8" t="s">
        <v>52</v>
      </c>
      <c r="R578" s="10" t="s">
        <v>3746</v>
      </c>
      <c r="S578" s="11" t="s">
        <v>3747</v>
      </c>
      <c r="T578" s="6" t="s">
        <v>97</v>
      </c>
      <c r="U578" s="15" t="str">
        <f>HYPERLINK("https://media.infra-m.ru/2270/2270261/cover/2270261.jpg", "Обложка")</f>
        <v>Обложка</v>
      </c>
      <c r="V578" s="8" t="s">
        <v>729</v>
      </c>
      <c r="W578" s="6"/>
      <c r="X578" s="6"/>
      <c r="Y578" s="6"/>
      <c r="Z578" s="6"/>
      <c r="AA578" s="6" t="s">
        <v>2240</v>
      </c>
      <c r="AB578" s="8"/>
      <c r="AC578" s="27">
        <v>9785160151366</v>
      </c>
    </row>
    <row r="579" spans="1:29" s="4" customFormat="1" ht="51.9" customHeight="1" x14ac:dyDescent="0.2">
      <c r="A579" s="5">
        <v>0</v>
      </c>
      <c r="B579" s="6" t="s">
        <v>3748</v>
      </c>
      <c r="C579" s="7">
        <v>1056</v>
      </c>
      <c r="D579" s="8" t="s">
        <v>3749</v>
      </c>
      <c r="E579" s="8" t="s">
        <v>3750</v>
      </c>
      <c r="F579" s="8" t="s">
        <v>3751</v>
      </c>
      <c r="G579" s="6" t="s">
        <v>118</v>
      </c>
      <c r="H579" s="6" t="s">
        <v>34</v>
      </c>
      <c r="I579" s="8" t="s">
        <v>271</v>
      </c>
      <c r="J579" s="9">
        <v>1</v>
      </c>
      <c r="K579" s="9">
        <v>272</v>
      </c>
      <c r="L579" s="9">
        <v>2019</v>
      </c>
      <c r="M579" s="8" t="s">
        <v>3752</v>
      </c>
      <c r="N579" s="8" t="s">
        <v>37</v>
      </c>
      <c r="O579" s="8" t="s">
        <v>233</v>
      </c>
      <c r="P579" s="6" t="s">
        <v>306</v>
      </c>
      <c r="Q579" s="8" t="s">
        <v>52</v>
      </c>
      <c r="R579" s="10" t="s">
        <v>3746</v>
      </c>
      <c r="S579" s="11" t="s">
        <v>3753</v>
      </c>
      <c r="T579" s="6" t="s">
        <v>97</v>
      </c>
      <c r="U579" s="15" t="str">
        <f>HYPERLINK("https://media.infra-m.ru/0994/0994379/cover/994379.jpg", "Обложка")</f>
        <v>Обложка</v>
      </c>
      <c r="V579" s="8" t="s">
        <v>729</v>
      </c>
      <c r="W579" s="6"/>
      <c r="X579" s="6"/>
      <c r="Y579" s="6"/>
      <c r="Z579" s="6"/>
      <c r="AA579" s="6" t="s">
        <v>43</v>
      </c>
      <c r="AB579" s="8"/>
      <c r="AC579" s="27">
        <v>9785160050157</v>
      </c>
    </row>
    <row r="580" spans="1:29" s="4" customFormat="1" ht="51.9" customHeight="1" x14ac:dyDescent="0.2">
      <c r="A580" s="5">
        <v>0</v>
      </c>
      <c r="B580" s="6" t="s">
        <v>3754</v>
      </c>
      <c r="C580" s="7">
        <v>1056</v>
      </c>
      <c r="D580" s="8" t="s">
        <v>3755</v>
      </c>
      <c r="E580" s="8" t="s">
        <v>3750</v>
      </c>
      <c r="F580" s="8" t="s">
        <v>3744</v>
      </c>
      <c r="G580" s="6" t="s">
        <v>118</v>
      </c>
      <c r="H580" s="6" t="s">
        <v>34</v>
      </c>
      <c r="I580" s="8" t="s">
        <v>263</v>
      </c>
      <c r="J580" s="9">
        <v>1</v>
      </c>
      <c r="K580" s="9">
        <v>272</v>
      </c>
      <c r="L580" s="9">
        <v>2019</v>
      </c>
      <c r="M580" s="8" t="s">
        <v>3756</v>
      </c>
      <c r="N580" s="8" t="s">
        <v>37</v>
      </c>
      <c r="O580" s="8" t="s">
        <v>233</v>
      </c>
      <c r="P580" s="6" t="s">
        <v>306</v>
      </c>
      <c r="Q580" s="8" t="s">
        <v>265</v>
      </c>
      <c r="R580" s="10" t="s">
        <v>3757</v>
      </c>
      <c r="S580" s="11" t="s">
        <v>3758</v>
      </c>
      <c r="T580" s="6" t="s">
        <v>97</v>
      </c>
      <c r="U580" s="15" t="str">
        <f>HYPERLINK("https://media.infra-m.ru/1008/1008371/cover/1008371.jpg", "Обложка")</f>
        <v>Обложка</v>
      </c>
      <c r="V580" s="8" t="s">
        <v>729</v>
      </c>
      <c r="W580" s="6"/>
      <c r="X580" s="6"/>
      <c r="Y580" s="6"/>
      <c r="Z580" s="6" t="s">
        <v>267</v>
      </c>
      <c r="AA580" s="6" t="s">
        <v>115</v>
      </c>
      <c r="AB580" s="8"/>
      <c r="AC580" s="27">
        <v>9785160141411</v>
      </c>
    </row>
    <row r="581" spans="1:29" s="4" customFormat="1" ht="51.9" customHeight="1" x14ac:dyDescent="0.2">
      <c r="A581" s="5">
        <v>0</v>
      </c>
      <c r="B581" s="6" t="s">
        <v>3759</v>
      </c>
      <c r="C581" s="7">
        <v>1860</v>
      </c>
      <c r="D581" s="8" t="s">
        <v>3760</v>
      </c>
      <c r="E581" s="8" t="s">
        <v>3743</v>
      </c>
      <c r="F581" s="8" t="s">
        <v>3744</v>
      </c>
      <c r="G581" s="6" t="s">
        <v>118</v>
      </c>
      <c r="H581" s="6" t="s">
        <v>34</v>
      </c>
      <c r="I581" s="8" t="s">
        <v>263</v>
      </c>
      <c r="J581" s="9">
        <v>1</v>
      </c>
      <c r="K581" s="9">
        <v>281</v>
      </c>
      <c r="L581" s="9">
        <v>2026</v>
      </c>
      <c r="M581" s="8" t="s">
        <v>3761</v>
      </c>
      <c r="N581" s="8" t="s">
        <v>37</v>
      </c>
      <c r="O581" s="8" t="s">
        <v>233</v>
      </c>
      <c r="P581" s="6" t="s">
        <v>306</v>
      </c>
      <c r="Q581" s="8" t="s">
        <v>265</v>
      </c>
      <c r="R581" s="10" t="s">
        <v>3757</v>
      </c>
      <c r="S581" s="11" t="s">
        <v>3758</v>
      </c>
      <c r="T581" s="6" t="s">
        <v>97</v>
      </c>
      <c r="U581" s="15" t="str">
        <f>HYPERLINK("https://media.infra-m.ru/2224/2224062/cover/2224062.jpg", "Обложка")</f>
        <v>Обложка</v>
      </c>
      <c r="V581" s="8" t="s">
        <v>729</v>
      </c>
      <c r="W581" s="6"/>
      <c r="X581" s="6"/>
      <c r="Y581" s="6"/>
      <c r="Z581" s="6" t="s">
        <v>267</v>
      </c>
      <c r="AA581" s="6" t="s">
        <v>1303</v>
      </c>
      <c r="AB581" s="8"/>
      <c r="AC581" s="27">
        <v>9785160158891</v>
      </c>
    </row>
    <row r="582" spans="1:29" s="4" customFormat="1" ht="51.9" customHeight="1" x14ac:dyDescent="0.2">
      <c r="A582" s="5">
        <v>0</v>
      </c>
      <c r="B582" s="6" t="s">
        <v>3762</v>
      </c>
      <c r="C582" s="7">
        <v>1924.8</v>
      </c>
      <c r="D582" s="8" t="s">
        <v>3763</v>
      </c>
      <c r="E582" s="8" t="s">
        <v>3743</v>
      </c>
      <c r="F582" s="8" t="s">
        <v>3764</v>
      </c>
      <c r="G582" s="6" t="s">
        <v>118</v>
      </c>
      <c r="H582" s="6" t="s">
        <v>34</v>
      </c>
      <c r="I582" s="8" t="s">
        <v>504</v>
      </c>
      <c r="J582" s="9">
        <v>1</v>
      </c>
      <c r="K582" s="9">
        <v>308</v>
      </c>
      <c r="L582" s="9">
        <v>2025</v>
      </c>
      <c r="M582" s="8" t="s">
        <v>3765</v>
      </c>
      <c r="N582" s="8" t="s">
        <v>37</v>
      </c>
      <c r="O582" s="8" t="s">
        <v>233</v>
      </c>
      <c r="P582" s="6" t="s">
        <v>306</v>
      </c>
      <c r="Q582" s="8" t="s">
        <v>500</v>
      </c>
      <c r="R582" s="10" t="s">
        <v>3655</v>
      </c>
      <c r="S582" s="11" t="s">
        <v>3766</v>
      </c>
      <c r="T582" s="6"/>
      <c r="U582" s="15" t="str">
        <f>HYPERLINK("https://media.infra-m.ru/2156/2156991/cover/2156991.jpg", "Обложка")</f>
        <v>Обложка</v>
      </c>
      <c r="V582" s="8" t="s">
        <v>396</v>
      </c>
      <c r="W582" s="6"/>
      <c r="X582" s="6"/>
      <c r="Y582" s="6"/>
      <c r="Z582" s="6"/>
      <c r="AA582" s="6" t="s">
        <v>1303</v>
      </c>
      <c r="AB582" s="8"/>
      <c r="AC582" s="27">
        <v>9785160172675</v>
      </c>
    </row>
    <row r="583" spans="1:29" s="4" customFormat="1" ht="51.9" customHeight="1" x14ac:dyDescent="0.2">
      <c r="A583" s="5">
        <v>0</v>
      </c>
      <c r="B583" s="6" t="s">
        <v>3767</v>
      </c>
      <c r="C583" s="7">
        <v>2376</v>
      </c>
      <c r="D583" s="8" t="s">
        <v>3768</v>
      </c>
      <c r="E583" s="8" t="s">
        <v>3769</v>
      </c>
      <c r="F583" s="8" t="s">
        <v>3770</v>
      </c>
      <c r="G583" s="6" t="s">
        <v>60</v>
      </c>
      <c r="H583" s="6" t="s">
        <v>34</v>
      </c>
      <c r="I583" s="8" t="s">
        <v>253</v>
      </c>
      <c r="J583" s="9">
        <v>1</v>
      </c>
      <c r="K583" s="9">
        <v>359</v>
      </c>
      <c r="L583" s="9">
        <v>2026</v>
      </c>
      <c r="M583" s="8" t="s">
        <v>3771</v>
      </c>
      <c r="N583" s="8" t="s">
        <v>37</v>
      </c>
      <c r="O583" s="8" t="s">
        <v>233</v>
      </c>
      <c r="P583" s="6" t="s">
        <v>306</v>
      </c>
      <c r="Q583" s="8" t="s">
        <v>500</v>
      </c>
      <c r="R583" s="10" t="s">
        <v>3655</v>
      </c>
      <c r="S583" s="11"/>
      <c r="T583" s="6"/>
      <c r="U583" s="15" t="str">
        <f>HYPERLINK("https://media.infra-m.ru/2226/2226233/cover/2226233.jpg", "Обложка")</f>
        <v>Обложка</v>
      </c>
      <c r="V583" s="8" t="s">
        <v>396</v>
      </c>
      <c r="W583" s="6" t="s">
        <v>351</v>
      </c>
      <c r="X583" s="6"/>
      <c r="Y583" s="6"/>
      <c r="Z583" s="6"/>
      <c r="AA583" s="6" t="s">
        <v>3772</v>
      </c>
      <c r="AB583" s="8"/>
      <c r="AC583" s="27">
        <v>9785160214610</v>
      </c>
    </row>
    <row r="584" spans="1:29" s="4" customFormat="1" ht="42" customHeight="1" x14ac:dyDescent="0.2">
      <c r="A584" s="5">
        <v>0</v>
      </c>
      <c r="B584" s="6" t="s">
        <v>3773</v>
      </c>
      <c r="C584" s="7">
        <v>1956</v>
      </c>
      <c r="D584" s="8" t="s">
        <v>3774</v>
      </c>
      <c r="E584" s="8" t="s">
        <v>3750</v>
      </c>
      <c r="F584" s="8" t="s">
        <v>3775</v>
      </c>
      <c r="G584" s="6" t="s">
        <v>60</v>
      </c>
      <c r="H584" s="6" t="s">
        <v>34</v>
      </c>
      <c r="I584" s="8" t="s">
        <v>263</v>
      </c>
      <c r="J584" s="9">
        <v>1</v>
      </c>
      <c r="K584" s="9">
        <v>306</v>
      </c>
      <c r="L584" s="9">
        <v>2025</v>
      </c>
      <c r="M584" s="8" t="s">
        <v>3776</v>
      </c>
      <c r="N584" s="8" t="s">
        <v>37</v>
      </c>
      <c r="O584" s="8" t="s">
        <v>233</v>
      </c>
      <c r="P584" s="6" t="s">
        <v>306</v>
      </c>
      <c r="Q584" s="8" t="s">
        <v>265</v>
      </c>
      <c r="R584" s="10" t="s">
        <v>3777</v>
      </c>
      <c r="S584" s="11"/>
      <c r="T584" s="6"/>
      <c r="U584" s="15" t="str">
        <f>HYPERLINK("https://media.infra-m.ru/2167/2167451/cover/2167451.jpg", "Обложка")</f>
        <v>Обложка</v>
      </c>
      <c r="V584" s="8" t="s">
        <v>2035</v>
      </c>
      <c r="W584" s="6"/>
      <c r="X584" s="6"/>
      <c r="Y584" s="6"/>
      <c r="Z584" s="6"/>
      <c r="AA584" s="6" t="s">
        <v>68</v>
      </c>
      <c r="AB584" s="8"/>
      <c r="AC584" s="27">
        <v>9785160202648</v>
      </c>
    </row>
    <row r="585" spans="1:29" s="4" customFormat="1" ht="44.1" customHeight="1" x14ac:dyDescent="0.2">
      <c r="A585" s="5">
        <v>0</v>
      </c>
      <c r="B585" s="6" t="s">
        <v>3778</v>
      </c>
      <c r="C585" s="7">
        <v>2748</v>
      </c>
      <c r="D585" s="8" t="s">
        <v>3779</v>
      </c>
      <c r="E585" s="8" t="s">
        <v>3750</v>
      </c>
      <c r="F585" s="8" t="s">
        <v>3775</v>
      </c>
      <c r="G585" s="6" t="s">
        <v>60</v>
      </c>
      <c r="H585" s="6" t="s">
        <v>34</v>
      </c>
      <c r="I585" s="8" t="s">
        <v>253</v>
      </c>
      <c r="J585" s="9">
        <v>1</v>
      </c>
      <c r="K585" s="9">
        <v>449</v>
      </c>
      <c r="L585" s="9">
        <v>2025</v>
      </c>
      <c r="M585" s="8" t="s">
        <v>3780</v>
      </c>
      <c r="N585" s="8" t="s">
        <v>37</v>
      </c>
      <c r="O585" s="8" t="s">
        <v>233</v>
      </c>
      <c r="P585" s="6" t="s">
        <v>306</v>
      </c>
      <c r="Q585" s="8" t="s">
        <v>65</v>
      </c>
      <c r="R585" s="10" t="s">
        <v>3781</v>
      </c>
      <c r="S585" s="11"/>
      <c r="T585" s="6"/>
      <c r="U585" s="15" t="str">
        <f>HYPERLINK("https://media.infra-m.ru/2110/2110851/cover/2110851.jpg", "Обложка")</f>
        <v>Обложка</v>
      </c>
      <c r="V585" s="8" t="s">
        <v>2035</v>
      </c>
      <c r="W585" s="6"/>
      <c r="X585" s="6"/>
      <c r="Y585" s="6"/>
      <c r="Z585" s="6"/>
      <c r="AA585" s="6" t="s">
        <v>68</v>
      </c>
      <c r="AB585" s="8" t="s">
        <v>670</v>
      </c>
      <c r="AC585" s="27">
        <v>9785160193410</v>
      </c>
    </row>
    <row r="586" spans="1:29" s="4" customFormat="1" ht="51.9" customHeight="1" x14ac:dyDescent="0.2">
      <c r="A586" s="5">
        <v>0</v>
      </c>
      <c r="B586" s="6" t="s">
        <v>3782</v>
      </c>
      <c r="C586" s="13">
        <v>809.9</v>
      </c>
      <c r="D586" s="8" t="s">
        <v>3783</v>
      </c>
      <c r="E586" s="8" t="s">
        <v>3750</v>
      </c>
      <c r="F586" s="8" t="s">
        <v>3784</v>
      </c>
      <c r="G586" s="6" t="s">
        <v>60</v>
      </c>
      <c r="H586" s="6" t="s">
        <v>241</v>
      </c>
      <c r="I586" s="8"/>
      <c r="J586" s="9">
        <v>1</v>
      </c>
      <c r="K586" s="9">
        <v>196</v>
      </c>
      <c r="L586" s="9">
        <v>2020</v>
      </c>
      <c r="M586" s="8" t="s">
        <v>3785</v>
      </c>
      <c r="N586" s="8" t="s">
        <v>37</v>
      </c>
      <c r="O586" s="8" t="s">
        <v>233</v>
      </c>
      <c r="P586" s="6" t="s">
        <v>51</v>
      </c>
      <c r="Q586" s="8" t="s">
        <v>52</v>
      </c>
      <c r="R586" s="10" t="s">
        <v>3008</v>
      </c>
      <c r="S586" s="11" t="s">
        <v>3786</v>
      </c>
      <c r="T586" s="6" t="s">
        <v>97</v>
      </c>
      <c r="U586" s="15" t="str">
        <f>HYPERLINK("https://media.infra-m.ru/1081/1081924/cover/1081924.jpg", "Обложка")</f>
        <v>Обложка</v>
      </c>
      <c r="V586" s="8" t="s">
        <v>3787</v>
      </c>
      <c r="W586" s="6"/>
      <c r="X586" s="6"/>
      <c r="Y586" s="6"/>
      <c r="Z586" s="6"/>
      <c r="AA586" s="6" t="s">
        <v>779</v>
      </c>
      <c r="AB586" s="8"/>
      <c r="AC586" s="27">
        <v>9785955804408</v>
      </c>
    </row>
    <row r="587" spans="1:29" s="4" customFormat="1" ht="51.9" customHeight="1" x14ac:dyDescent="0.2">
      <c r="A587" s="5">
        <v>0</v>
      </c>
      <c r="B587" s="6" t="s">
        <v>3788</v>
      </c>
      <c r="C587" s="13">
        <v>737.9</v>
      </c>
      <c r="D587" s="8" t="s">
        <v>3789</v>
      </c>
      <c r="E587" s="8" t="s">
        <v>3750</v>
      </c>
      <c r="F587" s="8" t="s">
        <v>3790</v>
      </c>
      <c r="G587" s="6" t="s">
        <v>33</v>
      </c>
      <c r="H587" s="6" t="s">
        <v>313</v>
      </c>
      <c r="I587" s="8" t="s">
        <v>253</v>
      </c>
      <c r="J587" s="9">
        <v>1</v>
      </c>
      <c r="K587" s="9">
        <v>179</v>
      </c>
      <c r="L587" s="9">
        <v>2019</v>
      </c>
      <c r="M587" s="8" t="s">
        <v>3791</v>
      </c>
      <c r="N587" s="8" t="s">
        <v>37</v>
      </c>
      <c r="O587" s="8" t="s">
        <v>233</v>
      </c>
      <c r="P587" s="6" t="s">
        <v>51</v>
      </c>
      <c r="Q587" s="8" t="s">
        <v>52</v>
      </c>
      <c r="R587" s="10" t="s">
        <v>3792</v>
      </c>
      <c r="S587" s="11" t="s">
        <v>3793</v>
      </c>
      <c r="T587" s="6"/>
      <c r="U587" s="15" t="str">
        <f>HYPERLINK("https://media.infra-m.ru/1014/1014754/cover/1014754.jpg", "Обложка")</f>
        <v>Обложка</v>
      </c>
      <c r="V587" s="8" t="s">
        <v>3794</v>
      </c>
      <c r="W587" s="6"/>
      <c r="X587" s="6"/>
      <c r="Y587" s="6"/>
      <c r="Z587" s="6"/>
      <c r="AA587" s="6" t="s">
        <v>779</v>
      </c>
      <c r="AB587" s="8"/>
      <c r="AC587" s="27">
        <v>9785369015391</v>
      </c>
    </row>
    <row r="588" spans="1:29" s="4" customFormat="1" ht="51.9" customHeight="1" x14ac:dyDescent="0.2">
      <c r="A588" s="5">
        <v>0</v>
      </c>
      <c r="B588" s="6" t="s">
        <v>3795</v>
      </c>
      <c r="C588" s="7">
        <v>1200</v>
      </c>
      <c r="D588" s="8" t="s">
        <v>3796</v>
      </c>
      <c r="E588" s="8" t="s">
        <v>3769</v>
      </c>
      <c r="F588" s="8" t="s">
        <v>3797</v>
      </c>
      <c r="G588" s="6" t="s">
        <v>60</v>
      </c>
      <c r="H588" s="6" t="s">
        <v>313</v>
      </c>
      <c r="I588" s="8" t="s">
        <v>253</v>
      </c>
      <c r="J588" s="9">
        <v>10</v>
      </c>
      <c r="K588" s="9">
        <v>384</v>
      </c>
      <c r="L588" s="9">
        <v>2017</v>
      </c>
      <c r="M588" s="8" t="s">
        <v>3798</v>
      </c>
      <c r="N588" s="8" t="s">
        <v>37</v>
      </c>
      <c r="O588" s="8" t="s">
        <v>233</v>
      </c>
      <c r="P588" s="6" t="s">
        <v>51</v>
      </c>
      <c r="Q588" s="8" t="s">
        <v>52</v>
      </c>
      <c r="R588" s="10" t="s">
        <v>2257</v>
      </c>
      <c r="S588" s="11" t="s">
        <v>3799</v>
      </c>
      <c r="T588" s="6"/>
      <c r="U588" s="15" t="str">
        <f>HYPERLINK("https://media.infra-m.ru/0560/0560971/cover/560971.jpg", "Обложка")</f>
        <v>Обложка</v>
      </c>
      <c r="V588" s="8" t="s">
        <v>2095</v>
      </c>
      <c r="W588" s="6"/>
      <c r="X588" s="6"/>
      <c r="Y588" s="6"/>
      <c r="Z588" s="6"/>
      <c r="AA588" s="6" t="s">
        <v>3800</v>
      </c>
      <c r="AB588" s="8"/>
      <c r="AC588" s="27">
        <v>9785369015766</v>
      </c>
    </row>
    <row r="589" spans="1:29" s="4" customFormat="1" ht="51.9" customHeight="1" x14ac:dyDescent="0.2">
      <c r="A589" s="5">
        <v>0</v>
      </c>
      <c r="B589" s="6" t="s">
        <v>3801</v>
      </c>
      <c r="C589" s="13">
        <v>804</v>
      </c>
      <c r="D589" s="8" t="s">
        <v>3802</v>
      </c>
      <c r="E589" s="8" t="s">
        <v>3750</v>
      </c>
      <c r="F589" s="8" t="s">
        <v>3784</v>
      </c>
      <c r="G589" s="6" t="s">
        <v>118</v>
      </c>
      <c r="H589" s="6" t="s">
        <v>241</v>
      </c>
      <c r="I589" s="8" t="s">
        <v>263</v>
      </c>
      <c r="J589" s="9">
        <v>1</v>
      </c>
      <c r="K589" s="9">
        <v>196</v>
      </c>
      <c r="L589" s="9">
        <v>2020</v>
      </c>
      <c r="M589" s="8" t="s">
        <v>3803</v>
      </c>
      <c r="N589" s="8" t="s">
        <v>37</v>
      </c>
      <c r="O589" s="8" t="s">
        <v>233</v>
      </c>
      <c r="P589" s="6" t="s">
        <v>51</v>
      </c>
      <c r="Q589" s="8" t="s">
        <v>265</v>
      </c>
      <c r="R589" s="10" t="s">
        <v>3804</v>
      </c>
      <c r="S589" s="11" t="s">
        <v>3805</v>
      </c>
      <c r="T589" s="6" t="s">
        <v>97</v>
      </c>
      <c r="U589" s="15" t="str">
        <f>HYPERLINK("https://media.infra-m.ru/1064/1064072/cover/1064072.jpg", "Обложка")</f>
        <v>Обложка</v>
      </c>
      <c r="V589" s="8" t="s">
        <v>3787</v>
      </c>
      <c r="W589" s="6"/>
      <c r="X589" s="6"/>
      <c r="Y589" s="6"/>
      <c r="Z589" s="6" t="s">
        <v>267</v>
      </c>
      <c r="AA589" s="6" t="s">
        <v>115</v>
      </c>
      <c r="AB589" s="8"/>
      <c r="AC589" s="27">
        <v>9785955806204</v>
      </c>
    </row>
    <row r="590" spans="1:29" s="4" customFormat="1" ht="51.9" customHeight="1" x14ac:dyDescent="0.2">
      <c r="A590" s="5">
        <v>0</v>
      </c>
      <c r="B590" s="6" t="s">
        <v>3806</v>
      </c>
      <c r="C590" s="7">
        <v>1408.8</v>
      </c>
      <c r="D590" s="8" t="s">
        <v>3807</v>
      </c>
      <c r="E590" s="8" t="s">
        <v>3743</v>
      </c>
      <c r="F590" s="8" t="s">
        <v>3784</v>
      </c>
      <c r="G590" s="6" t="s">
        <v>60</v>
      </c>
      <c r="H590" s="6" t="s">
        <v>34</v>
      </c>
      <c r="I590" s="8" t="s">
        <v>271</v>
      </c>
      <c r="J590" s="9">
        <v>1</v>
      </c>
      <c r="K590" s="9">
        <v>200</v>
      </c>
      <c r="L590" s="9">
        <v>2027</v>
      </c>
      <c r="M590" s="8" t="s">
        <v>3808</v>
      </c>
      <c r="N590" s="8" t="s">
        <v>37</v>
      </c>
      <c r="O590" s="8" t="s">
        <v>233</v>
      </c>
      <c r="P590" s="6" t="s">
        <v>51</v>
      </c>
      <c r="Q590" s="8" t="s">
        <v>52</v>
      </c>
      <c r="R590" s="10" t="s">
        <v>3008</v>
      </c>
      <c r="S590" s="11" t="s">
        <v>3809</v>
      </c>
      <c r="T590" s="6"/>
      <c r="U590" s="15" t="str">
        <f>HYPERLINK("https://media.infra-m.ru/2264/2264652/cover/2264652.jpg", "Обложка")</f>
        <v>Обложка</v>
      </c>
      <c r="V590" s="8" t="s">
        <v>3787</v>
      </c>
      <c r="W590" s="6"/>
      <c r="X590" s="6"/>
      <c r="Y590" s="6"/>
      <c r="Z590" s="6"/>
      <c r="AA590" s="6" t="s">
        <v>896</v>
      </c>
      <c r="AB590" s="8"/>
      <c r="AC590" s="27">
        <v>9785160176178</v>
      </c>
    </row>
    <row r="591" spans="1:29" s="4" customFormat="1" ht="51.9" customHeight="1" x14ac:dyDescent="0.2">
      <c r="A591" s="5">
        <v>0</v>
      </c>
      <c r="B591" s="6" t="s">
        <v>3810</v>
      </c>
      <c r="C591" s="7">
        <v>1408.8</v>
      </c>
      <c r="D591" s="8" t="s">
        <v>3811</v>
      </c>
      <c r="E591" s="8" t="s">
        <v>3743</v>
      </c>
      <c r="F591" s="8" t="s">
        <v>3784</v>
      </c>
      <c r="G591" s="6" t="s">
        <v>118</v>
      </c>
      <c r="H591" s="6" t="s">
        <v>34</v>
      </c>
      <c r="I591" s="8" t="s">
        <v>263</v>
      </c>
      <c r="J591" s="9">
        <v>1</v>
      </c>
      <c r="K591" s="9">
        <v>200</v>
      </c>
      <c r="L591" s="9">
        <v>2027</v>
      </c>
      <c r="M591" s="8" t="s">
        <v>3812</v>
      </c>
      <c r="N591" s="8" t="s">
        <v>37</v>
      </c>
      <c r="O591" s="8" t="s">
        <v>233</v>
      </c>
      <c r="P591" s="6" t="s">
        <v>51</v>
      </c>
      <c r="Q591" s="8" t="s">
        <v>265</v>
      </c>
      <c r="R591" s="10" t="s">
        <v>3804</v>
      </c>
      <c r="S591" s="11" t="s">
        <v>3813</v>
      </c>
      <c r="T591" s="6" t="s">
        <v>97</v>
      </c>
      <c r="U591" s="15" t="str">
        <f>HYPERLINK("https://media.infra-m.ru/2269/2269844/cover/2269844.jpg", "Обложка")</f>
        <v>Обложка</v>
      </c>
      <c r="V591" s="8" t="s">
        <v>3787</v>
      </c>
      <c r="W591" s="6"/>
      <c r="X591" s="6"/>
      <c r="Y591" s="6"/>
      <c r="Z591" s="6" t="s">
        <v>267</v>
      </c>
      <c r="AA591" s="6" t="s">
        <v>1303</v>
      </c>
      <c r="AB591" s="8"/>
      <c r="AC591" s="27">
        <v>9785160176208</v>
      </c>
    </row>
    <row r="592" spans="1:29" s="4" customFormat="1" ht="42" customHeight="1" x14ac:dyDescent="0.2">
      <c r="A592" s="5">
        <v>0</v>
      </c>
      <c r="B592" s="6" t="s">
        <v>3814</v>
      </c>
      <c r="C592" s="7">
        <v>2706</v>
      </c>
      <c r="D592" s="8" t="s">
        <v>3815</v>
      </c>
      <c r="E592" s="8" t="s">
        <v>3816</v>
      </c>
      <c r="F592" s="8"/>
      <c r="G592" s="6" t="s">
        <v>33</v>
      </c>
      <c r="H592" s="6" t="s">
        <v>34</v>
      </c>
      <c r="I592" s="8"/>
      <c r="J592" s="9">
        <v>1</v>
      </c>
      <c r="K592" s="9">
        <v>62</v>
      </c>
      <c r="L592" s="9">
        <v>2024</v>
      </c>
      <c r="M592" s="8"/>
      <c r="N592" s="8" t="s">
        <v>37</v>
      </c>
      <c r="O592" s="8" t="s">
        <v>233</v>
      </c>
      <c r="P592" s="6" t="s">
        <v>314</v>
      </c>
      <c r="Q592" s="8"/>
      <c r="R592" s="10"/>
      <c r="S592" s="11"/>
      <c r="T592" s="6"/>
      <c r="U592" s="15" t="str">
        <f>HYPERLINK("https://media.infra-m.ru/2089/2089357/cover/2089357.jpg", "Обложка")</f>
        <v>Обложка</v>
      </c>
      <c r="V592" s="8"/>
      <c r="W592" s="6"/>
      <c r="X592" s="6"/>
      <c r="Y592" s="6"/>
      <c r="Z592" s="6"/>
      <c r="AA592" s="6" t="s">
        <v>274</v>
      </c>
      <c r="AB592" s="8"/>
      <c r="AC592" s="27"/>
    </row>
    <row r="593" spans="1:29" s="4" customFormat="1" ht="42" customHeight="1" x14ac:dyDescent="0.2">
      <c r="A593" s="5">
        <v>0</v>
      </c>
      <c r="B593" s="6" t="s">
        <v>3817</v>
      </c>
      <c r="C593" s="7">
        <v>2706</v>
      </c>
      <c r="D593" s="8" t="s">
        <v>3818</v>
      </c>
      <c r="E593" s="8" t="s">
        <v>3819</v>
      </c>
      <c r="F593" s="8"/>
      <c r="G593" s="6" t="s">
        <v>33</v>
      </c>
      <c r="H593" s="6" t="s">
        <v>34</v>
      </c>
      <c r="I593" s="8"/>
      <c r="J593" s="9">
        <v>1</v>
      </c>
      <c r="K593" s="9">
        <v>64</v>
      </c>
      <c r="L593" s="9">
        <v>2026</v>
      </c>
      <c r="M593" s="8"/>
      <c r="N593" s="8" t="s">
        <v>37</v>
      </c>
      <c r="O593" s="8" t="s">
        <v>233</v>
      </c>
      <c r="P593" s="6" t="s">
        <v>314</v>
      </c>
      <c r="Q593" s="8"/>
      <c r="R593" s="10"/>
      <c r="S593" s="11"/>
      <c r="T593" s="6"/>
      <c r="U593" s="15" t="str">
        <f>HYPERLINK("https://media.infra-m.ru/2228/2228206/cover/2228206.jpg", "Обложка")</f>
        <v>Обложка</v>
      </c>
      <c r="V593" s="8"/>
      <c r="W593" s="6" t="s">
        <v>2115</v>
      </c>
      <c r="X593" s="6"/>
      <c r="Y593" s="6"/>
      <c r="Z593" s="6"/>
      <c r="AA593" s="6" t="s">
        <v>430</v>
      </c>
      <c r="AB593" s="8"/>
      <c r="AC593" s="27"/>
    </row>
    <row r="594" spans="1:29" s="4" customFormat="1" ht="51.9" customHeight="1" x14ac:dyDescent="0.2">
      <c r="A594" s="5">
        <v>0</v>
      </c>
      <c r="B594" s="6" t="s">
        <v>3820</v>
      </c>
      <c r="C594" s="7">
        <v>2004</v>
      </c>
      <c r="D594" s="8" t="s">
        <v>3821</v>
      </c>
      <c r="E594" s="8" t="s">
        <v>3822</v>
      </c>
      <c r="F594" s="8" t="s">
        <v>3823</v>
      </c>
      <c r="G594" s="6" t="s">
        <v>118</v>
      </c>
      <c r="H594" s="6" t="s">
        <v>34</v>
      </c>
      <c r="I594" s="8" t="s">
        <v>253</v>
      </c>
      <c r="J594" s="9">
        <v>1</v>
      </c>
      <c r="K594" s="9">
        <v>303</v>
      </c>
      <c r="L594" s="9">
        <v>2025</v>
      </c>
      <c r="M594" s="8" t="s">
        <v>3824</v>
      </c>
      <c r="N594" s="8" t="s">
        <v>243</v>
      </c>
      <c r="O594" s="8" t="s">
        <v>385</v>
      </c>
      <c r="P594" s="6" t="s">
        <v>51</v>
      </c>
      <c r="Q594" s="8" t="s">
        <v>377</v>
      </c>
      <c r="R594" s="10" t="s">
        <v>1844</v>
      </c>
      <c r="S594" s="11" t="s">
        <v>3825</v>
      </c>
      <c r="T594" s="6"/>
      <c r="U594" s="15" t="str">
        <f>HYPERLINK("https://media.infra-m.ru/2208/2208737/cover/2208737.jpg", "Обложка")</f>
        <v>Обложка</v>
      </c>
      <c r="V594" s="8" t="s">
        <v>3826</v>
      </c>
      <c r="W594" s="6"/>
      <c r="X594" s="6"/>
      <c r="Y594" s="6"/>
      <c r="Z594" s="6"/>
      <c r="AA594" s="6" t="s">
        <v>76</v>
      </c>
      <c r="AB594" s="8" t="s">
        <v>3024</v>
      </c>
      <c r="AC594" s="27">
        <v>9785160209876</v>
      </c>
    </row>
    <row r="595" spans="1:29" s="4" customFormat="1" ht="42" customHeight="1" x14ac:dyDescent="0.2">
      <c r="A595" s="5">
        <v>0</v>
      </c>
      <c r="B595" s="6" t="s">
        <v>3827</v>
      </c>
      <c r="C595" s="7">
        <v>1140</v>
      </c>
      <c r="D595" s="8" t="s">
        <v>3828</v>
      </c>
      <c r="E595" s="8" t="s">
        <v>3829</v>
      </c>
      <c r="F595" s="8" t="s">
        <v>3830</v>
      </c>
      <c r="G595" s="6" t="s">
        <v>60</v>
      </c>
      <c r="H595" s="6" t="s">
        <v>34</v>
      </c>
      <c r="I595" s="8" t="s">
        <v>35</v>
      </c>
      <c r="J595" s="9">
        <v>1</v>
      </c>
      <c r="K595" s="9">
        <v>184</v>
      </c>
      <c r="L595" s="9">
        <v>2025</v>
      </c>
      <c r="M595" s="8" t="s">
        <v>3831</v>
      </c>
      <c r="N595" s="8" t="s">
        <v>37</v>
      </c>
      <c r="O595" s="8" t="s">
        <v>233</v>
      </c>
      <c r="P595" s="6" t="s">
        <v>39</v>
      </c>
      <c r="Q595" s="8" t="s">
        <v>40</v>
      </c>
      <c r="R595" s="10" t="s">
        <v>3832</v>
      </c>
      <c r="S595" s="11"/>
      <c r="T595" s="6"/>
      <c r="U595" s="15" t="str">
        <f>HYPERLINK("https://media.infra-m.ru/2145/2145829/cover/2145829.jpg", "Обложка")</f>
        <v>Обложка</v>
      </c>
      <c r="V595" s="8" t="s">
        <v>396</v>
      </c>
      <c r="W595" s="6"/>
      <c r="X595" s="6"/>
      <c r="Y595" s="6"/>
      <c r="Z595" s="6"/>
      <c r="AA595" s="6" t="s">
        <v>68</v>
      </c>
      <c r="AB595" s="8" t="s">
        <v>3833</v>
      </c>
      <c r="AC595" s="27">
        <v>9785160199283</v>
      </c>
    </row>
    <row r="596" spans="1:29" s="4" customFormat="1" ht="51.9" customHeight="1" x14ac:dyDescent="0.2">
      <c r="A596" s="5">
        <v>0</v>
      </c>
      <c r="B596" s="6" t="s">
        <v>3834</v>
      </c>
      <c r="C596" s="7">
        <v>2176.8000000000002</v>
      </c>
      <c r="D596" s="8" t="s">
        <v>3835</v>
      </c>
      <c r="E596" s="8" t="s">
        <v>3836</v>
      </c>
      <c r="F596" s="8" t="s">
        <v>3837</v>
      </c>
      <c r="G596" s="6" t="s">
        <v>118</v>
      </c>
      <c r="H596" s="6" t="s">
        <v>34</v>
      </c>
      <c r="I596" s="8" t="s">
        <v>271</v>
      </c>
      <c r="J596" s="9">
        <v>1</v>
      </c>
      <c r="K596" s="9">
        <v>313</v>
      </c>
      <c r="L596" s="9">
        <v>2027</v>
      </c>
      <c r="M596" s="8" t="s">
        <v>3838</v>
      </c>
      <c r="N596" s="8" t="s">
        <v>37</v>
      </c>
      <c r="O596" s="8" t="s">
        <v>280</v>
      </c>
      <c r="P596" s="6" t="s">
        <v>51</v>
      </c>
      <c r="Q596" s="8" t="s">
        <v>52</v>
      </c>
      <c r="R596" s="10" t="s">
        <v>3839</v>
      </c>
      <c r="S596" s="11" t="s">
        <v>3840</v>
      </c>
      <c r="T596" s="6"/>
      <c r="U596" s="15" t="str">
        <f>HYPERLINK("https://media.infra-m.ru/2267/2267488/cover/2267488.jpg", "Обложка")</f>
        <v>Обложка</v>
      </c>
      <c r="V596" s="8" t="s">
        <v>1505</v>
      </c>
      <c r="W596" s="6"/>
      <c r="X596" s="6"/>
      <c r="Y596" s="6"/>
      <c r="Z596" s="6"/>
      <c r="AA596" s="6" t="s">
        <v>3841</v>
      </c>
      <c r="AB596" s="8"/>
      <c r="AC596" s="27">
        <v>9785160169798</v>
      </c>
    </row>
    <row r="597" spans="1:29" s="4" customFormat="1" ht="51.9" customHeight="1" x14ac:dyDescent="0.2">
      <c r="A597" s="5">
        <v>0</v>
      </c>
      <c r="B597" s="6" t="s">
        <v>3842</v>
      </c>
      <c r="C597" s="7">
        <v>1356</v>
      </c>
      <c r="D597" s="8" t="s">
        <v>3843</v>
      </c>
      <c r="E597" s="8" t="s">
        <v>3844</v>
      </c>
      <c r="F597" s="8" t="s">
        <v>3837</v>
      </c>
      <c r="G597" s="6" t="s">
        <v>118</v>
      </c>
      <c r="H597" s="6" t="s">
        <v>34</v>
      </c>
      <c r="I597" s="8" t="s">
        <v>271</v>
      </c>
      <c r="J597" s="9">
        <v>1</v>
      </c>
      <c r="K597" s="9">
        <v>330</v>
      </c>
      <c r="L597" s="9">
        <v>2020</v>
      </c>
      <c r="M597" s="8" t="s">
        <v>3845</v>
      </c>
      <c r="N597" s="8" t="s">
        <v>37</v>
      </c>
      <c r="O597" s="8" t="s">
        <v>280</v>
      </c>
      <c r="P597" s="6" t="s">
        <v>51</v>
      </c>
      <c r="Q597" s="8" t="s">
        <v>52</v>
      </c>
      <c r="R597" s="10" t="s">
        <v>3839</v>
      </c>
      <c r="S597" s="11" t="s">
        <v>3846</v>
      </c>
      <c r="T597" s="6"/>
      <c r="U597" s="15" t="str">
        <f>HYPERLINK("https://media.infra-m.ru/1086/1086416/cover/1086416.jpg", "Обложка")</f>
        <v>Обложка</v>
      </c>
      <c r="V597" s="8" t="s">
        <v>1505</v>
      </c>
      <c r="W597" s="6"/>
      <c r="X597" s="6"/>
      <c r="Y597" s="6"/>
      <c r="Z597" s="6"/>
      <c r="AA597" s="6" t="s">
        <v>2311</v>
      </c>
      <c r="AB597" s="8"/>
      <c r="AC597" s="27">
        <v>9785160111018</v>
      </c>
    </row>
    <row r="598" spans="1:29" s="4" customFormat="1" ht="51.9" customHeight="1" x14ac:dyDescent="0.2">
      <c r="A598" s="5">
        <v>0</v>
      </c>
      <c r="B598" s="6" t="s">
        <v>3847</v>
      </c>
      <c r="C598" s="7">
        <v>1008</v>
      </c>
      <c r="D598" s="8" t="s">
        <v>3848</v>
      </c>
      <c r="E598" s="8" t="s">
        <v>3849</v>
      </c>
      <c r="F598" s="8" t="s">
        <v>3850</v>
      </c>
      <c r="G598" s="6" t="s">
        <v>118</v>
      </c>
      <c r="H598" s="6" t="s">
        <v>34</v>
      </c>
      <c r="I598" s="8"/>
      <c r="J598" s="9">
        <v>1</v>
      </c>
      <c r="K598" s="9">
        <v>153</v>
      </c>
      <c r="L598" s="9">
        <v>2026</v>
      </c>
      <c r="M598" s="8" t="s">
        <v>3851</v>
      </c>
      <c r="N598" s="8" t="s">
        <v>37</v>
      </c>
      <c r="O598" s="8" t="s">
        <v>83</v>
      </c>
      <c r="P598" s="6" t="s">
        <v>39</v>
      </c>
      <c r="Q598" s="8" t="s">
        <v>40</v>
      </c>
      <c r="R598" s="10" t="s">
        <v>3852</v>
      </c>
      <c r="S598" s="11"/>
      <c r="T598" s="6"/>
      <c r="U598" s="15" t="str">
        <f>HYPERLINK("https://media.infra-m.ru/2247/2247568/cover/2247568.jpg", "Обложка")</f>
        <v>Обложка</v>
      </c>
      <c r="V598" s="8" t="s">
        <v>546</v>
      </c>
      <c r="W598" s="6"/>
      <c r="X598" s="6"/>
      <c r="Y598" s="6"/>
      <c r="Z598" s="6"/>
      <c r="AA598" s="6" t="s">
        <v>76</v>
      </c>
      <c r="AB598" s="8"/>
      <c r="AC598" s="27">
        <v>9785160199764</v>
      </c>
    </row>
    <row r="599" spans="1:29" s="4" customFormat="1" ht="51.9" customHeight="1" x14ac:dyDescent="0.2">
      <c r="A599" s="5">
        <v>0</v>
      </c>
      <c r="B599" s="6" t="s">
        <v>3853</v>
      </c>
      <c r="C599" s="7">
        <v>1024.8</v>
      </c>
      <c r="D599" s="8" t="s">
        <v>3854</v>
      </c>
      <c r="E599" s="8" t="s">
        <v>3855</v>
      </c>
      <c r="F599" s="8" t="s">
        <v>1965</v>
      </c>
      <c r="G599" s="6" t="s">
        <v>118</v>
      </c>
      <c r="H599" s="6" t="s">
        <v>34</v>
      </c>
      <c r="I599" s="8" t="s">
        <v>35</v>
      </c>
      <c r="J599" s="9">
        <v>1</v>
      </c>
      <c r="K599" s="9">
        <v>187</v>
      </c>
      <c r="L599" s="9">
        <v>2023</v>
      </c>
      <c r="M599" s="8" t="s">
        <v>3856</v>
      </c>
      <c r="N599" s="8" t="s">
        <v>63</v>
      </c>
      <c r="O599" s="8" t="s">
        <v>64</v>
      </c>
      <c r="P599" s="6" t="s">
        <v>39</v>
      </c>
      <c r="Q599" s="8" t="s">
        <v>65</v>
      </c>
      <c r="R599" s="10" t="s">
        <v>3857</v>
      </c>
      <c r="S599" s="11"/>
      <c r="T599" s="6"/>
      <c r="U599" s="15" t="str">
        <f>HYPERLINK("https://media.infra-m.ru/2006/2006083/cover/2006083.jpg", "Обложка")</f>
        <v>Обложка</v>
      </c>
      <c r="V599" s="8" t="s">
        <v>1599</v>
      </c>
      <c r="W599" s="6"/>
      <c r="X599" s="6"/>
      <c r="Y599" s="6"/>
      <c r="Z599" s="6"/>
      <c r="AA599" s="6" t="s">
        <v>99</v>
      </c>
      <c r="AB599" s="8"/>
      <c r="AC599" s="27">
        <v>9785160128269</v>
      </c>
    </row>
    <row r="600" spans="1:29" s="4" customFormat="1" ht="44.1" customHeight="1" x14ac:dyDescent="0.2">
      <c r="A600" s="5">
        <v>0</v>
      </c>
      <c r="B600" s="6" t="s">
        <v>3858</v>
      </c>
      <c r="C600" s="7">
        <v>1553.9</v>
      </c>
      <c r="D600" s="8" t="s">
        <v>3859</v>
      </c>
      <c r="E600" s="8" t="s">
        <v>3860</v>
      </c>
      <c r="F600" s="8" t="s">
        <v>3861</v>
      </c>
      <c r="G600" s="6" t="s">
        <v>60</v>
      </c>
      <c r="H600" s="6" t="s">
        <v>48</v>
      </c>
      <c r="I600" s="8" t="s">
        <v>271</v>
      </c>
      <c r="J600" s="9">
        <v>1</v>
      </c>
      <c r="K600" s="9">
        <v>288</v>
      </c>
      <c r="L600" s="9">
        <v>2023</v>
      </c>
      <c r="M600" s="8" t="s">
        <v>3862</v>
      </c>
      <c r="N600" s="8" t="s">
        <v>585</v>
      </c>
      <c r="O600" s="8" t="s">
        <v>667</v>
      </c>
      <c r="P600" s="6" t="s">
        <v>51</v>
      </c>
      <c r="Q600" s="8" t="s">
        <v>52</v>
      </c>
      <c r="R600" s="10" t="s">
        <v>3863</v>
      </c>
      <c r="S600" s="11"/>
      <c r="T600" s="6"/>
      <c r="U600" s="15" t="str">
        <f>HYPERLINK("https://media.infra-m.ru/1911/1911772/cover/1911772.jpg", "Обложка")</f>
        <v>Обложка</v>
      </c>
      <c r="V600" s="8" t="s">
        <v>3864</v>
      </c>
      <c r="W600" s="6"/>
      <c r="X600" s="6"/>
      <c r="Y600" s="6"/>
      <c r="Z600" s="6"/>
      <c r="AA600" s="6" t="s">
        <v>874</v>
      </c>
      <c r="AB600" s="8"/>
      <c r="AC600" s="27">
        <v>9785911349769</v>
      </c>
    </row>
    <row r="601" spans="1:29" s="4" customFormat="1" ht="42" customHeight="1" x14ac:dyDescent="0.2">
      <c r="A601" s="5">
        <v>0</v>
      </c>
      <c r="B601" s="6" t="s">
        <v>3865</v>
      </c>
      <c r="C601" s="7">
        <v>1296</v>
      </c>
      <c r="D601" s="8" t="s">
        <v>3866</v>
      </c>
      <c r="E601" s="8" t="s">
        <v>3867</v>
      </c>
      <c r="F601" s="8" t="s">
        <v>3868</v>
      </c>
      <c r="G601" s="6" t="s">
        <v>33</v>
      </c>
      <c r="H601" s="6" t="s">
        <v>34</v>
      </c>
      <c r="I601" s="8" t="s">
        <v>35</v>
      </c>
      <c r="J601" s="9">
        <v>1</v>
      </c>
      <c r="K601" s="9">
        <v>230</v>
      </c>
      <c r="L601" s="9">
        <v>2024</v>
      </c>
      <c r="M601" s="8" t="s">
        <v>3869</v>
      </c>
      <c r="N601" s="8" t="s">
        <v>243</v>
      </c>
      <c r="O601" s="8" t="s">
        <v>758</v>
      </c>
      <c r="P601" s="6" t="s">
        <v>39</v>
      </c>
      <c r="Q601" s="8" t="s">
        <v>40</v>
      </c>
      <c r="R601" s="10" t="s">
        <v>3870</v>
      </c>
      <c r="S601" s="11"/>
      <c r="T601" s="6"/>
      <c r="U601" s="15" t="str">
        <f>HYPERLINK("https://media.infra-m.ru/2083/2083787/cover/2083787.jpg", "Обложка")</f>
        <v>Обложка</v>
      </c>
      <c r="V601" s="8" t="s">
        <v>3871</v>
      </c>
      <c r="W601" s="6"/>
      <c r="X601" s="6"/>
      <c r="Y601" s="6"/>
      <c r="Z601" s="6"/>
      <c r="AA601" s="6" t="s">
        <v>2240</v>
      </c>
      <c r="AB601" s="8"/>
      <c r="AC601" s="27">
        <v>9785160144610</v>
      </c>
    </row>
    <row r="602" spans="1:29" s="4" customFormat="1" ht="44.1" customHeight="1" x14ac:dyDescent="0.2">
      <c r="A602" s="5">
        <v>0</v>
      </c>
      <c r="B602" s="6" t="s">
        <v>3872</v>
      </c>
      <c r="C602" s="13">
        <v>804</v>
      </c>
      <c r="D602" s="8" t="s">
        <v>3873</v>
      </c>
      <c r="E602" s="8" t="s">
        <v>3874</v>
      </c>
      <c r="F602" s="8" t="s">
        <v>3875</v>
      </c>
      <c r="G602" s="6" t="s">
        <v>33</v>
      </c>
      <c r="H602" s="6" t="s">
        <v>34</v>
      </c>
      <c r="I602" s="8" t="s">
        <v>35</v>
      </c>
      <c r="J602" s="9">
        <v>1</v>
      </c>
      <c r="K602" s="9">
        <v>125</v>
      </c>
      <c r="L602" s="9">
        <v>2025</v>
      </c>
      <c r="M602" s="8" t="s">
        <v>3876</v>
      </c>
      <c r="N602" s="8" t="s">
        <v>37</v>
      </c>
      <c r="O602" s="8" t="s">
        <v>280</v>
      </c>
      <c r="P602" s="6" t="s">
        <v>39</v>
      </c>
      <c r="Q602" s="8" t="s">
        <v>40</v>
      </c>
      <c r="R602" s="10" t="s">
        <v>3877</v>
      </c>
      <c r="S602" s="11"/>
      <c r="T602" s="6"/>
      <c r="U602" s="15" t="str">
        <f>HYPERLINK("https://media.infra-m.ru/2208/2208464/cover/2208464.jpg", "Обложка")</f>
        <v>Обложка</v>
      </c>
      <c r="V602" s="8" t="s">
        <v>3636</v>
      </c>
      <c r="W602" s="6"/>
      <c r="X602" s="6"/>
      <c r="Y602" s="6"/>
      <c r="Z602" s="6"/>
      <c r="AA602" s="6" t="s">
        <v>55</v>
      </c>
      <c r="AB602" s="8"/>
      <c r="AC602" s="27">
        <v>9785160068626</v>
      </c>
    </row>
    <row r="603" spans="1:29" s="4" customFormat="1" ht="42" customHeight="1" x14ac:dyDescent="0.2">
      <c r="A603" s="5">
        <v>0</v>
      </c>
      <c r="B603" s="6" t="s">
        <v>3878</v>
      </c>
      <c r="C603" s="13">
        <v>876</v>
      </c>
      <c r="D603" s="8" t="s">
        <v>3879</v>
      </c>
      <c r="E603" s="8" t="s">
        <v>3880</v>
      </c>
      <c r="F603" s="8" t="s">
        <v>3881</v>
      </c>
      <c r="G603" s="6" t="s">
        <v>33</v>
      </c>
      <c r="H603" s="6" t="s">
        <v>34</v>
      </c>
      <c r="I603" s="8" t="s">
        <v>375</v>
      </c>
      <c r="J603" s="9">
        <v>1</v>
      </c>
      <c r="K603" s="9">
        <v>115</v>
      </c>
      <c r="L603" s="9">
        <v>2026</v>
      </c>
      <c r="M603" s="8" t="s">
        <v>3882</v>
      </c>
      <c r="N603" s="8" t="s">
        <v>243</v>
      </c>
      <c r="O603" s="8" t="s">
        <v>385</v>
      </c>
      <c r="P603" s="6" t="s">
        <v>105</v>
      </c>
      <c r="Q603" s="8" t="s">
        <v>65</v>
      </c>
      <c r="R603" s="10" t="s">
        <v>3883</v>
      </c>
      <c r="S603" s="11"/>
      <c r="T603" s="6"/>
      <c r="U603" s="15" t="str">
        <f>HYPERLINK("https://media.infra-m.ru/2221/2221299/cover/2221299.jpg", "Обложка")</f>
        <v>Обложка</v>
      </c>
      <c r="V603" s="8" t="s">
        <v>379</v>
      </c>
      <c r="W603" s="6" t="s">
        <v>342</v>
      </c>
      <c r="X603" s="6"/>
      <c r="Y603" s="6"/>
      <c r="Z603" s="6"/>
      <c r="AA603" s="6" t="s">
        <v>187</v>
      </c>
      <c r="AB603" s="8"/>
      <c r="AC603" s="27">
        <v>9785160213019</v>
      </c>
    </row>
    <row r="604" spans="1:29" s="4" customFormat="1" ht="51.9" customHeight="1" x14ac:dyDescent="0.2">
      <c r="A604" s="5">
        <v>0</v>
      </c>
      <c r="B604" s="6" t="s">
        <v>3884</v>
      </c>
      <c r="C604" s="7">
        <v>2664</v>
      </c>
      <c r="D604" s="8" t="s">
        <v>3885</v>
      </c>
      <c r="E604" s="8" t="s">
        <v>3886</v>
      </c>
      <c r="F604" s="8" t="s">
        <v>3887</v>
      </c>
      <c r="G604" s="6" t="s">
        <v>118</v>
      </c>
      <c r="H604" s="6" t="s">
        <v>34</v>
      </c>
      <c r="I604" s="8" t="s">
        <v>253</v>
      </c>
      <c r="J604" s="9">
        <v>1</v>
      </c>
      <c r="K604" s="9">
        <v>383</v>
      </c>
      <c r="L604" s="9">
        <v>2027</v>
      </c>
      <c r="M604" s="8" t="s">
        <v>3888</v>
      </c>
      <c r="N604" s="8" t="s">
        <v>243</v>
      </c>
      <c r="O604" s="8" t="s">
        <v>244</v>
      </c>
      <c r="P604" s="6" t="s">
        <v>306</v>
      </c>
      <c r="Q604" s="8" t="s">
        <v>52</v>
      </c>
      <c r="R604" s="10" t="s">
        <v>3889</v>
      </c>
      <c r="S604" s="11" t="s">
        <v>3890</v>
      </c>
      <c r="T604" s="6"/>
      <c r="U604" s="15" t="str">
        <f>HYPERLINK("https://media.infra-m.ru/2263/2263910/cover/2263910.jpg", "Обложка")</f>
        <v>Обложка</v>
      </c>
      <c r="V604" s="8"/>
      <c r="W604" s="6"/>
      <c r="X604" s="6" t="s">
        <v>24</v>
      </c>
      <c r="Y604" s="6"/>
      <c r="Z604" s="6"/>
      <c r="AA604" s="6" t="s">
        <v>248</v>
      </c>
      <c r="AB604" s="8"/>
      <c r="AC604" s="27">
        <v>9785160224152</v>
      </c>
    </row>
    <row r="605" spans="1:29" s="4" customFormat="1" ht="51.9" customHeight="1" x14ac:dyDescent="0.2">
      <c r="A605" s="5">
        <v>0</v>
      </c>
      <c r="B605" s="6" t="s">
        <v>3891</v>
      </c>
      <c r="C605" s="7">
        <v>1524</v>
      </c>
      <c r="D605" s="8" t="s">
        <v>3892</v>
      </c>
      <c r="E605" s="8" t="s">
        <v>3893</v>
      </c>
      <c r="F605" s="8" t="s">
        <v>3894</v>
      </c>
      <c r="G605" s="6" t="s">
        <v>60</v>
      </c>
      <c r="H605" s="6" t="s">
        <v>48</v>
      </c>
      <c r="I605" s="8" t="s">
        <v>263</v>
      </c>
      <c r="J605" s="9">
        <v>1</v>
      </c>
      <c r="K605" s="9">
        <v>303</v>
      </c>
      <c r="L605" s="9">
        <v>2019</v>
      </c>
      <c r="M605" s="8" t="s">
        <v>3895</v>
      </c>
      <c r="N605" s="8" t="s">
        <v>243</v>
      </c>
      <c r="O605" s="8" t="s">
        <v>244</v>
      </c>
      <c r="P605" s="6" t="s">
        <v>51</v>
      </c>
      <c r="Q605" s="8" t="s">
        <v>265</v>
      </c>
      <c r="R605" s="10" t="s">
        <v>3896</v>
      </c>
      <c r="S605" s="11" t="s">
        <v>3897</v>
      </c>
      <c r="T605" s="6"/>
      <c r="U605" s="15" t="str">
        <f>HYPERLINK("https://media.infra-m.ru/0961/0961507/cover/961507.jpg", "Обложка")</f>
        <v>Обложка</v>
      </c>
      <c r="V605" s="8" t="s">
        <v>3898</v>
      </c>
      <c r="W605" s="6"/>
      <c r="X605" s="6"/>
      <c r="Y605" s="6"/>
      <c r="Z605" s="6" t="s">
        <v>267</v>
      </c>
      <c r="AA605" s="6" t="s">
        <v>115</v>
      </c>
      <c r="AB605" s="8"/>
      <c r="AC605" s="27">
        <v>9785000915646</v>
      </c>
    </row>
    <row r="606" spans="1:29" s="4" customFormat="1" ht="51.9" customHeight="1" x14ac:dyDescent="0.2">
      <c r="A606" s="5">
        <v>0</v>
      </c>
      <c r="B606" s="6" t="s">
        <v>3899</v>
      </c>
      <c r="C606" s="7">
        <v>1468.8</v>
      </c>
      <c r="D606" s="8" t="s">
        <v>3900</v>
      </c>
      <c r="E606" s="8" t="s">
        <v>3901</v>
      </c>
      <c r="F606" s="8" t="s">
        <v>3902</v>
      </c>
      <c r="G606" s="6" t="s">
        <v>118</v>
      </c>
      <c r="H606" s="6" t="s">
        <v>34</v>
      </c>
      <c r="I606" s="8" t="s">
        <v>253</v>
      </c>
      <c r="J606" s="9">
        <v>1</v>
      </c>
      <c r="K606" s="9">
        <v>210</v>
      </c>
      <c r="L606" s="9">
        <v>2026</v>
      </c>
      <c r="M606" s="8" t="s">
        <v>3903</v>
      </c>
      <c r="N606" s="8" t="s">
        <v>243</v>
      </c>
      <c r="O606" s="8" t="s">
        <v>244</v>
      </c>
      <c r="P606" s="6" t="s">
        <v>51</v>
      </c>
      <c r="Q606" s="8" t="s">
        <v>377</v>
      </c>
      <c r="R606" s="10" t="s">
        <v>3904</v>
      </c>
      <c r="S606" s="11" t="s">
        <v>3905</v>
      </c>
      <c r="T606" s="6"/>
      <c r="U606" s="15" t="str">
        <f>HYPERLINK("https://media.infra-m.ru/2257/2257286/cover/2257286.jpg", "Обложка")</f>
        <v>Обложка</v>
      </c>
      <c r="V606" s="8" t="s">
        <v>350</v>
      </c>
      <c r="W606" s="6"/>
      <c r="X606" s="6"/>
      <c r="Y606" s="6"/>
      <c r="Z606" s="6"/>
      <c r="AA606" s="6" t="s">
        <v>1256</v>
      </c>
      <c r="AB606" s="8"/>
      <c r="AC606" s="27">
        <v>9785160149240</v>
      </c>
    </row>
    <row r="607" spans="1:29" s="4" customFormat="1" ht="51.9" customHeight="1" x14ac:dyDescent="0.2">
      <c r="A607" s="5">
        <v>0</v>
      </c>
      <c r="B607" s="6" t="s">
        <v>3906</v>
      </c>
      <c r="C607" s="7">
        <v>1392</v>
      </c>
      <c r="D607" s="8" t="s">
        <v>3907</v>
      </c>
      <c r="E607" s="8" t="s">
        <v>3901</v>
      </c>
      <c r="F607" s="8" t="s">
        <v>3902</v>
      </c>
      <c r="G607" s="6" t="s">
        <v>118</v>
      </c>
      <c r="H607" s="6" t="s">
        <v>34</v>
      </c>
      <c r="I607" s="8" t="s">
        <v>263</v>
      </c>
      <c r="J607" s="9">
        <v>1</v>
      </c>
      <c r="K607" s="9">
        <v>210</v>
      </c>
      <c r="L607" s="9">
        <v>2026</v>
      </c>
      <c r="M607" s="8" t="s">
        <v>3908</v>
      </c>
      <c r="N607" s="8" t="s">
        <v>243</v>
      </c>
      <c r="O607" s="8" t="s">
        <v>244</v>
      </c>
      <c r="P607" s="6" t="s">
        <v>51</v>
      </c>
      <c r="Q607" s="8" t="s">
        <v>265</v>
      </c>
      <c r="R607" s="10" t="s">
        <v>3909</v>
      </c>
      <c r="S607" s="11" t="s">
        <v>3910</v>
      </c>
      <c r="T607" s="6"/>
      <c r="U607" s="15" t="str">
        <f>HYPERLINK("https://media.infra-m.ru/2256/2256962/cover/2256962.jpg", "Обложка")</f>
        <v>Обложка</v>
      </c>
      <c r="V607" s="8" t="s">
        <v>350</v>
      </c>
      <c r="W607" s="6"/>
      <c r="X607" s="6"/>
      <c r="Y607" s="6"/>
      <c r="Z607" s="6" t="s">
        <v>3911</v>
      </c>
      <c r="AA607" s="6" t="s">
        <v>430</v>
      </c>
      <c r="AB607" s="8"/>
      <c r="AC607" s="27">
        <v>9785160161518</v>
      </c>
    </row>
    <row r="608" spans="1:29" s="4" customFormat="1" ht="51.9" customHeight="1" x14ac:dyDescent="0.2">
      <c r="A608" s="5">
        <v>0</v>
      </c>
      <c r="B608" s="6" t="s">
        <v>3912</v>
      </c>
      <c r="C608" s="7">
        <v>2560.8000000000002</v>
      </c>
      <c r="D608" s="8" t="s">
        <v>3913</v>
      </c>
      <c r="E608" s="8" t="s">
        <v>3914</v>
      </c>
      <c r="F608" s="8" t="s">
        <v>3915</v>
      </c>
      <c r="G608" s="6" t="s">
        <v>118</v>
      </c>
      <c r="H608" s="6" t="s">
        <v>34</v>
      </c>
      <c r="I608" s="8" t="s">
        <v>263</v>
      </c>
      <c r="J608" s="9">
        <v>1</v>
      </c>
      <c r="K608" s="9">
        <v>368</v>
      </c>
      <c r="L608" s="9">
        <v>2027</v>
      </c>
      <c r="M608" s="8" t="s">
        <v>3916</v>
      </c>
      <c r="N608" s="8" t="s">
        <v>243</v>
      </c>
      <c r="O608" s="8" t="s">
        <v>244</v>
      </c>
      <c r="P608" s="6" t="s">
        <v>51</v>
      </c>
      <c r="Q608" s="8" t="s">
        <v>265</v>
      </c>
      <c r="R608" s="10" t="s">
        <v>3917</v>
      </c>
      <c r="S608" s="11" t="s">
        <v>3918</v>
      </c>
      <c r="T608" s="6"/>
      <c r="U608" s="15" t="str">
        <f>HYPERLINK("https://media.infra-m.ru/2269/2269784/cover/2269784.jpg", "Обложка")</f>
        <v>Обложка</v>
      </c>
      <c r="V608" s="8" t="s">
        <v>3919</v>
      </c>
      <c r="W608" s="6"/>
      <c r="X608" s="6" t="s">
        <v>24</v>
      </c>
      <c r="Y608" s="6"/>
      <c r="Z608" s="6" t="s">
        <v>267</v>
      </c>
      <c r="AA608" s="6" t="s">
        <v>86</v>
      </c>
      <c r="AB608" s="8"/>
      <c r="AC608" s="27">
        <v>9785160217215</v>
      </c>
    </row>
    <row r="609" spans="1:29" s="4" customFormat="1" ht="51.9" customHeight="1" x14ac:dyDescent="0.2">
      <c r="A609" s="5">
        <v>0</v>
      </c>
      <c r="B609" s="6" t="s">
        <v>3920</v>
      </c>
      <c r="C609" s="7">
        <v>2428.8000000000002</v>
      </c>
      <c r="D609" s="8" t="s">
        <v>3921</v>
      </c>
      <c r="E609" s="8" t="s">
        <v>3922</v>
      </c>
      <c r="F609" s="8" t="s">
        <v>3915</v>
      </c>
      <c r="G609" s="6" t="s">
        <v>118</v>
      </c>
      <c r="H609" s="6" t="s">
        <v>1042</v>
      </c>
      <c r="I609" s="8" t="s">
        <v>253</v>
      </c>
      <c r="J609" s="9">
        <v>1</v>
      </c>
      <c r="K609" s="9">
        <v>368</v>
      </c>
      <c r="L609" s="9">
        <v>2026</v>
      </c>
      <c r="M609" s="8" t="s">
        <v>3923</v>
      </c>
      <c r="N609" s="8" t="s">
        <v>243</v>
      </c>
      <c r="O609" s="8" t="s">
        <v>244</v>
      </c>
      <c r="P609" s="6" t="s">
        <v>51</v>
      </c>
      <c r="Q609" s="8" t="s">
        <v>52</v>
      </c>
      <c r="R609" s="10" t="s">
        <v>3924</v>
      </c>
      <c r="S609" s="11" t="s">
        <v>3925</v>
      </c>
      <c r="T609" s="6"/>
      <c r="U609" s="15" t="str">
        <f>HYPERLINK("https://media.infra-m.ru/2218/2218885/cover/2218885.jpg", "Обложка")</f>
        <v>Обложка</v>
      </c>
      <c r="V609" s="8" t="s">
        <v>3919</v>
      </c>
      <c r="W609" s="6"/>
      <c r="X609" s="6"/>
      <c r="Y609" s="6"/>
      <c r="Z609" s="6"/>
      <c r="AA609" s="6" t="s">
        <v>779</v>
      </c>
      <c r="AB609" s="8"/>
      <c r="AC609" s="27">
        <v>9785819909461</v>
      </c>
    </row>
    <row r="610" spans="1:29" s="4" customFormat="1" ht="51.9" customHeight="1" x14ac:dyDescent="0.2">
      <c r="A610" s="5">
        <v>0</v>
      </c>
      <c r="B610" s="6" t="s">
        <v>3926</v>
      </c>
      <c r="C610" s="7">
        <v>1908</v>
      </c>
      <c r="D610" s="8" t="s">
        <v>3927</v>
      </c>
      <c r="E610" s="8" t="s">
        <v>3928</v>
      </c>
      <c r="F610" s="8" t="s">
        <v>3929</v>
      </c>
      <c r="G610" s="6" t="s">
        <v>118</v>
      </c>
      <c r="H610" s="6" t="s">
        <v>34</v>
      </c>
      <c r="I610" s="8" t="s">
        <v>253</v>
      </c>
      <c r="J610" s="9">
        <v>1</v>
      </c>
      <c r="K610" s="9">
        <v>271</v>
      </c>
      <c r="L610" s="9">
        <v>2027</v>
      </c>
      <c r="M610" s="8" t="s">
        <v>3930</v>
      </c>
      <c r="N610" s="8" t="s">
        <v>243</v>
      </c>
      <c r="O610" s="8" t="s">
        <v>244</v>
      </c>
      <c r="P610" s="6" t="s">
        <v>306</v>
      </c>
      <c r="Q610" s="8" t="s">
        <v>52</v>
      </c>
      <c r="R610" s="10" t="s">
        <v>3931</v>
      </c>
      <c r="S610" s="11" t="s">
        <v>3932</v>
      </c>
      <c r="T610" s="6"/>
      <c r="U610" s="15" t="str">
        <f>HYPERLINK("https://media.infra-m.ru/2271/2271621/cover/2271621.jpg", "Обложка")</f>
        <v>Обложка</v>
      </c>
      <c r="V610" s="8" t="s">
        <v>761</v>
      </c>
      <c r="W610" s="6"/>
      <c r="X610" s="6" t="s">
        <v>24</v>
      </c>
      <c r="Y610" s="6"/>
      <c r="Z610" s="6"/>
      <c r="AA610" s="6" t="s">
        <v>561</v>
      </c>
      <c r="AB610" s="8"/>
      <c r="AC610" s="27">
        <v>9785160225197</v>
      </c>
    </row>
    <row r="611" spans="1:29" s="4" customFormat="1" ht="51.9" customHeight="1" x14ac:dyDescent="0.2">
      <c r="A611" s="5">
        <v>0</v>
      </c>
      <c r="B611" s="6" t="s">
        <v>3933</v>
      </c>
      <c r="C611" s="7">
        <v>1824</v>
      </c>
      <c r="D611" s="8" t="s">
        <v>3934</v>
      </c>
      <c r="E611" s="8" t="s">
        <v>3935</v>
      </c>
      <c r="F611" s="8" t="s">
        <v>3915</v>
      </c>
      <c r="G611" s="6" t="s">
        <v>60</v>
      </c>
      <c r="H611" s="6" t="s">
        <v>34</v>
      </c>
      <c r="I611" s="8" t="s">
        <v>271</v>
      </c>
      <c r="J611" s="9">
        <v>1</v>
      </c>
      <c r="K611" s="9">
        <v>325</v>
      </c>
      <c r="L611" s="9">
        <v>2022</v>
      </c>
      <c r="M611" s="8" t="s">
        <v>3936</v>
      </c>
      <c r="N611" s="8" t="s">
        <v>243</v>
      </c>
      <c r="O611" s="8" t="s">
        <v>244</v>
      </c>
      <c r="P611" s="6" t="s">
        <v>51</v>
      </c>
      <c r="Q611" s="8" t="s">
        <v>52</v>
      </c>
      <c r="R611" s="10" t="s">
        <v>3937</v>
      </c>
      <c r="S611" s="11" t="s">
        <v>3938</v>
      </c>
      <c r="T611" s="6" t="s">
        <v>97</v>
      </c>
      <c r="U611" s="15" t="str">
        <f>HYPERLINK("https://media.infra-m.ru/1830/1830834/cover/1830834.jpg", "Обложка")</f>
        <v>Обложка</v>
      </c>
      <c r="V611" s="8" t="s">
        <v>3919</v>
      </c>
      <c r="W611" s="6"/>
      <c r="X611" s="6"/>
      <c r="Y611" s="6"/>
      <c r="Z611" s="6"/>
      <c r="AA611" s="6" t="s">
        <v>148</v>
      </c>
      <c r="AB611" s="8"/>
      <c r="AC611" s="27">
        <v>9785160172132</v>
      </c>
    </row>
    <row r="612" spans="1:29" s="4" customFormat="1" ht="51.9" customHeight="1" x14ac:dyDescent="0.2">
      <c r="A612" s="5">
        <v>0</v>
      </c>
      <c r="B612" s="6" t="s">
        <v>3939</v>
      </c>
      <c r="C612" s="7">
        <v>1552.8</v>
      </c>
      <c r="D612" s="8" t="s">
        <v>3940</v>
      </c>
      <c r="E612" s="8" t="s">
        <v>3941</v>
      </c>
      <c r="F612" s="8" t="s">
        <v>3915</v>
      </c>
      <c r="G612" s="6" t="s">
        <v>118</v>
      </c>
      <c r="H612" s="6" t="s">
        <v>34</v>
      </c>
      <c r="I612" s="8" t="s">
        <v>253</v>
      </c>
      <c r="J612" s="9">
        <v>1</v>
      </c>
      <c r="K612" s="9">
        <v>235</v>
      </c>
      <c r="L612" s="9">
        <v>2026</v>
      </c>
      <c r="M612" s="8" t="s">
        <v>3942</v>
      </c>
      <c r="N612" s="8" t="s">
        <v>243</v>
      </c>
      <c r="O612" s="8" t="s">
        <v>244</v>
      </c>
      <c r="P612" s="6" t="s">
        <v>51</v>
      </c>
      <c r="Q612" s="8" t="s">
        <v>52</v>
      </c>
      <c r="R612" s="10" t="s">
        <v>3943</v>
      </c>
      <c r="S612" s="11" t="s">
        <v>3944</v>
      </c>
      <c r="T612" s="6" t="s">
        <v>97</v>
      </c>
      <c r="U612" s="15" t="str">
        <f>HYPERLINK("https://media.infra-m.ru/2224/2224119/cover/2224119.jpg", "Обложка")</f>
        <v>Обложка</v>
      </c>
      <c r="V612" s="8" t="s">
        <v>3919</v>
      </c>
      <c r="W612" s="6"/>
      <c r="X612" s="6"/>
      <c r="Y612" s="6"/>
      <c r="Z612" s="6"/>
      <c r="AA612" s="6" t="s">
        <v>115</v>
      </c>
      <c r="AB612" s="8"/>
      <c r="AC612" s="27">
        <v>9785160198453</v>
      </c>
    </row>
    <row r="613" spans="1:29" s="4" customFormat="1" ht="51.9" customHeight="1" x14ac:dyDescent="0.2">
      <c r="A613" s="5">
        <v>0</v>
      </c>
      <c r="B613" s="6" t="s">
        <v>3945</v>
      </c>
      <c r="C613" s="7">
        <v>1636.8</v>
      </c>
      <c r="D613" s="8" t="s">
        <v>3946</v>
      </c>
      <c r="E613" s="8" t="s">
        <v>3941</v>
      </c>
      <c r="F613" s="8" t="s">
        <v>3915</v>
      </c>
      <c r="G613" s="6" t="s">
        <v>118</v>
      </c>
      <c r="H613" s="6" t="s">
        <v>34</v>
      </c>
      <c r="I613" s="8" t="s">
        <v>263</v>
      </c>
      <c r="J613" s="9">
        <v>1</v>
      </c>
      <c r="K613" s="9">
        <v>235</v>
      </c>
      <c r="L613" s="9">
        <v>2027</v>
      </c>
      <c r="M613" s="8" t="s">
        <v>3947</v>
      </c>
      <c r="N613" s="8" t="s">
        <v>243</v>
      </c>
      <c r="O613" s="8" t="s">
        <v>244</v>
      </c>
      <c r="P613" s="6" t="s">
        <v>51</v>
      </c>
      <c r="Q613" s="8" t="s">
        <v>265</v>
      </c>
      <c r="R613" s="10" t="s">
        <v>3948</v>
      </c>
      <c r="S613" s="11" t="s">
        <v>3949</v>
      </c>
      <c r="T613" s="6" t="s">
        <v>97</v>
      </c>
      <c r="U613" s="15" t="str">
        <f>HYPERLINK("https://media.infra-m.ru/2266/2266483/cover/2266483.jpg", "Обложка")</f>
        <v>Обложка</v>
      </c>
      <c r="V613" s="8" t="s">
        <v>3919</v>
      </c>
      <c r="W613" s="6"/>
      <c r="X613" s="6"/>
      <c r="Y613" s="6"/>
      <c r="Z613" s="6" t="s">
        <v>267</v>
      </c>
      <c r="AA613" s="6" t="s">
        <v>1256</v>
      </c>
      <c r="AB613" s="8"/>
      <c r="AC613" s="27">
        <v>9785160156439</v>
      </c>
    </row>
    <row r="614" spans="1:29" s="4" customFormat="1" ht="51.9" customHeight="1" x14ac:dyDescent="0.2">
      <c r="A614" s="5">
        <v>0</v>
      </c>
      <c r="B614" s="6" t="s">
        <v>3950</v>
      </c>
      <c r="C614" s="7">
        <v>1896</v>
      </c>
      <c r="D614" s="8" t="s">
        <v>3951</v>
      </c>
      <c r="E614" s="8" t="s">
        <v>3952</v>
      </c>
      <c r="F614" s="8" t="s">
        <v>3953</v>
      </c>
      <c r="G614" s="6" t="s">
        <v>118</v>
      </c>
      <c r="H614" s="6" t="s">
        <v>34</v>
      </c>
      <c r="I614" s="8" t="s">
        <v>263</v>
      </c>
      <c r="J614" s="9">
        <v>1</v>
      </c>
      <c r="K614" s="9">
        <v>304</v>
      </c>
      <c r="L614" s="9">
        <v>2026</v>
      </c>
      <c r="M614" s="8" t="s">
        <v>3954</v>
      </c>
      <c r="N614" s="8" t="s">
        <v>243</v>
      </c>
      <c r="O614" s="8" t="s">
        <v>244</v>
      </c>
      <c r="P614" s="6" t="s">
        <v>306</v>
      </c>
      <c r="Q614" s="8" t="s">
        <v>265</v>
      </c>
      <c r="R614" s="10" t="s">
        <v>3955</v>
      </c>
      <c r="S614" s="11" t="s">
        <v>3956</v>
      </c>
      <c r="T614" s="6" t="s">
        <v>97</v>
      </c>
      <c r="U614" s="15" t="str">
        <f>HYPERLINK("https://media.infra-m.ru/2216/2216840/cover/2216840.jpg", "Обложка")</f>
        <v>Обложка</v>
      </c>
      <c r="V614" s="8" t="s">
        <v>3413</v>
      </c>
      <c r="W614" s="6"/>
      <c r="X614" s="6"/>
      <c r="Y614" s="6"/>
      <c r="Z614" s="6" t="s">
        <v>267</v>
      </c>
      <c r="AA614" s="6" t="s">
        <v>86</v>
      </c>
      <c r="AB614" s="8"/>
      <c r="AC614" s="27">
        <v>9785160141619</v>
      </c>
    </row>
    <row r="615" spans="1:29" s="4" customFormat="1" ht="51.9" customHeight="1" x14ac:dyDescent="0.2">
      <c r="A615" s="5">
        <v>0</v>
      </c>
      <c r="B615" s="6" t="s">
        <v>3957</v>
      </c>
      <c r="C615" s="7">
        <v>2008.8</v>
      </c>
      <c r="D615" s="8" t="s">
        <v>3958</v>
      </c>
      <c r="E615" s="8" t="s">
        <v>3952</v>
      </c>
      <c r="F615" s="8" t="s">
        <v>3953</v>
      </c>
      <c r="G615" s="6" t="s">
        <v>118</v>
      </c>
      <c r="H615" s="6" t="s">
        <v>34</v>
      </c>
      <c r="I615" s="8" t="s">
        <v>271</v>
      </c>
      <c r="J615" s="9">
        <v>1</v>
      </c>
      <c r="K615" s="9">
        <v>304</v>
      </c>
      <c r="L615" s="9">
        <v>2026</v>
      </c>
      <c r="M615" s="8" t="s">
        <v>3959</v>
      </c>
      <c r="N615" s="8" t="s">
        <v>243</v>
      </c>
      <c r="O615" s="8" t="s">
        <v>244</v>
      </c>
      <c r="P615" s="6" t="s">
        <v>306</v>
      </c>
      <c r="Q615" s="8" t="s">
        <v>52</v>
      </c>
      <c r="R615" s="10" t="s">
        <v>3960</v>
      </c>
      <c r="S615" s="11" t="s">
        <v>3961</v>
      </c>
      <c r="T615" s="6" t="s">
        <v>97</v>
      </c>
      <c r="U615" s="15" t="str">
        <f>HYPERLINK("https://media.infra-m.ru/2223/2223189/cover/2223189.jpg", "Обложка")</f>
        <v>Обложка</v>
      </c>
      <c r="V615" s="8" t="s">
        <v>3413</v>
      </c>
      <c r="W615" s="6"/>
      <c r="X615" s="6"/>
      <c r="Y615" s="6"/>
      <c r="Z615" s="6"/>
      <c r="AA615" s="6" t="s">
        <v>779</v>
      </c>
      <c r="AB615" s="8"/>
      <c r="AC615" s="27">
        <v>9785160104850</v>
      </c>
    </row>
    <row r="616" spans="1:29" s="4" customFormat="1" ht="51.9" customHeight="1" x14ac:dyDescent="0.2">
      <c r="A616" s="5">
        <v>0</v>
      </c>
      <c r="B616" s="6" t="s">
        <v>3962</v>
      </c>
      <c r="C616" s="7">
        <v>2320.8000000000002</v>
      </c>
      <c r="D616" s="8" t="s">
        <v>3963</v>
      </c>
      <c r="E616" s="8" t="s">
        <v>3964</v>
      </c>
      <c r="F616" s="8" t="s">
        <v>3965</v>
      </c>
      <c r="G616" s="6" t="s">
        <v>60</v>
      </c>
      <c r="H616" s="6" t="s">
        <v>1042</v>
      </c>
      <c r="I616" s="8" t="s">
        <v>253</v>
      </c>
      <c r="J616" s="9">
        <v>1</v>
      </c>
      <c r="K616" s="9">
        <v>352</v>
      </c>
      <c r="L616" s="9">
        <v>2026</v>
      </c>
      <c r="M616" s="8" t="s">
        <v>3966</v>
      </c>
      <c r="N616" s="8" t="s">
        <v>243</v>
      </c>
      <c r="O616" s="8" t="s">
        <v>244</v>
      </c>
      <c r="P616" s="6" t="s">
        <v>306</v>
      </c>
      <c r="Q616" s="8" t="s">
        <v>52</v>
      </c>
      <c r="R616" s="10" t="s">
        <v>3967</v>
      </c>
      <c r="S616" s="11" t="s">
        <v>3968</v>
      </c>
      <c r="T616" s="6"/>
      <c r="U616" s="15" t="str">
        <f>HYPERLINK("https://media.infra-m.ru/2238/2238284/cover/2238284.jpg", "Обложка")</f>
        <v>Обложка</v>
      </c>
      <c r="V616" s="8" t="s">
        <v>761</v>
      </c>
      <c r="W616" s="6"/>
      <c r="X616" s="6"/>
      <c r="Y616" s="6"/>
      <c r="Z616" s="6"/>
      <c r="AA616" s="6" t="s">
        <v>1056</v>
      </c>
      <c r="AB616" s="8"/>
      <c r="AC616" s="27">
        <v>9785819903773</v>
      </c>
    </row>
    <row r="617" spans="1:29" s="4" customFormat="1" ht="51.9" customHeight="1" x14ac:dyDescent="0.2">
      <c r="A617" s="5">
        <v>0</v>
      </c>
      <c r="B617" s="6" t="s">
        <v>3969</v>
      </c>
      <c r="C617" s="7">
        <v>1236</v>
      </c>
      <c r="D617" s="8" t="s">
        <v>3970</v>
      </c>
      <c r="E617" s="8" t="s">
        <v>3952</v>
      </c>
      <c r="F617" s="8" t="s">
        <v>3971</v>
      </c>
      <c r="G617" s="6" t="s">
        <v>60</v>
      </c>
      <c r="H617" s="6" t="s">
        <v>34</v>
      </c>
      <c r="I617" s="8" t="s">
        <v>253</v>
      </c>
      <c r="J617" s="9">
        <v>1</v>
      </c>
      <c r="K617" s="9">
        <v>202</v>
      </c>
      <c r="L617" s="9">
        <v>2025</v>
      </c>
      <c r="M617" s="8" t="s">
        <v>3972</v>
      </c>
      <c r="N617" s="8" t="s">
        <v>243</v>
      </c>
      <c r="O617" s="8" t="s">
        <v>244</v>
      </c>
      <c r="P617" s="6" t="s">
        <v>51</v>
      </c>
      <c r="Q617" s="8" t="s">
        <v>65</v>
      </c>
      <c r="R617" s="10" t="s">
        <v>3973</v>
      </c>
      <c r="S617" s="11"/>
      <c r="T617" s="6"/>
      <c r="U617" s="15" t="str">
        <f>HYPERLINK("https://media.infra-m.ru/2169/2169541/cover/2169541.jpg", "Обложка")</f>
        <v>Обложка</v>
      </c>
      <c r="V617" s="8" t="s">
        <v>54</v>
      </c>
      <c r="W617" s="6"/>
      <c r="X617" s="6"/>
      <c r="Y617" s="6"/>
      <c r="Z617" s="6" t="s">
        <v>3974</v>
      </c>
      <c r="AA617" s="6" t="s">
        <v>68</v>
      </c>
      <c r="AB617" s="8"/>
      <c r="AC617" s="27">
        <v>9785160203201</v>
      </c>
    </row>
    <row r="618" spans="1:29" s="4" customFormat="1" ht="51.9" customHeight="1" x14ac:dyDescent="0.2">
      <c r="A618" s="5">
        <v>0</v>
      </c>
      <c r="B618" s="6" t="s">
        <v>3975</v>
      </c>
      <c r="C618" s="7">
        <v>1260</v>
      </c>
      <c r="D618" s="8" t="s">
        <v>3976</v>
      </c>
      <c r="E618" s="8" t="s">
        <v>3952</v>
      </c>
      <c r="F618" s="8" t="s">
        <v>3971</v>
      </c>
      <c r="G618" s="6" t="s">
        <v>60</v>
      </c>
      <c r="H618" s="6" t="s">
        <v>34</v>
      </c>
      <c r="I618" s="8" t="s">
        <v>263</v>
      </c>
      <c r="J618" s="9">
        <v>1</v>
      </c>
      <c r="K618" s="9">
        <v>202</v>
      </c>
      <c r="L618" s="9">
        <v>2025</v>
      </c>
      <c r="M618" s="8" t="s">
        <v>3977</v>
      </c>
      <c r="N618" s="8" t="s">
        <v>243</v>
      </c>
      <c r="O618" s="8" t="s">
        <v>244</v>
      </c>
      <c r="P618" s="6" t="s">
        <v>51</v>
      </c>
      <c r="Q618" s="8" t="s">
        <v>265</v>
      </c>
      <c r="R618" s="10" t="s">
        <v>3978</v>
      </c>
      <c r="S618" s="11"/>
      <c r="T618" s="6"/>
      <c r="U618" s="15" t="str">
        <f>HYPERLINK("https://media.infra-m.ru/1171/1171948/cover/1171948.jpg", "Обложка")</f>
        <v>Обложка</v>
      </c>
      <c r="V618" s="8" t="s">
        <v>54</v>
      </c>
      <c r="W618" s="6"/>
      <c r="X618" s="6"/>
      <c r="Y618" s="6"/>
      <c r="Z618" s="6"/>
      <c r="AA618" s="6" t="s">
        <v>68</v>
      </c>
      <c r="AB618" s="8"/>
      <c r="AC618" s="27">
        <v>9785160165066</v>
      </c>
    </row>
    <row r="619" spans="1:29" s="4" customFormat="1" ht="51.9" customHeight="1" x14ac:dyDescent="0.2">
      <c r="A619" s="5">
        <v>0</v>
      </c>
      <c r="B619" s="6" t="s">
        <v>3979</v>
      </c>
      <c r="C619" s="7">
        <v>2392.8000000000002</v>
      </c>
      <c r="D619" s="8" t="s">
        <v>3980</v>
      </c>
      <c r="E619" s="8" t="s">
        <v>3981</v>
      </c>
      <c r="F619" s="8" t="s">
        <v>3982</v>
      </c>
      <c r="G619" s="6" t="s">
        <v>118</v>
      </c>
      <c r="H619" s="6" t="s">
        <v>48</v>
      </c>
      <c r="I619" s="8" t="s">
        <v>263</v>
      </c>
      <c r="J619" s="9">
        <v>1</v>
      </c>
      <c r="K619" s="9">
        <v>400</v>
      </c>
      <c r="L619" s="9">
        <v>2025</v>
      </c>
      <c r="M619" s="8" t="s">
        <v>3983</v>
      </c>
      <c r="N619" s="8" t="s">
        <v>243</v>
      </c>
      <c r="O619" s="8" t="s">
        <v>244</v>
      </c>
      <c r="P619" s="6" t="s">
        <v>51</v>
      </c>
      <c r="Q619" s="8" t="s">
        <v>265</v>
      </c>
      <c r="R619" s="10" t="s">
        <v>3984</v>
      </c>
      <c r="S619" s="11" t="s">
        <v>3985</v>
      </c>
      <c r="T619" s="6"/>
      <c r="U619" s="15" t="str">
        <f>HYPERLINK("https://media.infra-m.ru/2169/2169726/cover/2169726.jpg", "Обложка")</f>
        <v>Обложка</v>
      </c>
      <c r="V619" s="8" t="s">
        <v>3413</v>
      </c>
      <c r="W619" s="6"/>
      <c r="X619" s="6"/>
      <c r="Y619" s="6"/>
      <c r="Z619" s="6" t="s">
        <v>267</v>
      </c>
      <c r="AA619" s="6" t="s">
        <v>2259</v>
      </c>
      <c r="AB619" s="8"/>
      <c r="AC619" s="27">
        <v>9785000916018</v>
      </c>
    </row>
    <row r="620" spans="1:29" s="4" customFormat="1" ht="51.9" customHeight="1" x14ac:dyDescent="0.2">
      <c r="A620" s="5">
        <v>0</v>
      </c>
      <c r="B620" s="6" t="s">
        <v>3986</v>
      </c>
      <c r="C620" s="7">
        <v>2788.8</v>
      </c>
      <c r="D620" s="8" t="s">
        <v>3987</v>
      </c>
      <c r="E620" s="8" t="s">
        <v>3981</v>
      </c>
      <c r="F620" s="8" t="s">
        <v>3982</v>
      </c>
      <c r="G620" s="6" t="s">
        <v>118</v>
      </c>
      <c r="H620" s="6" t="s">
        <v>48</v>
      </c>
      <c r="I620" s="8" t="s">
        <v>271</v>
      </c>
      <c r="J620" s="9">
        <v>1</v>
      </c>
      <c r="K620" s="9">
        <v>400</v>
      </c>
      <c r="L620" s="9">
        <v>2027</v>
      </c>
      <c r="M620" s="8" t="s">
        <v>3988</v>
      </c>
      <c r="N620" s="8" t="s">
        <v>243</v>
      </c>
      <c r="O620" s="8" t="s">
        <v>244</v>
      </c>
      <c r="P620" s="6" t="s">
        <v>51</v>
      </c>
      <c r="Q620" s="8" t="s">
        <v>52</v>
      </c>
      <c r="R620" s="10" t="s">
        <v>3989</v>
      </c>
      <c r="S620" s="11" t="s">
        <v>3990</v>
      </c>
      <c r="T620" s="6"/>
      <c r="U620" s="15" t="str">
        <f>HYPERLINK("https://media.infra-m.ru/2270/2270908/cover/2270908.jpg", "Обложка")</f>
        <v>Обложка</v>
      </c>
      <c r="V620" s="8" t="s">
        <v>3413</v>
      </c>
      <c r="W620" s="6"/>
      <c r="X620" s="6"/>
      <c r="Y620" s="6"/>
      <c r="Z620" s="6"/>
      <c r="AA620" s="6" t="s">
        <v>3991</v>
      </c>
      <c r="AB620" s="8"/>
      <c r="AC620" s="27">
        <v>9785000915165</v>
      </c>
    </row>
    <row r="621" spans="1:29" s="4" customFormat="1" ht="51.9" customHeight="1" x14ac:dyDescent="0.2">
      <c r="A621" s="5">
        <v>0</v>
      </c>
      <c r="B621" s="6" t="s">
        <v>3992</v>
      </c>
      <c r="C621" s="7">
        <v>1918.8</v>
      </c>
      <c r="D621" s="8" t="s">
        <v>3993</v>
      </c>
      <c r="E621" s="8" t="s">
        <v>3994</v>
      </c>
      <c r="F621" s="8" t="s">
        <v>3995</v>
      </c>
      <c r="G621" s="6" t="s">
        <v>60</v>
      </c>
      <c r="H621" s="6" t="s">
        <v>34</v>
      </c>
      <c r="I621" s="8" t="s">
        <v>253</v>
      </c>
      <c r="J621" s="9">
        <v>1</v>
      </c>
      <c r="K621" s="9">
        <v>226</v>
      </c>
      <c r="L621" s="9">
        <v>2025</v>
      </c>
      <c r="M621" s="8" t="s">
        <v>3996</v>
      </c>
      <c r="N621" s="8" t="s">
        <v>585</v>
      </c>
      <c r="O621" s="8" t="s">
        <v>775</v>
      </c>
      <c r="P621" s="6" t="s">
        <v>51</v>
      </c>
      <c r="Q621" s="8" t="s">
        <v>65</v>
      </c>
      <c r="R621" s="10" t="s">
        <v>3997</v>
      </c>
      <c r="S621" s="11"/>
      <c r="T621" s="6"/>
      <c r="U621" s="15" t="str">
        <f>HYPERLINK("https://media.infra-m.ru/2134/2134588/cover/2134588.jpg", "Обложка")</f>
        <v>Обложка</v>
      </c>
      <c r="V621" s="8" t="s">
        <v>3998</v>
      </c>
      <c r="W621" s="6" t="s">
        <v>2565</v>
      </c>
      <c r="X621" s="6"/>
      <c r="Y621" s="6"/>
      <c r="Z621" s="6"/>
      <c r="AA621" s="6" t="s">
        <v>68</v>
      </c>
      <c r="AB621" s="8" t="s">
        <v>3999</v>
      </c>
      <c r="AC621" s="27">
        <v>9785160197289</v>
      </c>
    </row>
    <row r="622" spans="1:29" s="4" customFormat="1" ht="42" customHeight="1" x14ac:dyDescent="0.2">
      <c r="A622" s="5">
        <v>0</v>
      </c>
      <c r="B622" s="6" t="s">
        <v>4000</v>
      </c>
      <c r="C622" s="13">
        <v>840</v>
      </c>
      <c r="D622" s="8" t="s">
        <v>4001</v>
      </c>
      <c r="E622" s="8" t="s">
        <v>4002</v>
      </c>
      <c r="F622" s="8" t="s">
        <v>1960</v>
      </c>
      <c r="G622" s="6" t="s">
        <v>33</v>
      </c>
      <c r="H622" s="6" t="s">
        <v>34</v>
      </c>
      <c r="I622" s="8" t="s">
        <v>35</v>
      </c>
      <c r="J622" s="9">
        <v>1</v>
      </c>
      <c r="K622" s="9">
        <v>155</v>
      </c>
      <c r="L622" s="9">
        <v>2023</v>
      </c>
      <c r="M622" s="8" t="s">
        <v>4003</v>
      </c>
      <c r="N622" s="8" t="s">
        <v>63</v>
      </c>
      <c r="O622" s="8" t="s">
        <v>126</v>
      </c>
      <c r="P622" s="6" t="s">
        <v>39</v>
      </c>
      <c r="Q622" s="8" t="s">
        <v>40</v>
      </c>
      <c r="R622" s="10" t="s">
        <v>4004</v>
      </c>
      <c r="S622" s="11"/>
      <c r="T622" s="6"/>
      <c r="U622" s="15" t="str">
        <f>HYPERLINK("https://media.infra-m.ru/1873/1873769/cover/1873769.jpg", "Обложка")</f>
        <v>Обложка</v>
      </c>
      <c r="V622" s="8" t="s">
        <v>227</v>
      </c>
      <c r="W622" s="6"/>
      <c r="X622" s="6"/>
      <c r="Y622" s="6"/>
      <c r="Z622" s="6"/>
      <c r="AA622" s="6" t="s">
        <v>115</v>
      </c>
      <c r="AB622" s="8"/>
      <c r="AC622" s="27">
        <v>9785160140278</v>
      </c>
    </row>
    <row r="623" spans="1:29" s="4" customFormat="1" ht="44.1" customHeight="1" x14ac:dyDescent="0.2">
      <c r="A623" s="5">
        <v>0</v>
      </c>
      <c r="B623" s="6" t="s">
        <v>4005</v>
      </c>
      <c r="C623" s="13">
        <v>904.8</v>
      </c>
      <c r="D623" s="8" t="s">
        <v>4006</v>
      </c>
      <c r="E623" s="8" t="s">
        <v>4007</v>
      </c>
      <c r="F623" s="8" t="s">
        <v>231</v>
      </c>
      <c r="G623" s="6" t="s">
        <v>33</v>
      </c>
      <c r="H623" s="6" t="s">
        <v>34</v>
      </c>
      <c r="I623" s="8" t="s">
        <v>35</v>
      </c>
      <c r="J623" s="9">
        <v>1</v>
      </c>
      <c r="K623" s="9">
        <v>160</v>
      </c>
      <c r="L623" s="9">
        <v>2024</v>
      </c>
      <c r="M623" s="8" t="s">
        <v>4008</v>
      </c>
      <c r="N623" s="8" t="s">
        <v>37</v>
      </c>
      <c r="O623" s="8" t="s">
        <v>233</v>
      </c>
      <c r="P623" s="6" t="s">
        <v>39</v>
      </c>
      <c r="Q623" s="8" t="s">
        <v>40</v>
      </c>
      <c r="R623" s="10" t="s">
        <v>4009</v>
      </c>
      <c r="S623" s="11"/>
      <c r="T623" s="6"/>
      <c r="U623" s="15" t="str">
        <f>HYPERLINK("https://media.infra-m.ru/2149/2149182/cover/2149182.jpg", "Обложка")</f>
        <v>Обложка</v>
      </c>
      <c r="V623" s="8" t="s">
        <v>236</v>
      </c>
      <c r="W623" s="6"/>
      <c r="X623" s="6"/>
      <c r="Y623" s="6"/>
      <c r="Z623" s="6"/>
      <c r="AA623" s="6" t="s">
        <v>779</v>
      </c>
      <c r="AB623" s="8"/>
      <c r="AC623" s="27">
        <v>9785160120102</v>
      </c>
    </row>
    <row r="624" spans="1:29" s="4" customFormat="1" ht="51.9" customHeight="1" x14ac:dyDescent="0.2">
      <c r="A624" s="5">
        <v>0</v>
      </c>
      <c r="B624" s="6" t="s">
        <v>4010</v>
      </c>
      <c r="C624" s="7">
        <v>1817.9</v>
      </c>
      <c r="D624" s="8" t="s">
        <v>4011</v>
      </c>
      <c r="E624" s="8" t="s">
        <v>4012</v>
      </c>
      <c r="F624" s="8" t="s">
        <v>4013</v>
      </c>
      <c r="G624" s="6" t="s">
        <v>60</v>
      </c>
      <c r="H624" s="6" t="s">
        <v>1042</v>
      </c>
      <c r="I624" s="8" t="s">
        <v>263</v>
      </c>
      <c r="J624" s="9">
        <v>1</v>
      </c>
      <c r="K624" s="9">
        <v>336</v>
      </c>
      <c r="L624" s="9">
        <v>2023</v>
      </c>
      <c r="M624" s="8" t="s">
        <v>4014</v>
      </c>
      <c r="N624" s="8" t="s">
        <v>37</v>
      </c>
      <c r="O624" s="8" t="s">
        <v>233</v>
      </c>
      <c r="P624" s="6" t="s">
        <v>306</v>
      </c>
      <c r="Q624" s="8" t="s">
        <v>265</v>
      </c>
      <c r="R624" s="10" t="s">
        <v>2574</v>
      </c>
      <c r="S624" s="11" t="s">
        <v>4015</v>
      </c>
      <c r="T624" s="6"/>
      <c r="U624" s="15" t="str">
        <f>HYPERLINK("https://media.infra-m.ru/1918/1918609/cover/1918609.jpg", "Обложка")</f>
        <v>Обложка</v>
      </c>
      <c r="V624" s="8" t="s">
        <v>4016</v>
      </c>
      <c r="W624" s="6"/>
      <c r="X624" s="6"/>
      <c r="Y624" s="6"/>
      <c r="Z624" s="6"/>
      <c r="AA624" s="6" t="s">
        <v>859</v>
      </c>
      <c r="AB624" s="8"/>
      <c r="AC624" s="27">
        <v>9785819905784</v>
      </c>
    </row>
    <row r="625" spans="1:29" s="4" customFormat="1" ht="51.9" customHeight="1" x14ac:dyDescent="0.2">
      <c r="A625" s="5">
        <v>0</v>
      </c>
      <c r="B625" s="6" t="s">
        <v>4017</v>
      </c>
      <c r="C625" s="7">
        <v>1828.8</v>
      </c>
      <c r="D625" s="8" t="s">
        <v>4018</v>
      </c>
      <c r="E625" s="8" t="s">
        <v>4019</v>
      </c>
      <c r="F625" s="8" t="s">
        <v>4020</v>
      </c>
      <c r="G625" s="6" t="s">
        <v>60</v>
      </c>
      <c r="H625" s="6" t="s">
        <v>34</v>
      </c>
      <c r="I625" s="8" t="s">
        <v>434</v>
      </c>
      <c r="J625" s="9">
        <v>1</v>
      </c>
      <c r="K625" s="9">
        <v>303</v>
      </c>
      <c r="L625" s="9">
        <v>2025</v>
      </c>
      <c r="M625" s="8" t="s">
        <v>4021</v>
      </c>
      <c r="N625" s="8" t="s">
        <v>37</v>
      </c>
      <c r="O625" s="8" t="s">
        <v>233</v>
      </c>
      <c r="P625" s="6" t="s">
        <v>306</v>
      </c>
      <c r="Q625" s="8" t="s">
        <v>265</v>
      </c>
      <c r="R625" s="10" t="s">
        <v>2574</v>
      </c>
      <c r="S625" s="11" t="s">
        <v>4022</v>
      </c>
      <c r="T625" s="6"/>
      <c r="U625" s="15" t="str">
        <f>HYPERLINK("https://media.infra-m.ru/2185/2185900/cover/2185900.jpg", "Обложка")</f>
        <v>Обложка</v>
      </c>
      <c r="V625" s="8" t="s">
        <v>247</v>
      </c>
      <c r="W625" s="6"/>
      <c r="X625" s="6"/>
      <c r="Y625" s="6"/>
      <c r="Z625" s="6"/>
      <c r="AA625" s="6" t="s">
        <v>4023</v>
      </c>
      <c r="AB625" s="8"/>
      <c r="AC625" s="27">
        <v>9785160181592</v>
      </c>
    </row>
    <row r="626" spans="1:29" s="4" customFormat="1" ht="51.9" customHeight="1" x14ac:dyDescent="0.2">
      <c r="A626" s="5">
        <v>0</v>
      </c>
      <c r="B626" s="6" t="s">
        <v>4024</v>
      </c>
      <c r="C626" s="7">
        <v>1079.9000000000001</v>
      </c>
      <c r="D626" s="8" t="s">
        <v>4025</v>
      </c>
      <c r="E626" s="8" t="s">
        <v>4026</v>
      </c>
      <c r="F626" s="8" t="s">
        <v>4027</v>
      </c>
      <c r="G626" s="6" t="s">
        <v>60</v>
      </c>
      <c r="H626" s="6" t="s">
        <v>1644</v>
      </c>
      <c r="I626" s="8" t="s">
        <v>4028</v>
      </c>
      <c r="J626" s="9">
        <v>8</v>
      </c>
      <c r="K626" s="9">
        <v>448</v>
      </c>
      <c r="L626" s="9">
        <v>2015</v>
      </c>
      <c r="M626" s="8" t="s">
        <v>4029</v>
      </c>
      <c r="N626" s="8" t="s">
        <v>37</v>
      </c>
      <c r="O626" s="8" t="s">
        <v>233</v>
      </c>
      <c r="P626" s="6" t="s">
        <v>51</v>
      </c>
      <c r="Q626" s="8" t="s">
        <v>265</v>
      </c>
      <c r="R626" s="10" t="s">
        <v>4030</v>
      </c>
      <c r="S626" s="11" t="s">
        <v>4031</v>
      </c>
      <c r="T626" s="6"/>
      <c r="U626" s="15" t="str">
        <f>HYPERLINK("https://media.infra-m.ru/0493/0493636/cover/493636.jpg", "Обложка")</f>
        <v>Обложка</v>
      </c>
      <c r="V626" s="8" t="s">
        <v>4032</v>
      </c>
      <c r="W626" s="6"/>
      <c r="X626" s="6"/>
      <c r="Y626" s="6"/>
      <c r="Z626" s="6"/>
      <c r="AA626" s="6" t="s">
        <v>1506</v>
      </c>
      <c r="AB626" s="8"/>
      <c r="AC626" s="27">
        <v>9785977600071</v>
      </c>
    </row>
    <row r="627" spans="1:29" s="4" customFormat="1" ht="42" customHeight="1" x14ac:dyDescent="0.2">
      <c r="A627" s="5">
        <v>0</v>
      </c>
      <c r="B627" s="6" t="s">
        <v>4033</v>
      </c>
      <c r="C627" s="13">
        <v>844.8</v>
      </c>
      <c r="D627" s="8" t="s">
        <v>4034</v>
      </c>
      <c r="E627" s="8" t="s">
        <v>4035</v>
      </c>
      <c r="F627" s="8" t="s">
        <v>4036</v>
      </c>
      <c r="G627" s="6" t="s">
        <v>33</v>
      </c>
      <c r="H627" s="6" t="s">
        <v>313</v>
      </c>
      <c r="I627" s="8" t="s">
        <v>253</v>
      </c>
      <c r="J627" s="9">
        <v>1</v>
      </c>
      <c r="K627" s="9">
        <v>141</v>
      </c>
      <c r="L627" s="9">
        <v>2023</v>
      </c>
      <c r="M627" s="8" t="s">
        <v>4037</v>
      </c>
      <c r="N627" s="8" t="s">
        <v>37</v>
      </c>
      <c r="O627" s="8" t="s">
        <v>233</v>
      </c>
      <c r="P627" s="6" t="s">
        <v>51</v>
      </c>
      <c r="Q627" s="8" t="s">
        <v>65</v>
      </c>
      <c r="R627" s="10" t="s">
        <v>357</v>
      </c>
      <c r="S627" s="11"/>
      <c r="T627" s="6"/>
      <c r="U627" s="15" t="str">
        <f>HYPERLINK("https://media.infra-m.ru/2125/2125160/cover/2125160.jpg", "Обложка")</f>
        <v>Обложка</v>
      </c>
      <c r="V627" s="8" t="s">
        <v>4038</v>
      </c>
      <c r="W627" s="6"/>
      <c r="X627" s="6"/>
      <c r="Y627" s="6"/>
      <c r="Z627" s="6"/>
      <c r="AA627" s="6" t="s">
        <v>157</v>
      </c>
      <c r="AB627" s="8"/>
      <c r="AC627" s="27">
        <v>9785369019283</v>
      </c>
    </row>
    <row r="628" spans="1:29" s="4" customFormat="1" ht="44.1" customHeight="1" x14ac:dyDescent="0.2">
      <c r="A628" s="5">
        <v>0</v>
      </c>
      <c r="B628" s="6" t="s">
        <v>4039</v>
      </c>
      <c r="C628" s="7">
        <v>1992</v>
      </c>
      <c r="D628" s="8" t="s">
        <v>4040</v>
      </c>
      <c r="E628" s="8" t="s">
        <v>4041</v>
      </c>
      <c r="F628" s="8" t="s">
        <v>231</v>
      </c>
      <c r="G628" s="6" t="s">
        <v>118</v>
      </c>
      <c r="H628" s="6" t="s">
        <v>34</v>
      </c>
      <c r="I628" s="8"/>
      <c r="J628" s="9">
        <v>1</v>
      </c>
      <c r="K628" s="9">
        <v>286</v>
      </c>
      <c r="L628" s="9">
        <v>2026</v>
      </c>
      <c r="M628" s="8" t="s">
        <v>4042</v>
      </c>
      <c r="N628" s="8" t="s">
        <v>37</v>
      </c>
      <c r="O628" s="8" t="s">
        <v>233</v>
      </c>
      <c r="P628" s="6" t="s">
        <v>39</v>
      </c>
      <c r="Q628" s="8" t="s">
        <v>749</v>
      </c>
      <c r="R628" s="10" t="s">
        <v>1646</v>
      </c>
      <c r="S628" s="11"/>
      <c r="T628" s="6"/>
      <c r="U628" s="15" t="str">
        <f>HYPERLINK("https://media.infra-m.ru/2260/2260411/cover/2260411.jpg", "Обложка")</f>
        <v>Обложка</v>
      </c>
      <c r="V628" s="8" t="s">
        <v>236</v>
      </c>
      <c r="W628" s="6"/>
      <c r="X628" s="6"/>
      <c r="Y628" s="6"/>
      <c r="Z628" s="6"/>
      <c r="AA628" s="6" t="s">
        <v>718</v>
      </c>
      <c r="AB628" s="8"/>
      <c r="AC628" s="27">
        <v>9785160104577</v>
      </c>
    </row>
    <row r="629" spans="1:29" s="4" customFormat="1" ht="42" customHeight="1" x14ac:dyDescent="0.2">
      <c r="A629" s="5">
        <v>0</v>
      </c>
      <c r="B629" s="6" t="s">
        <v>4043</v>
      </c>
      <c r="C629" s="7">
        <v>2212.8000000000002</v>
      </c>
      <c r="D629" s="8" t="s">
        <v>4044</v>
      </c>
      <c r="E629" s="8" t="s">
        <v>4045</v>
      </c>
      <c r="F629" s="8" t="s">
        <v>231</v>
      </c>
      <c r="G629" s="6" t="s">
        <v>118</v>
      </c>
      <c r="H629" s="6" t="s">
        <v>34</v>
      </c>
      <c r="I629" s="8"/>
      <c r="J629" s="9">
        <v>1</v>
      </c>
      <c r="K629" s="9">
        <v>336</v>
      </c>
      <c r="L629" s="9">
        <v>2026</v>
      </c>
      <c r="M629" s="8" t="s">
        <v>4046</v>
      </c>
      <c r="N629" s="8" t="s">
        <v>37</v>
      </c>
      <c r="O629" s="8" t="s">
        <v>233</v>
      </c>
      <c r="P629" s="6" t="s">
        <v>39</v>
      </c>
      <c r="Q629" s="8" t="s">
        <v>40</v>
      </c>
      <c r="R629" s="10" t="s">
        <v>1646</v>
      </c>
      <c r="S629" s="11"/>
      <c r="T629" s="6"/>
      <c r="U629" s="15" t="str">
        <f>HYPERLINK("https://media.infra-m.ru/2207/2207395/cover/2207395.jpg", "Обложка")</f>
        <v>Обложка</v>
      </c>
      <c r="V629" s="8" t="s">
        <v>236</v>
      </c>
      <c r="W629" s="6"/>
      <c r="X629" s="6"/>
      <c r="Y629" s="6"/>
      <c r="Z629" s="6"/>
      <c r="AA629" s="6" t="s">
        <v>718</v>
      </c>
      <c r="AB629" s="8"/>
      <c r="AC629" s="27">
        <v>9785160104591</v>
      </c>
    </row>
    <row r="630" spans="1:29" s="4" customFormat="1" ht="51.9" customHeight="1" x14ac:dyDescent="0.2">
      <c r="A630" s="5">
        <v>0</v>
      </c>
      <c r="B630" s="6" t="s">
        <v>4047</v>
      </c>
      <c r="C630" s="7">
        <v>2980.8</v>
      </c>
      <c r="D630" s="8" t="s">
        <v>4048</v>
      </c>
      <c r="E630" s="8" t="s">
        <v>4049</v>
      </c>
      <c r="F630" s="8" t="s">
        <v>4050</v>
      </c>
      <c r="G630" s="6" t="s">
        <v>60</v>
      </c>
      <c r="H630" s="6" t="s">
        <v>1644</v>
      </c>
      <c r="I630" s="8" t="s">
        <v>1904</v>
      </c>
      <c r="J630" s="9">
        <v>1</v>
      </c>
      <c r="K630" s="9">
        <v>480</v>
      </c>
      <c r="L630" s="9">
        <v>2025</v>
      </c>
      <c r="M630" s="8" t="s">
        <v>4051</v>
      </c>
      <c r="N630" s="8" t="s">
        <v>37</v>
      </c>
      <c r="O630" s="8" t="s">
        <v>280</v>
      </c>
      <c r="P630" s="6" t="s">
        <v>306</v>
      </c>
      <c r="Q630" s="8" t="s">
        <v>52</v>
      </c>
      <c r="R630" s="10" t="s">
        <v>4052</v>
      </c>
      <c r="S630" s="11" t="s">
        <v>4053</v>
      </c>
      <c r="T630" s="6"/>
      <c r="U630" s="15" t="str">
        <f>HYPERLINK("https://media.infra-m.ru/2192/2192744/cover/2192744.jpg", "Обложка")</f>
        <v>Обложка</v>
      </c>
      <c r="V630" s="8" t="s">
        <v>396</v>
      </c>
      <c r="W630" s="6"/>
      <c r="X630" s="6"/>
      <c r="Y630" s="6"/>
      <c r="Z630" s="6"/>
      <c r="AA630" s="6" t="s">
        <v>274</v>
      </c>
      <c r="AB630" s="8"/>
      <c r="AC630" s="27">
        <v>9785977603553</v>
      </c>
    </row>
    <row r="631" spans="1:29" s="4" customFormat="1" ht="51.9" customHeight="1" x14ac:dyDescent="0.2">
      <c r="A631" s="5">
        <v>0</v>
      </c>
      <c r="B631" s="6" t="s">
        <v>4054</v>
      </c>
      <c r="C631" s="7">
        <v>2500.8000000000002</v>
      </c>
      <c r="D631" s="8" t="s">
        <v>4055</v>
      </c>
      <c r="E631" s="8" t="s">
        <v>4049</v>
      </c>
      <c r="F631" s="8" t="s">
        <v>4056</v>
      </c>
      <c r="G631" s="6" t="s">
        <v>118</v>
      </c>
      <c r="H631" s="6" t="s">
        <v>34</v>
      </c>
      <c r="I631" s="8" t="s">
        <v>253</v>
      </c>
      <c r="J631" s="9">
        <v>1</v>
      </c>
      <c r="K631" s="9">
        <v>379</v>
      </c>
      <c r="L631" s="9">
        <v>2026</v>
      </c>
      <c r="M631" s="8" t="s">
        <v>4057</v>
      </c>
      <c r="N631" s="8" t="s">
        <v>37</v>
      </c>
      <c r="O631" s="8" t="s">
        <v>233</v>
      </c>
      <c r="P631" s="6" t="s">
        <v>306</v>
      </c>
      <c r="Q631" s="8" t="s">
        <v>52</v>
      </c>
      <c r="R631" s="10" t="s">
        <v>4058</v>
      </c>
      <c r="S631" s="11" t="s">
        <v>4059</v>
      </c>
      <c r="T631" s="6"/>
      <c r="U631" s="15" t="str">
        <f>HYPERLINK("https://media.infra-m.ru/2243/2243275/cover/2243275.jpg", "Обложка")</f>
        <v>Обложка</v>
      </c>
      <c r="V631" s="8" t="s">
        <v>2222</v>
      </c>
      <c r="W631" s="6"/>
      <c r="X631" s="6"/>
      <c r="Y631" s="6"/>
      <c r="Z631" s="6"/>
      <c r="AA631" s="6" t="s">
        <v>1256</v>
      </c>
      <c r="AB631" s="8"/>
      <c r="AC631" s="27">
        <v>9785160191898</v>
      </c>
    </row>
    <row r="632" spans="1:29" s="4" customFormat="1" ht="51.9" customHeight="1" x14ac:dyDescent="0.2">
      <c r="A632" s="5">
        <v>0</v>
      </c>
      <c r="B632" s="6" t="s">
        <v>4060</v>
      </c>
      <c r="C632" s="13">
        <v>743.9</v>
      </c>
      <c r="D632" s="8" t="s">
        <v>4061</v>
      </c>
      <c r="E632" s="8" t="s">
        <v>4062</v>
      </c>
      <c r="F632" s="8" t="s">
        <v>4063</v>
      </c>
      <c r="G632" s="6" t="s">
        <v>60</v>
      </c>
      <c r="H632" s="6" t="s">
        <v>134</v>
      </c>
      <c r="I632" s="8"/>
      <c r="J632" s="9">
        <v>1</v>
      </c>
      <c r="K632" s="9">
        <v>176</v>
      </c>
      <c r="L632" s="9">
        <v>2018</v>
      </c>
      <c r="M632" s="8" t="s">
        <v>4064</v>
      </c>
      <c r="N632" s="8" t="s">
        <v>37</v>
      </c>
      <c r="O632" s="8" t="s">
        <v>136</v>
      </c>
      <c r="P632" s="6" t="s">
        <v>51</v>
      </c>
      <c r="Q632" s="8" t="s">
        <v>500</v>
      </c>
      <c r="R632" s="10" t="s">
        <v>1275</v>
      </c>
      <c r="S632" s="11"/>
      <c r="T632" s="6"/>
      <c r="U632" s="15" t="str">
        <f>HYPERLINK("https://media.infra-m.ru/0968/0968405/cover/968405.jpg", "Обложка")</f>
        <v>Обложка</v>
      </c>
      <c r="V632" s="8" t="s">
        <v>1184</v>
      </c>
      <c r="W632" s="6"/>
      <c r="X632" s="6"/>
      <c r="Y632" s="6"/>
      <c r="Z632" s="6"/>
      <c r="AA632" s="6" t="s">
        <v>86</v>
      </c>
      <c r="AB632" s="8"/>
      <c r="AC632" s="27">
        <v>9785917689425</v>
      </c>
    </row>
    <row r="633" spans="1:29" s="4" customFormat="1" ht="51.9" customHeight="1" x14ac:dyDescent="0.2">
      <c r="A633" s="5">
        <v>0</v>
      </c>
      <c r="B633" s="6" t="s">
        <v>4065</v>
      </c>
      <c r="C633" s="7">
        <v>1084.8</v>
      </c>
      <c r="D633" s="8" t="s">
        <v>4066</v>
      </c>
      <c r="E633" s="8" t="s">
        <v>4067</v>
      </c>
      <c r="F633" s="8" t="s">
        <v>4063</v>
      </c>
      <c r="G633" s="6" t="s">
        <v>118</v>
      </c>
      <c r="H633" s="6" t="s">
        <v>134</v>
      </c>
      <c r="I633" s="8"/>
      <c r="J633" s="9">
        <v>1</v>
      </c>
      <c r="K633" s="9">
        <v>192</v>
      </c>
      <c r="L633" s="9">
        <v>2024</v>
      </c>
      <c r="M633" s="8" t="s">
        <v>4068</v>
      </c>
      <c r="N633" s="8" t="s">
        <v>37</v>
      </c>
      <c r="O633" s="8" t="s">
        <v>136</v>
      </c>
      <c r="P633" s="6" t="s">
        <v>51</v>
      </c>
      <c r="Q633" s="8" t="s">
        <v>500</v>
      </c>
      <c r="R633" s="10" t="s">
        <v>1275</v>
      </c>
      <c r="S633" s="11"/>
      <c r="T633" s="6"/>
      <c r="U633" s="15" t="str">
        <f>HYPERLINK("https://media.infra-m.ru/2093/2093914/cover/2093914.jpg", "Обложка")</f>
        <v>Обложка</v>
      </c>
      <c r="V633" s="8" t="s">
        <v>1184</v>
      </c>
      <c r="W633" s="6"/>
      <c r="X633" s="6"/>
      <c r="Y633" s="6"/>
      <c r="Z633" s="6"/>
      <c r="AA633" s="6" t="s">
        <v>896</v>
      </c>
      <c r="AB633" s="8"/>
      <c r="AC633" s="27">
        <v>9785001561873</v>
      </c>
    </row>
    <row r="634" spans="1:29" s="4" customFormat="1" ht="42" customHeight="1" x14ac:dyDescent="0.2">
      <c r="A634" s="5">
        <v>0</v>
      </c>
      <c r="B634" s="6" t="s">
        <v>4069</v>
      </c>
      <c r="C634" s="7">
        <v>1776</v>
      </c>
      <c r="D634" s="8" t="s">
        <v>4070</v>
      </c>
      <c r="E634" s="8" t="s">
        <v>4071</v>
      </c>
      <c r="F634" s="8" t="s">
        <v>4072</v>
      </c>
      <c r="G634" s="6" t="s">
        <v>118</v>
      </c>
      <c r="H634" s="6" t="s">
        <v>820</v>
      </c>
      <c r="I634" s="8" t="s">
        <v>4073</v>
      </c>
      <c r="J634" s="9">
        <v>1</v>
      </c>
      <c r="K634" s="9">
        <v>320</v>
      </c>
      <c r="L634" s="9">
        <v>2024</v>
      </c>
      <c r="M634" s="8" t="s">
        <v>4074</v>
      </c>
      <c r="N634" s="8" t="s">
        <v>37</v>
      </c>
      <c r="O634" s="8" t="s">
        <v>280</v>
      </c>
      <c r="P634" s="6" t="s">
        <v>51</v>
      </c>
      <c r="Q634" s="8" t="s">
        <v>500</v>
      </c>
      <c r="R634" s="10" t="s">
        <v>4075</v>
      </c>
      <c r="S634" s="11"/>
      <c r="T634" s="6"/>
      <c r="U634" s="15" t="str">
        <f>HYPERLINK("https://media.infra-m.ru/2109/2109049/cover/2109049.jpg", "Обложка")</f>
        <v>Обложка</v>
      </c>
      <c r="V634" s="8" t="s">
        <v>4076</v>
      </c>
      <c r="W634" s="6"/>
      <c r="X634" s="6"/>
      <c r="Y634" s="6"/>
      <c r="Z634" s="6"/>
      <c r="AA634" s="6" t="s">
        <v>718</v>
      </c>
      <c r="AB634" s="8"/>
      <c r="AC634" s="27">
        <v>9785905554360</v>
      </c>
    </row>
    <row r="635" spans="1:29" s="4" customFormat="1" ht="51.9" customHeight="1" x14ac:dyDescent="0.2">
      <c r="A635" s="5">
        <v>0</v>
      </c>
      <c r="B635" s="6" t="s">
        <v>4077</v>
      </c>
      <c r="C635" s="7">
        <v>2712</v>
      </c>
      <c r="D635" s="8" t="s">
        <v>4078</v>
      </c>
      <c r="E635" s="8" t="s">
        <v>4079</v>
      </c>
      <c r="F635" s="8" t="s">
        <v>4080</v>
      </c>
      <c r="G635" s="6" t="s">
        <v>60</v>
      </c>
      <c r="H635" s="6" t="s">
        <v>34</v>
      </c>
      <c r="I635" s="8" t="s">
        <v>271</v>
      </c>
      <c r="J635" s="9">
        <v>1</v>
      </c>
      <c r="K635" s="9">
        <v>502</v>
      </c>
      <c r="L635" s="9">
        <v>2023</v>
      </c>
      <c r="M635" s="8" t="s">
        <v>4081</v>
      </c>
      <c r="N635" s="8" t="s">
        <v>37</v>
      </c>
      <c r="O635" s="8" t="s">
        <v>233</v>
      </c>
      <c r="P635" s="6" t="s">
        <v>306</v>
      </c>
      <c r="Q635" s="8" t="s">
        <v>52</v>
      </c>
      <c r="R635" s="10" t="s">
        <v>1646</v>
      </c>
      <c r="S635" s="11" t="s">
        <v>768</v>
      </c>
      <c r="T635" s="6" t="s">
        <v>97</v>
      </c>
      <c r="U635" s="15" t="str">
        <f>HYPERLINK("https://media.infra-m.ru/2126/2126511/cover/2126511.jpg", "Обложка")</f>
        <v>Обложка</v>
      </c>
      <c r="V635" s="8" t="s">
        <v>2035</v>
      </c>
      <c r="W635" s="6"/>
      <c r="X635" s="6"/>
      <c r="Y635" s="6"/>
      <c r="Z635" s="6"/>
      <c r="AA635" s="6" t="s">
        <v>99</v>
      </c>
      <c r="AB635" s="8"/>
      <c r="AC635" s="27">
        <v>9785160124582</v>
      </c>
    </row>
    <row r="636" spans="1:29" s="4" customFormat="1" ht="51.9" customHeight="1" x14ac:dyDescent="0.2">
      <c r="A636" s="5">
        <v>0</v>
      </c>
      <c r="B636" s="6" t="s">
        <v>4082</v>
      </c>
      <c r="C636" s="7">
        <v>2896.8</v>
      </c>
      <c r="D636" s="8" t="s">
        <v>4083</v>
      </c>
      <c r="E636" s="8" t="s">
        <v>4084</v>
      </c>
      <c r="F636" s="8" t="s">
        <v>4085</v>
      </c>
      <c r="G636" s="6" t="s">
        <v>60</v>
      </c>
      <c r="H636" s="6" t="s">
        <v>1042</v>
      </c>
      <c r="I636" s="8" t="s">
        <v>253</v>
      </c>
      <c r="J636" s="9">
        <v>1</v>
      </c>
      <c r="K636" s="9">
        <v>464</v>
      </c>
      <c r="L636" s="9">
        <v>2026</v>
      </c>
      <c r="M636" s="8" t="s">
        <v>4086</v>
      </c>
      <c r="N636" s="8" t="s">
        <v>37</v>
      </c>
      <c r="O636" s="8" t="s">
        <v>233</v>
      </c>
      <c r="P636" s="6" t="s">
        <v>306</v>
      </c>
      <c r="Q636" s="8" t="s">
        <v>52</v>
      </c>
      <c r="R636" s="10" t="s">
        <v>4087</v>
      </c>
      <c r="S636" s="11" t="s">
        <v>4088</v>
      </c>
      <c r="T636" s="6"/>
      <c r="U636" s="15" t="str">
        <f>HYPERLINK("https://media.infra-m.ru/2213/2213304/cover/2213304.jpg", "Обложка")</f>
        <v>Обложка</v>
      </c>
      <c r="V636" s="8" t="s">
        <v>247</v>
      </c>
      <c r="W636" s="6"/>
      <c r="X636" s="6"/>
      <c r="Y636" s="6"/>
      <c r="Z636" s="6"/>
      <c r="AA636" s="6" t="s">
        <v>248</v>
      </c>
      <c r="AB636" s="8"/>
      <c r="AC636" s="27">
        <v>9785819905753</v>
      </c>
    </row>
    <row r="637" spans="1:29" s="4" customFormat="1" ht="51.9" customHeight="1" x14ac:dyDescent="0.2">
      <c r="A637" s="5">
        <v>0</v>
      </c>
      <c r="B637" s="6" t="s">
        <v>4089</v>
      </c>
      <c r="C637" s="7">
        <v>3036</v>
      </c>
      <c r="D637" s="8" t="s">
        <v>4090</v>
      </c>
      <c r="E637" s="8" t="s">
        <v>4091</v>
      </c>
      <c r="F637" s="8" t="s">
        <v>4092</v>
      </c>
      <c r="G637" s="6" t="s">
        <v>60</v>
      </c>
      <c r="H637" s="6" t="s">
        <v>1644</v>
      </c>
      <c r="I637" s="8"/>
      <c r="J637" s="9">
        <v>1</v>
      </c>
      <c r="K637" s="9">
        <v>592</v>
      </c>
      <c r="L637" s="9">
        <v>2023</v>
      </c>
      <c r="M637" s="8" t="s">
        <v>4093</v>
      </c>
      <c r="N637" s="8" t="s">
        <v>37</v>
      </c>
      <c r="O637" s="8" t="s">
        <v>233</v>
      </c>
      <c r="P637" s="6" t="s">
        <v>306</v>
      </c>
      <c r="Q637" s="8" t="s">
        <v>52</v>
      </c>
      <c r="R637" s="10" t="s">
        <v>4094</v>
      </c>
      <c r="S637" s="11" t="s">
        <v>4095</v>
      </c>
      <c r="T637" s="6"/>
      <c r="U637" s="15" t="str">
        <f>HYPERLINK("https://media.infra-m.ru/2210/2210565/cover/2210565.jpg", "Обложка")</f>
        <v>Обложка</v>
      </c>
      <c r="V637" s="8" t="s">
        <v>4032</v>
      </c>
      <c r="W637" s="6"/>
      <c r="X637" s="6"/>
      <c r="Y637" s="6"/>
      <c r="Z637" s="6"/>
      <c r="AA637" s="6" t="s">
        <v>1056</v>
      </c>
      <c r="AB637" s="8"/>
      <c r="AC637" s="27">
        <v>9785977601092</v>
      </c>
    </row>
    <row r="638" spans="1:29" s="4" customFormat="1" ht="42" customHeight="1" x14ac:dyDescent="0.2">
      <c r="A638" s="5">
        <v>0</v>
      </c>
      <c r="B638" s="6" t="s">
        <v>4096</v>
      </c>
      <c r="C638" s="7">
        <v>1416</v>
      </c>
      <c r="D638" s="8" t="s">
        <v>4097</v>
      </c>
      <c r="E638" s="8" t="s">
        <v>4098</v>
      </c>
      <c r="F638" s="8" t="s">
        <v>1829</v>
      </c>
      <c r="G638" s="6" t="s">
        <v>60</v>
      </c>
      <c r="H638" s="6" t="s">
        <v>134</v>
      </c>
      <c r="I638" s="8" t="s">
        <v>263</v>
      </c>
      <c r="J638" s="9">
        <v>1</v>
      </c>
      <c r="K638" s="9">
        <v>368</v>
      </c>
      <c r="L638" s="9">
        <v>2018</v>
      </c>
      <c r="M638" s="8" t="s">
        <v>4099</v>
      </c>
      <c r="N638" s="8" t="s">
        <v>37</v>
      </c>
      <c r="O638" s="8" t="s">
        <v>136</v>
      </c>
      <c r="P638" s="6" t="s">
        <v>306</v>
      </c>
      <c r="Q638" s="8" t="s">
        <v>265</v>
      </c>
      <c r="R638" s="10" t="s">
        <v>4100</v>
      </c>
      <c r="S638" s="11"/>
      <c r="T638" s="6"/>
      <c r="U638" s="15" t="str">
        <f>HYPERLINK("https://media.infra-m.ru/0988/0988551/cover/988551.jpg", "Обложка")</f>
        <v>Обложка</v>
      </c>
      <c r="V638" s="8" t="s">
        <v>1184</v>
      </c>
      <c r="W638" s="6"/>
      <c r="X638" s="6"/>
      <c r="Y638" s="6"/>
      <c r="Z638" s="6" t="s">
        <v>267</v>
      </c>
      <c r="AA638" s="6" t="s">
        <v>86</v>
      </c>
      <c r="AB638" s="8"/>
      <c r="AC638" s="27">
        <v>9785917689258</v>
      </c>
    </row>
    <row r="639" spans="1:29" s="4" customFormat="1" ht="42" customHeight="1" x14ac:dyDescent="0.2">
      <c r="A639" s="5">
        <v>0</v>
      </c>
      <c r="B639" s="6" t="s">
        <v>4101</v>
      </c>
      <c r="C639" s="7">
        <v>2340</v>
      </c>
      <c r="D639" s="8" t="s">
        <v>4102</v>
      </c>
      <c r="E639" s="8" t="s">
        <v>4103</v>
      </c>
      <c r="F639" s="8" t="s">
        <v>1829</v>
      </c>
      <c r="G639" s="6" t="s">
        <v>118</v>
      </c>
      <c r="H639" s="6" t="s">
        <v>134</v>
      </c>
      <c r="I639" s="8" t="s">
        <v>263</v>
      </c>
      <c r="J639" s="9">
        <v>1</v>
      </c>
      <c r="K639" s="9">
        <v>336</v>
      </c>
      <c r="L639" s="9">
        <v>2026</v>
      </c>
      <c r="M639" s="8" t="s">
        <v>4104</v>
      </c>
      <c r="N639" s="8" t="s">
        <v>37</v>
      </c>
      <c r="O639" s="8" t="s">
        <v>136</v>
      </c>
      <c r="P639" s="6" t="s">
        <v>306</v>
      </c>
      <c r="Q639" s="8" t="s">
        <v>265</v>
      </c>
      <c r="R639" s="10" t="s">
        <v>4100</v>
      </c>
      <c r="S639" s="11"/>
      <c r="T639" s="6"/>
      <c r="U639" s="15" t="str">
        <f>HYPERLINK("https://media.infra-m.ru/2175/2175004/cover/2175004.jpg", "Обложка")</f>
        <v>Обложка</v>
      </c>
      <c r="V639" s="8" t="s">
        <v>1184</v>
      </c>
      <c r="W639" s="6"/>
      <c r="X639" s="6"/>
      <c r="Y639" s="6"/>
      <c r="Z639" s="6" t="s">
        <v>267</v>
      </c>
      <c r="AA639" s="6" t="s">
        <v>258</v>
      </c>
      <c r="AB639" s="8"/>
      <c r="AC639" s="27">
        <v>9785001561392</v>
      </c>
    </row>
    <row r="640" spans="1:29" s="4" customFormat="1" ht="51.9" customHeight="1" x14ac:dyDescent="0.2">
      <c r="A640" s="5">
        <v>0</v>
      </c>
      <c r="B640" s="6" t="s">
        <v>4105</v>
      </c>
      <c r="C640" s="7">
        <v>1416</v>
      </c>
      <c r="D640" s="8" t="s">
        <v>4106</v>
      </c>
      <c r="E640" s="8" t="s">
        <v>4107</v>
      </c>
      <c r="F640" s="8" t="s">
        <v>1829</v>
      </c>
      <c r="G640" s="6" t="s">
        <v>60</v>
      </c>
      <c r="H640" s="6" t="s">
        <v>134</v>
      </c>
      <c r="I640" s="8"/>
      <c r="J640" s="9">
        <v>1</v>
      </c>
      <c r="K640" s="9">
        <v>368</v>
      </c>
      <c r="L640" s="9">
        <v>2019</v>
      </c>
      <c r="M640" s="8" t="s">
        <v>4108</v>
      </c>
      <c r="N640" s="8" t="s">
        <v>37</v>
      </c>
      <c r="O640" s="8" t="s">
        <v>136</v>
      </c>
      <c r="P640" s="6" t="s">
        <v>306</v>
      </c>
      <c r="Q640" s="8" t="s">
        <v>52</v>
      </c>
      <c r="R640" s="10" t="s">
        <v>4109</v>
      </c>
      <c r="S640" s="11"/>
      <c r="T640" s="6"/>
      <c r="U640" s="15" t="str">
        <f>HYPERLINK("https://media.infra-m.ru/1020/1020224/cover/1020224.jpg", "Обложка")</f>
        <v>Обложка</v>
      </c>
      <c r="V640" s="8" t="s">
        <v>1184</v>
      </c>
      <c r="W640" s="6"/>
      <c r="X640" s="6"/>
      <c r="Y640" s="6"/>
      <c r="Z640" s="6"/>
      <c r="AA640" s="6" t="s">
        <v>3800</v>
      </c>
      <c r="AB640" s="8"/>
      <c r="AC640" s="27">
        <v>9785917687377</v>
      </c>
    </row>
    <row r="641" spans="1:29" s="4" customFormat="1" ht="51.9" customHeight="1" x14ac:dyDescent="0.2">
      <c r="A641" s="5">
        <v>0</v>
      </c>
      <c r="B641" s="6" t="s">
        <v>4110</v>
      </c>
      <c r="C641" s="7">
        <v>2212.8000000000002</v>
      </c>
      <c r="D641" s="8" t="s">
        <v>4111</v>
      </c>
      <c r="E641" s="8" t="s">
        <v>4112</v>
      </c>
      <c r="F641" s="8" t="s">
        <v>1829</v>
      </c>
      <c r="G641" s="6" t="s">
        <v>60</v>
      </c>
      <c r="H641" s="6" t="s">
        <v>134</v>
      </c>
      <c r="I641" s="8"/>
      <c r="J641" s="9">
        <v>1</v>
      </c>
      <c r="K641" s="9">
        <v>336</v>
      </c>
      <c r="L641" s="9">
        <v>2026</v>
      </c>
      <c r="M641" s="8" t="s">
        <v>4113</v>
      </c>
      <c r="N641" s="8" t="s">
        <v>37</v>
      </c>
      <c r="O641" s="8" t="s">
        <v>136</v>
      </c>
      <c r="P641" s="6" t="s">
        <v>306</v>
      </c>
      <c r="Q641" s="8" t="s">
        <v>52</v>
      </c>
      <c r="R641" s="10" t="s">
        <v>4109</v>
      </c>
      <c r="S641" s="11"/>
      <c r="T641" s="6"/>
      <c r="U641" s="15" t="str">
        <f>HYPERLINK("https://media.infra-m.ru/2231/2231152/cover/2231152.jpg", "Обложка")</f>
        <v>Обложка</v>
      </c>
      <c r="V641" s="8" t="s">
        <v>1184</v>
      </c>
      <c r="W641" s="6"/>
      <c r="X641" s="6"/>
      <c r="Y641" s="6"/>
      <c r="Z641" s="6"/>
      <c r="AA641" s="6" t="s">
        <v>1375</v>
      </c>
      <c r="AB641" s="8"/>
      <c r="AC641" s="27">
        <v>9785001560937</v>
      </c>
    </row>
    <row r="642" spans="1:29" s="4" customFormat="1" ht="42" customHeight="1" x14ac:dyDescent="0.2">
      <c r="A642" s="5">
        <v>0</v>
      </c>
      <c r="B642" s="6" t="s">
        <v>4114</v>
      </c>
      <c r="C642" s="7">
        <v>2392.8000000000002</v>
      </c>
      <c r="D642" s="8" t="s">
        <v>4115</v>
      </c>
      <c r="E642" s="8" t="s">
        <v>4116</v>
      </c>
      <c r="F642" s="8" t="s">
        <v>4117</v>
      </c>
      <c r="G642" s="6" t="s">
        <v>60</v>
      </c>
      <c r="H642" s="6" t="s">
        <v>134</v>
      </c>
      <c r="I642" s="8"/>
      <c r="J642" s="9">
        <v>1</v>
      </c>
      <c r="K642" s="9">
        <v>384</v>
      </c>
      <c r="L642" s="9">
        <v>2025</v>
      </c>
      <c r="M642" s="8" t="s">
        <v>4118</v>
      </c>
      <c r="N642" s="8" t="s">
        <v>37</v>
      </c>
      <c r="O642" s="8" t="s">
        <v>136</v>
      </c>
      <c r="P642" s="6" t="s">
        <v>306</v>
      </c>
      <c r="Q642" s="8" t="s">
        <v>52</v>
      </c>
      <c r="R642" s="10" t="s">
        <v>1255</v>
      </c>
      <c r="S642" s="11"/>
      <c r="T642" s="6"/>
      <c r="U642" s="15" t="str">
        <f>HYPERLINK("https://media.infra-m.ru/2192/2192713/cover/2192713.jpg", "Обложка")</f>
        <v>Обложка</v>
      </c>
      <c r="V642" s="8" t="s">
        <v>1184</v>
      </c>
      <c r="W642" s="6"/>
      <c r="X642" s="6"/>
      <c r="Y642" s="6"/>
      <c r="Z642" s="6"/>
      <c r="AA642" s="6" t="s">
        <v>430</v>
      </c>
      <c r="AB642" s="8"/>
      <c r="AC642" s="27">
        <v>9785001561798</v>
      </c>
    </row>
    <row r="643" spans="1:29" s="4" customFormat="1" ht="51.9" customHeight="1" x14ac:dyDescent="0.2">
      <c r="A643" s="5">
        <v>0</v>
      </c>
      <c r="B643" s="6" t="s">
        <v>4119</v>
      </c>
      <c r="C643" s="7">
        <v>1380</v>
      </c>
      <c r="D643" s="8" t="s">
        <v>4120</v>
      </c>
      <c r="E643" s="8" t="s">
        <v>4121</v>
      </c>
      <c r="F643" s="8" t="s">
        <v>4122</v>
      </c>
      <c r="G643" s="6" t="s">
        <v>33</v>
      </c>
      <c r="H643" s="6" t="s">
        <v>34</v>
      </c>
      <c r="I643" s="8"/>
      <c r="J643" s="9">
        <v>1</v>
      </c>
      <c r="K643" s="9">
        <v>208</v>
      </c>
      <c r="L643" s="9">
        <v>2026</v>
      </c>
      <c r="M643" s="8" t="s">
        <v>4123</v>
      </c>
      <c r="N643" s="8" t="s">
        <v>37</v>
      </c>
      <c r="O643" s="8" t="s">
        <v>233</v>
      </c>
      <c r="P643" s="6" t="s">
        <v>39</v>
      </c>
      <c r="Q643" s="8" t="s">
        <v>749</v>
      </c>
      <c r="R643" s="10" t="s">
        <v>4124</v>
      </c>
      <c r="S643" s="11"/>
      <c r="T643" s="6"/>
      <c r="U643" s="15" t="str">
        <f>HYPERLINK("https://media.infra-m.ru/2243/2243340/cover/2243340.jpg", "Обложка")</f>
        <v>Обложка</v>
      </c>
      <c r="V643" s="8" t="s">
        <v>247</v>
      </c>
      <c r="W643" s="6"/>
      <c r="X643" s="6"/>
      <c r="Y643" s="6"/>
      <c r="Z643" s="6"/>
      <c r="AA643" s="6" t="s">
        <v>1015</v>
      </c>
      <c r="AB643" s="8"/>
      <c r="AC643" s="27">
        <v>9785160219578</v>
      </c>
    </row>
    <row r="644" spans="1:29" s="4" customFormat="1" ht="44.1" customHeight="1" x14ac:dyDescent="0.2">
      <c r="A644" s="5">
        <v>0</v>
      </c>
      <c r="B644" s="6" t="s">
        <v>4125</v>
      </c>
      <c r="C644" s="7">
        <v>1072.8</v>
      </c>
      <c r="D644" s="8" t="s">
        <v>4126</v>
      </c>
      <c r="E644" s="8" t="s">
        <v>4127</v>
      </c>
      <c r="F644" s="8" t="s">
        <v>4128</v>
      </c>
      <c r="G644" s="6" t="s">
        <v>33</v>
      </c>
      <c r="H644" s="6" t="s">
        <v>34</v>
      </c>
      <c r="I644" s="8" t="s">
        <v>35</v>
      </c>
      <c r="J644" s="9">
        <v>1</v>
      </c>
      <c r="K644" s="9">
        <v>152</v>
      </c>
      <c r="L644" s="9">
        <v>2026</v>
      </c>
      <c r="M644" s="8" t="s">
        <v>4129</v>
      </c>
      <c r="N644" s="8" t="s">
        <v>243</v>
      </c>
      <c r="O644" s="8" t="s">
        <v>385</v>
      </c>
      <c r="P644" s="6" t="s">
        <v>39</v>
      </c>
      <c r="Q644" s="8" t="s">
        <v>40</v>
      </c>
      <c r="R644" s="10" t="s">
        <v>4130</v>
      </c>
      <c r="S644" s="11"/>
      <c r="T644" s="6"/>
      <c r="U644" s="15" t="str">
        <f>HYPERLINK("https://media.infra-m.ru/2238/2238505/cover/2238505.jpg", "Обложка")</f>
        <v>Обложка</v>
      </c>
      <c r="V644" s="8" t="s">
        <v>3329</v>
      </c>
      <c r="W644" s="6"/>
      <c r="X644" s="6"/>
      <c r="Y644" s="6"/>
      <c r="Z644" s="6"/>
      <c r="AA644" s="6" t="s">
        <v>148</v>
      </c>
      <c r="AB644" s="8"/>
      <c r="AC644" s="27">
        <v>9785160174662</v>
      </c>
    </row>
    <row r="645" spans="1:29" s="4" customFormat="1" ht="51.9" customHeight="1" x14ac:dyDescent="0.2">
      <c r="A645" s="5">
        <v>0</v>
      </c>
      <c r="B645" s="6" t="s">
        <v>4131</v>
      </c>
      <c r="C645" s="7">
        <v>1356</v>
      </c>
      <c r="D645" s="8" t="s">
        <v>4132</v>
      </c>
      <c r="E645" s="8" t="s">
        <v>4133</v>
      </c>
      <c r="F645" s="8" t="s">
        <v>4134</v>
      </c>
      <c r="G645" s="6" t="s">
        <v>118</v>
      </c>
      <c r="H645" s="6" t="s">
        <v>34</v>
      </c>
      <c r="I645" s="8" t="s">
        <v>253</v>
      </c>
      <c r="J645" s="9">
        <v>1</v>
      </c>
      <c r="K645" s="9">
        <v>205</v>
      </c>
      <c r="L645" s="9">
        <v>2026</v>
      </c>
      <c r="M645" s="8" t="s">
        <v>4135</v>
      </c>
      <c r="N645" s="8" t="s">
        <v>243</v>
      </c>
      <c r="O645" s="8" t="s">
        <v>758</v>
      </c>
      <c r="P645" s="6" t="s">
        <v>51</v>
      </c>
      <c r="Q645" s="8" t="s">
        <v>52</v>
      </c>
      <c r="R645" s="10" t="s">
        <v>4136</v>
      </c>
      <c r="S645" s="11" t="s">
        <v>4137</v>
      </c>
      <c r="T645" s="6"/>
      <c r="U645" s="15" t="str">
        <f>HYPERLINK("https://media.infra-m.ru/2255/2255472/cover/2255472.jpg", "Обложка")</f>
        <v>Обложка</v>
      </c>
      <c r="V645" s="8" t="s">
        <v>867</v>
      </c>
      <c r="W645" s="6"/>
      <c r="X645" s="6"/>
      <c r="Y645" s="6"/>
      <c r="Z645" s="6"/>
      <c r="AA645" s="6" t="s">
        <v>148</v>
      </c>
      <c r="AB645" s="8"/>
      <c r="AC645" s="27">
        <v>9785160195001</v>
      </c>
    </row>
    <row r="646" spans="1:29" s="4" customFormat="1" ht="51.9" customHeight="1" x14ac:dyDescent="0.2">
      <c r="A646" s="5">
        <v>0</v>
      </c>
      <c r="B646" s="6" t="s">
        <v>4138</v>
      </c>
      <c r="C646" s="7">
        <v>1480.8</v>
      </c>
      <c r="D646" s="8" t="s">
        <v>4139</v>
      </c>
      <c r="E646" s="8" t="s">
        <v>4140</v>
      </c>
      <c r="F646" s="8" t="s">
        <v>4141</v>
      </c>
      <c r="G646" s="6" t="s">
        <v>118</v>
      </c>
      <c r="H646" s="6" t="s">
        <v>313</v>
      </c>
      <c r="I646" s="8" t="s">
        <v>253</v>
      </c>
      <c r="J646" s="9">
        <v>1</v>
      </c>
      <c r="K646" s="9">
        <v>224</v>
      </c>
      <c r="L646" s="9">
        <v>2026</v>
      </c>
      <c r="M646" s="8" t="s">
        <v>4142</v>
      </c>
      <c r="N646" s="8" t="s">
        <v>37</v>
      </c>
      <c r="O646" s="8" t="s">
        <v>290</v>
      </c>
      <c r="P646" s="6" t="s">
        <v>306</v>
      </c>
      <c r="Q646" s="8" t="s">
        <v>65</v>
      </c>
      <c r="R646" s="10" t="s">
        <v>4143</v>
      </c>
      <c r="S646" s="11"/>
      <c r="T646" s="6"/>
      <c r="U646" s="15" t="str">
        <f>HYPERLINK("https://media.infra-m.ru/2218/2218843/cover/2218843.jpg", "Обложка")</f>
        <v>Обложка</v>
      </c>
      <c r="V646" s="8" t="s">
        <v>801</v>
      </c>
      <c r="W646" s="6"/>
      <c r="X646" s="6"/>
      <c r="Y646" s="6"/>
      <c r="Z646" s="6" t="s">
        <v>3974</v>
      </c>
      <c r="AA646" s="6" t="s">
        <v>157</v>
      </c>
      <c r="AB646" s="8"/>
      <c r="AC646" s="27">
        <v>9785369019290</v>
      </c>
    </row>
    <row r="647" spans="1:29" s="4" customFormat="1" ht="51.9" customHeight="1" x14ac:dyDescent="0.2">
      <c r="A647" s="5">
        <v>0</v>
      </c>
      <c r="B647" s="6" t="s">
        <v>4144</v>
      </c>
      <c r="C647" s="7">
        <v>1795.2</v>
      </c>
      <c r="D647" s="8" t="s">
        <v>4145</v>
      </c>
      <c r="E647" s="8" t="s">
        <v>4146</v>
      </c>
      <c r="F647" s="8"/>
      <c r="G647" s="6" t="s">
        <v>33</v>
      </c>
      <c r="H647" s="6" t="s">
        <v>34</v>
      </c>
      <c r="I647" s="8"/>
      <c r="J647" s="9">
        <v>1</v>
      </c>
      <c r="K647" s="9">
        <v>68</v>
      </c>
      <c r="L647" s="9">
        <v>2020</v>
      </c>
      <c r="M647" s="8"/>
      <c r="N647" s="8" t="s">
        <v>585</v>
      </c>
      <c r="O647" s="8" t="s">
        <v>775</v>
      </c>
      <c r="P647" s="6" t="s">
        <v>314</v>
      </c>
      <c r="Q647" s="8" t="s">
        <v>40</v>
      </c>
      <c r="R647" s="10" t="s">
        <v>4147</v>
      </c>
      <c r="S647" s="11"/>
      <c r="T647" s="6"/>
      <c r="U647" s="15" t="str">
        <f>HYPERLINK("https://media.infra-m.ru/1176/1176842/cover/1176842.jpg", "Обложка")</f>
        <v>Обложка</v>
      </c>
      <c r="V647" s="8"/>
      <c r="W647" s="6"/>
      <c r="X647" s="6"/>
      <c r="Y647" s="6"/>
      <c r="Z647" s="6"/>
      <c r="AA647" s="6"/>
      <c r="AB647" s="8"/>
      <c r="AC647" s="27"/>
    </row>
    <row r="648" spans="1:29" s="4" customFormat="1" ht="51.9" customHeight="1" x14ac:dyDescent="0.2">
      <c r="A648" s="5">
        <v>0</v>
      </c>
      <c r="B648" s="6" t="s">
        <v>4148</v>
      </c>
      <c r="C648" s="7">
        <v>1228.8</v>
      </c>
      <c r="D648" s="8" t="s">
        <v>4149</v>
      </c>
      <c r="E648" s="8" t="s">
        <v>4150</v>
      </c>
      <c r="F648" s="8" t="s">
        <v>4151</v>
      </c>
      <c r="G648" s="6" t="s">
        <v>33</v>
      </c>
      <c r="H648" s="6" t="s">
        <v>48</v>
      </c>
      <c r="I648" s="8" t="s">
        <v>253</v>
      </c>
      <c r="J648" s="9">
        <v>1</v>
      </c>
      <c r="K648" s="9">
        <v>176</v>
      </c>
      <c r="L648" s="9">
        <v>2027</v>
      </c>
      <c r="M648" s="8" t="s">
        <v>4152</v>
      </c>
      <c r="N648" s="8" t="s">
        <v>585</v>
      </c>
      <c r="O648" s="8" t="s">
        <v>586</v>
      </c>
      <c r="P648" s="6" t="s">
        <v>51</v>
      </c>
      <c r="Q648" s="8" t="s">
        <v>52</v>
      </c>
      <c r="R648" s="10" t="s">
        <v>4153</v>
      </c>
      <c r="S648" s="11" t="s">
        <v>4154</v>
      </c>
      <c r="T648" s="6"/>
      <c r="U648" s="15" t="str">
        <f>HYPERLINK("https://media.infra-m.ru/2270/2270265/cover/2270265.jpg", "Обложка")</f>
        <v>Обложка</v>
      </c>
      <c r="V648" s="8" t="s">
        <v>4155</v>
      </c>
      <c r="W648" s="6"/>
      <c r="X648" s="6"/>
      <c r="Y648" s="6"/>
      <c r="Z648" s="6"/>
      <c r="AA648" s="6" t="s">
        <v>718</v>
      </c>
      <c r="AB648" s="8"/>
      <c r="AC648" s="27">
        <v>9785911347567</v>
      </c>
    </row>
    <row r="649" spans="1:29" s="4" customFormat="1" ht="51.9" customHeight="1" x14ac:dyDescent="0.2">
      <c r="A649" s="5">
        <v>0</v>
      </c>
      <c r="B649" s="6" t="s">
        <v>4156</v>
      </c>
      <c r="C649" s="7">
        <v>1180.8</v>
      </c>
      <c r="D649" s="8" t="s">
        <v>4157</v>
      </c>
      <c r="E649" s="8" t="s">
        <v>4150</v>
      </c>
      <c r="F649" s="8" t="s">
        <v>4158</v>
      </c>
      <c r="G649" s="6" t="s">
        <v>60</v>
      </c>
      <c r="H649" s="6" t="s">
        <v>48</v>
      </c>
      <c r="I649" s="8" t="s">
        <v>263</v>
      </c>
      <c r="J649" s="9">
        <v>1</v>
      </c>
      <c r="K649" s="9">
        <v>175</v>
      </c>
      <c r="L649" s="9">
        <v>2026</v>
      </c>
      <c r="M649" s="8" t="s">
        <v>4159</v>
      </c>
      <c r="N649" s="8" t="s">
        <v>37</v>
      </c>
      <c r="O649" s="8" t="s">
        <v>499</v>
      </c>
      <c r="P649" s="6" t="s">
        <v>51</v>
      </c>
      <c r="Q649" s="8" t="s">
        <v>265</v>
      </c>
      <c r="R649" s="10" t="s">
        <v>4160</v>
      </c>
      <c r="S649" s="11" t="s">
        <v>4161</v>
      </c>
      <c r="T649" s="6"/>
      <c r="U649" s="15" t="str">
        <f>HYPERLINK("https://media.infra-m.ru/2232/2232620/cover/2232620.jpg", "Обложка")</f>
        <v>Обложка</v>
      </c>
      <c r="V649" s="8" t="s">
        <v>4155</v>
      </c>
      <c r="W649" s="6"/>
      <c r="X649" s="6"/>
      <c r="Y649" s="6"/>
      <c r="Z649" s="6" t="s">
        <v>267</v>
      </c>
      <c r="AA649" s="6" t="s">
        <v>2240</v>
      </c>
      <c r="AB649" s="8"/>
      <c r="AC649" s="27">
        <v>9785000916551</v>
      </c>
    </row>
    <row r="650" spans="1:29" s="4" customFormat="1" ht="42" customHeight="1" x14ac:dyDescent="0.2">
      <c r="A650" s="5">
        <v>0</v>
      </c>
      <c r="B650" s="6" t="s">
        <v>4162</v>
      </c>
      <c r="C650" s="7">
        <v>1308</v>
      </c>
      <c r="D650" s="8" t="s">
        <v>4163</v>
      </c>
      <c r="E650" s="8" t="s">
        <v>4164</v>
      </c>
      <c r="F650" s="8" t="s">
        <v>4165</v>
      </c>
      <c r="G650" s="6" t="s">
        <v>60</v>
      </c>
      <c r="H650" s="6" t="s">
        <v>34</v>
      </c>
      <c r="I650" s="8" t="s">
        <v>1248</v>
      </c>
      <c r="J650" s="14">
        <v>0</v>
      </c>
      <c r="K650" s="9">
        <v>187</v>
      </c>
      <c r="L650" s="9">
        <v>2027</v>
      </c>
      <c r="M650" s="8" t="s">
        <v>4166</v>
      </c>
      <c r="N650" s="8" t="s">
        <v>243</v>
      </c>
      <c r="O650" s="8" t="s">
        <v>758</v>
      </c>
      <c r="P650" s="6" t="s">
        <v>51</v>
      </c>
      <c r="Q650" s="8" t="s">
        <v>377</v>
      </c>
      <c r="R650" s="10" t="s">
        <v>4167</v>
      </c>
      <c r="S650" s="11"/>
      <c r="T650" s="6"/>
      <c r="U650" s="15" t="str">
        <f>HYPERLINK("https://media.infra-m.ru/2271/2271206/cover/2271206.jpg", "Обложка")</f>
        <v>Обложка</v>
      </c>
      <c r="V650" s="8" t="s">
        <v>1083</v>
      </c>
      <c r="W650" s="6"/>
      <c r="X650" s="6"/>
      <c r="Y650" s="6"/>
      <c r="Z650" s="6"/>
      <c r="AA650" s="6" t="s">
        <v>420</v>
      </c>
      <c r="AB650" s="8"/>
      <c r="AC650" s="27">
        <v>9785160225012</v>
      </c>
    </row>
    <row r="651" spans="1:29" s="4" customFormat="1" ht="42" customHeight="1" x14ac:dyDescent="0.2">
      <c r="A651" s="5">
        <v>0</v>
      </c>
      <c r="B651" s="6" t="s">
        <v>4168</v>
      </c>
      <c r="C651" s="7">
        <v>3900</v>
      </c>
      <c r="D651" s="8" t="s">
        <v>4169</v>
      </c>
      <c r="E651" s="8" t="s">
        <v>4170</v>
      </c>
      <c r="F651" s="8" t="s">
        <v>4171</v>
      </c>
      <c r="G651" s="6" t="s">
        <v>60</v>
      </c>
      <c r="H651" s="6" t="s">
        <v>34</v>
      </c>
      <c r="I651" s="8" t="s">
        <v>263</v>
      </c>
      <c r="J651" s="9">
        <v>1</v>
      </c>
      <c r="K651" s="9">
        <v>561</v>
      </c>
      <c r="L651" s="9">
        <v>2027</v>
      </c>
      <c r="M651" s="8" t="s">
        <v>4172</v>
      </c>
      <c r="N651" s="8" t="s">
        <v>243</v>
      </c>
      <c r="O651" s="8" t="s">
        <v>964</v>
      </c>
      <c r="P651" s="6" t="s">
        <v>306</v>
      </c>
      <c r="Q651" s="8" t="s">
        <v>265</v>
      </c>
      <c r="R651" s="10" t="s">
        <v>4173</v>
      </c>
      <c r="S651" s="11"/>
      <c r="T651" s="6"/>
      <c r="U651" s="15" t="str">
        <f>HYPERLINK("https://media.infra-m.ru/2251/2251246/cover/2251246.jpg", "Обложка")</f>
        <v>Обложка</v>
      </c>
      <c r="V651" s="8" t="s">
        <v>1263</v>
      </c>
      <c r="W651" s="6" t="s">
        <v>649</v>
      </c>
      <c r="X651" s="6"/>
      <c r="Y651" s="6"/>
      <c r="Z651" s="6"/>
      <c r="AA651" s="6" t="s">
        <v>779</v>
      </c>
      <c r="AB651" s="8"/>
      <c r="AC651" s="27">
        <v>9785160220802</v>
      </c>
    </row>
    <row r="652" spans="1:29" s="4" customFormat="1" ht="44.1" customHeight="1" x14ac:dyDescent="0.2">
      <c r="A652" s="5">
        <v>0</v>
      </c>
      <c r="B652" s="6" t="s">
        <v>4174</v>
      </c>
      <c r="C652" s="7">
        <v>2004</v>
      </c>
      <c r="D652" s="8" t="s">
        <v>4175</v>
      </c>
      <c r="E652" s="8" t="s">
        <v>4176</v>
      </c>
      <c r="F652" s="8" t="s">
        <v>1260</v>
      </c>
      <c r="G652" s="6" t="s">
        <v>118</v>
      </c>
      <c r="H652" s="6" t="s">
        <v>34</v>
      </c>
      <c r="I652" s="8" t="s">
        <v>253</v>
      </c>
      <c r="J652" s="9">
        <v>1</v>
      </c>
      <c r="K652" s="9">
        <v>320</v>
      </c>
      <c r="L652" s="9">
        <v>2025</v>
      </c>
      <c r="M652" s="8" t="s">
        <v>4177</v>
      </c>
      <c r="N652" s="8" t="s">
        <v>243</v>
      </c>
      <c r="O652" s="8" t="s">
        <v>964</v>
      </c>
      <c r="P652" s="6" t="s">
        <v>51</v>
      </c>
      <c r="Q652" s="8" t="s">
        <v>52</v>
      </c>
      <c r="R652" s="10" t="s">
        <v>4178</v>
      </c>
      <c r="S652" s="11"/>
      <c r="T652" s="6"/>
      <c r="U652" s="15" t="str">
        <f>HYPERLINK("https://media.infra-m.ru/2203/2203357/cover/2203357.jpg", "Обложка")</f>
        <v>Обложка</v>
      </c>
      <c r="V652" s="8" t="s">
        <v>1263</v>
      </c>
      <c r="W652" s="6"/>
      <c r="X652" s="6"/>
      <c r="Y652" s="6"/>
      <c r="Z652" s="6"/>
      <c r="AA652" s="6" t="s">
        <v>917</v>
      </c>
      <c r="AB652" s="8"/>
      <c r="AC652" s="27">
        <v>9785160209135</v>
      </c>
    </row>
    <row r="653" spans="1:29" s="4" customFormat="1" ht="42" customHeight="1" x14ac:dyDescent="0.2">
      <c r="A653" s="5">
        <v>0</v>
      </c>
      <c r="B653" s="6" t="s">
        <v>4179</v>
      </c>
      <c r="C653" s="7">
        <v>1956</v>
      </c>
      <c r="D653" s="8" t="s">
        <v>4180</v>
      </c>
      <c r="E653" s="8" t="s">
        <v>4176</v>
      </c>
      <c r="F653" s="8" t="s">
        <v>1260</v>
      </c>
      <c r="G653" s="6" t="s">
        <v>118</v>
      </c>
      <c r="H653" s="6" t="s">
        <v>34</v>
      </c>
      <c r="I653" s="8" t="s">
        <v>263</v>
      </c>
      <c r="J653" s="9">
        <v>1</v>
      </c>
      <c r="K653" s="9">
        <v>320</v>
      </c>
      <c r="L653" s="9">
        <v>2025</v>
      </c>
      <c r="M653" s="8" t="s">
        <v>4181</v>
      </c>
      <c r="N653" s="8" t="s">
        <v>243</v>
      </c>
      <c r="O653" s="8" t="s">
        <v>964</v>
      </c>
      <c r="P653" s="6" t="s">
        <v>51</v>
      </c>
      <c r="Q653" s="8" t="s">
        <v>265</v>
      </c>
      <c r="R653" s="10" t="s">
        <v>4173</v>
      </c>
      <c r="S653" s="11"/>
      <c r="T653" s="6"/>
      <c r="U653" s="15" t="str">
        <f>HYPERLINK("https://media.infra-m.ru/2158/2158499/cover/2158499.jpg", "Обложка")</f>
        <v>Обложка</v>
      </c>
      <c r="V653" s="8" t="s">
        <v>1263</v>
      </c>
      <c r="W653" s="6"/>
      <c r="X653" s="6"/>
      <c r="Y653" s="6"/>
      <c r="Z653" s="6"/>
      <c r="AA653" s="6" t="s">
        <v>917</v>
      </c>
      <c r="AB653" s="8"/>
      <c r="AC653" s="27">
        <v>9785160201153</v>
      </c>
    </row>
    <row r="654" spans="1:29" s="4" customFormat="1" ht="51.9" customHeight="1" x14ac:dyDescent="0.2">
      <c r="A654" s="5">
        <v>0</v>
      </c>
      <c r="B654" s="6" t="s">
        <v>4182</v>
      </c>
      <c r="C654" s="7">
        <v>1692</v>
      </c>
      <c r="D654" s="8" t="s">
        <v>4183</v>
      </c>
      <c r="E654" s="8" t="s">
        <v>4184</v>
      </c>
      <c r="F654" s="8" t="s">
        <v>4185</v>
      </c>
      <c r="G654" s="6" t="s">
        <v>60</v>
      </c>
      <c r="H654" s="6" t="s">
        <v>313</v>
      </c>
      <c r="I654" s="8"/>
      <c r="J654" s="9">
        <v>1</v>
      </c>
      <c r="K654" s="9">
        <v>255</v>
      </c>
      <c r="L654" s="9">
        <v>2026</v>
      </c>
      <c r="M654" s="8" t="s">
        <v>4186</v>
      </c>
      <c r="N654" s="8" t="s">
        <v>585</v>
      </c>
      <c r="O654" s="8" t="s">
        <v>775</v>
      </c>
      <c r="P654" s="6" t="s">
        <v>51</v>
      </c>
      <c r="Q654" s="8" t="s">
        <v>52</v>
      </c>
      <c r="R654" s="10" t="s">
        <v>4187</v>
      </c>
      <c r="S654" s="11" t="s">
        <v>4188</v>
      </c>
      <c r="T654" s="6"/>
      <c r="U654" s="15" t="str">
        <f>HYPERLINK("https://media.infra-m.ru/2239/2239961/cover/2239961.jpg", "Обложка")</f>
        <v>Обложка</v>
      </c>
      <c r="V654" s="8" t="s">
        <v>1425</v>
      </c>
      <c r="W654" s="6" t="s">
        <v>528</v>
      </c>
      <c r="X654" s="6"/>
      <c r="Y654" s="6"/>
      <c r="Z654" s="6"/>
      <c r="AA654" s="6" t="s">
        <v>650</v>
      </c>
      <c r="AB654" s="8"/>
      <c r="AC654" s="27">
        <v>9785369020074</v>
      </c>
    </row>
    <row r="655" spans="1:29" s="4" customFormat="1" ht="51.9" customHeight="1" x14ac:dyDescent="0.2">
      <c r="A655" s="5">
        <v>0</v>
      </c>
      <c r="B655" s="6" t="s">
        <v>4189</v>
      </c>
      <c r="C655" s="7">
        <v>1384.8</v>
      </c>
      <c r="D655" s="8" t="s">
        <v>4190</v>
      </c>
      <c r="E655" s="8" t="s">
        <v>4191</v>
      </c>
      <c r="F655" s="8" t="s">
        <v>4185</v>
      </c>
      <c r="G655" s="6" t="s">
        <v>118</v>
      </c>
      <c r="H655" s="6" t="s">
        <v>313</v>
      </c>
      <c r="I655" s="8"/>
      <c r="J655" s="9">
        <v>1</v>
      </c>
      <c r="K655" s="9">
        <v>251</v>
      </c>
      <c r="L655" s="9">
        <v>2024</v>
      </c>
      <c r="M655" s="8" t="s">
        <v>4192</v>
      </c>
      <c r="N655" s="8" t="s">
        <v>585</v>
      </c>
      <c r="O655" s="8" t="s">
        <v>775</v>
      </c>
      <c r="P655" s="6" t="s">
        <v>51</v>
      </c>
      <c r="Q655" s="8" t="s">
        <v>52</v>
      </c>
      <c r="R655" s="10" t="s">
        <v>4187</v>
      </c>
      <c r="S655" s="11" t="s">
        <v>4188</v>
      </c>
      <c r="T655" s="6"/>
      <c r="U655" s="15" t="str">
        <f>HYPERLINK("https://media.infra-m.ru/2093/2093916/cover/2093916.jpg", "Обложка")</f>
        <v>Обложка</v>
      </c>
      <c r="V655" s="8" t="s">
        <v>1425</v>
      </c>
      <c r="W655" s="6"/>
      <c r="X655" s="6"/>
      <c r="Y655" s="6"/>
      <c r="Z655" s="6"/>
      <c r="AA655" s="6" t="s">
        <v>779</v>
      </c>
      <c r="AB655" s="8"/>
      <c r="AC655" s="27">
        <v>9785369015414</v>
      </c>
    </row>
    <row r="656" spans="1:29" s="4" customFormat="1" ht="51.9" customHeight="1" x14ac:dyDescent="0.2">
      <c r="A656" s="5">
        <v>0</v>
      </c>
      <c r="B656" s="6" t="s">
        <v>4193</v>
      </c>
      <c r="C656" s="7">
        <v>1368</v>
      </c>
      <c r="D656" s="8" t="s">
        <v>4194</v>
      </c>
      <c r="E656" s="8" t="s">
        <v>4195</v>
      </c>
      <c r="F656" s="8" t="s">
        <v>4196</v>
      </c>
      <c r="G656" s="6" t="s">
        <v>118</v>
      </c>
      <c r="H656" s="6" t="s">
        <v>34</v>
      </c>
      <c r="I656" s="8" t="s">
        <v>253</v>
      </c>
      <c r="J656" s="9">
        <v>1</v>
      </c>
      <c r="K656" s="9">
        <v>207</v>
      </c>
      <c r="L656" s="9">
        <v>2026</v>
      </c>
      <c r="M656" s="8" t="s">
        <v>4197</v>
      </c>
      <c r="N656" s="8" t="s">
        <v>243</v>
      </c>
      <c r="O656" s="8" t="s">
        <v>758</v>
      </c>
      <c r="P656" s="6" t="s">
        <v>51</v>
      </c>
      <c r="Q656" s="8" t="s">
        <v>65</v>
      </c>
      <c r="R656" s="10" t="s">
        <v>4198</v>
      </c>
      <c r="S656" s="11" t="s">
        <v>4199</v>
      </c>
      <c r="T656" s="6"/>
      <c r="U656" s="15" t="str">
        <f>HYPERLINK("https://media.infra-m.ru/2216/2216619/cover/2216619.jpg", "Обложка")</f>
        <v>Обложка</v>
      </c>
      <c r="V656" s="8" t="s">
        <v>809</v>
      </c>
      <c r="W656" s="6"/>
      <c r="X656" s="6"/>
      <c r="Y656" s="6"/>
      <c r="Z656" s="6"/>
      <c r="AA656" s="6" t="s">
        <v>3800</v>
      </c>
      <c r="AB656" s="8"/>
      <c r="AC656" s="27">
        <v>9785160211824</v>
      </c>
    </row>
    <row r="657" spans="1:29" s="4" customFormat="1" ht="51.9" customHeight="1" x14ac:dyDescent="0.2">
      <c r="A657" s="5">
        <v>0</v>
      </c>
      <c r="B657" s="6" t="s">
        <v>4200</v>
      </c>
      <c r="C657" s="7">
        <v>1132.8</v>
      </c>
      <c r="D657" s="8" t="s">
        <v>4201</v>
      </c>
      <c r="E657" s="8" t="s">
        <v>4195</v>
      </c>
      <c r="F657" s="8" t="s">
        <v>4202</v>
      </c>
      <c r="G657" s="6" t="s">
        <v>60</v>
      </c>
      <c r="H657" s="6" t="s">
        <v>48</v>
      </c>
      <c r="I657" s="8" t="s">
        <v>263</v>
      </c>
      <c r="J657" s="9">
        <v>1</v>
      </c>
      <c r="K657" s="9">
        <v>207</v>
      </c>
      <c r="L657" s="9">
        <v>2023</v>
      </c>
      <c r="M657" s="8" t="s">
        <v>4203</v>
      </c>
      <c r="N657" s="8" t="s">
        <v>243</v>
      </c>
      <c r="O657" s="8" t="s">
        <v>758</v>
      </c>
      <c r="P657" s="6" t="s">
        <v>51</v>
      </c>
      <c r="Q657" s="8" t="s">
        <v>265</v>
      </c>
      <c r="R657" s="10" t="s">
        <v>4204</v>
      </c>
      <c r="S657" s="11" t="s">
        <v>4205</v>
      </c>
      <c r="T657" s="6"/>
      <c r="U657" s="15" t="str">
        <f>HYPERLINK("https://media.infra-m.ru/2021/2021414/cover/2021414.jpg", "Обложка")</f>
        <v>Обложка</v>
      </c>
      <c r="V657" s="8" t="s">
        <v>809</v>
      </c>
      <c r="W657" s="6"/>
      <c r="X657" s="6"/>
      <c r="Y657" s="6"/>
      <c r="Z657" s="6" t="s">
        <v>882</v>
      </c>
      <c r="AA657" s="6" t="s">
        <v>1389</v>
      </c>
      <c r="AB657" s="8"/>
      <c r="AC657" s="27">
        <v>9785000915394</v>
      </c>
    </row>
    <row r="658" spans="1:29" s="4" customFormat="1" ht="42" customHeight="1" x14ac:dyDescent="0.2">
      <c r="A658" s="5">
        <v>0</v>
      </c>
      <c r="B658" s="6" t="s">
        <v>4206</v>
      </c>
      <c r="C658" s="7">
        <v>2212.8000000000002</v>
      </c>
      <c r="D658" s="8" t="s">
        <v>4207</v>
      </c>
      <c r="E658" s="8" t="s">
        <v>4208</v>
      </c>
      <c r="F658" s="8" t="s">
        <v>4209</v>
      </c>
      <c r="G658" s="6" t="s">
        <v>60</v>
      </c>
      <c r="H658" s="6" t="s">
        <v>48</v>
      </c>
      <c r="I658" s="8" t="s">
        <v>271</v>
      </c>
      <c r="J658" s="9">
        <v>1</v>
      </c>
      <c r="K658" s="9">
        <v>400</v>
      </c>
      <c r="L658" s="9">
        <v>2024</v>
      </c>
      <c r="M658" s="8" t="s">
        <v>4210</v>
      </c>
      <c r="N658" s="8" t="s">
        <v>585</v>
      </c>
      <c r="O658" s="8" t="s">
        <v>775</v>
      </c>
      <c r="P658" s="6" t="s">
        <v>51</v>
      </c>
      <c r="Q658" s="8" t="s">
        <v>52</v>
      </c>
      <c r="R658" s="10" t="s">
        <v>4211</v>
      </c>
      <c r="S658" s="11"/>
      <c r="T658" s="6"/>
      <c r="U658" s="15" t="str">
        <f>HYPERLINK("https://media.infra-m.ru/2122/2122056/cover/2122056.jpg", "Обложка")</f>
        <v>Обложка</v>
      </c>
      <c r="V658" s="8" t="s">
        <v>3686</v>
      </c>
      <c r="W658" s="6"/>
      <c r="X658" s="6"/>
      <c r="Y658" s="6"/>
      <c r="Z658" s="6"/>
      <c r="AA658" s="6" t="s">
        <v>248</v>
      </c>
      <c r="AB658" s="8"/>
      <c r="AC658" s="27">
        <v>9785911348311</v>
      </c>
    </row>
    <row r="659" spans="1:29" s="4" customFormat="1" ht="51.9" customHeight="1" x14ac:dyDescent="0.2">
      <c r="A659" s="5">
        <v>0</v>
      </c>
      <c r="B659" s="6" t="s">
        <v>4212</v>
      </c>
      <c r="C659" s="13">
        <v>996</v>
      </c>
      <c r="D659" s="8" t="s">
        <v>4213</v>
      </c>
      <c r="E659" s="8" t="s">
        <v>4214</v>
      </c>
      <c r="F659" s="8" t="s">
        <v>4141</v>
      </c>
      <c r="G659" s="6" t="s">
        <v>33</v>
      </c>
      <c r="H659" s="6" t="s">
        <v>313</v>
      </c>
      <c r="I659" s="8" t="s">
        <v>401</v>
      </c>
      <c r="J659" s="9">
        <v>1</v>
      </c>
      <c r="K659" s="9">
        <v>150</v>
      </c>
      <c r="L659" s="9">
        <v>2026</v>
      </c>
      <c r="M659" s="8" t="s">
        <v>4215</v>
      </c>
      <c r="N659" s="8" t="s">
        <v>585</v>
      </c>
      <c r="O659" s="8" t="s">
        <v>586</v>
      </c>
      <c r="P659" s="6" t="s">
        <v>51</v>
      </c>
      <c r="Q659" s="8" t="s">
        <v>265</v>
      </c>
      <c r="R659" s="10" t="s">
        <v>4216</v>
      </c>
      <c r="S659" s="11"/>
      <c r="T659" s="6"/>
      <c r="U659" s="15" t="str">
        <f>HYPERLINK("https://media.infra-m.ru/2235/2235903/cover/2235903.jpg", "Обложка")</f>
        <v>Обложка</v>
      </c>
      <c r="V659" s="8" t="s">
        <v>801</v>
      </c>
      <c r="W659" s="6"/>
      <c r="X659" s="6" t="s">
        <v>24</v>
      </c>
      <c r="Y659" s="6"/>
      <c r="Z659" s="6"/>
      <c r="AA659" s="6" t="s">
        <v>115</v>
      </c>
      <c r="AB659" s="8"/>
      <c r="AC659" s="27">
        <v>9785369017944</v>
      </c>
    </row>
    <row r="660" spans="1:29" s="4" customFormat="1" ht="51.9" customHeight="1" x14ac:dyDescent="0.2">
      <c r="A660" s="5">
        <v>0</v>
      </c>
      <c r="B660" s="6" t="s">
        <v>4217</v>
      </c>
      <c r="C660" s="7">
        <v>2220</v>
      </c>
      <c r="D660" s="8" t="s">
        <v>4218</v>
      </c>
      <c r="E660" s="8" t="s">
        <v>4208</v>
      </c>
      <c r="F660" s="8" t="s">
        <v>4219</v>
      </c>
      <c r="G660" s="6" t="s">
        <v>118</v>
      </c>
      <c r="H660" s="6" t="s">
        <v>34</v>
      </c>
      <c r="I660" s="8" t="s">
        <v>263</v>
      </c>
      <c r="J660" s="9">
        <v>1</v>
      </c>
      <c r="K660" s="9">
        <v>400</v>
      </c>
      <c r="L660" s="9">
        <v>2023</v>
      </c>
      <c r="M660" s="8" t="s">
        <v>4220</v>
      </c>
      <c r="N660" s="8" t="s">
        <v>585</v>
      </c>
      <c r="O660" s="8" t="s">
        <v>586</v>
      </c>
      <c r="P660" s="6" t="s">
        <v>51</v>
      </c>
      <c r="Q660" s="8" t="s">
        <v>265</v>
      </c>
      <c r="R660" s="10" t="s">
        <v>4221</v>
      </c>
      <c r="S660" s="11" t="s">
        <v>4222</v>
      </c>
      <c r="T660" s="6"/>
      <c r="U660" s="15" t="str">
        <f>HYPERLINK("https://media.infra-m.ru/2016/2016215/cover/2016215.jpg", "Обложка")</f>
        <v>Обложка</v>
      </c>
      <c r="V660" s="8" t="s">
        <v>3686</v>
      </c>
      <c r="W660" s="6"/>
      <c r="X660" s="6" t="s">
        <v>24</v>
      </c>
      <c r="Y660" s="6"/>
      <c r="Z660" s="6" t="s">
        <v>267</v>
      </c>
      <c r="AA660" s="6" t="s">
        <v>430</v>
      </c>
      <c r="AB660" s="8"/>
      <c r="AC660" s="27">
        <v>9785160166544</v>
      </c>
    </row>
    <row r="661" spans="1:29" s="4" customFormat="1" ht="51.9" customHeight="1" x14ac:dyDescent="0.2">
      <c r="A661" s="5">
        <v>0</v>
      </c>
      <c r="B661" s="6" t="s">
        <v>4223</v>
      </c>
      <c r="C661" s="7">
        <v>1500</v>
      </c>
      <c r="D661" s="8" t="s">
        <v>4224</v>
      </c>
      <c r="E661" s="8" t="s">
        <v>4225</v>
      </c>
      <c r="F661" s="8" t="s">
        <v>4226</v>
      </c>
      <c r="G661" s="6" t="s">
        <v>118</v>
      </c>
      <c r="H661" s="6" t="s">
        <v>34</v>
      </c>
      <c r="I661" s="8" t="s">
        <v>253</v>
      </c>
      <c r="J661" s="9">
        <v>1</v>
      </c>
      <c r="K661" s="9">
        <v>215</v>
      </c>
      <c r="L661" s="9">
        <v>2026</v>
      </c>
      <c r="M661" s="8" t="s">
        <v>4227</v>
      </c>
      <c r="N661" s="8" t="s">
        <v>93</v>
      </c>
      <c r="O661" s="8" t="s">
        <v>94</v>
      </c>
      <c r="P661" s="6" t="s">
        <v>51</v>
      </c>
      <c r="Q661" s="8" t="s">
        <v>52</v>
      </c>
      <c r="R661" s="10" t="s">
        <v>4228</v>
      </c>
      <c r="S661" s="11" t="s">
        <v>4229</v>
      </c>
      <c r="T661" s="6"/>
      <c r="U661" s="15" t="str">
        <f>HYPERLINK("https://media.infra-m.ru/2227/2227298/cover/2227298.jpg", "Обложка")</f>
        <v>Обложка</v>
      </c>
      <c r="V661" s="8" t="s">
        <v>4230</v>
      </c>
      <c r="W661" s="6"/>
      <c r="X661" s="6"/>
      <c r="Y661" s="6"/>
      <c r="Z661" s="6"/>
      <c r="AA661" s="6" t="s">
        <v>148</v>
      </c>
      <c r="AB661" s="8"/>
      <c r="AC661" s="27">
        <v>9785160222745</v>
      </c>
    </row>
    <row r="662" spans="1:29" s="4" customFormat="1" ht="42" customHeight="1" x14ac:dyDescent="0.2">
      <c r="A662" s="5">
        <v>0</v>
      </c>
      <c r="B662" s="6" t="s">
        <v>4231</v>
      </c>
      <c r="C662" s="7">
        <v>2788.8</v>
      </c>
      <c r="D662" s="8" t="s">
        <v>4232</v>
      </c>
      <c r="E662" s="8" t="s">
        <v>4233</v>
      </c>
      <c r="F662" s="8" t="s">
        <v>4234</v>
      </c>
      <c r="G662" s="6" t="s">
        <v>60</v>
      </c>
      <c r="H662" s="6" t="s">
        <v>34</v>
      </c>
      <c r="I662" s="8" t="s">
        <v>271</v>
      </c>
      <c r="J662" s="9">
        <v>1</v>
      </c>
      <c r="K662" s="9">
        <v>400</v>
      </c>
      <c r="L662" s="9">
        <v>2027</v>
      </c>
      <c r="M662" s="8" t="s">
        <v>4235</v>
      </c>
      <c r="N662" s="8" t="s">
        <v>585</v>
      </c>
      <c r="O662" s="8" t="s">
        <v>775</v>
      </c>
      <c r="P662" s="6" t="s">
        <v>306</v>
      </c>
      <c r="Q662" s="8" t="s">
        <v>52</v>
      </c>
      <c r="R662" s="10" t="s">
        <v>4236</v>
      </c>
      <c r="S662" s="11"/>
      <c r="T662" s="6"/>
      <c r="U662" s="15" t="str">
        <f>HYPERLINK("https://media.infra-m.ru/2270/2270268/cover/2270268.jpg", "Обложка")</f>
        <v>Обложка</v>
      </c>
      <c r="V662" s="8"/>
      <c r="W662" s="6"/>
      <c r="X662" s="6"/>
      <c r="Y662" s="6"/>
      <c r="Z662" s="6"/>
      <c r="AA662" s="6" t="s">
        <v>248</v>
      </c>
      <c r="AB662" s="8"/>
      <c r="AC662" s="27">
        <v>9785160065229</v>
      </c>
    </row>
    <row r="663" spans="1:29" s="4" customFormat="1" ht="42" customHeight="1" x14ac:dyDescent="0.2">
      <c r="A663" s="5">
        <v>0</v>
      </c>
      <c r="B663" s="6" t="s">
        <v>4237</v>
      </c>
      <c r="C663" s="7">
        <v>2644.8</v>
      </c>
      <c r="D663" s="8" t="s">
        <v>4238</v>
      </c>
      <c r="E663" s="8" t="s">
        <v>4233</v>
      </c>
      <c r="F663" s="8" t="s">
        <v>4239</v>
      </c>
      <c r="G663" s="6" t="s">
        <v>118</v>
      </c>
      <c r="H663" s="6" t="s">
        <v>820</v>
      </c>
      <c r="I663" s="8"/>
      <c r="J663" s="9">
        <v>1</v>
      </c>
      <c r="K663" s="9">
        <v>400</v>
      </c>
      <c r="L663" s="9">
        <v>2026</v>
      </c>
      <c r="M663" s="8" t="s">
        <v>4240</v>
      </c>
      <c r="N663" s="8" t="s">
        <v>585</v>
      </c>
      <c r="O663" s="8" t="s">
        <v>775</v>
      </c>
      <c r="P663" s="6" t="s">
        <v>306</v>
      </c>
      <c r="Q663" s="8" t="s">
        <v>52</v>
      </c>
      <c r="R663" s="10" t="s">
        <v>4241</v>
      </c>
      <c r="S663" s="11"/>
      <c r="T663" s="6"/>
      <c r="U663" s="15" t="str">
        <f>HYPERLINK("https://media.infra-m.ru/2247/2247412/cover/2247412.jpg", "Обложка")</f>
        <v>Обложка</v>
      </c>
      <c r="V663" s="8"/>
      <c r="W663" s="6"/>
      <c r="X663" s="6"/>
      <c r="Y663" s="6"/>
      <c r="Z663" s="6"/>
      <c r="AA663" s="6" t="s">
        <v>99</v>
      </c>
      <c r="AB663" s="8"/>
      <c r="AC663" s="27">
        <v>9785906818133</v>
      </c>
    </row>
    <row r="664" spans="1:29" s="4" customFormat="1" ht="51.9" customHeight="1" x14ac:dyDescent="0.2">
      <c r="A664" s="5">
        <v>0</v>
      </c>
      <c r="B664" s="6" t="s">
        <v>4242</v>
      </c>
      <c r="C664" s="7">
        <v>2560.8000000000002</v>
      </c>
      <c r="D664" s="8" t="s">
        <v>4243</v>
      </c>
      <c r="E664" s="8" t="s">
        <v>4233</v>
      </c>
      <c r="F664" s="8" t="s">
        <v>4244</v>
      </c>
      <c r="G664" s="6" t="s">
        <v>60</v>
      </c>
      <c r="H664" s="6" t="s">
        <v>820</v>
      </c>
      <c r="I664" s="8"/>
      <c r="J664" s="9">
        <v>1</v>
      </c>
      <c r="K664" s="9">
        <v>368</v>
      </c>
      <c r="L664" s="9">
        <v>2027</v>
      </c>
      <c r="M664" s="8" t="s">
        <v>4245</v>
      </c>
      <c r="N664" s="8" t="s">
        <v>585</v>
      </c>
      <c r="O664" s="8" t="s">
        <v>775</v>
      </c>
      <c r="P664" s="6" t="s">
        <v>306</v>
      </c>
      <c r="Q664" s="8" t="s">
        <v>265</v>
      </c>
      <c r="R664" s="10" t="s">
        <v>4246</v>
      </c>
      <c r="S664" s="11"/>
      <c r="T664" s="6"/>
      <c r="U664" s="15" t="str">
        <f>HYPERLINK("https://media.infra-m.ru/2270/2270271/cover/2270271.jpg", "Обложка")</f>
        <v>Обложка</v>
      </c>
      <c r="V664" s="8" t="s">
        <v>2398</v>
      </c>
      <c r="W664" s="6"/>
      <c r="X664" s="6" t="s">
        <v>24</v>
      </c>
      <c r="Y664" s="6"/>
      <c r="Z664" s="6"/>
      <c r="AA664" s="6" t="s">
        <v>99</v>
      </c>
      <c r="AB664" s="8"/>
      <c r="AC664" s="27">
        <v>9785906923110</v>
      </c>
    </row>
    <row r="665" spans="1:29" s="4" customFormat="1" ht="51.9" customHeight="1" x14ac:dyDescent="0.2">
      <c r="A665" s="5">
        <v>0</v>
      </c>
      <c r="B665" s="6" t="s">
        <v>4247</v>
      </c>
      <c r="C665" s="7">
        <v>1900.8</v>
      </c>
      <c r="D665" s="8" t="s">
        <v>4248</v>
      </c>
      <c r="E665" s="8" t="s">
        <v>4249</v>
      </c>
      <c r="F665" s="8" t="s">
        <v>4250</v>
      </c>
      <c r="G665" s="6" t="s">
        <v>60</v>
      </c>
      <c r="H665" s="6" t="s">
        <v>34</v>
      </c>
      <c r="I665" s="8" t="s">
        <v>271</v>
      </c>
      <c r="J665" s="9">
        <v>1</v>
      </c>
      <c r="K665" s="9">
        <v>304</v>
      </c>
      <c r="L665" s="9">
        <v>2025</v>
      </c>
      <c r="M665" s="8" t="s">
        <v>4251</v>
      </c>
      <c r="N665" s="8" t="s">
        <v>585</v>
      </c>
      <c r="O665" s="8" t="s">
        <v>775</v>
      </c>
      <c r="P665" s="6" t="s">
        <v>306</v>
      </c>
      <c r="Q665" s="8" t="s">
        <v>52</v>
      </c>
      <c r="R665" s="10" t="s">
        <v>4236</v>
      </c>
      <c r="S665" s="11" t="s">
        <v>4252</v>
      </c>
      <c r="T665" s="6"/>
      <c r="U665" s="15" t="str">
        <f>HYPERLINK("https://media.infra-m.ru/2161/2161922/cover/2161922.jpg", "Обложка")</f>
        <v>Обложка</v>
      </c>
      <c r="V665" s="8" t="s">
        <v>1768</v>
      </c>
      <c r="W665" s="6"/>
      <c r="X665" s="6"/>
      <c r="Y665" s="6"/>
      <c r="Z665" s="6"/>
      <c r="AA665" s="6" t="s">
        <v>3991</v>
      </c>
      <c r="AB665" s="8"/>
      <c r="AC665" s="27">
        <v>9785160065816</v>
      </c>
    </row>
    <row r="666" spans="1:29" s="4" customFormat="1" ht="42" customHeight="1" x14ac:dyDescent="0.2">
      <c r="A666" s="5">
        <v>0</v>
      </c>
      <c r="B666" s="6" t="s">
        <v>4253</v>
      </c>
      <c r="C666" s="7">
        <v>2896.8</v>
      </c>
      <c r="D666" s="8" t="s">
        <v>4254</v>
      </c>
      <c r="E666" s="8" t="s">
        <v>4233</v>
      </c>
      <c r="F666" s="8" t="s">
        <v>4255</v>
      </c>
      <c r="G666" s="6" t="s">
        <v>60</v>
      </c>
      <c r="H666" s="6" t="s">
        <v>48</v>
      </c>
      <c r="I666" s="8" t="s">
        <v>271</v>
      </c>
      <c r="J666" s="9">
        <v>1</v>
      </c>
      <c r="K666" s="9">
        <v>416</v>
      </c>
      <c r="L666" s="9">
        <v>2027</v>
      </c>
      <c r="M666" s="8" t="s">
        <v>4256</v>
      </c>
      <c r="N666" s="8" t="s">
        <v>585</v>
      </c>
      <c r="O666" s="8" t="s">
        <v>775</v>
      </c>
      <c r="P666" s="6" t="s">
        <v>306</v>
      </c>
      <c r="Q666" s="8" t="s">
        <v>52</v>
      </c>
      <c r="R666" s="10" t="s">
        <v>4236</v>
      </c>
      <c r="S666" s="11"/>
      <c r="T666" s="6"/>
      <c r="U666" s="15" t="str">
        <f>HYPERLINK("https://media.infra-m.ru/2270/2270280/cover/2270280.jpg", "Обложка")</f>
        <v>Обложка</v>
      </c>
      <c r="V666" s="8" t="s">
        <v>831</v>
      </c>
      <c r="W666" s="6"/>
      <c r="X666" s="6"/>
      <c r="Y666" s="6"/>
      <c r="Z666" s="6"/>
      <c r="AA666" s="6" t="s">
        <v>55</v>
      </c>
      <c r="AB666" s="8"/>
      <c r="AC666" s="27">
        <v>9785911346812</v>
      </c>
    </row>
    <row r="667" spans="1:29" s="4" customFormat="1" ht="51.9" customHeight="1" x14ac:dyDescent="0.2">
      <c r="A667" s="5">
        <v>0</v>
      </c>
      <c r="B667" s="6" t="s">
        <v>4257</v>
      </c>
      <c r="C667" s="7">
        <v>1601.9</v>
      </c>
      <c r="D667" s="8" t="s">
        <v>4258</v>
      </c>
      <c r="E667" s="8" t="s">
        <v>4233</v>
      </c>
      <c r="F667" s="8" t="s">
        <v>4259</v>
      </c>
      <c r="G667" s="6" t="s">
        <v>60</v>
      </c>
      <c r="H667" s="6" t="s">
        <v>34</v>
      </c>
      <c r="I667" s="8" t="s">
        <v>271</v>
      </c>
      <c r="J667" s="9">
        <v>1</v>
      </c>
      <c r="K667" s="9">
        <v>297</v>
      </c>
      <c r="L667" s="9">
        <v>2023</v>
      </c>
      <c r="M667" s="8" t="s">
        <v>4260</v>
      </c>
      <c r="N667" s="8" t="s">
        <v>585</v>
      </c>
      <c r="O667" s="8" t="s">
        <v>586</v>
      </c>
      <c r="P667" s="6" t="s">
        <v>51</v>
      </c>
      <c r="Q667" s="8" t="s">
        <v>52</v>
      </c>
      <c r="R667" s="10" t="s">
        <v>4261</v>
      </c>
      <c r="S667" s="11" t="s">
        <v>4262</v>
      </c>
      <c r="T667" s="6"/>
      <c r="U667" s="15" t="str">
        <f>HYPERLINK("https://media.infra-m.ru/1858/1858481/cover/1858481.jpg", "Обложка")</f>
        <v>Обложка</v>
      </c>
      <c r="V667" s="8" t="s">
        <v>2475</v>
      </c>
      <c r="W667" s="6"/>
      <c r="X667" s="6"/>
      <c r="Y667" s="6"/>
      <c r="Z667" s="6"/>
      <c r="AA667" s="6" t="s">
        <v>248</v>
      </c>
      <c r="AB667" s="8"/>
      <c r="AC667" s="27">
        <v>9785160064802</v>
      </c>
    </row>
    <row r="668" spans="1:29" s="4" customFormat="1" ht="51.9" customHeight="1" x14ac:dyDescent="0.2">
      <c r="A668" s="5">
        <v>0</v>
      </c>
      <c r="B668" s="6" t="s">
        <v>4263</v>
      </c>
      <c r="C668" s="7">
        <v>1612.8</v>
      </c>
      <c r="D668" s="8" t="s">
        <v>4264</v>
      </c>
      <c r="E668" s="8" t="s">
        <v>4233</v>
      </c>
      <c r="F668" s="8" t="s">
        <v>4265</v>
      </c>
      <c r="G668" s="6" t="s">
        <v>118</v>
      </c>
      <c r="H668" s="6" t="s">
        <v>34</v>
      </c>
      <c r="I668" s="8" t="s">
        <v>263</v>
      </c>
      <c r="J668" s="9">
        <v>1</v>
      </c>
      <c r="K668" s="9">
        <v>297</v>
      </c>
      <c r="L668" s="9">
        <v>2023</v>
      </c>
      <c r="M668" s="8" t="s">
        <v>4266</v>
      </c>
      <c r="N668" s="8" t="s">
        <v>585</v>
      </c>
      <c r="O668" s="8" t="s">
        <v>775</v>
      </c>
      <c r="P668" s="6" t="s">
        <v>51</v>
      </c>
      <c r="Q668" s="8" t="s">
        <v>265</v>
      </c>
      <c r="R668" s="10" t="s">
        <v>4267</v>
      </c>
      <c r="S668" s="11" t="s">
        <v>4268</v>
      </c>
      <c r="T668" s="6"/>
      <c r="U668" s="15" t="str">
        <f>HYPERLINK("https://media.infra-m.ru/2021/2021451/cover/2021451.jpg", "Обложка")</f>
        <v>Обложка</v>
      </c>
      <c r="V668" s="8" t="s">
        <v>2475</v>
      </c>
      <c r="W668" s="6"/>
      <c r="X668" s="6"/>
      <c r="Y668" s="6"/>
      <c r="Z668" s="6" t="s">
        <v>267</v>
      </c>
      <c r="AA668" s="6" t="s">
        <v>86</v>
      </c>
      <c r="AB668" s="8"/>
      <c r="AC668" s="27">
        <v>9785160140438</v>
      </c>
    </row>
    <row r="669" spans="1:29" s="4" customFormat="1" ht="51.9" customHeight="1" x14ac:dyDescent="0.2">
      <c r="A669" s="5">
        <v>0</v>
      </c>
      <c r="B669" s="6" t="s">
        <v>4269</v>
      </c>
      <c r="C669" s="7">
        <v>2196</v>
      </c>
      <c r="D669" s="8" t="s">
        <v>4270</v>
      </c>
      <c r="E669" s="8" t="s">
        <v>4271</v>
      </c>
      <c r="F669" s="8" t="s">
        <v>4265</v>
      </c>
      <c r="G669" s="6" t="s">
        <v>118</v>
      </c>
      <c r="H669" s="6" t="s">
        <v>34</v>
      </c>
      <c r="I669" s="8" t="s">
        <v>263</v>
      </c>
      <c r="J669" s="9">
        <v>1</v>
      </c>
      <c r="K669" s="9">
        <v>346</v>
      </c>
      <c r="L669" s="9">
        <v>2026</v>
      </c>
      <c r="M669" s="8" t="s">
        <v>4272</v>
      </c>
      <c r="N669" s="8" t="s">
        <v>585</v>
      </c>
      <c r="O669" s="8" t="s">
        <v>586</v>
      </c>
      <c r="P669" s="6" t="s">
        <v>51</v>
      </c>
      <c r="Q669" s="8" t="s">
        <v>265</v>
      </c>
      <c r="R669" s="10" t="s">
        <v>4267</v>
      </c>
      <c r="S669" s="11" t="s">
        <v>4268</v>
      </c>
      <c r="T669" s="6"/>
      <c r="U669" s="15" t="str">
        <f>HYPERLINK("https://media.infra-m.ru/2143/2143472/cover/2143472.jpg", "Обложка")</f>
        <v>Обложка</v>
      </c>
      <c r="V669" s="8" t="s">
        <v>2475</v>
      </c>
      <c r="W669" s="6"/>
      <c r="X669" s="6"/>
      <c r="Y669" s="6"/>
      <c r="Z669" s="6" t="s">
        <v>267</v>
      </c>
      <c r="AA669" s="6" t="s">
        <v>650</v>
      </c>
      <c r="AB669" s="8"/>
      <c r="AC669" s="27">
        <v>9785160209814</v>
      </c>
    </row>
    <row r="670" spans="1:29" s="4" customFormat="1" ht="51.9" customHeight="1" x14ac:dyDescent="0.2">
      <c r="A670" s="5">
        <v>0</v>
      </c>
      <c r="B670" s="6" t="s">
        <v>4273</v>
      </c>
      <c r="C670" s="7">
        <v>2404.8000000000002</v>
      </c>
      <c r="D670" s="8" t="s">
        <v>4274</v>
      </c>
      <c r="E670" s="8" t="s">
        <v>4271</v>
      </c>
      <c r="F670" s="8" t="s">
        <v>4265</v>
      </c>
      <c r="G670" s="6" t="s">
        <v>60</v>
      </c>
      <c r="H670" s="6" t="s">
        <v>34</v>
      </c>
      <c r="I670" s="8" t="s">
        <v>253</v>
      </c>
      <c r="J670" s="9">
        <v>1</v>
      </c>
      <c r="K670" s="9">
        <v>346</v>
      </c>
      <c r="L670" s="9">
        <v>2027</v>
      </c>
      <c r="M670" s="8" t="s">
        <v>4275</v>
      </c>
      <c r="N670" s="8" t="s">
        <v>585</v>
      </c>
      <c r="O670" s="8" t="s">
        <v>775</v>
      </c>
      <c r="P670" s="6" t="s">
        <v>51</v>
      </c>
      <c r="Q670" s="8" t="s">
        <v>52</v>
      </c>
      <c r="R670" s="10" t="s">
        <v>4261</v>
      </c>
      <c r="S670" s="11"/>
      <c r="T670" s="6"/>
      <c r="U670" s="15" t="str">
        <f>HYPERLINK("https://media.infra-m.ru/2272/2272181/cover/2272181.jpg", "Обложка")</f>
        <v>Обложка</v>
      </c>
      <c r="V670" s="8" t="s">
        <v>2475</v>
      </c>
      <c r="W670" s="6"/>
      <c r="X670" s="6"/>
      <c r="Y670" s="6"/>
      <c r="Z670" s="6"/>
      <c r="AA670" s="6" t="s">
        <v>917</v>
      </c>
      <c r="AB670" s="8"/>
      <c r="AC670" s="27">
        <v>9785160202259</v>
      </c>
    </row>
    <row r="671" spans="1:29" s="4" customFormat="1" ht="51.9" customHeight="1" x14ac:dyDescent="0.2">
      <c r="A671" s="5">
        <v>0</v>
      </c>
      <c r="B671" s="6" t="s">
        <v>4276</v>
      </c>
      <c r="C671" s="7">
        <v>5640</v>
      </c>
      <c r="D671" s="8" t="s">
        <v>4277</v>
      </c>
      <c r="E671" s="8" t="s">
        <v>4233</v>
      </c>
      <c r="F671" s="8" t="s">
        <v>4278</v>
      </c>
      <c r="G671" s="6" t="s">
        <v>60</v>
      </c>
      <c r="H671" s="6" t="s">
        <v>34</v>
      </c>
      <c r="I671" s="8" t="s">
        <v>263</v>
      </c>
      <c r="J671" s="9">
        <v>1</v>
      </c>
      <c r="K671" s="9">
        <v>576</v>
      </c>
      <c r="L671" s="9">
        <v>2026</v>
      </c>
      <c r="M671" s="8" t="s">
        <v>4279</v>
      </c>
      <c r="N671" s="8" t="s">
        <v>585</v>
      </c>
      <c r="O671" s="8" t="s">
        <v>775</v>
      </c>
      <c r="P671" s="6" t="s">
        <v>51</v>
      </c>
      <c r="Q671" s="8" t="s">
        <v>265</v>
      </c>
      <c r="R671" s="10" t="s">
        <v>4221</v>
      </c>
      <c r="S671" s="11" t="s">
        <v>4280</v>
      </c>
      <c r="T671" s="6"/>
      <c r="U671" s="15" t="str">
        <f>HYPERLINK("https://media.infra-m.ru/2217/2217047/cover/2217047.jpg", "Обложка")</f>
        <v>Обложка</v>
      </c>
      <c r="V671" s="8"/>
      <c r="W671" s="6"/>
      <c r="X671" s="6" t="s">
        <v>24</v>
      </c>
      <c r="Y671" s="6"/>
      <c r="Z671" s="6" t="s">
        <v>267</v>
      </c>
      <c r="AA671" s="6" t="s">
        <v>430</v>
      </c>
      <c r="AB671" s="8"/>
      <c r="AC671" s="27">
        <v>9785160212111</v>
      </c>
    </row>
    <row r="672" spans="1:29" s="4" customFormat="1" ht="51.9" customHeight="1" x14ac:dyDescent="0.2">
      <c r="A672" s="5">
        <v>0</v>
      </c>
      <c r="B672" s="6" t="s">
        <v>4281</v>
      </c>
      <c r="C672" s="7">
        <v>3640.8</v>
      </c>
      <c r="D672" s="8" t="s">
        <v>4282</v>
      </c>
      <c r="E672" s="8" t="s">
        <v>4233</v>
      </c>
      <c r="F672" s="8" t="s">
        <v>4278</v>
      </c>
      <c r="G672" s="6" t="s">
        <v>60</v>
      </c>
      <c r="H672" s="6" t="s">
        <v>1042</v>
      </c>
      <c r="I672" s="8" t="s">
        <v>253</v>
      </c>
      <c r="J672" s="9">
        <v>1</v>
      </c>
      <c r="K672" s="9">
        <v>576</v>
      </c>
      <c r="L672" s="9">
        <v>2026</v>
      </c>
      <c r="M672" s="8" t="s">
        <v>4283</v>
      </c>
      <c r="N672" s="8" t="s">
        <v>585</v>
      </c>
      <c r="O672" s="8" t="s">
        <v>775</v>
      </c>
      <c r="P672" s="6" t="s">
        <v>51</v>
      </c>
      <c r="Q672" s="8" t="s">
        <v>52</v>
      </c>
      <c r="R672" s="10" t="s">
        <v>4284</v>
      </c>
      <c r="S672" s="11" t="s">
        <v>4285</v>
      </c>
      <c r="T672" s="6"/>
      <c r="U672" s="15" t="str">
        <f>HYPERLINK("https://media.infra-m.ru/2250/2250896/cover/2250896.jpg", "Обложка")</f>
        <v>Обложка</v>
      </c>
      <c r="V672" s="8"/>
      <c r="W672" s="6"/>
      <c r="X672" s="6" t="s">
        <v>24</v>
      </c>
      <c r="Y672" s="6"/>
      <c r="Z672" s="6"/>
      <c r="AA672" s="6" t="s">
        <v>43</v>
      </c>
      <c r="AB672" s="8"/>
      <c r="AC672" s="27">
        <v>9785819909058</v>
      </c>
    </row>
    <row r="673" spans="1:29" s="4" customFormat="1" ht="51.9" customHeight="1" x14ac:dyDescent="0.2">
      <c r="A673" s="5">
        <v>0</v>
      </c>
      <c r="B673" s="6" t="s">
        <v>4286</v>
      </c>
      <c r="C673" s="13">
        <v>936</v>
      </c>
      <c r="D673" s="8" t="s">
        <v>4287</v>
      </c>
      <c r="E673" s="8" t="s">
        <v>4233</v>
      </c>
      <c r="F673" s="8" t="s">
        <v>4288</v>
      </c>
      <c r="G673" s="6" t="s">
        <v>118</v>
      </c>
      <c r="H673" s="6" t="s">
        <v>34</v>
      </c>
      <c r="I673" s="8" t="s">
        <v>271</v>
      </c>
      <c r="J673" s="9">
        <v>1</v>
      </c>
      <c r="K673" s="9">
        <v>204</v>
      </c>
      <c r="L673" s="9">
        <v>2022</v>
      </c>
      <c r="M673" s="8" t="s">
        <v>4289</v>
      </c>
      <c r="N673" s="8" t="s">
        <v>585</v>
      </c>
      <c r="O673" s="8" t="s">
        <v>586</v>
      </c>
      <c r="P673" s="6" t="s">
        <v>51</v>
      </c>
      <c r="Q673" s="8" t="s">
        <v>52</v>
      </c>
      <c r="R673" s="10" t="s">
        <v>4290</v>
      </c>
      <c r="S673" s="11" t="s">
        <v>4291</v>
      </c>
      <c r="T673" s="6"/>
      <c r="U673" s="15" t="str">
        <f>HYPERLINK("https://media.infra-m.ru/1844/1844354/cover/1844354.jpg", "Обложка")</f>
        <v>Обложка</v>
      </c>
      <c r="V673" s="8" t="s">
        <v>396</v>
      </c>
      <c r="W673" s="6"/>
      <c r="X673" s="6"/>
      <c r="Y673" s="6"/>
      <c r="Z673" s="6"/>
      <c r="AA673" s="6" t="s">
        <v>115</v>
      </c>
      <c r="AB673" s="8"/>
      <c r="AC673" s="27">
        <v>9785160143378</v>
      </c>
    </row>
    <row r="674" spans="1:29" s="4" customFormat="1" ht="51.9" customHeight="1" x14ac:dyDescent="0.2">
      <c r="A674" s="5">
        <v>0</v>
      </c>
      <c r="B674" s="6" t="s">
        <v>4292</v>
      </c>
      <c r="C674" s="13">
        <v>936</v>
      </c>
      <c r="D674" s="8" t="s">
        <v>4293</v>
      </c>
      <c r="E674" s="8" t="s">
        <v>4233</v>
      </c>
      <c r="F674" s="8" t="s">
        <v>4288</v>
      </c>
      <c r="G674" s="6" t="s">
        <v>118</v>
      </c>
      <c r="H674" s="6" t="s">
        <v>34</v>
      </c>
      <c r="I674" s="8" t="s">
        <v>263</v>
      </c>
      <c r="J674" s="9">
        <v>1</v>
      </c>
      <c r="K674" s="9">
        <v>204</v>
      </c>
      <c r="L674" s="9">
        <v>2022</v>
      </c>
      <c r="M674" s="8" t="s">
        <v>4294</v>
      </c>
      <c r="N674" s="8" t="s">
        <v>585</v>
      </c>
      <c r="O674" s="8" t="s">
        <v>586</v>
      </c>
      <c r="P674" s="6" t="s">
        <v>51</v>
      </c>
      <c r="Q674" s="8" t="s">
        <v>265</v>
      </c>
      <c r="R674" s="10" t="s">
        <v>4295</v>
      </c>
      <c r="S674" s="11" t="s">
        <v>4296</v>
      </c>
      <c r="T674" s="6"/>
      <c r="U674" s="15" t="str">
        <f>HYPERLINK("https://media.infra-m.ru/1852/1852173/cover/1852173.jpg", "Обложка")</f>
        <v>Обложка</v>
      </c>
      <c r="V674" s="8" t="s">
        <v>396</v>
      </c>
      <c r="W674" s="6"/>
      <c r="X674" s="6" t="s">
        <v>24</v>
      </c>
      <c r="Y674" s="6"/>
      <c r="Z674" s="6" t="s">
        <v>267</v>
      </c>
      <c r="AA674" s="6" t="s">
        <v>115</v>
      </c>
      <c r="AB674" s="8"/>
      <c r="AC674" s="27">
        <v>9785160152608</v>
      </c>
    </row>
    <row r="675" spans="1:29" s="4" customFormat="1" ht="42" customHeight="1" x14ac:dyDescent="0.2">
      <c r="A675" s="5">
        <v>0</v>
      </c>
      <c r="B675" s="6" t="s">
        <v>4297</v>
      </c>
      <c r="C675" s="7">
        <v>1488</v>
      </c>
      <c r="D675" s="8" t="s">
        <v>4298</v>
      </c>
      <c r="E675" s="8" t="s">
        <v>4271</v>
      </c>
      <c r="F675" s="8" t="s">
        <v>4288</v>
      </c>
      <c r="G675" s="6" t="s">
        <v>118</v>
      </c>
      <c r="H675" s="6" t="s">
        <v>34</v>
      </c>
      <c r="I675" s="8" t="s">
        <v>3119</v>
      </c>
      <c r="J675" s="9">
        <v>1</v>
      </c>
      <c r="K675" s="9">
        <v>225</v>
      </c>
      <c r="L675" s="9">
        <v>2026</v>
      </c>
      <c r="M675" s="8" t="s">
        <v>4299</v>
      </c>
      <c r="N675" s="8" t="s">
        <v>585</v>
      </c>
      <c r="O675" s="8" t="s">
        <v>586</v>
      </c>
      <c r="P675" s="6" t="s">
        <v>51</v>
      </c>
      <c r="Q675" s="8" t="s">
        <v>52</v>
      </c>
      <c r="R675" s="10" t="s">
        <v>4290</v>
      </c>
      <c r="S675" s="11"/>
      <c r="T675" s="6"/>
      <c r="U675" s="15" t="str">
        <f>HYPERLINK("https://media.infra-m.ru/2233/2233801/cover/2233801.jpg", "Обложка")</f>
        <v>Обложка</v>
      </c>
      <c r="V675" s="8" t="s">
        <v>396</v>
      </c>
      <c r="W675" s="6"/>
      <c r="X675" s="6"/>
      <c r="Y675" s="6"/>
      <c r="Z675" s="6"/>
      <c r="AA675" s="6" t="s">
        <v>1303</v>
      </c>
      <c r="AB675" s="8"/>
      <c r="AC675" s="27">
        <v>9785160182056</v>
      </c>
    </row>
    <row r="676" spans="1:29" s="4" customFormat="1" ht="51.9" customHeight="1" x14ac:dyDescent="0.2">
      <c r="A676" s="5">
        <v>0</v>
      </c>
      <c r="B676" s="6" t="s">
        <v>4300</v>
      </c>
      <c r="C676" s="7">
        <v>1488</v>
      </c>
      <c r="D676" s="8" t="s">
        <v>4301</v>
      </c>
      <c r="E676" s="8" t="s">
        <v>4271</v>
      </c>
      <c r="F676" s="8" t="s">
        <v>4288</v>
      </c>
      <c r="G676" s="6" t="s">
        <v>118</v>
      </c>
      <c r="H676" s="6" t="s">
        <v>34</v>
      </c>
      <c r="I676" s="8" t="s">
        <v>263</v>
      </c>
      <c r="J676" s="9">
        <v>1</v>
      </c>
      <c r="K676" s="9">
        <v>225</v>
      </c>
      <c r="L676" s="9">
        <v>2026</v>
      </c>
      <c r="M676" s="8" t="s">
        <v>4302</v>
      </c>
      <c r="N676" s="8" t="s">
        <v>585</v>
      </c>
      <c r="O676" s="8" t="s">
        <v>586</v>
      </c>
      <c r="P676" s="6" t="s">
        <v>51</v>
      </c>
      <c r="Q676" s="8" t="s">
        <v>265</v>
      </c>
      <c r="R676" s="10" t="s">
        <v>4295</v>
      </c>
      <c r="S676" s="11"/>
      <c r="T676" s="6"/>
      <c r="U676" s="15" t="str">
        <f>HYPERLINK("https://media.infra-m.ru/2223/2223932/cover/2223932.jpg", "Обложка")</f>
        <v>Обложка</v>
      </c>
      <c r="V676" s="8" t="s">
        <v>396</v>
      </c>
      <c r="W676" s="6"/>
      <c r="X676" s="6" t="s">
        <v>24</v>
      </c>
      <c r="Y676" s="6"/>
      <c r="Z676" s="6" t="s">
        <v>267</v>
      </c>
      <c r="AA676" s="6" t="s">
        <v>106</v>
      </c>
      <c r="AB676" s="8"/>
      <c r="AC676" s="27">
        <v>9785160189567</v>
      </c>
    </row>
    <row r="677" spans="1:29" s="4" customFormat="1" ht="51.9" customHeight="1" x14ac:dyDescent="0.2">
      <c r="A677" s="5">
        <v>0</v>
      </c>
      <c r="B677" s="6" t="s">
        <v>4303</v>
      </c>
      <c r="C677" s="7">
        <v>1444.8</v>
      </c>
      <c r="D677" s="8" t="s">
        <v>4304</v>
      </c>
      <c r="E677" s="8" t="s">
        <v>4305</v>
      </c>
      <c r="F677" s="8" t="s">
        <v>4306</v>
      </c>
      <c r="G677" s="6" t="s">
        <v>118</v>
      </c>
      <c r="H677" s="6" t="s">
        <v>34</v>
      </c>
      <c r="I677" s="8" t="s">
        <v>504</v>
      </c>
      <c r="J677" s="9">
        <v>1</v>
      </c>
      <c r="K677" s="9">
        <v>231</v>
      </c>
      <c r="L677" s="9">
        <v>2025</v>
      </c>
      <c r="M677" s="8" t="s">
        <v>4307</v>
      </c>
      <c r="N677" s="8" t="s">
        <v>243</v>
      </c>
      <c r="O677" s="8" t="s">
        <v>758</v>
      </c>
      <c r="P677" s="6" t="s">
        <v>51</v>
      </c>
      <c r="Q677" s="8" t="s">
        <v>500</v>
      </c>
      <c r="R677" s="10" t="s">
        <v>4308</v>
      </c>
      <c r="S677" s="11" t="s">
        <v>4309</v>
      </c>
      <c r="T677" s="6"/>
      <c r="U677" s="15" t="str">
        <f>HYPERLINK("https://media.infra-m.ru/2202/2202290/cover/2202290.jpg", "Обложка")</f>
        <v>Обложка</v>
      </c>
      <c r="V677" s="8" t="s">
        <v>867</v>
      </c>
      <c r="W677" s="6"/>
      <c r="X677" s="6"/>
      <c r="Y677" s="6"/>
      <c r="Z677" s="6"/>
      <c r="AA677" s="6" t="s">
        <v>148</v>
      </c>
      <c r="AB677" s="8"/>
      <c r="AC677" s="27">
        <v>9785160144122</v>
      </c>
    </row>
    <row r="678" spans="1:29" s="4" customFormat="1" ht="42" customHeight="1" x14ac:dyDescent="0.2">
      <c r="A678" s="5">
        <v>0</v>
      </c>
      <c r="B678" s="6" t="s">
        <v>4310</v>
      </c>
      <c r="C678" s="13">
        <v>952.8</v>
      </c>
      <c r="D678" s="8" t="s">
        <v>4311</v>
      </c>
      <c r="E678" s="8" t="s">
        <v>4312</v>
      </c>
      <c r="F678" s="8" t="s">
        <v>1524</v>
      </c>
      <c r="G678" s="6" t="s">
        <v>33</v>
      </c>
      <c r="H678" s="6" t="s">
        <v>34</v>
      </c>
      <c r="I678" s="8" t="s">
        <v>35</v>
      </c>
      <c r="J678" s="9">
        <v>1</v>
      </c>
      <c r="K678" s="9">
        <v>145</v>
      </c>
      <c r="L678" s="9">
        <v>2026</v>
      </c>
      <c r="M678" s="8" t="s">
        <v>4313</v>
      </c>
      <c r="N678" s="8" t="s">
        <v>243</v>
      </c>
      <c r="O678" s="8" t="s">
        <v>758</v>
      </c>
      <c r="P678" s="6" t="s">
        <v>39</v>
      </c>
      <c r="Q678" s="8" t="s">
        <v>40</v>
      </c>
      <c r="R678" s="10" t="s">
        <v>4314</v>
      </c>
      <c r="S678" s="11"/>
      <c r="T678" s="6"/>
      <c r="U678" s="15" t="str">
        <f>HYPERLINK("https://media.infra-m.ru/2239/2239106/cover/2239106.jpg", "Обложка")</f>
        <v>Обложка</v>
      </c>
      <c r="V678" s="8" t="s">
        <v>1527</v>
      </c>
      <c r="W678" s="6"/>
      <c r="X678" s="6"/>
      <c r="Y678" s="6"/>
      <c r="Z678" s="6"/>
      <c r="AA678" s="6" t="s">
        <v>86</v>
      </c>
      <c r="AB678" s="8"/>
      <c r="AC678" s="27">
        <v>9785160137605</v>
      </c>
    </row>
    <row r="679" spans="1:29" s="4" customFormat="1" ht="51.9" customHeight="1" x14ac:dyDescent="0.2">
      <c r="A679" s="5">
        <v>0</v>
      </c>
      <c r="B679" s="6" t="s">
        <v>4315</v>
      </c>
      <c r="C679" s="7">
        <v>1768.8</v>
      </c>
      <c r="D679" s="8" t="s">
        <v>4316</v>
      </c>
      <c r="E679" s="8" t="s">
        <v>4317</v>
      </c>
      <c r="F679" s="8" t="s">
        <v>4318</v>
      </c>
      <c r="G679" s="6" t="s">
        <v>118</v>
      </c>
      <c r="H679" s="6" t="s">
        <v>34</v>
      </c>
      <c r="I679" s="8" t="s">
        <v>253</v>
      </c>
      <c r="J679" s="9">
        <v>1</v>
      </c>
      <c r="K679" s="9">
        <v>269</v>
      </c>
      <c r="L679" s="9">
        <v>2026</v>
      </c>
      <c r="M679" s="8" t="s">
        <v>4319</v>
      </c>
      <c r="N679" s="8" t="s">
        <v>37</v>
      </c>
      <c r="O679" s="8" t="s">
        <v>499</v>
      </c>
      <c r="P679" s="6" t="s">
        <v>306</v>
      </c>
      <c r="Q679" s="8" t="s">
        <v>52</v>
      </c>
      <c r="R679" s="10" t="s">
        <v>4320</v>
      </c>
      <c r="S679" s="11" t="s">
        <v>4321</v>
      </c>
      <c r="T679" s="6"/>
      <c r="U679" s="15" t="str">
        <f>HYPERLINK("https://media.infra-m.ru/2243/2243402/cover/2243402.jpg", "Обложка")</f>
        <v>Обложка</v>
      </c>
      <c r="V679" s="8" t="s">
        <v>4322</v>
      </c>
      <c r="W679" s="6"/>
      <c r="X679" s="6"/>
      <c r="Y679" s="6"/>
      <c r="Z679" s="6"/>
      <c r="AA679" s="6" t="s">
        <v>43</v>
      </c>
      <c r="AB679" s="8"/>
      <c r="AC679" s="27">
        <v>9785160207339</v>
      </c>
    </row>
    <row r="680" spans="1:29" s="4" customFormat="1" ht="51.9" customHeight="1" x14ac:dyDescent="0.2">
      <c r="A680" s="5">
        <v>0</v>
      </c>
      <c r="B680" s="6" t="s">
        <v>4323</v>
      </c>
      <c r="C680" s="7">
        <v>1432.8</v>
      </c>
      <c r="D680" s="8" t="s">
        <v>4324</v>
      </c>
      <c r="E680" s="8" t="s">
        <v>4325</v>
      </c>
      <c r="F680" s="8" t="s">
        <v>4326</v>
      </c>
      <c r="G680" s="6" t="s">
        <v>118</v>
      </c>
      <c r="H680" s="6" t="s">
        <v>34</v>
      </c>
      <c r="I680" s="8" t="s">
        <v>271</v>
      </c>
      <c r="J680" s="9">
        <v>1</v>
      </c>
      <c r="K680" s="9">
        <v>254</v>
      </c>
      <c r="L680" s="9">
        <v>2024</v>
      </c>
      <c r="M680" s="8" t="s">
        <v>4327</v>
      </c>
      <c r="N680" s="8" t="s">
        <v>243</v>
      </c>
      <c r="O680" s="8" t="s">
        <v>329</v>
      </c>
      <c r="P680" s="6" t="s">
        <v>1481</v>
      </c>
      <c r="Q680" s="8" t="s">
        <v>52</v>
      </c>
      <c r="R680" s="10" t="s">
        <v>4328</v>
      </c>
      <c r="S680" s="11" t="s">
        <v>4329</v>
      </c>
      <c r="T680" s="6"/>
      <c r="U680" s="15" t="str">
        <f>HYPERLINK("https://media.infra-m.ru/2152/2152145/cover/2152145.jpg", "Обложка")</f>
        <v>Обложка</v>
      </c>
      <c r="V680" s="8" t="s">
        <v>4330</v>
      </c>
      <c r="W680" s="6"/>
      <c r="X680" s="6"/>
      <c r="Y680" s="6"/>
      <c r="Z680" s="6"/>
      <c r="AA680" s="6" t="s">
        <v>115</v>
      </c>
      <c r="AB680" s="8"/>
      <c r="AC680" s="27">
        <v>9785160140568</v>
      </c>
    </row>
    <row r="681" spans="1:29" s="4" customFormat="1" ht="51.9" customHeight="1" x14ac:dyDescent="0.2">
      <c r="A681" s="5">
        <v>0</v>
      </c>
      <c r="B681" s="6" t="s">
        <v>4331</v>
      </c>
      <c r="C681" s="7">
        <v>1488</v>
      </c>
      <c r="D681" s="8" t="s">
        <v>4332</v>
      </c>
      <c r="E681" s="8" t="s">
        <v>4333</v>
      </c>
      <c r="F681" s="8" t="s">
        <v>4334</v>
      </c>
      <c r="G681" s="6" t="s">
        <v>60</v>
      </c>
      <c r="H681" s="6" t="s">
        <v>34</v>
      </c>
      <c r="I681" s="8" t="s">
        <v>1128</v>
      </c>
      <c r="J681" s="9">
        <v>1</v>
      </c>
      <c r="K681" s="9">
        <v>265</v>
      </c>
      <c r="L681" s="9">
        <v>2023</v>
      </c>
      <c r="M681" s="8" t="s">
        <v>4335</v>
      </c>
      <c r="N681" s="8" t="s">
        <v>243</v>
      </c>
      <c r="O681" s="8" t="s">
        <v>758</v>
      </c>
      <c r="P681" s="6" t="s">
        <v>51</v>
      </c>
      <c r="Q681" s="8" t="s">
        <v>65</v>
      </c>
      <c r="R681" s="10" t="s">
        <v>4336</v>
      </c>
      <c r="S681" s="11" t="s">
        <v>4337</v>
      </c>
      <c r="T681" s="6"/>
      <c r="U681" s="15" t="str">
        <f>HYPERLINK("https://media.infra-m.ru/2065/2065507/cover/2065507.jpg", "Обложка")</f>
        <v>Обложка</v>
      </c>
      <c r="V681" s="8" t="s">
        <v>1132</v>
      </c>
      <c r="W681" s="6"/>
      <c r="X681" s="6"/>
      <c r="Y681" s="6"/>
      <c r="Z681" s="6"/>
      <c r="AA681" s="6" t="s">
        <v>157</v>
      </c>
      <c r="AB681" s="8"/>
      <c r="AC681" s="27">
        <v>9785160188287</v>
      </c>
    </row>
    <row r="682" spans="1:29" s="4" customFormat="1" ht="51.9" customHeight="1" x14ac:dyDescent="0.2">
      <c r="A682" s="5">
        <v>0</v>
      </c>
      <c r="B682" s="6" t="s">
        <v>4338</v>
      </c>
      <c r="C682" s="7">
        <v>1428</v>
      </c>
      <c r="D682" s="8" t="s">
        <v>4339</v>
      </c>
      <c r="E682" s="8" t="s">
        <v>4340</v>
      </c>
      <c r="F682" s="8" t="s">
        <v>4341</v>
      </c>
      <c r="G682" s="6" t="s">
        <v>33</v>
      </c>
      <c r="H682" s="6" t="s">
        <v>34</v>
      </c>
      <c r="I682" s="8" t="s">
        <v>35</v>
      </c>
      <c r="J682" s="9">
        <v>1</v>
      </c>
      <c r="K682" s="9">
        <v>218</v>
      </c>
      <c r="L682" s="9">
        <v>2026</v>
      </c>
      <c r="M682" s="8" t="s">
        <v>4342</v>
      </c>
      <c r="N682" s="8" t="s">
        <v>37</v>
      </c>
      <c r="O682" s="8" t="s">
        <v>83</v>
      </c>
      <c r="P682" s="6" t="s">
        <v>39</v>
      </c>
      <c r="Q682" s="8" t="s">
        <v>40</v>
      </c>
      <c r="R682" s="10" t="s">
        <v>4343</v>
      </c>
      <c r="S682" s="11"/>
      <c r="T682" s="6"/>
      <c r="U682" s="15" t="str">
        <f>HYPERLINK("https://media.infra-m.ru/2218/2218799/cover/2218799.jpg", "Обложка")</f>
        <v>Обложка</v>
      </c>
      <c r="V682" s="8"/>
      <c r="W682" s="6"/>
      <c r="X682" s="6"/>
      <c r="Y682" s="6"/>
      <c r="Z682" s="6"/>
      <c r="AA682" s="6" t="s">
        <v>157</v>
      </c>
      <c r="AB682" s="8"/>
      <c r="AC682" s="27">
        <v>9785160177847</v>
      </c>
    </row>
    <row r="683" spans="1:29" s="4" customFormat="1" ht="51.9" customHeight="1" x14ac:dyDescent="0.2">
      <c r="A683" s="5">
        <v>0</v>
      </c>
      <c r="B683" s="6" t="s">
        <v>4344</v>
      </c>
      <c r="C683" s="7">
        <v>1236</v>
      </c>
      <c r="D683" s="8" t="s">
        <v>4345</v>
      </c>
      <c r="E683" s="8" t="s">
        <v>4346</v>
      </c>
      <c r="F683" s="8" t="s">
        <v>1802</v>
      </c>
      <c r="G683" s="6" t="s">
        <v>60</v>
      </c>
      <c r="H683" s="6" t="s">
        <v>34</v>
      </c>
      <c r="I683" s="8" t="s">
        <v>35</v>
      </c>
      <c r="J683" s="9">
        <v>1</v>
      </c>
      <c r="K683" s="9">
        <v>168</v>
      </c>
      <c r="L683" s="9">
        <v>2026</v>
      </c>
      <c r="M683" s="8" t="s">
        <v>4347</v>
      </c>
      <c r="N683" s="8" t="s">
        <v>37</v>
      </c>
      <c r="O683" s="8" t="s">
        <v>136</v>
      </c>
      <c r="P683" s="6" t="s">
        <v>39</v>
      </c>
      <c r="Q683" s="8" t="s">
        <v>40</v>
      </c>
      <c r="R683" s="10" t="s">
        <v>4348</v>
      </c>
      <c r="S683" s="11"/>
      <c r="T683" s="6"/>
      <c r="U683" s="15" t="str">
        <f>HYPERLINK("https://media.infra-m.ru/2219/2219639/cover/2219639.jpg", "Обложка")</f>
        <v>Обложка</v>
      </c>
      <c r="V683" s="8" t="s">
        <v>1805</v>
      </c>
      <c r="W683" s="6" t="s">
        <v>299</v>
      </c>
      <c r="X683" s="6"/>
      <c r="Y683" s="6"/>
      <c r="Z683" s="6"/>
      <c r="AA683" s="6" t="s">
        <v>187</v>
      </c>
      <c r="AB683" s="8" t="s">
        <v>308</v>
      </c>
      <c r="AC683" s="27">
        <v>9785160212531</v>
      </c>
    </row>
    <row r="684" spans="1:29" s="4" customFormat="1" ht="51.9" customHeight="1" x14ac:dyDescent="0.2">
      <c r="A684" s="5">
        <v>0</v>
      </c>
      <c r="B684" s="6" t="s">
        <v>4349</v>
      </c>
      <c r="C684" s="7">
        <v>1476</v>
      </c>
      <c r="D684" s="8" t="s">
        <v>4350</v>
      </c>
      <c r="E684" s="8" t="s">
        <v>4351</v>
      </c>
      <c r="F684" s="8" t="s">
        <v>4352</v>
      </c>
      <c r="G684" s="6" t="s">
        <v>33</v>
      </c>
      <c r="H684" s="6" t="s">
        <v>34</v>
      </c>
      <c r="I684" s="8" t="s">
        <v>35</v>
      </c>
      <c r="J684" s="9">
        <v>1</v>
      </c>
      <c r="K684" s="9">
        <v>180</v>
      </c>
      <c r="L684" s="9">
        <v>2026</v>
      </c>
      <c r="M684" s="8" t="s">
        <v>4353</v>
      </c>
      <c r="N684" s="8" t="s">
        <v>243</v>
      </c>
      <c r="O684" s="8" t="s">
        <v>964</v>
      </c>
      <c r="P684" s="6" t="s">
        <v>39</v>
      </c>
      <c r="Q684" s="8" t="s">
        <v>40</v>
      </c>
      <c r="R684" s="10" t="s">
        <v>4354</v>
      </c>
      <c r="S684" s="11"/>
      <c r="T684" s="6"/>
      <c r="U684" s="15" t="str">
        <f>HYPERLINK("https://media.infra-m.ru/2237/2237109/cover/2237109.jpg", "Обложка")</f>
        <v>Обложка</v>
      </c>
      <c r="V684" s="8" t="s">
        <v>217</v>
      </c>
      <c r="W684" s="6"/>
      <c r="X684" s="6"/>
      <c r="Y684" s="6"/>
      <c r="Z684" s="6"/>
      <c r="AA684" s="6" t="s">
        <v>1256</v>
      </c>
      <c r="AB684" s="8"/>
      <c r="AC684" s="27">
        <v>9785160158419</v>
      </c>
    </row>
    <row r="685" spans="1:29" s="4" customFormat="1" ht="51.9" customHeight="1" x14ac:dyDescent="0.2">
      <c r="A685" s="5">
        <v>0</v>
      </c>
      <c r="B685" s="6" t="s">
        <v>4355</v>
      </c>
      <c r="C685" s="7">
        <v>2148</v>
      </c>
      <c r="D685" s="8" t="s">
        <v>4356</v>
      </c>
      <c r="E685" s="8" t="s">
        <v>4357</v>
      </c>
      <c r="F685" s="8" t="s">
        <v>4358</v>
      </c>
      <c r="G685" s="6" t="s">
        <v>118</v>
      </c>
      <c r="H685" s="6" t="s">
        <v>34</v>
      </c>
      <c r="I685" s="8"/>
      <c r="J685" s="9">
        <v>1</v>
      </c>
      <c r="K685" s="9">
        <v>324</v>
      </c>
      <c r="L685" s="9">
        <v>2026</v>
      </c>
      <c r="M685" s="8" t="s">
        <v>4359</v>
      </c>
      <c r="N685" s="8" t="s">
        <v>37</v>
      </c>
      <c r="O685" s="8" t="s">
        <v>280</v>
      </c>
      <c r="P685" s="6" t="s">
        <v>39</v>
      </c>
      <c r="Q685" s="8" t="s">
        <v>40</v>
      </c>
      <c r="R685" s="10" t="s">
        <v>4360</v>
      </c>
      <c r="S685" s="11"/>
      <c r="T685" s="6"/>
      <c r="U685" s="15" t="str">
        <f>HYPERLINK("https://media.infra-m.ru/2234/2234198/cover/2234198.jpg", "Обложка")</f>
        <v>Обложка</v>
      </c>
      <c r="V685" s="8" t="s">
        <v>3087</v>
      </c>
      <c r="W685" s="6"/>
      <c r="X685" s="6"/>
      <c r="Y685" s="6"/>
      <c r="Z685" s="6"/>
      <c r="AA685" s="6" t="s">
        <v>68</v>
      </c>
      <c r="AB685" s="8"/>
      <c r="AC685" s="27">
        <v>9785160216768</v>
      </c>
    </row>
    <row r="686" spans="1:29" s="4" customFormat="1" ht="51.9" customHeight="1" x14ac:dyDescent="0.2">
      <c r="A686" s="5">
        <v>0</v>
      </c>
      <c r="B686" s="6" t="s">
        <v>4361</v>
      </c>
      <c r="C686" s="7">
        <v>1276.8</v>
      </c>
      <c r="D686" s="8" t="s">
        <v>4362</v>
      </c>
      <c r="E686" s="8" t="s">
        <v>4363</v>
      </c>
      <c r="F686" s="8" t="s">
        <v>4364</v>
      </c>
      <c r="G686" s="6" t="s">
        <v>118</v>
      </c>
      <c r="H686" s="6" t="s">
        <v>34</v>
      </c>
      <c r="I686" s="8" t="s">
        <v>271</v>
      </c>
      <c r="J686" s="9">
        <v>1</v>
      </c>
      <c r="K686" s="9">
        <v>184</v>
      </c>
      <c r="L686" s="9">
        <v>2027</v>
      </c>
      <c r="M686" s="8" t="s">
        <v>4365</v>
      </c>
      <c r="N686" s="8" t="s">
        <v>243</v>
      </c>
      <c r="O686" s="8" t="s">
        <v>964</v>
      </c>
      <c r="P686" s="6" t="s">
        <v>51</v>
      </c>
      <c r="Q686" s="8" t="s">
        <v>52</v>
      </c>
      <c r="R686" s="10" t="s">
        <v>4366</v>
      </c>
      <c r="S686" s="11" t="s">
        <v>4367</v>
      </c>
      <c r="T686" s="6"/>
      <c r="U686" s="15" t="str">
        <f>HYPERLINK("https://media.infra-m.ru/2270/2270282/cover/2270282.jpg", "Обложка")</f>
        <v>Обложка</v>
      </c>
      <c r="V686" s="8" t="s">
        <v>4368</v>
      </c>
      <c r="W686" s="6"/>
      <c r="X686" s="6"/>
      <c r="Y686" s="6"/>
      <c r="Z686" s="6"/>
      <c r="AA686" s="6" t="s">
        <v>99</v>
      </c>
      <c r="AB686" s="8"/>
      <c r="AC686" s="27">
        <v>9785160127330</v>
      </c>
    </row>
    <row r="687" spans="1:29" s="4" customFormat="1" ht="51.9" customHeight="1" x14ac:dyDescent="0.2">
      <c r="A687" s="5">
        <v>0</v>
      </c>
      <c r="B687" s="6" t="s">
        <v>4369</v>
      </c>
      <c r="C687" s="7">
        <v>1072.8</v>
      </c>
      <c r="D687" s="8" t="s">
        <v>4370</v>
      </c>
      <c r="E687" s="8" t="s">
        <v>4371</v>
      </c>
      <c r="F687" s="8" t="s">
        <v>4372</v>
      </c>
      <c r="G687" s="6" t="s">
        <v>60</v>
      </c>
      <c r="H687" s="6" t="s">
        <v>313</v>
      </c>
      <c r="I687" s="8" t="s">
        <v>271</v>
      </c>
      <c r="J687" s="9">
        <v>1</v>
      </c>
      <c r="K687" s="9">
        <v>154</v>
      </c>
      <c r="L687" s="9">
        <v>2027</v>
      </c>
      <c r="M687" s="8" t="s">
        <v>4373</v>
      </c>
      <c r="N687" s="8" t="s">
        <v>243</v>
      </c>
      <c r="O687" s="8" t="s">
        <v>798</v>
      </c>
      <c r="P687" s="6" t="s">
        <v>51</v>
      </c>
      <c r="Q687" s="8" t="s">
        <v>52</v>
      </c>
      <c r="R687" s="10" t="s">
        <v>4374</v>
      </c>
      <c r="S687" s="11" t="s">
        <v>4375</v>
      </c>
      <c r="T687" s="6"/>
      <c r="U687" s="15" t="str">
        <f>HYPERLINK("https://media.infra-m.ru/2270/2270800/cover/2270800.jpg", "Обложка")</f>
        <v>Обложка</v>
      </c>
      <c r="V687" s="8" t="s">
        <v>4376</v>
      </c>
      <c r="W687" s="6"/>
      <c r="X687" s="6"/>
      <c r="Y687" s="6"/>
      <c r="Z687" s="6"/>
      <c r="AA687" s="6" t="s">
        <v>248</v>
      </c>
      <c r="AB687" s="8"/>
      <c r="AC687" s="27">
        <v>9785369012949</v>
      </c>
    </row>
    <row r="688" spans="1:29" s="4" customFormat="1" ht="42" customHeight="1" x14ac:dyDescent="0.2">
      <c r="A688" s="5">
        <v>0</v>
      </c>
      <c r="B688" s="6" t="s">
        <v>4377</v>
      </c>
      <c r="C688" s="7">
        <v>1200</v>
      </c>
      <c r="D688" s="8" t="s">
        <v>4378</v>
      </c>
      <c r="E688" s="8" t="s">
        <v>4379</v>
      </c>
      <c r="F688" s="8" t="s">
        <v>4380</v>
      </c>
      <c r="G688" s="6" t="s">
        <v>60</v>
      </c>
      <c r="H688" s="6" t="s">
        <v>34</v>
      </c>
      <c r="I688" s="8" t="s">
        <v>1248</v>
      </c>
      <c r="J688" s="14">
        <v>0</v>
      </c>
      <c r="K688" s="9">
        <v>169</v>
      </c>
      <c r="L688" s="9">
        <v>2027</v>
      </c>
      <c r="M688" s="8" t="s">
        <v>4381</v>
      </c>
      <c r="N688" s="8" t="s">
        <v>37</v>
      </c>
      <c r="O688" s="8" t="s">
        <v>50</v>
      </c>
      <c r="P688" s="6" t="s">
        <v>51</v>
      </c>
      <c r="Q688" s="8" t="s">
        <v>52</v>
      </c>
      <c r="R688" s="10" t="s">
        <v>4382</v>
      </c>
      <c r="S688" s="11"/>
      <c r="T688" s="6"/>
      <c r="U688" s="15" t="str">
        <f>HYPERLINK("https://media.infra-m.ru/2271/2271212/cover/2271212.jpg", "Обложка")</f>
        <v>Обложка</v>
      </c>
      <c r="V688" s="8" t="s">
        <v>1083</v>
      </c>
      <c r="W688" s="6"/>
      <c r="X688" s="6"/>
      <c r="Y688" s="6"/>
      <c r="Z688" s="6"/>
      <c r="AA688" s="6" t="s">
        <v>420</v>
      </c>
      <c r="AB688" s="8"/>
      <c r="AC688" s="27">
        <v>9785160225029</v>
      </c>
    </row>
    <row r="689" spans="1:29" s="4" customFormat="1" ht="51.9" customHeight="1" x14ac:dyDescent="0.2">
      <c r="A689" s="5">
        <v>0</v>
      </c>
      <c r="B689" s="6" t="s">
        <v>4383</v>
      </c>
      <c r="C689" s="7">
        <v>1572</v>
      </c>
      <c r="D689" s="8" t="s">
        <v>4384</v>
      </c>
      <c r="E689" s="8" t="s">
        <v>4385</v>
      </c>
      <c r="F689" s="8" t="s">
        <v>4386</v>
      </c>
      <c r="G689" s="6" t="s">
        <v>33</v>
      </c>
      <c r="H689" s="6" t="s">
        <v>34</v>
      </c>
      <c r="I689" s="8" t="s">
        <v>253</v>
      </c>
      <c r="J689" s="9">
        <v>1</v>
      </c>
      <c r="K689" s="9">
        <v>239</v>
      </c>
      <c r="L689" s="9">
        <v>2026</v>
      </c>
      <c r="M689" s="8" t="s">
        <v>4387</v>
      </c>
      <c r="N689" s="8" t="s">
        <v>37</v>
      </c>
      <c r="O689" s="8" t="s">
        <v>50</v>
      </c>
      <c r="P689" s="6" t="s">
        <v>51</v>
      </c>
      <c r="Q689" s="8" t="s">
        <v>65</v>
      </c>
      <c r="R689" s="10" t="s">
        <v>4382</v>
      </c>
      <c r="S689" s="11" t="s">
        <v>4388</v>
      </c>
      <c r="T689" s="6"/>
      <c r="U689" s="15" t="str">
        <f>HYPERLINK("https://media.infra-m.ru/2232/2232827/cover/2232827.jpg", "Обложка")</f>
        <v>Обложка</v>
      </c>
      <c r="V689" s="8" t="s">
        <v>4389</v>
      </c>
      <c r="W689" s="6"/>
      <c r="X689" s="6"/>
      <c r="Y689" s="6"/>
      <c r="Z689" s="6"/>
      <c r="AA689" s="6" t="s">
        <v>274</v>
      </c>
      <c r="AB689" s="8"/>
      <c r="AC689" s="27">
        <v>9785160216256</v>
      </c>
    </row>
    <row r="690" spans="1:29" s="4" customFormat="1" ht="42" customHeight="1" x14ac:dyDescent="0.2">
      <c r="A690" s="5">
        <v>0</v>
      </c>
      <c r="B690" s="6" t="s">
        <v>4390</v>
      </c>
      <c r="C690" s="7">
        <v>1140</v>
      </c>
      <c r="D690" s="8" t="s">
        <v>4391</v>
      </c>
      <c r="E690" s="8" t="s">
        <v>4392</v>
      </c>
      <c r="F690" s="8" t="s">
        <v>4393</v>
      </c>
      <c r="G690" s="6" t="s">
        <v>60</v>
      </c>
      <c r="H690" s="6" t="s">
        <v>34</v>
      </c>
      <c r="I690" s="8" t="s">
        <v>1248</v>
      </c>
      <c r="J690" s="14">
        <v>0</v>
      </c>
      <c r="K690" s="9">
        <v>164</v>
      </c>
      <c r="L690" s="9">
        <v>2027</v>
      </c>
      <c r="M690" s="8" t="s">
        <v>4394</v>
      </c>
      <c r="N690" s="8" t="s">
        <v>37</v>
      </c>
      <c r="O690" s="8" t="s">
        <v>50</v>
      </c>
      <c r="P690" s="6" t="s">
        <v>51</v>
      </c>
      <c r="Q690" s="8" t="s">
        <v>52</v>
      </c>
      <c r="R690" s="10" t="s">
        <v>4382</v>
      </c>
      <c r="S690" s="11"/>
      <c r="T690" s="6"/>
      <c r="U690" s="15" t="str">
        <f>HYPERLINK("https://media.infra-m.ru/2271/2271214/cover/2271214.jpg", "Обложка")</f>
        <v>Обложка</v>
      </c>
      <c r="V690" s="8" t="s">
        <v>1083</v>
      </c>
      <c r="W690" s="6"/>
      <c r="X690" s="6"/>
      <c r="Y690" s="6"/>
      <c r="Z690" s="6"/>
      <c r="AA690" s="6" t="s">
        <v>420</v>
      </c>
      <c r="AB690" s="8"/>
      <c r="AC690" s="27">
        <v>9785160225043</v>
      </c>
    </row>
    <row r="691" spans="1:29" s="4" customFormat="1" ht="42" customHeight="1" x14ac:dyDescent="0.2">
      <c r="A691" s="5">
        <v>0</v>
      </c>
      <c r="B691" s="6" t="s">
        <v>4395</v>
      </c>
      <c r="C691" s="7">
        <v>1116</v>
      </c>
      <c r="D691" s="8" t="s">
        <v>4396</v>
      </c>
      <c r="E691" s="8" t="s">
        <v>4397</v>
      </c>
      <c r="F691" s="8" t="s">
        <v>4398</v>
      </c>
      <c r="G691" s="6" t="s">
        <v>118</v>
      </c>
      <c r="H691" s="6" t="s">
        <v>34</v>
      </c>
      <c r="I691" s="8" t="s">
        <v>4399</v>
      </c>
      <c r="J691" s="9">
        <v>1</v>
      </c>
      <c r="K691" s="9">
        <v>160</v>
      </c>
      <c r="L691" s="9">
        <v>2027</v>
      </c>
      <c r="M691" s="8" t="s">
        <v>4400</v>
      </c>
      <c r="N691" s="8" t="s">
        <v>37</v>
      </c>
      <c r="O691" s="8" t="s">
        <v>50</v>
      </c>
      <c r="P691" s="6" t="s">
        <v>4401</v>
      </c>
      <c r="Q691" s="8" t="s">
        <v>40</v>
      </c>
      <c r="R691" s="10" t="s">
        <v>2388</v>
      </c>
      <c r="S691" s="11"/>
      <c r="T691" s="6"/>
      <c r="U691" s="15" t="str">
        <f>HYPERLINK("https://media.infra-m.ru/2262/2262922/cover/2262922.jpg", "Обложка")</f>
        <v>Обложка</v>
      </c>
      <c r="V691" s="8" t="s">
        <v>4402</v>
      </c>
      <c r="W691" s="6"/>
      <c r="X691" s="6"/>
      <c r="Y691" s="6"/>
      <c r="Z691" s="6"/>
      <c r="AA691" s="6" t="s">
        <v>779</v>
      </c>
      <c r="AB691" s="8"/>
      <c r="AC691" s="27">
        <v>9785160114552</v>
      </c>
    </row>
    <row r="692" spans="1:29" s="4" customFormat="1" ht="42" customHeight="1" x14ac:dyDescent="0.2">
      <c r="A692" s="5">
        <v>0</v>
      </c>
      <c r="B692" s="6" t="s">
        <v>4403</v>
      </c>
      <c r="C692" s="13">
        <v>588</v>
      </c>
      <c r="D692" s="8" t="s">
        <v>4404</v>
      </c>
      <c r="E692" s="8" t="s">
        <v>4405</v>
      </c>
      <c r="F692" s="8" t="s">
        <v>4406</v>
      </c>
      <c r="G692" s="6" t="s">
        <v>33</v>
      </c>
      <c r="H692" s="6" t="s">
        <v>34</v>
      </c>
      <c r="I692" s="8" t="s">
        <v>35</v>
      </c>
      <c r="J692" s="9">
        <v>1</v>
      </c>
      <c r="K692" s="9">
        <v>143</v>
      </c>
      <c r="L692" s="9">
        <v>2019</v>
      </c>
      <c r="M692" s="8" t="s">
        <v>4407</v>
      </c>
      <c r="N692" s="8" t="s">
        <v>37</v>
      </c>
      <c r="O692" s="8" t="s">
        <v>499</v>
      </c>
      <c r="P692" s="6" t="s">
        <v>39</v>
      </c>
      <c r="Q692" s="8" t="s">
        <v>40</v>
      </c>
      <c r="R692" s="10" t="s">
        <v>4408</v>
      </c>
      <c r="S692" s="11"/>
      <c r="T692" s="6"/>
      <c r="U692" s="15" t="str">
        <f>HYPERLINK("https://media.infra-m.ru/1003/1003266/cover/1003266.jpg", "Обложка")</f>
        <v>Обложка</v>
      </c>
      <c r="V692" s="8" t="s">
        <v>4409</v>
      </c>
      <c r="W692" s="6"/>
      <c r="X692" s="6"/>
      <c r="Y692" s="6"/>
      <c r="Z692" s="6"/>
      <c r="AA692" s="6" t="s">
        <v>43</v>
      </c>
      <c r="AB692" s="8"/>
      <c r="AC692" s="27">
        <v>9785160056142</v>
      </c>
    </row>
    <row r="693" spans="1:29" s="4" customFormat="1" ht="51.9" customHeight="1" x14ac:dyDescent="0.2">
      <c r="A693" s="5">
        <v>0</v>
      </c>
      <c r="B693" s="6" t="s">
        <v>4410</v>
      </c>
      <c r="C693" s="7">
        <v>2280</v>
      </c>
      <c r="D693" s="8" t="s">
        <v>4411</v>
      </c>
      <c r="E693" s="8" t="s">
        <v>4412</v>
      </c>
      <c r="F693" s="8" t="s">
        <v>4413</v>
      </c>
      <c r="G693" s="6" t="s">
        <v>118</v>
      </c>
      <c r="H693" s="6" t="s">
        <v>34</v>
      </c>
      <c r="I693" s="8" t="s">
        <v>517</v>
      </c>
      <c r="J693" s="9">
        <v>1</v>
      </c>
      <c r="K693" s="9">
        <v>347</v>
      </c>
      <c r="L693" s="9">
        <v>2026</v>
      </c>
      <c r="M693" s="8" t="s">
        <v>4414</v>
      </c>
      <c r="N693" s="8" t="s">
        <v>37</v>
      </c>
      <c r="O693" s="8" t="s">
        <v>280</v>
      </c>
      <c r="P693" s="6" t="s">
        <v>234</v>
      </c>
      <c r="Q693" s="8" t="s">
        <v>40</v>
      </c>
      <c r="R693" s="10" t="s">
        <v>4415</v>
      </c>
      <c r="S693" s="11"/>
      <c r="T693" s="6" t="s">
        <v>97</v>
      </c>
      <c r="U693" s="15" t="str">
        <f>HYPERLINK("https://media.infra-m.ru/2231/2231742/cover/2231742.jpg", "Обложка")</f>
        <v>Обложка</v>
      </c>
      <c r="V693" s="8" t="s">
        <v>227</v>
      </c>
      <c r="W693" s="6"/>
      <c r="X693" s="6"/>
      <c r="Y693" s="6"/>
      <c r="Z693" s="6"/>
      <c r="AA693" s="6" t="s">
        <v>99</v>
      </c>
      <c r="AB693" s="8"/>
      <c r="AC693" s="27">
        <v>9785160122212</v>
      </c>
    </row>
    <row r="694" spans="1:29" s="4" customFormat="1" ht="51.9" customHeight="1" x14ac:dyDescent="0.2">
      <c r="A694" s="5">
        <v>0</v>
      </c>
      <c r="B694" s="6" t="s">
        <v>4416</v>
      </c>
      <c r="C694" s="7">
        <v>2340</v>
      </c>
      <c r="D694" s="8" t="s">
        <v>4417</v>
      </c>
      <c r="E694" s="8" t="s">
        <v>4418</v>
      </c>
      <c r="F694" s="8" t="s">
        <v>4419</v>
      </c>
      <c r="G694" s="6" t="s">
        <v>118</v>
      </c>
      <c r="H694" s="6" t="s">
        <v>34</v>
      </c>
      <c r="I694" s="8" t="s">
        <v>3119</v>
      </c>
      <c r="J694" s="9">
        <v>1</v>
      </c>
      <c r="K694" s="9">
        <v>336</v>
      </c>
      <c r="L694" s="9">
        <v>2026</v>
      </c>
      <c r="M694" s="8" t="s">
        <v>4420</v>
      </c>
      <c r="N694" s="8" t="s">
        <v>37</v>
      </c>
      <c r="O694" s="8" t="s">
        <v>280</v>
      </c>
      <c r="P694" s="6" t="s">
        <v>306</v>
      </c>
      <c r="Q694" s="8" t="s">
        <v>500</v>
      </c>
      <c r="R694" s="10" t="s">
        <v>4421</v>
      </c>
      <c r="S694" s="11" t="s">
        <v>4422</v>
      </c>
      <c r="T694" s="6"/>
      <c r="U694" s="15" t="str">
        <f>HYPERLINK("https://media.infra-m.ru/2260/2260346/cover/2260346.jpg", "Обложка")</f>
        <v>Обложка</v>
      </c>
      <c r="V694" s="8" t="s">
        <v>396</v>
      </c>
      <c r="W694" s="6"/>
      <c r="X694" s="6"/>
      <c r="Y694" s="6"/>
      <c r="Z694" s="6"/>
      <c r="AA694" s="6" t="s">
        <v>148</v>
      </c>
      <c r="AB694" s="8" t="s">
        <v>4423</v>
      </c>
      <c r="AC694" s="27">
        <v>9785160222844</v>
      </c>
    </row>
    <row r="695" spans="1:29" s="4" customFormat="1" ht="51.9" customHeight="1" x14ac:dyDescent="0.2">
      <c r="A695" s="5">
        <v>0</v>
      </c>
      <c r="B695" s="6" t="s">
        <v>4424</v>
      </c>
      <c r="C695" s="7">
        <v>3888</v>
      </c>
      <c r="D695" s="8" t="s">
        <v>4425</v>
      </c>
      <c r="E695" s="8" t="s">
        <v>4426</v>
      </c>
      <c r="F695" s="8" t="s">
        <v>2092</v>
      </c>
      <c r="G695" s="6" t="s">
        <v>60</v>
      </c>
      <c r="H695" s="6" t="s">
        <v>34</v>
      </c>
      <c r="I695" s="8" t="s">
        <v>253</v>
      </c>
      <c r="J695" s="9">
        <v>1</v>
      </c>
      <c r="K695" s="9">
        <v>648</v>
      </c>
      <c r="L695" s="9">
        <v>2025</v>
      </c>
      <c r="M695" s="8" t="s">
        <v>4427</v>
      </c>
      <c r="N695" s="8" t="s">
        <v>37</v>
      </c>
      <c r="O695" s="8" t="s">
        <v>499</v>
      </c>
      <c r="P695" s="6" t="s">
        <v>306</v>
      </c>
      <c r="Q695" s="8" t="s">
        <v>52</v>
      </c>
      <c r="R695" s="10" t="s">
        <v>1646</v>
      </c>
      <c r="S695" s="11" t="s">
        <v>4428</v>
      </c>
      <c r="T695" s="6" t="s">
        <v>97</v>
      </c>
      <c r="U695" s="15" t="str">
        <f>HYPERLINK("https://media.infra-m.ru/2172/2172730/cover/2172730.jpg", "Обложка")</f>
        <v>Обложка</v>
      </c>
      <c r="V695" s="8" t="s">
        <v>2095</v>
      </c>
      <c r="W695" s="6"/>
      <c r="X695" s="6"/>
      <c r="Y695" s="6"/>
      <c r="Z695" s="6"/>
      <c r="AA695" s="6" t="s">
        <v>148</v>
      </c>
      <c r="AB695" s="8"/>
      <c r="AC695" s="27">
        <v>9785160198392</v>
      </c>
    </row>
    <row r="696" spans="1:29" s="4" customFormat="1" ht="51.9" customHeight="1" x14ac:dyDescent="0.2">
      <c r="A696" s="5">
        <v>0</v>
      </c>
      <c r="B696" s="6" t="s">
        <v>4429</v>
      </c>
      <c r="C696" s="7">
        <v>2316</v>
      </c>
      <c r="D696" s="8" t="s">
        <v>4430</v>
      </c>
      <c r="E696" s="8" t="s">
        <v>4431</v>
      </c>
      <c r="F696" s="8" t="s">
        <v>4432</v>
      </c>
      <c r="G696" s="6" t="s">
        <v>118</v>
      </c>
      <c r="H696" s="6" t="s">
        <v>34</v>
      </c>
      <c r="I696" s="8" t="s">
        <v>253</v>
      </c>
      <c r="J696" s="9">
        <v>1</v>
      </c>
      <c r="K696" s="9">
        <v>350</v>
      </c>
      <c r="L696" s="9">
        <v>2026</v>
      </c>
      <c r="M696" s="8" t="s">
        <v>4433</v>
      </c>
      <c r="N696" s="8" t="s">
        <v>243</v>
      </c>
      <c r="O696" s="8" t="s">
        <v>244</v>
      </c>
      <c r="P696" s="6" t="s">
        <v>51</v>
      </c>
      <c r="Q696" s="8" t="s">
        <v>52</v>
      </c>
      <c r="R696" s="10" t="s">
        <v>4434</v>
      </c>
      <c r="S696" s="11" t="s">
        <v>4435</v>
      </c>
      <c r="T696" s="6" t="s">
        <v>97</v>
      </c>
      <c r="U696" s="15" t="str">
        <f>HYPERLINK("https://media.infra-m.ru/2243/2243791/cover/2243791.jpg", "Обложка")</f>
        <v>Обложка</v>
      </c>
      <c r="V696" s="8" t="s">
        <v>247</v>
      </c>
      <c r="W696" s="6"/>
      <c r="X696" s="6"/>
      <c r="Y696" s="6"/>
      <c r="Z696" s="6"/>
      <c r="AA696" s="6" t="s">
        <v>1031</v>
      </c>
      <c r="AB696" s="8"/>
      <c r="AC696" s="27">
        <v>9785160219684</v>
      </c>
    </row>
    <row r="697" spans="1:29" s="4" customFormat="1" ht="51.9" customHeight="1" x14ac:dyDescent="0.2">
      <c r="A697" s="5">
        <v>0</v>
      </c>
      <c r="B697" s="6" t="s">
        <v>4436</v>
      </c>
      <c r="C697" s="7">
        <v>1187.9000000000001</v>
      </c>
      <c r="D697" s="8" t="s">
        <v>4437</v>
      </c>
      <c r="E697" s="8" t="s">
        <v>4438</v>
      </c>
      <c r="F697" s="8" t="s">
        <v>4432</v>
      </c>
      <c r="G697" s="6" t="s">
        <v>60</v>
      </c>
      <c r="H697" s="6" t="s">
        <v>241</v>
      </c>
      <c r="I697" s="8" t="s">
        <v>4439</v>
      </c>
      <c r="J697" s="9">
        <v>20</v>
      </c>
      <c r="K697" s="9">
        <v>336</v>
      </c>
      <c r="L697" s="9">
        <v>2017</v>
      </c>
      <c r="M697" s="8" t="s">
        <v>4440</v>
      </c>
      <c r="N697" s="8" t="s">
        <v>243</v>
      </c>
      <c r="O697" s="8" t="s">
        <v>244</v>
      </c>
      <c r="P697" s="6" t="s">
        <v>51</v>
      </c>
      <c r="Q697" s="8" t="s">
        <v>52</v>
      </c>
      <c r="R697" s="10" t="s">
        <v>4434</v>
      </c>
      <c r="S697" s="11" t="s">
        <v>4441</v>
      </c>
      <c r="T697" s="6" t="s">
        <v>97</v>
      </c>
      <c r="U697" s="15" t="str">
        <f>HYPERLINK("https://media.infra-m.ru/0636/0636239/cover/636239.jpg", "Обложка")</f>
        <v>Обложка</v>
      </c>
      <c r="V697" s="8" t="s">
        <v>247</v>
      </c>
      <c r="W697" s="6"/>
      <c r="X697" s="6"/>
      <c r="Y697" s="6"/>
      <c r="Z697" s="6"/>
      <c r="AA697" s="6" t="s">
        <v>874</v>
      </c>
      <c r="AB697" s="8"/>
      <c r="AC697" s="27">
        <v>9785955803906</v>
      </c>
    </row>
    <row r="698" spans="1:29" s="4" customFormat="1" ht="51.9" customHeight="1" x14ac:dyDescent="0.2">
      <c r="A698" s="5">
        <v>0</v>
      </c>
      <c r="B698" s="6" t="s">
        <v>4442</v>
      </c>
      <c r="C698" s="13">
        <v>472.8</v>
      </c>
      <c r="D698" s="8" t="s">
        <v>4443</v>
      </c>
      <c r="E698" s="8" t="s">
        <v>4444</v>
      </c>
      <c r="F698" s="8" t="s">
        <v>4445</v>
      </c>
      <c r="G698" s="6" t="s">
        <v>33</v>
      </c>
      <c r="H698" s="6" t="s">
        <v>1644</v>
      </c>
      <c r="I698" s="8"/>
      <c r="J698" s="9">
        <v>1</v>
      </c>
      <c r="K698" s="9">
        <v>72</v>
      </c>
      <c r="L698" s="9">
        <v>2026</v>
      </c>
      <c r="M698" s="8" t="s">
        <v>4446</v>
      </c>
      <c r="N698" s="8" t="s">
        <v>63</v>
      </c>
      <c r="O698" s="8" t="s">
        <v>64</v>
      </c>
      <c r="P698" s="6" t="s">
        <v>759</v>
      </c>
      <c r="Q698" s="8" t="s">
        <v>65</v>
      </c>
      <c r="R698" s="10" t="s">
        <v>4447</v>
      </c>
      <c r="S698" s="11"/>
      <c r="T698" s="6"/>
      <c r="U698" s="15" t="str">
        <f>HYPERLINK("https://media.infra-m.ru/2249/2249357/cover/2249357.jpg", "Обложка")</f>
        <v>Обложка</v>
      </c>
      <c r="V698" s="8" t="s">
        <v>4448</v>
      </c>
      <c r="W698" s="6"/>
      <c r="X698" s="6"/>
      <c r="Y698" s="6"/>
      <c r="Z698" s="6"/>
      <c r="AA698" s="6" t="s">
        <v>43</v>
      </c>
      <c r="AB698" s="8"/>
      <c r="AC698" s="27">
        <v>9785977602396</v>
      </c>
    </row>
    <row r="699" spans="1:29" s="4" customFormat="1" ht="51.9" customHeight="1" x14ac:dyDescent="0.2">
      <c r="A699" s="5">
        <v>0</v>
      </c>
      <c r="B699" s="6" t="s">
        <v>4449</v>
      </c>
      <c r="C699" s="7">
        <v>1108.8</v>
      </c>
      <c r="D699" s="8" t="s">
        <v>4450</v>
      </c>
      <c r="E699" s="8" t="s">
        <v>4451</v>
      </c>
      <c r="F699" s="8" t="s">
        <v>4452</v>
      </c>
      <c r="G699" s="6" t="s">
        <v>33</v>
      </c>
      <c r="H699" s="6" t="s">
        <v>1644</v>
      </c>
      <c r="I699" s="8"/>
      <c r="J699" s="9">
        <v>1</v>
      </c>
      <c r="K699" s="9">
        <v>160</v>
      </c>
      <c r="L699" s="9">
        <v>2027</v>
      </c>
      <c r="M699" s="8" t="s">
        <v>4453</v>
      </c>
      <c r="N699" s="8" t="s">
        <v>37</v>
      </c>
      <c r="O699" s="8" t="s">
        <v>233</v>
      </c>
      <c r="P699" s="6" t="s">
        <v>51</v>
      </c>
      <c r="Q699" s="8" t="s">
        <v>65</v>
      </c>
      <c r="R699" s="10" t="s">
        <v>4454</v>
      </c>
      <c r="S699" s="11"/>
      <c r="T699" s="6"/>
      <c r="U699" s="15" t="str">
        <f>HYPERLINK("https://media.infra-m.ru/2270/2270283/cover/2270283.jpg", "Обложка")</f>
        <v>Обложка</v>
      </c>
      <c r="V699" s="8" t="s">
        <v>67</v>
      </c>
      <c r="W699" s="6"/>
      <c r="X699" s="6"/>
      <c r="Y699" s="6"/>
      <c r="Z699" s="6"/>
      <c r="AA699" s="6" t="s">
        <v>274</v>
      </c>
      <c r="AB699" s="8"/>
      <c r="AC699" s="27">
        <v>9785977603652</v>
      </c>
    </row>
    <row r="700" spans="1:29" s="4" customFormat="1" ht="42" customHeight="1" x14ac:dyDescent="0.2">
      <c r="A700" s="5">
        <v>0</v>
      </c>
      <c r="B700" s="6" t="s">
        <v>4455</v>
      </c>
      <c r="C700" s="7">
        <v>1300.8</v>
      </c>
      <c r="D700" s="8" t="s">
        <v>4456</v>
      </c>
      <c r="E700" s="8" t="s">
        <v>4457</v>
      </c>
      <c r="F700" s="8" t="s">
        <v>4458</v>
      </c>
      <c r="G700" s="6" t="s">
        <v>33</v>
      </c>
      <c r="H700" s="6" t="s">
        <v>313</v>
      </c>
      <c r="I700" s="8" t="s">
        <v>4459</v>
      </c>
      <c r="J700" s="9">
        <v>1</v>
      </c>
      <c r="K700" s="9">
        <v>215</v>
      </c>
      <c r="L700" s="9">
        <v>2025</v>
      </c>
      <c r="M700" s="8" t="s">
        <v>4460</v>
      </c>
      <c r="N700" s="8" t="s">
        <v>37</v>
      </c>
      <c r="O700" s="8" t="s">
        <v>499</v>
      </c>
      <c r="P700" s="6" t="s">
        <v>39</v>
      </c>
      <c r="Q700" s="8" t="s">
        <v>40</v>
      </c>
      <c r="R700" s="10" t="s">
        <v>1646</v>
      </c>
      <c r="S700" s="11"/>
      <c r="T700" s="6"/>
      <c r="U700" s="15" t="str">
        <f>HYPERLINK("https://media.infra-m.ru/2179/2179613/cover/2179613.jpg", "Обложка")</f>
        <v>Обложка</v>
      </c>
      <c r="V700" s="8" t="s">
        <v>3428</v>
      </c>
      <c r="W700" s="6"/>
      <c r="X700" s="6"/>
      <c r="Y700" s="6"/>
      <c r="Z700" s="6"/>
      <c r="AA700" s="6" t="s">
        <v>248</v>
      </c>
      <c r="AB700" s="8"/>
      <c r="AC700" s="27">
        <v>9785369013168</v>
      </c>
    </row>
    <row r="701" spans="1:29" s="4" customFormat="1" ht="42" customHeight="1" x14ac:dyDescent="0.2">
      <c r="A701" s="5">
        <v>0</v>
      </c>
      <c r="B701" s="6" t="s">
        <v>4461</v>
      </c>
      <c r="C701" s="7">
        <v>2616</v>
      </c>
      <c r="D701" s="8" t="s">
        <v>4462</v>
      </c>
      <c r="E701" s="8" t="s">
        <v>4463</v>
      </c>
      <c r="F701" s="8" t="s">
        <v>4464</v>
      </c>
      <c r="G701" s="6" t="s">
        <v>60</v>
      </c>
      <c r="H701" s="6" t="s">
        <v>34</v>
      </c>
      <c r="I701" s="8" t="s">
        <v>457</v>
      </c>
      <c r="J701" s="14">
        <v>0</v>
      </c>
      <c r="K701" s="9">
        <v>375</v>
      </c>
      <c r="L701" s="9">
        <v>2027</v>
      </c>
      <c r="M701" s="8" t="s">
        <v>4465</v>
      </c>
      <c r="N701" s="8" t="s">
        <v>37</v>
      </c>
      <c r="O701" s="8" t="s">
        <v>280</v>
      </c>
      <c r="P701" s="6" t="s">
        <v>39</v>
      </c>
      <c r="Q701" s="8" t="s">
        <v>40</v>
      </c>
      <c r="R701" s="10" t="s">
        <v>3832</v>
      </c>
      <c r="S701" s="11"/>
      <c r="T701" s="6"/>
      <c r="U701" s="15" t="str">
        <f>HYPERLINK("https://media.infra-m.ru/2259/2259555/cover/2259555.jpg", "Обложка")</f>
        <v>Обложка</v>
      </c>
      <c r="V701" s="8" t="s">
        <v>247</v>
      </c>
      <c r="W701" s="6"/>
      <c r="X701" s="6"/>
      <c r="Y701" s="6" t="s">
        <v>4466</v>
      </c>
      <c r="Z701" s="6"/>
      <c r="AA701" s="6" t="s">
        <v>187</v>
      </c>
      <c r="AB701" s="8"/>
      <c r="AC701" s="27">
        <v>9785160222356</v>
      </c>
    </row>
    <row r="702" spans="1:29" s="4" customFormat="1" ht="42" customHeight="1" x14ac:dyDescent="0.2">
      <c r="A702" s="5">
        <v>0</v>
      </c>
      <c r="B702" s="6" t="s">
        <v>4467</v>
      </c>
      <c r="C702" s="7">
        <v>1380</v>
      </c>
      <c r="D702" s="8" t="s">
        <v>4468</v>
      </c>
      <c r="E702" s="8" t="s">
        <v>4469</v>
      </c>
      <c r="F702" s="8" t="s">
        <v>4470</v>
      </c>
      <c r="G702" s="6" t="s">
        <v>60</v>
      </c>
      <c r="H702" s="6" t="s">
        <v>34</v>
      </c>
      <c r="I702" s="8" t="s">
        <v>253</v>
      </c>
      <c r="J702" s="9">
        <v>1</v>
      </c>
      <c r="K702" s="9">
        <v>200</v>
      </c>
      <c r="L702" s="9">
        <v>2025</v>
      </c>
      <c r="M702" s="8" t="s">
        <v>4471</v>
      </c>
      <c r="N702" s="8" t="s">
        <v>37</v>
      </c>
      <c r="O702" s="8" t="s">
        <v>280</v>
      </c>
      <c r="P702" s="6" t="s">
        <v>51</v>
      </c>
      <c r="Q702" s="8" t="s">
        <v>500</v>
      </c>
      <c r="R702" s="10" t="s">
        <v>4472</v>
      </c>
      <c r="S702" s="11"/>
      <c r="T702" s="6"/>
      <c r="U702" s="15" t="str">
        <f>HYPERLINK("https://media.infra-m.ru/2137/2137955/cover/2137955.jpg", "Обложка")</f>
        <v>Обложка</v>
      </c>
      <c r="V702" s="8" t="s">
        <v>4473</v>
      </c>
      <c r="W702" s="6"/>
      <c r="X702" s="6"/>
      <c r="Y702" s="6"/>
      <c r="Z702" s="6"/>
      <c r="AA702" s="6" t="s">
        <v>68</v>
      </c>
      <c r="AB702" s="8"/>
      <c r="AC702" s="27">
        <v>9785160198057</v>
      </c>
    </row>
    <row r="703" spans="1:29" s="4" customFormat="1" ht="51.9" customHeight="1" x14ac:dyDescent="0.2">
      <c r="A703" s="5">
        <v>0</v>
      </c>
      <c r="B703" s="6" t="s">
        <v>4474</v>
      </c>
      <c r="C703" s="7">
        <v>1380</v>
      </c>
      <c r="D703" s="8" t="s">
        <v>4475</v>
      </c>
      <c r="E703" s="8" t="s">
        <v>4476</v>
      </c>
      <c r="F703" s="8" t="s">
        <v>4477</v>
      </c>
      <c r="G703" s="6" t="s">
        <v>118</v>
      </c>
      <c r="H703" s="6" t="s">
        <v>34</v>
      </c>
      <c r="I703" s="8" t="s">
        <v>253</v>
      </c>
      <c r="J703" s="9">
        <v>1</v>
      </c>
      <c r="K703" s="9">
        <v>229</v>
      </c>
      <c r="L703" s="9">
        <v>2025</v>
      </c>
      <c r="M703" s="8" t="s">
        <v>4478</v>
      </c>
      <c r="N703" s="8" t="s">
        <v>37</v>
      </c>
      <c r="O703" s="8" t="s">
        <v>499</v>
      </c>
      <c r="P703" s="6" t="s">
        <v>51</v>
      </c>
      <c r="Q703" s="8" t="s">
        <v>52</v>
      </c>
      <c r="R703" s="10" t="s">
        <v>4479</v>
      </c>
      <c r="S703" s="11" t="s">
        <v>4480</v>
      </c>
      <c r="T703" s="6"/>
      <c r="U703" s="15" t="str">
        <f>HYPERLINK("https://media.infra-m.ru/2174/2174333/cover/2174333.jpg", "Обложка")</f>
        <v>Обложка</v>
      </c>
      <c r="V703" s="8" t="s">
        <v>4481</v>
      </c>
      <c r="W703" s="6"/>
      <c r="X703" s="6" t="s">
        <v>24</v>
      </c>
      <c r="Y703" s="6"/>
      <c r="Z703" s="6"/>
      <c r="AA703" s="6" t="s">
        <v>99</v>
      </c>
      <c r="AB703" s="8"/>
      <c r="AC703" s="27">
        <v>9785160206875</v>
      </c>
    </row>
    <row r="704" spans="1:29" s="4" customFormat="1" ht="51.9" customHeight="1" x14ac:dyDescent="0.2">
      <c r="A704" s="5">
        <v>0</v>
      </c>
      <c r="B704" s="6" t="s">
        <v>4482</v>
      </c>
      <c r="C704" s="7">
        <v>1804.8</v>
      </c>
      <c r="D704" s="8" t="s">
        <v>4483</v>
      </c>
      <c r="E704" s="8" t="s">
        <v>4484</v>
      </c>
      <c r="F704" s="8" t="s">
        <v>4485</v>
      </c>
      <c r="G704" s="6" t="s">
        <v>118</v>
      </c>
      <c r="H704" s="6" t="s">
        <v>34</v>
      </c>
      <c r="I704" s="8" t="s">
        <v>271</v>
      </c>
      <c r="J704" s="9">
        <v>1</v>
      </c>
      <c r="K704" s="9">
        <v>289</v>
      </c>
      <c r="L704" s="9">
        <v>2026</v>
      </c>
      <c r="M704" s="8" t="s">
        <v>4486</v>
      </c>
      <c r="N704" s="8" t="s">
        <v>37</v>
      </c>
      <c r="O704" s="8" t="s">
        <v>233</v>
      </c>
      <c r="P704" s="6" t="s">
        <v>306</v>
      </c>
      <c r="Q704" s="8" t="s">
        <v>52</v>
      </c>
      <c r="R704" s="10" t="s">
        <v>4487</v>
      </c>
      <c r="S704" s="11" t="s">
        <v>4488</v>
      </c>
      <c r="T704" s="6"/>
      <c r="U704" s="15" t="str">
        <f>HYPERLINK("https://media.infra-m.ru/2219/2219038/cover/2219038.jpg", "Обложка")</f>
        <v>Обложка</v>
      </c>
      <c r="V704" s="8" t="s">
        <v>4489</v>
      </c>
      <c r="W704" s="6"/>
      <c r="X704" s="6"/>
      <c r="Y704" s="6"/>
      <c r="Z704" s="6"/>
      <c r="AA704" s="6" t="s">
        <v>86</v>
      </c>
      <c r="AB704" s="8" t="s">
        <v>1317</v>
      </c>
      <c r="AC704" s="27">
        <v>9785160141671</v>
      </c>
    </row>
    <row r="705" spans="1:29" s="4" customFormat="1" ht="51.9" customHeight="1" x14ac:dyDescent="0.2">
      <c r="A705" s="5">
        <v>0</v>
      </c>
      <c r="B705" s="6" t="s">
        <v>4490</v>
      </c>
      <c r="C705" s="7">
        <v>1336.8</v>
      </c>
      <c r="D705" s="8" t="s">
        <v>4491</v>
      </c>
      <c r="E705" s="8" t="s">
        <v>4492</v>
      </c>
      <c r="F705" s="8" t="s">
        <v>4493</v>
      </c>
      <c r="G705" s="6" t="s">
        <v>118</v>
      </c>
      <c r="H705" s="6" t="s">
        <v>34</v>
      </c>
      <c r="I705" s="8" t="s">
        <v>253</v>
      </c>
      <c r="J705" s="9">
        <v>1</v>
      </c>
      <c r="K705" s="9">
        <v>192</v>
      </c>
      <c r="L705" s="9">
        <v>2027</v>
      </c>
      <c r="M705" s="8" t="s">
        <v>4494</v>
      </c>
      <c r="N705" s="8" t="s">
        <v>37</v>
      </c>
      <c r="O705" s="8" t="s">
        <v>499</v>
      </c>
      <c r="P705" s="6" t="s">
        <v>51</v>
      </c>
      <c r="Q705" s="8" t="s">
        <v>52</v>
      </c>
      <c r="R705" s="10" t="s">
        <v>2073</v>
      </c>
      <c r="S705" s="11" t="s">
        <v>4495</v>
      </c>
      <c r="T705" s="6"/>
      <c r="U705" s="15" t="str">
        <f>HYPERLINK("https://media.infra-m.ru/2270/2270284/cover/2270284.jpg", "Обложка")</f>
        <v>Обложка</v>
      </c>
      <c r="V705" s="8" t="s">
        <v>227</v>
      </c>
      <c r="W705" s="6"/>
      <c r="X705" s="6"/>
      <c r="Y705" s="6"/>
      <c r="Z705" s="6"/>
      <c r="AA705" s="6" t="s">
        <v>1007</v>
      </c>
      <c r="AB705" s="8"/>
      <c r="AC705" s="27">
        <v>9785160187501</v>
      </c>
    </row>
    <row r="706" spans="1:29" s="4" customFormat="1" ht="51.9" customHeight="1" x14ac:dyDescent="0.2">
      <c r="A706" s="5">
        <v>0</v>
      </c>
      <c r="B706" s="6" t="s">
        <v>4496</v>
      </c>
      <c r="C706" s="7">
        <v>2020.8</v>
      </c>
      <c r="D706" s="8" t="s">
        <v>4497</v>
      </c>
      <c r="E706" s="8" t="s">
        <v>4498</v>
      </c>
      <c r="F706" s="8" t="s">
        <v>4458</v>
      </c>
      <c r="G706" s="6" t="s">
        <v>33</v>
      </c>
      <c r="H706" s="6" t="s">
        <v>313</v>
      </c>
      <c r="I706" s="8" t="s">
        <v>4459</v>
      </c>
      <c r="J706" s="9">
        <v>1</v>
      </c>
      <c r="K706" s="9">
        <v>290</v>
      </c>
      <c r="L706" s="9">
        <v>2027</v>
      </c>
      <c r="M706" s="8" t="s">
        <v>4499</v>
      </c>
      <c r="N706" s="8" t="s">
        <v>37</v>
      </c>
      <c r="O706" s="8" t="s">
        <v>499</v>
      </c>
      <c r="P706" s="6" t="s">
        <v>3141</v>
      </c>
      <c r="Q706" s="8" t="s">
        <v>40</v>
      </c>
      <c r="R706" s="10" t="s">
        <v>4500</v>
      </c>
      <c r="S706" s="11"/>
      <c r="T706" s="6" t="s">
        <v>97</v>
      </c>
      <c r="U706" s="15" t="str">
        <f>HYPERLINK("https://media.infra-m.ru/2271/2271104/cover/2271104.jpg", "Обложка")</f>
        <v>Обложка</v>
      </c>
      <c r="V706" s="8" t="s">
        <v>3428</v>
      </c>
      <c r="W706" s="6"/>
      <c r="X706" s="6"/>
      <c r="Y706" s="6"/>
      <c r="Z706" s="6"/>
      <c r="AA706" s="6" t="s">
        <v>2182</v>
      </c>
      <c r="AB706" s="8"/>
      <c r="AC706" s="27">
        <v>9785369019719</v>
      </c>
    </row>
    <row r="707" spans="1:29" s="4" customFormat="1" ht="51.9" customHeight="1" x14ac:dyDescent="0.2">
      <c r="A707" s="5">
        <v>0</v>
      </c>
      <c r="B707" s="6" t="s">
        <v>4501</v>
      </c>
      <c r="C707" s="7">
        <v>1996.8</v>
      </c>
      <c r="D707" s="8" t="s">
        <v>4502</v>
      </c>
      <c r="E707" s="8" t="s">
        <v>4503</v>
      </c>
      <c r="F707" s="8" t="s">
        <v>4504</v>
      </c>
      <c r="G707" s="6" t="s">
        <v>118</v>
      </c>
      <c r="H707" s="6" t="s">
        <v>34</v>
      </c>
      <c r="I707" s="8" t="s">
        <v>2025</v>
      </c>
      <c r="J707" s="9">
        <v>1</v>
      </c>
      <c r="K707" s="9">
        <v>287</v>
      </c>
      <c r="L707" s="9">
        <v>2027</v>
      </c>
      <c r="M707" s="8" t="s">
        <v>4505</v>
      </c>
      <c r="N707" s="8" t="s">
        <v>243</v>
      </c>
      <c r="O707" s="8" t="s">
        <v>244</v>
      </c>
      <c r="P707" s="6" t="s">
        <v>51</v>
      </c>
      <c r="Q707" s="8" t="s">
        <v>52</v>
      </c>
      <c r="R707" s="10" t="s">
        <v>4506</v>
      </c>
      <c r="S707" s="11" t="s">
        <v>4507</v>
      </c>
      <c r="T707" s="6"/>
      <c r="U707" s="15" t="str">
        <f>HYPERLINK("https://media.infra-m.ru/2270/2270285/cover/2270285.jpg", "Обложка")</f>
        <v>Обложка</v>
      </c>
      <c r="V707" s="8" t="s">
        <v>247</v>
      </c>
      <c r="W707" s="6"/>
      <c r="X707" s="6"/>
      <c r="Y707" s="6"/>
      <c r="Z707" s="6"/>
      <c r="AA707" s="6" t="s">
        <v>4023</v>
      </c>
      <c r="AB707" s="8"/>
      <c r="AC707" s="27">
        <v>9785160168777</v>
      </c>
    </row>
    <row r="708" spans="1:29" s="4" customFormat="1" ht="51.9" customHeight="1" x14ac:dyDescent="0.2">
      <c r="A708" s="5">
        <v>0</v>
      </c>
      <c r="B708" s="6" t="s">
        <v>4508</v>
      </c>
      <c r="C708" s="7">
        <v>2292</v>
      </c>
      <c r="D708" s="8" t="s">
        <v>4509</v>
      </c>
      <c r="E708" s="8" t="s">
        <v>4510</v>
      </c>
      <c r="F708" s="8" t="s">
        <v>4511</v>
      </c>
      <c r="G708" s="6" t="s">
        <v>118</v>
      </c>
      <c r="H708" s="6" t="s">
        <v>34</v>
      </c>
      <c r="I708" s="8" t="s">
        <v>304</v>
      </c>
      <c r="J708" s="9">
        <v>1</v>
      </c>
      <c r="K708" s="9">
        <v>382</v>
      </c>
      <c r="L708" s="9">
        <v>2025</v>
      </c>
      <c r="M708" s="8" t="s">
        <v>4512</v>
      </c>
      <c r="N708" s="8" t="s">
        <v>243</v>
      </c>
      <c r="O708" s="8" t="s">
        <v>244</v>
      </c>
      <c r="P708" s="6" t="s">
        <v>51</v>
      </c>
      <c r="Q708" s="8" t="s">
        <v>52</v>
      </c>
      <c r="R708" s="10" t="s">
        <v>4513</v>
      </c>
      <c r="S708" s="11" t="s">
        <v>4514</v>
      </c>
      <c r="T708" s="6" t="s">
        <v>97</v>
      </c>
      <c r="U708" s="15" t="str">
        <f>HYPERLINK("https://media.infra-m.ru/2188/2188733/cover/2188733.jpg", "Обложка")</f>
        <v>Обложка</v>
      </c>
      <c r="V708" s="8" t="s">
        <v>247</v>
      </c>
      <c r="W708" s="6"/>
      <c r="X708" s="6"/>
      <c r="Y708" s="6"/>
      <c r="Z708" s="6"/>
      <c r="AA708" s="6" t="s">
        <v>896</v>
      </c>
      <c r="AB708" s="8"/>
      <c r="AC708" s="27">
        <v>9785160207315</v>
      </c>
    </row>
    <row r="709" spans="1:29" s="4" customFormat="1" ht="51.9" customHeight="1" x14ac:dyDescent="0.2">
      <c r="A709" s="5">
        <v>0</v>
      </c>
      <c r="B709" s="6" t="s">
        <v>4515</v>
      </c>
      <c r="C709" s="7">
        <v>1344</v>
      </c>
      <c r="D709" s="8" t="s">
        <v>4516</v>
      </c>
      <c r="E709" s="8" t="s">
        <v>4517</v>
      </c>
      <c r="F709" s="8" t="s">
        <v>4518</v>
      </c>
      <c r="G709" s="6" t="s">
        <v>118</v>
      </c>
      <c r="H709" s="6" t="s">
        <v>34</v>
      </c>
      <c r="I709" s="8" t="s">
        <v>271</v>
      </c>
      <c r="J709" s="9">
        <v>1</v>
      </c>
      <c r="K709" s="9">
        <v>352</v>
      </c>
      <c r="L709" s="9">
        <v>2019</v>
      </c>
      <c r="M709" s="8" t="s">
        <v>4519</v>
      </c>
      <c r="N709" s="8" t="s">
        <v>243</v>
      </c>
      <c r="O709" s="8" t="s">
        <v>244</v>
      </c>
      <c r="P709" s="6" t="s">
        <v>51</v>
      </c>
      <c r="Q709" s="8" t="s">
        <v>52</v>
      </c>
      <c r="R709" s="10" t="s">
        <v>4513</v>
      </c>
      <c r="S709" s="11" t="s">
        <v>4520</v>
      </c>
      <c r="T709" s="6" t="s">
        <v>97</v>
      </c>
      <c r="U709" s="15" t="str">
        <f>HYPERLINK("https://media.infra-m.ru/1002/1002364/cover/1002364.jpg", "Обложка")</f>
        <v>Обложка</v>
      </c>
      <c r="V709" s="8" t="s">
        <v>247</v>
      </c>
      <c r="W709" s="6"/>
      <c r="X709" s="6"/>
      <c r="Y709" s="6"/>
      <c r="Z709" s="6"/>
      <c r="AA709" s="6" t="s">
        <v>129</v>
      </c>
      <c r="AB709" s="8"/>
      <c r="AC709" s="27">
        <v>9785160064314</v>
      </c>
    </row>
    <row r="710" spans="1:29" s="4" customFormat="1" ht="51.9" customHeight="1" x14ac:dyDescent="0.2">
      <c r="A710" s="5">
        <v>0</v>
      </c>
      <c r="B710" s="6" t="s">
        <v>4521</v>
      </c>
      <c r="C710" s="7">
        <v>1584</v>
      </c>
      <c r="D710" s="8" t="s">
        <v>4522</v>
      </c>
      <c r="E710" s="8" t="s">
        <v>4523</v>
      </c>
      <c r="F710" s="8" t="s">
        <v>4458</v>
      </c>
      <c r="G710" s="6" t="s">
        <v>33</v>
      </c>
      <c r="H710" s="6" t="s">
        <v>313</v>
      </c>
      <c r="I710" s="8" t="s">
        <v>4459</v>
      </c>
      <c r="J710" s="9">
        <v>1</v>
      </c>
      <c r="K710" s="9">
        <v>288</v>
      </c>
      <c r="L710" s="9">
        <v>2024</v>
      </c>
      <c r="M710" s="8" t="s">
        <v>4524</v>
      </c>
      <c r="N710" s="8" t="s">
        <v>37</v>
      </c>
      <c r="O710" s="8" t="s">
        <v>499</v>
      </c>
      <c r="P710" s="6" t="s">
        <v>3141</v>
      </c>
      <c r="Q710" s="8" t="s">
        <v>40</v>
      </c>
      <c r="R710" s="10" t="s">
        <v>4500</v>
      </c>
      <c r="S710" s="11"/>
      <c r="T710" s="6" t="s">
        <v>97</v>
      </c>
      <c r="U710" s="15" t="str">
        <f>HYPERLINK("https://media.infra-m.ru/2084/2084493/cover/2084493.jpg", "Обложка")</f>
        <v>Обложка</v>
      </c>
      <c r="V710" s="8" t="s">
        <v>3428</v>
      </c>
      <c r="W710" s="6"/>
      <c r="X710" s="6"/>
      <c r="Y710" s="6"/>
      <c r="Z710" s="6"/>
      <c r="AA710" s="6" t="s">
        <v>3189</v>
      </c>
      <c r="AB710" s="8"/>
      <c r="AC710" s="27">
        <v>9785369018941</v>
      </c>
    </row>
    <row r="711" spans="1:29" s="4" customFormat="1" ht="51.9" customHeight="1" x14ac:dyDescent="0.2">
      <c r="A711" s="5">
        <v>0</v>
      </c>
      <c r="B711" s="6" t="s">
        <v>4525</v>
      </c>
      <c r="C711" s="7">
        <v>1344</v>
      </c>
      <c r="D711" s="8" t="s">
        <v>4526</v>
      </c>
      <c r="E711" s="8" t="s">
        <v>4527</v>
      </c>
      <c r="F711" s="8" t="s">
        <v>4458</v>
      </c>
      <c r="G711" s="6" t="s">
        <v>33</v>
      </c>
      <c r="H711" s="6" t="s">
        <v>313</v>
      </c>
      <c r="I711" s="8" t="s">
        <v>4459</v>
      </c>
      <c r="J711" s="9">
        <v>1</v>
      </c>
      <c r="K711" s="9">
        <v>287</v>
      </c>
      <c r="L711" s="9">
        <v>2021</v>
      </c>
      <c r="M711" s="8" t="s">
        <v>4528</v>
      </c>
      <c r="N711" s="8" t="s">
        <v>37</v>
      </c>
      <c r="O711" s="8" t="s">
        <v>499</v>
      </c>
      <c r="P711" s="6" t="s">
        <v>3141</v>
      </c>
      <c r="Q711" s="8" t="s">
        <v>40</v>
      </c>
      <c r="R711" s="10" t="s">
        <v>4500</v>
      </c>
      <c r="S711" s="11"/>
      <c r="T711" s="6" t="s">
        <v>97</v>
      </c>
      <c r="U711" s="15" t="str">
        <f>HYPERLINK("https://media.infra-m.ru/1218/1218458/cover/1218458.jpg", "Обложка")</f>
        <v>Обложка</v>
      </c>
      <c r="V711" s="8" t="s">
        <v>3428</v>
      </c>
      <c r="W711" s="6"/>
      <c r="X711" s="6"/>
      <c r="Y711" s="6"/>
      <c r="Z711" s="6"/>
      <c r="AA711" s="6" t="s">
        <v>404</v>
      </c>
      <c r="AB711" s="8"/>
      <c r="AC711" s="27">
        <v>9785369006115</v>
      </c>
    </row>
    <row r="712" spans="1:29" s="4" customFormat="1" ht="42" customHeight="1" x14ac:dyDescent="0.2">
      <c r="A712" s="5">
        <v>0</v>
      </c>
      <c r="B712" s="6" t="s">
        <v>4529</v>
      </c>
      <c r="C712" s="7">
        <v>1996.8</v>
      </c>
      <c r="D712" s="8" t="s">
        <v>4530</v>
      </c>
      <c r="E712" s="8" t="s">
        <v>4503</v>
      </c>
      <c r="F712" s="8" t="s">
        <v>4504</v>
      </c>
      <c r="G712" s="6" t="s">
        <v>118</v>
      </c>
      <c r="H712" s="6" t="s">
        <v>34</v>
      </c>
      <c r="I712" s="8" t="s">
        <v>263</v>
      </c>
      <c r="J712" s="9">
        <v>1</v>
      </c>
      <c r="K712" s="9">
        <v>287</v>
      </c>
      <c r="L712" s="9">
        <v>2027</v>
      </c>
      <c r="M712" s="8" t="s">
        <v>4531</v>
      </c>
      <c r="N712" s="8" t="s">
        <v>243</v>
      </c>
      <c r="O712" s="8" t="s">
        <v>244</v>
      </c>
      <c r="P712" s="6" t="s">
        <v>51</v>
      </c>
      <c r="Q712" s="8" t="s">
        <v>265</v>
      </c>
      <c r="R712" s="10" t="s">
        <v>4532</v>
      </c>
      <c r="S712" s="11"/>
      <c r="T712" s="6"/>
      <c r="U712" s="15" t="str">
        <f>HYPERLINK("https://media.infra-m.ru/2270/2270286/cover/2270286.jpg", "Обложка")</f>
        <v>Обложка</v>
      </c>
      <c r="V712" s="8" t="s">
        <v>247</v>
      </c>
      <c r="W712" s="6"/>
      <c r="X712" s="6"/>
      <c r="Y712" s="6"/>
      <c r="Z712" s="6" t="s">
        <v>267</v>
      </c>
      <c r="AA712" s="6" t="s">
        <v>1295</v>
      </c>
      <c r="AB712" s="8"/>
      <c r="AC712" s="27">
        <v>9785160202419</v>
      </c>
    </row>
    <row r="713" spans="1:29" s="4" customFormat="1" ht="51.9" customHeight="1" x14ac:dyDescent="0.2">
      <c r="A713" s="5">
        <v>0</v>
      </c>
      <c r="B713" s="6" t="s">
        <v>4533</v>
      </c>
      <c r="C713" s="7">
        <v>1776</v>
      </c>
      <c r="D713" s="8" t="s">
        <v>4534</v>
      </c>
      <c r="E713" s="8" t="s">
        <v>4535</v>
      </c>
      <c r="F713" s="8" t="s">
        <v>4536</v>
      </c>
      <c r="G713" s="6" t="s">
        <v>118</v>
      </c>
      <c r="H713" s="6" t="s">
        <v>241</v>
      </c>
      <c r="I713" s="8" t="s">
        <v>263</v>
      </c>
      <c r="J713" s="9">
        <v>1</v>
      </c>
      <c r="K713" s="9">
        <v>296</v>
      </c>
      <c r="L713" s="9">
        <v>2025</v>
      </c>
      <c r="M713" s="8" t="s">
        <v>4537</v>
      </c>
      <c r="N713" s="8" t="s">
        <v>37</v>
      </c>
      <c r="O713" s="8" t="s">
        <v>499</v>
      </c>
      <c r="P713" s="6" t="s">
        <v>306</v>
      </c>
      <c r="Q713" s="8" t="s">
        <v>265</v>
      </c>
      <c r="R713" s="10" t="s">
        <v>4538</v>
      </c>
      <c r="S713" s="11" t="s">
        <v>4539</v>
      </c>
      <c r="T713" s="6"/>
      <c r="U713" s="15" t="str">
        <f>HYPERLINK("https://media.infra-m.ru/2139/2139027/cover/2139027.jpg", "Обложка")</f>
        <v>Обложка</v>
      </c>
      <c r="V713" s="8" t="s">
        <v>247</v>
      </c>
      <c r="W713" s="6"/>
      <c r="X713" s="6" t="s">
        <v>24</v>
      </c>
      <c r="Y713" s="6"/>
      <c r="Z713" s="6" t="s">
        <v>267</v>
      </c>
      <c r="AA713" s="6" t="s">
        <v>86</v>
      </c>
      <c r="AB713" s="8"/>
      <c r="AC713" s="27">
        <v>9785955806174</v>
      </c>
    </row>
    <row r="714" spans="1:29" s="4" customFormat="1" ht="44.1" customHeight="1" x14ac:dyDescent="0.2">
      <c r="A714" s="5">
        <v>0</v>
      </c>
      <c r="B714" s="6" t="s">
        <v>4540</v>
      </c>
      <c r="C714" s="7">
        <v>1908</v>
      </c>
      <c r="D714" s="8" t="s">
        <v>4541</v>
      </c>
      <c r="E714" s="8" t="s">
        <v>4535</v>
      </c>
      <c r="F714" s="8" t="s">
        <v>4542</v>
      </c>
      <c r="G714" s="6" t="s">
        <v>118</v>
      </c>
      <c r="H714" s="6" t="s">
        <v>241</v>
      </c>
      <c r="I714" s="8"/>
      <c r="J714" s="9">
        <v>1</v>
      </c>
      <c r="K714" s="9">
        <v>296</v>
      </c>
      <c r="L714" s="9">
        <v>2025</v>
      </c>
      <c r="M714" s="8" t="s">
        <v>4543</v>
      </c>
      <c r="N714" s="8" t="s">
        <v>37</v>
      </c>
      <c r="O714" s="8" t="s">
        <v>499</v>
      </c>
      <c r="P714" s="6" t="s">
        <v>306</v>
      </c>
      <c r="Q714" s="8" t="s">
        <v>52</v>
      </c>
      <c r="R714" s="10" t="s">
        <v>4506</v>
      </c>
      <c r="S714" s="11"/>
      <c r="T714" s="6"/>
      <c r="U714" s="15" t="str">
        <f>HYPERLINK("https://media.infra-m.ru/2202/2202589/cover/2202589.jpg", "Обложка")</f>
        <v>Обложка</v>
      </c>
      <c r="V714" s="8" t="s">
        <v>247</v>
      </c>
      <c r="W714" s="6"/>
      <c r="X714" s="6"/>
      <c r="Y714" s="6"/>
      <c r="Z714" s="6"/>
      <c r="AA714" s="6" t="s">
        <v>55</v>
      </c>
      <c r="AB714" s="8"/>
      <c r="AC714" s="27">
        <v>9785955802701</v>
      </c>
    </row>
    <row r="715" spans="1:29" s="4" customFormat="1" ht="51.9" customHeight="1" x14ac:dyDescent="0.2">
      <c r="A715" s="5">
        <v>0</v>
      </c>
      <c r="B715" s="6" t="s">
        <v>4544</v>
      </c>
      <c r="C715" s="13">
        <v>591.6</v>
      </c>
      <c r="D715" s="8" t="s">
        <v>4545</v>
      </c>
      <c r="E715" s="8" t="s">
        <v>4535</v>
      </c>
      <c r="F715" s="8" t="s">
        <v>4546</v>
      </c>
      <c r="G715" s="6" t="s">
        <v>33</v>
      </c>
      <c r="H715" s="6" t="s">
        <v>313</v>
      </c>
      <c r="I715" s="8" t="s">
        <v>401</v>
      </c>
      <c r="J715" s="9">
        <v>1</v>
      </c>
      <c r="K715" s="9">
        <v>81</v>
      </c>
      <c r="L715" s="9">
        <v>2026</v>
      </c>
      <c r="M715" s="8" t="s">
        <v>4547</v>
      </c>
      <c r="N715" s="8" t="s">
        <v>37</v>
      </c>
      <c r="O715" s="8" t="s">
        <v>499</v>
      </c>
      <c r="P715" s="6" t="s">
        <v>51</v>
      </c>
      <c r="Q715" s="8" t="s">
        <v>265</v>
      </c>
      <c r="R715" s="10" t="s">
        <v>4538</v>
      </c>
      <c r="S715" s="11"/>
      <c r="T715" s="6"/>
      <c r="U715" s="15" t="str">
        <f>HYPERLINK("https://media.infra-m.ru/2238/2238620/cover/2238620.jpg", "Обложка")</f>
        <v>Обложка</v>
      </c>
      <c r="V715" s="8" t="s">
        <v>227</v>
      </c>
      <c r="W715" s="6"/>
      <c r="X715" s="6" t="s">
        <v>24</v>
      </c>
      <c r="Y715" s="6"/>
      <c r="Z715" s="6" t="s">
        <v>267</v>
      </c>
      <c r="AA715" s="6" t="s">
        <v>86</v>
      </c>
      <c r="AB715" s="8"/>
      <c r="AC715" s="27">
        <v>9785369017647</v>
      </c>
    </row>
    <row r="716" spans="1:29" s="4" customFormat="1" ht="51.9" customHeight="1" x14ac:dyDescent="0.2">
      <c r="A716" s="5">
        <v>0</v>
      </c>
      <c r="B716" s="6" t="s">
        <v>4548</v>
      </c>
      <c r="C716" s="13">
        <v>579.6</v>
      </c>
      <c r="D716" s="8" t="s">
        <v>4549</v>
      </c>
      <c r="E716" s="8" t="s">
        <v>4535</v>
      </c>
      <c r="F716" s="8" t="s">
        <v>4550</v>
      </c>
      <c r="G716" s="6" t="s">
        <v>33</v>
      </c>
      <c r="H716" s="6" t="s">
        <v>313</v>
      </c>
      <c r="I716" s="8" t="s">
        <v>4551</v>
      </c>
      <c r="J716" s="9">
        <v>1</v>
      </c>
      <c r="K716" s="9">
        <v>81</v>
      </c>
      <c r="L716" s="9">
        <v>2026</v>
      </c>
      <c r="M716" s="8" t="s">
        <v>4552</v>
      </c>
      <c r="N716" s="8" t="s">
        <v>37</v>
      </c>
      <c r="O716" s="8" t="s">
        <v>499</v>
      </c>
      <c r="P716" s="6" t="s">
        <v>51</v>
      </c>
      <c r="Q716" s="8" t="s">
        <v>52</v>
      </c>
      <c r="R716" s="10" t="s">
        <v>4553</v>
      </c>
      <c r="S716" s="11"/>
      <c r="T716" s="6"/>
      <c r="U716" s="15" t="str">
        <f>HYPERLINK("https://media.infra-m.ru/2218/2218018/cover/2218018.jpg", "Обложка")</f>
        <v>Обложка</v>
      </c>
      <c r="V716" s="8" t="s">
        <v>227</v>
      </c>
      <c r="W716" s="6"/>
      <c r="X716" s="6"/>
      <c r="Y716" s="6"/>
      <c r="Z716" s="6"/>
      <c r="AA716" s="6" t="s">
        <v>4554</v>
      </c>
      <c r="AB716" s="8"/>
      <c r="AC716" s="27">
        <v>9785369007327</v>
      </c>
    </row>
    <row r="717" spans="1:29" s="4" customFormat="1" ht="51.9" customHeight="1" x14ac:dyDescent="0.2">
      <c r="A717" s="5">
        <v>0</v>
      </c>
      <c r="B717" s="6" t="s">
        <v>4555</v>
      </c>
      <c r="C717" s="7">
        <v>1800</v>
      </c>
      <c r="D717" s="8" t="s">
        <v>4556</v>
      </c>
      <c r="E717" s="8" t="s">
        <v>4557</v>
      </c>
      <c r="F717" s="8" t="s">
        <v>4558</v>
      </c>
      <c r="G717" s="6" t="s">
        <v>33</v>
      </c>
      <c r="H717" s="6" t="s">
        <v>34</v>
      </c>
      <c r="I717" s="8" t="s">
        <v>263</v>
      </c>
      <c r="J717" s="9">
        <v>1</v>
      </c>
      <c r="K717" s="9">
        <v>272</v>
      </c>
      <c r="L717" s="9">
        <v>2026</v>
      </c>
      <c r="M717" s="8" t="s">
        <v>4559</v>
      </c>
      <c r="N717" s="8" t="s">
        <v>37</v>
      </c>
      <c r="O717" s="8" t="s">
        <v>499</v>
      </c>
      <c r="P717" s="6" t="s">
        <v>51</v>
      </c>
      <c r="Q717" s="8" t="s">
        <v>265</v>
      </c>
      <c r="R717" s="10" t="s">
        <v>4560</v>
      </c>
      <c r="S717" s="11" t="s">
        <v>4561</v>
      </c>
      <c r="T717" s="6"/>
      <c r="U717" s="15" t="str">
        <f>HYPERLINK("https://media.infra-m.ru/2246/2246649/cover/2246649.jpg", "Обложка")</f>
        <v>Обложка</v>
      </c>
      <c r="V717" s="8" t="s">
        <v>396</v>
      </c>
      <c r="W717" s="6"/>
      <c r="X717" s="6" t="s">
        <v>24</v>
      </c>
      <c r="Y717" s="6"/>
      <c r="Z717" s="6"/>
      <c r="AA717" s="6" t="s">
        <v>446</v>
      </c>
      <c r="AB717" s="8"/>
      <c r="AC717" s="27">
        <v>9785160220284</v>
      </c>
    </row>
    <row r="718" spans="1:29" s="4" customFormat="1" ht="51.9" customHeight="1" x14ac:dyDescent="0.2">
      <c r="A718" s="5">
        <v>0</v>
      </c>
      <c r="B718" s="6" t="s">
        <v>4562</v>
      </c>
      <c r="C718" s="7">
        <v>1900.8</v>
      </c>
      <c r="D718" s="8" t="s">
        <v>4563</v>
      </c>
      <c r="E718" s="8" t="s">
        <v>4564</v>
      </c>
      <c r="F718" s="8" t="s">
        <v>4565</v>
      </c>
      <c r="G718" s="6" t="s">
        <v>118</v>
      </c>
      <c r="H718" s="6" t="s">
        <v>34</v>
      </c>
      <c r="I718" s="8" t="s">
        <v>263</v>
      </c>
      <c r="J718" s="9">
        <v>1</v>
      </c>
      <c r="K718" s="9">
        <v>288</v>
      </c>
      <c r="L718" s="9">
        <v>2026</v>
      </c>
      <c r="M718" s="8" t="s">
        <v>4566</v>
      </c>
      <c r="N718" s="8" t="s">
        <v>37</v>
      </c>
      <c r="O718" s="8" t="s">
        <v>499</v>
      </c>
      <c r="P718" s="6" t="s">
        <v>51</v>
      </c>
      <c r="Q718" s="8" t="s">
        <v>265</v>
      </c>
      <c r="R718" s="10" t="s">
        <v>4538</v>
      </c>
      <c r="S718" s="11" t="s">
        <v>4567</v>
      </c>
      <c r="T718" s="6"/>
      <c r="U718" s="15" t="str">
        <f>HYPERLINK("https://media.infra-m.ru/2246/2246661/cover/2246661.jpg", "Обложка")</f>
        <v>Обложка</v>
      </c>
      <c r="V718" s="8" t="s">
        <v>227</v>
      </c>
      <c r="W718" s="6"/>
      <c r="X718" s="6" t="s">
        <v>24</v>
      </c>
      <c r="Y718" s="6"/>
      <c r="Z718" s="6"/>
      <c r="AA718" s="6" t="s">
        <v>1056</v>
      </c>
      <c r="AB718" s="8"/>
      <c r="AC718" s="27">
        <v>9785160122236</v>
      </c>
    </row>
    <row r="719" spans="1:29" s="4" customFormat="1" ht="51.9" customHeight="1" x14ac:dyDescent="0.2">
      <c r="A719" s="5">
        <v>0</v>
      </c>
      <c r="B719" s="6" t="s">
        <v>4568</v>
      </c>
      <c r="C719" s="7">
        <v>1668</v>
      </c>
      <c r="D719" s="8" t="s">
        <v>4569</v>
      </c>
      <c r="E719" s="8" t="s">
        <v>4535</v>
      </c>
      <c r="F719" s="8" t="s">
        <v>4570</v>
      </c>
      <c r="G719" s="6" t="s">
        <v>118</v>
      </c>
      <c r="H719" s="6" t="s">
        <v>34</v>
      </c>
      <c r="I719" s="8" t="s">
        <v>263</v>
      </c>
      <c r="J719" s="9">
        <v>1</v>
      </c>
      <c r="K719" s="9">
        <v>240</v>
      </c>
      <c r="L719" s="9">
        <v>2026</v>
      </c>
      <c r="M719" s="8" t="s">
        <v>4571</v>
      </c>
      <c r="N719" s="8" t="s">
        <v>37</v>
      </c>
      <c r="O719" s="8" t="s">
        <v>499</v>
      </c>
      <c r="P719" s="6" t="s">
        <v>51</v>
      </c>
      <c r="Q719" s="8" t="s">
        <v>265</v>
      </c>
      <c r="R719" s="10" t="s">
        <v>2200</v>
      </c>
      <c r="S719" s="11" t="s">
        <v>4572</v>
      </c>
      <c r="T719" s="6"/>
      <c r="U719" s="15" t="str">
        <f>HYPERLINK("https://media.infra-m.ru/2239/2239412/cover/2239412.jpg", "Обложка")</f>
        <v>Обложка</v>
      </c>
      <c r="V719" s="8" t="s">
        <v>1505</v>
      </c>
      <c r="W719" s="6"/>
      <c r="X719" s="6"/>
      <c r="Y719" s="6"/>
      <c r="Z719" s="6"/>
      <c r="AA719" s="6" t="s">
        <v>1506</v>
      </c>
      <c r="AB719" s="8"/>
      <c r="AC719" s="27">
        <v>9785160218342</v>
      </c>
    </row>
    <row r="720" spans="1:29" s="4" customFormat="1" ht="51.9" customHeight="1" x14ac:dyDescent="0.2">
      <c r="A720" s="5">
        <v>0</v>
      </c>
      <c r="B720" s="6" t="s">
        <v>4573</v>
      </c>
      <c r="C720" s="7">
        <v>1368</v>
      </c>
      <c r="D720" s="8" t="s">
        <v>4574</v>
      </c>
      <c r="E720" s="8" t="s">
        <v>4575</v>
      </c>
      <c r="F720" s="8" t="s">
        <v>4576</v>
      </c>
      <c r="G720" s="6" t="s">
        <v>33</v>
      </c>
      <c r="H720" s="6" t="s">
        <v>34</v>
      </c>
      <c r="I720" s="8" t="s">
        <v>35</v>
      </c>
      <c r="J720" s="9">
        <v>1</v>
      </c>
      <c r="K720" s="9">
        <v>246</v>
      </c>
      <c r="L720" s="9">
        <v>2024</v>
      </c>
      <c r="M720" s="8" t="s">
        <v>4577</v>
      </c>
      <c r="N720" s="8" t="s">
        <v>37</v>
      </c>
      <c r="O720" s="8" t="s">
        <v>233</v>
      </c>
      <c r="P720" s="6" t="s">
        <v>39</v>
      </c>
      <c r="Q720" s="8" t="s">
        <v>40</v>
      </c>
      <c r="R720" s="10" t="s">
        <v>4578</v>
      </c>
      <c r="S720" s="11"/>
      <c r="T720" s="6"/>
      <c r="U720" s="15" t="str">
        <f>HYPERLINK("https://media.infra-m.ru/2125/2125186/cover/2125186.jpg", "Обложка")</f>
        <v>Обложка</v>
      </c>
      <c r="V720" s="8" t="s">
        <v>4579</v>
      </c>
      <c r="W720" s="6"/>
      <c r="X720" s="6"/>
      <c r="Y720" s="6"/>
      <c r="Z720" s="6"/>
      <c r="AA720" s="6" t="s">
        <v>115</v>
      </c>
      <c r="AB720" s="8"/>
      <c r="AC720" s="27">
        <v>9785160154015</v>
      </c>
    </row>
    <row r="721" spans="1:29" s="4" customFormat="1" ht="51.9" customHeight="1" x14ac:dyDescent="0.2">
      <c r="A721" s="5">
        <v>0</v>
      </c>
      <c r="B721" s="6" t="s">
        <v>4580</v>
      </c>
      <c r="C721" s="7">
        <v>2100</v>
      </c>
      <c r="D721" s="8" t="s">
        <v>4581</v>
      </c>
      <c r="E721" s="8" t="s">
        <v>4582</v>
      </c>
      <c r="F721" s="8" t="s">
        <v>4583</v>
      </c>
      <c r="G721" s="6" t="s">
        <v>118</v>
      </c>
      <c r="H721" s="6" t="s">
        <v>34</v>
      </c>
      <c r="I721" s="8" t="s">
        <v>1501</v>
      </c>
      <c r="J721" s="9">
        <v>1</v>
      </c>
      <c r="K721" s="9">
        <v>319</v>
      </c>
      <c r="L721" s="9">
        <v>2026</v>
      </c>
      <c r="M721" s="8" t="s">
        <v>4584</v>
      </c>
      <c r="N721" s="8" t="s">
        <v>37</v>
      </c>
      <c r="O721" s="8" t="s">
        <v>280</v>
      </c>
      <c r="P721" s="6" t="s">
        <v>306</v>
      </c>
      <c r="Q721" s="8" t="s">
        <v>40</v>
      </c>
      <c r="R721" s="10" t="s">
        <v>4585</v>
      </c>
      <c r="S721" s="11" t="s">
        <v>4586</v>
      </c>
      <c r="T721" s="6"/>
      <c r="U721" s="15" t="str">
        <f>HYPERLINK("https://media.infra-m.ru/2226/2226032/cover/2226032.jpg", "Обложка")</f>
        <v>Обложка</v>
      </c>
      <c r="V721" s="8" t="s">
        <v>657</v>
      </c>
      <c r="W721" s="6"/>
      <c r="X721" s="6"/>
      <c r="Y721" s="6"/>
      <c r="Z721" s="6"/>
      <c r="AA721" s="6" t="s">
        <v>1007</v>
      </c>
      <c r="AB721" s="8"/>
      <c r="AC721" s="27">
        <v>9785160018256</v>
      </c>
    </row>
    <row r="722" spans="1:29" s="4" customFormat="1" ht="51.9" customHeight="1" x14ac:dyDescent="0.2">
      <c r="A722" s="5">
        <v>0</v>
      </c>
      <c r="B722" s="6" t="s">
        <v>4587</v>
      </c>
      <c r="C722" s="7">
        <v>1308</v>
      </c>
      <c r="D722" s="8" t="s">
        <v>4588</v>
      </c>
      <c r="E722" s="8" t="s">
        <v>4589</v>
      </c>
      <c r="F722" s="8" t="s">
        <v>4590</v>
      </c>
      <c r="G722" s="6" t="s">
        <v>118</v>
      </c>
      <c r="H722" s="6" t="s">
        <v>34</v>
      </c>
      <c r="I722" s="8" t="s">
        <v>253</v>
      </c>
      <c r="J722" s="9">
        <v>1</v>
      </c>
      <c r="K722" s="9">
        <v>236</v>
      </c>
      <c r="L722" s="9">
        <v>2023</v>
      </c>
      <c r="M722" s="8" t="s">
        <v>4591</v>
      </c>
      <c r="N722" s="8" t="s">
        <v>37</v>
      </c>
      <c r="O722" s="8" t="s">
        <v>499</v>
      </c>
      <c r="P722" s="6" t="s">
        <v>306</v>
      </c>
      <c r="Q722" s="8" t="s">
        <v>65</v>
      </c>
      <c r="R722" s="10" t="s">
        <v>4592</v>
      </c>
      <c r="S722" s="11" t="s">
        <v>4593</v>
      </c>
      <c r="T722" s="6" t="s">
        <v>97</v>
      </c>
      <c r="U722" s="15" t="str">
        <f>HYPERLINK("https://media.infra-m.ru/2030/2030718/cover/2030718.jpg", "Обложка")</f>
        <v>Обложка</v>
      </c>
      <c r="V722" s="8" t="s">
        <v>3413</v>
      </c>
      <c r="W722" s="6"/>
      <c r="X722" s="6"/>
      <c r="Y722" s="6"/>
      <c r="Z722" s="6"/>
      <c r="AA722" s="6" t="s">
        <v>430</v>
      </c>
      <c r="AB722" s="8"/>
      <c r="AC722" s="27">
        <v>9785160185712</v>
      </c>
    </row>
    <row r="723" spans="1:29" s="4" customFormat="1" ht="51.9" customHeight="1" x14ac:dyDescent="0.2">
      <c r="A723" s="5">
        <v>0</v>
      </c>
      <c r="B723" s="6" t="s">
        <v>4594</v>
      </c>
      <c r="C723" s="7">
        <v>1574.4</v>
      </c>
      <c r="D723" s="8" t="s">
        <v>4595</v>
      </c>
      <c r="E723" s="8" t="s">
        <v>4596</v>
      </c>
      <c r="F723" s="8" t="s">
        <v>4597</v>
      </c>
      <c r="G723" s="6" t="s">
        <v>118</v>
      </c>
      <c r="H723" s="6" t="s">
        <v>34</v>
      </c>
      <c r="I723" s="8" t="s">
        <v>271</v>
      </c>
      <c r="J723" s="9">
        <v>1</v>
      </c>
      <c r="K723" s="9">
        <v>200</v>
      </c>
      <c r="L723" s="9">
        <v>2023</v>
      </c>
      <c r="M723" s="8" t="s">
        <v>4598</v>
      </c>
      <c r="N723" s="8" t="s">
        <v>585</v>
      </c>
      <c r="O723" s="8" t="s">
        <v>775</v>
      </c>
      <c r="P723" s="6" t="s">
        <v>51</v>
      </c>
      <c r="Q723" s="8" t="s">
        <v>52</v>
      </c>
      <c r="R723" s="10" t="s">
        <v>4599</v>
      </c>
      <c r="S723" s="11" t="s">
        <v>4600</v>
      </c>
      <c r="T723" s="6"/>
      <c r="U723" s="15" t="str">
        <f>HYPERLINK("https://media.infra-m.ru/1908/1908825/cover/1908825.jpg", "Обложка")</f>
        <v>Обложка</v>
      </c>
      <c r="V723" s="8" t="s">
        <v>1357</v>
      </c>
      <c r="W723" s="6"/>
      <c r="X723" s="6"/>
      <c r="Y723" s="6"/>
      <c r="Z723" s="6"/>
      <c r="AA723" s="6" t="s">
        <v>2240</v>
      </c>
      <c r="AB723" s="8"/>
      <c r="AC723" s="27">
        <v>9785160148281</v>
      </c>
    </row>
    <row r="724" spans="1:29" s="4" customFormat="1" ht="51.9" customHeight="1" x14ac:dyDescent="0.2">
      <c r="A724" s="5">
        <v>0</v>
      </c>
      <c r="B724" s="6" t="s">
        <v>4601</v>
      </c>
      <c r="C724" s="7">
        <v>1908</v>
      </c>
      <c r="D724" s="8" t="s">
        <v>4602</v>
      </c>
      <c r="E724" s="8" t="s">
        <v>4603</v>
      </c>
      <c r="F724" s="8" t="s">
        <v>4604</v>
      </c>
      <c r="G724" s="6" t="s">
        <v>118</v>
      </c>
      <c r="H724" s="6" t="s">
        <v>34</v>
      </c>
      <c r="I724" s="8" t="s">
        <v>271</v>
      </c>
      <c r="J724" s="9">
        <v>1</v>
      </c>
      <c r="K724" s="9">
        <v>320</v>
      </c>
      <c r="L724" s="9">
        <v>2023</v>
      </c>
      <c r="M724" s="8" t="s">
        <v>4605</v>
      </c>
      <c r="N724" s="8" t="s">
        <v>243</v>
      </c>
      <c r="O724" s="8" t="s">
        <v>1100</v>
      </c>
      <c r="P724" s="6" t="s">
        <v>306</v>
      </c>
      <c r="Q724" s="8" t="s">
        <v>52</v>
      </c>
      <c r="R724" s="10" t="s">
        <v>4606</v>
      </c>
      <c r="S724" s="11" t="s">
        <v>4607</v>
      </c>
      <c r="T724" s="6" t="s">
        <v>97</v>
      </c>
      <c r="U724" s="15" t="str">
        <f>HYPERLINK("https://media.infra-m.ru/1899/1899887/cover/1899887.jpg", "Обложка")</f>
        <v>Обложка</v>
      </c>
      <c r="V724" s="8" t="s">
        <v>1030</v>
      </c>
      <c r="W724" s="6"/>
      <c r="X724" s="6"/>
      <c r="Y724" s="6"/>
      <c r="Z724" s="6"/>
      <c r="AA724" s="6" t="s">
        <v>779</v>
      </c>
      <c r="AB724" s="8"/>
      <c r="AC724" s="27">
        <v>9785160106250</v>
      </c>
    </row>
    <row r="725" spans="1:29" s="4" customFormat="1" ht="44.1" customHeight="1" x14ac:dyDescent="0.2">
      <c r="A725" s="5">
        <v>0</v>
      </c>
      <c r="B725" s="6" t="s">
        <v>4608</v>
      </c>
      <c r="C725" s="7">
        <v>1192.8</v>
      </c>
      <c r="D725" s="8" t="s">
        <v>4609</v>
      </c>
      <c r="E725" s="8" t="s">
        <v>4610</v>
      </c>
      <c r="F725" s="8" t="s">
        <v>4611</v>
      </c>
      <c r="G725" s="6" t="s">
        <v>33</v>
      </c>
      <c r="H725" s="6" t="s">
        <v>34</v>
      </c>
      <c r="I725" s="8" t="s">
        <v>35</v>
      </c>
      <c r="J725" s="9">
        <v>1</v>
      </c>
      <c r="K725" s="9">
        <v>160</v>
      </c>
      <c r="L725" s="9">
        <v>2026</v>
      </c>
      <c r="M725" s="8" t="s">
        <v>4612</v>
      </c>
      <c r="N725" s="8" t="s">
        <v>585</v>
      </c>
      <c r="O725" s="8" t="s">
        <v>775</v>
      </c>
      <c r="P725" s="6" t="s">
        <v>39</v>
      </c>
      <c r="Q725" s="8" t="s">
        <v>40</v>
      </c>
      <c r="R725" s="10" t="s">
        <v>4613</v>
      </c>
      <c r="S725" s="11"/>
      <c r="T725" s="6"/>
      <c r="U725" s="15" t="str">
        <f>HYPERLINK("https://media.infra-m.ru/2243/2243316/cover/2243316.jpg", "Обложка")</f>
        <v>Обложка</v>
      </c>
      <c r="V725" s="8" t="s">
        <v>2602</v>
      </c>
      <c r="W725" s="6"/>
      <c r="X725" s="6"/>
      <c r="Y725" s="6"/>
      <c r="Z725" s="6"/>
      <c r="AA725" s="6" t="s">
        <v>86</v>
      </c>
      <c r="AB725" s="8"/>
      <c r="AC725" s="27">
        <v>9785160137971</v>
      </c>
    </row>
    <row r="726" spans="1:29" s="4" customFormat="1" ht="42" customHeight="1" x14ac:dyDescent="0.2">
      <c r="A726" s="5">
        <v>0</v>
      </c>
      <c r="B726" s="6" t="s">
        <v>4614</v>
      </c>
      <c r="C726" s="7">
        <v>2196</v>
      </c>
      <c r="D726" s="8" t="s">
        <v>4615</v>
      </c>
      <c r="E726" s="8" t="s">
        <v>4616</v>
      </c>
      <c r="F726" s="8" t="s">
        <v>4617</v>
      </c>
      <c r="G726" s="6" t="s">
        <v>60</v>
      </c>
      <c r="H726" s="6" t="s">
        <v>34</v>
      </c>
      <c r="I726" s="8" t="s">
        <v>35</v>
      </c>
      <c r="J726" s="9">
        <v>1</v>
      </c>
      <c r="K726" s="9">
        <v>398</v>
      </c>
      <c r="L726" s="9">
        <v>2023</v>
      </c>
      <c r="M726" s="8" t="s">
        <v>4618</v>
      </c>
      <c r="N726" s="8" t="s">
        <v>243</v>
      </c>
      <c r="O726" s="8" t="s">
        <v>758</v>
      </c>
      <c r="P726" s="6" t="s">
        <v>39</v>
      </c>
      <c r="Q726" s="8" t="s">
        <v>40</v>
      </c>
      <c r="R726" s="10" t="s">
        <v>4619</v>
      </c>
      <c r="S726" s="11"/>
      <c r="T726" s="6"/>
      <c r="U726" s="15" t="str">
        <f>HYPERLINK("https://media.infra-m.ru/2049/2049717/cover/2049717.jpg", "Обложка")</f>
        <v>Обложка</v>
      </c>
      <c r="V726" s="8" t="s">
        <v>4620</v>
      </c>
      <c r="W726" s="6"/>
      <c r="X726" s="6"/>
      <c r="Y726" s="6"/>
      <c r="Z726" s="6"/>
      <c r="AA726" s="6" t="s">
        <v>157</v>
      </c>
      <c r="AB726" s="8" t="s">
        <v>2208</v>
      </c>
      <c r="AC726" s="27">
        <v>9785160187181</v>
      </c>
    </row>
    <row r="727" spans="1:29" s="4" customFormat="1" ht="44.1" customHeight="1" x14ac:dyDescent="0.2">
      <c r="A727" s="5">
        <v>0</v>
      </c>
      <c r="B727" s="6" t="s">
        <v>4621</v>
      </c>
      <c r="C727" s="7">
        <v>1132.8</v>
      </c>
      <c r="D727" s="8" t="s">
        <v>4622</v>
      </c>
      <c r="E727" s="8" t="s">
        <v>4623</v>
      </c>
      <c r="F727" s="8" t="s">
        <v>4624</v>
      </c>
      <c r="G727" s="6" t="s">
        <v>60</v>
      </c>
      <c r="H727" s="6" t="s">
        <v>34</v>
      </c>
      <c r="I727" s="8" t="s">
        <v>263</v>
      </c>
      <c r="J727" s="9">
        <v>1</v>
      </c>
      <c r="K727" s="9">
        <v>171</v>
      </c>
      <c r="L727" s="9">
        <v>2026</v>
      </c>
      <c r="M727" s="8" t="s">
        <v>4625</v>
      </c>
      <c r="N727" s="8" t="s">
        <v>243</v>
      </c>
      <c r="O727" s="8" t="s">
        <v>1100</v>
      </c>
      <c r="P727" s="6" t="s">
        <v>51</v>
      </c>
      <c r="Q727" s="8" t="s">
        <v>265</v>
      </c>
      <c r="R727" s="10" t="s">
        <v>4626</v>
      </c>
      <c r="S727" s="11"/>
      <c r="T727" s="6"/>
      <c r="U727" s="15" t="str">
        <f>HYPERLINK("https://media.infra-m.ru/2239/2239102/cover/2239102.jpg", "Обложка")</f>
        <v>Обложка</v>
      </c>
      <c r="V727" s="8" t="s">
        <v>1030</v>
      </c>
      <c r="W727" s="6"/>
      <c r="X727" s="6"/>
      <c r="Y727" s="6"/>
      <c r="Z727" s="6"/>
      <c r="AA727" s="6" t="s">
        <v>157</v>
      </c>
      <c r="AB727" s="8" t="s">
        <v>2697</v>
      </c>
      <c r="AC727" s="27">
        <v>9785160179063</v>
      </c>
    </row>
    <row r="728" spans="1:29" s="4" customFormat="1" ht="51.9" customHeight="1" x14ac:dyDescent="0.2">
      <c r="A728" s="5">
        <v>0</v>
      </c>
      <c r="B728" s="6" t="s">
        <v>4627</v>
      </c>
      <c r="C728" s="7">
        <v>1608</v>
      </c>
      <c r="D728" s="8" t="s">
        <v>4628</v>
      </c>
      <c r="E728" s="8" t="s">
        <v>4629</v>
      </c>
      <c r="F728" s="8" t="s">
        <v>4624</v>
      </c>
      <c r="G728" s="6" t="s">
        <v>118</v>
      </c>
      <c r="H728" s="6" t="s">
        <v>34</v>
      </c>
      <c r="I728" s="8" t="s">
        <v>271</v>
      </c>
      <c r="J728" s="9">
        <v>1</v>
      </c>
      <c r="K728" s="9">
        <v>296</v>
      </c>
      <c r="L728" s="9">
        <v>2023</v>
      </c>
      <c r="M728" s="8" t="s">
        <v>4630</v>
      </c>
      <c r="N728" s="8" t="s">
        <v>243</v>
      </c>
      <c r="O728" s="8" t="s">
        <v>1100</v>
      </c>
      <c r="P728" s="6" t="s">
        <v>306</v>
      </c>
      <c r="Q728" s="8" t="s">
        <v>52</v>
      </c>
      <c r="R728" s="10" t="s">
        <v>4631</v>
      </c>
      <c r="S728" s="11" t="s">
        <v>4632</v>
      </c>
      <c r="T728" s="6"/>
      <c r="U728" s="15" t="str">
        <f>HYPERLINK("https://media.infra-m.ru/1908/1908808/cover/1908808.jpg", "Обложка")</f>
        <v>Обложка</v>
      </c>
      <c r="V728" s="8" t="s">
        <v>1030</v>
      </c>
      <c r="W728" s="6"/>
      <c r="X728" s="6"/>
      <c r="Y728" s="6"/>
      <c r="Z728" s="6"/>
      <c r="AA728" s="6" t="s">
        <v>779</v>
      </c>
      <c r="AB728" s="8"/>
      <c r="AC728" s="27">
        <v>9785160109176</v>
      </c>
    </row>
    <row r="729" spans="1:29" s="4" customFormat="1" ht="51.9" customHeight="1" x14ac:dyDescent="0.2">
      <c r="A729" s="5">
        <v>0</v>
      </c>
      <c r="B729" s="6" t="s">
        <v>4633</v>
      </c>
      <c r="C729" s="7">
        <v>1120.8</v>
      </c>
      <c r="D729" s="8" t="s">
        <v>4634</v>
      </c>
      <c r="E729" s="8" t="s">
        <v>4635</v>
      </c>
      <c r="F729" s="8" t="s">
        <v>4636</v>
      </c>
      <c r="G729" s="6" t="s">
        <v>60</v>
      </c>
      <c r="H729" s="6" t="s">
        <v>34</v>
      </c>
      <c r="I729" s="8" t="s">
        <v>271</v>
      </c>
      <c r="J729" s="9">
        <v>1</v>
      </c>
      <c r="K729" s="9">
        <v>160</v>
      </c>
      <c r="L729" s="9">
        <v>2027</v>
      </c>
      <c r="M729" s="8" t="s">
        <v>4637</v>
      </c>
      <c r="N729" s="8" t="s">
        <v>243</v>
      </c>
      <c r="O729" s="8" t="s">
        <v>1100</v>
      </c>
      <c r="P729" s="6" t="s">
        <v>51</v>
      </c>
      <c r="Q729" s="8" t="s">
        <v>52</v>
      </c>
      <c r="R729" s="10" t="s">
        <v>4638</v>
      </c>
      <c r="S729" s="11" t="s">
        <v>4639</v>
      </c>
      <c r="T729" s="6"/>
      <c r="U729" s="15" t="str">
        <f>HYPERLINK("https://media.infra-m.ru/2266/2266519/cover/2266519.jpg", "Обложка")</f>
        <v>Обложка</v>
      </c>
      <c r="V729" s="8" t="s">
        <v>1030</v>
      </c>
      <c r="W729" s="6"/>
      <c r="X729" s="6"/>
      <c r="Y729" s="6"/>
      <c r="Z729" s="6"/>
      <c r="AA729" s="6" t="s">
        <v>55</v>
      </c>
      <c r="AB729" s="8"/>
      <c r="AC729" s="27">
        <v>9785160057125</v>
      </c>
    </row>
    <row r="730" spans="1:29" s="4" customFormat="1" ht="51.9" customHeight="1" x14ac:dyDescent="0.2">
      <c r="A730" s="5">
        <v>0</v>
      </c>
      <c r="B730" s="6" t="s">
        <v>4640</v>
      </c>
      <c r="C730" s="7">
        <v>1704</v>
      </c>
      <c r="D730" s="8" t="s">
        <v>4641</v>
      </c>
      <c r="E730" s="8" t="s">
        <v>4642</v>
      </c>
      <c r="F730" s="8" t="s">
        <v>4643</v>
      </c>
      <c r="G730" s="6" t="s">
        <v>118</v>
      </c>
      <c r="H730" s="6" t="s">
        <v>34</v>
      </c>
      <c r="I730" s="8" t="s">
        <v>253</v>
      </c>
      <c r="J730" s="9">
        <v>1</v>
      </c>
      <c r="K730" s="9">
        <v>255</v>
      </c>
      <c r="L730" s="9">
        <v>2026</v>
      </c>
      <c r="M730" s="8" t="s">
        <v>4644</v>
      </c>
      <c r="N730" s="8" t="s">
        <v>243</v>
      </c>
      <c r="O730" s="8" t="s">
        <v>798</v>
      </c>
      <c r="P730" s="6" t="s">
        <v>51</v>
      </c>
      <c r="Q730" s="8" t="s">
        <v>52</v>
      </c>
      <c r="R730" s="10" t="s">
        <v>4645</v>
      </c>
      <c r="S730" s="11" t="s">
        <v>4646</v>
      </c>
      <c r="T730" s="6" t="s">
        <v>97</v>
      </c>
      <c r="U730" s="15" t="str">
        <f>HYPERLINK("https://media.infra-m.ru/2234/2234120/cover/2234120.jpg", "Обложка")</f>
        <v>Обложка</v>
      </c>
      <c r="V730" s="8" t="s">
        <v>761</v>
      </c>
      <c r="W730" s="6"/>
      <c r="X730" s="6"/>
      <c r="Y730" s="6"/>
      <c r="Z730" s="6"/>
      <c r="AA730" s="6" t="s">
        <v>430</v>
      </c>
      <c r="AB730" s="8"/>
      <c r="AC730" s="27">
        <v>9785160190327</v>
      </c>
    </row>
    <row r="731" spans="1:29" s="4" customFormat="1" ht="42" customHeight="1" x14ac:dyDescent="0.2">
      <c r="A731" s="5">
        <v>0</v>
      </c>
      <c r="B731" s="6" t="s">
        <v>4647</v>
      </c>
      <c r="C731" s="7">
        <v>1384.8</v>
      </c>
      <c r="D731" s="8" t="s">
        <v>4648</v>
      </c>
      <c r="E731" s="8" t="s">
        <v>4649</v>
      </c>
      <c r="F731" s="8" t="s">
        <v>4650</v>
      </c>
      <c r="G731" s="6" t="s">
        <v>33</v>
      </c>
      <c r="H731" s="6" t="s">
        <v>34</v>
      </c>
      <c r="I731" s="8" t="s">
        <v>35</v>
      </c>
      <c r="J731" s="9">
        <v>1</v>
      </c>
      <c r="K731" s="9">
        <v>200</v>
      </c>
      <c r="L731" s="9">
        <v>2027</v>
      </c>
      <c r="M731" s="8" t="s">
        <v>4651</v>
      </c>
      <c r="N731" s="8" t="s">
        <v>243</v>
      </c>
      <c r="O731" s="8" t="s">
        <v>385</v>
      </c>
      <c r="P731" s="6" t="s">
        <v>39</v>
      </c>
      <c r="Q731" s="8" t="s">
        <v>40</v>
      </c>
      <c r="R731" s="10" t="s">
        <v>378</v>
      </c>
      <c r="S731" s="11"/>
      <c r="T731" s="6"/>
      <c r="U731" s="15" t="str">
        <f>HYPERLINK("https://media.infra-m.ru/2257/2257142/cover/2257142.jpg", "Обложка")</f>
        <v>Обложка</v>
      </c>
      <c r="V731" s="8" t="s">
        <v>2537</v>
      </c>
      <c r="W731" s="6"/>
      <c r="X731" s="6"/>
      <c r="Y731" s="6"/>
      <c r="Z731" s="6"/>
      <c r="AA731" s="6" t="s">
        <v>86</v>
      </c>
      <c r="AB731" s="8"/>
      <c r="AC731" s="27">
        <v>9785160137568</v>
      </c>
    </row>
    <row r="732" spans="1:29" s="4" customFormat="1" ht="51.9" customHeight="1" x14ac:dyDescent="0.2">
      <c r="A732" s="5">
        <v>0</v>
      </c>
      <c r="B732" s="6" t="s">
        <v>4652</v>
      </c>
      <c r="C732" s="7">
        <v>1144.8</v>
      </c>
      <c r="D732" s="8" t="s">
        <v>4653</v>
      </c>
      <c r="E732" s="8" t="s">
        <v>4654</v>
      </c>
      <c r="F732" s="8" t="s">
        <v>4624</v>
      </c>
      <c r="G732" s="6" t="s">
        <v>33</v>
      </c>
      <c r="H732" s="6" t="s">
        <v>34</v>
      </c>
      <c r="I732" s="8" t="s">
        <v>271</v>
      </c>
      <c r="J732" s="9">
        <v>1</v>
      </c>
      <c r="K732" s="9">
        <v>164</v>
      </c>
      <c r="L732" s="9">
        <v>2027</v>
      </c>
      <c r="M732" s="8" t="s">
        <v>4655</v>
      </c>
      <c r="N732" s="8" t="s">
        <v>243</v>
      </c>
      <c r="O732" s="8" t="s">
        <v>1100</v>
      </c>
      <c r="P732" s="6" t="s">
        <v>306</v>
      </c>
      <c r="Q732" s="8" t="s">
        <v>52</v>
      </c>
      <c r="R732" s="10" t="s">
        <v>4656</v>
      </c>
      <c r="S732" s="11" t="s">
        <v>4657</v>
      </c>
      <c r="T732" s="6"/>
      <c r="U732" s="15" t="str">
        <f>HYPERLINK("https://media.infra-m.ru/2262/2262618/cover/2262618.jpg", "Обложка")</f>
        <v>Обложка</v>
      </c>
      <c r="V732" s="8" t="s">
        <v>1030</v>
      </c>
      <c r="W732" s="6"/>
      <c r="X732" s="6"/>
      <c r="Y732" s="6"/>
      <c r="Z732" s="6"/>
      <c r="AA732" s="6" t="s">
        <v>99</v>
      </c>
      <c r="AB732" s="8"/>
      <c r="AC732" s="27">
        <v>9785160120850</v>
      </c>
    </row>
    <row r="733" spans="1:29" s="4" customFormat="1" ht="51.9" customHeight="1" x14ac:dyDescent="0.2">
      <c r="A733" s="5">
        <v>0</v>
      </c>
      <c r="B733" s="6" t="s">
        <v>4658</v>
      </c>
      <c r="C733" s="7">
        <v>1144.8</v>
      </c>
      <c r="D733" s="8" t="s">
        <v>4659</v>
      </c>
      <c r="E733" s="8" t="s">
        <v>4654</v>
      </c>
      <c r="F733" s="8" t="s">
        <v>4624</v>
      </c>
      <c r="G733" s="6" t="s">
        <v>60</v>
      </c>
      <c r="H733" s="6" t="s">
        <v>34</v>
      </c>
      <c r="I733" s="8" t="s">
        <v>263</v>
      </c>
      <c r="J733" s="9">
        <v>1</v>
      </c>
      <c r="K733" s="9">
        <v>164</v>
      </c>
      <c r="L733" s="9">
        <v>2027</v>
      </c>
      <c r="M733" s="8" t="s">
        <v>4660</v>
      </c>
      <c r="N733" s="8" t="s">
        <v>243</v>
      </c>
      <c r="O733" s="8" t="s">
        <v>1100</v>
      </c>
      <c r="P733" s="6" t="s">
        <v>306</v>
      </c>
      <c r="Q733" s="8" t="s">
        <v>265</v>
      </c>
      <c r="R733" s="10" t="s">
        <v>4661</v>
      </c>
      <c r="S733" s="11" t="s">
        <v>4662</v>
      </c>
      <c r="T733" s="6"/>
      <c r="U733" s="15" t="str">
        <f>HYPERLINK("https://media.infra-m.ru/2262/2262619/cover/2262619.jpg", "Обложка")</f>
        <v>Обложка</v>
      </c>
      <c r="V733" s="8" t="s">
        <v>1030</v>
      </c>
      <c r="W733" s="6"/>
      <c r="X733" s="6"/>
      <c r="Y733" s="6"/>
      <c r="Z733" s="6" t="s">
        <v>267</v>
      </c>
      <c r="AA733" s="6" t="s">
        <v>430</v>
      </c>
      <c r="AB733" s="8"/>
      <c r="AC733" s="27">
        <v>9785160169439</v>
      </c>
    </row>
    <row r="734" spans="1:29" s="4" customFormat="1" ht="42" customHeight="1" x14ac:dyDescent="0.2">
      <c r="A734" s="5">
        <v>0</v>
      </c>
      <c r="B734" s="6" t="s">
        <v>4663</v>
      </c>
      <c r="C734" s="7">
        <v>1684.8</v>
      </c>
      <c r="D734" s="8" t="s">
        <v>4664</v>
      </c>
      <c r="E734" s="8" t="s">
        <v>4665</v>
      </c>
      <c r="F734" s="8" t="s">
        <v>4666</v>
      </c>
      <c r="G734" s="6" t="s">
        <v>60</v>
      </c>
      <c r="H734" s="6" t="s">
        <v>34</v>
      </c>
      <c r="I734" s="8" t="s">
        <v>35</v>
      </c>
      <c r="J734" s="9">
        <v>1</v>
      </c>
      <c r="K734" s="9">
        <v>256</v>
      </c>
      <c r="L734" s="9">
        <v>2026</v>
      </c>
      <c r="M734" s="8" t="s">
        <v>4667</v>
      </c>
      <c r="N734" s="8" t="s">
        <v>585</v>
      </c>
      <c r="O734" s="8" t="s">
        <v>2472</v>
      </c>
      <c r="P734" s="6" t="s">
        <v>39</v>
      </c>
      <c r="Q734" s="8" t="s">
        <v>40</v>
      </c>
      <c r="R734" s="10" t="s">
        <v>4668</v>
      </c>
      <c r="S734" s="11"/>
      <c r="T734" s="6"/>
      <c r="U734" s="15" t="str">
        <f>HYPERLINK("https://media.infra-m.ru/2231/2231490/cover/2231490.jpg", "Обложка")</f>
        <v>Обложка</v>
      </c>
      <c r="V734" s="8" t="s">
        <v>227</v>
      </c>
      <c r="W734" s="6"/>
      <c r="X734" s="6"/>
      <c r="Y734" s="6"/>
      <c r="Z734" s="6"/>
      <c r="AA734" s="6" t="s">
        <v>248</v>
      </c>
      <c r="AB734" s="8"/>
      <c r="AC734" s="27">
        <v>9785160098029</v>
      </c>
    </row>
    <row r="735" spans="1:29" s="4" customFormat="1" ht="51.9" customHeight="1" x14ac:dyDescent="0.2">
      <c r="A735" s="5">
        <v>0</v>
      </c>
      <c r="B735" s="6" t="s">
        <v>4669</v>
      </c>
      <c r="C735" s="13">
        <v>984</v>
      </c>
      <c r="D735" s="8" t="s">
        <v>4670</v>
      </c>
      <c r="E735" s="8" t="s">
        <v>4671</v>
      </c>
      <c r="F735" s="8" t="s">
        <v>4624</v>
      </c>
      <c r="G735" s="6" t="s">
        <v>60</v>
      </c>
      <c r="H735" s="6" t="s">
        <v>34</v>
      </c>
      <c r="I735" s="8" t="s">
        <v>271</v>
      </c>
      <c r="J735" s="9">
        <v>1</v>
      </c>
      <c r="K735" s="9">
        <v>207</v>
      </c>
      <c r="L735" s="9">
        <v>2021</v>
      </c>
      <c r="M735" s="8" t="s">
        <v>4672</v>
      </c>
      <c r="N735" s="8" t="s">
        <v>585</v>
      </c>
      <c r="O735" s="8" t="s">
        <v>2472</v>
      </c>
      <c r="P735" s="6" t="s">
        <v>748</v>
      </c>
      <c r="Q735" s="8" t="s">
        <v>52</v>
      </c>
      <c r="R735" s="10" t="s">
        <v>4673</v>
      </c>
      <c r="S735" s="11" t="s">
        <v>4674</v>
      </c>
      <c r="T735" s="6"/>
      <c r="U735" s="15" t="str">
        <f>HYPERLINK("https://media.infra-m.ru/1102/1102076/cover/1102076.jpg", "Обложка")</f>
        <v>Обложка</v>
      </c>
      <c r="V735" s="8" t="s">
        <v>1030</v>
      </c>
      <c r="W735" s="6"/>
      <c r="X735" s="6"/>
      <c r="Y735" s="6"/>
      <c r="Z735" s="6"/>
      <c r="AA735" s="6" t="s">
        <v>430</v>
      </c>
      <c r="AB735" s="8"/>
      <c r="AC735" s="27">
        <v>9785160163468</v>
      </c>
    </row>
    <row r="736" spans="1:29" s="4" customFormat="1" ht="42" customHeight="1" x14ac:dyDescent="0.2">
      <c r="A736" s="5">
        <v>0</v>
      </c>
      <c r="B736" s="6" t="s">
        <v>4675</v>
      </c>
      <c r="C736" s="7">
        <v>1980</v>
      </c>
      <c r="D736" s="8" t="s">
        <v>4676</v>
      </c>
      <c r="E736" s="8" t="s">
        <v>4677</v>
      </c>
      <c r="F736" s="8" t="s">
        <v>4678</v>
      </c>
      <c r="G736" s="6" t="s">
        <v>33</v>
      </c>
      <c r="H736" s="6" t="s">
        <v>34</v>
      </c>
      <c r="I736" s="8" t="s">
        <v>35</v>
      </c>
      <c r="J736" s="9">
        <v>1</v>
      </c>
      <c r="K736" s="9">
        <v>284</v>
      </c>
      <c r="L736" s="9">
        <v>2027</v>
      </c>
      <c r="M736" s="8" t="s">
        <v>4679</v>
      </c>
      <c r="N736" s="8" t="s">
        <v>585</v>
      </c>
      <c r="O736" s="8" t="s">
        <v>2472</v>
      </c>
      <c r="P736" s="6" t="s">
        <v>39</v>
      </c>
      <c r="Q736" s="8" t="s">
        <v>40</v>
      </c>
      <c r="R736" s="10" t="s">
        <v>4680</v>
      </c>
      <c r="S736" s="11"/>
      <c r="T736" s="6"/>
      <c r="U736" s="15" t="str">
        <f>HYPERLINK("https://media.infra-m.ru/2264/2264734/cover/2264734.jpg", "Обложка")</f>
        <v>Обложка</v>
      </c>
      <c r="V736" s="8" t="s">
        <v>2047</v>
      </c>
      <c r="W736" s="6"/>
      <c r="X736" s="6"/>
      <c r="Y736" s="6"/>
      <c r="Z736" s="6"/>
      <c r="AA736" s="6" t="s">
        <v>430</v>
      </c>
      <c r="AB736" s="8"/>
      <c r="AC736" s="27">
        <v>9785160167695</v>
      </c>
    </row>
    <row r="737" spans="1:29" s="4" customFormat="1" ht="51.9" customHeight="1" x14ac:dyDescent="0.2">
      <c r="A737" s="5">
        <v>0</v>
      </c>
      <c r="B737" s="6" t="s">
        <v>4681</v>
      </c>
      <c r="C737" s="7">
        <v>2392.8000000000002</v>
      </c>
      <c r="D737" s="8" t="s">
        <v>4682</v>
      </c>
      <c r="E737" s="8" t="s">
        <v>4683</v>
      </c>
      <c r="F737" s="8" t="s">
        <v>4684</v>
      </c>
      <c r="G737" s="6" t="s">
        <v>60</v>
      </c>
      <c r="H737" s="6" t="s">
        <v>34</v>
      </c>
      <c r="I737" s="8" t="s">
        <v>3092</v>
      </c>
      <c r="J737" s="9">
        <v>1</v>
      </c>
      <c r="K737" s="9">
        <v>388</v>
      </c>
      <c r="L737" s="9">
        <v>2026</v>
      </c>
      <c r="M737" s="8" t="s">
        <v>4685</v>
      </c>
      <c r="N737" s="8" t="s">
        <v>585</v>
      </c>
      <c r="O737" s="8" t="s">
        <v>2472</v>
      </c>
      <c r="P737" s="6" t="s">
        <v>4686</v>
      </c>
      <c r="Q737" s="8" t="s">
        <v>52</v>
      </c>
      <c r="R737" s="10" t="s">
        <v>4687</v>
      </c>
      <c r="S737" s="11" t="s">
        <v>4688</v>
      </c>
      <c r="T737" s="6"/>
      <c r="U737" s="15" t="str">
        <f>HYPERLINK("https://media.infra-m.ru/2224/2224191/cover/2224191.jpg", "Обложка")</f>
        <v>Обложка</v>
      </c>
      <c r="V737" s="8" t="s">
        <v>2047</v>
      </c>
      <c r="W737" s="6"/>
      <c r="X737" s="6"/>
      <c r="Y737" s="6"/>
      <c r="Z737" s="6"/>
      <c r="AA737" s="6" t="s">
        <v>55</v>
      </c>
      <c r="AB737" s="8"/>
      <c r="AC737" s="27">
        <v>9785160051277</v>
      </c>
    </row>
    <row r="738" spans="1:29" s="4" customFormat="1" ht="51.9" customHeight="1" x14ac:dyDescent="0.2">
      <c r="A738" s="5">
        <v>0</v>
      </c>
      <c r="B738" s="6" t="s">
        <v>4689</v>
      </c>
      <c r="C738" s="7">
        <v>1960.8</v>
      </c>
      <c r="D738" s="8" t="s">
        <v>4690</v>
      </c>
      <c r="E738" s="8" t="s">
        <v>4691</v>
      </c>
      <c r="F738" s="8" t="s">
        <v>4692</v>
      </c>
      <c r="G738" s="6" t="s">
        <v>60</v>
      </c>
      <c r="H738" s="6" t="s">
        <v>34</v>
      </c>
      <c r="I738" s="8" t="s">
        <v>1128</v>
      </c>
      <c r="J738" s="9">
        <v>1</v>
      </c>
      <c r="K738" s="9">
        <v>282</v>
      </c>
      <c r="L738" s="9">
        <v>2027</v>
      </c>
      <c r="M738" s="8" t="s">
        <v>4693</v>
      </c>
      <c r="N738" s="8" t="s">
        <v>585</v>
      </c>
      <c r="O738" s="8" t="s">
        <v>2472</v>
      </c>
      <c r="P738" s="6" t="s">
        <v>51</v>
      </c>
      <c r="Q738" s="8" t="s">
        <v>52</v>
      </c>
      <c r="R738" s="10" t="s">
        <v>4694</v>
      </c>
      <c r="S738" s="11" t="s">
        <v>4695</v>
      </c>
      <c r="T738" s="6"/>
      <c r="U738" s="15" t="str">
        <f>HYPERLINK("https://media.infra-m.ru/2270/2270287/cover/2270287.jpg", "Обложка")</f>
        <v>Обложка</v>
      </c>
      <c r="V738" s="8" t="s">
        <v>1132</v>
      </c>
      <c r="W738" s="6"/>
      <c r="X738" s="6"/>
      <c r="Y738" s="6"/>
      <c r="Z738" s="6"/>
      <c r="AA738" s="6" t="s">
        <v>76</v>
      </c>
      <c r="AB738" s="8"/>
      <c r="AC738" s="27">
        <v>9785160196343</v>
      </c>
    </row>
    <row r="739" spans="1:29" s="4" customFormat="1" ht="51.9" customHeight="1" x14ac:dyDescent="0.2">
      <c r="A739" s="5">
        <v>0</v>
      </c>
      <c r="B739" s="6" t="s">
        <v>4696</v>
      </c>
      <c r="C739" s="13">
        <v>633.6</v>
      </c>
      <c r="D739" s="8" t="s">
        <v>4697</v>
      </c>
      <c r="E739" s="8" t="s">
        <v>4698</v>
      </c>
      <c r="F739" s="8" t="s">
        <v>4699</v>
      </c>
      <c r="G739" s="6" t="s">
        <v>33</v>
      </c>
      <c r="H739" s="6" t="s">
        <v>313</v>
      </c>
      <c r="I739" s="8" t="s">
        <v>4700</v>
      </c>
      <c r="J739" s="9">
        <v>1</v>
      </c>
      <c r="K739" s="9">
        <v>128</v>
      </c>
      <c r="L739" s="9">
        <v>2026</v>
      </c>
      <c r="M739" s="8" t="s">
        <v>4701</v>
      </c>
      <c r="N739" s="8" t="s">
        <v>585</v>
      </c>
      <c r="O739" s="8" t="s">
        <v>2472</v>
      </c>
      <c r="P739" s="6" t="s">
        <v>51</v>
      </c>
      <c r="Q739" s="8" t="s">
        <v>265</v>
      </c>
      <c r="R739" s="10" t="s">
        <v>4702</v>
      </c>
      <c r="S739" s="11"/>
      <c r="T739" s="6"/>
      <c r="U739" s="15" t="str">
        <f>HYPERLINK("https://media.infra-m.ru/2252/2252422/cover/2252422.jpg", "Обложка")</f>
        <v>Обложка</v>
      </c>
      <c r="V739" s="8"/>
      <c r="W739" s="6"/>
      <c r="X739" s="6"/>
      <c r="Y739" s="6"/>
      <c r="Z739" s="6"/>
      <c r="AA739" s="6" t="s">
        <v>949</v>
      </c>
      <c r="AB739" s="8"/>
      <c r="AC739" s="27">
        <v>5955702881</v>
      </c>
    </row>
    <row r="740" spans="1:29" s="4" customFormat="1" ht="51.9" customHeight="1" x14ac:dyDescent="0.2">
      <c r="A740" s="5">
        <v>0</v>
      </c>
      <c r="B740" s="6" t="s">
        <v>4703</v>
      </c>
      <c r="C740" s="7">
        <v>1836</v>
      </c>
      <c r="D740" s="8" t="s">
        <v>4704</v>
      </c>
      <c r="E740" s="8" t="s">
        <v>4705</v>
      </c>
      <c r="F740" s="8" t="s">
        <v>4706</v>
      </c>
      <c r="G740" s="6" t="s">
        <v>118</v>
      </c>
      <c r="H740" s="6" t="s">
        <v>34</v>
      </c>
      <c r="I740" s="8" t="s">
        <v>253</v>
      </c>
      <c r="J740" s="9">
        <v>1</v>
      </c>
      <c r="K740" s="9">
        <v>288</v>
      </c>
      <c r="L740" s="9">
        <v>2025</v>
      </c>
      <c r="M740" s="8" t="s">
        <v>4707</v>
      </c>
      <c r="N740" s="8" t="s">
        <v>243</v>
      </c>
      <c r="O740" s="8" t="s">
        <v>385</v>
      </c>
      <c r="P740" s="6" t="s">
        <v>306</v>
      </c>
      <c r="Q740" s="8" t="s">
        <v>377</v>
      </c>
      <c r="R740" s="10" t="s">
        <v>4708</v>
      </c>
      <c r="S740" s="11" t="s">
        <v>4709</v>
      </c>
      <c r="T740" s="6"/>
      <c r="U740" s="15" t="str">
        <f>HYPERLINK("https://media.infra-m.ru/2209/2209102/cover/2209102.jpg", "Обложка")</f>
        <v>Обложка</v>
      </c>
      <c r="V740" s="8" t="s">
        <v>4710</v>
      </c>
      <c r="W740" s="6"/>
      <c r="X740" s="6"/>
      <c r="Y740" s="6"/>
      <c r="Z740" s="6"/>
      <c r="AA740" s="6" t="s">
        <v>874</v>
      </c>
      <c r="AB740" s="8"/>
      <c r="AC740" s="27">
        <v>9785160186863</v>
      </c>
    </row>
    <row r="741" spans="1:29" s="4" customFormat="1" ht="51.9" customHeight="1" x14ac:dyDescent="0.2">
      <c r="A741" s="5">
        <v>0</v>
      </c>
      <c r="B741" s="6" t="s">
        <v>4711</v>
      </c>
      <c r="C741" s="7">
        <v>1992</v>
      </c>
      <c r="D741" s="8" t="s">
        <v>4712</v>
      </c>
      <c r="E741" s="8" t="s">
        <v>4713</v>
      </c>
      <c r="F741" s="8" t="s">
        <v>4714</v>
      </c>
      <c r="G741" s="6" t="s">
        <v>60</v>
      </c>
      <c r="H741" s="6" t="s">
        <v>34</v>
      </c>
      <c r="I741" s="8" t="s">
        <v>375</v>
      </c>
      <c r="J741" s="9">
        <v>1</v>
      </c>
      <c r="K741" s="9">
        <v>319</v>
      </c>
      <c r="L741" s="9">
        <v>2025</v>
      </c>
      <c r="M741" s="8" t="s">
        <v>4715</v>
      </c>
      <c r="N741" s="8" t="s">
        <v>243</v>
      </c>
      <c r="O741" s="8" t="s">
        <v>385</v>
      </c>
      <c r="P741" s="6" t="s">
        <v>105</v>
      </c>
      <c r="Q741" s="8" t="s">
        <v>65</v>
      </c>
      <c r="R741" s="10" t="s">
        <v>4716</v>
      </c>
      <c r="S741" s="11" t="s">
        <v>4717</v>
      </c>
      <c r="T741" s="6"/>
      <c r="U741" s="15" t="str">
        <f>HYPERLINK("https://media.infra-m.ru/2150/2150314/cover/2150314.jpg", "Обложка")</f>
        <v>Обложка</v>
      </c>
      <c r="V741" s="8" t="s">
        <v>379</v>
      </c>
      <c r="W741" s="6"/>
      <c r="X741" s="6"/>
      <c r="Y741" s="6"/>
      <c r="Z741" s="6"/>
      <c r="AA741" s="6" t="s">
        <v>68</v>
      </c>
      <c r="AB741" s="8" t="s">
        <v>4718</v>
      </c>
      <c r="AC741" s="27">
        <v>9785160199856</v>
      </c>
    </row>
    <row r="742" spans="1:29" s="4" customFormat="1" ht="51.9" customHeight="1" x14ac:dyDescent="0.2">
      <c r="A742" s="5">
        <v>0</v>
      </c>
      <c r="B742" s="6" t="s">
        <v>4719</v>
      </c>
      <c r="C742" s="7">
        <v>1036.8</v>
      </c>
      <c r="D742" s="8" t="s">
        <v>4720</v>
      </c>
      <c r="E742" s="8" t="s">
        <v>4713</v>
      </c>
      <c r="F742" s="8" t="s">
        <v>4721</v>
      </c>
      <c r="G742" s="6" t="s">
        <v>118</v>
      </c>
      <c r="H742" s="6" t="s">
        <v>34</v>
      </c>
      <c r="I742" s="8" t="s">
        <v>263</v>
      </c>
      <c r="J742" s="9">
        <v>1</v>
      </c>
      <c r="K742" s="9">
        <v>172</v>
      </c>
      <c r="L742" s="9">
        <v>2024</v>
      </c>
      <c r="M742" s="8" t="s">
        <v>4722</v>
      </c>
      <c r="N742" s="8" t="s">
        <v>243</v>
      </c>
      <c r="O742" s="8" t="s">
        <v>385</v>
      </c>
      <c r="P742" s="6" t="s">
        <v>51</v>
      </c>
      <c r="Q742" s="8" t="s">
        <v>265</v>
      </c>
      <c r="R742" s="10" t="s">
        <v>4723</v>
      </c>
      <c r="S742" s="11" t="s">
        <v>4724</v>
      </c>
      <c r="T742" s="6"/>
      <c r="U742" s="15" t="str">
        <f>HYPERLINK("https://media.infra-m.ru/2083/2083826/cover/2083826.jpg", "Обложка")</f>
        <v>Обложка</v>
      </c>
      <c r="V742" s="8" t="s">
        <v>911</v>
      </c>
      <c r="W742" s="6"/>
      <c r="X742" s="6"/>
      <c r="Y742" s="6"/>
      <c r="Z742" s="6"/>
      <c r="AA742" s="6" t="s">
        <v>115</v>
      </c>
      <c r="AB742" s="8"/>
      <c r="AC742" s="27">
        <v>9785160145969</v>
      </c>
    </row>
    <row r="743" spans="1:29" s="4" customFormat="1" ht="51.9" customHeight="1" x14ac:dyDescent="0.2">
      <c r="A743" s="5">
        <v>0</v>
      </c>
      <c r="B743" s="6" t="s">
        <v>4725</v>
      </c>
      <c r="C743" s="7">
        <v>1360.8</v>
      </c>
      <c r="D743" s="8" t="s">
        <v>4726</v>
      </c>
      <c r="E743" s="8" t="s">
        <v>4705</v>
      </c>
      <c r="F743" s="8" t="s">
        <v>4721</v>
      </c>
      <c r="G743" s="6" t="s">
        <v>118</v>
      </c>
      <c r="H743" s="6" t="s">
        <v>34</v>
      </c>
      <c r="I743" s="8" t="s">
        <v>263</v>
      </c>
      <c r="J743" s="9">
        <v>1</v>
      </c>
      <c r="K743" s="9">
        <v>193</v>
      </c>
      <c r="L743" s="9">
        <v>2027</v>
      </c>
      <c r="M743" s="8" t="s">
        <v>4727</v>
      </c>
      <c r="N743" s="8" t="s">
        <v>243</v>
      </c>
      <c r="O743" s="8" t="s">
        <v>385</v>
      </c>
      <c r="P743" s="6" t="s">
        <v>51</v>
      </c>
      <c r="Q743" s="8" t="s">
        <v>265</v>
      </c>
      <c r="R743" s="10" t="s">
        <v>4723</v>
      </c>
      <c r="S743" s="11" t="s">
        <v>4724</v>
      </c>
      <c r="T743" s="6"/>
      <c r="U743" s="15" t="str">
        <f>HYPERLINK("https://media.infra-m.ru/2257/2257561/cover/2257561.jpg", "Обложка")</f>
        <v>Обложка</v>
      </c>
      <c r="V743" s="8" t="s">
        <v>911</v>
      </c>
      <c r="W743" s="6"/>
      <c r="X743" s="6"/>
      <c r="Y743" s="6"/>
      <c r="Z743" s="6"/>
      <c r="AA743" s="6" t="s">
        <v>917</v>
      </c>
      <c r="AB743" s="8"/>
      <c r="AC743" s="27">
        <v>9785160201092</v>
      </c>
    </row>
    <row r="744" spans="1:29" s="4" customFormat="1" ht="51.9" customHeight="1" x14ac:dyDescent="0.2">
      <c r="A744" s="5">
        <v>0</v>
      </c>
      <c r="B744" s="6" t="s">
        <v>4728</v>
      </c>
      <c r="C744" s="7">
        <v>1694.4</v>
      </c>
      <c r="D744" s="8" t="s">
        <v>4729</v>
      </c>
      <c r="E744" s="8" t="s">
        <v>4730</v>
      </c>
      <c r="F744" s="8" t="s">
        <v>4731</v>
      </c>
      <c r="G744" s="6" t="s">
        <v>118</v>
      </c>
      <c r="H744" s="6" t="s">
        <v>34</v>
      </c>
      <c r="I744" s="8" t="s">
        <v>1248</v>
      </c>
      <c r="J744" s="9">
        <v>1</v>
      </c>
      <c r="K744" s="9">
        <v>186</v>
      </c>
      <c r="L744" s="9">
        <v>2027</v>
      </c>
      <c r="M744" s="8" t="s">
        <v>4732</v>
      </c>
      <c r="N744" s="8" t="s">
        <v>585</v>
      </c>
      <c r="O744" s="8" t="s">
        <v>2472</v>
      </c>
      <c r="P744" s="6" t="s">
        <v>51</v>
      </c>
      <c r="Q744" s="8" t="s">
        <v>52</v>
      </c>
      <c r="R744" s="10" t="s">
        <v>4733</v>
      </c>
      <c r="S744" s="11" t="s">
        <v>4734</v>
      </c>
      <c r="T744" s="6"/>
      <c r="U744" s="15" t="str">
        <f>HYPERLINK("https://media.infra-m.ru/2265/2265024/cover/2265024.jpg", "Обложка")</f>
        <v>Обложка</v>
      </c>
      <c r="V744" s="8" t="s">
        <v>1083</v>
      </c>
      <c r="W744" s="6"/>
      <c r="X744" s="6"/>
      <c r="Y744" s="6"/>
      <c r="Z744" s="6"/>
      <c r="AA744" s="6" t="s">
        <v>623</v>
      </c>
      <c r="AB744" s="8"/>
      <c r="AC744" s="27">
        <v>9785160194417</v>
      </c>
    </row>
    <row r="745" spans="1:29" s="4" customFormat="1" ht="51.9" customHeight="1" x14ac:dyDescent="0.2">
      <c r="A745" s="5">
        <v>0</v>
      </c>
      <c r="B745" s="6" t="s">
        <v>4735</v>
      </c>
      <c r="C745" s="7">
        <v>3596.4</v>
      </c>
      <c r="D745" s="8" t="s">
        <v>4736</v>
      </c>
      <c r="E745" s="8" t="s">
        <v>4737</v>
      </c>
      <c r="F745" s="8" t="s">
        <v>4738</v>
      </c>
      <c r="G745" s="6" t="s">
        <v>60</v>
      </c>
      <c r="H745" s="6" t="s">
        <v>34</v>
      </c>
      <c r="I745" s="8" t="s">
        <v>253</v>
      </c>
      <c r="J745" s="9">
        <v>1</v>
      </c>
      <c r="K745" s="9">
        <v>504</v>
      </c>
      <c r="L745" s="9">
        <v>2026</v>
      </c>
      <c r="M745" s="8" t="s">
        <v>4739</v>
      </c>
      <c r="N745" s="8" t="s">
        <v>585</v>
      </c>
      <c r="O745" s="8" t="s">
        <v>1518</v>
      </c>
      <c r="P745" s="6" t="s">
        <v>306</v>
      </c>
      <c r="Q745" s="8" t="s">
        <v>52</v>
      </c>
      <c r="R745" s="10" t="s">
        <v>4740</v>
      </c>
      <c r="S745" s="11"/>
      <c r="T745" s="6"/>
      <c r="U745" s="15" t="str">
        <f>HYPERLINK("https://media.infra-m.ru/2240/2240338/cover/2240338.jpg", "Обложка")</f>
        <v>Обложка</v>
      </c>
      <c r="V745" s="8" t="s">
        <v>527</v>
      </c>
      <c r="W745" s="6"/>
      <c r="X745" s="6"/>
      <c r="Y745" s="6"/>
      <c r="Z745" s="6"/>
      <c r="AA745" s="6" t="s">
        <v>274</v>
      </c>
      <c r="AB745" s="8"/>
      <c r="AC745" s="27">
        <v>9785160108193</v>
      </c>
    </row>
    <row r="746" spans="1:29" s="4" customFormat="1" ht="42" customHeight="1" x14ac:dyDescent="0.2">
      <c r="A746" s="5">
        <v>0</v>
      </c>
      <c r="B746" s="6" t="s">
        <v>4741</v>
      </c>
      <c r="C746" s="7">
        <v>1116</v>
      </c>
      <c r="D746" s="8" t="s">
        <v>4742</v>
      </c>
      <c r="E746" s="8" t="s">
        <v>4743</v>
      </c>
      <c r="F746" s="8" t="s">
        <v>4744</v>
      </c>
      <c r="G746" s="6" t="s">
        <v>60</v>
      </c>
      <c r="H746" s="6" t="s">
        <v>34</v>
      </c>
      <c r="I746" s="8" t="s">
        <v>1248</v>
      </c>
      <c r="J746" s="9">
        <v>1</v>
      </c>
      <c r="K746" s="9">
        <v>150</v>
      </c>
      <c r="L746" s="9">
        <v>2026</v>
      </c>
      <c r="M746" s="8" t="s">
        <v>4745</v>
      </c>
      <c r="N746" s="8" t="s">
        <v>585</v>
      </c>
      <c r="O746" s="8" t="s">
        <v>2472</v>
      </c>
      <c r="P746" s="6" t="s">
        <v>51</v>
      </c>
      <c r="Q746" s="8" t="s">
        <v>52</v>
      </c>
      <c r="R746" s="10" t="s">
        <v>4746</v>
      </c>
      <c r="S746" s="11"/>
      <c r="T746" s="6"/>
      <c r="U746" s="15" t="str">
        <f>HYPERLINK("https://media.infra-m.ru/2223/2223507/cover/2223507.jpg", "Обложка")</f>
        <v>Обложка</v>
      </c>
      <c r="V746" s="8" t="s">
        <v>1083</v>
      </c>
      <c r="W746" s="6" t="s">
        <v>186</v>
      </c>
      <c r="X746" s="6"/>
      <c r="Y746" s="6"/>
      <c r="Z746" s="6"/>
      <c r="AA746" s="6" t="s">
        <v>650</v>
      </c>
      <c r="AB746" s="8"/>
      <c r="AC746" s="27">
        <v>9785160213859</v>
      </c>
    </row>
    <row r="747" spans="1:29" s="4" customFormat="1" ht="51.9" customHeight="1" x14ac:dyDescent="0.2">
      <c r="A747" s="5">
        <v>0</v>
      </c>
      <c r="B747" s="6" t="s">
        <v>4747</v>
      </c>
      <c r="C747" s="7">
        <v>1020</v>
      </c>
      <c r="D747" s="8" t="s">
        <v>4748</v>
      </c>
      <c r="E747" s="8" t="s">
        <v>4749</v>
      </c>
      <c r="F747" s="8" t="s">
        <v>4750</v>
      </c>
      <c r="G747" s="6" t="s">
        <v>118</v>
      </c>
      <c r="H747" s="6" t="s">
        <v>34</v>
      </c>
      <c r="I747" s="8" t="s">
        <v>263</v>
      </c>
      <c r="J747" s="9">
        <v>1</v>
      </c>
      <c r="K747" s="9">
        <v>155</v>
      </c>
      <c r="L747" s="9">
        <v>2026</v>
      </c>
      <c r="M747" s="8" t="s">
        <v>4751</v>
      </c>
      <c r="N747" s="8" t="s">
        <v>243</v>
      </c>
      <c r="O747" s="8" t="s">
        <v>1100</v>
      </c>
      <c r="P747" s="6" t="s">
        <v>51</v>
      </c>
      <c r="Q747" s="8" t="s">
        <v>265</v>
      </c>
      <c r="R747" s="10" t="s">
        <v>4752</v>
      </c>
      <c r="S747" s="11" t="s">
        <v>4753</v>
      </c>
      <c r="T747" s="6"/>
      <c r="U747" s="15" t="str">
        <f>HYPERLINK("https://media.infra-m.ru/2239/2239084/cover/2239084.jpg", "Обложка")</f>
        <v>Обложка</v>
      </c>
      <c r="V747" s="8" t="s">
        <v>4754</v>
      </c>
      <c r="W747" s="6"/>
      <c r="X747" s="6"/>
      <c r="Y747" s="6"/>
      <c r="Z747" s="6" t="s">
        <v>267</v>
      </c>
      <c r="AA747" s="6" t="s">
        <v>86</v>
      </c>
      <c r="AB747" s="8"/>
      <c r="AC747" s="27">
        <v>9785160138961</v>
      </c>
    </row>
    <row r="748" spans="1:29" s="4" customFormat="1" ht="51.9" customHeight="1" x14ac:dyDescent="0.2">
      <c r="A748" s="5">
        <v>0</v>
      </c>
      <c r="B748" s="6" t="s">
        <v>4755</v>
      </c>
      <c r="C748" s="7">
        <v>3172.8</v>
      </c>
      <c r="D748" s="8" t="s">
        <v>4756</v>
      </c>
      <c r="E748" s="8" t="s">
        <v>4757</v>
      </c>
      <c r="F748" s="8" t="s">
        <v>4750</v>
      </c>
      <c r="G748" s="6" t="s">
        <v>60</v>
      </c>
      <c r="H748" s="6" t="s">
        <v>34</v>
      </c>
      <c r="I748" s="8" t="s">
        <v>263</v>
      </c>
      <c r="J748" s="9">
        <v>1</v>
      </c>
      <c r="K748" s="9">
        <v>454</v>
      </c>
      <c r="L748" s="9">
        <v>2027</v>
      </c>
      <c r="M748" s="8" t="s">
        <v>4758</v>
      </c>
      <c r="N748" s="8" t="s">
        <v>243</v>
      </c>
      <c r="O748" s="8" t="s">
        <v>1100</v>
      </c>
      <c r="P748" s="6" t="s">
        <v>306</v>
      </c>
      <c r="Q748" s="8" t="s">
        <v>265</v>
      </c>
      <c r="R748" s="10" t="s">
        <v>4759</v>
      </c>
      <c r="S748" s="11" t="s">
        <v>4760</v>
      </c>
      <c r="T748" s="6"/>
      <c r="U748" s="15" t="str">
        <f>HYPERLINK("https://media.infra-m.ru/2263/2263518/cover/2263518.jpg", "Обложка")</f>
        <v>Обложка</v>
      </c>
      <c r="V748" s="8" t="s">
        <v>4754</v>
      </c>
      <c r="W748" s="6"/>
      <c r="X748" s="6"/>
      <c r="Y748" s="6"/>
      <c r="Z748" s="6" t="s">
        <v>267</v>
      </c>
      <c r="AA748" s="6" t="s">
        <v>86</v>
      </c>
      <c r="AB748" s="8"/>
      <c r="AC748" s="27">
        <v>9785160138954</v>
      </c>
    </row>
    <row r="749" spans="1:29" s="4" customFormat="1" ht="51.9" customHeight="1" x14ac:dyDescent="0.2">
      <c r="A749" s="5">
        <v>0</v>
      </c>
      <c r="B749" s="6" t="s">
        <v>4761</v>
      </c>
      <c r="C749" s="7">
        <v>1020</v>
      </c>
      <c r="D749" s="8" t="s">
        <v>4762</v>
      </c>
      <c r="E749" s="8" t="s">
        <v>4749</v>
      </c>
      <c r="F749" s="8" t="s">
        <v>4750</v>
      </c>
      <c r="G749" s="6" t="s">
        <v>33</v>
      </c>
      <c r="H749" s="6" t="s">
        <v>34</v>
      </c>
      <c r="I749" s="8" t="s">
        <v>271</v>
      </c>
      <c r="J749" s="9">
        <v>1</v>
      </c>
      <c r="K749" s="9">
        <v>155</v>
      </c>
      <c r="L749" s="9">
        <v>2026</v>
      </c>
      <c r="M749" s="8" t="s">
        <v>4763</v>
      </c>
      <c r="N749" s="8" t="s">
        <v>243</v>
      </c>
      <c r="O749" s="8" t="s">
        <v>1100</v>
      </c>
      <c r="P749" s="6" t="s">
        <v>51</v>
      </c>
      <c r="Q749" s="8" t="s">
        <v>52</v>
      </c>
      <c r="R749" s="10" t="s">
        <v>2505</v>
      </c>
      <c r="S749" s="11" t="s">
        <v>4764</v>
      </c>
      <c r="T749" s="6"/>
      <c r="U749" s="15" t="str">
        <f>HYPERLINK("https://media.infra-m.ru/2223/2223188/cover/2223188.jpg", "Обложка")</f>
        <v>Обложка</v>
      </c>
      <c r="V749" s="8" t="s">
        <v>4754</v>
      </c>
      <c r="W749" s="6"/>
      <c r="X749" s="6"/>
      <c r="Y749" s="6"/>
      <c r="Z749" s="6"/>
      <c r="AA749" s="6" t="s">
        <v>274</v>
      </c>
      <c r="AB749" s="8"/>
      <c r="AC749" s="27">
        <v>9785160105024</v>
      </c>
    </row>
    <row r="750" spans="1:29" s="4" customFormat="1" ht="51.9" customHeight="1" x14ac:dyDescent="0.2">
      <c r="A750" s="5">
        <v>0</v>
      </c>
      <c r="B750" s="6" t="s">
        <v>4765</v>
      </c>
      <c r="C750" s="13">
        <v>820.8</v>
      </c>
      <c r="D750" s="8" t="s">
        <v>4766</v>
      </c>
      <c r="E750" s="8" t="s">
        <v>4767</v>
      </c>
      <c r="F750" s="8" t="s">
        <v>4768</v>
      </c>
      <c r="G750" s="6" t="s">
        <v>33</v>
      </c>
      <c r="H750" s="6" t="s">
        <v>34</v>
      </c>
      <c r="I750" s="8" t="s">
        <v>253</v>
      </c>
      <c r="J750" s="9">
        <v>1</v>
      </c>
      <c r="K750" s="9">
        <v>124</v>
      </c>
      <c r="L750" s="9">
        <v>2026</v>
      </c>
      <c r="M750" s="8" t="s">
        <v>4769</v>
      </c>
      <c r="N750" s="8" t="s">
        <v>243</v>
      </c>
      <c r="O750" s="8" t="s">
        <v>1100</v>
      </c>
      <c r="P750" s="6" t="s">
        <v>51</v>
      </c>
      <c r="Q750" s="8" t="s">
        <v>377</v>
      </c>
      <c r="R750" s="10" t="s">
        <v>4770</v>
      </c>
      <c r="S750" s="11" t="s">
        <v>4771</v>
      </c>
      <c r="T750" s="6"/>
      <c r="U750" s="15" t="str">
        <f>HYPERLINK("https://media.infra-m.ru/2251/2251336/cover/2251336.jpg", "Обложка")</f>
        <v>Обложка</v>
      </c>
      <c r="V750" s="8" t="s">
        <v>4754</v>
      </c>
      <c r="W750" s="6"/>
      <c r="X750" s="6"/>
      <c r="Y750" s="6"/>
      <c r="Z750" s="6"/>
      <c r="AA750" s="6" t="s">
        <v>779</v>
      </c>
      <c r="AB750" s="8"/>
      <c r="AC750" s="27">
        <v>9785160104089</v>
      </c>
    </row>
    <row r="751" spans="1:29" s="4" customFormat="1" ht="51.9" customHeight="1" x14ac:dyDescent="0.2">
      <c r="A751" s="5">
        <v>0</v>
      </c>
      <c r="B751" s="6" t="s">
        <v>4772</v>
      </c>
      <c r="C751" s="7">
        <v>3196.8</v>
      </c>
      <c r="D751" s="8" t="s">
        <v>4773</v>
      </c>
      <c r="E751" s="8" t="s">
        <v>4757</v>
      </c>
      <c r="F751" s="8" t="s">
        <v>4750</v>
      </c>
      <c r="G751" s="6" t="s">
        <v>60</v>
      </c>
      <c r="H751" s="6" t="s">
        <v>34</v>
      </c>
      <c r="I751" s="8" t="s">
        <v>271</v>
      </c>
      <c r="J751" s="9">
        <v>1</v>
      </c>
      <c r="K751" s="9">
        <v>454</v>
      </c>
      <c r="L751" s="9">
        <v>2027</v>
      </c>
      <c r="M751" s="8" t="s">
        <v>4774</v>
      </c>
      <c r="N751" s="8" t="s">
        <v>243</v>
      </c>
      <c r="O751" s="8" t="s">
        <v>1100</v>
      </c>
      <c r="P751" s="6" t="s">
        <v>306</v>
      </c>
      <c r="Q751" s="8" t="s">
        <v>52</v>
      </c>
      <c r="R751" s="10" t="s">
        <v>4775</v>
      </c>
      <c r="S751" s="11" t="s">
        <v>4776</v>
      </c>
      <c r="T751" s="6"/>
      <c r="U751" s="15" t="str">
        <f>HYPERLINK("https://media.infra-m.ru/2263/2263516/cover/2263516.jpg", "Обложка")</f>
        <v>Обложка</v>
      </c>
      <c r="V751" s="8" t="s">
        <v>4754</v>
      </c>
      <c r="W751" s="6"/>
      <c r="X751" s="6"/>
      <c r="Y751" s="6"/>
      <c r="Z751" s="6"/>
      <c r="AA751" s="6" t="s">
        <v>779</v>
      </c>
      <c r="AB751" s="8"/>
      <c r="AC751" s="27">
        <v>9785160117058</v>
      </c>
    </row>
    <row r="752" spans="1:29" s="4" customFormat="1" ht="42" customHeight="1" x14ac:dyDescent="0.2">
      <c r="A752" s="5">
        <v>0</v>
      </c>
      <c r="B752" s="6" t="s">
        <v>4777</v>
      </c>
      <c r="C752" s="7">
        <v>1056</v>
      </c>
      <c r="D752" s="8" t="s">
        <v>4778</v>
      </c>
      <c r="E752" s="8" t="s">
        <v>4779</v>
      </c>
      <c r="F752" s="8" t="s">
        <v>4780</v>
      </c>
      <c r="G752" s="6" t="s">
        <v>33</v>
      </c>
      <c r="H752" s="6" t="s">
        <v>34</v>
      </c>
      <c r="I752" s="8" t="s">
        <v>35</v>
      </c>
      <c r="J752" s="9">
        <v>1</v>
      </c>
      <c r="K752" s="9">
        <v>169</v>
      </c>
      <c r="L752" s="9">
        <v>2025</v>
      </c>
      <c r="M752" s="8" t="s">
        <v>4781</v>
      </c>
      <c r="N752" s="8" t="s">
        <v>243</v>
      </c>
      <c r="O752" s="8" t="s">
        <v>758</v>
      </c>
      <c r="P752" s="6" t="s">
        <v>39</v>
      </c>
      <c r="Q752" s="8" t="s">
        <v>40</v>
      </c>
      <c r="R752" s="10" t="s">
        <v>4782</v>
      </c>
      <c r="S752" s="11"/>
      <c r="T752" s="6"/>
      <c r="U752" s="15" t="str">
        <f>HYPERLINK("https://media.infra-m.ru/2197/2197603/cover/2197603.jpg", "Обложка")</f>
        <v>Обложка</v>
      </c>
      <c r="V752" s="8" t="s">
        <v>4783</v>
      </c>
      <c r="W752" s="6"/>
      <c r="X752" s="6"/>
      <c r="Y752" s="6"/>
      <c r="Z752" s="6"/>
      <c r="AA752" s="6" t="s">
        <v>99</v>
      </c>
      <c r="AB752" s="8"/>
      <c r="AC752" s="27">
        <v>9785160199061</v>
      </c>
    </row>
    <row r="753" spans="1:29" s="4" customFormat="1" ht="42" customHeight="1" x14ac:dyDescent="0.2">
      <c r="A753" s="5">
        <v>0</v>
      </c>
      <c r="B753" s="6" t="s">
        <v>4784</v>
      </c>
      <c r="C753" s="13">
        <v>940.8</v>
      </c>
      <c r="D753" s="8" t="s">
        <v>4785</v>
      </c>
      <c r="E753" s="8" t="s">
        <v>4779</v>
      </c>
      <c r="F753" s="8" t="s">
        <v>4780</v>
      </c>
      <c r="G753" s="6" t="s">
        <v>60</v>
      </c>
      <c r="H753" s="6" t="s">
        <v>34</v>
      </c>
      <c r="I753" s="8" t="s">
        <v>35</v>
      </c>
      <c r="J753" s="9">
        <v>1</v>
      </c>
      <c r="K753" s="9">
        <v>169</v>
      </c>
      <c r="L753" s="9">
        <v>2023</v>
      </c>
      <c r="M753" s="8" t="s">
        <v>4786</v>
      </c>
      <c r="N753" s="8" t="s">
        <v>243</v>
      </c>
      <c r="O753" s="8" t="s">
        <v>758</v>
      </c>
      <c r="P753" s="6" t="s">
        <v>39</v>
      </c>
      <c r="Q753" s="8" t="s">
        <v>40</v>
      </c>
      <c r="R753" s="10" t="s">
        <v>4782</v>
      </c>
      <c r="S753" s="11"/>
      <c r="T753" s="6"/>
      <c r="U753" s="15" t="str">
        <f>HYPERLINK("https://media.infra-m.ru/2054/2054118/cover/2054118.jpg", "Обложка")</f>
        <v>Обложка</v>
      </c>
      <c r="V753" s="8" t="s">
        <v>4783</v>
      </c>
      <c r="W753" s="6"/>
      <c r="X753" s="6"/>
      <c r="Y753" s="6"/>
      <c r="Z753" s="6"/>
      <c r="AA753" s="6" t="s">
        <v>99</v>
      </c>
      <c r="AB753" s="8"/>
      <c r="AC753" s="27">
        <v>9785160124278</v>
      </c>
    </row>
    <row r="754" spans="1:29" s="4" customFormat="1" ht="42" customHeight="1" x14ac:dyDescent="0.2">
      <c r="A754" s="5">
        <v>0</v>
      </c>
      <c r="B754" s="6" t="s">
        <v>4787</v>
      </c>
      <c r="C754" s="13">
        <v>940.8</v>
      </c>
      <c r="D754" s="8" t="s">
        <v>4788</v>
      </c>
      <c r="E754" s="8" t="s">
        <v>4789</v>
      </c>
      <c r="F754" s="8" t="s">
        <v>4790</v>
      </c>
      <c r="G754" s="6" t="s">
        <v>118</v>
      </c>
      <c r="H754" s="6" t="s">
        <v>34</v>
      </c>
      <c r="I754" s="8" t="s">
        <v>271</v>
      </c>
      <c r="J754" s="9">
        <v>1</v>
      </c>
      <c r="K754" s="9">
        <v>142</v>
      </c>
      <c r="L754" s="9">
        <v>2026</v>
      </c>
      <c r="M754" s="8" t="s">
        <v>4791</v>
      </c>
      <c r="N754" s="8" t="s">
        <v>585</v>
      </c>
      <c r="O754" s="8" t="s">
        <v>2472</v>
      </c>
      <c r="P754" s="6" t="s">
        <v>394</v>
      </c>
      <c r="Q754" s="8" t="s">
        <v>52</v>
      </c>
      <c r="R754" s="10" t="s">
        <v>4792</v>
      </c>
      <c r="S754" s="11"/>
      <c r="T754" s="6" t="s">
        <v>97</v>
      </c>
      <c r="U754" s="15" t="str">
        <f>HYPERLINK("https://media.infra-m.ru/2225/2225744/cover/2225744.jpg", "Обложка")</f>
        <v>Обложка</v>
      </c>
      <c r="V754" s="8" t="s">
        <v>4793</v>
      </c>
      <c r="W754" s="6"/>
      <c r="X754" s="6"/>
      <c r="Y754" s="6"/>
      <c r="Z754" s="6"/>
      <c r="AA754" s="6" t="s">
        <v>115</v>
      </c>
      <c r="AB754" s="8"/>
      <c r="AC754" s="27">
        <v>9785160146119</v>
      </c>
    </row>
    <row r="755" spans="1:29" s="4" customFormat="1" ht="51.9" customHeight="1" x14ac:dyDescent="0.2">
      <c r="A755" s="5">
        <v>0</v>
      </c>
      <c r="B755" s="6" t="s">
        <v>4794</v>
      </c>
      <c r="C755" s="13">
        <v>936</v>
      </c>
      <c r="D755" s="8" t="s">
        <v>4795</v>
      </c>
      <c r="E755" s="8" t="s">
        <v>4796</v>
      </c>
      <c r="F755" s="8" t="s">
        <v>4797</v>
      </c>
      <c r="G755" s="6" t="s">
        <v>118</v>
      </c>
      <c r="H755" s="6" t="s">
        <v>34</v>
      </c>
      <c r="I755" s="8" t="s">
        <v>263</v>
      </c>
      <c r="J755" s="9">
        <v>1</v>
      </c>
      <c r="K755" s="9">
        <v>142</v>
      </c>
      <c r="L755" s="9">
        <v>2026</v>
      </c>
      <c r="M755" s="8" t="s">
        <v>4798</v>
      </c>
      <c r="N755" s="8" t="s">
        <v>585</v>
      </c>
      <c r="O755" s="8" t="s">
        <v>2472</v>
      </c>
      <c r="P755" s="6" t="s">
        <v>51</v>
      </c>
      <c r="Q755" s="8" t="s">
        <v>265</v>
      </c>
      <c r="R755" s="10" t="s">
        <v>4799</v>
      </c>
      <c r="S755" s="11" t="s">
        <v>4800</v>
      </c>
      <c r="T755" s="6" t="s">
        <v>97</v>
      </c>
      <c r="U755" s="15" t="str">
        <f>HYPERLINK("https://media.infra-m.ru/2246/2246644/cover/2246644.jpg", "Обложка")</f>
        <v>Обложка</v>
      </c>
      <c r="V755" s="8" t="s">
        <v>4793</v>
      </c>
      <c r="W755" s="6"/>
      <c r="X755" s="6"/>
      <c r="Y755" s="6"/>
      <c r="Z755" s="6" t="s">
        <v>267</v>
      </c>
      <c r="AA755" s="6" t="s">
        <v>1256</v>
      </c>
      <c r="AB755" s="8"/>
      <c r="AC755" s="27">
        <v>9785160159539</v>
      </c>
    </row>
    <row r="756" spans="1:29" s="4" customFormat="1" ht="51.9" customHeight="1" x14ac:dyDescent="0.2">
      <c r="A756" s="5">
        <v>0</v>
      </c>
      <c r="B756" s="6" t="s">
        <v>4801</v>
      </c>
      <c r="C756" s="13">
        <v>747.6</v>
      </c>
      <c r="D756" s="8" t="s">
        <v>4802</v>
      </c>
      <c r="E756" s="8" t="s">
        <v>4803</v>
      </c>
      <c r="F756" s="8" t="s">
        <v>4804</v>
      </c>
      <c r="G756" s="6" t="s">
        <v>33</v>
      </c>
      <c r="H756" s="6" t="s">
        <v>313</v>
      </c>
      <c r="I756" s="8" t="s">
        <v>4700</v>
      </c>
      <c r="J756" s="9">
        <v>1</v>
      </c>
      <c r="K756" s="9">
        <v>114</v>
      </c>
      <c r="L756" s="9">
        <v>2026</v>
      </c>
      <c r="M756" s="8" t="s">
        <v>4805</v>
      </c>
      <c r="N756" s="8" t="s">
        <v>585</v>
      </c>
      <c r="O756" s="8" t="s">
        <v>2472</v>
      </c>
      <c r="P756" s="6" t="s">
        <v>51</v>
      </c>
      <c r="Q756" s="8" t="s">
        <v>52</v>
      </c>
      <c r="R756" s="10" t="s">
        <v>4806</v>
      </c>
      <c r="S756" s="11"/>
      <c r="T756" s="6"/>
      <c r="U756" s="15" t="str">
        <f>HYPERLINK("https://media.infra-m.ru/2232/2232562/cover/2232562.jpg", "Обложка")</f>
        <v>Обложка</v>
      </c>
      <c r="V756" s="8"/>
      <c r="W756" s="6"/>
      <c r="X756" s="6" t="s">
        <v>24</v>
      </c>
      <c r="Y756" s="6"/>
      <c r="Z756" s="6"/>
      <c r="AA756" s="6" t="s">
        <v>4554</v>
      </c>
      <c r="AB756" s="8"/>
      <c r="AC756" s="27">
        <v>9785955702681</v>
      </c>
    </row>
    <row r="757" spans="1:29" s="4" customFormat="1" ht="42" customHeight="1" x14ac:dyDescent="0.2">
      <c r="A757" s="5">
        <v>0</v>
      </c>
      <c r="B757" s="6" t="s">
        <v>4807</v>
      </c>
      <c r="C757" s="7">
        <v>1409.9</v>
      </c>
      <c r="D757" s="8" t="s">
        <v>4808</v>
      </c>
      <c r="E757" s="8" t="s">
        <v>4809</v>
      </c>
      <c r="F757" s="8" t="s">
        <v>4810</v>
      </c>
      <c r="G757" s="6" t="s">
        <v>33</v>
      </c>
      <c r="H757" s="6" t="s">
        <v>34</v>
      </c>
      <c r="I757" s="8" t="s">
        <v>35</v>
      </c>
      <c r="J757" s="9">
        <v>1</v>
      </c>
      <c r="K757" s="9">
        <v>260</v>
      </c>
      <c r="L757" s="9">
        <v>2023</v>
      </c>
      <c r="M757" s="8" t="s">
        <v>4811</v>
      </c>
      <c r="N757" s="8" t="s">
        <v>585</v>
      </c>
      <c r="O757" s="8" t="s">
        <v>775</v>
      </c>
      <c r="P757" s="6" t="s">
        <v>39</v>
      </c>
      <c r="Q757" s="8" t="s">
        <v>40</v>
      </c>
      <c r="R757" s="10" t="s">
        <v>4812</v>
      </c>
      <c r="S757" s="11"/>
      <c r="T757" s="6"/>
      <c r="U757" s="15" t="str">
        <f>HYPERLINK("https://media.infra-m.ru/2045/2045952/cover/2045952.jpg", "Обложка")</f>
        <v>Обложка</v>
      </c>
      <c r="V757" s="8" t="s">
        <v>4783</v>
      </c>
      <c r="W757" s="6"/>
      <c r="X757" s="6"/>
      <c r="Y757" s="6"/>
      <c r="Z757" s="6"/>
      <c r="AA757" s="6" t="s">
        <v>1256</v>
      </c>
      <c r="AB757" s="8"/>
      <c r="AC757" s="27">
        <v>9785160156194</v>
      </c>
    </row>
    <row r="758" spans="1:29" s="4" customFormat="1" ht="51.9" customHeight="1" x14ac:dyDescent="0.2">
      <c r="A758" s="5">
        <v>0</v>
      </c>
      <c r="B758" s="6" t="s">
        <v>4813</v>
      </c>
      <c r="C758" s="7">
        <v>2616</v>
      </c>
      <c r="D758" s="8" t="s">
        <v>4814</v>
      </c>
      <c r="E758" s="8" t="s">
        <v>4815</v>
      </c>
      <c r="F758" s="8" t="s">
        <v>4643</v>
      </c>
      <c r="G758" s="6" t="s">
        <v>60</v>
      </c>
      <c r="H758" s="6" t="s">
        <v>34</v>
      </c>
      <c r="I758" s="8" t="s">
        <v>35</v>
      </c>
      <c r="J758" s="9">
        <v>1</v>
      </c>
      <c r="K758" s="9">
        <v>388</v>
      </c>
      <c r="L758" s="9">
        <v>2026</v>
      </c>
      <c r="M758" s="8" t="s">
        <v>4816</v>
      </c>
      <c r="N758" s="8" t="s">
        <v>585</v>
      </c>
      <c r="O758" s="8" t="s">
        <v>775</v>
      </c>
      <c r="P758" s="6" t="s">
        <v>39</v>
      </c>
      <c r="Q758" s="8" t="s">
        <v>40</v>
      </c>
      <c r="R758" s="10" t="s">
        <v>1588</v>
      </c>
      <c r="S758" s="11"/>
      <c r="T758" s="6"/>
      <c r="U758" s="15" t="str">
        <f>HYPERLINK("https://media.infra-m.ru/2217/2217044/cover/2217044.jpg", "Обложка")</f>
        <v>Обложка</v>
      </c>
      <c r="V758" s="8" t="s">
        <v>761</v>
      </c>
      <c r="W758" s="6" t="s">
        <v>528</v>
      </c>
      <c r="X758" s="6"/>
      <c r="Y758" s="6"/>
      <c r="Z758" s="6"/>
      <c r="AA758" s="6" t="s">
        <v>187</v>
      </c>
      <c r="AB758" s="8" t="s">
        <v>4817</v>
      </c>
      <c r="AC758" s="27">
        <v>9785160212104</v>
      </c>
    </row>
    <row r="759" spans="1:29" s="4" customFormat="1" ht="51.9" customHeight="1" x14ac:dyDescent="0.2">
      <c r="A759" s="5">
        <v>0</v>
      </c>
      <c r="B759" s="6" t="s">
        <v>4818</v>
      </c>
      <c r="C759" s="7">
        <v>1116</v>
      </c>
      <c r="D759" s="8" t="s">
        <v>4819</v>
      </c>
      <c r="E759" s="8" t="s">
        <v>4820</v>
      </c>
      <c r="F759" s="8" t="s">
        <v>4821</v>
      </c>
      <c r="G759" s="6" t="s">
        <v>33</v>
      </c>
      <c r="H759" s="6" t="s">
        <v>34</v>
      </c>
      <c r="I759" s="8" t="s">
        <v>35</v>
      </c>
      <c r="J759" s="9">
        <v>1</v>
      </c>
      <c r="K759" s="9">
        <v>150</v>
      </c>
      <c r="L759" s="9">
        <v>2026</v>
      </c>
      <c r="M759" s="8" t="s">
        <v>4822</v>
      </c>
      <c r="N759" s="8" t="s">
        <v>37</v>
      </c>
      <c r="O759" s="8" t="s">
        <v>233</v>
      </c>
      <c r="P759" s="6" t="s">
        <v>39</v>
      </c>
      <c r="Q759" s="8" t="s">
        <v>40</v>
      </c>
      <c r="R759" s="10" t="s">
        <v>4823</v>
      </c>
      <c r="S759" s="11"/>
      <c r="T759" s="6"/>
      <c r="U759" s="15" t="str">
        <f>HYPERLINK("https://media.infra-m.ru/2206/2206490/cover/2206490.jpg", "Обложка")</f>
        <v>Обложка</v>
      </c>
      <c r="V759" s="8" t="s">
        <v>546</v>
      </c>
      <c r="W759" s="6" t="s">
        <v>186</v>
      </c>
      <c r="X759" s="6"/>
      <c r="Y759" s="6"/>
      <c r="Z759" s="6"/>
      <c r="AA759" s="6" t="s">
        <v>68</v>
      </c>
      <c r="AB759" s="8" t="s">
        <v>308</v>
      </c>
      <c r="AC759" s="27">
        <v>9785160209418</v>
      </c>
    </row>
    <row r="760" spans="1:29" s="4" customFormat="1" ht="51.9" customHeight="1" x14ac:dyDescent="0.2">
      <c r="A760" s="5">
        <v>0</v>
      </c>
      <c r="B760" s="6" t="s">
        <v>4824</v>
      </c>
      <c r="C760" s="13">
        <v>828</v>
      </c>
      <c r="D760" s="8" t="s">
        <v>4825</v>
      </c>
      <c r="E760" s="8" t="s">
        <v>4826</v>
      </c>
      <c r="F760" s="8" t="s">
        <v>4827</v>
      </c>
      <c r="G760" s="6" t="s">
        <v>33</v>
      </c>
      <c r="H760" s="6" t="s">
        <v>34</v>
      </c>
      <c r="I760" s="8" t="s">
        <v>253</v>
      </c>
      <c r="J760" s="9">
        <v>1</v>
      </c>
      <c r="K760" s="9">
        <v>118</v>
      </c>
      <c r="L760" s="9">
        <v>2027</v>
      </c>
      <c r="M760" s="8" t="s">
        <v>4828</v>
      </c>
      <c r="N760" s="8" t="s">
        <v>37</v>
      </c>
      <c r="O760" s="8" t="s">
        <v>233</v>
      </c>
      <c r="P760" s="6" t="s">
        <v>51</v>
      </c>
      <c r="Q760" s="8" t="s">
        <v>65</v>
      </c>
      <c r="R760" s="10" t="s">
        <v>2053</v>
      </c>
      <c r="S760" s="11" t="s">
        <v>282</v>
      </c>
      <c r="T760" s="6"/>
      <c r="U760" s="15" t="str">
        <f>HYPERLINK("https://media.infra-m.ru/2266/2266114/cover/2266114.jpg", "Обложка")</f>
        <v>Обложка</v>
      </c>
      <c r="V760" s="8" t="s">
        <v>3196</v>
      </c>
      <c r="W760" s="6"/>
      <c r="X760" s="6"/>
      <c r="Y760" s="6"/>
      <c r="Z760" s="6"/>
      <c r="AA760" s="6" t="s">
        <v>55</v>
      </c>
      <c r="AB760" s="8"/>
      <c r="AC760" s="27">
        <v>9785160186030</v>
      </c>
    </row>
    <row r="761" spans="1:29" s="4" customFormat="1" ht="51.9" customHeight="1" x14ac:dyDescent="0.2">
      <c r="A761" s="5">
        <v>0</v>
      </c>
      <c r="B761" s="6" t="s">
        <v>4829</v>
      </c>
      <c r="C761" s="7">
        <v>3492</v>
      </c>
      <c r="D761" s="8" t="s">
        <v>4830</v>
      </c>
      <c r="E761" s="8" t="s">
        <v>4831</v>
      </c>
      <c r="F761" s="8" t="s">
        <v>4832</v>
      </c>
      <c r="G761" s="6" t="s">
        <v>60</v>
      </c>
      <c r="H761" s="6" t="s">
        <v>34</v>
      </c>
      <c r="I761" s="8"/>
      <c r="J761" s="9">
        <v>1</v>
      </c>
      <c r="K761" s="9">
        <v>528</v>
      </c>
      <c r="L761" s="9">
        <v>2026</v>
      </c>
      <c r="M761" s="8" t="s">
        <v>4833</v>
      </c>
      <c r="N761" s="8" t="s">
        <v>37</v>
      </c>
      <c r="O761" s="8" t="s">
        <v>233</v>
      </c>
      <c r="P761" s="6" t="s">
        <v>306</v>
      </c>
      <c r="Q761" s="8" t="s">
        <v>52</v>
      </c>
      <c r="R761" s="10" t="s">
        <v>4834</v>
      </c>
      <c r="S761" s="11" t="s">
        <v>4835</v>
      </c>
      <c r="T761" s="6"/>
      <c r="U761" s="15" t="str">
        <f>HYPERLINK("https://media.infra-m.ru/2236/2236564/cover/2236564.jpg", "Обложка")</f>
        <v>Обложка</v>
      </c>
      <c r="V761" s="8" t="s">
        <v>1647</v>
      </c>
      <c r="W761" s="6"/>
      <c r="X761" s="6"/>
      <c r="Y761" s="6"/>
      <c r="Z761" s="6"/>
      <c r="AA761" s="6" t="s">
        <v>404</v>
      </c>
      <c r="AB761" s="8"/>
      <c r="AC761" s="27">
        <v>9785160217369</v>
      </c>
    </row>
    <row r="762" spans="1:29" s="4" customFormat="1" ht="42" customHeight="1" x14ac:dyDescent="0.2">
      <c r="A762" s="5">
        <v>0</v>
      </c>
      <c r="B762" s="6" t="s">
        <v>4836</v>
      </c>
      <c r="C762" s="7">
        <v>1332</v>
      </c>
      <c r="D762" s="8" t="s">
        <v>4837</v>
      </c>
      <c r="E762" s="8" t="s">
        <v>4838</v>
      </c>
      <c r="F762" s="8" t="s">
        <v>4839</v>
      </c>
      <c r="G762" s="6" t="s">
        <v>118</v>
      </c>
      <c r="H762" s="6" t="s">
        <v>34</v>
      </c>
      <c r="I762" s="8" t="s">
        <v>253</v>
      </c>
      <c r="J762" s="9">
        <v>1</v>
      </c>
      <c r="K762" s="9">
        <v>191</v>
      </c>
      <c r="L762" s="9">
        <v>2027</v>
      </c>
      <c r="M762" s="8" t="s">
        <v>4840</v>
      </c>
      <c r="N762" s="8" t="s">
        <v>37</v>
      </c>
      <c r="O762" s="8" t="s">
        <v>233</v>
      </c>
      <c r="P762" s="6" t="s">
        <v>306</v>
      </c>
      <c r="Q762" s="8" t="s">
        <v>500</v>
      </c>
      <c r="R762" s="10" t="s">
        <v>4087</v>
      </c>
      <c r="S762" s="11"/>
      <c r="T762" s="6"/>
      <c r="U762" s="15" t="str">
        <f>HYPERLINK("https://media.infra-m.ru/2269/2269381/cover/2269381.jpg", "Обложка")</f>
        <v>Обложка</v>
      </c>
      <c r="V762" s="8" t="s">
        <v>396</v>
      </c>
      <c r="W762" s="6"/>
      <c r="X762" s="6"/>
      <c r="Y762" s="6"/>
      <c r="Z762" s="6"/>
      <c r="AA762" s="6" t="s">
        <v>187</v>
      </c>
      <c r="AB762" s="8" t="s">
        <v>308</v>
      </c>
      <c r="AC762" s="27">
        <v>9785160209623</v>
      </c>
    </row>
    <row r="763" spans="1:29" s="4" customFormat="1" ht="51.9" customHeight="1" x14ac:dyDescent="0.2">
      <c r="A763" s="5">
        <v>0</v>
      </c>
      <c r="B763" s="6" t="s">
        <v>4841</v>
      </c>
      <c r="C763" s="7">
        <v>2392.8000000000002</v>
      </c>
      <c r="D763" s="8" t="s">
        <v>4842</v>
      </c>
      <c r="E763" s="8" t="s">
        <v>4843</v>
      </c>
      <c r="F763" s="8" t="s">
        <v>4844</v>
      </c>
      <c r="G763" s="6" t="s">
        <v>60</v>
      </c>
      <c r="H763" s="6" t="s">
        <v>34</v>
      </c>
      <c r="I763" s="8" t="s">
        <v>35</v>
      </c>
      <c r="J763" s="9">
        <v>1</v>
      </c>
      <c r="K763" s="9">
        <v>595</v>
      </c>
      <c r="L763" s="9">
        <v>2023</v>
      </c>
      <c r="M763" s="8" t="s">
        <v>4845</v>
      </c>
      <c r="N763" s="8" t="s">
        <v>37</v>
      </c>
      <c r="O763" s="8" t="s">
        <v>233</v>
      </c>
      <c r="P763" s="6" t="s">
        <v>39</v>
      </c>
      <c r="Q763" s="8" t="s">
        <v>40</v>
      </c>
      <c r="R763" s="10" t="s">
        <v>4846</v>
      </c>
      <c r="S763" s="11"/>
      <c r="T763" s="6"/>
      <c r="U763" s="15" t="str">
        <f>HYPERLINK("https://media.infra-m.ru/2045/2045969/cover/2045969.jpg", "Обложка")</f>
        <v>Обложка</v>
      </c>
      <c r="V763" s="8" t="s">
        <v>227</v>
      </c>
      <c r="W763" s="6"/>
      <c r="X763" s="6"/>
      <c r="Y763" s="6"/>
      <c r="Z763" s="6"/>
      <c r="AA763" s="6" t="s">
        <v>1256</v>
      </c>
      <c r="AB763" s="8"/>
      <c r="AC763" s="27">
        <v>9785160155746</v>
      </c>
    </row>
    <row r="764" spans="1:29" s="4" customFormat="1" ht="42" customHeight="1" x14ac:dyDescent="0.2">
      <c r="A764" s="5">
        <v>0</v>
      </c>
      <c r="B764" s="6" t="s">
        <v>4847</v>
      </c>
      <c r="C764" s="7">
        <v>1764</v>
      </c>
      <c r="D764" s="8" t="s">
        <v>4848</v>
      </c>
      <c r="E764" s="8" t="s">
        <v>4849</v>
      </c>
      <c r="F764" s="8" t="s">
        <v>4844</v>
      </c>
      <c r="G764" s="6" t="s">
        <v>60</v>
      </c>
      <c r="H764" s="6" t="s">
        <v>34</v>
      </c>
      <c r="I764" s="8" t="s">
        <v>35</v>
      </c>
      <c r="J764" s="9">
        <v>1</v>
      </c>
      <c r="K764" s="9">
        <v>432</v>
      </c>
      <c r="L764" s="9">
        <v>2019</v>
      </c>
      <c r="M764" s="8" t="s">
        <v>4850</v>
      </c>
      <c r="N764" s="8" t="s">
        <v>37</v>
      </c>
      <c r="O764" s="8" t="s">
        <v>233</v>
      </c>
      <c r="P764" s="6" t="s">
        <v>39</v>
      </c>
      <c r="Q764" s="8" t="s">
        <v>40</v>
      </c>
      <c r="R764" s="10" t="s">
        <v>357</v>
      </c>
      <c r="S764" s="11"/>
      <c r="T764" s="6"/>
      <c r="U764" s="15" t="str">
        <f>HYPERLINK("https://media.infra-m.ru/0947/0947488/cover/947488.jpg", "Обложка")</f>
        <v>Обложка</v>
      </c>
      <c r="V764" s="8" t="s">
        <v>227</v>
      </c>
      <c r="W764" s="6"/>
      <c r="X764" s="6"/>
      <c r="Y764" s="6"/>
      <c r="Z764" s="6"/>
      <c r="AA764" s="6" t="s">
        <v>115</v>
      </c>
      <c r="AB764" s="8"/>
      <c r="AC764" s="27">
        <v>9785160136462</v>
      </c>
    </row>
    <row r="765" spans="1:29" s="4" customFormat="1" ht="42" customHeight="1" x14ac:dyDescent="0.2">
      <c r="A765" s="5">
        <v>0</v>
      </c>
      <c r="B765" s="6" t="s">
        <v>4851</v>
      </c>
      <c r="C765" s="7">
        <v>2280</v>
      </c>
      <c r="D765" s="8" t="s">
        <v>4852</v>
      </c>
      <c r="E765" s="8" t="s">
        <v>4853</v>
      </c>
      <c r="F765" s="8" t="s">
        <v>4844</v>
      </c>
      <c r="G765" s="6" t="s">
        <v>118</v>
      </c>
      <c r="H765" s="6" t="s">
        <v>34</v>
      </c>
      <c r="I765" s="8" t="s">
        <v>35</v>
      </c>
      <c r="J765" s="9">
        <v>1</v>
      </c>
      <c r="K765" s="9">
        <v>529</v>
      </c>
      <c r="L765" s="9">
        <v>2019</v>
      </c>
      <c r="M765" s="8" t="s">
        <v>4854</v>
      </c>
      <c r="N765" s="8" t="s">
        <v>37</v>
      </c>
      <c r="O765" s="8" t="s">
        <v>233</v>
      </c>
      <c r="P765" s="6" t="s">
        <v>39</v>
      </c>
      <c r="Q765" s="8" t="s">
        <v>40</v>
      </c>
      <c r="R765" s="10" t="s">
        <v>357</v>
      </c>
      <c r="S765" s="11"/>
      <c r="T765" s="6"/>
      <c r="U765" s="15" t="str">
        <f>HYPERLINK("https://media.infra-m.ru/0995/0995997/cover/995997.jpg", "Обложка")</f>
        <v>Обложка</v>
      </c>
      <c r="V765" s="8" t="s">
        <v>227</v>
      </c>
      <c r="W765" s="6"/>
      <c r="X765" s="6"/>
      <c r="Y765" s="6"/>
      <c r="Z765" s="6"/>
      <c r="AA765" s="6" t="s">
        <v>86</v>
      </c>
      <c r="AB765" s="8"/>
      <c r="AC765" s="27">
        <v>9785160134413</v>
      </c>
    </row>
    <row r="766" spans="1:29" s="4" customFormat="1" ht="51.9" customHeight="1" x14ac:dyDescent="0.2">
      <c r="A766" s="5">
        <v>0</v>
      </c>
      <c r="B766" s="6" t="s">
        <v>4855</v>
      </c>
      <c r="C766" s="7">
        <v>1732.8</v>
      </c>
      <c r="D766" s="8" t="s">
        <v>4856</v>
      </c>
      <c r="E766" s="8" t="s">
        <v>4857</v>
      </c>
      <c r="F766" s="8" t="s">
        <v>4844</v>
      </c>
      <c r="G766" s="6" t="s">
        <v>60</v>
      </c>
      <c r="H766" s="6" t="s">
        <v>34</v>
      </c>
      <c r="I766" s="8" t="s">
        <v>35</v>
      </c>
      <c r="J766" s="9">
        <v>1</v>
      </c>
      <c r="K766" s="9">
        <v>319</v>
      </c>
      <c r="L766" s="9">
        <v>2023</v>
      </c>
      <c r="M766" s="8" t="s">
        <v>4858</v>
      </c>
      <c r="N766" s="8" t="s">
        <v>37</v>
      </c>
      <c r="O766" s="8" t="s">
        <v>233</v>
      </c>
      <c r="P766" s="6" t="s">
        <v>39</v>
      </c>
      <c r="Q766" s="8" t="s">
        <v>40</v>
      </c>
      <c r="R766" s="10" t="s">
        <v>4859</v>
      </c>
      <c r="S766" s="11"/>
      <c r="T766" s="6"/>
      <c r="U766" s="15" t="str">
        <f>HYPERLINK("https://media.infra-m.ru/2030/2030891/cover/2030891.jpg", "Обложка")</f>
        <v>Обложка</v>
      </c>
      <c r="V766" s="8" t="s">
        <v>227</v>
      </c>
      <c r="W766" s="6"/>
      <c r="X766" s="6"/>
      <c r="Y766" s="6"/>
      <c r="Z766" s="6"/>
      <c r="AA766" s="6" t="s">
        <v>115</v>
      </c>
      <c r="AB766" s="8"/>
      <c r="AC766" s="27">
        <v>9785160146775</v>
      </c>
    </row>
    <row r="767" spans="1:29" s="4" customFormat="1" ht="42" customHeight="1" x14ac:dyDescent="0.2">
      <c r="A767" s="5">
        <v>0</v>
      </c>
      <c r="B767" s="6" t="s">
        <v>4860</v>
      </c>
      <c r="C767" s="7">
        <v>2616</v>
      </c>
      <c r="D767" s="8" t="s">
        <v>4861</v>
      </c>
      <c r="E767" s="8" t="s">
        <v>4862</v>
      </c>
      <c r="F767" s="8" t="s">
        <v>4844</v>
      </c>
      <c r="G767" s="6" t="s">
        <v>118</v>
      </c>
      <c r="H767" s="6" t="s">
        <v>34</v>
      </c>
      <c r="I767" s="8" t="s">
        <v>35</v>
      </c>
      <c r="J767" s="9">
        <v>1</v>
      </c>
      <c r="K767" s="9">
        <v>549</v>
      </c>
      <c r="L767" s="9">
        <v>2023</v>
      </c>
      <c r="M767" s="8" t="s">
        <v>4863</v>
      </c>
      <c r="N767" s="8" t="s">
        <v>37</v>
      </c>
      <c r="O767" s="8" t="s">
        <v>136</v>
      </c>
      <c r="P767" s="6" t="s">
        <v>39</v>
      </c>
      <c r="Q767" s="8" t="s">
        <v>40</v>
      </c>
      <c r="R767" s="10" t="s">
        <v>357</v>
      </c>
      <c r="S767" s="11"/>
      <c r="T767" s="6"/>
      <c r="U767" s="15" t="str">
        <f>HYPERLINK("https://media.infra-m.ru/1873/1873036/cover/1873036.jpg", "Обложка")</f>
        <v>Обложка</v>
      </c>
      <c r="V767" s="8" t="s">
        <v>227</v>
      </c>
      <c r="W767" s="6"/>
      <c r="X767" s="6"/>
      <c r="Y767" s="6"/>
      <c r="Z767" s="6"/>
      <c r="AA767" s="6" t="s">
        <v>86</v>
      </c>
      <c r="AB767" s="8"/>
      <c r="AC767" s="27">
        <v>9785160133096</v>
      </c>
    </row>
    <row r="768" spans="1:29" s="4" customFormat="1" ht="51.9" customHeight="1" x14ac:dyDescent="0.2">
      <c r="A768" s="5">
        <v>0</v>
      </c>
      <c r="B768" s="6" t="s">
        <v>4864</v>
      </c>
      <c r="C768" s="7">
        <v>1380</v>
      </c>
      <c r="D768" s="8" t="s">
        <v>4865</v>
      </c>
      <c r="E768" s="8" t="s">
        <v>4866</v>
      </c>
      <c r="F768" s="8" t="s">
        <v>4867</v>
      </c>
      <c r="G768" s="6" t="s">
        <v>33</v>
      </c>
      <c r="H768" s="6" t="s">
        <v>34</v>
      </c>
      <c r="I768" s="8"/>
      <c r="J768" s="9">
        <v>1</v>
      </c>
      <c r="K768" s="9">
        <v>208</v>
      </c>
      <c r="L768" s="9">
        <v>2026</v>
      </c>
      <c r="M768" s="8" t="s">
        <v>4868</v>
      </c>
      <c r="N768" s="8" t="s">
        <v>37</v>
      </c>
      <c r="O768" s="8" t="s">
        <v>233</v>
      </c>
      <c r="P768" s="6" t="s">
        <v>39</v>
      </c>
      <c r="Q768" s="8" t="s">
        <v>40</v>
      </c>
      <c r="R768" s="10" t="s">
        <v>4869</v>
      </c>
      <c r="S768" s="11"/>
      <c r="T768" s="6"/>
      <c r="U768" s="15" t="str">
        <f>HYPERLINK("https://media.infra-m.ru/2231/2231094/cover/2231094.jpg", "Обложка")</f>
        <v>Обложка</v>
      </c>
      <c r="V768" s="8" t="s">
        <v>1647</v>
      </c>
      <c r="W768" s="6"/>
      <c r="X768" s="6"/>
      <c r="Y768" s="6"/>
      <c r="Z768" s="6"/>
      <c r="AA768" s="6" t="s">
        <v>779</v>
      </c>
      <c r="AB768" s="8"/>
      <c r="AC768" s="27">
        <v>9785160215723</v>
      </c>
    </row>
    <row r="769" spans="1:29" s="4" customFormat="1" ht="42" customHeight="1" x14ac:dyDescent="0.2">
      <c r="A769" s="5">
        <v>0</v>
      </c>
      <c r="B769" s="6" t="s">
        <v>4870</v>
      </c>
      <c r="C769" s="7">
        <v>2508</v>
      </c>
      <c r="D769" s="8" t="s">
        <v>4871</v>
      </c>
      <c r="E769" s="8" t="s">
        <v>4872</v>
      </c>
      <c r="F769" s="8" t="s">
        <v>4873</v>
      </c>
      <c r="G769" s="6" t="s">
        <v>60</v>
      </c>
      <c r="H769" s="6" t="s">
        <v>34</v>
      </c>
      <c r="I769" s="8" t="s">
        <v>35</v>
      </c>
      <c r="J769" s="9">
        <v>1</v>
      </c>
      <c r="K769" s="9">
        <v>373</v>
      </c>
      <c r="L769" s="9">
        <v>2026</v>
      </c>
      <c r="M769" s="8" t="s">
        <v>4874</v>
      </c>
      <c r="N769" s="8" t="s">
        <v>37</v>
      </c>
      <c r="O769" s="8" t="s">
        <v>280</v>
      </c>
      <c r="P769" s="6" t="s">
        <v>39</v>
      </c>
      <c r="Q769" s="8" t="s">
        <v>40</v>
      </c>
      <c r="R769" s="10" t="s">
        <v>4875</v>
      </c>
      <c r="S769" s="11"/>
      <c r="T769" s="6"/>
      <c r="U769" s="15" t="str">
        <f>HYPERLINK("https://media.infra-m.ru/2206/2206486/cover/2206486.jpg", "Обложка")</f>
        <v>Обложка</v>
      </c>
      <c r="V769" s="8" t="s">
        <v>4473</v>
      </c>
      <c r="W769" s="6" t="s">
        <v>1382</v>
      </c>
      <c r="X769" s="6"/>
      <c r="Y769" s="6"/>
      <c r="Z769" s="6"/>
      <c r="AA769" s="6" t="s">
        <v>187</v>
      </c>
      <c r="AB769" s="8" t="s">
        <v>308</v>
      </c>
      <c r="AC769" s="27">
        <v>9785160209395</v>
      </c>
    </row>
    <row r="770" spans="1:29" s="4" customFormat="1" ht="51.9" customHeight="1" x14ac:dyDescent="0.2">
      <c r="A770" s="5">
        <v>0</v>
      </c>
      <c r="B770" s="6" t="s">
        <v>4876</v>
      </c>
      <c r="C770" s="7">
        <v>1960.8</v>
      </c>
      <c r="D770" s="8" t="s">
        <v>4877</v>
      </c>
      <c r="E770" s="8" t="s">
        <v>4878</v>
      </c>
      <c r="F770" s="8" t="s">
        <v>4879</v>
      </c>
      <c r="G770" s="6" t="s">
        <v>118</v>
      </c>
      <c r="H770" s="6" t="s">
        <v>134</v>
      </c>
      <c r="I770" s="8"/>
      <c r="J770" s="9">
        <v>1</v>
      </c>
      <c r="K770" s="9">
        <v>296</v>
      </c>
      <c r="L770" s="9">
        <v>2026</v>
      </c>
      <c r="M770" s="8" t="s">
        <v>4880</v>
      </c>
      <c r="N770" s="8" t="s">
        <v>37</v>
      </c>
      <c r="O770" s="8" t="s">
        <v>136</v>
      </c>
      <c r="P770" s="6" t="s">
        <v>39</v>
      </c>
      <c r="Q770" s="8" t="s">
        <v>40</v>
      </c>
      <c r="R770" s="10" t="s">
        <v>4881</v>
      </c>
      <c r="S770" s="11"/>
      <c r="T770" s="6"/>
      <c r="U770" s="15" t="str">
        <f>HYPERLINK("https://media.infra-m.ru/2221/2221578/cover/2221578.jpg", "Обложка")</f>
        <v>Обложка</v>
      </c>
      <c r="V770" s="8" t="s">
        <v>1184</v>
      </c>
      <c r="W770" s="6"/>
      <c r="X770" s="6"/>
      <c r="Y770" s="6"/>
      <c r="Z770" s="6"/>
      <c r="AA770" s="6" t="s">
        <v>430</v>
      </c>
      <c r="AB770" s="8"/>
      <c r="AC770" s="27">
        <v>9785001561378</v>
      </c>
    </row>
    <row r="771" spans="1:29" s="4" customFormat="1" ht="42" customHeight="1" x14ac:dyDescent="0.2">
      <c r="A771" s="5">
        <v>0</v>
      </c>
      <c r="B771" s="6" t="s">
        <v>4882</v>
      </c>
      <c r="C771" s="13">
        <v>972</v>
      </c>
      <c r="D771" s="8" t="s">
        <v>4883</v>
      </c>
      <c r="E771" s="8" t="s">
        <v>4884</v>
      </c>
      <c r="F771" s="8" t="s">
        <v>4885</v>
      </c>
      <c r="G771" s="6" t="s">
        <v>118</v>
      </c>
      <c r="H771" s="6" t="s">
        <v>134</v>
      </c>
      <c r="I771" s="8"/>
      <c r="J771" s="9">
        <v>1</v>
      </c>
      <c r="K771" s="9">
        <v>128</v>
      </c>
      <c r="L771" s="9">
        <v>2026</v>
      </c>
      <c r="M771" s="8" t="s">
        <v>4886</v>
      </c>
      <c r="N771" s="8" t="s">
        <v>37</v>
      </c>
      <c r="O771" s="8" t="s">
        <v>136</v>
      </c>
      <c r="P771" s="6" t="s">
        <v>51</v>
      </c>
      <c r="Q771" s="8" t="s">
        <v>52</v>
      </c>
      <c r="R771" s="10" t="s">
        <v>1625</v>
      </c>
      <c r="S771" s="11"/>
      <c r="T771" s="6"/>
      <c r="U771" s="15" t="str">
        <f>HYPERLINK("https://media.infra-m.ru/2260/2260425/cover/2260425.jpg", "Обложка")</f>
        <v>Обложка</v>
      </c>
      <c r="V771" s="8" t="s">
        <v>1184</v>
      </c>
      <c r="W771" s="6"/>
      <c r="X771" s="6"/>
      <c r="Y771" s="6"/>
      <c r="Z771" s="6"/>
      <c r="AA771" s="6" t="s">
        <v>430</v>
      </c>
      <c r="AB771" s="8"/>
      <c r="AC771" s="27">
        <v>9785001561712</v>
      </c>
    </row>
    <row r="772" spans="1:29" s="4" customFormat="1" ht="44.1" customHeight="1" x14ac:dyDescent="0.2">
      <c r="A772" s="5">
        <v>0</v>
      </c>
      <c r="B772" s="6" t="s">
        <v>4887</v>
      </c>
      <c r="C772" s="13">
        <v>612</v>
      </c>
      <c r="D772" s="8" t="s">
        <v>4888</v>
      </c>
      <c r="E772" s="8" t="s">
        <v>4889</v>
      </c>
      <c r="F772" s="8" t="s">
        <v>4890</v>
      </c>
      <c r="G772" s="6" t="s">
        <v>33</v>
      </c>
      <c r="H772" s="6" t="s">
        <v>1042</v>
      </c>
      <c r="I772" s="8" t="s">
        <v>35</v>
      </c>
      <c r="J772" s="9">
        <v>1</v>
      </c>
      <c r="K772" s="9">
        <v>90</v>
      </c>
      <c r="L772" s="9">
        <v>2022</v>
      </c>
      <c r="M772" s="8" t="s">
        <v>4891</v>
      </c>
      <c r="N772" s="8" t="s">
        <v>37</v>
      </c>
      <c r="O772" s="8" t="s">
        <v>233</v>
      </c>
      <c r="P772" s="6" t="s">
        <v>39</v>
      </c>
      <c r="Q772" s="8" t="s">
        <v>40</v>
      </c>
      <c r="R772" s="10" t="s">
        <v>2053</v>
      </c>
      <c r="S772" s="11"/>
      <c r="T772" s="6"/>
      <c r="U772" s="15" t="str">
        <f>HYPERLINK("https://media.infra-m.ru/1862/1862633/cover/1862633.jpg", "Обложка")</f>
        <v>Обложка</v>
      </c>
      <c r="V772" s="8" t="s">
        <v>4892</v>
      </c>
      <c r="W772" s="6"/>
      <c r="X772" s="6"/>
      <c r="Y772" s="6"/>
      <c r="Z772" s="6"/>
      <c r="AA772" s="6" t="s">
        <v>115</v>
      </c>
      <c r="AB772" s="8"/>
      <c r="AC772" s="27">
        <v>9785819908495</v>
      </c>
    </row>
    <row r="773" spans="1:29" s="4" customFormat="1" ht="42" customHeight="1" x14ac:dyDescent="0.2">
      <c r="A773" s="5">
        <v>0</v>
      </c>
      <c r="B773" s="6" t="s">
        <v>4893</v>
      </c>
      <c r="C773" s="7">
        <v>1620</v>
      </c>
      <c r="D773" s="8" t="s">
        <v>4894</v>
      </c>
      <c r="E773" s="8" t="s">
        <v>4895</v>
      </c>
      <c r="F773" s="8" t="s">
        <v>4896</v>
      </c>
      <c r="G773" s="6" t="s">
        <v>33</v>
      </c>
      <c r="H773" s="6" t="s">
        <v>34</v>
      </c>
      <c r="I773" s="8" t="s">
        <v>35</v>
      </c>
      <c r="J773" s="9">
        <v>1</v>
      </c>
      <c r="K773" s="9">
        <v>233</v>
      </c>
      <c r="L773" s="9">
        <v>2027</v>
      </c>
      <c r="M773" s="8" t="s">
        <v>4897</v>
      </c>
      <c r="N773" s="8" t="s">
        <v>63</v>
      </c>
      <c r="O773" s="8" t="s">
        <v>64</v>
      </c>
      <c r="P773" s="6" t="s">
        <v>39</v>
      </c>
      <c r="Q773" s="8" t="s">
        <v>40</v>
      </c>
      <c r="R773" s="10" t="s">
        <v>4898</v>
      </c>
      <c r="S773" s="11"/>
      <c r="T773" s="6"/>
      <c r="U773" s="15" t="str">
        <f>HYPERLINK("https://media.infra-m.ru/2271/2271146/cover/2271146.jpg", "Обложка")</f>
        <v>Обложка</v>
      </c>
      <c r="V773" s="8" t="s">
        <v>156</v>
      </c>
      <c r="W773" s="6"/>
      <c r="X773" s="6"/>
      <c r="Y773" s="6"/>
      <c r="Z773" s="6"/>
      <c r="AA773" s="6" t="s">
        <v>157</v>
      </c>
      <c r="AB773" s="8" t="s">
        <v>4899</v>
      </c>
      <c r="AC773" s="27">
        <v>9785160186917</v>
      </c>
    </row>
    <row r="774" spans="1:29" s="4" customFormat="1" ht="42" customHeight="1" x14ac:dyDescent="0.2">
      <c r="A774" s="5">
        <v>0</v>
      </c>
      <c r="B774" s="6" t="s">
        <v>4900</v>
      </c>
      <c r="C774" s="7">
        <v>1272</v>
      </c>
      <c r="D774" s="8" t="s">
        <v>4901</v>
      </c>
      <c r="E774" s="8" t="s">
        <v>4895</v>
      </c>
      <c r="F774" s="8" t="s">
        <v>4896</v>
      </c>
      <c r="G774" s="6" t="s">
        <v>60</v>
      </c>
      <c r="H774" s="6" t="s">
        <v>34</v>
      </c>
      <c r="I774" s="8" t="s">
        <v>35</v>
      </c>
      <c r="J774" s="9">
        <v>1</v>
      </c>
      <c r="K774" s="9">
        <v>233</v>
      </c>
      <c r="L774" s="9">
        <v>2023</v>
      </c>
      <c r="M774" s="8" t="s">
        <v>4902</v>
      </c>
      <c r="N774" s="8" t="s">
        <v>63</v>
      </c>
      <c r="O774" s="8" t="s">
        <v>64</v>
      </c>
      <c r="P774" s="6" t="s">
        <v>39</v>
      </c>
      <c r="Q774" s="8" t="s">
        <v>40</v>
      </c>
      <c r="R774" s="10" t="s">
        <v>4898</v>
      </c>
      <c r="S774" s="11"/>
      <c r="T774" s="6"/>
      <c r="U774" s="15" t="str">
        <f>HYPERLINK("https://media.infra-m.ru/1895/1895948/cover/1895948.jpg", "Обложка")</f>
        <v>Обложка</v>
      </c>
      <c r="V774" s="8" t="s">
        <v>156</v>
      </c>
      <c r="W774" s="6"/>
      <c r="X774" s="6"/>
      <c r="Y774" s="6"/>
      <c r="Z774" s="6"/>
      <c r="AA774" s="6" t="s">
        <v>157</v>
      </c>
      <c r="AB774" s="8" t="s">
        <v>4899</v>
      </c>
      <c r="AC774" s="27">
        <v>9785160178950</v>
      </c>
    </row>
    <row r="775" spans="1:29" s="4" customFormat="1" ht="51.9" customHeight="1" x14ac:dyDescent="0.2">
      <c r="A775" s="5">
        <v>0</v>
      </c>
      <c r="B775" s="6" t="s">
        <v>4903</v>
      </c>
      <c r="C775" s="13">
        <v>924</v>
      </c>
      <c r="D775" s="8" t="s">
        <v>4904</v>
      </c>
      <c r="E775" s="8" t="s">
        <v>4905</v>
      </c>
      <c r="F775" s="8" t="s">
        <v>4906</v>
      </c>
      <c r="G775" s="6" t="s">
        <v>118</v>
      </c>
      <c r="H775" s="6" t="s">
        <v>34</v>
      </c>
      <c r="I775" s="8" t="s">
        <v>2927</v>
      </c>
      <c r="J775" s="9">
        <v>1</v>
      </c>
      <c r="K775" s="9">
        <v>170</v>
      </c>
      <c r="L775" s="9">
        <v>2022</v>
      </c>
      <c r="M775" s="8" t="s">
        <v>4907</v>
      </c>
      <c r="N775" s="8" t="s">
        <v>37</v>
      </c>
      <c r="O775" s="8" t="s">
        <v>290</v>
      </c>
      <c r="P775" s="6" t="s">
        <v>306</v>
      </c>
      <c r="Q775" s="8" t="s">
        <v>65</v>
      </c>
      <c r="R775" s="10" t="s">
        <v>4908</v>
      </c>
      <c r="S775" s="11" t="s">
        <v>4909</v>
      </c>
      <c r="T775" s="6"/>
      <c r="U775" s="15" t="str">
        <f>HYPERLINK("https://media.infra-m.ru/1855/1855820/cover/1855820.jpg", "Обложка")</f>
        <v>Обложка</v>
      </c>
      <c r="V775" s="8" t="s">
        <v>1083</v>
      </c>
      <c r="W775" s="6"/>
      <c r="X775" s="6"/>
      <c r="Y775" s="6"/>
      <c r="Z775" s="6"/>
      <c r="AA775" s="6" t="s">
        <v>99</v>
      </c>
      <c r="AB775" s="8"/>
      <c r="AC775" s="27">
        <v>9785160129044</v>
      </c>
    </row>
    <row r="776" spans="1:29" s="4" customFormat="1" ht="51.9" customHeight="1" x14ac:dyDescent="0.2">
      <c r="A776" s="5">
        <v>0</v>
      </c>
      <c r="B776" s="6" t="s">
        <v>4910</v>
      </c>
      <c r="C776" s="7">
        <v>1144.8</v>
      </c>
      <c r="D776" s="8" t="s">
        <v>4911</v>
      </c>
      <c r="E776" s="8" t="s">
        <v>4912</v>
      </c>
      <c r="F776" s="8" t="s">
        <v>4913</v>
      </c>
      <c r="G776" s="6" t="s">
        <v>60</v>
      </c>
      <c r="H776" s="6" t="s">
        <v>34</v>
      </c>
      <c r="I776" s="8" t="s">
        <v>2927</v>
      </c>
      <c r="J776" s="9">
        <v>1</v>
      </c>
      <c r="K776" s="9">
        <v>164</v>
      </c>
      <c r="L776" s="9">
        <v>2027</v>
      </c>
      <c r="M776" s="8" t="s">
        <v>4914</v>
      </c>
      <c r="N776" s="8" t="s">
        <v>37</v>
      </c>
      <c r="O776" s="8" t="s">
        <v>290</v>
      </c>
      <c r="P776" s="6" t="s">
        <v>306</v>
      </c>
      <c r="Q776" s="8" t="s">
        <v>52</v>
      </c>
      <c r="R776" s="10" t="s">
        <v>4915</v>
      </c>
      <c r="S776" s="11" t="s">
        <v>4916</v>
      </c>
      <c r="T776" s="6"/>
      <c r="U776" s="15" t="str">
        <f>HYPERLINK("https://media.infra-m.ru/2271/2271108/cover/2271108.jpg", "Обложка")</f>
        <v>Обложка</v>
      </c>
      <c r="V776" s="8" t="s">
        <v>1083</v>
      </c>
      <c r="W776" s="6"/>
      <c r="X776" s="6"/>
      <c r="Y776" s="6"/>
      <c r="Z776" s="6"/>
      <c r="AA776" s="6" t="s">
        <v>99</v>
      </c>
      <c r="AB776" s="8"/>
      <c r="AC776" s="27">
        <v>9785160128849</v>
      </c>
    </row>
    <row r="777" spans="1:29" s="4" customFormat="1" ht="51.9" customHeight="1" x14ac:dyDescent="0.2">
      <c r="A777" s="5">
        <v>0</v>
      </c>
      <c r="B777" s="6" t="s">
        <v>4917</v>
      </c>
      <c r="C777" s="13">
        <v>780</v>
      </c>
      <c r="D777" s="8" t="s">
        <v>4918</v>
      </c>
      <c r="E777" s="8" t="s">
        <v>4919</v>
      </c>
      <c r="F777" s="8" t="s">
        <v>4920</v>
      </c>
      <c r="G777" s="6" t="s">
        <v>33</v>
      </c>
      <c r="H777" s="6" t="s">
        <v>34</v>
      </c>
      <c r="I777" s="8" t="s">
        <v>35</v>
      </c>
      <c r="J777" s="9">
        <v>1</v>
      </c>
      <c r="K777" s="9">
        <v>106</v>
      </c>
      <c r="L777" s="9">
        <v>2024</v>
      </c>
      <c r="M777" s="8" t="s">
        <v>4921</v>
      </c>
      <c r="N777" s="8" t="s">
        <v>37</v>
      </c>
      <c r="O777" s="8" t="s">
        <v>290</v>
      </c>
      <c r="P777" s="6" t="s">
        <v>39</v>
      </c>
      <c r="Q777" s="8" t="s">
        <v>40</v>
      </c>
      <c r="R777" s="10" t="s">
        <v>4922</v>
      </c>
      <c r="S777" s="11"/>
      <c r="T777" s="6"/>
      <c r="U777" s="15" t="str">
        <f>HYPERLINK("https://media.infra-m.ru/2141/2141207/cover/2141207.jpg", "Обложка")</f>
        <v>Обложка</v>
      </c>
      <c r="V777" s="8" t="s">
        <v>4923</v>
      </c>
      <c r="W777" s="6"/>
      <c r="X777" s="6"/>
      <c r="Y777" s="6"/>
      <c r="Z777" s="6"/>
      <c r="AA777" s="6" t="s">
        <v>76</v>
      </c>
      <c r="AB777" s="8" t="s">
        <v>3833</v>
      </c>
      <c r="AC777" s="27">
        <v>9785160198675</v>
      </c>
    </row>
    <row r="778" spans="1:29" s="4" customFormat="1" ht="44.1" customHeight="1" x14ac:dyDescent="0.2">
      <c r="A778" s="5">
        <v>0</v>
      </c>
      <c r="B778" s="6" t="s">
        <v>4924</v>
      </c>
      <c r="C778" s="7">
        <v>3596.4</v>
      </c>
      <c r="D778" s="8" t="s">
        <v>4925</v>
      </c>
      <c r="E778" s="8" t="s">
        <v>4926</v>
      </c>
      <c r="F778" s="8" t="s">
        <v>4927</v>
      </c>
      <c r="G778" s="6" t="s">
        <v>60</v>
      </c>
      <c r="H778" s="6" t="s">
        <v>34</v>
      </c>
      <c r="I778" s="8" t="s">
        <v>1835</v>
      </c>
      <c r="J778" s="9">
        <v>1</v>
      </c>
      <c r="K778" s="9">
        <v>726</v>
      </c>
      <c r="L778" s="9">
        <v>2026</v>
      </c>
      <c r="M778" s="8" t="s">
        <v>4928</v>
      </c>
      <c r="N778" s="8" t="s">
        <v>63</v>
      </c>
      <c r="O778" s="8" t="s">
        <v>64</v>
      </c>
      <c r="P778" s="6" t="s">
        <v>1837</v>
      </c>
      <c r="Q778" s="8" t="s">
        <v>40</v>
      </c>
      <c r="R778" s="10" t="s">
        <v>4929</v>
      </c>
      <c r="S778" s="11"/>
      <c r="T778" s="6"/>
      <c r="U778" s="15" t="str">
        <f>HYPERLINK("https://media.infra-m.ru/2214/2214963/cover/2214963.jpg", "Обложка")</f>
        <v>Обложка</v>
      </c>
      <c r="V778" s="8" t="s">
        <v>588</v>
      </c>
      <c r="W778" s="6"/>
      <c r="X778" s="6"/>
      <c r="Y778" s="6"/>
      <c r="Z778" s="6"/>
      <c r="AA778" s="6" t="s">
        <v>718</v>
      </c>
      <c r="AB778" s="8"/>
      <c r="AC778" s="27">
        <v>9785160060972</v>
      </c>
    </row>
    <row r="779" spans="1:29" s="4" customFormat="1" ht="51.9" customHeight="1" x14ac:dyDescent="0.2">
      <c r="A779" s="5">
        <v>0</v>
      </c>
      <c r="B779" s="6" t="s">
        <v>4930</v>
      </c>
      <c r="C779" s="7">
        <v>1948.8</v>
      </c>
      <c r="D779" s="8" t="s">
        <v>4931</v>
      </c>
      <c r="E779" s="8" t="s">
        <v>4932</v>
      </c>
      <c r="F779" s="8" t="s">
        <v>4933</v>
      </c>
      <c r="G779" s="6" t="s">
        <v>118</v>
      </c>
      <c r="H779" s="6" t="s">
        <v>48</v>
      </c>
      <c r="I779" s="8" t="s">
        <v>263</v>
      </c>
      <c r="J779" s="9">
        <v>1</v>
      </c>
      <c r="K779" s="9">
        <v>280</v>
      </c>
      <c r="L779" s="9">
        <v>2027</v>
      </c>
      <c r="M779" s="8" t="s">
        <v>4934</v>
      </c>
      <c r="N779" s="8" t="s">
        <v>243</v>
      </c>
      <c r="O779" s="8" t="s">
        <v>964</v>
      </c>
      <c r="P779" s="6" t="s">
        <v>306</v>
      </c>
      <c r="Q779" s="8" t="s">
        <v>265</v>
      </c>
      <c r="R779" s="10" t="s">
        <v>4935</v>
      </c>
      <c r="S779" s="11" t="s">
        <v>4936</v>
      </c>
      <c r="T779" s="6"/>
      <c r="U779" s="15" t="str">
        <f>HYPERLINK("https://media.infra-m.ru/2265/2265973/cover/2265973.jpg", "Обложка")</f>
        <v>Обложка</v>
      </c>
      <c r="V779" s="8" t="s">
        <v>831</v>
      </c>
      <c r="W779" s="6"/>
      <c r="X779" s="6"/>
      <c r="Y779" s="6"/>
      <c r="Z779" s="6" t="s">
        <v>267</v>
      </c>
      <c r="AA779" s="6" t="s">
        <v>258</v>
      </c>
      <c r="AB779" s="8"/>
      <c r="AC779" s="27">
        <v>9785000916766</v>
      </c>
    </row>
    <row r="780" spans="1:29" s="4" customFormat="1" ht="51.9" customHeight="1" x14ac:dyDescent="0.2">
      <c r="A780" s="5">
        <v>0</v>
      </c>
      <c r="B780" s="6" t="s">
        <v>4937</v>
      </c>
      <c r="C780" s="7">
        <v>1008</v>
      </c>
      <c r="D780" s="8" t="s">
        <v>4938</v>
      </c>
      <c r="E780" s="8" t="s">
        <v>4939</v>
      </c>
      <c r="F780" s="8" t="s">
        <v>4940</v>
      </c>
      <c r="G780" s="6" t="s">
        <v>118</v>
      </c>
      <c r="H780" s="6" t="s">
        <v>34</v>
      </c>
      <c r="I780" s="8" t="s">
        <v>35</v>
      </c>
      <c r="J780" s="9">
        <v>1</v>
      </c>
      <c r="K780" s="9">
        <v>219</v>
      </c>
      <c r="L780" s="9">
        <v>2022</v>
      </c>
      <c r="M780" s="8" t="s">
        <v>4941</v>
      </c>
      <c r="N780" s="8" t="s">
        <v>37</v>
      </c>
      <c r="O780" s="8" t="s">
        <v>83</v>
      </c>
      <c r="P780" s="6" t="s">
        <v>39</v>
      </c>
      <c r="Q780" s="8" t="s">
        <v>40</v>
      </c>
      <c r="R780" s="10" t="s">
        <v>4942</v>
      </c>
      <c r="S780" s="11"/>
      <c r="T780" s="6"/>
      <c r="U780" s="15" t="str">
        <f>HYPERLINK("https://media.infra-m.ru/1864/1864073/cover/1864073.jpg", "Обложка")</f>
        <v>Обложка</v>
      </c>
      <c r="V780" s="8" t="s">
        <v>4943</v>
      </c>
      <c r="W780" s="6"/>
      <c r="X780" s="6"/>
      <c r="Y780" s="6"/>
      <c r="Z780" s="6"/>
      <c r="AA780" s="6" t="s">
        <v>258</v>
      </c>
      <c r="AB780" s="8"/>
      <c r="AC780" s="27">
        <v>9785160168425</v>
      </c>
    </row>
    <row r="781" spans="1:29" s="4" customFormat="1" ht="51.9" customHeight="1" x14ac:dyDescent="0.2">
      <c r="A781" s="5">
        <v>0</v>
      </c>
      <c r="B781" s="6" t="s">
        <v>4944</v>
      </c>
      <c r="C781" s="13">
        <v>876</v>
      </c>
      <c r="D781" s="8" t="s">
        <v>4945</v>
      </c>
      <c r="E781" s="8" t="s">
        <v>4946</v>
      </c>
      <c r="F781" s="8" t="s">
        <v>4940</v>
      </c>
      <c r="G781" s="6" t="s">
        <v>118</v>
      </c>
      <c r="H781" s="6" t="s">
        <v>34</v>
      </c>
      <c r="I781" s="8" t="s">
        <v>35</v>
      </c>
      <c r="J781" s="9">
        <v>1</v>
      </c>
      <c r="K781" s="9">
        <v>196</v>
      </c>
      <c r="L781" s="9">
        <v>2021</v>
      </c>
      <c r="M781" s="8" t="s">
        <v>4947</v>
      </c>
      <c r="N781" s="8" t="s">
        <v>37</v>
      </c>
      <c r="O781" s="8" t="s">
        <v>83</v>
      </c>
      <c r="P781" s="6" t="s">
        <v>39</v>
      </c>
      <c r="Q781" s="8" t="s">
        <v>40</v>
      </c>
      <c r="R781" s="10" t="s">
        <v>4942</v>
      </c>
      <c r="S781" s="11"/>
      <c r="T781" s="6"/>
      <c r="U781" s="15" t="str">
        <f>HYPERLINK("https://media.infra-m.ru/1242/1242221/cover/1242221.jpg", "Обложка")</f>
        <v>Обложка</v>
      </c>
      <c r="V781" s="8" t="s">
        <v>4943</v>
      </c>
      <c r="W781" s="6"/>
      <c r="X781" s="6"/>
      <c r="Y781" s="6"/>
      <c r="Z781" s="6"/>
      <c r="AA781" s="6" t="s">
        <v>1256</v>
      </c>
      <c r="AB781" s="8"/>
      <c r="AC781" s="27">
        <v>9785160154503</v>
      </c>
    </row>
    <row r="782" spans="1:29" s="4" customFormat="1" ht="42" customHeight="1" x14ac:dyDescent="0.2">
      <c r="A782" s="5">
        <v>0</v>
      </c>
      <c r="B782" s="6" t="s">
        <v>4948</v>
      </c>
      <c r="C782" s="13">
        <v>892.8</v>
      </c>
      <c r="D782" s="8" t="s">
        <v>4949</v>
      </c>
      <c r="E782" s="8" t="s">
        <v>4950</v>
      </c>
      <c r="F782" s="8" t="s">
        <v>4951</v>
      </c>
      <c r="G782" s="6" t="s">
        <v>33</v>
      </c>
      <c r="H782" s="6" t="s">
        <v>134</v>
      </c>
      <c r="I782" s="8"/>
      <c r="J782" s="9">
        <v>1</v>
      </c>
      <c r="K782" s="9">
        <v>128</v>
      </c>
      <c r="L782" s="9">
        <v>2026</v>
      </c>
      <c r="M782" s="8" t="s">
        <v>4952</v>
      </c>
      <c r="N782" s="8" t="s">
        <v>37</v>
      </c>
      <c r="O782" s="8" t="s">
        <v>136</v>
      </c>
      <c r="P782" s="6" t="s">
        <v>39</v>
      </c>
      <c r="Q782" s="8" t="s">
        <v>40</v>
      </c>
      <c r="R782" s="10" t="s">
        <v>1625</v>
      </c>
      <c r="S782" s="11"/>
      <c r="T782" s="6"/>
      <c r="U782" s="15" t="str">
        <f>HYPERLINK("https://media.infra-m.ru/2244/2244259/cover/2244259.jpg", "Обложка")</f>
        <v>Обложка</v>
      </c>
      <c r="V782" s="8" t="s">
        <v>1184</v>
      </c>
      <c r="W782" s="6"/>
      <c r="X782" s="6"/>
      <c r="Y782" s="6"/>
      <c r="Z782" s="6"/>
      <c r="AA782" s="6" t="s">
        <v>1506</v>
      </c>
      <c r="AB782" s="8"/>
      <c r="AC782" s="27">
        <v>9785917688558</v>
      </c>
    </row>
    <row r="783" spans="1:29" s="4" customFormat="1" ht="51.9" customHeight="1" x14ac:dyDescent="0.2">
      <c r="A783" s="5">
        <v>0</v>
      </c>
      <c r="B783" s="6" t="s">
        <v>4953</v>
      </c>
      <c r="C783" s="7">
        <v>2004</v>
      </c>
      <c r="D783" s="8" t="s">
        <v>4954</v>
      </c>
      <c r="E783" s="8" t="s">
        <v>4955</v>
      </c>
      <c r="F783" s="8" t="s">
        <v>4956</v>
      </c>
      <c r="G783" s="6" t="s">
        <v>118</v>
      </c>
      <c r="H783" s="6" t="s">
        <v>34</v>
      </c>
      <c r="I783" s="8"/>
      <c r="J783" s="9">
        <v>1</v>
      </c>
      <c r="K783" s="9">
        <v>320</v>
      </c>
      <c r="L783" s="9">
        <v>2025</v>
      </c>
      <c r="M783" s="8" t="s">
        <v>4957</v>
      </c>
      <c r="N783" s="8" t="s">
        <v>37</v>
      </c>
      <c r="O783" s="8" t="s">
        <v>136</v>
      </c>
      <c r="P783" s="6" t="s">
        <v>39</v>
      </c>
      <c r="Q783" s="8" t="s">
        <v>40</v>
      </c>
      <c r="R783" s="10" t="s">
        <v>4881</v>
      </c>
      <c r="S783" s="11"/>
      <c r="T783" s="6"/>
      <c r="U783" s="15" t="str">
        <f>HYPERLINK("https://media.infra-m.ru/2203/2203360/cover/2203360.jpg", "Обложка")</f>
        <v>Обложка</v>
      </c>
      <c r="V783" s="8" t="s">
        <v>138</v>
      </c>
      <c r="W783" s="6"/>
      <c r="X783" s="6"/>
      <c r="Y783" s="6"/>
      <c r="Z783" s="6"/>
      <c r="AA783" s="6" t="s">
        <v>86</v>
      </c>
      <c r="AB783" s="8"/>
      <c r="AC783" s="27">
        <v>9785160137315</v>
      </c>
    </row>
    <row r="784" spans="1:29" s="4" customFormat="1" ht="42" customHeight="1" x14ac:dyDescent="0.2">
      <c r="A784" s="5">
        <v>0</v>
      </c>
      <c r="B784" s="6" t="s">
        <v>4958</v>
      </c>
      <c r="C784" s="7">
        <v>2244</v>
      </c>
      <c r="D784" s="8" t="s">
        <v>4959</v>
      </c>
      <c r="E784" s="8" t="s">
        <v>4960</v>
      </c>
      <c r="F784" s="8" t="s">
        <v>4961</v>
      </c>
      <c r="G784" s="6" t="s">
        <v>60</v>
      </c>
      <c r="H784" s="6" t="s">
        <v>34</v>
      </c>
      <c r="I784" s="8" t="s">
        <v>2518</v>
      </c>
      <c r="J784" s="9">
        <v>1</v>
      </c>
      <c r="K784" s="9">
        <v>366</v>
      </c>
      <c r="L784" s="9">
        <v>2025</v>
      </c>
      <c r="M784" s="8" t="s">
        <v>4962</v>
      </c>
      <c r="N784" s="8" t="s">
        <v>585</v>
      </c>
      <c r="O784" s="8" t="s">
        <v>2472</v>
      </c>
      <c r="P784" s="6" t="s">
        <v>51</v>
      </c>
      <c r="Q784" s="8" t="s">
        <v>265</v>
      </c>
      <c r="R784" s="10" t="s">
        <v>4963</v>
      </c>
      <c r="S784" s="11"/>
      <c r="T784" s="6"/>
      <c r="U784" s="15" t="str">
        <f>HYPERLINK("https://media.infra-m.ru/2169/2169858/cover/2169858.jpg", "Обложка")</f>
        <v>Обложка</v>
      </c>
      <c r="V784" s="8" t="s">
        <v>1132</v>
      </c>
      <c r="W784" s="6"/>
      <c r="X784" s="6"/>
      <c r="Y784" s="6"/>
      <c r="Z784" s="6" t="s">
        <v>267</v>
      </c>
      <c r="AA784" s="6" t="s">
        <v>68</v>
      </c>
      <c r="AB784" s="8"/>
      <c r="AC784" s="27">
        <v>9785160203461</v>
      </c>
    </row>
    <row r="785" spans="1:29" s="4" customFormat="1" ht="51.9" customHeight="1" x14ac:dyDescent="0.2">
      <c r="A785" s="5">
        <v>0</v>
      </c>
      <c r="B785" s="6" t="s">
        <v>4964</v>
      </c>
      <c r="C785" s="7">
        <v>2560.8000000000002</v>
      </c>
      <c r="D785" s="8" t="s">
        <v>4965</v>
      </c>
      <c r="E785" s="8" t="s">
        <v>4960</v>
      </c>
      <c r="F785" s="8" t="s">
        <v>4961</v>
      </c>
      <c r="G785" s="6" t="s">
        <v>60</v>
      </c>
      <c r="H785" s="6" t="s">
        <v>34</v>
      </c>
      <c r="I785" s="8" t="s">
        <v>1128</v>
      </c>
      <c r="J785" s="9">
        <v>1</v>
      </c>
      <c r="K785" s="9">
        <v>366</v>
      </c>
      <c r="L785" s="9">
        <v>2027</v>
      </c>
      <c r="M785" s="8" t="s">
        <v>4966</v>
      </c>
      <c r="N785" s="8" t="s">
        <v>585</v>
      </c>
      <c r="O785" s="8" t="s">
        <v>2472</v>
      </c>
      <c r="P785" s="6" t="s">
        <v>51</v>
      </c>
      <c r="Q785" s="8" t="s">
        <v>52</v>
      </c>
      <c r="R785" s="10" t="s">
        <v>4967</v>
      </c>
      <c r="S785" s="11" t="s">
        <v>4968</v>
      </c>
      <c r="T785" s="6"/>
      <c r="U785" s="15" t="str">
        <f>HYPERLINK("https://media.infra-m.ru/2271/2271105/cover/2271105.jpg", "Обложка")</f>
        <v>Обложка</v>
      </c>
      <c r="V785" s="8" t="s">
        <v>1132</v>
      </c>
      <c r="W785" s="6"/>
      <c r="X785" s="6"/>
      <c r="Y785" s="6"/>
      <c r="Z785" s="6"/>
      <c r="AA785" s="6" t="s">
        <v>76</v>
      </c>
      <c r="AB785" s="8"/>
      <c r="AC785" s="27">
        <v>9785160194851</v>
      </c>
    </row>
    <row r="786" spans="1:29" s="4" customFormat="1" ht="51.9" customHeight="1" x14ac:dyDescent="0.2">
      <c r="A786" s="5">
        <v>0</v>
      </c>
      <c r="B786" s="6" t="s">
        <v>4969</v>
      </c>
      <c r="C786" s="7">
        <v>2328</v>
      </c>
      <c r="D786" s="8" t="s">
        <v>4970</v>
      </c>
      <c r="E786" s="8" t="s">
        <v>4971</v>
      </c>
      <c r="F786" s="8" t="s">
        <v>4972</v>
      </c>
      <c r="G786" s="6" t="s">
        <v>118</v>
      </c>
      <c r="H786" s="6" t="s">
        <v>34</v>
      </c>
      <c r="I786" s="8" t="s">
        <v>253</v>
      </c>
      <c r="J786" s="9">
        <v>1</v>
      </c>
      <c r="K786" s="9">
        <v>351</v>
      </c>
      <c r="L786" s="9">
        <v>2026</v>
      </c>
      <c r="M786" s="8" t="s">
        <v>4973</v>
      </c>
      <c r="N786" s="8" t="s">
        <v>585</v>
      </c>
      <c r="O786" s="8" t="s">
        <v>2472</v>
      </c>
      <c r="P786" s="6" t="s">
        <v>51</v>
      </c>
      <c r="Q786" s="8" t="s">
        <v>52</v>
      </c>
      <c r="R786" s="10" t="s">
        <v>4974</v>
      </c>
      <c r="S786" s="11" t="s">
        <v>4975</v>
      </c>
      <c r="T786" s="6"/>
      <c r="U786" s="15" t="str">
        <f>HYPERLINK("https://media.infra-m.ru/2225/2225039/cover/2225039.jpg", "Обложка")</f>
        <v>Обложка</v>
      </c>
      <c r="V786" s="8" t="s">
        <v>4976</v>
      </c>
      <c r="W786" s="6"/>
      <c r="X786" s="6"/>
      <c r="Y786" s="6"/>
      <c r="Z786" s="6"/>
      <c r="AA786" s="6" t="s">
        <v>1256</v>
      </c>
      <c r="AB786" s="8"/>
      <c r="AC786" s="27">
        <v>9785160214436</v>
      </c>
    </row>
    <row r="787" spans="1:29" s="4" customFormat="1" ht="51.9" customHeight="1" x14ac:dyDescent="0.2">
      <c r="A787" s="5">
        <v>0</v>
      </c>
      <c r="B787" s="6" t="s">
        <v>4977</v>
      </c>
      <c r="C787" s="7">
        <v>2316</v>
      </c>
      <c r="D787" s="8" t="s">
        <v>4978</v>
      </c>
      <c r="E787" s="8" t="s">
        <v>4971</v>
      </c>
      <c r="F787" s="8" t="s">
        <v>4972</v>
      </c>
      <c r="G787" s="6" t="s">
        <v>118</v>
      </c>
      <c r="H787" s="6" t="s">
        <v>34</v>
      </c>
      <c r="I787" s="8" t="s">
        <v>263</v>
      </c>
      <c r="J787" s="9">
        <v>1</v>
      </c>
      <c r="K787" s="9">
        <v>351</v>
      </c>
      <c r="L787" s="9">
        <v>2026</v>
      </c>
      <c r="M787" s="8" t="s">
        <v>4979</v>
      </c>
      <c r="N787" s="8" t="s">
        <v>585</v>
      </c>
      <c r="O787" s="8" t="s">
        <v>2472</v>
      </c>
      <c r="P787" s="6" t="s">
        <v>51</v>
      </c>
      <c r="Q787" s="8" t="s">
        <v>265</v>
      </c>
      <c r="R787" s="10" t="s">
        <v>4980</v>
      </c>
      <c r="S787" s="11" t="s">
        <v>4981</v>
      </c>
      <c r="T787" s="6"/>
      <c r="U787" s="15" t="str">
        <f>HYPERLINK("https://media.infra-m.ru/2231/2231588/cover/2231588.jpg", "Обложка")</f>
        <v>Обложка</v>
      </c>
      <c r="V787" s="8" t="s">
        <v>4976</v>
      </c>
      <c r="W787" s="6"/>
      <c r="X787" s="6"/>
      <c r="Y787" s="6"/>
      <c r="Z787" s="6" t="s">
        <v>267</v>
      </c>
      <c r="AA787" s="6" t="s">
        <v>1256</v>
      </c>
      <c r="AB787" s="8"/>
      <c r="AC787" s="27">
        <v>9785160161617</v>
      </c>
    </row>
    <row r="788" spans="1:29" s="4" customFormat="1" ht="51.9" customHeight="1" x14ac:dyDescent="0.2">
      <c r="A788" s="5">
        <v>0</v>
      </c>
      <c r="B788" s="6" t="s">
        <v>4982</v>
      </c>
      <c r="C788" s="13">
        <v>760.8</v>
      </c>
      <c r="D788" s="8" t="s">
        <v>4983</v>
      </c>
      <c r="E788" s="8" t="s">
        <v>4984</v>
      </c>
      <c r="F788" s="8" t="s">
        <v>1960</v>
      </c>
      <c r="G788" s="6" t="s">
        <v>33</v>
      </c>
      <c r="H788" s="6" t="s">
        <v>34</v>
      </c>
      <c r="I788" s="8" t="s">
        <v>35</v>
      </c>
      <c r="J788" s="9">
        <v>1</v>
      </c>
      <c r="K788" s="9">
        <v>115</v>
      </c>
      <c r="L788" s="9">
        <v>2026</v>
      </c>
      <c r="M788" s="8" t="s">
        <v>4985</v>
      </c>
      <c r="N788" s="8" t="s">
        <v>63</v>
      </c>
      <c r="O788" s="8" t="s">
        <v>126</v>
      </c>
      <c r="P788" s="6" t="s">
        <v>39</v>
      </c>
      <c r="Q788" s="8" t="s">
        <v>40</v>
      </c>
      <c r="R788" s="10" t="s">
        <v>4986</v>
      </c>
      <c r="S788" s="11"/>
      <c r="T788" s="6"/>
      <c r="U788" s="15" t="str">
        <f>HYPERLINK("https://media.infra-m.ru/2218/2218819/cover/2218819.jpg", "Обложка")</f>
        <v>Обложка</v>
      </c>
      <c r="V788" s="8" t="s">
        <v>227</v>
      </c>
      <c r="W788" s="6"/>
      <c r="X788" s="6"/>
      <c r="Y788" s="6"/>
      <c r="Z788" s="6"/>
      <c r="AA788" s="6" t="s">
        <v>779</v>
      </c>
      <c r="AB788" s="8"/>
      <c r="AC788" s="27">
        <v>9785160112824</v>
      </c>
    </row>
    <row r="789" spans="1:29" s="4" customFormat="1" ht="44.1" customHeight="1" x14ac:dyDescent="0.2">
      <c r="A789" s="5">
        <v>0</v>
      </c>
      <c r="B789" s="6" t="s">
        <v>4987</v>
      </c>
      <c r="C789" s="7">
        <v>1392</v>
      </c>
      <c r="D789" s="8" t="s">
        <v>4988</v>
      </c>
      <c r="E789" s="8" t="s">
        <v>4989</v>
      </c>
      <c r="F789" s="8" t="s">
        <v>4990</v>
      </c>
      <c r="G789" s="6" t="s">
        <v>33</v>
      </c>
      <c r="H789" s="6" t="s">
        <v>34</v>
      </c>
      <c r="I789" s="8"/>
      <c r="J789" s="9">
        <v>1</v>
      </c>
      <c r="K789" s="9">
        <v>200</v>
      </c>
      <c r="L789" s="9">
        <v>2027</v>
      </c>
      <c r="M789" s="8" t="s">
        <v>4991</v>
      </c>
      <c r="N789" s="8" t="s">
        <v>37</v>
      </c>
      <c r="O789" s="8" t="s">
        <v>499</v>
      </c>
      <c r="P789" s="6" t="s">
        <v>39</v>
      </c>
      <c r="Q789" s="8" t="s">
        <v>40</v>
      </c>
      <c r="R789" s="10" t="s">
        <v>4992</v>
      </c>
      <c r="S789" s="11"/>
      <c r="T789" s="6"/>
      <c r="U789" s="15" t="str">
        <f>HYPERLINK("https://media.infra-m.ru/2233/2233688/cover/2233688.jpg", "Обложка")</f>
        <v>Обложка</v>
      </c>
      <c r="V789" s="8" t="s">
        <v>958</v>
      </c>
      <c r="W789" s="6"/>
      <c r="X789" s="6"/>
      <c r="Y789" s="6"/>
      <c r="Z789" s="6"/>
      <c r="AA789" s="6" t="s">
        <v>274</v>
      </c>
      <c r="AB789" s="8"/>
      <c r="AC789" s="27">
        <v>9785160222752</v>
      </c>
    </row>
    <row r="790" spans="1:29" s="4" customFormat="1" ht="51.9" customHeight="1" x14ac:dyDescent="0.2">
      <c r="A790" s="5">
        <v>0</v>
      </c>
      <c r="B790" s="6" t="s">
        <v>4993</v>
      </c>
      <c r="C790" s="7">
        <v>2200.8000000000002</v>
      </c>
      <c r="D790" s="8" t="s">
        <v>4994</v>
      </c>
      <c r="E790" s="8" t="s">
        <v>4995</v>
      </c>
      <c r="F790" s="8" t="s">
        <v>4996</v>
      </c>
      <c r="G790" s="6" t="s">
        <v>118</v>
      </c>
      <c r="H790" s="6" t="s">
        <v>313</v>
      </c>
      <c r="I790" s="8" t="s">
        <v>253</v>
      </c>
      <c r="J790" s="9">
        <v>1</v>
      </c>
      <c r="K790" s="9">
        <v>316</v>
      </c>
      <c r="L790" s="9">
        <v>2026</v>
      </c>
      <c r="M790" s="8" t="s">
        <v>4997</v>
      </c>
      <c r="N790" s="8" t="s">
        <v>37</v>
      </c>
      <c r="O790" s="8" t="s">
        <v>499</v>
      </c>
      <c r="P790" s="6" t="s">
        <v>306</v>
      </c>
      <c r="Q790" s="8" t="s">
        <v>65</v>
      </c>
      <c r="R790" s="10" t="s">
        <v>4998</v>
      </c>
      <c r="S790" s="11" t="s">
        <v>4999</v>
      </c>
      <c r="T790" s="6"/>
      <c r="U790" s="15" t="str">
        <f>HYPERLINK("https://media.infra-m.ru/2262/2262012/cover/2262012.jpg", "Обложка")</f>
        <v>Обложка</v>
      </c>
      <c r="V790" s="8" t="s">
        <v>657</v>
      </c>
      <c r="W790" s="6"/>
      <c r="X790" s="6"/>
      <c r="Y790" s="6"/>
      <c r="Z790" s="6"/>
      <c r="AA790" s="6" t="s">
        <v>248</v>
      </c>
      <c r="AB790" s="8"/>
      <c r="AC790" s="27">
        <v>9785369019344</v>
      </c>
    </row>
    <row r="791" spans="1:29" s="4" customFormat="1" ht="42" customHeight="1" x14ac:dyDescent="0.2">
      <c r="A791" s="5">
        <v>0</v>
      </c>
      <c r="B791" s="6" t="s">
        <v>5000</v>
      </c>
      <c r="C791" s="7">
        <v>1092</v>
      </c>
      <c r="D791" s="8" t="s">
        <v>5001</v>
      </c>
      <c r="E791" s="8" t="s">
        <v>5002</v>
      </c>
      <c r="F791" s="8" t="s">
        <v>5003</v>
      </c>
      <c r="G791" s="6" t="s">
        <v>33</v>
      </c>
      <c r="H791" s="6" t="s">
        <v>313</v>
      </c>
      <c r="I791" s="8" t="s">
        <v>253</v>
      </c>
      <c r="J791" s="9">
        <v>1</v>
      </c>
      <c r="K791" s="9">
        <v>176</v>
      </c>
      <c r="L791" s="9">
        <v>2025</v>
      </c>
      <c r="M791" s="8" t="s">
        <v>5004</v>
      </c>
      <c r="N791" s="8" t="s">
        <v>37</v>
      </c>
      <c r="O791" s="8" t="s">
        <v>280</v>
      </c>
      <c r="P791" s="6" t="s">
        <v>51</v>
      </c>
      <c r="Q791" s="8" t="s">
        <v>65</v>
      </c>
      <c r="R791" s="10" t="s">
        <v>5005</v>
      </c>
      <c r="S791" s="11"/>
      <c r="T791" s="6"/>
      <c r="U791" s="15" t="str">
        <f>HYPERLINK("https://media.infra-m.ru/2172/2172559/cover/2172559.jpg", "Обложка")</f>
        <v>Обложка</v>
      </c>
      <c r="V791" s="8"/>
      <c r="W791" s="6"/>
      <c r="X791" s="6"/>
      <c r="Y791" s="6"/>
      <c r="Z791" s="6"/>
      <c r="AA791" s="6" t="s">
        <v>99</v>
      </c>
      <c r="AB791" s="8"/>
      <c r="AC791" s="27">
        <v>9785369016145</v>
      </c>
    </row>
    <row r="792" spans="1:29" s="4" customFormat="1" ht="51.9" customHeight="1" x14ac:dyDescent="0.2">
      <c r="A792" s="5">
        <v>0</v>
      </c>
      <c r="B792" s="6" t="s">
        <v>5006</v>
      </c>
      <c r="C792" s="7">
        <v>1080</v>
      </c>
      <c r="D792" s="8" t="s">
        <v>5007</v>
      </c>
      <c r="E792" s="8" t="s">
        <v>5008</v>
      </c>
      <c r="F792" s="8" t="s">
        <v>5009</v>
      </c>
      <c r="G792" s="6" t="s">
        <v>33</v>
      </c>
      <c r="H792" s="6" t="s">
        <v>34</v>
      </c>
      <c r="I792" s="8" t="s">
        <v>35</v>
      </c>
      <c r="J792" s="9">
        <v>1</v>
      </c>
      <c r="K792" s="9">
        <v>186</v>
      </c>
      <c r="L792" s="9">
        <v>2024</v>
      </c>
      <c r="M792" s="8" t="s">
        <v>5010</v>
      </c>
      <c r="N792" s="8" t="s">
        <v>37</v>
      </c>
      <c r="O792" s="8" t="s">
        <v>233</v>
      </c>
      <c r="P792" s="6" t="s">
        <v>39</v>
      </c>
      <c r="Q792" s="8" t="s">
        <v>40</v>
      </c>
      <c r="R792" s="10" t="s">
        <v>5011</v>
      </c>
      <c r="S792" s="11"/>
      <c r="T792" s="6"/>
      <c r="U792" s="15" t="str">
        <f>HYPERLINK("https://media.infra-m.ru/2127/2127020/cover/2127020.jpg", "Обложка")</f>
        <v>Обложка</v>
      </c>
      <c r="V792" s="8" t="s">
        <v>657</v>
      </c>
      <c r="W792" s="6"/>
      <c r="X792" s="6"/>
      <c r="Y792" s="6"/>
      <c r="Z792" s="6"/>
      <c r="AA792" s="6" t="s">
        <v>76</v>
      </c>
      <c r="AB792" s="8"/>
      <c r="AC792" s="27">
        <v>9785160195513</v>
      </c>
    </row>
    <row r="793" spans="1:29" s="4" customFormat="1" ht="42" customHeight="1" x14ac:dyDescent="0.2">
      <c r="A793" s="5">
        <v>0</v>
      </c>
      <c r="B793" s="6" t="s">
        <v>5012</v>
      </c>
      <c r="C793" s="7">
        <v>1228.8</v>
      </c>
      <c r="D793" s="8" t="s">
        <v>5013</v>
      </c>
      <c r="E793" s="8" t="s">
        <v>5014</v>
      </c>
      <c r="F793" s="8" t="s">
        <v>5015</v>
      </c>
      <c r="G793" s="6" t="s">
        <v>118</v>
      </c>
      <c r="H793" s="6" t="s">
        <v>34</v>
      </c>
      <c r="I793" s="8"/>
      <c r="J793" s="9">
        <v>1</v>
      </c>
      <c r="K793" s="9">
        <v>176</v>
      </c>
      <c r="L793" s="9">
        <v>2027</v>
      </c>
      <c r="M793" s="8" t="s">
        <v>5016</v>
      </c>
      <c r="N793" s="8" t="s">
        <v>37</v>
      </c>
      <c r="O793" s="8" t="s">
        <v>136</v>
      </c>
      <c r="P793" s="6" t="s">
        <v>182</v>
      </c>
      <c r="Q793" s="8" t="s">
        <v>40</v>
      </c>
      <c r="R793" s="10" t="s">
        <v>684</v>
      </c>
      <c r="S793" s="11"/>
      <c r="T793" s="6"/>
      <c r="U793" s="15" t="str">
        <f>HYPERLINK("https://media.infra-m.ru/2271/2271221/cover/2271221.jpg", "Обложка")</f>
        <v>Обложка</v>
      </c>
      <c r="V793" s="8" t="s">
        <v>138</v>
      </c>
      <c r="W793" s="6"/>
      <c r="X793" s="6"/>
      <c r="Y793" s="6"/>
      <c r="Z793" s="6"/>
      <c r="AA793" s="6" t="s">
        <v>1256</v>
      </c>
      <c r="AB793" s="8"/>
      <c r="AC793" s="27">
        <v>9785160163611</v>
      </c>
    </row>
    <row r="794" spans="1:29" s="4" customFormat="1" ht="44.1" customHeight="1" x14ac:dyDescent="0.2">
      <c r="A794" s="5">
        <v>0</v>
      </c>
      <c r="B794" s="6" t="s">
        <v>5017</v>
      </c>
      <c r="C794" s="7">
        <v>1440</v>
      </c>
      <c r="D794" s="8" t="s">
        <v>5018</v>
      </c>
      <c r="E794" s="8" t="s">
        <v>5019</v>
      </c>
      <c r="F794" s="8" t="s">
        <v>5020</v>
      </c>
      <c r="G794" s="6" t="s">
        <v>33</v>
      </c>
      <c r="H794" s="6" t="s">
        <v>34</v>
      </c>
      <c r="I794" s="8" t="s">
        <v>35</v>
      </c>
      <c r="J794" s="9">
        <v>1</v>
      </c>
      <c r="K794" s="9">
        <v>229</v>
      </c>
      <c r="L794" s="9">
        <v>2025</v>
      </c>
      <c r="M794" s="8" t="s">
        <v>5021</v>
      </c>
      <c r="N794" s="8" t="s">
        <v>37</v>
      </c>
      <c r="O794" s="8" t="s">
        <v>83</v>
      </c>
      <c r="P794" s="6" t="s">
        <v>39</v>
      </c>
      <c r="Q794" s="8" t="s">
        <v>40</v>
      </c>
      <c r="R794" s="10" t="s">
        <v>5022</v>
      </c>
      <c r="S794" s="11"/>
      <c r="T794" s="6"/>
      <c r="U794" s="15" t="str">
        <f>HYPERLINK("https://media.infra-m.ru/2206/2206788/cover/2206788.jpg", "Обложка")</f>
        <v>Обложка</v>
      </c>
      <c r="V794" s="8" t="s">
        <v>657</v>
      </c>
      <c r="W794" s="6"/>
      <c r="X794" s="6"/>
      <c r="Y794" s="6"/>
      <c r="Z794" s="6"/>
      <c r="AA794" s="6" t="s">
        <v>1256</v>
      </c>
      <c r="AB794" s="8"/>
      <c r="AC794" s="27">
        <v>9785160159034</v>
      </c>
    </row>
    <row r="795" spans="1:29" s="4" customFormat="1" ht="51.9" customHeight="1" x14ac:dyDescent="0.2">
      <c r="A795" s="5">
        <v>0</v>
      </c>
      <c r="B795" s="6" t="s">
        <v>5023</v>
      </c>
      <c r="C795" s="7">
        <v>2320.8000000000002</v>
      </c>
      <c r="D795" s="8" t="s">
        <v>5024</v>
      </c>
      <c r="E795" s="8" t="s">
        <v>5025</v>
      </c>
      <c r="F795" s="8" t="s">
        <v>5026</v>
      </c>
      <c r="G795" s="6" t="s">
        <v>118</v>
      </c>
      <c r="H795" s="6" t="s">
        <v>34</v>
      </c>
      <c r="I795" s="8" t="s">
        <v>1248</v>
      </c>
      <c r="J795" s="9">
        <v>1</v>
      </c>
      <c r="K795" s="9">
        <v>352</v>
      </c>
      <c r="L795" s="9">
        <v>2026</v>
      </c>
      <c r="M795" s="8" t="s">
        <v>5027</v>
      </c>
      <c r="N795" s="8" t="s">
        <v>243</v>
      </c>
      <c r="O795" s="8" t="s">
        <v>758</v>
      </c>
      <c r="P795" s="6" t="s">
        <v>51</v>
      </c>
      <c r="Q795" s="8" t="s">
        <v>377</v>
      </c>
      <c r="R795" s="10" t="s">
        <v>5028</v>
      </c>
      <c r="S795" s="11" t="s">
        <v>5029</v>
      </c>
      <c r="T795" s="6"/>
      <c r="U795" s="15" t="str">
        <f>HYPERLINK("https://media.infra-m.ru/2246/2246845/cover/2246845.jpg", "Обложка")</f>
        <v>Обложка</v>
      </c>
      <c r="V795" s="8" t="s">
        <v>1083</v>
      </c>
      <c r="W795" s="6"/>
      <c r="X795" s="6" t="s">
        <v>24</v>
      </c>
      <c r="Y795" s="6"/>
      <c r="Z795" s="6"/>
      <c r="AA795" s="6" t="s">
        <v>274</v>
      </c>
      <c r="AB795" s="8"/>
      <c r="AC795" s="27">
        <v>9785160205038</v>
      </c>
    </row>
    <row r="796" spans="1:29" s="4" customFormat="1" ht="51.9" customHeight="1" x14ac:dyDescent="0.2">
      <c r="A796" s="5">
        <v>0</v>
      </c>
      <c r="B796" s="6" t="s">
        <v>5030</v>
      </c>
      <c r="C796" s="7">
        <v>1776</v>
      </c>
      <c r="D796" s="8" t="s">
        <v>5031</v>
      </c>
      <c r="E796" s="8" t="s">
        <v>5032</v>
      </c>
      <c r="F796" s="8" t="s">
        <v>5033</v>
      </c>
      <c r="G796" s="6" t="s">
        <v>118</v>
      </c>
      <c r="H796" s="6" t="s">
        <v>34</v>
      </c>
      <c r="I796" s="8" t="s">
        <v>1248</v>
      </c>
      <c r="J796" s="9">
        <v>1</v>
      </c>
      <c r="K796" s="9">
        <v>255</v>
      </c>
      <c r="L796" s="9">
        <v>2027</v>
      </c>
      <c r="M796" s="8" t="s">
        <v>5034</v>
      </c>
      <c r="N796" s="8" t="s">
        <v>243</v>
      </c>
      <c r="O796" s="8" t="s">
        <v>758</v>
      </c>
      <c r="P796" s="6" t="s">
        <v>51</v>
      </c>
      <c r="Q796" s="8" t="s">
        <v>377</v>
      </c>
      <c r="R796" s="10" t="s">
        <v>5035</v>
      </c>
      <c r="S796" s="11" t="s">
        <v>5036</v>
      </c>
      <c r="T796" s="6"/>
      <c r="U796" s="15" t="str">
        <f>HYPERLINK("https://media.infra-m.ru/2266/2266516/cover/2266516.jpg", "Обложка")</f>
        <v>Обложка</v>
      </c>
      <c r="V796" s="8" t="s">
        <v>1083</v>
      </c>
      <c r="W796" s="6"/>
      <c r="X796" s="6"/>
      <c r="Y796" s="6"/>
      <c r="Z796" s="6"/>
      <c r="AA796" s="6" t="s">
        <v>404</v>
      </c>
      <c r="AB796" s="8"/>
      <c r="AC796" s="27">
        <v>9785160210698</v>
      </c>
    </row>
    <row r="797" spans="1:29" s="4" customFormat="1" ht="51.9" customHeight="1" x14ac:dyDescent="0.2">
      <c r="A797" s="5">
        <v>0</v>
      </c>
      <c r="B797" s="6" t="s">
        <v>5037</v>
      </c>
      <c r="C797" s="7">
        <v>1816.8</v>
      </c>
      <c r="D797" s="8" t="s">
        <v>5038</v>
      </c>
      <c r="E797" s="8" t="s">
        <v>5039</v>
      </c>
      <c r="F797" s="8" t="s">
        <v>5040</v>
      </c>
      <c r="G797" s="6" t="s">
        <v>60</v>
      </c>
      <c r="H797" s="6" t="s">
        <v>313</v>
      </c>
      <c r="I797" s="8" t="s">
        <v>253</v>
      </c>
      <c r="J797" s="9">
        <v>1</v>
      </c>
      <c r="K797" s="9">
        <v>242</v>
      </c>
      <c r="L797" s="9">
        <v>2026</v>
      </c>
      <c r="M797" s="8" t="s">
        <v>5041</v>
      </c>
      <c r="N797" s="8" t="s">
        <v>37</v>
      </c>
      <c r="O797" s="8" t="s">
        <v>233</v>
      </c>
      <c r="P797" s="6" t="s">
        <v>51</v>
      </c>
      <c r="Q797" s="8" t="s">
        <v>52</v>
      </c>
      <c r="R797" s="10" t="s">
        <v>5042</v>
      </c>
      <c r="S797" s="11"/>
      <c r="T797" s="6"/>
      <c r="U797" s="15" t="str">
        <f>HYPERLINK("https://media.infra-m.ru/2224/2224171/cover/2224171.jpg", "Обложка")</f>
        <v>Обложка</v>
      </c>
      <c r="V797" s="8" t="s">
        <v>227</v>
      </c>
      <c r="W797" s="6"/>
      <c r="X797" s="6"/>
      <c r="Y797" s="6"/>
      <c r="Z797" s="6"/>
      <c r="AA797" s="6" t="s">
        <v>779</v>
      </c>
      <c r="AB797" s="8"/>
      <c r="AC797" s="27">
        <v>9785369015216</v>
      </c>
    </row>
    <row r="798" spans="1:29" s="4" customFormat="1" ht="42" customHeight="1" x14ac:dyDescent="0.2">
      <c r="A798" s="5">
        <v>0</v>
      </c>
      <c r="B798" s="6" t="s">
        <v>5043</v>
      </c>
      <c r="C798" s="7">
        <v>1920</v>
      </c>
      <c r="D798" s="8" t="s">
        <v>5044</v>
      </c>
      <c r="E798" s="8" t="s">
        <v>5045</v>
      </c>
      <c r="F798" s="8" t="s">
        <v>5046</v>
      </c>
      <c r="G798" s="6" t="s">
        <v>60</v>
      </c>
      <c r="H798" s="6" t="s">
        <v>34</v>
      </c>
      <c r="I798" s="8" t="s">
        <v>253</v>
      </c>
      <c r="J798" s="9">
        <v>1</v>
      </c>
      <c r="K798" s="9">
        <v>299</v>
      </c>
      <c r="L798" s="9">
        <v>2026</v>
      </c>
      <c r="M798" s="8" t="s">
        <v>5047</v>
      </c>
      <c r="N798" s="8" t="s">
        <v>37</v>
      </c>
      <c r="O798" s="8" t="s">
        <v>233</v>
      </c>
      <c r="P798" s="6" t="s">
        <v>306</v>
      </c>
      <c r="Q798" s="8" t="s">
        <v>52</v>
      </c>
      <c r="R798" s="10" t="s">
        <v>3008</v>
      </c>
      <c r="S798" s="11"/>
      <c r="T798" s="6"/>
      <c r="U798" s="15" t="str">
        <f>HYPERLINK("https://media.infra-m.ru/2180/2180076/cover/2180076.jpg", "Обложка")</f>
        <v>Обложка</v>
      </c>
      <c r="V798" s="8" t="s">
        <v>5048</v>
      </c>
      <c r="W798" s="6"/>
      <c r="X798" s="6"/>
      <c r="Y798" s="6"/>
      <c r="Z798" s="6"/>
      <c r="AA798" s="6" t="s">
        <v>187</v>
      </c>
      <c r="AB798" s="8"/>
      <c r="AC798" s="27">
        <v>9785160205175</v>
      </c>
    </row>
    <row r="799" spans="1:29" s="4" customFormat="1" ht="51.9" customHeight="1" x14ac:dyDescent="0.2">
      <c r="A799" s="5">
        <v>0</v>
      </c>
      <c r="B799" s="6" t="s">
        <v>5049</v>
      </c>
      <c r="C799" s="7">
        <v>1836</v>
      </c>
      <c r="D799" s="8" t="s">
        <v>5050</v>
      </c>
      <c r="E799" s="8" t="s">
        <v>5051</v>
      </c>
      <c r="F799" s="8" t="s">
        <v>5052</v>
      </c>
      <c r="G799" s="6" t="s">
        <v>118</v>
      </c>
      <c r="H799" s="6" t="s">
        <v>34</v>
      </c>
      <c r="I799" s="8" t="s">
        <v>271</v>
      </c>
      <c r="J799" s="9">
        <v>1</v>
      </c>
      <c r="K799" s="9">
        <v>340</v>
      </c>
      <c r="L799" s="9">
        <v>2023</v>
      </c>
      <c r="M799" s="8" t="s">
        <v>5053</v>
      </c>
      <c r="N799" s="8" t="s">
        <v>37</v>
      </c>
      <c r="O799" s="8" t="s">
        <v>233</v>
      </c>
      <c r="P799" s="6" t="s">
        <v>306</v>
      </c>
      <c r="Q799" s="8" t="s">
        <v>52</v>
      </c>
      <c r="R799" s="10" t="s">
        <v>5054</v>
      </c>
      <c r="S799" s="11" t="s">
        <v>768</v>
      </c>
      <c r="T799" s="6" t="s">
        <v>97</v>
      </c>
      <c r="U799" s="15" t="str">
        <f>HYPERLINK("https://media.infra-m.ru/1907/1907032/cover/1907032.jpg", "Обложка")</f>
        <v>Обложка</v>
      </c>
      <c r="V799" s="8" t="s">
        <v>1994</v>
      </c>
      <c r="W799" s="6"/>
      <c r="X799" s="6"/>
      <c r="Y799" s="6"/>
      <c r="Z799" s="6"/>
      <c r="AA799" s="6" t="s">
        <v>99</v>
      </c>
      <c r="AB799" s="8"/>
      <c r="AC799" s="27">
        <v>9785160118819</v>
      </c>
    </row>
    <row r="800" spans="1:29" s="4" customFormat="1" ht="51.9" customHeight="1" x14ac:dyDescent="0.2">
      <c r="A800" s="5">
        <v>0</v>
      </c>
      <c r="B800" s="6" t="s">
        <v>5055</v>
      </c>
      <c r="C800" s="7">
        <v>3240</v>
      </c>
      <c r="D800" s="8" t="s">
        <v>5056</v>
      </c>
      <c r="E800" s="8" t="s">
        <v>5057</v>
      </c>
      <c r="F800" s="8" t="s">
        <v>5052</v>
      </c>
      <c r="G800" s="6" t="s">
        <v>60</v>
      </c>
      <c r="H800" s="6" t="s">
        <v>34</v>
      </c>
      <c r="I800" s="8" t="s">
        <v>253</v>
      </c>
      <c r="J800" s="9">
        <v>1</v>
      </c>
      <c r="K800" s="9">
        <v>459</v>
      </c>
      <c r="L800" s="9">
        <v>2025</v>
      </c>
      <c r="M800" s="8" t="s">
        <v>5058</v>
      </c>
      <c r="N800" s="8" t="s">
        <v>37</v>
      </c>
      <c r="O800" s="8" t="s">
        <v>233</v>
      </c>
      <c r="P800" s="6" t="s">
        <v>306</v>
      </c>
      <c r="Q800" s="8" t="s">
        <v>65</v>
      </c>
      <c r="R800" s="10" t="s">
        <v>5054</v>
      </c>
      <c r="S800" s="11" t="s">
        <v>5059</v>
      </c>
      <c r="T800" s="6" t="s">
        <v>97</v>
      </c>
      <c r="U800" s="15" t="str">
        <f>HYPERLINK("https://media.infra-m.ru/1991/1991034/cover/1991034.jpg", "Обложка")</f>
        <v>Обложка</v>
      </c>
      <c r="V800" s="8" t="s">
        <v>1994</v>
      </c>
      <c r="W800" s="6"/>
      <c r="X800" s="6"/>
      <c r="Y800" s="6"/>
      <c r="Z800" s="6"/>
      <c r="AA800" s="6" t="s">
        <v>917</v>
      </c>
      <c r="AB800" s="8"/>
      <c r="AC800" s="27">
        <v>9785160183886</v>
      </c>
    </row>
    <row r="801" spans="1:29" s="4" customFormat="1" ht="51.9" customHeight="1" x14ac:dyDescent="0.2">
      <c r="A801" s="5">
        <v>0</v>
      </c>
      <c r="B801" s="6" t="s">
        <v>5060</v>
      </c>
      <c r="C801" s="7">
        <v>1596</v>
      </c>
      <c r="D801" s="8" t="s">
        <v>5061</v>
      </c>
      <c r="E801" s="8" t="s">
        <v>5057</v>
      </c>
      <c r="F801" s="8" t="s">
        <v>5062</v>
      </c>
      <c r="G801" s="6" t="s">
        <v>118</v>
      </c>
      <c r="H801" s="6" t="s">
        <v>34</v>
      </c>
      <c r="I801" s="8" t="s">
        <v>2025</v>
      </c>
      <c r="J801" s="9">
        <v>1</v>
      </c>
      <c r="K801" s="9">
        <v>276</v>
      </c>
      <c r="L801" s="9">
        <v>2023</v>
      </c>
      <c r="M801" s="8" t="s">
        <v>5063</v>
      </c>
      <c r="N801" s="8" t="s">
        <v>37</v>
      </c>
      <c r="O801" s="8" t="s">
        <v>233</v>
      </c>
      <c r="P801" s="6" t="s">
        <v>51</v>
      </c>
      <c r="Q801" s="8" t="s">
        <v>52</v>
      </c>
      <c r="R801" s="10" t="s">
        <v>5054</v>
      </c>
      <c r="S801" s="11" t="s">
        <v>5064</v>
      </c>
      <c r="T801" s="6" t="s">
        <v>97</v>
      </c>
      <c r="U801" s="15" t="str">
        <f>HYPERLINK("https://media.infra-m.ru/2126/2126798/cover/2126798.jpg", "Обложка")</f>
        <v>Обложка</v>
      </c>
      <c r="V801" s="8" t="s">
        <v>5065</v>
      </c>
      <c r="W801" s="6"/>
      <c r="X801" s="6"/>
      <c r="Y801" s="6"/>
      <c r="Z801" s="6"/>
      <c r="AA801" s="6" t="s">
        <v>1303</v>
      </c>
      <c r="AB801" s="8"/>
      <c r="AC801" s="27">
        <v>9785160179421</v>
      </c>
    </row>
    <row r="802" spans="1:29" s="4" customFormat="1" ht="42" customHeight="1" x14ac:dyDescent="0.2">
      <c r="A802" s="5">
        <v>0</v>
      </c>
      <c r="B802" s="6" t="s">
        <v>5066</v>
      </c>
      <c r="C802" s="7">
        <v>1217.9000000000001</v>
      </c>
      <c r="D802" s="8" t="s">
        <v>5067</v>
      </c>
      <c r="E802" s="8" t="s">
        <v>5051</v>
      </c>
      <c r="F802" s="8" t="s">
        <v>5068</v>
      </c>
      <c r="G802" s="6" t="s">
        <v>60</v>
      </c>
      <c r="H802" s="6" t="s">
        <v>241</v>
      </c>
      <c r="I802" s="8"/>
      <c r="J802" s="9">
        <v>1</v>
      </c>
      <c r="K802" s="9">
        <v>224</v>
      </c>
      <c r="L802" s="9">
        <v>2022</v>
      </c>
      <c r="M802" s="8" t="s">
        <v>5069</v>
      </c>
      <c r="N802" s="8" t="s">
        <v>37</v>
      </c>
      <c r="O802" s="8" t="s">
        <v>233</v>
      </c>
      <c r="P802" s="6" t="s">
        <v>51</v>
      </c>
      <c r="Q802" s="8" t="s">
        <v>52</v>
      </c>
      <c r="R802" s="10" t="s">
        <v>5054</v>
      </c>
      <c r="S802" s="11"/>
      <c r="T802" s="6" t="s">
        <v>97</v>
      </c>
      <c r="U802" s="15" t="str">
        <f>HYPERLINK("https://media.infra-m.ru/1862/1862378/cover/1862378.jpg", "Обложка")</f>
        <v>Обложка</v>
      </c>
      <c r="V802" s="8" t="s">
        <v>5065</v>
      </c>
      <c r="W802" s="6"/>
      <c r="X802" s="6"/>
      <c r="Y802" s="6"/>
      <c r="Z802" s="6"/>
      <c r="AA802" s="6" t="s">
        <v>248</v>
      </c>
      <c r="AB802" s="8"/>
      <c r="AC802" s="27">
        <v>9785955803043</v>
      </c>
    </row>
    <row r="803" spans="1:29" s="4" customFormat="1" ht="51.9" customHeight="1" x14ac:dyDescent="0.2">
      <c r="A803" s="5">
        <v>0</v>
      </c>
      <c r="B803" s="6" t="s">
        <v>5070</v>
      </c>
      <c r="C803" s="7">
        <v>1380</v>
      </c>
      <c r="D803" s="8" t="s">
        <v>5071</v>
      </c>
      <c r="E803" s="8" t="s">
        <v>5051</v>
      </c>
      <c r="F803" s="8" t="s">
        <v>5072</v>
      </c>
      <c r="G803" s="6" t="s">
        <v>33</v>
      </c>
      <c r="H803" s="6" t="s">
        <v>34</v>
      </c>
      <c r="I803" s="8" t="s">
        <v>271</v>
      </c>
      <c r="J803" s="9">
        <v>1</v>
      </c>
      <c r="K803" s="9">
        <v>256</v>
      </c>
      <c r="L803" s="9">
        <v>2023</v>
      </c>
      <c r="M803" s="8" t="s">
        <v>5073</v>
      </c>
      <c r="N803" s="8" t="s">
        <v>37</v>
      </c>
      <c r="O803" s="8" t="s">
        <v>233</v>
      </c>
      <c r="P803" s="6" t="s">
        <v>51</v>
      </c>
      <c r="Q803" s="8" t="s">
        <v>52</v>
      </c>
      <c r="R803" s="10" t="s">
        <v>3008</v>
      </c>
      <c r="S803" s="11" t="s">
        <v>5074</v>
      </c>
      <c r="T803" s="6"/>
      <c r="U803" s="15" t="str">
        <f>HYPERLINK("https://media.infra-m.ru/1941/1941772/cover/1941772.jpg", "Обложка")</f>
        <v>Обложка</v>
      </c>
      <c r="V803" s="8" t="s">
        <v>4976</v>
      </c>
      <c r="W803" s="6"/>
      <c r="X803" s="6"/>
      <c r="Y803" s="6"/>
      <c r="Z803" s="6"/>
      <c r="AA803" s="6" t="s">
        <v>248</v>
      </c>
      <c r="AB803" s="8"/>
      <c r="AC803" s="27">
        <v>9785160096254</v>
      </c>
    </row>
    <row r="804" spans="1:29" s="4" customFormat="1" ht="51.9" customHeight="1" x14ac:dyDescent="0.2">
      <c r="A804" s="5">
        <v>0</v>
      </c>
      <c r="B804" s="6" t="s">
        <v>5075</v>
      </c>
      <c r="C804" s="7">
        <v>2868</v>
      </c>
      <c r="D804" s="8" t="s">
        <v>5076</v>
      </c>
      <c r="E804" s="8" t="s">
        <v>5051</v>
      </c>
      <c r="F804" s="8" t="s">
        <v>5077</v>
      </c>
      <c r="G804" s="6" t="s">
        <v>60</v>
      </c>
      <c r="H804" s="6" t="s">
        <v>34</v>
      </c>
      <c r="I804" s="8" t="s">
        <v>253</v>
      </c>
      <c r="J804" s="9">
        <v>1</v>
      </c>
      <c r="K804" s="9">
        <v>478</v>
      </c>
      <c r="L804" s="9">
        <v>2025</v>
      </c>
      <c r="M804" s="8" t="s">
        <v>5078</v>
      </c>
      <c r="N804" s="8" t="s">
        <v>37</v>
      </c>
      <c r="O804" s="8" t="s">
        <v>233</v>
      </c>
      <c r="P804" s="6" t="s">
        <v>51</v>
      </c>
      <c r="Q804" s="8" t="s">
        <v>65</v>
      </c>
      <c r="R804" s="10" t="s">
        <v>5079</v>
      </c>
      <c r="S804" s="11" t="s">
        <v>5080</v>
      </c>
      <c r="T804" s="6"/>
      <c r="U804" s="15" t="str">
        <f>HYPERLINK("https://media.infra-m.ru/2023/2023978/cover/2023978.jpg", "Обложка")</f>
        <v>Обложка</v>
      </c>
      <c r="V804" s="8" t="s">
        <v>350</v>
      </c>
      <c r="W804" s="6"/>
      <c r="X804" s="6"/>
      <c r="Y804" s="6"/>
      <c r="Z804" s="6"/>
      <c r="AA804" s="6" t="s">
        <v>68</v>
      </c>
      <c r="AB804" s="8"/>
      <c r="AC804" s="27">
        <v>9785160185606</v>
      </c>
    </row>
    <row r="805" spans="1:29" s="4" customFormat="1" ht="51.9" customHeight="1" x14ac:dyDescent="0.2">
      <c r="A805" s="5">
        <v>0</v>
      </c>
      <c r="B805" s="6" t="s">
        <v>5081</v>
      </c>
      <c r="C805" s="13">
        <v>892.8</v>
      </c>
      <c r="D805" s="8" t="s">
        <v>5082</v>
      </c>
      <c r="E805" s="8" t="s">
        <v>5083</v>
      </c>
      <c r="F805" s="8" t="s">
        <v>5084</v>
      </c>
      <c r="G805" s="6" t="s">
        <v>33</v>
      </c>
      <c r="H805" s="6" t="s">
        <v>34</v>
      </c>
      <c r="I805" s="8" t="s">
        <v>263</v>
      </c>
      <c r="J805" s="9">
        <v>1</v>
      </c>
      <c r="K805" s="9">
        <v>137</v>
      </c>
      <c r="L805" s="9">
        <v>2026</v>
      </c>
      <c r="M805" s="8" t="s">
        <v>5085</v>
      </c>
      <c r="N805" s="8" t="s">
        <v>37</v>
      </c>
      <c r="O805" s="8" t="s">
        <v>233</v>
      </c>
      <c r="P805" s="6" t="s">
        <v>51</v>
      </c>
      <c r="Q805" s="8" t="s">
        <v>265</v>
      </c>
      <c r="R805" s="10" t="s">
        <v>3777</v>
      </c>
      <c r="S805" s="11" t="s">
        <v>5086</v>
      </c>
      <c r="T805" s="6"/>
      <c r="U805" s="15" t="str">
        <f>HYPERLINK("https://media.infra-m.ru/2219/2219045/cover/2219045.jpg", "Обложка")</f>
        <v>Обложка</v>
      </c>
      <c r="V805" s="8" t="s">
        <v>5087</v>
      </c>
      <c r="W805" s="6"/>
      <c r="X805" s="6"/>
      <c r="Y805" s="6"/>
      <c r="Z805" s="6"/>
      <c r="AA805" s="6" t="s">
        <v>2240</v>
      </c>
      <c r="AB805" s="8"/>
      <c r="AC805" s="27">
        <v>9785160150963</v>
      </c>
    </row>
    <row r="806" spans="1:29" s="4" customFormat="1" ht="51.9" customHeight="1" x14ac:dyDescent="0.2">
      <c r="A806" s="5">
        <v>0</v>
      </c>
      <c r="B806" s="6" t="s">
        <v>5088</v>
      </c>
      <c r="C806" s="7">
        <v>1452</v>
      </c>
      <c r="D806" s="8" t="s">
        <v>5089</v>
      </c>
      <c r="E806" s="8" t="s">
        <v>5090</v>
      </c>
      <c r="F806" s="8" t="s">
        <v>5091</v>
      </c>
      <c r="G806" s="6" t="s">
        <v>118</v>
      </c>
      <c r="H806" s="6" t="s">
        <v>34</v>
      </c>
      <c r="I806" s="8" t="s">
        <v>263</v>
      </c>
      <c r="J806" s="9">
        <v>1</v>
      </c>
      <c r="K806" s="9">
        <v>208</v>
      </c>
      <c r="L806" s="9">
        <v>2027</v>
      </c>
      <c r="M806" s="8" t="s">
        <v>5092</v>
      </c>
      <c r="N806" s="8" t="s">
        <v>37</v>
      </c>
      <c r="O806" s="8" t="s">
        <v>233</v>
      </c>
      <c r="P806" s="6" t="s">
        <v>306</v>
      </c>
      <c r="Q806" s="8" t="s">
        <v>265</v>
      </c>
      <c r="R806" s="10" t="s">
        <v>3777</v>
      </c>
      <c r="S806" s="11" t="s">
        <v>5093</v>
      </c>
      <c r="T806" s="6"/>
      <c r="U806" s="15" t="str">
        <f>HYPERLINK("https://media.infra-m.ru/2266/2266088/cover/2266088.jpg", "Обложка")</f>
        <v>Обложка</v>
      </c>
      <c r="V806" s="8" t="s">
        <v>831</v>
      </c>
      <c r="W806" s="6"/>
      <c r="X806" s="6"/>
      <c r="Y806" s="6"/>
      <c r="Z806" s="6"/>
      <c r="AA806" s="6" t="s">
        <v>1256</v>
      </c>
      <c r="AB806" s="8" t="s">
        <v>3581</v>
      </c>
      <c r="AC806" s="27">
        <v>9785160154541</v>
      </c>
    </row>
    <row r="807" spans="1:29" s="4" customFormat="1" ht="51.9" customHeight="1" x14ac:dyDescent="0.2">
      <c r="A807" s="5">
        <v>0</v>
      </c>
      <c r="B807" s="6" t="s">
        <v>5094</v>
      </c>
      <c r="C807" s="13">
        <v>323.89999999999998</v>
      </c>
      <c r="D807" s="8" t="s">
        <v>5095</v>
      </c>
      <c r="E807" s="8" t="s">
        <v>5096</v>
      </c>
      <c r="F807" s="8" t="s">
        <v>5097</v>
      </c>
      <c r="G807" s="6" t="s">
        <v>21</v>
      </c>
      <c r="H807" s="6" t="s">
        <v>48</v>
      </c>
      <c r="I807" s="8"/>
      <c r="J807" s="9">
        <v>18</v>
      </c>
      <c r="K807" s="9">
        <v>248</v>
      </c>
      <c r="L807" s="9">
        <v>2015</v>
      </c>
      <c r="M807" s="8" t="s">
        <v>5098</v>
      </c>
      <c r="N807" s="8" t="s">
        <v>37</v>
      </c>
      <c r="O807" s="8" t="s">
        <v>233</v>
      </c>
      <c r="P807" s="6" t="s">
        <v>51</v>
      </c>
      <c r="Q807" s="8" t="s">
        <v>52</v>
      </c>
      <c r="R807" s="10" t="s">
        <v>5099</v>
      </c>
      <c r="S807" s="11" t="s">
        <v>5100</v>
      </c>
      <c r="T807" s="6"/>
      <c r="U807" s="12"/>
      <c r="V807" s="8" t="s">
        <v>5101</v>
      </c>
      <c r="W807" s="6"/>
      <c r="X807" s="6"/>
      <c r="Y807" s="6"/>
      <c r="Z807" s="6"/>
      <c r="AA807" s="6" t="s">
        <v>43</v>
      </c>
      <c r="AB807" s="8"/>
      <c r="AC807" s="27">
        <v>9785911346157</v>
      </c>
    </row>
    <row r="808" spans="1:29" s="4" customFormat="1" ht="51.9" customHeight="1" x14ac:dyDescent="0.2">
      <c r="A808" s="5">
        <v>0</v>
      </c>
      <c r="B808" s="6" t="s">
        <v>5102</v>
      </c>
      <c r="C808" s="7">
        <v>2328</v>
      </c>
      <c r="D808" s="8" t="s">
        <v>5103</v>
      </c>
      <c r="E808" s="8" t="s">
        <v>5104</v>
      </c>
      <c r="F808" s="8" t="s">
        <v>5105</v>
      </c>
      <c r="G808" s="6" t="s">
        <v>118</v>
      </c>
      <c r="H808" s="6" t="s">
        <v>34</v>
      </c>
      <c r="I808" s="8" t="s">
        <v>253</v>
      </c>
      <c r="J808" s="9">
        <v>1</v>
      </c>
      <c r="K808" s="9">
        <v>325</v>
      </c>
      <c r="L808" s="9">
        <v>2026</v>
      </c>
      <c r="M808" s="8" t="s">
        <v>5106</v>
      </c>
      <c r="N808" s="8" t="s">
        <v>37</v>
      </c>
      <c r="O808" s="8" t="s">
        <v>233</v>
      </c>
      <c r="P808" s="6" t="s">
        <v>51</v>
      </c>
      <c r="Q808" s="8" t="s">
        <v>52</v>
      </c>
      <c r="R808" s="10" t="s">
        <v>5099</v>
      </c>
      <c r="S808" s="11" t="s">
        <v>5107</v>
      </c>
      <c r="T808" s="6"/>
      <c r="U808" s="15" t="str">
        <f>HYPERLINK("https://media.infra-m.ru/2254/2254353/cover/2254353.jpg", "Обложка")</f>
        <v>Обложка</v>
      </c>
      <c r="V808" s="8" t="s">
        <v>5101</v>
      </c>
      <c r="W808" s="6"/>
      <c r="X808" s="6"/>
      <c r="Y808" s="6"/>
      <c r="Z808" s="6"/>
      <c r="AA808" s="6" t="s">
        <v>404</v>
      </c>
      <c r="AB808" s="8"/>
      <c r="AC808" s="27">
        <v>9785160221434</v>
      </c>
    </row>
    <row r="809" spans="1:29" s="4" customFormat="1" ht="51.9" customHeight="1" x14ac:dyDescent="0.2">
      <c r="A809" s="5">
        <v>0</v>
      </c>
      <c r="B809" s="6" t="s">
        <v>5108</v>
      </c>
      <c r="C809" s="7">
        <v>2272.8000000000002</v>
      </c>
      <c r="D809" s="8" t="s">
        <v>5109</v>
      </c>
      <c r="E809" s="8" t="s">
        <v>5104</v>
      </c>
      <c r="F809" s="8" t="s">
        <v>5105</v>
      </c>
      <c r="G809" s="6" t="s">
        <v>118</v>
      </c>
      <c r="H809" s="6" t="s">
        <v>48</v>
      </c>
      <c r="I809" s="8" t="s">
        <v>263</v>
      </c>
      <c r="J809" s="9">
        <v>1</v>
      </c>
      <c r="K809" s="9">
        <v>325</v>
      </c>
      <c r="L809" s="9">
        <v>2027</v>
      </c>
      <c r="M809" s="8" t="s">
        <v>5110</v>
      </c>
      <c r="N809" s="8" t="s">
        <v>37</v>
      </c>
      <c r="O809" s="8" t="s">
        <v>233</v>
      </c>
      <c r="P809" s="6" t="s">
        <v>51</v>
      </c>
      <c r="Q809" s="8" t="s">
        <v>265</v>
      </c>
      <c r="R809" s="10" t="s">
        <v>5111</v>
      </c>
      <c r="S809" s="11" t="s">
        <v>2282</v>
      </c>
      <c r="T809" s="6"/>
      <c r="U809" s="15" t="str">
        <f>HYPERLINK("https://media.infra-m.ru/2244/2244129/cover/2244129.jpg", "Обложка")</f>
        <v>Обложка</v>
      </c>
      <c r="V809" s="8" t="s">
        <v>5101</v>
      </c>
      <c r="W809" s="6"/>
      <c r="X809" s="6"/>
      <c r="Y809" s="6"/>
      <c r="Z809" s="6" t="s">
        <v>267</v>
      </c>
      <c r="AA809" s="6" t="s">
        <v>2240</v>
      </c>
      <c r="AB809" s="8"/>
      <c r="AC809" s="27">
        <v>9785000916292</v>
      </c>
    </row>
    <row r="810" spans="1:29" s="4" customFormat="1" ht="42" customHeight="1" x14ac:dyDescent="0.2">
      <c r="A810" s="5">
        <v>0</v>
      </c>
      <c r="B810" s="6" t="s">
        <v>5112</v>
      </c>
      <c r="C810" s="7">
        <v>3784.8</v>
      </c>
      <c r="D810" s="8" t="s">
        <v>5113</v>
      </c>
      <c r="E810" s="8" t="s">
        <v>5114</v>
      </c>
      <c r="F810" s="8" t="s">
        <v>5115</v>
      </c>
      <c r="G810" s="6" t="s">
        <v>60</v>
      </c>
      <c r="H810" s="6" t="s">
        <v>1644</v>
      </c>
      <c r="I810" s="8" t="s">
        <v>1904</v>
      </c>
      <c r="J810" s="9">
        <v>1</v>
      </c>
      <c r="K810" s="9">
        <v>544</v>
      </c>
      <c r="L810" s="9">
        <v>2027</v>
      </c>
      <c r="M810" s="8" t="s">
        <v>5116</v>
      </c>
      <c r="N810" s="8" t="s">
        <v>37</v>
      </c>
      <c r="O810" s="8" t="s">
        <v>233</v>
      </c>
      <c r="P810" s="6" t="s">
        <v>51</v>
      </c>
      <c r="Q810" s="8" t="s">
        <v>52</v>
      </c>
      <c r="R810" s="10" t="s">
        <v>3008</v>
      </c>
      <c r="S810" s="11"/>
      <c r="T810" s="6"/>
      <c r="U810" s="15" t="str">
        <f>HYPERLINK("https://media.infra-m.ru/2271/2271222/cover/2271222.jpg", "Обложка")</f>
        <v>Обложка</v>
      </c>
      <c r="V810" s="8" t="s">
        <v>5117</v>
      </c>
      <c r="W810" s="6"/>
      <c r="X810" s="6"/>
      <c r="Y810" s="6"/>
      <c r="Z810" s="6"/>
      <c r="AA810" s="6" t="s">
        <v>779</v>
      </c>
      <c r="AB810" s="8"/>
      <c r="AC810" s="27">
        <v>9785977604222</v>
      </c>
    </row>
    <row r="811" spans="1:29" s="4" customFormat="1" ht="42" customHeight="1" x14ac:dyDescent="0.2">
      <c r="A811" s="5">
        <v>0</v>
      </c>
      <c r="B811" s="6" t="s">
        <v>5118</v>
      </c>
      <c r="C811" s="7">
        <v>1116</v>
      </c>
      <c r="D811" s="8" t="s">
        <v>5119</v>
      </c>
      <c r="E811" s="8" t="s">
        <v>5120</v>
      </c>
      <c r="F811" s="8" t="s">
        <v>5121</v>
      </c>
      <c r="G811" s="6" t="s">
        <v>118</v>
      </c>
      <c r="H811" s="6" t="s">
        <v>34</v>
      </c>
      <c r="I811" s="8" t="s">
        <v>253</v>
      </c>
      <c r="J811" s="9">
        <v>1</v>
      </c>
      <c r="K811" s="9">
        <v>168</v>
      </c>
      <c r="L811" s="9">
        <v>2026</v>
      </c>
      <c r="M811" s="8" t="s">
        <v>5122</v>
      </c>
      <c r="N811" s="8" t="s">
        <v>37</v>
      </c>
      <c r="O811" s="8" t="s">
        <v>233</v>
      </c>
      <c r="P811" s="6" t="s">
        <v>51</v>
      </c>
      <c r="Q811" s="8" t="s">
        <v>52</v>
      </c>
      <c r="R811" s="10" t="s">
        <v>1646</v>
      </c>
      <c r="S811" s="11"/>
      <c r="T811" s="6"/>
      <c r="U811" s="15" t="str">
        <f>HYPERLINK("https://media.infra-m.ru/2252/2252415/cover/2252415.jpg", "Обложка")</f>
        <v>Обложка</v>
      </c>
      <c r="V811" s="8" t="s">
        <v>227</v>
      </c>
      <c r="W811" s="6"/>
      <c r="X811" s="6"/>
      <c r="Y811" s="6"/>
      <c r="Z811" s="6"/>
      <c r="AA811" s="6" t="s">
        <v>129</v>
      </c>
      <c r="AB811" s="8"/>
      <c r="AC811" s="27">
        <v>9785160221038</v>
      </c>
    </row>
    <row r="812" spans="1:29" s="4" customFormat="1" ht="51.9" customHeight="1" x14ac:dyDescent="0.2">
      <c r="A812" s="5">
        <v>0</v>
      </c>
      <c r="B812" s="6" t="s">
        <v>5123</v>
      </c>
      <c r="C812" s="7">
        <v>1960.8</v>
      </c>
      <c r="D812" s="8" t="s">
        <v>5124</v>
      </c>
      <c r="E812" s="8" t="s">
        <v>5125</v>
      </c>
      <c r="F812" s="8" t="s">
        <v>5126</v>
      </c>
      <c r="G812" s="6" t="s">
        <v>118</v>
      </c>
      <c r="H812" s="6" t="s">
        <v>34</v>
      </c>
      <c r="I812" s="8" t="s">
        <v>253</v>
      </c>
      <c r="J812" s="9">
        <v>1</v>
      </c>
      <c r="K812" s="9">
        <v>282</v>
      </c>
      <c r="L812" s="9">
        <v>2026</v>
      </c>
      <c r="M812" s="8" t="s">
        <v>5127</v>
      </c>
      <c r="N812" s="8" t="s">
        <v>37</v>
      </c>
      <c r="O812" s="8" t="s">
        <v>233</v>
      </c>
      <c r="P812" s="6" t="s">
        <v>306</v>
      </c>
      <c r="Q812" s="8" t="s">
        <v>65</v>
      </c>
      <c r="R812" s="10" t="s">
        <v>5128</v>
      </c>
      <c r="S812" s="11"/>
      <c r="T812" s="6" t="s">
        <v>97</v>
      </c>
      <c r="U812" s="15" t="str">
        <f>HYPERLINK("https://media.infra-m.ru/2255/2255101/cover/2255101.jpg", "Обложка")</f>
        <v>Обложка</v>
      </c>
      <c r="V812" s="8" t="s">
        <v>2095</v>
      </c>
      <c r="W812" s="6"/>
      <c r="X812" s="6"/>
      <c r="Y812" s="6"/>
      <c r="Z812" s="6"/>
      <c r="AA812" s="6" t="s">
        <v>76</v>
      </c>
      <c r="AB812" s="8"/>
      <c r="AC812" s="27">
        <v>9785160172927</v>
      </c>
    </row>
    <row r="813" spans="1:29" s="4" customFormat="1" ht="51.9" customHeight="1" x14ac:dyDescent="0.2">
      <c r="A813" s="5">
        <v>0</v>
      </c>
      <c r="B813" s="6" t="s">
        <v>5129</v>
      </c>
      <c r="C813" s="7">
        <v>2388</v>
      </c>
      <c r="D813" s="8" t="s">
        <v>5130</v>
      </c>
      <c r="E813" s="8" t="s">
        <v>5131</v>
      </c>
      <c r="F813" s="8" t="s">
        <v>5132</v>
      </c>
      <c r="G813" s="6" t="s">
        <v>118</v>
      </c>
      <c r="H813" s="6" t="s">
        <v>34</v>
      </c>
      <c r="I813" s="8" t="s">
        <v>253</v>
      </c>
      <c r="J813" s="9">
        <v>1</v>
      </c>
      <c r="K813" s="9">
        <v>399</v>
      </c>
      <c r="L813" s="9">
        <v>2025</v>
      </c>
      <c r="M813" s="8" t="s">
        <v>5133</v>
      </c>
      <c r="N813" s="8" t="s">
        <v>37</v>
      </c>
      <c r="O813" s="8" t="s">
        <v>233</v>
      </c>
      <c r="P813" s="6" t="s">
        <v>306</v>
      </c>
      <c r="Q813" s="8" t="s">
        <v>52</v>
      </c>
      <c r="R813" s="10" t="s">
        <v>3008</v>
      </c>
      <c r="S813" s="11" t="s">
        <v>5134</v>
      </c>
      <c r="T813" s="6"/>
      <c r="U813" s="15" t="str">
        <f>HYPERLINK("https://media.infra-m.ru/2159/2159180/cover/2159180.jpg", "Обложка")</f>
        <v>Обложка</v>
      </c>
      <c r="V813" s="8" t="s">
        <v>5135</v>
      </c>
      <c r="W813" s="6"/>
      <c r="X813" s="6"/>
      <c r="Y813" s="6"/>
      <c r="Z813" s="6"/>
      <c r="AA813" s="6" t="s">
        <v>404</v>
      </c>
      <c r="AB813" s="8"/>
      <c r="AC813" s="27">
        <v>9785160201870</v>
      </c>
    </row>
    <row r="814" spans="1:29" s="4" customFormat="1" ht="51.9" customHeight="1" x14ac:dyDescent="0.2">
      <c r="A814" s="5">
        <v>0</v>
      </c>
      <c r="B814" s="6" t="s">
        <v>5136</v>
      </c>
      <c r="C814" s="7">
        <v>1625.9</v>
      </c>
      <c r="D814" s="8" t="s">
        <v>5137</v>
      </c>
      <c r="E814" s="8" t="s">
        <v>5138</v>
      </c>
      <c r="F814" s="8" t="s">
        <v>5139</v>
      </c>
      <c r="G814" s="6" t="s">
        <v>60</v>
      </c>
      <c r="H814" s="6" t="s">
        <v>34</v>
      </c>
      <c r="I814" s="8" t="s">
        <v>271</v>
      </c>
      <c r="J814" s="9">
        <v>1</v>
      </c>
      <c r="K814" s="9">
        <v>300</v>
      </c>
      <c r="L814" s="9">
        <v>2023</v>
      </c>
      <c r="M814" s="8" t="s">
        <v>5140</v>
      </c>
      <c r="N814" s="8" t="s">
        <v>37</v>
      </c>
      <c r="O814" s="8" t="s">
        <v>233</v>
      </c>
      <c r="P814" s="6" t="s">
        <v>51</v>
      </c>
      <c r="Q814" s="8" t="s">
        <v>52</v>
      </c>
      <c r="R814" s="10" t="s">
        <v>5141</v>
      </c>
      <c r="S814" s="11" t="s">
        <v>5142</v>
      </c>
      <c r="T814" s="6"/>
      <c r="U814" s="15" t="str">
        <f>HYPERLINK("https://media.infra-m.ru/2001/2001676/cover/2001676.jpg", "Обложка")</f>
        <v>Обложка</v>
      </c>
      <c r="V814" s="8" t="s">
        <v>5143</v>
      </c>
      <c r="W814" s="6"/>
      <c r="X814" s="6"/>
      <c r="Y814" s="6"/>
      <c r="Z814" s="6"/>
      <c r="AA814" s="6" t="s">
        <v>99</v>
      </c>
      <c r="AB814" s="8"/>
      <c r="AC814" s="27">
        <v>9785160120683</v>
      </c>
    </row>
    <row r="815" spans="1:29" s="4" customFormat="1" ht="44.1" customHeight="1" x14ac:dyDescent="0.2">
      <c r="A815" s="5">
        <v>0</v>
      </c>
      <c r="B815" s="6" t="s">
        <v>5144</v>
      </c>
      <c r="C815" s="13">
        <v>784.8</v>
      </c>
      <c r="D815" s="8" t="s">
        <v>5145</v>
      </c>
      <c r="E815" s="8" t="s">
        <v>5146</v>
      </c>
      <c r="F815" s="8" t="s">
        <v>5147</v>
      </c>
      <c r="G815" s="6" t="s">
        <v>33</v>
      </c>
      <c r="H815" s="6" t="s">
        <v>1644</v>
      </c>
      <c r="I815" s="8" t="s">
        <v>1904</v>
      </c>
      <c r="J815" s="9">
        <v>1</v>
      </c>
      <c r="K815" s="9">
        <v>144</v>
      </c>
      <c r="L815" s="9">
        <v>2023</v>
      </c>
      <c r="M815" s="8" t="s">
        <v>5148</v>
      </c>
      <c r="N815" s="8" t="s">
        <v>37</v>
      </c>
      <c r="O815" s="8" t="s">
        <v>233</v>
      </c>
      <c r="P815" s="6" t="s">
        <v>51</v>
      </c>
      <c r="Q815" s="8" t="s">
        <v>52</v>
      </c>
      <c r="R815" s="10" t="s">
        <v>5149</v>
      </c>
      <c r="S815" s="11"/>
      <c r="T815" s="6"/>
      <c r="U815" s="15" t="str">
        <f>HYPERLINK("https://media.infra-m.ru/2044/2044336/cover/2044336.jpg", "Обложка")</f>
        <v>Обложка</v>
      </c>
      <c r="V815" s="8" t="s">
        <v>5117</v>
      </c>
      <c r="W815" s="6"/>
      <c r="X815" s="6"/>
      <c r="Y815" s="6"/>
      <c r="Z815" s="6"/>
      <c r="AA815" s="6" t="s">
        <v>360</v>
      </c>
      <c r="AB815" s="8"/>
      <c r="AC815" s="27">
        <v>9785977604130</v>
      </c>
    </row>
    <row r="816" spans="1:29" s="4" customFormat="1" ht="51.9" customHeight="1" x14ac:dyDescent="0.2">
      <c r="A816" s="5">
        <v>0</v>
      </c>
      <c r="B816" s="6" t="s">
        <v>5150</v>
      </c>
      <c r="C816" s="7">
        <v>2788.8</v>
      </c>
      <c r="D816" s="8" t="s">
        <v>5151</v>
      </c>
      <c r="E816" s="8" t="s">
        <v>5152</v>
      </c>
      <c r="F816" s="8" t="s">
        <v>5153</v>
      </c>
      <c r="G816" s="6" t="s">
        <v>60</v>
      </c>
      <c r="H816" s="6" t="s">
        <v>1644</v>
      </c>
      <c r="I816" s="8"/>
      <c r="J816" s="9">
        <v>1</v>
      </c>
      <c r="K816" s="9">
        <v>448</v>
      </c>
      <c r="L816" s="9">
        <v>2025</v>
      </c>
      <c r="M816" s="8" t="s">
        <v>5154</v>
      </c>
      <c r="N816" s="8" t="s">
        <v>37</v>
      </c>
      <c r="O816" s="8" t="s">
        <v>233</v>
      </c>
      <c r="P816" s="6" t="s">
        <v>306</v>
      </c>
      <c r="Q816" s="8" t="s">
        <v>52</v>
      </c>
      <c r="R816" s="10" t="s">
        <v>2068</v>
      </c>
      <c r="S816" s="11" t="s">
        <v>5155</v>
      </c>
      <c r="T816" s="6"/>
      <c r="U816" s="15" t="str">
        <f>HYPERLINK("https://media.infra-m.ru/2192/2192720/cover/2192720.jpg", "Обложка")</f>
        <v>Обложка</v>
      </c>
      <c r="V816" s="8" t="s">
        <v>67</v>
      </c>
      <c r="W816" s="6"/>
      <c r="X816" s="6"/>
      <c r="Y816" s="6"/>
      <c r="Z816" s="6"/>
      <c r="AA816" s="6" t="s">
        <v>1123</v>
      </c>
      <c r="AB816" s="8"/>
      <c r="AC816" s="27">
        <v>9785977603621</v>
      </c>
    </row>
    <row r="817" spans="1:29" s="4" customFormat="1" ht="51.9" customHeight="1" x14ac:dyDescent="0.2">
      <c r="A817" s="5">
        <v>0</v>
      </c>
      <c r="B817" s="6" t="s">
        <v>5156</v>
      </c>
      <c r="C817" s="7">
        <v>1164</v>
      </c>
      <c r="D817" s="8" t="s">
        <v>5157</v>
      </c>
      <c r="E817" s="8" t="s">
        <v>5158</v>
      </c>
      <c r="F817" s="8" t="s">
        <v>5159</v>
      </c>
      <c r="G817" s="6" t="s">
        <v>118</v>
      </c>
      <c r="H817" s="6" t="s">
        <v>34</v>
      </c>
      <c r="I817" s="8" t="s">
        <v>253</v>
      </c>
      <c r="J817" s="9">
        <v>1</v>
      </c>
      <c r="K817" s="9">
        <v>176</v>
      </c>
      <c r="L817" s="9">
        <v>2026</v>
      </c>
      <c r="M817" s="8" t="s">
        <v>5160</v>
      </c>
      <c r="N817" s="8" t="s">
        <v>37</v>
      </c>
      <c r="O817" s="8" t="s">
        <v>233</v>
      </c>
      <c r="P817" s="6" t="s">
        <v>51</v>
      </c>
      <c r="Q817" s="8" t="s">
        <v>52</v>
      </c>
      <c r="R817" s="10" t="s">
        <v>4087</v>
      </c>
      <c r="S817" s="11" t="s">
        <v>5161</v>
      </c>
      <c r="T817" s="6"/>
      <c r="U817" s="15" t="str">
        <f>HYPERLINK("https://media.infra-m.ru/2243/2243375/cover/2243375.jpg", "Обложка")</f>
        <v>Обложка</v>
      </c>
      <c r="V817" s="8" t="s">
        <v>5162</v>
      </c>
      <c r="W817" s="6"/>
      <c r="X817" s="6"/>
      <c r="Y817" s="6"/>
      <c r="Z817" s="6"/>
      <c r="AA817" s="6" t="s">
        <v>248</v>
      </c>
      <c r="AB817" s="8"/>
      <c r="AC817" s="27">
        <v>9785160221540</v>
      </c>
    </row>
    <row r="818" spans="1:29" s="4" customFormat="1" ht="51.9" customHeight="1" x14ac:dyDescent="0.2">
      <c r="A818" s="5">
        <v>0</v>
      </c>
      <c r="B818" s="6" t="s">
        <v>5163</v>
      </c>
      <c r="C818" s="7">
        <v>3540</v>
      </c>
      <c r="D818" s="8" t="s">
        <v>5164</v>
      </c>
      <c r="E818" s="8" t="s">
        <v>5165</v>
      </c>
      <c r="F818" s="8" t="s">
        <v>5166</v>
      </c>
      <c r="G818" s="6" t="s">
        <v>60</v>
      </c>
      <c r="H818" s="6" t="s">
        <v>34</v>
      </c>
      <c r="I818" s="8" t="s">
        <v>253</v>
      </c>
      <c r="J818" s="9">
        <v>1</v>
      </c>
      <c r="K818" s="9">
        <v>584</v>
      </c>
      <c r="L818" s="9">
        <v>2025</v>
      </c>
      <c r="M818" s="8" t="s">
        <v>5167</v>
      </c>
      <c r="N818" s="8" t="s">
        <v>37</v>
      </c>
      <c r="O818" s="8" t="s">
        <v>233</v>
      </c>
      <c r="P818" s="6" t="s">
        <v>306</v>
      </c>
      <c r="Q818" s="8" t="s">
        <v>52</v>
      </c>
      <c r="R818" s="10" t="s">
        <v>5168</v>
      </c>
      <c r="S818" s="11" t="s">
        <v>2094</v>
      </c>
      <c r="T818" s="6"/>
      <c r="U818" s="15" t="str">
        <f>HYPERLINK("https://media.infra-m.ru/2163/2163847/cover/2163847.jpg", "Обложка")</f>
        <v>Обложка</v>
      </c>
      <c r="V818" s="8" t="s">
        <v>657</v>
      </c>
      <c r="W818" s="6"/>
      <c r="X818" s="6"/>
      <c r="Y818" s="6"/>
      <c r="Z818" s="6"/>
      <c r="AA818" s="6" t="s">
        <v>5169</v>
      </c>
      <c r="AB818" s="8"/>
      <c r="AC818" s="27">
        <v>9785160202341</v>
      </c>
    </row>
    <row r="819" spans="1:29" s="4" customFormat="1" ht="42" customHeight="1" x14ac:dyDescent="0.2">
      <c r="A819" s="5">
        <v>0</v>
      </c>
      <c r="B819" s="6" t="s">
        <v>5170</v>
      </c>
      <c r="C819" s="7">
        <v>3160.8</v>
      </c>
      <c r="D819" s="8" t="s">
        <v>5171</v>
      </c>
      <c r="E819" s="8" t="s">
        <v>5172</v>
      </c>
      <c r="F819" s="8" t="s">
        <v>5115</v>
      </c>
      <c r="G819" s="6" t="s">
        <v>60</v>
      </c>
      <c r="H819" s="6" t="s">
        <v>1644</v>
      </c>
      <c r="I819" s="8"/>
      <c r="J819" s="9">
        <v>1</v>
      </c>
      <c r="K819" s="9">
        <v>480</v>
      </c>
      <c r="L819" s="9">
        <v>2026</v>
      </c>
      <c r="M819" s="8" t="s">
        <v>5173</v>
      </c>
      <c r="N819" s="8" t="s">
        <v>37</v>
      </c>
      <c r="O819" s="8" t="s">
        <v>233</v>
      </c>
      <c r="P819" s="6" t="s">
        <v>306</v>
      </c>
      <c r="Q819" s="8" t="s">
        <v>52</v>
      </c>
      <c r="R819" s="10" t="s">
        <v>1576</v>
      </c>
      <c r="S819" s="11"/>
      <c r="T819" s="6"/>
      <c r="U819" s="15" t="str">
        <f>HYPERLINK("https://media.infra-m.ru/2237/2237163/cover/2237163.jpg", "Обложка")</f>
        <v>Обложка</v>
      </c>
      <c r="V819" s="8" t="s">
        <v>5117</v>
      </c>
      <c r="W819" s="6"/>
      <c r="X819" s="6"/>
      <c r="Y819" s="6"/>
      <c r="Z819" s="6"/>
      <c r="AA819" s="6" t="s">
        <v>148</v>
      </c>
      <c r="AB819" s="8"/>
      <c r="AC819" s="27">
        <v>9785977605427</v>
      </c>
    </row>
    <row r="820" spans="1:29" s="4" customFormat="1" ht="51.9" customHeight="1" x14ac:dyDescent="0.2">
      <c r="A820" s="5">
        <v>0</v>
      </c>
      <c r="B820" s="6" t="s">
        <v>5174</v>
      </c>
      <c r="C820" s="7">
        <v>1008</v>
      </c>
      <c r="D820" s="8" t="s">
        <v>5175</v>
      </c>
      <c r="E820" s="8" t="s">
        <v>5176</v>
      </c>
      <c r="F820" s="8" t="s">
        <v>5177</v>
      </c>
      <c r="G820" s="6" t="s">
        <v>60</v>
      </c>
      <c r="H820" s="6" t="s">
        <v>313</v>
      </c>
      <c r="I820" s="8"/>
      <c r="J820" s="9">
        <v>1</v>
      </c>
      <c r="K820" s="9">
        <v>288</v>
      </c>
      <c r="L820" s="9">
        <v>2018</v>
      </c>
      <c r="M820" s="8" t="s">
        <v>5178</v>
      </c>
      <c r="N820" s="8" t="s">
        <v>37</v>
      </c>
      <c r="O820" s="8" t="s">
        <v>233</v>
      </c>
      <c r="P820" s="6" t="s">
        <v>51</v>
      </c>
      <c r="Q820" s="8" t="s">
        <v>52</v>
      </c>
      <c r="R820" s="10" t="s">
        <v>5179</v>
      </c>
      <c r="S820" s="11"/>
      <c r="T820" s="6"/>
      <c r="U820" s="15" t="str">
        <f>HYPERLINK("https://media.infra-m.ru/0914/0914501/cover/914501.jpg", "Обложка")</f>
        <v>Обложка</v>
      </c>
      <c r="V820" s="8" t="s">
        <v>1878</v>
      </c>
      <c r="W820" s="6"/>
      <c r="X820" s="6"/>
      <c r="Y820" s="6"/>
      <c r="Z820" s="6"/>
      <c r="AA820" s="6" t="s">
        <v>86</v>
      </c>
      <c r="AB820" s="8"/>
      <c r="AC820" s="27">
        <v>9785369017272</v>
      </c>
    </row>
    <row r="821" spans="1:29" s="4" customFormat="1" ht="51.9" customHeight="1" x14ac:dyDescent="0.2">
      <c r="A821" s="5">
        <v>0</v>
      </c>
      <c r="B821" s="6" t="s">
        <v>5180</v>
      </c>
      <c r="C821" s="7">
        <v>2992.8</v>
      </c>
      <c r="D821" s="8" t="s">
        <v>5181</v>
      </c>
      <c r="E821" s="8" t="s">
        <v>5182</v>
      </c>
      <c r="F821" s="8" t="s">
        <v>5183</v>
      </c>
      <c r="G821" s="6" t="s">
        <v>60</v>
      </c>
      <c r="H821" s="6" t="s">
        <v>48</v>
      </c>
      <c r="I821" s="8" t="s">
        <v>271</v>
      </c>
      <c r="J821" s="9">
        <v>1</v>
      </c>
      <c r="K821" s="9">
        <v>480</v>
      </c>
      <c r="L821" s="9">
        <v>2025</v>
      </c>
      <c r="M821" s="8" t="s">
        <v>5184</v>
      </c>
      <c r="N821" s="8" t="s">
        <v>37</v>
      </c>
      <c r="O821" s="8" t="s">
        <v>233</v>
      </c>
      <c r="P821" s="6" t="s">
        <v>51</v>
      </c>
      <c r="Q821" s="8" t="s">
        <v>52</v>
      </c>
      <c r="R821" s="10" t="s">
        <v>5185</v>
      </c>
      <c r="S821" s="11" t="s">
        <v>5186</v>
      </c>
      <c r="T821" s="6"/>
      <c r="U821" s="15" t="str">
        <f>HYPERLINK("https://media.infra-m.ru/2196/2196036/cover/2196036.jpg", "Обложка")</f>
        <v>Обложка</v>
      </c>
      <c r="V821" s="8" t="s">
        <v>247</v>
      </c>
      <c r="W821" s="6"/>
      <c r="X821" s="6"/>
      <c r="Y821" s="6"/>
      <c r="Z821" s="6"/>
      <c r="AA821" s="6" t="s">
        <v>779</v>
      </c>
      <c r="AB821" s="8"/>
      <c r="AC821" s="27">
        <v>9785000911464</v>
      </c>
    </row>
    <row r="822" spans="1:29" s="4" customFormat="1" ht="51.9" customHeight="1" x14ac:dyDescent="0.2">
      <c r="A822" s="5">
        <v>0</v>
      </c>
      <c r="B822" s="6" t="s">
        <v>5187</v>
      </c>
      <c r="C822" s="7">
        <v>2748</v>
      </c>
      <c r="D822" s="8" t="s">
        <v>5188</v>
      </c>
      <c r="E822" s="8" t="s">
        <v>5182</v>
      </c>
      <c r="F822" s="8" t="s">
        <v>5183</v>
      </c>
      <c r="G822" s="6" t="s">
        <v>60</v>
      </c>
      <c r="H822" s="6" t="s">
        <v>48</v>
      </c>
      <c r="I822" s="8" t="s">
        <v>263</v>
      </c>
      <c r="J822" s="9">
        <v>1</v>
      </c>
      <c r="K822" s="9">
        <v>479</v>
      </c>
      <c r="L822" s="9">
        <v>2025</v>
      </c>
      <c r="M822" s="8" t="s">
        <v>5189</v>
      </c>
      <c r="N822" s="8" t="s">
        <v>37</v>
      </c>
      <c r="O822" s="8" t="s">
        <v>233</v>
      </c>
      <c r="P822" s="6" t="s">
        <v>51</v>
      </c>
      <c r="Q822" s="8" t="s">
        <v>265</v>
      </c>
      <c r="R822" s="10" t="s">
        <v>5190</v>
      </c>
      <c r="S822" s="11" t="s">
        <v>5191</v>
      </c>
      <c r="T822" s="6"/>
      <c r="U822" s="15" t="str">
        <f>HYPERLINK("https://media.infra-m.ru/2187/2187243/cover/2187243.jpg", "Обложка")</f>
        <v>Обложка</v>
      </c>
      <c r="V822" s="8" t="s">
        <v>247</v>
      </c>
      <c r="W822" s="6"/>
      <c r="X822" s="6"/>
      <c r="Y822" s="6"/>
      <c r="Z822" s="6" t="s">
        <v>267</v>
      </c>
      <c r="AA822" s="6" t="s">
        <v>148</v>
      </c>
      <c r="AB822" s="8"/>
      <c r="AC822" s="27">
        <v>9785000917596</v>
      </c>
    </row>
    <row r="823" spans="1:29" s="4" customFormat="1" ht="51.9" customHeight="1" x14ac:dyDescent="0.2">
      <c r="A823" s="5">
        <v>0</v>
      </c>
      <c r="B823" s="6" t="s">
        <v>5192</v>
      </c>
      <c r="C823" s="7">
        <v>1344</v>
      </c>
      <c r="D823" s="8" t="s">
        <v>5193</v>
      </c>
      <c r="E823" s="8" t="s">
        <v>5194</v>
      </c>
      <c r="F823" s="8" t="s">
        <v>3784</v>
      </c>
      <c r="G823" s="6" t="s">
        <v>118</v>
      </c>
      <c r="H823" s="6" t="s">
        <v>34</v>
      </c>
      <c r="I823" s="8" t="s">
        <v>253</v>
      </c>
      <c r="J823" s="9">
        <v>1</v>
      </c>
      <c r="K823" s="9">
        <v>215</v>
      </c>
      <c r="L823" s="9">
        <v>2025</v>
      </c>
      <c r="M823" s="8" t="s">
        <v>5195</v>
      </c>
      <c r="N823" s="8" t="s">
        <v>37</v>
      </c>
      <c r="O823" s="8" t="s">
        <v>233</v>
      </c>
      <c r="P823" s="6" t="s">
        <v>306</v>
      </c>
      <c r="Q823" s="8" t="s">
        <v>52</v>
      </c>
      <c r="R823" s="10" t="s">
        <v>5196</v>
      </c>
      <c r="S823" s="11" t="s">
        <v>5197</v>
      </c>
      <c r="T823" s="6"/>
      <c r="U823" s="15" t="str">
        <f>HYPERLINK("https://media.infra-m.ru/2193/2193098/cover/2193098.jpg", "Обложка")</f>
        <v>Обложка</v>
      </c>
      <c r="V823" s="8" t="s">
        <v>3787</v>
      </c>
      <c r="W823" s="6"/>
      <c r="X823" s="6"/>
      <c r="Y823" s="6"/>
      <c r="Z823" s="6"/>
      <c r="AA823" s="6" t="s">
        <v>430</v>
      </c>
      <c r="AB823" s="8"/>
      <c r="AC823" s="27">
        <v>9785160207933</v>
      </c>
    </row>
    <row r="824" spans="1:29" s="4" customFormat="1" ht="51.9" customHeight="1" x14ac:dyDescent="0.2">
      <c r="A824" s="5">
        <v>0</v>
      </c>
      <c r="B824" s="6" t="s">
        <v>5198</v>
      </c>
      <c r="C824" s="7">
        <v>1572</v>
      </c>
      <c r="D824" s="8" t="s">
        <v>5199</v>
      </c>
      <c r="E824" s="8" t="s">
        <v>5200</v>
      </c>
      <c r="F824" s="8" t="s">
        <v>5201</v>
      </c>
      <c r="G824" s="6" t="s">
        <v>60</v>
      </c>
      <c r="H824" s="6" t="s">
        <v>34</v>
      </c>
      <c r="I824" s="8"/>
      <c r="J824" s="9">
        <v>1</v>
      </c>
      <c r="K824" s="9">
        <v>252</v>
      </c>
      <c r="L824" s="9">
        <v>2025</v>
      </c>
      <c r="M824" s="8" t="s">
        <v>5202</v>
      </c>
      <c r="N824" s="8" t="s">
        <v>37</v>
      </c>
      <c r="O824" s="8" t="s">
        <v>233</v>
      </c>
      <c r="P824" s="6" t="s">
        <v>51</v>
      </c>
      <c r="Q824" s="8" t="s">
        <v>65</v>
      </c>
      <c r="R824" s="10" t="s">
        <v>5203</v>
      </c>
      <c r="S824" s="11"/>
      <c r="T824" s="6"/>
      <c r="U824" s="15" t="str">
        <f>HYPERLINK("https://media.infra-m.ru/2203/2203302/cover/2203302.jpg", "Обложка")</f>
        <v>Обложка</v>
      </c>
      <c r="V824" s="8"/>
      <c r="W824" s="6"/>
      <c r="X824" s="6"/>
      <c r="Y824" s="6"/>
      <c r="Z824" s="6"/>
      <c r="AA824" s="6" t="s">
        <v>68</v>
      </c>
      <c r="AB824" s="8"/>
      <c r="AC824" s="27">
        <v>9785977605717</v>
      </c>
    </row>
    <row r="825" spans="1:29" s="4" customFormat="1" ht="51.9" customHeight="1" x14ac:dyDescent="0.2">
      <c r="A825" s="5">
        <v>0</v>
      </c>
      <c r="B825" s="6" t="s">
        <v>5204</v>
      </c>
      <c r="C825" s="7">
        <v>2104.8000000000002</v>
      </c>
      <c r="D825" s="8" t="s">
        <v>5205</v>
      </c>
      <c r="E825" s="8" t="s">
        <v>5206</v>
      </c>
      <c r="F825" s="8" t="s">
        <v>5207</v>
      </c>
      <c r="G825" s="6" t="s">
        <v>118</v>
      </c>
      <c r="H825" s="6" t="s">
        <v>241</v>
      </c>
      <c r="I825" s="8"/>
      <c r="J825" s="9">
        <v>1</v>
      </c>
      <c r="K825" s="9">
        <v>302</v>
      </c>
      <c r="L825" s="9">
        <v>2027</v>
      </c>
      <c r="M825" s="8" t="s">
        <v>5208</v>
      </c>
      <c r="N825" s="8" t="s">
        <v>37</v>
      </c>
      <c r="O825" s="8" t="s">
        <v>233</v>
      </c>
      <c r="P825" s="6" t="s">
        <v>306</v>
      </c>
      <c r="Q825" s="8" t="s">
        <v>52</v>
      </c>
      <c r="R825" s="10" t="s">
        <v>5209</v>
      </c>
      <c r="S825" s="11" t="s">
        <v>5210</v>
      </c>
      <c r="T825" s="6"/>
      <c r="U825" s="15" t="str">
        <f>HYPERLINK("https://media.infra-m.ru/2271/2271223/cover/2271223.jpg", "Обложка")</f>
        <v>Обложка</v>
      </c>
      <c r="V825" s="8" t="s">
        <v>247</v>
      </c>
      <c r="W825" s="6"/>
      <c r="X825" s="6"/>
      <c r="Y825" s="6"/>
      <c r="Z825" s="6"/>
      <c r="AA825" s="6" t="s">
        <v>248</v>
      </c>
      <c r="AB825" s="8"/>
      <c r="AC825" s="27">
        <v>9785955803272</v>
      </c>
    </row>
    <row r="826" spans="1:29" s="4" customFormat="1" ht="51.9" customHeight="1" x14ac:dyDescent="0.2">
      <c r="A826" s="5">
        <v>0</v>
      </c>
      <c r="B826" s="6" t="s">
        <v>5211</v>
      </c>
      <c r="C826" s="13">
        <v>940.8</v>
      </c>
      <c r="D826" s="8" t="s">
        <v>5212</v>
      </c>
      <c r="E826" s="8" t="s">
        <v>5213</v>
      </c>
      <c r="F826" s="8" t="s">
        <v>5214</v>
      </c>
      <c r="G826" s="6" t="s">
        <v>60</v>
      </c>
      <c r="H826" s="6" t="s">
        <v>34</v>
      </c>
      <c r="I826" s="8" t="s">
        <v>271</v>
      </c>
      <c r="J826" s="9">
        <v>1</v>
      </c>
      <c r="K826" s="9">
        <v>156</v>
      </c>
      <c r="L826" s="9">
        <v>2025</v>
      </c>
      <c r="M826" s="8" t="s">
        <v>5215</v>
      </c>
      <c r="N826" s="8" t="s">
        <v>37</v>
      </c>
      <c r="O826" s="8" t="s">
        <v>233</v>
      </c>
      <c r="P826" s="6" t="s">
        <v>51</v>
      </c>
      <c r="Q826" s="8" t="s">
        <v>52</v>
      </c>
      <c r="R826" s="10" t="s">
        <v>3008</v>
      </c>
      <c r="S826" s="11" t="s">
        <v>5216</v>
      </c>
      <c r="T826" s="6"/>
      <c r="U826" s="15" t="str">
        <f>HYPERLINK("https://media.infra-m.ru/2179/2179491/cover/2179491.jpg", "Обложка")</f>
        <v>Обложка</v>
      </c>
      <c r="V826" s="8" t="s">
        <v>1994</v>
      </c>
      <c r="W826" s="6"/>
      <c r="X826" s="6"/>
      <c r="Y826" s="6"/>
      <c r="Z826" s="6"/>
      <c r="AA826" s="6" t="s">
        <v>248</v>
      </c>
      <c r="AB826" s="8"/>
      <c r="AC826" s="27">
        <v>9785160096094</v>
      </c>
    </row>
    <row r="827" spans="1:29" s="4" customFormat="1" ht="51.9" customHeight="1" x14ac:dyDescent="0.2">
      <c r="A827" s="5">
        <v>0</v>
      </c>
      <c r="B827" s="6" t="s">
        <v>5217</v>
      </c>
      <c r="C827" s="7">
        <v>1308</v>
      </c>
      <c r="D827" s="8" t="s">
        <v>5218</v>
      </c>
      <c r="E827" s="8" t="s">
        <v>5219</v>
      </c>
      <c r="F827" s="8" t="s">
        <v>5183</v>
      </c>
      <c r="G827" s="6" t="s">
        <v>118</v>
      </c>
      <c r="H827" s="6" t="s">
        <v>34</v>
      </c>
      <c r="I827" s="8" t="s">
        <v>304</v>
      </c>
      <c r="J827" s="9">
        <v>1</v>
      </c>
      <c r="K827" s="9">
        <v>198</v>
      </c>
      <c r="L827" s="9">
        <v>2026</v>
      </c>
      <c r="M827" s="8" t="s">
        <v>5220</v>
      </c>
      <c r="N827" s="8" t="s">
        <v>37</v>
      </c>
      <c r="O827" s="8" t="s">
        <v>233</v>
      </c>
      <c r="P827" s="6" t="s">
        <v>51</v>
      </c>
      <c r="Q827" s="8" t="s">
        <v>52</v>
      </c>
      <c r="R827" s="10" t="s">
        <v>5221</v>
      </c>
      <c r="S827" s="11" t="s">
        <v>5186</v>
      </c>
      <c r="T827" s="6"/>
      <c r="U827" s="15" t="str">
        <f>HYPERLINK("https://media.infra-m.ru/2242/2242601/cover/2242601.jpg", "Обложка")</f>
        <v>Обложка</v>
      </c>
      <c r="V827" s="8" t="s">
        <v>247</v>
      </c>
      <c r="W827" s="6"/>
      <c r="X827" s="6"/>
      <c r="Y827" s="6"/>
      <c r="Z827" s="6"/>
      <c r="AA827" s="6" t="s">
        <v>1303</v>
      </c>
      <c r="AB827" s="8"/>
      <c r="AC827" s="27">
        <v>9785160164335</v>
      </c>
    </row>
    <row r="828" spans="1:29" s="4" customFormat="1" ht="51.9" customHeight="1" x14ac:dyDescent="0.2">
      <c r="A828" s="5">
        <v>0</v>
      </c>
      <c r="B828" s="6" t="s">
        <v>5222</v>
      </c>
      <c r="C828" s="7">
        <v>3112.8</v>
      </c>
      <c r="D828" s="8" t="s">
        <v>5223</v>
      </c>
      <c r="E828" s="8" t="s">
        <v>5224</v>
      </c>
      <c r="F828" s="8" t="s">
        <v>5225</v>
      </c>
      <c r="G828" s="6" t="s">
        <v>118</v>
      </c>
      <c r="H828" s="6" t="s">
        <v>34</v>
      </c>
      <c r="I828" s="8" t="s">
        <v>271</v>
      </c>
      <c r="J828" s="9">
        <v>1</v>
      </c>
      <c r="K828" s="9">
        <v>472</v>
      </c>
      <c r="L828" s="9">
        <v>2026</v>
      </c>
      <c r="M828" s="8" t="s">
        <v>5226</v>
      </c>
      <c r="N828" s="8" t="s">
        <v>37</v>
      </c>
      <c r="O828" s="8" t="s">
        <v>233</v>
      </c>
      <c r="P828" s="6" t="s">
        <v>306</v>
      </c>
      <c r="Q828" s="8" t="s">
        <v>52</v>
      </c>
      <c r="R828" s="10" t="s">
        <v>3008</v>
      </c>
      <c r="S828" s="11" t="s">
        <v>5227</v>
      </c>
      <c r="T828" s="6" t="s">
        <v>97</v>
      </c>
      <c r="U828" s="15" t="str">
        <f>HYPERLINK("https://media.infra-m.ru/2255/2255337/cover/2255337.jpg", "Обложка")</f>
        <v>Обложка</v>
      </c>
      <c r="V828" s="8" t="s">
        <v>2055</v>
      </c>
      <c r="W828" s="6"/>
      <c r="X828" s="6"/>
      <c r="Y828" s="6"/>
      <c r="Z828" s="6"/>
      <c r="AA828" s="6" t="s">
        <v>1389</v>
      </c>
      <c r="AB828" s="8"/>
      <c r="AC828" s="27">
        <v>9785160154824</v>
      </c>
    </row>
    <row r="829" spans="1:29" s="4" customFormat="1" ht="51.9" customHeight="1" x14ac:dyDescent="0.2">
      <c r="A829" s="5">
        <v>0</v>
      </c>
      <c r="B829" s="6" t="s">
        <v>5228</v>
      </c>
      <c r="C829" s="7">
        <v>1516.8</v>
      </c>
      <c r="D829" s="8" t="s">
        <v>5229</v>
      </c>
      <c r="E829" s="8" t="s">
        <v>5224</v>
      </c>
      <c r="F829" s="8" t="s">
        <v>5230</v>
      </c>
      <c r="G829" s="6" t="s">
        <v>118</v>
      </c>
      <c r="H829" s="6" t="s">
        <v>34</v>
      </c>
      <c r="I829" s="8" t="s">
        <v>271</v>
      </c>
      <c r="J829" s="9">
        <v>1</v>
      </c>
      <c r="K829" s="9">
        <v>274</v>
      </c>
      <c r="L829" s="9">
        <v>2023</v>
      </c>
      <c r="M829" s="8" t="s">
        <v>5231</v>
      </c>
      <c r="N829" s="8" t="s">
        <v>37</v>
      </c>
      <c r="O829" s="8" t="s">
        <v>233</v>
      </c>
      <c r="P829" s="6" t="s">
        <v>306</v>
      </c>
      <c r="Q829" s="8" t="s">
        <v>52</v>
      </c>
      <c r="R829" s="10" t="s">
        <v>1646</v>
      </c>
      <c r="S829" s="11" t="s">
        <v>5232</v>
      </c>
      <c r="T829" s="6" t="s">
        <v>97</v>
      </c>
      <c r="U829" s="15" t="str">
        <f>HYPERLINK("https://media.infra-m.ru/1911/1911800/cover/1911800.jpg", "Обложка")</f>
        <v>Обложка</v>
      </c>
      <c r="V829" s="8" t="s">
        <v>831</v>
      </c>
      <c r="W829" s="6"/>
      <c r="X829" s="6"/>
      <c r="Y829" s="6"/>
      <c r="Z829" s="6"/>
      <c r="AA829" s="6" t="s">
        <v>1389</v>
      </c>
      <c r="AB829" s="8"/>
      <c r="AC829" s="27">
        <v>9785160158266</v>
      </c>
    </row>
    <row r="830" spans="1:29" s="4" customFormat="1" ht="51.9" customHeight="1" x14ac:dyDescent="0.2">
      <c r="A830" s="5">
        <v>0</v>
      </c>
      <c r="B830" s="6" t="s">
        <v>5233</v>
      </c>
      <c r="C830" s="7">
        <v>1049.9000000000001</v>
      </c>
      <c r="D830" s="8" t="s">
        <v>5234</v>
      </c>
      <c r="E830" s="8" t="s">
        <v>5235</v>
      </c>
      <c r="F830" s="8" t="s">
        <v>5230</v>
      </c>
      <c r="G830" s="6" t="s">
        <v>60</v>
      </c>
      <c r="H830" s="6" t="s">
        <v>34</v>
      </c>
      <c r="I830" s="8" t="s">
        <v>271</v>
      </c>
      <c r="J830" s="9">
        <v>1</v>
      </c>
      <c r="K830" s="9">
        <v>258</v>
      </c>
      <c r="L830" s="9">
        <v>2019</v>
      </c>
      <c r="M830" s="8" t="s">
        <v>5236</v>
      </c>
      <c r="N830" s="8" t="s">
        <v>37</v>
      </c>
      <c r="O830" s="8" t="s">
        <v>233</v>
      </c>
      <c r="P830" s="6" t="s">
        <v>306</v>
      </c>
      <c r="Q830" s="8" t="s">
        <v>52</v>
      </c>
      <c r="R830" s="10" t="s">
        <v>1646</v>
      </c>
      <c r="S830" s="11" t="s">
        <v>5237</v>
      </c>
      <c r="T830" s="6" t="s">
        <v>97</v>
      </c>
      <c r="U830" s="15" t="str">
        <f>HYPERLINK("https://media.infra-m.ru/1053/1053668/cover/1053668.jpg", "Обложка")</f>
        <v>Обложка</v>
      </c>
      <c r="V830" s="8" t="s">
        <v>831</v>
      </c>
      <c r="W830" s="6"/>
      <c r="X830" s="6"/>
      <c r="Y830" s="6"/>
      <c r="Z830" s="6"/>
      <c r="AA830" s="6" t="s">
        <v>404</v>
      </c>
      <c r="AB830" s="8"/>
      <c r="AC830" s="27">
        <v>9785160132044</v>
      </c>
    </row>
    <row r="831" spans="1:29" s="4" customFormat="1" ht="51.9" customHeight="1" x14ac:dyDescent="0.2">
      <c r="A831" s="5">
        <v>0</v>
      </c>
      <c r="B831" s="6" t="s">
        <v>5238</v>
      </c>
      <c r="C831" s="7">
        <v>1548</v>
      </c>
      <c r="D831" s="8" t="s">
        <v>5239</v>
      </c>
      <c r="E831" s="8" t="s">
        <v>5240</v>
      </c>
      <c r="F831" s="8" t="s">
        <v>5241</v>
      </c>
      <c r="G831" s="6" t="s">
        <v>60</v>
      </c>
      <c r="H831" s="6" t="s">
        <v>313</v>
      </c>
      <c r="I831" s="8" t="s">
        <v>253</v>
      </c>
      <c r="J831" s="9">
        <v>1</v>
      </c>
      <c r="K831" s="9">
        <v>478</v>
      </c>
      <c r="L831" s="9">
        <v>2018</v>
      </c>
      <c r="M831" s="8" t="s">
        <v>5242</v>
      </c>
      <c r="N831" s="8" t="s">
        <v>37</v>
      </c>
      <c r="O831" s="8" t="s">
        <v>233</v>
      </c>
      <c r="P831" s="6" t="s">
        <v>306</v>
      </c>
      <c r="Q831" s="8" t="s">
        <v>52</v>
      </c>
      <c r="R831" s="10" t="s">
        <v>5243</v>
      </c>
      <c r="S831" s="11"/>
      <c r="T831" s="6"/>
      <c r="U831" s="15" t="str">
        <f>HYPERLINK("https://media.infra-m.ru/0962/0962130/cover/962130.jpg", "Обложка")</f>
        <v>Обложка</v>
      </c>
      <c r="V831" s="8" t="s">
        <v>5244</v>
      </c>
      <c r="W831" s="6"/>
      <c r="X831" s="6"/>
      <c r="Y831" s="6"/>
      <c r="Z831" s="6"/>
      <c r="AA831" s="6" t="s">
        <v>99</v>
      </c>
      <c r="AB831" s="8"/>
      <c r="AC831" s="27">
        <v>9785369015858</v>
      </c>
    </row>
    <row r="832" spans="1:29" s="4" customFormat="1" ht="51.9" customHeight="1" x14ac:dyDescent="0.2">
      <c r="A832" s="5">
        <v>0</v>
      </c>
      <c r="B832" s="6" t="s">
        <v>5245</v>
      </c>
      <c r="C832" s="7">
        <v>2008.8</v>
      </c>
      <c r="D832" s="8" t="s">
        <v>5246</v>
      </c>
      <c r="E832" s="8" t="s">
        <v>5240</v>
      </c>
      <c r="F832" s="8" t="s">
        <v>5247</v>
      </c>
      <c r="G832" s="6" t="s">
        <v>118</v>
      </c>
      <c r="H832" s="6" t="s">
        <v>34</v>
      </c>
      <c r="I832" s="8" t="s">
        <v>271</v>
      </c>
      <c r="J832" s="9">
        <v>1</v>
      </c>
      <c r="K832" s="9">
        <v>355</v>
      </c>
      <c r="L832" s="9">
        <v>2024</v>
      </c>
      <c r="M832" s="8" t="s">
        <v>5248</v>
      </c>
      <c r="N832" s="8" t="s">
        <v>37</v>
      </c>
      <c r="O832" s="8" t="s">
        <v>233</v>
      </c>
      <c r="P832" s="6" t="s">
        <v>306</v>
      </c>
      <c r="Q832" s="8" t="s">
        <v>52</v>
      </c>
      <c r="R832" s="10" t="s">
        <v>5249</v>
      </c>
      <c r="S832" s="11" t="s">
        <v>2258</v>
      </c>
      <c r="T832" s="6"/>
      <c r="U832" s="15" t="str">
        <f>HYPERLINK("https://media.infra-m.ru/2141/2141471/cover/2141471.jpg", "Обложка")</f>
        <v>Обложка</v>
      </c>
      <c r="V832" s="8" t="s">
        <v>5250</v>
      </c>
      <c r="W832" s="6"/>
      <c r="X832" s="6"/>
      <c r="Y832" s="6"/>
      <c r="Z832" s="6"/>
      <c r="AA832" s="6" t="s">
        <v>115</v>
      </c>
      <c r="AB832" s="8"/>
      <c r="AC832" s="27">
        <v>9785160137032</v>
      </c>
    </row>
    <row r="833" spans="1:29" s="4" customFormat="1" ht="51.9" customHeight="1" x14ac:dyDescent="0.2">
      <c r="A833" s="5">
        <v>0</v>
      </c>
      <c r="B833" s="6" t="s">
        <v>5251</v>
      </c>
      <c r="C833" s="7">
        <v>2220</v>
      </c>
      <c r="D833" s="8" t="s">
        <v>5252</v>
      </c>
      <c r="E833" s="8" t="s">
        <v>5240</v>
      </c>
      <c r="F833" s="8" t="s">
        <v>5247</v>
      </c>
      <c r="G833" s="6" t="s">
        <v>118</v>
      </c>
      <c r="H833" s="6" t="s">
        <v>34</v>
      </c>
      <c r="I833" s="8" t="s">
        <v>263</v>
      </c>
      <c r="J833" s="9">
        <v>1</v>
      </c>
      <c r="K833" s="9">
        <v>355</v>
      </c>
      <c r="L833" s="9">
        <v>2025</v>
      </c>
      <c r="M833" s="8" t="s">
        <v>5253</v>
      </c>
      <c r="N833" s="8" t="s">
        <v>37</v>
      </c>
      <c r="O833" s="8" t="s">
        <v>233</v>
      </c>
      <c r="P833" s="6" t="s">
        <v>306</v>
      </c>
      <c r="Q833" s="8" t="s">
        <v>265</v>
      </c>
      <c r="R833" s="10" t="s">
        <v>5254</v>
      </c>
      <c r="S833" s="11" t="s">
        <v>5255</v>
      </c>
      <c r="T833" s="6"/>
      <c r="U833" s="15" t="str">
        <f>HYPERLINK("https://media.infra-m.ru/2214/2214253/cover/2214253.jpg", "Обложка")</f>
        <v>Обложка</v>
      </c>
      <c r="V833" s="8" t="s">
        <v>5250</v>
      </c>
      <c r="W833" s="6"/>
      <c r="X833" s="6"/>
      <c r="Y833" s="6"/>
      <c r="Z833" s="6" t="s">
        <v>267</v>
      </c>
      <c r="AA833" s="6" t="s">
        <v>430</v>
      </c>
      <c r="AB833" s="8"/>
      <c r="AC833" s="27">
        <v>9785160160481</v>
      </c>
    </row>
    <row r="834" spans="1:29" s="4" customFormat="1" ht="51.9" customHeight="1" x14ac:dyDescent="0.2">
      <c r="A834" s="5">
        <v>0</v>
      </c>
      <c r="B834" s="6" t="s">
        <v>5256</v>
      </c>
      <c r="C834" s="7">
        <v>1373.9</v>
      </c>
      <c r="D834" s="8" t="s">
        <v>5257</v>
      </c>
      <c r="E834" s="8" t="s">
        <v>5240</v>
      </c>
      <c r="F834" s="8" t="s">
        <v>5258</v>
      </c>
      <c r="G834" s="6" t="s">
        <v>60</v>
      </c>
      <c r="H834" s="6" t="s">
        <v>34</v>
      </c>
      <c r="I834" s="8" t="s">
        <v>271</v>
      </c>
      <c r="J834" s="9">
        <v>1</v>
      </c>
      <c r="K834" s="9">
        <v>336</v>
      </c>
      <c r="L834" s="9">
        <v>2020</v>
      </c>
      <c r="M834" s="8" t="s">
        <v>5259</v>
      </c>
      <c r="N834" s="8" t="s">
        <v>37</v>
      </c>
      <c r="O834" s="8" t="s">
        <v>233</v>
      </c>
      <c r="P834" s="6" t="s">
        <v>51</v>
      </c>
      <c r="Q834" s="8" t="s">
        <v>52</v>
      </c>
      <c r="R834" s="10" t="s">
        <v>5260</v>
      </c>
      <c r="S834" s="11" t="s">
        <v>5261</v>
      </c>
      <c r="T834" s="6"/>
      <c r="U834" s="15" t="str">
        <f>HYPERLINK("https://media.infra-m.ru/1081/1081134/cover/1081134.jpg", "Обложка")</f>
        <v>Обложка</v>
      </c>
      <c r="V834" s="8" t="s">
        <v>1994</v>
      </c>
      <c r="W834" s="6"/>
      <c r="X834" s="6"/>
      <c r="Y834" s="6"/>
      <c r="Z834" s="6"/>
      <c r="AA834" s="6" t="s">
        <v>248</v>
      </c>
      <c r="AB834" s="8"/>
      <c r="AC834" s="27">
        <v>9785160091440</v>
      </c>
    </row>
    <row r="835" spans="1:29" s="4" customFormat="1" ht="42" customHeight="1" x14ac:dyDescent="0.2">
      <c r="A835" s="5">
        <v>0</v>
      </c>
      <c r="B835" s="6" t="s">
        <v>5262</v>
      </c>
      <c r="C835" s="7">
        <v>2992.8</v>
      </c>
      <c r="D835" s="8" t="s">
        <v>5263</v>
      </c>
      <c r="E835" s="8" t="s">
        <v>5240</v>
      </c>
      <c r="F835" s="8" t="s">
        <v>5264</v>
      </c>
      <c r="G835" s="6" t="s">
        <v>60</v>
      </c>
      <c r="H835" s="6" t="s">
        <v>1644</v>
      </c>
      <c r="I835" s="8" t="s">
        <v>1904</v>
      </c>
      <c r="J835" s="9">
        <v>8</v>
      </c>
      <c r="K835" s="9">
        <v>576</v>
      </c>
      <c r="L835" s="9">
        <v>2025</v>
      </c>
      <c r="M835" s="8" t="s">
        <v>5265</v>
      </c>
      <c r="N835" s="8" t="s">
        <v>37</v>
      </c>
      <c r="O835" s="8" t="s">
        <v>233</v>
      </c>
      <c r="P835" s="6" t="s">
        <v>51</v>
      </c>
      <c r="Q835" s="8" t="s">
        <v>52</v>
      </c>
      <c r="R835" s="10" t="s">
        <v>3008</v>
      </c>
      <c r="S835" s="11"/>
      <c r="T835" s="6"/>
      <c r="U835" s="15" t="str">
        <f>HYPERLINK("https://media.infra-m.ru/2162/2162491/cover/2162491.jpg", "Обложка")</f>
        <v>Обложка</v>
      </c>
      <c r="V835" s="8"/>
      <c r="W835" s="6"/>
      <c r="X835" s="6"/>
      <c r="Y835" s="6"/>
      <c r="Z835" s="6"/>
      <c r="AA835" s="6" t="s">
        <v>248</v>
      </c>
      <c r="AB835" s="8"/>
      <c r="AC835" s="27">
        <v>9785977602945</v>
      </c>
    </row>
    <row r="836" spans="1:29" s="4" customFormat="1" ht="44.1" customHeight="1" x14ac:dyDescent="0.2">
      <c r="A836" s="5">
        <v>0</v>
      </c>
      <c r="B836" s="6" t="s">
        <v>5266</v>
      </c>
      <c r="C836" s="7">
        <v>4668</v>
      </c>
      <c r="D836" s="8" t="s">
        <v>5267</v>
      </c>
      <c r="E836" s="8" t="s">
        <v>5240</v>
      </c>
      <c r="F836" s="8" t="s">
        <v>5268</v>
      </c>
      <c r="G836" s="6" t="s">
        <v>60</v>
      </c>
      <c r="H836" s="6" t="s">
        <v>34</v>
      </c>
      <c r="I836" s="8"/>
      <c r="J836" s="9">
        <v>1</v>
      </c>
      <c r="K836" s="9">
        <v>704</v>
      </c>
      <c r="L836" s="9">
        <v>2026</v>
      </c>
      <c r="M836" s="8" t="s">
        <v>5269</v>
      </c>
      <c r="N836" s="8" t="s">
        <v>37</v>
      </c>
      <c r="O836" s="8" t="s">
        <v>233</v>
      </c>
      <c r="P836" s="6" t="s">
        <v>51</v>
      </c>
      <c r="Q836" s="8" t="s">
        <v>52</v>
      </c>
      <c r="R836" s="10" t="s">
        <v>5270</v>
      </c>
      <c r="S836" s="11"/>
      <c r="T836" s="6"/>
      <c r="U836" s="15" t="str">
        <f>HYPERLINK("https://media.infra-m.ru/2220/2220069/cover/2220069.jpg", "Обложка")</f>
        <v>Обложка</v>
      </c>
      <c r="V836" s="8" t="s">
        <v>5271</v>
      </c>
      <c r="W836" s="6" t="s">
        <v>342</v>
      </c>
      <c r="X836" s="6"/>
      <c r="Y836" s="6"/>
      <c r="Z836" s="6"/>
      <c r="AA836" s="6" t="s">
        <v>187</v>
      </c>
      <c r="AB836" s="8"/>
      <c r="AC836" s="27">
        <v>9785160213187</v>
      </c>
    </row>
    <row r="837" spans="1:29" s="4" customFormat="1" ht="51.9" customHeight="1" x14ac:dyDescent="0.2">
      <c r="A837" s="5">
        <v>0</v>
      </c>
      <c r="B837" s="6" t="s">
        <v>5272</v>
      </c>
      <c r="C837" s="7">
        <v>2496</v>
      </c>
      <c r="D837" s="8" t="s">
        <v>5273</v>
      </c>
      <c r="E837" s="8" t="s">
        <v>5235</v>
      </c>
      <c r="F837" s="8" t="s">
        <v>2268</v>
      </c>
      <c r="G837" s="6" t="s">
        <v>118</v>
      </c>
      <c r="H837" s="6" t="s">
        <v>34</v>
      </c>
      <c r="I837" s="8" t="s">
        <v>253</v>
      </c>
      <c r="J837" s="9">
        <v>1</v>
      </c>
      <c r="K837" s="9">
        <v>358</v>
      </c>
      <c r="L837" s="9">
        <v>2027</v>
      </c>
      <c r="M837" s="8" t="s">
        <v>5274</v>
      </c>
      <c r="N837" s="8" t="s">
        <v>37</v>
      </c>
      <c r="O837" s="8" t="s">
        <v>233</v>
      </c>
      <c r="P837" s="6" t="s">
        <v>51</v>
      </c>
      <c r="Q837" s="8" t="s">
        <v>52</v>
      </c>
      <c r="R837" s="10" t="s">
        <v>5260</v>
      </c>
      <c r="S837" s="11" t="s">
        <v>5275</v>
      </c>
      <c r="T837" s="6" t="s">
        <v>97</v>
      </c>
      <c r="U837" s="15" t="str">
        <f>HYPERLINK("https://media.infra-m.ru/2267/2267623/cover/2267623.jpg", "Обложка")</f>
        <v>Обложка</v>
      </c>
      <c r="V837" s="8" t="s">
        <v>1994</v>
      </c>
      <c r="W837" s="6"/>
      <c r="X837" s="6"/>
      <c r="Y837" s="6"/>
      <c r="Z837" s="6"/>
      <c r="AA837" s="6" t="s">
        <v>896</v>
      </c>
      <c r="AB837" s="8"/>
      <c r="AC837" s="27">
        <v>9785160224480</v>
      </c>
    </row>
    <row r="838" spans="1:29" s="4" customFormat="1" ht="51.9" customHeight="1" x14ac:dyDescent="0.2">
      <c r="A838" s="5">
        <v>0</v>
      </c>
      <c r="B838" s="6" t="s">
        <v>5276</v>
      </c>
      <c r="C838" s="7">
        <v>1872</v>
      </c>
      <c r="D838" s="8" t="s">
        <v>5277</v>
      </c>
      <c r="E838" s="8" t="s">
        <v>5235</v>
      </c>
      <c r="F838" s="8" t="s">
        <v>5278</v>
      </c>
      <c r="G838" s="6" t="s">
        <v>60</v>
      </c>
      <c r="H838" s="6" t="s">
        <v>313</v>
      </c>
      <c r="I838" s="8"/>
      <c r="J838" s="9">
        <v>1</v>
      </c>
      <c r="K838" s="9">
        <v>488</v>
      </c>
      <c r="L838" s="9">
        <v>2019</v>
      </c>
      <c r="M838" s="8" t="s">
        <v>5279</v>
      </c>
      <c r="N838" s="8" t="s">
        <v>37</v>
      </c>
      <c r="O838" s="8" t="s">
        <v>233</v>
      </c>
      <c r="P838" s="6" t="s">
        <v>306</v>
      </c>
      <c r="Q838" s="8" t="s">
        <v>52</v>
      </c>
      <c r="R838" s="10" t="s">
        <v>5243</v>
      </c>
      <c r="S838" s="11"/>
      <c r="T838" s="6"/>
      <c r="U838" s="15" t="str">
        <f>HYPERLINK("https://media.infra-m.ru/0988/0988026/cover/988026.jpg", "Обложка")</f>
        <v>Обложка</v>
      </c>
      <c r="V838" s="8" t="s">
        <v>5244</v>
      </c>
      <c r="W838" s="6"/>
      <c r="X838" s="6"/>
      <c r="Y838" s="6"/>
      <c r="Z838" s="6"/>
      <c r="AA838" s="6" t="s">
        <v>2240</v>
      </c>
      <c r="AB838" s="8"/>
      <c r="AC838" s="27">
        <v>9785369017906</v>
      </c>
    </row>
    <row r="839" spans="1:29" s="4" customFormat="1" ht="42" customHeight="1" x14ac:dyDescent="0.2">
      <c r="A839" s="5">
        <v>0</v>
      </c>
      <c r="B839" s="6" t="s">
        <v>5280</v>
      </c>
      <c r="C839" s="7">
        <v>2248.8000000000002</v>
      </c>
      <c r="D839" s="8" t="s">
        <v>5281</v>
      </c>
      <c r="E839" s="8" t="s">
        <v>5282</v>
      </c>
      <c r="F839" s="8" t="s">
        <v>5283</v>
      </c>
      <c r="G839" s="6" t="s">
        <v>60</v>
      </c>
      <c r="H839" s="6" t="s">
        <v>34</v>
      </c>
      <c r="I839" s="8" t="s">
        <v>271</v>
      </c>
      <c r="J839" s="9">
        <v>1</v>
      </c>
      <c r="K839" s="9">
        <v>407</v>
      </c>
      <c r="L839" s="9">
        <v>2024</v>
      </c>
      <c r="M839" s="8" t="s">
        <v>5284</v>
      </c>
      <c r="N839" s="8" t="s">
        <v>37</v>
      </c>
      <c r="O839" s="8" t="s">
        <v>233</v>
      </c>
      <c r="P839" s="6" t="s">
        <v>51</v>
      </c>
      <c r="Q839" s="8" t="s">
        <v>52</v>
      </c>
      <c r="R839" s="10" t="s">
        <v>3008</v>
      </c>
      <c r="S839" s="11"/>
      <c r="T839" s="6" t="s">
        <v>97</v>
      </c>
      <c r="U839" s="15" t="str">
        <f>HYPERLINK("https://media.infra-m.ru/2091/2091893/cover/2091893.jpg", "Обложка")</f>
        <v>Обложка</v>
      </c>
      <c r="V839" s="8" t="s">
        <v>1994</v>
      </c>
      <c r="W839" s="6"/>
      <c r="X839" s="6"/>
      <c r="Y839" s="6"/>
      <c r="Z839" s="6"/>
      <c r="AA839" s="6" t="s">
        <v>779</v>
      </c>
      <c r="AB839" s="8"/>
      <c r="AC839" s="27">
        <v>9785160110165</v>
      </c>
    </row>
    <row r="840" spans="1:29" s="4" customFormat="1" ht="42" customHeight="1" x14ac:dyDescent="0.2">
      <c r="A840" s="5">
        <v>0</v>
      </c>
      <c r="B840" s="6" t="s">
        <v>5285</v>
      </c>
      <c r="C840" s="7">
        <v>4456.8</v>
      </c>
      <c r="D840" s="8" t="s">
        <v>5286</v>
      </c>
      <c r="E840" s="8" t="s">
        <v>5287</v>
      </c>
      <c r="F840" s="8" t="s">
        <v>5288</v>
      </c>
      <c r="G840" s="6" t="s">
        <v>60</v>
      </c>
      <c r="H840" s="6" t="s">
        <v>34</v>
      </c>
      <c r="I840" s="8" t="s">
        <v>253</v>
      </c>
      <c r="J840" s="9">
        <v>1</v>
      </c>
      <c r="K840" s="9">
        <v>641</v>
      </c>
      <c r="L840" s="9">
        <v>2027</v>
      </c>
      <c r="M840" s="8" t="s">
        <v>5289</v>
      </c>
      <c r="N840" s="8" t="s">
        <v>37</v>
      </c>
      <c r="O840" s="8" t="s">
        <v>233</v>
      </c>
      <c r="P840" s="6" t="s">
        <v>306</v>
      </c>
      <c r="Q840" s="8" t="s">
        <v>65</v>
      </c>
      <c r="R840" s="10" t="s">
        <v>5290</v>
      </c>
      <c r="S840" s="11"/>
      <c r="T840" s="6"/>
      <c r="U840" s="15" t="str">
        <f>HYPERLINK("https://media.infra-m.ru/2243/2243459/cover/2243459.jpg", "Обложка")</f>
        <v>Обложка</v>
      </c>
      <c r="V840" s="8" t="s">
        <v>1994</v>
      </c>
      <c r="W840" s="6"/>
      <c r="X840" s="6"/>
      <c r="Y840" s="6"/>
      <c r="Z840" s="6"/>
      <c r="AA840" s="6" t="s">
        <v>76</v>
      </c>
      <c r="AB840" s="8"/>
      <c r="AC840" s="27">
        <v>9785160183084</v>
      </c>
    </row>
    <row r="841" spans="1:29" s="4" customFormat="1" ht="51.9" customHeight="1" x14ac:dyDescent="0.2">
      <c r="A841" s="5">
        <v>0</v>
      </c>
      <c r="B841" s="6" t="s">
        <v>5291</v>
      </c>
      <c r="C841" s="7">
        <v>2328</v>
      </c>
      <c r="D841" s="8" t="s">
        <v>5292</v>
      </c>
      <c r="E841" s="8" t="s">
        <v>5293</v>
      </c>
      <c r="F841" s="8" t="s">
        <v>5294</v>
      </c>
      <c r="G841" s="6" t="s">
        <v>60</v>
      </c>
      <c r="H841" s="6" t="s">
        <v>34</v>
      </c>
      <c r="I841" s="8" t="s">
        <v>253</v>
      </c>
      <c r="J841" s="9">
        <v>1</v>
      </c>
      <c r="K841" s="9">
        <v>420</v>
      </c>
      <c r="L841" s="9">
        <v>2024</v>
      </c>
      <c r="M841" s="8" t="s">
        <v>5295</v>
      </c>
      <c r="N841" s="8" t="s">
        <v>37</v>
      </c>
      <c r="O841" s="8" t="s">
        <v>233</v>
      </c>
      <c r="P841" s="6" t="s">
        <v>306</v>
      </c>
      <c r="Q841" s="8" t="s">
        <v>52</v>
      </c>
      <c r="R841" s="10" t="s">
        <v>5296</v>
      </c>
      <c r="S841" s="11" t="s">
        <v>5297</v>
      </c>
      <c r="T841" s="6" t="s">
        <v>97</v>
      </c>
      <c r="U841" s="15" t="str">
        <f>HYPERLINK("https://media.infra-m.ru/2128/2128029/cover/2128029.jpg", "Обложка")</f>
        <v>Обложка</v>
      </c>
      <c r="V841" s="8" t="s">
        <v>67</v>
      </c>
      <c r="W841" s="6"/>
      <c r="X841" s="6"/>
      <c r="Y841" s="6"/>
      <c r="Z841" s="6"/>
      <c r="AA841" s="6" t="s">
        <v>218</v>
      </c>
      <c r="AB841" s="8"/>
      <c r="AC841" s="27">
        <v>9785160184425</v>
      </c>
    </row>
    <row r="842" spans="1:29" s="4" customFormat="1" ht="42" customHeight="1" x14ac:dyDescent="0.2">
      <c r="A842" s="5">
        <v>0</v>
      </c>
      <c r="B842" s="6" t="s">
        <v>5298</v>
      </c>
      <c r="C842" s="7">
        <v>1104</v>
      </c>
      <c r="D842" s="8" t="s">
        <v>5299</v>
      </c>
      <c r="E842" s="8" t="s">
        <v>5300</v>
      </c>
      <c r="F842" s="8" t="s">
        <v>5301</v>
      </c>
      <c r="G842" s="6" t="s">
        <v>118</v>
      </c>
      <c r="H842" s="6" t="s">
        <v>1644</v>
      </c>
      <c r="I842" s="8"/>
      <c r="J842" s="9">
        <v>1</v>
      </c>
      <c r="K842" s="9">
        <v>184</v>
      </c>
      <c r="L842" s="9">
        <v>2025</v>
      </c>
      <c r="M842" s="8" t="s">
        <v>5302</v>
      </c>
      <c r="N842" s="8" t="s">
        <v>37</v>
      </c>
      <c r="O842" s="8" t="s">
        <v>233</v>
      </c>
      <c r="P842" s="6" t="s">
        <v>51</v>
      </c>
      <c r="Q842" s="8" t="s">
        <v>52</v>
      </c>
      <c r="R842" s="10" t="s">
        <v>357</v>
      </c>
      <c r="S842" s="11"/>
      <c r="T842" s="6"/>
      <c r="U842" s="15" t="str">
        <f>HYPERLINK("https://media.infra-m.ru/2163/2163979/cover/2163979.jpg", "Обложка")</f>
        <v>Обложка</v>
      </c>
      <c r="V842" s="8" t="s">
        <v>5303</v>
      </c>
      <c r="W842" s="6"/>
      <c r="X842" s="6"/>
      <c r="Y842" s="6"/>
      <c r="Z842" s="6"/>
      <c r="AA842" s="6" t="s">
        <v>430</v>
      </c>
      <c r="AB842" s="8"/>
      <c r="AC842" s="27">
        <v>9785977605342</v>
      </c>
    </row>
    <row r="843" spans="1:29" s="4" customFormat="1" ht="42" customHeight="1" x14ac:dyDescent="0.2">
      <c r="A843" s="5">
        <v>0</v>
      </c>
      <c r="B843" s="6" t="s">
        <v>5304</v>
      </c>
      <c r="C843" s="7">
        <v>2052</v>
      </c>
      <c r="D843" s="8" t="s">
        <v>5305</v>
      </c>
      <c r="E843" s="8" t="s">
        <v>5306</v>
      </c>
      <c r="F843" s="8" t="s">
        <v>5307</v>
      </c>
      <c r="G843" s="6" t="s">
        <v>118</v>
      </c>
      <c r="H843" s="6" t="s">
        <v>313</v>
      </c>
      <c r="I843" s="8"/>
      <c r="J843" s="9">
        <v>1</v>
      </c>
      <c r="K843" s="9">
        <v>450</v>
      </c>
      <c r="L843" s="9">
        <v>2022</v>
      </c>
      <c r="M843" s="8" t="s">
        <v>5308</v>
      </c>
      <c r="N843" s="8" t="s">
        <v>37</v>
      </c>
      <c r="O843" s="8" t="s">
        <v>233</v>
      </c>
      <c r="P843" s="6" t="s">
        <v>51</v>
      </c>
      <c r="Q843" s="8" t="s">
        <v>52</v>
      </c>
      <c r="R843" s="10" t="s">
        <v>3008</v>
      </c>
      <c r="S843" s="11"/>
      <c r="T843" s="6"/>
      <c r="U843" s="15" t="str">
        <f>HYPERLINK("https://media.infra-m.ru/1862/1862379/cover/1862379.jpg", "Обложка")</f>
        <v>Обложка</v>
      </c>
      <c r="V843" s="8" t="s">
        <v>2095</v>
      </c>
      <c r="W843" s="6"/>
      <c r="X843" s="6"/>
      <c r="Y843" s="6"/>
      <c r="Z843" s="6"/>
      <c r="AA843" s="6" t="s">
        <v>86</v>
      </c>
      <c r="AB843" s="8"/>
      <c r="AC843" s="27">
        <v>9785369017197</v>
      </c>
    </row>
    <row r="844" spans="1:29" s="4" customFormat="1" ht="44.1" customHeight="1" x14ac:dyDescent="0.2">
      <c r="A844" s="5">
        <v>0</v>
      </c>
      <c r="B844" s="6" t="s">
        <v>5309</v>
      </c>
      <c r="C844" s="7">
        <v>2556</v>
      </c>
      <c r="D844" s="8" t="s">
        <v>5310</v>
      </c>
      <c r="E844" s="8" t="s">
        <v>5311</v>
      </c>
      <c r="F844" s="8" t="s">
        <v>5312</v>
      </c>
      <c r="G844" s="6" t="s">
        <v>118</v>
      </c>
      <c r="H844" s="6" t="s">
        <v>313</v>
      </c>
      <c r="I844" s="8" t="s">
        <v>253</v>
      </c>
      <c r="J844" s="9">
        <v>1</v>
      </c>
      <c r="K844" s="9">
        <v>560</v>
      </c>
      <c r="L844" s="9">
        <v>2022</v>
      </c>
      <c r="M844" s="8" t="s">
        <v>5313</v>
      </c>
      <c r="N844" s="8" t="s">
        <v>37</v>
      </c>
      <c r="O844" s="8" t="s">
        <v>233</v>
      </c>
      <c r="P844" s="6" t="s">
        <v>306</v>
      </c>
      <c r="Q844" s="8" t="s">
        <v>52</v>
      </c>
      <c r="R844" s="10" t="s">
        <v>5314</v>
      </c>
      <c r="S844" s="11"/>
      <c r="T844" s="6" t="s">
        <v>97</v>
      </c>
      <c r="U844" s="15" t="str">
        <f>HYPERLINK("https://media.infra-m.ru/1863/1863103/cover/1863103.jpg", "Обложка")</f>
        <v>Обложка</v>
      </c>
      <c r="V844" s="8" t="s">
        <v>2095</v>
      </c>
      <c r="W844" s="6"/>
      <c r="X844" s="6"/>
      <c r="Y844" s="6"/>
      <c r="Z844" s="6"/>
      <c r="AA844" s="6" t="s">
        <v>99</v>
      </c>
      <c r="AB844" s="8"/>
      <c r="AC844" s="27">
        <v>9785369017029</v>
      </c>
    </row>
    <row r="845" spans="1:29" s="4" customFormat="1" ht="42" customHeight="1" x14ac:dyDescent="0.2">
      <c r="A845" s="5">
        <v>0</v>
      </c>
      <c r="B845" s="6" t="s">
        <v>5315</v>
      </c>
      <c r="C845" s="13">
        <v>852</v>
      </c>
      <c r="D845" s="8" t="s">
        <v>5316</v>
      </c>
      <c r="E845" s="8" t="s">
        <v>5317</v>
      </c>
      <c r="F845" s="8" t="s">
        <v>5318</v>
      </c>
      <c r="G845" s="6" t="s">
        <v>33</v>
      </c>
      <c r="H845" s="6" t="s">
        <v>34</v>
      </c>
      <c r="I845" s="8" t="s">
        <v>35</v>
      </c>
      <c r="J845" s="9">
        <v>1</v>
      </c>
      <c r="K845" s="9">
        <v>172</v>
      </c>
      <c r="L845" s="9">
        <v>2022</v>
      </c>
      <c r="M845" s="8" t="s">
        <v>5319</v>
      </c>
      <c r="N845" s="8" t="s">
        <v>37</v>
      </c>
      <c r="O845" s="8" t="s">
        <v>233</v>
      </c>
      <c r="P845" s="6" t="s">
        <v>39</v>
      </c>
      <c r="Q845" s="8" t="s">
        <v>40</v>
      </c>
      <c r="R845" s="10" t="s">
        <v>5320</v>
      </c>
      <c r="S845" s="11"/>
      <c r="T845" s="6"/>
      <c r="U845" s="15" t="str">
        <f>HYPERLINK("https://media.infra-m.ru/1856/1856938/cover/1856938.jpg", "Обложка")</f>
        <v>Обложка</v>
      </c>
      <c r="V845" s="8" t="s">
        <v>5271</v>
      </c>
      <c r="W845" s="6"/>
      <c r="X845" s="6"/>
      <c r="Y845" s="6"/>
      <c r="Z845" s="6"/>
      <c r="AA845" s="6" t="s">
        <v>115</v>
      </c>
      <c r="AB845" s="8"/>
      <c r="AC845" s="27">
        <v>9785160155197</v>
      </c>
    </row>
    <row r="846" spans="1:29" s="4" customFormat="1" ht="42" customHeight="1" x14ac:dyDescent="0.2">
      <c r="A846" s="5">
        <v>0</v>
      </c>
      <c r="B846" s="6" t="s">
        <v>5321</v>
      </c>
      <c r="C846" s="7">
        <v>1504.8</v>
      </c>
      <c r="D846" s="8" t="s">
        <v>5322</v>
      </c>
      <c r="E846" s="8" t="s">
        <v>5323</v>
      </c>
      <c r="F846" s="8" t="s">
        <v>5324</v>
      </c>
      <c r="G846" s="6" t="s">
        <v>33</v>
      </c>
      <c r="H846" s="6" t="s">
        <v>1644</v>
      </c>
      <c r="I846" s="8"/>
      <c r="J846" s="9">
        <v>1</v>
      </c>
      <c r="K846" s="9">
        <v>216</v>
      </c>
      <c r="L846" s="9">
        <v>2027</v>
      </c>
      <c r="M846" s="8" t="s">
        <v>5325</v>
      </c>
      <c r="N846" s="8" t="s">
        <v>37</v>
      </c>
      <c r="O846" s="8" t="s">
        <v>233</v>
      </c>
      <c r="P846" s="6" t="s">
        <v>51</v>
      </c>
      <c r="Q846" s="8" t="s">
        <v>65</v>
      </c>
      <c r="R846" s="10" t="s">
        <v>357</v>
      </c>
      <c r="S846" s="11"/>
      <c r="T846" s="6"/>
      <c r="U846" s="15" t="str">
        <f>HYPERLINK("https://media.infra-m.ru/2271/2271225/cover/2271225.jpg", "Обложка")</f>
        <v>Обложка</v>
      </c>
      <c r="V846" s="8" t="s">
        <v>5117</v>
      </c>
      <c r="W846" s="6"/>
      <c r="X846" s="6"/>
      <c r="Y846" s="6"/>
      <c r="Z846" s="6"/>
      <c r="AA846" s="6" t="s">
        <v>1256</v>
      </c>
      <c r="AB846" s="8"/>
      <c r="AC846" s="27">
        <v>9785977605175</v>
      </c>
    </row>
    <row r="847" spans="1:29" s="4" customFormat="1" ht="42" customHeight="1" x14ac:dyDescent="0.2">
      <c r="A847" s="5">
        <v>0</v>
      </c>
      <c r="B847" s="6" t="s">
        <v>5326</v>
      </c>
      <c r="C847" s="7">
        <v>1092</v>
      </c>
      <c r="D847" s="8" t="s">
        <v>5327</v>
      </c>
      <c r="E847" s="8" t="s">
        <v>5328</v>
      </c>
      <c r="F847" s="8" t="s">
        <v>5329</v>
      </c>
      <c r="G847" s="6" t="s">
        <v>33</v>
      </c>
      <c r="H847" s="6" t="s">
        <v>34</v>
      </c>
      <c r="I847" s="8" t="s">
        <v>35</v>
      </c>
      <c r="J847" s="9">
        <v>1</v>
      </c>
      <c r="K847" s="9">
        <v>181</v>
      </c>
      <c r="L847" s="9">
        <v>2025</v>
      </c>
      <c r="M847" s="8" t="s">
        <v>5330</v>
      </c>
      <c r="N847" s="8" t="s">
        <v>37</v>
      </c>
      <c r="O847" s="8" t="s">
        <v>233</v>
      </c>
      <c r="P847" s="6" t="s">
        <v>39</v>
      </c>
      <c r="Q847" s="8" t="s">
        <v>40</v>
      </c>
      <c r="R847" s="10" t="s">
        <v>5331</v>
      </c>
      <c r="S847" s="11"/>
      <c r="T847" s="6"/>
      <c r="U847" s="15" t="str">
        <f>HYPERLINK("https://media.infra-m.ru/2143/2143086/cover/2143086.jpg", "Обложка")</f>
        <v>Обложка</v>
      </c>
      <c r="V847" s="8" t="s">
        <v>5117</v>
      </c>
      <c r="W847" s="6"/>
      <c r="X847" s="6"/>
      <c r="Y847" s="6"/>
      <c r="Z847" s="6"/>
      <c r="AA847" s="6" t="s">
        <v>68</v>
      </c>
      <c r="AB847" s="8"/>
      <c r="AC847" s="27">
        <v>9785160199009</v>
      </c>
    </row>
    <row r="848" spans="1:29" s="4" customFormat="1" ht="51.9" customHeight="1" x14ac:dyDescent="0.2">
      <c r="A848" s="5">
        <v>0</v>
      </c>
      <c r="B848" s="6" t="s">
        <v>5332</v>
      </c>
      <c r="C848" s="7">
        <v>2428.8000000000002</v>
      </c>
      <c r="D848" s="8" t="s">
        <v>5333</v>
      </c>
      <c r="E848" s="8" t="s">
        <v>5334</v>
      </c>
      <c r="F848" s="8" t="s">
        <v>5335</v>
      </c>
      <c r="G848" s="6" t="s">
        <v>118</v>
      </c>
      <c r="H848" s="6" t="s">
        <v>241</v>
      </c>
      <c r="I848" s="8"/>
      <c r="J848" s="9">
        <v>1</v>
      </c>
      <c r="K848" s="9">
        <v>349</v>
      </c>
      <c r="L848" s="9">
        <v>2027</v>
      </c>
      <c r="M848" s="8" t="s">
        <v>5336</v>
      </c>
      <c r="N848" s="8" t="s">
        <v>37</v>
      </c>
      <c r="O848" s="8" t="s">
        <v>233</v>
      </c>
      <c r="P848" s="6" t="s">
        <v>306</v>
      </c>
      <c r="Q848" s="8" t="s">
        <v>52</v>
      </c>
      <c r="R848" s="10" t="s">
        <v>5337</v>
      </c>
      <c r="S848" s="11" t="s">
        <v>5338</v>
      </c>
      <c r="T848" s="6"/>
      <c r="U848" s="15" t="str">
        <f>HYPERLINK("https://media.infra-m.ru/2271/2271226/cover/2271226.jpg", "Обложка")</f>
        <v>Обложка</v>
      </c>
      <c r="V848" s="8" t="s">
        <v>247</v>
      </c>
      <c r="W848" s="6"/>
      <c r="X848" s="6"/>
      <c r="Y848" s="6"/>
      <c r="Z848" s="6"/>
      <c r="AA848" s="6" t="s">
        <v>2311</v>
      </c>
      <c r="AB848" s="8"/>
      <c r="AC848" s="27">
        <v>9785955805108</v>
      </c>
    </row>
    <row r="849" spans="1:29" s="4" customFormat="1" ht="51.9" customHeight="1" x14ac:dyDescent="0.2">
      <c r="A849" s="5">
        <v>0</v>
      </c>
      <c r="B849" s="6" t="s">
        <v>5339</v>
      </c>
      <c r="C849" s="7">
        <v>1668</v>
      </c>
      <c r="D849" s="8" t="s">
        <v>5340</v>
      </c>
      <c r="E849" s="8" t="s">
        <v>5341</v>
      </c>
      <c r="F849" s="8" t="s">
        <v>5342</v>
      </c>
      <c r="G849" s="6" t="s">
        <v>118</v>
      </c>
      <c r="H849" s="6" t="s">
        <v>34</v>
      </c>
      <c r="I849" s="8" t="s">
        <v>253</v>
      </c>
      <c r="J849" s="9">
        <v>1</v>
      </c>
      <c r="K849" s="9">
        <v>268</v>
      </c>
      <c r="L849" s="9">
        <v>2025</v>
      </c>
      <c r="M849" s="8" t="s">
        <v>5343</v>
      </c>
      <c r="N849" s="8" t="s">
        <v>37</v>
      </c>
      <c r="O849" s="8" t="s">
        <v>233</v>
      </c>
      <c r="P849" s="6" t="s">
        <v>51</v>
      </c>
      <c r="Q849" s="8" t="s">
        <v>52</v>
      </c>
      <c r="R849" s="10" t="s">
        <v>5344</v>
      </c>
      <c r="S849" s="11" t="s">
        <v>5345</v>
      </c>
      <c r="T849" s="6"/>
      <c r="U849" s="15" t="str">
        <f>HYPERLINK("https://media.infra-m.ru/2196/2196079/cover/2196079.jpg", "Обложка")</f>
        <v>Обложка</v>
      </c>
      <c r="V849" s="8" t="s">
        <v>831</v>
      </c>
      <c r="W849" s="6"/>
      <c r="X849" s="6"/>
      <c r="Y849" s="6"/>
      <c r="Z849" s="6"/>
      <c r="AA849" s="6" t="s">
        <v>779</v>
      </c>
      <c r="AB849" s="8"/>
      <c r="AC849" s="27">
        <v>9785160208084</v>
      </c>
    </row>
    <row r="850" spans="1:29" s="4" customFormat="1" ht="51.9" customHeight="1" x14ac:dyDescent="0.2">
      <c r="A850" s="5">
        <v>0</v>
      </c>
      <c r="B850" s="6" t="s">
        <v>5346</v>
      </c>
      <c r="C850" s="7">
        <v>2416.8000000000002</v>
      </c>
      <c r="D850" s="8" t="s">
        <v>5347</v>
      </c>
      <c r="E850" s="8" t="s">
        <v>5348</v>
      </c>
      <c r="F850" s="8" t="s">
        <v>5349</v>
      </c>
      <c r="G850" s="6" t="s">
        <v>118</v>
      </c>
      <c r="H850" s="6" t="s">
        <v>34</v>
      </c>
      <c r="I850" s="8" t="s">
        <v>5350</v>
      </c>
      <c r="J850" s="9">
        <v>1</v>
      </c>
      <c r="K850" s="9">
        <v>391</v>
      </c>
      <c r="L850" s="9">
        <v>2025</v>
      </c>
      <c r="M850" s="8" t="s">
        <v>5351</v>
      </c>
      <c r="N850" s="8" t="s">
        <v>37</v>
      </c>
      <c r="O850" s="8" t="s">
        <v>233</v>
      </c>
      <c r="P850" s="6" t="s">
        <v>51</v>
      </c>
      <c r="Q850" s="8" t="s">
        <v>377</v>
      </c>
      <c r="R850" s="10" t="s">
        <v>5352</v>
      </c>
      <c r="S850" s="11" t="s">
        <v>5353</v>
      </c>
      <c r="T850" s="6"/>
      <c r="U850" s="15" t="str">
        <f>HYPERLINK("https://media.infra-m.ru/2179/2179494/cover/2179494.jpg", "Обложка")</f>
        <v>Обложка</v>
      </c>
      <c r="V850" s="8" t="s">
        <v>2035</v>
      </c>
      <c r="W850" s="6"/>
      <c r="X850" s="6"/>
      <c r="Y850" s="6"/>
      <c r="Z850" s="6"/>
      <c r="AA850" s="6" t="s">
        <v>896</v>
      </c>
      <c r="AB850" s="8"/>
      <c r="AC850" s="27">
        <v>9785160169071</v>
      </c>
    </row>
    <row r="851" spans="1:29" s="4" customFormat="1" ht="51.9" customHeight="1" x14ac:dyDescent="0.2">
      <c r="A851" s="5">
        <v>0</v>
      </c>
      <c r="B851" s="6" t="s">
        <v>5354</v>
      </c>
      <c r="C851" s="7">
        <v>1156.8</v>
      </c>
      <c r="D851" s="8" t="s">
        <v>5355</v>
      </c>
      <c r="E851" s="8" t="s">
        <v>5356</v>
      </c>
      <c r="F851" s="8" t="s">
        <v>5357</v>
      </c>
      <c r="G851" s="6" t="s">
        <v>60</v>
      </c>
      <c r="H851" s="6" t="s">
        <v>1042</v>
      </c>
      <c r="I851" s="8" t="s">
        <v>253</v>
      </c>
      <c r="J851" s="9">
        <v>1</v>
      </c>
      <c r="K851" s="9">
        <v>208</v>
      </c>
      <c r="L851" s="9">
        <v>2024</v>
      </c>
      <c r="M851" s="8" t="s">
        <v>5358</v>
      </c>
      <c r="N851" s="8" t="s">
        <v>37</v>
      </c>
      <c r="O851" s="8" t="s">
        <v>233</v>
      </c>
      <c r="P851" s="6" t="s">
        <v>51</v>
      </c>
      <c r="Q851" s="8" t="s">
        <v>52</v>
      </c>
      <c r="R851" s="10" t="s">
        <v>2033</v>
      </c>
      <c r="S851" s="11" t="s">
        <v>5359</v>
      </c>
      <c r="T851" s="6"/>
      <c r="U851" s="15" t="str">
        <f>HYPERLINK("https://media.infra-m.ru/2074/2074384/cover/2074384.jpg", "Обложка")</f>
        <v>Обложка</v>
      </c>
      <c r="V851" s="8" t="s">
        <v>5360</v>
      </c>
      <c r="W851" s="6"/>
      <c r="X851" s="6"/>
      <c r="Y851" s="6"/>
      <c r="Z851" s="6"/>
      <c r="AA851" s="6" t="s">
        <v>1015</v>
      </c>
      <c r="AB851" s="8"/>
      <c r="AC851" s="27">
        <v>9785819904275</v>
      </c>
    </row>
    <row r="852" spans="1:29" s="4" customFormat="1" ht="51.9" customHeight="1" x14ac:dyDescent="0.2">
      <c r="A852" s="5">
        <v>0</v>
      </c>
      <c r="B852" s="6" t="s">
        <v>5361</v>
      </c>
      <c r="C852" s="7">
        <v>1536</v>
      </c>
      <c r="D852" s="8" t="s">
        <v>5362</v>
      </c>
      <c r="E852" s="8" t="s">
        <v>5363</v>
      </c>
      <c r="F852" s="8" t="s">
        <v>5364</v>
      </c>
      <c r="G852" s="6" t="s">
        <v>118</v>
      </c>
      <c r="H852" s="6" t="s">
        <v>34</v>
      </c>
      <c r="I852" s="8" t="s">
        <v>5350</v>
      </c>
      <c r="J852" s="9">
        <v>1</v>
      </c>
      <c r="K852" s="9">
        <v>283</v>
      </c>
      <c r="L852" s="9">
        <v>2022</v>
      </c>
      <c r="M852" s="8" t="s">
        <v>5365</v>
      </c>
      <c r="N852" s="8" t="s">
        <v>37</v>
      </c>
      <c r="O852" s="8" t="s">
        <v>233</v>
      </c>
      <c r="P852" s="6" t="s">
        <v>51</v>
      </c>
      <c r="Q852" s="8" t="s">
        <v>377</v>
      </c>
      <c r="R852" s="10" t="s">
        <v>5352</v>
      </c>
      <c r="S852" s="11" t="s">
        <v>5366</v>
      </c>
      <c r="T852" s="6"/>
      <c r="U852" s="15" t="str">
        <f>HYPERLINK("https://media.infra-m.ru/1896/1896115/cover/1896115.jpg", "Обложка")</f>
        <v>Обложка</v>
      </c>
      <c r="V852" s="8" t="s">
        <v>2035</v>
      </c>
      <c r="W852" s="6"/>
      <c r="X852" s="6"/>
      <c r="Y852" s="6"/>
      <c r="Z852" s="6"/>
      <c r="AA852" s="6" t="s">
        <v>1256</v>
      </c>
      <c r="AB852" s="8"/>
      <c r="AC852" s="27">
        <v>9785160154862</v>
      </c>
    </row>
    <row r="853" spans="1:29" s="4" customFormat="1" ht="51.9" customHeight="1" x14ac:dyDescent="0.2">
      <c r="A853" s="5">
        <v>0</v>
      </c>
      <c r="B853" s="6" t="s">
        <v>5367</v>
      </c>
      <c r="C853" s="7">
        <v>1816.8</v>
      </c>
      <c r="D853" s="8" t="s">
        <v>5368</v>
      </c>
      <c r="E853" s="8" t="s">
        <v>5369</v>
      </c>
      <c r="F853" s="8" t="s">
        <v>5370</v>
      </c>
      <c r="G853" s="6" t="s">
        <v>60</v>
      </c>
      <c r="H853" s="6" t="s">
        <v>34</v>
      </c>
      <c r="I853" s="8" t="s">
        <v>253</v>
      </c>
      <c r="J853" s="9">
        <v>1</v>
      </c>
      <c r="K853" s="9">
        <v>261</v>
      </c>
      <c r="L853" s="9">
        <v>2027</v>
      </c>
      <c r="M853" s="8" t="s">
        <v>5371</v>
      </c>
      <c r="N853" s="8" t="s">
        <v>37</v>
      </c>
      <c r="O853" s="8" t="s">
        <v>233</v>
      </c>
      <c r="P853" s="6" t="s">
        <v>51</v>
      </c>
      <c r="Q853" s="8" t="s">
        <v>52</v>
      </c>
      <c r="R853" s="10" t="s">
        <v>2033</v>
      </c>
      <c r="S853" s="11" t="s">
        <v>5372</v>
      </c>
      <c r="T853" s="6"/>
      <c r="U853" s="15" t="str">
        <f>HYPERLINK("https://media.infra-m.ru/2271/2271230/cover/2271230.jpg", "Обложка")</f>
        <v>Обложка</v>
      </c>
      <c r="V853" s="8" t="s">
        <v>5360</v>
      </c>
      <c r="W853" s="6"/>
      <c r="X853" s="6"/>
      <c r="Y853" s="6"/>
      <c r="Z853" s="6"/>
      <c r="AA853" s="6" t="s">
        <v>917</v>
      </c>
      <c r="AB853" s="8"/>
      <c r="AC853" s="27">
        <v>9785160196237</v>
      </c>
    </row>
    <row r="854" spans="1:29" s="4" customFormat="1" ht="51.9" customHeight="1" x14ac:dyDescent="0.2">
      <c r="A854" s="5">
        <v>0</v>
      </c>
      <c r="B854" s="6" t="s">
        <v>5373</v>
      </c>
      <c r="C854" s="7">
        <v>1204.8</v>
      </c>
      <c r="D854" s="8" t="s">
        <v>5374</v>
      </c>
      <c r="E854" s="8" t="s">
        <v>5375</v>
      </c>
      <c r="F854" s="8" t="s">
        <v>5376</v>
      </c>
      <c r="G854" s="6" t="s">
        <v>118</v>
      </c>
      <c r="H854" s="6" t="s">
        <v>34</v>
      </c>
      <c r="I854" s="8" t="s">
        <v>263</v>
      </c>
      <c r="J854" s="9">
        <v>1</v>
      </c>
      <c r="K854" s="9">
        <v>182</v>
      </c>
      <c r="L854" s="9">
        <v>2026</v>
      </c>
      <c r="M854" s="8" t="s">
        <v>5377</v>
      </c>
      <c r="N854" s="8" t="s">
        <v>37</v>
      </c>
      <c r="O854" s="8" t="s">
        <v>233</v>
      </c>
      <c r="P854" s="6" t="s">
        <v>306</v>
      </c>
      <c r="Q854" s="8" t="s">
        <v>265</v>
      </c>
      <c r="R854" s="10" t="s">
        <v>5378</v>
      </c>
      <c r="S854" s="11" t="s">
        <v>5379</v>
      </c>
      <c r="T854" s="6"/>
      <c r="U854" s="15" t="str">
        <f>HYPERLINK("https://media.infra-m.ru/2232/2232201/cover/2232201.jpg", "Обложка")</f>
        <v>Обложка</v>
      </c>
      <c r="V854" s="8" t="s">
        <v>4155</v>
      </c>
      <c r="W854" s="6"/>
      <c r="X854" s="6"/>
      <c r="Y854" s="6"/>
      <c r="Z854" s="6"/>
      <c r="AA854" s="6" t="s">
        <v>430</v>
      </c>
      <c r="AB854" s="8" t="s">
        <v>3596</v>
      </c>
      <c r="AC854" s="27">
        <v>9785160151212</v>
      </c>
    </row>
    <row r="855" spans="1:29" s="4" customFormat="1" ht="51.9" customHeight="1" x14ac:dyDescent="0.2">
      <c r="A855" s="5">
        <v>0</v>
      </c>
      <c r="B855" s="6" t="s">
        <v>5380</v>
      </c>
      <c r="C855" s="7">
        <v>4140</v>
      </c>
      <c r="D855" s="8" t="s">
        <v>5381</v>
      </c>
      <c r="E855" s="8" t="s">
        <v>5382</v>
      </c>
      <c r="F855" s="8" t="s">
        <v>5383</v>
      </c>
      <c r="G855" s="6" t="s">
        <v>60</v>
      </c>
      <c r="H855" s="6" t="s">
        <v>34</v>
      </c>
      <c r="I855" s="8" t="s">
        <v>304</v>
      </c>
      <c r="J855" s="9">
        <v>1</v>
      </c>
      <c r="K855" s="9">
        <v>591</v>
      </c>
      <c r="L855" s="9">
        <v>2027</v>
      </c>
      <c r="M855" s="8" t="s">
        <v>5384</v>
      </c>
      <c r="N855" s="8" t="s">
        <v>37</v>
      </c>
      <c r="O855" s="8" t="s">
        <v>233</v>
      </c>
      <c r="P855" s="6" t="s">
        <v>306</v>
      </c>
      <c r="Q855" s="8" t="s">
        <v>52</v>
      </c>
      <c r="R855" s="10" t="s">
        <v>3008</v>
      </c>
      <c r="S855" s="11" t="s">
        <v>5385</v>
      </c>
      <c r="T855" s="6" t="s">
        <v>97</v>
      </c>
      <c r="U855" s="15" t="str">
        <f>HYPERLINK("https://media.infra-m.ru/2266/2266127/cover/2266127.jpg", "Обложка")</f>
        <v>Обложка</v>
      </c>
      <c r="V855" s="8" t="s">
        <v>247</v>
      </c>
      <c r="W855" s="6"/>
      <c r="X855" s="6"/>
      <c r="Y855" s="6"/>
      <c r="Z855" s="6"/>
      <c r="AA855" s="6" t="s">
        <v>3189</v>
      </c>
      <c r="AB855" s="8"/>
      <c r="AC855" s="27">
        <v>9785160208602</v>
      </c>
    </row>
    <row r="856" spans="1:29" s="4" customFormat="1" ht="51.9" customHeight="1" x14ac:dyDescent="0.2">
      <c r="A856" s="5">
        <v>0</v>
      </c>
      <c r="B856" s="6" t="s">
        <v>5386</v>
      </c>
      <c r="C856" s="7">
        <v>2820</v>
      </c>
      <c r="D856" s="8" t="s">
        <v>5387</v>
      </c>
      <c r="E856" s="8" t="s">
        <v>5388</v>
      </c>
      <c r="F856" s="8" t="s">
        <v>5389</v>
      </c>
      <c r="G856" s="6" t="s">
        <v>60</v>
      </c>
      <c r="H856" s="6" t="s">
        <v>34</v>
      </c>
      <c r="I856" s="8"/>
      <c r="J856" s="9">
        <v>1</v>
      </c>
      <c r="K856" s="9">
        <v>416</v>
      </c>
      <c r="L856" s="9">
        <v>2026</v>
      </c>
      <c r="M856" s="8" t="s">
        <v>5390</v>
      </c>
      <c r="N856" s="8" t="s">
        <v>37</v>
      </c>
      <c r="O856" s="8" t="s">
        <v>233</v>
      </c>
      <c r="P856" s="6" t="s">
        <v>306</v>
      </c>
      <c r="Q856" s="8" t="s">
        <v>65</v>
      </c>
      <c r="R856" s="10" t="s">
        <v>5391</v>
      </c>
      <c r="S856" s="11"/>
      <c r="T856" s="6"/>
      <c r="U856" s="15" t="str">
        <f>HYPERLINK("https://media.infra-m.ru/2227/2227256/cover/2227256.jpg", "Обложка")</f>
        <v>Обложка</v>
      </c>
      <c r="V856" s="8" t="s">
        <v>5117</v>
      </c>
      <c r="W856" s="6" t="s">
        <v>186</v>
      </c>
      <c r="X856" s="6"/>
      <c r="Y856" s="6"/>
      <c r="Z856" s="6"/>
      <c r="AA856" s="6" t="s">
        <v>187</v>
      </c>
      <c r="AB856" s="8"/>
      <c r="AC856" s="27">
        <v>9785160214979</v>
      </c>
    </row>
    <row r="857" spans="1:29" s="4" customFormat="1" ht="51.9" customHeight="1" x14ac:dyDescent="0.2">
      <c r="A857" s="5">
        <v>0</v>
      </c>
      <c r="B857" s="6" t="s">
        <v>5392</v>
      </c>
      <c r="C857" s="7">
        <v>3216</v>
      </c>
      <c r="D857" s="8" t="s">
        <v>5393</v>
      </c>
      <c r="E857" s="8" t="s">
        <v>5382</v>
      </c>
      <c r="F857" s="8" t="s">
        <v>5394</v>
      </c>
      <c r="G857" s="6" t="s">
        <v>60</v>
      </c>
      <c r="H857" s="6" t="s">
        <v>34</v>
      </c>
      <c r="I857" s="8" t="s">
        <v>263</v>
      </c>
      <c r="J857" s="9">
        <v>1</v>
      </c>
      <c r="K857" s="9">
        <v>535</v>
      </c>
      <c r="L857" s="9">
        <v>2025</v>
      </c>
      <c r="M857" s="8" t="s">
        <v>5395</v>
      </c>
      <c r="N857" s="8" t="s">
        <v>37</v>
      </c>
      <c r="O857" s="8" t="s">
        <v>233</v>
      </c>
      <c r="P857" s="6" t="s">
        <v>306</v>
      </c>
      <c r="Q857" s="8" t="s">
        <v>265</v>
      </c>
      <c r="R857" s="10" t="s">
        <v>5396</v>
      </c>
      <c r="S857" s="11"/>
      <c r="T857" s="6"/>
      <c r="U857" s="15" t="str">
        <f>HYPERLINK("https://media.infra-m.ru/2108/2108588/cover/2108588.jpg", "Обложка")</f>
        <v>Обложка</v>
      </c>
      <c r="V857" s="8" t="s">
        <v>2075</v>
      </c>
      <c r="W857" s="6"/>
      <c r="X857" s="6"/>
      <c r="Y857" s="6"/>
      <c r="Z857" s="6"/>
      <c r="AA857" s="6" t="s">
        <v>1295</v>
      </c>
      <c r="AB857" s="8"/>
      <c r="AC857" s="27">
        <v>9785160193250</v>
      </c>
    </row>
    <row r="858" spans="1:29" s="4" customFormat="1" ht="51.9" customHeight="1" x14ac:dyDescent="0.2">
      <c r="A858" s="5">
        <v>0</v>
      </c>
      <c r="B858" s="6" t="s">
        <v>5397</v>
      </c>
      <c r="C858" s="7">
        <v>2628</v>
      </c>
      <c r="D858" s="8" t="s">
        <v>5398</v>
      </c>
      <c r="E858" s="8" t="s">
        <v>5388</v>
      </c>
      <c r="F858" s="8" t="s">
        <v>5399</v>
      </c>
      <c r="G858" s="6" t="s">
        <v>60</v>
      </c>
      <c r="H858" s="6" t="s">
        <v>34</v>
      </c>
      <c r="I858" s="8" t="s">
        <v>5350</v>
      </c>
      <c r="J858" s="9">
        <v>1</v>
      </c>
      <c r="K858" s="9">
        <v>581</v>
      </c>
      <c r="L858" s="9">
        <v>2022</v>
      </c>
      <c r="M858" s="8" t="s">
        <v>5400</v>
      </c>
      <c r="N858" s="8" t="s">
        <v>37</v>
      </c>
      <c r="O858" s="8" t="s">
        <v>233</v>
      </c>
      <c r="P858" s="6" t="s">
        <v>306</v>
      </c>
      <c r="Q858" s="8" t="s">
        <v>377</v>
      </c>
      <c r="R858" s="10" t="s">
        <v>5352</v>
      </c>
      <c r="S858" s="11" t="s">
        <v>5401</v>
      </c>
      <c r="T858" s="6"/>
      <c r="U858" s="15" t="str">
        <f>HYPERLINK("https://media.infra-m.ru/1854/1854021/cover/1854021.jpg", "Обложка")</f>
        <v>Обложка</v>
      </c>
      <c r="V858" s="8" t="s">
        <v>2035</v>
      </c>
      <c r="W858" s="6"/>
      <c r="X858" s="6"/>
      <c r="Y858" s="6"/>
      <c r="Z858" s="6"/>
      <c r="AA858" s="6" t="s">
        <v>1256</v>
      </c>
      <c r="AB858" s="8"/>
      <c r="AC858" s="27">
        <v>9785160154466</v>
      </c>
    </row>
    <row r="859" spans="1:29" s="4" customFormat="1" ht="42" customHeight="1" x14ac:dyDescent="0.2">
      <c r="A859" s="5">
        <v>0</v>
      </c>
      <c r="B859" s="6" t="s">
        <v>5402</v>
      </c>
      <c r="C859" s="7">
        <v>2496</v>
      </c>
      <c r="D859" s="8" t="s">
        <v>5403</v>
      </c>
      <c r="E859" s="8" t="s">
        <v>5388</v>
      </c>
      <c r="F859" s="8" t="s">
        <v>5404</v>
      </c>
      <c r="G859" s="6" t="s">
        <v>60</v>
      </c>
      <c r="H859" s="6" t="s">
        <v>34</v>
      </c>
      <c r="I859" s="8" t="s">
        <v>253</v>
      </c>
      <c r="J859" s="9">
        <v>1</v>
      </c>
      <c r="K859" s="9">
        <v>360</v>
      </c>
      <c r="L859" s="9">
        <v>2026</v>
      </c>
      <c r="M859" s="8" t="s">
        <v>5405</v>
      </c>
      <c r="N859" s="8" t="s">
        <v>37</v>
      </c>
      <c r="O859" s="8" t="s">
        <v>233</v>
      </c>
      <c r="P859" s="6" t="s">
        <v>306</v>
      </c>
      <c r="Q859" s="8" t="s">
        <v>52</v>
      </c>
      <c r="R859" s="10" t="s">
        <v>3008</v>
      </c>
      <c r="S859" s="11"/>
      <c r="T859" s="6"/>
      <c r="U859" s="15" t="str">
        <f>HYPERLINK("https://media.infra-m.ru/2200/2200755/cover/2200755.jpg", "Обложка")</f>
        <v>Обложка</v>
      </c>
      <c r="V859" s="8" t="s">
        <v>5406</v>
      </c>
      <c r="W859" s="6" t="s">
        <v>547</v>
      </c>
      <c r="X859" s="6"/>
      <c r="Y859" s="6"/>
      <c r="Z859" s="6"/>
      <c r="AA859" s="6" t="s">
        <v>187</v>
      </c>
      <c r="AB859" s="8" t="s">
        <v>308</v>
      </c>
      <c r="AC859" s="27">
        <v>9785160208664</v>
      </c>
    </row>
    <row r="860" spans="1:29" s="4" customFormat="1" ht="51.9" customHeight="1" x14ac:dyDescent="0.2">
      <c r="A860" s="5">
        <v>0</v>
      </c>
      <c r="B860" s="6" t="s">
        <v>5407</v>
      </c>
      <c r="C860" s="7">
        <v>1500</v>
      </c>
      <c r="D860" s="8" t="s">
        <v>5408</v>
      </c>
      <c r="E860" s="8" t="s">
        <v>5409</v>
      </c>
      <c r="F860" s="8" t="s">
        <v>5410</v>
      </c>
      <c r="G860" s="6" t="s">
        <v>118</v>
      </c>
      <c r="H860" s="6" t="s">
        <v>34</v>
      </c>
      <c r="I860" s="8" t="s">
        <v>263</v>
      </c>
      <c r="J860" s="9">
        <v>1</v>
      </c>
      <c r="K860" s="9">
        <v>304</v>
      </c>
      <c r="L860" s="9">
        <v>2022</v>
      </c>
      <c r="M860" s="8" t="s">
        <v>5411</v>
      </c>
      <c r="N860" s="8" t="s">
        <v>37</v>
      </c>
      <c r="O860" s="8" t="s">
        <v>233</v>
      </c>
      <c r="P860" s="6" t="s">
        <v>51</v>
      </c>
      <c r="Q860" s="8" t="s">
        <v>265</v>
      </c>
      <c r="R860" s="10" t="s">
        <v>5412</v>
      </c>
      <c r="S860" s="11" t="s">
        <v>5413</v>
      </c>
      <c r="T860" s="6"/>
      <c r="U860" s="15" t="str">
        <f>HYPERLINK("https://media.infra-m.ru/1843/1843263/cover/1843263.jpg", "Обложка")</f>
        <v>Обложка</v>
      </c>
      <c r="V860" s="8" t="s">
        <v>5414</v>
      </c>
      <c r="W860" s="6"/>
      <c r="X860" s="6"/>
      <c r="Y860" s="6"/>
      <c r="Z860" s="6"/>
      <c r="AA860" s="6" t="s">
        <v>1375</v>
      </c>
      <c r="AB860" s="8"/>
      <c r="AC860" s="27">
        <v>9785160156828</v>
      </c>
    </row>
    <row r="861" spans="1:29" s="4" customFormat="1" ht="51.9" customHeight="1" x14ac:dyDescent="0.2">
      <c r="A861" s="5">
        <v>0</v>
      </c>
      <c r="B861" s="6" t="s">
        <v>5415</v>
      </c>
      <c r="C861" s="7">
        <v>1373.9</v>
      </c>
      <c r="D861" s="8" t="s">
        <v>5416</v>
      </c>
      <c r="E861" s="8" t="s">
        <v>5382</v>
      </c>
      <c r="F861" s="8" t="s">
        <v>5410</v>
      </c>
      <c r="G861" s="6" t="s">
        <v>33</v>
      </c>
      <c r="H861" s="6" t="s">
        <v>48</v>
      </c>
      <c r="I861" s="8" t="s">
        <v>401</v>
      </c>
      <c r="J861" s="9">
        <v>1</v>
      </c>
      <c r="K861" s="9">
        <v>318</v>
      </c>
      <c r="L861" s="9">
        <v>2020</v>
      </c>
      <c r="M861" s="8" t="s">
        <v>5417</v>
      </c>
      <c r="N861" s="8" t="s">
        <v>37</v>
      </c>
      <c r="O861" s="8" t="s">
        <v>233</v>
      </c>
      <c r="P861" s="6" t="s">
        <v>51</v>
      </c>
      <c r="Q861" s="8" t="s">
        <v>265</v>
      </c>
      <c r="R861" s="10" t="s">
        <v>5412</v>
      </c>
      <c r="S861" s="11" t="s">
        <v>5418</v>
      </c>
      <c r="T861" s="6"/>
      <c r="U861" s="15" t="str">
        <f>HYPERLINK("https://media.infra-m.ru/1141/1141787/cover/1141787.jpg", "Обложка")</f>
        <v>Обложка</v>
      </c>
      <c r="V861" s="8" t="s">
        <v>5414</v>
      </c>
      <c r="W861" s="6"/>
      <c r="X861" s="6"/>
      <c r="Y861" s="6"/>
      <c r="Z861" s="6"/>
      <c r="AA861" s="6" t="s">
        <v>1037</v>
      </c>
      <c r="AB861" s="8"/>
      <c r="AC861" s="27">
        <v>9785911348557</v>
      </c>
    </row>
    <row r="862" spans="1:29" s="4" customFormat="1" ht="51.9" customHeight="1" x14ac:dyDescent="0.2">
      <c r="A862" s="5">
        <v>0</v>
      </c>
      <c r="B862" s="6" t="s">
        <v>5419</v>
      </c>
      <c r="C862" s="7">
        <v>2128.8000000000002</v>
      </c>
      <c r="D862" s="8" t="s">
        <v>5420</v>
      </c>
      <c r="E862" s="8" t="s">
        <v>5421</v>
      </c>
      <c r="F862" s="8" t="s">
        <v>5410</v>
      </c>
      <c r="G862" s="6" t="s">
        <v>60</v>
      </c>
      <c r="H862" s="6" t="s">
        <v>34</v>
      </c>
      <c r="I862" s="8" t="s">
        <v>434</v>
      </c>
      <c r="J862" s="9">
        <v>1</v>
      </c>
      <c r="K862" s="9">
        <v>306</v>
      </c>
      <c r="L862" s="9">
        <v>2027</v>
      </c>
      <c r="M862" s="8" t="s">
        <v>5422</v>
      </c>
      <c r="N862" s="8" t="s">
        <v>37</v>
      </c>
      <c r="O862" s="8" t="s">
        <v>233</v>
      </c>
      <c r="P862" s="6" t="s">
        <v>51</v>
      </c>
      <c r="Q862" s="8" t="s">
        <v>265</v>
      </c>
      <c r="R862" s="10" t="s">
        <v>5412</v>
      </c>
      <c r="S862" s="11"/>
      <c r="T862" s="6"/>
      <c r="U862" s="15" t="str">
        <f>HYPERLINK("https://media.infra-m.ru/2263/2263531/cover/2263531.jpg", "Обложка")</f>
        <v>Обложка</v>
      </c>
      <c r="V862" s="8" t="s">
        <v>5414</v>
      </c>
      <c r="W862" s="6"/>
      <c r="X862" s="6"/>
      <c r="Y862" s="6"/>
      <c r="Z862" s="6"/>
      <c r="AA862" s="6" t="s">
        <v>5423</v>
      </c>
      <c r="AB862" s="8"/>
      <c r="AC862" s="27">
        <v>9785160197432</v>
      </c>
    </row>
    <row r="863" spans="1:29" s="4" customFormat="1" ht="51.9" customHeight="1" x14ac:dyDescent="0.2">
      <c r="A863" s="5">
        <v>0</v>
      </c>
      <c r="B863" s="6" t="s">
        <v>5424</v>
      </c>
      <c r="C863" s="7">
        <v>1192.8</v>
      </c>
      <c r="D863" s="8" t="s">
        <v>5425</v>
      </c>
      <c r="E863" s="8" t="s">
        <v>5426</v>
      </c>
      <c r="F863" s="8" t="s">
        <v>5427</v>
      </c>
      <c r="G863" s="6" t="s">
        <v>60</v>
      </c>
      <c r="H863" s="6" t="s">
        <v>34</v>
      </c>
      <c r="I863" s="8" t="s">
        <v>271</v>
      </c>
      <c r="J863" s="9">
        <v>1</v>
      </c>
      <c r="K863" s="9">
        <v>192</v>
      </c>
      <c r="L863" s="9">
        <v>2025</v>
      </c>
      <c r="M863" s="8" t="s">
        <v>5428</v>
      </c>
      <c r="N863" s="8" t="s">
        <v>37</v>
      </c>
      <c r="O863" s="8" t="s">
        <v>233</v>
      </c>
      <c r="P863" s="6" t="s">
        <v>51</v>
      </c>
      <c r="Q863" s="8" t="s">
        <v>52</v>
      </c>
      <c r="R863" s="10" t="s">
        <v>3008</v>
      </c>
      <c r="S863" s="11" t="s">
        <v>5429</v>
      </c>
      <c r="T863" s="6" t="s">
        <v>97</v>
      </c>
      <c r="U863" s="15" t="str">
        <f>HYPERLINK("https://media.infra-m.ru/2196/2196901/cover/2196901.jpg", "Обложка")</f>
        <v>Обложка</v>
      </c>
      <c r="V863" s="8" t="s">
        <v>5162</v>
      </c>
      <c r="W863" s="6"/>
      <c r="X863" s="6"/>
      <c r="Y863" s="6"/>
      <c r="Z863" s="6"/>
      <c r="AA863" s="6" t="s">
        <v>779</v>
      </c>
      <c r="AB863" s="8"/>
      <c r="AC863" s="27">
        <v>9785160107844</v>
      </c>
    </row>
    <row r="864" spans="1:29" s="4" customFormat="1" ht="42" customHeight="1" x14ac:dyDescent="0.2">
      <c r="A864" s="5">
        <v>0</v>
      </c>
      <c r="B864" s="6" t="s">
        <v>5430</v>
      </c>
      <c r="C864" s="7">
        <v>1744.8</v>
      </c>
      <c r="D864" s="8" t="s">
        <v>5431</v>
      </c>
      <c r="E864" s="8" t="s">
        <v>5432</v>
      </c>
      <c r="F864" s="8" t="s">
        <v>5433</v>
      </c>
      <c r="G864" s="6" t="s">
        <v>60</v>
      </c>
      <c r="H864" s="6" t="s">
        <v>241</v>
      </c>
      <c r="I864" s="8" t="s">
        <v>4439</v>
      </c>
      <c r="J864" s="9">
        <v>1</v>
      </c>
      <c r="K864" s="9">
        <v>280</v>
      </c>
      <c r="L864" s="9">
        <v>2026</v>
      </c>
      <c r="M864" s="8" t="s">
        <v>5434</v>
      </c>
      <c r="N864" s="8" t="s">
        <v>37</v>
      </c>
      <c r="O864" s="8" t="s">
        <v>233</v>
      </c>
      <c r="P864" s="6" t="s">
        <v>51</v>
      </c>
      <c r="Q864" s="8" t="s">
        <v>52</v>
      </c>
      <c r="R864" s="10" t="s">
        <v>2033</v>
      </c>
      <c r="S864" s="11"/>
      <c r="T864" s="6" t="s">
        <v>97</v>
      </c>
      <c r="U864" s="15" t="str">
        <f>HYPERLINK("https://media.infra-m.ru/2211/2211483/cover/2211483.jpg", "Обложка")</f>
        <v>Обложка</v>
      </c>
      <c r="V864" s="8" t="s">
        <v>247</v>
      </c>
      <c r="W864" s="6"/>
      <c r="X864" s="6"/>
      <c r="Y864" s="6"/>
      <c r="Z864" s="6"/>
      <c r="AA864" s="6" t="s">
        <v>779</v>
      </c>
      <c r="AB864" s="8"/>
      <c r="AC864" s="27">
        <v>9785955804569</v>
      </c>
    </row>
    <row r="865" spans="1:29" s="4" customFormat="1" ht="51.9" customHeight="1" x14ac:dyDescent="0.2">
      <c r="A865" s="5">
        <v>0</v>
      </c>
      <c r="B865" s="6" t="s">
        <v>5435</v>
      </c>
      <c r="C865" s="7">
        <v>3904.8</v>
      </c>
      <c r="D865" s="8" t="s">
        <v>5436</v>
      </c>
      <c r="E865" s="8" t="s">
        <v>5437</v>
      </c>
      <c r="F865" s="8" t="s">
        <v>5438</v>
      </c>
      <c r="G865" s="6" t="s">
        <v>118</v>
      </c>
      <c r="H865" s="6" t="s">
        <v>34</v>
      </c>
      <c r="I865" s="8" t="s">
        <v>271</v>
      </c>
      <c r="J865" s="9">
        <v>1</v>
      </c>
      <c r="K865" s="9">
        <v>561</v>
      </c>
      <c r="L865" s="9">
        <v>2027</v>
      </c>
      <c r="M865" s="8" t="s">
        <v>5439</v>
      </c>
      <c r="N865" s="8" t="s">
        <v>37</v>
      </c>
      <c r="O865" s="8" t="s">
        <v>233</v>
      </c>
      <c r="P865" s="6" t="s">
        <v>51</v>
      </c>
      <c r="Q865" s="8" t="s">
        <v>52</v>
      </c>
      <c r="R865" s="10" t="s">
        <v>2033</v>
      </c>
      <c r="S865" s="11" t="s">
        <v>5440</v>
      </c>
      <c r="T865" s="6" t="s">
        <v>97</v>
      </c>
      <c r="U865" s="15" t="str">
        <f>HYPERLINK("https://media.infra-m.ru/2271/2271234/cover/2271234.jpg", "Обложка")</f>
        <v>Обложка</v>
      </c>
      <c r="V865" s="8" t="s">
        <v>5101</v>
      </c>
      <c r="W865" s="6"/>
      <c r="X865" s="6"/>
      <c r="Y865" s="6"/>
      <c r="Z865" s="6"/>
      <c r="AA865" s="6" t="s">
        <v>258</v>
      </c>
      <c r="AB865" s="8"/>
      <c r="AC865" s="27">
        <v>9785160161464</v>
      </c>
    </row>
    <row r="866" spans="1:29" s="4" customFormat="1" ht="51.9" customHeight="1" x14ac:dyDescent="0.2">
      <c r="A866" s="5">
        <v>0</v>
      </c>
      <c r="B866" s="6" t="s">
        <v>5441</v>
      </c>
      <c r="C866" s="7">
        <v>3516</v>
      </c>
      <c r="D866" s="8" t="s">
        <v>5442</v>
      </c>
      <c r="E866" s="8" t="s">
        <v>5443</v>
      </c>
      <c r="F866" s="8" t="s">
        <v>5444</v>
      </c>
      <c r="G866" s="6" t="s">
        <v>60</v>
      </c>
      <c r="H866" s="6" t="s">
        <v>34</v>
      </c>
      <c r="I866" s="8" t="s">
        <v>253</v>
      </c>
      <c r="J866" s="9">
        <v>1</v>
      </c>
      <c r="K866" s="9">
        <v>529</v>
      </c>
      <c r="L866" s="9">
        <v>2026</v>
      </c>
      <c r="M866" s="8" t="s">
        <v>5445</v>
      </c>
      <c r="N866" s="8" t="s">
        <v>37</v>
      </c>
      <c r="O866" s="8" t="s">
        <v>233</v>
      </c>
      <c r="P866" s="6" t="s">
        <v>51</v>
      </c>
      <c r="Q866" s="8" t="s">
        <v>52</v>
      </c>
      <c r="R866" s="10" t="s">
        <v>5042</v>
      </c>
      <c r="S866" s="11"/>
      <c r="T866" s="6"/>
      <c r="U866" s="15" t="str">
        <f>HYPERLINK("https://media.infra-m.ru/2196/2196567/cover/2196567.jpg", "Обложка")</f>
        <v>Обложка</v>
      </c>
      <c r="V866" s="8" t="s">
        <v>4976</v>
      </c>
      <c r="W866" s="6" t="s">
        <v>342</v>
      </c>
      <c r="X866" s="6"/>
      <c r="Y866" s="6"/>
      <c r="Z866" s="6"/>
      <c r="AA866" s="6" t="s">
        <v>187</v>
      </c>
      <c r="AB866" s="8"/>
      <c r="AC866" s="27">
        <v>9785160208138</v>
      </c>
    </row>
    <row r="867" spans="1:29" s="4" customFormat="1" ht="51.9" customHeight="1" x14ac:dyDescent="0.2">
      <c r="A867" s="5">
        <v>0</v>
      </c>
      <c r="B867" s="6" t="s">
        <v>5446</v>
      </c>
      <c r="C867" s="7">
        <v>3832.8</v>
      </c>
      <c r="D867" s="8" t="s">
        <v>5447</v>
      </c>
      <c r="E867" s="8" t="s">
        <v>5443</v>
      </c>
      <c r="F867" s="8" t="s">
        <v>5046</v>
      </c>
      <c r="G867" s="6" t="s">
        <v>60</v>
      </c>
      <c r="H867" s="6" t="s">
        <v>34</v>
      </c>
      <c r="I867" s="8" t="s">
        <v>253</v>
      </c>
      <c r="J867" s="9">
        <v>1</v>
      </c>
      <c r="K867" s="9">
        <v>550</v>
      </c>
      <c r="L867" s="9">
        <v>2027</v>
      </c>
      <c r="M867" s="8" t="s">
        <v>5448</v>
      </c>
      <c r="N867" s="8" t="s">
        <v>37</v>
      </c>
      <c r="O867" s="8" t="s">
        <v>233</v>
      </c>
      <c r="P867" s="6" t="s">
        <v>306</v>
      </c>
      <c r="Q867" s="8" t="s">
        <v>52</v>
      </c>
      <c r="R867" s="10" t="s">
        <v>3008</v>
      </c>
      <c r="S867" s="11" t="s">
        <v>5449</v>
      </c>
      <c r="T867" s="6"/>
      <c r="U867" s="15" t="str">
        <f>HYPERLINK("https://media.infra-m.ru/2271/2271235/cover/2271235.jpg", "Обложка")</f>
        <v>Обложка</v>
      </c>
      <c r="V867" s="8" t="s">
        <v>5048</v>
      </c>
      <c r="W867" s="6"/>
      <c r="X867" s="6"/>
      <c r="Y867" s="6"/>
      <c r="Z867" s="6"/>
      <c r="AA867" s="6" t="s">
        <v>76</v>
      </c>
      <c r="AB867" s="8" t="s">
        <v>5450</v>
      </c>
      <c r="AC867" s="27">
        <v>9785160181158</v>
      </c>
    </row>
    <row r="868" spans="1:29" s="4" customFormat="1" ht="51.9" customHeight="1" x14ac:dyDescent="0.2">
      <c r="A868" s="5">
        <v>0</v>
      </c>
      <c r="B868" s="6" t="s">
        <v>5451</v>
      </c>
      <c r="C868" s="7">
        <v>1732.8</v>
      </c>
      <c r="D868" s="8" t="s">
        <v>5452</v>
      </c>
      <c r="E868" s="8" t="s">
        <v>5437</v>
      </c>
      <c r="F868" s="8" t="s">
        <v>5453</v>
      </c>
      <c r="G868" s="6" t="s">
        <v>60</v>
      </c>
      <c r="H868" s="6" t="s">
        <v>241</v>
      </c>
      <c r="I868" s="8"/>
      <c r="J868" s="9">
        <v>1</v>
      </c>
      <c r="K868" s="9">
        <v>288</v>
      </c>
      <c r="L868" s="9">
        <v>2025</v>
      </c>
      <c r="M868" s="8" t="s">
        <v>5454</v>
      </c>
      <c r="N868" s="8" t="s">
        <v>37</v>
      </c>
      <c r="O868" s="8" t="s">
        <v>233</v>
      </c>
      <c r="P868" s="6" t="s">
        <v>306</v>
      </c>
      <c r="Q868" s="8" t="s">
        <v>52</v>
      </c>
      <c r="R868" s="10" t="s">
        <v>357</v>
      </c>
      <c r="S868" s="11" t="s">
        <v>5455</v>
      </c>
      <c r="T868" s="6"/>
      <c r="U868" s="15" t="str">
        <f>HYPERLINK("https://media.infra-m.ru/2188/2188221/cover/2188221.jpg", "Обложка")</f>
        <v>Обложка</v>
      </c>
      <c r="V868" s="8" t="s">
        <v>227</v>
      </c>
      <c r="W868" s="6"/>
      <c r="X868" s="6"/>
      <c r="Y868" s="6"/>
      <c r="Z868" s="6"/>
      <c r="AA868" s="6" t="s">
        <v>874</v>
      </c>
      <c r="AB868" s="8"/>
      <c r="AC868" s="27">
        <v>9785955803777</v>
      </c>
    </row>
    <row r="869" spans="1:29" s="4" customFormat="1" ht="42" customHeight="1" x14ac:dyDescent="0.2">
      <c r="A869" s="5">
        <v>0</v>
      </c>
      <c r="B869" s="6" t="s">
        <v>5456</v>
      </c>
      <c r="C869" s="7">
        <v>1433.9</v>
      </c>
      <c r="D869" s="8" t="s">
        <v>5457</v>
      </c>
      <c r="E869" s="8" t="s">
        <v>5443</v>
      </c>
      <c r="F869" s="8" t="s">
        <v>5458</v>
      </c>
      <c r="G869" s="6" t="s">
        <v>60</v>
      </c>
      <c r="H869" s="6" t="s">
        <v>48</v>
      </c>
      <c r="I869" s="8" t="s">
        <v>504</v>
      </c>
      <c r="J869" s="9">
        <v>1</v>
      </c>
      <c r="K869" s="9">
        <v>768</v>
      </c>
      <c r="L869" s="9">
        <v>2018</v>
      </c>
      <c r="M869" s="8" t="s">
        <v>5459</v>
      </c>
      <c r="N869" s="8" t="s">
        <v>37</v>
      </c>
      <c r="O869" s="8" t="s">
        <v>233</v>
      </c>
      <c r="P869" s="6" t="s">
        <v>51</v>
      </c>
      <c r="Q869" s="8" t="s">
        <v>52</v>
      </c>
      <c r="R869" s="10" t="s">
        <v>2033</v>
      </c>
      <c r="S869" s="11"/>
      <c r="T869" s="6"/>
      <c r="U869" s="15" t="str">
        <f>HYPERLINK("https://media.infra-m.ru/0945/0945561/cover/945561.jpg", "Обложка")</f>
        <v>Обложка</v>
      </c>
      <c r="V869" s="8" t="s">
        <v>5101</v>
      </c>
      <c r="W869" s="6"/>
      <c r="X869" s="6"/>
      <c r="Y869" s="6"/>
      <c r="Z869" s="6"/>
      <c r="AA869" s="6" t="s">
        <v>43</v>
      </c>
      <c r="AB869" s="8"/>
      <c r="AC869" s="27">
        <v>9785911346430</v>
      </c>
    </row>
    <row r="870" spans="1:29" s="4" customFormat="1" ht="51.9" customHeight="1" x14ac:dyDescent="0.2">
      <c r="A870" s="5">
        <v>0</v>
      </c>
      <c r="B870" s="6" t="s">
        <v>5460</v>
      </c>
      <c r="C870" s="7">
        <v>4072.8</v>
      </c>
      <c r="D870" s="8" t="s">
        <v>5461</v>
      </c>
      <c r="E870" s="8" t="s">
        <v>5462</v>
      </c>
      <c r="F870" s="8" t="s">
        <v>3731</v>
      </c>
      <c r="G870" s="6" t="s">
        <v>60</v>
      </c>
      <c r="H870" s="6" t="s">
        <v>34</v>
      </c>
      <c r="I870" s="8" t="s">
        <v>253</v>
      </c>
      <c r="J870" s="9">
        <v>1</v>
      </c>
      <c r="K870" s="9">
        <v>587</v>
      </c>
      <c r="L870" s="9">
        <v>2027</v>
      </c>
      <c r="M870" s="8" t="s">
        <v>5463</v>
      </c>
      <c r="N870" s="8" t="s">
        <v>37</v>
      </c>
      <c r="O870" s="8" t="s">
        <v>233</v>
      </c>
      <c r="P870" s="6" t="s">
        <v>306</v>
      </c>
      <c r="Q870" s="8" t="s">
        <v>52</v>
      </c>
      <c r="R870" s="10" t="s">
        <v>4058</v>
      </c>
      <c r="S870" s="11" t="s">
        <v>5464</v>
      </c>
      <c r="T870" s="6"/>
      <c r="U870" s="15" t="str">
        <f>HYPERLINK("https://media.infra-m.ru/2271/2271636/cover/2271636.jpg", "Обложка")</f>
        <v>Обложка</v>
      </c>
      <c r="V870" s="8" t="s">
        <v>3735</v>
      </c>
      <c r="W870" s="6"/>
      <c r="X870" s="6"/>
      <c r="Y870" s="6"/>
      <c r="Z870" s="6"/>
      <c r="AA870" s="6" t="s">
        <v>430</v>
      </c>
      <c r="AB870" s="8" t="s">
        <v>2231</v>
      </c>
      <c r="AC870" s="27">
        <v>9785160193922</v>
      </c>
    </row>
    <row r="871" spans="1:29" s="4" customFormat="1" ht="51.9" customHeight="1" x14ac:dyDescent="0.2">
      <c r="A871" s="5">
        <v>0</v>
      </c>
      <c r="B871" s="6" t="s">
        <v>5465</v>
      </c>
      <c r="C871" s="7">
        <v>2640</v>
      </c>
      <c r="D871" s="8" t="s">
        <v>5466</v>
      </c>
      <c r="E871" s="8" t="s">
        <v>5467</v>
      </c>
      <c r="F871" s="8" t="s">
        <v>5468</v>
      </c>
      <c r="G871" s="6" t="s">
        <v>60</v>
      </c>
      <c r="H871" s="6" t="s">
        <v>1644</v>
      </c>
      <c r="I871" s="8" t="s">
        <v>4073</v>
      </c>
      <c r="J871" s="9">
        <v>1</v>
      </c>
      <c r="K871" s="9">
        <v>624</v>
      </c>
      <c r="L871" s="9">
        <v>2022</v>
      </c>
      <c r="M871" s="8" t="s">
        <v>5469</v>
      </c>
      <c r="N871" s="8" t="s">
        <v>37</v>
      </c>
      <c r="O871" s="8" t="s">
        <v>233</v>
      </c>
      <c r="P871" s="6" t="s">
        <v>306</v>
      </c>
      <c r="Q871" s="8" t="s">
        <v>500</v>
      </c>
      <c r="R871" s="10" t="s">
        <v>5470</v>
      </c>
      <c r="S871" s="11" t="s">
        <v>5471</v>
      </c>
      <c r="T871" s="6"/>
      <c r="U871" s="15" t="str">
        <f>HYPERLINK("https://media.infra-m.ru/1876/1876145/cover/1876145.jpg", "Обложка")</f>
        <v>Обложка</v>
      </c>
      <c r="V871" s="8" t="s">
        <v>5117</v>
      </c>
      <c r="W871" s="6"/>
      <c r="X871" s="6"/>
      <c r="Y871" s="6"/>
      <c r="Z871" s="6"/>
      <c r="AA871" s="6" t="s">
        <v>896</v>
      </c>
      <c r="AB871" s="8"/>
      <c r="AC871" s="27">
        <v>9785977605441</v>
      </c>
    </row>
    <row r="872" spans="1:29" s="4" customFormat="1" ht="51.9" customHeight="1" x14ac:dyDescent="0.2">
      <c r="A872" s="5">
        <v>0</v>
      </c>
      <c r="B872" s="6" t="s">
        <v>5472</v>
      </c>
      <c r="C872" s="7">
        <v>4564.8</v>
      </c>
      <c r="D872" s="8" t="s">
        <v>5473</v>
      </c>
      <c r="E872" s="8" t="s">
        <v>5474</v>
      </c>
      <c r="F872" s="8" t="s">
        <v>5468</v>
      </c>
      <c r="G872" s="6" t="s">
        <v>60</v>
      </c>
      <c r="H872" s="6" t="s">
        <v>1644</v>
      </c>
      <c r="I872" s="8"/>
      <c r="J872" s="9">
        <v>1</v>
      </c>
      <c r="K872" s="9">
        <v>656</v>
      </c>
      <c r="L872" s="9">
        <v>2027</v>
      </c>
      <c r="M872" s="8" t="s">
        <v>5475</v>
      </c>
      <c r="N872" s="8" t="s">
        <v>37</v>
      </c>
      <c r="O872" s="8" t="s">
        <v>233</v>
      </c>
      <c r="P872" s="6" t="s">
        <v>306</v>
      </c>
      <c r="Q872" s="8" t="s">
        <v>500</v>
      </c>
      <c r="R872" s="10" t="s">
        <v>5470</v>
      </c>
      <c r="S872" s="11"/>
      <c r="T872" s="6"/>
      <c r="U872" s="15" t="str">
        <f>HYPERLINK("https://media.infra-m.ru/2271/2271236/cover/2271236.jpg", "Обложка")</f>
        <v>Обложка</v>
      </c>
      <c r="V872" s="8" t="s">
        <v>5117</v>
      </c>
      <c r="W872" s="6"/>
      <c r="X872" s="6"/>
      <c r="Y872" s="6"/>
      <c r="Z872" s="6"/>
      <c r="AA872" s="6" t="s">
        <v>5476</v>
      </c>
      <c r="AB872" s="8"/>
      <c r="AC872" s="27">
        <v>9785977605595</v>
      </c>
    </row>
    <row r="873" spans="1:29" s="4" customFormat="1" ht="51.9" customHeight="1" x14ac:dyDescent="0.2">
      <c r="A873" s="5">
        <v>0</v>
      </c>
      <c r="B873" s="6" t="s">
        <v>5477</v>
      </c>
      <c r="C873" s="7">
        <v>2880</v>
      </c>
      <c r="D873" s="8" t="s">
        <v>5478</v>
      </c>
      <c r="E873" s="8" t="s">
        <v>5467</v>
      </c>
      <c r="F873" s="8" t="s">
        <v>5479</v>
      </c>
      <c r="G873" s="6" t="s">
        <v>60</v>
      </c>
      <c r="H873" s="6" t="s">
        <v>34</v>
      </c>
      <c r="I873" s="8" t="s">
        <v>253</v>
      </c>
      <c r="J873" s="9">
        <v>1</v>
      </c>
      <c r="K873" s="9">
        <v>480</v>
      </c>
      <c r="L873" s="9">
        <v>2025</v>
      </c>
      <c r="M873" s="8" t="s">
        <v>5480</v>
      </c>
      <c r="N873" s="8" t="s">
        <v>37</v>
      </c>
      <c r="O873" s="8" t="s">
        <v>233</v>
      </c>
      <c r="P873" s="6" t="s">
        <v>306</v>
      </c>
      <c r="Q873" s="8" t="s">
        <v>52</v>
      </c>
      <c r="R873" s="10" t="s">
        <v>5481</v>
      </c>
      <c r="S873" s="11"/>
      <c r="T873" s="6" t="s">
        <v>97</v>
      </c>
      <c r="U873" s="15" t="str">
        <f>HYPERLINK("https://media.infra-m.ru/1937/1937130/cover/1937130.jpg", "Обложка")</f>
        <v>Обложка</v>
      </c>
      <c r="V873" s="8" t="s">
        <v>1994</v>
      </c>
      <c r="W873" s="6"/>
      <c r="X873" s="6"/>
      <c r="Y873" s="6"/>
      <c r="Z873" s="6"/>
      <c r="AA873" s="6" t="s">
        <v>917</v>
      </c>
      <c r="AB873" s="8"/>
      <c r="AC873" s="27">
        <v>9785160182353</v>
      </c>
    </row>
    <row r="874" spans="1:29" s="4" customFormat="1" ht="51.9" customHeight="1" x14ac:dyDescent="0.2">
      <c r="A874" s="5">
        <v>0</v>
      </c>
      <c r="B874" s="6" t="s">
        <v>5482</v>
      </c>
      <c r="C874" s="7">
        <v>2573.9</v>
      </c>
      <c r="D874" s="8" t="s">
        <v>5483</v>
      </c>
      <c r="E874" s="8" t="s">
        <v>5484</v>
      </c>
      <c r="F874" s="8" t="s">
        <v>5468</v>
      </c>
      <c r="G874" s="6" t="s">
        <v>60</v>
      </c>
      <c r="H874" s="6" t="s">
        <v>1644</v>
      </c>
      <c r="I874" s="8" t="s">
        <v>1904</v>
      </c>
      <c r="J874" s="9">
        <v>1</v>
      </c>
      <c r="K874" s="9">
        <v>624</v>
      </c>
      <c r="L874" s="9">
        <v>2022</v>
      </c>
      <c r="M874" s="8" t="s">
        <v>5485</v>
      </c>
      <c r="N874" s="8" t="s">
        <v>37</v>
      </c>
      <c r="O874" s="8" t="s">
        <v>233</v>
      </c>
      <c r="P874" s="6" t="s">
        <v>51</v>
      </c>
      <c r="Q874" s="8" t="s">
        <v>52</v>
      </c>
      <c r="R874" s="10" t="s">
        <v>5470</v>
      </c>
      <c r="S874" s="11" t="s">
        <v>5471</v>
      </c>
      <c r="T874" s="6"/>
      <c r="U874" s="15" t="str">
        <f>HYPERLINK("https://media.infra-m.ru/1852/1852231/cover/1852231.jpg", "Обложка")</f>
        <v>Обложка</v>
      </c>
      <c r="V874" s="8" t="s">
        <v>5117</v>
      </c>
      <c r="W874" s="6"/>
      <c r="X874" s="6"/>
      <c r="Y874" s="6"/>
      <c r="Z874" s="6"/>
      <c r="AA874" s="6" t="s">
        <v>248</v>
      </c>
      <c r="AB874" s="8"/>
      <c r="AC874" s="27">
        <v>9785977603102</v>
      </c>
    </row>
    <row r="875" spans="1:29" s="4" customFormat="1" ht="51.9" customHeight="1" x14ac:dyDescent="0.2">
      <c r="A875" s="5">
        <v>0</v>
      </c>
      <c r="B875" s="6" t="s">
        <v>5486</v>
      </c>
      <c r="C875" s="7">
        <v>1828.8</v>
      </c>
      <c r="D875" s="8" t="s">
        <v>5487</v>
      </c>
      <c r="E875" s="8" t="s">
        <v>5467</v>
      </c>
      <c r="F875" s="8" t="s">
        <v>5488</v>
      </c>
      <c r="G875" s="6" t="s">
        <v>118</v>
      </c>
      <c r="H875" s="6" t="s">
        <v>34</v>
      </c>
      <c r="I875" s="8" t="s">
        <v>271</v>
      </c>
      <c r="J875" s="9">
        <v>1</v>
      </c>
      <c r="K875" s="9">
        <v>277</v>
      </c>
      <c r="L875" s="9">
        <v>2026</v>
      </c>
      <c r="M875" s="8" t="s">
        <v>5489</v>
      </c>
      <c r="N875" s="8" t="s">
        <v>37</v>
      </c>
      <c r="O875" s="8" t="s">
        <v>233</v>
      </c>
      <c r="P875" s="6" t="s">
        <v>51</v>
      </c>
      <c r="Q875" s="8" t="s">
        <v>52</v>
      </c>
      <c r="R875" s="10" t="s">
        <v>5149</v>
      </c>
      <c r="S875" s="11" t="s">
        <v>5490</v>
      </c>
      <c r="T875" s="6"/>
      <c r="U875" s="15" t="str">
        <f>HYPERLINK("https://media.infra-m.ru/2252/2252420/cover/2252420.jpg", "Обложка")</f>
        <v>Обложка</v>
      </c>
      <c r="V875" s="8" t="s">
        <v>247</v>
      </c>
      <c r="W875" s="6"/>
      <c r="X875" s="6"/>
      <c r="Y875" s="6"/>
      <c r="Z875" s="6"/>
      <c r="AA875" s="6" t="s">
        <v>896</v>
      </c>
      <c r="AB875" s="8"/>
      <c r="AC875" s="27">
        <v>9785160163802</v>
      </c>
    </row>
    <row r="876" spans="1:29" s="4" customFormat="1" ht="51.9" customHeight="1" x14ac:dyDescent="0.2">
      <c r="A876" s="5">
        <v>0</v>
      </c>
      <c r="B876" s="6" t="s">
        <v>5491</v>
      </c>
      <c r="C876" s="7">
        <v>1037.9000000000001</v>
      </c>
      <c r="D876" s="8" t="s">
        <v>5492</v>
      </c>
      <c r="E876" s="8" t="s">
        <v>5484</v>
      </c>
      <c r="F876" s="8" t="s">
        <v>5493</v>
      </c>
      <c r="G876" s="6" t="s">
        <v>33</v>
      </c>
      <c r="H876" s="6" t="s">
        <v>48</v>
      </c>
      <c r="I876" s="8" t="s">
        <v>271</v>
      </c>
      <c r="J876" s="9">
        <v>1</v>
      </c>
      <c r="K876" s="9">
        <v>320</v>
      </c>
      <c r="L876" s="9">
        <v>2018</v>
      </c>
      <c r="M876" s="8" t="s">
        <v>5494</v>
      </c>
      <c r="N876" s="8" t="s">
        <v>37</v>
      </c>
      <c r="O876" s="8" t="s">
        <v>233</v>
      </c>
      <c r="P876" s="6" t="s">
        <v>51</v>
      </c>
      <c r="Q876" s="8" t="s">
        <v>52</v>
      </c>
      <c r="R876" s="10" t="s">
        <v>5149</v>
      </c>
      <c r="S876" s="11" t="s">
        <v>5495</v>
      </c>
      <c r="T876" s="6"/>
      <c r="U876" s="15" t="str">
        <f>HYPERLINK("https://media.infra-m.ru/0926/0926505/cover/926505.jpg", "Обложка")</f>
        <v>Обложка</v>
      </c>
      <c r="V876" s="8" t="s">
        <v>247</v>
      </c>
      <c r="W876" s="6"/>
      <c r="X876" s="6"/>
      <c r="Y876" s="6"/>
      <c r="Z876" s="6"/>
      <c r="AA876" s="6" t="s">
        <v>55</v>
      </c>
      <c r="AB876" s="8"/>
      <c r="AC876" s="27">
        <v>9785911347390</v>
      </c>
    </row>
    <row r="877" spans="1:29" s="4" customFormat="1" ht="51.9" customHeight="1" x14ac:dyDescent="0.2">
      <c r="A877" s="5">
        <v>0</v>
      </c>
      <c r="B877" s="6" t="s">
        <v>5496</v>
      </c>
      <c r="C877" s="7">
        <v>1985.9</v>
      </c>
      <c r="D877" s="8" t="s">
        <v>5497</v>
      </c>
      <c r="E877" s="8" t="s">
        <v>5484</v>
      </c>
      <c r="F877" s="8" t="s">
        <v>5498</v>
      </c>
      <c r="G877" s="6" t="s">
        <v>60</v>
      </c>
      <c r="H877" s="6" t="s">
        <v>34</v>
      </c>
      <c r="I877" s="8" t="s">
        <v>271</v>
      </c>
      <c r="J877" s="9">
        <v>1</v>
      </c>
      <c r="K877" s="9">
        <v>367</v>
      </c>
      <c r="L877" s="9">
        <v>2019</v>
      </c>
      <c r="M877" s="8" t="s">
        <v>5499</v>
      </c>
      <c r="N877" s="8" t="s">
        <v>37</v>
      </c>
      <c r="O877" s="8" t="s">
        <v>233</v>
      </c>
      <c r="P877" s="6" t="s">
        <v>51</v>
      </c>
      <c r="Q877" s="8" t="s">
        <v>52</v>
      </c>
      <c r="R877" s="10" t="s">
        <v>5481</v>
      </c>
      <c r="S877" s="11"/>
      <c r="T877" s="6" t="s">
        <v>97</v>
      </c>
      <c r="U877" s="15" t="str">
        <f>HYPERLINK("https://media.infra-m.ru/1015/1015157/cover/1015157.jpg", "Обложка")</f>
        <v>Обложка</v>
      </c>
      <c r="V877" s="8" t="s">
        <v>1994</v>
      </c>
      <c r="W877" s="6"/>
      <c r="X877" s="6"/>
      <c r="Y877" s="6"/>
      <c r="Z877" s="6"/>
      <c r="AA877" s="6" t="s">
        <v>274</v>
      </c>
      <c r="AB877" s="8"/>
      <c r="AC877" s="27">
        <v>9785160104829</v>
      </c>
    </row>
    <row r="878" spans="1:29" s="4" customFormat="1" ht="42" customHeight="1" x14ac:dyDescent="0.2">
      <c r="A878" s="5">
        <v>0</v>
      </c>
      <c r="B878" s="6" t="s">
        <v>5500</v>
      </c>
      <c r="C878" s="7">
        <v>1432.8</v>
      </c>
      <c r="D878" s="8" t="s">
        <v>5501</v>
      </c>
      <c r="E878" s="8" t="s">
        <v>5502</v>
      </c>
      <c r="F878" s="8" t="s">
        <v>5503</v>
      </c>
      <c r="G878" s="6" t="s">
        <v>60</v>
      </c>
      <c r="H878" s="6" t="s">
        <v>48</v>
      </c>
      <c r="I878" s="8" t="s">
        <v>253</v>
      </c>
      <c r="J878" s="9">
        <v>1</v>
      </c>
      <c r="K878" s="9">
        <v>206</v>
      </c>
      <c r="L878" s="9">
        <v>2027</v>
      </c>
      <c r="M878" s="8" t="s">
        <v>5504</v>
      </c>
      <c r="N878" s="8" t="s">
        <v>37</v>
      </c>
      <c r="O878" s="8" t="s">
        <v>233</v>
      </c>
      <c r="P878" s="6" t="s">
        <v>51</v>
      </c>
      <c r="Q878" s="8" t="s">
        <v>65</v>
      </c>
      <c r="R878" s="10" t="s">
        <v>3008</v>
      </c>
      <c r="S878" s="11"/>
      <c r="T878" s="6"/>
      <c r="U878" s="15" t="str">
        <f>HYPERLINK("https://media.infra-m.ru/2265/2265744/cover/2265744.jpg", "Обложка")</f>
        <v>Обложка</v>
      </c>
      <c r="V878" s="8" t="s">
        <v>2088</v>
      </c>
      <c r="W878" s="6"/>
      <c r="X878" s="6"/>
      <c r="Y878" s="6"/>
      <c r="Z878" s="6"/>
      <c r="AA878" s="6" t="s">
        <v>1303</v>
      </c>
      <c r="AB878" s="8"/>
      <c r="AC878" s="27">
        <v>9785000916902</v>
      </c>
    </row>
    <row r="879" spans="1:29" s="4" customFormat="1" ht="51.9" customHeight="1" x14ac:dyDescent="0.2">
      <c r="A879" s="5">
        <v>0</v>
      </c>
      <c r="B879" s="6" t="s">
        <v>5505</v>
      </c>
      <c r="C879" s="13">
        <v>725.9</v>
      </c>
      <c r="D879" s="8" t="s">
        <v>5506</v>
      </c>
      <c r="E879" s="8" t="s">
        <v>5507</v>
      </c>
      <c r="F879" s="8" t="s">
        <v>5508</v>
      </c>
      <c r="G879" s="6" t="s">
        <v>33</v>
      </c>
      <c r="H879" s="6" t="s">
        <v>48</v>
      </c>
      <c r="I879" s="8" t="s">
        <v>271</v>
      </c>
      <c r="J879" s="9">
        <v>1</v>
      </c>
      <c r="K879" s="9">
        <v>224</v>
      </c>
      <c r="L879" s="9">
        <v>2017</v>
      </c>
      <c r="M879" s="8" t="s">
        <v>5509</v>
      </c>
      <c r="N879" s="8" t="s">
        <v>37</v>
      </c>
      <c r="O879" s="8" t="s">
        <v>233</v>
      </c>
      <c r="P879" s="6" t="s">
        <v>51</v>
      </c>
      <c r="Q879" s="8" t="s">
        <v>52</v>
      </c>
      <c r="R879" s="10" t="s">
        <v>3008</v>
      </c>
      <c r="S879" s="11" t="s">
        <v>5510</v>
      </c>
      <c r="T879" s="6"/>
      <c r="U879" s="12"/>
      <c r="V879" s="8" t="s">
        <v>2088</v>
      </c>
      <c r="W879" s="6"/>
      <c r="X879" s="6"/>
      <c r="Y879" s="6"/>
      <c r="Z879" s="6"/>
      <c r="AA879" s="6" t="s">
        <v>248</v>
      </c>
      <c r="AB879" s="8"/>
      <c r="AC879" s="27">
        <v>9785911349011</v>
      </c>
    </row>
    <row r="880" spans="1:29" s="4" customFormat="1" ht="42" customHeight="1" x14ac:dyDescent="0.2">
      <c r="A880" s="5">
        <v>0</v>
      </c>
      <c r="B880" s="6" t="s">
        <v>5511</v>
      </c>
      <c r="C880" s="7">
        <v>1709.9</v>
      </c>
      <c r="D880" s="8" t="s">
        <v>5512</v>
      </c>
      <c r="E880" s="8" t="s">
        <v>5513</v>
      </c>
      <c r="F880" s="8" t="s">
        <v>5514</v>
      </c>
      <c r="G880" s="6" t="s">
        <v>60</v>
      </c>
      <c r="H880" s="6" t="s">
        <v>241</v>
      </c>
      <c r="I880" s="8"/>
      <c r="J880" s="9">
        <v>1</v>
      </c>
      <c r="K880" s="9">
        <v>376</v>
      </c>
      <c r="L880" s="9">
        <v>2022</v>
      </c>
      <c r="M880" s="8" t="s">
        <v>5515</v>
      </c>
      <c r="N880" s="8" t="s">
        <v>37</v>
      </c>
      <c r="O880" s="8" t="s">
        <v>233</v>
      </c>
      <c r="P880" s="6" t="s">
        <v>306</v>
      </c>
      <c r="Q880" s="8" t="s">
        <v>52</v>
      </c>
      <c r="R880" s="10" t="s">
        <v>4058</v>
      </c>
      <c r="S880" s="11"/>
      <c r="T880" s="6"/>
      <c r="U880" s="15" t="str">
        <f>HYPERLINK("https://media.infra-m.ru/1852/1852252/cover/1852252.jpg", "Обложка")</f>
        <v>Обложка</v>
      </c>
      <c r="V880" s="8" t="s">
        <v>247</v>
      </c>
      <c r="W880" s="6"/>
      <c r="X880" s="6"/>
      <c r="Y880" s="6"/>
      <c r="Z880" s="6"/>
      <c r="AA880" s="6" t="s">
        <v>874</v>
      </c>
      <c r="AB880" s="8"/>
      <c r="AC880" s="27">
        <v>9785955803869</v>
      </c>
    </row>
    <row r="881" spans="1:29" s="4" customFormat="1" ht="51.9" customHeight="1" x14ac:dyDescent="0.2">
      <c r="A881" s="5">
        <v>0</v>
      </c>
      <c r="B881" s="6" t="s">
        <v>5516</v>
      </c>
      <c r="C881" s="7">
        <v>4120.8</v>
      </c>
      <c r="D881" s="8" t="s">
        <v>5517</v>
      </c>
      <c r="E881" s="8" t="s">
        <v>5518</v>
      </c>
      <c r="F881" s="8" t="s">
        <v>5519</v>
      </c>
      <c r="G881" s="6" t="s">
        <v>60</v>
      </c>
      <c r="H881" s="6" t="s">
        <v>1644</v>
      </c>
      <c r="I881" s="8"/>
      <c r="J881" s="9">
        <v>1</v>
      </c>
      <c r="K881" s="9">
        <v>592</v>
      </c>
      <c r="L881" s="9">
        <v>2027</v>
      </c>
      <c r="M881" s="8" t="s">
        <v>5520</v>
      </c>
      <c r="N881" s="8" t="s">
        <v>37</v>
      </c>
      <c r="O881" s="8" t="s">
        <v>233</v>
      </c>
      <c r="P881" s="6" t="s">
        <v>51</v>
      </c>
      <c r="Q881" s="8" t="s">
        <v>52</v>
      </c>
      <c r="R881" s="10" t="s">
        <v>5521</v>
      </c>
      <c r="S881" s="11" t="s">
        <v>5522</v>
      </c>
      <c r="T881" s="6"/>
      <c r="U881" s="15" t="str">
        <f>HYPERLINK("https://media.infra-m.ru/2265/2265747/cover/2265747.jpg", "Обложка")</f>
        <v>Обложка</v>
      </c>
      <c r="V881" s="8" t="s">
        <v>5303</v>
      </c>
      <c r="W881" s="6"/>
      <c r="X881" s="6"/>
      <c r="Y881" s="6"/>
      <c r="Z881" s="6"/>
      <c r="AA881" s="6" t="s">
        <v>1031</v>
      </c>
      <c r="AB881" s="8"/>
      <c r="AC881" s="27">
        <v>9785977604901</v>
      </c>
    </row>
    <row r="882" spans="1:29" s="4" customFormat="1" ht="51.9" customHeight="1" x14ac:dyDescent="0.2">
      <c r="A882" s="5">
        <v>0</v>
      </c>
      <c r="B882" s="6" t="s">
        <v>5523</v>
      </c>
      <c r="C882" s="7">
        <v>1193.9000000000001</v>
      </c>
      <c r="D882" s="8" t="s">
        <v>5524</v>
      </c>
      <c r="E882" s="8" t="s">
        <v>5525</v>
      </c>
      <c r="F882" s="8" t="s">
        <v>5526</v>
      </c>
      <c r="G882" s="6" t="s">
        <v>60</v>
      </c>
      <c r="H882" s="6" t="s">
        <v>1644</v>
      </c>
      <c r="I882" s="8"/>
      <c r="J882" s="9">
        <v>1</v>
      </c>
      <c r="K882" s="9">
        <v>384</v>
      </c>
      <c r="L882" s="9">
        <v>2017</v>
      </c>
      <c r="M882" s="8" t="s">
        <v>5527</v>
      </c>
      <c r="N882" s="8" t="s">
        <v>37</v>
      </c>
      <c r="O882" s="8" t="s">
        <v>233</v>
      </c>
      <c r="P882" s="6" t="s">
        <v>51</v>
      </c>
      <c r="Q882" s="8" t="s">
        <v>52</v>
      </c>
      <c r="R882" s="10" t="s">
        <v>5521</v>
      </c>
      <c r="S882" s="11" t="s">
        <v>2265</v>
      </c>
      <c r="T882" s="6"/>
      <c r="U882" s="15" t="str">
        <f>HYPERLINK("https://media.infra-m.ru/0761/0761706/cover/761706.jpg", "Обложка")</f>
        <v>Обложка</v>
      </c>
      <c r="V882" s="8" t="s">
        <v>5303</v>
      </c>
      <c r="W882" s="6"/>
      <c r="X882" s="6"/>
      <c r="Y882" s="6"/>
      <c r="Z882" s="6"/>
      <c r="AA882" s="6" t="s">
        <v>1015</v>
      </c>
      <c r="AB882" s="8"/>
      <c r="AC882" s="27">
        <v>9785977601931</v>
      </c>
    </row>
    <row r="883" spans="1:29" s="4" customFormat="1" ht="51.9" customHeight="1" x14ac:dyDescent="0.2">
      <c r="A883" s="5">
        <v>0</v>
      </c>
      <c r="B883" s="6" t="s">
        <v>5528</v>
      </c>
      <c r="C883" s="7">
        <v>2416.8000000000002</v>
      </c>
      <c r="D883" s="8" t="s">
        <v>5529</v>
      </c>
      <c r="E883" s="8" t="s">
        <v>5525</v>
      </c>
      <c r="F883" s="8" t="s">
        <v>5530</v>
      </c>
      <c r="G883" s="6" t="s">
        <v>60</v>
      </c>
      <c r="H883" s="6" t="s">
        <v>34</v>
      </c>
      <c r="I883" s="8" t="s">
        <v>253</v>
      </c>
      <c r="J883" s="9">
        <v>1</v>
      </c>
      <c r="K883" s="9">
        <v>347</v>
      </c>
      <c r="L883" s="9">
        <v>2027</v>
      </c>
      <c r="M883" s="8" t="s">
        <v>5531</v>
      </c>
      <c r="N883" s="8" t="s">
        <v>37</v>
      </c>
      <c r="O883" s="8" t="s">
        <v>233</v>
      </c>
      <c r="P883" s="6" t="s">
        <v>51</v>
      </c>
      <c r="Q883" s="8" t="s">
        <v>65</v>
      </c>
      <c r="R883" s="10" t="s">
        <v>3008</v>
      </c>
      <c r="S883" s="11" t="s">
        <v>5532</v>
      </c>
      <c r="T883" s="6"/>
      <c r="U883" s="15" t="str">
        <f>HYPERLINK("https://media.infra-m.ru/2271/2271237/cover/2271237.jpg", "Обложка")</f>
        <v>Обложка</v>
      </c>
      <c r="V883" s="8" t="s">
        <v>1030</v>
      </c>
      <c r="W883" s="6"/>
      <c r="X883" s="6"/>
      <c r="Y883" s="6"/>
      <c r="Z883" s="6"/>
      <c r="AA883" s="6" t="s">
        <v>76</v>
      </c>
      <c r="AB883" s="8"/>
      <c r="AC883" s="27">
        <v>9785160192420</v>
      </c>
    </row>
    <row r="884" spans="1:29" s="4" customFormat="1" ht="42" customHeight="1" x14ac:dyDescent="0.2">
      <c r="A884" s="5">
        <v>0</v>
      </c>
      <c r="B884" s="6" t="s">
        <v>5533</v>
      </c>
      <c r="C884" s="7">
        <v>1169.9000000000001</v>
      </c>
      <c r="D884" s="8" t="s">
        <v>5534</v>
      </c>
      <c r="E884" s="8" t="s">
        <v>5525</v>
      </c>
      <c r="F884" s="8" t="s">
        <v>5535</v>
      </c>
      <c r="G884" s="6" t="s">
        <v>60</v>
      </c>
      <c r="H884" s="6" t="s">
        <v>313</v>
      </c>
      <c r="I884" s="8" t="s">
        <v>253</v>
      </c>
      <c r="J884" s="9">
        <v>1</v>
      </c>
      <c r="K884" s="9">
        <v>304</v>
      </c>
      <c r="L884" s="9">
        <v>2019</v>
      </c>
      <c r="M884" s="8" t="s">
        <v>5536</v>
      </c>
      <c r="N884" s="8" t="s">
        <v>37</v>
      </c>
      <c r="O884" s="8" t="s">
        <v>233</v>
      </c>
      <c r="P884" s="6" t="s">
        <v>51</v>
      </c>
      <c r="Q884" s="8" t="s">
        <v>52</v>
      </c>
      <c r="R884" s="10" t="s">
        <v>2033</v>
      </c>
      <c r="S884" s="11"/>
      <c r="T884" s="6"/>
      <c r="U884" s="15" t="str">
        <f>HYPERLINK("https://media.infra-m.ru/1015/1015154/cover/1015154.jpg", "Обложка")</f>
        <v>Обложка</v>
      </c>
      <c r="V884" s="8" t="s">
        <v>4032</v>
      </c>
      <c r="W884" s="6"/>
      <c r="X884" s="6"/>
      <c r="Y884" s="6"/>
      <c r="Z884" s="6"/>
      <c r="AA884" s="6" t="s">
        <v>274</v>
      </c>
      <c r="AB884" s="8"/>
      <c r="AC884" s="27">
        <v>9785369014004</v>
      </c>
    </row>
    <row r="885" spans="1:29" s="4" customFormat="1" ht="51.9" customHeight="1" x14ac:dyDescent="0.2">
      <c r="A885" s="5">
        <v>0</v>
      </c>
      <c r="B885" s="6" t="s">
        <v>5537</v>
      </c>
      <c r="C885" s="7">
        <v>1456.8</v>
      </c>
      <c r="D885" s="8" t="s">
        <v>5538</v>
      </c>
      <c r="E885" s="8" t="s">
        <v>5513</v>
      </c>
      <c r="F885" s="8" t="s">
        <v>5539</v>
      </c>
      <c r="G885" s="6" t="s">
        <v>60</v>
      </c>
      <c r="H885" s="6" t="s">
        <v>34</v>
      </c>
      <c r="I885" s="8" t="s">
        <v>271</v>
      </c>
      <c r="J885" s="9">
        <v>1</v>
      </c>
      <c r="K885" s="9">
        <v>208</v>
      </c>
      <c r="L885" s="9">
        <v>2026</v>
      </c>
      <c r="M885" s="8" t="s">
        <v>5540</v>
      </c>
      <c r="N885" s="8" t="s">
        <v>37</v>
      </c>
      <c r="O885" s="8" t="s">
        <v>233</v>
      </c>
      <c r="P885" s="6" t="s">
        <v>51</v>
      </c>
      <c r="Q885" s="8" t="s">
        <v>52</v>
      </c>
      <c r="R885" s="10" t="s">
        <v>2033</v>
      </c>
      <c r="S885" s="11" t="s">
        <v>5541</v>
      </c>
      <c r="T885" s="6"/>
      <c r="U885" s="15" t="str">
        <f>HYPERLINK("https://media.infra-m.ru/2251/2251257/cover/2251257.jpg", "Обложка")</f>
        <v>Обложка</v>
      </c>
      <c r="V885" s="8" t="s">
        <v>1994</v>
      </c>
      <c r="W885" s="6"/>
      <c r="X885" s="6"/>
      <c r="Y885" s="6"/>
      <c r="Z885" s="6"/>
      <c r="AA885" s="6" t="s">
        <v>859</v>
      </c>
      <c r="AB885" s="8"/>
      <c r="AC885" s="27">
        <v>9785160065878</v>
      </c>
    </row>
    <row r="886" spans="1:29" s="4" customFormat="1" ht="42" customHeight="1" x14ac:dyDescent="0.2">
      <c r="A886" s="5">
        <v>0</v>
      </c>
      <c r="B886" s="6" t="s">
        <v>5542</v>
      </c>
      <c r="C886" s="13">
        <v>804</v>
      </c>
      <c r="D886" s="8" t="s">
        <v>5543</v>
      </c>
      <c r="E886" s="8" t="s">
        <v>5544</v>
      </c>
      <c r="F886" s="8" t="s">
        <v>5545</v>
      </c>
      <c r="G886" s="6" t="s">
        <v>118</v>
      </c>
      <c r="H886" s="6" t="s">
        <v>34</v>
      </c>
      <c r="I886" s="8" t="s">
        <v>1081</v>
      </c>
      <c r="J886" s="9">
        <v>1</v>
      </c>
      <c r="K886" s="9">
        <v>172</v>
      </c>
      <c r="L886" s="9">
        <v>2022</v>
      </c>
      <c r="M886" s="8" t="s">
        <v>5546</v>
      </c>
      <c r="N886" s="8" t="s">
        <v>243</v>
      </c>
      <c r="O886" s="8" t="s">
        <v>758</v>
      </c>
      <c r="P886" s="6" t="s">
        <v>39</v>
      </c>
      <c r="Q886" s="8" t="s">
        <v>40</v>
      </c>
      <c r="R886" s="10" t="s">
        <v>5547</v>
      </c>
      <c r="S886" s="11"/>
      <c r="T886" s="6"/>
      <c r="U886" s="15" t="str">
        <f>HYPERLINK("https://media.infra-m.ru/1854/1854742/cover/1854742.jpg", "Обложка")</f>
        <v>Обложка</v>
      </c>
      <c r="V886" s="8" t="s">
        <v>1083</v>
      </c>
      <c r="W886" s="6"/>
      <c r="X886" s="6"/>
      <c r="Y886" s="6"/>
      <c r="Z886" s="6"/>
      <c r="AA886" s="6" t="s">
        <v>86</v>
      </c>
      <c r="AB886" s="8"/>
      <c r="AC886" s="27">
        <v>9785160174563</v>
      </c>
    </row>
    <row r="887" spans="1:29" s="4" customFormat="1" ht="51.9" customHeight="1" x14ac:dyDescent="0.2">
      <c r="A887" s="5">
        <v>0</v>
      </c>
      <c r="B887" s="6" t="s">
        <v>5548</v>
      </c>
      <c r="C887" s="7">
        <v>1416</v>
      </c>
      <c r="D887" s="8" t="s">
        <v>5549</v>
      </c>
      <c r="E887" s="8" t="s">
        <v>5550</v>
      </c>
      <c r="F887" s="8" t="s">
        <v>5551</v>
      </c>
      <c r="G887" s="6" t="s">
        <v>118</v>
      </c>
      <c r="H887" s="6" t="s">
        <v>34</v>
      </c>
      <c r="I887" s="8" t="s">
        <v>253</v>
      </c>
      <c r="J887" s="9">
        <v>1</v>
      </c>
      <c r="K887" s="9">
        <v>225</v>
      </c>
      <c r="L887" s="9">
        <v>2026</v>
      </c>
      <c r="M887" s="8" t="s">
        <v>5552</v>
      </c>
      <c r="N887" s="8" t="s">
        <v>37</v>
      </c>
      <c r="O887" s="8" t="s">
        <v>233</v>
      </c>
      <c r="P887" s="6" t="s">
        <v>51</v>
      </c>
      <c r="Q887" s="8" t="s">
        <v>52</v>
      </c>
      <c r="R887" s="10" t="s">
        <v>5553</v>
      </c>
      <c r="S887" s="11" t="s">
        <v>5554</v>
      </c>
      <c r="T887" s="6"/>
      <c r="U887" s="15" t="str">
        <f>HYPERLINK("https://media.infra-m.ru/2211/2211935/cover/2211935.jpg", "Обложка")</f>
        <v>Обложка</v>
      </c>
      <c r="V887" s="8" t="s">
        <v>5555</v>
      </c>
      <c r="W887" s="6"/>
      <c r="X887" s="6"/>
      <c r="Y887" s="6"/>
      <c r="Z887" s="6"/>
      <c r="AA887" s="6" t="s">
        <v>157</v>
      </c>
      <c r="AB887" s="8"/>
      <c r="AC887" s="27">
        <v>9785160210490</v>
      </c>
    </row>
    <row r="888" spans="1:29" s="4" customFormat="1" ht="42" customHeight="1" x14ac:dyDescent="0.2">
      <c r="A888" s="5">
        <v>0</v>
      </c>
      <c r="B888" s="6" t="s">
        <v>5556</v>
      </c>
      <c r="C888" s="7">
        <v>2668.8</v>
      </c>
      <c r="D888" s="8" t="s">
        <v>5557</v>
      </c>
      <c r="E888" s="8" t="s">
        <v>5558</v>
      </c>
      <c r="F888" s="8" t="s">
        <v>5559</v>
      </c>
      <c r="G888" s="6" t="s">
        <v>118</v>
      </c>
      <c r="H888" s="6" t="s">
        <v>34</v>
      </c>
      <c r="I888" s="8" t="s">
        <v>35</v>
      </c>
      <c r="J888" s="9">
        <v>1</v>
      </c>
      <c r="K888" s="9">
        <v>384</v>
      </c>
      <c r="L888" s="9">
        <v>2027</v>
      </c>
      <c r="M888" s="8" t="s">
        <v>5560</v>
      </c>
      <c r="N888" s="8" t="s">
        <v>37</v>
      </c>
      <c r="O888" s="8" t="s">
        <v>233</v>
      </c>
      <c r="P888" s="6" t="s">
        <v>39</v>
      </c>
      <c r="Q888" s="8" t="s">
        <v>40</v>
      </c>
      <c r="R888" s="10" t="s">
        <v>3169</v>
      </c>
      <c r="S888" s="11"/>
      <c r="T888" s="6"/>
      <c r="U888" s="15" t="str">
        <f>HYPERLINK("https://media.infra-m.ru/2262/2262923/cover/2262923.jpg", "Обложка")</f>
        <v>Обложка</v>
      </c>
      <c r="V888" s="8"/>
      <c r="W888" s="6"/>
      <c r="X888" s="6"/>
      <c r="Y888" s="6"/>
      <c r="Z888" s="6"/>
      <c r="AA888" s="6" t="s">
        <v>274</v>
      </c>
      <c r="AB888" s="8"/>
      <c r="AC888" s="27">
        <v>9785160105970</v>
      </c>
    </row>
    <row r="889" spans="1:29" s="4" customFormat="1" ht="44.1" customHeight="1" x14ac:dyDescent="0.2">
      <c r="A889" s="5">
        <v>0</v>
      </c>
      <c r="B889" s="6" t="s">
        <v>5561</v>
      </c>
      <c r="C889" s="13">
        <v>744</v>
      </c>
      <c r="D889" s="8" t="s">
        <v>5562</v>
      </c>
      <c r="E889" s="8" t="s">
        <v>5563</v>
      </c>
      <c r="F889" s="8" t="s">
        <v>5564</v>
      </c>
      <c r="G889" s="6" t="s">
        <v>33</v>
      </c>
      <c r="H889" s="6" t="s">
        <v>34</v>
      </c>
      <c r="I889" s="8" t="s">
        <v>35</v>
      </c>
      <c r="J889" s="9">
        <v>1</v>
      </c>
      <c r="K889" s="9">
        <v>114</v>
      </c>
      <c r="L889" s="9">
        <v>2026</v>
      </c>
      <c r="M889" s="8" t="s">
        <v>5565</v>
      </c>
      <c r="N889" s="8" t="s">
        <v>37</v>
      </c>
      <c r="O889" s="8" t="s">
        <v>233</v>
      </c>
      <c r="P889" s="6" t="s">
        <v>39</v>
      </c>
      <c r="Q889" s="8" t="s">
        <v>40</v>
      </c>
      <c r="R889" s="10" t="s">
        <v>5566</v>
      </c>
      <c r="S889" s="11"/>
      <c r="T889" s="6"/>
      <c r="U889" s="15" t="str">
        <f>HYPERLINK("https://media.infra-m.ru/2237/2237218/cover/2237218.jpg", "Обложка")</f>
        <v>Обложка</v>
      </c>
      <c r="V889" s="8" t="s">
        <v>247</v>
      </c>
      <c r="W889" s="6"/>
      <c r="X889" s="6"/>
      <c r="Y889" s="6"/>
      <c r="Z889" s="6"/>
      <c r="AA889" s="6" t="s">
        <v>274</v>
      </c>
      <c r="AB889" s="8"/>
      <c r="AC889" s="27">
        <v>9785160217536</v>
      </c>
    </row>
    <row r="890" spans="1:29" s="4" customFormat="1" ht="51.9" customHeight="1" x14ac:dyDescent="0.2">
      <c r="A890" s="5">
        <v>0</v>
      </c>
      <c r="B890" s="6" t="s">
        <v>5567</v>
      </c>
      <c r="C890" s="7">
        <v>1540.8</v>
      </c>
      <c r="D890" s="8" t="s">
        <v>5568</v>
      </c>
      <c r="E890" s="8" t="s">
        <v>5569</v>
      </c>
      <c r="F890" s="8" t="s">
        <v>5570</v>
      </c>
      <c r="G890" s="6" t="s">
        <v>60</v>
      </c>
      <c r="H890" s="6" t="s">
        <v>134</v>
      </c>
      <c r="I890" s="8"/>
      <c r="J890" s="9">
        <v>1</v>
      </c>
      <c r="K890" s="9">
        <v>256</v>
      </c>
      <c r="L890" s="9">
        <v>2025</v>
      </c>
      <c r="M890" s="8" t="s">
        <v>5571</v>
      </c>
      <c r="N890" s="8" t="s">
        <v>37</v>
      </c>
      <c r="O890" s="8" t="s">
        <v>136</v>
      </c>
      <c r="P890" s="6" t="s">
        <v>306</v>
      </c>
      <c r="Q890" s="8" t="s">
        <v>500</v>
      </c>
      <c r="R890" s="10" t="s">
        <v>5572</v>
      </c>
      <c r="S890" s="11"/>
      <c r="T890" s="6"/>
      <c r="U890" s="15" t="str">
        <f>HYPERLINK("https://media.infra-m.ru/2170/2170383/cover/2170383.jpg", "Обложка")</f>
        <v>Обложка</v>
      </c>
      <c r="V890" s="8" t="s">
        <v>1184</v>
      </c>
      <c r="W890" s="6"/>
      <c r="X890" s="6"/>
      <c r="Y890" s="6"/>
      <c r="Z890" s="6"/>
      <c r="AA890" s="6" t="s">
        <v>1303</v>
      </c>
      <c r="AB890" s="8"/>
      <c r="AC890" s="27">
        <v>9785001563020</v>
      </c>
    </row>
    <row r="891" spans="1:29" s="4" customFormat="1" ht="42" customHeight="1" x14ac:dyDescent="0.2">
      <c r="A891" s="5">
        <v>0</v>
      </c>
      <c r="B891" s="6" t="s">
        <v>5573</v>
      </c>
      <c r="C891" s="7">
        <v>1104</v>
      </c>
      <c r="D891" s="8" t="s">
        <v>5574</v>
      </c>
      <c r="E891" s="8" t="s">
        <v>5575</v>
      </c>
      <c r="F891" s="8" t="s">
        <v>5570</v>
      </c>
      <c r="G891" s="6" t="s">
        <v>60</v>
      </c>
      <c r="H891" s="6" t="s">
        <v>134</v>
      </c>
      <c r="I891" s="8" t="s">
        <v>263</v>
      </c>
      <c r="J891" s="9">
        <v>1</v>
      </c>
      <c r="K891" s="9">
        <v>272</v>
      </c>
      <c r="L891" s="9">
        <v>2019</v>
      </c>
      <c r="M891" s="8" t="s">
        <v>5576</v>
      </c>
      <c r="N891" s="8" t="s">
        <v>37</v>
      </c>
      <c r="O891" s="8" t="s">
        <v>136</v>
      </c>
      <c r="P891" s="6" t="s">
        <v>306</v>
      </c>
      <c r="Q891" s="8" t="s">
        <v>265</v>
      </c>
      <c r="R891" s="10" t="s">
        <v>5577</v>
      </c>
      <c r="S891" s="11"/>
      <c r="T891" s="6"/>
      <c r="U891" s="15" t="str">
        <f>HYPERLINK("https://media.infra-m.ru/1029/1029666/cover/1029666.jpg", "Обложка")</f>
        <v>Обложка</v>
      </c>
      <c r="V891" s="8" t="s">
        <v>1184</v>
      </c>
      <c r="W891" s="6"/>
      <c r="X891" s="6"/>
      <c r="Y891" s="6"/>
      <c r="Z891" s="6" t="s">
        <v>5578</v>
      </c>
      <c r="AA891" s="6" t="s">
        <v>115</v>
      </c>
      <c r="AB891" s="8"/>
      <c r="AC891" s="27">
        <v>9785001560098</v>
      </c>
    </row>
    <row r="892" spans="1:29" s="4" customFormat="1" ht="51.9" customHeight="1" x14ac:dyDescent="0.2">
      <c r="A892" s="5">
        <v>0</v>
      </c>
      <c r="B892" s="6" t="s">
        <v>5579</v>
      </c>
      <c r="C892" s="7">
        <v>1960.8</v>
      </c>
      <c r="D892" s="8" t="s">
        <v>5580</v>
      </c>
      <c r="E892" s="8" t="s">
        <v>5581</v>
      </c>
      <c r="F892" s="8" t="s">
        <v>5582</v>
      </c>
      <c r="G892" s="6" t="s">
        <v>118</v>
      </c>
      <c r="H892" s="6" t="s">
        <v>34</v>
      </c>
      <c r="I892" s="8" t="s">
        <v>253</v>
      </c>
      <c r="J892" s="9">
        <v>1</v>
      </c>
      <c r="K892" s="9">
        <v>297</v>
      </c>
      <c r="L892" s="9">
        <v>2026</v>
      </c>
      <c r="M892" s="8" t="s">
        <v>5583</v>
      </c>
      <c r="N892" s="8" t="s">
        <v>37</v>
      </c>
      <c r="O892" s="8" t="s">
        <v>233</v>
      </c>
      <c r="P892" s="6" t="s">
        <v>306</v>
      </c>
      <c r="Q892" s="8" t="s">
        <v>65</v>
      </c>
      <c r="R892" s="10" t="s">
        <v>5584</v>
      </c>
      <c r="S892" s="11" t="s">
        <v>5585</v>
      </c>
      <c r="T892" s="6"/>
      <c r="U892" s="15" t="str">
        <f>HYPERLINK("https://media.infra-m.ru/2231/2231316/cover/2231316.jpg", "Обложка")</f>
        <v>Обложка</v>
      </c>
      <c r="V892" s="8" t="s">
        <v>2035</v>
      </c>
      <c r="W892" s="6"/>
      <c r="X892" s="6" t="s">
        <v>24</v>
      </c>
      <c r="Y892" s="6"/>
      <c r="Z892" s="6"/>
      <c r="AA892" s="6" t="s">
        <v>55</v>
      </c>
      <c r="AB892" s="8"/>
      <c r="AC892" s="27">
        <v>9785160186832</v>
      </c>
    </row>
    <row r="893" spans="1:29" s="4" customFormat="1" ht="42" customHeight="1" x14ac:dyDescent="0.2">
      <c r="A893" s="5">
        <v>0</v>
      </c>
      <c r="B893" s="6" t="s">
        <v>5586</v>
      </c>
      <c r="C893" s="7">
        <v>1960.8</v>
      </c>
      <c r="D893" s="8" t="s">
        <v>5587</v>
      </c>
      <c r="E893" s="8" t="s">
        <v>5581</v>
      </c>
      <c r="F893" s="8" t="s">
        <v>5582</v>
      </c>
      <c r="G893" s="6" t="s">
        <v>60</v>
      </c>
      <c r="H893" s="6" t="s">
        <v>34</v>
      </c>
      <c r="I893" s="8" t="s">
        <v>263</v>
      </c>
      <c r="J893" s="9">
        <v>1</v>
      </c>
      <c r="K893" s="9">
        <v>297</v>
      </c>
      <c r="L893" s="9">
        <v>2026</v>
      </c>
      <c r="M893" s="8" t="s">
        <v>5588</v>
      </c>
      <c r="N893" s="8" t="s">
        <v>37</v>
      </c>
      <c r="O893" s="8" t="s">
        <v>233</v>
      </c>
      <c r="P893" s="6" t="s">
        <v>306</v>
      </c>
      <c r="Q893" s="8" t="s">
        <v>265</v>
      </c>
      <c r="R893" s="10" t="s">
        <v>5589</v>
      </c>
      <c r="S893" s="11"/>
      <c r="T893" s="6"/>
      <c r="U893" s="15" t="str">
        <f>HYPERLINK("https://media.infra-m.ru/2238/2238614/cover/2238614.jpg", "Обложка")</f>
        <v>Обложка</v>
      </c>
      <c r="V893" s="8" t="s">
        <v>2035</v>
      </c>
      <c r="W893" s="6"/>
      <c r="X893" s="6"/>
      <c r="Y893" s="6"/>
      <c r="Z893" s="6" t="s">
        <v>882</v>
      </c>
      <c r="AA893" s="6" t="s">
        <v>68</v>
      </c>
      <c r="AB893" s="8"/>
      <c r="AC893" s="27">
        <v>9785160204420</v>
      </c>
    </row>
    <row r="894" spans="1:29" s="4" customFormat="1" ht="51.9" customHeight="1" x14ac:dyDescent="0.2">
      <c r="A894" s="5">
        <v>0</v>
      </c>
      <c r="B894" s="6" t="s">
        <v>5590</v>
      </c>
      <c r="C894" s="7">
        <v>1212</v>
      </c>
      <c r="D894" s="8" t="s">
        <v>5591</v>
      </c>
      <c r="E894" s="8" t="s">
        <v>5592</v>
      </c>
      <c r="F894" s="8" t="s">
        <v>5582</v>
      </c>
      <c r="G894" s="6" t="s">
        <v>118</v>
      </c>
      <c r="H894" s="6" t="s">
        <v>241</v>
      </c>
      <c r="I894" s="8" t="s">
        <v>253</v>
      </c>
      <c r="J894" s="9">
        <v>1</v>
      </c>
      <c r="K894" s="9">
        <v>296</v>
      </c>
      <c r="L894" s="9">
        <v>2020</v>
      </c>
      <c r="M894" s="8" t="s">
        <v>5593</v>
      </c>
      <c r="N894" s="8" t="s">
        <v>37</v>
      </c>
      <c r="O894" s="8" t="s">
        <v>233</v>
      </c>
      <c r="P894" s="6" t="s">
        <v>51</v>
      </c>
      <c r="Q894" s="8" t="s">
        <v>52</v>
      </c>
      <c r="R894" s="10" t="s">
        <v>5584</v>
      </c>
      <c r="S894" s="11" t="s">
        <v>5594</v>
      </c>
      <c r="T894" s="6" t="s">
        <v>97</v>
      </c>
      <c r="U894" s="15" t="str">
        <f>HYPERLINK("https://media.infra-m.ru/1065/1065816/cover/1065816.jpg", "Обложка")</f>
        <v>Обложка</v>
      </c>
      <c r="V894" s="8" t="s">
        <v>2035</v>
      </c>
      <c r="W894" s="6"/>
      <c r="X894" s="6" t="s">
        <v>24</v>
      </c>
      <c r="Y894" s="6"/>
      <c r="Z894" s="6"/>
      <c r="AA894" s="6" t="s">
        <v>623</v>
      </c>
      <c r="AB894" s="8"/>
      <c r="AC894" s="27">
        <v>9785955805337</v>
      </c>
    </row>
    <row r="895" spans="1:29" s="4" customFormat="1" ht="42" customHeight="1" x14ac:dyDescent="0.2">
      <c r="A895" s="5">
        <v>0</v>
      </c>
      <c r="B895" s="6" t="s">
        <v>5595</v>
      </c>
      <c r="C895" s="7">
        <v>1720.8</v>
      </c>
      <c r="D895" s="8" t="s">
        <v>5596</v>
      </c>
      <c r="E895" s="8" t="s">
        <v>5597</v>
      </c>
      <c r="F895" s="8" t="s">
        <v>5598</v>
      </c>
      <c r="G895" s="6" t="s">
        <v>118</v>
      </c>
      <c r="H895" s="6" t="s">
        <v>34</v>
      </c>
      <c r="I895" s="8" t="s">
        <v>304</v>
      </c>
      <c r="J895" s="9">
        <v>1</v>
      </c>
      <c r="K895" s="9">
        <v>247</v>
      </c>
      <c r="L895" s="9">
        <v>2027</v>
      </c>
      <c r="M895" s="8" t="s">
        <v>5599</v>
      </c>
      <c r="N895" s="8" t="s">
        <v>37</v>
      </c>
      <c r="O895" s="8" t="s">
        <v>233</v>
      </c>
      <c r="P895" s="6" t="s">
        <v>51</v>
      </c>
      <c r="Q895" s="8" t="s">
        <v>52</v>
      </c>
      <c r="R895" s="10" t="s">
        <v>5600</v>
      </c>
      <c r="S895" s="11"/>
      <c r="T895" s="6" t="s">
        <v>97</v>
      </c>
      <c r="U895" s="15" t="str">
        <f>HYPERLINK("https://media.infra-m.ru/2271/2271708/cover/2271708.jpg", "Обложка")</f>
        <v>Обложка</v>
      </c>
      <c r="V895" s="8" t="s">
        <v>247</v>
      </c>
      <c r="W895" s="6"/>
      <c r="X895" s="6"/>
      <c r="Y895" s="6"/>
      <c r="Z895" s="6"/>
      <c r="AA895" s="6" t="s">
        <v>115</v>
      </c>
      <c r="AB895" s="8"/>
      <c r="AC895" s="27">
        <v>9785160188089</v>
      </c>
    </row>
    <row r="896" spans="1:29" s="4" customFormat="1" ht="51.9" customHeight="1" x14ac:dyDescent="0.2">
      <c r="A896" s="5">
        <v>0</v>
      </c>
      <c r="B896" s="6" t="s">
        <v>5601</v>
      </c>
      <c r="C896" s="7">
        <v>1176</v>
      </c>
      <c r="D896" s="8" t="s">
        <v>5602</v>
      </c>
      <c r="E896" s="8" t="s">
        <v>5603</v>
      </c>
      <c r="F896" s="8" t="s">
        <v>5604</v>
      </c>
      <c r="G896" s="6" t="s">
        <v>60</v>
      </c>
      <c r="H896" s="6" t="s">
        <v>5605</v>
      </c>
      <c r="I896" s="8" t="s">
        <v>253</v>
      </c>
      <c r="J896" s="9">
        <v>1</v>
      </c>
      <c r="K896" s="9">
        <v>416</v>
      </c>
      <c r="L896" s="9">
        <v>2015</v>
      </c>
      <c r="M896" s="8" t="s">
        <v>5606</v>
      </c>
      <c r="N896" s="8" t="s">
        <v>37</v>
      </c>
      <c r="O896" s="8" t="s">
        <v>136</v>
      </c>
      <c r="P896" s="6" t="s">
        <v>306</v>
      </c>
      <c r="Q896" s="8" t="s">
        <v>52</v>
      </c>
      <c r="R896" s="10" t="s">
        <v>5607</v>
      </c>
      <c r="S896" s="11" t="s">
        <v>5608</v>
      </c>
      <c r="T896" s="6"/>
      <c r="U896" s="15" t="str">
        <f>HYPERLINK("https://media.infra-m.ru/0882/0882303/cover/882303.jpg", "Обложка")</f>
        <v>Обложка</v>
      </c>
      <c r="V896" s="8" t="s">
        <v>5609</v>
      </c>
      <c r="W896" s="6"/>
      <c r="X896" s="6"/>
      <c r="Y896" s="6"/>
      <c r="Z896" s="6"/>
      <c r="AA896" s="6" t="s">
        <v>129</v>
      </c>
      <c r="AB896" s="8"/>
      <c r="AC896" s="27">
        <v>9785160051567</v>
      </c>
    </row>
    <row r="897" spans="1:29" s="4" customFormat="1" ht="51.9" customHeight="1" x14ac:dyDescent="0.2">
      <c r="A897" s="5">
        <v>0</v>
      </c>
      <c r="B897" s="6" t="s">
        <v>5610</v>
      </c>
      <c r="C897" s="7">
        <v>2676</v>
      </c>
      <c r="D897" s="8" t="s">
        <v>5611</v>
      </c>
      <c r="E897" s="8" t="s">
        <v>5612</v>
      </c>
      <c r="F897" s="8" t="s">
        <v>5613</v>
      </c>
      <c r="G897" s="6" t="s">
        <v>60</v>
      </c>
      <c r="H897" s="6" t="s">
        <v>34</v>
      </c>
      <c r="I897" s="8" t="s">
        <v>253</v>
      </c>
      <c r="J897" s="9">
        <v>1</v>
      </c>
      <c r="K897" s="9">
        <v>404</v>
      </c>
      <c r="L897" s="9">
        <v>2026</v>
      </c>
      <c r="M897" s="8" t="s">
        <v>5614</v>
      </c>
      <c r="N897" s="8" t="s">
        <v>37</v>
      </c>
      <c r="O897" s="8" t="s">
        <v>136</v>
      </c>
      <c r="P897" s="6" t="s">
        <v>306</v>
      </c>
      <c r="Q897" s="8" t="s">
        <v>52</v>
      </c>
      <c r="R897" s="10" t="s">
        <v>5607</v>
      </c>
      <c r="S897" s="11"/>
      <c r="T897" s="6"/>
      <c r="U897" s="15" t="str">
        <f>HYPERLINK("https://media.infra-m.ru/2188/2188755/cover/2188755.jpg", "Обложка")</f>
        <v>Обложка</v>
      </c>
      <c r="V897" s="8" t="s">
        <v>5609</v>
      </c>
      <c r="W897" s="6" t="s">
        <v>342</v>
      </c>
      <c r="X897" s="6"/>
      <c r="Y897" s="6"/>
      <c r="Z897" s="6"/>
      <c r="AA897" s="6" t="s">
        <v>3772</v>
      </c>
      <c r="AB897" s="8"/>
      <c r="AC897" s="27">
        <v>9785160207124</v>
      </c>
    </row>
    <row r="898" spans="1:29" s="4" customFormat="1" ht="51.9" customHeight="1" x14ac:dyDescent="0.2">
      <c r="A898" s="5">
        <v>0</v>
      </c>
      <c r="B898" s="6" t="s">
        <v>5615</v>
      </c>
      <c r="C898" s="7">
        <v>2184</v>
      </c>
      <c r="D898" s="8" t="s">
        <v>5616</v>
      </c>
      <c r="E898" s="8" t="s">
        <v>5617</v>
      </c>
      <c r="F898" s="8" t="s">
        <v>5613</v>
      </c>
      <c r="G898" s="6" t="s">
        <v>60</v>
      </c>
      <c r="H898" s="6" t="s">
        <v>34</v>
      </c>
      <c r="I898" s="8" t="s">
        <v>271</v>
      </c>
      <c r="J898" s="9">
        <v>1</v>
      </c>
      <c r="K898" s="9">
        <v>404</v>
      </c>
      <c r="L898" s="9">
        <v>2023</v>
      </c>
      <c r="M898" s="8" t="s">
        <v>5618</v>
      </c>
      <c r="N898" s="8" t="s">
        <v>37</v>
      </c>
      <c r="O898" s="8" t="s">
        <v>136</v>
      </c>
      <c r="P898" s="6" t="s">
        <v>306</v>
      </c>
      <c r="Q898" s="8" t="s">
        <v>52</v>
      </c>
      <c r="R898" s="10" t="s">
        <v>5607</v>
      </c>
      <c r="S898" s="11" t="s">
        <v>5619</v>
      </c>
      <c r="T898" s="6"/>
      <c r="U898" s="15" t="str">
        <f>HYPERLINK("https://media.infra-m.ru/1939/1939103/cover/1939103.jpg", "Обложка")</f>
        <v>Обложка</v>
      </c>
      <c r="V898" s="8" t="s">
        <v>5609</v>
      </c>
      <c r="W898" s="6"/>
      <c r="X898" s="6"/>
      <c r="Y898" s="6"/>
      <c r="Z898" s="6"/>
      <c r="AA898" s="6" t="s">
        <v>404</v>
      </c>
      <c r="AB898" s="8"/>
      <c r="AC898" s="27">
        <v>9785160121918</v>
      </c>
    </row>
    <row r="899" spans="1:29" s="4" customFormat="1" ht="51.9" customHeight="1" x14ac:dyDescent="0.2">
      <c r="A899" s="5">
        <v>0</v>
      </c>
      <c r="B899" s="6" t="s">
        <v>5620</v>
      </c>
      <c r="C899" s="13">
        <v>323.89999999999998</v>
      </c>
      <c r="D899" s="8" t="s">
        <v>5621</v>
      </c>
      <c r="E899" s="8" t="s">
        <v>5622</v>
      </c>
      <c r="F899" s="8" t="s">
        <v>5623</v>
      </c>
      <c r="G899" s="6" t="s">
        <v>21</v>
      </c>
      <c r="H899" s="6" t="s">
        <v>134</v>
      </c>
      <c r="I899" s="8"/>
      <c r="J899" s="9">
        <v>16</v>
      </c>
      <c r="K899" s="9">
        <v>320</v>
      </c>
      <c r="L899" s="9">
        <v>2013</v>
      </c>
      <c r="M899" s="8" t="s">
        <v>5624</v>
      </c>
      <c r="N899" s="8" t="s">
        <v>37</v>
      </c>
      <c r="O899" s="8" t="s">
        <v>136</v>
      </c>
      <c r="P899" s="6" t="s">
        <v>51</v>
      </c>
      <c r="Q899" s="8" t="s">
        <v>52</v>
      </c>
      <c r="R899" s="10" t="s">
        <v>5625</v>
      </c>
      <c r="S899" s="11"/>
      <c r="T899" s="6"/>
      <c r="U899" s="12"/>
      <c r="V899" s="8" t="s">
        <v>1184</v>
      </c>
      <c r="W899" s="6"/>
      <c r="X899" s="6"/>
      <c r="Y899" s="6"/>
      <c r="Z899" s="6"/>
      <c r="AA899" s="6" t="s">
        <v>718</v>
      </c>
      <c r="AB899" s="8"/>
      <c r="AC899" s="27">
        <v>9785917683355</v>
      </c>
    </row>
    <row r="900" spans="1:29" s="4" customFormat="1" ht="51.9" customHeight="1" x14ac:dyDescent="0.2">
      <c r="A900" s="5">
        <v>0</v>
      </c>
      <c r="B900" s="6" t="s">
        <v>5626</v>
      </c>
      <c r="C900" s="7">
        <v>1049.9000000000001</v>
      </c>
      <c r="D900" s="8" t="s">
        <v>5627</v>
      </c>
      <c r="E900" s="8" t="s">
        <v>5628</v>
      </c>
      <c r="F900" s="8" t="s">
        <v>5629</v>
      </c>
      <c r="G900" s="6" t="s">
        <v>60</v>
      </c>
      <c r="H900" s="6" t="s">
        <v>134</v>
      </c>
      <c r="I900" s="8"/>
      <c r="J900" s="9">
        <v>1</v>
      </c>
      <c r="K900" s="9">
        <v>256</v>
      </c>
      <c r="L900" s="9">
        <v>2020</v>
      </c>
      <c r="M900" s="8" t="s">
        <v>5630</v>
      </c>
      <c r="N900" s="8" t="s">
        <v>37</v>
      </c>
      <c r="O900" s="8" t="s">
        <v>136</v>
      </c>
      <c r="P900" s="6" t="s">
        <v>51</v>
      </c>
      <c r="Q900" s="8" t="s">
        <v>500</v>
      </c>
      <c r="R900" s="10" t="s">
        <v>5625</v>
      </c>
      <c r="S900" s="11"/>
      <c r="T900" s="6"/>
      <c r="U900" s="15" t="str">
        <f>HYPERLINK("https://media.infra-m.ru/1072/1072241/cover/1072241.jpg", "Обложка")</f>
        <v>Обложка</v>
      </c>
      <c r="V900" s="8" t="s">
        <v>1184</v>
      </c>
      <c r="W900" s="6"/>
      <c r="X900" s="6"/>
      <c r="Y900" s="6"/>
      <c r="Z900" s="6"/>
      <c r="AA900" s="6" t="s">
        <v>1031</v>
      </c>
      <c r="AB900" s="8"/>
      <c r="AC900" s="27">
        <v>9785917688626</v>
      </c>
    </row>
    <row r="901" spans="1:29" s="4" customFormat="1" ht="44.1" customHeight="1" x14ac:dyDescent="0.2">
      <c r="A901" s="5">
        <v>0</v>
      </c>
      <c r="B901" s="6" t="s">
        <v>5631</v>
      </c>
      <c r="C901" s="7">
        <v>1020</v>
      </c>
      <c r="D901" s="8" t="s">
        <v>5632</v>
      </c>
      <c r="E901" s="8" t="s">
        <v>5628</v>
      </c>
      <c r="F901" s="8" t="s">
        <v>5629</v>
      </c>
      <c r="G901" s="6" t="s">
        <v>60</v>
      </c>
      <c r="H901" s="6" t="s">
        <v>134</v>
      </c>
      <c r="I901" s="8" t="s">
        <v>263</v>
      </c>
      <c r="J901" s="9">
        <v>1</v>
      </c>
      <c r="K901" s="9">
        <v>256</v>
      </c>
      <c r="L901" s="9">
        <v>2019</v>
      </c>
      <c r="M901" s="8" t="s">
        <v>5633</v>
      </c>
      <c r="N901" s="8" t="s">
        <v>37</v>
      </c>
      <c r="O901" s="8" t="s">
        <v>136</v>
      </c>
      <c r="P901" s="6" t="s">
        <v>51</v>
      </c>
      <c r="Q901" s="8" t="s">
        <v>265</v>
      </c>
      <c r="R901" s="10" t="s">
        <v>5634</v>
      </c>
      <c r="S901" s="11"/>
      <c r="T901" s="6"/>
      <c r="U901" s="15" t="str">
        <f>HYPERLINK("https://media.infra-m.ru/1029/1029667/cover/1029667.jpg", "Обложка")</f>
        <v>Обложка</v>
      </c>
      <c r="V901" s="8" t="s">
        <v>1184</v>
      </c>
      <c r="W901" s="6"/>
      <c r="X901" s="6"/>
      <c r="Y901" s="6"/>
      <c r="Z901" s="6" t="s">
        <v>5578</v>
      </c>
      <c r="AA901" s="6" t="s">
        <v>1117</v>
      </c>
      <c r="AB901" s="8"/>
      <c r="AC901" s="27">
        <v>9785001560111</v>
      </c>
    </row>
    <row r="902" spans="1:29" s="4" customFormat="1" ht="51.9" customHeight="1" x14ac:dyDescent="0.2">
      <c r="A902" s="5">
        <v>0</v>
      </c>
      <c r="B902" s="6" t="s">
        <v>5635</v>
      </c>
      <c r="C902" s="7">
        <v>1816.8</v>
      </c>
      <c r="D902" s="8" t="s">
        <v>5636</v>
      </c>
      <c r="E902" s="8" t="s">
        <v>5637</v>
      </c>
      <c r="F902" s="8" t="s">
        <v>5629</v>
      </c>
      <c r="G902" s="6" t="s">
        <v>60</v>
      </c>
      <c r="H902" s="6" t="s">
        <v>134</v>
      </c>
      <c r="I902" s="8"/>
      <c r="J902" s="9">
        <v>1</v>
      </c>
      <c r="K902" s="9">
        <v>260</v>
      </c>
      <c r="L902" s="9">
        <v>2026</v>
      </c>
      <c r="M902" s="8" t="s">
        <v>5638</v>
      </c>
      <c r="N902" s="8" t="s">
        <v>37</v>
      </c>
      <c r="O902" s="8" t="s">
        <v>136</v>
      </c>
      <c r="P902" s="6" t="s">
        <v>51</v>
      </c>
      <c r="Q902" s="8" t="s">
        <v>500</v>
      </c>
      <c r="R902" s="10" t="s">
        <v>5625</v>
      </c>
      <c r="S902" s="11"/>
      <c r="T902" s="6"/>
      <c r="U902" s="15" t="str">
        <f>HYPERLINK("https://media.infra-m.ru/2255/2255375/cover/2255375.jpg", "Обложка")</f>
        <v>Обложка</v>
      </c>
      <c r="V902" s="8" t="s">
        <v>1184</v>
      </c>
      <c r="W902" s="6"/>
      <c r="X902" s="6"/>
      <c r="Y902" s="6"/>
      <c r="Z902" s="6"/>
      <c r="AA902" s="6" t="s">
        <v>5639</v>
      </c>
      <c r="AB902" s="8"/>
      <c r="AC902" s="27">
        <v>9785001562955</v>
      </c>
    </row>
    <row r="903" spans="1:29" s="4" customFormat="1" ht="42" customHeight="1" x14ac:dyDescent="0.2">
      <c r="A903" s="5">
        <v>0</v>
      </c>
      <c r="B903" s="6" t="s">
        <v>5640</v>
      </c>
      <c r="C903" s="7">
        <v>2475.6</v>
      </c>
      <c r="D903" s="8" t="s">
        <v>5641</v>
      </c>
      <c r="E903" s="8" t="s">
        <v>5642</v>
      </c>
      <c r="F903" s="8" t="s">
        <v>5643</v>
      </c>
      <c r="G903" s="6" t="s">
        <v>60</v>
      </c>
      <c r="H903" s="6" t="s">
        <v>134</v>
      </c>
      <c r="I903" s="8"/>
      <c r="J903" s="9">
        <v>1</v>
      </c>
      <c r="K903" s="9">
        <v>400</v>
      </c>
      <c r="L903" s="9">
        <v>2022</v>
      </c>
      <c r="M903" s="8" t="s">
        <v>5644</v>
      </c>
      <c r="N903" s="8" t="s">
        <v>37</v>
      </c>
      <c r="O903" s="8" t="s">
        <v>233</v>
      </c>
      <c r="P903" s="6" t="s">
        <v>39</v>
      </c>
      <c r="Q903" s="8" t="s">
        <v>40</v>
      </c>
      <c r="R903" s="10" t="s">
        <v>5645</v>
      </c>
      <c r="S903" s="11"/>
      <c r="T903" s="6"/>
      <c r="U903" s="15" t="str">
        <f>HYPERLINK("https://media.infra-m.ru/1894/1894392/cover/1894392.jpg", "Обложка")</f>
        <v>Обложка</v>
      </c>
      <c r="V903" s="8" t="s">
        <v>1184</v>
      </c>
      <c r="W903" s="6"/>
      <c r="X903" s="6"/>
      <c r="Y903" s="6"/>
      <c r="Z903" s="6"/>
      <c r="AA903" s="6" t="s">
        <v>148</v>
      </c>
      <c r="AB903" s="8"/>
      <c r="AC903" s="27">
        <v>9785001562528</v>
      </c>
    </row>
    <row r="904" spans="1:29" s="4" customFormat="1" ht="51.9" customHeight="1" x14ac:dyDescent="0.2">
      <c r="A904" s="5">
        <v>0</v>
      </c>
      <c r="B904" s="6" t="s">
        <v>5646</v>
      </c>
      <c r="C904" s="13">
        <v>832.8</v>
      </c>
      <c r="D904" s="8" t="s">
        <v>5647</v>
      </c>
      <c r="E904" s="8" t="s">
        <v>5648</v>
      </c>
      <c r="F904" s="8" t="s">
        <v>5649</v>
      </c>
      <c r="G904" s="6" t="s">
        <v>33</v>
      </c>
      <c r="H904" s="6" t="s">
        <v>1644</v>
      </c>
      <c r="I904" s="8"/>
      <c r="J904" s="9">
        <v>1</v>
      </c>
      <c r="K904" s="9">
        <v>100</v>
      </c>
      <c r="L904" s="9">
        <v>2025</v>
      </c>
      <c r="M904" s="8" t="s">
        <v>5650</v>
      </c>
      <c r="N904" s="8" t="s">
        <v>37</v>
      </c>
      <c r="O904" s="8" t="s">
        <v>233</v>
      </c>
      <c r="P904" s="6" t="s">
        <v>51</v>
      </c>
      <c r="Q904" s="8" t="s">
        <v>377</v>
      </c>
      <c r="R904" s="10" t="s">
        <v>5651</v>
      </c>
      <c r="S904" s="11"/>
      <c r="T904" s="6"/>
      <c r="U904" s="15" t="str">
        <f>HYPERLINK("https://media.infra-m.ru/2192/2192779/cover/2192779.jpg", "Обложка")</f>
        <v>Обложка</v>
      </c>
      <c r="V904" s="8" t="s">
        <v>247</v>
      </c>
      <c r="W904" s="6"/>
      <c r="X904" s="6"/>
      <c r="Y904" s="6"/>
      <c r="Z904" s="6"/>
      <c r="AA904" s="6" t="s">
        <v>157</v>
      </c>
      <c r="AB904" s="8"/>
      <c r="AC904" s="27">
        <v>9785977605502</v>
      </c>
    </row>
    <row r="905" spans="1:29" s="4" customFormat="1" ht="51.9" customHeight="1" x14ac:dyDescent="0.2">
      <c r="A905" s="5">
        <v>0</v>
      </c>
      <c r="B905" s="6" t="s">
        <v>5652</v>
      </c>
      <c r="C905" s="7">
        <v>1164</v>
      </c>
      <c r="D905" s="8" t="s">
        <v>5653</v>
      </c>
      <c r="E905" s="8" t="s">
        <v>5654</v>
      </c>
      <c r="F905" s="8" t="s">
        <v>5655</v>
      </c>
      <c r="G905" s="6" t="s">
        <v>33</v>
      </c>
      <c r="H905" s="6" t="s">
        <v>34</v>
      </c>
      <c r="I905" s="8" t="s">
        <v>35</v>
      </c>
      <c r="J905" s="9">
        <v>1</v>
      </c>
      <c r="K905" s="9">
        <v>176</v>
      </c>
      <c r="L905" s="9">
        <v>2026</v>
      </c>
      <c r="M905" s="8" t="s">
        <v>5656</v>
      </c>
      <c r="N905" s="8" t="s">
        <v>37</v>
      </c>
      <c r="O905" s="8" t="s">
        <v>136</v>
      </c>
      <c r="P905" s="6" t="s">
        <v>39</v>
      </c>
      <c r="Q905" s="8" t="s">
        <v>40</v>
      </c>
      <c r="R905" s="10" t="s">
        <v>5657</v>
      </c>
      <c r="S905" s="11"/>
      <c r="T905" s="6"/>
      <c r="U905" s="15" t="str">
        <f>HYPERLINK("https://media.infra-m.ru/2238/2238030/cover/2238030.jpg", "Обложка")</f>
        <v>Обложка</v>
      </c>
      <c r="V905" s="8" t="s">
        <v>5609</v>
      </c>
      <c r="W905" s="6"/>
      <c r="X905" s="6"/>
      <c r="Y905" s="6"/>
      <c r="Z905" s="6"/>
      <c r="AA905" s="6" t="s">
        <v>248</v>
      </c>
      <c r="AB905" s="8"/>
      <c r="AC905" s="27">
        <v>9785160093321</v>
      </c>
    </row>
    <row r="906" spans="1:29" s="4" customFormat="1" ht="44.1" customHeight="1" x14ac:dyDescent="0.2">
      <c r="A906" s="5">
        <v>0</v>
      </c>
      <c r="B906" s="6" t="s">
        <v>5658</v>
      </c>
      <c r="C906" s="13">
        <v>744</v>
      </c>
      <c r="D906" s="8" t="s">
        <v>5659</v>
      </c>
      <c r="E906" s="8" t="s">
        <v>5660</v>
      </c>
      <c r="F906" s="8" t="s">
        <v>5661</v>
      </c>
      <c r="G906" s="6" t="s">
        <v>33</v>
      </c>
      <c r="H906" s="6" t="s">
        <v>34</v>
      </c>
      <c r="I906" s="8" t="s">
        <v>35</v>
      </c>
      <c r="J906" s="9">
        <v>1</v>
      </c>
      <c r="K906" s="9">
        <v>181</v>
      </c>
      <c r="L906" s="9">
        <v>2019</v>
      </c>
      <c r="M906" s="8" t="s">
        <v>5662</v>
      </c>
      <c r="N906" s="8" t="s">
        <v>37</v>
      </c>
      <c r="O906" s="8" t="s">
        <v>233</v>
      </c>
      <c r="P906" s="6" t="s">
        <v>39</v>
      </c>
      <c r="Q906" s="8" t="s">
        <v>40</v>
      </c>
      <c r="R906" s="10" t="s">
        <v>3792</v>
      </c>
      <c r="S906" s="11"/>
      <c r="T906" s="6"/>
      <c r="U906" s="15" t="str">
        <f>HYPERLINK("https://media.infra-m.ru/1009/1009609/cover/1009609.jpg", "Обложка")</f>
        <v>Обложка</v>
      </c>
      <c r="V906" s="8" t="s">
        <v>67</v>
      </c>
      <c r="W906" s="6"/>
      <c r="X906" s="6"/>
      <c r="Y906" s="6"/>
      <c r="Z906" s="6"/>
      <c r="AA906" s="6" t="s">
        <v>779</v>
      </c>
      <c r="AB906" s="8"/>
      <c r="AC906" s="27">
        <v>9785160104911</v>
      </c>
    </row>
    <row r="907" spans="1:29" s="4" customFormat="1" ht="51.9" customHeight="1" x14ac:dyDescent="0.2">
      <c r="A907" s="5">
        <v>0</v>
      </c>
      <c r="B907" s="6" t="s">
        <v>5663</v>
      </c>
      <c r="C907" s="7">
        <v>1188</v>
      </c>
      <c r="D907" s="8" t="s">
        <v>5664</v>
      </c>
      <c r="E907" s="8" t="s">
        <v>5665</v>
      </c>
      <c r="F907" s="8" t="s">
        <v>5666</v>
      </c>
      <c r="G907" s="6" t="s">
        <v>118</v>
      </c>
      <c r="H907" s="6" t="s">
        <v>34</v>
      </c>
      <c r="I907" s="8" t="s">
        <v>35</v>
      </c>
      <c r="J907" s="9">
        <v>1</v>
      </c>
      <c r="K907" s="9">
        <v>215</v>
      </c>
      <c r="L907" s="9">
        <v>2023</v>
      </c>
      <c r="M907" s="8" t="s">
        <v>5667</v>
      </c>
      <c r="N907" s="8" t="s">
        <v>37</v>
      </c>
      <c r="O907" s="8" t="s">
        <v>136</v>
      </c>
      <c r="P907" s="6" t="s">
        <v>39</v>
      </c>
      <c r="Q907" s="8" t="s">
        <v>40</v>
      </c>
      <c r="R907" s="10" t="s">
        <v>5668</v>
      </c>
      <c r="S907" s="11"/>
      <c r="T907" s="6"/>
      <c r="U907" s="15" t="str">
        <f>HYPERLINK("https://media.infra-m.ru/2010/2010558/cover/2010558.jpg", "Обложка")</f>
        <v>Обложка</v>
      </c>
      <c r="V907" s="8" t="s">
        <v>588</v>
      </c>
      <c r="W907" s="6"/>
      <c r="X907" s="6"/>
      <c r="Y907" s="6"/>
      <c r="Z907" s="6"/>
      <c r="AA907" s="6" t="s">
        <v>148</v>
      </c>
      <c r="AB907" s="8"/>
      <c r="AC907" s="27">
        <v>9785160184913</v>
      </c>
    </row>
    <row r="908" spans="1:29" s="4" customFormat="1" ht="51.9" customHeight="1" x14ac:dyDescent="0.2">
      <c r="A908" s="5">
        <v>0</v>
      </c>
      <c r="B908" s="6" t="s">
        <v>5669</v>
      </c>
      <c r="C908" s="7">
        <v>1428</v>
      </c>
      <c r="D908" s="8" t="s">
        <v>5670</v>
      </c>
      <c r="E908" s="8" t="s">
        <v>5665</v>
      </c>
      <c r="F908" s="8" t="s">
        <v>5666</v>
      </c>
      <c r="G908" s="6" t="s">
        <v>33</v>
      </c>
      <c r="H908" s="6" t="s">
        <v>34</v>
      </c>
      <c r="I908" s="8" t="s">
        <v>35</v>
      </c>
      <c r="J908" s="9">
        <v>1</v>
      </c>
      <c r="K908" s="9">
        <v>215</v>
      </c>
      <c r="L908" s="9">
        <v>2026</v>
      </c>
      <c r="M908" s="8" t="s">
        <v>5671</v>
      </c>
      <c r="N908" s="8" t="s">
        <v>37</v>
      </c>
      <c r="O908" s="8" t="s">
        <v>136</v>
      </c>
      <c r="P908" s="6" t="s">
        <v>39</v>
      </c>
      <c r="Q908" s="8" t="s">
        <v>40</v>
      </c>
      <c r="R908" s="10" t="s">
        <v>5668</v>
      </c>
      <c r="S908" s="11"/>
      <c r="T908" s="6"/>
      <c r="U908" s="15" t="str">
        <f>HYPERLINK("https://media.infra-m.ru/2186/2186258/cover/2186258.jpg", "Обложка")</f>
        <v>Обложка</v>
      </c>
      <c r="V908" s="8" t="s">
        <v>588</v>
      </c>
      <c r="W908" s="6"/>
      <c r="X908" s="6"/>
      <c r="Y908" s="6"/>
      <c r="Z908" s="6"/>
      <c r="AA908" s="6" t="s">
        <v>148</v>
      </c>
      <c r="AB908" s="8"/>
      <c r="AC908" s="27">
        <v>9785160172446</v>
      </c>
    </row>
    <row r="909" spans="1:29" s="4" customFormat="1" ht="51.9" customHeight="1" x14ac:dyDescent="0.2">
      <c r="A909" s="5">
        <v>0</v>
      </c>
      <c r="B909" s="6" t="s">
        <v>5672</v>
      </c>
      <c r="C909" s="7">
        <v>1000.8</v>
      </c>
      <c r="D909" s="8" t="s">
        <v>5673</v>
      </c>
      <c r="E909" s="8" t="s">
        <v>5674</v>
      </c>
      <c r="F909" s="8" t="s">
        <v>5675</v>
      </c>
      <c r="G909" s="6" t="s">
        <v>118</v>
      </c>
      <c r="H909" s="6" t="s">
        <v>134</v>
      </c>
      <c r="I909" s="8"/>
      <c r="J909" s="9">
        <v>1</v>
      </c>
      <c r="K909" s="9">
        <v>160</v>
      </c>
      <c r="L909" s="9">
        <v>2025</v>
      </c>
      <c r="M909" s="8" t="s">
        <v>5676</v>
      </c>
      <c r="N909" s="8" t="s">
        <v>37</v>
      </c>
      <c r="O909" s="8" t="s">
        <v>136</v>
      </c>
      <c r="P909" s="6" t="s">
        <v>51</v>
      </c>
      <c r="Q909" s="8" t="s">
        <v>500</v>
      </c>
      <c r="R909" s="10" t="s">
        <v>5677</v>
      </c>
      <c r="S909" s="11"/>
      <c r="T909" s="6"/>
      <c r="U909" s="15" t="str">
        <f>HYPERLINK("https://media.infra-m.ru/2192/2192588/cover/2192588.jpg", "Обложка")</f>
        <v>Обложка</v>
      </c>
      <c r="V909" s="8" t="s">
        <v>1184</v>
      </c>
      <c r="W909" s="6"/>
      <c r="X909" s="6"/>
      <c r="Y909" s="6"/>
      <c r="Z909" s="6"/>
      <c r="AA909" s="6" t="s">
        <v>86</v>
      </c>
      <c r="AB909" s="8"/>
      <c r="AC909" s="27">
        <v>9785917689135</v>
      </c>
    </row>
    <row r="910" spans="1:29" s="4" customFormat="1" ht="44.1" customHeight="1" x14ac:dyDescent="0.2">
      <c r="A910" s="5">
        <v>0</v>
      </c>
      <c r="B910" s="6" t="s">
        <v>5678</v>
      </c>
      <c r="C910" s="13">
        <v>869.9</v>
      </c>
      <c r="D910" s="8" t="s">
        <v>5679</v>
      </c>
      <c r="E910" s="8" t="s">
        <v>5674</v>
      </c>
      <c r="F910" s="8" t="s">
        <v>5675</v>
      </c>
      <c r="G910" s="6" t="s">
        <v>60</v>
      </c>
      <c r="H910" s="6" t="s">
        <v>134</v>
      </c>
      <c r="I910" s="8" t="s">
        <v>263</v>
      </c>
      <c r="J910" s="9">
        <v>1</v>
      </c>
      <c r="K910" s="9">
        <v>160</v>
      </c>
      <c r="L910" s="9">
        <v>2023</v>
      </c>
      <c r="M910" s="8" t="s">
        <v>5680</v>
      </c>
      <c r="N910" s="8" t="s">
        <v>37</v>
      </c>
      <c r="O910" s="8" t="s">
        <v>136</v>
      </c>
      <c r="P910" s="6" t="s">
        <v>51</v>
      </c>
      <c r="Q910" s="8" t="s">
        <v>265</v>
      </c>
      <c r="R910" s="10" t="s">
        <v>5681</v>
      </c>
      <c r="S910" s="11"/>
      <c r="T910" s="6"/>
      <c r="U910" s="15" t="str">
        <f>HYPERLINK("https://media.infra-m.ru/1920/1920324/cover/1920324.jpg", "Обложка")</f>
        <v>Обложка</v>
      </c>
      <c r="V910" s="8" t="s">
        <v>1184</v>
      </c>
      <c r="W910" s="6"/>
      <c r="X910" s="6"/>
      <c r="Y910" s="6"/>
      <c r="Z910" s="6" t="s">
        <v>5578</v>
      </c>
      <c r="AA910" s="6" t="s">
        <v>115</v>
      </c>
      <c r="AB910" s="8"/>
      <c r="AC910" s="27">
        <v>9785001560104</v>
      </c>
    </row>
    <row r="911" spans="1:29" s="4" customFormat="1" ht="42" customHeight="1" x14ac:dyDescent="0.2">
      <c r="A911" s="5">
        <v>0</v>
      </c>
      <c r="B911" s="6" t="s">
        <v>5682</v>
      </c>
      <c r="C911" s="7">
        <v>1440</v>
      </c>
      <c r="D911" s="8" t="s">
        <v>5683</v>
      </c>
      <c r="E911" s="8" t="s">
        <v>5684</v>
      </c>
      <c r="F911" s="8" t="s">
        <v>5685</v>
      </c>
      <c r="G911" s="6" t="s">
        <v>118</v>
      </c>
      <c r="H911" s="6" t="s">
        <v>34</v>
      </c>
      <c r="I911" s="8" t="s">
        <v>253</v>
      </c>
      <c r="J911" s="9">
        <v>1</v>
      </c>
      <c r="K911" s="9">
        <v>208</v>
      </c>
      <c r="L911" s="9">
        <v>2026</v>
      </c>
      <c r="M911" s="8" t="s">
        <v>5686</v>
      </c>
      <c r="N911" s="8" t="s">
        <v>37</v>
      </c>
      <c r="O911" s="8" t="s">
        <v>233</v>
      </c>
      <c r="P911" s="6" t="s">
        <v>51</v>
      </c>
      <c r="Q911" s="8" t="s">
        <v>377</v>
      </c>
      <c r="R911" s="10" t="s">
        <v>5687</v>
      </c>
      <c r="S911" s="11"/>
      <c r="T911" s="6"/>
      <c r="U911" s="15" t="str">
        <f>HYPERLINK("https://media.infra-m.ru/2232/2232553/cover/2232553.jpg", "Обложка")</f>
        <v>Обложка</v>
      </c>
      <c r="V911" s="8" t="s">
        <v>2035</v>
      </c>
      <c r="W911" s="6"/>
      <c r="X911" s="6"/>
      <c r="Y911" s="6"/>
      <c r="Z911" s="6"/>
      <c r="AA911" s="6" t="s">
        <v>76</v>
      </c>
      <c r="AB911" s="8"/>
      <c r="AC911" s="27">
        <v>9785160216300</v>
      </c>
    </row>
    <row r="912" spans="1:29" s="4" customFormat="1" ht="42" customHeight="1" x14ac:dyDescent="0.2">
      <c r="A912" s="5">
        <v>0</v>
      </c>
      <c r="B912" s="6" t="s">
        <v>5688</v>
      </c>
      <c r="C912" s="13">
        <v>998.3</v>
      </c>
      <c r="D912" s="8" t="s">
        <v>5689</v>
      </c>
      <c r="E912" s="8" t="s">
        <v>5690</v>
      </c>
      <c r="F912" s="8" t="s">
        <v>5691</v>
      </c>
      <c r="G912" s="6" t="s">
        <v>60</v>
      </c>
      <c r="H912" s="6" t="s">
        <v>1644</v>
      </c>
      <c r="I912" s="8"/>
      <c r="J912" s="9">
        <v>1</v>
      </c>
      <c r="K912" s="9">
        <v>160</v>
      </c>
      <c r="L912" s="9">
        <v>2017</v>
      </c>
      <c r="M912" s="8" t="s">
        <v>5692</v>
      </c>
      <c r="N912" s="8" t="s">
        <v>37</v>
      </c>
      <c r="O912" s="8" t="s">
        <v>233</v>
      </c>
      <c r="P912" s="6" t="s">
        <v>39</v>
      </c>
      <c r="Q912" s="8" t="s">
        <v>40</v>
      </c>
      <c r="R912" s="10" t="s">
        <v>5331</v>
      </c>
      <c r="S912" s="11"/>
      <c r="T912" s="6"/>
      <c r="U912" s="15" t="str">
        <f>HYPERLINK("https://media.infra-m.ru/0858/0858883/cover/858883.jpg", "Обложка")</f>
        <v>Обложка</v>
      </c>
      <c r="V912" s="8" t="s">
        <v>5693</v>
      </c>
      <c r="W912" s="6"/>
      <c r="X912" s="6"/>
      <c r="Y912" s="6"/>
      <c r="Z912" s="6"/>
      <c r="AA912" s="6" t="s">
        <v>779</v>
      </c>
      <c r="AB912" s="8"/>
      <c r="AC912" s="27">
        <v>9785977604208</v>
      </c>
    </row>
    <row r="913" spans="1:29" s="4" customFormat="1" ht="42" customHeight="1" x14ac:dyDescent="0.2">
      <c r="A913" s="5">
        <v>0</v>
      </c>
      <c r="B913" s="6" t="s">
        <v>5694</v>
      </c>
      <c r="C913" s="7">
        <v>1168.8</v>
      </c>
      <c r="D913" s="8" t="s">
        <v>5695</v>
      </c>
      <c r="E913" s="8" t="s">
        <v>5696</v>
      </c>
      <c r="F913" s="8" t="s">
        <v>5697</v>
      </c>
      <c r="G913" s="6" t="s">
        <v>33</v>
      </c>
      <c r="H913" s="6" t="s">
        <v>34</v>
      </c>
      <c r="I913" s="8"/>
      <c r="J913" s="9">
        <v>1</v>
      </c>
      <c r="K913" s="9">
        <v>187</v>
      </c>
      <c r="L913" s="9">
        <v>2025</v>
      </c>
      <c r="M913" s="8" t="s">
        <v>5698</v>
      </c>
      <c r="N913" s="8" t="s">
        <v>37</v>
      </c>
      <c r="O913" s="8" t="s">
        <v>83</v>
      </c>
      <c r="P913" s="6" t="s">
        <v>39</v>
      </c>
      <c r="Q913" s="8" t="s">
        <v>40</v>
      </c>
      <c r="R913" s="10" t="s">
        <v>2803</v>
      </c>
      <c r="S913" s="11"/>
      <c r="T913" s="6"/>
      <c r="U913" s="15" t="str">
        <f>HYPERLINK("https://media.infra-m.ru/2208/2208440/cover/2208440.jpg", "Обложка")</f>
        <v>Обложка</v>
      </c>
      <c r="V913" s="8" t="s">
        <v>3087</v>
      </c>
      <c r="W913" s="6"/>
      <c r="X913" s="6"/>
      <c r="Y913" s="6"/>
      <c r="Z913" s="6"/>
      <c r="AA913" s="6" t="s">
        <v>1256</v>
      </c>
      <c r="AB913" s="8"/>
      <c r="AC913" s="27">
        <v>9785160159546</v>
      </c>
    </row>
    <row r="914" spans="1:29" s="4" customFormat="1" ht="42" customHeight="1" x14ac:dyDescent="0.2">
      <c r="A914" s="5">
        <v>0</v>
      </c>
      <c r="B914" s="6" t="s">
        <v>5699</v>
      </c>
      <c r="C914" s="7">
        <v>1740</v>
      </c>
      <c r="D914" s="8" t="s">
        <v>5700</v>
      </c>
      <c r="E914" s="8" t="s">
        <v>5701</v>
      </c>
      <c r="F914" s="8" t="s">
        <v>5702</v>
      </c>
      <c r="G914" s="6" t="s">
        <v>60</v>
      </c>
      <c r="H914" s="6" t="s">
        <v>34</v>
      </c>
      <c r="I914" s="8" t="s">
        <v>35</v>
      </c>
      <c r="J914" s="9">
        <v>1</v>
      </c>
      <c r="K914" s="9">
        <v>340</v>
      </c>
      <c r="L914" s="9">
        <v>2022</v>
      </c>
      <c r="M914" s="8" t="s">
        <v>5703</v>
      </c>
      <c r="N914" s="8" t="s">
        <v>63</v>
      </c>
      <c r="O914" s="8" t="s">
        <v>64</v>
      </c>
      <c r="P914" s="6" t="s">
        <v>39</v>
      </c>
      <c r="Q914" s="8" t="s">
        <v>40</v>
      </c>
      <c r="R914" s="10" t="s">
        <v>5704</v>
      </c>
      <c r="S914" s="11"/>
      <c r="T914" s="6"/>
      <c r="U914" s="15" t="str">
        <f>HYPERLINK("https://media.infra-m.ru/1841/1841827/cover/1841827.jpg", "Обложка")</f>
        <v>Обложка</v>
      </c>
      <c r="V914" s="8" t="s">
        <v>1357</v>
      </c>
      <c r="W914" s="6"/>
      <c r="X914" s="6"/>
      <c r="Y914" s="6"/>
      <c r="Z914" s="6"/>
      <c r="AA914" s="6" t="s">
        <v>148</v>
      </c>
      <c r="AB914" s="8"/>
      <c r="AC914" s="27">
        <v>9785160173016</v>
      </c>
    </row>
    <row r="915" spans="1:29" s="4" customFormat="1" ht="42" customHeight="1" x14ac:dyDescent="0.2">
      <c r="A915" s="5">
        <v>0</v>
      </c>
      <c r="B915" s="6" t="s">
        <v>5705</v>
      </c>
      <c r="C915" s="7">
        <v>2220</v>
      </c>
      <c r="D915" s="8" t="s">
        <v>5706</v>
      </c>
      <c r="E915" s="8" t="s">
        <v>5707</v>
      </c>
      <c r="F915" s="8" t="s">
        <v>5708</v>
      </c>
      <c r="G915" s="6" t="s">
        <v>60</v>
      </c>
      <c r="H915" s="6" t="s">
        <v>34</v>
      </c>
      <c r="I915" s="8" t="s">
        <v>253</v>
      </c>
      <c r="J915" s="9">
        <v>1</v>
      </c>
      <c r="K915" s="9">
        <v>325</v>
      </c>
      <c r="L915" s="9">
        <v>2026</v>
      </c>
      <c r="M915" s="8" t="s">
        <v>5709</v>
      </c>
      <c r="N915" s="8" t="s">
        <v>37</v>
      </c>
      <c r="O915" s="8" t="s">
        <v>499</v>
      </c>
      <c r="P915" s="6" t="s">
        <v>306</v>
      </c>
      <c r="Q915" s="8" t="s">
        <v>52</v>
      </c>
      <c r="R915" s="10" t="s">
        <v>5710</v>
      </c>
      <c r="S915" s="11"/>
      <c r="T915" s="6"/>
      <c r="U915" s="15" t="str">
        <f>HYPERLINK("https://media.infra-m.ru/2193/2193748/cover/2193748.jpg", "Обложка")</f>
        <v>Обложка</v>
      </c>
      <c r="V915" s="8" t="s">
        <v>2047</v>
      </c>
      <c r="W915" s="6" t="s">
        <v>342</v>
      </c>
      <c r="X915" s="6"/>
      <c r="Y915" s="6"/>
      <c r="Z915" s="6"/>
      <c r="AA915" s="6" t="s">
        <v>187</v>
      </c>
      <c r="AB915" s="8" t="s">
        <v>308</v>
      </c>
      <c r="AC915" s="27">
        <v>9785160207865</v>
      </c>
    </row>
    <row r="916" spans="1:29" s="4" customFormat="1" ht="51.9" customHeight="1" x14ac:dyDescent="0.2">
      <c r="A916" s="5">
        <v>0</v>
      </c>
      <c r="B916" s="6" t="s">
        <v>5711</v>
      </c>
      <c r="C916" s="7">
        <v>1060.8</v>
      </c>
      <c r="D916" s="8" t="s">
        <v>5712</v>
      </c>
      <c r="E916" s="8" t="s">
        <v>5713</v>
      </c>
      <c r="F916" s="8" t="s">
        <v>5714</v>
      </c>
      <c r="G916" s="6" t="s">
        <v>60</v>
      </c>
      <c r="H916" s="6" t="s">
        <v>1795</v>
      </c>
      <c r="I916" s="8" t="s">
        <v>5715</v>
      </c>
      <c r="J916" s="9">
        <v>1</v>
      </c>
      <c r="K916" s="9">
        <v>160</v>
      </c>
      <c r="L916" s="9">
        <v>2026</v>
      </c>
      <c r="M916" s="8" t="s">
        <v>5716</v>
      </c>
      <c r="N916" s="8" t="s">
        <v>243</v>
      </c>
      <c r="O916" s="8" t="s">
        <v>758</v>
      </c>
      <c r="P916" s="6" t="s">
        <v>51</v>
      </c>
      <c r="Q916" s="8" t="s">
        <v>500</v>
      </c>
      <c r="R916" s="10" t="s">
        <v>5717</v>
      </c>
      <c r="S916" s="11" t="s">
        <v>5718</v>
      </c>
      <c r="T916" s="6"/>
      <c r="U916" s="15" t="str">
        <f>HYPERLINK("https://media.infra-m.ru/2236/2236526/cover/2236526.jpg", "Обложка")</f>
        <v>Обложка</v>
      </c>
      <c r="V916" s="8" t="s">
        <v>2398</v>
      </c>
      <c r="W916" s="6"/>
      <c r="X916" s="6"/>
      <c r="Y916" s="6"/>
      <c r="Z916" s="6"/>
      <c r="AA916" s="6" t="s">
        <v>248</v>
      </c>
      <c r="AB916" s="8"/>
      <c r="AC916" s="27">
        <v>9785982813664</v>
      </c>
    </row>
    <row r="917" spans="1:29" s="4" customFormat="1" ht="51.9" customHeight="1" x14ac:dyDescent="0.2">
      <c r="A917" s="5">
        <v>0</v>
      </c>
      <c r="B917" s="6" t="s">
        <v>5719</v>
      </c>
      <c r="C917" s="7">
        <v>1168.8</v>
      </c>
      <c r="D917" s="8" t="s">
        <v>5720</v>
      </c>
      <c r="E917" s="8" t="s">
        <v>5721</v>
      </c>
      <c r="F917" s="8" t="s">
        <v>5722</v>
      </c>
      <c r="G917" s="6" t="s">
        <v>33</v>
      </c>
      <c r="H917" s="6" t="s">
        <v>34</v>
      </c>
      <c r="I917" s="8" t="s">
        <v>271</v>
      </c>
      <c r="J917" s="9">
        <v>1</v>
      </c>
      <c r="K917" s="9">
        <v>167</v>
      </c>
      <c r="L917" s="9">
        <v>2026</v>
      </c>
      <c r="M917" s="8" t="s">
        <v>5723</v>
      </c>
      <c r="N917" s="8" t="s">
        <v>243</v>
      </c>
      <c r="O917" s="8" t="s">
        <v>758</v>
      </c>
      <c r="P917" s="6" t="s">
        <v>51</v>
      </c>
      <c r="Q917" s="8" t="s">
        <v>52</v>
      </c>
      <c r="R917" s="10" t="s">
        <v>5724</v>
      </c>
      <c r="S917" s="11" t="s">
        <v>5725</v>
      </c>
      <c r="T917" s="6"/>
      <c r="U917" s="15" t="str">
        <f>HYPERLINK("https://media.infra-m.ru/2254/2254517/cover/2254517.jpg", "Обложка")</f>
        <v>Обложка</v>
      </c>
      <c r="V917" s="8" t="s">
        <v>5726</v>
      </c>
      <c r="W917" s="6"/>
      <c r="X917" s="6"/>
      <c r="Y917" s="6"/>
      <c r="Z917" s="6"/>
      <c r="AA917" s="6" t="s">
        <v>43</v>
      </c>
      <c r="AB917" s="8"/>
      <c r="AC917" s="27">
        <v>9785160060316</v>
      </c>
    </row>
    <row r="918" spans="1:29" s="4" customFormat="1" ht="42" customHeight="1" x14ac:dyDescent="0.2">
      <c r="A918" s="5">
        <v>0</v>
      </c>
      <c r="B918" s="6" t="s">
        <v>5727</v>
      </c>
      <c r="C918" s="7">
        <v>2640</v>
      </c>
      <c r="D918" s="8" t="s">
        <v>5728</v>
      </c>
      <c r="E918" s="8" t="s">
        <v>5729</v>
      </c>
      <c r="F918" s="8" t="s">
        <v>5730</v>
      </c>
      <c r="G918" s="6" t="s">
        <v>118</v>
      </c>
      <c r="H918" s="6" t="s">
        <v>34</v>
      </c>
      <c r="I918" s="8" t="s">
        <v>35</v>
      </c>
      <c r="J918" s="9">
        <v>1</v>
      </c>
      <c r="K918" s="9">
        <v>583</v>
      </c>
      <c r="L918" s="9">
        <v>2022</v>
      </c>
      <c r="M918" s="8" t="s">
        <v>5731</v>
      </c>
      <c r="N918" s="8" t="s">
        <v>243</v>
      </c>
      <c r="O918" s="8" t="s">
        <v>758</v>
      </c>
      <c r="P918" s="6" t="s">
        <v>39</v>
      </c>
      <c r="Q918" s="8" t="s">
        <v>40</v>
      </c>
      <c r="R918" s="10" t="s">
        <v>5732</v>
      </c>
      <c r="S918" s="11"/>
      <c r="T918" s="6"/>
      <c r="U918" s="15" t="str">
        <f>HYPERLINK("https://media.infra-m.ru/1860/1860364/cover/1860364.jpg", "Обложка")</f>
        <v>Обложка</v>
      </c>
      <c r="V918" s="8" t="s">
        <v>4473</v>
      </c>
      <c r="W918" s="6"/>
      <c r="X918" s="6"/>
      <c r="Y918" s="6"/>
      <c r="Z918" s="6"/>
      <c r="AA918" s="6" t="s">
        <v>404</v>
      </c>
      <c r="AB918" s="8"/>
      <c r="AC918" s="27">
        <v>9785160136271</v>
      </c>
    </row>
    <row r="919" spans="1:29" s="4" customFormat="1" ht="42" customHeight="1" x14ac:dyDescent="0.2">
      <c r="A919" s="5">
        <v>0</v>
      </c>
      <c r="B919" s="6" t="s">
        <v>5733</v>
      </c>
      <c r="C919" s="13">
        <v>748.8</v>
      </c>
      <c r="D919" s="8" t="s">
        <v>5734</v>
      </c>
      <c r="E919" s="8" t="s">
        <v>5735</v>
      </c>
      <c r="F919" s="8" t="s">
        <v>5736</v>
      </c>
      <c r="G919" s="6" t="s">
        <v>33</v>
      </c>
      <c r="H919" s="6" t="s">
        <v>34</v>
      </c>
      <c r="I919" s="8" t="s">
        <v>4399</v>
      </c>
      <c r="J919" s="9">
        <v>1</v>
      </c>
      <c r="K919" s="9">
        <v>110</v>
      </c>
      <c r="L919" s="9">
        <v>2026</v>
      </c>
      <c r="M919" s="8" t="s">
        <v>5737</v>
      </c>
      <c r="N919" s="8" t="s">
        <v>243</v>
      </c>
      <c r="O919" s="8" t="s">
        <v>385</v>
      </c>
      <c r="P919" s="6" t="s">
        <v>1837</v>
      </c>
      <c r="Q919" s="8" t="s">
        <v>40</v>
      </c>
      <c r="R919" s="10" t="s">
        <v>5738</v>
      </c>
      <c r="S919" s="11"/>
      <c r="T919" s="6"/>
      <c r="U919" s="15" t="str">
        <f>HYPERLINK("https://media.infra-m.ru/2213/2213198/cover/2213198.jpg", "Обложка")</f>
        <v>Обложка</v>
      </c>
      <c r="V919" s="8" t="s">
        <v>5739</v>
      </c>
      <c r="W919" s="6"/>
      <c r="X919" s="6"/>
      <c r="Y919" s="6"/>
      <c r="Z919" s="6"/>
      <c r="AA919" s="6" t="s">
        <v>43</v>
      </c>
      <c r="AB919" s="8"/>
      <c r="AC919" s="27">
        <v>9785160132112</v>
      </c>
    </row>
    <row r="920" spans="1:29" s="4" customFormat="1" ht="51.9" customHeight="1" x14ac:dyDescent="0.2">
      <c r="A920" s="5">
        <v>0</v>
      </c>
      <c r="B920" s="6" t="s">
        <v>5740</v>
      </c>
      <c r="C920" s="7">
        <v>1620</v>
      </c>
      <c r="D920" s="8" t="s">
        <v>5741</v>
      </c>
      <c r="E920" s="8" t="s">
        <v>5742</v>
      </c>
      <c r="F920" s="8" t="s">
        <v>5736</v>
      </c>
      <c r="G920" s="6" t="s">
        <v>118</v>
      </c>
      <c r="H920" s="6" t="s">
        <v>34</v>
      </c>
      <c r="I920" s="8" t="s">
        <v>253</v>
      </c>
      <c r="J920" s="9">
        <v>1</v>
      </c>
      <c r="K920" s="9">
        <v>253</v>
      </c>
      <c r="L920" s="9">
        <v>2026</v>
      </c>
      <c r="M920" s="8" t="s">
        <v>5743</v>
      </c>
      <c r="N920" s="8" t="s">
        <v>243</v>
      </c>
      <c r="O920" s="8" t="s">
        <v>385</v>
      </c>
      <c r="P920" s="6" t="s">
        <v>51</v>
      </c>
      <c r="Q920" s="8" t="s">
        <v>52</v>
      </c>
      <c r="R920" s="10" t="s">
        <v>5744</v>
      </c>
      <c r="S920" s="11" t="s">
        <v>5745</v>
      </c>
      <c r="T920" s="6"/>
      <c r="U920" s="15" t="str">
        <f>HYPERLINK("https://media.infra-m.ru/2216/2216056/cover/2216056.jpg", "Обложка")</f>
        <v>Обложка</v>
      </c>
      <c r="V920" s="8" t="s">
        <v>5739</v>
      </c>
      <c r="W920" s="6"/>
      <c r="X920" s="6"/>
      <c r="Y920" s="6"/>
      <c r="Z920" s="6"/>
      <c r="AA920" s="6" t="s">
        <v>360</v>
      </c>
      <c r="AB920" s="8"/>
      <c r="AC920" s="27">
        <v>9785160196251</v>
      </c>
    </row>
    <row r="921" spans="1:29" s="4" customFormat="1" ht="51.9" customHeight="1" x14ac:dyDescent="0.2">
      <c r="A921" s="5">
        <v>0</v>
      </c>
      <c r="B921" s="6" t="s">
        <v>5746</v>
      </c>
      <c r="C921" s="7">
        <v>1060.8</v>
      </c>
      <c r="D921" s="8" t="s">
        <v>5747</v>
      </c>
      <c r="E921" s="8" t="s">
        <v>5748</v>
      </c>
      <c r="F921" s="8" t="s">
        <v>5749</v>
      </c>
      <c r="G921" s="6" t="s">
        <v>33</v>
      </c>
      <c r="H921" s="6" t="s">
        <v>241</v>
      </c>
      <c r="I921" s="8" t="s">
        <v>3496</v>
      </c>
      <c r="J921" s="9">
        <v>1</v>
      </c>
      <c r="K921" s="9">
        <v>153</v>
      </c>
      <c r="L921" s="9">
        <v>2027</v>
      </c>
      <c r="M921" s="8" t="s">
        <v>5750</v>
      </c>
      <c r="N921" s="8" t="s">
        <v>63</v>
      </c>
      <c r="O921" s="8" t="s">
        <v>126</v>
      </c>
      <c r="P921" s="6" t="s">
        <v>39</v>
      </c>
      <c r="Q921" s="8" t="s">
        <v>40</v>
      </c>
      <c r="R921" s="10" t="s">
        <v>5751</v>
      </c>
      <c r="S921" s="11"/>
      <c r="T921" s="6"/>
      <c r="U921" s="15" t="str">
        <f>HYPERLINK("https://media.infra-m.ru/2267/2267439/cover/2267439.jpg", "Обложка")</f>
        <v>Обложка</v>
      </c>
      <c r="V921" s="8" t="s">
        <v>414</v>
      </c>
      <c r="W921" s="6"/>
      <c r="X921" s="6"/>
      <c r="Y921" s="6"/>
      <c r="Z921" s="6"/>
      <c r="AA921" s="6" t="s">
        <v>86</v>
      </c>
      <c r="AB921" s="8"/>
      <c r="AC921" s="27">
        <v>9785955805979</v>
      </c>
    </row>
    <row r="922" spans="1:29" s="4" customFormat="1" ht="51.9" customHeight="1" x14ac:dyDescent="0.2">
      <c r="A922" s="5">
        <v>0</v>
      </c>
      <c r="B922" s="6" t="s">
        <v>5752</v>
      </c>
      <c r="C922" s="13">
        <v>732</v>
      </c>
      <c r="D922" s="8" t="s">
        <v>5753</v>
      </c>
      <c r="E922" s="8" t="s">
        <v>5754</v>
      </c>
      <c r="F922" s="8" t="s">
        <v>5755</v>
      </c>
      <c r="G922" s="6" t="s">
        <v>33</v>
      </c>
      <c r="H922" s="6" t="s">
        <v>134</v>
      </c>
      <c r="I922" s="8"/>
      <c r="J922" s="9">
        <v>1</v>
      </c>
      <c r="K922" s="9">
        <v>136</v>
      </c>
      <c r="L922" s="9">
        <v>2022</v>
      </c>
      <c r="M922" s="8" t="s">
        <v>5756</v>
      </c>
      <c r="N922" s="8" t="s">
        <v>37</v>
      </c>
      <c r="O922" s="8" t="s">
        <v>136</v>
      </c>
      <c r="P922" s="6" t="s">
        <v>51</v>
      </c>
      <c r="Q922" s="8" t="s">
        <v>500</v>
      </c>
      <c r="R922" s="10" t="s">
        <v>1275</v>
      </c>
      <c r="S922" s="11"/>
      <c r="T922" s="6"/>
      <c r="U922" s="15" t="str">
        <f>HYPERLINK("https://media.infra-m.ru/1903/1903410/cover/1903410.jpg", "Обложка")</f>
        <v>Обложка</v>
      </c>
      <c r="V922" s="8" t="s">
        <v>138</v>
      </c>
      <c r="W922" s="6"/>
      <c r="X922" s="6"/>
      <c r="Y922" s="6"/>
      <c r="Z922" s="6"/>
      <c r="AA922" s="6" t="s">
        <v>1256</v>
      </c>
      <c r="AB922" s="8"/>
      <c r="AC922" s="27">
        <v>9785001560401</v>
      </c>
    </row>
    <row r="923" spans="1:29" s="4" customFormat="1" ht="51.9" customHeight="1" x14ac:dyDescent="0.2">
      <c r="A923" s="5">
        <v>0</v>
      </c>
      <c r="B923" s="6" t="s">
        <v>5757</v>
      </c>
      <c r="C923" s="7">
        <v>2008.8</v>
      </c>
      <c r="D923" s="8" t="s">
        <v>5758</v>
      </c>
      <c r="E923" s="8" t="s">
        <v>5759</v>
      </c>
      <c r="F923" s="8" t="s">
        <v>5760</v>
      </c>
      <c r="G923" s="6" t="s">
        <v>60</v>
      </c>
      <c r="H923" s="6" t="s">
        <v>1644</v>
      </c>
      <c r="I923" s="8" t="s">
        <v>1904</v>
      </c>
      <c r="J923" s="9">
        <v>1</v>
      </c>
      <c r="K923" s="9">
        <v>288</v>
      </c>
      <c r="L923" s="9">
        <v>2026</v>
      </c>
      <c r="M923" s="8" t="s">
        <v>5761</v>
      </c>
      <c r="N923" s="8" t="s">
        <v>37</v>
      </c>
      <c r="O923" s="8" t="s">
        <v>233</v>
      </c>
      <c r="P923" s="6" t="s">
        <v>51</v>
      </c>
      <c r="Q923" s="8" t="s">
        <v>52</v>
      </c>
      <c r="R923" s="10" t="s">
        <v>2033</v>
      </c>
      <c r="S923" s="11" t="s">
        <v>5762</v>
      </c>
      <c r="T923" s="6"/>
      <c r="U923" s="15" t="str">
        <f>HYPERLINK("https://media.infra-m.ru/2244/2244301/cover/2244301.jpg", "Обложка")</f>
        <v>Обложка</v>
      </c>
      <c r="V923" s="8" t="s">
        <v>5763</v>
      </c>
      <c r="W923" s="6"/>
      <c r="X923" s="6"/>
      <c r="Y923" s="6"/>
      <c r="Z923" s="6"/>
      <c r="AA923" s="6" t="s">
        <v>248</v>
      </c>
      <c r="AB923" s="8"/>
      <c r="AC923" s="27">
        <v>9785977603263</v>
      </c>
    </row>
    <row r="924" spans="1:29" s="4" customFormat="1" ht="42" customHeight="1" x14ac:dyDescent="0.2">
      <c r="A924" s="5">
        <v>0</v>
      </c>
      <c r="B924" s="6" t="s">
        <v>5764</v>
      </c>
      <c r="C924" s="13">
        <v>947.9</v>
      </c>
      <c r="D924" s="8" t="s">
        <v>5765</v>
      </c>
      <c r="E924" s="8" t="s">
        <v>5766</v>
      </c>
      <c r="F924" s="8" t="s">
        <v>5767</v>
      </c>
      <c r="G924" s="6" t="s">
        <v>60</v>
      </c>
      <c r="H924" s="6" t="s">
        <v>134</v>
      </c>
      <c r="I924" s="8"/>
      <c r="J924" s="9">
        <v>1</v>
      </c>
      <c r="K924" s="9">
        <v>216</v>
      </c>
      <c r="L924" s="9">
        <v>2021</v>
      </c>
      <c r="M924" s="8" t="s">
        <v>5768</v>
      </c>
      <c r="N924" s="8" t="s">
        <v>37</v>
      </c>
      <c r="O924" s="8" t="s">
        <v>136</v>
      </c>
      <c r="P924" s="6" t="s">
        <v>51</v>
      </c>
      <c r="Q924" s="8" t="s">
        <v>65</v>
      </c>
      <c r="R924" s="10" t="s">
        <v>1625</v>
      </c>
      <c r="S924" s="11"/>
      <c r="T924" s="6"/>
      <c r="U924" s="15" t="str">
        <f>HYPERLINK("https://media.infra-m.ru/1225/1225323/cover/1225323.jpg", "Обложка")</f>
        <v>Обложка</v>
      </c>
      <c r="V924" s="8" t="s">
        <v>1184</v>
      </c>
      <c r="W924" s="6"/>
      <c r="X924" s="6"/>
      <c r="Y924" s="6"/>
      <c r="Z924" s="6"/>
      <c r="AA924" s="6" t="s">
        <v>430</v>
      </c>
      <c r="AB924" s="8"/>
      <c r="AC924" s="27">
        <v>9785001561514</v>
      </c>
    </row>
    <row r="925" spans="1:29" s="4" customFormat="1" ht="42" customHeight="1" x14ac:dyDescent="0.2">
      <c r="A925" s="5">
        <v>0</v>
      </c>
      <c r="B925" s="6" t="s">
        <v>5769</v>
      </c>
      <c r="C925" s="7">
        <v>1540.8</v>
      </c>
      <c r="D925" s="8" t="s">
        <v>5770</v>
      </c>
      <c r="E925" s="8" t="s">
        <v>5771</v>
      </c>
      <c r="F925" s="8" t="s">
        <v>5772</v>
      </c>
      <c r="G925" s="6" t="s">
        <v>60</v>
      </c>
      <c r="H925" s="6" t="s">
        <v>134</v>
      </c>
      <c r="I925" s="8"/>
      <c r="J925" s="9">
        <v>1</v>
      </c>
      <c r="K925" s="9">
        <v>220</v>
      </c>
      <c r="L925" s="9">
        <v>2026</v>
      </c>
      <c r="M925" s="8" t="s">
        <v>5773</v>
      </c>
      <c r="N925" s="8" t="s">
        <v>37</v>
      </c>
      <c r="O925" s="8" t="s">
        <v>136</v>
      </c>
      <c r="P925" s="6" t="s">
        <v>51</v>
      </c>
      <c r="Q925" s="8" t="s">
        <v>65</v>
      </c>
      <c r="R925" s="10" t="s">
        <v>1625</v>
      </c>
      <c r="S925" s="11"/>
      <c r="T925" s="6"/>
      <c r="U925" s="15" t="str">
        <f>HYPERLINK("https://media.infra-m.ru/2254/2254944/cover/2254944.jpg", "Обложка")</f>
        <v>Обложка</v>
      </c>
      <c r="V925" s="8" t="s">
        <v>1184</v>
      </c>
      <c r="W925" s="6"/>
      <c r="X925" s="6"/>
      <c r="Y925" s="6"/>
      <c r="Z925" s="6"/>
      <c r="AA925" s="6" t="s">
        <v>917</v>
      </c>
      <c r="AB925" s="8"/>
      <c r="AC925" s="27">
        <v>9785001563921</v>
      </c>
    </row>
    <row r="926" spans="1:29" s="4" customFormat="1" ht="51.9" customHeight="1" x14ac:dyDescent="0.2">
      <c r="A926" s="5">
        <v>0</v>
      </c>
      <c r="B926" s="6" t="s">
        <v>5774</v>
      </c>
      <c r="C926" s="7">
        <v>1036.8</v>
      </c>
      <c r="D926" s="8" t="s">
        <v>5775</v>
      </c>
      <c r="E926" s="8" t="s">
        <v>5776</v>
      </c>
      <c r="F926" s="8" t="s">
        <v>5777</v>
      </c>
      <c r="G926" s="6" t="s">
        <v>118</v>
      </c>
      <c r="H926" s="6" t="s">
        <v>34</v>
      </c>
      <c r="I926" s="8" t="s">
        <v>2171</v>
      </c>
      <c r="J926" s="9">
        <v>1</v>
      </c>
      <c r="K926" s="9">
        <v>157</v>
      </c>
      <c r="L926" s="9">
        <v>2026</v>
      </c>
      <c r="M926" s="8" t="s">
        <v>5778</v>
      </c>
      <c r="N926" s="8" t="s">
        <v>243</v>
      </c>
      <c r="O926" s="8" t="s">
        <v>964</v>
      </c>
      <c r="P926" s="6" t="s">
        <v>51</v>
      </c>
      <c r="Q926" s="8" t="s">
        <v>65</v>
      </c>
      <c r="R926" s="10" t="s">
        <v>5779</v>
      </c>
      <c r="S926" s="11" t="s">
        <v>5780</v>
      </c>
      <c r="T926" s="6"/>
      <c r="U926" s="15" t="str">
        <f>HYPERLINK("https://media.infra-m.ru/2239/2239923/cover/2239923.jpg", "Обложка")</f>
        <v>Обложка</v>
      </c>
      <c r="V926" s="8" t="s">
        <v>5781</v>
      </c>
      <c r="W926" s="6"/>
      <c r="X926" s="6" t="s">
        <v>24</v>
      </c>
      <c r="Y926" s="6"/>
      <c r="Z926" s="6"/>
      <c r="AA926" s="6" t="s">
        <v>1256</v>
      </c>
      <c r="AB926" s="8"/>
      <c r="AC926" s="27">
        <v>9785160158389</v>
      </c>
    </row>
    <row r="927" spans="1:29" s="4" customFormat="1" ht="42" customHeight="1" x14ac:dyDescent="0.2">
      <c r="A927" s="5">
        <v>0</v>
      </c>
      <c r="B927" s="6" t="s">
        <v>5782</v>
      </c>
      <c r="C927" s="7">
        <v>1152</v>
      </c>
      <c r="D927" s="8" t="s">
        <v>5783</v>
      </c>
      <c r="E927" s="8" t="s">
        <v>5784</v>
      </c>
      <c r="F927" s="8" t="s">
        <v>5785</v>
      </c>
      <c r="G927" s="6" t="s">
        <v>118</v>
      </c>
      <c r="H927" s="6" t="s">
        <v>34</v>
      </c>
      <c r="I927" s="8" t="s">
        <v>2171</v>
      </c>
      <c r="J927" s="9">
        <v>1</v>
      </c>
      <c r="K927" s="9">
        <v>174</v>
      </c>
      <c r="L927" s="9">
        <v>2026</v>
      </c>
      <c r="M927" s="8" t="s">
        <v>5786</v>
      </c>
      <c r="N927" s="8" t="s">
        <v>243</v>
      </c>
      <c r="O927" s="8" t="s">
        <v>964</v>
      </c>
      <c r="P927" s="6" t="s">
        <v>105</v>
      </c>
      <c r="Q927" s="8" t="s">
        <v>377</v>
      </c>
      <c r="R927" s="10" t="s">
        <v>5787</v>
      </c>
      <c r="S927" s="11"/>
      <c r="T927" s="6"/>
      <c r="U927" s="15" t="str">
        <f>HYPERLINK("https://media.infra-m.ru/2239/2239917/cover/2239917.jpg", "Обложка")</f>
        <v>Обложка</v>
      </c>
      <c r="V927" s="8"/>
      <c r="W927" s="6"/>
      <c r="X927" s="6"/>
      <c r="Y927" s="6"/>
      <c r="Z927" s="6"/>
      <c r="AA927" s="6" t="s">
        <v>430</v>
      </c>
      <c r="AB927" s="8"/>
      <c r="AC927" s="27">
        <v>9785160163208</v>
      </c>
    </row>
    <row r="928" spans="1:29" s="4" customFormat="1" ht="51.9" customHeight="1" x14ac:dyDescent="0.2">
      <c r="A928" s="5">
        <v>0</v>
      </c>
      <c r="B928" s="6" t="s">
        <v>5788</v>
      </c>
      <c r="C928" s="7">
        <v>1200</v>
      </c>
      <c r="D928" s="8" t="s">
        <v>5789</v>
      </c>
      <c r="E928" s="8" t="s">
        <v>5784</v>
      </c>
      <c r="F928" s="8" t="s">
        <v>5785</v>
      </c>
      <c r="G928" s="6" t="s">
        <v>118</v>
      </c>
      <c r="H928" s="6" t="s">
        <v>34</v>
      </c>
      <c r="I928" s="8" t="s">
        <v>5790</v>
      </c>
      <c r="J928" s="9">
        <v>1</v>
      </c>
      <c r="K928" s="9">
        <v>174</v>
      </c>
      <c r="L928" s="9">
        <v>2027</v>
      </c>
      <c r="M928" s="8" t="s">
        <v>5791</v>
      </c>
      <c r="N928" s="8" t="s">
        <v>243</v>
      </c>
      <c r="O928" s="8" t="s">
        <v>964</v>
      </c>
      <c r="P928" s="6" t="s">
        <v>105</v>
      </c>
      <c r="Q928" s="8" t="s">
        <v>265</v>
      </c>
      <c r="R928" s="10" t="s">
        <v>5792</v>
      </c>
      <c r="S928" s="11" t="s">
        <v>5793</v>
      </c>
      <c r="T928" s="6"/>
      <c r="U928" s="15" t="str">
        <f>HYPERLINK("https://media.infra-m.ru/2266/2266139/cover/2266139.jpg", "Обложка")</f>
        <v>Обложка</v>
      </c>
      <c r="V928" s="8"/>
      <c r="W928" s="6"/>
      <c r="X928" s="6"/>
      <c r="Y928" s="6"/>
      <c r="Z928" s="6" t="s">
        <v>3911</v>
      </c>
      <c r="AA928" s="6" t="s">
        <v>430</v>
      </c>
      <c r="AB928" s="8"/>
      <c r="AC928" s="27">
        <v>9785160169170</v>
      </c>
    </row>
    <row r="929" spans="1:29" s="4" customFormat="1" ht="51.9" customHeight="1" x14ac:dyDescent="0.2">
      <c r="A929" s="5">
        <v>0</v>
      </c>
      <c r="B929" s="6" t="s">
        <v>5794</v>
      </c>
      <c r="C929" s="13">
        <v>804</v>
      </c>
      <c r="D929" s="8" t="s">
        <v>5795</v>
      </c>
      <c r="E929" s="8" t="s">
        <v>5796</v>
      </c>
      <c r="F929" s="8" t="s">
        <v>5797</v>
      </c>
      <c r="G929" s="6" t="s">
        <v>60</v>
      </c>
      <c r="H929" s="6" t="s">
        <v>34</v>
      </c>
      <c r="I929" s="8" t="s">
        <v>504</v>
      </c>
      <c r="J929" s="9">
        <v>1</v>
      </c>
      <c r="K929" s="9">
        <v>169</v>
      </c>
      <c r="L929" s="9">
        <v>2021</v>
      </c>
      <c r="M929" s="8" t="s">
        <v>5798</v>
      </c>
      <c r="N929" s="8" t="s">
        <v>585</v>
      </c>
      <c r="O929" s="8" t="s">
        <v>667</v>
      </c>
      <c r="P929" s="6" t="s">
        <v>51</v>
      </c>
      <c r="Q929" s="8" t="s">
        <v>500</v>
      </c>
      <c r="R929" s="10" t="s">
        <v>5799</v>
      </c>
      <c r="S929" s="11" t="s">
        <v>5800</v>
      </c>
      <c r="T929" s="6"/>
      <c r="U929" s="15" t="str">
        <f>HYPERLINK("https://media.infra-m.ru/1209/1209581/cover/1209581.jpg", "Обложка")</f>
        <v>Обложка</v>
      </c>
      <c r="V929" s="8" t="s">
        <v>5801</v>
      </c>
      <c r="W929" s="6"/>
      <c r="X929" s="6"/>
      <c r="Y929" s="6"/>
      <c r="Z929" s="6"/>
      <c r="AA929" s="6" t="s">
        <v>430</v>
      </c>
      <c r="AB929" s="8"/>
      <c r="AC929" s="27">
        <v>9785160166520</v>
      </c>
    </row>
    <row r="930" spans="1:29" s="4" customFormat="1" ht="42" customHeight="1" x14ac:dyDescent="0.2">
      <c r="A930" s="5">
        <v>0</v>
      </c>
      <c r="B930" s="6" t="s">
        <v>5802</v>
      </c>
      <c r="C930" s="7">
        <v>1718.4</v>
      </c>
      <c r="D930" s="8" t="s">
        <v>5803</v>
      </c>
      <c r="E930" s="8" t="s">
        <v>5804</v>
      </c>
      <c r="F930" s="8" t="s">
        <v>2011</v>
      </c>
      <c r="G930" s="6" t="s">
        <v>118</v>
      </c>
      <c r="H930" s="6" t="s">
        <v>34</v>
      </c>
      <c r="I930" s="8" t="s">
        <v>304</v>
      </c>
      <c r="J930" s="9">
        <v>1</v>
      </c>
      <c r="K930" s="9">
        <v>177</v>
      </c>
      <c r="L930" s="9">
        <v>2026</v>
      </c>
      <c r="M930" s="8" t="s">
        <v>5805</v>
      </c>
      <c r="N930" s="8" t="s">
        <v>243</v>
      </c>
      <c r="O930" s="8" t="s">
        <v>244</v>
      </c>
      <c r="P930" s="6" t="s">
        <v>51</v>
      </c>
      <c r="Q930" s="8" t="s">
        <v>65</v>
      </c>
      <c r="R930" s="10" t="s">
        <v>5806</v>
      </c>
      <c r="S930" s="11"/>
      <c r="T930" s="6"/>
      <c r="U930" s="15" t="str">
        <f>HYPERLINK("https://media.infra-m.ru/2262/2262008/cover/2262008.jpg", "Обложка")</f>
        <v>Обложка</v>
      </c>
      <c r="V930" s="8" t="s">
        <v>247</v>
      </c>
      <c r="W930" s="6"/>
      <c r="X930" s="6"/>
      <c r="Y930" s="6"/>
      <c r="Z930" s="6"/>
      <c r="AA930" s="6" t="s">
        <v>76</v>
      </c>
      <c r="AB930" s="8"/>
      <c r="AC930" s="27">
        <v>9785160190013</v>
      </c>
    </row>
    <row r="931" spans="1:29" s="4" customFormat="1" ht="51.9" customHeight="1" x14ac:dyDescent="0.2">
      <c r="A931" s="5">
        <v>0</v>
      </c>
      <c r="B931" s="6" t="s">
        <v>5807</v>
      </c>
      <c r="C931" s="7">
        <v>2508</v>
      </c>
      <c r="D931" s="8" t="s">
        <v>5808</v>
      </c>
      <c r="E931" s="8" t="s">
        <v>5809</v>
      </c>
      <c r="F931" s="8" t="s">
        <v>5810</v>
      </c>
      <c r="G931" s="6" t="s">
        <v>118</v>
      </c>
      <c r="H931" s="6" t="s">
        <v>313</v>
      </c>
      <c r="I931" s="8" t="s">
        <v>253</v>
      </c>
      <c r="J931" s="9">
        <v>1</v>
      </c>
      <c r="K931" s="9">
        <v>360</v>
      </c>
      <c r="L931" s="9">
        <v>2026</v>
      </c>
      <c r="M931" s="8" t="s">
        <v>5811</v>
      </c>
      <c r="N931" s="8" t="s">
        <v>37</v>
      </c>
      <c r="O931" s="8" t="s">
        <v>38</v>
      </c>
      <c r="P931" s="6" t="s">
        <v>51</v>
      </c>
      <c r="Q931" s="8" t="s">
        <v>65</v>
      </c>
      <c r="R931" s="10" t="s">
        <v>5812</v>
      </c>
      <c r="S931" s="11"/>
      <c r="T931" s="6"/>
      <c r="U931" s="15" t="str">
        <f>HYPERLINK("https://media.infra-m.ru/2262/2262011/cover/2262011.jpg", "Обложка")</f>
        <v>Обложка</v>
      </c>
      <c r="V931" s="8"/>
      <c r="W931" s="6"/>
      <c r="X931" s="6"/>
      <c r="Y931" s="6"/>
      <c r="Z931" s="6"/>
      <c r="AA931" s="6" t="s">
        <v>718</v>
      </c>
      <c r="AB931" s="8"/>
      <c r="AC931" s="27">
        <v>9785369011652</v>
      </c>
    </row>
    <row r="932" spans="1:29" s="4" customFormat="1" ht="51.9" customHeight="1" x14ac:dyDescent="0.2">
      <c r="A932" s="5">
        <v>0</v>
      </c>
      <c r="B932" s="6" t="s">
        <v>5813</v>
      </c>
      <c r="C932" s="7">
        <v>1336.8</v>
      </c>
      <c r="D932" s="8" t="s">
        <v>5814</v>
      </c>
      <c r="E932" s="8" t="s">
        <v>5815</v>
      </c>
      <c r="F932" s="8" t="s">
        <v>5816</v>
      </c>
      <c r="G932" s="6" t="s">
        <v>118</v>
      </c>
      <c r="H932" s="6" t="s">
        <v>34</v>
      </c>
      <c r="I932" s="8" t="s">
        <v>253</v>
      </c>
      <c r="J932" s="9">
        <v>1</v>
      </c>
      <c r="K932" s="9">
        <v>201</v>
      </c>
      <c r="L932" s="9">
        <v>2026</v>
      </c>
      <c r="M932" s="8" t="s">
        <v>5817</v>
      </c>
      <c r="N932" s="8" t="s">
        <v>63</v>
      </c>
      <c r="O932" s="8" t="s">
        <v>126</v>
      </c>
      <c r="P932" s="6" t="s">
        <v>51</v>
      </c>
      <c r="Q932" s="8" t="s">
        <v>65</v>
      </c>
      <c r="R932" s="10" t="s">
        <v>5818</v>
      </c>
      <c r="S932" s="11" t="s">
        <v>5819</v>
      </c>
      <c r="T932" s="6"/>
      <c r="U932" s="15" t="str">
        <f>HYPERLINK("https://media.infra-m.ru/2254/2254330/cover/2254330.jpg", "Обложка")</f>
        <v>Обложка</v>
      </c>
      <c r="V932" s="8" t="s">
        <v>5820</v>
      </c>
      <c r="W932" s="6"/>
      <c r="X932" s="6"/>
      <c r="Y932" s="6"/>
      <c r="Z932" s="6"/>
      <c r="AA932" s="6" t="s">
        <v>157</v>
      </c>
      <c r="AB932" s="8"/>
      <c r="AC932" s="27">
        <v>9785160190259</v>
      </c>
    </row>
    <row r="933" spans="1:29" s="4" customFormat="1" ht="51.9" customHeight="1" x14ac:dyDescent="0.2">
      <c r="A933" s="5">
        <v>0</v>
      </c>
      <c r="B933" s="6" t="s">
        <v>5821</v>
      </c>
      <c r="C933" s="7">
        <v>1152</v>
      </c>
      <c r="D933" s="8" t="s">
        <v>5822</v>
      </c>
      <c r="E933" s="8" t="s">
        <v>5823</v>
      </c>
      <c r="F933" s="8" t="s">
        <v>5824</v>
      </c>
      <c r="G933" s="6" t="s">
        <v>60</v>
      </c>
      <c r="H933" s="6" t="s">
        <v>1042</v>
      </c>
      <c r="I933" s="8" t="s">
        <v>253</v>
      </c>
      <c r="J933" s="9">
        <v>1</v>
      </c>
      <c r="K933" s="9">
        <v>320</v>
      </c>
      <c r="L933" s="9">
        <v>2018</v>
      </c>
      <c r="M933" s="8" t="s">
        <v>5825</v>
      </c>
      <c r="N933" s="8" t="s">
        <v>243</v>
      </c>
      <c r="O933" s="8" t="s">
        <v>244</v>
      </c>
      <c r="P933" s="6" t="s">
        <v>51</v>
      </c>
      <c r="Q933" s="8" t="s">
        <v>52</v>
      </c>
      <c r="R933" s="10" t="s">
        <v>5826</v>
      </c>
      <c r="S933" s="11" t="s">
        <v>5827</v>
      </c>
      <c r="T933" s="6"/>
      <c r="U933" s="12"/>
      <c r="V933" s="8" t="s">
        <v>3428</v>
      </c>
      <c r="W933" s="6"/>
      <c r="X933" s="6"/>
      <c r="Y933" s="6"/>
      <c r="Z933" s="6"/>
      <c r="AA933" s="6" t="s">
        <v>779</v>
      </c>
      <c r="AB933" s="8"/>
      <c r="AC933" s="27">
        <v>9785819906491</v>
      </c>
    </row>
    <row r="934" spans="1:29" s="4" customFormat="1" ht="51.9" customHeight="1" x14ac:dyDescent="0.2">
      <c r="A934" s="5">
        <v>0</v>
      </c>
      <c r="B934" s="6" t="s">
        <v>5828</v>
      </c>
      <c r="C934" s="7">
        <v>1764</v>
      </c>
      <c r="D934" s="8" t="s">
        <v>5829</v>
      </c>
      <c r="E934" s="8" t="s">
        <v>5823</v>
      </c>
      <c r="F934" s="8" t="s">
        <v>5824</v>
      </c>
      <c r="G934" s="6" t="s">
        <v>118</v>
      </c>
      <c r="H934" s="6" t="s">
        <v>1042</v>
      </c>
      <c r="I934" s="8" t="s">
        <v>263</v>
      </c>
      <c r="J934" s="9">
        <v>1</v>
      </c>
      <c r="K934" s="9">
        <v>320</v>
      </c>
      <c r="L934" s="9">
        <v>2023</v>
      </c>
      <c r="M934" s="8" t="s">
        <v>5830</v>
      </c>
      <c r="N934" s="8" t="s">
        <v>243</v>
      </c>
      <c r="O934" s="8" t="s">
        <v>244</v>
      </c>
      <c r="P934" s="6" t="s">
        <v>51</v>
      </c>
      <c r="Q934" s="8" t="s">
        <v>265</v>
      </c>
      <c r="R934" s="10" t="s">
        <v>5831</v>
      </c>
      <c r="S934" s="11" t="s">
        <v>3949</v>
      </c>
      <c r="T934" s="6"/>
      <c r="U934" s="15" t="str">
        <f>HYPERLINK("https://media.infra-m.ru/1891/1891187/cover/1891187.jpg", "Обложка")</f>
        <v>Обложка</v>
      </c>
      <c r="V934" s="8" t="s">
        <v>3428</v>
      </c>
      <c r="W934" s="6"/>
      <c r="X934" s="6" t="s">
        <v>24</v>
      </c>
      <c r="Y934" s="6"/>
      <c r="Z934" s="6" t="s">
        <v>267</v>
      </c>
      <c r="AA934" s="6" t="s">
        <v>1256</v>
      </c>
      <c r="AB934" s="8"/>
      <c r="AC934" s="27">
        <v>9785819909034</v>
      </c>
    </row>
    <row r="935" spans="1:29" s="4" customFormat="1" ht="51.9" customHeight="1" x14ac:dyDescent="0.2">
      <c r="A935" s="5">
        <v>0</v>
      </c>
      <c r="B935" s="6" t="s">
        <v>5832</v>
      </c>
      <c r="C935" s="7">
        <v>1176</v>
      </c>
      <c r="D935" s="8" t="s">
        <v>5833</v>
      </c>
      <c r="E935" s="8" t="s">
        <v>5834</v>
      </c>
      <c r="F935" s="8" t="s">
        <v>5835</v>
      </c>
      <c r="G935" s="6" t="s">
        <v>60</v>
      </c>
      <c r="H935" s="6" t="s">
        <v>34</v>
      </c>
      <c r="I935" s="8" t="s">
        <v>1128</v>
      </c>
      <c r="J935" s="9">
        <v>1</v>
      </c>
      <c r="K935" s="9">
        <v>194</v>
      </c>
      <c r="L935" s="9">
        <v>2025</v>
      </c>
      <c r="M935" s="8" t="s">
        <v>5836</v>
      </c>
      <c r="N935" s="8" t="s">
        <v>585</v>
      </c>
      <c r="O935" s="8" t="s">
        <v>2472</v>
      </c>
      <c r="P935" s="6" t="s">
        <v>51</v>
      </c>
      <c r="Q935" s="8" t="s">
        <v>65</v>
      </c>
      <c r="R935" s="10" t="s">
        <v>5837</v>
      </c>
      <c r="S935" s="11" t="s">
        <v>5838</v>
      </c>
      <c r="T935" s="6"/>
      <c r="U935" s="15" t="str">
        <f>HYPERLINK("https://media.infra-m.ru/2169/2169740/cover/2169740.jpg", "Обложка")</f>
        <v>Обложка</v>
      </c>
      <c r="V935" s="8" t="s">
        <v>1132</v>
      </c>
      <c r="W935" s="6"/>
      <c r="X935" s="6"/>
      <c r="Y935" s="6"/>
      <c r="Z935" s="6"/>
      <c r="AA935" s="6" t="s">
        <v>68</v>
      </c>
      <c r="AB935" s="8"/>
      <c r="AC935" s="27">
        <v>9785160203331</v>
      </c>
    </row>
    <row r="936" spans="1:29" s="4" customFormat="1" ht="51.9" customHeight="1" x14ac:dyDescent="0.2">
      <c r="A936" s="5">
        <v>0</v>
      </c>
      <c r="B936" s="6" t="s">
        <v>5839</v>
      </c>
      <c r="C936" s="7">
        <v>1516.8</v>
      </c>
      <c r="D936" s="8" t="s">
        <v>5840</v>
      </c>
      <c r="E936" s="8" t="s">
        <v>5841</v>
      </c>
      <c r="F936" s="8" t="s">
        <v>5842</v>
      </c>
      <c r="G936" s="6" t="s">
        <v>118</v>
      </c>
      <c r="H936" s="6" t="s">
        <v>34</v>
      </c>
      <c r="I936" s="8" t="s">
        <v>271</v>
      </c>
      <c r="J936" s="9">
        <v>1</v>
      </c>
      <c r="K936" s="9">
        <v>224</v>
      </c>
      <c r="L936" s="9">
        <v>2024</v>
      </c>
      <c r="M936" s="8" t="s">
        <v>5843</v>
      </c>
      <c r="N936" s="8" t="s">
        <v>585</v>
      </c>
      <c r="O936" s="8" t="s">
        <v>2472</v>
      </c>
      <c r="P936" s="6" t="s">
        <v>51</v>
      </c>
      <c r="Q936" s="8" t="s">
        <v>52</v>
      </c>
      <c r="R936" s="10" t="s">
        <v>5844</v>
      </c>
      <c r="S936" s="11" t="s">
        <v>5845</v>
      </c>
      <c r="T936" s="6"/>
      <c r="U936" s="15" t="str">
        <f>HYPERLINK("https://media.infra-m.ru/2122/2122063/cover/2122063.jpg", "Обложка")</f>
        <v>Обложка</v>
      </c>
      <c r="V936" s="8" t="s">
        <v>5846</v>
      </c>
      <c r="W936" s="6"/>
      <c r="X936" s="6"/>
      <c r="Y936" s="6"/>
      <c r="Z936" s="6"/>
      <c r="AA936" s="6" t="s">
        <v>248</v>
      </c>
      <c r="AB936" s="8"/>
      <c r="AC936" s="27">
        <v>9785160156330</v>
      </c>
    </row>
    <row r="937" spans="1:29" s="4" customFormat="1" ht="51.9" customHeight="1" x14ac:dyDescent="0.2">
      <c r="A937" s="5">
        <v>0</v>
      </c>
      <c r="B937" s="6" t="s">
        <v>5847</v>
      </c>
      <c r="C937" s="7">
        <v>1716</v>
      </c>
      <c r="D937" s="8" t="s">
        <v>5848</v>
      </c>
      <c r="E937" s="8" t="s">
        <v>5849</v>
      </c>
      <c r="F937" s="8" t="s">
        <v>5850</v>
      </c>
      <c r="G937" s="6" t="s">
        <v>118</v>
      </c>
      <c r="H937" s="6" t="s">
        <v>34</v>
      </c>
      <c r="I937" s="8" t="s">
        <v>253</v>
      </c>
      <c r="J937" s="9">
        <v>1</v>
      </c>
      <c r="K937" s="9">
        <v>273</v>
      </c>
      <c r="L937" s="9">
        <v>2026</v>
      </c>
      <c r="M937" s="8" t="s">
        <v>5851</v>
      </c>
      <c r="N937" s="8" t="s">
        <v>585</v>
      </c>
      <c r="O937" s="8" t="s">
        <v>2472</v>
      </c>
      <c r="P937" s="6" t="s">
        <v>51</v>
      </c>
      <c r="Q937" s="8" t="s">
        <v>52</v>
      </c>
      <c r="R937" s="10" t="s">
        <v>5844</v>
      </c>
      <c r="S937" s="11" t="s">
        <v>5845</v>
      </c>
      <c r="T937" s="6"/>
      <c r="U937" s="15" t="str">
        <f>HYPERLINK("https://media.infra-m.ru/2224/2224097/cover/2224097.jpg", "Обложка")</f>
        <v>Обложка</v>
      </c>
      <c r="V937" s="8" t="s">
        <v>5846</v>
      </c>
      <c r="W937" s="6"/>
      <c r="X937" s="6"/>
      <c r="Y937" s="6"/>
      <c r="Z937" s="6"/>
      <c r="AA937" s="6" t="s">
        <v>896</v>
      </c>
      <c r="AB937" s="8"/>
      <c r="AC937" s="27">
        <v>9785160207728</v>
      </c>
    </row>
    <row r="938" spans="1:29" s="4" customFormat="1" ht="42" customHeight="1" x14ac:dyDescent="0.2">
      <c r="A938" s="5">
        <v>0</v>
      </c>
      <c r="B938" s="6" t="s">
        <v>5852</v>
      </c>
      <c r="C938" s="13">
        <v>744</v>
      </c>
      <c r="D938" s="8" t="s">
        <v>5853</v>
      </c>
      <c r="E938" s="8" t="s">
        <v>5854</v>
      </c>
      <c r="F938" s="8" t="s">
        <v>5855</v>
      </c>
      <c r="G938" s="6" t="s">
        <v>33</v>
      </c>
      <c r="H938" s="6" t="s">
        <v>48</v>
      </c>
      <c r="I938" s="8" t="s">
        <v>263</v>
      </c>
      <c r="J938" s="9">
        <v>1</v>
      </c>
      <c r="K938" s="9">
        <v>112</v>
      </c>
      <c r="L938" s="9">
        <v>2025</v>
      </c>
      <c r="M938" s="8" t="s">
        <v>5856</v>
      </c>
      <c r="N938" s="8" t="s">
        <v>585</v>
      </c>
      <c r="O938" s="8" t="s">
        <v>775</v>
      </c>
      <c r="P938" s="6" t="s">
        <v>51</v>
      </c>
      <c r="Q938" s="8" t="s">
        <v>265</v>
      </c>
      <c r="R938" s="10" t="s">
        <v>5857</v>
      </c>
      <c r="S938" s="11"/>
      <c r="T938" s="6"/>
      <c r="U938" s="15" t="str">
        <f>HYPERLINK("https://media.infra-m.ru/2169/2169371/cover/2169371.jpg", "Обложка")</f>
        <v>Обложка</v>
      </c>
      <c r="V938" s="8" t="s">
        <v>2382</v>
      </c>
      <c r="W938" s="6"/>
      <c r="X938" s="6"/>
      <c r="Y938" s="6"/>
      <c r="Z938" s="6" t="s">
        <v>267</v>
      </c>
      <c r="AA938" s="6" t="s">
        <v>917</v>
      </c>
      <c r="AB938" s="8"/>
      <c r="AC938" s="27">
        <v>9785000918104</v>
      </c>
    </row>
    <row r="939" spans="1:29" s="4" customFormat="1" ht="51.9" customHeight="1" x14ac:dyDescent="0.2">
      <c r="A939" s="5">
        <v>0</v>
      </c>
      <c r="B939" s="6" t="s">
        <v>5858</v>
      </c>
      <c r="C939" s="13">
        <v>784.8</v>
      </c>
      <c r="D939" s="8" t="s">
        <v>5859</v>
      </c>
      <c r="E939" s="8" t="s">
        <v>5854</v>
      </c>
      <c r="F939" s="8" t="s">
        <v>5855</v>
      </c>
      <c r="G939" s="6" t="s">
        <v>33</v>
      </c>
      <c r="H939" s="6" t="s">
        <v>48</v>
      </c>
      <c r="I939" s="8" t="s">
        <v>271</v>
      </c>
      <c r="J939" s="9">
        <v>1</v>
      </c>
      <c r="K939" s="9">
        <v>112</v>
      </c>
      <c r="L939" s="9">
        <v>2026</v>
      </c>
      <c r="M939" s="8" t="s">
        <v>5860</v>
      </c>
      <c r="N939" s="8" t="s">
        <v>585</v>
      </c>
      <c r="O939" s="8" t="s">
        <v>775</v>
      </c>
      <c r="P939" s="6" t="s">
        <v>51</v>
      </c>
      <c r="Q939" s="8" t="s">
        <v>52</v>
      </c>
      <c r="R939" s="10" t="s">
        <v>5861</v>
      </c>
      <c r="S939" s="11" t="s">
        <v>5862</v>
      </c>
      <c r="T939" s="6"/>
      <c r="U939" s="15" t="str">
        <f>HYPERLINK("https://media.infra-m.ru/2258/2258661/cover/2258661.jpg", "Обложка")</f>
        <v>Обложка</v>
      </c>
      <c r="V939" s="8" t="s">
        <v>2382</v>
      </c>
      <c r="W939" s="6"/>
      <c r="X939" s="6" t="s">
        <v>24</v>
      </c>
      <c r="Y939" s="6"/>
      <c r="Z939" s="6"/>
      <c r="AA939" s="6" t="s">
        <v>360</v>
      </c>
      <c r="AB939" s="8"/>
      <c r="AC939" s="27">
        <v>9785000911150</v>
      </c>
    </row>
    <row r="940" spans="1:29" s="4" customFormat="1" ht="51.9" customHeight="1" x14ac:dyDescent="0.2">
      <c r="A940" s="5">
        <v>0</v>
      </c>
      <c r="B940" s="6" t="s">
        <v>5863</v>
      </c>
      <c r="C940" s="7">
        <v>2236.8000000000002</v>
      </c>
      <c r="D940" s="8" t="s">
        <v>5864</v>
      </c>
      <c r="E940" s="8" t="s">
        <v>5865</v>
      </c>
      <c r="F940" s="8" t="s">
        <v>5866</v>
      </c>
      <c r="G940" s="6" t="s">
        <v>118</v>
      </c>
      <c r="H940" s="6" t="s">
        <v>34</v>
      </c>
      <c r="I940" s="8" t="s">
        <v>253</v>
      </c>
      <c r="J940" s="9">
        <v>1</v>
      </c>
      <c r="K940" s="9">
        <v>339</v>
      </c>
      <c r="L940" s="9">
        <v>2026</v>
      </c>
      <c r="M940" s="8" t="s">
        <v>5867</v>
      </c>
      <c r="N940" s="8" t="s">
        <v>243</v>
      </c>
      <c r="O940" s="8" t="s">
        <v>244</v>
      </c>
      <c r="P940" s="6" t="s">
        <v>51</v>
      </c>
      <c r="Q940" s="8" t="s">
        <v>52</v>
      </c>
      <c r="R940" s="10" t="s">
        <v>5868</v>
      </c>
      <c r="S940" s="11" t="s">
        <v>5869</v>
      </c>
      <c r="T940" s="6"/>
      <c r="U940" s="15" t="str">
        <f>HYPERLINK("https://media.infra-m.ru/2239/2239154/cover/2239154.jpg", "Обложка")</f>
        <v>Обложка</v>
      </c>
      <c r="V940" s="8" t="s">
        <v>3428</v>
      </c>
      <c r="W940" s="6"/>
      <c r="X940" s="6" t="s">
        <v>24</v>
      </c>
      <c r="Y940" s="6"/>
      <c r="Z940" s="6"/>
      <c r="AA940" s="6" t="s">
        <v>258</v>
      </c>
      <c r="AB940" s="8"/>
      <c r="AC940" s="27">
        <v>9785160194578</v>
      </c>
    </row>
    <row r="941" spans="1:29" s="4" customFormat="1" ht="51.9" customHeight="1" x14ac:dyDescent="0.2">
      <c r="A941" s="5">
        <v>0</v>
      </c>
      <c r="B941" s="6" t="s">
        <v>5870</v>
      </c>
      <c r="C941" s="7">
        <v>1457.9</v>
      </c>
      <c r="D941" s="8" t="s">
        <v>5871</v>
      </c>
      <c r="E941" s="8" t="s">
        <v>5872</v>
      </c>
      <c r="F941" s="8" t="s">
        <v>5873</v>
      </c>
      <c r="G941" s="6" t="s">
        <v>118</v>
      </c>
      <c r="H941" s="6" t="s">
        <v>1042</v>
      </c>
      <c r="I941" s="8" t="s">
        <v>271</v>
      </c>
      <c r="J941" s="9">
        <v>1</v>
      </c>
      <c r="K941" s="9">
        <v>336</v>
      </c>
      <c r="L941" s="9">
        <v>2021</v>
      </c>
      <c r="M941" s="8" t="s">
        <v>5874</v>
      </c>
      <c r="N941" s="8" t="s">
        <v>243</v>
      </c>
      <c r="O941" s="8" t="s">
        <v>244</v>
      </c>
      <c r="P941" s="6" t="s">
        <v>51</v>
      </c>
      <c r="Q941" s="8" t="s">
        <v>52</v>
      </c>
      <c r="R941" s="10" t="s">
        <v>5868</v>
      </c>
      <c r="S941" s="11" t="s">
        <v>5875</v>
      </c>
      <c r="T941" s="6"/>
      <c r="U941" s="15" t="str">
        <f>HYPERLINK("https://media.infra-m.ru/1230/1230216/cover/1230216.jpg", "Обложка")</f>
        <v>Обложка</v>
      </c>
      <c r="V941" s="8" t="s">
        <v>3428</v>
      </c>
      <c r="W941" s="6"/>
      <c r="X941" s="6" t="s">
        <v>24</v>
      </c>
      <c r="Y941" s="6"/>
      <c r="Z941" s="6"/>
      <c r="AA941" s="6" t="s">
        <v>55</v>
      </c>
      <c r="AB941" s="8"/>
      <c r="AC941" s="27">
        <v>9785819907689</v>
      </c>
    </row>
    <row r="942" spans="1:29" s="4" customFormat="1" ht="51.9" customHeight="1" x14ac:dyDescent="0.2">
      <c r="A942" s="5">
        <v>0</v>
      </c>
      <c r="B942" s="6" t="s">
        <v>5876</v>
      </c>
      <c r="C942" s="13">
        <v>708</v>
      </c>
      <c r="D942" s="8" t="s">
        <v>5877</v>
      </c>
      <c r="E942" s="8" t="s">
        <v>5878</v>
      </c>
      <c r="F942" s="8" t="s">
        <v>5879</v>
      </c>
      <c r="G942" s="6" t="s">
        <v>33</v>
      </c>
      <c r="H942" s="6" t="s">
        <v>34</v>
      </c>
      <c r="I942" s="8" t="s">
        <v>35</v>
      </c>
      <c r="J942" s="9">
        <v>1</v>
      </c>
      <c r="K942" s="9">
        <v>160</v>
      </c>
      <c r="L942" s="9">
        <v>2022</v>
      </c>
      <c r="M942" s="8" t="s">
        <v>5880</v>
      </c>
      <c r="N942" s="8" t="s">
        <v>585</v>
      </c>
      <c r="O942" s="8" t="s">
        <v>667</v>
      </c>
      <c r="P942" s="6" t="s">
        <v>39</v>
      </c>
      <c r="Q942" s="8" t="s">
        <v>40</v>
      </c>
      <c r="R942" s="10" t="s">
        <v>5881</v>
      </c>
      <c r="S942" s="11"/>
      <c r="T942" s="6"/>
      <c r="U942" s="15" t="str">
        <f>HYPERLINK("https://media.infra-m.ru/1209/1209858/cover/1209858.jpg", "Обложка")</f>
        <v>Обложка</v>
      </c>
      <c r="V942" s="8" t="s">
        <v>5882</v>
      </c>
      <c r="W942" s="6"/>
      <c r="X942" s="6"/>
      <c r="Y942" s="6"/>
      <c r="Z942" s="6"/>
      <c r="AA942" s="6" t="s">
        <v>115</v>
      </c>
      <c r="AB942" s="8"/>
      <c r="AC942" s="27">
        <v>9785160146140</v>
      </c>
    </row>
    <row r="943" spans="1:29" s="4" customFormat="1" ht="42" customHeight="1" x14ac:dyDescent="0.2">
      <c r="A943" s="5">
        <v>0</v>
      </c>
      <c r="B943" s="6" t="s">
        <v>5883</v>
      </c>
      <c r="C943" s="7">
        <v>2872.8</v>
      </c>
      <c r="D943" s="8" t="s">
        <v>5884</v>
      </c>
      <c r="E943" s="8" t="s">
        <v>5885</v>
      </c>
      <c r="F943" s="8" t="s">
        <v>5886</v>
      </c>
      <c r="G943" s="6" t="s">
        <v>60</v>
      </c>
      <c r="H943" s="6" t="s">
        <v>134</v>
      </c>
      <c r="I943" s="8"/>
      <c r="J943" s="9">
        <v>1</v>
      </c>
      <c r="K943" s="9">
        <v>560</v>
      </c>
      <c r="L943" s="9">
        <v>2026</v>
      </c>
      <c r="M943" s="8" t="s">
        <v>5887</v>
      </c>
      <c r="N943" s="8" t="s">
        <v>37</v>
      </c>
      <c r="O943" s="8" t="s">
        <v>136</v>
      </c>
      <c r="P943" s="6" t="s">
        <v>39</v>
      </c>
      <c r="Q943" s="8" t="s">
        <v>40</v>
      </c>
      <c r="R943" s="10" t="s">
        <v>1631</v>
      </c>
      <c r="S943" s="11"/>
      <c r="T943" s="6"/>
      <c r="U943" s="15" t="str">
        <f>HYPERLINK("https://media.infra-m.ru/2224/2224128/cover/2224128.jpg", "Обложка")</f>
        <v>Обложка</v>
      </c>
      <c r="V943" s="8" t="s">
        <v>5888</v>
      </c>
      <c r="W943" s="6"/>
      <c r="X943" s="6"/>
      <c r="Y943" s="6"/>
      <c r="Z943" s="6"/>
      <c r="AA943" s="6" t="s">
        <v>55</v>
      </c>
      <c r="AB943" s="8"/>
      <c r="AC943" s="27">
        <v>9785917683386</v>
      </c>
    </row>
    <row r="944" spans="1:29" s="4" customFormat="1" ht="51.9" customHeight="1" x14ac:dyDescent="0.2">
      <c r="A944" s="5">
        <v>0</v>
      </c>
      <c r="B944" s="6" t="s">
        <v>5889</v>
      </c>
      <c r="C944" s="7">
        <v>1380</v>
      </c>
      <c r="D944" s="8" t="s">
        <v>5890</v>
      </c>
      <c r="E944" s="8" t="s">
        <v>5891</v>
      </c>
      <c r="F944" s="8" t="s">
        <v>5892</v>
      </c>
      <c r="G944" s="6" t="s">
        <v>60</v>
      </c>
      <c r="H944" s="6" t="s">
        <v>34</v>
      </c>
      <c r="I944" s="8" t="s">
        <v>253</v>
      </c>
      <c r="J944" s="9">
        <v>1</v>
      </c>
      <c r="K944" s="9">
        <v>192</v>
      </c>
      <c r="L944" s="9">
        <v>2026</v>
      </c>
      <c r="M944" s="8" t="s">
        <v>5893</v>
      </c>
      <c r="N944" s="8" t="s">
        <v>37</v>
      </c>
      <c r="O944" s="8" t="s">
        <v>233</v>
      </c>
      <c r="P944" s="6" t="s">
        <v>51</v>
      </c>
      <c r="Q944" s="8" t="s">
        <v>52</v>
      </c>
      <c r="R944" s="10" t="s">
        <v>5894</v>
      </c>
      <c r="S944" s="11"/>
      <c r="T944" s="6"/>
      <c r="U944" s="15" t="str">
        <f>HYPERLINK("https://media.infra-m.ru/2219/2219642/cover/2219642.jpg", "Обложка")</f>
        <v>Обложка</v>
      </c>
      <c r="V944" s="8" t="s">
        <v>512</v>
      </c>
      <c r="W944" s="6" t="s">
        <v>186</v>
      </c>
      <c r="X944" s="6"/>
      <c r="Y944" s="6"/>
      <c r="Z944" s="6"/>
      <c r="AA944" s="6" t="s">
        <v>187</v>
      </c>
      <c r="AB944" s="8"/>
      <c r="AC944" s="27">
        <v>9785160212579</v>
      </c>
    </row>
    <row r="945" spans="1:29" s="4" customFormat="1" ht="51.9" customHeight="1" x14ac:dyDescent="0.2">
      <c r="A945" s="5">
        <v>0</v>
      </c>
      <c r="B945" s="6" t="s">
        <v>5895</v>
      </c>
      <c r="C945" s="13">
        <v>768</v>
      </c>
      <c r="D945" s="8" t="s">
        <v>5896</v>
      </c>
      <c r="E945" s="8" t="s">
        <v>5897</v>
      </c>
      <c r="F945" s="8" t="s">
        <v>5898</v>
      </c>
      <c r="G945" s="6" t="s">
        <v>33</v>
      </c>
      <c r="H945" s="6" t="s">
        <v>48</v>
      </c>
      <c r="I945" s="8" t="s">
        <v>253</v>
      </c>
      <c r="J945" s="9">
        <v>1</v>
      </c>
      <c r="K945" s="9">
        <v>240</v>
      </c>
      <c r="L945" s="9">
        <v>2017</v>
      </c>
      <c r="M945" s="8" t="s">
        <v>5899</v>
      </c>
      <c r="N945" s="8" t="s">
        <v>243</v>
      </c>
      <c r="O945" s="8" t="s">
        <v>244</v>
      </c>
      <c r="P945" s="6" t="s">
        <v>1293</v>
      </c>
      <c r="Q945" s="8" t="s">
        <v>52</v>
      </c>
      <c r="R945" s="10" t="s">
        <v>5900</v>
      </c>
      <c r="S945" s="11" t="s">
        <v>5901</v>
      </c>
      <c r="T945" s="6"/>
      <c r="U945" s="15" t="str">
        <f>HYPERLINK("https://media.infra-m.ru/0914/0914480/cover/914480.jpg", "Обложка")</f>
        <v>Обложка</v>
      </c>
      <c r="V945" s="8" t="s">
        <v>5902</v>
      </c>
      <c r="W945" s="6"/>
      <c r="X945" s="6"/>
      <c r="Y945" s="6"/>
      <c r="Z945" s="6"/>
      <c r="AA945" s="6" t="s">
        <v>769</v>
      </c>
      <c r="AB945" s="8"/>
      <c r="AC945" s="27">
        <v>9785911345730</v>
      </c>
    </row>
    <row r="946" spans="1:29" s="4" customFormat="1" ht="51.9" customHeight="1" x14ac:dyDescent="0.2">
      <c r="A946" s="5">
        <v>0</v>
      </c>
      <c r="B946" s="6" t="s">
        <v>5903</v>
      </c>
      <c r="C946" s="7">
        <v>1588.8</v>
      </c>
      <c r="D946" s="8" t="s">
        <v>5904</v>
      </c>
      <c r="E946" s="8" t="s">
        <v>5897</v>
      </c>
      <c r="F946" s="8" t="s">
        <v>5898</v>
      </c>
      <c r="G946" s="6" t="s">
        <v>118</v>
      </c>
      <c r="H946" s="6" t="s">
        <v>48</v>
      </c>
      <c r="I946" s="8" t="s">
        <v>271</v>
      </c>
      <c r="J946" s="9">
        <v>1</v>
      </c>
      <c r="K946" s="9">
        <v>240</v>
      </c>
      <c r="L946" s="9">
        <v>2026</v>
      </c>
      <c r="M946" s="8" t="s">
        <v>5905</v>
      </c>
      <c r="N946" s="8" t="s">
        <v>243</v>
      </c>
      <c r="O946" s="8" t="s">
        <v>244</v>
      </c>
      <c r="P946" s="6" t="s">
        <v>1293</v>
      </c>
      <c r="Q946" s="8" t="s">
        <v>52</v>
      </c>
      <c r="R946" s="10" t="s">
        <v>5900</v>
      </c>
      <c r="S946" s="11" t="s">
        <v>5906</v>
      </c>
      <c r="T946" s="6"/>
      <c r="U946" s="15" t="str">
        <f>HYPERLINK("https://media.infra-m.ru/2223/2223529/cover/2223529.jpg", "Обложка")</f>
        <v>Обложка</v>
      </c>
      <c r="V946" s="8" t="s">
        <v>5902</v>
      </c>
      <c r="W946" s="6"/>
      <c r="X946" s="6"/>
      <c r="Y946" s="6"/>
      <c r="Z946" s="6"/>
      <c r="AA946" s="6" t="s">
        <v>769</v>
      </c>
      <c r="AB946" s="8"/>
      <c r="AC946" s="27">
        <v>9785000914939</v>
      </c>
    </row>
    <row r="947" spans="1:29" s="4" customFormat="1" ht="51.9" customHeight="1" x14ac:dyDescent="0.2">
      <c r="A947" s="5">
        <v>0</v>
      </c>
      <c r="B947" s="6" t="s">
        <v>5907</v>
      </c>
      <c r="C947" s="7">
        <v>1696.8</v>
      </c>
      <c r="D947" s="8" t="s">
        <v>5908</v>
      </c>
      <c r="E947" s="8" t="s">
        <v>5909</v>
      </c>
      <c r="F947" s="8" t="s">
        <v>5910</v>
      </c>
      <c r="G947" s="6" t="s">
        <v>118</v>
      </c>
      <c r="H947" s="6" t="s">
        <v>34</v>
      </c>
      <c r="I947" s="8" t="s">
        <v>253</v>
      </c>
      <c r="J947" s="9">
        <v>1</v>
      </c>
      <c r="K947" s="9">
        <v>272</v>
      </c>
      <c r="L947" s="9">
        <v>2025</v>
      </c>
      <c r="M947" s="8" t="s">
        <v>5911</v>
      </c>
      <c r="N947" s="8" t="s">
        <v>37</v>
      </c>
      <c r="O947" s="8" t="s">
        <v>499</v>
      </c>
      <c r="P947" s="6" t="s">
        <v>51</v>
      </c>
      <c r="Q947" s="8" t="s">
        <v>52</v>
      </c>
      <c r="R947" s="10" t="s">
        <v>5912</v>
      </c>
      <c r="S947" s="11" t="s">
        <v>5913</v>
      </c>
      <c r="T947" s="6"/>
      <c r="U947" s="15" t="str">
        <f>HYPERLINK("https://media.infra-m.ru/2209/2209245/cover/2209245.jpg", "Обложка")</f>
        <v>Обложка</v>
      </c>
      <c r="V947" s="8" t="s">
        <v>1505</v>
      </c>
      <c r="W947" s="6"/>
      <c r="X947" s="6"/>
      <c r="Y947" s="6"/>
      <c r="Z947" s="6"/>
      <c r="AA947" s="6" t="s">
        <v>148</v>
      </c>
      <c r="AB947" s="8"/>
      <c r="AC947" s="27">
        <v>9785160200774</v>
      </c>
    </row>
    <row r="948" spans="1:29" s="4" customFormat="1" ht="51.9" customHeight="1" x14ac:dyDescent="0.2">
      <c r="A948" s="5">
        <v>0</v>
      </c>
      <c r="B948" s="6" t="s">
        <v>5914</v>
      </c>
      <c r="C948" s="13">
        <v>821.9</v>
      </c>
      <c r="D948" s="8" t="s">
        <v>5915</v>
      </c>
      <c r="E948" s="8" t="s">
        <v>5916</v>
      </c>
      <c r="F948" s="8" t="s">
        <v>5917</v>
      </c>
      <c r="G948" s="6" t="s">
        <v>60</v>
      </c>
      <c r="H948" s="6" t="s">
        <v>34</v>
      </c>
      <c r="I948" s="8" t="s">
        <v>271</v>
      </c>
      <c r="J948" s="9">
        <v>1</v>
      </c>
      <c r="K948" s="9">
        <v>202</v>
      </c>
      <c r="L948" s="9">
        <v>2020</v>
      </c>
      <c r="M948" s="8" t="s">
        <v>5918</v>
      </c>
      <c r="N948" s="8" t="s">
        <v>37</v>
      </c>
      <c r="O948" s="8" t="s">
        <v>499</v>
      </c>
      <c r="P948" s="6" t="s">
        <v>51</v>
      </c>
      <c r="Q948" s="8" t="s">
        <v>52</v>
      </c>
      <c r="R948" s="10" t="s">
        <v>5919</v>
      </c>
      <c r="S948" s="11" t="s">
        <v>5920</v>
      </c>
      <c r="T948" s="6"/>
      <c r="U948" s="15" t="str">
        <f>HYPERLINK("https://media.infra-m.ru/1073/1073653/cover/1073653.jpg", "Обложка")</f>
        <v>Обложка</v>
      </c>
      <c r="V948" s="8" t="s">
        <v>3196</v>
      </c>
      <c r="W948" s="6"/>
      <c r="X948" s="6"/>
      <c r="Y948" s="6"/>
      <c r="Z948" s="6"/>
      <c r="AA948" s="6" t="s">
        <v>1037</v>
      </c>
      <c r="AB948" s="8"/>
      <c r="AC948" s="27">
        <v>9785160094595</v>
      </c>
    </row>
    <row r="949" spans="1:29" s="4" customFormat="1" ht="51.9" customHeight="1" x14ac:dyDescent="0.2">
      <c r="A949" s="5">
        <v>0</v>
      </c>
      <c r="B949" s="6" t="s">
        <v>5921</v>
      </c>
      <c r="C949" s="7">
        <v>1788</v>
      </c>
      <c r="D949" s="8" t="s">
        <v>5922</v>
      </c>
      <c r="E949" s="8" t="s">
        <v>5923</v>
      </c>
      <c r="F949" s="8" t="s">
        <v>5924</v>
      </c>
      <c r="G949" s="6" t="s">
        <v>60</v>
      </c>
      <c r="H949" s="6" t="s">
        <v>34</v>
      </c>
      <c r="I949" s="8" t="s">
        <v>253</v>
      </c>
      <c r="J949" s="9">
        <v>1</v>
      </c>
      <c r="K949" s="9">
        <v>289</v>
      </c>
      <c r="L949" s="9">
        <v>2025</v>
      </c>
      <c r="M949" s="8" t="s">
        <v>5925</v>
      </c>
      <c r="N949" s="8" t="s">
        <v>585</v>
      </c>
      <c r="O949" s="8" t="s">
        <v>667</v>
      </c>
      <c r="P949" s="6" t="s">
        <v>51</v>
      </c>
      <c r="Q949" s="8" t="s">
        <v>65</v>
      </c>
      <c r="R949" s="10" t="s">
        <v>5926</v>
      </c>
      <c r="S949" s="11"/>
      <c r="T949" s="6"/>
      <c r="U949" s="15" t="str">
        <f>HYPERLINK("https://media.infra-m.ru/2001/2001689/cover/2001689.jpg", "Обложка")</f>
        <v>Обложка</v>
      </c>
      <c r="V949" s="8" t="s">
        <v>396</v>
      </c>
      <c r="W949" s="6"/>
      <c r="X949" s="6"/>
      <c r="Y949" s="6"/>
      <c r="Z949" s="6"/>
      <c r="AA949" s="6" t="s">
        <v>68</v>
      </c>
      <c r="AB949" s="8"/>
      <c r="AC949" s="27">
        <v>9785160184128</v>
      </c>
    </row>
    <row r="950" spans="1:29" s="4" customFormat="1" ht="51.9" customHeight="1" x14ac:dyDescent="0.2">
      <c r="A950" s="5">
        <v>0</v>
      </c>
      <c r="B950" s="6" t="s">
        <v>5927</v>
      </c>
      <c r="C950" s="7">
        <v>2896.8</v>
      </c>
      <c r="D950" s="8" t="s">
        <v>5928</v>
      </c>
      <c r="E950" s="8" t="s">
        <v>5929</v>
      </c>
      <c r="F950" s="8" t="s">
        <v>5930</v>
      </c>
      <c r="G950" s="6" t="s">
        <v>60</v>
      </c>
      <c r="H950" s="6" t="s">
        <v>34</v>
      </c>
      <c r="I950" s="8" t="s">
        <v>5931</v>
      </c>
      <c r="J950" s="9">
        <v>1</v>
      </c>
      <c r="K950" s="9">
        <v>416</v>
      </c>
      <c r="L950" s="9">
        <v>2027</v>
      </c>
      <c r="M950" s="8" t="s">
        <v>5932</v>
      </c>
      <c r="N950" s="8" t="s">
        <v>37</v>
      </c>
      <c r="O950" s="8" t="s">
        <v>280</v>
      </c>
      <c r="P950" s="6" t="s">
        <v>51</v>
      </c>
      <c r="Q950" s="8" t="s">
        <v>52</v>
      </c>
      <c r="R950" s="10" t="s">
        <v>5933</v>
      </c>
      <c r="S950" s="11" t="s">
        <v>5934</v>
      </c>
      <c r="T950" s="6"/>
      <c r="U950" s="15" t="str">
        <f>HYPERLINK("https://media.infra-m.ru/2263/2263528/cover/2263528.jpg", "Обложка")</f>
        <v>Обложка</v>
      </c>
      <c r="V950" s="8" t="s">
        <v>3196</v>
      </c>
      <c r="W950" s="6"/>
      <c r="X950" s="6"/>
      <c r="Y950" s="6"/>
      <c r="Z950" s="6"/>
      <c r="AA950" s="6" t="s">
        <v>769</v>
      </c>
      <c r="AB950" s="8"/>
      <c r="AC950" s="27">
        <v>9785160051642</v>
      </c>
    </row>
    <row r="951" spans="1:29" s="4" customFormat="1" ht="51.9" customHeight="1" x14ac:dyDescent="0.2">
      <c r="A951" s="5">
        <v>0</v>
      </c>
      <c r="B951" s="6" t="s">
        <v>5935</v>
      </c>
      <c r="C951" s="7">
        <v>1901.9</v>
      </c>
      <c r="D951" s="8" t="s">
        <v>5936</v>
      </c>
      <c r="E951" s="8" t="s">
        <v>5937</v>
      </c>
      <c r="F951" s="8" t="s">
        <v>5930</v>
      </c>
      <c r="G951" s="6" t="s">
        <v>60</v>
      </c>
      <c r="H951" s="6" t="s">
        <v>34</v>
      </c>
      <c r="I951" s="8" t="s">
        <v>5931</v>
      </c>
      <c r="J951" s="9">
        <v>1</v>
      </c>
      <c r="K951" s="9">
        <v>416</v>
      </c>
      <c r="L951" s="9">
        <v>2022</v>
      </c>
      <c r="M951" s="8" t="s">
        <v>5932</v>
      </c>
      <c r="N951" s="8" t="s">
        <v>37</v>
      </c>
      <c r="O951" s="8" t="s">
        <v>280</v>
      </c>
      <c r="P951" s="6" t="s">
        <v>51</v>
      </c>
      <c r="Q951" s="8" t="s">
        <v>52</v>
      </c>
      <c r="R951" s="10" t="s">
        <v>5933</v>
      </c>
      <c r="S951" s="11" t="s">
        <v>5934</v>
      </c>
      <c r="T951" s="6"/>
      <c r="U951" s="15" t="str">
        <f>HYPERLINK("https://media.infra-m.ru/1842/1842544/cover/1842544.jpg", "Обложка")</f>
        <v>Обложка</v>
      </c>
      <c r="V951" s="8" t="s">
        <v>3196</v>
      </c>
      <c r="W951" s="6"/>
      <c r="X951" s="6"/>
      <c r="Y951" s="6"/>
      <c r="Z951" s="6"/>
      <c r="AA951" s="6" t="s">
        <v>1389</v>
      </c>
      <c r="AB951" s="8"/>
      <c r="AC951" s="27">
        <v>9785160051642</v>
      </c>
    </row>
    <row r="952" spans="1:29" s="4" customFormat="1" ht="51.9" customHeight="1" x14ac:dyDescent="0.2">
      <c r="A952" s="5">
        <v>0</v>
      </c>
      <c r="B952" s="6" t="s">
        <v>5938</v>
      </c>
      <c r="C952" s="7">
        <v>1672.8</v>
      </c>
      <c r="D952" s="8" t="s">
        <v>5939</v>
      </c>
      <c r="E952" s="8" t="s">
        <v>5940</v>
      </c>
      <c r="F952" s="8" t="s">
        <v>5941</v>
      </c>
      <c r="G952" s="6" t="s">
        <v>60</v>
      </c>
      <c r="H952" s="6" t="s">
        <v>1042</v>
      </c>
      <c r="I952" s="8" t="s">
        <v>253</v>
      </c>
      <c r="J952" s="9">
        <v>1</v>
      </c>
      <c r="K952" s="9">
        <v>240</v>
      </c>
      <c r="L952" s="9">
        <v>2026</v>
      </c>
      <c r="M952" s="8" t="s">
        <v>5942</v>
      </c>
      <c r="N952" s="8" t="s">
        <v>243</v>
      </c>
      <c r="O952" s="8" t="s">
        <v>244</v>
      </c>
      <c r="P952" s="6" t="s">
        <v>51</v>
      </c>
      <c r="Q952" s="8" t="s">
        <v>52</v>
      </c>
      <c r="R952" s="10" t="s">
        <v>5943</v>
      </c>
      <c r="S952" s="11" t="s">
        <v>5944</v>
      </c>
      <c r="T952" s="6"/>
      <c r="U952" s="15" t="str">
        <f>HYPERLINK("https://media.infra-m.ru/2250/2250901/cover/2250901.jpg", "Обложка")</f>
        <v>Обложка</v>
      </c>
      <c r="V952" s="8" t="s">
        <v>3428</v>
      </c>
      <c r="W952" s="6"/>
      <c r="X952" s="6"/>
      <c r="Y952" s="6"/>
      <c r="Z952" s="6"/>
      <c r="AA952" s="6" t="s">
        <v>43</v>
      </c>
      <c r="AB952" s="8"/>
      <c r="AC952" s="27">
        <v>9785819904862</v>
      </c>
    </row>
    <row r="953" spans="1:29" s="4" customFormat="1" ht="51.9" customHeight="1" x14ac:dyDescent="0.2">
      <c r="A953" s="5">
        <v>0</v>
      </c>
      <c r="B953" s="6" t="s">
        <v>5945</v>
      </c>
      <c r="C953" s="13">
        <v>330</v>
      </c>
      <c r="D953" s="8" t="s">
        <v>5946</v>
      </c>
      <c r="E953" s="8" t="s">
        <v>5947</v>
      </c>
      <c r="F953" s="8" t="s">
        <v>5948</v>
      </c>
      <c r="G953" s="6" t="s">
        <v>33</v>
      </c>
      <c r="H953" s="6" t="s">
        <v>34</v>
      </c>
      <c r="I953" s="8"/>
      <c r="J953" s="9">
        <v>1</v>
      </c>
      <c r="K953" s="9">
        <v>73</v>
      </c>
      <c r="L953" s="9">
        <v>2025</v>
      </c>
      <c r="M953" s="8" t="s">
        <v>5949</v>
      </c>
      <c r="N953" s="8" t="s">
        <v>585</v>
      </c>
      <c r="O953" s="8" t="s">
        <v>667</v>
      </c>
      <c r="P953" s="6" t="s">
        <v>51</v>
      </c>
      <c r="Q953" s="8" t="s">
        <v>377</v>
      </c>
      <c r="R953" s="10" t="s">
        <v>5950</v>
      </c>
      <c r="S953" s="11"/>
      <c r="T953" s="6"/>
      <c r="U953" s="15" t="str">
        <f>HYPERLINK("https://media.infra-m.ru/2227/2227699/cover/2227699.jpg", "Обложка")</f>
        <v>Обложка</v>
      </c>
      <c r="V953" s="8" t="s">
        <v>5951</v>
      </c>
      <c r="W953" s="6" t="s">
        <v>342</v>
      </c>
      <c r="X953" s="6"/>
      <c r="Y953" s="6"/>
      <c r="Z953" s="6"/>
      <c r="AA953" s="6" t="s">
        <v>68</v>
      </c>
      <c r="AB953" s="8"/>
      <c r="AC953" s="27">
        <v>9785160212913</v>
      </c>
    </row>
    <row r="954" spans="1:29" s="4" customFormat="1" ht="51.9" customHeight="1" x14ac:dyDescent="0.2">
      <c r="A954" s="5">
        <v>0</v>
      </c>
      <c r="B954" s="6" t="s">
        <v>5952</v>
      </c>
      <c r="C954" s="13">
        <v>552</v>
      </c>
      <c r="D954" s="8" t="s">
        <v>5953</v>
      </c>
      <c r="E954" s="8" t="s">
        <v>5954</v>
      </c>
      <c r="F954" s="8" t="s">
        <v>5955</v>
      </c>
      <c r="G954" s="6" t="s">
        <v>33</v>
      </c>
      <c r="H954" s="6" t="s">
        <v>134</v>
      </c>
      <c r="I954" s="8"/>
      <c r="J954" s="9">
        <v>1</v>
      </c>
      <c r="K954" s="9">
        <v>48</v>
      </c>
      <c r="L954" s="9">
        <v>2026</v>
      </c>
      <c r="M954" s="8" t="s">
        <v>5956</v>
      </c>
      <c r="N954" s="8" t="s">
        <v>37</v>
      </c>
      <c r="O954" s="8" t="s">
        <v>136</v>
      </c>
      <c r="P954" s="6" t="s">
        <v>51</v>
      </c>
      <c r="Q954" s="8" t="s">
        <v>52</v>
      </c>
      <c r="R954" s="10" t="s">
        <v>1275</v>
      </c>
      <c r="S954" s="11"/>
      <c r="T954" s="6"/>
      <c r="U954" s="15" t="str">
        <f>HYPERLINK("https://media.infra-m.ru/2231/2231720/cover/2231720.jpg", "Обложка")</f>
        <v>Обложка</v>
      </c>
      <c r="V954" s="8" t="s">
        <v>1231</v>
      </c>
      <c r="W954" s="6"/>
      <c r="X954" s="6"/>
      <c r="Y954" s="6"/>
      <c r="Z954" s="6"/>
      <c r="AA954" s="6" t="s">
        <v>949</v>
      </c>
      <c r="AB954" s="8"/>
      <c r="AC954" s="27">
        <v>9785917684659</v>
      </c>
    </row>
    <row r="955" spans="1:29" s="4" customFormat="1" ht="51.9" customHeight="1" x14ac:dyDescent="0.2">
      <c r="A955" s="5">
        <v>0</v>
      </c>
      <c r="B955" s="6" t="s">
        <v>5957</v>
      </c>
      <c r="C955" s="7">
        <v>1696.8</v>
      </c>
      <c r="D955" s="8" t="s">
        <v>5958</v>
      </c>
      <c r="E955" s="8" t="s">
        <v>5959</v>
      </c>
      <c r="F955" s="8" t="s">
        <v>5960</v>
      </c>
      <c r="G955" s="6" t="s">
        <v>118</v>
      </c>
      <c r="H955" s="6" t="s">
        <v>34</v>
      </c>
      <c r="I955" s="8" t="s">
        <v>253</v>
      </c>
      <c r="J955" s="9">
        <v>1</v>
      </c>
      <c r="K955" s="9">
        <v>258</v>
      </c>
      <c r="L955" s="9">
        <v>2026</v>
      </c>
      <c r="M955" s="8" t="s">
        <v>5961</v>
      </c>
      <c r="N955" s="8" t="s">
        <v>93</v>
      </c>
      <c r="O955" s="8" t="s">
        <v>94</v>
      </c>
      <c r="P955" s="6" t="s">
        <v>105</v>
      </c>
      <c r="Q955" s="8" t="s">
        <v>52</v>
      </c>
      <c r="R955" s="10" t="s">
        <v>5962</v>
      </c>
      <c r="S955" s="11" t="s">
        <v>5963</v>
      </c>
      <c r="T955" s="6"/>
      <c r="U955" s="15" t="str">
        <f>HYPERLINK("https://media.infra-m.ru/2223/2223783/cover/2223783.jpg", "Обложка")</f>
        <v>Обложка</v>
      </c>
      <c r="V955" s="8" t="s">
        <v>5964</v>
      </c>
      <c r="W955" s="6"/>
      <c r="X955" s="6"/>
      <c r="Y955" s="6"/>
      <c r="Z955" s="6"/>
      <c r="AA955" s="6" t="s">
        <v>218</v>
      </c>
      <c r="AB955" s="8"/>
      <c r="AC955" s="27">
        <v>9785160194035</v>
      </c>
    </row>
    <row r="956" spans="1:29" s="4" customFormat="1" ht="51.9" customHeight="1" x14ac:dyDescent="0.2">
      <c r="A956" s="5">
        <v>0</v>
      </c>
      <c r="B956" s="6" t="s">
        <v>5965</v>
      </c>
      <c r="C956" s="7">
        <v>1504.8</v>
      </c>
      <c r="D956" s="8" t="s">
        <v>5966</v>
      </c>
      <c r="E956" s="8" t="s">
        <v>5967</v>
      </c>
      <c r="F956" s="8" t="s">
        <v>5968</v>
      </c>
      <c r="G956" s="6" t="s">
        <v>118</v>
      </c>
      <c r="H956" s="6" t="s">
        <v>34</v>
      </c>
      <c r="I956" s="8" t="s">
        <v>271</v>
      </c>
      <c r="J956" s="9">
        <v>1</v>
      </c>
      <c r="K956" s="9">
        <v>228</v>
      </c>
      <c r="L956" s="9">
        <v>2026</v>
      </c>
      <c r="M956" s="8" t="s">
        <v>5969</v>
      </c>
      <c r="N956" s="8" t="s">
        <v>93</v>
      </c>
      <c r="O956" s="8" t="s">
        <v>94</v>
      </c>
      <c r="P956" s="6" t="s">
        <v>51</v>
      </c>
      <c r="Q956" s="8" t="s">
        <v>52</v>
      </c>
      <c r="R956" s="10" t="s">
        <v>5962</v>
      </c>
      <c r="S956" s="11" t="s">
        <v>5970</v>
      </c>
      <c r="T956" s="6"/>
      <c r="U956" s="15" t="str">
        <f>HYPERLINK("https://media.infra-m.ru/2232/2232674/cover/2232674.jpg", "Обложка")</f>
        <v>Обложка</v>
      </c>
      <c r="V956" s="8" t="s">
        <v>5964</v>
      </c>
      <c r="W956" s="6"/>
      <c r="X956" s="6"/>
      <c r="Y956" s="6"/>
      <c r="Z956" s="6"/>
      <c r="AA956" s="6" t="s">
        <v>430</v>
      </c>
      <c r="AB956" s="8"/>
      <c r="AC956" s="27">
        <v>9785160157672</v>
      </c>
    </row>
    <row r="957" spans="1:29" s="4" customFormat="1" ht="51.9" customHeight="1" x14ac:dyDescent="0.2">
      <c r="A957" s="5">
        <v>0</v>
      </c>
      <c r="B957" s="6" t="s">
        <v>5971</v>
      </c>
      <c r="C957" s="7">
        <v>1404</v>
      </c>
      <c r="D957" s="8" t="s">
        <v>5972</v>
      </c>
      <c r="E957" s="8" t="s">
        <v>5967</v>
      </c>
      <c r="F957" s="8" t="s">
        <v>5968</v>
      </c>
      <c r="G957" s="6" t="s">
        <v>118</v>
      </c>
      <c r="H957" s="6" t="s">
        <v>34</v>
      </c>
      <c r="I957" s="8" t="s">
        <v>263</v>
      </c>
      <c r="J957" s="9">
        <v>1</v>
      </c>
      <c r="K957" s="9">
        <v>228</v>
      </c>
      <c r="L957" s="9">
        <v>2025</v>
      </c>
      <c r="M957" s="8" t="s">
        <v>5973</v>
      </c>
      <c r="N957" s="8" t="s">
        <v>93</v>
      </c>
      <c r="O957" s="8" t="s">
        <v>94</v>
      </c>
      <c r="P957" s="6" t="s">
        <v>51</v>
      </c>
      <c r="Q957" s="8" t="s">
        <v>265</v>
      </c>
      <c r="R957" s="10" t="s">
        <v>5974</v>
      </c>
      <c r="S957" s="11" t="s">
        <v>5975</v>
      </c>
      <c r="T957" s="6"/>
      <c r="U957" s="15" t="str">
        <f>HYPERLINK("https://media.infra-m.ru/2184/2184885/cover/2184885.jpg", "Обложка")</f>
        <v>Обложка</v>
      </c>
      <c r="V957" s="8" t="s">
        <v>5964</v>
      </c>
      <c r="W957" s="6"/>
      <c r="X957" s="6"/>
      <c r="Y957" s="6"/>
      <c r="Z957" s="6" t="s">
        <v>267</v>
      </c>
      <c r="AA957" s="6" t="s">
        <v>430</v>
      </c>
      <c r="AB957" s="8"/>
      <c r="AC957" s="27">
        <v>9785160168340</v>
      </c>
    </row>
    <row r="958" spans="1:29" s="4" customFormat="1" ht="51.9" customHeight="1" x14ac:dyDescent="0.2">
      <c r="A958" s="5">
        <v>0</v>
      </c>
      <c r="B958" s="6" t="s">
        <v>5976</v>
      </c>
      <c r="C958" s="7">
        <v>2092.8000000000002</v>
      </c>
      <c r="D958" s="8" t="s">
        <v>5977</v>
      </c>
      <c r="E958" s="8" t="s">
        <v>5978</v>
      </c>
      <c r="F958" s="8" t="s">
        <v>1882</v>
      </c>
      <c r="G958" s="6" t="s">
        <v>118</v>
      </c>
      <c r="H958" s="6" t="s">
        <v>34</v>
      </c>
      <c r="I958" s="8" t="s">
        <v>271</v>
      </c>
      <c r="J958" s="9">
        <v>1</v>
      </c>
      <c r="K958" s="9">
        <v>317</v>
      </c>
      <c r="L958" s="9">
        <v>2026</v>
      </c>
      <c r="M958" s="8" t="s">
        <v>5979</v>
      </c>
      <c r="N958" s="8" t="s">
        <v>243</v>
      </c>
      <c r="O958" s="8" t="s">
        <v>244</v>
      </c>
      <c r="P958" s="6" t="s">
        <v>51</v>
      </c>
      <c r="Q958" s="8" t="s">
        <v>52</v>
      </c>
      <c r="R958" s="10" t="s">
        <v>5980</v>
      </c>
      <c r="S958" s="11" t="s">
        <v>5981</v>
      </c>
      <c r="T958" s="6"/>
      <c r="U958" s="15" t="str">
        <f>HYPERLINK("https://media.infra-m.ru/2243/2243254/cover/2243254.jpg", "Обложка")</f>
        <v>Обложка</v>
      </c>
      <c r="V958" s="8" t="s">
        <v>1206</v>
      </c>
      <c r="W958" s="6"/>
      <c r="X958" s="6"/>
      <c r="Y958" s="6"/>
      <c r="Z958" s="6"/>
      <c r="AA958" s="6" t="s">
        <v>1256</v>
      </c>
      <c r="AB958" s="8"/>
      <c r="AC958" s="27">
        <v>9785160136677</v>
      </c>
    </row>
    <row r="959" spans="1:29" s="4" customFormat="1" ht="51.9" customHeight="1" x14ac:dyDescent="0.2">
      <c r="A959" s="5">
        <v>0</v>
      </c>
      <c r="B959" s="6" t="s">
        <v>5982</v>
      </c>
      <c r="C959" s="7">
        <v>2092.8000000000002</v>
      </c>
      <c r="D959" s="8" t="s">
        <v>5983</v>
      </c>
      <c r="E959" s="8" t="s">
        <v>5978</v>
      </c>
      <c r="F959" s="8" t="s">
        <v>1882</v>
      </c>
      <c r="G959" s="6" t="s">
        <v>118</v>
      </c>
      <c r="H959" s="6" t="s">
        <v>34</v>
      </c>
      <c r="I959" s="8" t="s">
        <v>263</v>
      </c>
      <c r="J959" s="9">
        <v>1</v>
      </c>
      <c r="K959" s="9">
        <v>317</v>
      </c>
      <c r="L959" s="9">
        <v>2026</v>
      </c>
      <c r="M959" s="8" t="s">
        <v>5984</v>
      </c>
      <c r="N959" s="8" t="s">
        <v>243</v>
      </c>
      <c r="O959" s="8" t="s">
        <v>244</v>
      </c>
      <c r="P959" s="6" t="s">
        <v>51</v>
      </c>
      <c r="Q959" s="8" t="s">
        <v>265</v>
      </c>
      <c r="R959" s="10" t="s">
        <v>403</v>
      </c>
      <c r="S959" s="11" t="s">
        <v>5985</v>
      </c>
      <c r="T959" s="6"/>
      <c r="U959" s="15" t="str">
        <f>HYPERLINK("https://media.infra-m.ru/2243/2243255/cover/2243255.jpg", "Обложка")</f>
        <v>Обложка</v>
      </c>
      <c r="V959" s="8" t="s">
        <v>1206</v>
      </c>
      <c r="W959" s="6"/>
      <c r="X959" s="6"/>
      <c r="Y959" s="6"/>
      <c r="Z959" s="6" t="s">
        <v>267</v>
      </c>
      <c r="AA959" s="6" t="s">
        <v>430</v>
      </c>
      <c r="AB959" s="8"/>
      <c r="AC959" s="27">
        <v>9785160159959</v>
      </c>
    </row>
    <row r="960" spans="1:29" s="4" customFormat="1" ht="51.9" customHeight="1" x14ac:dyDescent="0.2">
      <c r="A960" s="5">
        <v>0</v>
      </c>
      <c r="B960" s="6" t="s">
        <v>5986</v>
      </c>
      <c r="C960" s="7">
        <v>2340</v>
      </c>
      <c r="D960" s="8" t="s">
        <v>5987</v>
      </c>
      <c r="E960" s="8" t="s">
        <v>5988</v>
      </c>
      <c r="F960" s="8" t="s">
        <v>5989</v>
      </c>
      <c r="G960" s="6" t="s">
        <v>118</v>
      </c>
      <c r="H960" s="6" t="s">
        <v>820</v>
      </c>
      <c r="I960" s="8"/>
      <c r="J960" s="9">
        <v>1</v>
      </c>
      <c r="K960" s="9">
        <v>336</v>
      </c>
      <c r="L960" s="9">
        <v>2026</v>
      </c>
      <c r="M960" s="8" t="s">
        <v>5990</v>
      </c>
      <c r="N960" s="8" t="s">
        <v>243</v>
      </c>
      <c r="O960" s="8" t="s">
        <v>244</v>
      </c>
      <c r="P960" s="6" t="s">
        <v>306</v>
      </c>
      <c r="Q960" s="8" t="s">
        <v>65</v>
      </c>
      <c r="R960" s="10" t="s">
        <v>5991</v>
      </c>
      <c r="S960" s="11" t="s">
        <v>5992</v>
      </c>
      <c r="T960" s="6"/>
      <c r="U960" s="15" t="str">
        <f>HYPERLINK("https://media.infra-m.ru/2261/2261217/cover/2261217.jpg", "Обложка")</f>
        <v>Обложка</v>
      </c>
      <c r="V960" s="8" t="s">
        <v>1908</v>
      </c>
      <c r="W960" s="6"/>
      <c r="X960" s="6"/>
      <c r="Y960" s="6"/>
      <c r="Z960" s="6"/>
      <c r="AA960" s="6" t="s">
        <v>99</v>
      </c>
      <c r="AB960" s="8"/>
      <c r="AC960" s="27">
        <v>9785906923226</v>
      </c>
    </row>
    <row r="961" spans="1:29" s="4" customFormat="1" ht="51.9" customHeight="1" x14ac:dyDescent="0.2">
      <c r="A961" s="5">
        <v>0</v>
      </c>
      <c r="B961" s="6" t="s">
        <v>5993</v>
      </c>
      <c r="C961" s="7">
        <v>1432.8</v>
      </c>
      <c r="D961" s="8" t="s">
        <v>5994</v>
      </c>
      <c r="E961" s="8" t="s">
        <v>5995</v>
      </c>
      <c r="F961" s="8" t="s">
        <v>5996</v>
      </c>
      <c r="G961" s="6" t="s">
        <v>118</v>
      </c>
      <c r="H961" s="6" t="s">
        <v>34</v>
      </c>
      <c r="I961" s="8" t="s">
        <v>271</v>
      </c>
      <c r="J961" s="9">
        <v>1</v>
      </c>
      <c r="K961" s="9">
        <v>229</v>
      </c>
      <c r="L961" s="9">
        <v>2025</v>
      </c>
      <c r="M961" s="8" t="s">
        <v>5997</v>
      </c>
      <c r="N961" s="8" t="s">
        <v>63</v>
      </c>
      <c r="O961" s="8" t="s">
        <v>181</v>
      </c>
      <c r="P961" s="6" t="s">
        <v>306</v>
      </c>
      <c r="Q961" s="8" t="s">
        <v>52</v>
      </c>
      <c r="R961" s="10" t="s">
        <v>3510</v>
      </c>
      <c r="S961" s="11" t="s">
        <v>5998</v>
      </c>
      <c r="T961" s="6"/>
      <c r="U961" s="15" t="str">
        <f>HYPERLINK("https://media.infra-m.ru/2204/2204082/cover/2204082.jpg", "Обложка")</f>
        <v>Обложка</v>
      </c>
      <c r="V961" s="8" t="s">
        <v>1030</v>
      </c>
      <c r="W961" s="6"/>
      <c r="X961" s="6"/>
      <c r="Y961" s="6"/>
      <c r="Z961" s="6"/>
      <c r="AA961" s="6" t="s">
        <v>148</v>
      </c>
      <c r="AB961" s="8"/>
      <c r="AC961" s="27">
        <v>9785160168647</v>
      </c>
    </row>
    <row r="962" spans="1:29" s="4" customFormat="1" ht="44.1" customHeight="1" x14ac:dyDescent="0.2">
      <c r="A962" s="5">
        <v>0</v>
      </c>
      <c r="B962" s="6" t="s">
        <v>5999</v>
      </c>
      <c r="C962" s="7">
        <v>2584.8000000000002</v>
      </c>
      <c r="D962" s="8" t="s">
        <v>6000</v>
      </c>
      <c r="E962" s="8" t="s">
        <v>6001</v>
      </c>
      <c r="F962" s="8" t="s">
        <v>6002</v>
      </c>
      <c r="G962" s="6" t="s">
        <v>60</v>
      </c>
      <c r="H962" s="6" t="s">
        <v>34</v>
      </c>
      <c r="I962" s="8" t="s">
        <v>271</v>
      </c>
      <c r="J962" s="9">
        <v>1</v>
      </c>
      <c r="K962" s="9">
        <v>415</v>
      </c>
      <c r="L962" s="9">
        <v>2026</v>
      </c>
      <c r="M962" s="8" t="s">
        <v>6003</v>
      </c>
      <c r="N962" s="8" t="s">
        <v>63</v>
      </c>
      <c r="O962" s="8" t="s">
        <v>154</v>
      </c>
      <c r="P962" s="6" t="s">
        <v>306</v>
      </c>
      <c r="Q962" s="8" t="s">
        <v>52</v>
      </c>
      <c r="R962" s="10" t="s">
        <v>6004</v>
      </c>
      <c r="S962" s="11"/>
      <c r="T962" s="6"/>
      <c r="U962" s="15" t="str">
        <f>HYPERLINK("https://media.infra-m.ru/2212/2212430/cover/2212430.jpg", "Обложка")</f>
        <v>Обложка</v>
      </c>
      <c r="V962" s="8" t="s">
        <v>6005</v>
      </c>
      <c r="W962" s="6"/>
      <c r="X962" s="6"/>
      <c r="Y962" s="6"/>
      <c r="Z962" s="6"/>
      <c r="AA962" s="6" t="s">
        <v>274</v>
      </c>
      <c r="AB962" s="8"/>
      <c r="AC962" s="27">
        <v>9785160097831</v>
      </c>
    </row>
    <row r="963" spans="1:29" s="4" customFormat="1" ht="42" customHeight="1" x14ac:dyDescent="0.2">
      <c r="A963" s="5">
        <v>0</v>
      </c>
      <c r="B963" s="6" t="s">
        <v>6006</v>
      </c>
      <c r="C963" s="7">
        <v>1504.8</v>
      </c>
      <c r="D963" s="8" t="s">
        <v>6007</v>
      </c>
      <c r="E963" s="8" t="s">
        <v>6008</v>
      </c>
      <c r="F963" s="8" t="s">
        <v>6009</v>
      </c>
      <c r="G963" s="6" t="s">
        <v>118</v>
      </c>
      <c r="H963" s="6" t="s">
        <v>34</v>
      </c>
      <c r="I963" s="8" t="s">
        <v>253</v>
      </c>
      <c r="J963" s="9">
        <v>1</v>
      </c>
      <c r="K963" s="9">
        <v>216</v>
      </c>
      <c r="L963" s="9">
        <v>2025</v>
      </c>
      <c r="M963" s="8" t="s">
        <v>6010</v>
      </c>
      <c r="N963" s="8" t="s">
        <v>93</v>
      </c>
      <c r="O963" s="8" t="s">
        <v>94</v>
      </c>
      <c r="P963" s="6" t="s">
        <v>51</v>
      </c>
      <c r="Q963" s="8" t="s">
        <v>52</v>
      </c>
      <c r="R963" s="10" t="s">
        <v>6011</v>
      </c>
      <c r="S963" s="11"/>
      <c r="T963" s="6"/>
      <c r="U963" s="15" t="str">
        <f>HYPERLINK("https://media.infra-m.ru/2265/2265616/cover/2265616.jpg", "Обложка")</f>
        <v>Обложка</v>
      </c>
      <c r="V963" s="8" t="s">
        <v>6012</v>
      </c>
      <c r="W963" s="6"/>
      <c r="X963" s="6"/>
      <c r="Y963" s="6"/>
      <c r="Z963" s="6"/>
      <c r="AA963" s="6" t="s">
        <v>68</v>
      </c>
      <c r="AB963" s="8"/>
      <c r="AC963" s="27">
        <v>9785160180984</v>
      </c>
    </row>
    <row r="964" spans="1:29" s="4" customFormat="1" ht="42" customHeight="1" x14ac:dyDescent="0.2">
      <c r="A964" s="5">
        <v>0</v>
      </c>
      <c r="B964" s="6" t="s">
        <v>6013</v>
      </c>
      <c r="C964" s="7">
        <v>1192.8</v>
      </c>
      <c r="D964" s="8" t="s">
        <v>6014</v>
      </c>
      <c r="E964" s="8" t="s">
        <v>6015</v>
      </c>
      <c r="F964" s="8" t="s">
        <v>6016</v>
      </c>
      <c r="G964" s="6" t="s">
        <v>33</v>
      </c>
      <c r="H964" s="6" t="s">
        <v>1644</v>
      </c>
      <c r="I964" s="8"/>
      <c r="J964" s="9">
        <v>1</v>
      </c>
      <c r="K964" s="9">
        <v>192</v>
      </c>
      <c r="L964" s="9">
        <v>2025</v>
      </c>
      <c r="M964" s="8" t="s">
        <v>6017</v>
      </c>
      <c r="N964" s="8" t="s">
        <v>37</v>
      </c>
      <c r="O964" s="8" t="s">
        <v>233</v>
      </c>
      <c r="P964" s="6" t="s">
        <v>51</v>
      </c>
      <c r="Q964" s="8" t="s">
        <v>52</v>
      </c>
      <c r="R964" s="10" t="s">
        <v>1646</v>
      </c>
      <c r="S964" s="11"/>
      <c r="T964" s="6"/>
      <c r="U964" s="15" t="str">
        <f>HYPERLINK("https://media.infra-m.ru/2188/2188703/cover/2188703.jpg", "Обложка")</f>
        <v>Обложка</v>
      </c>
      <c r="V964" s="8" t="s">
        <v>3686</v>
      </c>
      <c r="W964" s="6"/>
      <c r="X964" s="6"/>
      <c r="Y964" s="6"/>
      <c r="Z964" s="6"/>
      <c r="AA964" s="6" t="s">
        <v>561</v>
      </c>
      <c r="AB964" s="8"/>
      <c r="AC964" s="27">
        <v>9785977601078</v>
      </c>
    </row>
    <row r="965" spans="1:29" s="4" customFormat="1" ht="51.9" customHeight="1" x14ac:dyDescent="0.2">
      <c r="A965" s="5">
        <v>0</v>
      </c>
      <c r="B965" s="6" t="s">
        <v>6018</v>
      </c>
      <c r="C965" s="7">
        <v>1216.8</v>
      </c>
      <c r="D965" s="8" t="s">
        <v>6019</v>
      </c>
      <c r="E965" s="8" t="s">
        <v>6020</v>
      </c>
      <c r="F965" s="8" t="s">
        <v>6021</v>
      </c>
      <c r="G965" s="6" t="s">
        <v>60</v>
      </c>
      <c r="H965" s="6" t="s">
        <v>5605</v>
      </c>
      <c r="I965" s="8" t="s">
        <v>253</v>
      </c>
      <c r="J965" s="9">
        <v>1</v>
      </c>
      <c r="K965" s="9">
        <v>202</v>
      </c>
      <c r="L965" s="9">
        <v>2025</v>
      </c>
      <c r="M965" s="8" t="s">
        <v>6022</v>
      </c>
      <c r="N965" s="8" t="s">
        <v>585</v>
      </c>
      <c r="O965" s="8" t="s">
        <v>667</v>
      </c>
      <c r="P965" s="6" t="s">
        <v>51</v>
      </c>
      <c r="Q965" s="8" t="s">
        <v>52</v>
      </c>
      <c r="R965" s="10" t="s">
        <v>6023</v>
      </c>
      <c r="S965" s="11" t="s">
        <v>6024</v>
      </c>
      <c r="T965" s="6"/>
      <c r="U965" s="15" t="str">
        <f>HYPERLINK("https://media.infra-m.ru/2082/2082657/cover/2082657.jpg", "Обложка")</f>
        <v>Обложка</v>
      </c>
      <c r="V965" s="8" t="s">
        <v>6025</v>
      </c>
      <c r="W965" s="6"/>
      <c r="X965" s="6"/>
      <c r="Y965" s="6"/>
      <c r="Z965" s="6"/>
      <c r="AA965" s="6" t="s">
        <v>1015</v>
      </c>
      <c r="AB965" s="8"/>
      <c r="AC965" s="27">
        <v>9785160036465</v>
      </c>
    </row>
    <row r="966" spans="1:29" s="4" customFormat="1" ht="51.9" customHeight="1" x14ac:dyDescent="0.2">
      <c r="A966" s="5">
        <v>0</v>
      </c>
      <c r="B966" s="6" t="s">
        <v>6026</v>
      </c>
      <c r="C966" s="7">
        <v>1380</v>
      </c>
      <c r="D966" s="8" t="s">
        <v>6027</v>
      </c>
      <c r="E966" s="8" t="s">
        <v>6028</v>
      </c>
      <c r="F966" s="8" t="s">
        <v>6029</v>
      </c>
      <c r="G966" s="6" t="s">
        <v>118</v>
      </c>
      <c r="H966" s="6" t="s">
        <v>34</v>
      </c>
      <c r="I966" s="8" t="s">
        <v>263</v>
      </c>
      <c r="J966" s="9">
        <v>1</v>
      </c>
      <c r="K966" s="9">
        <v>208</v>
      </c>
      <c r="L966" s="9">
        <v>2026</v>
      </c>
      <c r="M966" s="8" t="s">
        <v>6030</v>
      </c>
      <c r="N966" s="8" t="s">
        <v>243</v>
      </c>
      <c r="O966" s="8" t="s">
        <v>244</v>
      </c>
      <c r="P966" s="6" t="s">
        <v>306</v>
      </c>
      <c r="Q966" s="8" t="s">
        <v>265</v>
      </c>
      <c r="R966" s="10" t="s">
        <v>6031</v>
      </c>
      <c r="S966" s="11" t="s">
        <v>6032</v>
      </c>
      <c r="T966" s="6"/>
      <c r="U966" s="15" t="str">
        <f>HYPERLINK("https://media.infra-m.ru/2244/2244272/cover/2244272.jpg", "Обложка")</f>
        <v>Обложка</v>
      </c>
      <c r="V966" s="8"/>
      <c r="W966" s="6"/>
      <c r="X966" s="6"/>
      <c r="Y966" s="6"/>
      <c r="Z966" s="6"/>
      <c r="AA966" s="6" t="s">
        <v>6033</v>
      </c>
      <c r="AB966" s="8"/>
      <c r="AC966" s="27">
        <v>9785160220413</v>
      </c>
    </row>
    <row r="967" spans="1:29" s="4" customFormat="1" ht="51.9" customHeight="1" x14ac:dyDescent="0.2">
      <c r="A967" s="5">
        <v>0</v>
      </c>
      <c r="B967" s="6" t="s">
        <v>6034</v>
      </c>
      <c r="C967" s="7">
        <v>1576.8</v>
      </c>
      <c r="D967" s="8" t="s">
        <v>6035</v>
      </c>
      <c r="E967" s="8" t="s">
        <v>6036</v>
      </c>
      <c r="F967" s="8" t="s">
        <v>6037</v>
      </c>
      <c r="G967" s="6" t="s">
        <v>60</v>
      </c>
      <c r="H967" s="6" t="s">
        <v>34</v>
      </c>
      <c r="I967" s="8" t="s">
        <v>271</v>
      </c>
      <c r="J967" s="9">
        <v>1</v>
      </c>
      <c r="K967" s="9">
        <v>252</v>
      </c>
      <c r="L967" s="9">
        <v>2025</v>
      </c>
      <c r="M967" s="8" t="s">
        <v>6038</v>
      </c>
      <c r="N967" s="8" t="s">
        <v>37</v>
      </c>
      <c r="O967" s="8" t="s">
        <v>280</v>
      </c>
      <c r="P967" s="6" t="s">
        <v>306</v>
      </c>
      <c r="Q967" s="8" t="s">
        <v>52</v>
      </c>
      <c r="R967" s="10" t="s">
        <v>6039</v>
      </c>
      <c r="S967" s="11" t="s">
        <v>6040</v>
      </c>
      <c r="T967" s="6"/>
      <c r="U967" s="15" t="str">
        <f>HYPERLINK("https://media.infra-m.ru/2194/2194162/cover/2194162.jpg", "Обложка")</f>
        <v>Обложка</v>
      </c>
      <c r="V967" s="8" t="s">
        <v>227</v>
      </c>
      <c r="W967" s="6"/>
      <c r="X967" s="6"/>
      <c r="Y967" s="6"/>
      <c r="Z967" s="6"/>
      <c r="AA967" s="6" t="s">
        <v>43</v>
      </c>
      <c r="AB967" s="8"/>
      <c r="AC967" s="27">
        <v>9785160041681</v>
      </c>
    </row>
    <row r="968" spans="1:29" s="4" customFormat="1" ht="51.9" customHeight="1" x14ac:dyDescent="0.2">
      <c r="A968" s="5">
        <v>0</v>
      </c>
      <c r="B968" s="6" t="s">
        <v>6041</v>
      </c>
      <c r="C968" s="7">
        <v>1360.8</v>
      </c>
      <c r="D968" s="8" t="s">
        <v>6042</v>
      </c>
      <c r="E968" s="8" t="s">
        <v>6043</v>
      </c>
      <c r="F968" s="8" t="s">
        <v>6044</v>
      </c>
      <c r="G968" s="6" t="s">
        <v>60</v>
      </c>
      <c r="H968" s="6" t="s">
        <v>34</v>
      </c>
      <c r="I968" s="8" t="s">
        <v>253</v>
      </c>
      <c r="J968" s="9">
        <v>1</v>
      </c>
      <c r="K968" s="9">
        <v>207</v>
      </c>
      <c r="L968" s="9">
        <v>2026</v>
      </c>
      <c r="M968" s="8" t="s">
        <v>6045</v>
      </c>
      <c r="N968" s="8" t="s">
        <v>243</v>
      </c>
      <c r="O968" s="8" t="s">
        <v>244</v>
      </c>
      <c r="P968" s="6" t="s">
        <v>51</v>
      </c>
      <c r="Q968" s="8" t="s">
        <v>52</v>
      </c>
      <c r="R968" s="10" t="s">
        <v>6046</v>
      </c>
      <c r="S968" s="11"/>
      <c r="T968" s="6"/>
      <c r="U968" s="15" t="str">
        <f>HYPERLINK("https://media.infra-m.ru/2239/2239155/cover/2239155.jpg", "Обложка")</f>
        <v>Обложка</v>
      </c>
      <c r="V968" s="8" t="s">
        <v>3428</v>
      </c>
      <c r="W968" s="6"/>
      <c r="X968" s="6"/>
      <c r="Y968" s="6"/>
      <c r="Z968" s="6"/>
      <c r="AA968" s="6" t="s">
        <v>917</v>
      </c>
      <c r="AB968" s="8"/>
      <c r="AC968" s="27">
        <v>9785160177564</v>
      </c>
    </row>
    <row r="969" spans="1:29" s="4" customFormat="1" ht="51.9" customHeight="1" x14ac:dyDescent="0.2">
      <c r="A969" s="5">
        <v>0</v>
      </c>
      <c r="B969" s="6" t="s">
        <v>6047</v>
      </c>
      <c r="C969" s="13">
        <v>952.8</v>
      </c>
      <c r="D969" s="8" t="s">
        <v>6048</v>
      </c>
      <c r="E969" s="8" t="s">
        <v>6049</v>
      </c>
      <c r="F969" s="8" t="s">
        <v>6050</v>
      </c>
      <c r="G969" s="6" t="s">
        <v>60</v>
      </c>
      <c r="H969" s="6" t="s">
        <v>1042</v>
      </c>
      <c r="I969" s="8" t="s">
        <v>253</v>
      </c>
      <c r="J969" s="9">
        <v>1</v>
      </c>
      <c r="K969" s="9">
        <v>176</v>
      </c>
      <c r="L969" s="9">
        <v>2022</v>
      </c>
      <c r="M969" s="8" t="s">
        <v>6051</v>
      </c>
      <c r="N969" s="8" t="s">
        <v>243</v>
      </c>
      <c r="O969" s="8" t="s">
        <v>244</v>
      </c>
      <c r="P969" s="6" t="s">
        <v>51</v>
      </c>
      <c r="Q969" s="8" t="s">
        <v>52</v>
      </c>
      <c r="R969" s="10" t="s">
        <v>6046</v>
      </c>
      <c r="S969" s="11" t="s">
        <v>6052</v>
      </c>
      <c r="T969" s="6"/>
      <c r="U969" s="15" t="str">
        <f>HYPERLINK("https://media.infra-m.ru/1836/1836628/cover/1836628.jpg", "Обложка")</f>
        <v>Обложка</v>
      </c>
      <c r="V969" s="8" t="s">
        <v>3428</v>
      </c>
      <c r="W969" s="6"/>
      <c r="X969" s="6"/>
      <c r="Y969" s="6"/>
      <c r="Z969" s="6"/>
      <c r="AA969" s="6" t="s">
        <v>561</v>
      </c>
      <c r="AB969" s="8"/>
      <c r="AC969" s="27">
        <v>9785819904046</v>
      </c>
    </row>
    <row r="970" spans="1:29" s="4" customFormat="1" ht="51.9" customHeight="1" x14ac:dyDescent="0.2">
      <c r="A970" s="5">
        <v>0</v>
      </c>
      <c r="B970" s="6" t="s">
        <v>6053</v>
      </c>
      <c r="C970" s="7">
        <v>1168.8</v>
      </c>
      <c r="D970" s="8" t="s">
        <v>6054</v>
      </c>
      <c r="E970" s="8" t="s">
        <v>6055</v>
      </c>
      <c r="F970" s="8" t="s">
        <v>6056</v>
      </c>
      <c r="G970" s="6" t="s">
        <v>33</v>
      </c>
      <c r="H970" s="6" t="s">
        <v>34</v>
      </c>
      <c r="I970" s="8" t="s">
        <v>35</v>
      </c>
      <c r="J970" s="9">
        <v>1</v>
      </c>
      <c r="K970" s="9">
        <v>168</v>
      </c>
      <c r="L970" s="9">
        <v>2027</v>
      </c>
      <c r="M970" s="8" t="s">
        <v>6057</v>
      </c>
      <c r="N970" s="8" t="s">
        <v>585</v>
      </c>
      <c r="O970" s="8" t="s">
        <v>2472</v>
      </c>
      <c r="P970" s="6" t="s">
        <v>39</v>
      </c>
      <c r="Q970" s="8" t="s">
        <v>40</v>
      </c>
      <c r="R970" s="10" t="s">
        <v>6058</v>
      </c>
      <c r="S970" s="11"/>
      <c r="T970" s="6"/>
      <c r="U970" s="15" t="str">
        <f>HYPERLINK("https://media.infra-m.ru/2235/2235726/cover/2235726.jpg", "Обложка")</f>
        <v>Обложка</v>
      </c>
      <c r="V970" s="8" t="s">
        <v>6059</v>
      </c>
      <c r="W970" s="6"/>
      <c r="X970" s="6"/>
      <c r="Y970" s="6"/>
      <c r="Z970" s="6"/>
      <c r="AA970" s="6" t="s">
        <v>274</v>
      </c>
      <c r="AB970" s="8"/>
      <c r="AC970" s="27">
        <v>9785160106281</v>
      </c>
    </row>
    <row r="971" spans="1:29" s="4" customFormat="1" ht="42" customHeight="1" x14ac:dyDescent="0.2">
      <c r="A971" s="5">
        <v>0</v>
      </c>
      <c r="B971" s="6" t="s">
        <v>6060</v>
      </c>
      <c r="C971" s="7">
        <v>2016</v>
      </c>
      <c r="D971" s="8" t="s">
        <v>6061</v>
      </c>
      <c r="E971" s="8" t="s">
        <v>6062</v>
      </c>
      <c r="F971" s="8" t="s">
        <v>6063</v>
      </c>
      <c r="G971" s="6" t="s">
        <v>118</v>
      </c>
      <c r="H971" s="6" t="s">
        <v>134</v>
      </c>
      <c r="I971" s="8"/>
      <c r="J971" s="9">
        <v>1</v>
      </c>
      <c r="K971" s="9">
        <v>304</v>
      </c>
      <c r="L971" s="9">
        <v>2026</v>
      </c>
      <c r="M971" s="8" t="s">
        <v>6064</v>
      </c>
      <c r="N971" s="8" t="s">
        <v>37</v>
      </c>
      <c r="O971" s="8" t="s">
        <v>136</v>
      </c>
      <c r="P971" s="6" t="s">
        <v>39</v>
      </c>
      <c r="Q971" s="8" t="s">
        <v>40</v>
      </c>
      <c r="R971" s="10" t="s">
        <v>6065</v>
      </c>
      <c r="S971" s="11"/>
      <c r="T971" s="6"/>
      <c r="U971" s="15" t="str">
        <f>HYPERLINK("https://media.infra-m.ru/2252/2252418/cover/2252418.jpg", "Обложка")</f>
        <v>Обложка</v>
      </c>
      <c r="V971" s="8" t="s">
        <v>1083</v>
      </c>
      <c r="W971" s="6"/>
      <c r="X971" s="6"/>
      <c r="Y971" s="6"/>
      <c r="Z971" s="6"/>
      <c r="AA971" s="6" t="s">
        <v>148</v>
      </c>
      <c r="AB971" s="8"/>
      <c r="AC971" s="27">
        <v>9785001562009</v>
      </c>
    </row>
    <row r="972" spans="1:29" s="4" customFormat="1" ht="51.9" customHeight="1" x14ac:dyDescent="0.2">
      <c r="A972" s="5">
        <v>0</v>
      </c>
      <c r="B972" s="6" t="s">
        <v>6066</v>
      </c>
      <c r="C972" s="7">
        <v>1380</v>
      </c>
      <c r="D972" s="8" t="s">
        <v>6067</v>
      </c>
      <c r="E972" s="8" t="s">
        <v>6068</v>
      </c>
      <c r="F972" s="8" t="s">
        <v>5924</v>
      </c>
      <c r="G972" s="6" t="s">
        <v>118</v>
      </c>
      <c r="H972" s="6" t="s">
        <v>34</v>
      </c>
      <c r="I972" s="8" t="s">
        <v>253</v>
      </c>
      <c r="J972" s="9">
        <v>1</v>
      </c>
      <c r="K972" s="9">
        <v>222</v>
      </c>
      <c r="L972" s="9">
        <v>2024</v>
      </c>
      <c r="M972" s="8" t="s">
        <v>6069</v>
      </c>
      <c r="N972" s="8" t="s">
        <v>585</v>
      </c>
      <c r="O972" s="8" t="s">
        <v>586</v>
      </c>
      <c r="P972" s="6" t="s">
        <v>51</v>
      </c>
      <c r="Q972" s="8" t="s">
        <v>52</v>
      </c>
      <c r="R972" s="10" t="s">
        <v>6070</v>
      </c>
      <c r="S972" s="11" t="s">
        <v>6071</v>
      </c>
      <c r="T972" s="6"/>
      <c r="U972" s="15" t="str">
        <f>HYPERLINK("https://media.infra-m.ru/2047/2047214/cover/2047214.jpg", "Обложка")</f>
        <v>Обложка</v>
      </c>
      <c r="V972" s="8" t="s">
        <v>396</v>
      </c>
      <c r="W972" s="6"/>
      <c r="X972" s="6"/>
      <c r="Y972" s="6"/>
      <c r="Z972" s="6"/>
      <c r="AA972" s="6" t="s">
        <v>157</v>
      </c>
      <c r="AB972" s="8"/>
      <c r="AC972" s="27">
        <v>9785160188690</v>
      </c>
    </row>
    <row r="973" spans="1:29" s="4" customFormat="1" ht="51.9" customHeight="1" x14ac:dyDescent="0.2">
      <c r="A973" s="5">
        <v>0</v>
      </c>
      <c r="B973" s="6" t="s">
        <v>6072</v>
      </c>
      <c r="C973" s="7">
        <v>1404</v>
      </c>
      <c r="D973" s="8" t="s">
        <v>6073</v>
      </c>
      <c r="E973" s="8" t="s">
        <v>6074</v>
      </c>
      <c r="F973" s="8" t="s">
        <v>5924</v>
      </c>
      <c r="G973" s="6" t="s">
        <v>60</v>
      </c>
      <c r="H973" s="6" t="s">
        <v>34</v>
      </c>
      <c r="I973" s="8" t="s">
        <v>253</v>
      </c>
      <c r="J973" s="9">
        <v>1</v>
      </c>
      <c r="K973" s="9">
        <v>233</v>
      </c>
      <c r="L973" s="9">
        <v>2024</v>
      </c>
      <c r="M973" s="8" t="s">
        <v>6075</v>
      </c>
      <c r="N973" s="8" t="s">
        <v>585</v>
      </c>
      <c r="O973" s="8" t="s">
        <v>667</v>
      </c>
      <c r="P973" s="6" t="s">
        <v>51</v>
      </c>
      <c r="Q973" s="8" t="s">
        <v>52</v>
      </c>
      <c r="R973" s="10" t="s">
        <v>6076</v>
      </c>
      <c r="S973" s="11"/>
      <c r="T973" s="6"/>
      <c r="U973" s="15" t="str">
        <f>HYPERLINK("https://media.infra-m.ru/1862/1862688/cover/1862688.jpg", "Обложка")</f>
        <v>Обложка</v>
      </c>
      <c r="V973" s="8" t="s">
        <v>396</v>
      </c>
      <c r="W973" s="6"/>
      <c r="X973" s="6"/>
      <c r="Y973" s="6"/>
      <c r="Z973" s="6"/>
      <c r="AA973" s="6" t="s">
        <v>76</v>
      </c>
      <c r="AB973" s="8"/>
      <c r="AC973" s="27">
        <v>9785160175898</v>
      </c>
    </row>
    <row r="974" spans="1:29" s="4" customFormat="1" ht="51.9" customHeight="1" x14ac:dyDescent="0.2">
      <c r="A974" s="5">
        <v>0</v>
      </c>
      <c r="B974" s="6" t="s">
        <v>6077</v>
      </c>
      <c r="C974" s="7">
        <v>2460</v>
      </c>
      <c r="D974" s="8" t="s">
        <v>6078</v>
      </c>
      <c r="E974" s="8" t="s">
        <v>6079</v>
      </c>
      <c r="F974" s="8" t="s">
        <v>6080</v>
      </c>
      <c r="G974" s="6" t="s">
        <v>118</v>
      </c>
      <c r="H974" s="6" t="s">
        <v>34</v>
      </c>
      <c r="I974" s="8" t="s">
        <v>1081</v>
      </c>
      <c r="J974" s="9">
        <v>1</v>
      </c>
      <c r="K974" s="9">
        <v>394</v>
      </c>
      <c r="L974" s="9">
        <v>2025</v>
      </c>
      <c r="M974" s="8" t="s">
        <v>6081</v>
      </c>
      <c r="N974" s="8" t="s">
        <v>243</v>
      </c>
      <c r="O974" s="8" t="s">
        <v>933</v>
      </c>
      <c r="P974" s="6" t="s">
        <v>39</v>
      </c>
      <c r="Q974" s="8" t="s">
        <v>40</v>
      </c>
      <c r="R974" s="10" t="s">
        <v>6082</v>
      </c>
      <c r="S974" s="11"/>
      <c r="T974" s="6"/>
      <c r="U974" s="15" t="str">
        <f>HYPERLINK("https://media.infra-m.ru/2202/2202837/cover/2202837.jpg", "Обложка")</f>
        <v>Обложка</v>
      </c>
      <c r="V974" s="8" t="s">
        <v>1083</v>
      </c>
      <c r="W974" s="6"/>
      <c r="X974" s="6"/>
      <c r="Y974" s="6"/>
      <c r="Z974" s="6"/>
      <c r="AA974" s="6" t="s">
        <v>99</v>
      </c>
      <c r="AB974" s="8"/>
      <c r="AC974" s="27">
        <v>9785160178127</v>
      </c>
    </row>
    <row r="975" spans="1:29" s="4" customFormat="1" ht="51.9" customHeight="1" x14ac:dyDescent="0.2">
      <c r="A975" s="5">
        <v>0</v>
      </c>
      <c r="B975" s="6" t="s">
        <v>6083</v>
      </c>
      <c r="C975" s="13">
        <v>520.79999999999995</v>
      </c>
      <c r="D975" s="8" t="s">
        <v>6084</v>
      </c>
      <c r="E975" s="8" t="s">
        <v>6085</v>
      </c>
      <c r="F975" s="8" t="s">
        <v>6086</v>
      </c>
      <c r="G975" s="6" t="s">
        <v>33</v>
      </c>
      <c r="H975" s="6" t="s">
        <v>34</v>
      </c>
      <c r="I975" s="8" t="s">
        <v>504</v>
      </c>
      <c r="J975" s="9">
        <v>1</v>
      </c>
      <c r="K975" s="9">
        <v>95</v>
      </c>
      <c r="L975" s="9">
        <v>2023</v>
      </c>
      <c r="M975" s="8" t="s">
        <v>6087</v>
      </c>
      <c r="N975" s="8" t="s">
        <v>243</v>
      </c>
      <c r="O975" s="8" t="s">
        <v>244</v>
      </c>
      <c r="P975" s="6" t="s">
        <v>51</v>
      </c>
      <c r="Q975" s="8" t="s">
        <v>52</v>
      </c>
      <c r="R975" s="10" t="s">
        <v>6088</v>
      </c>
      <c r="S975" s="11" t="s">
        <v>6089</v>
      </c>
      <c r="T975" s="6"/>
      <c r="U975" s="15" t="str">
        <f>HYPERLINK("https://media.infra-m.ru/2044/2044340/cover/2044340.jpg", "Обложка")</f>
        <v>Обложка</v>
      </c>
      <c r="V975" s="8" t="s">
        <v>6090</v>
      </c>
      <c r="W975" s="6"/>
      <c r="X975" s="6"/>
      <c r="Y975" s="6"/>
      <c r="Z975" s="6"/>
      <c r="AA975" s="6" t="s">
        <v>55</v>
      </c>
      <c r="AB975" s="8"/>
      <c r="AC975" s="27">
        <v>9785160062426</v>
      </c>
    </row>
    <row r="976" spans="1:29" s="4" customFormat="1" ht="42" customHeight="1" x14ac:dyDescent="0.2">
      <c r="A976" s="5">
        <v>0</v>
      </c>
      <c r="B976" s="6" t="s">
        <v>6091</v>
      </c>
      <c r="C976" s="7">
        <v>1289.9000000000001</v>
      </c>
      <c r="D976" s="8" t="s">
        <v>6092</v>
      </c>
      <c r="E976" s="8" t="s">
        <v>6093</v>
      </c>
      <c r="F976" s="8" t="s">
        <v>1810</v>
      </c>
      <c r="G976" s="6" t="s">
        <v>33</v>
      </c>
      <c r="H976" s="6" t="s">
        <v>134</v>
      </c>
      <c r="I976" s="8" t="s">
        <v>6094</v>
      </c>
      <c r="J976" s="9">
        <v>10</v>
      </c>
      <c r="K976" s="9">
        <v>336</v>
      </c>
      <c r="L976" s="9">
        <v>2022</v>
      </c>
      <c r="M976" s="8" t="s">
        <v>6095</v>
      </c>
      <c r="N976" s="8" t="s">
        <v>37</v>
      </c>
      <c r="O976" s="8" t="s">
        <v>136</v>
      </c>
      <c r="P976" s="6" t="s">
        <v>1293</v>
      </c>
      <c r="Q976" s="8" t="s">
        <v>52</v>
      </c>
      <c r="R976" s="10" t="s">
        <v>1812</v>
      </c>
      <c r="S976" s="11"/>
      <c r="T976" s="6"/>
      <c r="U976" s="15" t="str">
        <f>HYPERLINK("https://media.infra-m.ru/1834/1834662/cover/1834662.jpg", "Обложка")</f>
        <v>Обложка</v>
      </c>
      <c r="V976" s="8" t="s">
        <v>1357</v>
      </c>
      <c r="W976" s="6"/>
      <c r="X976" s="6"/>
      <c r="Y976" s="6"/>
      <c r="Z976" s="6"/>
      <c r="AA976" s="6" t="s">
        <v>1047</v>
      </c>
      <c r="AB976" s="8"/>
      <c r="AC976" s="27">
        <v>9785917682006</v>
      </c>
    </row>
    <row r="977" spans="1:29" s="4" customFormat="1" ht="42" customHeight="1" x14ac:dyDescent="0.2">
      <c r="A977" s="5">
        <v>0</v>
      </c>
      <c r="B977" s="6" t="s">
        <v>6096</v>
      </c>
      <c r="C977" s="13">
        <v>972</v>
      </c>
      <c r="D977" s="8" t="s">
        <v>6097</v>
      </c>
      <c r="E977" s="8" t="s">
        <v>6098</v>
      </c>
      <c r="F977" s="8" t="s">
        <v>6099</v>
      </c>
      <c r="G977" s="6" t="s">
        <v>118</v>
      </c>
      <c r="H977" s="6" t="s">
        <v>313</v>
      </c>
      <c r="I977" s="8" t="s">
        <v>392</v>
      </c>
      <c r="J977" s="9">
        <v>1</v>
      </c>
      <c r="K977" s="9">
        <v>212</v>
      </c>
      <c r="L977" s="9">
        <v>2022</v>
      </c>
      <c r="M977" s="8" t="s">
        <v>6100</v>
      </c>
      <c r="N977" s="8" t="s">
        <v>63</v>
      </c>
      <c r="O977" s="8" t="s">
        <v>126</v>
      </c>
      <c r="P977" s="6" t="s">
        <v>51</v>
      </c>
      <c r="Q977" s="8" t="s">
        <v>52</v>
      </c>
      <c r="R977" s="10" t="s">
        <v>6101</v>
      </c>
      <c r="S977" s="11"/>
      <c r="T977" s="6"/>
      <c r="U977" s="15" t="str">
        <f>HYPERLINK("https://media.infra-m.ru/1861/1861891/cover/1861891.jpg", "Обложка")</f>
        <v>Обложка</v>
      </c>
      <c r="V977" s="8" t="s">
        <v>2020</v>
      </c>
      <c r="W977" s="6"/>
      <c r="X977" s="6"/>
      <c r="Y977" s="6"/>
      <c r="Z977" s="6"/>
      <c r="AA977" s="6" t="s">
        <v>86</v>
      </c>
      <c r="AB977" s="8"/>
      <c r="AC977" s="27">
        <v>9785369016961</v>
      </c>
    </row>
    <row r="978" spans="1:29" s="4" customFormat="1" ht="51.9" customHeight="1" x14ac:dyDescent="0.2">
      <c r="A978" s="5">
        <v>0</v>
      </c>
      <c r="B978" s="6" t="s">
        <v>6102</v>
      </c>
      <c r="C978" s="7">
        <v>2568</v>
      </c>
      <c r="D978" s="8" t="s">
        <v>6103</v>
      </c>
      <c r="E978" s="8" t="s">
        <v>6104</v>
      </c>
      <c r="F978" s="8" t="s">
        <v>6105</v>
      </c>
      <c r="G978" s="6" t="s">
        <v>118</v>
      </c>
      <c r="H978" s="6" t="s">
        <v>34</v>
      </c>
      <c r="I978" s="8" t="s">
        <v>253</v>
      </c>
      <c r="J978" s="9">
        <v>1</v>
      </c>
      <c r="K978" s="9">
        <v>368</v>
      </c>
      <c r="L978" s="9">
        <v>2027</v>
      </c>
      <c r="M978" s="8" t="s">
        <v>6106</v>
      </c>
      <c r="N978" s="8" t="s">
        <v>585</v>
      </c>
      <c r="O978" s="8" t="s">
        <v>667</v>
      </c>
      <c r="P978" s="6" t="s">
        <v>51</v>
      </c>
      <c r="Q978" s="8" t="s">
        <v>52</v>
      </c>
      <c r="R978" s="10" t="s">
        <v>6107</v>
      </c>
      <c r="S978" s="11" t="s">
        <v>6108</v>
      </c>
      <c r="T978" s="6"/>
      <c r="U978" s="15" t="str">
        <f>HYPERLINK("https://media.infra-m.ru/2266/2266489/cover/2266489.jpg", "Обложка")</f>
        <v>Обложка</v>
      </c>
      <c r="V978" s="8" t="s">
        <v>3087</v>
      </c>
      <c r="W978" s="6"/>
      <c r="X978" s="6"/>
      <c r="Y978" s="6"/>
      <c r="Z978" s="6"/>
      <c r="AA978" s="6" t="s">
        <v>248</v>
      </c>
      <c r="AB978" s="8"/>
      <c r="AC978" s="27">
        <v>9785160224640</v>
      </c>
    </row>
    <row r="979" spans="1:29" s="4" customFormat="1" ht="51.9" customHeight="1" x14ac:dyDescent="0.2">
      <c r="A979" s="5">
        <v>0</v>
      </c>
      <c r="B979" s="6" t="s">
        <v>6109</v>
      </c>
      <c r="C979" s="7">
        <v>1192.8</v>
      </c>
      <c r="D979" s="8" t="s">
        <v>6110</v>
      </c>
      <c r="E979" s="8" t="s">
        <v>6111</v>
      </c>
      <c r="F979" s="8" t="s">
        <v>6112</v>
      </c>
      <c r="G979" s="6" t="s">
        <v>33</v>
      </c>
      <c r="H979" s="6" t="s">
        <v>134</v>
      </c>
      <c r="I979" s="8"/>
      <c r="J979" s="9">
        <v>1</v>
      </c>
      <c r="K979" s="9">
        <v>176</v>
      </c>
      <c r="L979" s="9">
        <v>2026</v>
      </c>
      <c r="M979" s="8" t="s">
        <v>6113</v>
      </c>
      <c r="N979" s="8" t="s">
        <v>37</v>
      </c>
      <c r="O979" s="8" t="s">
        <v>136</v>
      </c>
      <c r="P979" s="6" t="s">
        <v>306</v>
      </c>
      <c r="Q979" s="8" t="s">
        <v>52</v>
      </c>
      <c r="R979" s="10" t="s">
        <v>1068</v>
      </c>
      <c r="S979" s="11"/>
      <c r="T979" s="6"/>
      <c r="U979" s="15" t="str">
        <f>HYPERLINK("https://media.infra-m.ru/2244/2244696/cover/2244696.jpg", "Обложка")</f>
        <v>Обложка</v>
      </c>
      <c r="V979" s="8" t="s">
        <v>6114</v>
      </c>
      <c r="W979" s="6"/>
      <c r="X979" s="6"/>
      <c r="Y979" s="6"/>
      <c r="Z979" s="6"/>
      <c r="AA979" s="6" t="s">
        <v>274</v>
      </c>
      <c r="AB979" s="8"/>
      <c r="AC979" s="27">
        <v>9785917685694</v>
      </c>
    </row>
    <row r="980" spans="1:29" s="4" customFormat="1" ht="51.9" customHeight="1" x14ac:dyDescent="0.2">
      <c r="A980" s="5">
        <v>0</v>
      </c>
      <c r="B980" s="6" t="s">
        <v>6115</v>
      </c>
      <c r="C980" s="13">
        <v>976.8</v>
      </c>
      <c r="D980" s="8" t="s">
        <v>6116</v>
      </c>
      <c r="E980" s="8" t="s">
        <v>6117</v>
      </c>
      <c r="F980" s="8" t="s">
        <v>6118</v>
      </c>
      <c r="G980" s="6" t="s">
        <v>118</v>
      </c>
      <c r="H980" s="6" t="s">
        <v>34</v>
      </c>
      <c r="I980" s="8" t="s">
        <v>2772</v>
      </c>
      <c r="J980" s="9">
        <v>1</v>
      </c>
      <c r="K980" s="9">
        <v>163</v>
      </c>
      <c r="L980" s="9">
        <v>2025</v>
      </c>
      <c r="M980" s="8" t="s">
        <v>6119</v>
      </c>
      <c r="N980" s="8" t="s">
        <v>585</v>
      </c>
      <c r="O980" s="8" t="s">
        <v>667</v>
      </c>
      <c r="P980" s="6" t="s">
        <v>51</v>
      </c>
      <c r="Q980" s="8" t="s">
        <v>52</v>
      </c>
      <c r="R980" s="10" t="s">
        <v>3622</v>
      </c>
      <c r="S980" s="11" t="s">
        <v>6120</v>
      </c>
      <c r="T980" s="6"/>
      <c r="U980" s="15" t="str">
        <f>HYPERLINK("https://media.infra-m.ru/2174/2174466/cover/2174466.jpg", "Обложка")</f>
        <v>Обложка</v>
      </c>
      <c r="V980" s="8" t="s">
        <v>414</v>
      </c>
      <c r="W980" s="6"/>
      <c r="X980" s="6"/>
      <c r="Y980" s="6"/>
      <c r="Z980" s="6"/>
      <c r="AA980" s="6" t="s">
        <v>115</v>
      </c>
      <c r="AB980" s="8"/>
      <c r="AC980" s="27">
        <v>9785160167152</v>
      </c>
    </row>
    <row r="981" spans="1:29" s="4" customFormat="1" ht="51.9" customHeight="1" x14ac:dyDescent="0.2">
      <c r="A981" s="5">
        <v>0</v>
      </c>
      <c r="B981" s="6" t="s">
        <v>6121</v>
      </c>
      <c r="C981" s="7">
        <v>2380.8000000000002</v>
      </c>
      <c r="D981" s="8" t="s">
        <v>6122</v>
      </c>
      <c r="E981" s="8" t="s">
        <v>6123</v>
      </c>
      <c r="F981" s="8" t="s">
        <v>6124</v>
      </c>
      <c r="G981" s="6" t="s">
        <v>118</v>
      </c>
      <c r="H981" s="6" t="s">
        <v>34</v>
      </c>
      <c r="I981" s="8" t="s">
        <v>271</v>
      </c>
      <c r="J981" s="9">
        <v>1</v>
      </c>
      <c r="K981" s="9">
        <v>381</v>
      </c>
      <c r="L981" s="9">
        <v>2026</v>
      </c>
      <c r="M981" s="8" t="s">
        <v>6125</v>
      </c>
      <c r="N981" s="8" t="s">
        <v>63</v>
      </c>
      <c r="O981" s="8" t="s">
        <v>64</v>
      </c>
      <c r="P981" s="6" t="s">
        <v>306</v>
      </c>
      <c r="Q981" s="8" t="s">
        <v>52</v>
      </c>
      <c r="R981" s="10" t="s">
        <v>539</v>
      </c>
      <c r="S981" s="11" t="s">
        <v>6126</v>
      </c>
      <c r="T981" s="6"/>
      <c r="U981" s="15" t="str">
        <f>HYPERLINK("https://media.infra-m.ru/2218/2218849/cover/2218849.jpg", "Обложка")</f>
        <v>Обложка</v>
      </c>
      <c r="V981" s="8" t="s">
        <v>6127</v>
      </c>
      <c r="W981" s="6"/>
      <c r="X981" s="6"/>
      <c r="Y981" s="6"/>
      <c r="Z981" s="6"/>
      <c r="AA981" s="6" t="s">
        <v>157</v>
      </c>
      <c r="AB981" s="8"/>
      <c r="AC981" s="27">
        <v>9785160159270</v>
      </c>
    </row>
    <row r="982" spans="1:29" s="4" customFormat="1" ht="51.9" customHeight="1" x14ac:dyDescent="0.2">
      <c r="A982" s="5">
        <v>0</v>
      </c>
      <c r="B982" s="6" t="s">
        <v>6128</v>
      </c>
      <c r="C982" s="7">
        <v>1828.8</v>
      </c>
      <c r="D982" s="8" t="s">
        <v>6129</v>
      </c>
      <c r="E982" s="8" t="s">
        <v>6130</v>
      </c>
      <c r="F982" s="8" t="s">
        <v>6131</v>
      </c>
      <c r="G982" s="6" t="s">
        <v>118</v>
      </c>
      <c r="H982" s="6" t="s">
        <v>34</v>
      </c>
      <c r="I982" s="8" t="s">
        <v>271</v>
      </c>
      <c r="J982" s="9">
        <v>1</v>
      </c>
      <c r="K982" s="9">
        <v>263</v>
      </c>
      <c r="L982" s="9">
        <v>2027</v>
      </c>
      <c r="M982" s="8" t="s">
        <v>6132</v>
      </c>
      <c r="N982" s="8" t="s">
        <v>63</v>
      </c>
      <c r="O982" s="8" t="s">
        <v>64</v>
      </c>
      <c r="P982" s="6" t="s">
        <v>51</v>
      </c>
      <c r="Q982" s="8" t="s">
        <v>52</v>
      </c>
      <c r="R982" s="10" t="s">
        <v>6133</v>
      </c>
      <c r="S982" s="11" t="s">
        <v>6134</v>
      </c>
      <c r="T982" s="6"/>
      <c r="U982" s="15" t="str">
        <f>HYPERLINK("https://media.infra-m.ru/2270/2270444/cover/2270444.jpg", "Обложка")</f>
        <v>Обложка</v>
      </c>
      <c r="V982" s="8" t="s">
        <v>6135</v>
      </c>
      <c r="W982" s="6"/>
      <c r="X982" s="6"/>
      <c r="Y982" s="6"/>
      <c r="Z982" s="6"/>
      <c r="AA982" s="6" t="s">
        <v>2240</v>
      </c>
      <c r="AB982" s="8"/>
      <c r="AC982" s="27">
        <v>9785160149479</v>
      </c>
    </row>
    <row r="983" spans="1:29" s="4" customFormat="1" ht="51.9" customHeight="1" x14ac:dyDescent="0.2">
      <c r="A983" s="5">
        <v>0</v>
      </c>
      <c r="B983" s="6" t="s">
        <v>6136</v>
      </c>
      <c r="C983" s="7">
        <v>1828.8</v>
      </c>
      <c r="D983" s="8" t="s">
        <v>6137</v>
      </c>
      <c r="E983" s="8" t="s">
        <v>6130</v>
      </c>
      <c r="F983" s="8" t="s">
        <v>6131</v>
      </c>
      <c r="G983" s="6" t="s">
        <v>118</v>
      </c>
      <c r="H983" s="6" t="s">
        <v>34</v>
      </c>
      <c r="I983" s="8" t="s">
        <v>263</v>
      </c>
      <c r="J983" s="9">
        <v>1</v>
      </c>
      <c r="K983" s="9">
        <v>263</v>
      </c>
      <c r="L983" s="9">
        <v>2027</v>
      </c>
      <c r="M983" s="8" t="s">
        <v>6138</v>
      </c>
      <c r="N983" s="8" t="s">
        <v>63</v>
      </c>
      <c r="O983" s="8" t="s">
        <v>64</v>
      </c>
      <c r="P983" s="6" t="s">
        <v>51</v>
      </c>
      <c r="Q983" s="8" t="s">
        <v>265</v>
      </c>
      <c r="R983" s="10" t="s">
        <v>6139</v>
      </c>
      <c r="S983" s="11" t="s">
        <v>6140</v>
      </c>
      <c r="T983" s="6"/>
      <c r="U983" s="15" t="str">
        <f>HYPERLINK("https://media.infra-m.ru/2270/2270446/cover/2270446.jpg", "Обложка")</f>
        <v>Обложка</v>
      </c>
      <c r="V983" s="8" t="s">
        <v>6135</v>
      </c>
      <c r="W983" s="6"/>
      <c r="X983" s="6"/>
      <c r="Y983" s="6"/>
      <c r="Z983" s="6" t="s">
        <v>267</v>
      </c>
      <c r="AA983" s="6" t="s">
        <v>218</v>
      </c>
      <c r="AB983" s="8"/>
      <c r="AC983" s="27">
        <v>9785160155135</v>
      </c>
    </row>
    <row r="984" spans="1:29" s="4" customFormat="1" ht="42" customHeight="1" x14ac:dyDescent="0.2">
      <c r="A984" s="5">
        <v>0</v>
      </c>
      <c r="B984" s="6" t="s">
        <v>6141</v>
      </c>
      <c r="C984" s="7">
        <v>1464</v>
      </c>
      <c r="D984" s="8" t="s">
        <v>6142</v>
      </c>
      <c r="E984" s="8" t="s">
        <v>6143</v>
      </c>
      <c r="F984" s="8" t="s">
        <v>6144</v>
      </c>
      <c r="G984" s="6" t="s">
        <v>60</v>
      </c>
      <c r="H984" s="6" t="s">
        <v>34</v>
      </c>
      <c r="I984" s="8" t="s">
        <v>253</v>
      </c>
      <c r="J984" s="9">
        <v>1</v>
      </c>
      <c r="K984" s="9">
        <v>231</v>
      </c>
      <c r="L984" s="9">
        <v>2025</v>
      </c>
      <c r="M984" s="8" t="s">
        <v>6145</v>
      </c>
      <c r="N984" s="8" t="s">
        <v>243</v>
      </c>
      <c r="O984" s="8" t="s">
        <v>244</v>
      </c>
      <c r="P984" s="6" t="s">
        <v>51</v>
      </c>
      <c r="Q984" s="8" t="s">
        <v>65</v>
      </c>
      <c r="R984" s="10" t="s">
        <v>6146</v>
      </c>
      <c r="S984" s="11"/>
      <c r="T984" s="6"/>
      <c r="U984" s="15" t="str">
        <f>HYPERLINK("https://media.infra-m.ru/2116/2116156/cover/2116156.jpg", "Обложка")</f>
        <v>Обложка</v>
      </c>
      <c r="V984" s="8" t="s">
        <v>6147</v>
      </c>
      <c r="W984" s="6"/>
      <c r="X984" s="6"/>
      <c r="Y984" s="6"/>
      <c r="Z984" s="6"/>
      <c r="AA984" s="6" t="s">
        <v>68</v>
      </c>
      <c r="AB984" s="8"/>
      <c r="AC984" s="27">
        <v>9785160193991</v>
      </c>
    </row>
    <row r="985" spans="1:29" s="4" customFormat="1" ht="44.1" customHeight="1" x14ac:dyDescent="0.2">
      <c r="A985" s="5">
        <v>0</v>
      </c>
      <c r="B985" s="6" t="s">
        <v>6148</v>
      </c>
      <c r="C985" s="7">
        <v>1716</v>
      </c>
      <c r="D985" s="8" t="s">
        <v>6149</v>
      </c>
      <c r="E985" s="8" t="s">
        <v>6150</v>
      </c>
      <c r="F985" s="8" t="s">
        <v>6151</v>
      </c>
      <c r="G985" s="6" t="s">
        <v>60</v>
      </c>
      <c r="H985" s="6" t="s">
        <v>34</v>
      </c>
      <c r="I985" s="8" t="s">
        <v>263</v>
      </c>
      <c r="J985" s="9">
        <v>1</v>
      </c>
      <c r="K985" s="9">
        <v>273</v>
      </c>
      <c r="L985" s="9">
        <v>2025</v>
      </c>
      <c r="M985" s="8" t="s">
        <v>6152</v>
      </c>
      <c r="N985" s="8" t="s">
        <v>37</v>
      </c>
      <c r="O985" s="8" t="s">
        <v>233</v>
      </c>
      <c r="P985" s="6" t="s">
        <v>51</v>
      </c>
      <c r="Q985" s="8" t="s">
        <v>265</v>
      </c>
      <c r="R985" s="10" t="s">
        <v>3777</v>
      </c>
      <c r="S985" s="11"/>
      <c r="T985" s="6"/>
      <c r="U985" s="15" t="str">
        <f>HYPERLINK("https://media.infra-m.ru/2133/2133657/cover/2133657.jpg", "Обложка")</f>
        <v>Обложка</v>
      </c>
      <c r="V985" s="8" t="s">
        <v>6153</v>
      </c>
      <c r="W985" s="6"/>
      <c r="X985" s="6"/>
      <c r="Y985" s="6"/>
      <c r="Z985" s="6"/>
      <c r="AA985" s="6" t="s">
        <v>68</v>
      </c>
      <c r="AB985" s="8" t="s">
        <v>3042</v>
      </c>
      <c r="AC985" s="27">
        <v>9785160196732</v>
      </c>
    </row>
    <row r="986" spans="1:29" s="4" customFormat="1" ht="44.1" customHeight="1" x14ac:dyDescent="0.2">
      <c r="A986" s="5">
        <v>0</v>
      </c>
      <c r="B986" s="6" t="s">
        <v>6154</v>
      </c>
      <c r="C986" s="7">
        <v>2148</v>
      </c>
      <c r="D986" s="8" t="s">
        <v>6155</v>
      </c>
      <c r="E986" s="8" t="s">
        <v>6156</v>
      </c>
      <c r="F986" s="8" t="s">
        <v>6157</v>
      </c>
      <c r="G986" s="6" t="s">
        <v>60</v>
      </c>
      <c r="H986" s="6" t="s">
        <v>34</v>
      </c>
      <c r="I986" s="8" t="s">
        <v>434</v>
      </c>
      <c r="J986" s="9">
        <v>1</v>
      </c>
      <c r="K986" s="9">
        <v>345</v>
      </c>
      <c r="L986" s="9">
        <v>2025</v>
      </c>
      <c r="M986" s="8" t="s">
        <v>6158</v>
      </c>
      <c r="N986" s="8" t="s">
        <v>37</v>
      </c>
      <c r="O986" s="8" t="s">
        <v>233</v>
      </c>
      <c r="P986" s="6" t="s">
        <v>306</v>
      </c>
      <c r="Q986" s="8" t="s">
        <v>265</v>
      </c>
      <c r="R986" s="10" t="s">
        <v>3777</v>
      </c>
      <c r="S986" s="11"/>
      <c r="T986" s="6"/>
      <c r="U986" s="15" t="str">
        <f>HYPERLINK("https://media.infra-m.ru/2135/2135820/cover/2135820.jpg", "Обложка")</f>
        <v>Обложка</v>
      </c>
      <c r="V986" s="8" t="s">
        <v>247</v>
      </c>
      <c r="W986" s="6"/>
      <c r="X986" s="6"/>
      <c r="Y986" s="6"/>
      <c r="Z986" s="6"/>
      <c r="AA986" s="6" t="s">
        <v>68</v>
      </c>
      <c r="AB986" s="8"/>
      <c r="AC986" s="27">
        <v>9785160197470</v>
      </c>
    </row>
    <row r="987" spans="1:29" s="4" customFormat="1" ht="51.9" customHeight="1" x14ac:dyDescent="0.2">
      <c r="A987" s="5">
        <v>0</v>
      </c>
      <c r="B987" s="6" t="s">
        <v>6159</v>
      </c>
      <c r="C987" s="13">
        <v>996</v>
      </c>
      <c r="D987" s="8" t="s">
        <v>6160</v>
      </c>
      <c r="E987" s="8" t="s">
        <v>6161</v>
      </c>
      <c r="F987" s="8" t="s">
        <v>6162</v>
      </c>
      <c r="G987" s="6" t="s">
        <v>33</v>
      </c>
      <c r="H987" s="6" t="s">
        <v>34</v>
      </c>
      <c r="I987" s="8" t="s">
        <v>253</v>
      </c>
      <c r="J987" s="9">
        <v>1</v>
      </c>
      <c r="K987" s="9">
        <v>158</v>
      </c>
      <c r="L987" s="9">
        <v>2025</v>
      </c>
      <c r="M987" s="8" t="s">
        <v>6163</v>
      </c>
      <c r="N987" s="8" t="s">
        <v>585</v>
      </c>
      <c r="O987" s="8" t="s">
        <v>667</v>
      </c>
      <c r="P987" s="6" t="s">
        <v>51</v>
      </c>
      <c r="Q987" s="8" t="s">
        <v>52</v>
      </c>
      <c r="R987" s="10" t="s">
        <v>6164</v>
      </c>
      <c r="S987" s="11" t="s">
        <v>6165</v>
      </c>
      <c r="T987" s="6"/>
      <c r="U987" s="15" t="str">
        <f>HYPERLINK("https://media.infra-m.ru/2143/2143844/cover/2143844.jpg", "Обложка")</f>
        <v>Обложка</v>
      </c>
      <c r="V987" s="8" t="s">
        <v>3087</v>
      </c>
      <c r="W987" s="6"/>
      <c r="X987" s="6"/>
      <c r="Y987" s="6"/>
      <c r="Z987" s="6"/>
      <c r="AA987" s="6" t="s">
        <v>769</v>
      </c>
      <c r="AB987" s="8"/>
      <c r="AC987" s="27">
        <v>9785160207117</v>
      </c>
    </row>
    <row r="988" spans="1:29" s="4" customFormat="1" ht="44.1" customHeight="1" x14ac:dyDescent="0.2">
      <c r="A988" s="5">
        <v>0</v>
      </c>
      <c r="B988" s="6" t="s">
        <v>6166</v>
      </c>
      <c r="C988" s="7">
        <v>1620</v>
      </c>
      <c r="D988" s="8" t="s">
        <v>6167</v>
      </c>
      <c r="E988" s="8" t="s">
        <v>6168</v>
      </c>
      <c r="F988" s="8" t="s">
        <v>6169</v>
      </c>
      <c r="G988" s="6" t="s">
        <v>33</v>
      </c>
      <c r="H988" s="6" t="s">
        <v>313</v>
      </c>
      <c r="I988" s="8" t="s">
        <v>35</v>
      </c>
      <c r="J988" s="9">
        <v>1</v>
      </c>
      <c r="K988" s="9">
        <v>234</v>
      </c>
      <c r="L988" s="9">
        <v>2020</v>
      </c>
      <c r="M988" s="8" t="s">
        <v>6170</v>
      </c>
      <c r="N988" s="8" t="s">
        <v>585</v>
      </c>
      <c r="O988" s="8" t="s">
        <v>667</v>
      </c>
      <c r="P988" s="6" t="s">
        <v>39</v>
      </c>
      <c r="Q988" s="8" t="s">
        <v>40</v>
      </c>
      <c r="R988" s="10" t="s">
        <v>6171</v>
      </c>
      <c r="S988" s="11"/>
      <c r="T988" s="6"/>
      <c r="U988" s="15" t="str">
        <f>HYPERLINK("https://media.infra-m.ru/1065/1065834/cover/1065834.jpg", "Обложка")</f>
        <v>Обложка</v>
      </c>
      <c r="V988" s="8" t="s">
        <v>2088</v>
      </c>
      <c r="W988" s="6"/>
      <c r="X988" s="6"/>
      <c r="Y988" s="6"/>
      <c r="Z988" s="6"/>
      <c r="AA988" s="6" t="s">
        <v>115</v>
      </c>
      <c r="AB988" s="8"/>
      <c r="AC988" s="27">
        <v>9785369018095</v>
      </c>
    </row>
    <row r="989" spans="1:29" s="4" customFormat="1" ht="51.9" customHeight="1" x14ac:dyDescent="0.2">
      <c r="A989" s="5">
        <v>0</v>
      </c>
      <c r="B989" s="6" t="s">
        <v>6172</v>
      </c>
      <c r="C989" s="7">
        <v>1296</v>
      </c>
      <c r="D989" s="8" t="s">
        <v>6173</v>
      </c>
      <c r="E989" s="8" t="s">
        <v>6174</v>
      </c>
      <c r="F989" s="8" t="s">
        <v>6175</v>
      </c>
      <c r="G989" s="6" t="s">
        <v>60</v>
      </c>
      <c r="H989" s="6" t="s">
        <v>34</v>
      </c>
      <c r="I989" s="8" t="s">
        <v>35</v>
      </c>
      <c r="J989" s="14">
        <v>0</v>
      </c>
      <c r="K989" s="9">
        <v>174</v>
      </c>
      <c r="L989" s="9">
        <v>2027</v>
      </c>
      <c r="M989" s="8" t="s">
        <v>6176</v>
      </c>
      <c r="N989" s="8" t="s">
        <v>37</v>
      </c>
      <c r="O989" s="8" t="s">
        <v>136</v>
      </c>
      <c r="P989" s="6" t="s">
        <v>39</v>
      </c>
      <c r="Q989" s="8" t="s">
        <v>40</v>
      </c>
      <c r="R989" s="10" t="s">
        <v>6177</v>
      </c>
      <c r="S989" s="11"/>
      <c r="T989" s="6"/>
      <c r="U989" s="15" t="str">
        <f>HYPERLINK("https://media.infra-m.ru/2246/2246658/cover/2246658.jpg", "Обложка")</f>
        <v>Обложка</v>
      </c>
      <c r="V989" s="8" t="s">
        <v>1184</v>
      </c>
      <c r="W989" s="6"/>
      <c r="X989" s="6"/>
      <c r="Y989" s="6" t="s">
        <v>4466</v>
      </c>
      <c r="Z989" s="6"/>
      <c r="AA989" s="6" t="s">
        <v>420</v>
      </c>
      <c r="AB989" s="8"/>
      <c r="AC989" s="27">
        <v>9785160220208</v>
      </c>
    </row>
    <row r="990" spans="1:29" s="4" customFormat="1" ht="51.9" customHeight="1" x14ac:dyDescent="0.2">
      <c r="A990" s="5">
        <v>0</v>
      </c>
      <c r="B990" s="6" t="s">
        <v>6178</v>
      </c>
      <c r="C990" s="7">
        <v>1404</v>
      </c>
      <c r="D990" s="8" t="s">
        <v>6179</v>
      </c>
      <c r="E990" s="8" t="s">
        <v>6180</v>
      </c>
      <c r="F990" s="8" t="s">
        <v>6181</v>
      </c>
      <c r="G990" s="6" t="s">
        <v>118</v>
      </c>
      <c r="H990" s="6" t="s">
        <v>134</v>
      </c>
      <c r="I990" s="8"/>
      <c r="J990" s="9">
        <v>1</v>
      </c>
      <c r="K990" s="9">
        <v>224</v>
      </c>
      <c r="L990" s="9">
        <v>2026</v>
      </c>
      <c r="M990" s="8" t="s">
        <v>6182</v>
      </c>
      <c r="N990" s="8" t="s">
        <v>37</v>
      </c>
      <c r="O990" s="8" t="s">
        <v>233</v>
      </c>
      <c r="P990" s="6" t="s">
        <v>39</v>
      </c>
      <c r="Q990" s="8" t="s">
        <v>40</v>
      </c>
      <c r="R990" s="10" t="s">
        <v>6183</v>
      </c>
      <c r="S990" s="11"/>
      <c r="T990" s="6"/>
      <c r="U990" s="15" t="str">
        <f>HYPERLINK("https://media.infra-m.ru/2216/2216870/cover/2216870.jpg", "Обложка")</f>
        <v>Обложка</v>
      </c>
      <c r="V990" s="8" t="s">
        <v>546</v>
      </c>
      <c r="W990" s="6"/>
      <c r="X990" s="6"/>
      <c r="Y990" s="6"/>
      <c r="Z990" s="6"/>
      <c r="AA990" s="6" t="s">
        <v>274</v>
      </c>
      <c r="AB990" s="8"/>
      <c r="AC990" s="27">
        <v>9785917686684</v>
      </c>
    </row>
    <row r="991" spans="1:29" s="4" customFormat="1" ht="51.9" customHeight="1" x14ac:dyDescent="0.2">
      <c r="A991" s="5">
        <v>0</v>
      </c>
      <c r="B991" s="6" t="s">
        <v>6184</v>
      </c>
      <c r="C991" s="7">
        <v>1560</v>
      </c>
      <c r="D991" s="8" t="s">
        <v>6185</v>
      </c>
      <c r="E991" s="8" t="s">
        <v>6186</v>
      </c>
      <c r="F991" s="8" t="s">
        <v>6187</v>
      </c>
      <c r="G991" s="6" t="s">
        <v>118</v>
      </c>
      <c r="H991" s="6" t="s">
        <v>34</v>
      </c>
      <c r="I991" s="8" t="s">
        <v>35</v>
      </c>
      <c r="J991" s="9">
        <v>1</v>
      </c>
      <c r="K991" s="9">
        <v>213</v>
      </c>
      <c r="L991" s="9">
        <v>2027</v>
      </c>
      <c r="M991" s="8" t="s">
        <v>6188</v>
      </c>
      <c r="N991" s="8" t="s">
        <v>93</v>
      </c>
      <c r="O991" s="8" t="s">
        <v>94</v>
      </c>
      <c r="P991" s="6" t="s">
        <v>39</v>
      </c>
      <c r="Q991" s="8" t="s">
        <v>40</v>
      </c>
      <c r="R991" s="10" t="s">
        <v>6189</v>
      </c>
      <c r="S991" s="11"/>
      <c r="T991" s="6"/>
      <c r="U991" s="15" t="str">
        <f>HYPERLINK("https://media.infra-m.ru/2266/2266850/cover/2266850.jpg", "Обложка")</f>
        <v>Обложка</v>
      </c>
      <c r="V991" s="8" t="s">
        <v>6190</v>
      </c>
      <c r="W991" s="6"/>
      <c r="X991" s="6"/>
      <c r="Y991" s="6"/>
      <c r="Z991" s="6"/>
      <c r="AA991" s="6" t="s">
        <v>76</v>
      </c>
      <c r="AB991" s="8" t="s">
        <v>6191</v>
      </c>
      <c r="AC991" s="27">
        <v>9785160198989</v>
      </c>
    </row>
    <row r="992" spans="1:29" s="4" customFormat="1" ht="44.1" customHeight="1" x14ac:dyDescent="0.2">
      <c r="A992" s="5">
        <v>0</v>
      </c>
      <c r="B992" s="6" t="s">
        <v>6192</v>
      </c>
      <c r="C992" s="7">
        <v>1092</v>
      </c>
      <c r="D992" s="8" t="s">
        <v>6193</v>
      </c>
      <c r="E992" s="8" t="s">
        <v>6194</v>
      </c>
      <c r="F992" s="8" t="s">
        <v>6195</v>
      </c>
      <c r="G992" s="6" t="s">
        <v>33</v>
      </c>
      <c r="H992" s="6" t="s">
        <v>34</v>
      </c>
      <c r="I992" s="8" t="s">
        <v>35</v>
      </c>
      <c r="J992" s="9">
        <v>1</v>
      </c>
      <c r="K992" s="9">
        <v>175</v>
      </c>
      <c r="L992" s="9">
        <v>2026</v>
      </c>
      <c r="M992" s="8" t="s">
        <v>6196</v>
      </c>
      <c r="N992" s="8" t="s">
        <v>585</v>
      </c>
      <c r="O992" s="8" t="s">
        <v>775</v>
      </c>
      <c r="P992" s="6" t="s">
        <v>39</v>
      </c>
      <c r="Q992" s="8" t="s">
        <v>40</v>
      </c>
      <c r="R992" s="10" t="s">
        <v>6197</v>
      </c>
      <c r="S992" s="11"/>
      <c r="T992" s="6"/>
      <c r="U992" s="15" t="str">
        <f>HYPERLINK("https://media.infra-m.ru/2184/2184036/cover/2184036.jpg", "Обложка")</f>
        <v>Обложка</v>
      </c>
      <c r="V992" s="8" t="s">
        <v>1094</v>
      </c>
      <c r="W992" s="6"/>
      <c r="X992" s="6" t="s">
        <v>24</v>
      </c>
      <c r="Y992" s="6"/>
      <c r="Z992" s="6"/>
      <c r="AA992" s="6" t="s">
        <v>86</v>
      </c>
      <c r="AB992" s="8"/>
      <c r="AC992" s="27">
        <v>9785160137681</v>
      </c>
    </row>
    <row r="993" spans="1:29" s="4" customFormat="1" ht="51.9" customHeight="1" x14ac:dyDescent="0.2">
      <c r="A993" s="5">
        <v>0</v>
      </c>
      <c r="B993" s="6" t="s">
        <v>6198</v>
      </c>
      <c r="C993" s="7">
        <v>1224</v>
      </c>
      <c r="D993" s="8" t="s">
        <v>6199</v>
      </c>
      <c r="E993" s="8" t="s">
        <v>6200</v>
      </c>
      <c r="F993" s="8" t="s">
        <v>6201</v>
      </c>
      <c r="G993" s="6" t="s">
        <v>118</v>
      </c>
      <c r="H993" s="6" t="s">
        <v>820</v>
      </c>
      <c r="I993" s="8" t="s">
        <v>253</v>
      </c>
      <c r="J993" s="9">
        <v>1</v>
      </c>
      <c r="K993" s="9">
        <v>184</v>
      </c>
      <c r="L993" s="9">
        <v>2026</v>
      </c>
      <c r="M993" s="8" t="s">
        <v>6202</v>
      </c>
      <c r="N993" s="8" t="s">
        <v>243</v>
      </c>
      <c r="O993" s="8" t="s">
        <v>1100</v>
      </c>
      <c r="P993" s="6" t="s">
        <v>51</v>
      </c>
      <c r="Q993" s="8" t="s">
        <v>52</v>
      </c>
      <c r="R993" s="10" t="s">
        <v>2505</v>
      </c>
      <c r="S993" s="11" t="s">
        <v>6203</v>
      </c>
      <c r="T993" s="6"/>
      <c r="U993" s="15" t="str">
        <f>HYPERLINK("https://media.infra-m.ru/2247/2247504/cover/2247504.jpg", "Обложка")</f>
        <v>Обложка</v>
      </c>
      <c r="V993" s="8" t="s">
        <v>6204</v>
      </c>
      <c r="W993" s="6"/>
      <c r="X993" s="6"/>
      <c r="Y993" s="6"/>
      <c r="Z993" s="6"/>
      <c r="AA993" s="6" t="s">
        <v>779</v>
      </c>
      <c r="AB993" s="8"/>
      <c r="AC993" s="27">
        <v>9785906818140</v>
      </c>
    </row>
    <row r="994" spans="1:29" s="4" customFormat="1" ht="51.9" customHeight="1" x14ac:dyDescent="0.2">
      <c r="A994" s="5">
        <v>0</v>
      </c>
      <c r="B994" s="6" t="s">
        <v>6205</v>
      </c>
      <c r="C994" s="7">
        <v>1192.8</v>
      </c>
      <c r="D994" s="8" t="s">
        <v>6206</v>
      </c>
      <c r="E994" s="8" t="s">
        <v>6207</v>
      </c>
      <c r="F994" s="8" t="s">
        <v>6208</v>
      </c>
      <c r="G994" s="6" t="s">
        <v>118</v>
      </c>
      <c r="H994" s="6" t="s">
        <v>34</v>
      </c>
      <c r="I994" s="8" t="s">
        <v>253</v>
      </c>
      <c r="J994" s="9">
        <v>1</v>
      </c>
      <c r="K994" s="9">
        <v>172</v>
      </c>
      <c r="L994" s="9">
        <v>2027</v>
      </c>
      <c r="M994" s="8" t="s">
        <v>6209</v>
      </c>
      <c r="N994" s="8" t="s">
        <v>37</v>
      </c>
      <c r="O994" s="8" t="s">
        <v>233</v>
      </c>
      <c r="P994" s="6" t="s">
        <v>51</v>
      </c>
      <c r="Q994" s="8" t="s">
        <v>52</v>
      </c>
      <c r="R994" s="10" t="s">
        <v>6210</v>
      </c>
      <c r="S994" s="11" t="s">
        <v>6211</v>
      </c>
      <c r="T994" s="6"/>
      <c r="U994" s="15" t="str">
        <f>HYPERLINK("https://media.infra-m.ru/2271/2271241/cover/2271241.jpg", "Обложка")</f>
        <v>Обложка</v>
      </c>
      <c r="V994" s="8" t="s">
        <v>247</v>
      </c>
      <c r="W994" s="6"/>
      <c r="X994" s="6" t="s">
        <v>24</v>
      </c>
      <c r="Y994" s="6"/>
      <c r="Z994" s="6"/>
      <c r="AA994" s="6" t="s">
        <v>3391</v>
      </c>
      <c r="AB994" s="8"/>
      <c r="AC994" s="27">
        <v>9785160187495</v>
      </c>
    </row>
    <row r="995" spans="1:29" s="4" customFormat="1" ht="44.1" customHeight="1" x14ac:dyDescent="0.2">
      <c r="A995" s="5">
        <v>0</v>
      </c>
      <c r="B995" s="6" t="s">
        <v>6212</v>
      </c>
      <c r="C995" s="13">
        <v>796.8</v>
      </c>
      <c r="D995" s="8" t="s">
        <v>6213</v>
      </c>
      <c r="E995" s="8" t="s">
        <v>6214</v>
      </c>
      <c r="F995" s="8" t="s">
        <v>6215</v>
      </c>
      <c r="G995" s="6" t="s">
        <v>33</v>
      </c>
      <c r="H995" s="6" t="s">
        <v>134</v>
      </c>
      <c r="I995" s="8"/>
      <c r="J995" s="9">
        <v>1</v>
      </c>
      <c r="K995" s="9">
        <v>144</v>
      </c>
      <c r="L995" s="9">
        <v>2024</v>
      </c>
      <c r="M995" s="8" t="s">
        <v>6216</v>
      </c>
      <c r="N995" s="8" t="s">
        <v>37</v>
      </c>
      <c r="O995" s="8" t="s">
        <v>136</v>
      </c>
      <c r="P995" s="6" t="s">
        <v>39</v>
      </c>
      <c r="Q995" s="8" t="s">
        <v>40</v>
      </c>
      <c r="R995" s="10" t="s">
        <v>6217</v>
      </c>
      <c r="S995" s="11"/>
      <c r="T995" s="6"/>
      <c r="U995" s="15" t="str">
        <f>HYPERLINK("https://media.infra-m.ru/2073/2073495/cover/2073495.jpg", "Обложка")</f>
        <v>Обложка</v>
      </c>
      <c r="V995" s="8" t="s">
        <v>1069</v>
      </c>
      <c r="W995" s="6"/>
      <c r="X995" s="6"/>
      <c r="Y995" s="6"/>
      <c r="Z995" s="6"/>
      <c r="AA995" s="6" t="s">
        <v>561</v>
      </c>
      <c r="AB995" s="8"/>
      <c r="AC995" s="27">
        <v>9785917687704</v>
      </c>
    </row>
    <row r="996" spans="1:29" s="4" customFormat="1" ht="51.9" customHeight="1" x14ac:dyDescent="0.2">
      <c r="A996" s="5">
        <v>0</v>
      </c>
      <c r="B996" s="6" t="s">
        <v>6218</v>
      </c>
      <c r="C996" s="13">
        <v>916.8</v>
      </c>
      <c r="D996" s="8" t="s">
        <v>6219</v>
      </c>
      <c r="E996" s="8" t="s">
        <v>6220</v>
      </c>
      <c r="F996" s="8" t="s">
        <v>6221</v>
      </c>
      <c r="G996" s="6" t="s">
        <v>21</v>
      </c>
      <c r="H996" s="6" t="s">
        <v>313</v>
      </c>
      <c r="I996" s="8" t="s">
        <v>35</v>
      </c>
      <c r="J996" s="9">
        <v>1</v>
      </c>
      <c r="K996" s="9">
        <v>139</v>
      </c>
      <c r="L996" s="9">
        <v>2026</v>
      </c>
      <c r="M996" s="8" t="s">
        <v>6222</v>
      </c>
      <c r="N996" s="8" t="s">
        <v>37</v>
      </c>
      <c r="O996" s="8" t="s">
        <v>136</v>
      </c>
      <c r="P996" s="6" t="s">
        <v>39</v>
      </c>
      <c r="Q996" s="8" t="s">
        <v>40</v>
      </c>
      <c r="R996" s="10" t="s">
        <v>6223</v>
      </c>
      <c r="S996" s="11"/>
      <c r="T996" s="6"/>
      <c r="U996" s="15" t="str">
        <f>HYPERLINK("https://media.infra-m.ru/2224/2224174/cover/2224174.jpg", "Обложка")</f>
        <v>Обложка</v>
      </c>
      <c r="V996" s="8" t="s">
        <v>6224</v>
      </c>
      <c r="W996" s="6"/>
      <c r="X996" s="6"/>
      <c r="Y996" s="6"/>
      <c r="Z996" s="6"/>
      <c r="AA996" s="6" t="s">
        <v>718</v>
      </c>
      <c r="AB996" s="8"/>
      <c r="AC996" s="27">
        <v>9785369012116</v>
      </c>
    </row>
    <row r="997" spans="1:29" s="4" customFormat="1" ht="51.9" customHeight="1" x14ac:dyDescent="0.2">
      <c r="A997" s="5">
        <v>0</v>
      </c>
      <c r="B997" s="6" t="s">
        <v>6225</v>
      </c>
      <c r="C997" s="7">
        <v>1104</v>
      </c>
      <c r="D997" s="8" t="s">
        <v>6226</v>
      </c>
      <c r="E997" s="8" t="s">
        <v>6227</v>
      </c>
      <c r="F997" s="8" t="s">
        <v>3261</v>
      </c>
      <c r="G997" s="6" t="s">
        <v>33</v>
      </c>
      <c r="H997" s="6" t="s">
        <v>34</v>
      </c>
      <c r="I997" s="8" t="s">
        <v>35</v>
      </c>
      <c r="J997" s="9">
        <v>1</v>
      </c>
      <c r="K997" s="9">
        <v>249</v>
      </c>
      <c r="L997" s="9">
        <v>2021</v>
      </c>
      <c r="M997" s="8" t="s">
        <v>6228</v>
      </c>
      <c r="N997" s="8" t="s">
        <v>37</v>
      </c>
      <c r="O997" s="8" t="s">
        <v>83</v>
      </c>
      <c r="P997" s="6" t="s">
        <v>39</v>
      </c>
      <c r="Q997" s="8" t="s">
        <v>40</v>
      </c>
      <c r="R997" s="10" t="s">
        <v>6229</v>
      </c>
      <c r="S997" s="11"/>
      <c r="T997" s="6"/>
      <c r="U997" s="15" t="str">
        <f>HYPERLINK("https://media.infra-m.ru/1206/1206679/cover/1206679.jpg", "Обложка")</f>
        <v>Обложка</v>
      </c>
      <c r="V997" s="8" t="s">
        <v>3264</v>
      </c>
      <c r="W997" s="6"/>
      <c r="X997" s="6"/>
      <c r="Y997" s="6"/>
      <c r="Z997" s="6"/>
      <c r="AA997" s="6" t="s">
        <v>430</v>
      </c>
      <c r="AB997" s="8"/>
      <c r="AC997" s="27">
        <v>9785160166445</v>
      </c>
    </row>
    <row r="998" spans="1:29" s="4" customFormat="1" ht="51.9" customHeight="1" x14ac:dyDescent="0.2">
      <c r="A998" s="5">
        <v>0</v>
      </c>
      <c r="B998" s="6" t="s">
        <v>6230</v>
      </c>
      <c r="C998" s="7">
        <v>1188</v>
      </c>
      <c r="D998" s="8" t="s">
        <v>6231</v>
      </c>
      <c r="E998" s="8" t="s">
        <v>6232</v>
      </c>
      <c r="F998" s="8" t="s">
        <v>1524</v>
      </c>
      <c r="G998" s="6" t="s">
        <v>118</v>
      </c>
      <c r="H998" s="6" t="s">
        <v>34</v>
      </c>
      <c r="I998" s="8" t="s">
        <v>504</v>
      </c>
      <c r="J998" s="9">
        <v>1</v>
      </c>
      <c r="K998" s="9">
        <v>214</v>
      </c>
      <c r="L998" s="9">
        <v>2024</v>
      </c>
      <c r="M998" s="8" t="s">
        <v>6233</v>
      </c>
      <c r="N998" s="8" t="s">
        <v>243</v>
      </c>
      <c r="O998" s="8" t="s">
        <v>1100</v>
      </c>
      <c r="P998" s="6" t="s">
        <v>306</v>
      </c>
      <c r="Q998" s="8" t="s">
        <v>500</v>
      </c>
      <c r="R998" s="10" t="s">
        <v>6234</v>
      </c>
      <c r="S998" s="11" t="s">
        <v>6235</v>
      </c>
      <c r="T998" s="6" t="s">
        <v>97</v>
      </c>
      <c r="U998" s="15" t="str">
        <f>HYPERLINK("https://media.infra-m.ru/2059/2059565/cover/2059565.jpg", "Обложка")</f>
        <v>Обложка</v>
      </c>
      <c r="V998" s="8" t="s">
        <v>1527</v>
      </c>
      <c r="W998" s="6"/>
      <c r="X998" s="6"/>
      <c r="Y998" s="6"/>
      <c r="Z998" s="6"/>
      <c r="AA998" s="6" t="s">
        <v>779</v>
      </c>
      <c r="AB998" s="8"/>
      <c r="AC998" s="27">
        <v>9785160109640</v>
      </c>
    </row>
    <row r="999" spans="1:29" s="4" customFormat="1" ht="51.9" customHeight="1" x14ac:dyDescent="0.2">
      <c r="A999" s="5">
        <v>0</v>
      </c>
      <c r="B999" s="6" t="s">
        <v>6236</v>
      </c>
      <c r="C999" s="7">
        <v>1212</v>
      </c>
      <c r="D999" s="8" t="s">
        <v>6237</v>
      </c>
      <c r="E999" s="8" t="s">
        <v>6238</v>
      </c>
      <c r="F999" s="8" t="s">
        <v>6239</v>
      </c>
      <c r="G999" s="6" t="s">
        <v>118</v>
      </c>
      <c r="H999" s="6" t="s">
        <v>34</v>
      </c>
      <c r="I999" s="8" t="s">
        <v>253</v>
      </c>
      <c r="J999" s="9">
        <v>1</v>
      </c>
      <c r="K999" s="9">
        <v>183</v>
      </c>
      <c r="L999" s="9">
        <v>2026</v>
      </c>
      <c r="M999" s="8" t="s">
        <v>6240</v>
      </c>
      <c r="N999" s="8" t="s">
        <v>243</v>
      </c>
      <c r="O999" s="8" t="s">
        <v>1100</v>
      </c>
      <c r="P999" s="6" t="s">
        <v>306</v>
      </c>
      <c r="Q999" s="8" t="s">
        <v>377</v>
      </c>
      <c r="R999" s="10" t="s">
        <v>6241</v>
      </c>
      <c r="S999" s="11" t="s">
        <v>6242</v>
      </c>
      <c r="T999" s="6"/>
      <c r="U999" s="15" t="str">
        <f>HYPERLINK("https://media.infra-m.ru/2253/2253666/cover/2253666.jpg", "Обложка")</f>
        <v>Обложка</v>
      </c>
      <c r="V999" s="8" t="s">
        <v>1527</v>
      </c>
      <c r="W999" s="6"/>
      <c r="X999" s="6"/>
      <c r="Y999" s="6"/>
      <c r="Z999" s="6"/>
      <c r="AA999" s="6" t="s">
        <v>779</v>
      </c>
      <c r="AB999" s="8"/>
      <c r="AC999" s="27">
        <v>9785160107592</v>
      </c>
    </row>
    <row r="1000" spans="1:29" s="4" customFormat="1" ht="51.9" customHeight="1" x14ac:dyDescent="0.2">
      <c r="A1000" s="5">
        <v>0</v>
      </c>
      <c r="B1000" s="6" t="s">
        <v>6243</v>
      </c>
      <c r="C1000" s="7">
        <v>2976</v>
      </c>
      <c r="D1000" s="8" t="s">
        <v>6244</v>
      </c>
      <c r="E1000" s="8" t="s">
        <v>6245</v>
      </c>
      <c r="F1000" s="8" t="s">
        <v>6246</v>
      </c>
      <c r="G1000" s="6" t="s">
        <v>60</v>
      </c>
      <c r="H1000" s="6" t="s">
        <v>34</v>
      </c>
      <c r="I1000" s="8" t="s">
        <v>263</v>
      </c>
      <c r="J1000" s="9">
        <v>1</v>
      </c>
      <c r="K1000" s="9">
        <v>451</v>
      </c>
      <c r="L1000" s="9">
        <v>2026</v>
      </c>
      <c r="M1000" s="8" t="s">
        <v>6247</v>
      </c>
      <c r="N1000" s="8" t="s">
        <v>243</v>
      </c>
      <c r="O1000" s="8" t="s">
        <v>1100</v>
      </c>
      <c r="P1000" s="6" t="s">
        <v>306</v>
      </c>
      <c r="Q1000" s="8" t="s">
        <v>265</v>
      </c>
      <c r="R1000" s="10" t="s">
        <v>6248</v>
      </c>
      <c r="S1000" s="11" t="s">
        <v>6249</v>
      </c>
      <c r="T1000" s="6" t="s">
        <v>97</v>
      </c>
      <c r="U1000" s="15" t="str">
        <f>HYPERLINK("https://media.infra-m.ru/2213/2213686/cover/2213686.jpg", "Обложка")</f>
        <v>Обложка</v>
      </c>
      <c r="V1000" s="8" t="s">
        <v>2475</v>
      </c>
      <c r="W1000" s="6"/>
      <c r="X1000" s="6"/>
      <c r="Y1000" s="6"/>
      <c r="Z1000" s="6" t="s">
        <v>267</v>
      </c>
      <c r="AA1000" s="6" t="s">
        <v>404</v>
      </c>
      <c r="AB1000" s="8"/>
      <c r="AC1000" s="27">
        <v>9785160138985</v>
      </c>
    </row>
    <row r="1001" spans="1:29" s="4" customFormat="1" ht="51.9" customHeight="1" x14ac:dyDescent="0.2">
      <c r="A1001" s="5">
        <v>0</v>
      </c>
      <c r="B1001" s="6" t="s">
        <v>6250</v>
      </c>
      <c r="C1001" s="7">
        <v>2976</v>
      </c>
      <c r="D1001" s="8" t="s">
        <v>6251</v>
      </c>
      <c r="E1001" s="8" t="s">
        <v>6245</v>
      </c>
      <c r="F1001" s="8" t="s">
        <v>6246</v>
      </c>
      <c r="G1001" s="6" t="s">
        <v>60</v>
      </c>
      <c r="H1001" s="6" t="s">
        <v>34</v>
      </c>
      <c r="I1001" s="8" t="s">
        <v>253</v>
      </c>
      <c r="J1001" s="9">
        <v>1</v>
      </c>
      <c r="K1001" s="9">
        <v>451</v>
      </c>
      <c r="L1001" s="9">
        <v>2026</v>
      </c>
      <c r="M1001" s="8" t="s">
        <v>6252</v>
      </c>
      <c r="N1001" s="8" t="s">
        <v>243</v>
      </c>
      <c r="O1001" s="8" t="s">
        <v>1100</v>
      </c>
      <c r="P1001" s="6" t="s">
        <v>306</v>
      </c>
      <c r="Q1001" s="8" t="s">
        <v>52</v>
      </c>
      <c r="R1001" s="10" t="s">
        <v>6253</v>
      </c>
      <c r="S1001" s="11" t="s">
        <v>6254</v>
      </c>
      <c r="T1001" s="6" t="s">
        <v>97</v>
      </c>
      <c r="U1001" s="15" t="str">
        <f>HYPERLINK("https://media.infra-m.ru/2237/2237117/cover/2237117.jpg", "Обложка")</f>
        <v>Обложка</v>
      </c>
      <c r="V1001" s="8" t="s">
        <v>2475</v>
      </c>
      <c r="W1001" s="6"/>
      <c r="X1001" s="6"/>
      <c r="Y1001" s="6"/>
      <c r="Z1001" s="6"/>
      <c r="AA1001" s="6" t="s">
        <v>623</v>
      </c>
      <c r="AB1001" s="8"/>
      <c r="AC1001" s="27">
        <v>9785160192086</v>
      </c>
    </row>
    <row r="1002" spans="1:29" s="4" customFormat="1" ht="42" customHeight="1" x14ac:dyDescent="0.2">
      <c r="A1002" s="5">
        <v>0</v>
      </c>
      <c r="B1002" s="6" t="s">
        <v>6255</v>
      </c>
      <c r="C1002" s="7">
        <v>1456.8</v>
      </c>
      <c r="D1002" s="8" t="s">
        <v>6256</v>
      </c>
      <c r="E1002" s="8" t="s">
        <v>6257</v>
      </c>
      <c r="F1002" s="8" t="s">
        <v>6258</v>
      </c>
      <c r="G1002" s="6" t="s">
        <v>60</v>
      </c>
      <c r="H1002" s="6" t="s">
        <v>34</v>
      </c>
      <c r="I1002" s="8" t="s">
        <v>504</v>
      </c>
      <c r="J1002" s="9">
        <v>1</v>
      </c>
      <c r="K1002" s="9">
        <v>208</v>
      </c>
      <c r="L1002" s="9">
        <v>2027</v>
      </c>
      <c r="M1002" s="8" t="s">
        <v>6259</v>
      </c>
      <c r="N1002" s="8" t="s">
        <v>243</v>
      </c>
      <c r="O1002" s="8" t="s">
        <v>1100</v>
      </c>
      <c r="P1002" s="6" t="s">
        <v>51</v>
      </c>
      <c r="Q1002" s="8" t="s">
        <v>500</v>
      </c>
      <c r="R1002" s="10" t="s">
        <v>6260</v>
      </c>
      <c r="S1002" s="11"/>
      <c r="T1002" s="6"/>
      <c r="U1002" s="15" t="str">
        <f>HYPERLINK("https://media.infra-m.ru/2266/2266364/cover/2266364.jpg", "Обложка")</f>
        <v>Обложка</v>
      </c>
      <c r="V1002" s="8" t="s">
        <v>227</v>
      </c>
      <c r="W1002" s="6"/>
      <c r="X1002" s="6"/>
      <c r="Y1002" s="6"/>
      <c r="Z1002" s="6"/>
      <c r="AA1002" s="6" t="s">
        <v>248</v>
      </c>
      <c r="AB1002" s="8"/>
      <c r="AC1002" s="27">
        <v>9785160067148</v>
      </c>
    </row>
    <row r="1003" spans="1:29" s="4" customFormat="1" ht="51.9" customHeight="1" x14ac:dyDescent="0.2">
      <c r="A1003" s="5">
        <v>0</v>
      </c>
      <c r="B1003" s="6" t="s">
        <v>6261</v>
      </c>
      <c r="C1003" s="7">
        <v>2548.8000000000002</v>
      </c>
      <c r="D1003" s="8" t="s">
        <v>6262</v>
      </c>
      <c r="E1003" s="8" t="s">
        <v>6263</v>
      </c>
      <c r="F1003" s="8" t="s">
        <v>6264</v>
      </c>
      <c r="G1003" s="6" t="s">
        <v>118</v>
      </c>
      <c r="H1003" s="6" t="s">
        <v>34</v>
      </c>
      <c r="I1003" s="8" t="s">
        <v>599</v>
      </c>
      <c r="J1003" s="9">
        <v>1</v>
      </c>
      <c r="K1003" s="9">
        <v>366</v>
      </c>
      <c r="L1003" s="9">
        <v>2027</v>
      </c>
      <c r="M1003" s="8" t="s">
        <v>6265</v>
      </c>
      <c r="N1003" s="8" t="s">
        <v>243</v>
      </c>
      <c r="O1003" s="8" t="s">
        <v>1100</v>
      </c>
      <c r="P1003" s="6" t="s">
        <v>759</v>
      </c>
      <c r="Q1003" s="8" t="s">
        <v>40</v>
      </c>
      <c r="R1003" s="10" t="s">
        <v>6266</v>
      </c>
      <c r="S1003" s="11" t="s">
        <v>6267</v>
      </c>
      <c r="T1003" s="6"/>
      <c r="U1003" s="15" t="str">
        <f>HYPERLINK("https://media.infra-m.ru/2262/2262906/cover/2262906.jpg", "Обложка")</f>
        <v>Обложка</v>
      </c>
      <c r="V1003" s="8" t="s">
        <v>6268</v>
      </c>
      <c r="W1003" s="6"/>
      <c r="X1003" s="6"/>
      <c r="Y1003" s="6"/>
      <c r="Z1003" s="6"/>
      <c r="AA1003" s="6" t="s">
        <v>779</v>
      </c>
      <c r="AB1003" s="8"/>
      <c r="AC1003" s="27">
        <v>9785160123295</v>
      </c>
    </row>
    <row r="1004" spans="1:29" s="4" customFormat="1" ht="51.9" customHeight="1" x14ac:dyDescent="0.2">
      <c r="A1004" s="5">
        <v>0</v>
      </c>
      <c r="B1004" s="6" t="s">
        <v>6269</v>
      </c>
      <c r="C1004" s="7">
        <v>1660.8</v>
      </c>
      <c r="D1004" s="8" t="s">
        <v>6270</v>
      </c>
      <c r="E1004" s="8" t="s">
        <v>6271</v>
      </c>
      <c r="F1004" s="8" t="s">
        <v>6272</v>
      </c>
      <c r="G1004" s="6" t="s">
        <v>118</v>
      </c>
      <c r="H1004" s="6" t="s">
        <v>34</v>
      </c>
      <c r="I1004" s="8" t="s">
        <v>253</v>
      </c>
      <c r="J1004" s="9">
        <v>1</v>
      </c>
      <c r="K1004" s="9">
        <v>252</v>
      </c>
      <c r="L1004" s="9">
        <v>2026</v>
      </c>
      <c r="M1004" s="8" t="s">
        <v>6273</v>
      </c>
      <c r="N1004" s="8" t="s">
        <v>243</v>
      </c>
      <c r="O1004" s="8" t="s">
        <v>1100</v>
      </c>
      <c r="P1004" s="6" t="s">
        <v>306</v>
      </c>
      <c r="Q1004" s="8" t="s">
        <v>65</v>
      </c>
      <c r="R1004" s="10" t="s">
        <v>6274</v>
      </c>
      <c r="S1004" s="11" t="s">
        <v>6275</v>
      </c>
      <c r="T1004" s="6"/>
      <c r="U1004" s="15" t="str">
        <f>HYPERLINK("https://media.infra-m.ru/2231/2231245/cover/2231245.jpg", "Обложка")</f>
        <v>Обложка</v>
      </c>
      <c r="V1004" s="8" t="s">
        <v>2475</v>
      </c>
      <c r="W1004" s="6"/>
      <c r="X1004" s="6"/>
      <c r="Y1004" s="6"/>
      <c r="Z1004" s="6"/>
      <c r="AA1004" s="6" t="s">
        <v>218</v>
      </c>
      <c r="AB1004" s="8"/>
      <c r="AC1004" s="27">
        <v>9785160185613</v>
      </c>
    </row>
    <row r="1005" spans="1:29" s="4" customFormat="1" ht="51.9" customHeight="1" x14ac:dyDescent="0.2">
      <c r="A1005" s="5">
        <v>0</v>
      </c>
      <c r="B1005" s="6" t="s">
        <v>6276</v>
      </c>
      <c r="C1005" s="13">
        <v>960</v>
      </c>
      <c r="D1005" s="8" t="s">
        <v>6277</v>
      </c>
      <c r="E1005" s="8" t="s">
        <v>6278</v>
      </c>
      <c r="F1005" s="8" t="s">
        <v>6279</v>
      </c>
      <c r="G1005" s="6" t="s">
        <v>118</v>
      </c>
      <c r="H1005" s="6" t="s">
        <v>34</v>
      </c>
      <c r="I1005" s="8" t="s">
        <v>271</v>
      </c>
      <c r="J1005" s="9">
        <v>1</v>
      </c>
      <c r="K1005" s="9">
        <v>234</v>
      </c>
      <c r="L1005" s="9">
        <v>2020</v>
      </c>
      <c r="M1005" s="8" t="s">
        <v>6280</v>
      </c>
      <c r="N1005" s="8" t="s">
        <v>243</v>
      </c>
      <c r="O1005" s="8" t="s">
        <v>1100</v>
      </c>
      <c r="P1005" s="6" t="s">
        <v>306</v>
      </c>
      <c r="Q1005" s="8" t="s">
        <v>52</v>
      </c>
      <c r="R1005" s="10" t="s">
        <v>6274</v>
      </c>
      <c r="S1005" s="11" t="s">
        <v>6281</v>
      </c>
      <c r="T1005" s="6"/>
      <c r="U1005" s="15" t="str">
        <f>HYPERLINK("https://media.infra-m.ru/1077/1077338/cover/1077338.jpg", "Обложка")</f>
        <v>Обложка</v>
      </c>
      <c r="V1005" s="8" t="s">
        <v>2475</v>
      </c>
      <c r="W1005" s="6"/>
      <c r="X1005" s="6"/>
      <c r="Y1005" s="6"/>
      <c r="Z1005" s="6"/>
      <c r="AA1005" s="6" t="s">
        <v>55</v>
      </c>
      <c r="AB1005" s="8"/>
      <c r="AC1005" s="27">
        <v>9785160054421</v>
      </c>
    </row>
    <row r="1006" spans="1:29" s="4" customFormat="1" ht="51.9" customHeight="1" x14ac:dyDescent="0.2">
      <c r="A1006" s="5">
        <v>0</v>
      </c>
      <c r="B1006" s="6" t="s">
        <v>6282</v>
      </c>
      <c r="C1006" s="7">
        <v>1632</v>
      </c>
      <c r="D1006" s="8" t="s">
        <v>6283</v>
      </c>
      <c r="E1006" s="8" t="s">
        <v>6278</v>
      </c>
      <c r="F1006" s="8" t="s">
        <v>6279</v>
      </c>
      <c r="G1006" s="6" t="s">
        <v>118</v>
      </c>
      <c r="H1006" s="6" t="s">
        <v>34</v>
      </c>
      <c r="I1006" s="8" t="s">
        <v>263</v>
      </c>
      <c r="J1006" s="9">
        <v>1</v>
      </c>
      <c r="K1006" s="9">
        <v>234</v>
      </c>
      <c r="L1006" s="9">
        <v>2027</v>
      </c>
      <c r="M1006" s="8" t="s">
        <v>6284</v>
      </c>
      <c r="N1006" s="8" t="s">
        <v>243</v>
      </c>
      <c r="O1006" s="8" t="s">
        <v>1100</v>
      </c>
      <c r="P1006" s="6" t="s">
        <v>306</v>
      </c>
      <c r="Q1006" s="8" t="s">
        <v>265</v>
      </c>
      <c r="R1006" s="10" t="s">
        <v>6285</v>
      </c>
      <c r="S1006" s="11" t="s">
        <v>6286</v>
      </c>
      <c r="T1006" s="6"/>
      <c r="U1006" s="15" t="str">
        <f>HYPERLINK("https://media.infra-m.ru/2267/2267169/cover/2267169.jpg", "Обложка")</f>
        <v>Обложка</v>
      </c>
      <c r="V1006" s="8" t="s">
        <v>2475</v>
      </c>
      <c r="W1006" s="6"/>
      <c r="X1006" s="6"/>
      <c r="Y1006" s="6"/>
      <c r="Z1006" s="6" t="s">
        <v>882</v>
      </c>
      <c r="AA1006" s="6" t="s">
        <v>86</v>
      </c>
      <c r="AB1006" s="8"/>
      <c r="AC1006" s="27">
        <v>9785160138992</v>
      </c>
    </row>
    <row r="1007" spans="1:29" s="4" customFormat="1" ht="42" customHeight="1" x14ac:dyDescent="0.2">
      <c r="A1007" s="5">
        <v>0</v>
      </c>
      <c r="B1007" s="6" t="s">
        <v>6287</v>
      </c>
      <c r="C1007" s="7">
        <v>1056</v>
      </c>
      <c r="D1007" s="8" t="s">
        <v>6288</v>
      </c>
      <c r="E1007" s="8" t="s">
        <v>6289</v>
      </c>
      <c r="F1007" s="8" t="s">
        <v>6290</v>
      </c>
      <c r="G1007" s="6" t="s">
        <v>33</v>
      </c>
      <c r="H1007" s="6" t="s">
        <v>34</v>
      </c>
      <c r="I1007" s="8" t="s">
        <v>35</v>
      </c>
      <c r="J1007" s="9">
        <v>1</v>
      </c>
      <c r="K1007" s="9">
        <v>182</v>
      </c>
      <c r="L1007" s="9">
        <v>2023</v>
      </c>
      <c r="M1007" s="8" t="s">
        <v>6291</v>
      </c>
      <c r="N1007" s="8" t="s">
        <v>243</v>
      </c>
      <c r="O1007" s="8" t="s">
        <v>758</v>
      </c>
      <c r="P1007" s="6" t="s">
        <v>39</v>
      </c>
      <c r="Q1007" s="8" t="s">
        <v>40</v>
      </c>
      <c r="R1007" s="10" t="s">
        <v>6292</v>
      </c>
      <c r="S1007" s="11"/>
      <c r="T1007" s="6"/>
      <c r="U1007" s="15" t="str">
        <f>HYPERLINK("https://media.infra-m.ru/2083/2083210/cover/2083210.jpg", "Обложка")</f>
        <v>Обложка</v>
      </c>
      <c r="V1007" s="8" t="s">
        <v>6293</v>
      </c>
      <c r="W1007" s="6"/>
      <c r="X1007" s="6"/>
      <c r="Y1007" s="6"/>
      <c r="Z1007" s="6"/>
      <c r="AA1007" s="6" t="s">
        <v>157</v>
      </c>
      <c r="AB1007" s="8"/>
      <c r="AC1007" s="27">
        <v>9785160182599</v>
      </c>
    </row>
    <row r="1008" spans="1:29" s="4" customFormat="1" ht="42" customHeight="1" x14ac:dyDescent="0.2">
      <c r="A1008" s="5">
        <v>0</v>
      </c>
      <c r="B1008" s="6" t="s">
        <v>6294</v>
      </c>
      <c r="C1008" s="13">
        <v>648</v>
      </c>
      <c r="D1008" s="8" t="s">
        <v>6295</v>
      </c>
      <c r="E1008" s="8" t="s">
        <v>6296</v>
      </c>
      <c r="F1008" s="8" t="s">
        <v>6297</v>
      </c>
      <c r="G1008" s="6" t="s">
        <v>33</v>
      </c>
      <c r="H1008" s="6" t="s">
        <v>34</v>
      </c>
      <c r="I1008" s="8" t="s">
        <v>35</v>
      </c>
      <c r="J1008" s="9">
        <v>1</v>
      </c>
      <c r="K1008" s="9">
        <v>142</v>
      </c>
      <c r="L1008" s="9">
        <v>2022</v>
      </c>
      <c r="M1008" s="8" t="s">
        <v>6298</v>
      </c>
      <c r="N1008" s="8" t="s">
        <v>37</v>
      </c>
      <c r="O1008" s="8" t="s">
        <v>136</v>
      </c>
      <c r="P1008" s="6" t="s">
        <v>39</v>
      </c>
      <c r="Q1008" s="8" t="s">
        <v>40</v>
      </c>
      <c r="R1008" s="10" t="s">
        <v>1631</v>
      </c>
      <c r="S1008" s="11"/>
      <c r="T1008" s="6"/>
      <c r="U1008" s="15" t="str">
        <f>HYPERLINK("https://media.infra-m.ru/1734/1734820/cover/1734820.jpg", "Обложка")</f>
        <v>Обложка</v>
      </c>
      <c r="V1008" s="8" t="s">
        <v>1956</v>
      </c>
      <c r="W1008" s="6"/>
      <c r="X1008" s="6"/>
      <c r="Y1008" s="6"/>
      <c r="Z1008" s="6"/>
      <c r="AA1008" s="6" t="s">
        <v>86</v>
      </c>
      <c r="AB1008" s="8"/>
      <c r="AC1008" s="27">
        <v>9785160136134</v>
      </c>
    </row>
    <row r="1009" spans="1:29" s="4" customFormat="1" ht="51.9" customHeight="1" x14ac:dyDescent="0.2">
      <c r="A1009" s="5">
        <v>0</v>
      </c>
      <c r="B1009" s="6" t="s">
        <v>6299</v>
      </c>
      <c r="C1009" s="7">
        <v>1216.8</v>
      </c>
      <c r="D1009" s="8" t="s">
        <v>6300</v>
      </c>
      <c r="E1009" s="8" t="s">
        <v>6301</v>
      </c>
      <c r="F1009" s="8" t="s">
        <v>6297</v>
      </c>
      <c r="G1009" s="6" t="s">
        <v>118</v>
      </c>
      <c r="H1009" s="6" t="s">
        <v>34</v>
      </c>
      <c r="I1009" s="8" t="s">
        <v>253</v>
      </c>
      <c r="J1009" s="9">
        <v>1</v>
      </c>
      <c r="K1009" s="9">
        <v>184</v>
      </c>
      <c r="L1009" s="9">
        <v>2026</v>
      </c>
      <c r="M1009" s="8" t="s">
        <v>6302</v>
      </c>
      <c r="N1009" s="8" t="s">
        <v>37</v>
      </c>
      <c r="O1009" s="8" t="s">
        <v>136</v>
      </c>
      <c r="P1009" s="6" t="s">
        <v>51</v>
      </c>
      <c r="Q1009" s="8" t="s">
        <v>52</v>
      </c>
      <c r="R1009" s="10" t="s">
        <v>1275</v>
      </c>
      <c r="S1009" s="11" t="s">
        <v>6303</v>
      </c>
      <c r="T1009" s="6"/>
      <c r="U1009" s="15" t="str">
        <f>HYPERLINK("https://media.infra-m.ru/2237/2237646/cover/2237646.jpg", "Обложка")</f>
        <v>Обложка</v>
      </c>
      <c r="V1009" s="8" t="s">
        <v>1956</v>
      </c>
      <c r="W1009" s="6"/>
      <c r="X1009" s="6"/>
      <c r="Y1009" s="6"/>
      <c r="Z1009" s="6"/>
      <c r="AA1009" s="6" t="s">
        <v>218</v>
      </c>
      <c r="AB1009" s="8"/>
      <c r="AC1009" s="27">
        <v>9785160192635</v>
      </c>
    </row>
    <row r="1010" spans="1:29" s="4" customFormat="1" ht="42" customHeight="1" x14ac:dyDescent="0.2">
      <c r="A1010" s="5">
        <v>0</v>
      </c>
      <c r="B1010" s="6" t="s">
        <v>6304</v>
      </c>
      <c r="C1010" s="7">
        <v>1840.8</v>
      </c>
      <c r="D1010" s="8" t="s">
        <v>6305</v>
      </c>
      <c r="E1010" s="8" t="s">
        <v>6306</v>
      </c>
      <c r="F1010" s="8" t="s">
        <v>6307</v>
      </c>
      <c r="G1010" s="6" t="s">
        <v>33</v>
      </c>
      <c r="H1010" s="6" t="s">
        <v>34</v>
      </c>
      <c r="I1010" s="8" t="s">
        <v>35</v>
      </c>
      <c r="J1010" s="9">
        <v>1</v>
      </c>
      <c r="K1010" s="9">
        <v>279</v>
      </c>
      <c r="L1010" s="9">
        <v>2026</v>
      </c>
      <c r="M1010" s="8" t="s">
        <v>6308</v>
      </c>
      <c r="N1010" s="8" t="s">
        <v>37</v>
      </c>
      <c r="O1010" s="8" t="s">
        <v>136</v>
      </c>
      <c r="P1010" s="6" t="s">
        <v>39</v>
      </c>
      <c r="Q1010" s="8" t="s">
        <v>40</v>
      </c>
      <c r="R1010" s="10" t="s">
        <v>1631</v>
      </c>
      <c r="S1010" s="11"/>
      <c r="T1010" s="6"/>
      <c r="U1010" s="15" t="str">
        <f>HYPERLINK("https://media.infra-m.ru/2250/2250932/cover/2250932.jpg", "Обложка")</f>
        <v>Обложка</v>
      </c>
      <c r="V1010" s="8" t="s">
        <v>6114</v>
      </c>
      <c r="W1010" s="6"/>
      <c r="X1010" s="6"/>
      <c r="Y1010" s="6"/>
      <c r="Z1010" s="6"/>
      <c r="AA1010" s="6" t="s">
        <v>43</v>
      </c>
      <c r="AB1010" s="8"/>
      <c r="AC1010" s="27">
        <v>9785160055893</v>
      </c>
    </row>
    <row r="1011" spans="1:29" s="4" customFormat="1" ht="42" customHeight="1" x14ac:dyDescent="0.2">
      <c r="A1011" s="5">
        <v>0</v>
      </c>
      <c r="B1011" s="6" t="s">
        <v>6309</v>
      </c>
      <c r="C1011" s="13">
        <v>780</v>
      </c>
      <c r="D1011" s="8" t="s">
        <v>6310</v>
      </c>
      <c r="E1011" s="8" t="s">
        <v>6311</v>
      </c>
      <c r="F1011" s="8" t="s">
        <v>6312</v>
      </c>
      <c r="G1011" s="6" t="s">
        <v>118</v>
      </c>
      <c r="H1011" s="6" t="s">
        <v>34</v>
      </c>
      <c r="I1011" s="8" t="s">
        <v>35</v>
      </c>
      <c r="J1011" s="9">
        <v>1</v>
      </c>
      <c r="K1011" s="9">
        <v>208</v>
      </c>
      <c r="L1011" s="9">
        <v>2019</v>
      </c>
      <c r="M1011" s="8" t="s">
        <v>6313</v>
      </c>
      <c r="N1011" s="8" t="s">
        <v>37</v>
      </c>
      <c r="O1011" s="8" t="s">
        <v>233</v>
      </c>
      <c r="P1011" s="6" t="s">
        <v>39</v>
      </c>
      <c r="Q1011" s="8" t="s">
        <v>40</v>
      </c>
      <c r="R1011" s="10" t="s">
        <v>1646</v>
      </c>
      <c r="S1011" s="11"/>
      <c r="T1011" s="6"/>
      <c r="U1011" s="15" t="str">
        <f>HYPERLINK("https://media.infra-m.ru/0981/0981470/cover/981470.jpg", "Обложка")</f>
        <v>Обложка</v>
      </c>
      <c r="V1011" s="8" t="s">
        <v>6314</v>
      </c>
      <c r="W1011" s="6"/>
      <c r="X1011" s="6"/>
      <c r="Y1011" s="6"/>
      <c r="Z1011" s="6"/>
      <c r="AA1011" s="6" t="s">
        <v>86</v>
      </c>
      <c r="AB1011" s="8"/>
      <c r="AC1011" s="27">
        <v>9785160133720</v>
      </c>
    </row>
    <row r="1012" spans="1:29" s="4" customFormat="1" ht="42" customHeight="1" x14ac:dyDescent="0.2">
      <c r="A1012" s="5">
        <v>0</v>
      </c>
      <c r="B1012" s="6" t="s">
        <v>6315</v>
      </c>
      <c r="C1012" s="7">
        <v>1404</v>
      </c>
      <c r="D1012" s="8" t="s">
        <v>6316</v>
      </c>
      <c r="E1012" s="8" t="s">
        <v>6317</v>
      </c>
      <c r="F1012" s="8" t="s">
        <v>6318</v>
      </c>
      <c r="G1012" s="6" t="s">
        <v>118</v>
      </c>
      <c r="H1012" s="6" t="s">
        <v>34</v>
      </c>
      <c r="I1012" s="8" t="s">
        <v>35</v>
      </c>
      <c r="J1012" s="9">
        <v>1</v>
      </c>
      <c r="K1012" s="9">
        <v>218</v>
      </c>
      <c r="L1012" s="9">
        <v>2026</v>
      </c>
      <c r="M1012" s="8" t="s">
        <v>6319</v>
      </c>
      <c r="N1012" s="8" t="s">
        <v>243</v>
      </c>
      <c r="O1012" s="8" t="s">
        <v>964</v>
      </c>
      <c r="P1012" s="6" t="s">
        <v>39</v>
      </c>
      <c r="Q1012" s="8" t="s">
        <v>40</v>
      </c>
      <c r="R1012" s="10" t="s">
        <v>4875</v>
      </c>
      <c r="S1012" s="11"/>
      <c r="T1012" s="6"/>
      <c r="U1012" s="15" t="str">
        <f>HYPERLINK("https://media.infra-m.ru/2213/2213661/cover/2213661.jpg", "Обложка")</f>
        <v>Обложка</v>
      </c>
      <c r="V1012" s="8" t="s">
        <v>3871</v>
      </c>
      <c r="W1012" s="6"/>
      <c r="X1012" s="6"/>
      <c r="Y1012" s="6"/>
      <c r="Z1012" s="6"/>
      <c r="AA1012" s="6" t="s">
        <v>157</v>
      </c>
      <c r="AB1012" s="8"/>
      <c r="AC1012" s="27">
        <v>9785160178226</v>
      </c>
    </row>
    <row r="1013" spans="1:29" s="4" customFormat="1" ht="51.9" customHeight="1" x14ac:dyDescent="0.2">
      <c r="A1013" s="5">
        <v>0</v>
      </c>
      <c r="B1013" s="6" t="s">
        <v>6320</v>
      </c>
      <c r="C1013" s="7">
        <v>1300.8</v>
      </c>
      <c r="D1013" s="8" t="s">
        <v>6321</v>
      </c>
      <c r="E1013" s="8" t="s">
        <v>6322</v>
      </c>
      <c r="F1013" s="8" t="s">
        <v>6323</v>
      </c>
      <c r="G1013" s="6" t="s">
        <v>118</v>
      </c>
      <c r="H1013" s="6" t="s">
        <v>34</v>
      </c>
      <c r="I1013" s="8"/>
      <c r="J1013" s="9">
        <v>1</v>
      </c>
      <c r="K1013" s="9">
        <v>186</v>
      </c>
      <c r="L1013" s="9">
        <v>2026</v>
      </c>
      <c r="M1013" s="8" t="s">
        <v>6324</v>
      </c>
      <c r="N1013" s="8" t="s">
        <v>243</v>
      </c>
      <c r="O1013" s="8" t="s">
        <v>385</v>
      </c>
      <c r="P1013" s="6" t="s">
        <v>39</v>
      </c>
      <c r="Q1013" s="8" t="s">
        <v>40</v>
      </c>
      <c r="R1013" s="10" t="s">
        <v>6325</v>
      </c>
      <c r="S1013" s="11"/>
      <c r="T1013" s="6"/>
      <c r="U1013" s="15" t="str">
        <f>HYPERLINK("https://media.infra-m.ru/2258/2258364/cover/2258364.jpg", "Обложка")</f>
        <v>Обложка</v>
      </c>
      <c r="V1013" s="8" t="s">
        <v>6326</v>
      </c>
      <c r="W1013" s="6"/>
      <c r="X1013" s="6"/>
      <c r="Y1013" s="6"/>
      <c r="Z1013" s="6"/>
      <c r="AA1013" s="6" t="s">
        <v>115</v>
      </c>
      <c r="AB1013" s="8"/>
      <c r="AC1013" s="27">
        <v>9785160159430</v>
      </c>
    </row>
    <row r="1014" spans="1:29" s="4" customFormat="1" ht="51.9" customHeight="1" x14ac:dyDescent="0.2">
      <c r="A1014" s="5">
        <v>0</v>
      </c>
      <c r="B1014" s="6" t="s">
        <v>6327</v>
      </c>
      <c r="C1014" s="7">
        <v>1912.8</v>
      </c>
      <c r="D1014" s="8" t="s">
        <v>6328</v>
      </c>
      <c r="E1014" s="8" t="s">
        <v>6329</v>
      </c>
      <c r="F1014" s="8" t="s">
        <v>6330</v>
      </c>
      <c r="G1014" s="6" t="s">
        <v>60</v>
      </c>
      <c r="H1014" s="6" t="s">
        <v>34</v>
      </c>
      <c r="I1014" s="8" t="s">
        <v>35</v>
      </c>
      <c r="J1014" s="9">
        <v>1</v>
      </c>
      <c r="K1014" s="9">
        <v>276</v>
      </c>
      <c r="L1014" s="9">
        <v>2026</v>
      </c>
      <c r="M1014" s="8" t="s">
        <v>6331</v>
      </c>
      <c r="N1014" s="8" t="s">
        <v>93</v>
      </c>
      <c r="O1014" s="8" t="s">
        <v>94</v>
      </c>
      <c r="P1014" s="6" t="s">
        <v>39</v>
      </c>
      <c r="Q1014" s="8" t="s">
        <v>40</v>
      </c>
      <c r="R1014" s="10" t="s">
        <v>6332</v>
      </c>
      <c r="S1014" s="11"/>
      <c r="T1014" s="6"/>
      <c r="U1014" s="15" t="str">
        <f>HYPERLINK("https://media.infra-m.ru/2249/2249388/cover/2249388.jpg", "Обложка")</f>
        <v>Обложка</v>
      </c>
      <c r="V1014" s="8" t="s">
        <v>6190</v>
      </c>
      <c r="W1014" s="6"/>
      <c r="X1014" s="6"/>
      <c r="Y1014" s="6"/>
      <c r="Z1014" s="6"/>
      <c r="AA1014" s="6" t="s">
        <v>115</v>
      </c>
      <c r="AB1014" s="8"/>
      <c r="AC1014" s="27">
        <v>9785160152509</v>
      </c>
    </row>
    <row r="1015" spans="1:29" s="4" customFormat="1" ht="42" customHeight="1" x14ac:dyDescent="0.2">
      <c r="A1015" s="5">
        <v>0</v>
      </c>
      <c r="B1015" s="6" t="s">
        <v>6333</v>
      </c>
      <c r="C1015" s="13">
        <v>984</v>
      </c>
      <c r="D1015" s="8" t="s">
        <v>6334</v>
      </c>
      <c r="E1015" s="8" t="s">
        <v>6335</v>
      </c>
      <c r="F1015" s="8" t="s">
        <v>6336</v>
      </c>
      <c r="G1015" s="6" t="s">
        <v>33</v>
      </c>
      <c r="H1015" s="6" t="s">
        <v>34</v>
      </c>
      <c r="I1015" s="8"/>
      <c r="J1015" s="9">
        <v>1</v>
      </c>
      <c r="K1015" s="9">
        <v>152</v>
      </c>
      <c r="L1015" s="9">
        <v>2026</v>
      </c>
      <c r="M1015" s="8" t="s">
        <v>6337</v>
      </c>
      <c r="N1015" s="8" t="s">
        <v>243</v>
      </c>
      <c r="O1015" s="8" t="s">
        <v>244</v>
      </c>
      <c r="P1015" s="6" t="s">
        <v>51</v>
      </c>
      <c r="Q1015" s="8" t="s">
        <v>52</v>
      </c>
      <c r="R1015" s="10" t="s">
        <v>6338</v>
      </c>
      <c r="S1015" s="11"/>
      <c r="T1015" s="6"/>
      <c r="U1015" s="15" t="str">
        <f>HYPERLINK("https://media.infra-m.ru/2178/2178768/cover/2178768.jpg", "Обложка")</f>
        <v>Обложка</v>
      </c>
      <c r="V1015" s="8" t="s">
        <v>958</v>
      </c>
      <c r="W1015" s="6"/>
      <c r="X1015" s="6"/>
      <c r="Y1015" s="6"/>
      <c r="Z1015" s="6"/>
      <c r="AA1015" s="6" t="s">
        <v>99</v>
      </c>
      <c r="AB1015" s="8"/>
      <c r="AC1015" s="27">
        <v>9785160213613</v>
      </c>
    </row>
    <row r="1016" spans="1:29" s="4" customFormat="1" ht="44.1" customHeight="1" x14ac:dyDescent="0.2">
      <c r="A1016" s="5">
        <v>0</v>
      </c>
      <c r="B1016" s="6" t="s">
        <v>6339</v>
      </c>
      <c r="C1016" s="7">
        <v>1068</v>
      </c>
      <c r="D1016" s="8" t="s">
        <v>6340</v>
      </c>
      <c r="E1016" s="8" t="s">
        <v>6341</v>
      </c>
      <c r="F1016" s="8" t="s">
        <v>6342</v>
      </c>
      <c r="G1016" s="6" t="s">
        <v>60</v>
      </c>
      <c r="H1016" s="6" t="s">
        <v>34</v>
      </c>
      <c r="I1016" s="8" t="s">
        <v>35</v>
      </c>
      <c r="J1016" s="9">
        <v>1</v>
      </c>
      <c r="K1016" s="9">
        <v>183</v>
      </c>
      <c r="L1016" s="9">
        <v>2022</v>
      </c>
      <c r="M1016" s="8" t="s">
        <v>6343</v>
      </c>
      <c r="N1016" s="8" t="s">
        <v>37</v>
      </c>
      <c r="O1016" s="8" t="s">
        <v>136</v>
      </c>
      <c r="P1016" s="6" t="s">
        <v>39</v>
      </c>
      <c r="Q1016" s="8" t="s">
        <v>40</v>
      </c>
      <c r="R1016" s="10" t="s">
        <v>6344</v>
      </c>
      <c r="S1016" s="11"/>
      <c r="T1016" s="6"/>
      <c r="U1016" s="15" t="str">
        <f>HYPERLINK("https://media.infra-m.ru/1860/1860938/cover/1860938.jpg", "Обложка")</f>
        <v>Обложка</v>
      </c>
      <c r="V1016" s="8" t="s">
        <v>1219</v>
      </c>
      <c r="W1016" s="6"/>
      <c r="X1016" s="6"/>
      <c r="Y1016" s="6"/>
      <c r="Z1016" s="6"/>
      <c r="AA1016" s="6" t="s">
        <v>148</v>
      </c>
      <c r="AB1016" s="8"/>
      <c r="AC1016" s="27">
        <v>9785160175492</v>
      </c>
    </row>
    <row r="1017" spans="1:29" s="4" customFormat="1" ht="51.9" customHeight="1" x14ac:dyDescent="0.2">
      <c r="A1017" s="5">
        <v>0</v>
      </c>
      <c r="B1017" s="6" t="s">
        <v>6345</v>
      </c>
      <c r="C1017" s="7">
        <v>2868</v>
      </c>
      <c r="D1017" s="8" t="s">
        <v>6346</v>
      </c>
      <c r="E1017" s="8" t="s">
        <v>6347</v>
      </c>
      <c r="F1017" s="8" t="s">
        <v>6348</v>
      </c>
      <c r="G1017" s="6" t="s">
        <v>118</v>
      </c>
      <c r="H1017" s="6" t="s">
        <v>820</v>
      </c>
      <c r="I1017" s="8"/>
      <c r="J1017" s="9">
        <v>1</v>
      </c>
      <c r="K1017" s="9">
        <v>344</v>
      </c>
      <c r="L1017" s="9">
        <v>2023</v>
      </c>
      <c r="M1017" s="8" t="s">
        <v>6349</v>
      </c>
      <c r="N1017" s="8" t="s">
        <v>243</v>
      </c>
      <c r="O1017" s="8" t="s">
        <v>385</v>
      </c>
      <c r="P1017" s="6" t="s">
        <v>51</v>
      </c>
      <c r="Q1017" s="8" t="s">
        <v>52</v>
      </c>
      <c r="R1017" s="10" t="s">
        <v>6350</v>
      </c>
      <c r="S1017" s="11" t="s">
        <v>6351</v>
      </c>
      <c r="T1017" s="6"/>
      <c r="U1017" s="15" t="str">
        <f>HYPERLINK("https://media.infra-m.ru/1905/1905726/cover/1905726.jpg", "Обложка")</f>
        <v>Обложка</v>
      </c>
      <c r="V1017" s="8" t="s">
        <v>6352</v>
      </c>
      <c r="W1017" s="6"/>
      <c r="X1017" s="6"/>
      <c r="Y1017" s="6"/>
      <c r="Z1017" s="6"/>
      <c r="AA1017" s="6" t="s">
        <v>274</v>
      </c>
      <c r="AB1017" s="8"/>
      <c r="AC1017" s="27">
        <v>9785906818195</v>
      </c>
    </row>
    <row r="1018" spans="1:29" s="4" customFormat="1" ht="51.9" customHeight="1" x14ac:dyDescent="0.2">
      <c r="A1018" s="5">
        <v>0</v>
      </c>
      <c r="B1018" s="6" t="s">
        <v>6353</v>
      </c>
      <c r="C1018" s="13">
        <v>544.79999999999995</v>
      </c>
      <c r="D1018" s="8" t="s">
        <v>6354</v>
      </c>
      <c r="E1018" s="8" t="s">
        <v>6355</v>
      </c>
      <c r="F1018" s="8" t="s">
        <v>6356</v>
      </c>
      <c r="G1018" s="6" t="s">
        <v>33</v>
      </c>
      <c r="H1018" s="6" t="s">
        <v>313</v>
      </c>
      <c r="I1018" s="8" t="s">
        <v>253</v>
      </c>
      <c r="J1018" s="9">
        <v>1</v>
      </c>
      <c r="K1018" s="9">
        <v>78</v>
      </c>
      <c r="L1018" s="9">
        <v>2027</v>
      </c>
      <c r="M1018" s="8" t="s">
        <v>6357</v>
      </c>
      <c r="N1018" s="8" t="s">
        <v>243</v>
      </c>
      <c r="O1018" s="8" t="s">
        <v>758</v>
      </c>
      <c r="P1018" s="6" t="s">
        <v>51</v>
      </c>
      <c r="Q1018" s="8" t="s">
        <v>52</v>
      </c>
      <c r="R1018" s="10" t="s">
        <v>6358</v>
      </c>
      <c r="S1018" s="11" t="s">
        <v>6359</v>
      </c>
      <c r="T1018" s="6"/>
      <c r="U1018" s="15" t="str">
        <f>HYPERLINK("https://media.infra-m.ru/2272/2272026/cover/2272026.jpg", "Обложка")</f>
        <v>Обложка</v>
      </c>
      <c r="V1018" s="8" t="s">
        <v>831</v>
      </c>
      <c r="W1018" s="6"/>
      <c r="X1018" s="6"/>
      <c r="Y1018" s="6"/>
      <c r="Z1018" s="6"/>
      <c r="AA1018" s="6" t="s">
        <v>55</v>
      </c>
      <c r="AB1018" s="8"/>
      <c r="AC1018" s="27">
        <v>9785369012093</v>
      </c>
    </row>
    <row r="1019" spans="1:29" s="4" customFormat="1" ht="51.9" customHeight="1" x14ac:dyDescent="0.2">
      <c r="A1019" s="5">
        <v>0</v>
      </c>
      <c r="B1019" s="6" t="s">
        <v>6360</v>
      </c>
      <c r="C1019" s="7">
        <v>2968.8</v>
      </c>
      <c r="D1019" s="8" t="s">
        <v>6361</v>
      </c>
      <c r="E1019" s="8" t="s">
        <v>6362</v>
      </c>
      <c r="F1019" s="8" t="s">
        <v>6363</v>
      </c>
      <c r="G1019" s="6" t="s">
        <v>60</v>
      </c>
      <c r="H1019" s="6" t="s">
        <v>34</v>
      </c>
      <c r="I1019" s="8" t="s">
        <v>253</v>
      </c>
      <c r="J1019" s="9">
        <v>1</v>
      </c>
      <c r="K1019" s="9">
        <v>427</v>
      </c>
      <c r="L1019" s="9">
        <v>2027</v>
      </c>
      <c r="M1019" s="8" t="s">
        <v>6364</v>
      </c>
      <c r="N1019" s="8" t="s">
        <v>243</v>
      </c>
      <c r="O1019" s="8" t="s">
        <v>329</v>
      </c>
      <c r="P1019" s="6" t="s">
        <v>306</v>
      </c>
      <c r="Q1019" s="8" t="s">
        <v>52</v>
      </c>
      <c r="R1019" s="10" t="s">
        <v>6365</v>
      </c>
      <c r="S1019" s="11" t="s">
        <v>6366</v>
      </c>
      <c r="T1019" s="6"/>
      <c r="U1019" s="15" t="str">
        <f>HYPERLINK("https://media.infra-m.ru/2272/2272029/cover/2272029.jpg", "Обложка")</f>
        <v>Обложка</v>
      </c>
      <c r="V1019" s="8" t="s">
        <v>843</v>
      </c>
      <c r="W1019" s="6"/>
      <c r="X1019" s="6"/>
      <c r="Y1019" s="6"/>
      <c r="Z1019" s="6"/>
      <c r="AA1019" s="6" t="s">
        <v>86</v>
      </c>
      <c r="AB1019" s="8"/>
      <c r="AC1019" s="27">
        <v>9785160194455</v>
      </c>
    </row>
    <row r="1020" spans="1:29" s="4" customFormat="1" ht="51.9" customHeight="1" x14ac:dyDescent="0.2">
      <c r="A1020" s="5">
        <v>0</v>
      </c>
      <c r="B1020" s="6" t="s">
        <v>6367</v>
      </c>
      <c r="C1020" s="7">
        <v>2968.8</v>
      </c>
      <c r="D1020" s="8" t="s">
        <v>6368</v>
      </c>
      <c r="E1020" s="8" t="s">
        <v>6362</v>
      </c>
      <c r="F1020" s="8" t="s">
        <v>6363</v>
      </c>
      <c r="G1020" s="6" t="s">
        <v>118</v>
      </c>
      <c r="H1020" s="6" t="s">
        <v>34</v>
      </c>
      <c r="I1020" s="8" t="s">
        <v>263</v>
      </c>
      <c r="J1020" s="9">
        <v>1</v>
      </c>
      <c r="K1020" s="9">
        <v>427</v>
      </c>
      <c r="L1020" s="9">
        <v>2027</v>
      </c>
      <c r="M1020" s="8" t="s">
        <v>6369</v>
      </c>
      <c r="N1020" s="8" t="s">
        <v>243</v>
      </c>
      <c r="O1020" s="8" t="s">
        <v>329</v>
      </c>
      <c r="P1020" s="6" t="s">
        <v>306</v>
      </c>
      <c r="Q1020" s="8" t="s">
        <v>265</v>
      </c>
      <c r="R1020" s="10" t="s">
        <v>6370</v>
      </c>
      <c r="S1020" s="11" t="s">
        <v>6371</v>
      </c>
      <c r="T1020" s="6"/>
      <c r="U1020" s="15" t="str">
        <f>HYPERLINK("https://media.infra-m.ru/2272/2272027/cover/2272027.jpg", "Обложка")</f>
        <v>Обложка</v>
      </c>
      <c r="V1020" s="8" t="s">
        <v>843</v>
      </c>
      <c r="W1020" s="6"/>
      <c r="X1020" s="6"/>
      <c r="Y1020" s="6"/>
      <c r="Z1020" s="6" t="s">
        <v>267</v>
      </c>
      <c r="AA1020" s="6" t="s">
        <v>1256</v>
      </c>
      <c r="AB1020" s="8"/>
      <c r="AC1020" s="27">
        <v>9785160159577</v>
      </c>
    </row>
    <row r="1021" spans="1:29" s="4" customFormat="1" ht="44.1" customHeight="1" x14ac:dyDescent="0.2">
      <c r="A1021" s="5">
        <v>0</v>
      </c>
      <c r="B1021" s="6" t="s">
        <v>6372</v>
      </c>
      <c r="C1021" s="7">
        <v>1056</v>
      </c>
      <c r="D1021" s="8" t="s">
        <v>6373</v>
      </c>
      <c r="E1021" s="8" t="s">
        <v>6374</v>
      </c>
      <c r="F1021" s="8" t="s">
        <v>6375</v>
      </c>
      <c r="G1021" s="6" t="s">
        <v>33</v>
      </c>
      <c r="H1021" s="6" t="s">
        <v>34</v>
      </c>
      <c r="I1021" s="8" t="s">
        <v>35</v>
      </c>
      <c r="J1021" s="9">
        <v>1</v>
      </c>
      <c r="K1021" s="9">
        <v>168</v>
      </c>
      <c r="L1021" s="9">
        <v>2024</v>
      </c>
      <c r="M1021" s="8" t="s">
        <v>6376</v>
      </c>
      <c r="N1021" s="8" t="s">
        <v>37</v>
      </c>
      <c r="O1021" s="8" t="s">
        <v>233</v>
      </c>
      <c r="P1021" s="6" t="s">
        <v>39</v>
      </c>
      <c r="Q1021" s="8" t="s">
        <v>40</v>
      </c>
      <c r="R1021" s="10" t="s">
        <v>6377</v>
      </c>
      <c r="S1021" s="11"/>
      <c r="T1021" s="6" t="s">
        <v>97</v>
      </c>
      <c r="U1021" s="15" t="str">
        <f>HYPERLINK("https://media.infra-m.ru/2117/2117124/cover/2117124.jpg", "Обложка")</f>
        <v>Обложка</v>
      </c>
      <c r="V1021" s="8" t="s">
        <v>1994</v>
      </c>
      <c r="W1021" s="6"/>
      <c r="X1021" s="6"/>
      <c r="Y1021" s="6"/>
      <c r="Z1021" s="6"/>
      <c r="AA1021" s="6" t="s">
        <v>274</v>
      </c>
      <c r="AB1021" s="8"/>
      <c r="AC1021" s="27">
        <v>9785160105895</v>
      </c>
    </row>
    <row r="1022" spans="1:29" s="4" customFormat="1" ht="51.9" customHeight="1" x14ac:dyDescent="0.2">
      <c r="A1022" s="5">
        <v>0</v>
      </c>
      <c r="B1022" s="6" t="s">
        <v>6378</v>
      </c>
      <c r="C1022" s="13">
        <v>215.9</v>
      </c>
      <c r="D1022" s="8" t="s">
        <v>6379</v>
      </c>
      <c r="E1022" s="8" t="s">
        <v>6380</v>
      </c>
      <c r="F1022" s="8" t="s">
        <v>6381</v>
      </c>
      <c r="G1022" s="6"/>
      <c r="H1022" s="6" t="s">
        <v>1644</v>
      </c>
      <c r="I1022" s="8"/>
      <c r="J1022" s="9">
        <v>30</v>
      </c>
      <c r="K1022" s="9">
        <v>160</v>
      </c>
      <c r="L1022" s="9">
        <v>2012</v>
      </c>
      <c r="M1022" s="8" t="s">
        <v>6382</v>
      </c>
      <c r="N1022" s="8" t="s">
        <v>37</v>
      </c>
      <c r="O1022" s="8" t="s">
        <v>233</v>
      </c>
      <c r="P1022" s="6" t="s">
        <v>39</v>
      </c>
      <c r="Q1022" s="8" t="s">
        <v>40</v>
      </c>
      <c r="R1022" s="10" t="s">
        <v>6383</v>
      </c>
      <c r="S1022" s="11"/>
      <c r="T1022" s="6"/>
      <c r="U1022" s="15" t="str">
        <f>HYPERLINK("https://media.infra-m.ru/0316/0316192/cover/316192.jpg", "Обложка")</f>
        <v>Обложка</v>
      </c>
      <c r="V1022" s="8" t="s">
        <v>6384</v>
      </c>
      <c r="W1022" s="6"/>
      <c r="X1022" s="6"/>
      <c r="Y1022" s="6"/>
      <c r="Z1022" s="6"/>
      <c r="AA1022" s="6" t="s">
        <v>43</v>
      </c>
      <c r="AB1022" s="8"/>
      <c r="AC1022" s="27">
        <v>9785977602372</v>
      </c>
    </row>
    <row r="1023" spans="1:29" s="4" customFormat="1" ht="42" customHeight="1" x14ac:dyDescent="0.2">
      <c r="A1023" s="5">
        <v>0</v>
      </c>
      <c r="B1023" s="6" t="s">
        <v>6385</v>
      </c>
      <c r="C1023" s="7">
        <v>1188</v>
      </c>
      <c r="D1023" s="8" t="s">
        <v>6386</v>
      </c>
      <c r="E1023" s="8" t="s">
        <v>6387</v>
      </c>
      <c r="F1023" s="8" t="s">
        <v>4590</v>
      </c>
      <c r="G1023" s="6" t="s">
        <v>118</v>
      </c>
      <c r="H1023" s="6" t="s">
        <v>34</v>
      </c>
      <c r="I1023" s="8" t="s">
        <v>4459</v>
      </c>
      <c r="J1023" s="9">
        <v>1</v>
      </c>
      <c r="K1023" s="9">
        <v>190</v>
      </c>
      <c r="L1023" s="9">
        <v>2025</v>
      </c>
      <c r="M1023" s="8" t="s">
        <v>6388</v>
      </c>
      <c r="N1023" s="8" t="s">
        <v>63</v>
      </c>
      <c r="O1023" s="8" t="s">
        <v>126</v>
      </c>
      <c r="P1023" s="6" t="s">
        <v>39</v>
      </c>
      <c r="Q1023" s="8" t="s">
        <v>40</v>
      </c>
      <c r="R1023" s="10" t="s">
        <v>5818</v>
      </c>
      <c r="S1023" s="11"/>
      <c r="T1023" s="6"/>
      <c r="U1023" s="15" t="str">
        <f>HYPERLINK("https://media.infra-m.ru/2206/2206241/cover/2206241.jpg", "Обложка")</f>
        <v>Обложка</v>
      </c>
      <c r="V1023" s="8" t="s">
        <v>3413</v>
      </c>
      <c r="W1023" s="6"/>
      <c r="X1023" s="6"/>
      <c r="Y1023" s="6"/>
      <c r="Z1023" s="6"/>
      <c r="AA1023" s="6" t="s">
        <v>99</v>
      </c>
      <c r="AB1023" s="8"/>
      <c r="AC1023" s="27">
        <v>9785160124285</v>
      </c>
    </row>
    <row r="1024" spans="1:29" s="4" customFormat="1" ht="51.9" customHeight="1" x14ac:dyDescent="0.2">
      <c r="A1024" s="5">
        <v>0</v>
      </c>
      <c r="B1024" s="6" t="s">
        <v>6389</v>
      </c>
      <c r="C1024" s="7">
        <v>1792.8</v>
      </c>
      <c r="D1024" s="8" t="s">
        <v>6390</v>
      </c>
      <c r="E1024" s="8" t="s">
        <v>6391</v>
      </c>
      <c r="F1024" s="8" t="s">
        <v>6392</v>
      </c>
      <c r="G1024" s="6" t="s">
        <v>60</v>
      </c>
      <c r="H1024" s="6" t="s">
        <v>34</v>
      </c>
      <c r="I1024" s="8" t="s">
        <v>2171</v>
      </c>
      <c r="J1024" s="9">
        <v>1</v>
      </c>
      <c r="K1024" s="9">
        <v>224</v>
      </c>
      <c r="L1024" s="9">
        <v>2026</v>
      </c>
      <c r="M1024" s="8" t="s">
        <v>6393</v>
      </c>
      <c r="N1024" s="8" t="s">
        <v>37</v>
      </c>
      <c r="O1024" s="8" t="s">
        <v>290</v>
      </c>
      <c r="P1024" s="6" t="s">
        <v>51</v>
      </c>
      <c r="Q1024" s="8" t="s">
        <v>65</v>
      </c>
      <c r="R1024" s="10" t="s">
        <v>6394</v>
      </c>
      <c r="S1024" s="11" t="s">
        <v>6395</v>
      </c>
      <c r="T1024" s="6"/>
      <c r="U1024" s="15" t="str">
        <f>HYPERLINK("https://media.infra-m.ru/2236/2236074/cover/2236074.jpg", "Обложка")</f>
        <v>Обложка</v>
      </c>
      <c r="V1024" s="8" t="s">
        <v>2175</v>
      </c>
      <c r="W1024" s="6"/>
      <c r="X1024" s="6"/>
      <c r="Y1024" s="6"/>
      <c r="Z1024" s="6"/>
      <c r="AA1024" s="6" t="s">
        <v>76</v>
      </c>
      <c r="AB1024" s="8"/>
      <c r="AC1024" s="27">
        <v>9785160187396</v>
      </c>
    </row>
    <row r="1025" spans="1:29" s="4" customFormat="1" ht="51.9" customHeight="1" x14ac:dyDescent="0.2">
      <c r="A1025" s="5">
        <v>0</v>
      </c>
      <c r="B1025" s="6" t="s">
        <v>6396</v>
      </c>
      <c r="C1025" s="7">
        <v>1284</v>
      </c>
      <c r="D1025" s="8" t="s">
        <v>6397</v>
      </c>
      <c r="E1025" s="8" t="s">
        <v>6398</v>
      </c>
      <c r="F1025" s="8" t="s">
        <v>6399</v>
      </c>
      <c r="G1025" s="6" t="s">
        <v>118</v>
      </c>
      <c r="H1025" s="6" t="s">
        <v>34</v>
      </c>
      <c r="I1025" s="8" t="s">
        <v>2171</v>
      </c>
      <c r="J1025" s="9">
        <v>1</v>
      </c>
      <c r="K1025" s="9">
        <v>142</v>
      </c>
      <c r="L1025" s="9">
        <v>2027</v>
      </c>
      <c r="M1025" s="8" t="s">
        <v>6400</v>
      </c>
      <c r="N1025" s="8" t="s">
        <v>37</v>
      </c>
      <c r="O1025" s="8" t="s">
        <v>290</v>
      </c>
      <c r="P1025" s="6" t="s">
        <v>51</v>
      </c>
      <c r="Q1025" s="8" t="s">
        <v>6401</v>
      </c>
      <c r="R1025" s="10" t="s">
        <v>6402</v>
      </c>
      <c r="S1025" s="11" t="s">
        <v>6403</v>
      </c>
      <c r="T1025" s="6"/>
      <c r="U1025" s="15" t="str">
        <f>HYPERLINK("https://media.infra-m.ru/2266/2266411/cover/2266411.jpg", "Обложка")</f>
        <v>Обложка</v>
      </c>
      <c r="V1025" s="8" t="s">
        <v>2175</v>
      </c>
      <c r="W1025" s="6"/>
      <c r="X1025" s="6"/>
      <c r="Y1025" s="6"/>
      <c r="Z1025" s="6"/>
      <c r="AA1025" s="6" t="s">
        <v>430</v>
      </c>
      <c r="AB1025" s="8"/>
      <c r="AC1025" s="27">
        <v>9785160151601</v>
      </c>
    </row>
    <row r="1026" spans="1:29" s="4" customFormat="1" ht="42" customHeight="1" x14ac:dyDescent="0.2">
      <c r="A1026" s="5">
        <v>0</v>
      </c>
      <c r="B1026" s="6" t="s">
        <v>6404</v>
      </c>
      <c r="C1026" s="7">
        <v>1116</v>
      </c>
      <c r="D1026" s="8" t="s">
        <v>6405</v>
      </c>
      <c r="E1026" s="8" t="s">
        <v>6406</v>
      </c>
      <c r="F1026" s="8" t="s">
        <v>6407</v>
      </c>
      <c r="G1026" s="6" t="s">
        <v>33</v>
      </c>
      <c r="H1026" s="6" t="s">
        <v>34</v>
      </c>
      <c r="I1026" s="8" t="s">
        <v>35</v>
      </c>
      <c r="J1026" s="9">
        <v>1</v>
      </c>
      <c r="K1026" s="9">
        <v>160</v>
      </c>
      <c r="L1026" s="9">
        <v>2026</v>
      </c>
      <c r="M1026" s="8" t="s">
        <v>6408</v>
      </c>
      <c r="N1026" s="8" t="s">
        <v>243</v>
      </c>
      <c r="O1026" s="8" t="s">
        <v>385</v>
      </c>
      <c r="P1026" s="6" t="s">
        <v>39</v>
      </c>
      <c r="Q1026" s="8" t="s">
        <v>40</v>
      </c>
      <c r="R1026" s="10" t="s">
        <v>3883</v>
      </c>
      <c r="S1026" s="11"/>
      <c r="T1026" s="6"/>
      <c r="U1026" s="15" t="str">
        <f>HYPERLINK("https://media.infra-m.ru/2258/2258739/cover/2258739.jpg", "Обложка")</f>
        <v>Обложка</v>
      </c>
      <c r="V1026" s="8" t="s">
        <v>3329</v>
      </c>
      <c r="W1026" s="6"/>
      <c r="X1026" s="6"/>
      <c r="Y1026" s="6"/>
      <c r="Z1026" s="6"/>
      <c r="AA1026" s="6" t="s">
        <v>779</v>
      </c>
      <c r="AB1026" s="8"/>
      <c r="AC1026" s="27">
        <v>9785160222271</v>
      </c>
    </row>
    <row r="1027" spans="1:29" s="4" customFormat="1" ht="51.9" customHeight="1" x14ac:dyDescent="0.2">
      <c r="A1027" s="5">
        <v>0</v>
      </c>
      <c r="B1027" s="6" t="s">
        <v>6409</v>
      </c>
      <c r="C1027" s="7">
        <v>1152</v>
      </c>
      <c r="D1027" s="8" t="s">
        <v>6410</v>
      </c>
      <c r="E1027" s="8" t="s">
        <v>6411</v>
      </c>
      <c r="F1027" s="8" t="s">
        <v>6187</v>
      </c>
      <c r="G1027" s="6" t="s">
        <v>118</v>
      </c>
      <c r="H1027" s="6" t="s">
        <v>34</v>
      </c>
      <c r="I1027" s="8" t="s">
        <v>35</v>
      </c>
      <c r="J1027" s="9">
        <v>1</v>
      </c>
      <c r="K1027" s="9">
        <v>153</v>
      </c>
      <c r="L1027" s="9">
        <v>2026</v>
      </c>
      <c r="M1027" s="8" t="s">
        <v>6412</v>
      </c>
      <c r="N1027" s="8" t="s">
        <v>93</v>
      </c>
      <c r="O1027" s="8" t="s">
        <v>94</v>
      </c>
      <c r="P1027" s="6" t="s">
        <v>39</v>
      </c>
      <c r="Q1027" s="8" t="s">
        <v>40</v>
      </c>
      <c r="R1027" s="10" t="s">
        <v>6413</v>
      </c>
      <c r="S1027" s="11"/>
      <c r="T1027" s="6"/>
      <c r="U1027" s="15" t="str">
        <f>HYPERLINK("https://media.infra-m.ru/2217/2217099/cover/2217099.jpg", "Обложка")</f>
        <v>Обложка</v>
      </c>
      <c r="V1027" s="8" t="s">
        <v>6190</v>
      </c>
      <c r="W1027" s="6"/>
      <c r="X1027" s="6"/>
      <c r="Y1027" s="6"/>
      <c r="Z1027" s="6"/>
      <c r="AA1027" s="6" t="s">
        <v>68</v>
      </c>
      <c r="AB1027" s="8" t="s">
        <v>6414</v>
      </c>
      <c r="AC1027" s="27">
        <v>9785160208381</v>
      </c>
    </row>
    <row r="1028" spans="1:29" s="4" customFormat="1" ht="44.1" customHeight="1" x14ac:dyDescent="0.2">
      <c r="A1028" s="5">
        <v>0</v>
      </c>
      <c r="B1028" s="6" t="s">
        <v>6415</v>
      </c>
      <c r="C1028" s="7">
        <v>2556</v>
      </c>
      <c r="D1028" s="8" t="s">
        <v>6416</v>
      </c>
      <c r="E1028" s="8" t="s">
        <v>6417</v>
      </c>
      <c r="F1028" s="8" t="s">
        <v>6418</v>
      </c>
      <c r="G1028" s="6" t="s">
        <v>118</v>
      </c>
      <c r="H1028" s="6" t="s">
        <v>34</v>
      </c>
      <c r="I1028" s="8" t="s">
        <v>35</v>
      </c>
      <c r="J1028" s="9">
        <v>1</v>
      </c>
      <c r="K1028" s="9">
        <v>367</v>
      </c>
      <c r="L1028" s="9">
        <v>2026</v>
      </c>
      <c r="M1028" s="8" t="s">
        <v>6419</v>
      </c>
      <c r="N1028" s="8" t="s">
        <v>243</v>
      </c>
      <c r="O1028" s="8" t="s">
        <v>1100</v>
      </c>
      <c r="P1028" s="6" t="s">
        <v>39</v>
      </c>
      <c r="Q1028" s="8" t="s">
        <v>40</v>
      </c>
      <c r="R1028" s="10" t="s">
        <v>6420</v>
      </c>
      <c r="S1028" s="11"/>
      <c r="T1028" s="6"/>
      <c r="U1028" s="15" t="str">
        <f>HYPERLINK("https://media.infra-m.ru/2259/2259909/cover/2259909.jpg", "Обложка")</f>
        <v>Обложка</v>
      </c>
      <c r="V1028" s="8" t="s">
        <v>6421</v>
      </c>
      <c r="W1028" s="6"/>
      <c r="X1028" s="6"/>
      <c r="Y1028" s="6"/>
      <c r="Z1028" s="6"/>
      <c r="AA1028" s="6" t="s">
        <v>157</v>
      </c>
      <c r="AB1028" s="8" t="s">
        <v>6422</v>
      </c>
      <c r="AC1028" s="27">
        <v>9785160182384</v>
      </c>
    </row>
    <row r="1029" spans="1:29" s="4" customFormat="1" ht="51.9" customHeight="1" x14ac:dyDescent="0.2">
      <c r="A1029" s="5">
        <v>0</v>
      </c>
      <c r="B1029" s="6" t="s">
        <v>6423</v>
      </c>
      <c r="C1029" s="13">
        <v>844.8</v>
      </c>
      <c r="D1029" s="8" t="s">
        <v>6424</v>
      </c>
      <c r="E1029" s="8" t="s">
        <v>6425</v>
      </c>
      <c r="F1029" s="8" t="s">
        <v>6426</v>
      </c>
      <c r="G1029" s="6" t="s">
        <v>33</v>
      </c>
      <c r="H1029" s="6" t="s">
        <v>48</v>
      </c>
      <c r="I1029" s="8" t="s">
        <v>263</v>
      </c>
      <c r="J1029" s="9">
        <v>1</v>
      </c>
      <c r="K1029" s="9">
        <v>128</v>
      </c>
      <c r="L1029" s="9">
        <v>2026</v>
      </c>
      <c r="M1029" s="8" t="s">
        <v>6427</v>
      </c>
      <c r="N1029" s="8" t="s">
        <v>37</v>
      </c>
      <c r="O1029" s="8" t="s">
        <v>499</v>
      </c>
      <c r="P1029" s="6" t="s">
        <v>51</v>
      </c>
      <c r="Q1029" s="8" t="s">
        <v>265</v>
      </c>
      <c r="R1029" s="10" t="s">
        <v>6428</v>
      </c>
      <c r="S1029" s="11" t="s">
        <v>6429</v>
      </c>
      <c r="T1029" s="6"/>
      <c r="U1029" s="15" t="str">
        <f>HYPERLINK("https://media.infra-m.ru/2217/2217353/cover/2217353.jpg", "Обложка")</f>
        <v>Обложка</v>
      </c>
      <c r="V1029" s="8" t="s">
        <v>359</v>
      </c>
      <c r="W1029" s="6"/>
      <c r="X1029" s="6"/>
      <c r="Y1029" s="6"/>
      <c r="Z1029" s="6"/>
      <c r="AA1029" s="6" t="s">
        <v>561</v>
      </c>
      <c r="AB1029" s="8"/>
      <c r="AC1029" s="27">
        <v>9785000916117</v>
      </c>
    </row>
    <row r="1030" spans="1:29" s="4" customFormat="1" ht="42" customHeight="1" x14ac:dyDescent="0.2">
      <c r="A1030" s="5">
        <v>0</v>
      </c>
      <c r="B1030" s="6" t="s">
        <v>6430</v>
      </c>
      <c r="C1030" s="7">
        <v>1380</v>
      </c>
      <c r="D1030" s="8" t="s">
        <v>6431</v>
      </c>
      <c r="E1030" s="8" t="s">
        <v>6432</v>
      </c>
      <c r="F1030" s="8" t="s">
        <v>6433</v>
      </c>
      <c r="G1030" s="6" t="s">
        <v>33</v>
      </c>
      <c r="H1030" s="6" t="s">
        <v>34</v>
      </c>
      <c r="I1030" s="8" t="s">
        <v>35</v>
      </c>
      <c r="J1030" s="9">
        <v>1</v>
      </c>
      <c r="K1030" s="9">
        <v>210</v>
      </c>
      <c r="L1030" s="9">
        <v>2026</v>
      </c>
      <c r="M1030" s="8" t="s">
        <v>6434</v>
      </c>
      <c r="N1030" s="8" t="s">
        <v>37</v>
      </c>
      <c r="O1030" s="8" t="s">
        <v>38</v>
      </c>
      <c r="P1030" s="6" t="s">
        <v>39</v>
      </c>
      <c r="Q1030" s="8" t="s">
        <v>40</v>
      </c>
      <c r="R1030" s="10" t="s">
        <v>6435</v>
      </c>
      <c r="S1030" s="11"/>
      <c r="T1030" s="6"/>
      <c r="U1030" s="15" t="str">
        <f>HYPERLINK("https://media.infra-m.ru/2253/2253781/cover/2253781.jpg", "Обложка")</f>
        <v>Обложка</v>
      </c>
      <c r="V1030" s="8" t="s">
        <v>6436</v>
      </c>
      <c r="W1030" s="6"/>
      <c r="X1030" s="6"/>
      <c r="Y1030" s="6"/>
      <c r="Z1030" s="6"/>
      <c r="AA1030" s="6" t="s">
        <v>430</v>
      </c>
      <c r="AB1030" s="8"/>
      <c r="AC1030" s="27">
        <v>9785160162638</v>
      </c>
    </row>
    <row r="1031" spans="1:29" s="4" customFormat="1" ht="51.9" customHeight="1" x14ac:dyDescent="0.2">
      <c r="A1031" s="5">
        <v>0</v>
      </c>
      <c r="B1031" s="6" t="s">
        <v>6437</v>
      </c>
      <c r="C1031" s="7">
        <v>2644.8</v>
      </c>
      <c r="D1031" s="8" t="s">
        <v>6438</v>
      </c>
      <c r="E1031" s="8" t="s">
        <v>6439</v>
      </c>
      <c r="F1031" s="8" t="s">
        <v>6440</v>
      </c>
      <c r="G1031" s="6" t="s">
        <v>118</v>
      </c>
      <c r="H1031" s="6" t="s">
        <v>34</v>
      </c>
      <c r="I1031" s="8" t="s">
        <v>504</v>
      </c>
      <c r="J1031" s="9">
        <v>1</v>
      </c>
      <c r="K1031" s="9">
        <v>400</v>
      </c>
      <c r="L1031" s="9">
        <v>2026</v>
      </c>
      <c r="M1031" s="8" t="s">
        <v>6441</v>
      </c>
      <c r="N1031" s="8" t="s">
        <v>243</v>
      </c>
      <c r="O1031" s="8" t="s">
        <v>244</v>
      </c>
      <c r="P1031" s="6" t="s">
        <v>51</v>
      </c>
      <c r="Q1031" s="8" t="s">
        <v>500</v>
      </c>
      <c r="R1031" s="10" t="s">
        <v>6442</v>
      </c>
      <c r="S1031" s="11" t="s">
        <v>6443</v>
      </c>
      <c r="T1031" s="6"/>
      <c r="U1031" s="15" t="str">
        <f>HYPERLINK("https://media.infra-m.ru/2239/2239156/cover/2239156.jpg", "Обложка")</f>
        <v>Обложка</v>
      </c>
      <c r="V1031" s="8" t="s">
        <v>3428</v>
      </c>
      <c r="W1031" s="6"/>
      <c r="X1031" s="6"/>
      <c r="Y1031" s="6"/>
      <c r="Z1031" s="6"/>
      <c r="AA1031" s="6" t="s">
        <v>430</v>
      </c>
      <c r="AB1031" s="8"/>
      <c r="AC1031" s="27">
        <v>9785160153087</v>
      </c>
    </row>
    <row r="1032" spans="1:29" s="4" customFormat="1" ht="42" customHeight="1" x14ac:dyDescent="0.2">
      <c r="A1032" s="5">
        <v>0</v>
      </c>
      <c r="B1032" s="6" t="s">
        <v>6444</v>
      </c>
      <c r="C1032" s="13">
        <v>672</v>
      </c>
      <c r="D1032" s="8" t="s">
        <v>6445</v>
      </c>
      <c r="E1032" s="8" t="s">
        <v>6446</v>
      </c>
      <c r="F1032" s="8" t="s">
        <v>6447</v>
      </c>
      <c r="G1032" s="6" t="s">
        <v>33</v>
      </c>
      <c r="H1032" s="6" t="s">
        <v>34</v>
      </c>
      <c r="I1032" s="8" t="s">
        <v>35</v>
      </c>
      <c r="J1032" s="9">
        <v>1</v>
      </c>
      <c r="K1032" s="9">
        <v>135</v>
      </c>
      <c r="L1032" s="9">
        <v>2021</v>
      </c>
      <c r="M1032" s="8" t="s">
        <v>6448</v>
      </c>
      <c r="N1032" s="8" t="s">
        <v>37</v>
      </c>
      <c r="O1032" s="8" t="s">
        <v>136</v>
      </c>
      <c r="P1032" s="6" t="s">
        <v>39</v>
      </c>
      <c r="Q1032" s="8" t="s">
        <v>40</v>
      </c>
      <c r="R1032" s="10" t="s">
        <v>6449</v>
      </c>
      <c r="S1032" s="11"/>
      <c r="T1032" s="6"/>
      <c r="U1032" s="15" t="str">
        <f>HYPERLINK("https://media.infra-m.ru/1084/1084387/cover/1084387.jpg", "Обложка")</f>
        <v>Обложка</v>
      </c>
      <c r="V1032" s="8" t="s">
        <v>6450</v>
      </c>
      <c r="W1032" s="6"/>
      <c r="X1032" s="6"/>
      <c r="Y1032" s="6"/>
      <c r="Z1032" s="6"/>
      <c r="AA1032" s="6" t="s">
        <v>430</v>
      </c>
      <c r="AB1032" s="8"/>
      <c r="AC1032" s="27">
        <v>9785160161549</v>
      </c>
    </row>
    <row r="1033" spans="1:29" s="4" customFormat="1" ht="51.9" customHeight="1" x14ac:dyDescent="0.2">
      <c r="A1033" s="5">
        <v>0</v>
      </c>
      <c r="B1033" s="6" t="s">
        <v>6451</v>
      </c>
      <c r="C1033" s="13">
        <v>820.8</v>
      </c>
      <c r="D1033" s="8" t="s">
        <v>6452</v>
      </c>
      <c r="E1033" s="8" t="s">
        <v>6453</v>
      </c>
      <c r="F1033" s="8" t="s">
        <v>6454</v>
      </c>
      <c r="G1033" s="6" t="s">
        <v>33</v>
      </c>
      <c r="H1033" s="6" t="s">
        <v>34</v>
      </c>
      <c r="I1033" s="8" t="s">
        <v>35</v>
      </c>
      <c r="J1033" s="9">
        <v>1</v>
      </c>
      <c r="K1033" s="9">
        <v>136</v>
      </c>
      <c r="L1033" s="9">
        <v>2025</v>
      </c>
      <c r="M1033" s="8" t="s">
        <v>6455</v>
      </c>
      <c r="N1033" s="8" t="s">
        <v>37</v>
      </c>
      <c r="O1033" s="8" t="s">
        <v>136</v>
      </c>
      <c r="P1033" s="6" t="s">
        <v>39</v>
      </c>
      <c r="Q1033" s="8" t="s">
        <v>40</v>
      </c>
      <c r="R1033" s="10" t="s">
        <v>6456</v>
      </c>
      <c r="S1033" s="11"/>
      <c r="T1033" s="6"/>
      <c r="U1033" s="15" t="str">
        <f>HYPERLINK("https://media.infra-m.ru/2184/2184355/cover/2184355.jpg", "Обложка")</f>
        <v>Обложка</v>
      </c>
      <c r="V1033" s="8" t="s">
        <v>6457</v>
      </c>
      <c r="W1033" s="6"/>
      <c r="X1033" s="6"/>
      <c r="Y1033" s="6"/>
      <c r="Z1033" s="6"/>
      <c r="AA1033" s="6" t="s">
        <v>55</v>
      </c>
      <c r="AB1033" s="8"/>
      <c r="AC1033" s="27">
        <v>9785160063805</v>
      </c>
    </row>
    <row r="1034" spans="1:29" s="4" customFormat="1" ht="44.1" customHeight="1" x14ac:dyDescent="0.2">
      <c r="A1034" s="5">
        <v>0</v>
      </c>
      <c r="B1034" s="6" t="s">
        <v>6458</v>
      </c>
      <c r="C1034" s="7">
        <v>1080</v>
      </c>
      <c r="D1034" s="8" t="s">
        <v>6459</v>
      </c>
      <c r="E1034" s="8" t="s">
        <v>6460</v>
      </c>
      <c r="F1034" s="8" t="s">
        <v>6461</v>
      </c>
      <c r="G1034" s="6" t="s">
        <v>33</v>
      </c>
      <c r="H1034" s="6" t="s">
        <v>34</v>
      </c>
      <c r="I1034" s="8" t="s">
        <v>35</v>
      </c>
      <c r="J1034" s="9">
        <v>1</v>
      </c>
      <c r="K1034" s="9">
        <v>164</v>
      </c>
      <c r="L1034" s="9">
        <v>2026</v>
      </c>
      <c r="M1034" s="8" t="s">
        <v>6462</v>
      </c>
      <c r="N1034" s="8" t="s">
        <v>37</v>
      </c>
      <c r="O1034" s="8" t="s">
        <v>136</v>
      </c>
      <c r="P1034" s="6" t="s">
        <v>39</v>
      </c>
      <c r="Q1034" s="8" t="s">
        <v>40</v>
      </c>
      <c r="R1034" s="10" t="s">
        <v>6217</v>
      </c>
      <c r="S1034" s="11"/>
      <c r="T1034" s="6"/>
      <c r="U1034" s="15" t="str">
        <f>HYPERLINK("https://media.infra-m.ru/2239/2239138/cover/2239138.jpg", "Обложка")</f>
        <v>Обложка</v>
      </c>
      <c r="V1034" s="8" t="s">
        <v>3304</v>
      </c>
      <c r="W1034" s="6"/>
      <c r="X1034" s="6"/>
      <c r="Y1034" s="6"/>
      <c r="Z1034" s="6"/>
      <c r="AA1034" s="6" t="s">
        <v>129</v>
      </c>
      <c r="AB1034" s="8"/>
      <c r="AC1034" s="27">
        <v>9785160048451</v>
      </c>
    </row>
    <row r="1035" spans="1:29" s="4" customFormat="1" ht="51.9" customHeight="1" x14ac:dyDescent="0.2">
      <c r="A1035" s="5">
        <v>0</v>
      </c>
      <c r="B1035" s="6" t="s">
        <v>6463</v>
      </c>
      <c r="C1035" s="13">
        <v>684</v>
      </c>
      <c r="D1035" s="8" t="s">
        <v>6464</v>
      </c>
      <c r="E1035" s="8" t="s">
        <v>6465</v>
      </c>
      <c r="F1035" s="8" t="s">
        <v>6466</v>
      </c>
      <c r="G1035" s="6" t="s">
        <v>33</v>
      </c>
      <c r="H1035" s="6" t="s">
        <v>1042</v>
      </c>
      <c r="I1035" s="8" t="s">
        <v>35</v>
      </c>
      <c r="J1035" s="9">
        <v>1</v>
      </c>
      <c r="K1035" s="9">
        <v>120</v>
      </c>
      <c r="L1035" s="9">
        <v>2021</v>
      </c>
      <c r="M1035" s="8" t="s">
        <v>6467</v>
      </c>
      <c r="N1035" s="8" t="s">
        <v>37</v>
      </c>
      <c r="O1035" s="8" t="s">
        <v>233</v>
      </c>
      <c r="P1035" s="6" t="s">
        <v>39</v>
      </c>
      <c r="Q1035" s="8" t="s">
        <v>40</v>
      </c>
      <c r="R1035" s="10" t="s">
        <v>1993</v>
      </c>
      <c r="S1035" s="11"/>
      <c r="T1035" s="6"/>
      <c r="U1035" s="15" t="str">
        <f>HYPERLINK("https://media.infra-m.ru/1245/1245076/cover/1245076.jpg", "Обложка")</f>
        <v>Обложка</v>
      </c>
      <c r="V1035" s="8" t="s">
        <v>4892</v>
      </c>
      <c r="W1035" s="6"/>
      <c r="X1035" s="6"/>
      <c r="Y1035" s="6"/>
      <c r="Z1035" s="6"/>
      <c r="AA1035" s="6" t="s">
        <v>86</v>
      </c>
      <c r="AB1035" s="8"/>
      <c r="AC1035" s="27">
        <v>9785819908204</v>
      </c>
    </row>
    <row r="1036" spans="1:29" s="4" customFormat="1" ht="42" customHeight="1" x14ac:dyDescent="0.2">
      <c r="A1036" s="5">
        <v>0</v>
      </c>
      <c r="B1036" s="6" t="s">
        <v>6468</v>
      </c>
      <c r="C1036" s="7">
        <v>1008</v>
      </c>
      <c r="D1036" s="8" t="s">
        <v>6469</v>
      </c>
      <c r="E1036" s="8" t="s">
        <v>6470</v>
      </c>
      <c r="F1036" s="8" t="s">
        <v>6471</v>
      </c>
      <c r="G1036" s="6" t="s">
        <v>60</v>
      </c>
      <c r="H1036" s="6" t="s">
        <v>34</v>
      </c>
      <c r="I1036" s="8" t="s">
        <v>35</v>
      </c>
      <c r="J1036" s="9">
        <v>1</v>
      </c>
      <c r="K1036" s="9">
        <v>160</v>
      </c>
      <c r="L1036" s="9">
        <v>2024</v>
      </c>
      <c r="M1036" s="8" t="s">
        <v>6472</v>
      </c>
      <c r="N1036" s="8" t="s">
        <v>93</v>
      </c>
      <c r="O1036" s="8" t="s">
        <v>94</v>
      </c>
      <c r="P1036" s="6" t="s">
        <v>39</v>
      </c>
      <c r="Q1036" s="8" t="s">
        <v>40</v>
      </c>
      <c r="R1036" s="10" t="s">
        <v>6473</v>
      </c>
      <c r="S1036" s="11"/>
      <c r="T1036" s="6"/>
      <c r="U1036" s="15" t="str">
        <f>HYPERLINK("https://media.infra-m.ru/2099/2099006/cover/2099006.jpg", "Обложка")</f>
        <v>Обложка</v>
      </c>
      <c r="V1036" s="8" t="s">
        <v>6474</v>
      </c>
      <c r="W1036" s="6"/>
      <c r="X1036" s="6"/>
      <c r="Y1036" s="6"/>
      <c r="Z1036" s="6"/>
      <c r="AA1036" s="6" t="s">
        <v>76</v>
      </c>
      <c r="AB1036" s="8"/>
      <c r="AC1036" s="27">
        <v>9785160192345</v>
      </c>
    </row>
    <row r="1037" spans="1:29" s="4" customFormat="1" ht="42" customHeight="1" x14ac:dyDescent="0.2">
      <c r="A1037" s="5">
        <v>0</v>
      </c>
      <c r="B1037" s="6" t="s">
        <v>6475</v>
      </c>
      <c r="C1037" s="7">
        <v>1384.8</v>
      </c>
      <c r="D1037" s="8" t="s">
        <v>6476</v>
      </c>
      <c r="E1037" s="8" t="s">
        <v>6477</v>
      </c>
      <c r="F1037" s="8" t="s">
        <v>6478</v>
      </c>
      <c r="G1037" s="6" t="s">
        <v>33</v>
      </c>
      <c r="H1037" s="6" t="s">
        <v>34</v>
      </c>
      <c r="I1037" s="8" t="s">
        <v>35</v>
      </c>
      <c r="J1037" s="9">
        <v>1</v>
      </c>
      <c r="K1037" s="9">
        <v>178</v>
      </c>
      <c r="L1037" s="9">
        <v>2026</v>
      </c>
      <c r="M1037" s="8" t="s">
        <v>6479</v>
      </c>
      <c r="N1037" s="8" t="s">
        <v>37</v>
      </c>
      <c r="O1037" s="8" t="s">
        <v>83</v>
      </c>
      <c r="P1037" s="6" t="s">
        <v>39</v>
      </c>
      <c r="Q1037" s="8" t="s">
        <v>40</v>
      </c>
      <c r="R1037" s="10" t="s">
        <v>6480</v>
      </c>
      <c r="S1037" s="11"/>
      <c r="T1037" s="6"/>
      <c r="U1037" s="15" t="str">
        <f>HYPERLINK("https://media.infra-m.ru/2216/2216851/cover/2216851.jpg", "Обложка")</f>
        <v>Обложка</v>
      </c>
      <c r="V1037" s="8" t="s">
        <v>546</v>
      </c>
      <c r="W1037" s="6"/>
      <c r="X1037" s="6"/>
      <c r="Y1037" s="6"/>
      <c r="Z1037" s="6"/>
      <c r="AA1037" s="6" t="s">
        <v>157</v>
      </c>
      <c r="AB1037" s="8"/>
      <c r="AC1037" s="27">
        <v>9785160185934</v>
      </c>
    </row>
    <row r="1038" spans="1:29" s="4" customFormat="1" ht="51.9" customHeight="1" x14ac:dyDescent="0.2">
      <c r="A1038" s="5">
        <v>0</v>
      </c>
      <c r="B1038" s="6" t="s">
        <v>6481</v>
      </c>
      <c r="C1038" s="7">
        <v>2304</v>
      </c>
      <c r="D1038" s="8" t="s">
        <v>6482</v>
      </c>
      <c r="E1038" s="8" t="s">
        <v>6483</v>
      </c>
      <c r="F1038" s="8" t="s">
        <v>6484</v>
      </c>
      <c r="G1038" s="6" t="s">
        <v>60</v>
      </c>
      <c r="H1038" s="6" t="s">
        <v>34</v>
      </c>
      <c r="I1038" s="8" t="s">
        <v>35</v>
      </c>
      <c r="J1038" s="9">
        <v>1</v>
      </c>
      <c r="K1038" s="9">
        <v>418</v>
      </c>
      <c r="L1038" s="9">
        <v>2024</v>
      </c>
      <c r="M1038" s="8" t="s">
        <v>6485</v>
      </c>
      <c r="N1038" s="8" t="s">
        <v>243</v>
      </c>
      <c r="O1038" s="8" t="s">
        <v>964</v>
      </c>
      <c r="P1038" s="6" t="s">
        <v>39</v>
      </c>
      <c r="Q1038" s="8" t="s">
        <v>40</v>
      </c>
      <c r="R1038" s="10" t="s">
        <v>6486</v>
      </c>
      <c r="S1038" s="11"/>
      <c r="T1038" s="6" t="s">
        <v>97</v>
      </c>
      <c r="U1038" s="15" t="str">
        <f>HYPERLINK("https://media.infra-m.ru/1904/1904857/cover/1904857.jpg", "Обложка")</f>
        <v>Обложка</v>
      </c>
      <c r="V1038" s="8" t="s">
        <v>4943</v>
      </c>
      <c r="W1038" s="6"/>
      <c r="X1038" s="6"/>
      <c r="Y1038" s="6"/>
      <c r="Z1038" s="6"/>
      <c r="AA1038" s="6" t="s">
        <v>86</v>
      </c>
      <c r="AB1038" s="8"/>
      <c r="AC1038" s="27">
        <v>9785160130217</v>
      </c>
    </row>
    <row r="1039" spans="1:29" s="4" customFormat="1" ht="44.1" customHeight="1" x14ac:dyDescent="0.2">
      <c r="A1039" s="5">
        <v>0</v>
      </c>
      <c r="B1039" s="6" t="s">
        <v>6487</v>
      </c>
      <c r="C1039" s="7">
        <v>1560</v>
      </c>
      <c r="D1039" s="8" t="s">
        <v>6488</v>
      </c>
      <c r="E1039" s="8" t="s">
        <v>6489</v>
      </c>
      <c r="F1039" s="8" t="s">
        <v>6490</v>
      </c>
      <c r="G1039" s="6" t="s">
        <v>33</v>
      </c>
      <c r="H1039" s="6" t="s">
        <v>34</v>
      </c>
      <c r="I1039" s="8" t="s">
        <v>35</v>
      </c>
      <c r="J1039" s="9">
        <v>1</v>
      </c>
      <c r="K1039" s="9">
        <v>228</v>
      </c>
      <c r="L1039" s="9">
        <v>2026</v>
      </c>
      <c r="M1039" s="8" t="s">
        <v>6491</v>
      </c>
      <c r="N1039" s="8" t="s">
        <v>37</v>
      </c>
      <c r="O1039" s="8" t="s">
        <v>83</v>
      </c>
      <c r="P1039" s="6" t="s">
        <v>39</v>
      </c>
      <c r="Q1039" s="8" t="s">
        <v>40</v>
      </c>
      <c r="R1039" s="10" t="s">
        <v>6492</v>
      </c>
      <c r="S1039" s="11"/>
      <c r="T1039" s="6"/>
      <c r="U1039" s="15" t="str">
        <f>HYPERLINK("https://media.infra-m.ru/2224/2224021/cover/2224021.jpg", "Обложка")</f>
        <v>Обложка</v>
      </c>
      <c r="V1039" s="8" t="s">
        <v>1505</v>
      </c>
      <c r="W1039" s="6" t="s">
        <v>547</v>
      </c>
      <c r="X1039" s="6"/>
      <c r="Y1039" s="6"/>
      <c r="Z1039" s="6"/>
      <c r="AA1039" s="6" t="s">
        <v>187</v>
      </c>
      <c r="AB1039" s="8" t="s">
        <v>6493</v>
      </c>
      <c r="AC1039" s="27">
        <v>9785160214269</v>
      </c>
    </row>
    <row r="1040" spans="1:29" s="4" customFormat="1" ht="42" customHeight="1" x14ac:dyDescent="0.2">
      <c r="A1040" s="5">
        <v>0</v>
      </c>
      <c r="B1040" s="6" t="s">
        <v>6494</v>
      </c>
      <c r="C1040" s="7">
        <v>1596</v>
      </c>
      <c r="D1040" s="8" t="s">
        <v>6495</v>
      </c>
      <c r="E1040" s="8" t="s">
        <v>6496</v>
      </c>
      <c r="F1040" s="8" t="s">
        <v>6497</v>
      </c>
      <c r="G1040" s="6" t="s">
        <v>33</v>
      </c>
      <c r="H1040" s="6" t="s">
        <v>313</v>
      </c>
      <c r="I1040" s="8"/>
      <c r="J1040" s="9">
        <v>1</v>
      </c>
      <c r="K1040" s="9">
        <v>256</v>
      </c>
      <c r="L1040" s="9">
        <v>2025</v>
      </c>
      <c r="M1040" s="8" t="s">
        <v>6498</v>
      </c>
      <c r="N1040" s="8" t="s">
        <v>37</v>
      </c>
      <c r="O1040" s="8" t="s">
        <v>290</v>
      </c>
      <c r="P1040" s="6" t="s">
        <v>39</v>
      </c>
      <c r="Q1040" s="8" t="s">
        <v>40</v>
      </c>
      <c r="R1040" s="10" t="s">
        <v>6499</v>
      </c>
      <c r="S1040" s="11"/>
      <c r="T1040" s="6"/>
      <c r="U1040" s="15" t="str">
        <f>HYPERLINK("https://media.infra-m.ru/2193/2193023/cover/2193023.jpg", "Обложка")</f>
        <v>Обложка</v>
      </c>
      <c r="V1040" s="8" t="s">
        <v>657</v>
      </c>
      <c r="W1040" s="6"/>
      <c r="X1040" s="6"/>
      <c r="Y1040" s="6"/>
      <c r="Z1040" s="6"/>
      <c r="AA1040" s="6" t="s">
        <v>115</v>
      </c>
      <c r="AB1040" s="8"/>
      <c r="AC1040" s="27">
        <v>9785369017890</v>
      </c>
    </row>
    <row r="1041" spans="1:29" s="4" customFormat="1" ht="51.9" customHeight="1" x14ac:dyDescent="0.2">
      <c r="A1041" s="5">
        <v>0</v>
      </c>
      <c r="B1041" s="6" t="s">
        <v>6500</v>
      </c>
      <c r="C1041" s="7">
        <v>1596</v>
      </c>
      <c r="D1041" s="8" t="s">
        <v>6501</v>
      </c>
      <c r="E1041" s="8" t="s">
        <v>6502</v>
      </c>
      <c r="F1041" s="8" t="s">
        <v>6503</v>
      </c>
      <c r="G1041" s="6" t="s">
        <v>33</v>
      </c>
      <c r="H1041" s="6" t="s">
        <v>34</v>
      </c>
      <c r="I1041" s="8" t="s">
        <v>35</v>
      </c>
      <c r="J1041" s="9">
        <v>1</v>
      </c>
      <c r="K1041" s="9">
        <v>230</v>
      </c>
      <c r="L1041" s="9">
        <v>2027</v>
      </c>
      <c r="M1041" s="8" t="s">
        <v>6504</v>
      </c>
      <c r="N1041" s="8" t="s">
        <v>93</v>
      </c>
      <c r="O1041" s="8" t="s">
        <v>94</v>
      </c>
      <c r="P1041" s="6" t="s">
        <v>39</v>
      </c>
      <c r="Q1041" s="8" t="s">
        <v>40</v>
      </c>
      <c r="R1041" s="10" t="s">
        <v>6505</v>
      </c>
      <c r="S1041" s="11"/>
      <c r="T1041" s="6"/>
      <c r="U1041" s="15" t="str">
        <f>HYPERLINK("https://media.infra-m.ru/2269/2269763/cover/2269763.jpg", "Обложка")</f>
        <v>Обложка</v>
      </c>
      <c r="V1041" s="8" t="s">
        <v>6190</v>
      </c>
      <c r="W1041" s="6"/>
      <c r="X1041" s="6"/>
      <c r="Y1041" s="6"/>
      <c r="Z1041" s="6"/>
      <c r="AA1041" s="6" t="s">
        <v>115</v>
      </c>
      <c r="AB1041" s="8"/>
      <c r="AC1041" s="27">
        <v>9785160225036</v>
      </c>
    </row>
    <row r="1042" spans="1:29" s="4" customFormat="1" ht="51.9" customHeight="1" x14ac:dyDescent="0.2">
      <c r="A1042" s="5">
        <v>0</v>
      </c>
      <c r="B1042" s="6" t="s">
        <v>6506</v>
      </c>
      <c r="C1042" s="7">
        <v>1428</v>
      </c>
      <c r="D1042" s="8" t="s">
        <v>6507</v>
      </c>
      <c r="E1042" s="8" t="s">
        <v>6502</v>
      </c>
      <c r="F1042" s="8" t="s">
        <v>6503</v>
      </c>
      <c r="G1042" s="6" t="s">
        <v>118</v>
      </c>
      <c r="H1042" s="6" t="s">
        <v>34</v>
      </c>
      <c r="I1042" s="8" t="s">
        <v>35</v>
      </c>
      <c r="J1042" s="9">
        <v>1</v>
      </c>
      <c r="K1042" s="9">
        <v>230</v>
      </c>
      <c r="L1042" s="9">
        <v>2019</v>
      </c>
      <c r="M1042" s="8" t="s">
        <v>6508</v>
      </c>
      <c r="N1042" s="8" t="s">
        <v>93</v>
      </c>
      <c r="O1042" s="8" t="s">
        <v>94</v>
      </c>
      <c r="P1042" s="6" t="s">
        <v>39</v>
      </c>
      <c r="Q1042" s="8" t="s">
        <v>40</v>
      </c>
      <c r="R1042" s="10" t="s">
        <v>6505</v>
      </c>
      <c r="S1042" s="11"/>
      <c r="T1042" s="6"/>
      <c r="U1042" s="15" t="str">
        <f>HYPERLINK("https://media.infra-m.ru/1038/1038801/cover/1038801.jpg", "Обложка")</f>
        <v>Обложка</v>
      </c>
      <c r="V1042" s="8" t="s">
        <v>6190</v>
      </c>
      <c r="W1042" s="6"/>
      <c r="X1042" s="6"/>
      <c r="Y1042" s="6"/>
      <c r="Z1042" s="6"/>
      <c r="AA1042" s="6" t="s">
        <v>115</v>
      </c>
      <c r="AB1042" s="8"/>
      <c r="AC1042" s="27">
        <v>9785160140988</v>
      </c>
    </row>
    <row r="1043" spans="1:29" s="4" customFormat="1" ht="51.9" customHeight="1" x14ac:dyDescent="0.2">
      <c r="A1043" s="5">
        <v>0</v>
      </c>
      <c r="B1043" s="6" t="s">
        <v>6509</v>
      </c>
      <c r="C1043" s="7">
        <v>1164</v>
      </c>
      <c r="D1043" s="8" t="s">
        <v>6510</v>
      </c>
      <c r="E1043" s="8" t="s">
        <v>6511</v>
      </c>
      <c r="F1043" s="8" t="s">
        <v>6512</v>
      </c>
      <c r="G1043" s="6" t="s">
        <v>60</v>
      </c>
      <c r="H1043" s="6" t="s">
        <v>34</v>
      </c>
      <c r="I1043" s="8" t="s">
        <v>35</v>
      </c>
      <c r="J1043" s="9">
        <v>1</v>
      </c>
      <c r="K1043" s="9">
        <v>161</v>
      </c>
      <c r="L1043" s="9">
        <v>2026</v>
      </c>
      <c r="M1043" s="8" t="s">
        <v>6513</v>
      </c>
      <c r="N1043" s="8" t="s">
        <v>37</v>
      </c>
      <c r="O1043" s="8" t="s">
        <v>83</v>
      </c>
      <c r="P1043" s="6" t="s">
        <v>39</v>
      </c>
      <c r="Q1043" s="8" t="s">
        <v>40</v>
      </c>
      <c r="R1043" s="10" t="s">
        <v>6514</v>
      </c>
      <c r="S1043" s="11"/>
      <c r="T1043" s="6"/>
      <c r="U1043" s="15" t="str">
        <f>HYPERLINK("https://media.infra-m.ru/2238/2238838/cover/2238838.jpg", "Обложка")</f>
        <v>Обложка</v>
      </c>
      <c r="V1043" s="8" t="s">
        <v>6515</v>
      </c>
      <c r="W1043" s="6" t="s">
        <v>649</v>
      </c>
      <c r="X1043" s="6"/>
      <c r="Y1043" s="6"/>
      <c r="Z1043" s="6"/>
      <c r="AA1043" s="6" t="s">
        <v>187</v>
      </c>
      <c r="AB1043" s="8"/>
      <c r="AC1043" s="27">
        <v>9785160218250</v>
      </c>
    </row>
    <row r="1044" spans="1:29" s="4" customFormat="1" ht="44.1" customHeight="1" x14ac:dyDescent="0.2">
      <c r="A1044" s="5">
        <v>0</v>
      </c>
      <c r="B1044" s="6" t="s">
        <v>6516</v>
      </c>
      <c r="C1044" s="7">
        <v>1348.8</v>
      </c>
      <c r="D1044" s="8" t="s">
        <v>6517</v>
      </c>
      <c r="E1044" s="8" t="s">
        <v>6518</v>
      </c>
      <c r="F1044" s="8" t="s">
        <v>6519</v>
      </c>
      <c r="G1044" s="6" t="s">
        <v>33</v>
      </c>
      <c r="H1044" s="6" t="s">
        <v>134</v>
      </c>
      <c r="I1044" s="8"/>
      <c r="J1044" s="9">
        <v>1</v>
      </c>
      <c r="K1044" s="9">
        <v>224</v>
      </c>
      <c r="L1044" s="9">
        <v>2025</v>
      </c>
      <c r="M1044" s="8" t="s">
        <v>6520</v>
      </c>
      <c r="N1044" s="8" t="s">
        <v>37</v>
      </c>
      <c r="O1044" s="8" t="s">
        <v>136</v>
      </c>
      <c r="P1044" s="6" t="s">
        <v>39</v>
      </c>
      <c r="Q1044" s="8" t="s">
        <v>749</v>
      </c>
      <c r="R1044" s="10" t="s">
        <v>6521</v>
      </c>
      <c r="S1044" s="11"/>
      <c r="T1044" s="6"/>
      <c r="U1044" s="15" t="str">
        <f>HYPERLINK("https://media.infra-m.ru/2184/2184432/cover/2184432.jpg", "Обложка")</f>
        <v>Обложка</v>
      </c>
      <c r="V1044" s="8" t="s">
        <v>1184</v>
      </c>
      <c r="W1044" s="6"/>
      <c r="X1044" s="6"/>
      <c r="Y1044" s="6"/>
      <c r="Z1044" s="6"/>
      <c r="AA1044" s="6" t="s">
        <v>248</v>
      </c>
      <c r="AB1044" s="8"/>
      <c r="AC1044" s="27">
        <v>9785917685243</v>
      </c>
    </row>
    <row r="1045" spans="1:29" s="4" customFormat="1" ht="42" customHeight="1" x14ac:dyDescent="0.2">
      <c r="A1045" s="5">
        <v>0</v>
      </c>
      <c r="B1045" s="6" t="s">
        <v>6522</v>
      </c>
      <c r="C1045" s="7">
        <v>1127.9000000000001</v>
      </c>
      <c r="D1045" s="8" t="s">
        <v>6523</v>
      </c>
      <c r="E1045" s="8" t="s">
        <v>6524</v>
      </c>
      <c r="F1045" s="8" t="s">
        <v>6525</v>
      </c>
      <c r="G1045" s="6" t="s">
        <v>6526</v>
      </c>
      <c r="H1045" s="6" t="s">
        <v>134</v>
      </c>
      <c r="I1045" s="8"/>
      <c r="J1045" s="9">
        <v>1</v>
      </c>
      <c r="K1045" s="9">
        <v>224</v>
      </c>
      <c r="L1045" s="9">
        <v>2018</v>
      </c>
      <c r="M1045" s="8" t="s">
        <v>6527</v>
      </c>
      <c r="N1045" s="8" t="s">
        <v>37</v>
      </c>
      <c r="O1045" s="8" t="s">
        <v>83</v>
      </c>
      <c r="P1045" s="6" t="s">
        <v>39</v>
      </c>
      <c r="Q1045" s="8" t="s">
        <v>40</v>
      </c>
      <c r="R1045" s="10" t="s">
        <v>6528</v>
      </c>
      <c r="S1045" s="11"/>
      <c r="T1045" s="6"/>
      <c r="U1045" s="15" t="str">
        <f>HYPERLINK("https://media.infra-m.ru/0988/0988408/cover/988408.jpg", "Обложка")</f>
        <v>Обложка</v>
      </c>
      <c r="V1045" s="8" t="s">
        <v>227</v>
      </c>
      <c r="W1045" s="6"/>
      <c r="X1045" s="6"/>
      <c r="Y1045" s="6"/>
      <c r="Z1045" s="6"/>
      <c r="AA1045" s="6" t="s">
        <v>86</v>
      </c>
      <c r="AB1045" s="8"/>
      <c r="AC1045" s="27">
        <v>9785917689159</v>
      </c>
    </row>
    <row r="1046" spans="1:29" s="4" customFormat="1" ht="44.1" customHeight="1" x14ac:dyDescent="0.2">
      <c r="A1046" s="5">
        <v>0</v>
      </c>
      <c r="B1046" s="6" t="s">
        <v>6529</v>
      </c>
      <c r="C1046" s="7">
        <v>1132.8</v>
      </c>
      <c r="D1046" s="8" t="s">
        <v>6530</v>
      </c>
      <c r="E1046" s="8" t="s">
        <v>6531</v>
      </c>
      <c r="F1046" s="8" t="s">
        <v>6532</v>
      </c>
      <c r="G1046" s="6" t="s">
        <v>118</v>
      </c>
      <c r="H1046" s="6" t="s">
        <v>34</v>
      </c>
      <c r="I1046" s="8" t="s">
        <v>35</v>
      </c>
      <c r="J1046" s="9">
        <v>1</v>
      </c>
      <c r="K1046" s="9">
        <v>208</v>
      </c>
      <c r="L1046" s="9">
        <v>2023</v>
      </c>
      <c r="M1046" s="8" t="s">
        <v>6533</v>
      </c>
      <c r="N1046" s="8" t="s">
        <v>37</v>
      </c>
      <c r="O1046" s="8" t="s">
        <v>136</v>
      </c>
      <c r="P1046" s="6" t="s">
        <v>39</v>
      </c>
      <c r="Q1046" s="8" t="s">
        <v>40</v>
      </c>
      <c r="R1046" s="10" t="s">
        <v>6534</v>
      </c>
      <c r="S1046" s="11"/>
      <c r="T1046" s="6"/>
      <c r="U1046" s="15" t="str">
        <f>HYPERLINK("https://media.infra-m.ru/2006/2006094/cover/2006094.jpg", "Обложка")</f>
        <v>Обложка</v>
      </c>
      <c r="V1046" s="8" t="s">
        <v>6535</v>
      </c>
      <c r="W1046" s="6"/>
      <c r="X1046" s="6"/>
      <c r="Y1046" s="6"/>
      <c r="Z1046" s="6"/>
      <c r="AA1046" s="6" t="s">
        <v>99</v>
      </c>
      <c r="AB1046" s="8"/>
      <c r="AC1046" s="27">
        <v>9785160129211</v>
      </c>
    </row>
    <row r="1047" spans="1:29" s="4" customFormat="1" ht="42" customHeight="1" x14ac:dyDescent="0.2">
      <c r="A1047" s="5">
        <v>0</v>
      </c>
      <c r="B1047" s="6" t="s">
        <v>6536</v>
      </c>
      <c r="C1047" s="7">
        <v>1020</v>
      </c>
      <c r="D1047" s="8" t="s">
        <v>6537</v>
      </c>
      <c r="E1047" s="8" t="s">
        <v>6538</v>
      </c>
      <c r="F1047" s="8" t="s">
        <v>6539</v>
      </c>
      <c r="G1047" s="6" t="s">
        <v>60</v>
      </c>
      <c r="H1047" s="6" t="s">
        <v>34</v>
      </c>
      <c r="I1047" s="8" t="s">
        <v>35</v>
      </c>
      <c r="J1047" s="9">
        <v>1</v>
      </c>
      <c r="K1047" s="9">
        <v>236</v>
      </c>
      <c r="L1047" s="9">
        <v>2025</v>
      </c>
      <c r="M1047" s="8" t="s">
        <v>6540</v>
      </c>
      <c r="N1047" s="8" t="s">
        <v>243</v>
      </c>
      <c r="O1047" s="8" t="s">
        <v>758</v>
      </c>
      <c r="P1047" s="6" t="s">
        <v>39</v>
      </c>
      <c r="Q1047" s="8" t="s">
        <v>40</v>
      </c>
      <c r="R1047" s="10" t="s">
        <v>6541</v>
      </c>
      <c r="S1047" s="11"/>
      <c r="T1047" s="6"/>
      <c r="U1047" s="15" t="str">
        <f>HYPERLINK("https://media.infra-m.ru/2169/2169050/cover/2169050.jpg", "Обложка")</f>
        <v>Обложка</v>
      </c>
      <c r="V1047" s="8" t="s">
        <v>6542</v>
      </c>
      <c r="W1047" s="6"/>
      <c r="X1047" s="6"/>
      <c r="Y1047" s="6"/>
      <c r="Z1047" s="6"/>
      <c r="AA1047" s="6" t="s">
        <v>68</v>
      </c>
      <c r="AB1047" s="8"/>
      <c r="AC1047" s="27">
        <v>9785160200361</v>
      </c>
    </row>
    <row r="1048" spans="1:29" s="4" customFormat="1" ht="51.9" customHeight="1" x14ac:dyDescent="0.2">
      <c r="A1048" s="5">
        <v>0</v>
      </c>
      <c r="B1048" s="6" t="s">
        <v>6543</v>
      </c>
      <c r="C1048" s="13">
        <v>628.79999999999995</v>
      </c>
      <c r="D1048" s="8" t="s">
        <v>6544</v>
      </c>
      <c r="E1048" s="8" t="s">
        <v>6545</v>
      </c>
      <c r="F1048" s="8" t="s">
        <v>6546</v>
      </c>
      <c r="G1048" s="6" t="s">
        <v>33</v>
      </c>
      <c r="H1048" s="6" t="s">
        <v>313</v>
      </c>
      <c r="I1048" s="8" t="s">
        <v>35</v>
      </c>
      <c r="J1048" s="9">
        <v>1</v>
      </c>
      <c r="K1048" s="9">
        <v>98</v>
      </c>
      <c r="L1048" s="9">
        <v>2024</v>
      </c>
      <c r="M1048" s="8" t="s">
        <v>6547</v>
      </c>
      <c r="N1048" s="8" t="s">
        <v>37</v>
      </c>
      <c r="O1048" s="8" t="s">
        <v>499</v>
      </c>
      <c r="P1048" s="6" t="s">
        <v>39</v>
      </c>
      <c r="Q1048" s="8" t="s">
        <v>749</v>
      </c>
      <c r="R1048" s="10" t="s">
        <v>6548</v>
      </c>
      <c r="S1048" s="11"/>
      <c r="T1048" s="6"/>
      <c r="U1048" s="15" t="str">
        <f>HYPERLINK("https://media.infra-m.ru/2132/2132537/cover/2132537.jpg", "Обложка")</f>
        <v>Обложка</v>
      </c>
      <c r="V1048" s="8" t="s">
        <v>644</v>
      </c>
      <c r="W1048" s="6"/>
      <c r="X1048" s="6"/>
      <c r="Y1048" s="6"/>
      <c r="Z1048" s="6"/>
      <c r="AA1048" s="6" t="s">
        <v>779</v>
      </c>
      <c r="AB1048" s="8"/>
      <c r="AC1048" s="27">
        <v>9785369014530</v>
      </c>
    </row>
    <row r="1049" spans="1:29" s="4" customFormat="1" ht="51.9" customHeight="1" x14ac:dyDescent="0.2">
      <c r="A1049" s="5">
        <v>0</v>
      </c>
      <c r="B1049" s="6" t="s">
        <v>6549</v>
      </c>
      <c r="C1049" s="7">
        <v>1250.4000000000001</v>
      </c>
      <c r="D1049" s="8" t="s">
        <v>6550</v>
      </c>
      <c r="E1049" s="8" t="s">
        <v>6551</v>
      </c>
      <c r="F1049" s="8" t="s">
        <v>6552</v>
      </c>
      <c r="G1049" s="6" t="s">
        <v>33</v>
      </c>
      <c r="H1049" s="6" t="s">
        <v>34</v>
      </c>
      <c r="I1049" s="8" t="s">
        <v>2171</v>
      </c>
      <c r="J1049" s="9">
        <v>1</v>
      </c>
      <c r="K1049" s="9">
        <v>115</v>
      </c>
      <c r="L1049" s="9">
        <v>2026</v>
      </c>
      <c r="M1049" s="8" t="s">
        <v>6553</v>
      </c>
      <c r="N1049" s="8" t="s">
        <v>37</v>
      </c>
      <c r="O1049" s="8" t="s">
        <v>290</v>
      </c>
      <c r="P1049" s="6" t="s">
        <v>759</v>
      </c>
      <c r="Q1049" s="8" t="s">
        <v>65</v>
      </c>
      <c r="R1049" s="10" t="s">
        <v>6554</v>
      </c>
      <c r="S1049" s="11"/>
      <c r="T1049" s="6"/>
      <c r="U1049" s="15" t="str">
        <f>HYPERLINK("https://media.infra-m.ru/2233/2233243/cover/2233243.jpg", "Обложка")</f>
        <v>Обложка</v>
      </c>
      <c r="V1049" s="8" t="s">
        <v>2175</v>
      </c>
      <c r="W1049" s="6" t="s">
        <v>351</v>
      </c>
      <c r="X1049" s="6"/>
      <c r="Y1049" s="6"/>
      <c r="Z1049" s="6"/>
      <c r="AA1049" s="6" t="s">
        <v>187</v>
      </c>
      <c r="AB1049" s="8"/>
      <c r="AC1049" s="27">
        <v>9785160216423</v>
      </c>
    </row>
    <row r="1050" spans="1:29" s="4" customFormat="1" ht="51.9" customHeight="1" x14ac:dyDescent="0.2">
      <c r="A1050" s="5">
        <v>0</v>
      </c>
      <c r="B1050" s="6" t="s">
        <v>6555</v>
      </c>
      <c r="C1050" s="7">
        <v>1036.8</v>
      </c>
      <c r="D1050" s="8" t="s">
        <v>6556</v>
      </c>
      <c r="E1050" s="8" t="s">
        <v>6557</v>
      </c>
      <c r="F1050" s="8" t="s">
        <v>6558</v>
      </c>
      <c r="G1050" s="6" t="s">
        <v>33</v>
      </c>
      <c r="H1050" s="6" t="s">
        <v>34</v>
      </c>
      <c r="I1050" s="8" t="s">
        <v>271</v>
      </c>
      <c r="J1050" s="9">
        <v>1</v>
      </c>
      <c r="K1050" s="9">
        <v>149</v>
      </c>
      <c r="L1050" s="9">
        <v>2027</v>
      </c>
      <c r="M1050" s="8" t="s">
        <v>6559</v>
      </c>
      <c r="N1050" s="8" t="s">
        <v>37</v>
      </c>
      <c r="O1050" s="8" t="s">
        <v>233</v>
      </c>
      <c r="P1050" s="6" t="s">
        <v>51</v>
      </c>
      <c r="Q1050" s="8" t="s">
        <v>52</v>
      </c>
      <c r="R1050" s="10" t="s">
        <v>1646</v>
      </c>
      <c r="S1050" s="11" t="s">
        <v>5142</v>
      </c>
      <c r="T1050" s="6"/>
      <c r="U1050" s="15" t="str">
        <f>HYPERLINK("https://media.infra-m.ru/2272/2272041/cover/2272041.jpg", "Обложка")</f>
        <v>Обложка</v>
      </c>
      <c r="V1050" s="8" t="s">
        <v>6560</v>
      </c>
      <c r="W1050" s="6"/>
      <c r="X1050" s="6"/>
      <c r="Y1050" s="6"/>
      <c r="Z1050" s="6"/>
      <c r="AA1050" s="6" t="s">
        <v>99</v>
      </c>
      <c r="AB1050" s="8"/>
      <c r="AC1050" s="27">
        <v>9785160125244</v>
      </c>
    </row>
    <row r="1051" spans="1:29" s="4" customFormat="1" ht="51.9" customHeight="1" x14ac:dyDescent="0.2">
      <c r="A1051" s="5">
        <v>0</v>
      </c>
      <c r="B1051" s="6" t="s">
        <v>6561</v>
      </c>
      <c r="C1051" s="7">
        <v>1096.8</v>
      </c>
      <c r="D1051" s="8" t="s">
        <v>6562</v>
      </c>
      <c r="E1051" s="8" t="s">
        <v>6563</v>
      </c>
      <c r="F1051" s="8" t="s">
        <v>6564</v>
      </c>
      <c r="G1051" s="6" t="s">
        <v>118</v>
      </c>
      <c r="H1051" s="6" t="s">
        <v>134</v>
      </c>
      <c r="I1051" s="8"/>
      <c r="J1051" s="9">
        <v>1</v>
      </c>
      <c r="K1051" s="9">
        <v>160</v>
      </c>
      <c r="L1051" s="9">
        <v>2026</v>
      </c>
      <c r="M1051" s="8" t="s">
        <v>6565</v>
      </c>
      <c r="N1051" s="8" t="s">
        <v>37</v>
      </c>
      <c r="O1051" s="8" t="s">
        <v>136</v>
      </c>
      <c r="P1051" s="6" t="s">
        <v>39</v>
      </c>
      <c r="Q1051" s="8" t="s">
        <v>40</v>
      </c>
      <c r="R1051" s="10" t="s">
        <v>1068</v>
      </c>
      <c r="S1051" s="11"/>
      <c r="T1051" s="6"/>
      <c r="U1051" s="15" t="str">
        <f>HYPERLINK("https://media.infra-m.ru/2221/2221647/cover/2221647.jpg", "Обложка")</f>
        <v>Обложка</v>
      </c>
      <c r="V1051" s="8" t="s">
        <v>138</v>
      </c>
      <c r="W1051" s="6"/>
      <c r="X1051" s="6"/>
      <c r="Y1051" s="6"/>
      <c r="Z1051" s="6"/>
      <c r="AA1051" s="6" t="s">
        <v>99</v>
      </c>
      <c r="AB1051" s="8"/>
      <c r="AC1051" s="27">
        <v>9785917687865</v>
      </c>
    </row>
    <row r="1052" spans="1:29" s="4" customFormat="1" ht="51.9" customHeight="1" x14ac:dyDescent="0.2">
      <c r="A1052" s="5">
        <v>0</v>
      </c>
      <c r="B1052" s="6" t="s">
        <v>6566</v>
      </c>
      <c r="C1052" s="13">
        <v>900</v>
      </c>
      <c r="D1052" s="8" t="s">
        <v>6567</v>
      </c>
      <c r="E1052" s="8" t="s">
        <v>6568</v>
      </c>
      <c r="F1052" s="8" t="s">
        <v>6569</v>
      </c>
      <c r="G1052" s="6" t="s">
        <v>33</v>
      </c>
      <c r="H1052" s="6" t="s">
        <v>34</v>
      </c>
      <c r="I1052" s="8" t="s">
        <v>6570</v>
      </c>
      <c r="J1052" s="9">
        <v>1</v>
      </c>
      <c r="K1052" s="9">
        <v>161</v>
      </c>
      <c r="L1052" s="9">
        <v>2024</v>
      </c>
      <c r="M1052" s="8" t="s">
        <v>6571</v>
      </c>
      <c r="N1052" s="8" t="s">
        <v>37</v>
      </c>
      <c r="O1052" s="8" t="s">
        <v>136</v>
      </c>
      <c r="P1052" s="6" t="s">
        <v>39</v>
      </c>
      <c r="Q1052" s="8" t="s">
        <v>40</v>
      </c>
      <c r="R1052" s="10" t="s">
        <v>6572</v>
      </c>
      <c r="S1052" s="11"/>
      <c r="T1052" s="6"/>
      <c r="U1052" s="15" t="str">
        <f>HYPERLINK("https://media.infra-m.ru/2104/2104852/cover/2104852.jpg", "Обложка")</f>
        <v>Обложка</v>
      </c>
      <c r="V1052" s="8" t="s">
        <v>247</v>
      </c>
      <c r="W1052" s="6"/>
      <c r="X1052" s="6"/>
      <c r="Y1052" s="6"/>
      <c r="Z1052" s="6"/>
      <c r="AA1052" s="6" t="s">
        <v>115</v>
      </c>
      <c r="AB1052" s="8"/>
      <c r="AC1052" s="27">
        <v>9785160143804</v>
      </c>
    </row>
    <row r="1053" spans="1:29" s="4" customFormat="1" ht="51.9" customHeight="1" x14ac:dyDescent="0.2">
      <c r="A1053" s="5">
        <v>0</v>
      </c>
      <c r="B1053" s="6" t="s">
        <v>6573</v>
      </c>
      <c r="C1053" s="7">
        <v>1704</v>
      </c>
      <c r="D1053" s="8" t="s">
        <v>6574</v>
      </c>
      <c r="E1053" s="8" t="s">
        <v>6575</v>
      </c>
      <c r="F1053" s="8" t="s">
        <v>6433</v>
      </c>
      <c r="G1053" s="6" t="s">
        <v>60</v>
      </c>
      <c r="H1053" s="6" t="s">
        <v>34</v>
      </c>
      <c r="I1053" s="8" t="s">
        <v>35</v>
      </c>
      <c r="J1053" s="14">
        <v>0</v>
      </c>
      <c r="K1053" s="9">
        <v>239</v>
      </c>
      <c r="L1053" s="9">
        <v>2027</v>
      </c>
      <c r="M1053" s="8" t="s">
        <v>6576</v>
      </c>
      <c r="N1053" s="8" t="s">
        <v>37</v>
      </c>
      <c r="O1053" s="8" t="s">
        <v>499</v>
      </c>
      <c r="P1053" s="6" t="s">
        <v>39</v>
      </c>
      <c r="Q1053" s="8" t="s">
        <v>40</v>
      </c>
      <c r="R1053" s="10" t="s">
        <v>6577</v>
      </c>
      <c r="S1053" s="11"/>
      <c r="T1053" s="6"/>
      <c r="U1053" s="15" t="str">
        <f>HYPERLINK("https://media.infra-m.ru/2236/2236091/cover/2236091.jpg", "Обложка")</f>
        <v>Обложка</v>
      </c>
      <c r="V1053" s="8" t="s">
        <v>6436</v>
      </c>
      <c r="W1053" s="6"/>
      <c r="X1053" s="6"/>
      <c r="Y1053" s="6"/>
      <c r="Z1053" s="6"/>
      <c r="AA1053" s="6" t="s">
        <v>420</v>
      </c>
      <c r="AB1053" s="8" t="s">
        <v>308</v>
      </c>
      <c r="AC1053" s="27">
        <v>9785160217048</v>
      </c>
    </row>
    <row r="1054" spans="1:29" s="4" customFormat="1" ht="51.9" customHeight="1" x14ac:dyDescent="0.2">
      <c r="A1054" s="5">
        <v>0</v>
      </c>
      <c r="B1054" s="6" t="s">
        <v>6578</v>
      </c>
      <c r="C1054" s="13">
        <v>960</v>
      </c>
      <c r="D1054" s="8" t="s">
        <v>6579</v>
      </c>
      <c r="E1054" s="8" t="s">
        <v>6580</v>
      </c>
      <c r="F1054" s="8" t="s">
        <v>6581</v>
      </c>
      <c r="G1054" s="6" t="s">
        <v>33</v>
      </c>
      <c r="H1054" s="6" t="s">
        <v>1644</v>
      </c>
      <c r="I1054" s="8"/>
      <c r="J1054" s="9">
        <v>1</v>
      </c>
      <c r="K1054" s="9">
        <v>144</v>
      </c>
      <c r="L1054" s="9">
        <v>2023</v>
      </c>
      <c r="M1054" s="8" t="s">
        <v>6582</v>
      </c>
      <c r="N1054" s="8" t="s">
        <v>37</v>
      </c>
      <c r="O1054" s="8" t="s">
        <v>233</v>
      </c>
      <c r="P1054" s="6" t="s">
        <v>51</v>
      </c>
      <c r="Q1054" s="8" t="s">
        <v>52</v>
      </c>
      <c r="R1054" s="10" t="s">
        <v>370</v>
      </c>
      <c r="S1054" s="11"/>
      <c r="T1054" s="6"/>
      <c r="U1054" s="15" t="str">
        <f>HYPERLINK("https://media.infra-m.ru/2232/2232539/cover/2232539.jpg", "Обложка")</f>
        <v>Обложка</v>
      </c>
      <c r="V1054" s="8" t="s">
        <v>6583</v>
      </c>
      <c r="W1054" s="6"/>
      <c r="X1054" s="6"/>
      <c r="Y1054" s="6"/>
      <c r="Z1054" s="6"/>
      <c r="AA1054" s="6" t="s">
        <v>6584</v>
      </c>
      <c r="AB1054" s="8"/>
      <c r="AC1054" s="27">
        <v>9785977600644</v>
      </c>
    </row>
    <row r="1055" spans="1:29" s="4" customFormat="1" ht="51.9" customHeight="1" x14ac:dyDescent="0.2">
      <c r="A1055" s="5">
        <v>0</v>
      </c>
      <c r="B1055" s="6" t="s">
        <v>6585</v>
      </c>
      <c r="C1055" s="7">
        <v>3676.8</v>
      </c>
      <c r="D1055" s="8" t="s">
        <v>6586</v>
      </c>
      <c r="E1055" s="8" t="s">
        <v>6587</v>
      </c>
      <c r="F1055" s="8" t="s">
        <v>6588</v>
      </c>
      <c r="G1055" s="6" t="s">
        <v>60</v>
      </c>
      <c r="H1055" s="6" t="s">
        <v>34</v>
      </c>
      <c r="I1055" s="8" t="s">
        <v>253</v>
      </c>
      <c r="J1055" s="9">
        <v>1</v>
      </c>
      <c r="K1055" s="9">
        <v>555</v>
      </c>
      <c r="L1055" s="9">
        <v>2026</v>
      </c>
      <c r="M1055" s="8" t="s">
        <v>6589</v>
      </c>
      <c r="N1055" s="8" t="s">
        <v>37</v>
      </c>
      <c r="O1055" s="8" t="s">
        <v>233</v>
      </c>
      <c r="P1055" s="6" t="s">
        <v>306</v>
      </c>
      <c r="Q1055" s="8" t="s">
        <v>500</v>
      </c>
      <c r="R1055" s="10" t="s">
        <v>6590</v>
      </c>
      <c r="S1055" s="11"/>
      <c r="T1055" s="6"/>
      <c r="U1055" s="15" t="str">
        <f>HYPERLINK("https://media.infra-m.ru/2256/2256064/cover/2256064.jpg", "Обложка")</f>
        <v>Обложка</v>
      </c>
      <c r="V1055" s="8" t="s">
        <v>546</v>
      </c>
      <c r="W1055" s="6"/>
      <c r="X1055" s="6"/>
      <c r="Y1055" s="6"/>
      <c r="Z1055" s="6"/>
      <c r="AA1055" s="6" t="s">
        <v>917</v>
      </c>
      <c r="AB1055" s="8"/>
      <c r="AC1055" s="27">
        <v>9785160197920</v>
      </c>
    </row>
    <row r="1056" spans="1:29" s="4" customFormat="1" ht="42" customHeight="1" x14ac:dyDescent="0.2">
      <c r="A1056" s="5">
        <v>0</v>
      </c>
      <c r="B1056" s="6" t="s">
        <v>6591</v>
      </c>
      <c r="C1056" s="7">
        <v>1240.8</v>
      </c>
      <c r="D1056" s="8" t="s">
        <v>6592</v>
      </c>
      <c r="E1056" s="8" t="s">
        <v>6593</v>
      </c>
      <c r="F1056" s="8" t="s">
        <v>6594</v>
      </c>
      <c r="G1056" s="6" t="s">
        <v>60</v>
      </c>
      <c r="H1056" s="6" t="s">
        <v>34</v>
      </c>
      <c r="I1056" s="8" t="s">
        <v>5350</v>
      </c>
      <c r="J1056" s="9">
        <v>1</v>
      </c>
      <c r="K1056" s="9">
        <v>188</v>
      </c>
      <c r="L1056" s="9">
        <v>2026</v>
      </c>
      <c r="M1056" s="8" t="s">
        <v>6595</v>
      </c>
      <c r="N1056" s="8" t="s">
        <v>37</v>
      </c>
      <c r="O1056" s="8" t="s">
        <v>233</v>
      </c>
      <c r="P1056" s="6" t="s">
        <v>51</v>
      </c>
      <c r="Q1056" s="8" t="s">
        <v>377</v>
      </c>
      <c r="R1056" s="10" t="s">
        <v>6596</v>
      </c>
      <c r="S1056" s="11"/>
      <c r="T1056" s="6"/>
      <c r="U1056" s="15" t="str">
        <f>HYPERLINK("https://media.infra-m.ru/2229/2229958/cover/2229958.jpg", "Обложка")</f>
        <v>Обложка</v>
      </c>
      <c r="V1056" s="8" t="s">
        <v>1908</v>
      </c>
      <c r="W1056" s="6"/>
      <c r="X1056" s="6"/>
      <c r="Y1056" s="6"/>
      <c r="Z1056" s="6"/>
      <c r="AA1056" s="6" t="s">
        <v>76</v>
      </c>
      <c r="AB1056" s="8"/>
      <c r="AC1056" s="27">
        <v>9785160178622</v>
      </c>
    </row>
    <row r="1057" spans="1:29" s="4" customFormat="1" ht="42" customHeight="1" x14ac:dyDescent="0.2">
      <c r="A1057" s="5">
        <v>0</v>
      </c>
      <c r="B1057" s="6" t="s">
        <v>6597</v>
      </c>
      <c r="C1057" s="7">
        <v>1500</v>
      </c>
      <c r="D1057" s="8" t="s">
        <v>6598</v>
      </c>
      <c r="E1057" s="8" t="s">
        <v>6599</v>
      </c>
      <c r="F1057" s="8" t="s">
        <v>6594</v>
      </c>
      <c r="G1057" s="6" t="s">
        <v>60</v>
      </c>
      <c r="H1057" s="6" t="s">
        <v>34</v>
      </c>
      <c r="I1057" s="8" t="s">
        <v>263</v>
      </c>
      <c r="J1057" s="9">
        <v>1</v>
      </c>
      <c r="K1057" s="9">
        <v>228</v>
      </c>
      <c r="L1057" s="9">
        <v>2026</v>
      </c>
      <c r="M1057" s="8" t="s">
        <v>6600</v>
      </c>
      <c r="N1057" s="8" t="s">
        <v>37</v>
      </c>
      <c r="O1057" s="8" t="s">
        <v>233</v>
      </c>
      <c r="P1057" s="6" t="s">
        <v>51</v>
      </c>
      <c r="Q1057" s="8" t="s">
        <v>265</v>
      </c>
      <c r="R1057" s="10" t="s">
        <v>6601</v>
      </c>
      <c r="S1057" s="11"/>
      <c r="T1057" s="6"/>
      <c r="U1057" s="15" t="str">
        <f>HYPERLINK("https://media.infra-m.ru/2192/2192605/cover/2192605.jpg", "Обложка")</f>
        <v>Обложка</v>
      </c>
      <c r="V1057" s="8" t="s">
        <v>1908</v>
      </c>
      <c r="W1057" s="6"/>
      <c r="X1057" s="6"/>
      <c r="Y1057" s="6"/>
      <c r="Z1057" s="6"/>
      <c r="AA1057" s="6" t="s">
        <v>187</v>
      </c>
      <c r="AB1057" s="8"/>
      <c r="AC1057" s="27">
        <v>9785160207704</v>
      </c>
    </row>
    <row r="1058" spans="1:29" s="4" customFormat="1" ht="51.9" customHeight="1" x14ac:dyDescent="0.2">
      <c r="A1058" s="5">
        <v>0</v>
      </c>
      <c r="B1058" s="6" t="s">
        <v>6602</v>
      </c>
      <c r="C1058" s="7">
        <v>1768.8</v>
      </c>
      <c r="D1058" s="8" t="s">
        <v>6603</v>
      </c>
      <c r="E1058" s="8" t="s">
        <v>6604</v>
      </c>
      <c r="F1058" s="8" t="s">
        <v>6605</v>
      </c>
      <c r="G1058" s="6" t="s">
        <v>118</v>
      </c>
      <c r="H1058" s="6" t="s">
        <v>34</v>
      </c>
      <c r="I1058" s="8" t="s">
        <v>3119</v>
      </c>
      <c r="J1058" s="9">
        <v>1</v>
      </c>
      <c r="K1058" s="9">
        <v>255</v>
      </c>
      <c r="L1058" s="9">
        <v>2027</v>
      </c>
      <c r="M1058" s="8" t="s">
        <v>6606</v>
      </c>
      <c r="N1058" s="8" t="s">
        <v>37</v>
      </c>
      <c r="O1058" s="8" t="s">
        <v>233</v>
      </c>
      <c r="P1058" s="6" t="s">
        <v>306</v>
      </c>
      <c r="Q1058" s="8" t="s">
        <v>52</v>
      </c>
      <c r="R1058" s="10" t="s">
        <v>1646</v>
      </c>
      <c r="S1058" s="11" t="s">
        <v>6607</v>
      </c>
      <c r="T1058" s="6" t="s">
        <v>97</v>
      </c>
      <c r="U1058" s="15" t="str">
        <f>HYPERLINK("https://media.infra-m.ru/2267/2267733/cover/2267733.jpg", "Обложка")</f>
        <v>Обложка</v>
      </c>
      <c r="V1058" s="8" t="s">
        <v>396</v>
      </c>
      <c r="W1058" s="6"/>
      <c r="X1058" s="6"/>
      <c r="Y1058" s="6"/>
      <c r="Z1058" s="6"/>
      <c r="AA1058" s="6" t="s">
        <v>896</v>
      </c>
      <c r="AB1058" s="8"/>
      <c r="AC1058" s="27">
        <v>9785160192031</v>
      </c>
    </row>
    <row r="1059" spans="1:29" s="4" customFormat="1" ht="51.9" customHeight="1" x14ac:dyDescent="0.2">
      <c r="A1059" s="5">
        <v>0</v>
      </c>
      <c r="B1059" s="6" t="s">
        <v>6608</v>
      </c>
      <c r="C1059" s="7">
        <v>1788</v>
      </c>
      <c r="D1059" s="8" t="s">
        <v>6609</v>
      </c>
      <c r="E1059" s="8" t="s">
        <v>6610</v>
      </c>
      <c r="F1059" s="8" t="s">
        <v>6611</v>
      </c>
      <c r="G1059" s="6" t="s">
        <v>118</v>
      </c>
      <c r="H1059" s="6" t="s">
        <v>34</v>
      </c>
      <c r="I1059" s="8" t="s">
        <v>504</v>
      </c>
      <c r="J1059" s="9">
        <v>1</v>
      </c>
      <c r="K1059" s="9">
        <v>332</v>
      </c>
      <c r="L1059" s="9">
        <v>2023</v>
      </c>
      <c r="M1059" s="8" t="s">
        <v>6612</v>
      </c>
      <c r="N1059" s="8" t="s">
        <v>37</v>
      </c>
      <c r="O1059" s="8" t="s">
        <v>233</v>
      </c>
      <c r="P1059" s="6" t="s">
        <v>306</v>
      </c>
      <c r="Q1059" s="8" t="s">
        <v>500</v>
      </c>
      <c r="R1059" s="10" t="s">
        <v>6590</v>
      </c>
      <c r="S1059" s="11" t="s">
        <v>6613</v>
      </c>
      <c r="T1059" s="6"/>
      <c r="U1059" s="15" t="str">
        <f>HYPERLINK("https://media.infra-m.ru/1907/1907033/cover/1907033.jpg", "Обложка")</f>
        <v>Обложка</v>
      </c>
      <c r="V1059" s="8" t="s">
        <v>546</v>
      </c>
      <c r="W1059" s="6"/>
      <c r="X1059" s="6"/>
      <c r="Y1059" s="6"/>
      <c r="Z1059" s="6"/>
      <c r="AA1059" s="6" t="s">
        <v>86</v>
      </c>
      <c r="AB1059" s="8"/>
      <c r="AC1059" s="27">
        <v>9785160132198</v>
      </c>
    </row>
    <row r="1060" spans="1:29" s="4" customFormat="1" ht="51.9" customHeight="1" x14ac:dyDescent="0.2">
      <c r="A1060" s="5">
        <v>0</v>
      </c>
      <c r="B1060" s="6" t="s">
        <v>6614</v>
      </c>
      <c r="C1060" s="7">
        <v>1020</v>
      </c>
      <c r="D1060" s="8" t="s">
        <v>6615</v>
      </c>
      <c r="E1060" s="8" t="s">
        <v>6616</v>
      </c>
      <c r="F1060" s="8" t="s">
        <v>6605</v>
      </c>
      <c r="G1060" s="6" t="s">
        <v>118</v>
      </c>
      <c r="H1060" s="6" t="s">
        <v>34</v>
      </c>
      <c r="I1060" s="8" t="s">
        <v>504</v>
      </c>
      <c r="J1060" s="9">
        <v>1</v>
      </c>
      <c r="K1060" s="9">
        <v>249</v>
      </c>
      <c r="L1060" s="9">
        <v>2020</v>
      </c>
      <c r="M1060" s="8" t="s">
        <v>6617</v>
      </c>
      <c r="N1060" s="8" t="s">
        <v>37</v>
      </c>
      <c r="O1060" s="8" t="s">
        <v>233</v>
      </c>
      <c r="P1060" s="6" t="s">
        <v>306</v>
      </c>
      <c r="Q1060" s="8" t="s">
        <v>500</v>
      </c>
      <c r="R1060" s="10" t="s">
        <v>1646</v>
      </c>
      <c r="S1060" s="11" t="s">
        <v>6618</v>
      </c>
      <c r="T1060" s="6" t="s">
        <v>97</v>
      </c>
      <c r="U1060" s="15" t="str">
        <f>HYPERLINK("https://media.infra-m.ru/1066/1066006/cover/1066006.jpg", "Обложка")</f>
        <v>Обложка</v>
      </c>
      <c r="V1060" s="8" t="s">
        <v>396</v>
      </c>
      <c r="W1060" s="6"/>
      <c r="X1060" s="6"/>
      <c r="Y1060" s="6"/>
      <c r="Z1060" s="6"/>
      <c r="AA1060" s="6" t="s">
        <v>99</v>
      </c>
      <c r="AB1060" s="8"/>
      <c r="AC1060" s="27">
        <v>9785160124414</v>
      </c>
    </row>
    <row r="1061" spans="1:29" s="4" customFormat="1" ht="42" customHeight="1" x14ac:dyDescent="0.2">
      <c r="A1061" s="5">
        <v>0</v>
      </c>
      <c r="B1061" s="6" t="s">
        <v>6619</v>
      </c>
      <c r="C1061" s="7">
        <v>1840.8</v>
      </c>
      <c r="D1061" s="8" t="s">
        <v>6620</v>
      </c>
      <c r="E1061" s="8" t="s">
        <v>6621</v>
      </c>
      <c r="F1061" s="8" t="s">
        <v>6594</v>
      </c>
      <c r="G1061" s="6" t="s">
        <v>60</v>
      </c>
      <c r="H1061" s="6" t="s">
        <v>34</v>
      </c>
      <c r="I1061" s="8" t="s">
        <v>5350</v>
      </c>
      <c r="J1061" s="9">
        <v>1</v>
      </c>
      <c r="K1061" s="9">
        <v>265</v>
      </c>
      <c r="L1061" s="9">
        <v>2027</v>
      </c>
      <c r="M1061" s="8" t="s">
        <v>6622</v>
      </c>
      <c r="N1061" s="8" t="s">
        <v>37</v>
      </c>
      <c r="O1061" s="8" t="s">
        <v>233</v>
      </c>
      <c r="P1061" s="6" t="s">
        <v>306</v>
      </c>
      <c r="Q1061" s="8" t="s">
        <v>377</v>
      </c>
      <c r="R1061" s="10" t="s">
        <v>6623</v>
      </c>
      <c r="S1061" s="11"/>
      <c r="T1061" s="6"/>
      <c r="U1061" s="15" t="str">
        <f>HYPERLINK("https://media.infra-m.ru/2272/2272045/cover/2272045.jpg", "Обложка")</f>
        <v>Обложка</v>
      </c>
      <c r="V1061" s="8" t="s">
        <v>1908</v>
      </c>
      <c r="W1061" s="6"/>
      <c r="X1061" s="6"/>
      <c r="Y1061" s="6"/>
      <c r="Z1061" s="6"/>
      <c r="AA1061" s="6" t="s">
        <v>76</v>
      </c>
      <c r="AB1061" s="8"/>
      <c r="AC1061" s="27">
        <v>9785160177137</v>
      </c>
    </row>
    <row r="1062" spans="1:29" s="4" customFormat="1" ht="44.1" customHeight="1" x14ac:dyDescent="0.2">
      <c r="A1062" s="5">
        <v>0</v>
      </c>
      <c r="B1062" s="6" t="s">
        <v>6624</v>
      </c>
      <c r="C1062" s="7">
        <v>1308</v>
      </c>
      <c r="D1062" s="8" t="s">
        <v>6625</v>
      </c>
      <c r="E1062" s="8" t="s">
        <v>6621</v>
      </c>
      <c r="F1062" s="8" t="s">
        <v>6594</v>
      </c>
      <c r="G1062" s="6" t="s">
        <v>60</v>
      </c>
      <c r="H1062" s="6" t="s">
        <v>34</v>
      </c>
      <c r="I1062" s="8" t="s">
        <v>263</v>
      </c>
      <c r="J1062" s="9">
        <v>1</v>
      </c>
      <c r="K1062" s="9">
        <v>188</v>
      </c>
      <c r="L1062" s="9">
        <v>2026</v>
      </c>
      <c r="M1062" s="8" t="s">
        <v>6626</v>
      </c>
      <c r="N1062" s="8" t="s">
        <v>37</v>
      </c>
      <c r="O1062" s="8" t="s">
        <v>233</v>
      </c>
      <c r="P1062" s="6" t="s">
        <v>51</v>
      </c>
      <c r="Q1062" s="8" t="s">
        <v>265</v>
      </c>
      <c r="R1062" s="10" t="s">
        <v>6627</v>
      </c>
      <c r="S1062" s="11"/>
      <c r="T1062" s="6"/>
      <c r="U1062" s="15" t="str">
        <f>HYPERLINK("https://media.infra-m.ru/2186/2186381/cover/2186381.jpg", "Обложка")</f>
        <v>Обложка</v>
      </c>
      <c r="V1062" s="8" t="s">
        <v>1908</v>
      </c>
      <c r="W1062" s="6"/>
      <c r="X1062" s="6"/>
      <c r="Y1062" s="6"/>
      <c r="Z1062" s="6"/>
      <c r="AA1062" s="6" t="s">
        <v>187</v>
      </c>
      <c r="AB1062" s="8" t="s">
        <v>437</v>
      </c>
      <c r="AC1062" s="27">
        <v>9785160206240</v>
      </c>
    </row>
    <row r="1063" spans="1:29" s="4" customFormat="1" ht="51.9" customHeight="1" x14ac:dyDescent="0.2">
      <c r="A1063" s="5">
        <v>0</v>
      </c>
      <c r="B1063" s="6" t="s">
        <v>6628</v>
      </c>
      <c r="C1063" s="7">
        <v>1596</v>
      </c>
      <c r="D1063" s="8" t="s">
        <v>6629</v>
      </c>
      <c r="E1063" s="8" t="s">
        <v>6621</v>
      </c>
      <c r="F1063" s="8" t="s">
        <v>6630</v>
      </c>
      <c r="G1063" s="6" t="s">
        <v>118</v>
      </c>
      <c r="H1063" s="6" t="s">
        <v>1042</v>
      </c>
      <c r="I1063" s="8" t="s">
        <v>253</v>
      </c>
      <c r="J1063" s="9">
        <v>1</v>
      </c>
      <c r="K1063" s="9">
        <v>287</v>
      </c>
      <c r="L1063" s="9">
        <v>2023</v>
      </c>
      <c r="M1063" s="8" t="s">
        <v>6631</v>
      </c>
      <c r="N1063" s="8" t="s">
        <v>37</v>
      </c>
      <c r="O1063" s="8" t="s">
        <v>233</v>
      </c>
      <c r="P1063" s="6" t="s">
        <v>51</v>
      </c>
      <c r="Q1063" s="8" t="s">
        <v>52</v>
      </c>
      <c r="R1063" s="10" t="s">
        <v>3008</v>
      </c>
      <c r="S1063" s="11" t="s">
        <v>6632</v>
      </c>
      <c r="T1063" s="6"/>
      <c r="U1063" s="15" t="str">
        <f>HYPERLINK("https://media.infra-m.ru/1940/1940918/cover/1940918.jpg", "Обложка")</f>
        <v>Обложка</v>
      </c>
      <c r="V1063" s="8" t="s">
        <v>831</v>
      </c>
      <c r="W1063" s="6"/>
      <c r="X1063" s="6"/>
      <c r="Y1063" s="6"/>
      <c r="Z1063" s="6"/>
      <c r="AA1063" s="6" t="s">
        <v>779</v>
      </c>
      <c r="AB1063" s="8"/>
      <c r="AC1063" s="27">
        <v>9785819906354</v>
      </c>
    </row>
    <row r="1064" spans="1:29" s="4" customFormat="1" ht="42" customHeight="1" x14ac:dyDescent="0.2">
      <c r="A1064" s="5">
        <v>0</v>
      </c>
      <c r="B1064" s="6" t="s">
        <v>6633</v>
      </c>
      <c r="C1064" s="7">
        <v>1068</v>
      </c>
      <c r="D1064" s="8" t="s">
        <v>6634</v>
      </c>
      <c r="E1064" s="8" t="s">
        <v>6635</v>
      </c>
      <c r="F1064" s="8" t="s">
        <v>4721</v>
      </c>
      <c r="G1064" s="6" t="s">
        <v>33</v>
      </c>
      <c r="H1064" s="6" t="s">
        <v>34</v>
      </c>
      <c r="I1064" s="8" t="s">
        <v>35</v>
      </c>
      <c r="J1064" s="9">
        <v>1</v>
      </c>
      <c r="K1064" s="9">
        <v>161</v>
      </c>
      <c r="L1064" s="9">
        <v>2026</v>
      </c>
      <c r="M1064" s="8" t="s">
        <v>6636</v>
      </c>
      <c r="N1064" s="8" t="s">
        <v>37</v>
      </c>
      <c r="O1064" s="8" t="s">
        <v>38</v>
      </c>
      <c r="P1064" s="6" t="s">
        <v>39</v>
      </c>
      <c r="Q1064" s="8" t="s">
        <v>40</v>
      </c>
      <c r="R1064" s="10" t="s">
        <v>216</v>
      </c>
      <c r="S1064" s="11"/>
      <c r="T1064" s="6"/>
      <c r="U1064" s="15" t="str">
        <f>HYPERLINK("https://media.infra-m.ru/2170/2170056/cover/2170056.jpg", "Обложка")</f>
        <v>Обложка</v>
      </c>
      <c r="V1064" s="8" t="s">
        <v>911</v>
      </c>
      <c r="W1064" s="6"/>
      <c r="X1064" s="6"/>
      <c r="Y1064" s="6"/>
      <c r="Z1064" s="6"/>
      <c r="AA1064" s="6" t="s">
        <v>430</v>
      </c>
      <c r="AB1064" s="8"/>
      <c r="AC1064" s="27">
        <v>9785160161389</v>
      </c>
    </row>
    <row r="1065" spans="1:29" s="4" customFormat="1" ht="42" customHeight="1" x14ac:dyDescent="0.2">
      <c r="A1065" s="5">
        <v>0</v>
      </c>
      <c r="B1065" s="6" t="s">
        <v>6637</v>
      </c>
      <c r="C1065" s="7">
        <v>1572</v>
      </c>
      <c r="D1065" s="8" t="s">
        <v>6638</v>
      </c>
      <c r="E1065" s="8" t="s">
        <v>6639</v>
      </c>
      <c r="F1065" s="8" t="s">
        <v>6640</v>
      </c>
      <c r="G1065" s="6" t="s">
        <v>33</v>
      </c>
      <c r="H1065" s="6" t="s">
        <v>34</v>
      </c>
      <c r="I1065" s="8" t="s">
        <v>35</v>
      </c>
      <c r="J1065" s="9">
        <v>1</v>
      </c>
      <c r="K1065" s="9">
        <v>238</v>
      </c>
      <c r="L1065" s="9">
        <v>2026</v>
      </c>
      <c r="M1065" s="8" t="s">
        <v>6641</v>
      </c>
      <c r="N1065" s="8" t="s">
        <v>37</v>
      </c>
      <c r="O1065" s="8" t="s">
        <v>233</v>
      </c>
      <c r="P1065" s="6" t="s">
        <v>39</v>
      </c>
      <c r="Q1065" s="8" t="s">
        <v>40</v>
      </c>
      <c r="R1065" s="10" t="s">
        <v>5331</v>
      </c>
      <c r="S1065" s="11"/>
      <c r="T1065" s="6"/>
      <c r="U1065" s="15" t="str">
        <f>HYPERLINK("https://media.infra-m.ru/2244/2244318/cover/2244318.jpg", "Обложка")</f>
        <v>Обложка</v>
      </c>
      <c r="V1065" s="8" t="s">
        <v>6642</v>
      </c>
      <c r="W1065" s="6"/>
      <c r="X1065" s="6"/>
      <c r="Y1065" s="6"/>
      <c r="Z1065" s="6"/>
      <c r="AA1065" s="6" t="s">
        <v>68</v>
      </c>
      <c r="AB1065" s="8"/>
      <c r="AC1065" s="27">
        <v>9785160200743</v>
      </c>
    </row>
    <row r="1066" spans="1:29" s="4" customFormat="1" ht="44.1" customHeight="1" x14ac:dyDescent="0.2">
      <c r="A1066" s="5">
        <v>0</v>
      </c>
      <c r="B1066" s="6" t="s">
        <v>6643</v>
      </c>
      <c r="C1066" s="7">
        <v>1468.8</v>
      </c>
      <c r="D1066" s="8" t="s">
        <v>6644</v>
      </c>
      <c r="E1066" s="8" t="s">
        <v>6645</v>
      </c>
      <c r="F1066" s="8" t="s">
        <v>6646</v>
      </c>
      <c r="G1066" s="6" t="s">
        <v>60</v>
      </c>
      <c r="H1066" s="6" t="s">
        <v>34</v>
      </c>
      <c r="I1066" s="8" t="s">
        <v>3092</v>
      </c>
      <c r="J1066" s="9">
        <v>1</v>
      </c>
      <c r="K1066" s="9">
        <v>222</v>
      </c>
      <c r="L1066" s="9">
        <v>2026</v>
      </c>
      <c r="M1066" s="8" t="s">
        <v>6647</v>
      </c>
      <c r="N1066" s="8" t="s">
        <v>37</v>
      </c>
      <c r="O1066" s="8" t="s">
        <v>233</v>
      </c>
      <c r="P1066" s="6" t="s">
        <v>1837</v>
      </c>
      <c r="Q1066" s="8" t="s">
        <v>40</v>
      </c>
      <c r="R1066" s="10" t="s">
        <v>6648</v>
      </c>
      <c r="S1066" s="11"/>
      <c r="T1066" s="6"/>
      <c r="U1066" s="15" t="str">
        <f>HYPERLINK("https://media.infra-m.ru/2250/2250938/cover/2250938.jpg", "Обложка")</f>
        <v>Обложка</v>
      </c>
      <c r="V1066" s="8" t="s">
        <v>6642</v>
      </c>
      <c r="W1066" s="6"/>
      <c r="X1066" s="6"/>
      <c r="Y1066" s="6"/>
      <c r="Z1066" s="6"/>
      <c r="AA1066" s="6" t="s">
        <v>718</v>
      </c>
      <c r="AB1066" s="8"/>
      <c r="AC1066" s="27">
        <v>9785160056111</v>
      </c>
    </row>
    <row r="1067" spans="1:29" s="4" customFormat="1" ht="51.9" customHeight="1" x14ac:dyDescent="0.2">
      <c r="A1067" s="5">
        <v>0</v>
      </c>
      <c r="B1067" s="6" t="s">
        <v>6649</v>
      </c>
      <c r="C1067" s="7">
        <v>2056.8000000000002</v>
      </c>
      <c r="D1067" s="8" t="s">
        <v>6650</v>
      </c>
      <c r="E1067" s="8" t="s">
        <v>6651</v>
      </c>
      <c r="F1067" s="8" t="s">
        <v>6652</v>
      </c>
      <c r="G1067" s="6" t="s">
        <v>118</v>
      </c>
      <c r="H1067" s="6" t="s">
        <v>34</v>
      </c>
      <c r="I1067" s="8" t="s">
        <v>263</v>
      </c>
      <c r="J1067" s="9">
        <v>1</v>
      </c>
      <c r="K1067" s="9">
        <v>311</v>
      </c>
      <c r="L1067" s="9">
        <v>2026</v>
      </c>
      <c r="M1067" s="8" t="s">
        <v>6653</v>
      </c>
      <c r="N1067" s="8" t="s">
        <v>243</v>
      </c>
      <c r="O1067" s="8" t="s">
        <v>1100</v>
      </c>
      <c r="P1067" s="6" t="s">
        <v>306</v>
      </c>
      <c r="Q1067" s="8" t="s">
        <v>265</v>
      </c>
      <c r="R1067" s="10" t="s">
        <v>6248</v>
      </c>
      <c r="S1067" s="11" t="s">
        <v>6249</v>
      </c>
      <c r="T1067" s="6"/>
      <c r="U1067" s="15" t="str">
        <f>HYPERLINK("https://media.infra-m.ru/2246/2246646/cover/2246646.jpg", "Обложка")</f>
        <v>Обложка</v>
      </c>
      <c r="V1067" s="8" t="s">
        <v>2475</v>
      </c>
      <c r="W1067" s="6"/>
      <c r="X1067" s="6"/>
      <c r="Y1067" s="6"/>
      <c r="Z1067" s="6" t="s">
        <v>267</v>
      </c>
      <c r="AA1067" s="6" t="s">
        <v>2240</v>
      </c>
      <c r="AB1067" s="8"/>
      <c r="AC1067" s="27">
        <v>9785160163796</v>
      </c>
    </row>
    <row r="1068" spans="1:29" s="4" customFormat="1" ht="51.9" customHeight="1" x14ac:dyDescent="0.2">
      <c r="A1068" s="5">
        <v>0</v>
      </c>
      <c r="B1068" s="6" t="s">
        <v>6654</v>
      </c>
      <c r="C1068" s="7">
        <v>2064</v>
      </c>
      <c r="D1068" s="8" t="s">
        <v>6655</v>
      </c>
      <c r="E1068" s="8" t="s">
        <v>6651</v>
      </c>
      <c r="F1068" s="8" t="s">
        <v>6656</v>
      </c>
      <c r="G1068" s="6" t="s">
        <v>118</v>
      </c>
      <c r="H1068" s="6" t="s">
        <v>34</v>
      </c>
      <c r="I1068" s="8" t="s">
        <v>253</v>
      </c>
      <c r="J1068" s="9">
        <v>1</v>
      </c>
      <c r="K1068" s="9">
        <v>311</v>
      </c>
      <c r="L1068" s="9">
        <v>2026</v>
      </c>
      <c r="M1068" s="8" t="s">
        <v>6657</v>
      </c>
      <c r="N1068" s="8" t="s">
        <v>243</v>
      </c>
      <c r="O1068" s="8" t="s">
        <v>1100</v>
      </c>
      <c r="P1068" s="6" t="s">
        <v>306</v>
      </c>
      <c r="Q1068" s="8" t="s">
        <v>52</v>
      </c>
      <c r="R1068" s="10" t="s">
        <v>6658</v>
      </c>
      <c r="S1068" s="11" t="s">
        <v>6659</v>
      </c>
      <c r="T1068" s="6" t="s">
        <v>97</v>
      </c>
      <c r="U1068" s="15" t="str">
        <f>HYPERLINK("https://media.infra-m.ru/2230/2230670/cover/2230670.jpg", "Обложка")</f>
        <v>Обложка</v>
      </c>
      <c r="V1068" s="8" t="s">
        <v>2475</v>
      </c>
      <c r="W1068" s="6"/>
      <c r="X1068" s="6"/>
      <c r="Y1068" s="6"/>
      <c r="Z1068" s="6"/>
      <c r="AA1068" s="6" t="s">
        <v>874</v>
      </c>
      <c r="AB1068" s="8"/>
      <c r="AC1068" s="27">
        <v>9785160191133</v>
      </c>
    </row>
    <row r="1069" spans="1:29" s="4" customFormat="1" ht="51.9" customHeight="1" x14ac:dyDescent="0.2">
      <c r="A1069" s="5">
        <v>0</v>
      </c>
      <c r="B1069" s="6" t="s">
        <v>6660</v>
      </c>
      <c r="C1069" s="7">
        <v>1036.8</v>
      </c>
      <c r="D1069" s="8" t="s">
        <v>6661</v>
      </c>
      <c r="E1069" s="8" t="s">
        <v>6662</v>
      </c>
      <c r="F1069" s="8" t="s">
        <v>4706</v>
      </c>
      <c r="G1069" s="6" t="s">
        <v>33</v>
      </c>
      <c r="H1069" s="6" t="s">
        <v>34</v>
      </c>
      <c r="I1069" s="8" t="s">
        <v>5350</v>
      </c>
      <c r="J1069" s="9">
        <v>1</v>
      </c>
      <c r="K1069" s="9">
        <v>157</v>
      </c>
      <c r="L1069" s="9">
        <v>2026</v>
      </c>
      <c r="M1069" s="8" t="s">
        <v>6663</v>
      </c>
      <c r="N1069" s="8" t="s">
        <v>243</v>
      </c>
      <c r="O1069" s="8" t="s">
        <v>385</v>
      </c>
      <c r="P1069" s="6" t="s">
        <v>51</v>
      </c>
      <c r="Q1069" s="8" t="s">
        <v>377</v>
      </c>
      <c r="R1069" s="10" t="s">
        <v>6664</v>
      </c>
      <c r="S1069" s="11" t="s">
        <v>6665</v>
      </c>
      <c r="T1069" s="6"/>
      <c r="U1069" s="15" t="str">
        <f>HYPERLINK("https://media.infra-m.ru/2252/2252535/cover/2252535.jpg", "Обложка")</f>
        <v>Обложка</v>
      </c>
      <c r="V1069" s="8" t="s">
        <v>4710</v>
      </c>
      <c r="W1069" s="6"/>
      <c r="X1069" s="6"/>
      <c r="Y1069" s="6"/>
      <c r="Z1069" s="6"/>
      <c r="AA1069" s="6" t="s">
        <v>779</v>
      </c>
      <c r="AB1069" s="8"/>
      <c r="AC1069" s="27">
        <v>9785160119144</v>
      </c>
    </row>
    <row r="1070" spans="1:29" s="4" customFormat="1" ht="51.9" customHeight="1" x14ac:dyDescent="0.2">
      <c r="A1070" s="5">
        <v>0</v>
      </c>
      <c r="B1070" s="6" t="s">
        <v>6666</v>
      </c>
      <c r="C1070" s="7">
        <v>2856</v>
      </c>
      <c r="D1070" s="8" t="s">
        <v>6667</v>
      </c>
      <c r="E1070" s="8" t="s">
        <v>6668</v>
      </c>
      <c r="F1070" s="8" t="s">
        <v>6669</v>
      </c>
      <c r="G1070" s="6" t="s">
        <v>60</v>
      </c>
      <c r="H1070" s="6" t="s">
        <v>34</v>
      </c>
      <c r="I1070" s="8" t="s">
        <v>375</v>
      </c>
      <c r="J1070" s="9">
        <v>1</v>
      </c>
      <c r="K1070" s="9">
        <v>474</v>
      </c>
      <c r="L1070" s="9">
        <v>2025</v>
      </c>
      <c r="M1070" s="8" t="s">
        <v>6670</v>
      </c>
      <c r="N1070" s="8" t="s">
        <v>243</v>
      </c>
      <c r="O1070" s="8" t="s">
        <v>385</v>
      </c>
      <c r="P1070" s="6" t="s">
        <v>105</v>
      </c>
      <c r="Q1070" s="8" t="s">
        <v>377</v>
      </c>
      <c r="R1070" s="10" t="s">
        <v>6671</v>
      </c>
      <c r="S1070" s="11" t="s">
        <v>4717</v>
      </c>
      <c r="T1070" s="6"/>
      <c r="U1070" s="15" t="str">
        <f>HYPERLINK("https://media.infra-m.ru/2150/2150298/cover/2150298.jpg", "Обложка")</f>
        <v>Обложка</v>
      </c>
      <c r="V1070" s="8" t="s">
        <v>379</v>
      </c>
      <c r="W1070" s="6"/>
      <c r="X1070" s="6"/>
      <c r="Y1070" s="6"/>
      <c r="Z1070" s="6"/>
      <c r="AA1070" s="6" t="s">
        <v>68</v>
      </c>
      <c r="AB1070" s="8"/>
      <c r="AC1070" s="27">
        <v>9785160199832</v>
      </c>
    </row>
    <row r="1071" spans="1:29" s="4" customFormat="1" ht="44.1" customHeight="1" x14ac:dyDescent="0.2">
      <c r="A1071" s="5">
        <v>0</v>
      </c>
      <c r="B1071" s="6" t="s">
        <v>6672</v>
      </c>
      <c r="C1071" s="7">
        <v>1980</v>
      </c>
      <c r="D1071" s="8" t="s">
        <v>6673</v>
      </c>
      <c r="E1071" s="8" t="s">
        <v>6674</v>
      </c>
      <c r="F1071" s="8" t="s">
        <v>6675</v>
      </c>
      <c r="G1071" s="6" t="s">
        <v>33</v>
      </c>
      <c r="H1071" s="6" t="s">
        <v>34</v>
      </c>
      <c r="I1071" s="8" t="s">
        <v>4459</v>
      </c>
      <c r="J1071" s="9">
        <v>1</v>
      </c>
      <c r="K1071" s="9">
        <v>284</v>
      </c>
      <c r="L1071" s="9">
        <v>2026</v>
      </c>
      <c r="M1071" s="8" t="s">
        <v>6676</v>
      </c>
      <c r="N1071" s="8" t="s">
        <v>37</v>
      </c>
      <c r="O1071" s="8" t="s">
        <v>280</v>
      </c>
      <c r="P1071" s="6" t="s">
        <v>234</v>
      </c>
      <c r="Q1071" s="8" t="s">
        <v>40</v>
      </c>
      <c r="R1071" s="10" t="s">
        <v>6677</v>
      </c>
      <c r="S1071" s="11"/>
      <c r="T1071" s="6"/>
      <c r="U1071" s="15" t="str">
        <f>HYPERLINK("https://media.infra-m.ru/2261/2261221/cover/2261221.jpg", "Обложка")</f>
        <v>Обложка</v>
      </c>
      <c r="V1071" s="8" t="s">
        <v>227</v>
      </c>
      <c r="W1071" s="6"/>
      <c r="X1071" s="6"/>
      <c r="Y1071" s="6"/>
      <c r="Z1071" s="6"/>
      <c r="AA1071" s="6" t="s">
        <v>274</v>
      </c>
      <c r="AB1071" s="8"/>
      <c r="AC1071" s="27">
        <v>9785160100449</v>
      </c>
    </row>
    <row r="1072" spans="1:29" s="4" customFormat="1" ht="42" customHeight="1" x14ac:dyDescent="0.2">
      <c r="A1072" s="5">
        <v>0</v>
      </c>
      <c r="B1072" s="6" t="s">
        <v>6678</v>
      </c>
      <c r="C1072" s="7">
        <v>1156.8</v>
      </c>
      <c r="D1072" s="8" t="s">
        <v>6679</v>
      </c>
      <c r="E1072" s="8" t="s">
        <v>6680</v>
      </c>
      <c r="F1072" s="8" t="s">
        <v>6681</v>
      </c>
      <c r="G1072" s="6" t="s">
        <v>33</v>
      </c>
      <c r="H1072" s="6" t="s">
        <v>34</v>
      </c>
      <c r="I1072" s="8" t="s">
        <v>35</v>
      </c>
      <c r="J1072" s="9">
        <v>1</v>
      </c>
      <c r="K1072" s="9">
        <v>184</v>
      </c>
      <c r="L1072" s="9">
        <v>2025</v>
      </c>
      <c r="M1072" s="8" t="s">
        <v>6682</v>
      </c>
      <c r="N1072" s="8" t="s">
        <v>37</v>
      </c>
      <c r="O1072" s="8" t="s">
        <v>233</v>
      </c>
      <c r="P1072" s="6" t="s">
        <v>39</v>
      </c>
      <c r="Q1072" s="8" t="s">
        <v>40</v>
      </c>
      <c r="R1072" s="10" t="s">
        <v>3832</v>
      </c>
      <c r="S1072" s="11"/>
      <c r="T1072" s="6"/>
      <c r="U1072" s="15" t="str">
        <f>HYPERLINK("https://media.infra-m.ru/2197/2197806/cover/2197806.jpg", "Обложка")</f>
        <v>Обложка</v>
      </c>
      <c r="V1072" s="8" t="s">
        <v>396</v>
      </c>
      <c r="W1072" s="6"/>
      <c r="X1072" s="6"/>
      <c r="Y1072" s="6"/>
      <c r="Z1072" s="6"/>
      <c r="AA1072" s="6" t="s">
        <v>430</v>
      </c>
      <c r="AB1072" s="8"/>
      <c r="AC1072" s="27">
        <v>9785160162492</v>
      </c>
    </row>
    <row r="1073" spans="1:29" s="4" customFormat="1" ht="51.9" customHeight="1" x14ac:dyDescent="0.2">
      <c r="A1073" s="5">
        <v>0</v>
      </c>
      <c r="B1073" s="6" t="s">
        <v>6683</v>
      </c>
      <c r="C1073" s="7">
        <v>1576.8</v>
      </c>
      <c r="D1073" s="8" t="s">
        <v>6684</v>
      </c>
      <c r="E1073" s="8" t="s">
        <v>6685</v>
      </c>
      <c r="F1073" s="8" t="s">
        <v>6686</v>
      </c>
      <c r="G1073" s="6" t="s">
        <v>118</v>
      </c>
      <c r="H1073" s="6" t="s">
        <v>34</v>
      </c>
      <c r="I1073" s="8" t="s">
        <v>504</v>
      </c>
      <c r="J1073" s="9">
        <v>1</v>
      </c>
      <c r="K1073" s="9">
        <v>238</v>
      </c>
      <c r="L1073" s="9">
        <v>2026</v>
      </c>
      <c r="M1073" s="8" t="s">
        <v>6687</v>
      </c>
      <c r="N1073" s="8" t="s">
        <v>37</v>
      </c>
      <c r="O1073" s="8" t="s">
        <v>233</v>
      </c>
      <c r="P1073" s="6" t="s">
        <v>51</v>
      </c>
      <c r="Q1073" s="8" t="s">
        <v>500</v>
      </c>
      <c r="R1073" s="10" t="s">
        <v>2033</v>
      </c>
      <c r="S1073" s="11" t="s">
        <v>6688</v>
      </c>
      <c r="T1073" s="6"/>
      <c r="U1073" s="15" t="str">
        <f>HYPERLINK("https://media.infra-m.ru/2232/2232628/cover/2232628.jpg", "Обложка")</f>
        <v>Обложка</v>
      </c>
      <c r="V1073" s="8" t="s">
        <v>5143</v>
      </c>
      <c r="W1073" s="6"/>
      <c r="X1073" s="6"/>
      <c r="Y1073" s="6"/>
      <c r="Z1073" s="6"/>
      <c r="AA1073" s="6" t="s">
        <v>115</v>
      </c>
      <c r="AB1073" s="8"/>
      <c r="AC1073" s="27">
        <v>9785160143699</v>
      </c>
    </row>
    <row r="1074" spans="1:29" s="4" customFormat="1" ht="42" customHeight="1" x14ac:dyDescent="0.2">
      <c r="A1074" s="5">
        <v>0</v>
      </c>
      <c r="B1074" s="6" t="s">
        <v>6689</v>
      </c>
      <c r="C1074" s="13">
        <v>624</v>
      </c>
      <c r="D1074" s="8" t="s">
        <v>6690</v>
      </c>
      <c r="E1074" s="8" t="s">
        <v>6691</v>
      </c>
      <c r="F1074" s="8" t="s">
        <v>6692</v>
      </c>
      <c r="G1074" s="6" t="s">
        <v>33</v>
      </c>
      <c r="H1074" s="6" t="s">
        <v>34</v>
      </c>
      <c r="I1074" s="8" t="s">
        <v>35</v>
      </c>
      <c r="J1074" s="9">
        <v>1</v>
      </c>
      <c r="K1074" s="9">
        <v>152</v>
      </c>
      <c r="L1074" s="9">
        <v>2019</v>
      </c>
      <c r="M1074" s="8" t="s">
        <v>6693</v>
      </c>
      <c r="N1074" s="8" t="s">
        <v>37</v>
      </c>
      <c r="O1074" s="8" t="s">
        <v>233</v>
      </c>
      <c r="P1074" s="6" t="s">
        <v>39</v>
      </c>
      <c r="Q1074" s="8" t="s">
        <v>40</v>
      </c>
      <c r="R1074" s="10" t="s">
        <v>4087</v>
      </c>
      <c r="S1074" s="11"/>
      <c r="T1074" s="6"/>
      <c r="U1074" s="15" t="str">
        <f>HYPERLINK("https://media.infra-m.ru/1002/1002024/cover/1002024.jpg", "Обложка")</f>
        <v>Обложка</v>
      </c>
      <c r="V1074" s="8" t="s">
        <v>5143</v>
      </c>
      <c r="W1074" s="6"/>
      <c r="X1074" s="6"/>
      <c r="Y1074" s="6"/>
      <c r="Z1074" s="6"/>
      <c r="AA1074" s="6" t="s">
        <v>55</v>
      </c>
      <c r="AB1074" s="8"/>
      <c r="AC1074" s="27">
        <v>9785160061795</v>
      </c>
    </row>
    <row r="1075" spans="1:29" s="4" customFormat="1" ht="51.9" customHeight="1" x14ac:dyDescent="0.2">
      <c r="A1075" s="5">
        <v>0</v>
      </c>
      <c r="B1075" s="6" t="s">
        <v>6694</v>
      </c>
      <c r="C1075" s="7">
        <v>1284</v>
      </c>
      <c r="D1075" s="8" t="s">
        <v>6695</v>
      </c>
      <c r="E1075" s="8" t="s">
        <v>6696</v>
      </c>
      <c r="F1075" s="8" t="s">
        <v>6697</v>
      </c>
      <c r="G1075" s="6" t="s">
        <v>118</v>
      </c>
      <c r="H1075" s="6" t="s">
        <v>34</v>
      </c>
      <c r="I1075" s="8" t="s">
        <v>179</v>
      </c>
      <c r="J1075" s="9">
        <v>1</v>
      </c>
      <c r="K1075" s="9">
        <v>193</v>
      </c>
      <c r="L1075" s="9">
        <v>2026</v>
      </c>
      <c r="M1075" s="8" t="s">
        <v>6698</v>
      </c>
      <c r="N1075" s="8" t="s">
        <v>37</v>
      </c>
      <c r="O1075" s="8" t="s">
        <v>499</v>
      </c>
      <c r="P1075" s="6" t="s">
        <v>182</v>
      </c>
      <c r="Q1075" s="8"/>
      <c r="R1075" s="10" t="s">
        <v>6699</v>
      </c>
      <c r="S1075" s="11"/>
      <c r="T1075" s="6"/>
      <c r="U1075" s="15" t="str">
        <f>HYPERLINK("https://media.infra-m.ru/2228/2228877/cover/2228877.jpg", "Обложка")</f>
        <v>Обложка</v>
      </c>
      <c r="V1075" s="8" t="s">
        <v>6700</v>
      </c>
      <c r="W1075" s="6"/>
      <c r="X1075" s="6"/>
      <c r="Y1075" s="6"/>
      <c r="Z1075" s="6"/>
      <c r="AA1075" s="6" t="s">
        <v>68</v>
      </c>
      <c r="AB1075" s="8" t="s">
        <v>2208</v>
      </c>
      <c r="AC1075" s="27">
        <v>9785160204963</v>
      </c>
    </row>
    <row r="1076" spans="1:29" s="4" customFormat="1" ht="51.9" customHeight="1" x14ac:dyDescent="0.2">
      <c r="A1076" s="5">
        <v>0</v>
      </c>
      <c r="B1076" s="6" t="s">
        <v>6701</v>
      </c>
      <c r="C1076" s="7">
        <v>1336.8</v>
      </c>
      <c r="D1076" s="8" t="s">
        <v>6702</v>
      </c>
      <c r="E1076" s="8" t="s">
        <v>6696</v>
      </c>
      <c r="F1076" s="8" t="s">
        <v>6697</v>
      </c>
      <c r="G1076" s="6" t="s">
        <v>60</v>
      </c>
      <c r="H1076" s="6" t="s">
        <v>34</v>
      </c>
      <c r="I1076" s="8" t="s">
        <v>253</v>
      </c>
      <c r="J1076" s="9">
        <v>1</v>
      </c>
      <c r="K1076" s="9">
        <v>193</v>
      </c>
      <c r="L1076" s="9">
        <v>2027</v>
      </c>
      <c r="M1076" s="8" t="s">
        <v>6703</v>
      </c>
      <c r="N1076" s="8" t="s">
        <v>37</v>
      </c>
      <c r="O1076" s="8" t="s">
        <v>499</v>
      </c>
      <c r="P1076" s="6" t="s">
        <v>51</v>
      </c>
      <c r="Q1076" s="8" t="s">
        <v>52</v>
      </c>
      <c r="R1076" s="10" t="s">
        <v>6704</v>
      </c>
      <c r="S1076" s="11"/>
      <c r="T1076" s="6"/>
      <c r="U1076" s="15" t="str">
        <f>HYPERLINK("https://media.infra-m.ru/2272/2272046/cover/2272046.jpg", "Обложка")</f>
        <v>Обложка</v>
      </c>
      <c r="V1076" s="8" t="s">
        <v>6700</v>
      </c>
      <c r="W1076" s="6"/>
      <c r="X1076" s="6"/>
      <c r="Y1076" s="6"/>
      <c r="Z1076" s="6"/>
      <c r="AA1076" s="6" t="s">
        <v>76</v>
      </c>
      <c r="AB1076" s="8"/>
      <c r="AC1076" s="27">
        <v>9785160178257</v>
      </c>
    </row>
    <row r="1077" spans="1:29" s="4" customFormat="1" ht="51.9" customHeight="1" x14ac:dyDescent="0.2">
      <c r="A1077" s="5">
        <v>0</v>
      </c>
      <c r="B1077" s="6" t="s">
        <v>6705</v>
      </c>
      <c r="C1077" s="7">
        <v>2536.8000000000002</v>
      </c>
      <c r="D1077" s="8" t="s">
        <v>6706</v>
      </c>
      <c r="E1077" s="8" t="s">
        <v>6707</v>
      </c>
      <c r="F1077" s="8" t="s">
        <v>6708</v>
      </c>
      <c r="G1077" s="6" t="s">
        <v>118</v>
      </c>
      <c r="H1077" s="6" t="s">
        <v>34</v>
      </c>
      <c r="I1077" s="8" t="s">
        <v>35</v>
      </c>
      <c r="J1077" s="9">
        <v>1</v>
      </c>
      <c r="K1077" s="9">
        <v>610</v>
      </c>
      <c r="L1077" s="9">
        <v>2021</v>
      </c>
      <c r="M1077" s="8" t="s">
        <v>6709</v>
      </c>
      <c r="N1077" s="8" t="s">
        <v>93</v>
      </c>
      <c r="O1077" s="8" t="s">
        <v>94</v>
      </c>
      <c r="P1077" s="6" t="s">
        <v>39</v>
      </c>
      <c r="Q1077" s="8" t="s">
        <v>40</v>
      </c>
      <c r="R1077" s="10" t="s">
        <v>6710</v>
      </c>
      <c r="S1077" s="11"/>
      <c r="T1077" s="6"/>
      <c r="U1077" s="15" t="str">
        <f>HYPERLINK("https://media.infra-m.ru/2101/2101560/cover/2101560.jpg", "Обложка")</f>
        <v>Обложка</v>
      </c>
      <c r="V1077" s="8" t="s">
        <v>1505</v>
      </c>
      <c r="W1077" s="6"/>
      <c r="X1077" s="6"/>
      <c r="Y1077" s="6"/>
      <c r="Z1077" s="6"/>
      <c r="AA1077" s="6" t="s">
        <v>1256</v>
      </c>
      <c r="AB1077" s="8"/>
      <c r="AC1077" s="27">
        <v>9785160156651</v>
      </c>
    </row>
    <row r="1078" spans="1:29" s="4" customFormat="1" ht="42" customHeight="1" x14ac:dyDescent="0.2">
      <c r="A1078" s="5">
        <v>0</v>
      </c>
      <c r="B1078" s="6" t="s">
        <v>6711</v>
      </c>
      <c r="C1078" s="13">
        <v>869.9</v>
      </c>
      <c r="D1078" s="8" t="s">
        <v>6712</v>
      </c>
      <c r="E1078" s="8" t="s">
        <v>6713</v>
      </c>
      <c r="F1078" s="8" t="s">
        <v>6714</v>
      </c>
      <c r="G1078" s="6" t="s">
        <v>33</v>
      </c>
      <c r="H1078" s="6" t="s">
        <v>34</v>
      </c>
      <c r="I1078" s="8" t="s">
        <v>35</v>
      </c>
      <c r="J1078" s="9">
        <v>1</v>
      </c>
      <c r="K1078" s="9">
        <v>161</v>
      </c>
      <c r="L1078" s="9">
        <v>2023</v>
      </c>
      <c r="M1078" s="8" t="s">
        <v>6715</v>
      </c>
      <c r="N1078" s="8" t="s">
        <v>93</v>
      </c>
      <c r="O1078" s="8" t="s">
        <v>94</v>
      </c>
      <c r="P1078" s="6" t="s">
        <v>39</v>
      </c>
      <c r="Q1078" s="8" t="s">
        <v>40</v>
      </c>
      <c r="R1078" s="10" t="s">
        <v>6716</v>
      </c>
      <c r="S1078" s="11"/>
      <c r="T1078" s="6"/>
      <c r="U1078" s="15" t="str">
        <f>HYPERLINK("https://media.infra-m.ru/1976/1976181/cover/1976181.jpg", "Обложка")</f>
        <v>Обложка</v>
      </c>
      <c r="V1078" s="8" t="s">
        <v>5820</v>
      </c>
      <c r="W1078" s="6"/>
      <c r="X1078" s="6"/>
      <c r="Y1078" s="6"/>
      <c r="Z1078" s="6"/>
      <c r="AA1078" s="6" t="s">
        <v>1256</v>
      </c>
      <c r="AB1078" s="8"/>
      <c r="AC1078" s="27">
        <v>9785160161556</v>
      </c>
    </row>
    <row r="1079" spans="1:29" s="4" customFormat="1" ht="51.9" customHeight="1" x14ac:dyDescent="0.2">
      <c r="A1079" s="5">
        <v>0</v>
      </c>
      <c r="B1079" s="6" t="s">
        <v>6717</v>
      </c>
      <c r="C1079" s="7">
        <v>2604</v>
      </c>
      <c r="D1079" s="8" t="s">
        <v>6718</v>
      </c>
      <c r="E1079" s="8" t="s">
        <v>6719</v>
      </c>
      <c r="F1079" s="8" t="s">
        <v>6720</v>
      </c>
      <c r="G1079" s="6" t="s">
        <v>60</v>
      </c>
      <c r="H1079" s="6" t="s">
        <v>34</v>
      </c>
      <c r="I1079" s="8" t="s">
        <v>263</v>
      </c>
      <c r="J1079" s="9">
        <v>1</v>
      </c>
      <c r="K1079" s="9">
        <v>415</v>
      </c>
      <c r="L1079" s="9">
        <v>2026</v>
      </c>
      <c r="M1079" s="8" t="s">
        <v>6721</v>
      </c>
      <c r="N1079" s="8" t="s">
        <v>243</v>
      </c>
      <c r="O1079" s="8" t="s">
        <v>798</v>
      </c>
      <c r="P1079" s="6" t="s">
        <v>306</v>
      </c>
      <c r="Q1079" s="8" t="s">
        <v>265</v>
      </c>
      <c r="R1079" s="10" t="s">
        <v>6722</v>
      </c>
      <c r="S1079" s="11" t="s">
        <v>6723</v>
      </c>
      <c r="T1079" s="6"/>
      <c r="U1079" s="15" t="str">
        <f>HYPERLINK("https://media.infra-m.ru/2222/2222191/cover/2222191.jpg", "Обложка")</f>
        <v>Обложка</v>
      </c>
      <c r="V1079" s="8" t="s">
        <v>809</v>
      </c>
      <c r="W1079" s="6"/>
      <c r="X1079" s="6"/>
      <c r="Y1079" s="6"/>
      <c r="Z1079" s="6"/>
      <c r="AA1079" s="6" t="s">
        <v>1506</v>
      </c>
      <c r="AB1079" s="8"/>
      <c r="AC1079" s="27">
        <v>9785160063300</v>
      </c>
    </row>
    <row r="1080" spans="1:29" s="4" customFormat="1" ht="51.9" customHeight="1" x14ac:dyDescent="0.2">
      <c r="A1080" s="5">
        <v>0</v>
      </c>
      <c r="B1080" s="6" t="s">
        <v>6724</v>
      </c>
      <c r="C1080" s="7">
        <v>1968</v>
      </c>
      <c r="D1080" s="8" t="s">
        <v>6725</v>
      </c>
      <c r="E1080" s="8" t="s">
        <v>6726</v>
      </c>
      <c r="F1080" s="8" t="s">
        <v>4643</v>
      </c>
      <c r="G1080" s="6" t="s">
        <v>118</v>
      </c>
      <c r="H1080" s="6" t="s">
        <v>34</v>
      </c>
      <c r="I1080" s="8" t="s">
        <v>253</v>
      </c>
      <c r="J1080" s="9">
        <v>1</v>
      </c>
      <c r="K1080" s="9">
        <v>298</v>
      </c>
      <c r="L1080" s="9">
        <v>2026</v>
      </c>
      <c r="M1080" s="8" t="s">
        <v>6727</v>
      </c>
      <c r="N1080" s="8" t="s">
        <v>585</v>
      </c>
      <c r="O1080" s="8" t="s">
        <v>775</v>
      </c>
      <c r="P1080" s="6" t="s">
        <v>51</v>
      </c>
      <c r="Q1080" s="8" t="s">
        <v>500</v>
      </c>
      <c r="R1080" s="10" t="s">
        <v>6728</v>
      </c>
      <c r="S1080" s="11" t="s">
        <v>6729</v>
      </c>
      <c r="T1080" s="6"/>
      <c r="U1080" s="15" t="str">
        <f>HYPERLINK("https://media.infra-m.ru/2230/2230634/cover/2230634.jpg", "Обложка")</f>
        <v>Обложка</v>
      </c>
      <c r="V1080" s="8" t="s">
        <v>761</v>
      </c>
      <c r="W1080" s="6"/>
      <c r="X1080" s="6"/>
      <c r="Y1080" s="6"/>
      <c r="Z1080" s="6"/>
      <c r="AA1080" s="6" t="s">
        <v>86</v>
      </c>
      <c r="AB1080" s="8"/>
      <c r="AC1080" s="27">
        <v>9785160215549</v>
      </c>
    </row>
    <row r="1081" spans="1:29" s="4" customFormat="1" ht="51.9" customHeight="1" x14ac:dyDescent="0.2">
      <c r="A1081" s="5">
        <v>0</v>
      </c>
      <c r="B1081" s="6" t="s">
        <v>6730</v>
      </c>
      <c r="C1081" s="7">
        <v>2656.8</v>
      </c>
      <c r="D1081" s="8" t="s">
        <v>6731</v>
      </c>
      <c r="E1081" s="8" t="s">
        <v>6732</v>
      </c>
      <c r="F1081" s="8" t="s">
        <v>6733</v>
      </c>
      <c r="G1081" s="6" t="s">
        <v>118</v>
      </c>
      <c r="H1081" s="6" t="s">
        <v>34</v>
      </c>
      <c r="I1081" s="8" t="s">
        <v>271</v>
      </c>
      <c r="J1081" s="9">
        <v>1</v>
      </c>
      <c r="K1081" s="9">
        <v>443</v>
      </c>
      <c r="L1081" s="9">
        <v>2025</v>
      </c>
      <c r="M1081" s="8" t="s">
        <v>6734</v>
      </c>
      <c r="N1081" s="8" t="s">
        <v>243</v>
      </c>
      <c r="O1081" s="8" t="s">
        <v>798</v>
      </c>
      <c r="P1081" s="6" t="s">
        <v>306</v>
      </c>
      <c r="Q1081" s="8" t="s">
        <v>52</v>
      </c>
      <c r="R1081" s="10" t="s">
        <v>6735</v>
      </c>
      <c r="S1081" s="11" t="s">
        <v>6736</v>
      </c>
      <c r="T1081" s="6"/>
      <c r="U1081" s="15" t="str">
        <f>HYPERLINK("https://media.infra-m.ru/2194/2194391/cover/2194391.jpg", "Обложка")</f>
        <v>Обложка</v>
      </c>
      <c r="V1081" s="8" t="s">
        <v>809</v>
      </c>
      <c r="W1081" s="6"/>
      <c r="X1081" s="6"/>
      <c r="Y1081" s="6"/>
      <c r="Z1081" s="6"/>
      <c r="AA1081" s="6" t="s">
        <v>274</v>
      </c>
      <c r="AB1081" s="8"/>
      <c r="AC1081" s="27">
        <v>9785160106205</v>
      </c>
    </row>
    <row r="1082" spans="1:29" s="4" customFormat="1" ht="51.9" customHeight="1" x14ac:dyDescent="0.2">
      <c r="A1082" s="5">
        <v>0</v>
      </c>
      <c r="B1082" s="6" t="s">
        <v>6737</v>
      </c>
      <c r="C1082" s="7">
        <v>2928</v>
      </c>
      <c r="D1082" s="8" t="s">
        <v>6738</v>
      </c>
      <c r="E1082" s="8" t="s">
        <v>6732</v>
      </c>
      <c r="F1082" s="8" t="s">
        <v>6733</v>
      </c>
      <c r="G1082" s="6" t="s">
        <v>60</v>
      </c>
      <c r="H1082" s="6" t="s">
        <v>34</v>
      </c>
      <c r="I1082" s="8" t="s">
        <v>263</v>
      </c>
      <c r="J1082" s="9">
        <v>1</v>
      </c>
      <c r="K1082" s="9">
        <v>443</v>
      </c>
      <c r="L1082" s="9">
        <v>2026</v>
      </c>
      <c r="M1082" s="8" t="s">
        <v>6739</v>
      </c>
      <c r="N1082" s="8" t="s">
        <v>243</v>
      </c>
      <c r="O1082" s="8" t="s">
        <v>798</v>
      </c>
      <c r="P1082" s="6" t="s">
        <v>306</v>
      </c>
      <c r="Q1082" s="8" t="s">
        <v>265</v>
      </c>
      <c r="R1082" s="10" t="s">
        <v>6740</v>
      </c>
      <c r="S1082" s="11" t="s">
        <v>6741</v>
      </c>
      <c r="T1082" s="6"/>
      <c r="U1082" s="15" t="str">
        <f>HYPERLINK("https://media.infra-m.ru/2225/2225232/cover/2225232.jpg", "Обложка")</f>
        <v>Обложка</v>
      </c>
      <c r="V1082" s="8" t="s">
        <v>809</v>
      </c>
      <c r="W1082" s="6"/>
      <c r="X1082" s="6"/>
      <c r="Y1082" s="6"/>
      <c r="Z1082" s="6" t="s">
        <v>267</v>
      </c>
      <c r="AA1082" s="6" t="s">
        <v>115</v>
      </c>
      <c r="AB1082" s="8"/>
      <c r="AC1082" s="27">
        <v>9785160139012</v>
      </c>
    </row>
    <row r="1083" spans="1:29" s="4" customFormat="1" ht="51.9" customHeight="1" x14ac:dyDescent="0.2">
      <c r="A1083" s="5">
        <v>0</v>
      </c>
      <c r="B1083" s="6" t="s">
        <v>6742</v>
      </c>
      <c r="C1083" s="7">
        <v>1996.8</v>
      </c>
      <c r="D1083" s="8" t="s">
        <v>6743</v>
      </c>
      <c r="E1083" s="8" t="s">
        <v>6732</v>
      </c>
      <c r="F1083" s="8" t="s">
        <v>6744</v>
      </c>
      <c r="G1083" s="6" t="s">
        <v>118</v>
      </c>
      <c r="H1083" s="6" t="s">
        <v>34</v>
      </c>
      <c r="I1083" s="8" t="s">
        <v>263</v>
      </c>
      <c r="J1083" s="9">
        <v>1</v>
      </c>
      <c r="K1083" s="9">
        <v>287</v>
      </c>
      <c r="L1083" s="9">
        <v>2026</v>
      </c>
      <c r="M1083" s="8" t="s">
        <v>6745</v>
      </c>
      <c r="N1083" s="8" t="s">
        <v>243</v>
      </c>
      <c r="O1083" s="8" t="s">
        <v>798</v>
      </c>
      <c r="P1083" s="6" t="s">
        <v>306</v>
      </c>
      <c r="Q1083" s="8" t="s">
        <v>265</v>
      </c>
      <c r="R1083" s="10" t="s">
        <v>6746</v>
      </c>
      <c r="S1083" s="11" t="s">
        <v>6747</v>
      </c>
      <c r="T1083" s="6"/>
      <c r="U1083" s="15" t="str">
        <f>HYPERLINK("https://media.infra-m.ru/2233/2233671/cover/2233671.jpg", "Обложка")</f>
        <v>Обложка</v>
      </c>
      <c r="V1083" s="8" t="s">
        <v>1030</v>
      </c>
      <c r="W1083" s="6"/>
      <c r="X1083" s="6"/>
      <c r="Y1083" s="6"/>
      <c r="Z1083" s="6"/>
      <c r="AA1083" s="6" t="s">
        <v>949</v>
      </c>
      <c r="AB1083" s="8"/>
      <c r="AC1083" s="27">
        <v>9785160090689</v>
      </c>
    </row>
    <row r="1084" spans="1:29" s="4" customFormat="1" ht="51.9" customHeight="1" x14ac:dyDescent="0.2">
      <c r="A1084" s="5">
        <v>0</v>
      </c>
      <c r="B1084" s="6" t="s">
        <v>6748</v>
      </c>
      <c r="C1084" s="7">
        <v>1228.8</v>
      </c>
      <c r="D1084" s="8" t="s">
        <v>6749</v>
      </c>
      <c r="E1084" s="8" t="s">
        <v>6750</v>
      </c>
      <c r="F1084" s="8" t="s">
        <v>6751</v>
      </c>
      <c r="G1084" s="6" t="s">
        <v>33</v>
      </c>
      <c r="H1084" s="6" t="s">
        <v>34</v>
      </c>
      <c r="I1084" s="8" t="s">
        <v>6752</v>
      </c>
      <c r="J1084" s="9">
        <v>1</v>
      </c>
      <c r="K1084" s="9">
        <v>217</v>
      </c>
      <c r="L1084" s="9">
        <v>2023</v>
      </c>
      <c r="M1084" s="8" t="s">
        <v>6753</v>
      </c>
      <c r="N1084" s="8" t="s">
        <v>585</v>
      </c>
      <c r="O1084" s="8" t="s">
        <v>775</v>
      </c>
      <c r="P1084" s="6" t="s">
        <v>39</v>
      </c>
      <c r="Q1084" s="8" t="s">
        <v>40</v>
      </c>
      <c r="R1084" s="10" t="s">
        <v>6754</v>
      </c>
      <c r="S1084" s="11"/>
      <c r="T1084" s="6"/>
      <c r="U1084" s="15" t="str">
        <f>HYPERLINK("https://media.infra-m.ru/2124/2124292/cover/2124292.jpg", "Обложка")</f>
        <v>Обложка</v>
      </c>
      <c r="V1084" s="8" t="s">
        <v>1030</v>
      </c>
      <c r="W1084" s="6"/>
      <c r="X1084" s="6"/>
      <c r="Y1084" s="6"/>
      <c r="Z1084" s="6"/>
      <c r="AA1084" s="6" t="s">
        <v>157</v>
      </c>
      <c r="AB1084" s="8"/>
      <c r="AC1084" s="27">
        <v>9785160180106</v>
      </c>
    </row>
    <row r="1085" spans="1:29" s="4" customFormat="1" ht="51.9" customHeight="1" x14ac:dyDescent="0.2">
      <c r="A1085" s="5">
        <v>0</v>
      </c>
      <c r="B1085" s="6" t="s">
        <v>6755</v>
      </c>
      <c r="C1085" s="7">
        <v>2704.8</v>
      </c>
      <c r="D1085" s="8" t="s">
        <v>6756</v>
      </c>
      <c r="E1085" s="8" t="s">
        <v>6757</v>
      </c>
      <c r="F1085" s="8" t="s">
        <v>6758</v>
      </c>
      <c r="G1085" s="6" t="s">
        <v>118</v>
      </c>
      <c r="H1085" s="6" t="s">
        <v>34</v>
      </c>
      <c r="I1085" s="8" t="s">
        <v>271</v>
      </c>
      <c r="J1085" s="9">
        <v>1</v>
      </c>
      <c r="K1085" s="9">
        <v>452</v>
      </c>
      <c r="L1085" s="9">
        <v>2025</v>
      </c>
      <c r="M1085" s="8" t="s">
        <v>6759</v>
      </c>
      <c r="N1085" s="8" t="s">
        <v>243</v>
      </c>
      <c r="O1085" s="8" t="s">
        <v>798</v>
      </c>
      <c r="P1085" s="6" t="s">
        <v>306</v>
      </c>
      <c r="Q1085" s="8" t="s">
        <v>52</v>
      </c>
      <c r="R1085" s="10" t="s">
        <v>6760</v>
      </c>
      <c r="S1085" s="11" t="s">
        <v>6761</v>
      </c>
      <c r="T1085" s="6" t="s">
        <v>97</v>
      </c>
      <c r="U1085" s="15" t="str">
        <f>HYPERLINK("https://media.infra-m.ru/2173/2173245/cover/2173245.jpg", "Обложка")</f>
        <v>Обложка</v>
      </c>
      <c r="V1085" s="8" t="s">
        <v>1030</v>
      </c>
      <c r="W1085" s="6"/>
      <c r="X1085" s="6"/>
      <c r="Y1085" s="6"/>
      <c r="Z1085" s="6"/>
      <c r="AA1085" s="6" t="s">
        <v>115</v>
      </c>
      <c r="AB1085" s="8"/>
      <c r="AC1085" s="27">
        <v>9785160142869</v>
      </c>
    </row>
    <row r="1086" spans="1:29" s="4" customFormat="1" ht="51.9" customHeight="1" x14ac:dyDescent="0.2">
      <c r="A1086" s="5">
        <v>0</v>
      </c>
      <c r="B1086" s="6" t="s">
        <v>6762</v>
      </c>
      <c r="C1086" s="7">
        <v>1272</v>
      </c>
      <c r="D1086" s="8" t="s">
        <v>6763</v>
      </c>
      <c r="E1086" s="8" t="s">
        <v>6764</v>
      </c>
      <c r="F1086" s="8" t="s">
        <v>6497</v>
      </c>
      <c r="G1086" s="6" t="s">
        <v>33</v>
      </c>
      <c r="H1086" s="6" t="s">
        <v>313</v>
      </c>
      <c r="I1086" s="8" t="s">
        <v>35</v>
      </c>
      <c r="J1086" s="9">
        <v>1</v>
      </c>
      <c r="K1086" s="9">
        <v>184</v>
      </c>
      <c r="L1086" s="9">
        <v>2026</v>
      </c>
      <c r="M1086" s="8" t="s">
        <v>6765</v>
      </c>
      <c r="N1086" s="8" t="s">
        <v>37</v>
      </c>
      <c r="O1086" s="8" t="s">
        <v>290</v>
      </c>
      <c r="P1086" s="6" t="s">
        <v>39</v>
      </c>
      <c r="Q1086" s="8" t="s">
        <v>40</v>
      </c>
      <c r="R1086" s="10" t="s">
        <v>6766</v>
      </c>
      <c r="S1086" s="11"/>
      <c r="T1086" s="6"/>
      <c r="U1086" s="15" t="str">
        <f>HYPERLINK("https://media.infra-m.ru/2224/2224077/cover/2224077.jpg", "Обложка")</f>
        <v>Обложка</v>
      </c>
      <c r="V1086" s="8" t="s">
        <v>657</v>
      </c>
      <c r="W1086" s="6"/>
      <c r="X1086" s="6"/>
      <c r="Y1086" s="6"/>
      <c r="Z1086" s="6"/>
      <c r="AA1086" s="6" t="s">
        <v>115</v>
      </c>
      <c r="AB1086" s="8"/>
      <c r="AC1086" s="27">
        <v>9785369006733</v>
      </c>
    </row>
    <row r="1087" spans="1:29" s="4" customFormat="1" ht="51.9" customHeight="1" x14ac:dyDescent="0.2">
      <c r="A1087" s="5">
        <v>0</v>
      </c>
      <c r="B1087" s="6" t="s">
        <v>6767</v>
      </c>
      <c r="C1087" s="13">
        <v>252</v>
      </c>
      <c r="D1087" s="8" t="s">
        <v>6768</v>
      </c>
      <c r="E1087" s="8" t="s">
        <v>6769</v>
      </c>
      <c r="F1087" s="8" t="s">
        <v>6770</v>
      </c>
      <c r="G1087" s="6" t="s">
        <v>6771</v>
      </c>
      <c r="H1087" s="6" t="s">
        <v>34</v>
      </c>
      <c r="I1087" s="8" t="s">
        <v>6772</v>
      </c>
      <c r="J1087" s="9">
        <v>1</v>
      </c>
      <c r="K1087" s="9">
        <v>22</v>
      </c>
      <c r="L1087" s="9">
        <v>2026</v>
      </c>
      <c r="M1087" s="8" t="s">
        <v>6773</v>
      </c>
      <c r="N1087" s="8" t="s">
        <v>37</v>
      </c>
      <c r="O1087" s="8" t="s">
        <v>136</v>
      </c>
      <c r="P1087" s="6" t="s">
        <v>6774</v>
      </c>
      <c r="Q1087" s="8" t="s">
        <v>40</v>
      </c>
      <c r="R1087" s="10" t="s">
        <v>6775</v>
      </c>
      <c r="S1087" s="11"/>
      <c r="T1087" s="6" t="s">
        <v>97</v>
      </c>
      <c r="U1087" s="15" t="str">
        <f>HYPERLINK("https://media.infra-m.ru/2241/2241952/cover/2241952.jpg", "Обложка")</f>
        <v>Обложка</v>
      </c>
      <c r="V1087" s="8"/>
      <c r="W1087" s="6"/>
      <c r="X1087" s="6"/>
      <c r="Y1087" s="6"/>
      <c r="Z1087" s="6"/>
      <c r="AA1087" s="6" t="s">
        <v>779</v>
      </c>
      <c r="AB1087" s="8"/>
      <c r="AC1087" s="27">
        <v>9785160122052</v>
      </c>
    </row>
    <row r="1088" spans="1:29" s="4" customFormat="1" ht="51.9" customHeight="1" x14ac:dyDescent="0.2">
      <c r="A1088" s="5">
        <v>0</v>
      </c>
      <c r="B1088" s="6" t="s">
        <v>6776</v>
      </c>
      <c r="C1088" s="7">
        <v>3144</v>
      </c>
      <c r="D1088" s="8" t="s">
        <v>6777</v>
      </c>
      <c r="E1088" s="8" t="s">
        <v>6778</v>
      </c>
      <c r="F1088" s="8" t="s">
        <v>6779</v>
      </c>
      <c r="G1088" s="6" t="s">
        <v>60</v>
      </c>
      <c r="H1088" s="6" t="s">
        <v>34</v>
      </c>
      <c r="I1088" s="8" t="s">
        <v>288</v>
      </c>
      <c r="J1088" s="9">
        <v>1</v>
      </c>
      <c r="K1088" s="9">
        <v>523</v>
      </c>
      <c r="L1088" s="9">
        <v>2025</v>
      </c>
      <c r="M1088" s="8" t="s">
        <v>6780</v>
      </c>
      <c r="N1088" s="8" t="s">
        <v>37</v>
      </c>
      <c r="O1088" s="8" t="s">
        <v>290</v>
      </c>
      <c r="P1088" s="6" t="s">
        <v>306</v>
      </c>
      <c r="Q1088" s="8" t="s">
        <v>65</v>
      </c>
      <c r="R1088" s="10" t="s">
        <v>6781</v>
      </c>
      <c r="S1088" s="11"/>
      <c r="T1088" s="6"/>
      <c r="U1088" s="15" t="str">
        <f>HYPERLINK("https://media.infra-m.ru/2159/2159601/cover/2159601.jpg", "Обложка")</f>
        <v>Обложка</v>
      </c>
      <c r="V1088" s="8" t="s">
        <v>786</v>
      </c>
      <c r="W1088" s="6"/>
      <c r="X1088" s="6"/>
      <c r="Y1088" s="6"/>
      <c r="Z1088" s="6"/>
      <c r="AA1088" s="6" t="s">
        <v>157</v>
      </c>
      <c r="AB1088" s="8" t="s">
        <v>6782</v>
      </c>
      <c r="AC1088" s="27">
        <v>9785160178028</v>
      </c>
    </row>
    <row r="1089" spans="1:29" s="4" customFormat="1" ht="44.1" customHeight="1" x14ac:dyDescent="0.2">
      <c r="A1089" s="5">
        <v>0</v>
      </c>
      <c r="B1089" s="6" t="s">
        <v>6783</v>
      </c>
      <c r="C1089" s="7">
        <v>3460.8</v>
      </c>
      <c r="D1089" s="8" t="s">
        <v>6784</v>
      </c>
      <c r="E1089" s="8" t="s">
        <v>6785</v>
      </c>
      <c r="F1089" s="8" t="s">
        <v>6786</v>
      </c>
      <c r="G1089" s="6" t="s">
        <v>60</v>
      </c>
      <c r="H1089" s="6" t="s">
        <v>34</v>
      </c>
      <c r="I1089" s="8" t="s">
        <v>954</v>
      </c>
      <c r="J1089" s="9">
        <v>1</v>
      </c>
      <c r="K1089" s="9">
        <v>536</v>
      </c>
      <c r="L1089" s="9">
        <v>2026</v>
      </c>
      <c r="M1089" s="8" t="s">
        <v>6787</v>
      </c>
      <c r="N1089" s="8" t="s">
        <v>37</v>
      </c>
      <c r="O1089" s="8" t="s">
        <v>290</v>
      </c>
      <c r="P1089" s="6" t="s">
        <v>306</v>
      </c>
      <c r="Q1089" s="8" t="s">
        <v>65</v>
      </c>
      <c r="R1089" s="10" t="s">
        <v>6788</v>
      </c>
      <c r="S1089" s="11"/>
      <c r="T1089" s="6"/>
      <c r="U1089" s="15" t="str">
        <f>HYPERLINK("https://media.infra-m.ru/2244/2244284/cover/2244284.jpg", "Обложка")</f>
        <v>Обложка</v>
      </c>
      <c r="V1089" s="8" t="s">
        <v>958</v>
      </c>
      <c r="W1089" s="6"/>
      <c r="X1089" s="6"/>
      <c r="Y1089" s="6"/>
      <c r="Z1089" s="6"/>
      <c r="AA1089" s="6" t="s">
        <v>68</v>
      </c>
      <c r="AB1089" s="8"/>
      <c r="AC1089" s="27">
        <v>9785160203096</v>
      </c>
    </row>
    <row r="1090" spans="1:29" s="4" customFormat="1" ht="44.1" customHeight="1" x14ac:dyDescent="0.2">
      <c r="A1090" s="5">
        <v>0</v>
      </c>
      <c r="B1090" s="6" t="s">
        <v>6789</v>
      </c>
      <c r="C1090" s="7">
        <v>3568.8</v>
      </c>
      <c r="D1090" s="8" t="s">
        <v>6790</v>
      </c>
      <c r="E1090" s="8" t="s">
        <v>6791</v>
      </c>
      <c r="F1090" s="8" t="s">
        <v>6786</v>
      </c>
      <c r="G1090" s="6" t="s">
        <v>60</v>
      </c>
      <c r="H1090" s="6" t="s">
        <v>34</v>
      </c>
      <c r="I1090" s="8" t="s">
        <v>954</v>
      </c>
      <c r="J1090" s="9">
        <v>1</v>
      </c>
      <c r="K1090" s="9">
        <v>564</v>
      </c>
      <c r="L1090" s="9">
        <v>2026</v>
      </c>
      <c r="M1090" s="8" t="s">
        <v>6792</v>
      </c>
      <c r="N1090" s="8" t="s">
        <v>37</v>
      </c>
      <c r="O1090" s="8" t="s">
        <v>290</v>
      </c>
      <c r="P1090" s="6" t="s">
        <v>306</v>
      </c>
      <c r="Q1090" s="8" t="s">
        <v>65</v>
      </c>
      <c r="R1090" s="10" t="s">
        <v>6788</v>
      </c>
      <c r="S1090" s="11"/>
      <c r="T1090" s="6"/>
      <c r="U1090" s="15" t="str">
        <f>HYPERLINK("https://media.infra-m.ru/2244/2244283/cover/2244283.jpg", "Обложка")</f>
        <v>Обложка</v>
      </c>
      <c r="V1090" s="8" t="s">
        <v>958</v>
      </c>
      <c r="W1090" s="6"/>
      <c r="X1090" s="6"/>
      <c r="Y1090" s="6"/>
      <c r="Z1090" s="6"/>
      <c r="AA1090" s="6" t="s">
        <v>68</v>
      </c>
      <c r="AB1090" s="8"/>
      <c r="AC1090" s="27">
        <v>9785160203102</v>
      </c>
    </row>
    <row r="1091" spans="1:29" s="4" customFormat="1" ht="51.9" customHeight="1" x14ac:dyDescent="0.2">
      <c r="A1091" s="5">
        <v>0</v>
      </c>
      <c r="B1091" s="6" t="s">
        <v>6793</v>
      </c>
      <c r="C1091" s="7">
        <v>1690.8</v>
      </c>
      <c r="D1091" s="8" t="s">
        <v>6794</v>
      </c>
      <c r="E1091" s="8" t="s">
        <v>6795</v>
      </c>
      <c r="F1091" s="8" t="s">
        <v>6796</v>
      </c>
      <c r="G1091" s="6" t="s">
        <v>60</v>
      </c>
      <c r="H1091" s="6" t="s">
        <v>34</v>
      </c>
      <c r="I1091" s="8" t="s">
        <v>288</v>
      </c>
      <c r="J1091" s="9">
        <v>1</v>
      </c>
      <c r="K1091" s="9">
        <v>135</v>
      </c>
      <c r="L1091" s="9">
        <v>2025</v>
      </c>
      <c r="M1091" s="8" t="s">
        <v>6797</v>
      </c>
      <c r="N1091" s="8" t="s">
        <v>37</v>
      </c>
      <c r="O1091" s="8" t="s">
        <v>290</v>
      </c>
      <c r="P1091" s="6" t="s">
        <v>51</v>
      </c>
      <c r="Q1091" s="8" t="s">
        <v>65</v>
      </c>
      <c r="R1091" s="10" t="s">
        <v>6798</v>
      </c>
      <c r="S1091" s="11"/>
      <c r="T1091" s="6"/>
      <c r="U1091" s="15" t="str">
        <f>HYPERLINK("https://media.infra-m.ru/2214/2214864/cover/2214864.jpg", "Обложка")</f>
        <v>Обложка</v>
      </c>
      <c r="V1091" s="8" t="s">
        <v>292</v>
      </c>
      <c r="W1091" s="6"/>
      <c r="X1091" s="6"/>
      <c r="Y1091" s="6"/>
      <c r="Z1091" s="6"/>
      <c r="AA1091" s="6" t="s">
        <v>68</v>
      </c>
      <c r="AB1091" s="8"/>
      <c r="AC1091" s="27">
        <v>9785160207193</v>
      </c>
    </row>
    <row r="1092" spans="1:29" s="4" customFormat="1" ht="51.9" customHeight="1" x14ac:dyDescent="0.2">
      <c r="A1092" s="5">
        <v>0</v>
      </c>
      <c r="B1092" s="6" t="s">
        <v>6799</v>
      </c>
      <c r="C1092" s="7">
        <v>3394.8</v>
      </c>
      <c r="D1092" s="8" t="s">
        <v>6800</v>
      </c>
      <c r="E1092" s="8" t="s">
        <v>6801</v>
      </c>
      <c r="F1092" s="8" t="s">
        <v>6802</v>
      </c>
      <c r="G1092" s="6" t="s">
        <v>60</v>
      </c>
      <c r="H1092" s="6" t="s">
        <v>34</v>
      </c>
      <c r="I1092" s="8" t="s">
        <v>288</v>
      </c>
      <c r="J1092" s="9">
        <v>1</v>
      </c>
      <c r="K1092" s="9">
        <v>419</v>
      </c>
      <c r="L1092" s="9">
        <v>2026</v>
      </c>
      <c r="M1092" s="8" t="s">
        <v>6803</v>
      </c>
      <c r="N1092" s="8" t="s">
        <v>37</v>
      </c>
      <c r="O1092" s="8" t="s">
        <v>290</v>
      </c>
      <c r="P1092" s="6" t="s">
        <v>306</v>
      </c>
      <c r="Q1092" s="8" t="s">
        <v>65</v>
      </c>
      <c r="R1092" s="10" t="s">
        <v>6804</v>
      </c>
      <c r="S1092" s="11"/>
      <c r="T1092" s="6"/>
      <c r="U1092" s="15" t="str">
        <f>HYPERLINK("https://media.infra-m.ru/2233/2233019/cover/2233019.jpg", "Обложка")</f>
        <v>Обложка</v>
      </c>
      <c r="V1092" s="8" t="s">
        <v>6805</v>
      </c>
      <c r="W1092" s="6"/>
      <c r="X1092" s="6"/>
      <c r="Y1092" s="6"/>
      <c r="Z1092" s="6"/>
      <c r="AA1092" s="6" t="s">
        <v>76</v>
      </c>
      <c r="AB1092" s="8"/>
      <c r="AC1092" s="27">
        <v>9785160197562</v>
      </c>
    </row>
    <row r="1093" spans="1:29" s="4" customFormat="1" ht="51.9" customHeight="1" x14ac:dyDescent="0.2">
      <c r="A1093" s="5">
        <v>0</v>
      </c>
      <c r="B1093" s="6" t="s">
        <v>6806</v>
      </c>
      <c r="C1093" s="7">
        <v>3064.8</v>
      </c>
      <c r="D1093" s="8" t="s">
        <v>6807</v>
      </c>
      <c r="E1093" s="8" t="s">
        <v>6808</v>
      </c>
      <c r="F1093" s="8" t="s">
        <v>6809</v>
      </c>
      <c r="G1093" s="6" t="s">
        <v>60</v>
      </c>
      <c r="H1093" s="6" t="s">
        <v>34</v>
      </c>
      <c r="I1093" s="8" t="s">
        <v>954</v>
      </c>
      <c r="J1093" s="9">
        <v>1</v>
      </c>
      <c r="K1093" s="9">
        <v>443</v>
      </c>
      <c r="L1093" s="9">
        <v>2026</v>
      </c>
      <c r="M1093" s="8" t="s">
        <v>6810</v>
      </c>
      <c r="N1093" s="8" t="s">
        <v>37</v>
      </c>
      <c r="O1093" s="8" t="s">
        <v>290</v>
      </c>
      <c r="P1093" s="6" t="s">
        <v>306</v>
      </c>
      <c r="Q1093" s="8" t="s">
        <v>65</v>
      </c>
      <c r="R1093" s="10" t="s">
        <v>6811</v>
      </c>
      <c r="S1093" s="11" t="s">
        <v>6812</v>
      </c>
      <c r="T1093" s="6"/>
      <c r="U1093" s="15" t="str">
        <f>HYPERLINK("https://media.infra-m.ru/2229/2229957/cover/2229957.jpg", "Обложка")</f>
        <v>Обложка</v>
      </c>
      <c r="V1093" s="8" t="s">
        <v>958</v>
      </c>
      <c r="W1093" s="6"/>
      <c r="X1093" s="6"/>
      <c r="Y1093" s="6"/>
      <c r="Z1093" s="6"/>
      <c r="AA1093" s="6" t="s">
        <v>115</v>
      </c>
      <c r="AB1093" s="8"/>
      <c r="AC1093" s="27">
        <v>9785160149905</v>
      </c>
    </row>
    <row r="1094" spans="1:29" s="4" customFormat="1" ht="51.9" customHeight="1" x14ac:dyDescent="0.2">
      <c r="A1094" s="5">
        <v>0</v>
      </c>
      <c r="B1094" s="6" t="s">
        <v>6813</v>
      </c>
      <c r="C1094" s="7">
        <v>4256.3999999999996</v>
      </c>
      <c r="D1094" s="8" t="s">
        <v>6814</v>
      </c>
      <c r="E1094" s="8" t="s">
        <v>6808</v>
      </c>
      <c r="F1094" s="8" t="s">
        <v>6815</v>
      </c>
      <c r="G1094" s="6" t="s">
        <v>60</v>
      </c>
      <c r="H1094" s="6" t="s">
        <v>34</v>
      </c>
      <c r="I1094" s="8" t="s">
        <v>2171</v>
      </c>
      <c r="J1094" s="9">
        <v>1</v>
      </c>
      <c r="K1094" s="9">
        <v>496</v>
      </c>
      <c r="L1094" s="9">
        <v>2026</v>
      </c>
      <c r="M1094" s="8" t="s">
        <v>6816</v>
      </c>
      <c r="N1094" s="8" t="s">
        <v>37</v>
      </c>
      <c r="O1094" s="8" t="s">
        <v>290</v>
      </c>
      <c r="P1094" s="6" t="s">
        <v>51</v>
      </c>
      <c r="Q1094" s="8" t="s">
        <v>377</v>
      </c>
      <c r="R1094" s="10" t="s">
        <v>6817</v>
      </c>
      <c r="S1094" s="11" t="s">
        <v>6818</v>
      </c>
      <c r="T1094" s="6"/>
      <c r="U1094" s="15" t="str">
        <f>HYPERLINK("https://media.infra-m.ru/2243/2243245/cover/2243245.jpg", "Обложка")</f>
        <v>Обложка</v>
      </c>
      <c r="V1094" s="8" t="s">
        <v>2175</v>
      </c>
      <c r="W1094" s="6"/>
      <c r="X1094" s="6"/>
      <c r="Y1094" s="6"/>
      <c r="Z1094" s="6"/>
      <c r="AA1094" s="6" t="s">
        <v>430</v>
      </c>
      <c r="AB1094" s="8"/>
      <c r="AC1094" s="27">
        <v>9785160163222</v>
      </c>
    </row>
    <row r="1095" spans="1:29" s="4" customFormat="1" ht="51.9" customHeight="1" x14ac:dyDescent="0.2">
      <c r="A1095" s="5">
        <v>0</v>
      </c>
      <c r="B1095" s="6" t="s">
        <v>6819</v>
      </c>
      <c r="C1095" s="7">
        <v>2388</v>
      </c>
      <c r="D1095" s="8" t="s">
        <v>6820</v>
      </c>
      <c r="E1095" s="8" t="s">
        <v>6821</v>
      </c>
      <c r="F1095" s="8" t="s">
        <v>6822</v>
      </c>
      <c r="G1095" s="6" t="s">
        <v>118</v>
      </c>
      <c r="H1095" s="6" t="s">
        <v>34</v>
      </c>
      <c r="I1095" s="8" t="s">
        <v>2927</v>
      </c>
      <c r="J1095" s="9">
        <v>1</v>
      </c>
      <c r="K1095" s="9">
        <v>363</v>
      </c>
      <c r="L1095" s="9">
        <v>2026</v>
      </c>
      <c r="M1095" s="8" t="s">
        <v>6823</v>
      </c>
      <c r="N1095" s="8" t="s">
        <v>37</v>
      </c>
      <c r="O1095" s="8" t="s">
        <v>290</v>
      </c>
      <c r="P1095" s="6" t="s">
        <v>306</v>
      </c>
      <c r="Q1095" s="8" t="s">
        <v>65</v>
      </c>
      <c r="R1095" s="10" t="s">
        <v>6824</v>
      </c>
      <c r="S1095" s="11" t="s">
        <v>6825</v>
      </c>
      <c r="T1095" s="6"/>
      <c r="U1095" s="15" t="str">
        <f>HYPERLINK("https://media.infra-m.ru/2228/2228651/cover/2228651.jpg", "Обложка")</f>
        <v>Обложка</v>
      </c>
      <c r="V1095" s="8" t="s">
        <v>1083</v>
      </c>
      <c r="W1095" s="6"/>
      <c r="X1095" s="6"/>
      <c r="Y1095" s="6"/>
      <c r="Z1095" s="6"/>
      <c r="AA1095" s="6" t="s">
        <v>157</v>
      </c>
      <c r="AB1095" s="8"/>
      <c r="AC1095" s="27">
        <v>9785160179247</v>
      </c>
    </row>
    <row r="1096" spans="1:29" s="4" customFormat="1" ht="51.9" customHeight="1" x14ac:dyDescent="0.2">
      <c r="A1096" s="5">
        <v>0</v>
      </c>
      <c r="B1096" s="6" t="s">
        <v>6826</v>
      </c>
      <c r="C1096" s="13">
        <v>756</v>
      </c>
      <c r="D1096" s="8" t="s">
        <v>6827</v>
      </c>
      <c r="E1096" s="8" t="s">
        <v>6828</v>
      </c>
      <c r="F1096" s="8" t="s">
        <v>6829</v>
      </c>
      <c r="G1096" s="6" t="s">
        <v>33</v>
      </c>
      <c r="H1096" s="6" t="s">
        <v>34</v>
      </c>
      <c r="I1096" s="8" t="s">
        <v>954</v>
      </c>
      <c r="J1096" s="9">
        <v>1</v>
      </c>
      <c r="K1096" s="9">
        <v>92</v>
      </c>
      <c r="L1096" s="9">
        <v>2027</v>
      </c>
      <c r="M1096" s="8" t="s">
        <v>6830</v>
      </c>
      <c r="N1096" s="8" t="s">
        <v>37</v>
      </c>
      <c r="O1096" s="8" t="s">
        <v>290</v>
      </c>
      <c r="P1096" s="6" t="s">
        <v>51</v>
      </c>
      <c r="Q1096" s="8" t="s">
        <v>65</v>
      </c>
      <c r="R1096" s="10" t="s">
        <v>6831</v>
      </c>
      <c r="S1096" s="11"/>
      <c r="T1096" s="6"/>
      <c r="U1096" s="15" t="str">
        <f>HYPERLINK("https://media.infra-m.ru/2270/2270999/cover/2270999.jpg", "Обложка")</f>
        <v>Обложка</v>
      </c>
      <c r="V1096" s="8" t="s">
        <v>958</v>
      </c>
      <c r="W1096" s="6"/>
      <c r="X1096" s="6"/>
      <c r="Y1096" s="6"/>
      <c r="Z1096" s="6"/>
      <c r="AA1096" s="6" t="s">
        <v>187</v>
      </c>
      <c r="AB1096" s="8"/>
      <c r="AC1096" s="27">
        <v>9785160214580</v>
      </c>
    </row>
    <row r="1097" spans="1:29" s="4" customFormat="1" ht="51.9" customHeight="1" x14ac:dyDescent="0.2">
      <c r="A1097" s="5">
        <v>0</v>
      </c>
      <c r="B1097" s="6" t="s">
        <v>6832</v>
      </c>
      <c r="C1097" s="7">
        <v>1984.8</v>
      </c>
      <c r="D1097" s="8" t="s">
        <v>6833</v>
      </c>
      <c r="E1097" s="8" t="s">
        <v>6834</v>
      </c>
      <c r="F1097" s="8" t="s">
        <v>1442</v>
      </c>
      <c r="G1097" s="6" t="s">
        <v>33</v>
      </c>
      <c r="H1097" s="6" t="s">
        <v>34</v>
      </c>
      <c r="I1097" s="8" t="s">
        <v>35</v>
      </c>
      <c r="J1097" s="9">
        <v>1</v>
      </c>
      <c r="K1097" s="9">
        <v>330</v>
      </c>
      <c r="L1097" s="9">
        <v>2025</v>
      </c>
      <c r="M1097" s="8" t="s">
        <v>6835</v>
      </c>
      <c r="N1097" s="8" t="s">
        <v>37</v>
      </c>
      <c r="O1097" s="8" t="s">
        <v>290</v>
      </c>
      <c r="P1097" s="6" t="s">
        <v>39</v>
      </c>
      <c r="Q1097" s="8" t="s">
        <v>40</v>
      </c>
      <c r="R1097" s="10" t="s">
        <v>6836</v>
      </c>
      <c r="S1097" s="11"/>
      <c r="T1097" s="6" t="s">
        <v>97</v>
      </c>
      <c r="U1097" s="15" t="str">
        <f>HYPERLINK("https://media.infra-m.ru/2180/2180888/cover/2180888.jpg", "Обложка")</f>
        <v>Обложка</v>
      </c>
      <c r="V1097" s="8" t="s">
        <v>657</v>
      </c>
      <c r="W1097" s="6"/>
      <c r="X1097" s="6"/>
      <c r="Y1097" s="6"/>
      <c r="Z1097" s="6"/>
      <c r="AA1097" s="6" t="s">
        <v>86</v>
      </c>
      <c r="AB1097" s="8" t="s">
        <v>1317</v>
      </c>
      <c r="AC1097" s="27">
        <v>9785160161709</v>
      </c>
    </row>
    <row r="1098" spans="1:29" s="4" customFormat="1" ht="51.9" customHeight="1" x14ac:dyDescent="0.2">
      <c r="A1098" s="5">
        <v>0</v>
      </c>
      <c r="B1098" s="6" t="s">
        <v>6837</v>
      </c>
      <c r="C1098" s="7">
        <v>1344</v>
      </c>
      <c r="D1098" s="8" t="s">
        <v>6838</v>
      </c>
      <c r="E1098" s="8" t="s">
        <v>6834</v>
      </c>
      <c r="F1098" s="8" t="s">
        <v>1442</v>
      </c>
      <c r="G1098" s="6" t="s">
        <v>60</v>
      </c>
      <c r="H1098" s="6" t="s">
        <v>34</v>
      </c>
      <c r="I1098" s="8" t="s">
        <v>35</v>
      </c>
      <c r="J1098" s="9">
        <v>1</v>
      </c>
      <c r="K1098" s="9">
        <v>330</v>
      </c>
      <c r="L1098" s="9">
        <v>2019</v>
      </c>
      <c r="M1098" s="8" t="s">
        <v>6839</v>
      </c>
      <c r="N1098" s="8" t="s">
        <v>37</v>
      </c>
      <c r="O1098" s="8" t="s">
        <v>290</v>
      </c>
      <c r="P1098" s="6" t="s">
        <v>39</v>
      </c>
      <c r="Q1098" s="8" t="s">
        <v>40</v>
      </c>
      <c r="R1098" s="10" t="s">
        <v>6836</v>
      </c>
      <c r="S1098" s="11"/>
      <c r="T1098" s="6" t="s">
        <v>97</v>
      </c>
      <c r="U1098" s="12"/>
      <c r="V1098" s="8" t="s">
        <v>657</v>
      </c>
      <c r="W1098" s="6"/>
      <c r="X1098" s="6"/>
      <c r="Y1098" s="6"/>
      <c r="Z1098" s="6"/>
      <c r="AA1098" s="6" t="s">
        <v>86</v>
      </c>
      <c r="AB1098" s="8" t="s">
        <v>1317</v>
      </c>
      <c r="AC1098" s="27">
        <v>9785160137780</v>
      </c>
    </row>
    <row r="1099" spans="1:29" s="4" customFormat="1" ht="42" customHeight="1" x14ac:dyDescent="0.2">
      <c r="A1099" s="5">
        <v>0</v>
      </c>
      <c r="B1099" s="6" t="s">
        <v>6840</v>
      </c>
      <c r="C1099" s="13">
        <v>792</v>
      </c>
      <c r="D1099" s="8" t="s">
        <v>6841</v>
      </c>
      <c r="E1099" s="8" t="s">
        <v>6842</v>
      </c>
      <c r="F1099" s="8" t="s">
        <v>6843</v>
      </c>
      <c r="G1099" s="6" t="s">
        <v>33</v>
      </c>
      <c r="H1099" s="6" t="s">
        <v>34</v>
      </c>
      <c r="I1099" s="8" t="s">
        <v>2927</v>
      </c>
      <c r="J1099" s="9">
        <v>1</v>
      </c>
      <c r="K1099" s="9">
        <v>120</v>
      </c>
      <c r="L1099" s="9">
        <v>2026</v>
      </c>
      <c r="M1099" s="8" t="s">
        <v>6844</v>
      </c>
      <c r="N1099" s="8" t="s">
        <v>37</v>
      </c>
      <c r="O1099" s="8" t="s">
        <v>290</v>
      </c>
      <c r="P1099" s="6" t="s">
        <v>51</v>
      </c>
      <c r="Q1099" s="8" t="s">
        <v>377</v>
      </c>
      <c r="R1099" s="10" t="s">
        <v>6845</v>
      </c>
      <c r="S1099" s="11"/>
      <c r="T1099" s="6"/>
      <c r="U1099" s="15" t="str">
        <f>HYPERLINK("https://media.infra-m.ru/2239/2239061/cover/2239061.jpg", "Обложка")</f>
        <v>Обложка</v>
      </c>
      <c r="V1099" s="8" t="s">
        <v>1083</v>
      </c>
      <c r="W1099" s="6"/>
      <c r="X1099" s="6"/>
      <c r="Y1099" s="6"/>
      <c r="Z1099" s="6"/>
      <c r="AA1099" s="6" t="s">
        <v>99</v>
      </c>
      <c r="AB1099" s="8"/>
      <c r="AC1099" s="27">
        <v>9785160174396</v>
      </c>
    </row>
    <row r="1100" spans="1:29" s="4" customFormat="1" ht="51.9" customHeight="1" x14ac:dyDescent="0.2">
      <c r="A1100" s="5">
        <v>0</v>
      </c>
      <c r="B1100" s="6" t="s">
        <v>6846</v>
      </c>
      <c r="C1100" s="7">
        <v>1768.8</v>
      </c>
      <c r="D1100" s="8" t="s">
        <v>6847</v>
      </c>
      <c r="E1100" s="8" t="s">
        <v>6848</v>
      </c>
      <c r="F1100" s="8" t="s">
        <v>6849</v>
      </c>
      <c r="G1100" s="6" t="s">
        <v>118</v>
      </c>
      <c r="H1100" s="6" t="s">
        <v>34</v>
      </c>
      <c r="I1100" s="8" t="s">
        <v>2927</v>
      </c>
      <c r="J1100" s="9">
        <v>1</v>
      </c>
      <c r="K1100" s="9">
        <v>268</v>
      </c>
      <c r="L1100" s="9">
        <v>2026</v>
      </c>
      <c r="M1100" s="8" t="s">
        <v>6850</v>
      </c>
      <c r="N1100" s="8" t="s">
        <v>37</v>
      </c>
      <c r="O1100" s="8" t="s">
        <v>290</v>
      </c>
      <c r="P1100" s="6" t="s">
        <v>306</v>
      </c>
      <c r="Q1100" s="8" t="s">
        <v>65</v>
      </c>
      <c r="R1100" s="10" t="s">
        <v>6851</v>
      </c>
      <c r="S1100" s="11" t="s">
        <v>6852</v>
      </c>
      <c r="T1100" s="6"/>
      <c r="U1100" s="15" t="str">
        <f>HYPERLINK("https://media.infra-m.ru/2241/2241971/cover/2241971.jpg", "Обложка")</f>
        <v>Обложка</v>
      </c>
      <c r="V1100" s="8" t="s">
        <v>1083</v>
      </c>
      <c r="W1100" s="6"/>
      <c r="X1100" s="6"/>
      <c r="Y1100" s="6"/>
      <c r="Z1100" s="6"/>
      <c r="AA1100" s="6" t="s">
        <v>99</v>
      </c>
      <c r="AB1100" s="8"/>
      <c r="AC1100" s="27">
        <v>9785160174402</v>
      </c>
    </row>
    <row r="1101" spans="1:29" s="4" customFormat="1" ht="42" customHeight="1" x14ac:dyDescent="0.2">
      <c r="A1101" s="5">
        <v>0</v>
      </c>
      <c r="B1101" s="6" t="s">
        <v>6853</v>
      </c>
      <c r="C1101" s="7">
        <v>1440</v>
      </c>
      <c r="D1101" s="8" t="s">
        <v>6854</v>
      </c>
      <c r="E1101" s="8" t="s">
        <v>6855</v>
      </c>
      <c r="F1101" s="8" t="s">
        <v>6856</v>
      </c>
      <c r="G1101" s="6" t="s">
        <v>118</v>
      </c>
      <c r="H1101" s="6" t="s">
        <v>34</v>
      </c>
      <c r="I1101" s="8" t="s">
        <v>1081</v>
      </c>
      <c r="J1101" s="9">
        <v>1</v>
      </c>
      <c r="K1101" s="9">
        <v>254</v>
      </c>
      <c r="L1101" s="9">
        <v>2024</v>
      </c>
      <c r="M1101" s="8" t="s">
        <v>6857</v>
      </c>
      <c r="N1101" s="8" t="s">
        <v>37</v>
      </c>
      <c r="O1101" s="8" t="s">
        <v>290</v>
      </c>
      <c r="P1101" s="6" t="s">
        <v>39</v>
      </c>
      <c r="Q1101" s="8" t="s">
        <v>40</v>
      </c>
      <c r="R1101" s="10" t="s">
        <v>6858</v>
      </c>
      <c r="S1101" s="11"/>
      <c r="T1101" s="6"/>
      <c r="U1101" s="15" t="str">
        <f>HYPERLINK("https://media.infra-m.ru/2116/2116697/cover/2116697.jpg", "Обложка")</f>
        <v>Обложка</v>
      </c>
      <c r="V1101" s="8" t="s">
        <v>1069</v>
      </c>
      <c r="W1101" s="6"/>
      <c r="X1101" s="6"/>
      <c r="Y1101" s="6"/>
      <c r="Z1101" s="6"/>
      <c r="AA1101" s="6" t="s">
        <v>99</v>
      </c>
      <c r="AB1101" s="8"/>
      <c r="AC1101" s="27">
        <v>9785160176987</v>
      </c>
    </row>
    <row r="1102" spans="1:29" s="4" customFormat="1" ht="42" customHeight="1" x14ac:dyDescent="0.2">
      <c r="A1102" s="5">
        <v>0</v>
      </c>
      <c r="B1102" s="6" t="s">
        <v>6859</v>
      </c>
      <c r="C1102" s="7">
        <v>1956</v>
      </c>
      <c r="D1102" s="8" t="s">
        <v>6860</v>
      </c>
      <c r="E1102" s="8" t="s">
        <v>6861</v>
      </c>
      <c r="F1102" s="8" t="s">
        <v>6856</v>
      </c>
      <c r="G1102" s="6" t="s">
        <v>118</v>
      </c>
      <c r="H1102" s="6" t="s">
        <v>34</v>
      </c>
      <c r="I1102" s="8" t="s">
        <v>1081</v>
      </c>
      <c r="J1102" s="9">
        <v>1</v>
      </c>
      <c r="K1102" s="9">
        <v>326</v>
      </c>
      <c r="L1102" s="9">
        <v>2025</v>
      </c>
      <c r="M1102" s="8" t="s">
        <v>6862</v>
      </c>
      <c r="N1102" s="8" t="s">
        <v>37</v>
      </c>
      <c r="O1102" s="8" t="s">
        <v>290</v>
      </c>
      <c r="P1102" s="6" t="s">
        <v>39</v>
      </c>
      <c r="Q1102" s="8" t="s">
        <v>40</v>
      </c>
      <c r="R1102" s="10" t="s">
        <v>6858</v>
      </c>
      <c r="S1102" s="11"/>
      <c r="T1102" s="6"/>
      <c r="U1102" s="15" t="str">
        <f>HYPERLINK("https://media.infra-m.ru/2116/2116729/cover/2116729.jpg", "Обложка")</f>
        <v>Обложка</v>
      </c>
      <c r="V1102" s="8" t="s">
        <v>1069</v>
      </c>
      <c r="W1102" s="6"/>
      <c r="X1102" s="6"/>
      <c r="Y1102" s="6"/>
      <c r="Z1102" s="6"/>
      <c r="AA1102" s="6" t="s">
        <v>99</v>
      </c>
      <c r="AB1102" s="8"/>
      <c r="AC1102" s="27">
        <v>9785160176970</v>
      </c>
    </row>
    <row r="1103" spans="1:29" s="4" customFormat="1" ht="51.9" customHeight="1" x14ac:dyDescent="0.2">
      <c r="A1103" s="5">
        <v>0</v>
      </c>
      <c r="B1103" s="6" t="s">
        <v>6863</v>
      </c>
      <c r="C1103" s="7">
        <v>1872</v>
      </c>
      <c r="D1103" s="8" t="s">
        <v>6864</v>
      </c>
      <c r="E1103" s="8" t="s">
        <v>6865</v>
      </c>
      <c r="F1103" s="8" t="s">
        <v>6866</v>
      </c>
      <c r="G1103" s="6" t="s">
        <v>60</v>
      </c>
      <c r="H1103" s="6" t="s">
        <v>34</v>
      </c>
      <c r="I1103" s="8" t="s">
        <v>1835</v>
      </c>
      <c r="J1103" s="9">
        <v>1</v>
      </c>
      <c r="K1103" s="9">
        <v>252</v>
      </c>
      <c r="L1103" s="9">
        <v>2027</v>
      </c>
      <c r="M1103" s="8" t="s">
        <v>6867</v>
      </c>
      <c r="N1103" s="8" t="s">
        <v>93</v>
      </c>
      <c r="O1103" s="8" t="s">
        <v>94</v>
      </c>
      <c r="P1103" s="6" t="s">
        <v>4401</v>
      </c>
      <c r="Q1103" s="8" t="s">
        <v>65</v>
      </c>
      <c r="R1103" s="10" t="s">
        <v>6868</v>
      </c>
      <c r="S1103" s="11"/>
      <c r="T1103" s="6"/>
      <c r="U1103" s="15" t="str">
        <f>HYPERLINK("https://media.infra-m.ru/2229/2229762/cover/2229762.jpg", "Обложка")</f>
        <v>Обложка</v>
      </c>
      <c r="V1103" s="8" t="s">
        <v>227</v>
      </c>
      <c r="W1103" s="6" t="s">
        <v>649</v>
      </c>
      <c r="X1103" s="6"/>
      <c r="Y1103" s="6"/>
      <c r="Z1103" s="6"/>
      <c r="AA1103" s="6" t="s">
        <v>420</v>
      </c>
      <c r="AB1103" s="8" t="s">
        <v>308</v>
      </c>
      <c r="AC1103" s="27">
        <v>9785160215358</v>
      </c>
    </row>
    <row r="1104" spans="1:29" s="4" customFormat="1" ht="51.9" customHeight="1" x14ac:dyDescent="0.2">
      <c r="A1104" s="5">
        <v>0</v>
      </c>
      <c r="B1104" s="6" t="s">
        <v>6869</v>
      </c>
      <c r="C1104" s="7">
        <v>1488</v>
      </c>
      <c r="D1104" s="8" t="s">
        <v>6870</v>
      </c>
      <c r="E1104" s="8" t="s">
        <v>6871</v>
      </c>
      <c r="F1104" s="8" t="s">
        <v>6872</v>
      </c>
      <c r="G1104" s="6" t="s">
        <v>60</v>
      </c>
      <c r="H1104" s="6" t="s">
        <v>34</v>
      </c>
      <c r="I1104" s="8" t="s">
        <v>35</v>
      </c>
      <c r="J1104" s="9">
        <v>1</v>
      </c>
      <c r="K1104" s="9">
        <v>214</v>
      </c>
      <c r="L1104" s="9">
        <v>2026</v>
      </c>
      <c r="M1104" s="8" t="s">
        <v>6873</v>
      </c>
      <c r="N1104" s="8" t="s">
        <v>37</v>
      </c>
      <c r="O1104" s="8" t="s">
        <v>136</v>
      </c>
      <c r="P1104" s="6" t="s">
        <v>39</v>
      </c>
      <c r="Q1104" s="8" t="s">
        <v>40</v>
      </c>
      <c r="R1104" s="10" t="s">
        <v>1512</v>
      </c>
      <c r="S1104" s="11"/>
      <c r="T1104" s="6"/>
      <c r="U1104" s="15" t="str">
        <f>HYPERLINK("https://media.infra-m.ru/2231/2231215/cover/2231215.jpg", "Обложка")</f>
        <v>Обложка</v>
      </c>
      <c r="V1104" s="8" t="s">
        <v>1184</v>
      </c>
      <c r="W1104" s="6" t="s">
        <v>351</v>
      </c>
      <c r="X1104" s="6"/>
      <c r="Y1104" s="6"/>
      <c r="Z1104" s="6"/>
      <c r="AA1104" s="6" t="s">
        <v>187</v>
      </c>
      <c r="AB1104" s="8" t="s">
        <v>308</v>
      </c>
      <c r="AC1104" s="27">
        <v>9785160215778</v>
      </c>
    </row>
    <row r="1105" spans="1:29" s="4" customFormat="1" ht="51.9" customHeight="1" x14ac:dyDescent="0.2">
      <c r="A1105" s="5">
        <v>0</v>
      </c>
      <c r="B1105" s="6" t="s">
        <v>6874</v>
      </c>
      <c r="C1105" s="13">
        <v>926.4</v>
      </c>
      <c r="D1105" s="8" t="s">
        <v>6875</v>
      </c>
      <c r="E1105" s="8" t="s">
        <v>6876</v>
      </c>
      <c r="F1105" s="8" t="s">
        <v>6877</v>
      </c>
      <c r="G1105" s="6" t="s">
        <v>33</v>
      </c>
      <c r="H1105" s="6" t="s">
        <v>820</v>
      </c>
      <c r="I1105" s="8" t="s">
        <v>6878</v>
      </c>
      <c r="J1105" s="9">
        <v>1</v>
      </c>
      <c r="K1105" s="9">
        <v>128</v>
      </c>
      <c r="L1105" s="9">
        <v>2023</v>
      </c>
      <c r="M1105" s="8" t="s">
        <v>6879</v>
      </c>
      <c r="N1105" s="8" t="s">
        <v>243</v>
      </c>
      <c r="O1105" s="8" t="s">
        <v>798</v>
      </c>
      <c r="P1105" s="6" t="s">
        <v>51</v>
      </c>
      <c r="Q1105" s="8" t="s">
        <v>65</v>
      </c>
      <c r="R1105" s="10" t="s">
        <v>6880</v>
      </c>
      <c r="S1105" s="11" t="s">
        <v>6881</v>
      </c>
      <c r="T1105" s="6"/>
      <c r="U1105" s="15" t="str">
        <f>HYPERLINK("https://media.infra-m.ru/1911/1911535/cover/1911535.jpg", "Обложка")</f>
        <v>Обложка</v>
      </c>
      <c r="V1105" s="8" t="s">
        <v>2896</v>
      </c>
      <c r="W1105" s="6"/>
      <c r="X1105" s="6"/>
      <c r="Y1105" s="6"/>
      <c r="Z1105" s="6"/>
      <c r="AA1105" s="6" t="s">
        <v>55</v>
      </c>
      <c r="AB1105" s="8"/>
      <c r="AC1105" s="27">
        <v>9785905554261</v>
      </c>
    </row>
    <row r="1106" spans="1:29" s="4" customFormat="1" ht="42" customHeight="1" x14ac:dyDescent="0.2">
      <c r="A1106" s="5">
        <v>0</v>
      </c>
      <c r="B1106" s="6" t="s">
        <v>6882</v>
      </c>
      <c r="C1106" s="7">
        <v>1248</v>
      </c>
      <c r="D1106" s="8" t="s">
        <v>6883</v>
      </c>
      <c r="E1106" s="8" t="s">
        <v>6884</v>
      </c>
      <c r="F1106" s="8" t="s">
        <v>6885</v>
      </c>
      <c r="G1106" s="6" t="s">
        <v>118</v>
      </c>
      <c r="H1106" s="6" t="s">
        <v>34</v>
      </c>
      <c r="I1106" s="8" t="s">
        <v>35</v>
      </c>
      <c r="J1106" s="9">
        <v>1</v>
      </c>
      <c r="K1106" s="9">
        <v>189</v>
      </c>
      <c r="L1106" s="9">
        <v>2026</v>
      </c>
      <c r="M1106" s="8" t="s">
        <v>6886</v>
      </c>
      <c r="N1106" s="8" t="s">
        <v>63</v>
      </c>
      <c r="O1106" s="8" t="s">
        <v>64</v>
      </c>
      <c r="P1106" s="6" t="s">
        <v>39</v>
      </c>
      <c r="Q1106" s="8" t="s">
        <v>40</v>
      </c>
      <c r="R1106" s="10" t="s">
        <v>5704</v>
      </c>
      <c r="S1106" s="11"/>
      <c r="T1106" s="6"/>
      <c r="U1106" s="15" t="str">
        <f>HYPERLINK("https://media.infra-m.ru/2225/2225442/cover/2225442.jpg", "Обложка")</f>
        <v>Обложка</v>
      </c>
      <c r="V1106" s="8"/>
      <c r="W1106" s="6"/>
      <c r="X1106" s="6"/>
      <c r="Y1106" s="6"/>
      <c r="Z1106" s="6"/>
      <c r="AA1106" s="6" t="s">
        <v>157</v>
      </c>
      <c r="AB1106" s="8"/>
      <c r="AC1106" s="27">
        <v>9785160175133</v>
      </c>
    </row>
    <row r="1107" spans="1:29" s="4" customFormat="1" ht="42" customHeight="1" x14ac:dyDescent="0.2">
      <c r="A1107" s="5">
        <v>0</v>
      </c>
      <c r="B1107" s="6" t="s">
        <v>6887</v>
      </c>
      <c r="C1107" s="7">
        <v>1056</v>
      </c>
      <c r="D1107" s="8" t="s">
        <v>6888</v>
      </c>
      <c r="E1107" s="8" t="s">
        <v>6889</v>
      </c>
      <c r="F1107" s="8" t="s">
        <v>6890</v>
      </c>
      <c r="G1107" s="6" t="s">
        <v>33</v>
      </c>
      <c r="H1107" s="6" t="s">
        <v>313</v>
      </c>
      <c r="I1107" s="8" t="s">
        <v>4459</v>
      </c>
      <c r="J1107" s="9">
        <v>1</v>
      </c>
      <c r="K1107" s="9">
        <v>144</v>
      </c>
      <c r="L1107" s="9">
        <v>2026</v>
      </c>
      <c r="M1107" s="8" t="s">
        <v>6891</v>
      </c>
      <c r="N1107" s="8" t="s">
        <v>37</v>
      </c>
      <c r="O1107" s="8" t="s">
        <v>136</v>
      </c>
      <c r="P1107" s="6" t="s">
        <v>3141</v>
      </c>
      <c r="Q1107" s="8" t="s">
        <v>40</v>
      </c>
      <c r="R1107" s="10" t="s">
        <v>6892</v>
      </c>
      <c r="S1107" s="11"/>
      <c r="T1107" s="6"/>
      <c r="U1107" s="15" t="str">
        <f>HYPERLINK("https://media.infra-m.ru/2230/2230073/cover/2230073.jpg", "Обложка")</f>
        <v>Обложка</v>
      </c>
      <c r="V1107" s="8" t="s">
        <v>1231</v>
      </c>
      <c r="W1107" s="6" t="s">
        <v>528</v>
      </c>
      <c r="X1107" s="6"/>
      <c r="Y1107" s="6"/>
      <c r="Z1107" s="6"/>
      <c r="AA1107" s="6" t="s">
        <v>6893</v>
      </c>
      <c r="AB1107" s="8"/>
      <c r="AC1107" s="27">
        <v>9785369020067</v>
      </c>
    </row>
    <row r="1108" spans="1:29" s="4" customFormat="1" ht="42" customHeight="1" x14ac:dyDescent="0.2">
      <c r="A1108" s="5">
        <v>0</v>
      </c>
      <c r="B1108" s="6" t="s">
        <v>6894</v>
      </c>
      <c r="C1108" s="13">
        <v>888</v>
      </c>
      <c r="D1108" s="8" t="s">
        <v>6895</v>
      </c>
      <c r="E1108" s="8" t="s">
        <v>6896</v>
      </c>
      <c r="F1108" s="8" t="s">
        <v>6890</v>
      </c>
      <c r="G1108" s="6" t="s">
        <v>33</v>
      </c>
      <c r="H1108" s="6" t="s">
        <v>313</v>
      </c>
      <c r="I1108" s="8" t="s">
        <v>4459</v>
      </c>
      <c r="J1108" s="9">
        <v>1</v>
      </c>
      <c r="K1108" s="9">
        <v>142</v>
      </c>
      <c r="L1108" s="9">
        <v>2025</v>
      </c>
      <c r="M1108" s="8" t="s">
        <v>6897</v>
      </c>
      <c r="N1108" s="8" t="s">
        <v>37</v>
      </c>
      <c r="O1108" s="8" t="s">
        <v>136</v>
      </c>
      <c r="P1108" s="6" t="s">
        <v>3141</v>
      </c>
      <c r="Q1108" s="8" t="s">
        <v>40</v>
      </c>
      <c r="R1108" s="10" t="s">
        <v>6892</v>
      </c>
      <c r="S1108" s="11"/>
      <c r="T1108" s="6"/>
      <c r="U1108" s="15" t="str">
        <f>HYPERLINK("https://media.infra-m.ru/2163/2163975/cover/2163975.jpg", "Обложка")</f>
        <v>Обложка</v>
      </c>
      <c r="V1108" s="8" t="s">
        <v>1231</v>
      </c>
      <c r="W1108" s="6"/>
      <c r="X1108" s="6"/>
      <c r="Y1108" s="6"/>
      <c r="Z1108" s="6"/>
      <c r="AA1108" s="6" t="s">
        <v>6898</v>
      </c>
      <c r="AB1108" s="8"/>
      <c r="AC1108" s="27">
        <v>9785369018439</v>
      </c>
    </row>
    <row r="1109" spans="1:29" s="4" customFormat="1" ht="42" customHeight="1" x14ac:dyDescent="0.2">
      <c r="A1109" s="5">
        <v>0</v>
      </c>
      <c r="B1109" s="6" t="s">
        <v>6899</v>
      </c>
      <c r="C1109" s="13">
        <v>617.9</v>
      </c>
      <c r="D1109" s="8" t="s">
        <v>6900</v>
      </c>
      <c r="E1109" s="8" t="s">
        <v>6901</v>
      </c>
      <c r="F1109" s="8" t="s">
        <v>6902</v>
      </c>
      <c r="G1109" s="6" t="s">
        <v>33</v>
      </c>
      <c r="H1109" s="6" t="s">
        <v>313</v>
      </c>
      <c r="I1109" s="8" t="s">
        <v>4459</v>
      </c>
      <c r="J1109" s="9">
        <v>24</v>
      </c>
      <c r="K1109" s="9">
        <v>146</v>
      </c>
      <c r="L1109" s="9">
        <v>2020</v>
      </c>
      <c r="M1109" s="8" t="s">
        <v>6903</v>
      </c>
      <c r="N1109" s="8" t="s">
        <v>37</v>
      </c>
      <c r="O1109" s="8" t="s">
        <v>136</v>
      </c>
      <c r="P1109" s="6" t="s">
        <v>3141</v>
      </c>
      <c r="Q1109" s="8" t="s">
        <v>40</v>
      </c>
      <c r="R1109" s="10" t="s">
        <v>6892</v>
      </c>
      <c r="S1109" s="11"/>
      <c r="T1109" s="6"/>
      <c r="U1109" s="15" t="str">
        <f>HYPERLINK("https://media.infra-m.ru/1064/1064168/cover/1064168.jpg", "Обложка")</f>
        <v>Обложка</v>
      </c>
      <c r="V1109" s="8"/>
      <c r="W1109" s="6"/>
      <c r="X1109" s="6"/>
      <c r="Y1109" s="6"/>
      <c r="Z1109" s="6"/>
      <c r="AA1109" s="6" t="s">
        <v>1123</v>
      </c>
      <c r="AB1109" s="8"/>
      <c r="AC1109" s="27">
        <v>9785369014349</v>
      </c>
    </row>
    <row r="1110" spans="1:29" s="4" customFormat="1" ht="51.9" customHeight="1" x14ac:dyDescent="0.2">
      <c r="A1110" s="5">
        <v>0</v>
      </c>
      <c r="B1110" s="6" t="s">
        <v>6904</v>
      </c>
      <c r="C1110" s="7">
        <v>2016</v>
      </c>
      <c r="D1110" s="8" t="s">
        <v>6905</v>
      </c>
      <c r="E1110" s="8" t="s">
        <v>6906</v>
      </c>
      <c r="F1110" s="8" t="s">
        <v>4678</v>
      </c>
      <c r="G1110" s="6" t="s">
        <v>33</v>
      </c>
      <c r="H1110" s="6" t="s">
        <v>34</v>
      </c>
      <c r="I1110" s="8" t="s">
        <v>35</v>
      </c>
      <c r="J1110" s="9">
        <v>1</v>
      </c>
      <c r="K1110" s="9">
        <v>306</v>
      </c>
      <c r="L1110" s="9">
        <v>2026</v>
      </c>
      <c r="M1110" s="8" t="s">
        <v>6907</v>
      </c>
      <c r="N1110" s="8" t="s">
        <v>585</v>
      </c>
      <c r="O1110" s="8" t="s">
        <v>667</v>
      </c>
      <c r="P1110" s="6" t="s">
        <v>39</v>
      </c>
      <c r="Q1110" s="8" t="s">
        <v>40</v>
      </c>
      <c r="R1110" s="10" t="s">
        <v>6908</v>
      </c>
      <c r="S1110" s="11"/>
      <c r="T1110" s="6"/>
      <c r="U1110" s="15" t="str">
        <f>HYPERLINK("https://media.infra-m.ru/2239/2239209/cover/2239209.jpg", "Обложка")</f>
        <v>Обложка</v>
      </c>
      <c r="V1110" s="8" t="s">
        <v>2047</v>
      </c>
      <c r="W1110" s="6"/>
      <c r="X1110" s="6"/>
      <c r="Y1110" s="6"/>
      <c r="Z1110" s="6"/>
      <c r="AA1110" s="6" t="s">
        <v>148</v>
      </c>
      <c r="AB1110" s="8"/>
      <c r="AC1110" s="27">
        <v>9785160174259</v>
      </c>
    </row>
    <row r="1111" spans="1:29" s="4" customFormat="1" ht="51.9" customHeight="1" x14ac:dyDescent="0.2">
      <c r="A1111" s="5">
        <v>0</v>
      </c>
      <c r="B1111" s="6" t="s">
        <v>6909</v>
      </c>
      <c r="C1111" s="7">
        <v>1620</v>
      </c>
      <c r="D1111" s="8" t="s">
        <v>6910</v>
      </c>
      <c r="E1111" s="8" t="s">
        <v>6911</v>
      </c>
      <c r="F1111" s="8" t="s">
        <v>6912</v>
      </c>
      <c r="G1111" s="6" t="s">
        <v>60</v>
      </c>
      <c r="H1111" s="6" t="s">
        <v>134</v>
      </c>
      <c r="I1111" s="8"/>
      <c r="J1111" s="9">
        <v>1</v>
      </c>
      <c r="K1111" s="9">
        <v>240</v>
      </c>
      <c r="L1111" s="9">
        <v>2026</v>
      </c>
      <c r="M1111" s="8" t="s">
        <v>6913</v>
      </c>
      <c r="N1111" s="8" t="s">
        <v>37</v>
      </c>
      <c r="O1111" s="8" t="s">
        <v>136</v>
      </c>
      <c r="P1111" s="6" t="s">
        <v>51</v>
      </c>
      <c r="Q1111" s="8" t="s">
        <v>65</v>
      </c>
      <c r="R1111" s="10" t="s">
        <v>6914</v>
      </c>
      <c r="S1111" s="11"/>
      <c r="T1111" s="6"/>
      <c r="U1111" s="15" t="str">
        <f>HYPERLINK("https://media.infra-m.ru/2242/2242101/cover/2242101.jpg", "Обложка")</f>
        <v>Обложка</v>
      </c>
      <c r="V1111" s="8" t="s">
        <v>2466</v>
      </c>
      <c r="W1111" s="6" t="s">
        <v>351</v>
      </c>
      <c r="X1111" s="6"/>
      <c r="Y1111" s="6"/>
      <c r="Z1111" s="6"/>
      <c r="AA1111" s="6" t="s">
        <v>187</v>
      </c>
      <c r="AB1111" s="8"/>
      <c r="AC1111" s="27">
        <v>9785001564829</v>
      </c>
    </row>
    <row r="1112" spans="1:29" s="4" customFormat="1" ht="51.9" customHeight="1" x14ac:dyDescent="0.2">
      <c r="A1112" s="5">
        <v>0</v>
      </c>
      <c r="B1112" s="6" t="s">
        <v>6915</v>
      </c>
      <c r="C1112" s="7">
        <v>2622</v>
      </c>
      <c r="D1112" s="8" t="s">
        <v>6916</v>
      </c>
      <c r="E1112" s="8" t="s">
        <v>6917</v>
      </c>
      <c r="F1112" s="8" t="s">
        <v>6918</v>
      </c>
      <c r="G1112" s="6" t="s">
        <v>118</v>
      </c>
      <c r="H1112" s="6" t="s">
        <v>34</v>
      </c>
      <c r="I1112" s="8"/>
      <c r="J1112" s="9">
        <v>1</v>
      </c>
      <c r="K1112" s="9">
        <v>252</v>
      </c>
      <c r="L1112" s="9">
        <v>2026</v>
      </c>
      <c r="M1112" s="8" t="s">
        <v>6919</v>
      </c>
      <c r="N1112" s="8" t="s">
        <v>37</v>
      </c>
      <c r="O1112" s="8" t="s">
        <v>280</v>
      </c>
      <c r="P1112" s="6" t="s">
        <v>39</v>
      </c>
      <c r="Q1112" s="8" t="s">
        <v>40</v>
      </c>
      <c r="R1112" s="10" t="s">
        <v>6920</v>
      </c>
      <c r="S1112" s="11"/>
      <c r="T1112" s="6"/>
      <c r="U1112" s="15" t="str">
        <f>HYPERLINK("https://media.infra-m.ru/2228/2228859/cover/2228859.jpg", "Обложка")</f>
        <v>Обложка</v>
      </c>
      <c r="V1112" s="8" t="s">
        <v>2055</v>
      </c>
      <c r="W1112" s="6"/>
      <c r="X1112" s="6"/>
      <c r="Y1112" s="6"/>
      <c r="Z1112" s="6"/>
      <c r="AA1112" s="6" t="s">
        <v>76</v>
      </c>
      <c r="AB1112" s="8"/>
      <c r="AC1112" s="27">
        <v>9785160215303</v>
      </c>
    </row>
    <row r="1113" spans="1:29" s="4" customFormat="1" ht="51.9" customHeight="1" x14ac:dyDescent="0.2">
      <c r="A1113" s="5">
        <v>0</v>
      </c>
      <c r="B1113" s="6" t="s">
        <v>6921</v>
      </c>
      <c r="C1113" s="7">
        <v>2448</v>
      </c>
      <c r="D1113" s="8" t="s">
        <v>6922</v>
      </c>
      <c r="E1113" s="8" t="s">
        <v>6923</v>
      </c>
      <c r="F1113" s="8" t="s">
        <v>6924</v>
      </c>
      <c r="G1113" s="6" t="s">
        <v>118</v>
      </c>
      <c r="H1113" s="6" t="s">
        <v>34</v>
      </c>
      <c r="I1113" s="8" t="s">
        <v>253</v>
      </c>
      <c r="J1113" s="9">
        <v>1</v>
      </c>
      <c r="K1113" s="9">
        <v>352</v>
      </c>
      <c r="L1113" s="9">
        <v>2026</v>
      </c>
      <c r="M1113" s="8" t="s">
        <v>6925</v>
      </c>
      <c r="N1113" s="8" t="s">
        <v>243</v>
      </c>
      <c r="O1113" s="8" t="s">
        <v>385</v>
      </c>
      <c r="P1113" s="6" t="s">
        <v>51</v>
      </c>
      <c r="Q1113" s="8" t="s">
        <v>52</v>
      </c>
      <c r="R1113" s="10" t="s">
        <v>5962</v>
      </c>
      <c r="S1113" s="11" t="s">
        <v>6926</v>
      </c>
      <c r="T1113" s="6"/>
      <c r="U1113" s="15" t="str">
        <f>HYPERLINK("https://media.infra-m.ru/2260/2260419/cover/2260419.jpg", "Обложка")</f>
        <v>Обложка</v>
      </c>
      <c r="V1113" s="8" t="s">
        <v>2389</v>
      </c>
      <c r="W1113" s="6"/>
      <c r="X1113" s="6"/>
      <c r="Y1113" s="6"/>
      <c r="Z1113" s="6"/>
      <c r="AA1113" s="6" t="s">
        <v>248</v>
      </c>
      <c r="AB1113" s="8"/>
      <c r="AC1113" s="27">
        <v>9785160089720</v>
      </c>
    </row>
    <row r="1114" spans="1:29" s="4" customFormat="1" ht="51.9" customHeight="1" x14ac:dyDescent="0.2">
      <c r="A1114" s="5">
        <v>0</v>
      </c>
      <c r="B1114" s="6" t="s">
        <v>6927</v>
      </c>
      <c r="C1114" s="7">
        <v>2332.8000000000002</v>
      </c>
      <c r="D1114" s="8" t="s">
        <v>6928</v>
      </c>
      <c r="E1114" s="8" t="s">
        <v>6923</v>
      </c>
      <c r="F1114" s="8" t="s">
        <v>6924</v>
      </c>
      <c r="G1114" s="6" t="s">
        <v>118</v>
      </c>
      <c r="H1114" s="6" t="s">
        <v>34</v>
      </c>
      <c r="I1114" s="8" t="s">
        <v>263</v>
      </c>
      <c r="J1114" s="9">
        <v>1</v>
      </c>
      <c r="K1114" s="9">
        <v>352</v>
      </c>
      <c r="L1114" s="9">
        <v>2026</v>
      </c>
      <c r="M1114" s="8" t="s">
        <v>6929</v>
      </c>
      <c r="N1114" s="8" t="s">
        <v>243</v>
      </c>
      <c r="O1114" s="8" t="s">
        <v>385</v>
      </c>
      <c r="P1114" s="6" t="s">
        <v>51</v>
      </c>
      <c r="Q1114" s="8" t="s">
        <v>265</v>
      </c>
      <c r="R1114" s="10" t="s">
        <v>2492</v>
      </c>
      <c r="S1114" s="11" t="s">
        <v>6930</v>
      </c>
      <c r="T1114" s="6"/>
      <c r="U1114" s="15" t="str">
        <f>HYPERLINK("https://media.infra-m.ru/2250/2250381/cover/2250381.jpg", "Обложка")</f>
        <v>Обложка</v>
      </c>
      <c r="V1114" s="8" t="s">
        <v>2389</v>
      </c>
      <c r="W1114" s="6"/>
      <c r="X1114" s="6"/>
      <c r="Y1114" s="6"/>
      <c r="Z1114" s="6" t="s">
        <v>267</v>
      </c>
      <c r="AA1114" s="6" t="s">
        <v>115</v>
      </c>
      <c r="AB1114" s="8"/>
      <c r="AC1114" s="27">
        <v>9785160139029</v>
      </c>
    </row>
    <row r="1115" spans="1:29" s="4" customFormat="1" ht="51.9" customHeight="1" x14ac:dyDescent="0.2">
      <c r="A1115" s="5">
        <v>0</v>
      </c>
      <c r="B1115" s="6" t="s">
        <v>6931</v>
      </c>
      <c r="C1115" s="7">
        <v>2436</v>
      </c>
      <c r="D1115" s="8" t="s">
        <v>6932</v>
      </c>
      <c r="E1115" s="8" t="s">
        <v>6933</v>
      </c>
      <c r="F1115" s="8" t="s">
        <v>613</v>
      </c>
      <c r="G1115" s="6" t="s">
        <v>118</v>
      </c>
      <c r="H1115" s="6" t="s">
        <v>34</v>
      </c>
      <c r="I1115" s="8" t="s">
        <v>253</v>
      </c>
      <c r="J1115" s="9">
        <v>1</v>
      </c>
      <c r="K1115" s="9">
        <v>350</v>
      </c>
      <c r="L1115" s="9">
        <v>2026</v>
      </c>
      <c r="M1115" s="8" t="s">
        <v>6934</v>
      </c>
      <c r="N1115" s="8" t="s">
        <v>63</v>
      </c>
      <c r="O1115" s="8" t="s">
        <v>154</v>
      </c>
      <c r="P1115" s="6" t="s">
        <v>51</v>
      </c>
      <c r="Q1115" s="8" t="s">
        <v>52</v>
      </c>
      <c r="R1115" s="10" t="s">
        <v>6935</v>
      </c>
      <c r="S1115" s="11" t="s">
        <v>6936</v>
      </c>
      <c r="T1115" s="6"/>
      <c r="U1115" s="15" t="str">
        <f>HYPERLINK("https://media.infra-m.ru/2250/2250930/cover/2250930.jpg", "Обложка")</f>
        <v>Обложка</v>
      </c>
      <c r="V1115" s="8" t="s">
        <v>617</v>
      </c>
      <c r="W1115" s="6"/>
      <c r="X1115" s="6"/>
      <c r="Y1115" s="6"/>
      <c r="Z1115" s="6"/>
      <c r="AA1115" s="6" t="s">
        <v>218</v>
      </c>
      <c r="AB1115" s="8"/>
      <c r="AC1115" s="27">
        <v>9785160198507</v>
      </c>
    </row>
    <row r="1116" spans="1:29" s="4" customFormat="1" ht="51.9" customHeight="1" x14ac:dyDescent="0.2">
      <c r="A1116" s="5">
        <v>0</v>
      </c>
      <c r="B1116" s="6" t="s">
        <v>6937</v>
      </c>
      <c r="C1116" s="7">
        <v>2136</v>
      </c>
      <c r="D1116" s="8" t="s">
        <v>6938</v>
      </c>
      <c r="E1116" s="8" t="s">
        <v>6939</v>
      </c>
      <c r="F1116" s="8" t="s">
        <v>613</v>
      </c>
      <c r="G1116" s="6" t="s">
        <v>118</v>
      </c>
      <c r="H1116" s="6" t="s">
        <v>34</v>
      </c>
      <c r="I1116" s="8" t="s">
        <v>263</v>
      </c>
      <c r="J1116" s="9">
        <v>1</v>
      </c>
      <c r="K1116" s="9">
        <v>338</v>
      </c>
      <c r="L1116" s="9">
        <v>2026</v>
      </c>
      <c r="M1116" s="8" t="s">
        <v>6940</v>
      </c>
      <c r="N1116" s="8" t="s">
        <v>63</v>
      </c>
      <c r="O1116" s="8" t="s">
        <v>154</v>
      </c>
      <c r="P1116" s="6" t="s">
        <v>51</v>
      </c>
      <c r="Q1116" s="8" t="s">
        <v>265</v>
      </c>
      <c r="R1116" s="10" t="s">
        <v>6941</v>
      </c>
      <c r="S1116" s="11" t="s">
        <v>6942</v>
      </c>
      <c r="T1116" s="6"/>
      <c r="U1116" s="15" t="str">
        <f>HYPERLINK("https://media.infra-m.ru/2215/2215333/cover/2215333.jpg", "Обложка")</f>
        <v>Обложка</v>
      </c>
      <c r="V1116" s="8" t="s">
        <v>617</v>
      </c>
      <c r="W1116" s="6"/>
      <c r="X1116" s="6"/>
      <c r="Y1116" s="6"/>
      <c r="Z1116" s="6" t="s">
        <v>267</v>
      </c>
      <c r="AA1116" s="6" t="s">
        <v>115</v>
      </c>
      <c r="AB1116" s="8"/>
      <c r="AC1116" s="27">
        <v>9785160188959</v>
      </c>
    </row>
    <row r="1117" spans="1:29" s="4" customFormat="1" ht="51.9" customHeight="1" x14ac:dyDescent="0.2">
      <c r="A1117" s="5">
        <v>0</v>
      </c>
      <c r="B1117" s="6" t="s">
        <v>6943</v>
      </c>
      <c r="C1117" s="7">
        <v>1440</v>
      </c>
      <c r="D1117" s="8" t="s">
        <v>6944</v>
      </c>
      <c r="E1117" s="8" t="s">
        <v>6939</v>
      </c>
      <c r="F1117" s="8" t="s">
        <v>6945</v>
      </c>
      <c r="G1117" s="6" t="s">
        <v>118</v>
      </c>
      <c r="H1117" s="6" t="s">
        <v>241</v>
      </c>
      <c r="I1117" s="8" t="s">
        <v>271</v>
      </c>
      <c r="J1117" s="9">
        <v>1</v>
      </c>
      <c r="K1117" s="9">
        <v>352</v>
      </c>
      <c r="L1117" s="9">
        <v>2019</v>
      </c>
      <c r="M1117" s="8" t="s">
        <v>6946</v>
      </c>
      <c r="N1117" s="8" t="s">
        <v>63</v>
      </c>
      <c r="O1117" s="8" t="s">
        <v>154</v>
      </c>
      <c r="P1117" s="6" t="s">
        <v>51</v>
      </c>
      <c r="Q1117" s="8" t="s">
        <v>52</v>
      </c>
      <c r="R1117" s="10" t="s">
        <v>6935</v>
      </c>
      <c r="S1117" s="11"/>
      <c r="T1117" s="6"/>
      <c r="U1117" s="15" t="str">
        <f>HYPERLINK("https://media.infra-m.ru/1002/1002742/cover/1002742.jpg", "Обложка")</f>
        <v>Обложка</v>
      </c>
      <c r="V1117" s="8" t="s">
        <v>617</v>
      </c>
      <c r="W1117" s="6"/>
      <c r="X1117" s="6"/>
      <c r="Y1117" s="6"/>
      <c r="Z1117" s="6"/>
      <c r="AA1117" s="6" t="s">
        <v>43</v>
      </c>
      <c r="AB1117" s="8"/>
      <c r="AC1117" s="27">
        <v>9785955801957</v>
      </c>
    </row>
    <row r="1118" spans="1:29" s="4" customFormat="1" ht="51.9" customHeight="1" x14ac:dyDescent="0.2">
      <c r="A1118" s="5">
        <v>0</v>
      </c>
      <c r="B1118" s="6" t="s">
        <v>6947</v>
      </c>
      <c r="C1118" s="7">
        <v>2116.8000000000002</v>
      </c>
      <c r="D1118" s="8" t="s">
        <v>6948</v>
      </c>
      <c r="E1118" s="8" t="s">
        <v>6949</v>
      </c>
      <c r="F1118" s="8" t="s">
        <v>6950</v>
      </c>
      <c r="G1118" s="6" t="s">
        <v>118</v>
      </c>
      <c r="H1118" s="6" t="s">
        <v>34</v>
      </c>
      <c r="I1118" s="8" t="s">
        <v>253</v>
      </c>
      <c r="J1118" s="9">
        <v>1</v>
      </c>
      <c r="K1118" s="9">
        <v>352</v>
      </c>
      <c r="L1118" s="9">
        <v>2025</v>
      </c>
      <c r="M1118" s="8" t="s">
        <v>6951</v>
      </c>
      <c r="N1118" s="8" t="s">
        <v>243</v>
      </c>
      <c r="O1118" s="8" t="s">
        <v>385</v>
      </c>
      <c r="P1118" s="6" t="s">
        <v>51</v>
      </c>
      <c r="Q1118" s="8" t="s">
        <v>52</v>
      </c>
      <c r="R1118" s="10" t="s">
        <v>6952</v>
      </c>
      <c r="S1118" s="11" t="s">
        <v>6953</v>
      </c>
      <c r="T1118" s="6"/>
      <c r="U1118" s="15" t="str">
        <f>HYPERLINK("https://media.infra-m.ru/2174/2174719/cover/2174719.jpg", "Обложка")</f>
        <v>Обложка</v>
      </c>
      <c r="V1118" s="8" t="s">
        <v>2389</v>
      </c>
      <c r="W1118" s="6"/>
      <c r="X1118" s="6"/>
      <c r="Y1118" s="6"/>
      <c r="Z1118" s="6"/>
      <c r="AA1118" s="6" t="s">
        <v>248</v>
      </c>
      <c r="AB1118" s="8"/>
      <c r="AC1118" s="27">
        <v>9785160064239</v>
      </c>
    </row>
    <row r="1119" spans="1:29" s="4" customFormat="1" ht="51.9" customHeight="1" x14ac:dyDescent="0.2">
      <c r="A1119" s="5">
        <v>0</v>
      </c>
      <c r="B1119" s="6" t="s">
        <v>6954</v>
      </c>
      <c r="C1119" s="7">
        <v>2448</v>
      </c>
      <c r="D1119" s="8" t="s">
        <v>6955</v>
      </c>
      <c r="E1119" s="8" t="s">
        <v>6949</v>
      </c>
      <c r="F1119" s="8" t="s">
        <v>6950</v>
      </c>
      <c r="G1119" s="6" t="s">
        <v>118</v>
      </c>
      <c r="H1119" s="6" t="s">
        <v>34</v>
      </c>
      <c r="I1119" s="8" t="s">
        <v>263</v>
      </c>
      <c r="J1119" s="9">
        <v>1</v>
      </c>
      <c r="K1119" s="9">
        <v>352</v>
      </c>
      <c r="L1119" s="9">
        <v>2027</v>
      </c>
      <c r="M1119" s="8" t="s">
        <v>6956</v>
      </c>
      <c r="N1119" s="8" t="s">
        <v>243</v>
      </c>
      <c r="O1119" s="8" t="s">
        <v>385</v>
      </c>
      <c r="P1119" s="6" t="s">
        <v>51</v>
      </c>
      <c r="Q1119" s="8" t="s">
        <v>265</v>
      </c>
      <c r="R1119" s="10" t="s">
        <v>6957</v>
      </c>
      <c r="S1119" s="11" t="s">
        <v>6958</v>
      </c>
      <c r="T1119" s="6"/>
      <c r="U1119" s="15" t="str">
        <f>HYPERLINK("https://media.infra-m.ru/2266/2266518/cover/2266518.jpg", "Обложка")</f>
        <v>Обложка</v>
      </c>
      <c r="V1119" s="8" t="s">
        <v>2389</v>
      </c>
      <c r="W1119" s="6"/>
      <c r="X1119" s="6"/>
      <c r="Y1119" s="6"/>
      <c r="Z1119" s="6" t="s">
        <v>267</v>
      </c>
      <c r="AA1119" s="6" t="s">
        <v>86</v>
      </c>
      <c r="AB1119" s="8"/>
      <c r="AC1119" s="27">
        <v>9785160139043</v>
      </c>
    </row>
    <row r="1120" spans="1:29" s="4" customFormat="1" ht="51.9" customHeight="1" x14ac:dyDescent="0.2">
      <c r="A1120" s="5">
        <v>0</v>
      </c>
      <c r="B1120" s="6" t="s">
        <v>6959</v>
      </c>
      <c r="C1120" s="7">
        <v>2938.8</v>
      </c>
      <c r="D1120" s="8" t="s">
        <v>6960</v>
      </c>
      <c r="E1120" s="8" t="s">
        <v>6961</v>
      </c>
      <c r="F1120" s="8" t="s">
        <v>6962</v>
      </c>
      <c r="G1120" s="6" t="s">
        <v>118</v>
      </c>
      <c r="H1120" s="6" t="s">
        <v>34</v>
      </c>
      <c r="I1120" s="8" t="s">
        <v>6963</v>
      </c>
      <c r="J1120" s="9">
        <v>1</v>
      </c>
      <c r="K1120" s="9">
        <v>301</v>
      </c>
      <c r="L1120" s="9">
        <v>2026</v>
      </c>
      <c r="M1120" s="8" t="s">
        <v>6964</v>
      </c>
      <c r="N1120" s="8" t="s">
        <v>37</v>
      </c>
      <c r="O1120" s="8" t="s">
        <v>290</v>
      </c>
      <c r="P1120" s="6" t="s">
        <v>51</v>
      </c>
      <c r="Q1120" s="8" t="s">
        <v>65</v>
      </c>
      <c r="R1120" s="10" t="s">
        <v>6965</v>
      </c>
      <c r="S1120" s="11" t="s">
        <v>6966</v>
      </c>
      <c r="T1120" s="6"/>
      <c r="U1120" s="15" t="str">
        <f>HYPERLINK("https://media.infra-m.ru/2229/2229309/cover/2229309.jpg", "Обложка")</f>
        <v>Обложка</v>
      </c>
      <c r="V1120" s="8" t="s">
        <v>6967</v>
      </c>
      <c r="W1120" s="6"/>
      <c r="X1120" s="6"/>
      <c r="Y1120" s="6"/>
      <c r="Z1120" s="6"/>
      <c r="AA1120" s="6" t="s">
        <v>157</v>
      </c>
      <c r="AB1120" s="8"/>
      <c r="AC1120" s="27">
        <v>9785160172149</v>
      </c>
    </row>
    <row r="1121" spans="1:29" s="4" customFormat="1" ht="51.9" customHeight="1" x14ac:dyDescent="0.2">
      <c r="A1121" s="5">
        <v>0</v>
      </c>
      <c r="B1121" s="6" t="s">
        <v>6968</v>
      </c>
      <c r="C1121" s="7">
        <v>2244</v>
      </c>
      <c r="D1121" s="8" t="s">
        <v>6969</v>
      </c>
      <c r="E1121" s="8" t="s">
        <v>6970</v>
      </c>
      <c r="F1121" s="8" t="s">
        <v>6971</v>
      </c>
      <c r="G1121" s="6" t="s">
        <v>118</v>
      </c>
      <c r="H1121" s="6" t="s">
        <v>34</v>
      </c>
      <c r="I1121" s="8" t="s">
        <v>6963</v>
      </c>
      <c r="J1121" s="9">
        <v>1</v>
      </c>
      <c r="K1121" s="9">
        <v>340</v>
      </c>
      <c r="L1121" s="9">
        <v>2026</v>
      </c>
      <c r="M1121" s="8" t="s">
        <v>6972</v>
      </c>
      <c r="N1121" s="8" t="s">
        <v>37</v>
      </c>
      <c r="O1121" s="8" t="s">
        <v>290</v>
      </c>
      <c r="P1121" s="6" t="s">
        <v>51</v>
      </c>
      <c r="Q1121" s="8" t="s">
        <v>65</v>
      </c>
      <c r="R1121" s="10" t="s">
        <v>6973</v>
      </c>
      <c r="S1121" s="11" t="s">
        <v>6974</v>
      </c>
      <c r="T1121" s="6" t="s">
        <v>97</v>
      </c>
      <c r="U1121" s="15" t="str">
        <f>HYPERLINK("https://media.infra-m.ru/2250/2250989/cover/2250989.jpg", "Обложка")</f>
        <v>Обложка</v>
      </c>
      <c r="V1121" s="8" t="s">
        <v>6967</v>
      </c>
      <c r="W1121" s="6"/>
      <c r="X1121" s="6"/>
      <c r="Y1121" s="6"/>
      <c r="Z1121" s="6"/>
      <c r="AA1121" s="6" t="s">
        <v>76</v>
      </c>
      <c r="AB1121" s="8" t="s">
        <v>1317</v>
      </c>
      <c r="AC1121" s="27">
        <v>9785160149738</v>
      </c>
    </row>
    <row r="1122" spans="1:29" s="4" customFormat="1" ht="42" customHeight="1" x14ac:dyDescent="0.2">
      <c r="A1122" s="5">
        <v>0</v>
      </c>
      <c r="B1122" s="6" t="s">
        <v>6975</v>
      </c>
      <c r="C1122" s="7">
        <v>2304</v>
      </c>
      <c r="D1122" s="8" t="s">
        <v>6976</v>
      </c>
      <c r="E1122" s="8" t="s">
        <v>6977</v>
      </c>
      <c r="F1122" s="8" t="s">
        <v>3261</v>
      </c>
      <c r="G1122" s="6" t="s">
        <v>33</v>
      </c>
      <c r="H1122" s="6" t="s">
        <v>34</v>
      </c>
      <c r="I1122" s="8" t="s">
        <v>35</v>
      </c>
      <c r="J1122" s="9">
        <v>1</v>
      </c>
      <c r="K1122" s="9">
        <v>368</v>
      </c>
      <c r="L1122" s="9">
        <v>2026</v>
      </c>
      <c r="M1122" s="8" t="s">
        <v>6978</v>
      </c>
      <c r="N1122" s="8" t="s">
        <v>37</v>
      </c>
      <c r="O1122" s="8" t="s">
        <v>83</v>
      </c>
      <c r="P1122" s="6" t="s">
        <v>39</v>
      </c>
      <c r="Q1122" s="8" t="s">
        <v>40</v>
      </c>
      <c r="R1122" s="10" t="s">
        <v>6979</v>
      </c>
      <c r="S1122" s="11"/>
      <c r="T1122" s="6"/>
      <c r="U1122" s="15" t="str">
        <f>HYPERLINK("https://media.infra-m.ru/2216/2216671/cover/2216671.jpg", "Обложка")</f>
        <v>Обложка</v>
      </c>
      <c r="V1122" s="8" t="s">
        <v>3264</v>
      </c>
      <c r="W1122" s="6"/>
      <c r="X1122" s="6"/>
      <c r="Y1122" s="6"/>
      <c r="Z1122" s="6"/>
      <c r="AA1122" s="6" t="s">
        <v>430</v>
      </c>
      <c r="AB1122" s="8"/>
      <c r="AC1122" s="27">
        <v>9785160158006</v>
      </c>
    </row>
    <row r="1123" spans="1:29" s="4" customFormat="1" ht="51.9" customHeight="1" x14ac:dyDescent="0.2">
      <c r="A1123" s="5">
        <v>0</v>
      </c>
      <c r="B1123" s="6" t="s">
        <v>6980</v>
      </c>
      <c r="C1123" s="7">
        <v>1216.8</v>
      </c>
      <c r="D1123" s="8" t="s">
        <v>6981</v>
      </c>
      <c r="E1123" s="8" t="s">
        <v>6982</v>
      </c>
      <c r="F1123" s="8" t="s">
        <v>6983</v>
      </c>
      <c r="G1123" s="6" t="s">
        <v>60</v>
      </c>
      <c r="H1123" s="6" t="s">
        <v>34</v>
      </c>
      <c r="I1123" s="8" t="s">
        <v>35</v>
      </c>
      <c r="J1123" s="9">
        <v>1</v>
      </c>
      <c r="K1123" s="9">
        <v>174</v>
      </c>
      <c r="L1123" s="9">
        <v>2027</v>
      </c>
      <c r="M1123" s="8" t="s">
        <v>6984</v>
      </c>
      <c r="N1123" s="8" t="s">
        <v>37</v>
      </c>
      <c r="O1123" s="8" t="s">
        <v>290</v>
      </c>
      <c r="P1123" s="6" t="s">
        <v>39</v>
      </c>
      <c r="Q1123" s="8" t="s">
        <v>40</v>
      </c>
      <c r="R1123" s="10" t="s">
        <v>6985</v>
      </c>
      <c r="S1123" s="11"/>
      <c r="T1123" s="6"/>
      <c r="U1123" s="15" t="str">
        <f>HYPERLINK("https://media.infra-m.ru/2257/2257107/cover/2257107.jpg", "Обложка")</f>
        <v>Обложка</v>
      </c>
      <c r="V1123" s="8" t="s">
        <v>4923</v>
      </c>
      <c r="W1123" s="6"/>
      <c r="X1123" s="6"/>
      <c r="Y1123" s="6"/>
      <c r="Z1123" s="6"/>
      <c r="AA1123" s="6" t="s">
        <v>76</v>
      </c>
      <c r="AB1123" s="8"/>
      <c r="AC1123" s="27">
        <v>9785160197456</v>
      </c>
    </row>
    <row r="1124" spans="1:29" s="4" customFormat="1" ht="42" customHeight="1" x14ac:dyDescent="0.2">
      <c r="A1124" s="5">
        <v>0</v>
      </c>
      <c r="B1124" s="6" t="s">
        <v>6986</v>
      </c>
      <c r="C1124" s="7">
        <v>1188</v>
      </c>
      <c r="D1124" s="8" t="s">
        <v>6987</v>
      </c>
      <c r="E1124" s="8" t="s">
        <v>6988</v>
      </c>
      <c r="F1124" s="8" t="s">
        <v>6989</v>
      </c>
      <c r="G1124" s="6" t="s">
        <v>60</v>
      </c>
      <c r="H1124" s="6" t="s">
        <v>34</v>
      </c>
      <c r="I1124" s="8" t="s">
        <v>35</v>
      </c>
      <c r="J1124" s="14">
        <v>0</v>
      </c>
      <c r="K1124" s="9">
        <v>154</v>
      </c>
      <c r="L1124" s="9">
        <v>2027</v>
      </c>
      <c r="M1124" s="8" t="s">
        <v>6990</v>
      </c>
      <c r="N1124" s="8" t="s">
        <v>37</v>
      </c>
      <c r="O1124" s="8" t="s">
        <v>83</v>
      </c>
      <c r="P1124" s="6" t="s">
        <v>39</v>
      </c>
      <c r="Q1124" s="8" t="s">
        <v>40</v>
      </c>
      <c r="R1124" s="10" t="s">
        <v>6991</v>
      </c>
      <c r="S1124" s="11"/>
      <c r="T1124" s="6"/>
      <c r="U1124" s="15" t="str">
        <f>HYPERLINK("https://media.infra-m.ru/2236/2236092/cover/2236092.jpg", "Обложка")</f>
        <v>Обложка</v>
      </c>
      <c r="V1124" s="8" t="s">
        <v>396</v>
      </c>
      <c r="W1124" s="6"/>
      <c r="X1124" s="6"/>
      <c r="Y1124" s="6"/>
      <c r="Z1124" s="6"/>
      <c r="AA1124" s="6" t="s">
        <v>420</v>
      </c>
      <c r="AB1124" s="8" t="s">
        <v>308</v>
      </c>
      <c r="AC1124" s="27">
        <v>9785160217055</v>
      </c>
    </row>
    <row r="1125" spans="1:29" s="4" customFormat="1" ht="51.9" customHeight="1" x14ac:dyDescent="0.2">
      <c r="A1125" s="5">
        <v>0</v>
      </c>
      <c r="B1125" s="6" t="s">
        <v>6992</v>
      </c>
      <c r="C1125" s="7">
        <v>2032.8</v>
      </c>
      <c r="D1125" s="8" t="s">
        <v>6993</v>
      </c>
      <c r="E1125" s="8" t="s">
        <v>6994</v>
      </c>
      <c r="F1125" s="8" t="s">
        <v>222</v>
      </c>
      <c r="G1125" s="6" t="s">
        <v>118</v>
      </c>
      <c r="H1125" s="6" t="s">
        <v>34</v>
      </c>
      <c r="I1125" s="8" t="s">
        <v>263</v>
      </c>
      <c r="J1125" s="9">
        <v>1</v>
      </c>
      <c r="K1125" s="9">
        <v>292</v>
      </c>
      <c r="L1125" s="9">
        <v>2026</v>
      </c>
      <c r="M1125" s="8" t="s">
        <v>6995</v>
      </c>
      <c r="N1125" s="8" t="s">
        <v>224</v>
      </c>
      <c r="O1125" s="8" t="s">
        <v>225</v>
      </c>
      <c r="P1125" s="6" t="s">
        <v>51</v>
      </c>
      <c r="Q1125" s="8" t="s">
        <v>265</v>
      </c>
      <c r="R1125" s="10" t="s">
        <v>6996</v>
      </c>
      <c r="S1125" s="11" t="s">
        <v>6997</v>
      </c>
      <c r="T1125" s="6"/>
      <c r="U1125" s="15" t="str">
        <f>HYPERLINK("https://media.infra-m.ru/2258/2258160/cover/2258160.jpg", "Обложка")</f>
        <v>Обложка</v>
      </c>
      <c r="V1125" s="8" t="s">
        <v>227</v>
      </c>
      <c r="W1125" s="6"/>
      <c r="X1125" s="6"/>
      <c r="Y1125" s="6"/>
      <c r="Z1125" s="6" t="s">
        <v>267</v>
      </c>
      <c r="AA1125" s="6" t="s">
        <v>115</v>
      </c>
      <c r="AB1125" s="8"/>
      <c r="AC1125" s="27">
        <v>9785160140858</v>
      </c>
    </row>
    <row r="1126" spans="1:29" s="4" customFormat="1" ht="44.1" customHeight="1" x14ac:dyDescent="0.2">
      <c r="A1126" s="5">
        <v>0</v>
      </c>
      <c r="B1126" s="6" t="s">
        <v>6998</v>
      </c>
      <c r="C1126" s="7">
        <v>1176</v>
      </c>
      <c r="D1126" s="8" t="s">
        <v>6999</v>
      </c>
      <c r="E1126" s="8" t="s">
        <v>7000</v>
      </c>
      <c r="F1126" s="8" t="s">
        <v>7001</v>
      </c>
      <c r="G1126" s="6" t="s">
        <v>33</v>
      </c>
      <c r="H1126" s="6" t="s">
        <v>134</v>
      </c>
      <c r="I1126" s="8"/>
      <c r="J1126" s="9">
        <v>1</v>
      </c>
      <c r="K1126" s="9">
        <v>208</v>
      </c>
      <c r="L1126" s="9">
        <v>2024</v>
      </c>
      <c r="M1126" s="8" t="s">
        <v>7002</v>
      </c>
      <c r="N1126" s="8" t="s">
        <v>37</v>
      </c>
      <c r="O1126" s="8" t="s">
        <v>136</v>
      </c>
      <c r="P1126" s="6" t="s">
        <v>39</v>
      </c>
      <c r="Q1126" s="8" t="s">
        <v>749</v>
      </c>
      <c r="R1126" s="10" t="s">
        <v>1631</v>
      </c>
      <c r="S1126" s="11"/>
      <c r="T1126" s="6"/>
      <c r="U1126" s="15" t="str">
        <f>HYPERLINK("https://media.infra-m.ru/2133/2133751/cover/2133751.jpg", "Обложка")</f>
        <v>Обложка</v>
      </c>
      <c r="V1126" s="8" t="s">
        <v>7003</v>
      </c>
      <c r="W1126" s="6"/>
      <c r="X1126" s="6"/>
      <c r="Y1126" s="6"/>
      <c r="Z1126" s="6"/>
      <c r="AA1126" s="6" t="s">
        <v>55</v>
      </c>
      <c r="AB1126" s="8"/>
      <c r="AC1126" s="27">
        <v>9785917684321</v>
      </c>
    </row>
    <row r="1127" spans="1:29" s="4" customFormat="1" ht="51.9" customHeight="1" x14ac:dyDescent="0.2">
      <c r="A1127" s="5">
        <v>0</v>
      </c>
      <c r="B1127" s="6" t="s">
        <v>7004</v>
      </c>
      <c r="C1127" s="7">
        <v>1516.8</v>
      </c>
      <c r="D1127" s="8" t="s">
        <v>7005</v>
      </c>
      <c r="E1127" s="8" t="s">
        <v>7006</v>
      </c>
      <c r="F1127" s="8" t="s">
        <v>5604</v>
      </c>
      <c r="G1127" s="6" t="s">
        <v>60</v>
      </c>
      <c r="H1127" s="6" t="s">
        <v>34</v>
      </c>
      <c r="I1127" s="8" t="s">
        <v>35</v>
      </c>
      <c r="J1127" s="9">
        <v>1</v>
      </c>
      <c r="K1127" s="9">
        <v>253</v>
      </c>
      <c r="L1127" s="9">
        <v>2025</v>
      </c>
      <c r="M1127" s="8" t="s">
        <v>7007</v>
      </c>
      <c r="N1127" s="8" t="s">
        <v>37</v>
      </c>
      <c r="O1127" s="8" t="s">
        <v>136</v>
      </c>
      <c r="P1127" s="6" t="s">
        <v>39</v>
      </c>
      <c r="Q1127" s="8" t="s">
        <v>40</v>
      </c>
      <c r="R1127" s="10" t="s">
        <v>7008</v>
      </c>
      <c r="S1127" s="11"/>
      <c r="T1127" s="6"/>
      <c r="U1127" s="15" t="str">
        <f>HYPERLINK("https://media.infra-m.ru/2192/2192166/cover/2192166.jpg", "Обложка")</f>
        <v>Обложка</v>
      </c>
      <c r="V1127" s="8" t="s">
        <v>5609</v>
      </c>
      <c r="W1127" s="6"/>
      <c r="X1127" s="6"/>
      <c r="Y1127" s="6"/>
      <c r="Z1127" s="6"/>
      <c r="AA1127" s="6" t="s">
        <v>2240</v>
      </c>
      <c r="AB1127" s="8"/>
      <c r="AC1127" s="27">
        <v>9785160148359</v>
      </c>
    </row>
    <row r="1128" spans="1:29" s="4" customFormat="1" ht="51.9" customHeight="1" x14ac:dyDescent="0.2">
      <c r="A1128" s="5">
        <v>0</v>
      </c>
      <c r="B1128" s="6" t="s">
        <v>7009</v>
      </c>
      <c r="C1128" s="13">
        <v>696</v>
      </c>
      <c r="D1128" s="8" t="s">
        <v>7010</v>
      </c>
      <c r="E1128" s="8" t="s">
        <v>7011</v>
      </c>
      <c r="F1128" s="8" t="s">
        <v>5604</v>
      </c>
      <c r="G1128" s="6" t="s">
        <v>33</v>
      </c>
      <c r="H1128" s="6" t="s">
        <v>34</v>
      </c>
      <c r="I1128" s="8" t="s">
        <v>35</v>
      </c>
      <c r="J1128" s="9">
        <v>1</v>
      </c>
      <c r="K1128" s="9">
        <v>184</v>
      </c>
      <c r="L1128" s="9">
        <v>2018</v>
      </c>
      <c r="M1128" s="8" t="s">
        <v>7012</v>
      </c>
      <c r="N1128" s="8" t="s">
        <v>37</v>
      </c>
      <c r="O1128" s="8" t="s">
        <v>136</v>
      </c>
      <c r="P1128" s="6" t="s">
        <v>39</v>
      </c>
      <c r="Q1128" s="8" t="s">
        <v>40</v>
      </c>
      <c r="R1128" s="10" t="s">
        <v>7008</v>
      </c>
      <c r="S1128" s="11"/>
      <c r="T1128" s="6"/>
      <c r="U1128" s="15" t="str">
        <f>HYPERLINK("https://media.infra-m.ru/0944/0944384/cover/944384.jpg", "Обложка")</f>
        <v>Обложка</v>
      </c>
      <c r="V1128" s="8" t="s">
        <v>5609</v>
      </c>
      <c r="W1128" s="6"/>
      <c r="X1128" s="6"/>
      <c r="Y1128" s="6"/>
      <c r="Z1128" s="6"/>
      <c r="AA1128" s="6" t="s">
        <v>43</v>
      </c>
      <c r="AB1128" s="8"/>
      <c r="AC1128" s="27">
        <v>9785160052984</v>
      </c>
    </row>
    <row r="1129" spans="1:29" s="4" customFormat="1" ht="51.9" customHeight="1" x14ac:dyDescent="0.2">
      <c r="A1129" s="5">
        <v>0</v>
      </c>
      <c r="B1129" s="6" t="s">
        <v>7013</v>
      </c>
      <c r="C1129" s="7">
        <v>1156.8</v>
      </c>
      <c r="D1129" s="8" t="s">
        <v>7014</v>
      </c>
      <c r="E1129" s="8" t="s">
        <v>7015</v>
      </c>
      <c r="F1129" s="8" t="s">
        <v>7016</v>
      </c>
      <c r="G1129" s="6" t="s">
        <v>33</v>
      </c>
      <c r="H1129" s="6" t="s">
        <v>34</v>
      </c>
      <c r="I1129" s="8" t="s">
        <v>35</v>
      </c>
      <c r="J1129" s="9">
        <v>1</v>
      </c>
      <c r="K1129" s="9">
        <v>161</v>
      </c>
      <c r="L1129" s="9">
        <v>2026</v>
      </c>
      <c r="M1129" s="8" t="s">
        <v>7017</v>
      </c>
      <c r="N1129" s="8" t="s">
        <v>37</v>
      </c>
      <c r="O1129" s="8" t="s">
        <v>136</v>
      </c>
      <c r="P1129" s="6" t="s">
        <v>39</v>
      </c>
      <c r="Q1129" s="8" t="s">
        <v>40</v>
      </c>
      <c r="R1129" s="10" t="s">
        <v>7018</v>
      </c>
      <c r="S1129" s="11"/>
      <c r="T1129" s="6"/>
      <c r="U1129" s="15" t="str">
        <f>HYPERLINK("https://media.infra-m.ru/2267/2267364/cover/2267364.jpg", "Обложка")</f>
        <v>Обложка</v>
      </c>
      <c r="V1129" s="8" t="s">
        <v>1231</v>
      </c>
      <c r="W1129" s="6"/>
      <c r="X1129" s="6"/>
      <c r="Y1129" s="6"/>
      <c r="Z1129" s="6"/>
      <c r="AA1129" s="6" t="s">
        <v>187</v>
      </c>
      <c r="AB1129" s="8"/>
      <c r="AC1129" s="27">
        <v>9785160219844</v>
      </c>
    </row>
    <row r="1130" spans="1:29" s="4" customFormat="1" ht="51.9" customHeight="1" x14ac:dyDescent="0.2">
      <c r="A1130" s="5">
        <v>0</v>
      </c>
      <c r="B1130" s="6" t="s">
        <v>7019</v>
      </c>
      <c r="C1130" s="13">
        <v>808.8</v>
      </c>
      <c r="D1130" s="8" t="s">
        <v>7020</v>
      </c>
      <c r="E1130" s="8" t="s">
        <v>7021</v>
      </c>
      <c r="F1130" s="8" t="s">
        <v>7022</v>
      </c>
      <c r="G1130" s="6" t="s">
        <v>33</v>
      </c>
      <c r="H1130" s="6" t="s">
        <v>34</v>
      </c>
      <c r="I1130" s="8" t="s">
        <v>35</v>
      </c>
      <c r="J1130" s="9">
        <v>1</v>
      </c>
      <c r="K1130" s="9">
        <v>128</v>
      </c>
      <c r="L1130" s="9">
        <v>2026</v>
      </c>
      <c r="M1130" s="8" t="s">
        <v>7023</v>
      </c>
      <c r="N1130" s="8" t="s">
        <v>93</v>
      </c>
      <c r="O1130" s="8" t="s">
        <v>94</v>
      </c>
      <c r="P1130" s="6" t="s">
        <v>39</v>
      </c>
      <c r="Q1130" s="8" t="s">
        <v>40</v>
      </c>
      <c r="R1130" s="10" t="s">
        <v>7024</v>
      </c>
      <c r="S1130" s="11"/>
      <c r="T1130" s="6"/>
      <c r="U1130" s="15" t="str">
        <f>HYPERLINK("https://media.infra-m.ru/2216/2216059/cover/2216059.jpg", "Обложка")</f>
        <v>Обложка</v>
      </c>
      <c r="V1130" s="8" t="s">
        <v>128</v>
      </c>
      <c r="W1130" s="6"/>
      <c r="X1130" s="6"/>
      <c r="Y1130" s="6"/>
      <c r="Z1130" s="6"/>
      <c r="AA1130" s="6" t="s">
        <v>43</v>
      </c>
      <c r="AB1130" s="8"/>
      <c r="AC1130" s="27">
        <v>9785160051758</v>
      </c>
    </row>
    <row r="1131" spans="1:29" s="4" customFormat="1" ht="51.9" customHeight="1" x14ac:dyDescent="0.2">
      <c r="A1131" s="5">
        <v>0</v>
      </c>
      <c r="B1131" s="6" t="s">
        <v>7025</v>
      </c>
      <c r="C1131" s="7">
        <v>1272</v>
      </c>
      <c r="D1131" s="8" t="s">
        <v>7026</v>
      </c>
      <c r="E1131" s="8" t="s">
        <v>7027</v>
      </c>
      <c r="F1131" s="8" t="s">
        <v>7028</v>
      </c>
      <c r="G1131" s="6" t="s">
        <v>118</v>
      </c>
      <c r="H1131" s="6" t="s">
        <v>34</v>
      </c>
      <c r="I1131" s="8" t="s">
        <v>35</v>
      </c>
      <c r="J1131" s="9">
        <v>1</v>
      </c>
      <c r="K1131" s="9">
        <v>183</v>
      </c>
      <c r="L1131" s="9">
        <v>2026</v>
      </c>
      <c r="M1131" s="8" t="s">
        <v>7029</v>
      </c>
      <c r="N1131" s="8" t="s">
        <v>93</v>
      </c>
      <c r="O1131" s="8" t="s">
        <v>94</v>
      </c>
      <c r="P1131" s="6" t="s">
        <v>39</v>
      </c>
      <c r="Q1131" s="8" t="s">
        <v>40</v>
      </c>
      <c r="R1131" s="10" t="s">
        <v>7030</v>
      </c>
      <c r="S1131" s="11"/>
      <c r="T1131" s="6"/>
      <c r="U1131" s="15" t="str">
        <f>HYPERLINK("https://media.infra-m.ru/2258/2258363/cover/2258363.jpg", "Обложка")</f>
        <v>Обложка</v>
      </c>
      <c r="V1131" s="8" t="s">
        <v>7031</v>
      </c>
      <c r="W1131" s="6"/>
      <c r="X1131" s="6"/>
      <c r="Y1131" s="6"/>
      <c r="Z1131" s="6"/>
      <c r="AA1131" s="6" t="s">
        <v>76</v>
      </c>
      <c r="AB1131" s="8"/>
      <c r="AC1131" s="27">
        <v>9785160186276</v>
      </c>
    </row>
    <row r="1132" spans="1:29" s="4" customFormat="1" ht="51.9" customHeight="1" x14ac:dyDescent="0.2">
      <c r="A1132" s="5">
        <v>0</v>
      </c>
      <c r="B1132" s="6" t="s">
        <v>7032</v>
      </c>
      <c r="C1132" s="7">
        <v>1896</v>
      </c>
      <c r="D1132" s="8" t="s">
        <v>7033</v>
      </c>
      <c r="E1132" s="8" t="s">
        <v>7034</v>
      </c>
      <c r="F1132" s="8" t="s">
        <v>7035</v>
      </c>
      <c r="G1132" s="6" t="s">
        <v>118</v>
      </c>
      <c r="H1132" s="6" t="s">
        <v>34</v>
      </c>
      <c r="I1132" s="8" t="s">
        <v>263</v>
      </c>
      <c r="J1132" s="9">
        <v>1</v>
      </c>
      <c r="K1132" s="9">
        <v>272</v>
      </c>
      <c r="L1132" s="9">
        <v>2027</v>
      </c>
      <c r="M1132" s="8" t="s">
        <v>7036</v>
      </c>
      <c r="N1132" s="8" t="s">
        <v>93</v>
      </c>
      <c r="O1132" s="8" t="s">
        <v>94</v>
      </c>
      <c r="P1132" s="6" t="s">
        <v>105</v>
      </c>
      <c r="Q1132" s="8" t="s">
        <v>265</v>
      </c>
      <c r="R1132" s="10" t="s">
        <v>7037</v>
      </c>
      <c r="S1132" s="11" t="s">
        <v>7038</v>
      </c>
      <c r="T1132" s="6"/>
      <c r="U1132" s="15" t="str">
        <f>HYPERLINK("https://media.infra-m.ru/2266/2266102/cover/2266102.jpg", "Обложка")</f>
        <v>Обложка</v>
      </c>
      <c r="V1132" s="8" t="s">
        <v>227</v>
      </c>
      <c r="W1132" s="6"/>
      <c r="X1132" s="6"/>
      <c r="Y1132" s="6"/>
      <c r="Z1132" s="6" t="s">
        <v>267</v>
      </c>
      <c r="AA1132" s="6" t="s">
        <v>115</v>
      </c>
      <c r="AB1132" s="8"/>
      <c r="AC1132" s="27">
        <v>9785160224282</v>
      </c>
    </row>
    <row r="1133" spans="1:29" s="4" customFormat="1" ht="51.9" customHeight="1" x14ac:dyDescent="0.2">
      <c r="A1133" s="5">
        <v>0</v>
      </c>
      <c r="B1133" s="6" t="s">
        <v>7039</v>
      </c>
      <c r="C1133" s="7">
        <v>1896</v>
      </c>
      <c r="D1133" s="8" t="s">
        <v>7040</v>
      </c>
      <c r="E1133" s="8" t="s">
        <v>7034</v>
      </c>
      <c r="F1133" s="8" t="s">
        <v>7035</v>
      </c>
      <c r="G1133" s="6" t="s">
        <v>118</v>
      </c>
      <c r="H1133" s="6" t="s">
        <v>34</v>
      </c>
      <c r="I1133" s="8" t="s">
        <v>253</v>
      </c>
      <c r="J1133" s="9">
        <v>1</v>
      </c>
      <c r="K1133" s="9">
        <v>272</v>
      </c>
      <c r="L1133" s="9">
        <v>2027</v>
      </c>
      <c r="M1133" s="8" t="s">
        <v>7041</v>
      </c>
      <c r="N1133" s="8" t="s">
        <v>93</v>
      </c>
      <c r="O1133" s="8" t="s">
        <v>94</v>
      </c>
      <c r="P1133" s="6" t="s">
        <v>105</v>
      </c>
      <c r="Q1133" s="8" t="s">
        <v>52</v>
      </c>
      <c r="R1133" s="10" t="s">
        <v>7042</v>
      </c>
      <c r="S1133" s="11"/>
      <c r="T1133" s="6"/>
      <c r="U1133" s="15" t="str">
        <f>HYPERLINK("https://media.infra-m.ru/2265/2265560/cover/2265560.jpg", "Обложка")</f>
        <v>Обложка</v>
      </c>
      <c r="V1133" s="8" t="s">
        <v>227</v>
      </c>
      <c r="W1133" s="6"/>
      <c r="X1133" s="6"/>
      <c r="Y1133" s="6"/>
      <c r="Z1133" s="6"/>
      <c r="AA1133" s="6" t="s">
        <v>55</v>
      </c>
      <c r="AB1133" s="8"/>
      <c r="AC1133" s="27">
        <v>9785160211572</v>
      </c>
    </row>
    <row r="1134" spans="1:29" s="4" customFormat="1" ht="51.9" customHeight="1" x14ac:dyDescent="0.2">
      <c r="A1134" s="5">
        <v>0</v>
      </c>
      <c r="B1134" s="6" t="s">
        <v>7043</v>
      </c>
      <c r="C1134" s="7">
        <v>2040</v>
      </c>
      <c r="D1134" s="8" t="s">
        <v>7044</v>
      </c>
      <c r="E1134" s="8" t="s">
        <v>7045</v>
      </c>
      <c r="F1134" s="8" t="s">
        <v>7046</v>
      </c>
      <c r="G1134" s="6" t="s">
        <v>118</v>
      </c>
      <c r="H1134" s="6" t="s">
        <v>34</v>
      </c>
      <c r="I1134" s="8" t="s">
        <v>263</v>
      </c>
      <c r="J1134" s="9">
        <v>1</v>
      </c>
      <c r="K1134" s="9">
        <v>315</v>
      </c>
      <c r="L1134" s="9">
        <v>2026</v>
      </c>
      <c r="M1134" s="8" t="s">
        <v>7047</v>
      </c>
      <c r="N1134" s="8" t="s">
        <v>93</v>
      </c>
      <c r="O1134" s="8" t="s">
        <v>94</v>
      </c>
      <c r="P1134" s="6" t="s">
        <v>51</v>
      </c>
      <c r="Q1134" s="8" t="s">
        <v>265</v>
      </c>
      <c r="R1134" s="10" t="s">
        <v>7048</v>
      </c>
      <c r="S1134" s="11" t="s">
        <v>7049</v>
      </c>
      <c r="T1134" s="6"/>
      <c r="U1134" s="15" t="str">
        <f>HYPERLINK("https://media.infra-m.ru/2210/2210343/cover/2210343.jpg", "Обложка")</f>
        <v>Обложка</v>
      </c>
      <c r="V1134" s="8" t="s">
        <v>7050</v>
      </c>
      <c r="W1134" s="6"/>
      <c r="X1134" s="6"/>
      <c r="Y1134" s="6"/>
      <c r="Z1134" s="6"/>
      <c r="AA1134" s="6" t="s">
        <v>1256</v>
      </c>
      <c r="AB1134" s="8"/>
      <c r="AC1134" s="27">
        <v>9785160161662</v>
      </c>
    </row>
    <row r="1135" spans="1:29" s="4" customFormat="1" ht="51.9" customHeight="1" x14ac:dyDescent="0.2">
      <c r="A1135" s="5">
        <v>0</v>
      </c>
      <c r="B1135" s="6" t="s">
        <v>7051</v>
      </c>
      <c r="C1135" s="13">
        <v>828</v>
      </c>
      <c r="D1135" s="8" t="s">
        <v>7052</v>
      </c>
      <c r="E1135" s="8" t="s">
        <v>7053</v>
      </c>
      <c r="F1135" s="8" t="s">
        <v>1538</v>
      </c>
      <c r="G1135" s="6" t="s">
        <v>33</v>
      </c>
      <c r="H1135" s="6" t="s">
        <v>34</v>
      </c>
      <c r="I1135" s="8" t="s">
        <v>35</v>
      </c>
      <c r="J1135" s="9">
        <v>1</v>
      </c>
      <c r="K1135" s="9">
        <v>148</v>
      </c>
      <c r="L1135" s="9">
        <v>2024</v>
      </c>
      <c r="M1135" s="8" t="s">
        <v>7054</v>
      </c>
      <c r="N1135" s="8" t="s">
        <v>93</v>
      </c>
      <c r="O1135" s="8" t="s">
        <v>94</v>
      </c>
      <c r="P1135" s="6" t="s">
        <v>39</v>
      </c>
      <c r="Q1135" s="8" t="s">
        <v>40</v>
      </c>
      <c r="R1135" s="10" t="s">
        <v>7055</v>
      </c>
      <c r="S1135" s="11"/>
      <c r="T1135" s="6"/>
      <c r="U1135" s="15" t="str">
        <f>HYPERLINK("https://media.infra-m.ru/2118/2118719/cover/2118719.jpg", "Обложка")</f>
        <v>Обложка</v>
      </c>
      <c r="V1135" s="8" t="s">
        <v>54</v>
      </c>
      <c r="W1135" s="6"/>
      <c r="X1135" s="6"/>
      <c r="Y1135" s="6"/>
      <c r="Z1135" s="6"/>
      <c r="AA1135" s="6" t="s">
        <v>623</v>
      </c>
      <c r="AB1135" s="8"/>
      <c r="AC1135" s="27">
        <v>9785160102177</v>
      </c>
    </row>
    <row r="1136" spans="1:29" s="4" customFormat="1" ht="51.9" customHeight="1" x14ac:dyDescent="0.2">
      <c r="A1136" s="5">
        <v>0</v>
      </c>
      <c r="B1136" s="6" t="s">
        <v>7056</v>
      </c>
      <c r="C1136" s="7">
        <v>1264.8</v>
      </c>
      <c r="D1136" s="8" t="s">
        <v>7057</v>
      </c>
      <c r="E1136" s="8" t="s">
        <v>7058</v>
      </c>
      <c r="F1136" s="8" t="s">
        <v>1538</v>
      </c>
      <c r="G1136" s="6" t="s">
        <v>33</v>
      </c>
      <c r="H1136" s="6" t="s">
        <v>34</v>
      </c>
      <c r="I1136" s="8" t="s">
        <v>35</v>
      </c>
      <c r="J1136" s="9">
        <v>1</v>
      </c>
      <c r="K1136" s="9">
        <v>158</v>
      </c>
      <c r="L1136" s="9">
        <v>2027</v>
      </c>
      <c r="M1136" s="8" t="s">
        <v>7059</v>
      </c>
      <c r="N1136" s="8" t="s">
        <v>93</v>
      </c>
      <c r="O1136" s="8" t="s">
        <v>94</v>
      </c>
      <c r="P1136" s="6" t="s">
        <v>39</v>
      </c>
      <c r="Q1136" s="8" t="s">
        <v>40</v>
      </c>
      <c r="R1136" s="10" t="s">
        <v>7055</v>
      </c>
      <c r="S1136" s="11"/>
      <c r="T1136" s="6"/>
      <c r="U1136" s="15" t="str">
        <f>HYPERLINK("https://media.infra-m.ru/2269/2269506/cover/2269506.jpg", "Обложка")</f>
        <v>Обложка</v>
      </c>
      <c r="V1136" s="8" t="s">
        <v>54</v>
      </c>
      <c r="W1136" s="6"/>
      <c r="X1136" s="6"/>
      <c r="Y1136" s="6"/>
      <c r="Z1136" s="6"/>
      <c r="AA1136" s="6" t="s">
        <v>1295</v>
      </c>
      <c r="AB1136" s="8"/>
      <c r="AC1136" s="27">
        <v>9785160203195</v>
      </c>
    </row>
    <row r="1137" spans="1:29" s="4" customFormat="1" ht="51.9" customHeight="1" x14ac:dyDescent="0.2">
      <c r="A1137" s="5">
        <v>0</v>
      </c>
      <c r="B1137" s="6" t="s">
        <v>7060</v>
      </c>
      <c r="C1137" s="13">
        <v>617.9</v>
      </c>
      <c r="D1137" s="8" t="s">
        <v>7061</v>
      </c>
      <c r="E1137" s="8" t="s">
        <v>7053</v>
      </c>
      <c r="F1137" s="8" t="s">
        <v>1538</v>
      </c>
      <c r="G1137" s="6" t="s">
        <v>7062</v>
      </c>
      <c r="H1137" s="6" t="s">
        <v>34</v>
      </c>
      <c r="I1137" s="8" t="s">
        <v>35</v>
      </c>
      <c r="J1137" s="9">
        <v>1</v>
      </c>
      <c r="K1137" s="9">
        <v>148</v>
      </c>
      <c r="L1137" s="9">
        <v>2019</v>
      </c>
      <c r="M1137" s="8" t="s">
        <v>7054</v>
      </c>
      <c r="N1137" s="8" t="s">
        <v>93</v>
      </c>
      <c r="O1137" s="8" t="s">
        <v>94</v>
      </c>
      <c r="P1137" s="6" t="s">
        <v>39</v>
      </c>
      <c r="Q1137" s="8" t="s">
        <v>40</v>
      </c>
      <c r="R1137" s="10" t="s">
        <v>7055</v>
      </c>
      <c r="S1137" s="11"/>
      <c r="T1137" s="6"/>
      <c r="U1137" s="12"/>
      <c r="V1137" s="8" t="s">
        <v>54</v>
      </c>
      <c r="W1137" s="6"/>
      <c r="X1137" s="6"/>
      <c r="Y1137" s="6"/>
      <c r="Z1137" s="6"/>
      <c r="AA1137" s="6" t="s">
        <v>623</v>
      </c>
      <c r="AB1137" s="8"/>
      <c r="AC1137" s="27">
        <v>9785160102177</v>
      </c>
    </row>
    <row r="1138" spans="1:29" s="4" customFormat="1" ht="44.1" customHeight="1" x14ac:dyDescent="0.2">
      <c r="A1138" s="5">
        <v>0</v>
      </c>
      <c r="B1138" s="6" t="s">
        <v>7063</v>
      </c>
      <c r="C1138" s="7">
        <v>3172.8</v>
      </c>
      <c r="D1138" s="8" t="s">
        <v>7064</v>
      </c>
      <c r="E1138" s="8" t="s">
        <v>7065</v>
      </c>
      <c r="F1138" s="8" t="s">
        <v>7066</v>
      </c>
      <c r="G1138" s="6" t="s">
        <v>60</v>
      </c>
      <c r="H1138" s="6" t="s">
        <v>34</v>
      </c>
      <c r="I1138" s="8" t="s">
        <v>91</v>
      </c>
      <c r="J1138" s="9">
        <v>1</v>
      </c>
      <c r="K1138" s="9">
        <v>508</v>
      </c>
      <c r="L1138" s="9">
        <v>2025</v>
      </c>
      <c r="M1138" s="8" t="s">
        <v>7067</v>
      </c>
      <c r="N1138" s="8" t="s">
        <v>93</v>
      </c>
      <c r="O1138" s="8" t="s">
        <v>94</v>
      </c>
      <c r="P1138" s="6" t="s">
        <v>51</v>
      </c>
      <c r="Q1138" s="8" t="s">
        <v>52</v>
      </c>
      <c r="R1138" s="10" t="s">
        <v>7068</v>
      </c>
      <c r="S1138" s="11"/>
      <c r="T1138" s="6"/>
      <c r="U1138" s="15" t="str">
        <f>HYPERLINK("https://media.infra-m.ru/2219/2219710/cover/2219710.jpg", "Обложка")</f>
        <v>Обложка</v>
      </c>
      <c r="V1138" s="8" t="s">
        <v>1599</v>
      </c>
      <c r="W1138" s="6"/>
      <c r="X1138" s="6"/>
      <c r="Y1138" s="6"/>
      <c r="Z1138" s="6"/>
      <c r="AA1138" s="6" t="s">
        <v>360</v>
      </c>
      <c r="AB1138" s="8"/>
      <c r="AC1138" s="27">
        <v>9785160138039</v>
      </c>
    </row>
    <row r="1139" spans="1:29" s="4" customFormat="1" ht="51.9" customHeight="1" x14ac:dyDescent="0.2">
      <c r="A1139" s="5">
        <v>0</v>
      </c>
      <c r="B1139" s="6" t="s">
        <v>7069</v>
      </c>
      <c r="C1139" s="7">
        <v>1068</v>
      </c>
      <c r="D1139" s="8" t="s">
        <v>7070</v>
      </c>
      <c r="E1139" s="8" t="s">
        <v>7071</v>
      </c>
      <c r="F1139" s="8" t="s">
        <v>7072</v>
      </c>
      <c r="G1139" s="6" t="s">
        <v>33</v>
      </c>
      <c r="H1139" s="6" t="s">
        <v>34</v>
      </c>
      <c r="I1139" s="8" t="s">
        <v>35</v>
      </c>
      <c r="J1139" s="9">
        <v>1</v>
      </c>
      <c r="K1139" s="9">
        <v>164</v>
      </c>
      <c r="L1139" s="9">
        <v>2025</v>
      </c>
      <c r="M1139" s="8" t="s">
        <v>7073</v>
      </c>
      <c r="N1139" s="8" t="s">
        <v>37</v>
      </c>
      <c r="O1139" s="8" t="s">
        <v>136</v>
      </c>
      <c r="P1139" s="6" t="s">
        <v>39</v>
      </c>
      <c r="Q1139" s="8" t="s">
        <v>40</v>
      </c>
      <c r="R1139" s="10" t="s">
        <v>7074</v>
      </c>
      <c r="S1139" s="11"/>
      <c r="T1139" s="6"/>
      <c r="U1139" s="15" t="str">
        <f>HYPERLINK("https://media.infra-m.ru/2169/2169737/cover/2169737.jpg", "Обложка")</f>
        <v>Обложка</v>
      </c>
      <c r="V1139" s="8" t="s">
        <v>7075</v>
      </c>
      <c r="W1139" s="6"/>
      <c r="X1139" s="6"/>
      <c r="Y1139" s="6"/>
      <c r="Z1139" s="6"/>
      <c r="AA1139" s="6" t="s">
        <v>76</v>
      </c>
      <c r="AB1139" s="8"/>
      <c r="AC1139" s="27">
        <v>9785160203300</v>
      </c>
    </row>
    <row r="1140" spans="1:29" s="4" customFormat="1" ht="51.9" customHeight="1" x14ac:dyDescent="0.2">
      <c r="A1140" s="5">
        <v>0</v>
      </c>
      <c r="B1140" s="6" t="s">
        <v>7076</v>
      </c>
      <c r="C1140" s="13">
        <v>401.9</v>
      </c>
      <c r="D1140" s="8" t="s">
        <v>7077</v>
      </c>
      <c r="E1140" s="8" t="s">
        <v>7078</v>
      </c>
      <c r="F1140" s="8" t="s">
        <v>7079</v>
      </c>
      <c r="G1140" s="6" t="s">
        <v>33</v>
      </c>
      <c r="H1140" s="6" t="s">
        <v>48</v>
      </c>
      <c r="I1140" s="8"/>
      <c r="J1140" s="9">
        <v>1</v>
      </c>
      <c r="K1140" s="9">
        <v>112</v>
      </c>
      <c r="L1140" s="9">
        <v>2018</v>
      </c>
      <c r="M1140" s="8" t="s">
        <v>7080</v>
      </c>
      <c r="N1140" s="8" t="s">
        <v>93</v>
      </c>
      <c r="O1140" s="8" t="s">
        <v>94</v>
      </c>
      <c r="P1140" s="6" t="s">
        <v>51</v>
      </c>
      <c r="Q1140" s="8" t="s">
        <v>183</v>
      </c>
      <c r="R1140" s="10" t="s">
        <v>7081</v>
      </c>
      <c r="S1140" s="11"/>
      <c r="T1140" s="6"/>
      <c r="U1140" s="12"/>
      <c r="V1140" s="8" t="s">
        <v>7082</v>
      </c>
      <c r="W1140" s="6"/>
      <c r="X1140" s="6"/>
      <c r="Y1140" s="6"/>
      <c r="Z1140" s="6"/>
      <c r="AA1140" s="6" t="s">
        <v>55</v>
      </c>
      <c r="AB1140" s="8"/>
      <c r="AC1140" s="27">
        <v>9785911347345</v>
      </c>
    </row>
    <row r="1141" spans="1:29" s="4" customFormat="1" ht="51.9" customHeight="1" x14ac:dyDescent="0.2">
      <c r="A1141" s="5">
        <v>0</v>
      </c>
      <c r="B1141" s="6" t="s">
        <v>7083</v>
      </c>
      <c r="C1141" s="7">
        <v>1164</v>
      </c>
      <c r="D1141" s="8" t="s">
        <v>7084</v>
      </c>
      <c r="E1141" s="8" t="s">
        <v>7085</v>
      </c>
      <c r="F1141" s="8" t="s">
        <v>7086</v>
      </c>
      <c r="G1141" s="6" t="s">
        <v>118</v>
      </c>
      <c r="H1141" s="6" t="s">
        <v>34</v>
      </c>
      <c r="I1141" s="8" t="s">
        <v>91</v>
      </c>
      <c r="J1141" s="9">
        <v>1</v>
      </c>
      <c r="K1141" s="9">
        <v>166</v>
      </c>
      <c r="L1141" s="9">
        <v>2026</v>
      </c>
      <c r="M1141" s="8" t="s">
        <v>7087</v>
      </c>
      <c r="N1141" s="8" t="s">
        <v>93</v>
      </c>
      <c r="O1141" s="8" t="s">
        <v>94</v>
      </c>
      <c r="P1141" s="6" t="s">
        <v>51</v>
      </c>
      <c r="Q1141" s="8" t="s">
        <v>65</v>
      </c>
      <c r="R1141" s="10" t="s">
        <v>7081</v>
      </c>
      <c r="S1141" s="11"/>
      <c r="T1141" s="6"/>
      <c r="U1141" s="15" t="str">
        <f>HYPERLINK("https://media.infra-m.ru/2258/2258746/cover/2258746.jpg", "Обложка")</f>
        <v>Обложка</v>
      </c>
      <c r="V1141" s="8" t="s">
        <v>7082</v>
      </c>
      <c r="W1141" s="6"/>
      <c r="X1141" s="6"/>
      <c r="Y1141" s="6"/>
      <c r="Z1141" s="6"/>
      <c r="AA1141" s="6" t="s">
        <v>258</v>
      </c>
      <c r="AB1141" s="8"/>
      <c r="AC1141" s="27">
        <v>9785160222295</v>
      </c>
    </row>
    <row r="1142" spans="1:29" s="4" customFormat="1" ht="51.9" customHeight="1" x14ac:dyDescent="0.2">
      <c r="A1142" s="5">
        <v>0</v>
      </c>
      <c r="B1142" s="6" t="s">
        <v>7088</v>
      </c>
      <c r="C1142" s="7">
        <v>2368.8000000000002</v>
      </c>
      <c r="D1142" s="8" t="s">
        <v>7089</v>
      </c>
      <c r="E1142" s="8" t="s">
        <v>7090</v>
      </c>
      <c r="F1142" s="8" t="s">
        <v>7091</v>
      </c>
      <c r="G1142" s="6" t="s">
        <v>60</v>
      </c>
      <c r="H1142" s="6" t="s">
        <v>34</v>
      </c>
      <c r="I1142" s="8" t="s">
        <v>253</v>
      </c>
      <c r="J1142" s="9">
        <v>1</v>
      </c>
      <c r="K1142" s="9">
        <v>358</v>
      </c>
      <c r="L1142" s="9">
        <v>2026</v>
      </c>
      <c r="M1142" s="8" t="s">
        <v>7092</v>
      </c>
      <c r="N1142" s="8" t="s">
        <v>243</v>
      </c>
      <c r="O1142" s="8" t="s">
        <v>1100</v>
      </c>
      <c r="P1142" s="6" t="s">
        <v>51</v>
      </c>
      <c r="Q1142" s="8" t="s">
        <v>52</v>
      </c>
      <c r="R1142" s="10" t="s">
        <v>2479</v>
      </c>
      <c r="S1142" s="11" t="s">
        <v>7093</v>
      </c>
      <c r="T1142" s="6"/>
      <c r="U1142" s="15" t="str">
        <f>HYPERLINK("https://media.infra-m.ru/2253/2253955/cover/2253955.jpg", "Обложка")</f>
        <v>Обложка</v>
      </c>
      <c r="V1142" s="8" t="s">
        <v>2522</v>
      </c>
      <c r="W1142" s="6"/>
      <c r="X1142" s="6"/>
      <c r="Y1142" s="6"/>
      <c r="Z1142" s="6"/>
      <c r="AA1142" s="6" t="s">
        <v>274</v>
      </c>
      <c r="AB1142" s="8"/>
      <c r="AC1142" s="27">
        <v>9785160102658</v>
      </c>
    </row>
    <row r="1143" spans="1:29" s="4" customFormat="1" ht="44.1" customHeight="1" x14ac:dyDescent="0.2">
      <c r="A1143" s="5">
        <v>0</v>
      </c>
      <c r="B1143" s="6" t="s">
        <v>7094</v>
      </c>
      <c r="C1143" s="7">
        <v>1060.8</v>
      </c>
      <c r="D1143" s="8" t="s">
        <v>7095</v>
      </c>
      <c r="E1143" s="8" t="s">
        <v>7096</v>
      </c>
      <c r="F1143" s="8" t="s">
        <v>7097</v>
      </c>
      <c r="G1143" s="6" t="s">
        <v>33</v>
      </c>
      <c r="H1143" s="6" t="s">
        <v>34</v>
      </c>
      <c r="I1143" s="8" t="s">
        <v>35</v>
      </c>
      <c r="J1143" s="9">
        <v>1</v>
      </c>
      <c r="K1143" s="9">
        <v>160</v>
      </c>
      <c r="L1143" s="9">
        <v>2026</v>
      </c>
      <c r="M1143" s="8" t="s">
        <v>7098</v>
      </c>
      <c r="N1143" s="8" t="s">
        <v>243</v>
      </c>
      <c r="O1143" s="8" t="s">
        <v>385</v>
      </c>
      <c r="P1143" s="6" t="s">
        <v>39</v>
      </c>
      <c r="Q1143" s="8" t="s">
        <v>40</v>
      </c>
      <c r="R1143" s="10" t="s">
        <v>7099</v>
      </c>
      <c r="S1143" s="11"/>
      <c r="T1143" s="6"/>
      <c r="U1143" s="15" t="str">
        <f>HYPERLINK("https://media.infra-m.ru/2252/2252426/cover/2252426.jpg", "Обложка")</f>
        <v>Обложка</v>
      </c>
      <c r="V1143" s="8" t="s">
        <v>7100</v>
      </c>
      <c r="W1143" s="6"/>
      <c r="X1143" s="6"/>
      <c r="Y1143" s="6"/>
      <c r="Z1143" s="6"/>
      <c r="AA1143" s="6" t="s">
        <v>1256</v>
      </c>
      <c r="AB1143" s="8" t="s">
        <v>7101</v>
      </c>
      <c r="AC1143" s="27">
        <v>9785160156781</v>
      </c>
    </row>
    <row r="1144" spans="1:29" s="4" customFormat="1" ht="42" customHeight="1" x14ac:dyDescent="0.2">
      <c r="A1144" s="5">
        <v>0</v>
      </c>
      <c r="B1144" s="6" t="s">
        <v>7102</v>
      </c>
      <c r="C1144" s="7">
        <v>2836.8</v>
      </c>
      <c r="D1144" s="8" t="s">
        <v>7103</v>
      </c>
      <c r="E1144" s="8" t="s">
        <v>7104</v>
      </c>
      <c r="F1144" s="8" t="s">
        <v>7105</v>
      </c>
      <c r="G1144" s="6" t="s">
        <v>60</v>
      </c>
      <c r="H1144" s="6" t="s">
        <v>34</v>
      </c>
      <c r="I1144" s="8" t="s">
        <v>954</v>
      </c>
      <c r="J1144" s="9">
        <v>1</v>
      </c>
      <c r="K1144" s="9">
        <v>455</v>
      </c>
      <c r="L1144" s="9">
        <v>2026</v>
      </c>
      <c r="M1144" s="8" t="s">
        <v>7106</v>
      </c>
      <c r="N1144" s="8" t="s">
        <v>37</v>
      </c>
      <c r="O1144" s="8" t="s">
        <v>290</v>
      </c>
      <c r="P1144" s="6" t="s">
        <v>306</v>
      </c>
      <c r="Q1144" s="8" t="s">
        <v>65</v>
      </c>
      <c r="R1144" s="10" t="s">
        <v>7107</v>
      </c>
      <c r="S1144" s="11"/>
      <c r="T1144" s="6"/>
      <c r="U1144" s="15" t="str">
        <f>HYPERLINK("https://media.infra-m.ru/2220/2220200/cover/2220200.jpg", "Обложка")</f>
        <v>Обложка</v>
      </c>
      <c r="V1144" s="8" t="s">
        <v>958</v>
      </c>
      <c r="W1144" s="6"/>
      <c r="X1144" s="6"/>
      <c r="Y1144" s="6"/>
      <c r="Z1144" s="6"/>
      <c r="AA1144" s="6" t="s">
        <v>76</v>
      </c>
      <c r="AB1144" s="8"/>
      <c r="AC1144" s="27">
        <v>9785160190198</v>
      </c>
    </row>
    <row r="1145" spans="1:29" s="4" customFormat="1" ht="42" customHeight="1" x14ac:dyDescent="0.2">
      <c r="A1145" s="5">
        <v>0</v>
      </c>
      <c r="B1145" s="6" t="s">
        <v>7108</v>
      </c>
      <c r="C1145" s="7">
        <v>2812.8</v>
      </c>
      <c r="D1145" s="8" t="s">
        <v>7109</v>
      </c>
      <c r="E1145" s="8" t="s">
        <v>7110</v>
      </c>
      <c r="F1145" s="8" t="s">
        <v>7105</v>
      </c>
      <c r="G1145" s="6" t="s">
        <v>60</v>
      </c>
      <c r="H1145" s="6" t="s">
        <v>34</v>
      </c>
      <c r="I1145" s="8" t="s">
        <v>954</v>
      </c>
      <c r="J1145" s="9">
        <v>1</v>
      </c>
      <c r="K1145" s="9">
        <v>451</v>
      </c>
      <c r="L1145" s="9">
        <v>2026</v>
      </c>
      <c r="M1145" s="8" t="s">
        <v>7111</v>
      </c>
      <c r="N1145" s="8" t="s">
        <v>37</v>
      </c>
      <c r="O1145" s="8" t="s">
        <v>290</v>
      </c>
      <c r="P1145" s="6" t="s">
        <v>306</v>
      </c>
      <c r="Q1145" s="8" t="s">
        <v>65</v>
      </c>
      <c r="R1145" s="10" t="s">
        <v>7107</v>
      </c>
      <c r="S1145" s="11"/>
      <c r="T1145" s="6"/>
      <c r="U1145" s="15" t="str">
        <f>HYPERLINK("https://media.infra-m.ru/2220/2220198/cover/2220198.jpg", "Обложка")</f>
        <v>Обложка</v>
      </c>
      <c r="V1145" s="8" t="s">
        <v>958</v>
      </c>
      <c r="W1145" s="6"/>
      <c r="X1145" s="6"/>
      <c r="Y1145" s="6"/>
      <c r="Z1145" s="6"/>
      <c r="AA1145" s="6" t="s">
        <v>76</v>
      </c>
      <c r="AB1145" s="8"/>
      <c r="AC1145" s="27">
        <v>9785160190204</v>
      </c>
    </row>
    <row r="1146" spans="1:29" s="4" customFormat="1" ht="51.9" customHeight="1" x14ac:dyDescent="0.2">
      <c r="A1146" s="5">
        <v>0</v>
      </c>
      <c r="B1146" s="6" t="s">
        <v>7112</v>
      </c>
      <c r="C1146" s="7">
        <v>1116</v>
      </c>
      <c r="D1146" s="8" t="s">
        <v>7113</v>
      </c>
      <c r="E1146" s="8" t="s">
        <v>7114</v>
      </c>
      <c r="F1146" s="8" t="s">
        <v>7115</v>
      </c>
      <c r="G1146" s="6" t="s">
        <v>118</v>
      </c>
      <c r="H1146" s="6" t="s">
        <v>48</v>
      </c>
      <c r="I1146" s="8" t="s">
        <v>253</v>
      </c>
      <c r="J1146" s="9">
        <v>1</v>
      </c>
      <c r="K1146" s="9">
        <v>191</v>
      </c>
      <c r="L1146" s="9">
        <v>2024</v>
      </c>
      <c r="M1146" s="8" t="s">
        <v>7116</v>
      </c>
      <c r="N1146" s="8" t="s">
        <v>243</v>
      </c>
      <c r="O1146" s="8" t="s">
        <v>798</v>
      </c>
      <c r="P1146" s="6" t="s">
        <v>105</v>
      </c>
      <c r="Q1146" s="8" t="s">
        <v>52</v>
      </c>
      <c r="R1146" s="10" t="s">
        <v>2870</v>
      </c>
      <c r="S1146" s="11" t="s">
        <v>7117</v>
      </c>
      <c r="T1146" s="6"/>
      <c r="U1146" s="15" t="str">
        <f>HYPERLINK("https://media.infra-m.ru/2084/2084164/cover/2084164.jpg", "Обложка")</f>
        <v>Обложка</v>
      </c>
      <c r="V1146" s="8" t="s">
        <v>2446</v>
      </c>
      <c r="W1146" s="6"/>
      <c r="X1146" s="6"/>
      <c r="Y1146" s="6"/>
      <c r="Z1146" s="6"/>
      <c r="AA1146" s="6" t="s">
        <v>274</v>
      </c>
      <c r="AB1146" s="8"/>
      <c r="AC1146" s="27">
        <v>9785000917954</v>
      </c>
    </row>
    <row r="1147" spans="1:29" s="4" customFormat="1" ht="42" customHeight="1" x14ac:dyDescent="0.2">
      <c r="A1147" s="5">
        <v>0</v>
      </c>
      <c r="B1147" s="6" t="s">
        <v>7118</v>
      </c>
      <c r="C1147" s="7">
        <v>1956</v>
      </c>
      <c r="D1147" s="8" t="s">
        <v>7119</v>
      </c>
      <c r="E1147" s="8" t="s">
        <v>7120</v>
      </c>
      <c r="F1147" s="8" t="s">
        <v>7121</v>
      </c>
      <c r="G1147" s="6" t="s">
        <v>118</v>
      </c>
      <c r="H1147" s="6" t="s">
        <v>34</v>
      </c>
      <c r="I1147" s="8" t="s">
        <v>35</v>
      </c>
      <c r="J1147" s="9">
        <v>1</v>
      </c>
      <c r="K1147" s="9">
        <v>296</v>
      </c>
      <c r="L1147" s="9">
        <v>2026</v>
      </c>
      <c r="M1147" s="8" t="s">
        <v>7122</v>
      </c>
      <c r="N1147" s="8" t="s">
        <v>37</v>
      </c>
      <c r="O1147" s="8" t="s">
        <v>50</v>
      </c>
      <c r="P1147" s="6" t="s">
        <v>39</v>
      </c>
      <c r="Q1147" s="8" t="s">
        <v>40</v>
      </c>
      <c r="R1147" s="10" t="s">
        <v>7123</v>
      </c>
      <c r="S1147" s="11"/>
      <c r="T1147" s="6"/>
      <c r="U1147" s="15" t="str">
        <f>HYPERLINK("https://media.infra-m.ru/2166/2166338/cover/2166338.jpg", "Обложка")</f>
        <v>Обложка</v>
      </c>
      <c r="V1147" s="8" t="s">
        <v>217</v>
      </c>
      <c r="W1147" s="6"/>
      <c r="X1147" s="6"/>
      <c r="Y1147" s="6"/>
      <c r="Z1147" s="6"/>
      <c r="AA1147" s="6" t="s">
        <v>99</v>
      </c>
      <c r="AB1147" s="8"/>
      <c r="AC1147" s="27">
        <v>9785160214795</v>
      </c>
    </row>
    <row r="1148" spans="1:29" s="4" customFormat="1" ht="51.9" customHeight="1" x14ac:dyDescent="0.2">
      <c r="A1148" s="5">
        <v>0</v>
      </c>
      <c r="B1148" s="6" t="s">
        <v>7124</v>
      </c>
      <c r="C1148" s="7">
        <v>1672.8</v>
      </c>
      <c r="D1148" s="8" t="s">
        <v>7125</v>
      </c>
      <c r="E1148" s="8" t="s">
        <v>7126</v>
      </c>
      <c r="F1148" s="8" t="s">
        <v>7127</v>
      </c>
      <c r="G1148" s="6" t="s">
        <v>60</v>
      </c>
      <c r="H1148" s="6" t="s">
        <v>134</v>
      </c>
      <c r="I1148" s="8"/>
      <c r="J1148" s="9">
        <v>1</v>
      </c>
      <c r="K1148" s="9">
        <v>240</v>
      </c>
      <c r="L1148" s="9">
        <v>2026</v>
      </c>
      <c r="M1148" s="8" t="s">
        <v>7128</v>
      </c>
      <c r="N1148" s="8" t="s">
        <v>37</v>
      </c>
      <c r="O1148" s="8" t="s">
        <v>136</v>
      </c>
      <c r="P1148" s="6" t="s">
        <v>39</v>
      </c>
      <c r="Q1148" s="8" t="s">
        <v>3587</v>
      </c>
      <c r="R1148" s="10" t="s">
        <v>7129</v>
      </c>
      <c r="S1148" s="11"/>
      <c r="T1148" s="6"/>
      <c r="U1148" s="15" t="str">
        <f>HYPERLINK("https://media.infra-m.ru/2247/2247801/cover/2247801.jpg", "Обложка")</f>
        <v>Обложка</v>
      </c>
      <c r="V1148" s="8" t="s">
        <v>1083</v>
      </c>
      <c r="W1148" s="6"/>
      <c r="X1148" s="6"/>
      <c r="Y1148" s="6"/>
      <c r="Z1148" s="6"/>
      <c r="AA1148" s="6" t="s">
        <v>76</v>
      </c>
      <c r="AB1148" s="8"/>
      <c r="AC1148" s="27">
        <v>9785001563426</v>
      </c>
    </row>
    <row r="1149" spans="1:29" s="4" customFormat="1" ht="44.1" customHeight="1" x14ac:dyDescent="0.2">
      <c r="A1149" s="5">
        <v>0</v>
      </c>
      <c r="B1149" s="6" t="s">
        <v>7130</v>
      </c>
      <c r="C1149" s="7">
        <v>1276.8</v>
      </c>
      <c r="D1149" s="8" t="s">
        <v>7131</v>
      </c>
      <c r="E1149" s="8" t="s">
        <v>7132</v>
      </c>
      <c r="F1149" s="8" t="s">
        <v>7133</v>
      </c>
      <c r="G1149" s="6" t="s">
        <v>118</v>
      </c>
      <c r="H1149" s="6" t="s">
        <v>34</v>
      </c>
      <c r="I1149" s="8" t="s">
        <v>271</v>
      </c>
      <c r="J1149" s="9">
        <v>1</v>
      </c>
      <c r="K1149" s="9">
        <v>212</v>
      </c>
      <c r="L1149" s="9">
        <v>2025</v>
      </c>
      <c r="M1149" s="8" t="s">
        <v>7134</v>
      </c>
      <c r="N1149" s="8" t="s">
        <v>63</v>
      </c>
      <c r="O1149" s="8" t="s">
        <v>64</v>
      </c>
      <c r="P1149" s="6" t="s">
        <v>51</v>
      </c>
      <c r="Q1149" s="8" t="s">
        <v>52</v>
      </c>
      <c r="R1149" s="10" t="s">
        <v>7135</v>
      </c>
      <c r="S1149" s="11"/>
      <c r="T1149" s="6"/>
      <c r="U1149" s="15" t="str">
        <f>HYPERLINK("https://media.infra-m.ru/2183/2183350/cover/2183350.jpg", "Обложка")</f>
        <v>Обложка</v>
      </c>
      <c r="V1149" s="8" t="s">
        <v>227</v>
      </c>
      <c r="W1149" s="6"/>
      <c r="X1149" s="6" t="s">
        <v>24</v>
      </c>
      <c r="Y1149" s="6"/>
      <c r="Z1149" s="6"/>
      <c r="AA1149" s="6" t="s">
        <v>129</v>
      </c>
      <c r="AB1149" s="8"/>
      <c r="AC1149" s="27">
        <v>9785160114422</v>
      </c>
    </row>
    <row r="1150" spans="1:29" s="4" customFormat="1" ht="42" customHeight="1" x14ac:dyDescent="0.2">
      <c r="A1150" s="5">
        <v>0</v>
      </c>
      <c r="B1150" s="6" t="s">
        <v>7136</v>
      </c>
      <c r="C1150" s="7">
        <v>1308</v>
      </c>
      <c r="D1150" s="8" t="s">
        <v>7137</v>
      </c>
      <c r="E1150" s="8" t="s">
        <v>7138</v>
      </c>
      <c r="F1150" s="8" t="s">
        <v>7133</v>
      </c>
      <c r="G1150" s="6" t="s">
        <v>60</v>
      </c>
      <c r="H1150" s="6" t="s">
        <v>34</v>
      </c>
      <c r="I1150" s="8" t="s">
        <v>263</v>
      </c>
      <c r="J1150" s="9">
        <v>1</v>
      </c>
      <c r="K1150" s="9">
        <v>212</v>
      </c>
      <c r="L1150" s="9">
        <v>2025</v>
      </c>
      <c r="M1150" s="8" t="s">
        <v>7139</v>
      </c>
      <c r="N1150" s="8" t="s">
        <v>63</v>
      </c>
      <c r="O1150" s="8" t="s">
        <v>64</v>
      </c>
      <c r="P1150" s="6" t="s">
        <v>51</v>
      </c>
      <c r="Q1150" s="8" t="s">
        <v>265</v>
      </c>
      <c r="R1150" s="10" t="s">
        <v>7140</v>
      </c>
      <c r="S1150" s="11"/>
      <c r="T1150" s="6"/>
      <c r="U1150" s="15" t="str">
        <f>HYPERLINK("https://media.infra-m.ru/2172/2172160/cover/2172160.jpg", "Обложка")</f>
        <v>Обложка</v>
      </c>
      <c r="V1150" s="8" t="s">
        <v>227</v>
      </c>
      <c r="W1150" s="6"/>
      <c r="X1150" s="6"/>
      <c r="Y1150" s="6"/>
      <c r="Z1150" s="6" t="s">
        <v>267</v>
      </c>
      <c r="AA1150" s="6" t="s">
        <v>68</v>
      </c>
      <c r="AB1150" s="8"/>
      <c r="AC1150" s="27">
        <v>9785160204048</v>
      </c>
    </row>
    <row r="1151" spans="1:29" s="4" customFormat="1" ht="42" customHeight="1" x14ac:dyDescent="0.2">
      <c r="A1151" s="5">
        <v>0</v>
      </c>
      <c r="B1151" s="6" t="s">
        <v>7141</v>
      </c>
      <c r="C1151" s="7">
        <v>5340</v>
      </c>
      <c r="D1151" s="8" t="s">
        <v>7142</v>
      </c>
      <c r="E1151" s="8" t="s">
        <v>7143</v>
      </c>
      <c r="F1151" s="8" t="s">
        <v>7144</v>
      </c>
      <c r="G1151" s="6" t="s">
        <v>60</v>
      </c>
      <c r="H1151" s="6" t="s">
        <v>34</v>
      </c>
      <c r="I1151" s="8"/>
      <c r="J1151" s="9">
        <v>1</v>
      </c>
      <c r="K1151" s="9">
        <v>761</v>
      </c>
      <c r="L1151" s="9">
        <v>2023</v>
      </c>
      <c r="M1151" s="8" t="s">
        <v>7145</v>
      </c>
      <c r="N1151" s="8" t="s">
        <v>93</v>
      </c>
      <c r="O1151" s="8" t="s">
        <v>94</v>
      </c>
      <c r="P1151" s="6" t="s">
        <v>7146</v>
      </c>
      <c r="Q1151" s="8" t="s">
        <v>40</v>
      </c>
      <c r="R1151" s="10" t="s">
        <v>7147</v>
      </c>
      <c r="S1151" s="11"/>
      <c r="T1151" s="6"/>
      <c r="U1151" s="15" t="str">
        <f>HYPERLINK("https://media.infra-m.ru/2113/2113425/cover/2113425.jpg", "Обложка")</f>
        <v>Обложка</v>
      </c>
      <c r="V1151" s="8" t="s">
        <v>6474</v>
      </c>
      <c r="W1151" s="6"/>
      <c r="X1151" s="6"/>
      <c r="Y1151" s="6"/>
      <c r="Z1151" s="6"/>
      <c r="AA1151" s="6" t="s">
        <v>157</v>
      </c>
      <c r="AB1151" s="8"/>
      <c r="AC1151" s="27">
        <v>9785160193786</v>
      </c>
    </row>
    <row r="1152" spans="1:29" s="4" customFormat="1" ht="42" customHeight="1" x14ac:dyDescent="0.2">
      <c r="A1152" s="5">
        <v>0</v>
      </c>
      <c r="B1152" s="6" t="s">
        <v>7148</v>
      </c>
      <c r="C1152" s="7">
        <v>1792.8</v>
      </c>
      <c r="D1152" s="8" t="s">
        <v>7149</v>
      </c>
      <c r="E1152" s="8" t="s">
        <v>7150</v>
      </c>
      <c r="F1152" s="8" t="s">
        <v>7151</v>
      </c>
      <c r="G1152" s="6" t="s">
        <v>60</v>
      </c>
      <c r="H1152" s="6" t="s">
        <v>134</v>
      </c>
      <c r="I1152" s="8"/>
      <c r="J1152" s="9">
        <v>1</v>
      </c>
      <c r="K1152" s="9">
        <v>288</v>
      </c>
      <c r="L1152" s="9">
        <v>2026</v>
      </c>
      <c r="M1152" s="8" t="s">
        <v>7152</v>
      </c>
      <c r="N1152" s="8" t="s">
        <v>37</v>
      </c>
      <c r="O1152" s="8" t="s">
        <v>136</v>
      </c>
      <c r="P1152" s="6" t="s">
        <v>51</v>
      </c>
      <c r="Q1152" s="8" t="s">
        <v>52</v>
      </c>
      <c r="R1152" s="10" t="s">
        <v>1076</v>
      </c>
      <c r="S1152" s="11"/>
      <c r="T1152" s="6"/>
      <c r="U1152" s="15" t="str">
        <f>HYPERLINK("https://media.infra-m.ru/2218/2218402/cover/2218402.jpg", "Обложка")</f>
        <v>Обложка</v>
      </c>
      <c r="V1152" s="8" t="s">
        <v>6224</v>
      </c>
      <c r="W1152" s="6"/>
      <c r="X1152" s="6"/>
      <c r="Y1152" s="6"/>
      <c r="Z1152" s="6"/>
      <c r="AA1152" s="6" t="s">
        <v>55</v>
      </c>
      <c r="AB1152" s="8"/>
      <c r="AC1152" s="27">
        <v>9785917684017</v>
      </c>
    </row>
    <row r="1153" spans="1:29" s="4" customFormat="1" ht="51.9" customHeight="1" x14ac:dyDescent="0.2">
      <c r="A1153" s="5">
        <v>0</v>
      </c>
      <c r="B1153" s="6" t="s">
        <v>7153</v>
      </c>
      <c r="C1153" s="7">
        <v>3484.8</v>
      </c>
      <c r="D1153" s="8" t="s">
        <v>7154</v>
      </c>
      <c r="E1153" s="8" t="s">
        <v>7155</v>
      </c>
      <c r="F1153" s="8" t="s">
        <v>7156</v>
      </c>
      <c r="G1153" s="6" t="s">
        <v>60</v>
      </c>
      <c r="H1153" s="6" t="s">
        <v>134</v>
      </c>
      <c r="I1153" s="8"/>
      <c r="J1153" s="9">
        <v>1</v>
      </c>
      <c r="K1153" s="9">
        <v>816</v>
      </c>
      <c r="L1153" s="9">
        <v>2025</v>
      </c>
      <c r="M1153" s="8" t="s">
        <v>7157</v>
      </c>
      <c r="N1153" s="8" t="s">
        <v>37</v>
      </c>
      <c r="O1153" s="8" t="s">
        <v>136</v>
      </c>
      <c r="P1153" s="6" t="s">
        <v>306</v>
      </c>
      <c r="Q1153" s="8" t="s">
        <v>52</v>
      </c>
      <c r="R1153" s="10" t="s">
        <v>1068</v>
      </c>
      <c r="S1153" s="11" t="s">
        <v>7158</v>
      </c>
      <c r="T1153" s="6"/>
      <c r="U1153" s="15" t="str">
        <f>HYPERLINK("https://media.infra-m.ru/2184/2184384/cover/2184384.jpg", "Обложка")</f>
        <v>Обложка</v>
      </c>
      <c r="V1153" s="8" t="s">
        <v>1069</v>
      </c>
      <c r="W1153" s="6"/>
      <c r="X1153" s="6"/>
      <c r="Y1153" s="6"/>
      <c r="Z1153" s="6"/>
      <c r="AA1153" s="6" t="s">
        <v>7159</v>
      </c>
      <c r="AB1153" s="8"/>
      <c r="AC1153" s="27">
        <v>9785917680781</v>
      </c>
    </row>
    <row r="1154" spans="1:29" s="4" customFormat="1" ht="51.9" customHeight="1" x14ac:dyDescent="0.2">
      <c r="A1154" s="5">
        <v>0</v>
      </c>
      <c r="B1154" s="6" t="s">
        <v>7160</v>
      </c>
      <c r="C1154" s="7">
        <v>1596</v>
      </c>
      <c r="D1154" s="8" t="s">
        <v>7161</v>
      </c>
      <c r="E1154" s="8" t="s">
        <v>7162</v>
      </c>
      <c r="F1154" s="8" t="s">
        <v>7163</v>
      </c>
      <c r="G1154" s="6" t="s">
        <v>118</v>
      </c>
      <c r="H1154" s="6" t="s">
        <v>34</v>
      </c>
      <c r="I1154" s="8" t="s">
        <v>253</v>
      </c>
      <c r="J1154" s="9">
        <v>1</v>
      </c>
      <c r="K1154" s="9">
        <v>283</v>
      </c>
      <c r="L1154" s="9">
        <v>2023</v>
      </c>
      <c r="M1154" s="8" t="s">
        <v>7164</v>
      </c>
      <c r="N1154" s="8" t="s">
        <v>37</v>
      </c>
      <c r="O1154" s="8" t="s">
        <v>38</v>
      </c>
      <c r="P1154" s="6" t="s">
        <v>51</v>
      </c>
      <c r="Q1154" s="8" t="s">
        <v>65</v>
      </c>
      <c r="R1154" s="10" t="s">
        <v>7165</v>
      </c>
      <c r="S1154" s="11" t="s">
        <v>7166</v>
      </c>
      <c r="T1154" s="6"/>
      <c r="U1154" s="15" t="str">
        <f>HYPERLINK("https://media.infra-m.ru/2017/2017311/cover/2017311.jpg", "Обложка")</f>
        <v>Обложка</v>
      </c>
      <c r="V1154" s="8" t="s">
        <v>7167</v>
      </c>
      <c r="W1154" s="6"/>
      <c r="X1154" s="6"/>
      <c r="Y1154" s="6"/>
      <c r="Z1154" s="6"/>
      <c r="AA1154" s="6" t="s">
        <v>430</v>
      </c>
      <c r="AB1154" s="8"/>
      <c r="AC1154" s="27">
        <v>9785160185880</v>
      </c>
    </row>
    <row r="1155" spans="1:29" s="4" customFormat="1" ht="51.9" customHeight="1" x14ac:dyDescent="0.2">
      <c r="A1155" s="5">
        <v>0</v>
      </c>
      <c r="B1155" s="6" t="s">
        <v>7168</v>
      </c>
      <c r="C1155" s="7">
        <v>1572</v>
      </c>
      <c r="D1155" s="8" t="s">
        <v>7169</v>
      </c>
      <c r="E1155" s="8" t="s">
        <v>7170</v>
      </c>
      <c r="F1155" s="8" t="s">
        <v>7171</v>
      </c>
      <c r="G1155" s="6" t="s">
        <v>118</v>
      </c>
      <c r="H1155" s="6" t="s">
        <v>34</v>
      </c>
      <c r="I1155" s="8" t="s">
        <v>263</v>
      </c>
      <c r="J1155" s="9">
        <v>1</v>
      </c>
      <c r="K1155" s="9">
        <v>252</v>
      </c>
      <c r="L1155" s="9">
        <v>2026</v>
      </c>
      <c r="M1155" s="8" t="s">
        <v>7172</v>
      </c>
      <c r="N1155" s="8" t="s">
        <v>585</v>
      </c>
      <c r="O1155" s="8" t="s">
        <v>667</v>
      </c>
      <c r="P1155" s="6" t="s">
        <v>759</v>
      </c>
      <c r="Q1155" s="8" t="s">
        <v>265</v>
      </c>
      <c r="R1155" s="10" t="s">
        <v>7173</v>
      </c>
      <c r="S1155" s="11" t="s">
        <v>7174</v>
      </c>
      <c r="T1155" s="6" t="s">
        <v>97</v>
      </c>
      <c r="U1155" s="15" t="str">
        <f>HYPERLINK("https://media.infra-m.ru/2166/2166533/cover/2166533.jpg", "Обложка")</f>
        <v>Обложка</v>
      </c>
      <c r="V1155" s="8" t="s">
        <v>7175</v>
      </c>
      <c r="W1155" s="6"/>
      <c r="X1155" s="6"/>
      <c r="Y1155" s="6"/>
      <c r="Z1155" s="6" t="s">
        <v>267</v>
      </c>
      <c r="AA1155" s="6" t="s">
        <v>430</v>
      </c>
      <c r="AB1155" s="8"/>
      <c r="AC1155" s="27">
        <v>9785160211756</v>
      </c>
    </row>
    <row r="1156" spans="1:29" s="4" customFormat="1" ht="51.9" customHeight="1" x14ac:dyDescent="0.2">
      <c r="A1156" s="5">
        <v>0</v>
      </c>
      <c r="B1156" s="6" t="s">
        <v>7176</v>
      </c>
      <c r="C1156" s="7">
        <v>1752</v>
      </c>
      <c r="D1156" s="8" t="s">
        <v>7177</v>
      </c>
      <c r="E1156" s="8" t="s">
        <v>7178</v>
      </c>
      <c r="F1156" s="8" t="s">
        <v>7171</v>
      </c>
      <c r="G1156" s="6" t="s">
        <v>118</v>
      </c>
      <c r="H1156" s="6" t="s">
        <v>34</v>
      </c>
      <c r="I1156" s="8"/>
      <c r="J1156" s="9">
        <v>1</v>
      </c>
      <c r="K1156" s="9">
        <v>252</v>
      </c>
      <c r="L1156" s="9">
        <v>2026</v>
      </c>
      <c r="M1156" s="8" t="s">
        <v>7179</v>
      </c>
      <c r="N1156" s="8" t="s">
        <v>585</v>
      </c>
      <c r="O1156" s="8" t="s">
        <v>667</v>
      </c>
      <c r="P1156" s="6" t="s">
        <v>759</v>
      </c>
      <c r="Q1156" s="8" t="s">
        <v>52</v>
      </c>
      <c r="R1156" s="10" t="s">
        <v>7180</v>
      </c>
      <c r="S1156" s="11" t="s">
        <v>7181</v>
      </c>
      <c r="T1156" s="6" t="s">
        <v>97</v>
      </c>
      <c r="U1156" s="15" t="str">
        <f>HYPERLINK("https://media.infra-m.ru/2258/2258027/cover/2258027.jpg", "Обложка")</f>
        <v>Обложка</v>
      </c>
      <c r="V1156" s="8" t="s">
        <v>7175</v>
      </c>
      <c r="W1156" s="6"/>
      <c r="X1156" s="6"/>
      <c r="Y1156" s="6"/>
      <c r="Z1156" s="6"/>
      <c r="AA1156" s="6" t="s">
        <v>1256</v>
      </c>
      <c r="AB1156" s="8"/>
      <c r="AC1156" s="27">
        <v>9785160222202</v>
      </c>
    </row>
    <row r="1157" spans="1:29" s="4" customFormat="1" ht="51.9" customHeight="1" x14ac:dyDescent="0.2">
      <c r="A1157" s="5">
        <v>0</v>
      </c>
      <c r="B1157" s="6" t="s">
        <v>7182</v>
      </c>
      <c r="C1157" s="7">
        <v>1572</v>
      </c>
      <c r="D1157" s="8" t="s">
        <v>7183</v>
      </c>
      <c r="E1157" s="8" t="s">
        <v>7184</v>
      </c>
      <c r="F1157" s="8" t="s">
        <v>7185</v>
      </c>
      <c r="G1157" s="6" t="s">
        <v>118</v>
      </c>
      <c r="H1157" s="6" t="s">
        <v>34</v>
      </c>
      <c r="I1157" s="8" t="s">
        <v>263</v>
      </c>
      <c r="J1157" s="9">
        <v>1</v>
      </c>
      <c r="K1157" s="9">
        <v>238</v>
      </c>
      <c r="L1157" s="9">
        <v>2026</v>
      </c>
      <c r="M1157" s="8" t="s">
        <v>7186</v>
      </c>
      <c r="N1157" s="8" t="s">
        <v>243</v>
      </c>
      <c r="O1157" s="8" t="s">
        <v>758</v>
      </c>
      <c r="P1157" s="6" t="s">
        <v>601</v>
      </c>
      <c r="Q1157" s="8" t="s">
        <v>265</v>
      </c>
      <c r="R1157" s="10" t="s">
        <v>7187</v>
      </c>
      <c r="S1157" s="11"/>
      <c r="T1157" s="6"/>
      <c r="U1157" s="15" t="str">
        <f>HYPERLINK("https://media.infra-m.ru/2256/2256599/cover/2256599.jpg", "Обложка")</f>
        <v>Обложка</v>
      </c>
      <c r="V1157" s="8" t="s">
        <v>227</v>
      </c>
      <c r="W1157" s="6"/>
      <c r="X1157" s="6"/>
      <c r="Y1157" s="6"/>
      <c r="Z1157" s="6"/>
      <c r="AA1157" s="6" t="s">
        <v>1037</v>
      </c>
      <c r="AB1157" s="8"/>
      <c r="AC1157" s="27">
        <v>9785160221717</v>
      </c>
    </row>
    <row r="1158" spans="1:29" s="4" customFormat="1" ht="42" customHeight="1" x14ac:dyDescent="0.2">
      <c r="A1158" s="5">
        <v>0</v>
      </c>
      <c r="B1158" s="6" t="s">
        <v>7188</v>
      </c>
      <c r="C1158" s="7">
        <v>1104</v>
      </c>
      <c r="D1158" s="8" t="s">
        <v>7189</v>
      </c>
      <c r="E1158" s="8" t="s">
        <v>7190</v>
      </c>
      <c r="F1158" s="8" t="s">
        <v>7191</v>
      </c>
      <c r="G1158" s="6" t="s">
        <v>118</v>
      </c>
      <c r="H1158" s="6" t="s">
        <v>34</v>
      </c>
      <c r="I1158" s="8" t="s">
        <v>1081</v>
      </c>
      <c r="J1158" s="9">
        <v>1</v>
      </c>
      <c r="K1158" s="9">
        <v>235</v>
      </c>
      <c r="L1158" s="9">
        <v>2022</v>
      </c>
      <c r="M1158" s="8" t="s">
        <v>7192</v>
      </c>
      <c r="N1158" s="8" t="s">
        <v>243</v>
      </c>
      <c r="O1158" s="8" t="s">
        <v>758</v>
      </c>
      <c r="P1158" s="6" t="s">
        <v>39</v>
      </c>
      <c r="Q1158" s="8" t="s">
        <v>40</v>
      </c>
      <c r="R1158" s="10" t="s">
        <v>7193</v>
      </c>
      <c r="S1158" s="11"/>
      <c r="T1158" s="6"/>
      <c r="U1158" s="15" t="str">
        <f>HYPERLINK("https://media.infra-m.ru/1818/1818212/cover/1818212.jpg", "Обложка")</f>
        <v>Обложка</v>
      </c>
      <c r="V1158" s="8" t="s">
        <v>1083</v>
      </c>
      <c r="W1158" s="6"/>
      <c r="X1158" s="6"/>
      <c r="Y1158" s="6"/>
      <c r="Z1158" s="6"/>
      <c r="AA1158" s="6" t="s">
        <v>86</v>
      </c>
      <c r="AB1158" s="8"/>
      <c r="AC1158" s="27">
        <v>9785160171852</v>
      </c>
    </row>
    <row r="1159" spans="1:29" s="4" customFormat="1" ht="51.9" customHeight="1" x14ac:dyDescent="0.2">
      <c r="A1159" s="5">
        <v>0</v>
      </c>
      <c r="B1159" s="6" t="s">
        <v>7194</v>
      </c>
      <c r="C1159" s="7">
        <v>1636.8</v>
      </c>
      <c r="D1159" s="8" t="s">
        <v>7195</v>
      </c>
      <c r="E1159" s="8" t="s">
        <v>7196</v>
      </c>
      <c r="F1159" s="8" t="s">
        <v>7197</v>
      </c>
      <c r="G1159" s="6" t="s">
        <v>118</v>
      </c>
      <c r="H1159" s="6" t="s">
        <v>34</v>
      </c>
      <c r="I1159" s="8" t="s">
        <v>7198</v>
      </c>
      <c r="J1159" s="9">
        <v>1</v>
      </c>
      <c r="K1159" s="9">
        <v>235</v>
      </c>
      <c r="L1159" s="9">
        <v>2026</v>
      </c>
      <c r="M1159" s="8" t="s">
        <v>7199</v>
      </c>
      <c r="N1159" s="8" t="s">
        <v>243</v>
      </c>
      <c r="O1159" s="8" t="s">
        <v>758</v>
      </c>
      <c r="P1159" s="6" t="s">
        <v>51</v>
      </c>
      <c r="Q1159" s="8" t="s">
        <v>52</v>
      </c>
      <c r="R1159" s="10" t="s">
        <v>7200</v>
      </c>
      <c r="S1159" s="11" t="s">
        <v>7201</v>
      </c>
      <c r="T1159" s="6"/>
      <c r="U1159" s="15" t="str">
        <f>HYPERLINK("https://media.infra-m.ru/2251/2251086/cover/2251086.jpg", "Обложка")</f>
        <v>Обложка</v>
      </c>
      <c r="V1159" s="8" t="s">
        <v>1083</v>
      </c>
      <c r="W1159" s="6"/>
      <c r="X1159" s="6"/>
      <c r="Y1159" s="6"/>
      <c r="Z1159" s="6"/>
      <c r="AA1159" s="6" t="s">
        <v>55</v>
      </c>
      <c r="AB1159" s="8"/>
      <c r="AC1159" s="27">
        <v>9785160167749</v>
      </c>
    </row>
    <row r="1160" spans="1:29" s="4" customFormat="1" ht="51.9" customHeight="1" x14ac:dyDescent="0.2">
      <c r="A1160" s="5">
        <v>0</v>
      </c>
      <c r="B1160" s="6" t="s">
        <v>7202</v>
      </c>
      <c r="C1160" s="13">
        <v>857.9</v>
      </c>
      <c r="D1160" s="8" t="s">
        <v>7203</v>
      </c>
      <c r="E1160" s="8" t="s">
        <v>7204</v>
      </c>
      <c r="F1160" s="8" t="s">
        <v>7205</v>
      </c>
      <c r="G1160" s="6" t="s">
        <v>33</v>
      </c>
      <c r="H1160" s="6" t="s">
        <v>34</v>
      </c>
      <c r="I1160" s="8" t="s">
        <v>35</v>
      </c>
      <c r="J1160" s="9">
        <v>1</v>
      </c>
      <c r="K1160" s="9">
        <v>184</v>
      </c>
      <c r="L1160" s="9">
        <v>2022</v>
      </c>
      <c r="M1160" s="8" t="s">
        <v>7206</v>
      </c>
      <c r="N1160" s="8" t="s">
        <v>37</v>
      </c>
      <c r="O1160" s="8" t="s">
        <v>233</v>
      </c>
      <c r="P1160" s="6" t="s">
        <v>39</v>
      </c>
      <c r="Q1160" s="8" t="s">
        <v>40</v>
      </c>
      <c r="R1160" s="10" t="s">
        <v>7207</v>
      </c>
      <c r="S1160" s="11"/>
      <c r="T1160" s="6" t="s">
        <v>97</v>
      </c>
      <c r="U1160" s="15" t="str">
        <f>HYPERLINK("https://media.infra-m.ru/1851/1851530/cover/1851530.jpg", "Обложка")</f>
        <v>Обложка</v>
      </c>
      <c r="V1160" s="8" t="s">
        <v>4038</v>
      </c>
      <c r="W1160" s="6"/>
      <c r="X1160" s="6"/>
      <c r="Y1160" s="6"/>
      <c r="Z1160" s="6"/>
      <c r="AA1160" s="6" t="s">
        <v>248</v>
      </c>
      <c r="AB1160" s="8"/>
      <c r="AC1160" s="27">
        <v>9785160095134</v>
      </c>
    </row>
    <row r="1161" spans="1:29" s="4" customFormat="1" ht="51.9" customHeight="1" x14ac:dyDescent="0.2">
      <c r="A1161" s="5">
        <v>0</v>
      </c>
      <c r="B1161" s="6" t="s">
        <v>7208</v>
      </c>
      <c r="C1161" s="7">
        <v>2392.8000000000002</v>
      </c>
      <c r="D1161" s="8" t="s">
        <v>7209</v>
      </c>
      <c r="E1161" s="8" t="s">
        <v>7210</v>
      </c>
      <c r="F1161" s="8" t="s">
        <v>7211</v>
      </c>
      <c r="G1161" s="6" t="s">
        <v>118</v>
      </c>
      <c r="H1161" s="6" t="s">
        <v>1779</v>
      </c>
      <c r="I1161" s="8"/>
      <c r="J1161" s="9">
        <v>1</v>
      </c>
      <c r="K1161" s="9">
        <v>384</v>
      </c>
      <c r="L1161" s="9">
        <v>2020</v>
      </c>
      <c r="M1161" s="8" t="s">
        <v>7212</v>
      </c>
      <c r="N1161" s="8" t="s">
        <v>37</v>
      </c>
      <c r="O1161" s="8" t="s">
        <v>136</v>
      </c>
      <c r="P1161" s="6" t="s">
        <v>39</v>
      </c>
      <c r="Q1161" s="8" t="s">
        <v>40</v>
      </c>
      <c r="R1161" s="10" t="s">
        <v>7213</v>
      </c>
      <c r="S1161" s="11"/>
      <c r="T1161" s="6"/>
      <c r="U1161" s="15" t="str">
        <f>HYPERLINK("https://media.infra-m.ru/2202/2202443/cover/2202443.jpg", "Обложка")</f>
        <v>Обложка</v>
      </c>
      <c r="V1161" s="8" t="s">
        <v>5888</v>
      </c>
      <c r="W1161" s="6"/>
      <c r="X1161" s="6"/>
      <c r="Y1161" s="6"/>
      <c r="Z1161" s="6"/>
      <c r="AA1161" s="6" t="s">
        <v>2311</v>
      </c>
      <c r="AB1161" s="8"/>
      <c r="AC1161" s="27">
        <v>9785917688664</v>
      </c>
    </row>
    <row r="1162" spans="1:29" s="4" customFormat="1" ht="51.9" customHeight="1" x14ac:dyDescent="0.2">
      <c r="A1162" s="5">
        <v>0</v>
      </c>
      <c r="B1162" s="6" t="s">
        <v>7214</v>
      </c>
      <c r="C1162" s="7">
        <v>1620</v>
      </c>
      <c r="D1162" s="8" t="s">
        <v>7215</v>
      </c>
      <c r="E1162" s="8" t="s">
        <v>7216</v>
      </c>
      <c r="F1162" s="8" t="s">
        <v>6187</v>
      </c>
      <c r="G1162" s="6" t="s">
        <v>118</v>
      </c>
      <c r="H1162" s="6" t="s">
        <v>34</v>
      </c>
      <c r="I1162" s="8" t="s">
        <v>35</v>
      </c>
      <c r="J1162" s="9">
        <v>1</v>
      </c>
      <c r="K1162" s="9">
        <v>234</v>
      </c>
      <c r="L1162" s="9">
        <v>2026</v>
      </c>
      <c r="M1162" s="8" t="s">
        <v>7217</v>
      </c>
      <c r="N1162" s="8" t="s">
        <v>93</v>
      </c>
      <c r="O1162" s="8" t="s">
        <v>94</v>
      </c>
      <c r="P1162" s="6" t="s">
        <v>39</v>
      </c>
      <c r="Q1162" s="8" t="s">
        <v>40</v>
      </c>
      <c r="R1162" s="10" t="s">
        <v>7218</v>
      </c>
      <c r="S1162" s="11"/>
      <c r="T1162" s="6"/>
      <c r="U1162" s="15" t="str">
        <f>HYPERLINK("https://media.infra-m.ru/2230/2230761/cover/2230761.jpg", "Обложка")</f>
        <v>Обложка</v>
      </c>
      <c r="V1162" s="8" t="s">
        <v>6190</v>
      </c>
      <c r="W1162" s="6"/>
      <c r="X1162" s="6"/>
      <c r="Y1162" s="6"/>
      <c r="Z1162" s="6"/>
      <c r="AA1162" s="6" t="s">
        <v>68</v>
      </c>
      <c r="AB1162" s="8"/>
      <c r="AC1162" s="27">
        <v>9785160205571</v>
      </c>
    </row>
    <row r="1163" spans="1:29" s="4" customFormat="1" ht="51.9" customHeight="1" x14ac:dyDescent="0.2">
      <c r="A1163" s="5">
        <v>0</v>
      </c>
      <c r="B1163" s="6" t="s">
        <v>7219</v>
      </c>
      <c r="C1163" s="7">
        <v>2248.8000000000002</v>
      </c>
      <c r="D1163" s="8" t="s">
        <v>7220</v>
      </c>
      <c r="E1163" s="8" t="s">
        <v>7221</v>
      </c>
      <c r="F1163" s="8" t="s">
        <v>7222</v>
      </c>
      <c r="G1163" s="6" t="s">
        <v>33</v>
      </c>
      <c r="H1163" s="6" t="s">
        <v>34</v>
      </c>
      <c r="I1163" s="8" t="s">
        <v>35</v>
      </c>
      <c r="J1163" s="9">
        <v>1</v>
      </c>
      <c r="K1163" s="9">
        <v>323</v>
      </c>
      <c r="L1163" s="9">
        <v>2027</v>
      </c>
      <c r="M1163" s="8" t="s">
        <v>7223</v>
      </c>
      <c r="N1163" s="8" t="s">
        <v>37</v>
      </c>
      <c r="O1163" s="8" t="s">
        <v>38</v>
      </c>
      <c r="P1163" s="6" t="s">
        <v>39</v>
      </c>
      <c r="Q1163" s="8" t="s">
        <v>40</v>
      </c>
      <c r="R1163" s="10" t="s">
        <v>7224</v>
      </c>
      <c r="S1163" s="11"/>
      <c r="T1163" s="6"/>
      <c r="U1163" s="15" t="str">
        <f>HYPERLINK("https://media.infra-m.ru/2268/2268355/cover/2268355.jpg", "Обложка")</f>
        <v>Обложка</v>
      </c>
      <c r="V1163" s="8" t="s">
        <v>414</v>
      </c>
      <c r="W1163" s="6"/>
      <c r="X1163" s="6"/>
      <c r="Y1163" s="6"/>
      <c r="Z1163" s="6"/>
      <c r="AA1163" s="6" t="s">
        <v>115</v>
      </c>
      <c r="AB1163" s="8"/>
      <c r="AC1163" s="27">
        <v>9785160208534</v>
      </c>
    </row>
    <row r="1164" spans="1:29" s="4" customFormat="1" ht="51.9" customHeight="1" x14ac:dyDescent="0.2">
      <c r="A1164" s="5">
        <v>0</v>
      </c>
      <c r="B1164" s="6" t="s">
        <v>7225</v>
      </c>
      <c r="C1164" s="7">
        <v>1936.8</v>
      </c>
      <c r="D1164" s="8" t="s">
        <v>7226</v>
      </c>
      <c r="E1164" s="8" t="s">
        <v>7221</v>
      </c>
      <c r="F1164" s="8" t="s">
        <v>7222</v>
      </c>
      <c r="G1164" s="6" t="s">
        <v>60</v>
      </c>
      <c r="H1164" s="6" t="s">
        <v>34</v>
      </c>
      <c r="I1164" s="8" t="s">
        <v>35</v>
      </c>
      <c r="J1164" s="9">
        <v>1</v>
      </c>
      <c r="K1164" s="9">
        <v>323</v>
      </c>
      <c r="L1164" s="9">
        <v>2025</v>
      </c>
      <c r="M1164" s="8" t="s">
        <v>7227</v>
      </c>
      <c r="N1164" s="8" t="s">
        <v>37</v>
      </c>
      <c r="O1164" s="8" t="s">
        <v>38</v>
      </c>
      <c r="P1164" s="6" t="s">
        <v>39</v>
      </c>
      <c r="Q1164" s="8" t="s">
        <v>40</v>
      </c>
      <c r="R1164" s="10" t="s">
        <v>7224</v>
      </c>
      <c r="S1164" s="11"/>
      <c r="T1164" s="6"/>
      <c r="U1164" s="15" t="str">
        <f>HYPERLINK("https://media.infra-m.ru/2160/2160654/cover/2160654.jpg", "Обложка")</f>
        <v>Обложка</v>
      </c>
      <c r="V1164" s="8" t="s">
        <v>414</v>
      </c>
      <c r="W1164" s="6"/>
      <c r="X1164" s="6"/>
      <c r="Y1164" s="6"/>
      <c r="Z1164" s="6"/>
      <c r="AA1164" s="6" t="s">
        <v>115</v>
      </c>
      <c r="AB1164" s="8"/>
      <c r="AC1164" s="27">
        <v>9785160142678</v>
      </c>
    </row>
    <row r="1165" spans="1:29" s="4" customFormat="1" ht="51.9" customHeight="1" x14ac:dyDescent="0.2">
      <c r="A1165" s="5">
        <v>0</v>
      </c>
      <c r="B1165" s="6" t="s">
        <v>7228</v>
      </c>
      <c r="C1165" s="7">
        <v>1200</v>
      </c>
      <c r="D1165" s="8" t="s">
        <v>7229</v>
      </c>
      <c r="E1165" s="8" t="s">
        <v>7230</v>
      </c>
      <c r="F1165" s="8" t="s">
        <v>7231</v>
      </c>
      <c r="G1165" s="6" t="s">
        <v>118</v>
      </c>
      <c r="H1165" s="6" t="s">
        <v>34</v>
      </c>
      <c r="I1165" s="8" t="s">
        <v>263</v>
      </c>
      <c r="J1165" s="9">
        <v>1</v>
      </c>
      <c r="K1165" s="9">
        <v>183</v>
      </c>
      <c r="L1165" s="9">
        <v>2026</v>
      </c>
      <c r="M1165" s="8" t="s">
        <v>7232</v>
      </c>
      <c r="N1165" s="8" t="s">
        <v>243</v>
      </c>
      <c r="O1165" s="8" t="s">
        <v>1100</v>
      </c>
      <c r="P1165" s="6" t="s">
        <v>51</v>
      </c>
      <c r="Q1165" s="8" t="s">
        <v>265</v>
      </c>
      <c r="R1165" s="10" t="s">
        <v>7233</v>
      </c>
      <c r="S1165" s="11"/>
      <c r="T1165" s="6"/>
      <c r="U1165" s="15" t="str">
        <f>HYPERLINK("https://media.infra-m.ru/2246/2246466/cover/2246466.jpg", "Обложка")</f>
        <v>Обложка</v>
      </c>
      <c r="V1165" s="8" t="s">
        <v>7234</v>
      </c>
      <c r="W1165" s="6"/>
      <c r="X1165" s="6"/>
      <c r="Y1165" s="6"/>
      <c r="Z1165" s="6"/>
      <c r="AA1165" s="6" t="s">
        <v>76</v>
      </c>
      <c r="AB1165" s="8"/>
      <c r="AC1165" s="27">
        <v>9785160175195</v>
      </c>
    </row>
    <row r="1166" spans="1:29" s="4" customFormat="1" ht="51.9" customHeight="1" x14ac:dyDescent="0.2">
      <c r="A1166" s="5">
        <v>0</v>
      </c>
      <c r="B1166" s="6" t="s">
        <v>7235</v>
      </c>
      <c r="C1166" s="7">
        <v>1648.8</v>
      </c>
      <c r="D1166" s="8" t="s">
        <v>7236</v>
      </c>
      <c r="E1166" s="8" t="s">
        <v>7237</v>
      </c>
      <c r="F1166" s="8" t="s">
        <v>7238</v>
      </c>
      <c r="G1166" s="6" t="s">
        <v>118</v>
      </c>
      <c r="H1166" s="6" t="s">
        <v>34</v>
      </c>
      <c r="I1166" s="8" t="s">
        <v>263</v>
      </c>
      <c r="J1166" s="9">
        <v>1</v>
      </c>
      <c r="K1166" s="9">
        <v>236</v>
      </c>
      <c r="L1166" s="9">
        <v>2026</v>
      </c>
      <c r="M1166" s="8" t="s">
        <v>7239</v>
      </c>
      <c r="N1166" s="8" t="s">
        <v>93</v>
      </c>
      <c r="O1166" s="8" t="s">
        <v>94</v>
      </c>
      <c r="P1166" s="6" t="s">
        <v>105</v>
      </c>
      <c r="Q1166" s="8" t="s">
        <v>265</v>
      </c>
      <c r="R1166" s="10" t="s">
        <v>7240</v>
      </c>
      <c r="S1166" s="11" t="s">
        <v>7241</v>
      </c>
      <c r="T1166" s="6"/>
      <c r="U1166" s="15" t="str">
        <f>HYPERLINK("https://media.infra-m.ru/2262/2262002/cover/2262002.jpg", "Обложка")</f>
        <v>Обложка</v>
      </c>
      <c r="V1166" s="8" t="s">
        <v>227</v>
      </c>
      <c r="W1166" s="6"/>
      <c r="X1166" s="6"/>
      <c r="Y1166" s="6"/>
      <c r="Z1166" s="6"/>
      <c r="AA1166" s="6" t="s">
        <v>115</v>
      </c>
      <c r="AB1166" s="8"/>
      <c r="AC1166" s="27">
        <v>9785160138695</v>
      </c>
    </row>
    <row r="1167" spans="1:29" s="4" customFormat="1" ht="51.9" customHeight="1" x14ac:dyDescent="0.2">
      <c r="A1167" s="5">
        <v>0</v>
      </c>
      <c r="B1167" s="6" t="s">
        <v>7242</v>
      </c>
      <c r="C1167" s="7">
        <v>1584</v>
      </c>
      <c r="D1167" s="8" t="s">
        <v>7243</v>
      </c>
      <c r="E1167" s="8" t="s">
        <v>7244</v>
      </c>
      <c r="F1167" s="8" t="s">
        <v>7245</v>
      </c>
      <c r="G1167" s="6" t="s">
        <v>118</v>
      </c>
      <c r="H1167" s="6" t="s">
        <v>34</v>
      </c>
      <c r="I1167" s="8" t="s">
        <v>304</v>
      </c>
      <c r="J1167" s="9">
        <v>1</v>
      </c>
      <c r="K1167" s="9">
        <v>228</v>
      </c>
      <c r="L1167" s="9">
        <v>2026</v>
      </c>
      <c r="M1167" s="8" t="s">
        <v>7246</v>
      </c>
      <c r="N1167" s="8" t="s">
        <v>585</v>
      </c>
      <c r="O1167" s="8" t="s">
        <v>586</v>
      </c>
      <c r="P1167" s="6" t="s">
        <v>51</v>
      </c>
      <c r="Q1167" s="8" t="s">
        <v>52</v>
      </c>
      <c r="R1167" s="10" t="s">
        <v>7247</v>
      </c>
      <c r="S1167" s="11" t="s">
        <v>7248</v>
      </c>
      <c r="T1167" s="6"/>
      <c r="U1167" s="15" t="str">
        <f>HYPERLINK("https://media.infra-m.ru/2262/2262009/cover/2262009.jpg", "Обложка")</f>
        <v>Обложка</v>
      </c>
      <c r="V1167" s="8" t="s">
        <v>7249</v>
      </c>
      <c r="W1167" s="6"/>
      <c r="X1167" s="6"/>
      <c r="Y1167" s="6"/>
      <c r="Z1167" s="6"/>
      <c r="AA1167" s="6" t="s">
        <v>115</v>
      </c>
      <c r="AB1167" s="8"/>
      <c r="AC1167" s="27">
        <v>9785160223179</v>
      </c>
    </row>
    <row r="1168" spans="1:29" s="4" customFormat="1" ht="42" customHeight="1" x14ac:dyDescent="0.2">
      <c r="A1168" s="5">
        <v>0</v>
      </c>
      <c r="B1168" s="6" t="s">
        <v>7250</v>
      </c>
      <c r="C1168" s="7">
        <v>1396.8</v>
      </c>
      <c r="D1168" s="8" t="s">
        <v>7251</v>
      </c>
      <c r="E1168" s="8" t="s">
        <v>7252</v>
      </c>
      <c r="F1168" s="8" t="s">
        <v>7245</v>
      </c>
      <c r="G1168" s="6" t="s">
        <v>60</v>
      </c>
      <c r="H1168" s="6" t="s">
        <v>34</v>
      </c>
      <c r="I1168" s="8" t="s">
        <v>1753</v>
      </c>
      <c r="J1168" s="9">
        <v>1</v>
      </c>
      <c r="K1168" s="9">
        <v>200</v>
      </c>
      <c r="L1168" s="9">
        <v>2027</v>
      </c>
      <c r="M1168" s="8" t="s">
        <v>7253</v>
      </c>
      <c r="N1168" s="8" t="s">
        <v>93</v>
      </c>
      <c r="O1168" s="8" t="s">
        <v>94</v>
      </c>
      <c r="P1168" s="6" t="s">
        <v>51</v>
      </c>
      <c r="Q1168" s="8" t="s">
        <v>500</v>
      </c>
      <c r="R1168" s="10" t="s">
        <v>4087</v>
      </c>
      <c r="S1168" s="11"/>
      <c r="T1168" s="6"/>
      <c r="U1168" s="15" t="str">
        <f>HYPERLINK("https://media.infra-m.ru/2262/2262117/cover/2262117.jpg", "Обложка")</f>
        <v>Обложка</v>
      </c>
      <c r="V1168" s="8" t="s">
        <v>7249</v>
      </c>
      <c r="W1168" s="6"/>
      <c r="X1168" s="6"/>
      <c r="Y1168" s="6"/>
      <c r="Z1168" s="6"/>
      <c r="AA1168" s="6" t="s">
        <v>157</v>
      </c>
      <c r="AB1168" s="8"/>
      <c r="AC1168" s="27">
        <v>9785160181530</v>
      </c>
    </row>
    <row r="1169" spans="1:29" s="4" customFormat="1" ht="51.9" customHeight="1" x14ac:dyDescent="0.2">
      <c r="A1169" s="5">
        <v>0</v>
      </c>
      <c r="B1169" s="6" t="s">
        <v>7254</v>
      </c>
      <c r="C1169" s="7">
        <v>1224</v>
      </c>
      <c r="D1169" s="8" t="s">
        <v>7255</v>
      </c>
      <c r="E1169" s="8" t="s">
        <v>7256</v>
      </c>
      <c r="F1169" s="8" t="s">
        <v>7257</v>
      </c>
      <c r="G1169" s="6" t="s">
        <v>118</v>
      </c>
      <c r="H1169" s="6" t="s">
        <v>34</v>
      </c>
      <c r="I1169" s="8" t="s">
        <v>504</v>
      </c>
      <c r="J1169" s="9">
        <v>1</v>
      </c>
      <c r="K1169" s="9">
        <v>186</v>
      </c>
      <c r="L1169" s="9">
        <v>2026</v>
      </c>
      <c r="M1169" s="8" t="s">
        <v>7258</v>
      </c>
      <c r="N1169" s="8" t="s">
        <v>243</v>
      </c>
      <c r="O1169" s="8" t="s">
        <v>758</v>
      </c>
      <c r="P1169" s="6" t="s">
        <v>51</v>
      </c>
      <c r="Q1169" s="8" t="s">
        <v>500</v>
      </c>
      <c r="R1169" s="10" t="s">
        <v>7259</v>
      </c>
      <c r="S1169" s="11" t="s">
        <v>7260</v>
      </c>
      <c r="T1169" s="6"/>
      <c r="U1169" s="15" t="str">
        <f>HYPERLINK("https://media.infra-m.ru/2248/2248530/cover/2248530.jpg", "Обложка")</f>
        <v>Обложка</v>
      </c>
      <c r="V1169" s="8" t="s">
        <v>1871</v>
      </c>
      <c r="W1169" s="6"/>
      <c r="X1169" s="6"/>
      <c r="Y1169" s="6"/>
      <c r="Z1169" s="6"/>
      <c r="AA1169" s="6" t="s">
        <v>115</v>
      </c>
      <c r="AB1169" s="8"/>
      <c r="AC1169" s="27">
        <v>9785160144399</v>
      </c>
    </row>
    <row r="1170" spans="1:29" s="4" customFormat="1" ht="42" customHeight="1" x14ac:dyDescent="0.2">
      <c r="A1170" s="5">
        <v>0</v>
      </c>
      <c r="B1170" s="6" t="s">
        <v>7261</v>
      </c>
      <c r="C1170" s="7">
        <v>3556.8</v>
      </c>
      <c r="D1170" s="8" t="s">
        <v>7262</v>
      </c>
      <c r="E1170" s="8" t="s">
        <v>7263</v>
      </c>
      <c r="F1170" s="8" t="s">
        <v>7264</v>
      </c>
      <c r="G1170" s="6" t="s">
        <v>60</v>
      </c>
      <c r="H1170" s="6" t="s">
        <v>34</v>
      </c>
      <c r="I1170" s="8" t="s">
        <v>271</v>
      </c>
      <c r="J1170" s="9">
        <v>1</v>
      </c>
      <c r="K1170" s="9">
        <v>539</v>
      </c>
      <c r="L1170" s="9">
        <v>2026</v>
      </c>
      <c r="M1170" s="8" t="s">
        <v>7265</v>
      </c>
      <c r="N1170" s="8" t="s">
        <v>585</v>
      </c>
      <c r="O1170" s="8" t="s">
        <v>667</v>
      </c>
      <c r="P1170" s="6" t="s">
        <v>51</v>
      </c>
      <c r="Q1170" s="8" t="s">
        <v>52</v>
      </c>
      <c r="R1170" s="10" t="s">
        <v>7266</v>
      </c>
      <c r="S1170" s="11"/>
      <c r="T1170" s="6"/>
      <c r="U1170" s="15" t="str">
        <f>HYPERLINK("https://media.infra-m.ru/2238/2238906/cover/2238906.jpg", "Обложка")</f>
        <v>Обложка</v>
      </c>
      <c r="V1170" s="8" t="s">
        <v>396</v>
      </c>
      <c r="W1170" s="6"/>
      <c r="X1170" s="6"/>
      <c r="Y1170" s="6"/>
      <c r="Z1170" s="6"/>
      <c r="AA1170" s="6" t="s">
        <v>1123</v>
      </c>
      <c r="AB1170" s="8"/>
      <c r="AC1170" s="27">
        <v>9785160100746</v>
      </c>
    </row>
    <row r="1171" spans="1:29" s="4" customFormat="1" ht="51.9" customHeight="1" x14ac:dyDescent="0.2">
      <c r="A1171" s="5">
        <v>0</v>
      </c>
      <c r="B1171" s="6" t="s">
        <v>7267</v>
      </c>
      <c r="C1171" s="7">
        <v>1301.9000000000001</v>
      </c>
      <c r="D1171" s="8" t="s">
        <v>7268</v>
      </c>
      <c r="E1171" s="8" t="s">
        <v>7269</v>
      </c>
      <c r="F1171" s="8" t="s">
        <v>7270</v>
      </c>
      <c r="G1171" s="6" t="s">
        <v>60</v>
      </c>
      <c r="H1171" s="6" t="s">
        <v>1644</v>
      </c>
      <c r="I1171" s="8" t="s">
        <v>1904</v>
      </c>
      <c r="J1171" s="9">
        <v>1</v>
      </c>
      <c r="K1171" s="9">
        <v>240</v>
      </c>
      <c r="L1171" s="9">
        <v>2023</v>
      </c>
      <c r="M1171" s="8" t="s">
        <v>7271</v>
      </c>
      <c r="N1171" s="8" t="s">
        <v>585</v>
      </c>
      <c r="O1171" s="8" t="s">
        <v>667</v>
      </c>
      <c r="P1171" s="6" t="s">
        <v>306</v>
      </c>
      <c r="Q1171" s="8" t="s">
        <v>52</v>
      </c>
      <c r="R1171" s="10" t="s">
        <v>7272</v>
      </c>
      <c r="S1171" s="11" t="s">
        <v>7273</v>
      </c>
      <c r="T1171" s="6"/>
      <c r="U1171" s="15" t="str">
        <f>HYPERLINK("https://media.infra-m.ru/1981/1981624/cover/1981624.jpg", "Обложка")</f>
        <v>Обложка</v>
      </c>
      <c r="V1171" s="8" t="s">
        <v>3787</v>
      </c>
      <c r="W1171" s="6"/>
      <c r="X1171" s="6"/>
      <c r="Y1171" s="6"/>
      <c r="Z1171" s="6"/>
      <c r="AA1171" s="6" t="s">
        <v>248</v>
      </c>
      <c r="AB1171" s="8"/>
      <c r="AC1171" s="27">
        <v>9785977603072</v>
      </c>
    </row>
    <row r="1172" spans="1:29" s="4" customFormat="1" ht="51.9" customHeight="1" x14ac:dyDescent="0.2">
      <c r="A1172" s="5">
        <v>0</v>
      </c>
      <c r="B1172" s="6" t="s">
        <v>7274</v>
      </c>
      <c r="C1172" s="7">
        <v>3412.8</v>
      </c>
      <c r="D1172" s="8" t="s">
        <v>7275</v>
      </c>
      <c r="E1172" s="8" t="s">
        <v>7276</v>
      </c>
      <c r="F1172" s="8" t="s">
        <v>7277</v>
      </c>
      <c r="G1172" s="6" t="s">
        <v>60</v>
      </c>
      <c r="H1172" s="6" t="s">
        <v>34</v>
      </c>
      <c r="I1172" s="8" t="s">
        <v>271</v>
      </c>
      <c r="J1172" s="9">
        <v>1</v>
      </c>
      <c r="K1172" s="9">
        <v>491</v>
      </c>
      <c r="L1172" s="9">
        <v>2026</v>
      </c>
      <c r="M1172" s="8" t="s">
        <v>7278</v>
      </c>
      <c r="N1172" s="8" t="s">
        <v>585</v>
      </c>
      <c r="O1172" s="8" t="s">
        <v>667</v>
      </c>
      <c r="P1172" s="6" t="s">
        <v>51</v>
      </c>
      <c r="Q1172" s="8" t="s">
        <v>52</v>
      </c>
      <c r="R1172" s="10" t="s">
        <v>7279</v>
      </c>
      <c r="S1172" s="11" t="s">
        <v>7280</v>
      </c>
      <c r="T1172" s="6"/>
      <c r="U1172" s="15" t="str">
        <f>HYPERLINK("https://media.infra-m.ru/0773/0773139/cover/773139.jpg", "Обложка")</f>
        <v>Обложка</v>
      </c>
      <c r="V1172" s="8" t="s">
        <v>6147</v>
      </c>
      <c r="W1172" s="6"/>
      <c r="X1172" s="6"/>
      <c r="Y1172" s="6"/>
      <c r="Z1172" s="6"/>
      <c r="AA1172" s="6" t="s">
        <v>446</v>
      </c>
      <c r="AB1172" s="8"/>
      <c r="AC1172" s="27">
        <v>9785160109602</v>
      </c>
    </row>
    <row r="1173" spans="1:29" s="4" customFormat="1" ht="44.1" customHeight="1" x14ac:dyDescent="0.2">
      <c r="A1173" s="5">
        <v>0</v>
      </c>
      <c r="B1173" s="6" t="s">
        <v>7281</v>
      </c>
      <c r="C1173" s="7">
        <v>1108.8</v>
      </c>
      <c r="D1173" s="8" t="s">
        <v>7282</v>
      </c>
      <c r="E1173" s="8" t="s">
        <v>7283</v>
      </c>
      <c r="F1173" s="8" t="s">
        <v>7284</v>
      </c>
      <c r="G1173" s="6" t="s">
        <v>33</v>
      </c>
      <c r="H1173" s="6" t="s">
        <v>241</v>
      </c>
      <c r="I1173" s="8"/>
      <c r="J1173" s="9">
        <v>1</v>
      </c>
      <c r="K1173" s="9">
        <v>160</v>
      </c>
      <c r="L1173" s="9">
        <v>2027</v>
      </c>
      <c r="M1173" s="8" t="s">
        <v>7285</v>
      </c>
      <c r="N1173" s="8" t="s">
        <v>585</v>
      </c>
      <c r="O1173" s="8" t="s">
        <v>667</v>
      </c>
      <c r="P1173" s="6" t="s">
        <v>51</v>
      </c>
      <c r="Q1173" s="8" t="s">
        <v>52</v>
      </c>
      <c r="R1173" s="10" t="s">
        <v>7286</v>
      </c>
      <c r="S1173" s="11"/>
      <c r="T1173" s="6"/>
      <c r="U1173" s="15" t="str">
        <f>HYPERLINK("https://media.infra-m.ru/2266/2266003/cover/2266003.jpg", "Обложка")</f>
        <v>Обложка</v>
      </c>
      <c r="V1173" s="8" t="s">
        <v>7287</v>
      </c>
      <c r="W1173" s="6"/>
      <c r="X1173" s="6"/>
      <c r="Y1173" s="6"/>
      <c r="Z1173" s="6"/>
      <c r="AA1173" s="6" t="s">
        <v>55</v>
      </c>
      <c r="AB1173" s="8"/>
      <c r="AC1173" s="27">
        <v>9785955802817</v>
      </c>
    </row>
    <row r="1174" spans="1:29" s="4" customFormat="1" ht="51.9" customHeight="1" x14ac:dyDescent="0.2">
      <c r="A1174" s="5">
        <v>0</v>
      </c>
      <c r="B1174" s="6" t="s">
        <v>7288</v>
      </c>
      <c r="C1174" s="7">
        <v>3168</v>
      </c>
      <c r="D1174" s="8" t="s">
        <v>7289</v>
      </c>
      <c r="E1174" s="8" t="s">
        <v>7290</v>
      </c>
      <c r="F1174" s="8" t="s">
        <v>7291</v>
      </c>
      <c r="G1174" s="6" t="s">
        <v>60</v>
      </c>
      <c r="H1174" s="6" t="s">
        <v>34</v>
      </c>
      <c r="I1174" s="8" t="s">
        <v>253</v>
      </c>
      <c r="J1174" s="9">
        <v>1</v>
      </c>
      <c r="K1174" s="9">
        <v>479</v>
      </c>
      <c r="L1174" s="9">
        <v>2026</v>
      </c>
      <c r="M1174" s="8" t="s">
        <v>7292</v>
      </c>
      <c r="N1174" s="8" t="s">
        <v>585</v>
      </c>
      <c r="O1174" s="8" t="s">
        <v>667</v>
      </c>
      <c r="P1174" s="6" t="s">
        <v>306</v>
      </c>
      <c r="Q1174" s="8" t="s">
        <v>52</v>
      </c>
      <c r="R1174" s="10" t="s">
        <v>7293</v>
      </c>
      <c r="S1174" s="11" t="s">
        <v>7294</v>
      </c>
      <c r="T1174" s="6"/>
      <c r="U1174" s="15" t="str">
        <f>HYPERLINK("https://media.infra-m.ru/2235/2235901/cover/2235901.jpg", "Обложка")</f>
        <v>Обложка</v>
      </c>
      <c r="V1174" s="8" t="s">
        <v>6090</v>
      </c>
      <c r="W1174" s="6"/>
      <c r="X1174" s="6"/>
      <c r="Y1174" s="6"/>
      <c r="Z1174" s="6"/>
      <c r="AA1174" s="6" t="s">
        <v>274</v>
      </c>
      <c r="AB1174" s="8"/>
      <c r="AC1174" s="27">
        <v>9785160100722</v>
      </c>
    </row>
    <row r="1175" spans="1:29" s="4" customFormat="1" ht="51.9" customHeight="1" x14ac:dyDescent="0.2">
      <c r="A1175" s="5">
        <v>0</v>
      </c>
      <c r="B1175" s="6" t="s">
        <v>7295</v>
      </c>
      <c r="C1175" s="7">
        <v>3592.8</v>
      </c>
      <c r="D1175" s="8" t="s">
        <v>7296</v>
      </c>
      <c r="E1175" s="8" t="s">
        <v>7290</v>
      </c>
      <c r="F1175" s="8" t="s">
        <v>7297</v>
      </c>
      <c r="G1175" s="6" t="s">
        <v>60</v>
      </c>
      <c r="H1175" s="6" t="s">
        <v>313</v>
      </c>
      <c r="I1175" s="8" t="s">
        <v>392</v>
      </c>
      <c r="J1175" s="9">
        <v>1</v>
      </c>
      <c r="K1175" s="9">
        <v>752</v>
      </c>
      <c r="L1175" s="9">
        <v>2027</v>
      </c>
      <c r="M1175" s="8" t="s">
        <v>7298</v>
      </c>
      <c r="N1175" s="8" t="s">
        <v>585</v>
      </c>
      <c r="O1175" s="8" t="s">
        <v>667</v>
      </c>
      <c r="P1175" s="6" t="s">
        <v>306</v>
      </c>
      <c r="Q1175" s="8" t="s">
        <v>52</v>
      </c>
      <c r="R1175" s="10" t="s">
        <v>7299</v>
      </c>
      <c r="S1175" s="11" t="s">
        <v>7300</v>
      </c>
      <c r="T1175" s="6"/>
      <c r="U1175" s="15" t="str">
        <f>HYPERLINK("https://media.infra-m.ru/2266/2266125/cover/2266125.jpg", "Обложка")</f>
        <v>Обложка</v>
      </c>
      <c r="V1175" s="8"/>
      <c r="W1175" s="6"/>
      <c r="X1175" s="6" t="s">
        <v>24</v>
      </c>
      <c r="Y1175" s="6"/>
      <c r="Z1175" s="6"/>
      <c r="AA1175" s="6" t="s">
        <v>43</v>
      </c>
      <c r="AB1175" s="8"/>
      <c r="AC1175" s="27">
        <v>9785369010327</v>
      </c>
    </row>
    <row r="1176" spans="1:29" s="4" customFormat="1" ht="51.9" customHeight="1" x14ac:dyDescent="0.2">
      <c r="A1176" s="5">
        <v>0</v>
      </c>
      <c r="B1176" s="6" t="s">
        <v>7301</v>
      </c>
      <c r="C1176" s="7">
        <v>2548.8000000000002</v>
      </c>
      <c r="D1176" s="8" t="s">
        <v>7302</v>
      </c>
      <c r="E1176" s="8" t="s">
        <v>7303</v>
      </c>
      <c r="F1176" s="8" t="s">
        <v>7304</v>
      </c>
      <c r="G1176" s="6" t="s">
        <v>118</v>
      </c>
      <c r="H1176" s="6" t="s">
        <v>5605</v>
      </c>
      <c r="I1176" s="8" t="s">
        <v>253</v>
      </c>
      <c r="J1176" s="9">
        <v>1</v>
      </c>
      <c r="K1176" s="9">
        <v>365</v>
      </c>
      <c r="L1176" s="9">
        <v>2027</v>
      </c>
      <c r="M1176" s="8" t="s">
        <v>7305</v>
      </c>
      <c r="N1176" s="8" t="s">
        <v>585</v>
      </c>
      <c r="O1176" s="8" t="s">
        <v>667</v>
      </c>
      <c r="P1176" s="6" t="s">
        <v>51</v>
      </c>
      <c r="Q1176" s="8" t="s">
        <v>52</v>
      </c>
      <c r="R1176" s="10" t="s">
        <v>715</v>
      </c>
      <c r="S1176" s="11" t="s">
        <v>7306</v>
      </c>
      <c r="T1176" s="6"/>
      <c r="U1176" s="15" t="str">
        <f>HYPERLINK("https://media.infra-m.ru/2203/2203983/cover/2203983.jpg", "Обложка")</f>
        <v>Обложка</v>
      </c>
      <c r="V1176" s="8" t="s">
        <v>1505</v>
      </c>
      <c r="W1176" s="6"/>
      <c r="X1176" s="6"/>
      <c r="Y1176" s="6"/>
      <c r="Z1176" s="6"/>
      <c r="AA1176" s="6" t="s">
        <v>7307</v>
      </c>
      <c r="AB1176" s="8"/>
      <c r="AC1176" s="27">
        <v>9785160026251</v>
      </c>
    </row>
    <row r="1177" spans="1:29" s="4" customFormat="1" ht="51.9" customHeight="1" x14ac:dyDescent="0.2">
      <c r="A1177" s="5">
        <v>0</v>
      </c>
      <c r="B1177" s="6" t="s">
        <v>7308</v>
      </c>
      <c r="C1177" s="7">
        <v>3480</v>
      </c>
      <c r="D1177" s="8" t="s">
        <v>7309</v>
      </c>
      <c r="E1177" s="8" t="s">
        <v>6707</v>
      </c>
      <c r="F1177" s="8" t="s">
        <v>6708</v>
      </c>
      <c r="G1177" s="6" t="s">
        <v>33</v>
      </c>
      <c r="H1177" s="6" t="s">
        <v>34</v>
      </c>
      <c r="I1177" s="8" t="s">
        <v>35</v>
      </c>
      <c r="J1177" s="9">
        <v>1</v>
      </c>
      <c r="K1177" s="9">
        <v>610</v>
      </c>
      <c r="L1177" s="9">
        <v>2026</v>
      </c>
      <c r="M1177" s="8" t="s">
        <v>7310</v>
      </c>
      <c r="N1177" s="8" t="s">
        <v>93</v>
      </c>
      <c r="O1177" s="8" t="s">
        <v>94</v>
      </c>
      <c r="P1177" s="6" t="s">
        <v>39</v>
      </c>
      <c r="Q1177" s="8" t="s">
        <v>40</v>
      </c>
      <c r="R1177" s="10" t="s">
        <v>6710</v>
      </c>
      <c r="S1177" s="11"/>
      <c r="T1177" s="6"/>
      <c r="U1177" s="15" t="str">
        <f>HYPERLINK("https://media.infra-m.ru/2223/2223205/cover/2223205.jpg", "Обложка")</f>
        <v>Обложка</v>
      </c>
      <c r="V1177" s="8" t="s">
        <v>1505</v>
      </c>
      <c r="W1177" s="6"/>
      <c r="X1177" s="6"/>
      <c r="Y1177" s="6"/>
      <c r="Z1177" s="6"/>
      <c r="AA1177" s="6" t="s">
        <v>1256</v>
      </c>
      <c r="AB1177" s="8"/>
      <c r="AC1177" s="27">
        <v>9785160194066</v>
      </c>
    </row>
    <row r="1178" spans="1:29" s="4" customFormat="1" ht="44.1" customHeight="1" x14ac:dyDescent="0.2">
      <c r="A1178" s="5">
        <v>0</v>
      </c>
      <c r="B1178" s="6" t="s">
        <v>7311</v>
      </c>
      <c r="C1178" s="7">
        <v>1188</v>
      </c>
      <c r="D1178" s="8" t="s">
        <v>7312</v>
      </c>
      <c r="E1178" s="8" t="s">
        <v>7313</v>
      </c>
      <c r="F1178" s="8" t="s">
        <v>7314</v>
      </c>
      <c r="G1178" s="6" t="s">
        <v>118</v>
      </c>
      <c r="H1178" s="6" t="s">
        <v>134</v>
      </c>
      <c r="I1178" s="8"/>
      <c r="J1178" s="9">
        <v>1</v>
      </c>
      <c r="K1178" s="9">
        <v>168</v>
      </c>
      <c r="L1178" s="9">
        <v>2026</v>
      </c>
      <c r="M1178" s="8" t="s">
        <v>7315</v>
      </c>
      <c r="N1178" s="8" t="s">
        <v>37</v>
      </c>
      <c r="O1178" s="8" t="s">
        <v>136</v>
      </c>
      <c r="P1178" s="6" t="s">
        <v>39</v>
      </c>
      <c r="Q1178" s="8" t="s">
        <v>40</v>
      </c>
      <c r="R1178" s="10" t="s">
        <v>7316</v>
      </c>
      <c r="S1178" s="11"/>
      <c r="T1178" s="6"/>
      <c r="U1178" s="15" t="str">
        <f>HYPERLINK("https://media.infra-m.ru/2235/2235921/cover/2235921.jpg", "Обложка")</f>
        <v>Обложка</v>
      </c>
      <c r="V1178" s="8" t="s">
        <v>1069</v>
      </c>
      <c r="W1178" s="6"/>
      <c r="X1178" s="6"/>
      <c r="Y1178" s="6"/>
      <c r="Z1178" s="6"/>
      <c r="AA1178" s="6" t="s">
        <v>430</v>
      </c>
      <c r="AB1178" s="8"/>
      <c r="AC1178" s="27">
        <v>9785001561507</v>
      </c>
    </row>
    <row r="1179" spans="1:29" s="4" customFormat="1" ht="51.9" customHeight="1" x14ac:dyDescent="0.2">
      <c r="A1179" s="5">
        <v>0</v>
      </c>
      <c r="B1179" s="6" t="s">
        <v>7317</v>
      </c>
      <c r="C1179" s="7">
        <v>2932.8</v>
      </c>
      <c r="D1179" s="8" t="s">
        <v>7318</v>
      </c>
      <c r="E1179" s="8" t="s">
        <v>7319</v>
      </c>
      <c r="F1179" s="8" t="s">
        <v>7320</v>
      </c>
      <c r="G1179" s="6" t="s">
        <v>118</v>
      </c>
      <c r="H1179" s="6" t="s">
        <v>48</v>
      </c>
      <c r="I1179" s="8" t="s">
        <v>401</v>
      </c>
      <c r="J1179" s="9">
        <v>1</v>
      </c>
      <c r="K1179" s="9">
        <v>445</v>
      </c>
      <c r="L1179" s="9">
        <v>2026</v>
      </c>
      <c r="M1179" s="8" t="s">
        <v>7321</v>
      </c>
      <c r="N1179" s="8" t="s">
        <v>243</v>
      </c>
      <c r="O1179" s="8" t="s">
        <v>244</v>
      </c>
      <c r="P1179" s="6" t="s">
        <v>51</v>
      </c>
      <c r="Q1179" s="8" t="s">
        <v>265</v>
      </c>
      <c r="R1179" s="10" t="s">
        <v>7322</v>
      </c>
      <c r="S1179" s="11" t="s">
        <v>7323</v>
      </c>
      <c r="T1179" s="6"/>
      <c r="U1179" s="15" t="str">
        <f>HYPERLINK("https://media.infra-m.ru/2226/2226468/cover/2226468.jpg", "Обложка")</f>
        <v>Обложка</v>
      </c>
      <c r="V1179" s="8" t="s">
        <v>445</v>
      </c>
      <c r="W1179" s="6"/>
      <c r="X1179" s="6" t="s">
        <v>24</v>
      </c>
      <c r="Y1179" s="6"/>
      <c r="Z1179" s="6"/>
      <c r="AA1179" s="6" t="s">
        <v>7324</v>
      </c>
      <c r="AB1179" s="8"/>
      <c r="AC1179" s="27">
        <v>9785000915103</v>
      </c>
    </row>
    <row r="1180" spans="1:29" s="4" customFormat="1" ht="51.9" customHeight="1" x14ac:dyDescent="0.2">
      <c r="A1180" s="5">
        <v>0</v>
      </c>
      <c r="B1180" s="6" t="s">
        <v>7325</v>
      </c>
      <c r="C1180" s="7">
        <v>2752.8</v>
      </c>
      <c r="D1180" s="8" t="s">
        <v>7326</v>
      </c>
      <c r="E1180" s="8" t="s">
        <v>7327</v>
      </c>
      <c r="F1180" s="8" t="s">
        <v>7328</v>
      </c>
      <c r="G1180" s="6" t="s">
        <v>60</v>
      </c>
      <c r="H1180" s="6" t="s">
        <v>34</v>
      </c>
      <c r="I1180" s="8" t="s">
        <v>271</v>
      </c>
      <c r="J1180" s="9">
        <v>1</v>
      </c>
      <c r="K1180" s="9">
        <v>395</v>
      </c>
      <c r="L1180" s="9">
        <v>2027</v>
      </c>
      <c r="M1180" s="8" t="s">
        <v>7329</v>
      </c>
      <c r="N1180" s="8" t="s">
        <v>585</v>
      </c>
      <c r="O1180" s="8" t="s">
        <v>667</v>
      </c>
      <c r="P1180" s="6" t="s">
        <v>51</v>
      </c>
      <c r="Q1180" s="8" t="s">
        <v>52</v>
      </c>
      <c r="R1180" s="10" t="s">
        <v>7330</v>
      </c>
      <c r="S1180" s="11" t="s">
        <v>7331</v>
      </c>
      <c r="T1180" s="6"/>
      <c r="U1180" s="15" t="str">
        <f>HYPERLINK("https://media.infra-m.ru/2272/2272050/cover/2272050.jpg", "Обложка")</f>
        <v>Обложка</v>
      </c>
      <c r="V1180" s="8" t="s">
        <v>7332</v>
      </c>
      <c r="W1180" s="6"/>
      <c r="X1180" s="6"/>
      <c r="Y1180" s="6"/>
      <c r="Z1180" s="6"/>
      <c r="AA1180" s="6" t="s">
        <v>430</v>
      </c>
      <c r="AB1180" s="8" t="s">
        <v>2231</v>
      </c>
      <c r="AC1180" s="27">
        <v>9785160149813</v>
      </c>
    </row>
    <row r="1181" spans="1:29" s="4" customFormat="1" ht="51.9" customHeight="1" x14ac:dyDescent="0.2">
      <c r="A1181" s="5">
        <v>0</v>
      </c>
      <c r="B1181" s="6" t="s">
        <v>7333</v>
      </c>
      <c r="C1181" s="7">
        <v>2008.8</v>
      </c>
      <c r="D1181" s="8" t="s">
        <v>7334</v>
      </c>
      <c r="E1181" s="8" t="s">
        <v>7335</v>
      </c>
      <c r="F1181" s="8" t="s">
        <v>7336</v>
      </c>
      <c r="G1181" s="6" t="s">
        <v>118</v>
      </c>
      <c r="H1181" s="6" t="s">
        <v>134</v>
      </c>
      <c r="I1181" s="8"/>
      <c r="J1181" s="9">
        <v>1</v>
      </c>
      <c r="K1181" s="9">
        <v>288</v>
      </c>
      <c r="L1181" s="9">
        <v>2026</v>
      </c>
      <c r="M1181" s="8" t="s">
        <v>7337</v>
      </c>
      <c r="N1181" s="8" t="s">
        <v>37</v>
      </c>
      <c r="O1181" s="8" t="s">
        <v>136</v>
      </c>
      <c r="P1181" s="6" t="s">
        <v>306</v>
      </c>
      <c r="Q1181" s="8" t="s">
        <v>52</v>
      </c>
      <c r="R1181" s="10" t="s">
        <v>1068</v>
      </c>
      <c r="S1181" s="11" t="s">
        <v>7338</v>
      </c>
      <c r="T1181" s="6"/>
      <c r="U1181" s="15" t="str">
        <f>HYPERLINK("https://media.infra-m.ru/2247/2247386/cover/2247386.jpg", "Обложка")</f>
        <v>Обложка</v>
      </c>
      <c r="V1181" s="8" t="s">
        <v>1184</v>
      </c>
      <c r="W1181" s="6"/>
      <c r="X1181" s="6"/>
      <c r="Y1181" s="6"/>
      <c r="Z1181" s="6"/>
      <c r="AA1181" s="6" t="s">
        <v>248</v>
      </c>
      <c r="AB1181" s="8"/>
      <c r="AC1181" s="27">
        <v>9785917684666</v>
      </c>
    </row>
    <row r="1182" spans="1:29" s="4" customFormat="1" ht="51.9" customHeight="1" x14ac:dyDescent="0.2">
      <c r="A1182" s="5">
        <v>0</v>
      </c>
      <c r="B1182" s="6" t="s">
        <v>7339</v>
      </c>
      <c r="C1182" s="7">
        <v>1692</v>
      </c>
      <c r="D1182" s="8" t="s">
        <v>7340</v>
      </c>
      <c r="E1182" s="8" t="s">
        <v>7341</v>
      </c>
      <c r="F1182" s="8" t="s">
        <v>7342</v>
      </c>
      <c r="G1182" s="6" t="s">
        <v>118</v>
      </c>
      <c r="H1182" s="6" t="s">
        <v>34</v>
      </c>
      <c r="I1182" s="8" t="s">
        <v>263</v>
      </c>
      <c r="J1182" s="9">
        <v>1</v>
      </c>
      <c r="K1182" s="9">
        <v>392</v>
      </c>
      <c r="L1182" s="9">
        <v>2021</v>
      </c>
      <c r="M1182" s="8" t="s">
        <v>7343</v>
      </c>
      <c r="N1182" s="8" t="s">
        <v>243</v>
      </c>
      <c r="O1182" s="8" t="s">
        <v>798</v>
      </c>
      <c r="P1182" s="6" t="s">
        <v>306</v>
      </c>
      <c r="Q1182" s="8" t="s">
        <v>265</v>
      </c>
      <c r="R1182" s="10" t="s">
        <v>7344</v>
      </c>
      <c r="S1182" s="11" t="s">
        <v>7345</v>
      </c>
      <c r="T1182" s="6"/>
      <c r="U1182" s="15" t="str">
        <f>HYPERLINK("https://media.infra-m.ru/1232/1232422/cover/1232422.jpg", "Обложка")</f>
        <v>Обложка</v>
      </c>
      <c r="V1182" s="8" t="s">
        <v>809</v>
      </c>
      <c r="W1182" s="6"/>
      <c r="X1182" s="6" t="s">
        <v>24</v>
      </c>
      <c r="Y1182" s="6"/>
      <c r="Z1182" s="6"/>
      <c r="AA1182" s="6" t="s">
        <v>4554</v>
      </c>
      <c r="AB1182" s="8"/>
      <c r="AC1182" s="27">
        <v>9785160053738</v>
      </c>
    </row>
    <row r="1183" spans="1:29" s="4" customFormat="1" ht="51.9" customHeight="1" x14ac:dyDescent="0.2">
      <c r="A1183" s="5">
        <v>0</v>
      </c>
      <c r="B1183" s="6" t="s">
        <v>7346</v>
      </c>
      <c r="C1183" s="7">
        <v>2728.8</v>
      </c>
      <c r="D1183" s="8" t="s">
        <v>7347</v>
      </c>
      <c r="E1183" s="8" t="s">
        <v>7348</v>
      </c>
      <c r="F1183" s="8" t="s">
        <v>7349</v>
      </c>
      <c r="G1183" s="6" t="s">
        <v>118</v>
      </c>
      <c r="H1183" s="6" t="s">
        <v>34</v>
      </c>
      <c r="I1183" s="8" t="s">
        <v>263</v>
      </c>
      <c r="J1183" s="9">
        <v>1</v>
      </c>
      <c r="K1183" s="9">
        <v>392</v>
      </c>
      <c r="L1183" s="9">
        <v>2027</v>
      </c>
      <c r="M1183" s="8" t="s">
        <v>7350</v>
      </c>
      <c r="N1183" s="8" t="s">
        <v>243</v>
      </c>
      <c r="O1183" s="8" t="s">
        <v>798</v>
      </c>
      <c r="P1183" s="6" t="s">
        <v>306</v>
      </c>
      <c r="Q1183" s="8" t="s">
        <v>265</v>
      </c>
      <c r="R1183" s="10" t="s">
        <v>7344</v>
      </c>
      <c r="S1183" s="11" t="s">
        <v>7351</v>
      </c>
      <c r="T1183" s="6"/>
      <c r="U1183" s="15" t="str">
        <f>HYPERLINK("https://media.infra-m.ru/2221/2221854/cover/2221854.jpg", "Обложка")</f>
        <v>Обложка</v>
      </c>
      <c r="V1183" s="8" t="s">
        <v>809</v>
      </c>
      <c r="W1183" s="6"/>
      <c r="X1183" s="6" t="s">
        <v>24</v>
      </c>
      <c r="Y1183" s="6"/>
      <c r="Z1183" s="6"/>
      <c r="AA1183" s="6" t="s">
        <v>2240</v>
      </c>
      <c r="AB1183" s="8"/>
      <c r="AC1183" s="27">
        <v>9785160147871</v>
      </c>
    </row>
    <row r="1184" spans="1:29" s="4" customFormat="1" ht="51.9" customHeight="1" x14ac:dyDescent="0.2">
      <c r="A1184" s="5">
        <v>0</v>
      </c>
      <c r="B1184" s="6" t="s">
        <v>7352</v>
      </c>
      <c r="C1184" s="13">
        <v>508.8</v>
      </c>
      <c r="D1184" s="8" t="s">
        <v>7353</v>
      </c>
      <c r="E1184" s="8" t="s">
        <v>7354</v>
      </c>
      <c r="F1184" s="8" t="s">
        <v>7355</v>
      </c>
      <c r="G1184" s="6" t="s">
        <v>33</v>
      </c>
      <c r="H1184" s="6" t="s">
        <v>34</v>
      </c>
      <c r="I1184" s="8" t="s">
        <v>35</v>
      </c>
      <c r="J1184" s="9">
        <v>1</v>
      </c>
      <c r="K1184" s="9">
        <v>92</v>
      </c>
      <c r="L1184" s="9">
        <v>2024</v>
      </c>
      <c r="M1184" s="8" t="s">
        <v>7356</v>
      </c>
      <c r="N1184" s="8" t="s">
        <v>243</v>
      </c>
      <c r="O1184" s="8" t="s">
        <v>758</v>
      </c>
      <c r="P1184" s="6" t="s">
        <v>39</v>
      </c>
      <c r="Q1184" s="8" t="s">
        <v>40</v>
      </c>
      <c r="R1184" s="10" t="s">
        <v>7357</v>
      </c>
      <c r="S1184" s="11"/>
      <c r="T1184" s="6"/>
      <c r="U1184" s="15" t="str">
        <f>HYPERLINK("https://media.infra-m.ru/2117/2117132/cover/2117132.jpg", "Обложка")</f>
        <v>Обложка</v>
      </c>
      <c r="V1184" s="8" t="s">
        <v>227</v>
      </c>
      <c r="W1184" s="6"/>
      <c r="X1184" s="6"/>
      <c r="Y1184" s="6"/>
      <c r="Z1184" s="6"/>
      <c r="AA1184" s="6" t="s">
        <v>55</v>
      </c>
      <c r="AB1184" s="8"/>
      <c r="AC1184" s="27">
        <v>9785160062136</v>
      </c>
    </row>
    <row r="1185" spans="1:29" s="4" customFormat="1" ht="51.9" customHeight="1" x14ac:dyDescent="0.2">
      <c r="A1185" s="5">
        <v>0</v>
      </c>
      <c r="B1185" s="6" t="s">
        <v>7358</v>
      </c>
      <c r="C1185" s="7">
        <v>1692</v>
      </c>
      <c r="D1185" s="8" t="s">
        <v>7359</v>
      </c>
      <c r="E1185" s="8" t="s">
        <v>7360</v>
      </c>
      <c r="F1185" s="8" t="s">
        <v>3261</v>
      </c>
      <c r="G1185" s="6" t="s">
        <v>118</v>
      </c>
      <c r="H1185" s="6" t="s">
        <v>34</v>
      </c>
      <c r="I1185" s="8" t="s">
        <v>35</v>
      </c>
      <c r="J1185" s="9">
        <v>1</v>
      </c>
      <c r="K1185" s="9">
        <v>243</v>
      </c>
      <c r="L1185" s="9">
        <v>2027</v>
      </c>
      <c r="M1185" s="8" t="s">
        <v>7361</v>
      </c>
      <c r="N1185" s="8" t="s">
        <v>37</v>
      </c>
      <c r="O1185" s="8" t="s">
        <v>83</v>
      </c>
      <c r="P1185" s="6" t="s">
        <v>39</v>
      </c>
      <c r="Q1185" s="8" t="s">
        <v>40</v>
      </c>
      <c r="R1185" s="10" t="s">
        <v>7362</v>
      </c>
      <c r="S1185" s="11"/>
      <c r="T1185" s="6"/>
      <c r="U1185" s="15" t="str">
        <f>HYPERLINK("https://media.infra-m.ru/2268/2268353/cover/2268353.jpg", "Обложка")</f>
        <v>Обложка</v>
      </c>
      <c r="V1185" s="8" t="s">
        <v>3264</v>
      </c>
      <c r="W1185" s="6"/>
      <c r="X1185" s="6"/>
      <c r="Y1185" s="6"/>
      <c r="Z1185" s="6"/>
      <c r="AA1185" s="6" t="s">
        <v>1256</v>
      </c>
      <c r="AB1185" s="8"/>
      <c r="AC1185" s="27">
        <v>9785160146898</v>
      </c>
    </row>
    <row r="1186" spans="1:29" s="4" customFormat="1" ht="44.1" customHeight="1" x14ac:dyDescent="0.2">
      <c r="A1186" s="5">
        <v>0</v>
      </c>
      <c r="B1186" s="6" t="s">
        <v>7363</v>
      </c>
      <c r="C1186" s="7">
        <v>1428</v>
      </c>
      <c r="D1186" s="8" t="s">
        <v>7364</v>
      </c>
      <c r="E1186" s="8" t="s">
        <v>7365</v>
      </c>
      <c r="F1186" s="8" t="s">
        <v>7366</v>
      </c>
      <c r="G1186" s="6" t="s">
        <v>60</v>
      </c>
      <c r="H1186" s="6" t="s">
        <v>34</v>
      </c>
      <c r="I1186" s="8" t="s">
        <v>35</v>
      </c>
      <c r="J1186" s="9">
        <v>1</v>
      </c>
      <c r="K1186" s="9">
        <v>221</v>
      </c>
      <c r="L1186" s="9">
        <v>2025</v>
      </c>
      <c r="M1186" s="8" t="s">
        <v>7367</v>
      </c>
      <c r="N1186" s="8" t="s">
        <v>243</v>
      </c>
      <c r="O1186" s="8" t="s">
        <v>244</v>
      </c>
      <c r="P1186" s="6" t="s">
        <v>39</v>
      </c>
      <c r="Q1186" s="8" t="s">
        <v>40</v>
      </c>
      <c r="R1186" s="10" t="s">
        <v>7368</v>
      </c>
      <c r="S1186" s="11"/>
      <c r="T1186" s="6"/>
      <c r="U1186" s="15" t="str">
        <f>HYPERLINK("https://media.infra-m.ru/2189/2189092/cover/2189092.jpg", "Обложка")</f>
        <v>Обложка</v>
      </c>
      <c r="V1186" s="8" t="s">
        <v>1425</v>
      </c>
      <c r="W1186" s="6"/>
      <c r="X1186" s="6"/>
      <c r="Y1186" s="6"/>
      <c r="Z1186" s="6"/>
      <c r="AA1186" s="6" t="s">
        <v>68</v>
      </c>
      <c r="AB1186" s="8"/>
      <c r="AC1186" s="27">
        <v>9785160207261</v>
      </c>
    </row>
    <row r="1187" spans="1:29" s="4" customFormat="1" ht="42" customHeight="1" x14ac:dyDescent="0.2">
      <c r="A1187" s="5">
        <v>0</v>
      </c>
      <c r="B1187" s="6" t="s">
        <v>7369</v>
      </c>
      <c r="C1187" s="13">
        <v>828</v>
      </c>
      <c r="D1187" s="8" t="s">
        <v>7370</v>
      </c>
      <c r="E1187" s="8" t="s">
        <v>7371</v>
      </c>
      <c r="F1187" s="8" t="s">
        <v>7372</v>
      </c>
      <c r="G1187" s="6" t="s">
        <v>33</v>
      </c>
      <c r="H1187" s="6" t="s">
        <v>134</v>
      </c>
      <c r="I1187" s="8"/>
      <c r="J1187" s="9">
        <v>1</v>
      </c>
      <c r="K1187" s="9">
        <v>112</v>
      </c>
      <c r="L1187" s="9">
        <v>2026</v>
      </c>
      <c r="M1187" s="8" t="s">
        <v>7373</v>
      </c>
      <c r="N1187" s="8" t="s">
        <v>63</v>
      </c>
      <c r="O1187" s="8" t="s">
        <v>126</v>
      </c>
      <c r="P1187" s="6" t="s">
        <v>39</v>
      </c>
      <c r="Q1187" s="8" t="s">
        <v>40</v>
      </c>
      <c r="R1187" s="10" t="s">
        <v>5818</v>
      </c>
      <c r="S1187" s="11"/>
      <c r="T1187" s="6"/>
      <c r="U1187" s="15" t="str">
        <f>HYPERLINK("https://media.infra-m.ru/2261/2261223/cover/2261223.jpg", "Обложка")</f>
        <v>Обложка</v>
      </c>
      <c r="V1187" s="8" t="s">
        <v>1069</v>
      </c>
      <c r="W1187" s="6"/>
      <c r="X1187" s="6"/>
      <c r="Y1187" s="6"/>
      <c r="Z1187" s="6"/>
      <c r="AA1187" s="6" t="s">
        <v>769</v>
      </c>
      <c r="AB1187" s="8"/>
      <c r="AC1187" s="27">
        <v>9785917683140</v>
      </c>
    </row>
    <row r="1188" spans="1:29" s="4" customFormat="1" ht="42" customHeight="1" x14ac:dyDescent="0.2">
      <c r="A1188" s="5">
        <v>0</v>
      </c>
      <c r="B1188" s="6" t="s">
        <v>7374</v>
      </c>
      <c r="C1188" s="7">
        <v>1000.8</v>
      </c>
      <c r="D1188" s="8" t="s">
        <v>7375</v>
      </c>
      <c r="E1188" s="8" t="s">
        <v>7376</v>
      </c>
      <c r="F1188" s="8" t="s">
        <v>7377</v>
      </c>
      <c r="G1188" s="6" t="s">
        <v>33</v>
      </c>
      <c r="H1188" s="6" t="s">
        <v>313</v>
      </c>
      <c r="I1188" s="8" t="s">
        <v>35</v>
      </c>
      <c r="J1188" s="9">
        <v>1</v>
      </c>
      <c r="K1188" s="9">
        <v>186</v>
      </c>
      <c r="L1188" s="9">
        <v>2023</v>
      </c>
      <c r="M1188" s="8" t="s">
        <v>7378</v>
      </c>
      <c r="N1188" s="8" t="s">
        <v>243</v>
      </c>
      <c r="O1188" s="8" t="s">
        <v>1100</v>
      </c>
      <c r="P1188" s="6" t="s">
        <v>39</v>
      </c>
      <c r="Q1188" s="8" t="s">
        <v>40</v>
      </c>
      <c r="R1188" s="10" t="s">
        <v>7379</v>
      </c>
      <c r="S1188" s="11"/>
      <c r="T1188" s="6"/>
      <c r="U1188" s="15" t="str">
        <f>HYPERLINK("https://media.infra-m.ru/1898/1898014/cover/1898014.jpg", "Обложка")</f>
        <v>Обложка</v>
      </c>
      <c r="V1188" s="8" t="s">
        <v>7380</v>
      </c>
      <c r="W1188" s="6"/>
      <c r="X1188" s="6"/>
      <c r="Y1188" s="6"/>
      <c r="Z1188" s="6"/>
      <c r="AA1188" s="6" t="s">
        <v>248</v>
      </c>
      <c r="AB1188" s="8"/>
      <c r="AC1188" s="27">
        <v>9785369014011</v>
      </c>
    </row>
    <row r="1189" spans="1:29" s="4" customFormat="1" ht="42" customHeight="1" x14ac:dyDescent="0.2">
      <c r="A1189" s="5">
        <v>0</v>
      </c>
      <c r="B1189" s="6" t="s">
        <v>7381</v>
      </c>
      <c r="C1189" s="7">
        <v>1308</v>
      </c>
      <c r="D1189" s="8" t="s">
        <v>7382</v>
      </c>
      <c r="E1189" s="8" t="s">
        <v>7376</v>
      </c>
      <c r="F1189" s="8" t="s">
        <v>7377</v>
      </c>
      <c r="G1189" s="6" t="s">
        <v>118</v>
      </c>
      <c r="H1189" s="6" t="s">
        <v>313</v>
      </c>
      <c r="I1189" s="8" t="s">
        <v>35</v>
      </c>
      <c r="J1189" s="9">
        <v>1</v>
      </c>
      <c r="K1189" s="9">
        <v>183</v>
      </c>
      <c r="L1189" s="9">
        <v>2026</v>
      </c>
      <c r="M1189" s="8" t="s">
        <v>7378</v>
      </c>
      <c r="N1189" s="8" t="s">
        <v>243</v>
      </c>
      <c r="O1189" s="8" t="s">
        <v>1100</v>
      </c>
      <c r="P1189" s="6" t="s">
        <v>39</v>
      </c>
      <c r="Q1189" s="8" t="s">
        <v>40</v>
      </c>
      <c r="R1189" s="10" t="s">
        <v>7379</v>
      </c>
      <c r="S1189" s="11"/>
      <c r="T1189" s="6"/>
      <c r="U1189" s="15" t="str">
        <f>HYPERLINK("https://media.infra-m.ru/2248/2248214/cover/2248214.jpg", "Обложка")</f>
        <v>Обложка</v>
      </c>
      <c r="V1189" s="8" t="s">
        <v>7380</v>
      </c>
      <c r="W1189" s="6"/>
      <c r="X1189" s="6"/>
      <c r="Y1189" s="6"/>
      <c r="Z1189" s="6"/>
      <c r="AA1189" s="6" t="s">
        <v>248</v>
      </c>
      <c r="AB1189" s="8"/>
      <c r="AC1189" s="27">
        <v>9785369014011</v>
      </c>
    </row>
    <row r="1190" spans="1:29" s="4" customFormat="1" ht="51.9" customHeight="1" x14ac:dyDescent="0.2">
      <c r="A1190" s="5">
        <v>0</v>
      </c>
      <c r="B1190" s="6" t="s">
        <v>7383</v>
      </c>
      <c r="C1190" s="7">
        <v>1836</v>
      </c>
      <c r="D1190" s="8" t="s">
        <v>7384</v>
      </c>
      <c r="E1190" s="8" t="s">
        <v>7385</v>
      </c>
      <c r="F1190" s="8" t="s">
        <v>7386</v>
      </c>
      <c r="G1190" s="6" t="s">
        <v>118</v>
      </c>
      <c r="H1190" s="6" t="s">
        <v>34</v>
      </c>
      <c r="I1190" s="8" t="s">
        <v>253</v>
      </c>
      <c r="J1190" s="9">
        <v>1</v>
      </c>
      <c r="K1190" s="9">
        <v>264</v>
      </c>
      <c r="L1190" s="9">
        <v>2027</v>
      </c>
      <c r="M1190" s="8" t="s">
        <v>7387</v>
      </c>
      <c r="N1190" s="8" t="s">
        <v>63</v>
      </c>
      <c r="O1190" s="8" t="s">
        <v>154</v>
      </c>
      <c r="P1190" s="6" t="s">
        <v>51</v>
      </c>
      <c r="Q1190" s="8" t="s">
        <v>52</v>
      </c>
      <c r="R1190" s="10" t="s">
        <v>7388</v>
      </c>
      <c r="S1190" s="11"/>
      <c r="T1190" s="6" t="s">
        <v>97</v>
      </c>
      <c r="U1190" s="15" t="str">
        <f>HYPERLINK("https://media.infra-m.ru/2266/2266788/cover/2266788.jpg", "Обложка")</f>
        <v>Обложка</v>
      </c>
      <c r="V1190" s="8" t="s">
        <v>2389</v>
      </c>
      <c r="W1190" s="6"/>
      <c r="X1190" s="6"/>
      <c r="Y1190" s="6"/>
      <c r="Z1190" s="6"/>
      <c r="AA1190" s="6" t="s">
        <v>55</v>
      </c>
      <c r="AB1190" s="8"/>
      <c r="AC1190" s="27">
        <v>9785160212296</v>
      </c>
    </row>
    <row r="1191" spans="1:29" s="4" customFormat="1" ht="51.9" customHeight="1" x14ac:dyDescent="0.2">
      <c r="A1191" s="5">
        <v>0</v>
      </c>
      <c r="B1191" s="6" t="s">
        <v>7389</v>
      </c>
      <c r="C1191" s="7">
        <v>2044.8</v>
      </c>
      <c r="D1191" s="8" t="s">
        <v>7390</v>
      </c>
      <c r="E1191" s="8" t="s">
        <v>7391</v>
      </c>
      <c r="F1191" s="8" t="s">
        <v>7392</v>
      </c>
      <c r="G1191" s="6" t="s">
        <v>118</v>
      </c>
      <c r="H1191" s="6" t="s">
        <v>34</v>
      </c>
      <c r="I1191" s="8" t="s">
        <v>253</v>
      </c>
      <c r="J1191" s="9">
        <v>1</v>
      </c>
      <c r="K1191" s="9">
        <v>309</v>
      </c>
      <c r="L1191" s="9">
        <v>2026</v>
      </c>
      <c r="M1191" s="8" t="s">
        <v>7393</v>
      </c>
      <c r="N1191" s="8" t="s">
        <v>63</v>
      </c>
      <c r="O1191" s="8" t="s">
        <v>154</v>
      </c>
      <c r="P1191" s="6" t="s">
        <v>51</v>
      </c>
      <c r="Q1191" s="8" t="s">
        <v>52</v>
      </c>
      <c r="R1191" s="10" t="s">
        <v>7394</v>
      </c>
      <c r="S1191" s="11" t="s">
        <v>7395</v>
      </c>
      <c r="T1191" s="6"/>
      <c r="U1191" s="15" t="str">
        <f>HYPERLINK("https://media.infra-m.ru/2256/2256618/cover/2256618.jpg", "Обложка")</f>
        <v>Обложка</v>
      </c>
      <c r="V1191" s="8" t="s">
        <v>5117</v>
      </c>
      <c r="W1191" s="6"/>
      <c r="X1191" s="6"/>
      <c r="Y1191" s="6"/>
      <c r="Z1191" s="6"/>
      <c r="AA1191" s="6" t="s">
        <v>430</v>
      </c>
      <c r="AB1191" s="8"/>
      <c r="AC1191" s="27">
        <v>9785160194523</v>
      </c>
    </row>
    <row r="1192" spans="1:29" s="4" customFormat="1" ht="42" customHeight="1" x14ac:dyDescent="0.2">
      <c r="A1192" s="5">
        <v>0</v>
      </c>
      <c r="B1192" s="6" t="s">
        <v>7396</v>
      </c>
      <c r="C1192" s="7">
        <v>1308</v>
      </c>
      <c r="D1192" s="8" t="s">
        <v>7397</v>
      </c>
      <c r="E1192" s="8" t="s">
        <v>7398</v>
      </c>
      <c r="F1192" s="8" t="s">
        <v>3261</v>
      </c>
      <c r="G1192" s="6" t="s">
        <v>33</v>
      </c>
      <c r="H1192" s="6" t="s">
        <v>34</v>
      </c>
      <c r="I1192" s="8" t="s">
        <v>35</v>
      </c>
      <c r="J1192" s="9">
        <v>1</v>
      </c>
      <c r="K1192" s="9">
        <v>198</v>
      </c>
      <c r="L1192" s="9">
        <v>2026</v>
      </c>
      <c r="M1192" s="8" t="s">
        <v>7399</v>
      </c>
      <c r="N1192" s="8" t="s">
        <v>37</v>
      </c>
      <c r="O1192" s="8" t="s">
        <v>83</v>
      </c>
      <c r="P1192" s="6" t="s">
        <v>39</v>
      </c>
      <c r="Q1192" s="8" t="s">
        <v>40</v>
      </c>
      <c r="R1192" s="10" t="s">
        <v>6716</v>
      </c>
      <c r="S1192" s="11"/>
      <c r="T1192" s="6"/>
      <c r="U1192" s="15" t="str">
        <f>HYPERLINK("https://media.infra-m.ru/2232/2232930/cover/2232930.jpg", "Обложка")</f>
        <v>Обложка</v>
      </c>
      <c r="V1192" s="8" t="s">
        <v>3264</v>
      </c>
      <c r="W1192" s="6"/>
      <c r="X1192" s="6"/>
      <c r="Y1192" s="6"/>
      <c r="Z1192" s="6"/>
      <c r="AA1192" s="6" t="s">
        <v>1256</v>
      </c>
      <c r="AB1192" s="8"/>
      <c r="AC1192" s="27">
        <v>9785160151984</v>
      </c>
    </row>
    <row r="1193" spans="1:29" s="4" customFormat="1" ht="51.9" customHeight="1" x14ac:dyDescent="0.2">
      <c r="A1193" s="5">
        <v>0</v>
      </c>
      <c r="B1193" s="6" t="s">
        <v>7400</v>
      </c>
      <c r="C1193" s="7">
        <v>2548.8000000000002</v>
      </c>
      <c r="D1193" s="8" t="s">
        <v>7401</v>
      </c>
      <c r="E1193" s="8" t="s">
        <v>7402</v>
      </c>
      <c r="F1193" s="8" t="s">
        <v>3261</v>
      </c>
      <c r="G1193" s="6" t="s">
        <v>60</v>
      </c>
      <c r="H1193" s="6" t="s">
        <v>34</v>
      </c>
      <c r="I1193" s="8" t="s">
        <v>253</v>
      </c>
      <c r="J1193" s="9">
        <v>1</v>
      </c>
      <c r="K1193" s="9">
        <v>366</v>
      </c>
      <c r="L1193" s="9">
        <v>2027</v>
      </c>
      <c r="M1193" s="8" t="s">
        <v>7403</v>
      </c>
      <c r="N1193" s="8" t="s">
        <v>37</v>
      </c>
      <c r="O1193" s="8" t="s">
        <v>83</v>
      </c>
      <c r="P1193" s="6" t="s">
        <v>306</v>
      </c>
      <c r="Q1193" s="8" t="s">
        <v>65</v>
      </c>
      <c r="R1193" s="10" t="s">
        <v>7404</v>
      </c>
      <c r="S1193" s="11"/>
      <c r="T1193" s="6"/>
      <c r="U1193" s="15" t="str">
        <f>HYPERLINK("https://media.infra-m.ru/2267/2267397/cover/2267397.jpg", "Обложка")</f>
        <v>Обложка</v>
      </c>
      <c r="V1193" s="8" t="s">
        <v>3264</v>
      </c>
      <c r="W1193" s="6"/>
      <c r="X1193" s="6"/>
      <c r="Y1193" s="6"/>
      <c r="Z1193" s="6"/>
      <c r="AA1193" s="6" t="s">
        <v>76</v>
      </c>
      <c r="AB1193" s="8"/>
      <c r="AC1193" s="27">
        <v>9785160196763</v>
      </c>
    </row>
    <row r="1194" spans="1:29" s="4" customFormat="1" ht="51.9" customHeight="1" x14ac:dyDescent="0.2">
      <c r="A1194" s="5">
        <v>0</v>
      </c>
      <c r="B1194" s="6" t="s">
        <v>7405</v>
      </c>
      <c r="C1194" s="7">
        <v>2388</v>
      </c>
      <c r="D1194" s="8" t="s">
        <v>7406</v>
      </c>
      <c r="E1194" s="8" t="s">
        <v>7407</v>
      </c>
      <c r="F1194" s="8" t="s">
        <v>7408</v>
      </c>
      <c r="G1194" s="6" t="s">
        <v>60</v>
      </c>
      <c r="H1194" s="6" t="s">
        <v>34</v>
      </c>
      <c r="I1194" s="8" t="s">
        <v>35</v>
      </c>
      <c r="J1194" s="9">
        <v>1</v>
      </c>
      <c r="K1194" s="9">
        <v>435</v>
      </c>
      <c r="L1194" s="9">
        <v>2024</v>
      </c>
      <c r="M1194" s="8" t="s">
        <v>7409</v>
      </c>
      <c r="N1194" s="8" t="s">
        <v>37</v>
      </c>
      <c r="O1194" s="8" t="s">
        <v>136</v>
      </c>
      <c r="P1194" s="6" t="s">
        <v>39</v>
      </c>
      <c r="Q1194" s="8" t="s">
        <v>40</v>
      </c>
      <c r="R1194" s="10" t="s">
        <v>7410</v>
      </c>
      <c r="S1194" s="11"/>
      <c r="T1194" s="6"/>
      <c r="U1194" s="15" t="str">
        <f>HYPERLINK("https://media.infra-m.ru/1891/1891876/cover/1891876.jpg", "Обложка")</f>
        <v>Обложка</v>
      </c>
      <c r="V1194" s="8" t="s">
        <v>3243</v>
      </c>
      <c r="W1194" s="6"/>
      <c r="X1194" s="6"/>
      <c r="Y1194" s="6"/>
      <c r="Z1194" s="6"/>
      <c r="AA1194" s="6" t="s">
        <v>76</v>
      </c>
      <c r="AB1194" s="8" t="s">
        <v>2208</v>
      </c>
      <c r="AC1194" s="27">
        <v>9785160178479</v>
      </c>
    </row>
    <row r="1195" spans="1:29" s="4" customFormat="1" ht="51.9" customHeight="1" x14ac:dyDescent="0.2">
      <c r="A1195" s="5">
        <v>0</v>
      </c>
      <c r="B1195" s="6" t="s">
        <v>7411</v>
      </c>
      <c r="C1195" s="7">
        <v>2728.8</v>
      </c>
      <c r="D1195" s="8" t="s">
        <v>7412</v>
      </c>
      <c r="E1195" s="8" t="s">
        <v>7413</v>
      </c>
      <c r="F1195" s="8" t="s">
        <v>7414</v>
      </c>
      <c r="G1195" s="6" t="s">
        <v>60</v>
      </c>
      <c r="H1195" s="6" t="s">
        <v>313</v>
      </c>
      <c r="I1195" s="8"/>
      <c r="J1195" s="9">
        <v>1</v>
      </c>
      <c r="K1195" s="9">
        <v>391</v>
      </c>
      <c r="L1195" s="9">
        <v>2026</v>
      </c>
      <c r="M1195" s="8" t="s">
        <v>7415</v>
      </c>
      <c r="N1195" s="8" t="s">
        <v>37</v>
      </c>
      <c r="O1195" s="8" t="s">
        <v>136</v>
      </c>
      <c r="P1195" s="6" t="s">
        <v>39</v>
      </c>
      <c r="Q1195" s="8" t="s">
        <v>40</v>
      </c>
      <c r="R1195" s="10" t="s">
        <v>1230</v>
      </c>
      <c r="S1195" s="11"/>
      <c r="T1195" s="6"/>
      <c r="U1195" s="15" t="str">
        <f>HYPERLINK("https://media.infra-m.ru/2257/2257310/cover/2257310.jpg", "Обложка")</f>
        <v>Обложка</v>
      </c>
      <c r="V1195" s="8" t="s">
        <v>3595</v>
      </c>
      <c r="W1195" s="6"/>
      <c r="X1195" s="6"/>
      <c r="Y1195" s="6"/>
      <c r="Z1195" s="6"/>
      <c r="AA1195" s="6" t="s">
        <v>157</v>
      </c>
      <c r="AB1195" s="8"/>
      <c r="AC1195" s="27">
        <v>9785369019207</v>
      </c>
    </row>
    <row r="1196" spans="1:29" s="4" customFormat="1" ht="51.9" customHeight="1" x14ac:dyDescent="0.2">
      <c r="A1196" s="5">
        <v>0</v>
      </c>
      <c r="B1196" s="6" t="s">
        <v>7416</v>
      </c>
      <c r="C1196" s="7">
        <v>1540.8</v>
      </c>
      <c r="D1196" s="8" t="s">
        <v>7417</v>
      </c>
      <c r="E1196" s="8" t="s">
        <v>7418</v>
      </c>
      <c r="F1196" s="8" t="s">
        <v>7419</v>
      </c>
      <c r="G1196" s="6" t="s">
        <v>118</v>
      </c>
      <c r="H1196" s="6" t="s">
        <v>134</v>
      </c>
      <c r="I1196" s="8"/>
      <c r="J1196" s="9">
        <v>1</v>
      </c>
      <c r="K1196" s="9">
        <v>220</v>
      </c>
      <c r="L1196" s="9">
        <v>2027</v>
      </c>
      <c r="M1196" s="8" t="s">
        <v>7420</v>
      </c>
      <c r="N1196" s="8" t="s">
        <v>37</v>
      </c>
      <c r="O1196" s="8" t="s">
        <v>136</v>
      </c>
      <c r="P1196" s="6" t="s">
        <v>51</v>
      </c>
      <c r="Q1196" s="8" t="s">
        <v>500</v>
      </c>
      <c r="R1196" s="10" t="s">
        <v>676</v>
      </c>
      <c r="S1196" s="11"/>
      <c r="T1196" s="6"/>
      <c r="U1196" s="15" t="str">
        <f>HYPERLINK("https://media.infra-m.ru/2261/2261753/cover/2261753.jpg", "Обложка")</f>
        <v>Обложка</v>
      </c>
      <c r="V1196" s="8" t="s">
        <v>1184</v>
      </c>
      <c r="W1196" s="6"/>
      <c r="X1196" s="6"/>
      <c r="Y1196" s="6"/>
      <c r="Z1196" s="6"/>
      <c r="AA1196" s="6" t="s">
        <v>7421</v>
      </c>
      <c r="AB1196" s="8"/>
      <c r="AC1196" s="27">
        <v>9785917687100</v>
      </c>
    </row>
    <row r="1197" spans="1:29" s="4" customFormat="1" ht="51.9" customHeight="1" x14ac:dyDescent="0.2">
      <c r="A1197" s="5">
        <v>0</v>
      </c>
      <c r="B1197" s="6" t="s">
        <v>7422</v>
      </c>
      <c r="C1197" s="7">
        <v>2344.8000000000002</v>
      </c>
      <c r="D1197" s="8" t="s">
        <v>7423</v>
      </c>
      <c r="E1197" s="8" t="s">
        <v>7424</v>
      </c>
      <c r="F1197" s="8" t="s">
        <v>7425</v>
      </c>
      <c r="G1197" s="6" t="s">
        <v>118</v>
      </c>
      <c r="H1197" s="6" t="s">
        <v>34</v>
      </c>
      <c r="I1197" s="8" t="s">
        <v>253</v>
      </c>
      <c r="J1197" s="9">
        <v>1</v>
      </c>
      <c r="K1197" s="9">
        <v>356</v>
      </c>
      <c r="L1197" s="9">
        <v>2026</v>
      </c>
      <c r="M1197" s="8" t="s">
        <v>7426</v>
      </c>
      <c r="N1197" s="8" t="s">
        <v>585</v>
      </c>
      <c r="O1197" s="8" t="s">
        <v>775</v>
      </c>
      <c r="P1197" s="6" t="s">
        <v>51</v>
      </c>
      <c r="Q1197" s="8" t="s">
        <v>500</v>
      </c>
      <c r="R1197" s="10" t="s">
        <v>7427</v>
      </c>
      <c r="S1197" s="11" t="s">
        <v>7428</v>
      </c>
      <c r="T1197" s="6"/>
      <c r="U1197" s="15" t="str">
        <f>HYPERLINK("https://media.infra-m.ru/2251/2251376/cover/2251376.jpg", "Обложка")</f>
        <v>Обложка</v>
      </c>
      <c r="V1197" s="8" t="s">
        <v>7429</v>
      </c>
      <c r="W1197" s="6"/>
      <c r="X1197" s="6"/>
      <c r="Y1197" s="6"/>
      <c r="Z1197" s="6"/>
      <c r="AA1197" s="6" t="s">
        <v>360</v>
      </c>
      <c r="AB1197" s="8"/>
      <c r="AC1197" s="27">
        <v>9785160203584</v>
      </c>
    </row>
    <row r="1198" spans="1:29" s="4" customFormat="1" ht="42" customHeight="1" x14ac:dyDescent="0.2">
      <c r="A1198" s="5">
        <v>0</v>
      </c>
      <c r="B1198" s="6" t="s">
        <v>7430</v>
      </c>
      <c r="C1198" s="13">
        <v>840</v>
      </c>
      <c r="D1198" s="8" t="s">
        <v>7431</v>
      </c>
      <c r="E1198" s="8" t="s">
        <v>7432</v>
      </c>
      <c r="F1198" s="8" t="s">
        <v>7433</v>
      </c>
      <c r="G1198" s="6" t="s">
        <v>118</v>
      </c>
      <c r="H1198" s="6" t="s">
        <v>34</v>
      </c>
      <c r="I1198" s="8" t="s">
        <v>35</v>
      </c>
      <c r="J1198" s="9">
        <v>1</v>
      </c>
      <c r="K1198" s="9">
        <v>139</v>
      </c>
      <c r="L1198" s="9">
        <v>2024</v>
      </c>
      <c r="M1198" s="8" t="s">
        <v>7434</v>
      </c>
      <c r="N1198" s="8" t="s">
        <v>37</v>
      </c>
      <c r="O1198" s="8" t="s">
        <v>136</v>
      </c>
      <c r="P1198" s="6" t="s">
        <v>39</v>
      </c>
      <c r="Q1198" s="8" t="s">
        <v>40</v>
      </c>
      <c r="R1198" s="10" t="s">
        <v>684</v>
      </c>
      <c r="S1198" s="11"/>
      <c r="T1198" s="6"/>
      <c r="U1198" s="15" t="str">
        <f>HYPERLINK("https://media.infra-m.ru/2121/2121217/cover/2121217.jpg", "Обложка")</f>
        <v>Обложка</v>
      </c>
      <c r="V1198" s="8" t="s">
        <v>7435</v>
      </c>
      <c r="W1198" s="6"/>
      <c r="X1198" s="6"/>
      <c r="Y1198" s="6"/>
      <c r="Z1198" s="6"/>
      <c r="AA1198" s="6" t="s">
        <v>157</v>
      </c>
      <c r="AB1198" s="8"/>
      <c r="AC1198" s="27">
        <v>9785160179933</v>
      </c>
    </row>
    <row r="1199" spans="1:29" s="4" customFormat="1" ht="51.9" customHeight="1" x14ac:dyDescent="0.2">
      <c r="A1199" s="5">
        <v>0</v>
      </c>
      <c r="B1199" s="6" t="s">
        <v>7436</v>
      </c>
      <c r="C1199" s="7">
        <v>1485.6</v>
      </c>
      <c r="D1199" s="8" t="s">
        <v>7437</v>
      </c>
      <c r="E1199" s="8" t="s">
        <v>7438</v>
      </c>
      <c r="F1199" s="8" t="s">
        <v>7439</v>
      </c>
      <c r="G1199" s="6" t="s">
        <v>60</v>
      </c>
      <c r="H1199" s="6" t="s">
        <v>134</v>
      </c>
      <c r="I1199" s="8"/>
      <c r="J1199" s="9">
        <v>1</v>
      </c>
      <c r="K1199" s="9">
        <v>192</v>
      </c>
      <c r="L1199" s="9">
        <v>2021</v>
      </c>
      <c r="M1199" s="8" t="s">
        <v>7440</v>
      </c>
      <c r="N1199" s="8" t="s">
        <v>37</v>
      </c>
      <c r="O1199" s="8" t="s">
        <v>136</v>
      </c>
      <c r="P1199" s="6" t="s">
        <v>7441</v>
      </c>
      <c r="Q1199" s="8" t="s">
        <v>40</v>
      </c>
      <c r="R1199" s="10" t="s">
        <v>4881</v>
      </c>
      <c r="S1199" s="11"/>
      <c r="T1199" s="6"/>
      <c r="U1199" s="15" t="str">
        <f>HYPERLINK("https://media.infra-m.ru/1861/1861573/cover/1861573.jpg", "Обложка")</f>
        <v>Обложка</v>
      </c>
      <c r="V1199" s="8"/>
      <c r="W1199" s="6"/>
      <c r="X1199" s="6"/>
      <c r="Y1199" s="6"/>
      <c r="Z1199" s="6"/>
      <c r="AA1199" s="6" t="s">
        <v>258</v>
      </c>
      <c r="AB1199" s="8"/>
      <c r="AC1199" s="27">
        <v>9785001561910</v>
      </c>
    </row>
    <row r="1200" spans="1:29" s="4" customFormat="1" ht="51.9" customHeight="1" x14ac:dyDescent="0.2">
      <c r="A1200" s="5">
        <v>0</v>
      </c>
      <c r="B1200" s="6" t="s">
        <v>7442</v>
      </c>
      <c r="C1200" s="13">
        <v>844.8</v>
      </c>
      <c r="D1200" s="8" t="s">
        <v>7443</v>
      </c>
      <c r="E1200" s="8" t="s">
        <v>7444</v>
      </c>
      <c r="F1200" s="8" t="s">
        <v>7445</v>
      </c>
      <c r="G1200" s="6" t="s">
        <v>33</v>
      </c>
      <c r="H1200" s="6" t="s">
        <v>134</v>
      </c>
      <c r="I1200" s="8"/>
      <c r="J1200" s="9">
        <v>1</v>
      </c>
      <c r="K1200" s="9">
        <v>128</v>
      </c>
      <c r="L1200" s="9">
        <v>2026</v>
      </c>
      <c r="M1200" s="8" t="s">
        <v>7446</v>
      </c>
      <c r="N1200" s="8" t="s">
        <v>37</v>
      </c>
      <c r="O1200" s="8" t="s">
        <v>136</v>
      </c>
      <c r="P1200" s="6" t="s">
        <v>51</v>
      </c>
      <c r="Q1200" s="8" t="s">
        <v>65</v>
      </c>
      <c r="R1200" s="10" t="s">
        <v>7447</v>
      </c>
      <c r="S1200" s="11"/>
      <c r="T1200" s="6"/>
      <c r="U1200" s="15" t="str">
        <f>HYPERLINK("https://media.infra-m.ru/2233/2233141/cover/2233141.jpg", "Обложка")</f>
        <v>Обложка</v>
      </c>
      <c r="V1200" s="8" t="s">
        <v>7448</v>
      </c>
      <c r="W1200" s="6"/>
      <c r="X1200" s="6"/>
      <c r="Y1200" s="6"/>
      <c r="Z1200" s="6"/>
      <c r="AA1200" s="6" t="s">
        <v>274</v>
      </c>
      <c r="AB1200" s="8"/>
      <c r="AC1200" s="27">
        <v>9785917686356</v>
      </c>
    </row>
    <row r="1201" spans="1:29" s="4" customFormat="1" ht="44.1" customHeight="1" x14ac:dyDescent="0.2">
      <c r="A1201" s="5">
        <v>0</v>
      </c>
      <c r="B1201" s="6" t="s">
        <v>7449</v>
      </c>
      <c r="C1201" s="13">
        <v>924</v>
      </c>
      <c r="D1201" s="8" t="s">
        <v>7450</v>
      </c>
      <c r="E1201" s="8" t="s">
        <v>7451</v>
      </c>
      <c r="F1201" s="8" t="s">
        <v>7452</v>
      </c>
      <c r="G1201" s="6" t="s">
        <v>33</v>
      </c>
      <c r="H1201" s="6" t="s">
        <v>34</v>
      </c>
      <c r="I1201" s="8" t="s">
        <v>35</v>
      </c>
      <c r="J1201" s="9">
        <v>1</v>
      </c>
      <c r="K1201" s="9">
        <v>198</v>
      </c>
      <c r="L1201" s="9">
        <v>2022</v>
      </c>
      <c r="M1201" s="8" t="s">
        <v>7453</v>
      </c>
      <c r="N1201" s="8" t="s">
        <v>37</v>
      </c>
      <c r="O1201" s="8" t="s">
        <v>233</v>
      </c>
      <c r="P1201" s="6" t="s">
        <v>39</v>
      </c>
      <c r="Q1201" s="8" t="s">
        <v>40</v>
      </c>
      <c r="R1201" s="10" t="s">
        <v>7454</v>
      </c>
      <c r="S1201" s="11"/>
      <c r="T1201" s="6"/>
      <c r="U1201" s="15" t="str">
        <f>HYPERLINK("https://media.infra-m.ru/1832/1832149/cover/1832149.jpg", "Обложка")</f>
        <v>Обложка</v>
      </c>
      <c r="V1201" s="8" t="s">
        <v>7455</v>
      </c>
      <c r="W1201" s="6"/>
      <c r="X1201" s="6"/>
      <c r="Y1201" s="6"/>
      <c r="Z1201" s="6"/>
      <c r="AA1201" s="6" t="s">
        <v>430</v>
      </c>
      <c r="AB1201" s="8"/>
      <c r="AC1201" s="27">
        <v>9785160167763</v>
      </c>
    </row>
    <row r="1202" spans="1:29" s="4" customFormat="1" ht="51.9" customHeight="1" x14ac:dyDescent="0.2">
      <c r="A1202" s="5">
        <v>0</v>
      </c>
      <c r="B1202" s="6" t="s">
        <v>7456</v>
      </c>
      <c r="C1202" s="7">
        <v>1228.8</v>
      </c>
      <c r="D1202" s="8" t="s">
        <v>7457</v>
      </c>
      <c r="E1202" s="8" t="s">
        <v>7458</v>
      </c>
      <c r="F1202" s="8" t="s">
        <v>7459</v>
      </c>
      <c r="G1202" s="6" t="s">
        <v>118</v>
      </c>
      <c r="H1202" s="6" t="s">
        <v>34</v>
      </c>
      <c r="I1202" s="8" t="s">
        <v>271</v>
      </c>
      <c r="J1202" s="9">
        <v>1</v>
      </c>
      <c r="K1202" s="9">
        <v>177</v>
      </c>
      <c r="L1202" s="9">
        <v>2027</v>
      </c>
      <c r="M1202" s="8" t="s">
        <v>7460</v>
      </c>
      <c r="N1202" s="8" t="s">
        <v>585</v>
      </c>
      <c r="O1202" s="8" t="s">
        <v>775</v>
      </c>
      <c r="P1202" s="6" t="s">
        <v>51</v>
      </c>
      <c r="Q1202" s="8" t="s">
        <v>52</v>
      </c>
      <c r="R1202" s="10" t="s">
        <v>7461</v>
      </c>
      <c r="S1202" s="11" t="s">
        <v>7462</v>
      </c>
      <c r="T1202" s="6"/>
      <c r="U1202" s="15" t="str">
        <f>HYPERLINK("https://media.infra-m.ru/2272/2272053/cover/2272053.jpg", "Обложка")</f>
        <v>Обложка</v>
      </c>
      <c r="V1202" s="8" t="s">
        <v>2602</v>
      </c>
      <c r="W1202" s="6"/>
      <c r="X1202" s="6" t="s">
        <v>24</v>
      </c>
      <c r="Y1202" s="6"/>
      <c r="Z1202" s="6"/>
      <c r="AA1202" s="6" t="s">
        <v>7463</v>
      </c>
      <c r="AB1202" s="8"/>
      <c r="AC1202" s="27">
        <v>9785160152998</v>
      </c>
    </row>
    <row r="1203" spans="1:29" s="4" customFormat="1" ht="44.1" customHeight="1" x14ac:dyDescent="0.2">
      <c r="A1203" s="5">
        <v>0</v>
      </c>
      <c r="B1203" s="6" t="s">
        <v>7464</v>
      </c>
      <c r="C1203" s="7">
        <v>1464</v>
      </c>
      <c r="D1203" s="8" t="s">
        <v>7465</v>
      </c>
      <c r="E1203" s="8" t="s">
        <v>7466</v>
      </c>
      <c r="F1203" s="8" t="s">
        <v>7467</v>
      </c>
      <c r="G1203" s="6" t="s">
        <v>60</v>
      </c>
      <c r="H1203" s="6" t="s">
        <v>34</v>
      </c>
      <c r="I1203" s="8" t="s">
        <v>253</v>
      </c>
      <c r="J1203" s="9">
        <v>1</v>
      </c>
      <c r="K1203" s="9">
        <v>244</v>
      </c>
      <c r="L1203" s="9">
        <v>2025</v>
      </c>
      <c r="M1203" s="8" t="s">
        <v>7468</v>
      </c>
      <c r="N1203" s="8" t="s">
        <v>585</v>
      </c>
      <c r="O1203" s="8" t="s">
        <v>775</v>
      </c>
      <c r="P1203" s="6" t="s">
        <v>306</v>
      </c>
      <c r="Q1203" s="8" t="s">
        <v>65</v>
      </c>
      <c r="R1203" s="10" t="s">
        <v>7469</v>
      </c>
      <c r="S1203" s="11"/>
      <c r="T1203" s="6"/>
      <c r="U1203" s="15" t="str">
        <f>HYPERLINK("https://media.infra-m.ru/2125/2125938/cover/2125938.jpg", "Обложка")</f>
        <v>Обложка</v>
      </c>
      <c r="V1203" s="8" t="s">
        <v>1599</v>
      </c>
      <c r="W1203" s="6"/>
      <c r="X1203" s="6"/>
      <c r="Y1203" s="6"/>
      <c r="Z1203" s="6"/>
      <c r="AA1203" s="6" t="s">
        <v>68</v>
      </c>
      <c r="AB1203" s="8"/>
      <c r="AC1203" s="27">
        <v>9785160195360</v>
      </c>
    </row>
    <row r="1204" spans="1:29" s="4" customFormat="1" ht="51.9" customHeight="1" x14ac:dyDescent="0.2">
      <c r="A1204" s="5">
        <v>0</v>
      </c>
      <c r="B1204" s="6" t="s">
        <v>7470</v>
      </c>
      <c r="C1204" s="7">
        <v>1780.8</v>
      </c>
      <c r="D1204" s="8" t="s">
        <v>7471</v>
      </c>
      <c r="E1204" s="8" t="s">
        <v>7472</v>
      </c>
      <c r="F1204" s="8" t="s">
        <v>7473</v>
      </c>
      <c r="G1204" s="6" t="s">
        <v>118</v>
      </c>
      <c r="H1204" s="6" t="s">
        <v>34</v>
      </c>
      <c r="I1204" s="8" t="s">
        <v>253</v>
      </c>
      <c r="J1204" s="9">
        <v>1</v>
      </c>
      <c r="K1204" s="9">
        <v>256</v>
      </c>
      <c r="L1204" s="9">
        <v>2027</v>
      </c>
      <c r="M1204" s="8" t="s">
        <v>7474</v>
      </c>
      <c r="N1204" s="8" t="s">
        <v>37</v>
      </c>
      <c r="O1204" s="8" t="s">
        <v>233</v>
      </c>
      <c r="P1204" s="6" t="s">
        <v>51</v>
      </c>
      <c r="Q1204" s="8" t="s">
        <v>52</v>
      </c>
      <c r="R1204" s="10" t="s">
        <v>1646</v>
      </c>
      <c r="S1204" s="11" t="s">
        <v>7475</v>
      </c>
      <c r="T1204" s="6" t="s">
        <v>97</v>
      </c>
      <c r="U1204" s="15" t="str">
        <f>HYPERLINK("https://media.infra-m.ru/2272/2272249/cover/2272249.jpg", "Обложка")</f>
        <v>Обложка</v>
      </c>
      <c r="V1204" s="8" t="s">
        <v>2475</v>
      </c>
      <c r="W1204" s="6"/>
      <c r="X1204" s="6"/>
      <c r="Y1204" s="6"/>
      <c r="Z1204" s="6"/>
      <c r="AA1204" s="6" t="s">
        <v>55</v>
      </c>
      <c r="AB1204" s="8"/>
      <c r="AC1204" s="27">
        <v>9785160188157</v>
      </c>
    </row>
    <row r="1205" spans="1:29" s="4" customFormat="1" ht="42" customHeight="1" x14ac:dyDescent="0.2">
      <c r="A1205" s="5">
        <v>0</v>
      </c>
      <c r="B1205" s="6" t="s">
        <v>7476</v>
      </c>
      <c r="C1205" s="7">
        <v>2280</v>
      </c>
      <c r="D1205" s="8" t="s">
        <v>7477</v>
      </c>
      <c r="E1205" s="8" t="s">
        <v>7478</v>
      </c>
      <c r="F1205" s="8" t="s">
        <v>7479</v>
      </c>
      <c r="G1205" s="6" t="s">
        <v>60</v>
      </c>
      <c r="H1205" s="6" t="s">
        <v>34</v>
      </c>
      <c r="I1205" s="8" t="s">
        <v>253</v>
      </c>
      <c r="J1205" s="9">
        <v>1</v>
      </c>
      <c r="K1205" s="9">
        <v>354</v>
      </c>
      <c r="L1205" s="9">
        <v>2026</v>
      </c>
      <c r="M1205" s="8" t="s">
        <v>7480</v>
      </c>
      <c r="N1205" s="8" t="s">
        <v>37</v>
      </c>
      <c r="O1205" s="8" t="s">
        <v>207</v>
      </c>
      <c r="P1205" s="6" t="s">
        <v>51</v>
      </c>
      <c r="Q1205" s="8" t="s">
        <v>52</v>
      </c>
      <c r="R1205" s="10" t="s">
        <v>7481</v>
      </c>
      <c r="S1205" s="11"/>
      <c r="T1205" s="6"/>
      <c r="U1205" s="15" t="str">
        <f>HYPERLINK("https://media.infra-m.ru/2147/2147915/cover/2147915.jpg", "Обложка")</f>
        <v>Обложка</v>
      </c>
      <c r="V1205" s="8" t="s">
        <v>6700</v>
      </c>
      <c r="W1205" s="6"/>
      <c r="X1205" s="6"/>
      <c r="Y1205" s="6"/>
      <c r="Z1205" s="6"/>
      <c r="AA1205" s="6" t="s">
        <v>187</v>
      </c>
      <c r="AB1205" s="8"/>
      <c r="AC1205" s="27">
        <v>9785160199580</v>
      </c>
    </row>
    <row r="1206" spans="1:29" s="4" customFormat="1" ht="51.9" customHeight="1" x14ac:dyDescent="0.2">
      <c r="A1206" s="5">
        <v>0</v>
      </c>
      <c r="B1206" s="6" t="s">
        <v>7482</v>
      </c>
      <c r="C1206" s="7">
        <v>1768.8</v>
      </c>
      <c r="D1206" s="8" t="s">
        <v>7483</v>
      </c>
      <c r="E1206" s="8" t="s">
        <v>7484</v>
      </c>
      <c r="F1206" s="8" t="s">
        <v>7485</v>
      </c>
      <c r="G1206" s="6" t="s">
        <v>60</v>
      </c>
      <c r="H1206" s="6" t="s">
        <v>34</v>
      </c>
      <c r="I1206" s="8" t="s">
        <v>271</v>
      </c>
      <c r="J1206" s="9">
        <v>1</v>
      </c>
      <c r="K1206" s="9">
        <v>284</v>
      </c>
      <c r="L1206" s="9">
        <v>2026</v>
      </c>
      <c r="M1206" s="8" t="s">
        <v>7486</v>
      </c>
      <c r="N1206" s="8" t="s">
        <v>585</v>
      </c>
      <c r="O1206" s="8" t="s">
        <v>775</v>
      </c>
      <c r="P1206" s="6" t="s">
        <v>306</v>
      </c>
      <c r="Q1206" s="8" t="s">
        <v>52</v>
      </c>
      <c r="R1206" s="10" t="s">
        <v>4694</v>
      </c>
      <c r="S1206" s="11" t="s">
        <v>7487</v>
      </c>
      <c r="T1206" s="6"/>
      <c r="U1206" s="15" t="str">
        <f>HYPERLINK("https://media.infra-m.ru/2211/2211867/cover/2211867.jpg", "Обложка")</f>
        <v>Обложка</v>
      </c>
      <c r="V1206" s="8" t="s">
        <v>1030</v>
      </c>
      <c r="W1206" s="6"/>
      <c r="X1206" s="6"/>
      <c r="Y1206" s="6"/>
      <c r="Z1206" s="6"/>
      <c r="AA1206" s="6" t="s">
        <v>248</v>
      </c>
      <c r="AB1206" s="8"/>
      <c r="AC1206" s="27">
        <v>9785160090146</v>
      </c>
    </row>
    <row r="1207" spans="1:29" s="4" customFormat="1" ht="51.9" customHeight="1" x14ac:dyDescent="0.2">
      <c r="A1207" s="5">
        <v>0</v>
      </c>
      <c r="B1207" s="6" t="s">
        <v>7488</v>
      </c>
      <c r="C1207" s="7">
        <v>2344.8000000000002</v>
      </c>
      <c r="D1207" s="8" t="s">
        <v>7489</v>
      </c>
      <c r="E1207" s="8" t="s">
        <v>7490</v>
      </c>
      <c r="F1207" s="8" t="s">
        <v>7491</v>
      </c>
      <c r="G1207" s="6" t="s">
        <v>118</v>
      </c>
      <c r="H1207" s="6" t="s">
        <v>34</v>
      </c>
      <c r="I1207" s="8" t="s">
        <v>1835</v>
      </c>
      <c r="J1207" s="9">
        <v>1</v>
      </c>
      <c r="K1207" s="9">
        <v>376</v>
      </c>
      <c r="L1207" s="9">
        <v>2025</v>
      </c>
      <c r="M1207" s="8" t="s">
        <v>7492</v>
      </c>
      <c r="N1207" s="8" t="s">
        <v>243</v>
      </c>
      <c r="O1207" s="8" t="s">
        <v>1100</v>
      </c>
      <c r="P1207" s="6" t="s">
        <v>1837</v>
      </c>
      <c r="Q1207" s="8" t="s">
        <v>40</v>
      </c>
      <c r="R1207" s="10" t="s">
        <v>7493</v>
      </c>
      <c r="S1207" s="11"/>
      <c r="T1207" s="6"/>
      <c r="U1207" s="15" t="str">
        <f>HYPERLINK("https://media.infra-m.ru/2194/2194322/cover/2194322.jpg", "Обложка")</f>
        <v>Обложка</v>
      </c>
      <c r="V1207" s="8" t="s">
        <v>1030</v>
      </c>
      <c r="W1207" s="6"/>
      <c r="X1207" s="6"/>
      <c r="Y1207" s="6"/>
      <c r="Z1207" s="6"/>
      <c r="AA1207" s="6" t="s">
        <v>248</v>
      </c>
      <c r="AB1207" s="8"/>
      <c r="AC1207" s="27">
        <v>9785160090153</v>
      </c>
    </row>
    <row r="1208" spans="1:29" s="4" customFormat="1" ht="42" customHeight="1" x14ac:dyDescent="0.2">
      <c r="A1208" s="5">
        <v>0</v>
      </c>
      <c r="B1208" s="6" t="s">
        <v>7494</v>
      </c>
      <c r="C1208" s="13">
        <v>588</v>
      </c>
      <c r="D1208" s="8" t="s">
        <v>7495</v>
      </c>
      <c r="E1208" s="8" t="s">
        <v>7496</v>
      </c>
      <c r="F1208" s="8" t="s">
        <v>7497</v>
      </c>
      <c r="G1208" s="6" t="s">
        <v>60</v>
      </c>
      <c r="H1208" s="6" t="s">
        <v>7498</v>
      </c>
      <c r="I1208" s="8"/>
      <c r="J1208" s="9">
        <v>1</v>
      </c>
      <c r="K1208" s="9">
        <v>208</v>
      </c>
      <c r="L1208" s="9">
        <v>2024</v>
      </c>
      <c r="M1208" s="8" t="s">
        <v>7499</v>
      </c>
      <c r="N1208" s="8" t="s">
        <v>93</v>
      </c>
      <c r="O1208" s="8" t="s">
        <v>7500</v>
      </c>
      <c r="P1208" s="6" t="s">
        <v>51</v>
      </c>
      <c r="Q1208" s="8" t="s">
        <v>1891</v>
      </c>
      <c r="R1208" s="10" t="s">
        <v>7501</v>
      </c>
      <c r="S1208" s="11"/>
      <c r="T1208" s="6"/>
      <c r="U1208" s="15" t="str">
        <f>HYPERLINK("https://media.infra-m.ru/2184/2184840/cover/2184840.jpg", "Обложка")</f>
        <v>Обложка</v>
      </c>
      <c r="V1208" s="8" t="s">
        <v>7502</v>
      </c>
      <c r="W1208" s="6"/>
      <c r="X1208" s="6"/>
      <c r="Y1208" s="6"/>
      <c r="Z1208" s="6"/>
      <c r="AA1208" s="6" t="s">
        <v>76</v>
      </c>
      <c r="AB1208" s="8"/>
      <c r="AC1208" s="27">
        <v>9785918835517</v>
      </c>
    </row>
    <row r="1209" spans="1:29" s="4" customFormat="1" ht="51.9" customHeight="1" x14ac:dyDescent="0.2">
      <c r="A1209" s="5">
        <v>0</v>
      </c>
      <c r="B1209" s="6" t="s">
        <v>7503</v>
      </c>
      <c r="C1209" s="7">
        <v>2388</v>
      </c>
      <c r="D1209" s="8" t="s">
        <v>7504</v>
      </c>
      <c r="E1209" s="8" t="s">
        <v>7505</v>
      </c>
      <c r="F1209" s="8" t="s">
        <v>7506</v>
      </c>
      <c r="G1209" s="6" t="s">
        <v>60</v>
      </c>
      <c r="H1209" s="6" t="s">
        <v>34</v>
      </c>
      <c r="I1209" s="8" t="s">
        <v>253</v>
      </c>
      <c r="J1209" s="9">
        <v>1</v>
      </c>
      <c r="K1209" s="9">
        <v>355</v>
      </c>
      <c r="L1209" s="9">
        <v>2026</v>
      </c>
      <c r="M1209" s="8" t="s">
        <v>7507</v>
      </c>
      <c r="N1209" s="8" t="s">
        <v>37</v>
      </c>
      <c r="O1209" s="8" t="s">
        <v>499</v>
      </c>
      <c r="P1209" s="6" t="s">
        <v>51</v>
      </c>
      <c r="Q1209" s="8" t="s">
        <v>65</v>
      </c>
      <c r="R1209" s="10" t="s">
        <v>7508</v>
      </c>
      <c r="S1209" s="11"/>
      <c r="T1209" s="6"/>
      <c r="U1209" s="15" t="str">
        <f>HYPERLINK("https://media.infra-m.ru/2205/2205349/cover/2205349.jpg", "Обложка")</f>
        <v>Обложка</v>
      </c>
      <c r="V1209" s="8" t="s">
        <v>7509</v>
      </c>
      <c r="W1209" s="6" t="s">
        <v>186</v>
      </c>
      <c r="X1209" s="6"/>
      <c r="Y1209" s="6"/>
      <c r="Z1209" s="6"/>
      <c r="AA1209" s="6" t="s">
        <v>187</v>
      </c>
      <c r="AB1209" s="8" t="s">
        <v>308</v>
      </c>
      <c r="AC1209" s="27">
        <v>9785160209265</v>
      </c>
    </row>
    <row r="1210" spans="1:29" s="4" customFormat="1" ht="51.9" customHeight="1" x14ac:dyDescent="0.2">
      <c r="A1210" s="5">
        <v>0</v>
      </c>
      <c r="B1210" s="6" t="s">
        <v>7510</v>
      </c>
      <c r="C1210" s="7">
        <v>1540.8</v>
      </c>
      <c r="D1210" s="8" t="s">
        <v>7511</v>
      </c>
      <c r="E1210" s="8" t="s">
        <v>7512</v>
      </c>
      <c r="F1210" s="8" t="s">
        <v>7513</v>
      </c>
      <c r="G1210" s="6" t="s">
        <v>118</v>
      </c>
      <c r="H1210" s="6" t="s">
        <v>34</v>
      </c>
      <c r="I1210" s="8" t="s">
        <v>271</v>
      </c>
      <c r="J1210" s="9">
        <v>1</v>
      </c>
      <c r="K1210" s="9">
        <v>256</v>
      </c>
      <c r="L1210" s="9">
        <v>2025</v>
      </c>
      <c r="M1210" s="8" t="s">
        <v>7514</v>
      </c>
      <c r="N1210" s="8" t="s">
        <v>37</v>
      </c>
      <c r="O1210" s="8" t="s">
        <v>499</v>
      </c>
      <c r="P1210" s="6" t="s">
        <v>306</v>
      </c>
      <c r="Q1210" s="8" t="s">
        <v>52</v>
      </c>
      <c r="R1210" s="10" t="s">
        <v>7515</v>
      </c>
      <c r="S1210" s="11" t="s">
        <v>7516</v>
      </c>
      <c r="T1210" s="6"/>
      <c r="U1210" s="15" t="str">
        <f>HYPERLINK("https://media.infra-m.ru/2188/2188757/cover/2188757.jpg", "Обложка")</f>
        <v>Обложка</v>
      </c>
      <c r="V1210" s="8" t="s">
        <v>7517</v>
      </c>
      <c r="W1210" s="6"/>
      <c r="X1210" s="6"/>
      <c r="Y1210" s="6"/>
      <c r="Z1210" s="6"/>
      <c r="AA1210" s="6" t="s">
        <v>43</v>
      </c>
      <c r="AB1210" s="8"/>
      <c r="AC1210" s="27">
        <v>9785160103389</v>
      </c>
    </row>
    <row r="1211" spans="1:29" s="4" customFormat="1" ht="51.9" customHeight="1" x14ac:dyDescent="0.2">
      <c r="A1211" s="5">
        <v>0</v>
      </c>
      <c r="B1211" s="6" t="s">
        <v>7518</v>
      </c>
      <c r="C1211" s="7">
        <v>1780.8</v>
      </c>
      <c r="D1211" s="8" t="s">
        <v>7519</v>
      </c>
      <c r="E1211" s="8" t="s">
        <v>7512</v>
      </c>
      <c r="F1211" s="8" t="s">
        <v>7513</v>
      </c>
      <c r="G1211" s="6" t="s">
        <v>118</v>
      </c>
      <c r="H1211" s="6" t="s">
        <v>34</v>
      </c>
      <c r="I1211" s="8" t="s">
        <v>263</v>
      </c>
      <c r="J1211" s="9">
        <v>1</v>
      </c>
      <c r="K1211" s="9">
        <v>256</v>
      </c>
      <c r="L1211" s="9">
        <v>2027</v>
      </c>
      <c r="M1211" s="8" t="s">
        <v>7520</v>
      </c>
      <c r="N1211" s="8" t="s">
        <v>37</v>
      </c>
      <c r="O1211" s="8" t="s">
        <v>499</v>
      </c>
      <c r="P1211" s="6" t="s">
        <v>306</v>
      </c>
      <c r="Q1211" s="8" t="s">
        <v>265</v>
      </c>
      <c r="R1211" s="10" t="s">
        <v>4160</v>
      </c>
      <c r="S1211" s="11" t="s">
        <v>7521</v>
      </c>
      <c r="T1211" s="6"/>
      <c r="U1211" s="15" t="str">
        <f>HYPERLINK("https://media.infra-m.ru/2218/2218485/cover/2218485.jpg", "Обложка")</f>
        <v>Обложка</v>
      </c>
      <c r="V1211" s="8" t="s">
        <v>7517</v>
      </c>
      <c r="W1211" s="6"/>
      <c r="X1211" s="6"/>
      <c r="Y1211" s="6"/>
      <c r="Z1211" s="6" t="s">
        <v>267</v>
      </c>
      <c r="AA1211" s="6" t="s">
        <v>86</v>
      </c>
      <c r="AB1211" s="8"/>
      <c r="AC1211" s="27">
        <v>9785160139067</v>
      </c>
    </row>
    <row r="1212" spans="1:29" s="4" customFormat="1" ht="51.9" customHeight="1" x14ac:dyDescent="0.2">
      <c r="A1212" s="5">
        <v>0</v>
      </c>
      <c r="B1212" s="6" t="s">
        <v>7522</v>
      </c>
      <c r="C1212" s="7">
        <v>2212.8000000000002</v>
      </c>
      <c r="D1212" s="8" t="s">
        <v>7523</v>
      </c>
      <c r="E1212" s="8" t="s">
        <v>7524</v>
      </c>
      <c r="F1212" s="8" t="s">
        <v>7525</v>
      </c>
      <c r="G1212" s="6" t="s">
        <v>118</v>
      </c>
      <c r="H1212" s="6" t="s">
        <v>34</v>
      </c>
      <c r="I1212" s="8" t="s">
        <v>263</v>
      </c>
      <c r="J1212" s="9">
        <v>1</v>
      </c>
      <c r="K1212" s="9">
        <v>355</v>
      </c>
      <c r="L1212" s="9">
        <v>2026</v>
      </c>
      <c r="M1212" s="8" t="s">
        <v>7526</v>
      </c>
      <c r="N1212" s="8" t="s">
        <v>37</v>
      </c>
      <c r="O1212" s="8" t="s">
        <v>499</v>
      </c>
      <c r="P1212" s="6" t="s">
        <v>51</v>
      </c>
      <c r="Q1212" s="8" t="s">
        <v>265</v>
      </c>
      <c r="R1212" s="10" t="s">
        <v>4160</v>
      </c>
      <c r="S1212" s="11" t="s">
        <v>7527</v>
      </c>
      <c r="T1212" s="6" t="s">
        <v>97</v>
      </c>
      <c r="U1212" s="15" t="str">
        <f>HYPERLINK("https://media.infra-m.ru/2218/2218486/cover/2218486.jpg", "Обложка")</f>
        <v>Обложка</v>
      </c>
      <c r="V1212" s="8" t="s">
        <v>7502</v>
      </c>
      <c r="W1212" s="6"/>
      <c r="X1212" s="6"/>
      <c r="Y1212" s="6"/>
      <c r="Z1212" s="6"/>
      <c r="AA1212" s="6" t="s">
        <v>623</v>
      </c>
      <c r="AB1212" s="8" t="s">
        <v>3581</v>
      </c>
      <c r="AC1212" s="27">
        <v>9785160121185</v>
      </c>
    </row>
    <row r="1213" spans="1:29" s="4" customFormat="1" ht="42" customHeight="1" x14ac:dyDescent="0.2">
      <c r="A1213" s="5">
        <v>0</v>
      </c>
      <c r="B1213" s="6" t="s">
        <v>7528</v>
      </c>
      <c r="C1213" s="7">
        <v>1860</v>
      </c>
      <c r="D1213" s="8" t="s">
        <v>7529</v>
      </c>
      <c r="E1213" s="8" t="s">
        <v>7512</v>
      </c>
      <c r="F1213" s="8" t="s">
        <v>7530</v>
      </c>
      <c r="G1213" s="6" t="s">
        <v>60</v>
      </c>
      <c r="H1213" s="6" t="s">
        <v>34</v>
      </c>
      <c r="I1213" s="8" t="s">
        <v>263</v>
      </c>
      <c r="J1213" s="9">
        <v>1</v>
      </c>
      <c r="K1213" s="9">
        <v>282</v>
      </c>
      <c r="L1213" s="9">
        <v>2025</v>
      </c>
      <c r="M1213" s="8" t="s">
        <v>7531</v>
      </c>
      <c r="N1213" s="8" t="s">
        <v>37</v>
      </c>
      <c r="O1213" s="8" t="s">
        <v>499</v>
      </c>
      <c r="P1213" s="6" t="s">
        <v>51</v>
      </c>
      <c r="Q1213" s="8" t="s">
        <v>265</v>
      </c>
      <c r="R1213" s="10" t="s">
        <v>4160</v>
      </c>
      <c r="S1213" s="11"/>
      <c r="T1213" s="6"/>
      <c r="U1213" s="15" t="str">
        <f>HYPERLINK("https://media.infra-m.ru/2132/2132111/cover/2132111.jpg", "Обложка")</f>
        <v>Обложка</v>
      </c>
      <c r="V1213" s="8" t="s">
        <v>2095</v>
      </c>
      <c r="W1213" s="6"/>
      <c r="X1213" s="6"/>
      <c r="Y1213" s="6"/>
      <c r="Z1213" s="6"/>
      <c r="AA1213" s="6" t="s">
        <v>68</v>
      </c>
      <c r="AB1213" s="8" t="s">
        <v>944</v>
      </c>
      <c r="AC1213" s="27">
        <v>9785160196473</v>
      </c>
    </row>
    <row r="1214" spans="1:29" s="4" customFormat="1" ht="51.9" customHeight="1" x14ac:dyDescent="0.2">
      <c r="A1214" s="5">
        <v>0</v>
      </c>
      <c r="B1214" s="6" t="s">
        <v>7532</v>
      </c>
      <c r="C1214" s="7">
        <v>2068.8000000000002</v>
      </c>
      <c r="D1214" s="8" t="s">
        <v>7533</v>
      </c>
      <c r="E1214" s="8" t="s">
        <v>7534</v>
      </c>
      <c r="F1214" s="8" t="s">
        <v>7535</v>
      </c>
      <c r="G1214" s="6" t="s">
        <v>118</v>
      </c>
      <c r="H1214" s="6" t="s">
        <v>34</v>
      </c>
      <c r="I1214" s="8" t="s">
        <v>263</v>
      </c>
      <c r="J1214" s="9">
        <v>1</v>
      </c>
      <c r="K1214" s="9">
        <v>313</v>
      </c>
      <c r="L1214" s="9">
        <v>2026</v>
      </c>
      <c r="M1214" s="8" t="s">
        <v>7536</v>
      </c>
      <c r="N1214" s="8" t="s">
        <v>585</v>
      </c>
      <c r="O1214" s="8" t="s">
        <v>775</v>
      </c>
      <c r="P1214" s="6" t="s">
        <v>306</v>
      </c>
      <c r="Q1214" s="8" t="s">
        <v>265</v>
      </c>
      <c r="R1214" s="10" t="s">
        <v>7537</v>
      </c>
      <c r="S1214" s="11" t="s">
        <v>7538</v>
      </c>
      <c r="T1214" s="6"/>
      <c r="U1214" s="15" t="str">
        <f>HYPERLINK("https://media.infra-m.ru/2221/2221910/cover/2221910.jpg", "Обложка")</f>
        <v>Обложка</v>
      </c>
      <c r="V1214" s="8" t="s">
        <v>1599</v>
      </c>
      <c r="W1214" s="6"/>
      <c r="X1214" s="6"/>
      <c r="Y1214" s="6"/>
      <c r="Z1214" s="6"/>
      <c r="AA1214" s="6" t="s">
        <v>86</v>
      </c>
      <c r="AB1214" s="8"/>
      <c r="AC1214" s="27">
        <v>9785160132136</v>
      </c>
    </row>
    <row r="1215" spans="1:29" s="4" customFormat="1" ht="51.9" customHeight="1" x14ac:dyDescent="0.2">
      <c r="A1215" s="5">
        <v>0</v>
      </c>
      <c r="B1215" s="6" t="s">
        <v>7539</v>
      </c>
      <c r="C1215" s="7">
        <v>1900.8</v>
      </c>
      <c r="D1215" s="8" t="s">
        <v>7540</v>
      </c>
      <c r="E1215" s="8" t="s">
        <v>7541</v>
      </c>
      <c r="F1215" s="8" t="s">
        <v>7542</v>
      </c>
      <c r="G1215" s="6" t="s">
        <v>118</v>
      </c>
      <c r="H1215" s="6" t="s">
        <v>34</v>
      </c>
      <c r="I1215" s="8" t="s">
        <v>271</v>
      </c>
      <c r="J1215" s="9">
        <v>1</v>
      </c>
      <c r="K1215" s="9">
        <v>288</v>
      </c>
      <c r="L1215" s="9">
        <v>2026</v>
      </c>
      <c r="M1215" s="8" t="s">
        <v>7543</v>
      </c>
      <c r="N1215" s="8" t="s">
        <v>585</v>
      </c>
      <c r="O1215" s="8" t="s">
        <v>775</v>
      </c>
      <c r="P1215" s="6" t="s">
        <v>51</v>
      </c>
      <c r="Q1215" s="8" t="s">
        <v>52</v>
      </c>
      <c r="R1215" s="10" t="s">
        <v>7544</v>
      </c>
      <c r="S1215" s="11" t="s">
        <v>7545</v>
      </c>
      <c r="T1215" s="6"/>
      <c r="U1215" s="15" t="str">
        <f>HYPERLINK("https://media.infra-m.ru/2238/2238366/cover/2238366.jpg", "Обложка")</f>
        <v>Обложка</v>
      </c>
      <c r="V1215" s="8" t="s">
        <v>227</v>
      </c>
      <c r="W1215" s="6"/>
      <c r="X1215" s="6" t="s">
        <v>24</v>
      </c>
      <c r="Y1215" s="6"/>
      <c r="Z1215" s="6"/>
      <c r="AA1215" s="6" t="s">
        <v>248</v>
      </c>
      <c r="AB1215" s="8"/>
      <c r="AC1215" s="27">
        <v>9785160063508</v>
      </c>
    </row>
    <row r="1216" spans="1:29" s="4" customFormat="1" ht="51.9" customHeight="1" x14ac:dyDescent="0.2">
      <c r="A1216" s="5">
        <v>0</v>
      </c>
      <c r="B1216" s="6" t="s">
        <v>7546</v>
      </c>
      <c r="C1216" s="7">
        <v>4912.8</v>
      </c>
      <c r="D1216" s="8" t="s">
        <v>7547</v>
      </c>
      <c r="E1216" s="8" t="s">
        <v>7548</v>
      </c>
      <c r="F1216" s="8" t="s">
        <v>7549</v>
      </c>
      <c r="G1216" s="6" t="s">
        <v>60</v>
      </c>
      <c r="H1216" s="6" t="s">
        <v>34</v>
      </c>
      <c r="I1216" s="8" t="s">
        <v>253</v>
      </c>
      <c r="J1216" s="9">
        <v>1</v>
      </c>
      <c r="K1216" s="9">
        <v>775</v>
      </c>
      <c r="L1216" s="9">
        <v>2026</v>
      </c>
      <c r="M1216" s="8" t="s">
        <v>7550</v>
      </c>
      <c r="N1216" s="8" t="s">
        <v>585</v>
      </c>
      <c r="O1216" s="8" t="s">
        <v>775</v>
      </c>
      <c r="P1216" s="6" t="s">
        <v>306</v>
      </c>
      <c r="Q1216" s="8" t="s">
        <v>52</v>
      </c>
      <c r="R1216" s="10" t="s">
        <v>7551</v>
      </c>
      <c r="S1216" s="11" t="s">
        <v>7552</v>
      </c>
      <c r="T1216" s="6"/>
      <c r="U1216" s="15" t="str">
        <f>HYPERLINK("https://media.infra-m.ru/2251/2251948/cover/2251948.jpg", "Обложка")</f>
        <v>Обложка</v>
      </c>
      <c r="V1216" s="8" t="s">
        <v>7553</v>
      </c>
      <c r="W1216" s="6"/>
      <c r="X1216" s="6"/>
      <c r="Y1216" s="6"/>
      <c r="Z1216" s="6"/>
      <c r="AA1216" s="6" t="s">
        <v>148</v>
      </c>
      <c r="AB1216" s="8"/>
      <c r="AC1216" s="27">
        <v>9785160192154</v>
      </c>
    </row>
    <row r="1217" spans="1:29" s="4" customFormat="1" ht="51.9" customHeight="1" x14ac:dyDescent="0.2">
      <c r="A1217" s="5">
        <v>0</v>
      </c>
      <c r="B1217" s="6" t="s">
        <v>7554</v>
      </c>
      <c r="C1217" s="7">
        <v>3252</v>
      </c>
      <c r="D1217" s="8" t="s">
        <v>7555</v>
      </c>
      <c r="E1217" s="8" t="s">
        <v>7556</v>
      </c>
      <c r="F1217" s="8" t="s">
        <v>7557</v>
      </c>
      <c r="G1217" s="6" t="s">
        <v>118</v>
      </c>
      <c r="H1217" s="6" t="s">
        <v>34</v>
      </c>
      <c r="I1217" s="8" t="s">
        <v>253</v>
      </c>
      <c r="J1217" s="9">
        <v>1</v>
      </c>
      <c r="K1217" s="9">
        <v>384</v>
      </c>
      <c r="L1217" s="9">
        <v>2026</v>
      </c>
      <c r="M1217" s="8" t="s">
        <v>7558</v>
      </c>
      <c r="N1217" s="8" t="s">
        <v>585</v>
      </c>
      <c r="O1217" s="8" t="s">
        <v>775</v>
      </c>
      <c r="P1217" s="6" t="s">
        <v>306</v>
      </c>
      <c r="Q1217" s="8" t="s">
        <v>1660</v>
      </c>
      <c r="R1217" s="10" t="s">
        <v>7559</v>
      </c>
      <c r="S1217" s="11" t="s">
        <v>7560</v>
      </c>
      <c r="T1217" s="6"/>
      <c r="U1217" s="15" t="str">
        <f>HYPERLINK("https://media.infra-m.ru/2213/2213269/cover/2213269.jpg", "Обложка")</f>
        <v>Обложка</v>
      </c>
      <c r="V1217" s="8" t="s">
        <v>227</v>
      </c>
      <c r="W1217" s="6"/>
      <c r="X1217" s="6" t="s">
        <v>24</v>
      </c>
      <c r="Y1217" s="6"/>
      <c r="Z1217" s="6"/>
      <c r="AA1217" s="6" t="s">
        <v>55</v>
      </c>
      <c r="AB1217" s="8"/>
      <c r="AC1217" s="27">
        <v>9785160186771</v>
      </c>
    </row>
    <row r="1218" spans="1:29" s="4" customFormat="1" ht="51.9" customHeight="1" x14ac:dyDescent="0.2">
      <c r="A1218" s="5">
        <v>0</v>
      </c>
      <c r="B1218" s="6" t="s">
        <v>7561</v>
      </c>
      <c r="C1218" s="7">
        <v>2280</v>
      </c>
      <c r="D1218" s="8" t="s">
        <v>7562</v>
      </c>
      <c r="E1218" s="8" t="s">
        <v>7556</v>
      </c>
      <c r="F1218" s="8" t="s">
        <v>7549</v>
      </c>
      <c r="G1218" s="6" t="s">
        <v>118</v>
      </c>
      <c r="H1218" s="6" t="s">
        <v>34</v>
      </c>
      <c r="I1218" s="8" t="s">
        <v>253</v>
      </c>
      <c r="J1218" s="9">
        <v>1</v>
      </c>
      <c r="K1218" s="9">
        <v>344</v>
      </c>
      <c r="L1218" s="9">
        <v>2026</v>
      </c>
      <c r="M1218" s="8" t="s">
        <v>7563</v>
      </c>
      <c r="N1218" s="8" t="s">
        <v>243</v>
      </c>
      <c r="O1218" s="8" t="s">
        <v>798</v>
      </c>
      <c r="P1218" s="6" t="s">
        <v>306</v>
      </c>
      <c r="Q1218" s="8" t="s">
        <v>52</v>
      </c>
      <c r="R1218" s="10" t="s">
        <v>7564</v>
      </c>
      <c r="S1218" s="11" t="s">
        <v>7565</v>
      </c>
      <c r="T1218" s="6"/>
      <c r="U1218" s="15" t="str">
        <f>HYPERLINK("https://media.infra-m.ru/2237/2237206/cover/2237206.jpg", "Обложка")</f>
        <v>Обложка</v>
      </c>
      <c r="V1218" s="8" t="s">
        <v>7553</v>
      </c>
      <c r="W1218" s="6"/>
      <c r="X1218" s="6"/>
      <c r="Y1218" s="6"/>
      <c r="Z1218" s="6"/>
      <c r="AA1218" s="6" t="s">
        <v>99</v>
      </c>
      <c r="AB1218" s="8"/>
      <c r="AC1218" s="27">
        <v>9785160206196</v>
      </c>
    </row>
    <row r="1219" spans="1:29" s="4" customFormat="1" ht="51.9" customHeight="1" x14ac:dyDescent="0.2">
      <c r="A1219" s="5">
        <v>0</v>
      </c>
      <c r="B1219" s="6" t="s">
        <v>7566</v>
      </c>
      <c r="C1219" s="7">
        <v>2272.8000000000002</v>
      </c>
      <c r="D1219" s="8" t="s">
        <v>7567</v>
      </c>
      <c r="E1219" s="8" t="s">
        <v>7556</v>
      </c>
      <c r="F1219" s="8" t="s">
        <v>7549</v>
      </c>
      <c r="G1219" s="6" t="s">
        <v>118</v>
      </c>
      <c r="H1219" s="6" t="s">
        <v>34</v>
      </c>
      <c r="I1219" s="8" t="s">
        <v>263</v>
      </c>
      <c r="J1219" s="9">
        <v>1</v>
      </c>
      <c r="K1219" s="9">
        <v>344</v>
      </c>
      <c r="L1219" s="9">
        <v>2026</v>
      </c>
      <c r="M1219" s="8" t="s">
        <v>7568</v>
      </c>
      <c r="N1219" s="8" t="s">
        <v>243</v>
      </c>
      <c r="O1219" s="8" t="s">
        <v>798</v>
      </c>
      <c r="P1219" s="6" t="s">
        <v>306</v>
      </c>
      <c r="Q1219" s="8" t="s">
        <v>265</v>
      </c>
      <c r="R1219" s="10" t="s">
        <v>7569</v>
      </c>
      <c r="S1219" s="11" t="s">
        <v>7570</v>
      </c>
      <c r="T1219" s="6"/>
      <c r="U1219" s="15" t="str">
        <f>HYPERLINK("https://media.infra-m.ru/2237/2237130/cover/2237130.jpg", "Обложка")</f>
        <v>Обложка</v>
      </c>
      <c r="V1219" s="8" t="s">
        <v>7553</v>
      </c>
      <c r="W1219" s="6"/>
      <c r="X1219" s="6"/>
      <c r="Y1219" s="6"/>
      <c r="Z1219" s="6" t="s">
        <v>267</v>
      </c>
      <c r="AA1219" s="6" t="s">
        <v>86</v>
      </c>
      <c r="AB1219" s="8"/>
      <c r="AC1219" s="27">
        <v>9785160139074</v>
      </c>
    </row>
    <row r="1220" spans="1:29" s="4" customFormat="1" ht="51.9" customHeight="1" x14ac:dyDescent="0.2">
      <c r="A1220" s="5">
        <v>0</v>
      </c>
      <c r="B1220" s="6" t="s">
        <v>7571</v>
      </c>
      <c r="C1220" s="13">
        <v>876</v>
      </c>
      <c r="D1220" s="8" t="s">
        <v>7572</v>
      </c>
      <c r="E1220" s="8" t="s">
        <v>7573</v>
      </c>
      <c r="F1220" s="8" t="s">
        <v>7574</v>
      </c>
      <c r="G1220" s="6" t="s">
        <v>33</v>
      </c>
      <c r="H1220" s="6" t="s">
        <v>34</v>
      </c>
      <c r="I1220" s="8" t="s">
        <v>253</v>
      </c>
      <c r="J1220" s="9">
        <v>1</v>
      </c>
      <c r="K1220" s="9">
        <v>127</v>
      </c>
      <c r="L1220" s="9">
        <v>2026</v>
      </c>
      <c r="M1220" s="8" t="s">
        <v>7575</v>
      </c>
      <c r="N1220" s="8" t="s">
        <v>585</v>
      </c>
      <c r="O1220" s="8" t="s">
        <v>775</v>
      </c>
      <c r="P1220" s="6" t="s">
        <v>51</v>
      </c>
      <c r="Q1220" s="8" t="s">
        <v>52</v>
      </c>
      <c r="R1220" s="10" t="s">
        <v>7576</v>
      </c>
      <c r="S1220" s="11" t="s">
        <v>7577</v>
      </c>
      <c r="T1220" s="6" t="s">
        <v>97</v>
      </c>
      <c r="U1220" s="15" t="str">
        <f>HYPERLINK("https://media.infra-m.ru/2218/2218841/cover/2218841.jpg", "Обложка")</f>
        <v>Обложка</v>
      </c>
      <c r="V1220" s="8" t="s">
        <v>6135</v>
      </c>
      <c r="W1220" s="6"/>
      <c r="X1220" s="6"/>
      <c r="Y1220" s="6"/>
      <c r="Z1220" s="6"/>
      <c r="AA1220" s="6" t="s">
        <v>115</v>
      </c>
      <c r="AB1220" s="8"/>
      <c r="AC1220" s="27">
        <v>9785160212517</v>
      </c>
    </row>
    <row r="1221" spans="1:29" s="4" customFormat="1" ht="51.9" customHeight="1" x14ac:dyDescent="0.2">
      <c r="A1221" s="5">
        <v>0</v>
      </c>
      <c r="B1221" s="6" t="s">
        <v>7578</v>
      </c>
      <c r="C1221" s="7">
        <v>1000.8</v>
      </c>
      <c r="D1221" s="8" t="s">
        <v>7579</v>
      </c>
      <c r="E1221" s="8" t="s">
        <v>7580</v>
      </c>
      <c r="F1221" s="8" t="s">
        <v>5855</v>
      </c>
      <c r="G1221" s="6" t="s">
        <v>118</v>
      </c>
      <c r="H1221" s="6" t="s">
        <v>48</v>
      </c>
      <c r="I1221" s="8" t="s">
        <v>271</v>
      </c>
      <c r="J1221" s="9">
        <v>1</v>
      </c>
      <c r="K1221" s="9">
        <v>160</v>
      </c>
      <c r="L1221" s="9">
        <v>2026</v>
      </c>
      <c r="M1221" s="8" t="s">
        <v>7581</v>
      </c>
      <c r="N1221" s="8" t="s">
        <v>585</v>
      </c>
      <c r="O1221" s="8" t="s">
        <v>775</v>
      </c>
      <c r="P1221" s="6" t="s">
        <v>51</v>
      </c>
      <c r="Q1221" s="8" t="s">
        <v>52</v>
      </c>
      <c r="R1221" s="10" t="s">
        <v>7582</v>
      </c>
      <c r="S1221" s="11" t="s">
        <v>7583</v>
      </c>
      <c r="T1221" s="6"/>
      <c r="U1221" s="15" t="str">
        <f>HYPERLINK("https://media.infra-m.ru/2218/2218029/cover/2218029.jpg", "Обложка")</f>
        <v>Обложка</v>
      </c>
      <c r="V1221" s="8" t="s">
        <v>2382</v>
      </c>
      <c r="W1221" s="6"/>
      <c r="X1221" s="6"/>
      <c r="Y1221" s="6"/>
      <c r="Z1221" s="6"/>
      <c r="AA1221" s="6" t="s">
        <v>430</v>
      </c>
      <c r="AB1221" s="8"/>
      <c r="AC1221" s="27">
        <v>9785000916513</v>
      </c>
    </row>
    <row r="1222" spans="1:29" s="4" customFormat="1" ht="51.9" customHeight="1" x14ac:dyDescent="0.2">
      <c r="A1222" s="5">
        <v>0</v>
      </c>
      <c r="B1222" s="6" t="s">
        <v>7584</v>
      </c>
      <c r="C1222" s="7">
        <v>4008</v>
      </c>
      <c r="D1222" s="8" t="s">
        <v>7585</v>
      </c>
      <c r="E1222" s="8" t="s">
        <v>7586</v>
      </c>
      <c r="F1222" s="8" t="s">
        <v>7587</v>
      </c>
      <c r="G1222" s="6" t="s">
        <v>60</v>
      </c>
      <c r="H1222" s="6" t="s">
        <v>34</v>
      </c>
      <c r="I1222" s="8" t="s">
        <v>253</v>
      </c>
      <c r="J1222" s="9">
        <v>1</v>
      </c>
      <c r="K1222" s="9">
        <v>576</v>
      </c>
      <c r="L1222" s="9">
        <v>2027</v>
      </c>
      <c r="M1222" s="8" t="s">
        <v>7588</v>
      </c>
      <c r="N1222" s="8" t="s">
        <v>585</v>
      </c>
      <c r="O1222" s="8" t="s">
        <v>775</v>
      </c>
      <c r="P1222" s="6" t="s">
        <v>51</v>
      </c>
      <c r="Q1222" s="8" t="s">
        <v>377</v>
      </c>
      <c r="R1222" s="10" t="s">
        <v>7589</v>
      </c>
      <c r="S1222" s="11" t="s">
        <v>7590</v>
      </c>
      <c r="T1222" s="6"/>
      <c r="U1222" s="15" t="str">
        <f>HYPERLINK("https://media.infra-m.ru/2264/2264969/cover/2264969.jpg", "Обложка")</f>
        <v>Обложка</v>
      </c>
      <c r="V1222" s="8" t="s">
        <v>3087</v>
      </c>
      <c r="W1222" s="6"/>
      <c r="X1222" s="6" t="s">
        <v>24</v>
      </c>
      <c r="Y1222" s="6"/>
      <c r="Z1222" s="6"/>
      <c r="AA1222" s="6" t="s">
        <v>360</v>
      </c>
      <c r="AB1222" s="8"/>
      <c r="AC1222" s="27">
        <v>9785160223919</v>
      </c>
    </row>
    <row r="1223" spans="1:29" s="4" customFormat="1" ht="42" customHeight="1" x14ac:dyDescent="0.2">
      <c r="A1223" s="5">
        <v>0</v>
      </c>
      <c r="B1223" s="6" t="s">
        <v>7591</v>
      </c>
      <c r="C1223" s="7">
        <v>3204</v>
      </c>
      <c r="D1223" s="8" t="s">
        <v>7592</v>
      </c>
      <c r="E1223" s="8" t="s">
        <v>7593</v>
      </c>
      <c r="F1223" s="8" t="s">
        <v>7594</v>
      </c>
      <c r="G1223" s="6" t="s">
        <v>60</v>
      </c>
      <c r="H1223" s="6" t="s">
        <v>34</v>
      </c>
      <c r="I1223" s="8" t="s">
        <v>35</v>
      </c>
      <c r="J1223" s="9">
        <v>1</v>
      </c>
      <c r="K1223" s="9">
        <v>486</v>
      </c>
      <c r="L1223" s="9">
        <v>2026</v>
      </c>
      <c r="M1223" s="8" t="s">
        <v>7595</v>
      </c>
      <c r="N1223" s="8" t="s">
        <v>585</v>
      </c>
      <c r="O1223" s="8" t="s">
        <v>775</v>
      </c>
      <c r="P1223" s="6" t="s">
        <v>39</v>
      </c>
      <c r="Q1223" s="8" t="s">
        <v>40</v>
      </c>
      <c r="R1223" s="10" t="s">
        <v>7596</v>
      </c>
      <c r="S1223" s="11"/>
      <c r="T1223" s="6"/>
      <c r="U1223" s="15" t="str">
        <f>HYPERLINK("https://media.infra-m.ru/2245/2245292/cover/2245292.jpg", "Обложка")</f>
        <v>Обложка</v>
      </c>
      <c r="V1223" s="8" t="s">
        <v>7003</v>
      </c>
      <c r="W1223" s="6"/>
      <c r="X1223" s="6"/>
      <c r="Y1223" s="6"/>
      <c r="Z1223" s="6"/>
      <c r="AA1223" s="6" t="s">
        <v>248</v>
      </c>
      <c r="AB1223" s="8"/>
      <c r="AC1223" s="27">
        <v>9785160092126</v>
      </c>
    </row>
    <row r="1224" spans="1:29" s="4" customFormat="1" ht="51.9" customHeight="1" x14ac:dyDescent="0.2">
      <c r="A1224" s="5">
        <v>0</v>
      </c>
      <c r="B1224" s="6" t="s">
        <v>7597</v>
      </c>
      <c r="C1224" s="7">
        <v>1548</v>
      </c>
      <c r="D1224" s="8" t="s">
        <v>7598</v>
      </c>
      <c r="E1224" s="8" t="s">
        <v>7599</v>
      </c>
      <c r="F1224" s="8" t="s">
        <v>7600</v>
      </c>
      <c r="G1224" s="6" t="s">
        <v>118</v>
      </c>
      <c r="H1224" s="6" t="s">
        <v>34</v>
      </c>
      <c r="I1224" s="8" t="s">
        <v>253</v>
      </c>
      <c r="J1224" s="9">
        <v>1</v>
      </c>
      <c r="K1224" s="9">
        <v>222</v>
      </c>
      <c r="L1224" s="9">
        <v>2026</v>
      </c>
      <c r="M1224" s="8" t="s">
        <v>7601</v>
      </c>
      <c r="N1224" s="8" t="s">
        <v>585</v>
      </c>
      <c r="O1224" s="8" t="s">
        <v>775</v>
      </c>
      <c r="P1224" s="6" t="s">
        <v>306</v>
      </c>
      <c r="Q1224" s="8" t="s">
        <v>500</v>
      </c>
      <c r="R1224" s="10" t="s">
        <v>7602</v>
      </c>
      <c r="S1224" s="11" t="s">
        <v>7603</v>
      </c>
      <c r="T1224" s="6" t="s">
        <v>97</v>
      </c>
      <c r="U1224" s="15" t="str">
        <f>HYPERLINK("https://media.infra-m.ru/2258/2258359/cover/2258359.jpg", "Обложка")</f>
        <v>Обложка</v>
      </c>
      <c r="V1224" s="8" t="s">
        <v>3109</v>
      </c>
      <c r="W1224" s="6"/>
      <c r="X1224" s="6"/>
      <c r="Y1224" s="6"/>
      <c r="Z1224" s="6"/>
      <c r="AA1224" s="6" t="s">
        <v>99</v>
      </c>
      <c r="AB1224" s="8"/>
      <c r="AC1224" s="27">
        <v>9785160206561</v>
      </c>
    </row>
    <row r="1225" spans="1:29" s="4" customFormat="1" ht="51.9" customHeight="1" x14ac:dyDescent="0.2">
      <c r="A1225" s="5">
        <v>0</v>
      </c>
      <c r="B1225" s="6" t="s">
        <v>7604</v>
      </c>
      <c r="C1225" s="7">
        <v>2878.8</v>
      </c>
      <c r="D1225" s="8" t="s">
        <v>7605</v>
      </c>
      <c r="E1225" s="8" t="s">
        <v>7606</v>
      </c>
      <c r="F1225" s="8" t="s">
        <v>7607</v>
      </c>
      <c r="G1225" s="6" t="s">
        <v>118</v>
      </c>
      <c r="H1225" s="6" t="s">
        <v>34</v>
      </c>
      <c r="I1225" s="8" t="s">
        <v>253</v>
      </c>
      <c r="J1225" s="9">
        <v>1</v>
      </c>
      <c r="K1225" s="9">
        <v>230</v>
      </c>
      <c r="L1225" s="9">
        <v>2026</v>
      </c>
      <c r="M1225" s="8" t="s">
        <v>7608</v>
      </c>
      <c r="N1225" s="8" t="s">
        <v>585</v>
      </c>
      <c r="O1225" s="8" t="s">
        <v>775</v>
      </c>
      <c r="P1225" s="6" t="s">
        <v>306</v>
      </c>
      <c r="Q1225" s="8" t="s">
        <v>65</v>
      </c>
      <c r="R1225" s="10" t="s">
        <v>7609</v>
      </c>
      <c r="S1225" s="11" t="s">
        <v>7610</v>
      </c>
      <c r="T1225" s="6"/>
      <c r="U1225" s="15" t="str">
        <f>HYPERLINK("https://media.infra-m.ru/2257/2257165/cover/2257165.jpg", "Обложка")</f>
        <v>Обложка</v>
      </c>
      <c r="V1225" s="8" t="s">
        <v>3087</v>
      </c>
      <c r="W1225" s="6"/>
      <c r="X1225" s="6" t="s">
        <v>24</v>
      </c>
      <c r="Y1225" s="6"/>
      <c r="Z1225" s="6"/>
      <c r="AA1225" s="6" t="s">
        <v>623</v>
      </c>
      <c r="AB1225" s="8"/>
      <c r="AC1225" s="27">
        <v>9785160188881</v>
      </c>
    </row>
    <row r="1226" spans="1:29" s="4" customFormat="1" ht="42" customHeight="1" x14ac:dyDescent="0.2">
      <c r="A1226" s="5">
        <v>0</v>
      </c>
      <c r="B1226" s="6" t="s">
        <v>7611</v>
      </c>
      <c r="C1226" s="7">
        <v>1360.8</v>
      </c>
      <c r="D1226" s="8" t="s">
        <v>7612</v>
      </c>
      <c r="E1226" s="8" t="s">
        <v>7613</v>
      </c>
      <c r="F1226" s="8" t="s">
        <v>7614</v>
      </c>
      <c r="G1226" s="6" t="s">
        <v>118</v>
      </c>
      <c r="H1226" s="6" t="s">
        <v>34</v>
      </c>
      <c r="I1226" s="8" t="s">
        <v>253</v>
      </c>
      <c r="J1226" s="9">
        <v>1</v>
      </c>
      <c r="K1226" s="9">
        <v>207</v>
      </c>
      <c r="L1226" s="9">
        <v>2026</v>
      </c>
      <c r="M1226" s="8" t="s">
        <v>7615</v>
      </c>
      <c r="N1226" s="8" t="s">
        <v>585</v>
      </c>
      <c r="O1226" s="8" t="s">
        <v>775</v>
      </c>
      <c r="P1226" s="6" t="s">
        <v>51</v>
      </c>
      <c r="Q1226" s="8" t="s">
        <v>52</v>
      </c>
      <c r="R1226" s="10" t="s">
        <v>4694</v>
      </c>
      <c r="S1226" s="11"/>
      <c r="T1226" s="6" t="s">
        <v>97</v>
      </c>
      <c r="U1226" s="15" t="str">
        <f>HYPERLINK("https://media.infra-m.ru/2222/2222241/cover/2222241.jpg", "Обложка")</f>
        <v>Обложка</v>
      </c>
      <c r="V1226" s="8" t="s">
        <v>1030</v>
      </c>
      <c r="W1226" s="6"/>
      <c r="X1226" s="6"/>
      <c r="Y1226" s="6"/>
      <c r="Z1226" s="6"/>
      <c r="AA1226" s="6" t="s">
        <v>274</v>
      </c>
      <c r="AB1226" s="8"/>
      <c r="AC1226" s="27">
        <v>9785160199252</v>
      </c>
    </row>
    <row r="1227" spans="1:29" s="4" customFormat="1" ht="42" customHeight="1" x14ac:dyDescent="0.2">
      <c r="A1227" s="5">
        <v>0</v>
      </c>
      <c r="B1227" s="6" t="s">
        <v>7616</v>
      </c>
      <c r="C1227" s="7">
        <v>1368</v>
      </c>
      <c r="D1227" s="8" t="s">
        <v>7617</v>
      </c>
      <c r="E1227" s="8" t="s">
        <v>7613</v>
      </c>
      <c r="F1227" s="8" t="s">
        <v>7618</v>
      </c>
      <c r="G1227" s="6" t="s">
        <v>118</v>
      </c>
      <c r="H1227" s="6" t="s">
        <v>34</v>
      </c>
      <c r="I1227" s="8" t="s">
        <v>263</v>
      </c>
      <c r="J1227" s="9">
        <v>1</v>
      </c>
      <c r="K1227" s="9">
        <v>207</v>
      </c>
      <c r="L1227" s="9">
        <v>2026</v>
      </c>
      <c r="M1227" s="8" t="s">
        <v>7619</v>
      </c>
      <c r="N1227" s="8" t="s">
        <v>585</v>
      </c>
      <c r="O1227" s="8" t="s">
        <v>775</v>
      </c>
      <c r="P1227" s="6" t="s">
        <v>51</v>
      </c>
      <c r="Q1227" s="8" t="s">
        <v>265</v>
      </c>
      <c r="R1227" s="10" t="s">
        <v>7620</v>
      </c>
      <c r="S1227" s="11"/>
      <c r="T1227" s="6" t="s">
        <v>97</v>
      </c>
      <c r="U1227" s="15" t="str">
        <f>HYPERLINK("https://media.infra-m.ru/2213/2213284/cover/2213284.jpg", "Обложка")</f>
        <v>Обложка</v>
      </c>
      <c r="V1227" s="8" t="s">
        <v>1030</v>
      </c>
      <c r="W1227" s="6"/>
      <c r="X1227" s="6"/>
      <c r="Y1227" s="6"/>
      <c r="Z1227" s="6" t="s">
        <v>267</v>
      </c>
      <c r="AA1227" s="6" t="s">
        <v>76</v>
      </c>
      <c r="AB1227" s="8"/>
      <c r="AC1227" s="27">
        <v>9785160199306</v>
      </c>
    </row>
    <row r="1228" spans="1:29" s="4" customFormat="1" ht="42" customHeight="1" x14ac:dyDescent="0.2">
      <c r="A1228" s="5">
        <v>0</v>
      </c>
      <c r="B1228" s="6" t="s">
        <v>7621</v>
      </c>
      <c r="C1228" s="7">
        <v>1816.8</v>
      </c>
      <c r="D1228" s="8" t="s">
        <v>7622</v>
      </c>
      <c r="E1228" s="8" t="s">
        <v>7623</v>
      </c>
      <c r="F1228" s="8" t="s">
        <v>7624</v>
      </c>
      <c r="G1228" s="6" t="s">
        <v>60</v>
      </c>
      <c r="H1228" s="6" t="s">
        <v>34</v>
      </c>
      <c r="I1228" s="8" t="s">
        <v>7625</v>
      </c>
      <c r="J1228" s="9">
        <v>1</v>
      </c>
      <c r="K1228" s="9">
        <v>261</v>
      </c>
      <c r="L1228" s="9">
        <v>2027</v>
      </c>
      <c r="M1228" s="8" t="s">
        <v>7626</v>
      </c>
      <c r="N1228" s="8" t="s">
        <v>585</v>
      </c>
      <c r="O1228" s="8" t="s">
        <v>775</v>
      </c>
      <c r="P1228" s="6" t="s">
        <v>51</v>
      </c>
      <c r="Q1228" s="8" t="s">
        <v>65</v>
      </c>
      <c r="R1228" s="10" t="s">
        <v>7627</v>
      </c>
      <c r="S1228" s="11"/>
      <c r="T1228" s="6"/>
      <c r="U1228" s="15" t="str">
        <f>HYPERLINK("https://media.infra-m.ru/2272/2272065/cover/2272065.jpg", "Обложка")</f>
        <v>Обложка</v>
      </c>
      <c r="V1228" s="8" t="s">
        <v>1083</v>
      </c>
      <c r="W1228" s="6"/>
      <c r="X1228" s="6"/>
      <c r="Y1228" s="6"/>
      <c r="Z1228" s="6"/>
      <c r="AA1228" s="6" t="s">
        <v>76</v>
      </c>
      <c r="AB1228" s="8"/>
      <c r="AC1228" s="27">
        <v>9785160195858</v>
      </c>
    </row>
    <row r="1229" spans="1:29" s="4" customFormat="1" ht="42" customHeight="1" x14ac:dyDescent="0.2">
      <c r="A1229" s="5">
        <v>0</v>
      </c>
      <c r="B1229" s="6" t="s">
        <v>7628</v>
      </c>
      <c r="C1229" s="7">
        <v>1432.8</v>
      </c>
      <c r="D1229" s="8" t="s">
        <v>7629</v>
      </c>
      <c r="E1229" s="8" t="s">
        <v>7630</v>
      </c>
      <c r="F1229" s="8" t="s">
        <v>7631</v>
      </c>
      <c r="G1229" s="6" t="s">
        <v>118</v>
      </c>
      <c r="H1229" s="6" t="s">
        <v>34</v>
      </c>
      <c r="I1229" s="8" t="s">
        <v>35</v>
      </c>
      <c r="J1229" s="9">
        <v>1</v>
      </c>
      <c r="K1229" s="9">
        <v>217</v>
      </c>
      <c r="L1229" s="9">
        <v>2026</v>
      </c>
      <c r="M1229" s="8" t="s">
        <v>7632</v>
      </c>
      <c r="N1229" s="8" t="s">
        <v>585</v>
      </c>
      <c r="O1229" s="8" t="s">
        <v>667</v>
      </c>
      <c r="P1229" s="6" t="s">
        <v>39</v>
      </c>
      <c r="Q1229" s="8" t="s">
        <v>40</v>
      </c>
      <c r="R1229" s="10" t="s">
        <v>7633</v>
      </c>
      <c r="S1229" s="11"/>
      <c r="T1229" s="6"/>
      <c r="U1229" s="15" t="str">
        <f>HYPERLINK("https://media.infra-m.ru/2237/2237099/cover/2237099.jpg", "Обложка")</f>
        <v>Обложка</v>
      </c>
      <c r="V1229" s="8" t="s">
        <v>98</v>
      </c>
      <c r="W1229" s="6"/>
      <c r="X1229" s="6"/>
      <c r="Y1229" s="6"/>
      <c r="Z1229" s="6"/>
      <c r="AA1229" s="6" t="s">
        <v>148</v>
      </c>
      <c r="AB1229" s="8"/>
      <c r="AC1229" s="27">
        <v>9785160172354</v>
      </c>
    </row>
    <row r="1230" spans="1:29" s="4" customFormat="1" ht="51.9" customHeight="1" x14ac:dyDescent="0.2">
      <c r="A1230" s="5">
        <v>0</v>
      </c>
      <c r="B1230" s="6" t="s">
        <v>7634</v>
      </c>
      <c r="C1230" s="7">
        <v>3232.8</v>
      </c>
      <c r="D1230" s="8" t="s">
        <v>7635</v>
      </c>
      <c r="E1230" s="8" t="s">
        <v>7636</v>
      </c>
      <c r="F1230" s="8" t="s">
        <v>7637</v>
      </c>
      <c r="G1230" s="6" t="s">
        <v>60</v>
      </c>
      <c r="H1230" s="6" t="s">
        <v>48</v>
      </c>
      <c r="I1230" s="8" t="s">
        <v>401</v>
      </c>
      <c r="J1230" s="9">
        <v>1</v>
      </c>
      <c r="K1230" s="9">
        <v>464</v>
      </c>
      <c r="L1230" s="9">
        <v>2027</v>
      </c>
      <c r="M1230" s="8" t="s">
        <v>7638</v>
      </c>
      <c r="N1230" s="8" t="s">
        <v>585</v>
      </c>
      <c r="O1230" s="8" t="s">
        <v>667</v>
      </c>
      <c r="P1230" s="6" t="s">
        <v>51</v>
      </c>
      <c r="Q1230" s="8" t="s">
        <v>265</v>
      </c>
      <c r="R1230" s="10" t="s">
        <v>7639</v>
      </c>
      <c r="S1230" s="11" t="s">
        <v>4561</v>
      </c>
      <c r="T1230" s="6"/>
      <c r="U1230" s="15" t="str">
        <f>HYPERLINK("https://media.infra-m.ru/2272/2272067/cover/2272067.jpg", "Обложка")</f>
        <v>Обложка</v>
      </c>
      <c r="V1230" s="8" t="s">
        <v>6147</v>
      </c>
      <c r="W1230" s="6"/>
      <c r="X1230" s="6" t="s">
        <v>24</v>
      </c>
      <c r="Y1230" s="6"/>
      <c r="Z1230" s="6"/>
      <c r="AA1230" s="6" t="s">
        <v>859</v>
      </c>
      <c r="AB1230" s="8"/>
      <c r="AC1230" s="27">
        <v>9785911348076</v>
      </c>
    </row>
    <row r="1231" spans="1:29" s="4" customFormat="1" ht="51.9" customHeight="1" x14ac:dyDescent="0.2">
      <c r="A1231" s="5">
        <v>0</v>
      </c>
      <c r="B1231" s="6" t="s">
        <v>7640</v>
      </c>
      <c r="C1231" s="7">
        <v>1373.9</v>
      </c>
      <c r="D1231" s="8" t="s">
        <v>7641</v>
      </c>
      <c r="E1231" s="8" t="s">
        <v>7642</v>
      </c>
      <c r="F1231" s="8" t="s">
        <v>7643</v>
      </c>
      <c r="G1231" s="6" t="s">
        <v>118</v>
      </c>
      <c r="H1231" s="6" t="s">
        <v>34</v>
      </c>
      <c r="I1231" s="8" t="s">
        <v>7198</v>
      </c>
      <c r="J1231" s="9">
        <v>1</v>
      </c>
      <c r="K1231" s="9">
        <v>255</v>
      </c>
      <c r="L1231" s="9">
        <v>2023</v>
      </c>
      <c r="M1231" s="8" t="s">
        <v>7644</v>
      </c>
      <c r="N1231" s="8" t="s">
        <v>243</v>
      </c>
      <c r="O1231" s="8" t="s">
        <v>329</v>
      </c>
      <c r="P1231" s="6" t="s">
        <v>51</v>
      </c>
      <c r="Q1231" s="8" t="s">
        <v>52</v>
      </c>
      <c r="R1231" s="10" t="s">
        <v>7645</v>
      </c>
      <c r="S1231" s="11" t="s">
        <v>7646</v>
      </c>
      <c r="T1231" s="6"/>
      <c r="U1231" s="15" t="str">
        <f>HYPERLINK("https://media.infra-m.ru/2006/2006875/cover/2006875.jpg", "Обложка")</f>
        <v>Обложка</v>
      </c>
      <c r="V1231" s="8" t="s">
        <v>1083</v>
      </c>
      <c r="W1231" s="6"/>
      <c r="X1231" s="6"/>
      <c r="Y1231" s="6"/>
      <c r="Z1231" s="6"/>
      <c r="AA1231" s="6" t="s">
        <v>86</v>
      </c>
      <c r="AB1231" s="8"/>
      <c r="AC1231" s="27">
        <v>9785160170374</v>
      </c>
    </row>
    <row r="1232" spans="1:29" s="4" customFormat="1" ht="51.9" customHeight="1" x14ac:dyDescent="0.2">
      <c r="A1232" s="5">
        <v>0</v>
      </c>
      <c r="B1232" s="6" t="s">
        <v>7647</v>
      </c>
      <c r="C1232" s="7">
        <v>2788.8</v>
      </c>
      <c r="D1232" s="8" t="s">
        <v>7648</v>
      </c>
      <c r="E1232" s="8" t="s">
        <v>7649</v>
      </c>
      <c r="F1232" s="8" t="s">
        <v>7650</v>
      </c>
      <c r="G1232" s="6" t="s">
        <v>118</v>
      </c>
      <c r="H1232" s="6" t="s">
        <v>820</v>
      </c>
      <c r="I1232" s="8"/>
      <c r="J1232" s="9">
        <v>1</v>
      </c>
      <c r="K1232" s="9">
        <v>400</v>
      </c>
      <c r="L1232" s="9">
        <v>2027</v>
      </c>
      <c r="M1232" s="8" t="s">
        <v>7651</v>
      </c>
      <c r="N1232" s="8" t="s">
        <v>243</v>
      </c>
      <c r="O1232" s="8" t="s">
        <v>244</v>
      </c>
      <c r="P1232" s="6" t="s">
        <v>51</v>
      </c>
      <c r="Q1232" s="8" t="s">
        <v>65</v>
      </c>
      <c r="R1232" s="10" t="s">
        <v>7652</v>
      </c>
      <c r="S1232" s="11" t="s">
        <v>7653</v>
      </c>
      <c r="T1232" s="6"/>
      <c r="U1232" s="15" t="str">
        <f>HYPERLINK("https://media.infra-m.ru/2272/2272069/cover/2272069.jpg", "Обложка")</f>
        <v>Обложка</v>
      </c>
      <c r="V1232" s="8" t="s">
        <v>7654</v>
      </c>
      <c r="W1232" s="6"/>
      <c r="X1232" s="6" t="s">
        <v>24</v>
      </c>
      <c r="Y1232" s="6"/>
      <c r="Z1232" s="6"/>
      <c r="AA1232" s="6" t="s">
        <v>779</v>
      </c>
      <c r="AB1232" s="8"/>
      <c r="AC1232" s="27">
        <v>9785905554766</v>
      </c>
    </row>
    <row r="1233" spans="1:29" s="4" customFormat="1" ht="44.1" customHeight="1" x14ac:dyDescent="0.2">
      <c r="A1233" s="5">
        <v>0</v>
      </c>
      <c r="B1233" s="6" t="s">
        <v>7655</v>
      </c>
      <c r="C1233" s="7">
        <v>1032</v>
      </c>
      <c r="D1233" s="8" t="s">
        <v>7656</v>
      </c>
      <c r="E1233" s="8" t="s">
        <v>7657</v>
      </c>
      <c r="F1233" s="8" t="s">
        <v>5879</v>
      </c>
      <c r="G1233" s="6" t="s">
        <v>33</v>
      </c>
      <c r="H1233" s="6" t="s">
        <v>34</v>
      </c>
      <c r="I1233" s="8" t="s">
        <v>35</v>
      </c>
      <c r="J1233" s="9">
        <v>1</v>
      </c>
      <c r="K1233" s="9">
        <v>232</v>
      </c>
      <c r="L1233" s="9">
        <v>2021</v>
      </c>
      <c r="M1233" s="8" t="s">
        <v>7658</v>
      </c>
      <c r="N1233" s="8" t="s">
        <v>93</v>
      </c>
      <c r="O1233" s="8" t="s">
        <v>94</v>
      </c>
      <c r="P1233" s="6" t="s">
        <v>39</v>
      </c>
      <c r="Q1233" s="8" t="s">
        <v>40</v>
      </c>
      <c r="R1233" s="10" t="s">
        <v>7659</v>
      </c>
      <c r="S1233" s="11"/>
      <c r="T1233" s="6"/>
      <c r="U1233" s="15" t="str">
        <f>HYPERLINK("https://media.infra-m.ru/1158/1158751/cover/1158751.jpg", "Обложка")</f>
        <v>Обложка</v>
      </c>
      <c r="V1233" s="8" t="s">
        <v>5882</v>
      </c>
      <c r="W1233" s="6"/>
      <c r="X1233" s="6"/>
      <c r="Y1233" s="6"/>
      <c r="Z1233" s="6"/>
      <c r="AA1233" s="6" t="s">
        <v>430</v>
      </c>
      <c r="AB1233" s="8"/>
      <c r="AC1233" s="27">
        <v>9785160164717</v>
      </c>
    </row>
    <row r="1234" spans="1:29" s="4" customFormat="1" ht="42" customHeight="1" x14ac:dyDescent="0.2">
      <c r="A1234" s="5">
        <v>0</v>
      </c>
      <c r="B1234" s="6" t="s">
        <v>7660</v>
      </c>
      <c r="C1234" s="7">
        <v>2508</v>
      </c>
      <c r="D1234" s="8" t="s">
        <v>7661</v>
      </c>
      <c r="E1234" s="8" t="s">
        <v>7662</v>
      </c>
      <c r="F1234" s="8"/>
      <c r="G1234" s="6" t="s">
        <v>33</v>
      </c>
      <c r="H1234" s="6" t="s">
        <v>34</v>
      </c>
      <c r="I1234" s="8"/>
      <c r="J1234" s="9">
        <v>1</v>
      </c>
      <c r="K1234" s="9">
        <v>75</v>
      </c>
      <c r="L1234" s="9">
        <v>2023</v>
      </c>
      <c r="M1234" s="8"/>
      <c r="N1234" s="8" t="s">
        <v>243</v>
      </c>
      <c r="O1234" s="8" t="s">
        <v>329</v>
      </c>
      <c r="P1234" s="6" t="s">
        <v>314</v>
      </c>
      <c r="Q1234" s="8"/>
      <c r="R1234" s="10"/>
      <c r="S1234" s="11"/>
      <c r="T1234" s="6"/>
      <c r="U1234" s="15" t="str">
        <f>HYPERLINK("https://media.infra-m.ru/1903/1903062/cover/1903062.jpg", "Обложка")</f>
        <v>Обложка</v>
      </c>
      <c r="V1234" s="8"/>
      <c r="W1234" s="6"/>
      <c r="X1234" s="6"/>
      <c r="Y1234" s="6"/>
      <c r="Z1234" s="6"/>
      <c r="AA1234" s="6" t="s">
        <v>55</v>
      </c>
      <c r="AB1234" s="8"/>
      <c r="AC1234" s="27"/>
    </row>
    <row r="1235" spans="1:29" s="4" customFormat="1" ht="42" customHeight="1" x14ac:dyDescent="0.2">
      <c r="A1235" s="5">
        <v>0</v>
      </c>
      <c r="B1235" s="6" t="s">
        <v>7663</v>
      </c>
      <c r="C1235" s="7">
        <v>2996.4</v>
      </c>
      <c r="D1235" s="8" t="s">
        <v>7664</v>
      </c>
      <c r="E1235" s="8" t="s">
        <v>7665</v>
      </c>
      <c r="F1235" s="8"/>
      <c r="G1235" s="6" t="s">
        <v>33</v>
      </c>
      <c r="H1235" s="6" t="s">
        <v>34</v>
      </c>
      <c r="I1235" s="8"/>
      <c r="J1235" s="9">
        <v>1</v>
      </c>
      <c r="K1235" s="9">
        <v>58</v>
      </c>
      <c r="L1235" s="9">
        <v>2026</v>
      </c>
      <c r="M1235" s="8"/>
      <c r="N1235" s="8" t="s">
        <v>243</v>
      </c>
      <c r="O1235" s="8" t="s">
        <v>329</v>
      </c>
      <c r="P1235" s="6" t="s">
        <v>314</v>
      </c>
      <c r="Q1235" s="8"/>
      <c r="R1235" s="10"/>
      <c r="S1235" s="11"/>
      <c r="T1235" s="6"/>
      <c r="U1235" s="15" t="str">
        <f>HYPERLINK("https://media.infra-m.ru/2230/2230061/cover/2230061.jpg", "Обложка")</f>
        <v>Обложка</v>
      </c>
      <c r="V1235" s="8"/>
      <c r="W1235" s="6" t="s">
        <v>2115</v>
      </c>
      <c r="X1235" s="6"/>
      <c r="Y1235" s="6"/>
      <c r="Z1235" s="6"/>
      <c r="AA1235" s="6" t="s">
        <v>55</v>
      </c>
      <c r="AB1235" s="8"/>
      <c r="AC1235" s="27"/>
    </row>
    <row r="1236" spans="1:29" s="4" customFormat="1" ht="42" customHeight="1" x14ac:dyDescent="0.2">
      <c r="A1236" s="5">
        <v>0</v>
      </c>
      <c r="B1236" s="6" t="s">
        <v>7666</v>
      </c>
      <c r="C1236" s="7">
        <v>2176.8000000000002</v>
      </c>
      <c r="D1236" s="8" t="s">
        <v>7667</v>
      </c>
      <c r="E1236" s="8" t="s">
        <v>7668</v>
      </c>
      <c r="F1236" s="8" t="s">
        <v>7669</v>
      </c>
      <c r="G1236" s="6" t="s">
        <v>60</v>
      </c>
      <c r="H1236" s="6" t="s">
        <v>34</v>
      </c>
      <c r="I1236" s="8" t="s">
        <v>263</v>
      </c>
      <c r="J1236" s="9">
        <v>1</v>
      </c>
      <c r="K1236" s="9">
        <v>313</v>
      </c>
      <c r="L1236" s="9">
        <v>2027</v>
      </c>
      <c r="M1236" s="8" t="s">
        <v>7670</v>
      </c>
      <c r="N1236" s="8" t="s">
        <v>585</v>
      </c>
      <c r="O1236" s="8" t="s">
        <v>667</v>
      </c>
      <c r="P1236" s="6" t="s">
        <v>51</v>
      </c>
      <c r="Q1236" s="8" t="s">
        <v>265</v>
      </c>
      <c r="R1236" s="10" t="s">
        <v>7671</v>
      </c>
      <c r="S1236" s="11"/>
      <c r="T1236" s="6"/>
      <c r="U1236" s="15" t="str">
        <f>HYPERLINK("https://media.infra-m.ru/2264/2264622/cover/2264622.jpg", "Обложка")</f>
        <v>Обложка</v>
      </c>
      <c r="V1236" s="8" t="s">
        <v>4409</v>
      </c>
      <c r="W1236" s="6"/>
      <c r="X1236" s="6"/>
      <c r="Y1236" s="6"/>
      <c r="Z1236" s="6"/>
      <c r="AA1236" s="6" t="s">
        <v>68</v>
      </c>
      <c r="AB1236" s="8"/>
      <c r="AC1236" s="27">
        <v>9785160169545</v>
      </c>
    </row>
    <row r="1237" spans="1:29" s="4" customFormat="1" ht="44.1" customHeight="1" x14ac:dyDescent="0.2">
      <c r="A1237" s="5">
        <v>0</v>
      </c>
      <c r="B1237" s="6" t="s">
        <v>7672</v>
      </c>
      <c r="C1237" s="7">
        <v>3220.8</v>
      </c>
      <c r="D1237" s="8" t="s">
        <v>7673</v>
      </c>
      <c r="E1237" s="8" t="s">
        <v>7674</v>
      </c>
      <c r="F1237" s="8" t="s">
        <v>489</v>
      </c>
      <c r="G1237" s="6" t="s">
        <v>60</v>
      </c>
      <c r="H1237" s="6" t="s">
        <v>34</v>
      </c>
      <c r="I1237" s="8" t="s">
        <v>253</v>
      </c>
      <c r="J1237" s="9">
        <v>1</v>
      </c>
      <c r="K1237" s="9">
        <v>463</v>
      </c>
      <c r="L1237" s="9">
        <v>2027</v>
      </c>
      <c r="M1237" s="8" t="s">
        <v>7675</v>
      </c>
      <c r="N1237" s="8" t="s">
        <v>37</v>
      </c>
      <c r="O1237" s="8" t="s">
        <v>83</v>
      </c>
      <c r="P1237" s="6" t="s">
        <v>306</v>
      </c>
      <c r="Q1237" s="8" t="s">
        <v>65</v>
      </c>
      <c r="R1237" s="10" t="s">
        <v>7676</v>
      </c>
      <c r="S1237" s="11"/>
      <c r="T1237" s="6"/>
      <c r="U1237" s="15" t="str">
        <f>HYPERLINK("https://media.infra-m.ru/2272/2272072/cover/2272072.jpg", "Обложка")</f>
        <v>Обложка</v>
      </c>
      <c r="V1237" s="8" t="s">
        <v>396</v>
      </c>
      <c r="W1237" s="6"/>
      <c r="X1237" s="6"/>
      <c r="Y1237" s="6"/>
      <c r="Z1237" s="6"/>
      <c r="AA1237" s="6" t="s">
        <v>5476</v>
      </c>
      <c r="AB1237" s="8" t="s">
        <v>7677</v>
      </c>
      <c r="AC1237" s="27">
        <v>9785160182414</v>
      </c>
    </row>
    <row r="1238" spans="1:29" s="4" customFormat="1" ht="51.9" customHeight="1" x14ac:dyDescent="0.2">
      <c r="A1238" s="5">
        <v>0</v>
      </c>
      <c r="B1238" s="6" t="s">
        <v>7678</v>
      </c>
      <c r="C1238" s="7">
        <v>1445.9</v>
      </c>
      <c r="D1238" s="8" t="s">
        <v>7679</v>
      </c>
      <c r="E1238" s="8" t="s">
        <v>7680</v>
      </c>
      <c r="F1238" s="8" t="s">
        <v>7681</v>
      </c>
      <c r="G1238" s="6" t="s">
        <v>33</v>
      </c>
      <c r="H1238" s="6" t="s">
        <v>241</v>
      </c>
      <c r="I1238" s="8"/>
      <c r="J1238" s="9">
        <v>1</v>
      </c>
      <c r="K1238" s="9">
        <v>445</v>
      </c>
      <c r="L1238" s="9">
        <v>2018</v>
      </c>
      <c r="M1238" s="8" t="s">
        <v>7682</v>
      </c>
      <c r="N1238" s="8" t="s">
        <v>37</v>
      </c>
      <c r="O1238" s="8" t="s">
        <v>83</v>
      </c>
      <c r="P1238" s="6" t="s">
        <v>51</v>
      </c>
      <c r="Q1238" s="8" t="s">
        <v>52</v>
      </c>
      <c r="R1238" s="10" t="s">
        <v>7683</v>
      </c>
      <c r="S1238" s="11" t="s">
        <v>7684</v>
      </c>
      <c r="T1238" s="6"/>
      <c r="U1238" s="15" t="str">
        <f>HYPERLINK("https://media.infra-m.ru/0898/0898778/cover/898778.jpg", "Обложка")</f>
        <v>Обложка</v>
      </c>
      <c r="V1238" s="8" t="s">
        <v>512</v>
      </c>
      <c r="W1238" s="6"/>
      <c r="X1238" s="6"/>
      <c r="Y1238" s="6"/>
      <c r="Z1238" s="6"/>
      <c r="AA1238" s="6" t="s">
        <v>561</v>
      </c>
      <c r="AB1238" s="8"/>
      <c r="AC1238" s="27">
        <v>9785955803739</v>
      </c>
    </row>
    <row r="1239" spans="1:29" s="4" customFormat="1" ht="51.9" customHeight="1" x14ac:dyDescent="0.2">
      <c r="A1239" s="5">
        <v>0</v>
      </c>
      <c r="B1239" s="6" t="s">
        <v>7685</v>
      </c>
      <c r="C1239" s="7">
        <v>2556</v>
      </c>
      <c r="D1239" s="8" t="s">
        <v>7686</v>
      </c>
      <c r="E1239" s="8" t="s">
        <v>7687</v>
      </c>
      <c r="F1239" s="8" t="s">
        <v>7681</v>
      </c>
      <c r="G1239" s="6" t="s">
        <v>60</v>
      </c>
      <c r="H1239" s="6" t="s">
        <v>241</v>
      </c>
      <c r="I1239" s="8"/>
      <c r="J1239" s="9">
        <v>1</v>
      </c>
      <c r="K1239" s="9">
        <v>462</v>
      </c>
      <c r="L1239" s="9">
        <v>2023</v>
      </c>
      <c r="M1239" s="8" t="s">
        <v>7688</v>
      </c>
      <c r="N1239" s="8" t="s">
        <v>37</v>
      </c>
      <c r="O1239" s="8" t="s">
        <v>83</v>
      </c>
      <c r="P1239" s="6" t="s">
        <v>51</v>
      </c>
      <c r="Q1239" s="8" t="s">
        <v>52</v>
      </c>
      <c r="R1239" s="10" t="s">
        <v>7683</v>
      </c>
      <c r="S1239" s="11" t="s">
        <v>7684</v>
      </c>
      <c r="T1239" s="6"/>
      <c r="U1239" s="15" t="str">
        <f>HYPERLINK("https://media.infra-m.ru/2110/2110925/cover/2110925.jpg", "Обложка")</f>
        <v>Обложка</v>
      </c>
      <c r="V1239" s="8" t="s">
        <v>512</v>
      </c>
      <c r="W1239" s="6"/>
      <c r="X1239" s="6"/>
      <c r="Y1239" s="6"/>
      <c r="Z1239" s="6"/>
      <c r="AA1239" s="6" t="s">
        <v>360</v>
      </c>
      <c r="AB1239" s="8"/>
      <c r="AC1239" s="27">
        <v>9785955804521</v>
      </c>
    </row>
    <row r="1240" spans="1:29" s="4" customFormat="1" ht="42" customHeight="1" x14ac:dyDescent="0.2">
      <c r="A1240" s="5">
        <v>0</v>
      </c>
      <c r="B1240" s="6" t="s">
        <v>7689</v>
      </c>
      <c r="C1240" s="7">
        <v>2616</v>
      </c>
      <c r="D1240" s="8" t="s">
        <v>7690</v>
      </c>
      <c r="E1240" s="8" t="s">
        <v>7691</v>
      </c>
      <c r="F1240" s="8" t="s">
        <v>7692</v>
      </c>
      <c r="G1240" s="6" t="s">
        <v>60</v>
      </c>
      <c r="H1240" s="6" t="s">
        <v>34</v>
      </c>
      <c r="I1240" s="8" t="s">
        <v>253</v>
      </c>
      <c r="J1240" s="9">
        <v>1</v>
      </c>
      <c r="K1240" s="9">
        <v>434</v>
      </c>
      <c r="L1240" s="9">
        <v>2025</v>
      </c>
      <c r="M1240" s="8" t="s">
        <v>7693</v>
      </c>
      <c r="N1240" s="8" t="s">
        <v>37</v>
      </c>
      <c r="O1240" s="8" t="s">
        <v>83</v>
      </c>
      <c r="P1240" s="6" t="s">
        <v>51</v>
      </c>
      <c r="Q1240" s="8" t="s">
        <v>52</v>
      </c>
      <c r="R1240" s="10" t="s">
        <v>7683</v>
      </c>
      <c r="S1240" s="11"/>
      <c r="T1240" s="6"/>
      <c r="U1240" s="15" t="str">
        <f>HYPERLINK("https://media.infra-m.ru/2083/2083718/cover/2083718.jpg", "Обложка")</f>
        <v>Обложка</v>
      </c>
      <c r="V1240" s="8" t="s">
        <v>512</v>
      </c>
      <c r="W1240" s="6"/>
      <c r="X1240" s="6"/>
      <c r="Y1240" s="6"/>
      <c r="Z1240" s="6"/>
      <c r="AA1240" s="6" t="s">
        <v>1295</v>
      </c>
      <c r="AB1240" s="8"/>
      <c r="AC1240" s="27">
        <v>9785160190389</v>
      </c>
    </row>
    <row r="1241" spans="1:29" s="4" customFormat="1" ht="51.9" customHeight="1" x14ac:dyDescent="0.2">
      <c r="A1241" s="5">
        <v>0</v>
      </c>
      <c r="B1241" s="6" t="s">
        <v>7694</v>
      </c>
      <c r="C1241" s="7">
        <v>2700</v>
      </c>
      <c r="D1241" s="8" t="s">
        <v>7695</v>
      </c>
      <c r="E1241" s="8" t="s">
        <v>7696</v>
      </c>
      <c r="F1241" s="8" t="s">
        <v>7697</v>
      </c>
      <c r="G1241" s="6" t="s">
        <v>60</v>
      </c>
      <c r="H1241" s="6" t="s">
        <v>34</v>
      </c>
      <c r="I1241" s="8" t="s">
        <v>253</v>
      </c>
      <c r="J1241" s="9">
        <v>1</v>
      </c>
      <c r="K1241" s="9">
        <v>490</v>
      </c>
      <c r="L1241" s="9">
        <v>2024</v>
      </c>
      <c r="M1241" s="8" t="s">
        <v>7698</v>
      </c>
      <c r="N1241" s="8" t="s">
        <v>37</v>
      </c>
      <c r="O1241" s="8" t="s">
        <v>83</v>
      </c>
      <c r="P1241" s="6" t="s">
        <v>51</v>
      </c>
      <c r="Q1241" s="8" t="s">
        <v>52</v>
      </c>
      <c r="R1241" s="10" t="s">
        <v>7699</v>
      </c>
      <c r="S1241" s="11" t="s">
        <v>7700</v>
      </c>
      <c r="T1241" s="6"/>
      <c r="U1241" s="15" t="str">
        <f>HYPERLINK("https://media.infra-m.ru/2130/2130796/cover/2130796.jpg", "Обложка")</f>
        <v>Обложка</v>
      </c>
      <c r="V1241" s="8" t="s">
        <v>7701</v>
      </c>
      <c r="W1241" s="6"/>
      <c r="X1241" s="6"/>
      <c r="Y1241" s="6"/>
      <c r="Z1241" s="6"/>
      <c r="AA1241" s="6" t="s">
        <v>718</v>
      </c>
      <c r="AB1241" s="8"/>
      <c r="AC1241" s="27">
        <v>9785160196381</v>
      </c>
    </row>
    <row r="1242" spans="1:29" s="4" customFormat="1" ht="44.1" customHeight="1" x14ac:dyDescent="0.2">
      <c r="A1242" s="5">
        <v>0</v>
      </c>
      <c r="B1242" s="6" t="s">
        <v>7702</v>
      </c>
      <c r="C1242" s="7">
        <v>1920</v>
      </c>
      <c r="D1242" s="8" t="s">
        <v>7703</v>
      </c>
      <c r="E1242" s="8" t="s">
        <v>7704</v>
      </c>
      <c r="F1242" s="8" t="s">
        <v>489</v>
      </c>
      <c r="G1242" s="6" t="s">
        <v>60</v>
      </c>
      <c r="H1242" s="6" t="s">
        <v>34</v>
      </c>
      <c r="I1242" s="8" t="s">
        <v>253</v>
      </c>
      <c r="J1242" s="9">
        <v>1</v>
      </c>
      <c r="K1242" s="9">
        <v>327</v>
      </c>
      <c r="L1242" s="9">
        <v>2024</v>
      </c>
      <c r="M1242" s="8" t="s">
        <v>7705</v>
      </c>
      <c r="N1242" s="8" t="s">
        <v>37</v>
      </c>
      <c r="O1242" s="8" t="s">
        <v>83</v>
      </c>
      <c r="P1242" s="6" t="s">
        <v>306</v>
      </c>
      <c r="Q1242" s="8" t="s">
        <v>65</v>
      </c>
      <c r="R1242" s="10" t="s">
        <v>7676</v>
      </c>
      <c r="S1242" s="11"/>
      <c r="T1242" s="6"/>
      <c r="U1242" s="15" t="str">
        <f>HYPERLINK("https://media.infra-m.ru/1946/1946247/cover/1946247.jpg", "Обложка")</f>
        <v>Обложка</v>
      </c>
      <c r="V1242" s="8" t="s">
        <v>396</v>
      </c>
      <c r="W1242" s="6"/>
      <c r="X1242" s="6"/>
      <c r="Y1242" s="6"/>
      <c r="Z1242" s="6"/>
      <c r="AA1242" s="6" t="s">
        <v>5476</v>
      </c>
      <c r="AB1242" s="8" t="s">
        <v>7677</v>
      </c>
      <c r="AC1242" s="27">
        <v>9785160182667</v>
      </c>
    </row>
    <row r="1243" spans="1:29" s="4" customFormat="1" ht="51.9" customHeight="1" x14ac:dyDescent="0.2">
      <c r="A1243" s="5">
        <v>0</v>
      </c>
      <c r="B1243" s="6" t="s">
        <v>7706</v>
      </c>
      <c r="C1243" s="7">
        <v>2116.8000000000002</v>
      </c>
      <c r="D1243" s="8" t="s">
        <v>7707</v>
      </c>
      <c r="E1243" s="8" t="s">
        <v>7708</v>
      </c>
      <c r="F1243" s="8" t="s">
        <v>3261</v>
      </c>
      <c r="G1243" s="6" t="s">
        <v>33</v>
      </c>
      <c r="H1243" s="6" t="s">
        <v>34</v>
      </c>
      <c r="I1243" s="8" t="s">
        <v>35</v>
      </c>
      <c r="J1243" s="9">
        <v>1</v>
      </c>
      <c r="K1243" s="9">
        <v>340</v>
      </c>
      <c r="L1243" s="9">
        <v>2025</v>
      </c>
      <c r="M1243" s="8" t="s">
        <v>7709</v>
      </c>
      <c r="N1243" s="8" t="s">
        <v>37</v>
      </c>
      <c r="O1243" s="8" t="s">
        <v>83</v>
      </c>
      <c r="P1243" s="6" t="s">
        <v>39</v>
      </c>
      <c r="Q1243" s="8" t="s">
        <v>40</v>
      </c>
      <c r="R1243" s="10" t="s">
        <v>7710</v>
      </c>
      <c r="S1243" s="11"/>
      <c r="T1243" s="6"/>
      <c r="U1243" s="15" t="str">
        <f>HYPERLINK("https://media.infra-m.ru/2208/2208709/cover/2208709.jpg", "Обложка")</f>
        <v>Обложка</v>
      </c>
      <c r="V1243" s="8" t="s">
        <v>3264</v>
      </c>
      <c r="W1243" s="6"/>
      <c r="X1243" s="6"/>
      <c r="Y1243" s="6"/>
      <c r="Z1243" s="6"/>
      <c r="AA1243" s="6" t="s">
        <v>430</v>
      </c>
      <c r="AB1243" s="8"/>
      <c r="AC1243" s="27">
        <v>9785160170008</v>
      </c>
    </row>
    <row r="1244" spans="1:29" s="4" customFormat="1" ht="42" customHeight="1" x14ac:dyDescent="0.2">
      <c r="A1244" s="5">
        <v>0</v>
      </c>
      <c r="B1244" s="6" t="s">
        <v>7711</v>
      </c>
      <c r="C1244" s="7">
        <v>1608</v>
      </c>
      <c r="D1244" s="8" t="s">
        <v>7712</v>
      </c>
      <c r="E1244" s="8" t="s">
        <v>7713</v>
      </c>
      <c r="F1244" s="8" t="s">
        <v>3261</v>
      </c>
      <c r="G1244" s="6" t="s">
        <v>60</v>
      </c>
      <c r="H1244" s="6" t="s">
        <v>34</v>
      </c>
      <c r="I1244" s="8" t="s">
        <v>263</v>
      </c>
      <c r="J1244" s="9">
        <v>1</v>
      </c>
      <c r="K1244" s="9">
        <v>225</v>
      </c>
      <c r="L1244" s="9">
        <v>2026</v>
      </c>
      <c r="M1244" s="8" t="s">
        <v>7714</v>
      </c>
      <c r="N1244" s="8" t="s">
        <v>37</v>
      </c>
      <c r="O1244" s="8" t="s">
        <v>83</v>
      </c>
      <c r="P1244" s="6" t="s">
        <v>306</v>
      </c>
      <c r="Q1244" s="8" t="s">
        <v>265</v>
      </c>
      <c r="R1244" s="10" t="s">
        <v>7715</v>
      </c>
      <c r="S1244" s="11"/>
      <c r="T1244" s="6"/>
      <c r="U1244" s="15" t="str">
        <f>HYPERLINK("https://media.infra-m.ru/2196/2196565/cover/2196565.jpg", "Обложка")</f>
        <v>Обложка</v>
      </c>
      <c r="V1244" s="8" t="s">
        <v>3264</v>
      </c>
      <c r="W1244" s="6" t="s">
        <v>1382</v>
      </c>
      <c r="X1244" s="6"/>
      <c r="Y1244" s="6"/>
      <c r="Z1244" s="6"/>
      <c r="AA1244" s="6" t="s">
        <v>187</v>
      </c>
      <c r="AB1244" s="8"/>
      <c r="AC1244" s="27">
        <v>9785160208114</v>
      </c>
    </row>
    <row r="1245" spans="1:29" s="4" customFormat="1" ht="51.9" customHeight="1" x14ac:dyDescent="0.2">
      <c r="A1245" s="5">
        <v>0</v>
      </c>
      <c r="B1245" s="6" t="s">
        <v>7716</v>
      </c>
      <c r="C1245" s="7">
        <v>1584</v>
      </c>
      <c r="D1245" s="8" t="s">
        <v>7717</v>
      </c>
      <c r="E1245" s="8" t="s">
        <v>7718</v>
      </c>
      <c r="F1245" s="8" t="s">
        <v>3261</v>
      </c>
      <c r="G1245" s="6" t="s">
        <v>60</v>
      </c>
      <c r="H1245" s="6" t="s">
        <v>34</v>
      </c>
      <c r="I1245" s="8" t="s">
        <v>35</v>
      </c>
      <c r="J1245" s="9">
        <v>1</v>
      </c>
      <c r="K1245" s="9">
        <v>234</v>
      </c>
      <c r="L1245" s="9">
        <v>2026</v>
      </c>
      <c r="M1245" s="8" t="s">
        <v>7719</v>
      </c>
      <c r="N1245" s="8" t="s">
        <v>63</v>
      </c>
      <c r="O1245" s="8" t="s">
        <v>64</v>
      </c>
      <c r="P1245" s="6" t="s">
        <v>39</v>
      </c>
      <c r="Q1245" s="8" t="s">
        <v>40</v>
      </c>
      <c r="R1245" s="10" t="s">
        <v>7720</v>
      </c>
      <c r="S1245" s="11"/>
      <c r="T1245" s="6"/>
      <c r="U1245" s="15" t="str">
        <f>HYPERLINK("https://media.infra-m.ru/2216/2216717/cover/2216717.jpg", "Обложка")</f>
        <v>Обложка</v>
      </c>
      <c r="V1245" s="8" t="s">
        <v>3264</v>
      </c>
      <c r="W1245" s="6" t="s">
        <v>528</v>
      </c>
      <c r="X1245" s="6"/>
      <c r="Y1245" s="6"/>
      <c r="Z1245" s="6"/>
      <c r="AA1245" s="6" t="s">
        <v>187</v>
      </c>
      <c r="AB1245" s="8" t="s">
        <v>308</v>
      </c>
      <c r="AC1245" s="27">
        <v>9785160211817</v>
      </c>
    </row>
    <row r="1246" spans="1:29" s="4" customFormat="1" ht="51.9" customHeight="1" x14ac:dyDescent="0.2">
      <c r="A1246" s="5">
        <v>0</v>
      </c>
      <c r="B1246" s="6" t="s">
        <v>7721</v>
      </c>
      <c r="C1246" s="7">
        <v>1512</v>
      </c>
      <c r="D1246" s="8" t="s">
        <v>7722</v>
      </c>
      <c r="E1246" s="8" t="s">
        <v>7723</v>
      </c>
      <c r="F1246" s="8" t="s">
        <v>3261</v>
      </c>
      <c r="G1246" s="6" t="s">
        <v>33</v>
      </c>
      <c r="H1246" s="6" t="s">
        <v>34</v>
      </c>
      <c r="I1246" s="8" t="s">
        <v>35</v>
      </c>
      <c r="J1246" s="9">
        <v>1</v>
      </c>
      <c r="K1246" s="9">
        <v>229</v>
      </c>
      <c r="L1246" s="9">
        <v>2026</v>
      </c>
      <c r="M1246" s="8" t="s">
        <v>7724</v>
      </c>
      <c r="N1246" s="8" t="s">
        <v>37</v>
      </c>
      <c r="O1246" s="8" t="s">
        <v>83</v>
      </c>
      <c r="P1246" s="6" t="s">
        <v>39</v>
      </c>
      <c r="Q1246" s="8" t="s">
        <v>40</v>
      </c>
      <c r="R1246" s="10" t="s">
        <v>7725</v>
      </c>
      <c r="S1246" s="11"/>
      <c r="T1246" s="6"/>
      <c r="U1246" s="15" t="str">
        <f>HYPERLINK("https://media.infra-m.ru/2238/2238029/cover/2238029.jpg", "Обложка")</f>
        <v>Обложка</v>
      </c>
      <c r="V1246" s="8" t="s">
        <v>3264</v>
      </c>
      <c r="W1246" s="6"/>
      <c r="X1246" s="6"/>
      <c r="Y1246" s="6"/>
      <c r="Z1246" s="6"/>
      <c r="AA1246" s="6" t="s">
        <v>115</v>
      </c>
      <c r="AB1246" s="8"/>
      <c r="AC1246" s="27">
        <v>9785160154404</v>
      </c>
    </row>
    <row r="1247" spans="1:29" s="4" customFormat="1" ht="51.9" customHeight="1" x14ac:dyDescent="0.2">
      <c r="A1247" s="5">
        <v>0</v>
      </c>
      <c r="B1247" s="6" t="s">
        <v>7726</v>
      </c>
      <c r="C1247" s="7">
        <v>1284</v>
      </c>
      <c r="D1247" s="8" t="s">
        <v>7727</v>
      </c>
      <c r="E1247" s="8" t="s">
        <v>7728</v>
      </c>
      <c r="F1247" s="8" t="s">
        <v>3261</v>
      </c>
      <c r="G1247" s="6" t="s">
        <v>118</v>
      </c>
      <c r="H1247" s="6" t="s">
        <v>34</v>
      </c>
      <c r="I1247" s="8" t="s">
        <v>35</v>
      </c>
      <c r="J1247" s="9">
        <v>1</v>
      </c>
      <c r="K1247" s="9">
        <v>281</v>
      </c>
      <c r="L1247" s="9">
        <v>2021</v>
      </c>
      <c r="M1247" s="8" t="s">
        <v>7729</v>
      </c>
      <c r="N1247" s="8" t="s">
        <v>37</v>
      </c>
      <c r="O1247" s="8" t="s">
        <v>83</v>
      </c>
      <c r="P1247" s="6" t="s">
        <v>39</v>
      </c>
      <c r="Q1247" s="8" t="s">
        <v>40</v>
      </c>
      <c r="R1247" s="10" t="s">
        <v>7730</v>
      </c>
      <c r="S1247" s="11"/>
      <c r="T1247" s="6"/>
      <c r="U1247" s="15" t="str">
        <f>HYPERLINK("https://media.infra-m.ru/1680/1680620/cover/1680620.jpg", "Обложка")</f>
        <v>Обложка</v>
      </c>
      <c r="V1247" s="8" t="s">
        <v>3264</v>
      </c>
      <c r="W1247" s="6"/>
      <c r="X1247" s="6"/>
      <c r="Y1247" s="6"/>
      <c r="Z1247" s="6"/>
      <c r="AA1247" s="6" t="s">
        <v>779</v>
      </c>
      <c r="AB1247" s="8"/>
      <c r="AC1247" s="27">
        <v>9785160115306</v>
      </c>
    </row>
    <row r="1248" spans="1:29" s="4" customFormat="1" ht="51.9" customHeight="1" x14ac:dyDescent="0.2">
      <c r="A1248" s="5">
        <v>0</v>
      </c>
      <c r="B1248" s="6" t="s">
        <v>7731</v>
      </c>
      <c r="C1248" s="7">
        <v>1192.8</v>
      </c>
      <c r="D1248" s="8" t="s">
        <v>7732</v>
      </c>
      <c r="E1248" s="8" t="s">
        <v>7733</v>
      </c>
      <c r="F1248" s="8" t="s">
        <v>7734</v>
      </c>
      <c r="G1248" s="6" t="s">
        <v>60</v>
      </c>
      <c r="H1248" s="6" t="s">
        <v>34</v>
      </c>
      <c r="I1248" s="8" t="s">
        <v>35</v>
      </c>
      <c r="J1248" s="9">
        <v>1</v>
      </c>
      <c r="K1248" s="9">
        <v>172</v>
      </c>
      <c r="L1248" s="9">
        <v>2026</v>
      </c>
      <c r="M1248" s="8" t="s">
        <v>7735</v>
      </c>
      <c r="N1248" s="8" t="s">
        <v>37</v>
      </c>
      <c r="O1248" s="8" t="s">
        <v>83</v>
      </c>
      <c r="P1248" s="6" t="s">
        <v>39</v>
      </c>
      <c r="Q1248" s="8" t="s">
        <v>40</v>
      </c>
      <c r="R1248" s="10" t="s">
        <v>7736</v>
      </c>
      <c r="S1248" s="11"/>
      <c r="T1248" s="6"/>
      <c r="U1248" s="15" t="str">
        <f>HYPERLINK("https://media.infra-m.ru/2270/2270806/cover/2270806.jpg", "Обложка")</f>
        <v>Обложка</v>
      </c>
      <c r="V1248" s="8" t="s">
        <v>546</v>
      </c>
      <c r="W1248" s="6"/>
      <c r="X1248" s="6"/>
      <c r="Y1248" s="6"/>
      <c r="Z1248" s="6"/>
      <c r="AA1248" s="6" t="s">
        <v>187</v>
      </c>
      <c r="AB1248" s="8"/>
      <c r="AC1248" s="27">
        <v>9785160218588</v>
      </c>
    </row>
    <row r="1249" spans="1:29" s="4" customFormat="1" ht="42" customHeight="1" x14ac:dyDescent="0.2">
      <c r="A1249" s="5">
        <v>0</v>
      </c>
      <c r="B1249" s="6" t="s">
        <v>7737</v>
      </c>
      <c r="C1249" s="7">
        <v>3688.8</v>
      </c>
      <c r="D1249" s="8" t="s">
        <v>7738</v>
      </c>
      <c r="E1249" s="8" t="s">
        <v>7739</v>
      </c>
      <c r="F1249" s="8" t="s">
        <v>7740</v>
      </c>
      <c r="G1249" s="6" t="s">
        <v>118</v>
      </c>
      <c r="H1249" s="6" t="s">
        <v>34</v>
      </c>
      <c r="I1249" s="8" t="s">
        <v>35</v>
      </c>
      <c r="J1249" s="9">
        <v>1</v>
      </c>
      <c r="K1249" s="9">
        <v>591</v>
      </c>
      <c r="L1249" s="9">
        <v>2026</v>
      </c>
      <c r="M1249" s="8" t="s">
        <v>7741</v>
      </c>
      <c r="N1249" s="8" t="s">
        <v>37</v>
      </c>
      <c r="O1249" s="8" t="s">
        <v>83</v>
      </c>
      <c r="P1249" s="6" t="s">
        <v>39</v>
      </c>
      <c r="Q1249" s="8" t="s">
        <v>40</v>
      </c>
      <c r="R1249" s="10" t="s">
        <v>7742</v>
      </c>
      <c r="S1249" s="11"/>
      <c r="T1249" s="6"/>
      <c r="U1249" s="15" t="str">
        <f>HYPERLINK("https://media.infra-m.ru/2216/2216910/cover/2216910.jpg", "Обложка")</f>
        <v>Обложка</v>
      </c>
      <c r="V1249" s="8" t="s">
        <v>3264</v>
      </c>
      <c r="W1249" s="6"/>
      <c r="X1249" s="6"/>
      <c r="Y1249" s="6"/>
      <c r="Z1249" s="6"/>
      <c r="AA1249" s="6" t="s">
        <v>43</v>
      </c>
      <c r="AB1249" s="8"/>
      <c r="AC1249" s="27">
        <v>9785160180212</v>
      </c>
    </row>
    <row r="1250" spans="1:29" s="4" customFormat="1" ht="51.9" customHeight="1" x14ac:dyDescent="0.2">
      <c r="A1250" s="5">
        <v>0</v>
      </c>
      <c r="B1250" s="6" t="s">
        <v>7743</v>
      </c>
      <c r="C1250" s="7">
        <v>2308.8000000000002</v>
      </c>
      <c r="D1250" s="8" t="s">
        <v>7744</v>
      </c>
      <c r="E1250" s="8" t="s">
        <v>7745</v>
      </c>
      <c r="F1250" s="8" t="s">
        <v>3261</v>
      </c>
      <c r="G1250" s="6" t="s">
        <v>60</v>
      </c>
      <c r="H1250" s="6" t="s">
        <v>34</v>
      </c>
      <c r="I1250" s="8" t="s">
        <v>504</v>
      </c>
      <c r="J1250" s="9">
        <v>1</v>
      </c>
      <c r="K1250" s="9">
        <v>332</v>
      </c>
      <c r="L1250" s="9">
        <v>2027</v>
      </c>
      <c r="M1250" s="8" t="s">
        <v>7746</v>
      </c>
      <c r="N1250" s="8" t="s">
        <v>37</v>
      </c>
      <c r="O1250" s="8" t="s">
        <v>136</v>
      </c>
      <c r="P1250" s="6" t="s">
        <v>306</v>
      </c>
      <c r="Q1250" s="8" t="s">
        <v>500</v>
      </c>
      <c r="R1250" s="10" t="s">
        <v>7747</v>
      </c>
      <c r="S1250" s="11" t="s">
        <v>7748</v>
      </c>
      <c r="T1250" s="6"/>
      <c r="U1250" s="15" t="str">
        <f>HYPERLINK("https://media.infra-m.ru/2267/2267398/cover/2267398.jpg", "Обложка")</f>
        <v>Обложка</v>
      </c>
      <c r="V1250" s="8" t="s">
        <v>3264</v>
      </c>
      <c r="W1250" s="6"/>
      <c r="X1250" s="6"/>
      <c r="Y1250" s="6"/>
      <c r="Z1250" s="6"/>
      <c r="AA1250" s="6" t="s">
        <v>157</v>
      </c>
      <c r="AB1250" s="8"/>
      <c r="AC1250" s="27">
        <v>9785160165875</v>
      </c>
    </row>
    <row r="1251" spans="1:29" s="4" customFormat="1" ht="51.9" customHeight="1" x14ac:dyDescent="0.2">
      <c r="A1251" s="5">
        <v>0</v>
      </c>
      <c r="B1251" s="6" t="s">
        <v>7749</v>
      </c>
      <c r="C1251" s="7">
        <v>1120.8</v>
      </c>
      <c r="D1251" s="8" t="s">
        <v>7750</v>
      </c>
      <c r="E1251" s="8" t="s">
        <v>7751</v>
      </c>
      <c r="F1251" s="8" t="s">
        <v>7752</v>
      </c>
      <c r="G1251" s="6" t="s">
        <v>118</v>
      </c>
      <c r="H1251" s="6" t="s">
        <v>34</v>
      </c>
      <c r="I1251" s="8" t="s">
        <v>5350</v>
      </c>
      <c r="J1251" s="9">
        <v>1</v>
      </c>
      <c r="K1251" s="9">
        <v>170</v>
      </c>
      <c r="L1251" s="9">
        <v>2026</v>
      </c>
      <c r="M1251" s="8" t="s">
        <v>7753</v>
      </c>
      <c r="N1251" s="8" t="s">
        <v>243</v>
      </c>
      <c r="O1251" s="8" t="s">
        <v>758</v>
      </c>
      <c r="P1251" s="6" t="s">
        <v>51</v>
      </c>
      <c r="Q1251" s="8" t="s">
        <v>377</v>
      </c>
      <c r="R1251" s="10" t="s">
        <v>4167</v>
      </c>
      <c r="S1251" s="11" t="s">
        <v>7754</v>
      </c>
      <c r="T1251" s="6"/>
      <c r="U1251" s="15" t="str">
        <f>HYPERLINK("https://media.infra-m.ru/2244/2244315/cover/2244315.jpg", "Обложка")</f>
        <v>Обложка</v>
      </c>
      <c r="V1251" s="8" t="s">
        <v>831</v>
      </c>
      <c r="W1251" s="6"/>
      <c r="X1251" s="6"/>
      <c r="Y1251" s="6"/>
      <c r="Z1251" s="6"/>
      <c r="AA1251" s="6" t="s">
        <v>430</v>
      </c>
      <c r="AB1251" s="8"/>
      <c r="AC1251" s="27">
        <v>9785160158730</v>
      </c>
    </row>
    <row r="1252" spans="1:29" s="4" customFormat="1" ht="51.9" customHeight="1" x14ac:dyDescent="0.2">
      <c r="A1252" s="5">
        <v>0</v>
      </c>
      <c r="B1252" s="6" t="s">
        <v>7755</v>
      </c>
      <c r="C1252" s="7">
        <v>1564.8</v>
      </c>
      <c r="D1252" s="8" t="s">
        <v>7756</v>
      </c>
      <c r="E1252" s="8" t="s">
        <v>7757</v>
      </c>
      <c r="F1252" s="8" t="s">
        <v>7758</v>
      </c>
      <c r="G1252" s="6" t="s">
        <v>118</v>
      </c>
      <c r="H1252" s="6" t="s">
        <v>34</v>
      </c>
      <c r="I1252" s="8" t="s">
        <v>271</v>
      </c>
      <c r="J1252" s="9">
        <v>1</v>
      </c>
      <c r="K1252" s="9">
        <v>251</v>
      </c>
      <c r="L1252" s="9">
        <v>2025</v>
      </c>
      <c r="M1252" s="8" t="s">
        <v>7759</v>
      </c>
      <c r="N1252" s="8" t="s">
        <v>243</v>
      </c>
      <c r="O1252" s="8" t="s">
        <v>758</v>
      </c>
      <c r="P1252" s="6" t="s">
        <v>306</v>
      </c>
      <c r="Q1252" s="8" t="s">
        <v>52</v>
      </c>
      <c r="R1252" s="10" t="s">
        <v>7760</v>
      </c>
      <c r="S1252" s="11" t="s">
        <v>7761</v>
      </c>
      <c r="T1252" s="6" t="s">
        <v>97</v>
      </c>
      <c r="U1252" s="15" t="str">
        <f>HYPERLINK("https://media.infra-m.ru/2212/2212030/cover/2212030.jpg", "Обложка")</f>
        <v>Обложка</v>
      </c>
      <c r="V1252" s="8" t="s">
        <v>3109</v>
      </c>
      <c r="W1252" s="6"/>
      <c r="X1252" s="6"/>
      <c r="Y1252" s="6"/>
      <c r="Z1252" s="6"/>
      <c r="AA1252" s="6" t="s">
        <v>99</v>
      </c>
      <c r="AB1252" s="8"/>
      <c r="AC1252" s="27">
        <v>9785160127941</v>
      </c>
    </row>
    <row r="1253" spans="1:29" s="4" customFormat="1" ht="51.9" customHeight="1" x14ac:dyDescent="0.2">
      <c r="A1253" s="5">
        <v>0</v>
      </c>
      <c r="B1253" s="6" t="s">
        <v>7762</v>
      </c>
      <c r="C1253" s="7">
        <v>2112</v>
      </c>
      <c r="D1253" s="8" t="s">
        <v>7763</v>
      </c>
      <c r="E1253" s="8" t="s">
        <v>7764</v>
      </c>
      <c r="F1253" s="8" t="s">
        <v>7765</v>
      </c>
      <c r="G1253" s="6" t="s">
        <v>118</v>
      </c>
      <c r="H1253" s="6" t="s">
        <v>34</v>
      </c>
      <c r="I1253" s="8" t="s">
        <v>35</v>
      </c>
      <c r="J1253" s="9">
        <v>1</v>
      </c>
      <c r="K1253" s="9">
        <v>320</v>
      </c>
      <c r="L1253" s="9">
        <v>2026</v>
      </c>
      <c r="M1253" s="8" t="s">
        <v>7766</v>
      </c>
      <c r="N1253" s="8" t="s">
        <v>585</v>
      </c>
      <c r="O1253" s="8" t="s">
        <v>775</v>
      </c>
      <c r="P1253" s="6" t="s">
        <v>39</v>
      </c>
      <c r="Q1253" s="8" t="s">
        <v>40</v>
      </c>
      <c r="R1253" s="10" t="s">
        <v>7767</v>
      </c>
      <c r="S1253" s="11"/>
      <c r="T1253" s="6"/>
      <c r="U1253" s="15" t="str">
        <f>HYPERLINK("https://media.infra-m.ru/2234/2234076/cover/2234076.jpg", "Обложка")</f>
        <v>Обложка</v>
      </c>
      <c r="V1253" s="8" t="s">
        <v>7768</v>
      </c>
      <c r="W1253" s="6"/>
      <c r="X1253" s="6"/>
      <c r="Y1253" s="6"/>
      <c r="Z1253" s="6"/>
      <c r="AA1253" s="6" t="s">
        <v>68</v>
      </c>
      <c r="AB1253" s="8" t="s">
        <v>6493</v>
      </c>
      <c r="AC1253" s="27">
        <v>9785160212876</v>
      </c>
    </row>
    <row r="1254" spans="1:29" s="4" customFormat="1" ht="42" customHeight="1" x14ac:dyDescent="0.2">
      <c r="A1254" s="5">
        <v>0</v>
      </c>
      <c r="B1254" s="6" t="s">
        <v>7769</v>
      </c>
      <c r="C1254" s="7">
        <v>1476</v>
      </c>
      <c r="D1254" s="8" t="s">
        <v>7770</v>
      </c>
      <c r="E1254" s="8" t="s">
        <v>7771</v>
      </c>
      <c r="F1254" s="8" t="s">
        <v>7772</v>
      </c>
      <c r="G1254" s="6" t="s">
        <v>33</v>
      </c>
      <c r="H1254" s="6" t="s">
        <v>34</v>
      </c>
      <c r="I1254" s="8" t="s">
        <v>35</v>
      </c>
      <c r="J1254" s="9">
        <v>1</v>
      </c>
      <c r="K1254" s="9">
        <v>243</v>
      </c>
      <c r="L1254" s="9">
        <v>2025</v>
      </c>
      <c r="M1254" s="8" t="s">
        <v>7773</v>
      </c>
      <c r="N1254" s="8" t="s">
        <v>585</v>
      </c>
      <c r="O1254" s="8" t="s">
        <v>775</v>
      </c>
      <c r="P1254" s="6" t="s">
        <v>39</v>
      </c>
      <c r="Q1254" s="8" t="s">
        <v>40</v>
      </c>
      <c r="R1254" s="10" t="s">
        <v>7774</v>
      </c>
      <c r="S1254" s="11"/>
      <c r="T1254" s="6"/>
      <c r="U1254" s="15" t="str">
        <f>HYPERLINK("https://media.infra-m.ru/1891/1891786/cover/1891786.jpg", "Обложка")</f>
        <v>Обложка</v>
      </c>
      <c r="V1254" s="8" t="s">
        <v>7502</v>
      </c>
      <c r="W1254" s="6"/>
      <c r="X1254" s="6"/>
      <c r="Y1254" s="6"/>
      <c r="Z1254" s="6"/>
      <c r="AA1254" s="6" t="s">
        <v>99</v>
      </c>
      <c r="AB1254" s="8"/>
      <c r="AC1254" s="27">
        <v>9785160156873</v>
      </c>
    </row>
    <row r="1255" spans="1:29" s="4" customFormat="1" ht="33" customHeight="1" x14ac:dyDescent="0.2">
      <c r="A1255" s="5">
        <v>0</v>
      </c>
      <c r="B1255" s="6" t="s">
        <v>7775</v>
      </c>
      <c r="C1255" s="13">
        <v>948</v>
      </c>
      <c r="D1255" s="8" t="s">
        <v>7776</v>
      </c>
      <c r="E1255" s="8" t="s">
        <v>7771</v>
      </c>
      <c r="F1255" s="8" t="s">
        <v>7772</v>
      </c>
      <c r="G1255" s="6" t="s">
        <v>60</v>
      </c>
      <c r="H1255" s="6" t="s">
        <v>34</v>
      </c>
      <c r="I1255" s="8" t="s">
        <v>35</v>
      </c>
      <c r="J1255" s="9">
        <v>1</v>
      </c>
      <c r="K1255" s="9">
        <v>243</v>
      </c>
      <c r="L1255" s="9">
        <v>2018</v>
      </c>
      <c r="M1255" s="8" t="s">
        <v>7777</v>
      </c>
      <c r="N1255" s="8" t="s">
        <v>585</v>
      </c>
      <c r="O1255" s="8" t="s">
        <v>775</v>
      </c>
      <c r="P1255" s="6" t="s">
        <v>39</v>
      </c>
      <c r="Q1255" s="8" t="s">
        <v>40</v>
      </c>
      <c r="R1255" s="10" t="s">
        <v>7774</v>
      </c>
      <c r="S1255" s="11"/>
      <c r="T1255" s="6"/>
      <c r="U1255" s="12"/>
      <c r="V1255" s="8" t="s">
        <v>7502</v>
      </c>
      <c r="W1255" s="6"/>
      <c r="X1255" s="6"/>
      <c r="Y1255" s="6"/>
      <c r="Z1255" s="6"/>
      <c r="AA1255" s="6" t="s">
        <v>99</v>
      </c>
      <c r="AB1255" s="8"/>
      <c r="AC1255" s="27">
        <v>9785160122465</v>
      </c>
    </row>
    <row r="1256" spans="1:29" s="4" customFormat="1" ht="44.1" customHeight="1" x14ac:dyDescent="0.2">
      <c r="A1256" s="5">
        <v>0</v>
      </c>
      <c r="B1256" s="6" t="s">
        <v>7778</v>
      </c>
      <c r="C1256" s="7">
        <v>1224</v>
      </c>
      <c r="D1256" s="8" t="s">
        <v>7779</v>
      </c>
      <c r="E1256" s="8" t="s">
        <v>7780</v>
      </c>
      <c r="F1256" s="8" t="s">
        <v>7781</v>
      </c>
      <c r="G1256" s="6" t="s">
        <v>33</v>
      </c>
      <c r="H1256" s="6" t="s">
        <v>34</v>
      </c>
      <c r="I1256" s="8" t="s">
        <v>35</v>
      </c>
      <c r="J1256" s="9">
        <v>1</v>
      </c>
      <c r="K1256" s="9">
        <v>185</v>
      </c>
      <c r="L1256" s="9">
        <v>2026</v>
      </c>
      <c r="M1256" s="8" t="s">
        <v>7782</v>
      </c>
      <c r="N1256" s="8" t="s">
        <v>585</v>
      </c>
      <c r="O1256" s="8" t="s">
        <v>775</v>
      </c>
      <c r="P1256" s="6" t="s">
        <v>39</v>
      </c>
      <c r="Q1256" s="8" t="s">
        <v>40</v>
      </c>
      <c r="R1256" s="10" t="s">
        <v>7783</v>
      </c>
      <c r="S1256" s="11"/>
      <c r="T1256" s="6"/>
      <c r="U1256" s="15" t="str">
        <f>HYPERLINK("https://media.infra-m.ru/2227/2227459/cover/2227459.jpg", "Обложка")</f>
        <v>Обложка</v>
      </c>
      <c r="V1256" s="8"/>
      <c r="W1256" s="6"/>
      <c r="X1256" s="6"/>
      <c r="Y1256" s="6"/>
      <c r="Z1256" s="6"/>
      <c r="AA1256" s="6" t="s">
        <v>430</v>
      </c>
      <c r="AB1256" s="8"/>
      <c r="AC1256" s="27">
        <v>9785160166438</v>
      </c>
    </row>
    <row r="1257" spans="1:29" s="4" customFormat="1" ht="51.9" customHeight="1" x14ac:dyDescent="0.2">
      <c r="A1257" s="5">
        <v>0</v>
      </c>
      <c r="B1257" s="6" t="s">
        <v>7784</v>
      </c>
      <c r="C1257" s="7">
        <v>1188</v>
      </c>
      <c r="D1257" s="8" t="s">
        <v>7785</v>
      </c>
      <c r="E1257" s="8" t="s">
        <v>7786</v>
      </c>
      <c r="F1257" s="8" t="s">
        <v>7787</v>
      </c>
      <c r="G1257" s="6" t="s">
        <v>118</v>
      </c>
      <c r="H1257" s="6" t="s">
        <v>34</v>
      </c>
      <c r="I1257" s="8" t="s">
        <v>271</v>
      </c>
      <c r="J1257" s="9">
        <v>1</v>
      </c>
      <c r="K1257" s="9">
        <v>270</v>
      </c>
      <c r="L1257" s="9">
        <v>2021</v>
      </c>
      <c r="M1257" s="8" t="s">
        <v>7788</v>
      </c>
      <c r="N1257" s="8" t="s">
        <v>585</v>
      </c>
      <c r="O1257" s="8" t="s">
        <v>775</v>
      </c>
      <c r="P1257" s="6" t="s">
        <v>51</v>
      </c>
      <c r="Q1257" s="8" t="s">
        <v>52</v>
      </c>
      <c r="R1257" s="10" t="s">
        <v>7789</v>
      </c>
      <c r="S1257" s="11" t="s">
        <v>7790</v>
      </c>
      <c r="T1257" s="6" t="s">
        <v>97</v>
      </c>
      <c r="U1257" s="15" t="str">
        <f>HYPERLINK("https://media.infra-m.ru/1194/1194144/cover/1194144.jpg", "Обложка")</f>
        <v>Обложка</v>
      </c>
      <c r="V1257" s="8" t="s">
        <v>3087</v>
      </c>
      <c r="W1257" s="6"/>
      <c r="X1257" s="6"/>
      <c r="Y1257" s="6"/>
      <c r="Z1257" s="6"/>
      <c r="AA1257" s="6" t="s">
        <v>55</v>
      </c>
      <c r="AB1257" s="8"/>
      <c r="AC1257" s="27">
        <v>9785160063140</v>
      </c>
    </row>
    <row r="1258" spans="1:29" s="4" customFormat="1" ht="51.9" customHeight="1" x14ac:dyDescent="0.2">
      <c r="A1258" s="5">
        <v>0</v>
      </c>
      <c r="B1258" s="6" t="s">
        <v>7791</v>
      </c>
      <c r="C1258" s="7">
        <v>1804.8</v>
      </c>
      <c r="D1258" s="8" t="s">
        <v>7792</v>
      </c>
      <c r="E1258" s="8" t="s">
        <v>7793</v>
      </c>
      <c r="F1258" s="8" t="s">
        <v>7787</v>
      </c>
      <c r="G1258" s="6" t="s">
        <v>118</v>
      </c>
      <c r="H1258" s="6" t="s">
        <v>34</v>
      </c>
      <c r="I1258" s="8" t="s">
        <v>253</v>
      </c>
      <c r="J1258" s="9">
        <v>1</v>
      </c>
      <c r="K1258" s="9">
        <v>273</v>
      </c>
      <c r="L1258" s="9">
        <v>2026</v>
      </c>
      <c r="M1258" s="8" t="s">
        <v>7788</v>
      </c>
      <c r="N1258" s="8" t="s">
        <v>585</v>
      </c>
      <c r="O1258" s="8" t="s">
        <v>775</v>
      </c>
      <c r="P1258" s="6" t="s">
        <v>51</v>
      </c>
      <c r="Q1258" s="8" t="s">
        <v>52</v>
      </c>
      <c r="R1258" s="10" t="s">
        <v>7789</v>
      </c>
      <c r="S1258" s="11"/>
      <c r="T1258" s="6" t="s">
        <v>97</v>
      </c>
      <c r="U1258" s="15" t="str">
        <f>HYPERLINK("https://media.infra-m.ru/2222/2222235/cover/2222235.jpg", "Обложка")</f>
        <v>Обложка</v>
      </c>
      <c r="V1258" s="8" t="s">
        <v>3087</v>
      </c>
      <c r="W1258" s="6"/>
      <c r="X1258" s="6"/>
      <c r="Y1258" s="6"/>
      <c r="Z1258" s="6"/>
      <c r="AA1258" s="6" t="s">
        <v>1303</v>
      </c>
      <c r="AB1258" s="8"/>
      <c r="AC1258" s="27">
        <v>9785160063140</v>
      </c>
    </row>
    <row r="1259" spans="1:29" s="4" customFormat="1" ht="51.9" customHeight="1" x14ac:dyDescent="0.2">
      <c r="A1259" s="5">
        <v>0</v>
      </c>
      <c r="B1259" s="6" t="s">
        <v>7794</v>
      </c>
      <c r="C1259" s="7">
        <v>2860.8</v>
      </c>
      <c r="D1259" s="8" t="s">
        <v>7795</v>
      </c>
      <c r="E1259" s="8" t="s">
        <v>7796</v>
      </c>
      <c r="F1259" s="8" t="s">
        <v>7797</v>
      </c>
      <c r="G1259" s="6" t="s">
        <v>118</v>
      </c>
      <c r="H1259" s="6" t="s">
        <v>34</v>
      </c>
      <c r="I1259" s="8" t="s">
        <v>271</v>
      </c>
      <c r="J1259" s="9">
        <v>1</v>
      </c>
      <c r="K1259" s="9">
        <v>411</v>
      </c>
      <c r="L1259" s="9">
        <v>2027</v>
      </c>
      <c r="M1259" s="8" t="s">
        <v>7798</v>
      </c>
      <c r="N1259" s="8" t="s">
        <v>585</v>
      </c>
      <c r="O1259" s="8" t="s">
        <v>775</v>
      </c>
      <c r="P1259" s="6" t="s">
        <v>51</v>
      </c>
      <c r="Q1259" s="8" t="s">
        <v>52</v>
      </c>
      <c r="R1259" s="10" t="s">
        <v>785</v>
      </c>
      <c r="S1259" s="11" t="s">
        <v>7799</v>
      </c>
      <c r="T1259" s="6"/>
      <c r="U1259" s="15" t="str">
        <f>HYPERLINK("https://media.infra-m.ru/2272/2272086/cover/2272086.jpg", "Обложка")</f>
        <v>Обложка</v>
      </c>
      <c r="V1259" s="8" t="s">
        <v>3087</v>
      </c>
      <c r="W1259" s="6"/>
      <c r="X1259" s="6"/>
      <c r="Y1259" s="6"/>
      <c r="Z1259" s="6"/>
      <c r="AA1259" s="6" t="s">
        <v>1031</v>
      </c>
      <c r="AB1259" s="8"/>
      <c r="AC1259" s="27">
        <v>9785160131764</v>
      </c>
    </row>
    <row r="1260" spans="1:29" s="4" customFormat="1" ht="51.9" customHeight="1" x14ac:dyDescent="0.2">
      <c r="A1260" s="5">
        <v>0</v>
      </c>
      <c r="B1260" s="6" t="s">
        <v>7800</v>
      </c>
      <c r="C1260" s="7">
        <v>1072.8</v>
      </c>
      <c r="D1260" s="8" t="s">
        <v>7801</v>
      </c>
      <c r="E1260" s="8" t="s">
        <v>7802</v>
      </c>
      <c r="F1260" s="8" t="s">
        <v>7803</v>
      </c>
      <c r="G1260" s="6" t="s">
        <v>118</v>
      </c>
      <c r="H1260" s="6" t="s">
        <v>34</v>
      </c>
      <c r="I1260" s="8" t="s">
        <v>253</v>
      </c>
      <c r="J1260" s="9">
        <v>1</v>
      </c>
      <c r="K1260" s="9">
        <v>154</v>
      </c>
      <c r="L1260" s="9">
        <v>2027</v>
      </c>
      <c r="M1260" s="8" t="s">
        <v>7804</v>
      </c>
      <c r="N1260" s="8" t="s">
        <v>37</v>
      </c>
      <c r="O1260" s="8" t="s">
        <v>233</v>
      </c>
      <c r="P1260" s="6" t="s">
        <v>51</v>
      </c>
      <c r="Q1260" s="8" t="s">
        <v>65</v>
      </c>
      <c r="R1260" s="10" t="s">
        <v>7805</v>
      </c>
      <c r="S1260" s="11" t="s">
        <v>7806</v>
      </c>
      <c r="T1260" s="6"/>
      <c r="U1260" s="15" t="str">
        <f>HYPERLINK("https://media.infra-m.ru/2272/2272090/cover/2272090.jpg", "Обложка")</f>
        <v>Обложка</v>
      </c>
      <c r="V1260" s="8" t="s">
        <v>5117</v>
      </c>
      <c r="W1260" s="6"/>
      <c r="X1260" s="6"/>
      <c r="Y1260" s="6"/>
      <c r="Z1260" s="6"/>
      <c r="AA1260" s="6" t="s">
        <v>86</v>
      </c>
      <c r="AB1260" s="8"/>
      <c r="AC1260" s="27">
        <v>9785160198903</v>
      </c>
    </row>
    <row r="1261" spans="1:29" s="4" customFormat="1" ht="51.9" customHeight="1" x14ac:dyDescent="0.2">
      <c r="A1261" s="5">
        <v>0</v>
      </c>
      <c r="B1261" s="6" t="s">
        <v>7807</v>
      </c>
      <c r="C1261" s="7">
        <v>4648.8</v>
      </c>
      <c r="D1261" s="8" t="s">
        <v>7808</v>
      </c>
      <c r="E1261" s="8" t="s">
        <v>7809</v>
      </c>
      <c r="F1261" s="8" t="s">
        <v>7810</v>
      </c>
      <c r="G1261" s="6" t="s">
        <v>60</v>
      </c>
      <c r="H1261" s="6" t="s">
        <v>34</v>
      </c>
      <c r="I1261" s="8" t="s">
        <v>253</v>
      </c>
      <c r="J1261" s="9">
        <v>1</v>
      </c>
      <c r="K1261" s="9">
        <v>668</v>
      </c>
      <c r="L1261" s="9">
        <v>2027</v>
      </c>
      <c r="M1261" s="8" t="s">
        <v>7811</v>
      </c>
      <c r="N1261" s="8" t="s">
        <v>243</v>
      </c>
      <c r="O1261" s="8" t="s">
        <v>798</v>
      </c>
      <c r="P1261" s="6" t="s">
        <v>51</v>
      </c>
      <c r="Q1261" s="8" t="s">
        <v>65</v>
      </c>
      <c r="R1261" s="10" t="s">
        <v>7812</v>
      </c>
      <c r="S1261" s="11" t="s">
        <v>7813</v>
      </c>
      <c r="T1261" s="6"/>
      <c r="U1261" s="15" t="str">
        <f>HYPERLINK("https://media.infra-m.ru/2272/2272099/cover/2272099.jpg", "Обложка")</f>
        <v>Обложка</v>
      </c>
      <c r="V1261" s="8" t="s">
        <v>644</v>
      </c>
      <c r="W1261" s="6"/>
      <c r="X1261" s="6"/>
      <c r="Y1261" s="6"/>
      <c r="Z1261" s="6"/>
      <c r="AA1261" s="6" t="s">
        <v>99</v>
      </c>
      <c r="AB1261" s="8"/>
      <c r="AC1261" s="27">
        <v>9785160198880</v>
      </c>
    </row>
    <row r="1262" spans="1:29" s="4" customFormat="1" ht="51.9" customHeight="1" x14ac:dyDescent="0.2">
      <c r="A1262" s="5">
        <v>0</v>
      </c>
      <c r="B1262" s="6" t="s">
        <v>7814</v>
      </c>
      <c r="C1262" s="13">
        <v>972</v>
      </c>
      <c r="D1262" s="8" t="s">
        <v>7815</v>
      </c>
      <c r="E1262" s="8" t="s">
        <v>7816</v>
      </c>
      <c r="F1262" s="8" t="s">
        <v>7817</v>
      </c>
      <c r="G1262" s="6" t="s">
        <v>33</v>
      </c>
      <c r="H1262" s="6" t="s">
        <v>34</v>
      </c>
      <c r="I1262" s="8" t="s">
        <v>7818</v>
      </c>
      <c r="J1262" s="9">
        <v>1</v>
      </c>
      <c r="K1262" s="9">
        <v>126</v>
      </c>
      <c r="L1262" s="9">
        <v>2026</v>
      </c>
      <c r="M1262" s="8" t="s">
        <v>7819</v>
      </c>
      <c r="N1262" s="8" t="s">
        <v>243</v>
      </c>
      <c r="O1262" s="8" t="s">
        <v>385</v>
      </c>
      <c r="P1262" s="6" t="s">
        <v>51</v>
      </c>
      <c r="Q1262" s="8" t="s">
        <v>377</v>
      </c>
      <c r="R1262" s="10" t="s">
        <v>7820</v>
      </c>
      <c r="S1262" s="11" t="s">
        <v>7821</v>
      </c>
      <c r="T1262" s="6"/>
      <c r="U1262" s="15" t="str">
        <f>HYPERLINK("https://media.infra-m.ru/2253/2253947/cover/2253947.jpg", "Обложка")</f>
        <v>Обложка</v>
      </c>
      <c r="V1262" s="8" t="s">
        <v>2154</v>
      </c>
      <c r="W1262" s="6"/>
      <c r="X1262" s="6"/>
      <c r="Y1262" s="6"/>
      <c r="Z1262" s="6"/>
      <c r="AA1262" s="6" t="s">
        <v>1256</v>
      </c>
      <c r="AB1262" s="8"/>
      <c r="AC1262" s="27">
        <v>9785160221151</v>
      </c>
    </row>
    <row r="1263" spans="1:29" s="4" customFormat="1" ht="51.9" customHeight="1" x14ac:dyDescent="0.2">
      <c r="A1263" s="5">
        <v>0</v>
      </c>
      <c r="B1263" s="6" t="s">
        <v>7822</v>
      </c>
      <c r="C1263" s="7">
        <v>1908</v>
      </c>
      <c r="D1263" s="8" t="s">
        <v>7823</v>
      </c>
      <c r="E1263" s="8" t="s">
        <v>7824</v>
      </c>
      <c r="F1263" s="8" t="s">
        <v>863</v>
      </c>
      <c r="G1263" s="6" t="s">
        <v>60</v>
      </c>
      <c r="H1263" s="6" t="s">
        <v>34</v>
      </c>
      <c r="I1263" s="8" t="s">
        <v>271</v>
      </c>
      <c r="J1263" s="9">
        <v>1</v>
      </c>
      <c r="K1263" s="9">
        <v>265</v>
      </c>
      <c r="L1263" s="9">
        <v>2022</v>
      </c>
      <c r="M1263" s="8" t="s">
        <v>7825</v>
      </c>
      <c r="N1263" s="8" t="s">
        <v>243</v>
      </c>
      <c r="O1263" s="8" t="s">
        <v>758</v>
      </c>
      <c r="P1263" s="6" t="s">
        <v>51</v>
      </c>
      <c r="Q1263" s="8" t="s">
        <v>52</v>
      </c>
      <c r="R1263" s="10" t="s">
        <v>7826</v>
      </c>
      <c r="S1263" s="11" t="s">
        <v>7827</v>
      </c>
      <c r="T1263" s="6"/>
      <c r="U1263" s="15" t="str">
        <f>HYPERLINK("https://media.infra-m.ru/1196/1196558/cover/1196558.jpg", "Обложка")</f>
        <v>Обложка</v>
      </c>
      <c r="V1263" s="8" t="s">
        <v>867</v>
      </c>
      <c r="W1263" s="6"/>
      <c r="X1263" s="6"/>
      <c r="Y1263" s="6"/>
      <c r="Z1263" s="6"/>
      <c r="AA1263" s="6" t="s">
        <v>148</v>
      </c>
      <c r="AB1263" s="8"/>
      <c r="AC1263" s="27">
        <v>9785160166155</v>
      </c>
    </row>
    <row r="1264" spans="1:29" s="4" customFormat="1" ht="42" customHeight="1" x14ac:dyDescent="0.2">
      <c r="A1264" s="5">
        <v>0</v>
      </c>
      <c r="B1264" s="6" t="s">
        <v>7828</v>
      </c>
      <c r="C1264" s="7">
        <v>1380</v>
      </c>
      <c r="D1264" s="8" t="s">
        <v>7829</v>
      </c>
      <c r="E1264" s="8" t="s">
        <v>7830</v>
      </c>
      <c r="F1264" s="8" t="s">
        <v>7831</v>
      </c>
      <c r="G1264" s="6" t="s">
        <v>60</v>
      </c>
      <c r="H1264" s="6" t="s">
        <v>34</v>
      </c>
      <c r="I1264" s="8" t="s">
        <v>2159</v>
      </c>
      <c r="J1264" s="9">
        <v>1</v>
      </c>
      <c r="K1264" s="9">
        <v>196</v>
      </c>
      <c r="L1264" s="9">
        <v>2026</v>
      </c>
      <c r="M1264" s="8" t="s">
        <v>7832</v>
      </c>
      <c r="N1264" s="8" t="s">
        <v>37</v>
      </c>
      <c r="O1264" s="8" t="s">
        <v>280</v>
      </c>
      <c r="P1264" s="6" t="s">
        <v>39</v>
      </c>
      <c r="Q1264" s="8" t="s">
        <v>40</v>
      </c>
      <c r="R1264" s="10" t="s">
        <v>7833</v>
      </c>
      <c r="S1264" s="11"/>
      <c r="T1264" s="6"/>
      <c r="U1264" s="15" t="str">
        <f>HYPERLINK("https://media.infra-m.ru/2197/2197793/cover/2197793.jpg", "Обложка")</f>
        <v>Обложка</v>
      </c>
      <c r="V1264" s="8" t="s">
        <v>445</v>
      </c>
      <c r="W1264" s="6" t="s">
        <v>342</v>
      </c>
      <c r="X1264" s="6"/>
      <c r="Y1264" s="6"/>
      <c r="Z1264" s="6"/>
      <c r="AA1264" s="6" t="s">
        <v>68</v>
      </c>
      <c r="AB1264" s="8" t="s">
        <v>308</v>
      </c>
      <c r="AC1264" s="27">
        <v>9785160208220</v>
      </c>
    </row>
    <row r="1265" spans="1:29" s="4" customFormat="1" ht="51.9" customHeight="1" x14ac:dyDescent="0.2">
      <c r="A1265" s="5">
        <v>0</v>
      </c>
      <c r="B1265" s="6" t="s">
        <v>7834</v>
      </c>
      <c r="C1265" s="7">
        <v>1342.8</v>
      </c>
      <c r="D1265" s="8" t="s">
        <v>7835</v>
      </c>
      <c r="E1265" s="8" t="s">
        <v>7836</v>
      </c>
      <c r="F1265" s="8" t="s">
        <v>7837</v>
      </c>
      <c r="G1265" s="6" t="s">
        <v>33</v>
      </c>
      <c r="H1265" s="6" t="s">
        <v>34</v>
      </c>
      <c r="I1265" s="8" t="s">
        <v>35</v>
      </c>
      <c r="J1265" s="9">
        <v>1</v>
      </c>
      <c r="K1265" s="9">
        <v>178</v>
      </c>
      <c r="L1265" s="9">
        <v>2027</v>
      </c>
      <c r="M1265" s="8" t="s">
        <v>7838</v>
      </c>
      <c r="N1265" s="8" t="s">
        <v>243</v>
      </c>
      <c r="O1265" s="8" t="s">
        <v>933</v>
      </c>
      <c r="P1265" s="6" t="s">
        <v>39</v>
      </c>
      <c r="Q1265" s="8" t="s">
        <v>40</v>
      </c>
      <c r="R1265" s="10" t="s">
        <v>7839</v>
      </c>
      <c r="S1265" s="11"/>
      <c r="T1265" s="6"/>
      <c r="U1265" s="15" t="str">
        <f>HYPERLINK("https://media.infra-m.ru/2263/2263012/cover/2263012.jpg", "Обложка")</f>
        <v>Обложка</v>
      </c>
      <c r="V1265" s="8" t="s">
        <v>7840</v>
      </c>
      <c r="W1265" s="6"/>
      <c r="X1265" s="6"/>
      <c r="Y1265" s="6"/>
      <c r="Z1265" s="6"/>
      <c r="AA1265" s="6" t="s">
        <v>187</v>
      </c>
      <c r="AB1265" s="8" t="s">
        <v>6493</v>
      </c>
      <c r="AC1265" s="27">
        <v>9785160214924</v>
      </c>
    </row>
    <row r="1266" spans="1:29" s="4" customFormat="1" ht="51.9" customHeight="1" x14ac:dyDescent="0.2">
      <c r="A1266" s="5">
        <v>0</v>
      </c>
      <c r="B1266" s="6" t="s">
        <v>7841</v>
      </c>
      <c r="C1266" s="7">
        <v>1672.8</v>
      </c>
      <c r="D1266" s="8" t="s">
        <v>7842</v>
      </c>
      <c r="E1266" s="8" t="s">
        <v>7843</v>
      </c>
      <c r="F1266" s="8" t="s">
        <v>7844</v>
      </c>
      <c r="G1266" s="6" t="s">
        <v>33</v>
      </c>
      <c r="H1266" s="6" t="s">
        <v>48</v>
      </c>
      <c r="I1266" s="8" t="s">
        <v>271</v>
      </c>
      <c r="J1266" s="9">
        <v>1</v>
      </c>
      <c r="K1266" s="9">
        <v>240</v>
      </c>
      <c r="L1266" s="9">
        <v>2026</v>
      </c>
      <c r="M1266" s="8" t="s">
        <v>7845</v>
      </c>
      <c r="N1266" s="8" t="s">
        <v>243</v>
      </c>
      <c r="O1266" s="8" t="s">
        <v>964</v>
      </c>
      <c r="P1266" s="6" t="s">
        <v>51</v>
      </c>
      <c r="Q1266" s="8" t="s">
        <v>52</v>
      </c>
      <c r="R1266" s="10" t="s">
        <v>7846</v>
      </c>
      <c r="S1266" s="11" t="s">
        <v>7847</v>
      </c>
      <c r="T1266" s="6"/>
      <c r="U1266" s="15" t="str">
        <f>HYPERLINK("https://media.infra-m.ru/2258/2258699/cover/2258699.jpg", "Обложка")</f>
        <v>Обложка</v>
      </c>
      <c r="V1266" s="8" t="s">
        <v>7848</v>
      </c>
      <c r="W1266" s="6"/>
      <c r="X1266" s="6"/>
      <c r="Y1266" s="6"/>
      <c r="Z1266" s="6"/>
      <c r="AA1266" s="6" t="s">
        <v>248</v>
      </c>
      <c r="AB1266" s="8"/>
      <c r="AC1266" s="27">
        <v>9785911348656</v>
      </c>
    </row>
    <row r="1267" spans="1:29" s="4" customFormat="1" ht="42" customHeight="1" x14ac:dyDescent="0.2">
      <c r="A1267" s="5">
        <v>0</v>
      </c>
      <c r="B1267" s="6" t="s">
        <v>7849</v>
      </c>
      <c r="C1267" s="7">
        <v>1896</v>
      </c>
      <c r="D1267" s="8" t="s">
        <v>7850</v>
      </c>
      <c r="E1267" s="8" t="s">
        <v>7851</v>
      </c>
      <c r="F1267" s="8" t="s">
        <v>7852</v>
      </c>
      <c r="G1267" s="6" t="s">
        <v>60</v>
      </c>
      <c r="H1267" s="6" t="s">
        <v>34</v>
      </c>
      <c r="I1267" s="8" t="s">
        <v>253</v>
      </c>
      <c r="J1267" s="9">
        <v>1</v>
      </c>
      <c r="K1267" s="9">
        <v>315</v>
      </c>
      <c r="L1267" s="9">
        <v>2025</v>
      </c>
      <c r="M1267" s="8" t="s">
        <v>7853</v>
      </c>
      <c r="N1267" s="8" t="s">
        <v>224</v>
      </c>
      <c r="O1267" s="8" t="s">
        <v>225</v>
      </c>
      <c r="P1267" s="6" t="s">
        <v>51</v>
      </c>
      <c r="Q1267" s="8" t="s">
        <v>65</v>
      </c>
      <c r="R1267" s="10" t="s">
        <v>7854</v>
      </c>
      <c r="S1267" s="11"/>
      <c r="T1267" s="6"/>
      <c r="U1267" s="15" t="str">
        <f>HYPERLINK("https://media.infra-m.ru/1815/1815939/cover/1815939.jpg", "Обложка")</f>
        <v>Обложка</v>
      </c>
      <c r="V1267" s="8" t="s">
        <v>7855</v>
      </c>
      <c r="W1267" s="6"/>
      <c r="X1267" s="6"/>
      <c r="Y1267" s="6"/>
      <c r="Z1267" s="6"/>
      <c r="AA1267" s="6" t="s">
        <v>917</v>
      </c>
      <c r="AB1267" s="8"/>
      <c r="AC1267" s="27">
        <v>9785160171357</v>
      </c>
    </row>
    <row r="1268" spans="1:29" s="4" customFormat="1" ht="42" customHeight="1" x14ac:dyDescent="0.2">
      <c r="A1268" s="5">
        <v>0</v>
      </c>
      <c r="B1268" s="6" t="s">
        <v>7856</v>
      </c>
      <c r="C1268" s="7">
        <v>2224.8000000000002</v>
      </c>
      <c r="D1268" s="8" t="s">
        <v>7857</v>
      </c>
      <c r="E1268" s="8" t="s">
        <v>7858</v>
      </c>
      <c r="F1268" s="8" t="s">
        <v>7859</v>
      </c>
      <c r="G1268" s="6" t="s">
        <v>60</v>
      </c>
      <c r="H1268" s="6" t="s">
        <v>34</v>
      </c>
      <c r="I1268" s="8" t="s">
        <v>253</v>
      </c>
      <c r="J1268" s="9">
        <v>1</v>
      </c>
      <c r="K1268" s="9">
        <v>319</v>
      </c>
      <c r="L1268" s="9">
        <v>2027</v>
      </c>
      <c r="M1268" s="8" t="s">
        <v>7860</v>
      </c>
      <c r="N1268" s="8" t="s">
        <v>585</v>
      </c>
      <c r="O1268" s="8" t="s">
        <v>667</v>
      </c>
      <c r="P1268" s="6" t="s">
        <v>306</v>
      </c>
      <c r="Q1268" s="8" t="s">
        <v>52</v>
      </c>
      <c r="R1268" s="10" t="s">
        <v>7861</v>
      </c>
      <c r="S1268" s="11"/>
      <c r="T1268" s="6"/>
      <c r="U1268" s="15" t="str">
        <f>HYPERLINK("https://media.infra-m.ru/2264/2264705/cover/2264705.jpg", "Обложка")</f>
        <v>Обложка</v>
      </c>
      <c r="V1268" s="8" t="s">
        <v>831</v>
      </c>
      <c r="W1268" s="6"/>
      <c r="X1268" s="6"/>
      <c r="Y1268" s="6"/>
      <c r="Z1268" s="6"/>
      <c r="AA1268" s="6" t="s">
        <v>157</v>
      </c>
      <c r="AB1268" s="8"/>
      <c r="AC1268" s="27">
        <v>9785160138244</v>
      </c>
    </row>
    <row r="1269" spans="1:29" s="4" customFormat="1" ht="51.9" customHeight="1" x14ac:dyDescent="0.2">
      <c r="A1269" s="5">
        <v>0</v>
      </c>
      <c r="B1269" s="6" t="s">
        <v>7862</v>
      </c>
      <c r="C1269" s="7">
        <v>1788</v>
      </c>
      <c r="D1269" s="8" t="s">
        <v>7863</v>
      </c>
      <c r="E1269" s="8" t="s">
        <v>7864</v>
      </c>
      <c r="F1269" s="8" t="s">
        <v>7865</v>
      </c>
      <c r="G1269" s="6" t="s">
        <v>118</v>
      </c>
      <c r="H1269" s="6" t="s">
        <v>34</v>
      </c>
      <c r="I1269" s="8" t="s">
        <v>263</v>
      </c>
      <c r="J1269" s="9">
        <v>1</v>
      </c>
      <c r="K1269" s="9">
        <v>270</v>
      </c>
      <c r="L1269" s="9">
        <v>2026</v>
      </c>
      <c r="M1269" s="8" t="s">
        <v>7866</v>
      </c>
      <c r="N1269" s="8" t="s">
        <v>585</v>
      </c>
      <c r="O1269" s="8" t="s">
        <v>667</v>
      </c>
      <c r="P1269" s="6" t="s">
        <v>306</v>
      </c>
      <c r="Q1269" s="8" t="s">
        <v>265</v>
      </c>
      <c r="R1269" s="10" t="s">
        <v>7867</v>
      </c>
      <c r="S1269" s="11" t="s">
        <v>7868</v>
      </c>
      <c r="T1269" s="6"/>
      <c r="U1269" s="15" t="str">
        <f>HYPERLINK("https://media.infra-m.ru/2246/2246117/cover/2246117.jpg", "Обложка")</f>
        <v>Обложка</v>
      </c>
      <c r="V1269" s="8" t="s">
        <v>831</v>
      </c>
      <c r="W1269" s="6"/>
      <c r="X1269" s="6"/>
      <c r="Y1269" s="6"/>
      <c r="Z1269" s="6" t="s">
        <v>882</v>
      </c>
      <c r="AA1269" s="6" t="s">
        <v>1411</v>
      </c>
      <c r="AB1269" s="8"/>
      <c r="AC1269" s="27">
        <v>9785160139081</v>
      </c>
    </row>
    <row r="1270" spans="1:29" s="4" customFormat="1" ht="51.9" customHeight="1" x14ac:dyDescent="0.2">
      <c r="A1270" s="5">
        <v>0</v>
      </c>
      <c r="B1270" s="6" t="s">
        <v>7869</v>
      </c>
      <c r="C1270" s="7">
        <v>1888.8</v>
      </c>
      <c r="D1270" s="8" t="s">
        <v>7870</v>
      </c>
      <c r="E1270" s="8" t="s">
        <v>7871</v>
      </c>
      <c r="F1270" s="8" t="s">
        <v>7865</v>
      </c>
      <c r="G1270" s="6" t="s">
        <v>118</v>
      </c>
      <c r="H1270" s="6" t="s">
        <v>34</v>
      </c>
      <c r="I1270" s="8" t="s">
        <v>253</v>
      </c>
      <c r="J1270" s="9">
        <v>1</v>
      </c>
      <c r="K1270" s="9">
        <v>272</v>
      </c>
      <c r="L1270" s="9">
        <v>2027</v>
      </c>
      <c r="M1270" s="8" t="s">
        <v>7872</v>
      </c>
      <c r="N1270" s="8" t="s">
        <v>585</v>
      </c>
      <c r="O1270" s="8" t="s">
        <v>667</v>
      </c>
      <c r="P1270" s="6" t="s">
        <v>306</v>
      </c>
      <c r="Q1270" s="8" t="s">
        <v>65</v>
      </c>
      <c r="R1270" s="10" t="s">
        <v>7873</v>
      </c>
      <c r="S1270" s="11" t="s">
        <v>7874</v>
      </c>
      <c r="T1270" s="6"/>
      <c r="U1270" s="15" t="str">
        <f>HYPERLINK("https://media.infra-m.ru/2272/2272103/cover/2272103.jpg", "Обложка")</f>
        <v>Обложка</v>
      </c>
      <c r="V1270" s="8" t="s">
        <v>831</v>
      </c>
      <c r="W1270" s="6"/>
      <c r="X1270" s="6"/>
      <c r="Y1270" s="6"/>
      <c r="Z1270" s="6"/>
      <c r="AA1270" s="6" t="s">
        <v>7875</v>
      </c>
      <c r="AB1270" s="8"/>
      <c r="AC1270" s="27">
        <v>9785160193809</v>
      </c>
    </row>
    <row r="1271" spans="1:29" s="4" customFormat="1" ht="51.9" customHeight="1" x14ac:dyDescent="0.2">
      <c r="A1271" s="5">
        <v>0</v>
      </c>
      <c r="B1271" s="6" t="s">
        <v>7876</v>
      </c>
      <c r="C1271" s="7">
        <v>3100.8</v>
      </c>
      <c r="D1271" s="8" t="s">
        <v>7877</v>
      </c>
      <c r="E1271" s="8" t="s">
        <v>7878</v>
      </c>
      <c r="F1271" s="8" t="s">
        <v>7879</v>
      </c>
      <c r="G1271" s="6" t="s">
        <v>118</v>
      </c>
      <c r="H1271" s="6" t="s">
        <v>34</v>
      </c>
      <c r="I1271" s="8" t="s">
        <v>271</v>
      </c>
      <c r="J1271" s="9">
        <v>1</v>
      </c>
      <c r="K1271" s="9">
        <v>446</v>
      </c>
      <c r="L1271" s="9">
        <v>2025</v>
      </c>
      <c r="M1271" s="8" t="s">
        <v>7880</v>
      </c>
      <c r="N1271" s="8" t="s">
        <v>243</v>
      </c>
      <c r="O1271" s="8" t="s">
        <v>329</v>
      </c>
      <c r="P1271" s="6" t="s">
        <v>306</v>
      </c>
      <c r="Q1271" s="8" t="s">
        <v>52</v>
      </c>
      <c r="R1271" s="10" t="s">
        <v>7881</v>
      </c>
      <c r="S1271" s="11" t="s">
        <v>7874</v>
      </c>
      <c r="T1271" s="6"/>
      <c r="U1271" s="15" t="str">
        <f>HYPERLINK("https://media.infra-m.ru/2269/2269623/cover/2269623.jpg", "Обложка")</f>
        <v>Обложка</v>
      </c>
      <c r="V1271" s="8" t="s">
        <v>831</v>
      </c>
      <c r="W1271" s="6"/>
      <c r="X1271" s="6"/>
      <c r="Y1271" s="6"/>
      <c r="Z1271" s="6"/>
      <c r="AA1271" s="6" t="s">
        <v>7875</v>
      </c>
      <c r="AB1271" s="8"/>
      <c r="AC1271" s="27">
        <v>9785160119540</v>
      </c>
    </row>
    <row r="1272" spans="1:29" s="4" customFormat="1" ht="42" customHeight="1" x14ac:dyDescent="0.2">
      <c r="A1272" s="5">
        <v>0</v>
      </c>
      <c r="B1272" s="6" t="s">
        <v>7882</v>
      </c>
      <c r="C1272" s="7">
        <v>2040</v>
      </c>
      <c r="D1272" s="8" t="s">
        <v>7883</v>
      </c>
      <c r="E1272" s="8" t="s">
        <v>7884</v>
      </c>
      <c r="F1272" s="8" t="s">
        <v>7885</v>
      </c>
      <c r="G1272" s="6" t="s">
        <v>118</v>
      </c>
      <c r="H1272" s="6" t="s">
        <v>34</v>
      </c>
      <c r="I1272" s="8" t="s">
        <v>271</v>
      </c>
      <c r="J1272" s="9">
        <v>1</v>
      </c>
      <c r="K1272" s="9">
        <v>368</v>
      </c>
      <c r="L1272" s="9">
        <v>2023</v>
      </c>
      <c r="M1272" s="8" t="s">
        <v>7886</v>
      </c>
      <c r="N1272" s="8" t="s">
        <v>585</v>
      </c>
      <c r="O1272" s="8" t="s">
        <v>775</v>
      </c>
      <c r="P1272" s="6" t="s">
        <v>51</v>
      </c>
      <c r="Q1272" s="8" t="s">
        <v>52</v>
      </c>
      <c r="R1272" s="10" t="s">
        <v>6735</v>
      </c>
      <c r="S1272" s="11"/>
      <c r="T1272" s="6"/>
      <c r="U1272" s="15" t="str">
        <f>HYPERLINK("https://media.infra-m.ru/2125/2125715/cover/2125715.jpg", "Обложка")</f>
        <v>Обложка</v>
      </c>
      <c r="V1272" s="8" t="s">
        <v>7887</v>
      </c>
      <c r="W1272" s="6"/>
      <c r="X1272" s="6"/>
      <c r="Y1272" s="6"/>
      <c r="Z1272" s="6"/>
      <c r="AA1272" s="6" t="s">
        <v>274</v>
      </c>
      <c r="AB1272" s="8"/>
      <c r="AC1272" s="27">
        <v>9785160103082</v>
      </c>
    </row>
    <row r="1273" spans="1:29" s="4" customFormat="1" ht="51.9" customHeight="1" x14ac:dyDescent="0.2">
      <c r="A1273" s="5">
        <v>0</v>
      </c>
      <c r="B1273" s="6" t="s">
        <v>7888</v>
      </c>
      <c r="C1273" s="7">
        <v>1764</v>
      </c>
      <c r="D1273" s="8" t="s">
        <v>7889</v>
      </c>
      <c r="E1273" s="8" t="s">
        <v>7890</v>
      </c>
      <c r="F1273" s="8" t="s">
        <v>7891</v>
      </c>
      <c r="G1273" s="6" t="s">
        <v>118</v>
      </c>
      <c r="H1273" s="6" t="s">
        <v>34</v>
      </c>
      <c r="I1273" s="8" t="s">
        <v>271</v>
      </c>
      <c r="J1273" s="9">
        <v>1</v>
      </c>
      <c r="K1273" s="9">
        <v>318</v>
      </c>
      <c r="L1273" s="9">
        <v>2023</v>
      </c>
      <c r="M1273" s="8" t="s">
        <v>7892</v>
      </c>
      <c r="N1273" s="8" t="s">
        <v>243</v>
      </c>
      <c r="O1273" s="8" t="s">
        <v>1100</v>
      </c>
      <c r="P1273" s="6" t="s">
        <v>51</v>
      </c>
      <c r="Q1273" s="8" t="s">
        <v>52</v>
      </c>
      <c r="R1273" s="10" t="s">
        <v>2820</v>
      </c>
      <c r="S1273" s="11" t="s">
        <v>7893</v>
      </c>
      <c r="T1273" s="6"/>
      <c r="U1273" s="15" t="str">
        <f>HYPERLINK("https://media.infra-m.ru/2127/2127024/cover/2127024.jpg", "Обложка")</f>
        <v>Обложка</v>
      </c>
      <c r="V1273" s="8" t="s">
        <v>7894</v>
      </c>
      <c r="W1273" s="6"/>
      <c r="X1273" s="6"/>
      <c r="Y1273" s="6"/>
      <c r="Z1273" s="6"/>
      <c r="AA1273" s="6" t="s">
        <v>1256</v>
      </c>
      <c r="AB1273" s="8" t="s">
        <v>2231</v>
      </c>
      <c r="AC1273" s="27">
        <v>9785160156606</v>
      </c>
    </row>
    <row r="1274" spans="1:29" s="4" customFormat="1" ht="51.9" customHeight="1" x14ac:dyDescent="0.2">
      <c r="A1274" s="5">
        <v>0</v>
      </c>
      <c r="B1274" s="6" t="s">
        <v>7895</v>
      </c>
      <c r="C1274" s="7">
        <v>2520</v>
      </c>
      <c r="D1274" s="8" t="s">
        <v>7896</v>
      </c>
      <c r="E1274" s="8" t="s">
        <v>7897</v>
      </c>
      <c r="F1274" s="8" t="s">
        <v>7898</v>
      </c>
      <c r="G1274" s="6" t="s">
        <v>60</v>
      </c>
      <c r="H1274" s="6" t="s">
        <v>34</v>
      </c>
      <c r="I1274" s="8" t="s">
        <v>253</v>
      </c>
      <c r="J1274" s="9">
        <v>1</v>
      </c>
      <c r="K1274" s="9">
        <v>420</v>
      </c>
      <c r="L1274" s="9">
        <v>2025</v>
      </c>
      <c r="M1274" s="8" t="s">
        <v>7899</v>
      </c>
      <c r="N1274" s="8" t="s">
        <v>585</v>
      </c>
      <c r="O1274" s="8" t="s">
        <v>667</v>
      </c>
      <c r="P1274" s="6" t="s">
        <v>306</v>
      </c>
      <c r="Q1274" s="8" t="s">
        <v>52</v>
      </c>
      <c r="R1274" s="10" t="s">
        <v>2820</v>
      </c>
      <c r="S1274" s="11" t="s">
        <v>7900</v>
      </c>
      <c r="T1274" s="6" t="s">
        <v>97</v>
      </c>
      <c r="U1274" s="15" t="str">
        <f>HYPERLINK("https://media.infra-m.ru/2178/2178860/cover/2178860.jpg", "Обложка")</f>
        <v>Обложка</v>
      </c>
      <c r="V1274" s="8" t="s">
        <v>1030</v>
      </c>
      <c r="W1274" s="6"/>
      <c r="X1274" s="6"/>
      <c r="Y1274" s="6"/>
      <c r="Z1274" s="6"/>
      <c r="AA1274" s="6" t="s">
        <v>274</v>
      </c>
      <c r="AB1274" s="8"/>
      <c r="AC1274" s="27">
        <v>9785160206172</v>
      </c>
    </row>
    <row r="1275" spans="1:29" s="4" customFormat="1" ht="51.9" customHeight="1" x14ac:dyDescent="0.2">
      <c r="A1275" s="5">
        <v>0</v>
      </c>
      <c r="B1275" s="6" t="s">
        <v>7901</v>
      </c>
      <c r="C1275" s="7">
        <v>2596.8000000000002</v>
      </c>
      <c r="D1275" s="8" t="s">
        <v>7902</v>
      </c>
      <c r="E1275" s="8" t="s">
        <v>7897</v>
      </c>
      <c r="F1275" s="8" t="s">
        <v>7903</v>
      </c>
      <c r="G1275" s="6" t="s">
        <v>60</v>
      </c>
      <c r="H1275" s="6" t="s">
        <v>34</v>
      </c>
      <c r="I1275" s="8" t="s">
        <v>263</v>
      </c>
      <c r="J1275" s="9">
        <v>1</v>
      </c>
      <c r="K1275" s="9">
        <v>432</v>
      </c>
      <c r="L1275" s="9">
        <v>2025</v>
      </c>
      <c r="M1275" s="8" t="s">
        <v>7904</v>
      </c>
      <c r="N1275" s="8" t="s">
        <v>243</v>
      </c>
      <c r="O1275" s="8" t="s">
        <v>798</v>
      </c>
      <c r="P1275" s="6" t="s">
        <v>306</v>
      </c>
      <c r="Q1275" s="8" t="s">
        <v>265</v>
      </c>
      <c r="R1275" s="10" t="s">
        <v>7905</v>
      </c>
      <c r="S1275" s="11" t="s">
        <v>7906</v>
      </c>
      <c r="T1275" s="6"/>
      <c r="U1275" s="15" t="str">
        <f>HYPERLINK("https://media.infra-m.ru/2187/2187225/cover/2187225.jpg", "Обложка")</f>
        <v>Обложка</v>
      </c>
      <c r="V1275" s="8" t="s">
        <v>809</v>
      </c>
      <c r="W1275" s="6"/>
      <c r="X1275" s="6"/>
      <c r="Y1275" s="6"/>
      <c r="Z1275" s="6"/>
      <c r="AA1275" s="6" t="s">
        <v>1047</v>
      </c>
      <c r="AB1275" s="8"/>
      <c r="AC1275" s="27">
        <v>9785160055367</v>
      </c>
    </row>
    <row r="1276" spans="1:29" s="4" customFormat="1" ht="51.9" customHeight="1" x14ac:dyDescent="0.2">
      <c r="A1276" s="5">
        <v>0</v>
      </c>
      <c r="B1276" s="6" t="s">
        <v>7907</v>
      </c>
      <c r="C1276" s="7">
        <v>2224.8000000000002</v>
      </c>
      <c r="D1276" s="8" t="s">
        <v>7908</v>
      </c>
      <c r="E1276" s="8" t="s">
        <v>7897</v>
      </c>
      <c r="F1276" s="8" t="s">
        <v>7909</v>
      </c>
      <c r="G1276" s="6" t="s">
        <v>118</v>
      </c>
      <c r="H1276" s="6" t="s">
        <v>820</v>
      </c>
      <c r="I1276" s="8" t="s">
        <v>1904</v>
      </c>
      <c r="J1276" s="9">
        <v>1</v>
      </c>
      <c r="K1276" s="9">
        <v>320</v>
      </c>
      <c r="L1276" s="9">
        <v>2026</v>
      </c>
      <c r="M1276" s="8" t="s">
        <v>7910</v>
      </c>
      <c r="N1276" s="8" t="s">
        <v>243</v>
      </c>
      <c r="O1276" s="8" t="s">
        <v>329</v>
      </c>
      <c r="P1276" s="6" t="s">
        <v>306</v>
      </c>
      <c r="Q1276" s="8" t="s">
        <v>52</v>
      </c>
      <c r="R1276" s="10" t="s">
        <v>7911</v>
      </c>
      <c r="S1276" s="11" t="s">
        <v>7912</v>
      </c>
      <c r="T1276" s="6"/>
      <c r="U1276" s="15" t="str">
        <f>HYPERLINK("https://media.infra-m.ru/2262/2262636/cover/2262636.jpg", "Обложка")</f>
        <v>Обложка</v>
      </c>
      <c r="V1276" s="8" t="s">
        <v>1206</v>
      </c>
      <c r="W1276" s="6"/>
      <c r="X1276" s="6"/>
      <c r="Y1276" s="6"/>
      <c r="Z1276" s="6"/>
      <c r="AA1276" s="6" t="s">
        <v>99</v>
      </c>
      <c r="AB1276" s="8"/>
      <c r="AC1276" s="27">
        <v>9785906818775</v>
      </c>
    </row>
    <row r="1277" spans="1:29" s="4" customFormat="1" ht="51.9" customHeight="1" x14ac:dyDescent="0.2">
      <c r="A1277" s="5">
        <v>0</v>
      </c>
      <c r="B1277" s="6" t="s">
        <v>7913</v>
      </c>
      <c r="C1277" s="7">
        <v>2940</v>
      </c>
      <c r="D1277" s="8" t="s">
        <v>7914</v>
      </c>
      <c r="E1277" s="8" t="s">
        <v>7915</v>
      </c>
      <c r="F1277" s="8" t="s">
        <v>7916</v>
      </c>
      <c r="G1277" s="6" t="s">
        <v>60</v>
      </c>
      <c r="H1277" s="6" t="s">
        <v>34</v>
      </c>
      <c r="I1277" s="8" t="s">
        <v>253</v>
      </c>
      <c r="J1277" s="9">
        <v>1</v>
      </c>
      <c r="K1277" s="9">
        <v>423</v>
      </c>
      <c r="L1277" s="9">
        <v>2026</v>
      </c>
      <c r="M1277" s="8" t="s">
        <v>7917</v>
      </c>
      <c r="N1277" s="8" t="s">
        <v>243</v>
      </c>
      <c r="O1277" s="8" t="s">
        <v>758</v>
      </c>
      <c r="P1277" s="6" t="s">
        <v>51</v>
      </c>
      <c r="Q1277" s="8" t="s">
        <v>52</v>
      </c>
      <c r="R1277" s="10" t="s">
        <v>7918</v>
      </c>
      <c r="S1277" s="11" t="s">
        <v>7919</v>
      </c>
      <c r="T1277" s="6"/>
      <c r="U1277" s="15" t="str">
        <f>HYPERLINK("https://media.infra-m.ru/2220/2220934/cover/2220934.jpg", "Обложка")</f>
        <v>Обложка</v>
      </c>
      <c r="V1277" s="8" t="s">
        <v>7920</v>
      </c>
      <c r="W1277" s="6"/>
      <c r="X1277" s="6" t="s">
        <v>24</v>
      </c>
      <c r="Y1277" s="6"/>
      <c r="Z1277" s="6"/>
      <c r="AA1277" s="6" t="s">
        <v>258</v>
      </c>
      <c r="AB1277" s="8"/>
      <c r="AC1277" s="27">
        <v>9785160212951</v>
      </c>
    </row>
    <row r="1278" spans="1:29" s="4" customFormat="1" ht="51.9" customHeight="1" x14ac:dyDescent="0.2">
      <c r="A1278" s="5">
        <v>0</v>
      </c>
      <c r="B1278" s="6" t="s">
        <v>7921</v>
      </c>
      <c r="C1278" s="7">
        <v>1092</v>
      </c>
      <c r="D1278" s="8" t="s">
        <v>7922</v>
      </c>
      <c r="E1278" s="8" t="s">
        <v>7897</v>
      </c>
      <c r="F1278" s="8" t="s">
        <v>7916</v>
      </c>
      <c r="G1278" s="6" t="s">
        <v>60</v>
      </c>
      <c r="H1278" s="6" t="s">
        <v>34</v>
      </c>
      <c r="I1278" s="8" t="s">
        <v>271</v>
      </c>
      <c r="J1278" s="9">
        <v>1</v>
      </c>
      <c r="K1278" s="9">
        <v>301</v>
      </c>
      <c r="L1278" s="9">
        <v>2018</v>
      </c>
      <c r="M1278" s="8" t="s">
        <v>7923</v>
      </c>
      <c r="N1278" s="8" t="s">
        <v>243</v>
      </c>
      <c r="O1278" s="8" t="s">
        <v>329</v>
      </c>
      <c r="P1278" s="6" t="s">
        <v>51</v>
      </c>
      <c r="Q1278" s="8" t="s">
        <v>52</v>
      </c>
      <c r="R1278" s="10" t="s">
        <v>7918</v>
      </c>
      <c r="S1278" s="11" t="s">
        <v>7919</v>
      </c>
      <c r="T1278" s="6"/>
      <c r="U1278" s="15" t="str">
        <f>HYPERLINK("https://media.infra-m.ru/0967/0967866/cover/967866.jpg", "Обложка")</f>
        <v>Обложка</v>
      </c>
      <c r="V1278" s="8" t="s">
        <v>7920</v>
      </c>
      <c r="W1278" s="6"/>
      <c r="X1278" s="6" t="s">
        <v>24</v>
      </c>
      <c r="Y1278" s="6"/>
      <c r="Z1278" s="6"/>
      <c r="AA1278" s="6" t="s">
        <v>99</v>
      </c>
      <c r="AB1278" s="8"/>
      <c r="AC1278" s="27">
        <v>9785160124766</v>
      </c>
    </row>
    <row r="1279" spans="1:29" s="4" customFormat="1" ht="51.9" customHeight="1" x14ac:dyDescent="0.2">
      <c r="A1279" s="5">
        <v>0</v>
      </c>
      <c r="B1279" s="6" t="s">
        <v>7924</v>
      </c>
      <c r="C1279" s="7">
        <v>2424</v>
      </c>
      <c r="D1279" s="8" t="s">
        <v>7925</v>
      </c>
      <c r="E1279" s="8" t="s">
        <v>7897</v>
      </c>
      <c r="F1279" s="8" t="s">
        <v>7891</v>
      </c>
      <c r="G1279" s="6" t="s">
        <v>60</v>
      </c>
      <c r="H1279" s="6" t="s">
        <v>34</v>
      </c>
      <c r="I1279" s="8" t="s">
        <v>271</v>
      </c>
      <c r="J1279" s="9">
        <v>1</v>
      </c>
      <c r="K1279" s="9">
        <v>438</v>
      </c>
      <c r="L1279" s="9">
        <v>2023</v>
      </c>
      <c r="M1279" s="8" t="s">
        <v>7926</v>
      </c>
      <c r="N1279" s="8" t="s">
        <v>243</v>
      </c>
      <c r="O1279" s="8" t="s">
        <v>1100</v>
      </c>
      <c r="P1279" s="6" t="s">
        <v>51</v>
      </c>
      <c r="Q1279" s="8" t="s">
        <v>52</v>
      </c>
      <c r="R1279" s="10" t="s">
        <v>7927</v>
      </c>
      <c r="S1279" s="11" t="s">
        <v>7928</v>
      </c>
      <c r="T1279" s="6"/>
      <c r="U1279" s="15" t="str">
        <f>HYPERLINK("https://media.infra-m.ru/1960/1960101/cover/1960101.jpg", "Обложка")</f>
        <v>Обложка</v>
      </c>
      <c r="V1279" s="8" t="s">
        <v>7894</v>
      </c>
      <c r="W1279" s="6"/>
      <c r="X1279" s="6" t="s">
        <v>24</v>
      </c>
      <c r="Y1279" s="6"/>
      <c r="Z1279" s="6"/>
      <c r="AA1279" s="6" t="s">
        <v>430</v>
      </c>
      <c r="AB1279" s="8" t="s">
        <v>2231</v>
      </c>
      <c r="AC1279" s="27">
        <v>9785160156590</v>
      </c>
    </row>
    <row r="1280" spans="1:29" s="4" customFormat="1" ht="51.9" customHeight="1" x14ac:dyDescent="0.2">
      <c r="A1280" s="5">
        <v>0</v>
      </c>
      <c r="B1280" s="6" t="s">
        <v>7929</v>
      </c>
      <c r="C1280" s="7">
        <v>2136</v>
      </c>
      <c r="D1280" s="8" t="s">
        <v>7930</v>
      </c>
      <c r="E1280" s="8" t="s">
        <v>7931</v>
      </c>
      <c r="F1280" s="8" t="s">
        <v>7932</v>
      </c>
      <c r="G1280" s="6" t="s">
        <v>118</v>
      </c>
      <c r="H1280" s="6" t="s">
        <v>34</v>
      </c>
      <c r="I1280" s="8" t="s">
        <v>253</v>
      </c>
      <c r="J1280" s="9">
        <v>1</v>
      </c>
      <c r="K1280" s="9">
        <v>336</v>
      </c>
      <c r="L1280" s="9">
        <v>2025</v>
      </c>
      <c r="M1280" s="8" t="s">
        <v>7933</v>
      </c>
      <c r="N1280" s="8" t="s">
        <v>243</v>
      </c>
      <c r="O1280" s="8" t="s">
        <v>758</v>
      </c>
      <c r="P1280" s="6" t="s">
        <v>51</v>
      </c>
      <c r="Q1280" s="8" t="s">
        <v>65</v>
      </c>
      <c r="R1280" s="10" t="s">
        <v>7934</v>
      </c>
      <c r="S1280" s="11" t="s">
        <v>7935</v>
      </c>
      <c r="T1280" s="6"/>
      <c r="U1280" s="15" t="str">
        <f>HYPERLINK("https://media.infra-m.ru/2207/2207058/cover/2207058.jpg", "Обложка")</f>
        <v>Обложка</v>
      </c>
      <c r="V1280" s="8" t="s">
        <v>2446</v>
      </c>
      <c r="W1280" s="6"/>
      <c r="X1280" s="6"/>
      <c r="Y1280" s="6"/>
      <c r="Z1280" s="6"/>
      <c r="AA1280" s="6" t="s">
        <v>129</v>
      </c>
      <c r="AB1280" s="8"/>
      <c r="AC1280" s="27">
        <v>9785160186443</v>
      </c>
    </row>
    <row r="1281" spans="1:29" s="4" customFormat="1" ht="42" customHeight="1" x14ac:dyDescent="0.2">
      <c r="A1281" s="5">
        <v>0</v>
      </c>
      <c r="B1281" s="6" t="s">
        <v>7936</v>
      </c>
      <c r="C1281" s="7">
        <v>1012.8</v>
      </c>
      <c r="D1281" s="8" t="s">
        <v>7937</v>
      </c>
      <c r="E1281" s="8" t="s">
        <v>7938</v>
      </c>
      <c r="F1281" s="8" t="s">
        <v>7939</v>
      </c>
      <c r="G1281" s="6" t="s">
        <v>33</v>
      </c>
      <c r="H1281" s="6" t="s">
        <v>34</v>
      </c>
      <c r="I1281" s="8" t="s">
        <v>35</v>
      </c>
      <c r="J1281" s="9">
        <v>1</v>
      </c>
      <c r="K1281" s="9">
        <v>153</v>
      </c>
      <c r="L1281" s="9">
        <v>2026</v>
      </c>
      <c r="M1281" s="8" t="s">
        <v>7940</v>
      </c>
      <c r="N1281" s="8" t="s">
        <v>585</v>
      </c>
      <c r="O1281" s="8" t="s">
        <v>775</v>
      </c>
      <c r="P1281" s="6" t="s">
        <v>39</v>
      </c>
      <c r="Q1281" s="8" t="s">
        <v>40</v>
      </c>
      <c r="R1281" s="10" t="s">
        <v>7602</v>
      </c>
      <c r="S1281" s="11"/>
      <c r="T1281" s="6"/>
      <c r="U1281" s="15" t="str">
        <f>HYPERLINK("https://media.infra-m.ru/2239/2239096/cover/2239096.jpg", "Обложка")</f>
        <v>Обложка</v>
      </c>
      <c r="V1281" s="8" t="s">
        <v>3087</v>
      </c>
      <c r="W1281" s="6"/>
      <c r="X1281" s="6"/>
      <c r="Y1281" s="6"/>
      <c r="Z1281" s="6"/>
      <c r="AA1281" s="6" t="s">
        <v>43</v>
      </c>
      <c r="AB1281" s="8"/>
      <c r="AC1281" s="27">
        <v>9785160052564</v>
      </c>
    </row>
    <row r="1282" spans="1:29" s="4" customFormat="1" ht="51.9" customHeight="1" x14ac:dyDescent="0.2">
      <c r="A1282" s="5">
        <v>0</v>
      </c>
      <c r="B1282" s="6" t="s">
        <v>7941</v>
      </c>
      <c r="C1282" s="7">
        <v>2164.8000000000002</v>
      </c>
      <c r="D1282" s="8" t="s">
        <v>7942</v>
      </c>
      <c r="E1282" s="8" t="s">
        <v>7943</v>
      </c>
      <c r="F1282" s="8" t="s">
        <v>7944</v>
      </c>
      <c r="G1282" s="6" t="s">
        <v>118</v>
      </c>
      <c r="H1282" s="6" t="s">
        <v>34</v>
      </c>
      <c r="I1282" s="8" t="s">
        <v>253</v>
      </c>
      <c r="J1282" s="9">
        <v>1</v>
      </c>
      <c r="K1282" s="9">
        <v>328</v>
      </c>
      <c r="L1282" s="9">
        <v>2026</v>
      </c>
      <c r="M1282" s="8" t="s">
        <v>7945</v>
      </c>
      <c r="N1282" s="8" t="s">
        <v>585</v>
      </c>
      <c r="O1282" s="8" t="s">
        <v>775</v>
      </c>
      <c r="P1282" s="6" t="s">
        <v>51</v>
      </c>
      <c r="Q1282" s="8" t="s">
        <v>65</v>
      </c>
      <c r="R1282" s="10" t="s">
        <v>7946</v>
      </c>
      <c r="S1282" s="11" t="s">
        <v>7947</v>
      </c>
      <c r="T1282" s="6"/>
      <c r="U1282" s="15" t="str">
        <f>HYPERLINK("https://media.infra-m.ru/2224/2224164/cover/2224164.jpg", "Обложка")</f>
        <v>Обложка</v>
      </c>
      <c r="V1282" s="8" t="s">
        <v>1030</v>
      </c>
      <c r="W1282" s="6"/>
      <c r="X1282" s="6" t="s">
        <v>24</v>
      </c>
      <c r="Y1282" s="6"/>
      <c r="Z1282" s="6"/>
      <c r="AA1282" s="6" t="s">
        <v>86</v>
      </c>
      <c r="AB1282" s="8"/>
      <c r="AC1282" s="27">
        <v>9785160185644</v>
      </c>
    </row>
    <row r="1283" spans="1:29" s="4" customFormat="1" ht="51.9" customHeight="1" x14ac:dyDescent="0.2">
      <c r="A1283" s="5">
        <v>0</v>
      </c>
      <c r="B1283" s="6" t="s">
        <v>7948</v>
      </c>
      <c r="C1283" s="7">
        <v>1564.8</v>
      </c>
      <c r="D1283" s="8" t="s">
        <v>7949</v>
      </c>
      <c r="E1283" s="8" t="s">
        <v>7950</v>
      </c>
      <c r="F1283" s="8" t="s">
        <v>7758</v>
      </c>
      <c r="G1283" s="6" t="s">
        <v>60</v>
      </c>
      <c r="H1283" s="6" t="s">
        <v>34</v>
      </c>
      <c r="I1283" s="8" t="s">
        <v>504</v>
      </c>
      <c r="J1283" s="9">
        <v>1</v>
      </c>
      <c r="K1283" s="9">
        <v>251</v>
      </c>
      <c r="L1283" s="9">
        <v>2025</v>
      </c>
      <c r="M1283" s="8" t="s">
        <v>7951</v>
      </c>
      <c r="N1283" s="8" t="s">
        <v>585</v>
      </c>
      <c r="O1283" s="8" t="s">
        <v>775</v>
      </c>
      <c r="P1283" s="6" t="s">
        <v>306</v>
      </c>
      <c r="Q1283" s="8" t="s">
        <v>500</v>
      </c>
      <c r="R1283" s="10" t="s">
        <v>7952</v>
      </c>
      <c r="S1283" s="11" t="s">
        <v>7953</v>
      </c>
      <c r="T1283" s="6" t="s">
        <v>97</v>
      </c>
      <c r="U1283" s="15" t="str">
        <f>HYPERLINK("https://media.infra-m.ru/2212/2212029/cover/2212029.jpg", "Обложка")</f>
        <v>Обложка</v>
      </c>
      <c r="V1283" s="8" t="s">
        <v>3109</v>
      </c>
      <c r="W1283" s="6"/>
      <c r="X1283" s="6"/>
      <c r="Y1283" s="6"/>
      <c r="Z1283" s="6"/>
      <c r="AA1283" s="6" t="s">
        <v>1256</v>
      </c>
      <c r="AB1283" s="8"/>
      <c r="AC1283" s="27">
        <v>9785160142098</v>
      </c>
    </row>
    <row r="1284" spans="1:29" s="4" customFormat="1" ht="42" customHeight="1" x14ac:dyDescent="0.2">
      <c r="A1284" s="5">
        <v>0</v>
      </c>
      <c r="B1284" s="6" t="s">
        <v>7954</v>
      </c>
      <c r="C1284" s="7">
        <v>1344</v>
      </c>
      <c r="D1284" s="8" t="s">
        <v>7955</v>
      </c>
      <c r="E1284" s="8" t="s">
        <v>7956</v>
      </c>
      <c r="F1284" s="8" t="s">
        <v>7957</v>
      </c>
      <c r="G1284" s="6" t="s">
        <v>118</v>
      </c>
      <c r="H1284" s="6" t="s">
        <v>34</v>
      </c>
      <c r="I1284" s="8" t="s">
        <v>253</v>
      </c>
      <c r="J1284" s="9">
        <v>1</v>
      </c>
      <c r="K1284" s="9">
        <v>249</v>
      </c>
      <c r="L1284" s="9">
        <v>2023</v>
      </c>
      <c r="M1284" s="8" t="s">
        <v>7958</v>
      </c>
      <c r="N1284" s="8" t="s">
        <v>585</v>
      </c>
      <c r="O1284" s="8" t="s">
        <v>775</v>
      </c>
      <c r="P1284" s="6" t="s">
        <v>306</v>
      </c>
      <c r="Q1284" s="8" t="s">
        <v>52</v>
      </c>
      <c r="R1284" s="10" t="s">
        <v>7959</v>
      </c>
      <c r="S1284" s="11"/>
      <c r="T1284" s="6" t="s">
        <v>97</v>
      </c>
      <c r="U1284" s="15" t="str">
        <f>HYPERLINK("https://media.infra-m.ru/1891/1891823/cover/1891823.jpg", "Обложка")</f>
        <v>Обложка</v>
      </c>
      <c r="V1284" s="8" t="s">
        <v>3109</v>
      </c>
      <c r="W1284" s="6"/>
      <c r="X1284" s="6"/>
      <c r="Y1284" s="6"/>
      <c r="Z1284" s="6"/>
      <c r="AA1284" s="6" t="s">
        <v>779</v>
      </c>
      <c r="AB1284" s="8"/>
      <c r="AC1284" s="27">
        <v>9785160181400</v>
      </c>
    </row>
    <row r="1285" spans="1:29" s="4" customFormat="1" ht="51.9" customHeight="1" x14ac:dyDescent="0.2">
      <c r="A1285" s="5">
        <v>0</v>
      </c>
      <c r="B1285" s="6" t="s">
        <v>7960</v>
      </c>
      <c r="C1285" s="7">
        <v>1548</v>
      </c>
      <c r="D1285" s="8" t="s">
        <v>7961</v>
      </c>
      <c r="E1285" s="8" t="s">
        <v>7962</v>
      </c>
      <c r="F1285" s="8" t="s">
        <v>7963</v>
      </c>
      <c r="G1285" s="6" t="s">
        <v>118</v>
      </c>
      <c r="H1285" s="6" t="s">
        <v>34</v>
      </c>
      <c r="I1285" s="8" t="s">
        <v>263</v>
      </c>
      <c r="J1285" s="9">
        <v>1</v>
      </c>
      <c r="K1285" s="9">
        <v>233</v>
      </c>
      <c r="L1285" s="9">
        <v>2026</v>
      </c>
      <c r="M1285" s="8" t="s">
        <v>7964</v>
      </c>
      <c r="N1285" s="8" t="s">
        <v>585</v>
      </c>
      <c r="O1285" s="8" t="s">
        <v>775</v>
      </c>
      <c r="P1285" s="6" t="s">
        <v>306</v>
      </c>
      <c r="Q1285" s="8" t="s">
        <v>265</v>
      </c>
      <c r="R1285" s="10" t="s">
        <v>7965</v>
      </c>
      <c r="S1285" s="11" t="s">
        <v>7966</v>
      </c>
      <c r="T1285" s="6" t="s">
        <v>97</v>
      </c>
      <c r="U1285" s="15" t="str">
        <f>HYPERLINK("https://media.infra-m.ru/2256/2256841/cover/2256841.jpg", "Обложка")</f>
        <v>Обложка</v>
      </c>
      <c r="V1285" s="8" t="s">
        <v>3109</v>
      </c>
      <c r="W1285" s="6"/>
      <c r="X1285" s="6" t="s">
        <v>24</v>
      </c>
      <c r="Y1285" s="6"/>
      <c r="Z1285" s="6"/>
      <c r="AA1285" s="6" t="s">
        <v>115</v>
      </c>
      <c r="AB1285" s="8"/>
      <c r="AC1285" s="27">
        <v>9785160142739</v>
      </c>
    </row>
    <row r="1286" spans="1:29" s="4" customFormat="1" ht="51.9" customHeight="1" x14ac:dyDescent="0.2">
      <c r="A1286" s="5">
        <v>0</v>
      </c>
      <c r="B1286" s="6" t="s">
        <v>7967</v>
      </c>
      <c r="C1286" s="7">
        <v>1800</v>
      </c>
      <c r="D1286" s="8" t="s">
        <v>7968</v>
      </c>
      <c r="E1286" s="8" t="s">
        <v>7969</v>
      </c>
      <c r="F1286" s="8" t="s">
        <v>7970</v>
      </c>
      <c r="G1286" s="6" t="s">
        <v>118</v>
      </c>
      <c r="H1286" s="6" t="s">
        <v>34</v>
      </c>
      <c r="I1286" s="8" t="s">
        <v>253</v>
      </c>
      <c r="J1286" s="9">
        <v>1</v>
      </c>
      <c r="K1286" s="9">
        <v>288</v>
      </c>
      <c r="L1286" s="9">
        <v>2025</v>
      </c>
      <c r="M1286" s="8" t="s">
        <v>7971</v>
      </c>
      <c r="N1286" s="8" t="s">
        <v>585</v>
      </c>
      <c r="O1286" s="8" t="s">
        <v>775</v>
      </c>
      <c r="P1286" s="6" t="s">
        <v>51</v>
      </c>
      <c r="Q1286" s="8" t="s">
        <v>500</v>
      </c>
      <c r="R1286" s="10" t="s">
        <v>7602</v>
      </c>
      <c r="S1286" s="11" t="s">
        <v>7972</v>
      </c>
      <c r="T1286" s="6" t="s">
        <v>97</v>
      </c>
      <c r="U1286" s="15" t="str">
        <f>HYPERLINK("https://media.infra-m.ru/2209/2209103/cover/2209103.jpg", "Обложка")</f>
        <v>Обложка</v>
      </c>
      <c r="V1286" s="8"/>
      <c r="W1286" s="6"/>
      <c r="X1286" s="6"/>
      <c r="Y1286" s="6"/>
      <c r="Z1286" s="6"/>
      <c r="AA1286" s="6" t="s">
        <v>55</v>
      </c>
      <c r="AB1286" s="8"/>
      <c r="AC1286" s="27">
        <v>9785160210025</v>
      </c>
    </row>
    <row r="1287" spans="1:29" s="4" customFormat="1" ht="42" customHeight="1" x14ac:dyDescent="0.2">
      <c r="A1287" s="5">
        <v>0</v>
      </c>
      <c r="B1287" s="6" t="s">
        <v>7973</v>
      </c>
      <c r="C1287" s="7">
        <v>1092</v>
      </c>
      <c r="D1287" s="8" t="s">
        <v>7974</v>
      </c>
      <c r="E1287" s="8" t="s">
        <v>7975</v>
      </c>
      <c r="F1287" s="8" t="s">
        <v>7976</v>
      </c>
      <c r="G1287" s="6" t="s">
        <v>33</v>
      </c>
      <c r="H1287" s="6" t="s">
        <v>34</v>
      </c>
      <c r="I1287" s="8" t="s">
        <v>35</v>
      </c>
      <c r="J1287" s="9">
        <v>1</v>
      </c>
      <c r="K1287" s="9">
        <v>198</v>
      </c>
      <c r="L1287" s="9">
        <v>2024</v>
      </c>
      <c r="M1287" s="8" t="s">
        <v>7977</v>
      </c>
      <c r="N1287" s="8" t="s">
        <v>585</v>
      </c>
      <c r="O1287" s="8" t="s">
        <v>667</v>
      </c>
      <c r="P1287" s="6" t="s">
        <v>39</v>
      </c>
      <c r="Q1287" s="8" t="s">
        <v>40</v>
      </c>
      <c r="R1287" s="10" t="s">
        <v>5717</v>
      </c>
      <c r="S1287" s="11"/>
      <c r="T1287" s="6"/>
      <c r="U1287" s="15" t="str">
        <f>HYPERLINK("https://media.infra-m.ru/2124/2124908/cover/2124908.jpg", "Обложка")</f>
        <v>Обложка</v>
      </c>
      <c r="V1287" s="8" t="s">
        <v>3864</v>
      </c>
      <c r="W1287" s="6"/>
      <c r="X1287" s="6"/>
      <c r="Y1287" s="6"/>
      <c r="Z1287" s="6"/>
      <c r="AA1287" s="6" t="s">
        <v>248</v>
      </c>
      <c r="AB1287" s="8"/>
      <c r="AC1287" s="27">
        <v>9785160092911</v>
      </c>
    </row>
    <row r="1288" spans="1:29" s="4" customFormat="1" ht="44.1" customHeight="1" x14ac:dyDescent="0.2">
      <c r="A1288" s="5">
        <v>0</v>
      </c>
      <c r="B1288" s="6" t="s">
        <v>7978</v>
      </c>
      <c r="C1288" s="7">
        <v>1032</v>
      </c>
      <c r="D1288" s="8" t="s">
        <v>7979</v>
      </c>
      <c r="E1288" s="8" t="s">
        <v>7980</v>
      </c>
      <c r="F1288" s="8" t="s">
        <v>7981</v>
      </c>
      <c r="G1288" s="6" t="s">
        <v>33</v>
      </c>
      <c r="H1288" s="6" t="s">
        <v>241</v>
      </c>
      <c r="I1288" s="8" t="s">
        <v>3496</v>
      </c>
      <c r="J1288" s="9">
        <v>1</v>
      </c>
      <c r="K1288" s="9">
        <v>180</v>
      </c>
      <c r="L1288" s="9">
        <v>2024</v>
      </c>
      <c r="M1288" s="8" t="s">
        <v>7982</v>
      </c>
      <c r="N1288" s="8" t="s">
        <v>585</v>
      </c>
      <c r="O1288" s="8" t="s">
        <v>667</v>
      </c>
      <c r="P1288" s="6" t="s">
        <v>39</v>
      </c>
      <c r="Q1288" s="8" t="s">
        <v>749</v>
      </c>
      <c r="R1288" s="10" t="s">
        <v>7983</v>
      </c>
      <c r="S1288" s="11"/>
      <c r="T1288" s="6"/>
      <c r="U1288" s="15" t="str">
        <f>HYPERLINK("https://media.infra-m.ru/2086/2086789/cover/2086789.jpg", "Обложка")</f>
        <v>Обложка</v>
      </c>
      <c r="V1288" s="8" t="s">
        <v>217</v>
      </c>
      <c r="W1288" s="6"/>
      <c r="X1288" s="6"/>
      <c r="Y1288" s="6"/>
      <c r="Z1288" s="6"/>
      <c r="AA1288" s="6" t="s">
        <v>274</v>
      </c>
      <c r="AB1288" s="8"/>
      <c r="AC1288" s="27">
        <v>9785955804279</v>
      </c>
    </row>
    <row r="1289" spans="1:29" s="4" customFormat="1" ht="51.9" customHeight="1" x14ac:dyDescent="0.2">
      <c r="A1289" s="5">
        <v>0</v>
      </c>
      <c r="B1289" s="6" t="s">
        <v>7984</v>
      </c>
      <c r="C1289" s="7">
        <v>2020.8</v>
      </c>
      <c r="D1289" s="8" t="s">
        <v>7985</v>
      </c>
      <c r="E1289" s="8" t="s">
        <v>7986</v>
      </c>
      <c r="F1289" s="8" t="s">
        <v>7987</v>
      </c>
      <c r="G1289" s="6" t="s">
        <v>60</v>
      </c>
      <c r="H1289" s="6" t="s">
        <v>34</v>
      </c>
      <c r="I1289" s="8" t="s">
        <v>35</v>
      </c>
      <c r="J1289" s="9">
        <v>1</v>
      </c>
      <c r="K1289" s="9">
        <v>306</v>
      </c>
      <c r="L1289" s="9">
        <v>2025</v>
      </c>
      <c r="M1289" s="8" t="s">
        <v>7988</v>
      </c>
      <c r="N1289" s="8" t="s">
        <v>585</v>
      </c>
      <c r="O1289" s="8" t="s">
        <v>775</v>
      </c>
      <c r="P1289" s="6" t="s">
        <v>39</v>
      </c>
      <c r="Q1289" s="8" t="s">
        <v>40</v>
      </c>
      <c r="R1289" s="10" t="s">
        <v>7989</v>
      </c>
      <c r="S1289" s="11"/>
      <c r="T1289" s="6"/>
      <c r="U1289" s="15" t="str">
        <f>HYPERLINK("https://media.infra-m.ru/2227/2227514/cover/2227514.jpg", "Обложка")</f>
        <v>Обложка</v>
      </c>
      <c r="V1289" s="8" t="s">
        <v>7990</v>
      </c>
      <c r="W1289" s="6"/>
      <c r="X1289" s="6"/>
      <c r="Y1289" s="6"/>
      <c r="Z1289" s="6"/>
      <c r="AA1289" s="6" t="s">
        <v>68</v>
      </c>
      <c r="AB1289" s="8"/>
      <c r="AC1289" s="27">
        <v>9785160208459</v>
      </c>
    </row>
    <row r="1290" spans="1:29" s="4" customFormat="1" ht="42" customHeight="1" x14ac:dyDescent="0.2">
      <c r="A1290" s="5">
        <v>0</v>
      </c>
      <c r="B1290" s="6" t="s">
        <v>7991</v>
      </c>
      <c r="C1290" s="7">
        <v>2438.4</v>
      </c>
      <c r="D1290" s="8" t="s">
        <v>7992</v>
      </c>
      <c r="E1290" s="8" t="s">
        <v>7993</v>
      </c>
      <c r="F1290" s="8" t="s">
        <v>7994</v>
      </c>
      <c r="G1290" s="6" t="s">
        <v>118</v>
      </c>
      <c r="H1290" s="6" t="s">
        <v>34</v>
      </c>
      <c r="I1290" s="8" t="s">
        <v>2171</v>
      </c>
      <c r="J1290" s="9">
        <v>1</v>
      </c>
      <c r="K1290" s="9">
        <v>283</v>
      </c>
      <c r="L1290" s="9">
        <v>2026</v>
      </c>
      <c r="M1290" s="8" t="s">
        <v>7995</v>
      </c>
      <c r="N1290" s="8" t="s">
        <v>243</v>
      </c>
      <c r="O1290" s="8" t="s">
        <v>964</v>
      </c>
      <c r="P1290" s="6" t="s">
        <v>105</v>
      </c>
      <c r="Q1290" s="8" t="s">
        <v>52</v>
      </c>
      <c r="R1290" s="10" t="s">
        <v>7996</v>
      </c>
      <c r="S1290" s="11"/>
      <c r="T1290" s="6"/>
      <c r="U1290" s="15" t="str">
        <f>HYPERLINK("https://media.infra-m.ru/2241/2241177/cover/2241177.jpg", "Обложка")</f>
        <v>Обложка</v>
      </c>
      <c r="V1290" s="8" t="s">
        <v>2175</v>
      </c>
      <c r="W1290" s="6"/>
      <c r="X1290" s="6"/>
      <c r="Y1290" s="6"/>
      <c r="Z1290" s="6"/>
      <c r="AA1290" s="6" t="s">
        <v>115</v>
      </c>
      <c r="AB1290" s="8"/>
      <c r="AC1290" s="27">
        <v>9785160149486</v>
      </c>
    </row>
    <row r="1291" spans="1:29" s="4" customFormat="1" ht="42" customHeight="1" x14ac:dyDescent="0.2">
      <c r="A1291" s="5">
        <v>0</v>
      </c>
      <c r="B1291" s="6" t="s">
        <v>7997</v>
      </c>
      <c r="C1291" s="7">
        <v>2432.4</v>
      </c>
      <c r="D1291" s="8" t="s">
        <v>7998</v>
      </c>
      <c r="E1291" s="8" t="s">
        <v>7993</v>
      </c>
      <c r="F1291" s="8" t="s">
        <v>7999</v>
      </c>
      <c r="G1291" s="6" t="s">
        <v>118</v>
      </c>
      <c r="H1291" s="6" t="s">
        <v>34</v>
      </c>
      <c r="I1291" s="8" t="s">
        <v>5790</v>
      </c>
      <c r="J1291" s="9">
        <v>1</v>
      </c>
      <c r="K1291" s="9">
        <v>283</v>
      </c>
      <c r="L1291" s="9">
        <v>2026</v>
      </c>
      <c r="M1291" s="8" t="s">
        <v>8000</v>
      </c>
      <c r="N1291" s="8" t="s">
        <v>243</v>
      </c>
      <c r="O1291" s="8" t="s">
        <v>964</v>
      </c>
      <c r="P1291" s="6" t="s">
        <v>105</v>
      </c>
      <c r="Q1291" s="8" t="s">
        <v>265</v>
      </c>
      <c r="R1291" s="10" t="s">
        <v>8001</v>
      </c>
      <c r="S1291" s="11"/>
      <c r="T1291" s="6"/>
      <c r="U1291" s="15" t="str">
        <f>HYPERLINK("https://media.infra-m.ru/2243/2243248/cover/2243248.jpg", "Обложка")</f>
        <v>Обложка</v>
      </c>
      <c r="V1291" s="8"/>
      <c r="W1291" s="6"/>
      <c r="X1291" s="6"/>
      <c r="Y1291" s="6"/>
      <c r="Z1291" s="6" t="s">
        <v>267</v>
      </c>
      <c r="AA1291" s="6" t="s">
        <v>430</v>
      </c>
      <c r="AB1291" s="8"/>
      <c r="AC1291" s="27">
        <v>9785160168920</v>
      </c>
    </row>
    <row r="1292" spans="1:29" s="4" customFormat="1" ht="51.9" customHeight="1" x14ac:dyDescent="0.2">
      <c r="A1292" s="5">
        <v>0</v>
      </c>
      <c r="B1292" s="6" t="s">
        <v>8002</v>
      </c>
      <c r="C1292" s="7">
        <v>1008</v>
      </c>
      <c r="D1292" s="8" t="s">
        <v>8003</v>
      </c>
      <c r="E1292" s="8" t="s">
        <v>8004</v>
      </c>
      <c r="F1292" s="8" t="s">
        <v>8005</v>
      </c>
      <c r="G1292" s="6" t="s">
        <v>33</v>
      </c>
      <c r="H1292" s="6" t="s">
        <v>34</v>
      </c>
      <c r="I1292" s="8" t="s">
        <v>5350</v>
      </c>
      <c r="J1292" s="9">
        <v>1</v>
      </c>
      <c r="K1292" s="9">
        <v>149</v>
      </c>
      <c r="L1292" s="9">
        <v>2025</v>
      </c>
      <c r="M1292" s="8" t="s">
        <v>8006</v>
      </c>
      <c r="N1292" s="8" t="s">
        <v>243</v>
      </c>
      <c r="O1292" s="8" t="s">
        <v>758</v>
      </c>
      <c r="P1292" s="6" t="s">
        <v>51</v>
      </c>
      <c r="Q1292" s="8" t="s">
        <v>377</v>
      </c>
      <c r="R1292" s="10" t="s">
        <v>8007</v>
      </c>
      <c r="S1292" s="11" t="s">
        <v>8008</v>
      </c>
      <c r="T1292" s="6"/>
      <c r="U1292" s="15" t="str">
        <f>HYPERLINK("https://media.infra-m.ru/2205/2205523/cover/2205523.jpg", "Обложка")</f>
        <v>Обложка</v>
      </c>
      <c r="V1292" s="8" t="s">
        <v>6642</v>
      </c>
      <c r="W1292" s="6"/>
      <c r="X1292" s="6" t="s">
        <v>24</v>
      </c>
      <c r="Y1292" s="6"/>
      <c r="Z1292" s="6"/>
      <c r="AA1292" s="6" t="s">
        <v>779</v>
      </c>
      <c r="AB1292" s="8"/>
      <c r="AC1292" s="27">
        <v>9785160209319</v>
      </c>
    </row>
    <row r="1293" spans="1:29" s="4" customFormat="1" ht="51.9" customHeight="1" x14ac:dyDescent="0.2">
      <c r="A1293" s="5">
        <v>0</v>
      </c>
      <c r="B1293" s="6" t="s">
        <v>8009</v>
      </c>
      <c r="C1293" s="7">
        <v>1524</v>
      </c>
      <c r="D1293" s="8" t="s">
        <v>8010</v>
      </c>
      <c r="E1293" s="8" t="s">
        <v>8011</v>
      </c>
      <c r="F1293" s="8" t="s">
        <v>8012</v>
      </c>
      <c r="G1293" s="6" t="s">
        <v>118</v>
      </c>
      <c r="H1293" s="6" t="s">
        <v>34</v>
      </c>
      <c r="I1293" s="8" t="s">
        <v>271</v>
      </c>
      <c r="J1293" s="9">
        <v>1</v>
      </c>
      <c r="K1293" s="9">
        <v>281</v>
      </c>
      <c r="L1293" s="9">
        <v>2023</v>
      </c>
      <c r="M1293" s="8" t="s">
        <v>8013</v>
      </c>
      <c r="N1293" s="8" t="s">
        <v>243</v>
      </c>
      <c r="O1293" s="8" t="s">
        <v>758</v>
      </c>
      <c r="P1293" s="6" t="s">
        <v>51</v>
      </c>
      <c r="Q1293" s="8" t="s">
        <v>52</v>
      </c>
      <c r="R1293" s="10" t="s">
        <v>8014</v>
      </c>
      <c r="S1293" s="11" t="s">
        <v>8015</v>
      </c>
      <c r="T1293" s="6"/>
      <c r="U1293" s="15" t="str">
        <f>HYPERLINK("https://media.infra-m.ru/1915/1915371/cover/1915371.jpg", "Обложка")</f>
        <v>Обложка</v>
      </c>
      <c r="V1293" s="8" t="s">
        <v>3595</v>
      </c>
      <c r="W1293" s="6"/>
      <c r="X1293" s="6"/>
      <c r="Y1293" s="6"/>
      <c r="Z1293" s="6"/>
      <c r="AA1293" s="6" t="s">
        <v>115</v>
      </c>
      <c r="AB1293" s="8"/>
      <c r="AC1293" s="27">
        <v>9785160148793</v>
      </c>
    </row>
    <row r="1294" spans="1:29" s="4" customFormat="1" ht="51.9" customHeight="1" x14ac:dyDescent="0.2">
      <c r="A1294" s="5">
        <v>0</v>
      </c>
      <c r="B1294" s="6" t="s">
        <v>8016</v>
      </c>
      <c r="C1294" s="7">
        <v>1512</v>
      </c>
      <c r="D1294" s="8" t="s">
        <v>8017</v>
      </c>
      <c r="E1294" s="8" t="s">
        <v>8018</v>
      </c>
      <c r="F1294" s="8" t="s">
        <v>8019</v>
      </c>
      <c r="G1294" s="6" t="s">
        <v>33</v>
      </c>
      <c r="H1294" s="6" t="s">
        <v>313</v>
      </c>
      <c r="I1294" s="8" t="s">
        <v>35</v>
      </c>
      <c r="J1294" s="9">
        <v>20</v>
      </c>
      <c r="K1294" s="9">
        <v>321</v>
      </c>
      <c r="L1294" s="9">
        <v>2022</v>
      </c>
      <c r="M1294" s="8" t="s">
        <v>8020</v>
      </c>
      <c r="N1294" s="8" t="s">
        <v>243</v>
      </c>
      <c r="O1294" s="8" t="s">
        <v>798</v>
      </c>
      <c r="P1294" s="6" t="s">
        <v>39</v>
      </c>
      <c r="Q1294" s="8" t="s">
        <v>40</v>
      </c>
      <c r="R1294" s="10" t="s">
        <v>8021</v>
      </c>
      <c r="S1294" s="11"/>
      <c r="T1294" s="6"/>
      <c r="U1294" s="15" t="str">
        <f>HYPERLINK("https://media.infra-m.ru/1021/1021973/cover/1021973.jpg", "Обложка")</f>
        <v>Обложка</v>
      </c>
      <c r="V1294" s="8" t="s">
        <v>8022</v>
      </c>
      <c r="W1294" s="6"/>
      <c r="X1294" s="6"/>
      <c r="Y1294" s="6"/>
      <c r="Z1294" s="6"/>
      <c r="AA1294" s="6" t="s">
        <v>55</v>
      </c>
      <c r="AB1294" s="8"/>
      <c r="AC1294" s="27">
        <v>9785369012307</v>
      </c>
    </row>
    <row r="1295" spans="1:29" s="4" customFormat="1" ht="42" customHeight="1" x14ac:dyDescent="0.2">
      <c r="A1295" s="5">
        <v>0</v>
      </c>
      <c r="B1295" s="6" t="s">
        <v>8023</v>
      </c>
      <c r="C1295" s="7">
        <v>4152</v>
      </c>
      <c r="D1295" s="8" t="s">
        <v>8024</v>
      </c>
      <c r="E1295" s="8" t="s">
        <v>8025</v>
      </c>
      <c r="F1295" s="8" t="s">
        <v>8026</v>
      </c>
      <c r="G1295" s="6" t="s">
        <v>60</v>
      </c>
      <c r="H1295" s="6" t="s">
        <v>34</v>
      </c>
      <c r="I1295" s="8" t="s">
        <v>253</v>
      </c>
      <c r="J1295" s="9">
        <v>1</v>
      </c>
      <c r="K1295" s="9">
        <v>601</v>
      </c>
      <c r="L1295" s="9">
        <v>2026</v>
      </c>
      <c r="M1295" s="8" t="s">
        <v>8027</v>
      </c>
      <c r="N1295" s="8" t="s">
        <v>243</v>
      </c>
      <c r="O1295" s="8" t="s">
        <v>798</v>
      </c>
      <c r="P1295" s="6" t="s">
        <v>306</v>
      </c>
      <c r="Q1295" s="8" t="s">
        <v>52</v>
      </c>
      <c r="R1295" s="10" t="s">
        <v>8028</v>
      </c>
      <c r="S1295" s="11"/>
      <c r="T1295" s="6"/>
      <c r="U1295" s="15" t="str">
        <f>HYPERLINK("https://media.infra-m.ru/2264/2264710/cover/2264710.jpg", "Обложка")</f>
        <v>Обложка</v>
      </c>
      <c r="V1295" s="8" t="s">
        <v>227</v>
      </c>
      <c r="W1295" s="6"/>
      <c r="X1295" s="6"/>
      <c r="Y1295" s="6"/>
      <c r="Z1295" s="6"/>
      <c r="AA1295" s="6" t="s">
        <v>874</v>
      </c>
      <c r="AB1295" s="8"/>
      <c r="AC1295" s="27">
        <v>9785160103068</v>
      </c>
    </row>
    <row r="1296" spans="1:29" s="4" customFormat="1" ht="51.9" customHeight="1" x14ac:dyDescent="0.2">
      <c r="A1296" s="5">
        <v>0</v>
      </c>
      <c r="B1296" s="6" t="s">
        <v>8029</v>
      </c>
      <c r="C1296" s="7">
        <v>2332.8000000000002</v>
      </c>
      <c r="D1296" s="8" t="s">
        <v>8030</v>
      </c>
      <c r="E1296" s="8" t="s">
        <v>8031</v>
      </c>
      <c r="F1296" s="8" t="s">
        <v>8032</v>
      </c>
      <c r="G1296" s="6" t="s">
        <v>118</v>
      </c>
      <c r="H1296" s="6" t="s">
        <v>34</v>
      </c>
      <c r="I1296" s="8" t="s">
        <v>253</v>
      </c>
      <c r="J1296" s="9">
        <v>1</v>
      </c>
      <c r="K1296" s="9">
        <v>335</v>
      </c>
      <c r="L1296" s="9">
        <v>2026</v>
      </c>
      <c r="M1296" s="8" t="s">
        <v>8033</v>
      </c>
      <c r="N1296" s="8" t="s">
        <v>224</v>
      </c>
      <c r="O1296" s="8" t="s">
        <v>225</v>
      </c>
      <c r="P1296" s="6" t="s">
        <v>306</v>
      </c>
      <c r="Q1296" s="8" t="s">
        <v>65</v>
      </c>
      <c r="R1296" s="10" t="s">
        <v>8034</v>
      </c>
      <c r="S1296" s="11" t="s">
        <v>8035</v>
      </c>
      <c r="T1296" s="6"/>
      <c r="U1296" s="15" t="str">
        <f>HYPERLINK("https://media.infra-m.ru/2246/2246873/cover/2246873.jpg", "Обложка")</f>
        <v>Обложка</v>
      </c>
      <c r="V1296" s="8" t="s">
        <v>8036</v>
      </c>
      <c r="W1296" s="6"/>
      <c r="X1296" s="6"/>
      <c r="Y1296" s="6"/>
      <c r="Z1296" s="6"/>
      <c r="AA1296" s="6" t="s">
        <v>55</v>
      </c>
      <c r="AB1296" s="8"/>
      <c r="AC1296" s="27">
        <v>9785160185408</v>
      </c>
    </row>
    <row r="1297" spans="1:29" s="4" customFormat="1" ht="44.1" customHeight="1" x14ac:dyDescent="0.2">
      <c r="A1297" s="5">
        <v>0</v>
      </c>
      <c r="B1297" s="6" t="s">
        <v>8037</v>
      </c>
      <c r="C1297" s="7">
        <v>1620</v>
      </c>
      <c r="D1297" s="8" t="s">
        <v>8038</v>
      </c>
      <c r="E1297" s="8" t="s">
        <v>8039</v>
      </c>
      <c r="F1297" s="8" t="s">
        <v>8040</v>
      </c>
      <c r="G1297" s="6" t="s">
        <v>60</v>
      </c>
      <c r="H1297" s="6" t="s">
        <v>34</v>
      </c>
      <c r="I1297" s="8" t="s">
        <v>375</v>
      </c>
      <c r="J1297" s="9">
        <v>1</v>
      </c>
      <c r="K1297" s="9">
        <v>240</v>
      </c>
      <c r="L1297" s="9">
        <v>2025</v>
      </c>
      <c r="M1297" s="8" t="s">
        <v>8041</v>
      </c>
      <c r="N1297" s="8" t="s">
        <v>243</v>
      </c>
      <c r="O1297" s="8" t="s">
        <v>385</v>
      </c>
      <c r="P1297" s="6" t="s">
        <v>105</v>
      </c>
      <c r="Q1297" s="8" t="s">
        <v>377</v>
      </c>
      <c r="R1297" s="10" t="s">
        <v>1844</v>
      </c>
      <c r="S1297" s="11"/>
      <c r="T1297" s="6"/>
      <c r="U1297" s="15" t="str">
        <f>HYPERLINK("https://media.infra-m.ru/2167/2167516/cover/2167516.jpg", "Обложка")</f>
        <v>Обложка</v>
      </c>
      <c r="V1297" s="8" t="s">
        <v>379</v>
      </c>
      <c r="W1297" s="6"/>
      <c r="X1297" s="6"/>
      <c r="Y1297" s="6"/>
      <c r="Z1297" s="6"/>
      <c r="AA1297" s="6" t="s">
        <v>68</v>
      </c>
      <c r="AB1297" s="8"/>
      <c r="AC1297" s="27">
        <v>9785160202730</v>
      </c>
    </row>
    <row r="1298" spans="1:29" s="4" customFormat="1" ht="42" customHeight="1" x14ac:dyDescent="0.2">
      <c r="A1298" s="5">
        <v>0</v>
      </c>
      <c r="B1298" s="6" t="s">
        <v>8042</v>
      </c>
      <c r="C1298" s="13">
        <v>520.79999999999995</v>
      </c>
      <c r="D1298" s="8" t="s">
        <v>8043</v>
      </c>
      <c r="E1298" s="8" t="s">
        <v>8044</v>
      </c>
      <c r="F1298" s="8" t="s">
        <v>8045</v>
      </c>
      <c r="G1298" s="6" t="s">
        <v>33</v>
      </c>
      <c r="H1298" s="6" t="s">
        <v>48</v>
      </c>
      <c r="I1298" s="8"/>
      <c r="J1298" s="9">
        <v>1</v>
      </c>
      <c r="K1298" s="9">
        <v>56</v>
      </c>
      <c r="L1298" s="9">
        <v>2026</v>
      </c>
      <c r="M1298" s="8" t="s">
        <v>8046</v>
      </c>
      <c r="N1298" s="8" t="s">
        <v>243</v>
      </c>
      <c r="O1298" s="8" t="s">
        <v>385</v>
      </c>
      <c r="P1298" s="6" t="s">
        <v>51</v>
      </c>
      <c r="Q1298" s="8" t="s">
        <v>377</v>
      </c>
      <c r="R1298" s="10" t="s">
        <v>8047</v>
      </c>
      <c r="S1298" s="11"/>
      <c r="T1298" s="6"/>
      <c r="U1298" s="15" t="str">
        <f>HYPERLINK("https://media.infra-m.ru/2224/2224185/cover/2224185.jpg", "Обложка")</f>
        <v>Обложка</v>
      </c>
      <c r="V1298" s="8" t="s">
        <v>3636</v>
      </c>
      <c r="W1298" s="6"/>
      <c r="X1298" s="6"/>
      <c r="Y1298" s="6"/>
      <c r="Z1298" s="6"/>
      <c r="AA1298" s="6" t="s">
        <v>274</v>
      </c>
      <c r="AB1298" s="8"/>
      <c r="AC1298" s="27">
        <v>9785000910757</v>
      </c>
    </row>
    <row r="1299" spans="1:29" s="4" customFormat="1" ht="51.9" customHeight="1" x14ac:dyDescent="0.2">
      <c r="A1299" s="5">
        <v>0</v>
      </c>
      <c r="B1299" s="6" t="s">
        <v>8048</v>
      </c>
      <c r="C1299" s="7">
        <v>1684.8</v>
      </c>
      <c r="D1299" s="8" t="s">
        <v>8049</v>
      </c>
      <c r="E1299" s="8" t="s">
        <v>8050</v>
      </c>
      <c r="F1299" s="8" t="s">
        <v>8051</v>
      </c>
      <c r="G1299" s="6" t="s">
        <v>60</v>
      </c>
      <c r="H1299" s="6" t="s">
        <v>1795</v>
      </c>
      <c r="I1299" s="8"/>
      <c r="J1299" s="9">
        <v>1</v>
      </c>
      <c r="K1299" s="9">
        <v>256</v>
      </c>
      <c r="L1299" s="9">
        <v>2026</v>
      </c>
      <c r="M1299" s="8" t="s">
        <v>8052</v>
      </c>
      <c r="N1299" s="8" t="s">
        <v>243</v>
      </c>
      <c r="O1299" s="8" t="s">
        <v>385</v>
      </c>
      <c r="P1299" s="6" t="s">
        <v>51</v>
      </c>
      <c r="Q1299" s="8" t="s">
        <v>52</v>
      </c>
      <c r="R1299" s="10" t="s">
        <v>1569</v>
      </c>
      <c r="S1299" s="11" t="s">
        <v>8053</v>
      </c>
      <c r="T1299" s="6"/>
      <c r="U1299" s="15" t="str">
        <f>HYPERLINK("https://media.infra-m.ru/2238/2238477/cover/2238477.jpg", "Обложка")</f>
        <v>Обложка</v>
      </c>
      <c r="V1299" s="8" t="s">
        <v>8054</v>
      </c>
      <c r="W1299" s="6"/>
      <c r="X1299" s="6"/>
      <c r="Y1299" s="6"/>
      <c r="Z1299" s="6"/>
      <c r="AA1299" s="6" t="s">
        <v>55</v>
      </c>
      <c r="AB1299" s="8"/>
      <c r="AC1299" s="27">
        <v>9785982813343</v>
      </c>
    </row>
    <row r="1300" spans="1:29" s="4" customFormat="1" ht="51.9" customHeight="1" x14ac:dyDescent="0.2">
      <c r="A1300" s="5">
        <v>0</v>
      </c>
      <c r="B1300" s="6" t="s">
        <v>8055</v>
      </c>
      <c r="C1300" s="7">
        <v>1060.8</v>
      </c>
      <c r="D1300" s="8" t="s">
        <v>8056</v>
      </c>
      <c r="E1300" s="8" t="s">
        <v>8057</v>
      </c>
      <c r="F1300" s="8" t="s">
        <v>8058</v>
      </c>
      <c r="G1300" s="6" t="s">
        <v>60</v>
      </c>
      <c r="H1300" s="6" t="s">
        <v>1795</v>
      </c>
      <c r="I1300" s="8"/>
      <c r="J1300" s="9">
        <v>1</v>
      </c>
      <c r="K1300" s="9">
        <v>160</v>
      </c>
      <c r="L1300" s="9">
        <v>2026</v>
      </c>
      <c r="M1300" s="8" t="s">
        <v>8059</v>
      </c>
      <c r="N1300" s="8" t="s">
        <v>243</v>
      </c>
      <c r="O1300" s="8" t="s">
        <v>385</v>
      </c>
      <c r="P1300" s="6" t="s">
        <v>51</v>
      </c>
      <c r="Q1300" s="8" t="s">
        <v>52</v>
      </c>
      <c r="R1300" s="10" t="s">
        <v>8060</v>
      </c>
      <c r="S1300" s="11" t="s">
        <v>8053</v>
      </c>
      <c r="T1300" s="6"/>
      <c r="U1300" s="15" t="str">
        <f>HYPERLINK("https://media.infra-m.ru/2238/2238474/cover/2238474.jpg", "Обложка")</f>
        <v>Обложка</v>
      </c>
      <c r="V1300" s="8" t="s">
        <v>8054</v>
      </c>
      <c r="W1300" s="6"/>
      <c r="X1300" s="6"/>
      <c r="Y1300" s="6"/>
      <c r="Z1300" s="6"/>
      <c r="AA1300" s="6" t="s">
        <v>55</v>
      </c>
      <c r="AB1300" s="8"/>
      <c r="AC1300" s="27">
        <v>9785982813350</v>
      </c>
    </row>
    <row r="1301" spans="1:29" s="4" customFormat="1" ht="51.9" customHeight="1" x14ac:dyDescent="0.2">
      <c r="A1301" s="5">
        <v>0</v>
      </c>
      <c r="B1301" s="6" t="s">
        <v>8061</v>
      </c>
      <c r="C1301" s="7">
        <v>1008</v>
      </c>
      <c r="D1301" s="8" t="s">
        <v>8062</v>
      </c>
      <c r="E1301" s="8" t="s">
        <v>8063</v>
      </c>
      <c r="F1301" s="8" t="s">
        <v>8064</v>
      </c>
      <c r="G1301" s="6" t="s">
        <v>33</v>
      </c>
      <c r="H1301" s="6" t="s">
        <v>34</v>
      </c>
      <c r="I1301" s="8" t="s">
        <v>35</v>
      </c>
      <c r="J1301" s="9">
        <v>1</v>
      </c>
      <c r="K1301" s="9">
        <v>164</v>
      </c>
      <c r="L1301" s="9">
        <v>2023</v>
      </c>
      <c r="M1301" s="8" t="s">
        <v>8065</v>
      </c>
      <c r="N1301" s="8" t="s">
        <v>243</v>
      </c>
      <c r="O1301" s="8" t="s">
        <v>798</v>
      </c>
      <c r="P1301" s="6" t="s">
        <v>39</v>
      </c>
      <c r="Q1301" s="8" t="s">
        <v>40</v>
      </c>
      <c r="R1301" s="10" t="s">
        <v>8066</v>
      </c>
      <c r="S1301" s="11"/>
      <c r="T1301" s="6"/>
      <c r="U1301" s="15" t="str">
        <f>HYPERLINK("https://media.infra-m.ru/2005/2005171/cover/2005171.jpg", "Обложка")</f>
        <v>Обложка</v>
      </c>
      <c r="V1301" s="8" t="s">
        <v>8067</v>
      </c>
      <c r="W1301" s="6"/>
      <c r="X1301" s="6"/>
      <c r="Y1301" s="6"/>
      <c r="Z1301" s="6"/>
      <c r="AA1301" s="6" t="s">
        <v>157</v>
      </c>
      <c r="AB1301" s="8"/>
      <c r="AC1301" s="27">
        <v>9785160180977</v>
      </c>
    </row>
    <row r="1302" spans="1:29" s="4" customFormat="1" ht="42" customHeight="1" x14ac:dyDescent="0.2">
      <c r="A1302" s="5">
        <v>0</v>
      </c>
      <c r="B1302" s="6" t="s">
        <v>8068</v>
      </c>
      <c r="C1302" s="7">
        <v>1812</v>
      </c>
      <c r="D1302" s="8" t="s">
        <v>8069</v>
      </c>
      <c r="E1302" s="8" t="s">
        <v>8070</v>
      </c>
      <c r="F1302" s="8" t="s">
        <v>8071</v>
      </c>
      <c r="G1302" s="6" t="s">
        <v>60</v>
      </c>
      <c r="H1302" s="6" t="s">
        <v>34</v>
      </c>
      <c r="I1302" s="8" t="s">
        <v>2171</v>
      </c>
      <c r="J1302" s="9">
        <v>1</v>
      </c>
      <c r="K1302" s="9">
        <v>269</v>
      </c>
      <c r="L1302" s="9">
        <v>2026</v>
      </c>
      <c r="M1302" s="8" t="s">
        <v>8072</v>
      </c>
      <c r="N1302" s="8" t="s">
        <v>37</v>
      </c>
      <c r="O1302" s="8" t="s">
        <v>290</v>
      </c>
      <c r="P1302" s="6" t="s">
        <v>51</v>
      </c>
      <c r="Q1302" s="8" t="s">
        <v>65</v>
      </c>
      <c r="R1302" s="10" t="s">
        <v>2940</v>
      </c>
      <c r="S1302" s="11"/>
      <c r="T1302" s="6"/>
      <c r="U1302" s="15" t="str">
        <f>HYPERLINK("https://media.infra-m.ru/2226/2226329/cover/2226329.jpg", "Обложка")</f>
        <v>Обложка</v>
      </c>
      <c r="V1302" s="8" t="s">
        <v>2175</v>
      </c>
      <c r="W1302" s="6" t="s">
        <v>547</v>
      </c>
      <c r="X1302" s="6"/>
      <c r="Y1302" s="6"/>
      <c r="Z1302" s="6"/>
      <c r="AA1302" s="6" t="s">
        <v>187</v>
      </c>
      <c r="AB1302" s="8"/>
      <c r="AC1302" s="27">
        <v>9785160214634</v>
      </c>
    </row>
    <row r="1303" spans="1:29" s="4" customFormat="1" ht="51.9" customHeight="1" x14ac:dyDescent="0.2">
      <c r="A1303" s="5">
        <v>0</v>
      </c>
      <c r="B1303" s="6" t="s">
        <v>8073</v>
      </c>
      <c r="C1303" s="7">
        <v>1408.8</v>
      </c>
      <c r="D1303" s="8" t="s">
        <v>8074</v>
      </c>
      <c r="E1303" s="8" t="s">
        <v>8075</v>
      </c>
      <c r="F1303" s="8" t="s">
        <v>8076</v>
      </c>
      <c r="G1303" s="6" t="s">
        <v>33</v>
      </c>
      <c r="H1303" s="6" t="s">
        <v>34</v>
      </c>
      <c r="I1303" s="8" t="s">
        <v>271</v>
      </c>
      <c r="J1303" s="9">
        <v>1</v>
      </c>
      <c r="K1303" s="9">
        <v>202</v>
      </c>
      <c r="L1303" s="9">
        <v>2027</v>
      </c>
      <c r="M1303" s="8" t="s">
        <v>8077</v>
      </c>
      <c r="N1303" s="8" t="s">
        <v>243</v>
      </c>
      <c r="O1303" s="8" t="s">
        <v>1100</v>
      </c>
      <c r="P1303" s="6" t="s">
        <v>51</v>
      </c>
      <c r="Q1303" s="8" t="s">
        <v>52</v>
      </c>
      <c r="R1303" s="10" t="s">
        <v>6260</v>
      </c>
      <c r="S1303" s="11" t="s">
        <v>8078</v>
      </c>
      <c r="T1303" s="6"/>
      <c r="U1303" s="15" t="str">
        <f>HYPERLINK("https://media.infra-m.ru/2272/2272259/cover/2272259.jpg", "Обложка")</f>
        <v>Обложка</v>
      </c>
      <c r="V1303" s="8" t="s">
        <v>2475</v>
      </c>
      <c r="W1303" s="6"/>
      <c r="X1303" s="6"/>
      <c r="Y1303" s="6"/>
      <c r="Z1303" s="6"/>
      <c r="AA1303" s="6" t="s">
        <v>274</v>
      </c>
      <c r="AB1303" s="8"/>
      <c r="AC1303" s="27">
        <v>9785160096384</v>
      </c>
    </row>
    <row r="1304" spans="1:29" s="4" customFormat="1" ht="51.9" customHeight="1" x14ac:dyDescent="0.2">
      <c r="A1304" s="5">
        <v>0</v>
      </c>
      <c r="B1304" s="6" t="s">
        <v>8079</v>
      </c>
      <c r="C1304" s="7">
        <v>3580.8</v>
      </c>
      <c r="D1304" s="8" t="s">
        <v>8080</v>
      </c>
      <c r="E1304" s="8" t="s">
        <v>8081</v>
      </c>
      <c r="F1304" s="8" t="s">
        <v>8082</v>
      </c>
      <c r="G1304" s="6" t="s">
        <v>60</v>
      </c>
      <c r="H1304" s="6" t="s">
        <v>34</v>
      </c>
      <c r="I1304" s="8" t="s">
        <v>253</v>
      </c>
      <c r="J1304" s="9">
        <v>1</v>
      </c>
      <c r="K1304" s="9">
        <v>574</v>
      </c>
      <c r="L1304" s="9">
        <v>2026</v>
      </c>
      <c r="M1304" s="8" t="s">
        <v>8083</v>
      </c>
      <c r="N1304" s="8" t="s">
        <v>243</v>
      </c>
      <c r="O1304" s="8" t="s">
        <v>385</v>
      </c>
      <c r="P1304" s="6" t="s">
        <v>51</v>
      </c>
      <c r="Q1304" s="8" t="s">
        <v>52</v>
      </c>
      <c r="R1304" s="10" t="s">
        <v>8084</v>
      </c>
      <c r="S1304" s="11" t="s">
        <v>8085</v>
      </c>
      <c r="T1304" s="6"/>
      <c r="U1304" s="15" t="str">
        <f>HYPERLINK("https://media.infra-m.ru/2224/2224050/cover/2224050.jpg", "Обложка")</f>
        <v>Обложка</v>
      </c>
      <c r="V1304" s="8" t="s">
        <v>527</v>
      </c>
      <c r="W1304" s="6"/>
      <c r="X1304" s="6"/>
      <c r="Y1304" s="6"/>
      <c r="Z1304" s="6"/>
      <c r="AA1304" s="6" t="s">
        <v>55</v>
      </c>
      <c r="AB1304" s="8"/>
      <c r="AC1304" s="27">
        <v>9785160196572</v>
      </c>
    </row>
    <row r="1305" spans="1:29" s="4" customFormat="1" ht="51.9" customHeight="1" x14ac:dyDescent="0.2">
      <c r="A1305" s="5">
        <v>0</v>
      </c>
      <c r="B1305" s="6" t="s">
        <v>8086</v>
      </c>
      <c r="C1305" s="7">
        <v>1512</v>
      </c>
      <c r="D1305" s="8" t="s">
        <v>8087</v>
      </c>
      <c r="E1305" s="8" t="s">
        <v>8088</v>
      </c>
      <c r="F1305" s="8" t="s">
        <v>8089</v>
      </c>
      <c r="G1305" s="6" t="s">
        <v>60</v>
      </c>
      <c r="H1305" s="6" t="s">
        <v>34</v>
      </c>
      <c r="I1305" s="8" t="s">
        <v>375</v>
      </c>
      <c r="J1305" s="9">
        <v>1</v>
      </c>
      <c r="K1305" s="9">
        <v>234</v>
      </c>
      <c r="L1305" s="9">
        <v>2025</v>
      </c>
      <c r="M1305" s="8" t="s">
        <v>8090</v>
      </c>
      <c r="N1305" s="8" t="s">
        <v>243</v>
      </c>
      <c r="O1305" s="8" t="s">
        <v>385</v>
      </c>
      <c r="P1305" s="6" t="s">
        <v>394</v>
      </c>
      <c r="Q1305" s="8" t="s">
        <v>65</v>
      </c>
      <c r="R1305" s="10" t="s">
        <v>8091</v>
      </c>
      <c r="S1305" s="11"/>
      <c r="T1305" s="6"/>
      <c r="U1305" s="15" t="str">
        <f>HYPERLINK("https://media.infra-m.ru/2195/2195873/cover/2195873.jpg", "Обложка")</f>
        <v>Обложка</v>
      </c>
      <c r="V1305" s="8" t="s">
        <v>379</v>
      </c>
      <c r="W1305" s="6"/>
      <c r="X1305" s="6"/>
      <c r="Y1305" s="6"/>
      <c r="Z1305" s="6"/>
      <c r="AA1305" s="6" t="s">
        <v>68</v>
      </c>
      <c r="AB1305" s="8"/>
      <c r="AC1305" s="27">
        <v>9785160208060</v>
      </c>
    </row>
    <row r="1306" spans="1:29" s="4" customFormat="1" ht="51.9" customHeight="1" x14ac:dyDescent="0.2">
      <c r="A1306" s="5">
        <v>0</v>
      </c>
      <c r="B1306" s="6" t="s">
        <v>8092</v>
      </c>
      <c r="C1306" s="7">
        <v>1596</v>
      </c>
      <c r="D1306" s="8" t="s">
        <v>8093</v>
      </c>
      <c r="E1306" s="8" t="s">
        <v>8094</v>
      </c>
      <c r="F1306" s="8" t="s">
        <v>8095</v>
      </c>
      <c r="G1306" s="6" t="s">
        <v>118</v>
      </c>
      <c r="H1306" s="6" t="s">
        <v>134</v>
      </c>
      <c r="I1306" s="8"/>
      <c r="J1306" s="9">
        <v>1</v>
      </c>
      <c r="K1306" s="9">
        <v>288</v>
      </c>
      <c r="L1306" s="9">
        <v>2024</v>
      </c>
      <c r="M1306" s="8" t="s">
        <v>8096</v>
      </c>
      <c r="N1306" s="8" t="s">
        <v>37</v>
      </c>
      <c r="O1306" s="8" t="s">
        <v>136</v>
      </c>
      <c r="P1306" s="6" t="s">
        <v>39</v>
      </c>
      <c r="Q1306" s="8" t="s">
        <v>40</v>
      </c>
      <c r="R1306" s="10" t="s">
        <v>4348</v>
      </c>
      <c r="S1306" s="11"/>
      <c r="T1306" s="6"/>
      <c r="U1306" s="15" t="str">
        <f>HYPERLINK("https://media.infra-m.ru/2122/2122057/cover/2122057.jpg", "Обложка")</f>
        <v>Обложка</v>
      </c>
      <c r="V1306" s="8" t="s">
        <v>1277</v>
      </c>
      <c r="W1306" s="6"/>
      <c r="X1306" s="6"/>
      <c r="Y1306" s="6"/>
      <c r="Z1306" s="6"/>
      <c r="AA1306" s="6" t="s">
        <v>157</v>
      </c>
      <c r="AB1306" s="8"/>
      <c r="AC1306" s="27">
        <v>9785001562788</v>
      </c>
    </row>
    <row r="1307" spans="1:29" s="4" customFormat="1" ht="42" customHeight="1" x14ac:dyDescent="0.2">
      <c r="A1307" s="5">
        <v>0</v>
      </c>
      <c r="B1307" s="6" t="s">
        <v>8097</v>
      </c>
      <c r="C1307" s="7">
        <v>1588.8</v>
      </c>
      <c r="D1307" s="8" t="s">
        <v>8098</v>
      </c>
      <c r="E1307" s="8" t="s">
        <v>8099</v>
      </c>
      <c r="F1307" s="8" t="s">
        <v>8100</v>
      </c>
      <c r="G1307" s="6" t="s">
        <v>21</v>
      </c>
      <c r="H1307" s="6" t="s">
        <v>134</v>
      </c>
      <c r="I1307" s="8"/>
      <c r="J1307" s="9">
        <v>1</v>
      </c>
      <c r="K1307" s="9">
        <v>240</v>
      </c>
      <c r="L1307" s="9">
        <v>2026</v>
      </c>
      <c r="M1307" s="8" t="s">
        <v>8101</v>
      </c>
      <c r="N1307" s="8" t="s">
        <v>37</v>
      </c>
      <c r="O1307" s="8" t="s">
        <v>136</v>
      </c>
      <c r="P1307" s="6" t="s">
        <v>39</v>
      </c>
      <c r="Q1307" s="8" t="s">
        <v>40</v>
      </c>
      <c r="R1307" s="10" t="s">
        <v>8102</v>
      </c>
      <c r="S1307" s="11"/>
      <c r="T1307" s="6"/>
      <c r="U1307" s="15" t="str">
        <f>HYPERLINK("https://media.infra-m.ru/2227/2227746/cover/2227746.jpg", "Обложка")</f>
        <v>Обложка</v>
      </c>
      <c r="V1307" s="8" t="s">
        <v>1069</v>
      </c>
      <c r="W1307" s="6"/>
      <c r="X1307" s="6"/>
      <c r="Y1307" s="6"/>
      <c r="Z1307" s="6"/>
      <c r="AA1307" s="6" t="s">
        <v>859</v>
      </c>
      <c r="AB1307" s="8"/>
      <c r="AC1307" s="27">
        <v>9785917684536</v>
      </c>
    </row>
    <row r="1308" spans="1:29" s="4" customFormat="1" ht="44.1" customHeight="1" x14ac:dyDescent="0.2">
      <c r="A1308" s="5">
        <v>0</v>
      </c>
      <c r="B1308" s="6" t="s">
        <v>8103</v>
      </c>
      <c r="C1308" s="7">
        <v>1570.8</v>
      </c>
      <c r="D1308" s="8" t="s">
        <v>8104</v>
      </c>
      <c r="E1308" s="8" t="s">
        <v>8105</v>
      </c>
      <c r="F1308" s="8" t="s">
        <v>8106</v>
      </c>
      <c r="G1308" s="6" t="s">
        <v>118</v>
      </c>
      <c r="H1308" s="6" t="s">
        <v>34</v>
      </c>
      <c r="I1308" s="8" t="s">
        <v>35</v>
      </c>
      <c r="J1308" s="9">
        <v>1</v>
      </c>
      <c r="K1308" s="9">
        <v>209</v>
      </c>
      <c r="L1308" s="9">
        <v>2026</v>
      </c>
      <c r="M1308" s="8" t="s">
        <v>8107</v>
      </c>
      <c r="N1308" s="8" t="s">
        <v>243</v>
      </c>
      <c r="O1308" s="8" t="s">
        <v>385</v>
      </c>
      <c r="P1308" s="6" t="s">
        <v>39</v>
      </c>
      <c r="Q1308" s="8" t="s">
        <v>40</v>
      </c>
      <c r="R1308" s="10" t="s">
        <v>8108</v>
      </c>
      <c r="S1308" s="11"/>
      <c r="T1308" s="6"/>
      <c r="U1308" s="15" t="str">
        <f>HYPERLINK("https://media.infra-m.ru/2218/2218920/cover/2218920.jpg", "Обложка")</f>
        <v>Обложка</v>
      </c>
      <c r="V1308" s="8" t="s">
        <v>8054</v>
      </c>
      <c r="W1308" s="6"/>
      <c r="X1308" s="6"/>
      <c r="Y1308" s="6"/>
      <c r="Z1308" s="6"/>
      <c r="AA1308" s="6" t="s">
        <v>68</v>
      </c>
      <c r="AB1308" s="8"/>
      <c r="AC1308" s="27">
        <v>9785160197883</v>
      </c>
    </row>
    <row r="1309" spans="1:29" s="4" customFormat="1" ht="44.1" customHeight="1" x14ac:dyDescent="0.2">
      <c r="A1309" s="5">
        <v>0</v>
      </c>
      <c r="B1309" s="6" t="s">
        <v>8109</v>
      </c>
      <c r="C1309" s="7">
        <v>1356</v>
      </c>
      <c r="D1309" s="8" t="s">
        <v>8110</v>
      </c>
      <c r="E1309" s="8" t="s">
        <v>8111</v>
      </c>
      <c r="F1309" s="8" t="s">
        <v>3514</v>
      </c>
      <c r="G1309" s="6" t="s">
        <v>33</v>
      </c>
      <c r="H1309" s="6" t="s">
        <v>34</v>
      </c>
      <c r="I1309" s="8" t="s">
        <v>1074</v>
      </c>
      <c r="J1309" s="9">
        <v>1</v>
      </c>
      <c r="K1309" s="9">
        <v>332</v>
      </c>
      <c r="L1309" s="9">
        <v>2019</v>
      </c>
      <c r="M1309" s="8" t="s">
        <v>8112</v>
      </c>
      <c r="N1309" s="8" t="s">
        <v>37</v>
      </c>
      <c r="O1309" s="8" t="s">
        <v>233</v>
      </c>
      <c r="P1309" s="6" t="s">
        <v>39</v>
      </c>
      <c r="Q1309" s="8" t="s">
        <v>749</v>
      </c>
      <c r="R1309" s="10" t="s">
        <v>8113</v>
      </c>
      <c r="S1309" s="11"/>
      <c r="T1309" s="6"/>
      <c r="U1309" s="15" t="str">
        <f>HYPERLINK("https://media.infra-m.ru/1003/1003754/cover/1003754.jpg", "Обложка")</f>
        <v>Обложка</v>
      </c>
      <c r="V1309" s="8" t="s">
        <v>3517</v>
      </c>
      <c r="W1309" s="6"/>
      <c r="X1309" s="6"/>
      <c r="Y1309" s="6"/>
      <c r="Z1309" s="6"/>
      <c r="AA1309" s="6" t="s">
        <v>248</v>
      </c>
      <c r="AB1309" s="8"/>
      <c r="AC1309" s="27">
        <v>9785160105048</v>
      </c>
    </row>
    <row r="1310" spans="1:29" s="4" customFormat="1" ht="51.9" customHeight="1" x14ac:dyDescent="0.2">
      <c r="A1310" s="5">
        <v>0</v>
      </c>
      <c r="B1310" s="6" t="s">
        <v>8114</v>
      </c>
      <c r="C1310" s="13">
        <v>628.79999999999995</v>
      </c>
      <c r="D1310" s="8" t="s">
        <v>8115</v>
      </c>
      <c r="E1310" s="8" t="s">
        <v>8116</v>
      </c>
      <c r="F1310" s="8" t="s">
        <v>8117</v>
      </c>
      <c r="G1310" s="6" t="s">
        <v>60</v>
      </c>
      <c r="H1310" s="6" t="s">
        <v>1644</v>
      </c>
      <c r="I1310" s="8"/>
      <c r="J1310" s="9">
        <v>1</v>
      </c>
      <c r="K1310" s="9">
        <v>176</v>
      </c>
      <c r="L1310" s="9">
        <v>2020</v>
      </c>
      <c r="M1310" s="8" t="s">
        <v>8118</v>
      </c>
      <c r="N1310" s="8" t="s">
        <v>37</v>
      </c>
      <c r="O1310" s="8" t="s">
        <v>8119</v>
      </c>
      <c r="P1310" s="6" t="s">
        <v>8120</v>
      </c>
      <c r="Q1310" s="8" t="s">
        <v>40</v>
      </c>
      <c r="R1310" s="10" t="s">
        <v>8121</v>
      </c>
      <c r="S1310" s="11"/>
      <c r="T1310" s="6"/>
      <c r="U1310" s="15" t="str">
        <f>HYPERLINK("https://media.infra-m.ru/2170/2170110/cover/2170110.jpg", "Обложка")</f>
        <v>Обложка</v>
      </c>
      <c r="V1310" s="8" t="s">
        <v>8122</v>
      </c>
      <c r="W1310" s="6"/>
      <c r="X1310" s="6"/>
      <c r="Y1310" s="6"/>
      <c r="Z1310" s="6"/>
      <c r="AA1310" s="6" t="s">
        <v>129</v>
      </c>
      <c r="AB1310" s="8"/>
      <c r="AC1310" s="27">
        <v>9785977601719</v>
      </c>
    </row>
    <row r="1311" spans="1:29" s="4" customFormat="1" ht="51.9" customHeight="1" x14ac:dyDescent="0.2">
      <c r="A1311" s="5">
        <v>0</v>
      </c>
      <c r="B1311" s="6" t="s">
        <v>8123</v>
      </c>
      <c r="C1311" s="7">
        <v>1396.8</v>
      </c>
      <c r="D1311" s="8" t="s">
        <v>8124</v>
      </c>
      <c r="E1311" s="8" t="s">
        <v>8125</v>
      </c>
      <c r="F1311" s="8" t="s">
        <v>4780</v>
      </c>
      <c r="G1311" s="6" t="s">
        <v>33</v>
      </c>
      <c r="H1311" s="6" t="s">
        <v>34</v>
      </c>
      <c r="I1311" s="8" t="s">
        <v>35</v>
      </c>
      <c r="J1311" s="9">
        <v>1</v>
      </c>
      <c r="K1311" s="9">
        <v>253</v>
      </c>
      <c r="L1311" s="9">
        <v>2024</v>
      </c>
      <c r="M1311" s="8" t="s">
        <v>8126</v>
      </c>
      <c r="N1311" s="8" t="s">
        <v>63</v>
      </c>
      <c r="O1311" s="8" t="s">
        <v>126</v>
      </c>
      <c r="P1311" s="6" t="s">
        <v>39</v>
      </c>
      <c r="Q1311" s="8" t="s">
        <v>40</v>
      </c>
      <c r="R1311" s="10" t="s">
        <v>8127</v>
      </c>
      <c r="S1311" s="11"/>
      <c r="T1311" s="6"/>
      <c r="U1311" s="15" t="str">
        <f>HYPERLINK("https://media.infra-m.ru/1904/1904231/cover/1904231.jpg", "Обложка")</f>
        <v>Обложка</v>
      </c>
      <c r="V1311" s="8" t="s">
        <v>4783</v>
      </c>
      <c r="W1311" s="6"/>
      <c r="X1311" s="6"/>
      <c r="Y1311" s="6"/>
      <c r="Z1311" s="6"/>
      <c r="AA1311" s="6" t="s">
        <v>430</v>
      </c>
      <c r="AB1311" s="8"/>
      <c r="AC1311" s="27">
        <v>9785160166704</v>
      </c>
    </row>
    <row r="1312" spans="1:29" s="4" customFormat="1" ht="51.9" customHeight="1" x14ac:dyDescent="0.2">
      <c r="A1312" s="5">
        <v>0</v>
      </c>
      <c r="B1312" s="6" t="s">
        <v>8128</v>
      </c>
      <c r="C1312" s="7">
        <v>2880</v>
      </c>
      <c r="D1312" s="8" t="s">
        <v>8129</v>
      </c>
      <c r="E1312" s="8" t="s">
        <v>8130</v>
      </c>
      <c r="F1312" s="8" t="s">
        <v>8131</v>
      </c>
      <c r="G1312" s="6" t="s">
        <v>60</v>
      </c>
      <c r="H1312" s="6" t="s">
        <v>34</v>
      </c>
      <c r="I1312" s="8" t="s">
        <v>253</v>
      </c>
      <c r="J1312" s="9">
        <v>1</v>
      </c>
      <c r="K1312" s="9">
        <v>438</v>
      </c>
      <c r="L1312" s="9">
        <v>2026</v>
      </c>
      <c r="M1312" s="8" t="s">
        <v>8132</v>
      </c>
      <c r="N1312" s="8" t="s">
        <v>37</v>
      </c>
      <c r="O1312" s="8" t="s">
        <v>233</v>
      </c>
      <c r="P1312" s="6" t="s">
        <v>306</v>
      </c>
      <c r="Q1312" s="8" t="s">
        <v>52</v>
      </c>
      <c r="R1312" s="10" t="s">
        <v>1646</v>
      </c>
      <c r="S1312" s="11" t="s">
        <v>8133</v>
      </c>
      <c r="T1312" s="6"/>
      <c r="U1312" s="15" t="str">
        <f>HYPERLINK("https://media.infra-m.ru/2234/2234090/cover/2234090.jpg", "Обложка")</f>
        <v>Обложка</v>
      </c>
      <c r="V1312" s="8" t="s">
        <v>644</v>
      </c>
      <c r="W1312" s="6"/>
      <c r="X1312" s="6"/>
      <c r="Y1312" s="6"/>
      <c r="Z1312" s="6"/>
      <c r="AA1312" s="6" t="s">
        <v>148</v>
      </c>
      <c r="AB1312" s="8" t="s">
        <v>4423</v>
      </c>
      <c r="AC1312" s="27">
        <v>9785160216669</v>
      </c>
    </row>
    <row r="1313" spans="1:29" s="4" customFormat="1" ht="42" customHeight="1" x14ac:dyDescent="0.2">
      <c r="A1313" s="5">
        <v>0</v>
      </c>
      <c r="B1313" s="6" t="s">
        <v>8134</v>
      </c>
      <c r="C1313" s="7">
        <v>1752</v>
      </c>
      <c r="D1313" s="8" t="s">
        <v>8135</v>
      </c>
      <c r="E1313" s="8" t="s">
        <v>8136</v>
      </c>
      <c r="F1313" s="8" t="s">
        <v>8137</v>
      </c>
      <c r="G1313" s="6" t="s">
        <v>118</v>
      </c>
      <c r="H1313" s="6" t="s">
        <v>34</v>
      </c>
      <c r="I1313" s="8" t="s">
        <v>35</v>
      </c>
      <c r="J1313" s="9">
        <v>1</v>
      </c>
      <c r="K1313" s="9">
        <v>325</v>
      </c>
      <c r="L1313" s="9">
        <v>2023</v>
      </c>
      <c r="M1313" s="8" t="s">
        <v>8138</v>
      </c>
      <c r="N1313" s="8" t="s">
        <v>585</v>
      </c>
      <c r="O1313" s="8" t="s">
        <v>775</v>
      </c>
      <c r="P1313" s="6" t="s">
        <v>39</v>
      </c>
      <c r="Q1313" s="8" t="s">
        <v>40</v>
      </c>
      <c r="R1313" s="10" t="s">
        <v>4812</v>
      </c>
      <c r="S1313" s="11"/>
      <c r="T1313" s="6"/>
      <c r="U1313" s="15" t="str">
        <f>HYPERLINK("https://media.infra-m.ru/1938/1938021/cover/1938021.jpg", "Обложка")</f>
        <v>Обложка</v>
      </c>
      <c r="V1313" s="8" t="s">
        <v>8139</v>
      </c>
      <c r="W1313" s="6"/>
      <c r="X1313" s="6"/>
      <c r="Y1313" s="6"/>
      <c r="Z1313" s="6"/>
      <c r="AA1313" s="6" t="s">
        <v>896</v>
      </c>
      <c r="AB1313" s="8"/>
      <c r="AC1313" s="27">
        <v>9785160166162</v>
      </c>
    </row>
    <row r="1314" spans="1:29" s="4" customFormat="1" ht="42" customHeight="1" x14ac:dyDescent="0.2">
      <c r="A1314" s="5">
        <v>0</v>
      </c>
      <c r="B1314" s="6" t="s">
        <v>8140</v>
      </c>
      <c r="C1314" s="7">
        <v>1308</v>
      </c>
      <c r="D1314" s="8" t="s">
        <v>8141</v>
      </c>
      <c r="E1314" s="8" t="s">
        <v>8142</v>
      </c>
      <c r="F1314" s="8" t="s">
        <v>8137</v>
      </c>
      <c r="G1314" s="6" t="s">
        <v>118</v>
      </c>
      <c r="H1314" s="6" t="s">
        <v>34</v>
      </c>
      <c r="I1314" s="8" t="s">
        <v>35</v>
      </c>
      <c r="J1314" s="9">
        <v>1</v>
      </c>
      <c r="K1314" s="9">
        <v>310</v>
      </c>
      <c r="L1314" s="9">
        <v>2020</v>
      </c>
      <c r="M1314" s="8" t="s">
        <v>8143</v>
      </c>
      <c r="N1314" s="8" t="s">
        <v>585</v>
      </c>
      <c r="O1314" s="8" t="s">
        <v>775</v>
      </c>
      <c r="P1314" s="6" t="s">
        <v>39</v>
      </c>
      <c r="Q1314" s="8" t="s">
        <v>40</v>
      </c>
      <c r="R1314" s="10" t="s">
        <v>4812</v>
      </c>
      <c r="S1314" s="11"/>
      <c r="T1314" s="6"/>
      <c r="U1314" s="15" t="str">
        <f>HYPERLINK("https://media.infra-m.ru/1053/1053658/cover/1053658.jpg", "Обложка")</f>
        <v>Обложка</v>
      </c>
      <c r="V1314" s="8" t="s">
        <v>8139</v>
      </c>
      <c r="W1314" s="6"/>
      <c r="X1314" s="6"/>
      <c r="Y1314" s="6"/>
      <c r="Z1314" s="6"/>
      <c r="AA1314" s="6" t="s">
        <v>86</v>
      </c>
      <c r="AB1314" s="8"/>
      <c r="AC1314" s="27">
        <v>9785160133065</v>
      </c>
    </row>
    <row r="1315" spans="1:29" s="4" customFormat="1" ht="51.9" customHeight="1" x14ac:dyDescent="0.2">
      <c r="A1315" s="5">
        <v>0</v>
      </c>
      <c r="B1315" s="6" t="s">
        <v>8144</v>
      </c>
      <c r="C1315" s="7">
        <v>2220</v>
      </c>
      <c r="D1315" s="8" t="s">
        <v>8145</v>
      </c>
      <c r="E1315" s="8" t="s">
        <v>8146</v>
      </c>
      <c r="F1315" s="8" t="s">
        <v>8147</v>
      </c>
      <c r="G1315" s="6" t="s">
        <v>60</v>
      </c>
      <c r="H1315" s="6" t="s">
        <v>34</v>
      </c>
      <c r="I1315" s="8" t="s">
        <v>253</v>
      </c>
      <c r="J1315" s="9">
        <v>1</v>
      </c>
      <c r="K1315" s="9">
        <v>387</v>
      </c>
      <c r="L1315" s="9">
        <v>2024</v>
      </c>
      <c r="M1315" s="8" t="s">
        <v>8148</v>
      </c>
      <c r="N1315" s="8" t="s">
        <v>37</v>
      </c>
      <c r="O1315" s="8" t="s">
        <v>233</v>
      </c>
      <c r="P1315" s="6" t="s">
        <v>51</v>
      </c>
      <c r="Q1315" s="8" t="s">
        <v>65</v>
      </c>
      <c r="R1315" s="10" t="s">
        <v>8149</v>
      </c>
      <c r="S1315" s="11"/>
      <c r="T1315" s="6"/>
      <c r="U1315" s="15" t="str">
        <f>HYPERLINK("https://media.infra-m.ru/2080/2080066/cover/2080066.jpg", "Обложка")</f>
        <v>Обложка</v>
      </c>
      <c r="V1315" s="8" t="s">
        <v>4448</v>
      </c>
      <c r="W1315" s="6"/>
      <c r="X1315" s="6"/>
      <c r="Y1315" s="6"/>
      <c r="Z1315" s="6"/>
      <c r="AA1315" s="6" t="s">
        <v>76</v>
      </c>
      <c r="AB1315" s="8"/>
      <c r="AC1315" s="27">
        <v>9785160189444</v>
      </c>
    </row>
    <row r="1316" spans="1:29" s="4" customFormat="1" ht="51.9" customHeight="1" x14ac:dyDescent="0.2">
      <c r="A1316" s="5">
        <v>0</v>
      </c>
      <c r="B1316" s="6" t="s">
        <v>8150</v>
      </c>
      <c r="C1316" s="7">
        <v>1500</v>
      </c>
      <c r="D1316" s="8" t="s">
        <v>8151</v>
      </c>
      <c r="E1316" s="8" t="s">
        <v>8152</v>
      </c>
      <c r="F1316" s="8" t="s">
        <v>8153</v>
      </c>
      <c r="G1316" s="6" t="s">
        <v>118</v>
      </c>
      <c r="H1316" s="6" t="s">
        <v>34</v>
      </c>
      <c r="I1316" s="8" t="s">
        <v>35</v>
      </c>
      <c r="J1316" s="9">
        <v>1</v>
      </c>
      <c r="K1316" s="9">
        <v>227</v>
      </c>
      <c r="L1316" s="9">
        <v>2026</v>
      </c>
      <c r="M1316" s="8" t="s">
        <v>8154</v>
      </c>
      <c r="N1316" s="8" t="s">
        <v>63</v>
      </c>
      <c r="O1316" s="8" t="s">
        <v>64</v>
      </c>
      <c r="P1316" s="6" t="s">
        <v>39</v>
      </c>
      <c r="Q1316" s="8" t="s">
        <v>40</v>
      </c>
      <c r="R1316" s="10" t="s">
        <v>8155</v>
      </c>
      <c r="S1316" s="11"/>
      <c r="T1316" s="6"/>
      <c r="U1316" s="15" t="str">
        <f>HYPERLINK("https://media.infra-m.ru/2243/2243614/cover/2243614.jpg", "Обложка")</f>
        <v>Обложка</v>
      </c>
      <c r="V1316" s="8" t="s">
        <v>588</v>
      </c>
      <c r="W1316" s="6"/>
      <c r="X1316" s="6"/>
      <c r="Y1316" s="6"/>
      <c r="Z1316" s="6"/>
      <c r="AA1316" s="6" t="s">
        <v>68</v>
      </c>
      <c r="AB1316" s="8" t="s">
        <v>8156</v>
      </c>
      <c r="AC1316" s="27">
        <v>9785160196206</v>
      </c>
    </row>
    <row r="1317" spans="1:29" s="4" customFormat="1" ht="42" customHeight="1" x14ac:dyDescent="0.2">
      <c r="A1317" s="5">
        <v>0</v>
      </c>
      <c r="B1317" s="6" t="s">
        <v>8157</v>
      </c>
      <c r="C1317" s="7">
        <v>2992.8</v>
      </c>
      <c r="D1317" s="8" t="s">
        <v>8158</v>
      </c>
      <c r="E1317" s="8" t="s">
        <v>8159</v>
      </c>
      <c r="F1317" s="8" t="s">
        <v>8160</v>
      </c>
      <c r="G1317" s="6" t="s">
        <v>60</v>
      </c>
      <c r="H1317" s="6" t="s">
        <v>1644</v>
      </c>
      <c r="I1317" s="8" t="s">
        <v>1904</v>
      </c>
      <c r="J1317" s="9">
        <v>1</v>
      </c>
      <c r="K1317" s="9">
        <v>576</v>
      </c>
      <c r="L1317" s="9">
        <v>2023</v>
      </c>
      <c r="M1317" s="8" t="s">
        <v>8161</v>
      </c>
      <c r="N1317" s="8" t="s">
        <v>37</v>
      </c>
      <c r="O1317" s="8" t="s">
        <v>233</v>
      </c>
      <c r="P1317" s="6" t="s">
        <v>306</v>
      </c>
      <c r="Q1317" s="8" t="s">
        <v>52</v>
      </c>
      <c r="R1317" s="10" t="s">
        <v>3008</v>
      </c>
      <c r="S1317" s="11"/>
      <c r="T1317" s="6"/>
      <c r="U1317" s="15" t="str">
        <f>HYPERLINK("https://media.infra-m.ru/2001/2001624/cover/2001624.jpg", "Обложка")</f>
        <v>Обложка</v>
      </c>
      <c r="V1317" s="8" t="s">
        <v>644</v>
      </c>
      <c r="W1317" s="6"/>
      <c r="X1317" s="6"/>
      <c r="Y1317" s="6"/>
      <c r="Z1317" s="6"/>
      <c r="AA1317" s="6" t="s">
        <v>779</v>
      </c>
      <c r="AB1317" s="8"/>
      <c r="AC1317" s="27">
        <v>9785977604239</v>
      </c>
    </row>
    <row r="1318" spans="1:29" s="4" customFormat="1" ht="44.1" customHeight="1" x14ac:dyDescent="0.2">
      <c r="A1318" s="5">
        <v>0</v>
      </c>
      <c r="B1318" s="6" t="s">
        <v>8162</v>
      </c>
      <c r="C1318" s="7">
        <v>1696.8</v>
      </c>
      <c r="D1318" s="8" t="s">
        <v>8163</v>
      </c>
      <c r="E1318" s="8" t="s">
        <v>8164</v>
      </c>
      <c r="F1318" s="8" t="s">
        <v>8165</v>
      </c>
      <c r="G1318" s="6" t="s">
        <v>118</v>
      </c>
      <c r="H1318" s="6" t="s">
        <v>134</v>
      </c>
      <c r="I1318" s="8" t="s">
        <v>8166</v>
      </c>
      <c r="J1318" s="9">
        <v>1</v>
      </c>
      <c r="K1318" s="9">
        <v>256</v>
      </c>
      <c r="L1318" s="9">
        <v>2026</v>
      </c>
      <c r="M1318" s="8" t="s">
        <v>8167</v>
      </c>
      <c r="N1318" s="8" t="s">
        <v>37</v>
      </c>
      <c r="O1318" s="8" t="s">
        <v>83</v>
      </c>
      <c r="P1318" s="6" t="s">
        <v>51</v>
      </c>
      <c r="Q1318" s="8" t="s">
        <v>52</v>
      </c>
      <c r="R1318" s="10" t="s">
        <v>8168</v>
      </c>
      <c r="S1318" s="11"/>
      <c r="T1318" s="6"/>
      <c r="U1318" s="15" t="str">
        <f>HYPERLINK("https://media.infra-m.ru/2221/2221368/cover/2221368.jpg", "Обложка")</f>
        <v>Обложка</v>
      </c>
      <c r="V1318" s="8" t="s">
        <v>3087</v>
      </c>
      <c r="W1318" s="6"/>
      <c r="X1318" s="6"/>
      <c r="Y1318" s="6"/>
      <c r="Z1318" s="6"/>
      <c r="AA1318" s="6" t="s">
        <v>274</v>
      </c>
      <c r="AB1318" s="8"/>
      <c r="AC1318" s="27">
        <v>9785917685571</v>
      </c>
    </row>
    <row r="1319" spans="1:29" s="4" customFormat="1" ht="51.9" customHeight="1" x14ac:dyDescent="0.2">
      <c r="A1319" s="5">
        <v>0</v>
      </c>
      <c r="B1319" s="6" t="s">
        <v>8169</v>
      </c>
      <c r="C1319" s="7">
        <v>1116</v>
      </c>
      <c r="D1319" s="8" t="s">
        <v>8170</v>
      </c>
      <c r="E1319" s="8" t="s">
        <v>8171</v>
      </c>
      <c r="F1319" s="8" t="s">
        <v>8172</v>
      </c>
      <c r="G1319" s="6" t="s">
        <v>33</v>
      </c>
      <c r="H1319" s="6" t="s">
        <v>34</v>
      </c>
      <c r="I1319" s="8" t="s">
        <v>1074</v>
      </c>
      <c r="J1319" s="9">
        <v>1</v>
      </c>
      <c r="K1319" s="9">
        <v>168</v>
      </c>
      <c r="L1319" s="9">
        <v>2026</v>
      </c>
      <c r="M1319" s="8" t="s">
        <v>8173</v>
      </c>
      <c r="N1319" s="8" t="s">
        <v>37</v>
      </c>
      <c r="O1319" s="8" t="s">
        <v>136</v>
      </c>
      <c r="P1319" s="6" t="s">
        <v>4401</v>
      </c>
      <c r="Q1319" s="8" t="s">
        <v>40</v>
      </c>
      <c r="R1319" s="10" t="s">
        <v>8174</v>
      </c>
      <c r="S1319" s="11"/>
      <c r="T1319" s="6"/>
      <c r="U1319" s="15" t="str">
        <f>HYPERLINK("https://media.infra-m.ru/2253/2253958/cover/2253958.jpg", "Обложка")</f>
        <v>Обложка</v>
      </c>
      <c r="V1319" s="8" t="s">
        <v>546</v>
      </c>
      <c r="W1319" s="6"/>
      <c r="X1319" s="6" t="s">
        <v>24</v>
      </c>
      <c r="Y1319" s="6"/>
      <c r="Z1319" s="6"/>
      <c r="AA1319" s="6" t="s">
        <v>779</v>
      </c>
      <c r="AB1319" s="8"/>
      <c r="AC1319" s="27">
        <v>9785160120843</v>
      </c>
    </row>
    <row r="1320" spans="1:29" s="4" customFormat="1" ht="44.1" customHeight="1" x14ac:dyDescent="0.2">
      <c r="A1320" s="5">
        <v>0</v>
      </c>
      <c r="B1320" s="6" t="s">
        <v>8175</v>
      </c>
      <c r="C1320" s="13">
        <v>840</v>
      </c>
      <c r="D1320" s="8" t="s">
        <v>8176</v>
      </c>
      <c r="E1320" s="8" t="s">
        <v>8177</v>
      </c>
      <c r="F1320" s="8" t="s">
        <v>8178</v>
      </c>
      <c r="G1320" s="6" t="s">
        <v>33</v>
      </c>
      <c r="H1320" s="6" t="s">
        <v>34</v>
      </c>
      <c r="I1320" s="8" t="s">
        <v>111</v>
      </c>
      <c r="J1320" s="9">
        <v>1</v>
      </c>
      <c r="K1320" s="9">
        <v>179</v>
      </c>
      <c r="L1320" s="9">
        <v>2022</v>
      </c>
      <c r="M1320" s="8" t="s">
        <v>8179</v>
      </c>
      <c r="N1320" s="8" t="s">
        <v>37</v>
      </c>
      <c r="O1320" s="8" t="s">
        <v>233</v>
      </c>
      <c r="P1320" s="6" t="s">
        <v>39</v>
      </c>
      <c r="Q1320" s="8" t="s">
        <v>40</v>
      </c>
      <c r="R1320" s="10" t="s">
        <v>8180</v>
      </c>
      <c r="S1320" s="11"/>
      <c r="T1320" s="6"/>
      <c r="U1320" s="15" t="str">
        <f>HYPERLINK("https://media.infra-m.ru/1854/1854747/cover/1854747.jpg", "Обложка")</f>
        <v>Обложка</v>
      </c>
      <c r="V1320" s="8" t="s">
        <v>414</v>
      </c>
      <c r="W1320" s="6"/>
      <c r="X1320" s="6"/>
      <c r="Y1320" s="6"/>
      <c r="Z1320" s="6"/>
      <c r="AA1320" s="6" t="s">
        <v>115</v>
      </c>
      <c r="AB1320" s="8"/>
      <c r="AC1320" s="27">
        <v>9785160174501</v>
      </c>
    </row>
    <row r="1321" spans="1:29" s="4" customFormat="1" ht="51.9" customHeight="1" x14ac:dyDescent="0.2">
      <c r="A1321" s="5">
        <v>0</v>
      </c>
      <c r="B1321" s="6" t="s">
        <v>8181</v>
      </c>
      <c r="C1321" s="7">
        <v>1428</v>
      </c>
      <c r="D1321" s="8" t="s">
        <v>8182</v>
      </c>
      <c r="E1321" s="8" t="s">
        <v>8183</v>
      </c>
      <c r="F1321" s="8" t="s">
        <v>8184</v>
      </c>
      <c r="G1321" s="6" t="s">
        <v>118</v>
      </c>
      <c r="H1321" s="6" t="s">
        <v>134</v>
      </c>
      <c r="I1321" s="8"/>
      <c r="J1321" s="9">
        <v>1</v>
      </c>
      <c r="K1321" s="9">
        <v>216</v>
      </c>
      <c r="L1321" s="9">
        <v>2026</v>
      </c>
      <c r="M1321" s="8" t="s">
        <v>8185</v>
      </c>
      <c r="N1321" s="8" t="s">
        <v>37</v>
      </c>
      <c r="O1321" s="8" t="s">
        <v>136</v>
      </c>
      <c r="P1321" s="6" t="s">
        <v>759</v>
      </c>
      <c r="Q1321" s="8" t="s">
        <v>52</v>
      </c>
      <c r="R1321" s="10" t="s">
        <v>484</v>
      </c>
      <c r="S1321" s="11"/>
      <c r="T1321" s="6"/>
      <c r="U1321" s="15" t="str">
        <f>HYPERLINK("https://media.infra-m.ru/2239/2239064/cover/2239064.jpg", "Обложка")</f>
        <v>Обложка</v>
      </c>
      <c r="V1321" s="8" t="s">
        <v>644</v>
      </c>
      <c r="W1321" s="6"/>
      <c r="X1321" s="6"/>
      <c r="Y1321" s="6"/>
      <c r="Z1321" s="6"/>
      <c r="AA1321" s="6" t="s">
        <v>896</v>
      </c>
      <c r="AB1321" s="8"/>
      <c r="AC1321" s="27">
        <v>9785001562306</v>
      </c>
    </row>
    <row r="1322" spans="1:29" s="4" customFormat="1" ht="51.9" customHeight="1" x14ac:dyDescent="0.2">
      <c r="A1322" s="5">
        <v>0</v>
      </c>
      <c r="B1322" s="6" t="s">
        <v>8186</v>
      </c>
      <c r="C1322" s="13">
        <v>708</v>
      </c>
      <c r="D1322" s="8" t="s">
        <v>8187</v>
      </c>
      <c r="E1322" s="8" t="s">
        <v>8188</v>
      </c>
      <c r="F1322" s="8" t="s">
        <v>8184</v>
      </c>
      <c r="G1322" s="6" t="s">
        <v>33</v>
      </c>
      <c r="H1322" s="6" t="s">
        <v>134</v>
      </c>
      <c r="I1322" s="8"/>
      <c r="J1322" s="9">
        <v>1</v>
      </c>
      <c r="K1322" s="9">
        <v>144</v>
      </c>
      <c r="L1322" s="9">
        <v>2021</v>
      </c>
      <c r="M1322" s="8" t="s">
        <v>8189</v>
      </c>
      <c r="N1322" s="8" t="s">
        <v>585</v>
      </c>
      <c r="O1322" s="8" t="s">
        <v>586</v>
      </c>
      <c r="P1322" s="6" t="s">
        <v>759</v>
      </c>
      <c r="Q1322" s="8" t="s">
        <v>52</v>
      </c>
      <c r="R1322" s="10" t="s">
        <v>484</v>
      </c>
      <c r="S1322" s="11"/>
      <c r="T1322" s="6"/>
      <c r="U1322" s="15" t="str">
        <f>HYPERLINK("https://media.infra-m.ru/1353/1353632/cover/1353632.jpg", "Обложка")</f>
        <v>Обложка</v>
      </c>
      <c r="V1322" s="8" t="s">
        <v>644</v>
      </c>
      <c r="W1322" s="6"/>
      <c r="X1322" s="6"/>
      <c r="Y1322" s="6"/>
      <c r="Z1322" s="6"/>
      <c r="AA1322" s="6" t="s">
        <v>779</v>
      </c>
      <c r="AB1322" s="8"/>
      <c r="AC1322" s="27">
        <v>9785917686653</v>
      </c>
    </row>
    <row r="1323" spans="1:29" s="4" customFormat="1" ht="42" customHeight="1" x14ac:dyDescent="0.2">
      <c r="A1323" s="5">
        <v>0</v>
      </c>
      <c r="B1323" s="6" t="s">
        <v>8190</v>
      </c>
      <c r="C1323" s="13">
        <v>876</v>
      </c>
      <c r="D1323" s="8" t="s">
        <v>8191</v>
      </c>
      <c r="E1323" s="8" t="s">
        <v>8192</v>
      </c>
      <c r="F1323" s="8" t="s">
        <v>8193</v>
      </c>
      <c r="G1323" s="6" t="s">
        <v>33</v>
      </c>
      <c r="H1323" s="6" t="s">
        <v>34</v>
      </c>
      <c r="I1323" s="8" t="s">
        <v>35</v>
      </c>
      <c r="J1323" s="9">
        <v>1</v>
      </c>
      <c r="K1323" s="9">
        <v>117</v>
      </c>
      <c r="L1323" s="9">
        <v>2027</v>
      </c>
      <c r="M1323" s="8" t="s">
        <v>8194</v>
      </c>
      <c r="N1323" s="8" t="s">
        <v>37</v>
      </c>
      <c r="O1323" s="8" t="s">
        <v>83</v>
      </c>
      <c r="P1323" s="6" t="s">
        <v>39</v>
      </c>
      <c r="Q1323" s="8" t="s">
        <v>40</v>
      </c>
      <c r="R1323" s="10" t="s">
        <v>6528</v>
      </c>
      <c r="S1323" s="11"/>
      <c r="T1323" s="6"/>
      <c r="U1323" s="15" t="str">
        <f>HYPERLINK("https://media.infra-m.ru/2266/2266117/cover/2266117.jpg", "Обложка")</f>
        <v>Обложка</v>
      </c>
      <c r="V1323" s="8" t="s">
        <v>3087</v>
      </c>
      <c r="W1323" s="6"/>
      <c r="X1323" s="6"/>
      <c r="Y1323" s="6"/>
      <c r="Z1323" s="6"/>
      <c r="AA1323" s="6" t="s">
        <v>779</v>
      </c>
      <c r="AB1323" s="8"/>
      <c r="AC1323" s="27">
        <v>9785160106496</v>
      </c>
    </row>
    <row r="1324" spans="1:29" s="4" customFormat="1" ht="51.9" customHeight="1" x14ac:dyDescent="0.2">
      <c r="A1324" s="5">
        <v>0</v>
      </c>
      <c r="B1324" s="6" t="s">
        <v>8195</v>
      </c>
      <c r="C1324" s="7">
        <v>2112</v>
      </c>
      <c r="D1324" s="8" t="s">
        <v>8196</v>
      </c>
      <c r="E1324" s="8" t="s">
        <v>8197</v>
      </c>
      <c r="F1324" s="8" t="s">
        <v>7932</v>
      </c>
      <c r="G1324" s="6" t="s">
        <v>118</v>
      </c>
      <c r="H1324" s="6" t="s">
        <v>34</v>
      </c>
      <c r="I1324" s="8" t="s">
        <v>271</v>
      </c>
      <c r="J1324" s="9">
        <v>1</v>
      </c>
      <c r="K1324" s="9">
        <v>390</v>
      </c>
      <c r="L1324" s="9">
        <v>2023</v>
      </c>
      <c r="M1324" s="8" t="s">
        <v>8198</v>
      </c>
      <c r="N1324" s="8" t="s">
        <v>243</v>
      </c>
      <c r="O1324" s="8" t="s">
        <v>758</v>
      </c>
      <c r="P1324" s="6" t="s">
        <v>51</v>
      </c>
      <c r="Q1324" s="8" t="s">
        <v>52</v>
      </c>
      <c r="R1324" s="10" t="s">
        <v>8199</v>
      </c>
      <c r="S1324" s="11" t="s">
        <v>8200</v>
      </c>
      <c r="T1324" s="6"/>
      <c r="U1324" s="15" t="str">
        <f>HYPERLINK("https://media.infra-m.ru/1974/1974344/cover/1974344.jpg", "Обложка")</f>
        <v>Обложка</v>
      </c>
      <c r="V1324" s="8" t="s">
        <v>2446</v>
      </c>
      <c r="W1324" s="6"/>
      <c r="X1324" s="6"/>
      <c r="Y1324" s="6"/>
      <c r="Z1324" s="6"/>
      <c r="AA1324" s="6" t="s">
        <v>274</v>
      </c>
      <c r="AB1324" s="8"/>
      <c r="AC1324" s="27">
        <v>9785160094397</v>
      </c>
    </row>
    <row r="1325" spans="1:29" s="4" customFormat="1" ht="51.9" customHeight="1" x14ac:dyDescent="0.2">
      <c r="A1325" s="5">
        <v>0</v>
      </c>
      <c r="B1325" s="6" t="s">
        <v>8201</v>
      </c>
      <c r="C1325" s="7">
        <v>1452</v>
      </c>
      <c r="D1325" s="8" t="s">
        <v>8202</v>
      </c>
      <c r="E1325" s="8" t="s">
        <v>8203</v>
      </c>
      <c r="F1325" s="8" t="s">
        <v>8204</v>
      </c>
      <c r="G1325" s="6" t="s">
        <v>118</v>
      </c>
      <c r="H1325" s="6" t="s">
        <v>34</v>
      </c>
      <c r="I1325" s="8" t="s">
        <v>253</v>
      </c>
      <c r="J1325" s="9">
        <v>1</v>
      </c>
      <c r="K1325" s="9">
        <v>268</v>
      </c>
      <c r="L1325" s="9">
        <v>2023</v>
      </c>
      <c r="M1325" s="8" t="s">
        <v>8205</v>
      </c>
      <c r="N1325" s="8" t="s">
        <v>37</v>
      </c>
      <c r="O1325" s="8" t="s">
        <v>136</v>
      </c>
      <c r="P1325" s="6" t="s">
        <v>306</v>
      </c>
      <c r="Q1325" s="8" t="s">
        <v>52</v>
      </c>
      <c r="R1325" s="10" t="s">
        <v>1068</v>
      </c>
      <c r="S1325" s="11" t="s">
        <v>5619</v>
      </c>
      <c r="T1325" s="6"/>
      <c r="U1325" s="15" t="str">
        <f>HYPERLINK("https://media.infra-m.ru/2002/2002646/cover/2002646.jpg", "Обложка")</f>
        <v>Обложка</v>
      </c>
      <c r="V1325" s="8" t="s">
        <v>396</v>
      </c>
      <c r="W1325" s="6"/>
      <c r="X1325" s="6"/>
      <c r="Y1325" s="6"/>
      <c r="Z1325" s="6"/>
      <c r="AA1325" s="6" t="s">
        <v>99</v>
      </c>
      <c r="AB1325" s="8"/>
      <c r="AC1325" s="27">
        <v>9785160184487</v>
      </c>
    </row>
    <row r="1326" spans="1:29" s="4" customFormat="1" ht="51.9" customHeight="1" x14ac:dyDescent="0.2">
      <c r="A1326" s="5">
        <v>0</v>
      </c>
      <c r="B1326" s="6" t="s">
        <v>8206</v>
      </c>
      <c r="C1326" s="7">
        <v>1596</v>
      </c>
      <c r="D1326" s="8" t="s">
        <v>8207</v>
      </c>
      <c r="E1326" s="8" t="s">
        <v>8208</v>
      </c>
      <c r="F1326" s="8" t="s">
        <v>8209</v>
      </c>
      <c r="G1326" s="6" t="s">
        <v>118</v>
      </c>
      <c r="H1326" s="6" t="s">
        <v>34</v>
      </c>
      <c r="I1326" s="8" t="s">
        <v>1248</v>
      </c>
      <c r="J1326" s="9">
        <v>1</v>
      </c>
      <c r="K1326" s="9">
        <v>250</v>
      </c>
      <c r="L1326" s="9">
        <v>2025</v>
      </c>
      <c r="M1326" s="8" t="s">
        <v>8210</v>
      </c>
      <c r="N1326" s="8" t="s">
        <v>243</v>
      </c>
      <c r="O1326" s="8" t="s">
        <v>964</v>
      </c>
      <c r="P1326" s="6" t="s">
        <v>51</v>
      </c>
      <c r="Q1326" s="8" t="s">
        <v>377</v>
      </c>
      <c r="R1326" s="10" t="s">
        <v>8211</v>
      </c>
      <c r="S1326" s="11" t="s">
        <v>8212</v>
      </c>
      <c r="T1326" s="6"/>
      <c r="U1326" s="15" t="str">
        <f>HYPERLINK("https://media.infra-m.ru/2204/2204999/cover/2204999.jpg", "Обложка")</f>
        <v>Обложка</v>
      </c>
      <c r="V1326" s="8" t="s">
        <v>1083</v>
      </c>
      <c r="W1326" s="6"/>
      <c r="X1326" s="6"/>
      <c r="Y1326" s="6"/>
      <c r="Z1326" s="6"/>
      <c r="AA1326" s="6" t="s">
        <v>86</v>
      </c>
      <c r="AB1326" s="8"/>
      <c r="AC1326" s="27">
        <v>9785160210605</v>
      </c>
    </row>
    <row r="1327" spans="1:29" s="4" customFormat="1" ht="51.9" customHeight="1" x14ac:dyDescent="0.2">
      <c r="A1327" s="5">
        <v>0</v>
      </c>
      <c r="B1327" s="6" t="s">
        <v>8213</v>
      </c>
      <c r="C1327" s="7">
        <v>1620</v>
      </c>
      <c r="D1327" s="8" t="s">
        <v>8214</v>
      </c>
      <c r="E1327" s="8" t="s">
        <v>8215</v>
      </c>
      <c r="F1327" s="8" t="s">
        <v>8216</v>
      </c>
      <c r="G1327" s="6" t="s">
        <v>33</v>
      </c>
      <c r="H1327" s="6" t="s">
        <v>34</v>
      </c>
      <c r="I1327" s="8" t="s">
        <v>35</v>
      </c>
      <c r="J1327" s="9">
        <v>1</v>
      </c>
      <c r="K1327" s="9">
        <v>343</v>
      </c>
      <c r="L1327" s="9">
        <v>2022</v>
      </c>
      <c r="M1327" s="8" t="s">
        <v>8217</v>
      </c>
      <c r="N1327" s="8" t="s">
        <v>37</v>
      </c>
      <c r="O1327" s="8" t="s">
        <v>38</v>
      </c>
      <c r="P1327" s="6" t="s">
        <v>39</v>
      </c>
      <c r="Q1327" s="8" t="s">
        <v>40</v>
      </c>
      <c r="R1327" s="10" t="s">
        <v>8218</v>
      </c>
      <c r="S1327" s="11"/>
      <c r="T1327" s="6"/>
      <c r="U1327" s="15" t="str">
        <f>HYPERLINK("https://media.infra-m.ru/1740/1740251/cover/1740251.jpg", "Обложка")</f>
        <v>Обложка</v>
      </c>
      <c r="V1327" s="8" t="s">
        <v>54</v>
      </c>
      <c r="W1327" s="6"/>
      <c r="X1327" s="6"/>
      <c r="Y1327" s="6"/>
      <c r="Z1327" s="6"/>
      <c r="AA1327" s="6" t="s">
        <v>148</v>
      </c>
      <c r="AB1327" s="8"/>
      <c r="AC1327" s="27">
        <v>9785160171036</v>
      </c>
    </row>
    <row r="1328" spans="1:29" s="4" customFormat="1" ht="42" customHeight="1" x14ac:dyDescent="0.2">
      <c r="A1328" s="5">
        <v>0</v>
      </c>
      <c r="B1328" s="6" t="s">
        <v>8219</v>
      </c>
      <c r="C1328" s="7">
        <v>1515.6</v>
      </c>
      <c r="D1328" s="8" t="s">
        <v>8220</v>
      </c>
      <c r="E1328" s="8" t="s">
        <v>8221</v>
      </c>
      <c r="F1328" s="8" t="s">
        <v>8222</v>
      </c>
      <c r="G1328" s="6" t="s">
        <v>33</v>
      </c>
      <c r="H1328" s="6" t="s">
        <v>134</v>
      </c>
      <c r="I1328" s="8"/>
      <c r="J1328" s="9">
        <v>1</v>
      </c>
      <c r="K1328" s="9">
        <v>352</v>
      </c>
      <c r="L1328" s="9">
        <v>2026</v>
      </c>
      <c r="M1328" s="8" t="s">
        <v>8223</v>
      </c>
      <c r="N1328" s="8" t="s">
        <v>63</v>
      </c>
      <c r="O1328" s="8" t="s">
        <v>126</v>
      </c>
      <c r="P1328" s="6" t="s">
        <v>39</v>
      </c>
      <c r="Q1328" s="8" t="s">
        <v>40</v>
      </c>
      <c r="R1328" s="10" t="s">
        <v>8224</v>
      </c>
      <c r="S1328" s="11"/>
      <c r="T1328" s="6"/>
      <c r="U1328" s="15" t="str">
        <f>HYPERLINK("https://media.infra-m.ru/1938/1938041/cover/1938041.jpg", "Обложка")</f>
        <v>Обложка</v>
      </c>
      <c r="V1328" s="8" t="s">
        <v>1184</v>
      </c>
      <c r="W1328" s="6"/>
      <c r="X1328" s="6"/>
      <c r="Y1328" s="6"/>
      <c r="Z1328" s="6"/>
      <c r="AA1328" s="6" t="s">
        <v>1047</v>
      </c>
      <c r="AB1328" s="8"/>
      <c r="AC1328" s="27">
        <v>9785001560197</v>
      </c>
    </row>
    <row r="1329" spans="1:29" s="4" customFormat="1" ht="51.9" customHeight="1" x14ac:dyDescent="0.2">
      <c r="A1329" s="5">
        <v>0</v>
      </c>
      <c r="B1329" s="6" t="s">
        <v>8225</v>
      </c>
      <c r="C1329" s="7">
        <v>1240.8</v>
      </c>
      <c r="D1329" s="8" t="s">
        <v>8226</v>
      </c>
      <c r="E1329" s="8" t="s">
        <v>8227</v>
      </c>
      <c r="F1329" s="8" t="s">
        <v>8228</v>
      </c>
      <c r="G1329" s="6" t="s">
        <v>118</v>
      </c>
      <c r="H1329" s="6" t="s">
        <v>34</v>
      </c>
      <c r="I1329" s="8" t="s">
        <v>263</v>
      </c>
      <c r="J1329" s="9">
        <v>1</v>
      </c>
      <c r="K1329" s="9">
        <v>179</v>
      </c>
      <c r="L1329" s="9">
        <v>2027</v>
      </c>
      <c r="M1329" s="8" t="s">
        <v>8229</v>
      </c>
      <c r="N1329" s="8" t="s">
        <v>37</v>
      </c>
      <c r="O1329" s="8" t="s">
        <v>499</v>
      </c>
      <c r="P1329" s="6" t="s">
        <v>51</v>
      </c>
      <c r="Q1329" s="8" t="s">
        <v>265</v>
      </c>
      <c r="R1329" s="10" t="s">
        <v>8230</v>
      </c>
      <c r="S1329" s="11" t="s">
        <v>8231</v>
      </c>
      <c r="T1329" s="6"/>
      <c r="U1329" s="15" t="str">
        <f>HYPERLINK("https://media.infra-m.ru/2272/2272316/cover/2272316.jpg", "Обложка")</f>
        <v>Обложка</v>
      </c>
      <c r="V1329" s="8" t="s">
        <v>4473</v>
      </c>
      <c r="W1329" s="6"/>
      <c r="X1329" s="6"/>
      <c r="Y1329" s="6"/>
      <c r="Z1329" s="6" t="s">
        <v>267</v>
      </c>
      <c r="AA1329" s="6" t="s">
        <v>1256</v>
      </c>
      <c r="AB1329" s="8"/>
      <c r="AC1329" s="27">
        <v>9785160161631</v>
      </c>
    </row>
    <row r="1330" spans="1:29" s="4" customFormat="1" ht="51.9" customHeight="1" x14ac:dyDescent="0.2">
      <c r="A1330" s="5">
        <v>0</v>
      </c>
      <c r="B1330" s="6" t="s">
        <v>8232</v>
      </c>
      <c r="C1330" s="7">
        <v>1096.8</v>
      </c>
      <c r="D1330" s="8" t="s">
        <v>8233</v>
      </c>
      <c r="E1330" s="8" t="s">
        <v>8227</v>
      </c>
      <c r="F1330" s="8" t="s">
        <v>8228</v>
      </c>
      <c r="G1330" s="6" t="s">
        <v>60</v>
      </c>
      <c r="H1330" s="6" t="s">
        <v>34</v>
      </c>
      <c r="I1330" s="8" t="s">
        <v>271</v>
      </c>
      <c r="J1330" s="9">
        <v>1</v>
      </c>
      <c r="K1330" s="9">
        <v>183</v>
      </c>
      <c r="L1330" s="9">
        <v>2025</v>
      </c>
      <c r="M1330" s="8" t="s">
        <v>8234</v>
      </c>
      <c r="N1330" s="8" t="s">
        <v>37</v>
      </c>
      <c r="O1330" s="8" t="s">
        <v>499</v>
      </c>
      <c r="P1330" s="6" t="s">
        <v>51</v>
      </c>
      <c r="Q1330" s="8" t="s">
        <v>52</v>
      </c>
      <c r="R1330" s="10" t="s">
        <v>8235</v>
      </c>
      <c r="S1330" s="11" t="s">
        <v>8236</v>
      </c>
      <c r="T1330" s="6"/>
      <c r="U1330" s="15" t="str">
        <f>HYPERLINK("https://media.infra-m.ru/2179/2179101/cover/2179101.jpg", "Обложка")</f>
        <v>Обложка</v>
      </c>
      <c r="V1330" s="8" t="s">
        <v>4473</v>
      </c>
      <c r="W1330" s="6"/>
      <c r="X1330" s="6"/>
      <c r="Y1330" s="6"/>
      <c r="Z1330" s="6"/>
      <c r="AA1330" s="6" t="s">
        <v>1256</v>
      </c>
      <c r="AB1330" s="8"/>
      <c r="AC1330" s="27">
        <v>9785160158143</v>
      </c>
    </row>
    <row r="1331" spans="1:29" s="4" customFormat="1" ht="51.9" customHeight="1" x14ac:dyDescent="0.2">
      <c r="A1331" s="5">
        <v>0</v>
      </c>
      <c r="B1331" s="6" t="s">
        <v>8237</v>
      </c>
      <c r="C1331" s="7">
        <v>4550.3999999999996</v>
      </c>
      <c r="D1331" s="8" t="s">
        <v>8238</v>
      </c>
      <c r="E1331" s="8" t="s">
        <v>8239</v>
      </c>
      <c r="F1331" s="8" t="s">
        <v>8240</v>
      </c>
      <c r="G1331" s="6" t="s">
        <v>33</v>
      </c>
      <c r="H1331" s="6" t="s">
        <v>34</v>
      </c>
      <c r="I1331" s="8" t="s">
        <v>1835</v>
      </c>
      <c r="J1331" s="9">
        <v>1</v>
      </c>
      <c r="K1331" s="9">
        <v>652</v>
      </c>
      <c r="L1331" s="9">
        <v>2027</v>
      </c>
      <c r="M1331" s="8" t="s">
        <v>8241</v>
      </c>
      <c r="N1331" s="8" t="s">
        <v>63</v>
      </c>
      <c r="O1331" s="8" t="s">
        <v>64</v>
      </c>
      <c r="P1331" s="6" t="s">
        <v>1837</v>
      </c>
      <c r="Q1331" s="8" t="s">
        <v>749</v>
      </c>
      <c r="R1331" s="10" t="s">
        <v>8242</v>
      </c>
      <c r="S1331" s="11"/>
      <c r="T1331" s="6"/>
      <c r="U1331" s="15" t="str">
        <f>HYPERLINK("https://media.infra-m.ru/2271/2271597/cover/2271597.jpg", "Обложка")</f>
        <v>Обложка</v>
      </c>
      <c r="V1331" s="8" t="s">
        <v>8243</v>
      </c>
      <c r="W1331" s="6"/>
      <c r="X1331" s="6"/>
      <c r="Y1331" s="6"/>
      <c r="Z1331" s="6"/>
      <c r="AA1331" s="6" t="s">
        <v>55</v>
      </c>
      <c r="AB1331" s="8"/>
      <c r="AC1331" s="27">
        <v>9785160113975</v>
      </c>
    </row>
    <row r="1332" spans="1:29" s="4" customFormat="1" ht="42" customHeight="1" x14ac:dyDescent="0.2">
      <c r="A1332" s="5">
        <v>0</v>
      </c>
      <c r="B1332" s="6" t="s">
        <v>8244</v>
      </c>
      <c r="C1332" s="7">
        <v>4406.3999999999996</v>
      </c>
      <c r="D1332" s="8" t="s">
        <v>8245</v>
      </c>
      <c r="E1332" s="8" t="s">
        <v>8246</v>
      </c>
      <c r="F1332" s="8" t="s">
        <v>8240</v>
      </c>
      <c r="G1332" s="6" t="s">
        <v>33</v>
      </c>
      <c r="H1332" s="6" t="s">
        <v>34</v>
      </c>
      <c r="I1332" s="8" t="s">
        <v>1835</v>
      </c>
      <c r="J1332" s="9">
        <v>1</v>
      </c>
      <c r="K1332" s="9">
        <v>631</v>
      </c>
      <c r="L1332" s="9">
        <v>2027</v>
      </c>
      <c r="M1332" s="8" t="s">
        <v>8247</v>
      </c>
      <c r="N1332" s="8" t="s">
        <v>63</v>
      </c>
      <c r="O1332" s="8" t="s">
        <v>64</v>
      </c>
      <c r="P1332" s="6" t="s">
        <v>1837</v>
      </c>
      <c r="Q1332" s="8" t="s">
        <v>40</v>
      </c>
      <c r="R1332" s="10" t="s">
        <v>2558</v>
      </c>
      <c r="S1332" s="11"/>
      <c r="T1332" s="6"/>
      <c r="U1332" s="15" t="str">
        <f>HYPERLINK("https://media.infra-m.ru/2271/2271598/cover/2271598.jpg", "Обложка")</f>
        <v>Обложка</v>
      </c>
      <c r="V1332" s="8" t="s">
        <v>8243</v>
      </c>
      <c r="W1332" s="6"/>
      <c r="X1332" s="6"/>
      <c r="Y1332" s="6"/>
      <c r="Z1332" s="6"/>
      <c r="AA1332" s="6" t="s">
        <v>55</v>
      </c>
      <c r="AB1332" s="8"/>
      <c r="AC1332" s="27">
        <v>9785160113968</v>
      </c>
    </row>
    <row r="1333" spans="1:29" s="4" customFormat="1" ht="51.9" customHeight="1" x14ac:dyDescent="0.2">
      <c r="A1333" s="5">
        <v>0</v>
      </c>
      <c r="B1333" s="6" t="s">
        <v>8248</v>
      </c>
      <c r="C1333" s="7">
        <v>4334.3999999999996</v>
      </c>
      <c r="D1333" s="8" t="s">
        <v>8249</v>
      </c>
      <c r="E1333" s="8" t="s">
        <v>8250</v>
      </c>
      <c r="F1333" s="8" t="s">
        <v>8240</v>
      </c>
      <c r="G1333" s="6" t="s">
        <v>33</v>
      </c>
      <c r="H1333" s="6" t="s">
        <v>34</v>
      </c>
      <c r="I1333" s="8" t="s">
        <v>1835</v>
      </c>
      <c r="J1333" s="9">
        <v>1</v>
      </c>
      <c r="K1333" s="9">
        <v>621</v>
      </c>
      <c r="L1333" s="9">
        <v>2027</v>
      </c>
      <c r="M1333" s="8" t="s">
        <v>8251</v>
      </c>
      <c r="N1333" s="8" t="s">
        <v>63</v>
      </c>
      <c r="O1333" s="8" t="s">
        <v>64</v>
      </c>
      <c r="P1333" s="6" t="s">
        <v>1837</v>
      </c>
      <c r="Q1333" s="8" t="s">
        <v>749</v>
      </c>
      <c r="R1333" s="10" t="s">
        <v>8242</v>
      </c>
      <c r="S1333" s="11"/>
      <c r="T1333" s="6"/>
      <c r="U1333" s="15" t="str">
        <f>HYPERLINK("https://media.infra-m.ru/2271/2271596/cover/2271596.jpg", "Обложка")</f>
        <v>Обложка</v>
      </c>
      <c r="V1333" s="8" t="s">
        <v>8243</v>
      </c>
      <c r="W1333" s="6"/>
      <c r="X1333" s="6"/>
      <c r="Y1333" s="6"/>
      <c r="Z1333" s="6"/>
      <c r="AA1333" s="6" t="s">
        <v>55</v>
      </c>
      <c r="AB1333" s="8"/>
      <c r="AC1333" s="27">
        <v>9785160113999</v>
      </c>
    </row>
    <row r="1334" spans="1:29" s="4" customFormat="1" ht="42" customHeight="1" x14ac:dyDescent="0.2">
      <c r="A1334" s="5">
        <v>0</v>
      </c>
      <c r="B1334" s="6" t="s">
        <v>8252</v>
      </c>
      <c r="C1334" s="7">
        <v>1320</v>
      </c>
      <c r="D1334" s="8" t="s">
        <v>8253</v>
      </c>
      <c r="E1334" s="8" t="s">
        <v>8254</v>
      </c>
      <c r="F1334" s="8" t="s">
        <v>8255</v>
      </c>
      <c r="G1334" s="6" t="s">
        <v>60</v>
      </c>
      <c r="H1334" s="6" t="s">
        <v>34</v>
      </c>
      <c r="I1334" s="8" t="s">
        <v>253</v>
      </c>
      <c r="J1334" s="9">
        <v>1</v>
      </c>
      <c r="K1334" s="9">
        <v>199</v>
      </c>
      <c r="L1334" s="9">
        <v>2025</v>
      </c>
      <c r="M1334" s="8" t="s">
        <v>8256</v>
      </c>
      <c r="N1334" s="8" t="s">
        <v>63</v>
      </c>
      <c r="O1334" s="8" t="s">
        <v>64</v>
      </c>
      <c r="P1334" s="6" t="s">
        <v>51</v>
      </c>
      <c r="Q1334" s="8" t="s">
        <v>65</v>
      </c>
      <c r="R1334" s="10" t="s">
        <v>8257</v>
      </c>
      <c r="S1334" s="11"/>
      <c r="T1334" s="6"/>
      <c r="U1334" s="15" t="str">
        <f>HYPERLINK("https://media.infra-m.ru/2122/2122974/cover/2122974.jpg", "Обложка")</f>
        <v>Обложка</v>
      </c>
      <c r="V1334" s="8" t="s">
        <v>396</v>
      </c>
      <c r="W1334" s="6"/>
      <c r="X1334" s="6"/>
      <c r="Y1334" s="6"/>
      <c r="Z1334" s="6"/>
      <c r="AA1334" s="6" t="s">
        <v>68</v>
      </c>
      <c r="AB1334" s="8"/>
      <c r="AC1334" s="27">
        <v>9785160194721</v>
      </c>
    </row>
    <row r="1335" spans="1:29" s="4" customFormat="1" ht="42" customHeight="1" x14ac:dyDescent="0.2">
      <c r="A1335" s="5">
        <v>0</v>
      </c>
      <c r="B1335" s="6" t="s">
        <v>8258</v>
      </c>
      <c r="C1335" s="7">
        <v>1344</v>
      </c>
      <c r="D1335" s="8" t="s">
        <v>8259</v>
      </c>
      <c r="E1335" s="8" t="s">
        <v>8260</v>
      </c>
      <c r="F1335" s="8" t="s">
        <v>8261</v>
      </c>
      <c r="G1335" s="6" t="s">
        <v>118</v>
      </c>
      <c r="H1335" s="6" t="s">
        <v>34</v>
      </c>
      <c r="I1335" s="8" t="s">
        <v>1835</v>
      </c>
      <c r="J1335" s="9">
        <v>1</v>
      </c>
      <c r="K1335" s="9">
        <v>247</v>
      </c>
      <c r="L1335" s="9">
        <v>2023</v>
      </c>
      <c r="M1335" s="8" t="s">
        <v>8262</v>
      </c>
      <c r="N1335" s="8" t="s">
        <v>37</v>
      </c>
      <c r="O1335" s="8" t="s">
        <v>499</v>
      </c>
      <c r="P1335" s="6" t="s">
        <v>1837</v>
      </c>
      <c r="Q1335" s="8" t="s">
        <v>65</v>
      </c>
      <c r="R1335" s="10" t="s">
        <v>8263</v>
      </c>
      <c r="S1335" s="11"/>
      <c r="T1335" s="6"/>
      <c r="U1335" s="15" t="str">
        <f>HYPERLINK("https://media.infra-m.ru/2019/2019765/cover/2019765.jpg", "Обложка")</f>
        <v>Обложка</v>
      </c>
      <c r="V1335" s="8" t="s">
        <v>4481</v>
      </c>
      <c r="W1335" s="6"/>
      <c r="X1335" s="6"/>
      <c r="Y1335" s="6"/>
      <c r="Z1335" s="6"/>
      <c r="AA1335" s="6" t="s">
        <v>115</v>
      </c>
      <c r="AB1335" s="8"/>
      <c r="AC1335" s="27">
        <v>9785160147642</v>
      </c>
    </row>
    <row r="1336" spans="1:29" s="4" customFormat="1" ht="42" customHeight="1" x14ac:dyDescent="0.2">
      <c r="A1336" s="5">
        <v>0</v>
      </c>
      <c r="B1336" s="6" t="s">
        <v>8264</v>
      </c>
      <c r="C1336" s="7">
        <v>2152.8000000000002</v>
      </c>
      <c r="D1336" s="8" t="s">
        <v>8265</v>
      </c>
      <c r="E1336" s="8" t="s">
        <v>8266</v>
      </c>
      <c r="F1336" s="8" t="s">
        <v>8267</v>
      </c>
      <c r="G1336" s="6" t="s">
        <v>60</v>
      </c>
      <c r="H1336" s="6" t="s">
        <v>34</v>
      </c>
      <c r="I1336" s="8" t="s">
        <v>263</v>
      </c>
      <c r="J1336" s="9">
        <v>1</v>
      </c>
      <c r="K1336" s="9">
        <v>326</v>
      </c>
      <c r="L1336" s="9">
        <v>2026</v>
      </c>
      <c r="M1336" s="8" t="s">
        <v>8268</v>
      </c>
      <c r="N1336" s="8" t="s">
        <v>37</v>
      </c>
      <c r="O1336" s="8" t="s">
        <v>280</v>
      </c>
      <c r="P1336" s="6" t="s">
        <v>51</v>
      </c>
      <c r="Q1336" s="8" t="s">
        <v>265</v>
      </c>
      <c r="R1336" s="10" t="s">
        <v>4160</v>
      </c>
      <c r="S1336" s="11"/>
      <c r="T1336" s="6"/>
      <c r="U1336" s="15" t="str">
        <f>HYPERLINK("https://media.infra-m.ru/2243/2243101/cover/2243101.jpg", "Обложка")</f>
        <v>Обложка</v>
      </c>
      <c r="V1336" s="8" t="s">
        <v>5739</v>
      </c>
      <c r="W1336" s="6"/>
      <c r="X1336" s="6"/>
      <c r="Y1336" s="6"/>
      <c r="Z1336" s="6" t="s">
        <v>882</v>
      </c>
      <c r="AA1336" s="6" t="s">
        <v>106</v>
      </c>
      <c r="AB1336" s="8"/>
      <c r="AC1336" s="27">
        <v>9785160159058</v>
      </c>
    </row>
    <row r="1337" spans="1:29" s="4" customFormat="1" ht="51.9" customHeight="1" x14ac:dyDescent="0.2">
      <c r="A1337" s="5">
        <v>0</v>
      </c>
      <c r="B1337" s="6" t="s">
        <v>8269</v>
      </c>
      <c r="C1337" s="7">
        <v>2272.8000000000002</v>
      </c>
      <c r="D1337" s="8" t="s">
        <v>8270</v>
      </c>
      <c r="E1337" s="8" t="s">
        <v>8266</v>
      </c>
      <c r="F1337" s="8" t="s">
        <v>8271</v>
      </c>
      <c r="G1337" s="6" t="s">
        <v>60</v>
      </c>
      <c r="H1337" s="6" t="s">
        <v>34</v>
      </c>
      <c r="I1337" s="8" t="s">
        <v>253</v>
      </c>
      <c r="J1337" s="9">
        <v>1</v>
      </c>
      <c r="K1337" s="9">
        <v>326</v>
      </c>
      <c r="L1337" s="9">
        <v>2027</v>
      </c>
      <c r="M1337" s="8" t="s">
        <v>8272</v>
      </c>
      <c r="N1337" s="8" t="s">
        <v>37</v>
      </c>
      <c r="O1337" s="8" t="s">
        <v>280</v>
      </c>
      <c r="P1337" s="6" t="s">
        <v>51</v>
      </c>
      <c r="Q1337" s="8" t="s">
        <v>52</v>
      </c>
      <c r="R1337" s="10" t="s">
        <v>5744</v>
      </c>
      <c r="S1337" s="11" t="s">
        <v>8273</v>
      </c>
      <c r="T1337" s="6"/>
      <c r="U1337" s="15" t="str">
        <f>HYPERLINK("https://media.infra-m.ru/2272/2272260/cover/2272260.jpg", "Обложка")</f>
        <v>Обложка</v>
      </c>
      <c r="V1337" s="8" t="s">
        <v>5739</v>
      </c>
      <c r="W1337" s="6"/>
      <c r="X1337" s="6"/>
      <c r="Y1337" s="6"/>
      <c r="Z1337" s="6"/>
      <c r="AA1337" s="6" t="s">
        <v>218</v>
      </c>
      <c r="AB1337" s="8"/>
      <c r="AC1337" s="27">
        <v>9785160143897</v>
      </c>
    </row>
    <row r="1338" spans="1:29" s="4" customFormat="1" ht="51.9" customHeight="1" x14ac:dyDescent="0.2">
      <c r="A1338" s="5">
        <v>0</v>
      </c>
      <c r="B1338" s="6" t="s">
        <v>8274</v>
      </c>
      <c r="C1338" s="7">
        <v>1632</v>
      </c>
      <c r="D1338" s="8" t="s">
        <v>8275</v>
      </c>
      <c r="E1338" s="8" t="s">
        <v>8276</v>
      </c>
      <c r="F1338" s="8" t="s">
        <v>8267</v>
      </c>
      <c r="G1338" s="6" t="s">
        <v>118</v>
      </c>
      <c r="H1338" s="6" t="s">
        <v>34</v>
      </c>
      <c r="I1338" s="8"/>
      <c r="J1338" s="9">
        <v>1</v>
      </c>
      <c r="K1338" s="9">
        <v>352</v>
      </c>
      <c r="L1338" s="9">
        <v>2022</v>
      </c>
      <c r="M1338" s="8" t="s">
        <v>8277</v>
      </c>
      <c r="N1338" s="8" t="s">
        <v>37</v>
      </c>
      <c r="O1338" s="8" t="s">
        <v>280</v>
      </c>
      <c r="P1338" s="6" t="s">
        <v>51</v>
      </c>
      <c r="Q1338" s="8" t="s">
        <v>52</v>
      </c>
      <c r="R1338" s="10" t="s">
        <v>5744</v>
      </c>
      <c r="S1338" s="11" t="s">
        <v>8278</v>
      </c>
      <c r="T1338" s="6"/>
      <c r="U1338" s="15" t="str">
        <f>HYPERLINK("https://media.infra-m.ru/1855/1855501/cover/1855501.jpg", "Обложка")</f>
        <v>Обложка</v>
      </c>
      <c r="V1338" s="8" t="s">
        <v>5739</v>
      </c>
      <c r="W1338" s="6"/>
      <c r="X1338" s="6"/>
      <c r="Y1338" s="6"/>
      <c r="Z1338" s="6"/>
      <c r="AA1338" s="6" t="s">
        <v>274</v>
      </c>
      <c r="AB1338" s="8"/>
      <c r="AC1338" s="27">
        <v>9785160160412</v>
      </c>
    </row>
    <row r="1339" spans="1:29" s="4" customFormat="1" ht="51.9" customHeight="1" x14ac:dyDescent="0.2">
      <c r="A1339" s="5">
        <v>0</v>
      </c>
      <c r="B1339" s="6" t="s">
        <v>8279</v>
      </c>
      <c r="C1339" s="7">
        <v>1596</v>
      </c>
      <c r="D1339" s="8" t="s">
        <v>8280</v>
      </c>
      <c r="E1339" s="8" t="s">
        <v>8281</v>
      </c>
      <c r="F1339" s="8" t="s">
        <v>8282</v>
      </c>
      <c r="G1339" s="6" t="s">
        <v>118</v>
      </c>
      <c r="H1339" s="6" t="s">
        <v>34</v>
      </c>
      <c r="I1339" s="8" t="s">
        <v>263</v>
      </c>
      <c r="J1339" s="9">
        <v>1</v>
      </c>
      <c r="K1339" s="9">
        <v>242</v>
      </c>
      <c r="L1339" s="9">
        <v>2026</v>
      </c>
      <c r="M1339" s="8" t="s">
        <v>8283</v>
      </c>
      <c r="N1339" s="8" t="s">
        <v>37</v>
      </c>
      <c r="O1339" s="8" t="s">
        <v>499</v>
      </c>
      <c r="P1339" s="6" t="s">
        <v>306</v>
      </c>
      <c r="Q1339" s="8" t="s">
        <v>265</v>
      </c>
      <c r="R1339" s="10" t="s">
        <v>2813</v>
      </c>
      <c r="S1339" s="11" t="s">
        <v>8284</v>
      </c>
      <c r="T1339" s="6" t="s">
        <v>97</v>
      </c>
      <c r="U1339" s="15" t="str">
        <f>HYPERLINK("https://media.infra-m.ru/2218/2218488/cover/2218488.jpg", "Обложка")</f>
        <v>Обложка</v>
      </c>
      <c r="V1339" s="8" t="s">
        <v>445</v>
      </c>
      <c r="W1339" s="6"/>
      <c r="X1339" s="6"/>
      <c r="Y1339" s="6"/>
      <c r="Z1339" s="6"/>
      <c r="AA1339" s="6" t="s">
        <v>218</v>
      </c>
      <c r="AB1339" s="8"/>
      <c r="AC1339" s="27">
        <v>9785160155616</v>
      </c>
    </row>
    <row r="1340" spans="1:29" s="4" customFormat="1" ht="51.9" customHeight="1" x14ac:dyDescent="0.2">
      <c r="A1340" s="5">
        <v>0</v>
      </c>
      <c r="B1340" s="6" t="s">
        <v>8285</v>
      </c>
      <c r="C1340" s="13">
        <v>845.9</v>
      </c>
      <c r="D1340" s="8" t="s">
        <v>8286</v>
      </c>
      <c r="E1340" s="8" t="s">
        <v>8287</v>
      </c>
      <c r="F1340" s="8" t="s">
        <v>8288</v>
      </c>
      <c r="G1340" s="6" t="s">
        <v>60</v>
      </c>
      <c r="H1340" s="6" t="s">
        <v>1795</v>
      </c>
      <c r="I1340" s="8" t="s">
        <v>2911</v>
      </c>
      <c r="J1340" s="9">
        <v>1</v>
      </c>
      <c r="K1340" s="9">
        <v>240</v>
      </c>
      <c r="L1340" s="9">
        <v>2018</v>
      </c>
      <c r="M1340" s="8" t="s">
        <v>8289</v>
      </c>
      <c r="N1340" s="8" t="s">
        <v>37</v>
      </c>
      <c r="O1340" s="8" t="s">
        <v>499</v>
      </c>
      <c r="P1340" s="6" t="s">
        <v>306</v>
      </c>
      <c r="Q1340" s="8" t="s">
        <v>265</v>
      </c>
      <c r="R1340" s="10" t="s">
        <v>2813</v>
      </c>
      <c r="S1340" s="11" t="s">
        <v>8290</v>
      </c>
      <c r="T1340" s="6" t="s">
        <v>97</v>
      </c>
      <c r="U1340" s="15" t="str">
        <f>HYPERLINK("https://media.infra-m.ru/0958/0958782/cover/958782.jpg", "Обложка")</f>
        <v>Обложка</v>
      </c>
      <c r="V1340" s="8" t="s">
        <v>445</v>
      </c>
      <c r="W1340" s="6"/>
      <c r="X1340" s="6"/>
      <c r="Y1340" s="6"/>
      <c r="Z1340" s="6"/>
      <c r="AA1340" s="6" t="s">
        <v>55</v>
      </c>
      <c r="AB1340" s="8"/>
      <c r="AC1340" s="27">
        <v>9785982813572</v>
      </c>
    </row>
    <row r="1341" spans="1:29" s="4" customFormat="1" ht="51.9" customHeight="1" x14ac:dyDescent="0.2">
      <c r="A1341" s="5">
        <v>0</v>
      </c>
      <c r="B1341" s="6" t="s">
        <v>8291</v>
      </c>
      <c r="C1341" s="7">
        <v>2832</v>
      </c>
      <c r="D1341" s="8" t="s">
        <v>8292</v>
      </c>
      <c r="E1341" s="8" t="s">
        <v>8293</v>
      </c>
      <c r="F1341" s="8" t="s">
        <v>8294</v>
      </c>
      <c r="G1341" s="6" t="s">
        <v>60</v>
      </c>
      <c r="H1341" s="6" t="s">
        <v>34</v>
      </c>
      <c r="I1341" s="8" t="s">
        <v>253</v>
      </c>
      <c r="J1341" s="9">
        <v>1</v>
      </c>
      <c r="K1341" s="9">
        <v>429</v>
      </c>
      <c r="L1341" s="9">
        <v>2025</v>
      </c>
      <c r="M1341" s="8" t="s">
        <v>8295</v>
      </c>
      <c r="N1341" s="8" t="s">
        <v>37</v>
      </c>
      <c r="O1341" s="8" t="s">
        <v>83</v>
      </c>
      <c r="P1341" s="6" t="s">
        <v>306</v>
      </c>
      <c r="Q1341" s="8" t="s">
        <v>52</v>
      </c>
      <c r="R1341" s="10" t="s">
        <v>8296</v>
      </c>
      <c r="S1341" s="11" t="s">
        <v>8297</v>
      </c>
      <c r="T1341" s="6"/>
      <c r="U1341" s="15" t="str">
        <f>HYPERLINK("https://media.infra-m.ru/2233/2233681/cover/2233681.jpg", "Обложка")</f>
        <v>Обложка</v>
      </c>
      <c r="V1341" s="8" t="s">
        <v>396</v>
      </c>
      <c r="W1341" s="6"/>
      <c r="X1341" s="6"/>
      <c r="Y1341" s="6"/>
      <c r="Z1341" s="6"/>
      <c r="AA1341" s="6" t="s">
        <v>99</v>
      </c>
      <c r="AB1341" s="8" t="s">
        <v>493</v>
      </c>
      <c r="AC1341" s="27">
        <v>9785160184357</v>
      </c>
    </row>
    <row r="1342" spans="1:29" s="4" customFormat="1" ht="51.9" customHeight="1" x14ac:dyDescent="0.2">
      <c r="A1342" s="5">
        <v>0</v>
      </c>
      <c r="B1342" s="6" t="s">
        <v>8298</v>
      </c>
      <c r="C1342" s="7">
        <v>2364</v>
      </c>
      <c r="D1342" s="8" t="s">
        <v>8299</v>
      </c>
      <c r="E1342" s="8" t="s">
        <v>8293</v>
      </c>
      <c r="F1342" s="8" t="s">
        <v>8294</v>
      </c>
      <c r="G1342" s="6" t="s">
        <v>60</v>
      </c>
      <c r="H1342" s="6" t="s">
        <v>34</v>
      </c>
      <c r="I1342" s="8" t="s">
        <v>5350</v>
      </c>
      <c r="J1342" s="9">
        <v>1</v>
      </c>
      <c r="K1342" s="9">
        <v>429</v>
      </c>
      <c r="L1342" s="9">
        <v>2021</v>
      </c>
      <c r="M1342" s="8" t="s">
        <v>8300</v>
      </c>
      <c r="N1342" s="8" t="s">
        <v>37</v>
      </c>
      <c r="O1342" s="8" t="s">
        <v>83</v>
      </c>
      <c r="P1342" s="6" t="s">
        <v>306</v>
      </c>
      <c r="Q1342" s="8" t="s">
        <v>377</v>
      </c>
      <c r="R1342" s="10" t="s">
        <v>426</v>
      </c>
      <c r="S1342" s="11" t="s">
        <v>8301</v>
      </c>
      <c r="T1342" s="6"/>
      <c r="U1342" s="15" t="str">
        <f>HYPERLINK("https://media.infra-m.ru/2132/2132086/cover/2132086.jpg", "Обложка")</f>
        <v>Обложка</v>
      </c>
      <c r="V1342" s="8" t="s">
        <v>396</v>
      </c>
      <c r="W1342" s="6"/>
      <c r="X1342" s="6"/>
      <c r="Y1342" s="6"/>
      <c r="Z1342" s="6" t="s">
        <v>429</v>
      </c>
      <c r="AA1342" s="6" t="s">
        <v>430</v>
      </c>
      <c r="AB1342" s="8"/>
      <c r="AC1342" s="27">
        <v>9785160165394</v>
      </c>
    </row>
    <row r="1343" spans="1:29" s="4" customFormat="1" ht="51.9" customHeight="1" x14ac:dyDescent="0.2">
      <c r="A1343" s="5">
        <v>0</v>
      </c>
      <c r="B1343" s="6" t="s">
        <v>8302</v>
      </c>
      <c r="C1343" s="7">
        <v>1740</v>
      </c>
      <c r="D1343" s="8" t="s">
        <v>8303</v>
      </c>
      <c r="E1343" s="8" t="s">
        <v>8304</v>
      </c>
      <c r="F1343" s="8" t="s">
        <v>8305</v>
      </c>
      <c r="G1343" s="6" t="s">
        <v>118</v>
      </c>
      <c r="H1343" s="6" t="s">
        <v>313</v>
      </c>
      <c r="I1343" s="8"/>
      <c r="J1343" s="9">
        <v>1</v>
      </c>
      <c r="K1343" s="9">
        <v>290</v>
      </c>
      <c r="L1343" s="9">
        <v>2025</v>
      </c>
      <c r="M1343" s="8" t="s">
        <v>8306</v>
      </c>
      <c r="N1343" s="8" t="s">
        <v>37</v>
      </c>
      <c r="O1343" s="8" t="s">
        <v>83</v>
      </c>
      <c r="P1343" s="6" t="s">
        <v>39</v>
      </c>
      <c r="Q1343" s="8" t="s">
        <v>40</v>
      </c>
      <c r="R1343" s="10" t="s">
        <v>8307</v>
      </c>
      <c r="S1343" s="11"/>
      <c r="T1343" s="6"/>
      <c r="U1343" s="15" t="str">
        <f>HYPERLINK("https://media.infra-m.ru/2155/2155756/cover/2155756.jpg", "Обложка")</f>
        <v>Обложка</v>
      </c>
      <c r="V1343" s="8" t="s">
        <v>1878</v>
      </c>
      <c r="W1343" s="6"/>
      <c r="X1343" s="6"/>
      <c r="Y1343" s="6"/>
      <c r="Z1343" s="6"/>
      <c r="AA1343" s="6" t="s">
        <v>86</v>
      </c>
      <c r="AB1343" s="8"/>
      <c r="AC1343" s="27">
        <v>9785369017371</v>
      </c>
    </row>
    <row r="1344" spans="1:29" s="4" customFormat="1" ht="51.9" customHeight="1" x14ac:dyDescent="0.2">
      <c r="A1344" s="5">
        <v>0</v>
      </c>
      <c r="B1344" s="6" t="s">
        <v>8308</v>
      </c>
      <c r="C1344" s="13">
        <v>924</v>
      </c>
      <c r="D1344" s="8" t="s">
        <v>8309</v>
      </c>
      <c r="E1344" s="8" t="s">
        <v>8310</v>
      </c>
      <c r="F1344" s="8" t="s">
        <v>7408</v>
      </c>
      <c r="G1344" s="6" t="s">
        <v>33</v>
      </c>
      <c r="H1344" s="6" t="s">
        <v>34</v>
      </c>
      <c r="I1344" s="8" t="s">
        <v>35</v>
      </c>
      <c r="J1344" s="9">
        <v>1</v>
      </c>
      <c r="K1344" s="9">
        <v>176</v>
      </c>
      <c r="L1344" s="9">
        <v>2022</v>
      </c>
      <c r="M1344" s="8" t="s">
        <v>8311</v>
      </c>
      <c r="N1344" s="8" t="s">
        <v>37</v>
      </c>
      <c r="O1344" s="8" t="s">
        <v>136</v>
      </c>
      <c r="P1344" s="6" t="s">
        <v>39</v>
      </c>
      <c r="Q1344" s="8" t="s">
        <v>40</v>
      </c>
      <c r="R1344" s="10" t="s">
        <v>8312</v>
      </c>
      <c r="S1344" s="11"/>
      <c r="T1344" s="6"/>
      <c r="U1344" s="15" t="str">
        <f>HYPERLINK("https://media.infra-m.ru/1844/1844179/cover/1844179.jpg", "Обложка")</f>
        <v>Обложка</v>
      </c>
      <c r="V1344" s="8" t="s">
        <v>3243</v>
      </c>
      <c r="W1344" s="6"/>
      <c r="X1344" s="6"/>
      <c r="Y1344" s="6"/>
      <c r="Z1344" s="6"/>
      <c r="AA1344" s="6" t="s">
        <v>148</v>
      </c>
      <c r="AB1344" s="8"/>
      <c r="AC1344" s="27">
        <v>9785160173337</v>
      </c>
    </row>
    <row r="1345" spans="1:29" s="4" customFormat="1" ht="51.9" customHeight="1" x14ac:dyDescent="0.2">
      <c r="A1345" s="5">
        <v>0</v>
      </c>
      <c r="B1345" s="6" t="s">
        <v>8313</v>
      </c>
      <c r="C1345" s="7">
        <v>1536</v>
      </c>
      <c r="D1345" s="8" t="s">
        <v>8314</v>
      </c>
      <c r="E1345" s="8" t="s">
        <v>8315</v>
      </c>
      <c r="F1345" s="8" t="s">
        <v>8316</v>
      </c>
      <c r="G1345" s="6" t="s">
        <v>118</v>
      </c>
      <c r="H1345" s="6" t="s">
        <v>34</v>
      </c>
      <c r="I1345" s="8" t="s">
        <v>253</v>
      </c>
      <c r="J1345" s="9">
        <v>1</v>
      </c>
      <c r="K1345" s="9">
        <v>284</v>
      </c>
      <c r="L1345" s="9">
        <v>2023</v>
      </c>
      <c r="M1345" s="8" t="s">
        <v>8317</v>
      </c>
      <c r="N1345" s="8" t="s">
        <v>37</v>
      </c>
      <c r="O1345" s="8" t="s">
        <v>280</v>
      </c>
      <c r="P1345" s="6" t="s">
        <v>306</v>
      </c>
      <c r="Q1345" s="8" t="s">
        <v>52</v>
      </c>
      <c r="R1345" s="10" t="s">
        <v>8318</v>
      </c>
      <c r="S1345" s="11" t="s">
        <v>8319</v>
      </c>
      <c r="T1345" s="6"/>
      <c r="U1345" s="15" t="str">
        <f>HYPERLINK("https://media.infra-m.ru/1998/1998811/cover/1998811.jpg", "Обложка")</f>
        <v>Обложка</v>
      </c>
      <c r="V1345" s="8" t="s">
        <v>4892</v>
      </c>
      <c r="W1345" s="6"/>
      <c r="X1345" s="6"/>
      <c r="Y1345" s="6"/>
      <c r="Z1345" s="6"/>
      <c r="AA1345" s="6" t="s">
        <v>115</v>
      </c>
      <c r="AB1345" s="8"/>
      <c r="AC1345" s="27">
        <v>9785160184449</v>
      </c>
    </row>
    <row r="1346" spans="1:29" s="4" customFormat="1" ht="51.9" customHeight="1" x14ac:dyDescent="0.2">
      <c r="A1346" s="5">
        <v>0</v>
      </c>
      <c r="B1346" s="6" t="s">
        <v>8320</v>
      </c>
      <c r="C1346" s="7">
        <v>1068</v>
      </c>
      <c r="D1346" s="8" t="s">
        <v>8321</v>
      </c>
      <c r="E1346" s="8" t="s">
        <v>8322</v>
      </c>
      <c r="F1346" s="8" t="s">
        <v>8323</v>
      </c>
      <c r="G1346" s="6" t="s">
        <v>60</v>
      </c>
      <c r="H1346" s="6" t="s">
        <v>34</v>
      </c>
      <c r="I1346" s="8" t="s">
        <v>35</v>
      </c>
      <c r="J1346" s="9">
        <v>1</v>
      </c>
      <c r="K1346" s="9">
        <v>154</v>
      </c>
      <c r="L1346" s="9">
        <v>2027</v>
      </c>
      <c r="M1346" s="8" t="s">
        <v>8324</v>
      </c>
      <c r="N1346" s="8" t="s">
        <v>37</v>
      </c>
      <c r="O1346" s="8" t="s">
        <v>280</v>
      </c>
      <c r="P1346" s="6" t="s">
        <v>39</v>
      </c>
      <c r="Q1346" s="8" t="s">
        <v>40</v>
      </c>
      <c r="R1346" s="10" t="s">
        <v>8325</v>
      </c>
      <c r="S1346" s="11"/>
      <c r="T1346" s="6"/>
      <c r="U1346" s="15" t="str">
        <f>HYPERLINK("https://media.infra-m.ru/2261/2261458/cover/2261458.jpg", "Обложка")</f>
        <v>Обложка</v>
      </c>
      <c r="V1346" s="8" t="s">
        <v>6700</v>
      </c>
      <c r="W1346" s="6"/>
      <c r="X1346" s="6"/>
      <c r="Y1346" s="6"/>
      <c r="Z1346" s="6"/>
      <c r="AA1346" s="6" t="s">
        <v>99</v>
      </c>
      <c r="AB1346" s="8"/>
      <c r="AC1346" s="27">
        <v>9785160128542</v>
      </c>
    </row>
    <row r="1347" spans="1:29" s="4" customFormat="1" ht="42" customHeight="1" x14ac:dyDescent="0.2">
      <c r="A1347" s="5">
        <v>0</v>
      </c>
      <c r="B1347" s="6" t="s">
        <v>8326</v>
      </c>
      <c r="C1347" s="13">
        <v>677.9</v>
      </c>
      <c r="D1347" s="8" t="s">
        <v>8327</v>
      </c>
      <c r="E1347" s="8" t="s">
        <v>8328</v>
      </c>
      <c r="F1347" s="8" t="s">
        <v>8329</v>
      </c>
      <c r="G1347" s="6" t="s">
        <v>60</v>
      </c>
      <c r="H1347" s="6" t="s">
        <v>34</v>
      </c>
      <c r="I1347" s="8" t="s">
        <v>1081</v>
      </c>
      <c r="J1347" s="9">
        <v>1</v>
      </c>
      <c r="K1347" s="9">
        <v>160</v>
      </c>
      <c r="L1347" s="9">
        <v>2020</v>
      </c>
      <c r="M1347" s="8" t="s">
        <v>8330</v>
      </c>
      <c r="N1347" s="8" t="s">
        <v>37</v>
      </c>
      <c r="O1347" s="8" t="s">
        <v>280</v>
      </c>
      <c r="P1347" s="6" t="s">
        <v>39</v>
      </c>
      <c r="Q1347" s="8" t="s">
        <v>40</v>
      </c>
      <c r="R1347" s="10"/>
      <c r="S1347" s="11"/>
      <c r="T1347" s="6"/>
      <c r="U1347" s="15" t="str">
        <f>HYPERLINK("https://media.infra-m.ru/1044/1044618/cover/1044618.jpg", "Обложка")</f>
        <v>Обложка</v>
      </c>
      <c r="V1347" s="8" t="s">
        <v>1083</v>
      </c>
      <c r="W1347" s="6"/>
      <c r="X1347" s="6"/>
      <c r="Y1347" s="6"/>
      <c r="Z1347" s="6"/>
      <c r="AA1347" s="6" t="s">
        <v>86</v>
      </c>
      <c r="AB1347" s="8"/>
      <c r="AC1347" s="27">
        <v>9785160133560</v>
      </c>
    </row>
    <row r="1348" spans="1:29" s="4" customFormat="1" ht="44.1" customHeight="1" x14ac:dyDescent="0.2">
      <c r="A1348" s="5">
        <v>0</v>
      </c>
      <c r="B1348" s="6" t="s">
        <v>8331</v>
      </c>
      <c r="C1348" s="7">
        <v>1012.8</v>
      </c>
      <c r="D1348" s="8" t="s">
        <v>8332</v>
      </c>
      <c r="E1348" s="8" t="s">
        <v>8333</v>
      </c>
      <c r="F1348" s="8" t="s">
        <v>8334</v>
      </c>
      <c r="G1348" s="6" t="s">
        <v>60</v>
      </c>
      <c r="H1348" s="6" t="s">
        <v>134</v>
      </c>
      <c r="I1348" s="8"/>
      <c r="J1348" s="9">
        <v>1</v>
      </c>
      <c r="K1348" s="9">
        <v>192</v>
      </c>
      <c r="L1348" s="9">
        <v>2024</v>
      </c>
      <c r="M1348" s="8" t="s">
        <v>8335</v>
      </c>
      <c r="N1348" s="8" t="s">
        <v>37</v>
      </c>
      <c r="O1348" s="8" t="s">
        <v>136</v>
      </c>
      <c r="P1348" s="6" t="s">
        <v>39</v>
      </c>
      <c r="Q1348" s="8" t="s">
        <v>749</v>
      </c>
      <c r="R1348" s="10" t="s">
        <v>1631</v>
      </c>
      <c r="S1348" s="11"/>
      <c r="T1348" s="6"/>
      <c r="U1348" s="15" t="str">
        <f>HYPERLINK("https://media.infra-m.ru/1892/1892268/cover/1892268.jpg", "Обложка")</f>
        <v>Обложка</v>
      </c>
      <c r="V1348" s="8" t="s">
        <v>1069</v>
      </c>
      <c r="W1348" s="6"/>
      <c r="X1348" s="6"/>
      <c r="Y1348" s="6"/>
      <c r="Z1348" s="6"/>
      <c r="AA1348" s="6" t="s">
        <v>248</v>
      </c>
      <c r="AB1348" s="8"/>
      <c r="AC1348" s="27">
        <v>9785917684482</v>
      </c>
    </row>
    <row r="1349" spans="1:29" s="4" customFormat="1" ht="44.1" customHeight="1" x14ac:dyDescent="0.2">
      <c r="A1349" s="5">
        <v>0</v>
      </c>
      <c r="B1349" s="6" t="s">
        <v>8336</v>
      </c>
      <c r="C1349" s="7">
        <v>1188</v>
      </c>
      <c r="D1349" s="8" t="s">
        <v>8337</v>
      </c>
      <c r="E1349" s="8" t="s">
        <v>8338</v>
      </c>
      <c r="F1349" s="8" t="s">
        <v>8339</v>
      </c>
      <c r="G1349" s="6" t="s">
        <v>33</v>
      </c>
      <c r="H1349" s="6" t="s">
        <v>34</v>
      </c>
      <c r="I1349" s="8" t="s">
        <v>35</v>
      </c>
      <c r="J1349" s="9">
        <v>1</v>
      </c>
      <c r="K1349" s="9">
        <v>260</v>
      </c>
      <c r="L1349" s="9">
        <v>2021</v>
      </c>
      <c r="M1349" s="8" t="s">
        <v>8340</v>
      </c>
      <c r="N1349" s="8" t="s">
        <v>37</v>
      </c>
      <c r="O1349" s="8" t="s">
        <v>83</v>
      </c>
      <c r="P1349" s="6" t="s">
        <v>39</v>
      </c>
      <c r="Q1349" s="8" t="s">
        <v>40</v>
      </c>
      <c r="R1349" s="10" t="s">
        <v>459</v>
      </c>
      <c r="S1349" s="11"/>
      <c r="T1349" s="6"/>
      <c r="U1349" s="15" t="str">
        <f>HYPERLINK("https://media.infra-m.ru/1098/1098273/cover/1098273.jpg", "Обложка")</f>
        <v>Обложка</v>
      </c>
      <c r="V1349" s="8"/>
      <c r="W1349" s="6"/>
      <c r="X1349" s="6"/>
      <c r="Y1349" s="6"/>
      <c r="Z1349" s="6"/>
      <c r="AA1349" s="6" t="s">
        <v>430</v>
      </c>
      <c r="AB1349" s="8"/>
      <c r="AC1349" s="27">
        <v>9785160163321</v>
      </c>
    </row>
    <row r="1350" spans="1:29" s="4" customFormat="1" ht="44.1" customHeight="1" x14ac:dyDescent="0.2">
      <c r="A1350" s="5">
        <v>0</v>
      </c>
      <c r="B1350" s="6" t="s">
        <v>8341</v>
      </c>
      <c r="C1350" s="7">
        <v>1248</v>
      </c>
      <c r="D1350" s="8" t="s">
        <v>8342</v>
      </c>
      <c r="E1350" s="8" t="s">
        <v>8338</v>
      </c>
      <c r="F1350" s="8" t="s">
        <v>8339</v>
      </c>
      <c r="G1350" s="6" t="s">
        <v>118</v>
      </c>
      <c r="H1350" s="6" t="s">
        <v>34</v>
      </c>
      <c r="I1350" s="8" t="s">
        <v>35</v>
      </c>
      <c r="J1350" s="9">
        <v>1</v>
      </c>
      <c r="K1350" s="9">
        <v>260</v>
      </c>
      <c r="L1350" s="9">
        <v>2021</v>
      </c>
      <c r="M1350" s="8" t="s">
        <v>8343</v>
      </c>
      <c r="N1350" s="8" t="s">
        <v>37</v>
      </c>
      <c r="O1350" s="8" t="s">
        <v>83</v>
      </c>
      <c r="P1350" s="6" t="s">
        <v>39</v>
      </c>
      <c r="Q1350" s="8" t="s">
        <v>40</v>
      </c>
      <c r="R1350" s="10" t="s">
        <v>459</v>
      </c>
      <c r="S1350" s="11"/>
      <c r="T1350" s="6"/>
      <c r="U1350" s="15" t="str">
        <f>HYPERLINK("https://media.infra-m.ru/1570/1570138/cover/1570138.jpg", "Обложка")</f>
        <v>Обложка</v>
      </c>
      <c r="V1350" s="8"/>
      <c r="W1350" s="6"/>
      <c r="X1350" s="6"/>
      <c r="Y1350" s="6"/>
      <c r="Z1350" s="6"/>
      <c r="AA1350" s="6" t="s">
        <v>430</v>
      </c>
      <c r="AB1350" s="8"/>
      <c r="AC1350" s="27">
        <v>9785160170497</v>
      </c>
    </row>
    <row r="1351" spans="1:29" s="4" customFormat="1" ht="51.9" customHeight="1" x14ac:dyDescent="0.2">
      <c r="A1351" s="5">
        <v>0</v>
      </c>
      <c r="B1351" s="6" t="s">
        <v>8344</v>
      </c>
      <c r="C1351" s="7">
        <v>1085.9000000000001</v>
      </c>
      <c r="D1351" s="8" t="s">
        <v>8345</v>
      </c>
      <c r="E1351" s="8" t="s">
        <v>8346</v>
      </c>
      <c r="F1351" s="8" t="s">
        <v>8347</v>
      </c>
      <c r="G1351" s="6" t="s">
        <v>60</v>
      </c>
      <c r="H1351" s="6" t="s">
        <v>34</v>
      </c>
      <c r="I1351" s="8" t="s">
        <v>35</v>
      </c>
      <c r="J1351" s="9">
        <v>1</v>
      </c>
      <c r="K1351" s="9">
        <v>200</v>
      </c>
      <c r="L1351" s="9">
        <v>2023</v>
      </c>
      <c r="M1351" s="8" t="s">
        <v>8348</v>
      </c>
      <c r="N1351" s="8" t="s">
        <v>37</v>
      </c>
      <c r="O1351" s="8" t="s">
        <v>136</v>
      </c>
      <c r="P1351" s="6" t="s">
        <v>39</v>
      </c>
      <c r="Q1351" s="8" t="s">
        <v>40</v>
      </c>
      <c r="R1351" s="10" t="s">
        <v>8349</v>
      </c>
      <c r="S1351" s="11"/>
      <c r="T1351" s="6"/>
      <c r="U1351" s="15" t="str">
        <f>HYPERLINK("https://media.infra-m.ru/2045/2045845/cover/2045845.jpg", "Обложка")</f>
        <v>Обложка</v>
      </c>
      <c r="V1351" s="8" t="s">
        <v>3243</v>
      </c>
      <c r="W1351" s="6"/>
      <c r="X1351" s="6"/>
      <c r="Y1351" s="6"/>
      <c r="Z1351" s="6"/>
      <c r="AA1351" s="6" t="s">
        <v>1256</v>
      </c>
      <c r="AB1351" s="8"/>
      <c r="AC1351" s="27">
        <v>9785160154633</v>
      </c>
    </row>
    <row r="1352" spans="1:29" s="4" customFormat="1" ht="44.1" customHeight="1" x14ac:dyDescent="0.2">
      <c r="A1352" s="5">
        <v>0</v>
      </c>
      <c r="B1352" s="6" t="s">
        <v>8350</v>
      </c>
      <c r="C1352" s="13">
        <v>424.8</v>
      </c>
      <c r="D1352" s="8" t="s">
        <v>8351</v>
      </c>
      <c r="E1352" s="8" t="s">
        <v>8352</v>
      </c>
      <c r="F1352" s="8" t="s">
        <v>8353</v>
      </c>
      <c r="G1352" s="6" t="s">
        <v>33</v>
      </c>
      <c r="H1352" s="6" t="s">
        <v>313</v>
      </c>
      <c r="I1352" s="8" t="s">
        <v>35</v>
      </c>
      <c r="J1352" s="9">
        <v>1</v>
      </c>
      <c r="K1352" s="9">
        <v>99</v>
      </c>
      <c r="L1352" s="9">
        <v>2018</v>
      </c>
      <c r="M1352" s="8" t="s">
        <v>8354</v>
      </c>
      <c r="N1352" s="8" t="s">
        <v>37</v>
      </c>
      <c r="O1352" s="8" t="s">
        <v>136</v>
      </c>
      <c r="P1352" s="6" t="s">
        <v>39</v>
      </c>
      <c r="Q1352" s="8" t="s">
        <v>749</v>
      </c>
      <c r="R1352" s="10" t="s">
        <v>8355</v>
      </c>
      <c r="S1352" s="11"/>
      <c r="T1352" s="6"/>
      <c r="U1352" s="15" t="str">
        <f>HYPERLINK("https://media.infra-m.ru/0966/0966070/cover/966070.jpg", "Обложка")</f>
        <v>Обложка</v>
      </c>
      <c r="V1352" s="8" t="s">
        <v>8356</v>
      </c>
      <c r="W1352" s="6"/>
      <c r="X1352" s="6"/>
      <c r="Y1352" s="6"/>
      <c r="Z1352" s="6"/>
      <c r="AA1352" s="6" t="s">
        <v>623</v>
      </c>
      <c r="AB1352" s="8"/>
      <c r="AC1352" s="27">
        <v>9785369015889</v>
      </c>
    </row>
    <row r="1353" spans="1:29" s="4" customFormat="1" ht="44.1" customHeight="1" x14ac:dyDescent="0.2">
      <c r="A1353" s="5">
        <v>0</v>
      </c>
      <c r="B1353" s="6" t="s">
        <v>8357</v>
      </c>
      <c r="C1353" s="13">
        <v>864</v>
      </c>
      <c r="D1353" s="8" t="s">
        <v>8358</v>
      </c>
      <c r="E1353" s="8" t="s">
        <v>8359</v>
      </c>
      <c r="F1353" s="8" t="s">
        <v>8353</v>
      </c>
      <c r="G1353" s="6" t="s">
        <v>33</v>
      </c>
      <c r="H1353" s="6" t="s">
        <v>313</v>
      </c>
      <c r="I1353" s="8" t="s">
        <v>35</v>
      </c>
      <c r="J1353" s="9">
        <v>1</v>
      </c>
      <c r="K1353" s="9">
        <v>121</v>
      </c>
      <c r="L1353" s="9">
        <v>2026</v>
      </c>
      <c r="M1353" s="8" t="s">
        <v>8360</v>
      </c>
      <c r="N1353" s="8" t="s">
        <v>37</v>
      </c>
      <c r="O1353" s="8" t="s">
        <v>136</v>
      </c>
      <c r="P1353" s="6" t="s">
        <v>39</v>
      </c>
      <c r="Q1353" s="8" t="s">
        <v>749</v>
      </c>
      <c r="R1353" s="10" t="s">
        <v>8355</v>
      </c>
      <c r="S1353" s="11"/>
      <c r="T1353" s="6"/>
      <c r="U1353" s="15" t="str">
        <f>HYPERLINK("https://media.infra-m.ru/2185/2185416/cover/2185416.jpg", "Обложка")</f>
        <v>Обложка</v>
      </c>
      <c r="V1353" s="8" t="s">
        <v>8356</v>
      </c>
      <c r="W1353" s="6" t="s">
        <v>342</v>
      </c>
      <c r="X1353" s="6"/>
      <c r="Y1353" s="6"/>
      <c r="Z1353" s="6"/>
      <c r="AA1353" s="6" t="s">
        <v>3772</v>
      </c>
      <c r="AB1353" s="8"/>
      <c r="AC1353" s="27">
        <v>9785369019986</v>
      </c>
    </row>
    <row r="1354" spans="1:29" s="4" customFormat="1" ht="51.9" customHeight="1" x14ac:dyDescent="0.2">
      <c r="A1354" s="5">
        <v>0</v>
      </c>
      <c r="B1354" s="6" t="s">
        <v>8361</v>
      </c>
      <c r="C1354" s="7">
        <v>2956.8</v>
      </c>
      <c r="D1354" s="8" t="s">
        <v>8362</v>
      </c>
      <c r="E1354" s="8" t="s">
        <v>8363</v>
      </c>
      <c r="F1354" s="8" t="s">
        <v>8364</v>
      </c>
      <c r="G1354" s="6" t="s">
        <v>118</v>
      </c>
      <c r="H1354" s="6" t="s">
        <v>134</v>
      </c>
      <c r="I1354" s="8"/>
      <c r="J1354" s="9">
        <v>1</v>
      </c>
      <c r="K1354" s="9">
        <v>448</v>
      </c>
      <c r="L1354" s="9">
        <v>2026</v>
      </c>
      <c r="M1354" s="8" t="s">
        <v>8365</v>
      </c>
      <c r="N1354" s="8" t="s">
        <v>37</v>
      </c>
      <c r="O1354" s="8" t="s">
        <v>136</v>
      </c>
      <c r="P1354" s="6" t="s">
        <v>51</v>
      </c>
      <c r="Q1354" s="8" t="s">
        <v>52</v>
      </c>
      <c r="R1354" s="10" t="s">
        <v>8366</v>
      </c>
      <c r="S1354" s="11"/>
      <c r="T1354" s="6"/>
      <c r="U1354" s="15" t="str">
        <f>HYPERLINK("https://media.infra-m.ru/2242/2242686/cover/2242686.jpg", "Обложка")</f>
        <v>Обложка</v>
      </c>
      <c r="V1354" s="8" t="s">
        <v>1357</v>
      </c>
      <c r="W1354" s="6"/>
      <c r="X1354" s="6"/>
      <c r="Y1354" s="6"/>
      <c r="Z1354" s="6"/>
      <c r="AA1354" s="6" t="s">
        <v>1303</v>
      </c>
      <c r="AB1354" s="8"/>
      <c r="AC1354" s="27">
        <v>9785001562856</v>
      </c>
    </row>
    <row r="1355" spans="1:29" s="4" customFormat="1" ht="51.9" customHeight="1" x14ac:dyDescent="0.2">
      <c r="A1355" s="5">
        <v>0</v>
      </c>
      <c r="B1355" s="6" t="s">
        <v>8367</v>
      </c>
      <c r="C1355" s="13">
        <v>851.9</v>
      </c>
      <c r="D1355" s="8" t="s">
        <v>8368</v>
      </c>
      <c r="E1355" s="8" t="s">
        <v>8369</v>
      </c>
      <c r="F1355" s="8" t="s">
        <v>8364</v>
      </c>
      <c r="G1355" s="6" t="s">
        <v>60</v>
      </c>
      <c r="H1355" s="6" t="s">
        <v>134</v>
      </c>
      <c r="I1355" s="8"/>
      <c r="J1355" s="9">
        <v>20</v>
      </c>
      <c r="K1355" s="9">
        <v>240</v>
      </c>
      <c r="L1355" s="9">
        <v>2018</v>
      </c>
      <c r="M1355" s="8" t="s">
        <v>8370</v>
      </c>
      <c r="N1355" s="8" t="s">
        <v>37</v>
      </c>
      <c r="O1355" s="8" t="s">
        <v>136</v>
      </c>
      <c r="P1355" s="6" t="s">
        <v>51</v>
      </c>
      <c r="Q1355" s="8" t="s">
        <v>52</v>
      </c>
      <c r="R1355" s="10" t="s">
        <v>8366</v>
      </c>
      <c r="S1355" s="11"/>
      <c r="T1355" s="6"/>
      <c r="U1355" s="15" t="str">
        <f>HYPERLINK("https://media.infra-m.ru/0945/0945328/cover/945328.jpg", "Обложка")</f>
        <v>Обложка</v>
      </c>
      <c r="V1355" s="8" t="s">
        <v>1357</v>
      </c>
      <c r="W1355" s="6"/>
      <c r="X1355" s="6"/>
      <c r="Y1355" s="6"/>
      <c r="Z1355" s="6"/>
      <c r="AA1355" s="6" t="s">
        <v>274</v>
      </c>
      <c r="AB1355" s="8"/>
      <c r="AC1355" s="27">
        <v>9785917687018</v>
      </c>
    </row>
    <row r="1356" spans="1:29" s="4" customFormat="1" ht="51.9" customHeight="1" x14ac:dyDescent="0.2">
      <c r="A1356" s="5">
        <v>0</v>
      </c>
      <c r="B1356" s="6" t="s">
        <v>8371</v>
      </c>
      <c r="C1356" s="7">
        <v>1188</v>
      </c>
      <c r="D1356" s="8" t="s">
        <v>8372</v>
      </c>
      <c r="E1356" s="8" t="s">
        <v>8373</v>
      </c>
      <c r="F1356" s="8" t="s">
        <v>1493</v>
      </c>
      <c r="G1356" s="6" t="s">
        <v>118</v>
      </c>
      <c r="H1356" s="6" t="s">
        <v>34</v>
      </c>
      <c r="I1356" s="8" t="s">
        <v>35</v>
      </c>
      <c r="J1356" s="9">
        <v>1</v>
      </c>
      <c r="K1356" s="9">
        <v>190</v>
      </c>
      <c r="L1356" s="9">
        <v>2025</v>
      </c>
      <c r="M1356" s="8" t="s">
        <v>8374</v>
      </c>
      <c r="N1356" s="8" t="s">
        <v>37</v>
      </c>
      <c r="O1356" s="8" t="s">
        <v>136</v>
      </c>
      <c r="P1356" s="6" t="s">
        <v>39</v>
      </c>
      <c r="Q1356" s="8" t="s">
        <v>40</v>
      </c>
      <c r="R1356" s="10" t="s">
        <v>8318</v>
      </c>
      <c r="S1356" s="11"/>
      <c r="T1356" s="6"/>
      <c r="U1356" s="15" t="str">
        <f>HYPERLINK("https://media.infra-m.ru/2208/2208468/cover/2208468.jpg", "Обложка")</f>
        <v>Обложка</v>
      </c>
      <c r="V1356" s="8" t="s">
        <v>1496</v>
      </c>
      <c r="W1356" s="6"/>
      <c r="X1356" s="6"/>
      <c r="Y1356" s="6"/>
      <c r="Z1356" s="6"/>
      <c r="AA1356" s="6" t="s">
        <v>86</v>
      </c>
      <c r="AB1356" s="8"/>
      <c r="AC1356" s="27">
        <v>9785160140803</v>
      </c>
    </row>
    <row r="1357" spans="1:29" s="4" customFormat="1" ht="51.9" customHeight="1" x14ac:dyDescent="0.2">
      <c r="A1357" s="5">
        <v>0</v>
      </c>
      <c r="B1357" s="6" t="s">
        <v>8375</v>
      </c>
      <c r="C1357" s="7">
        <v>1768.8</v>
      </c>
      <c r="D1357" s="8" t="s">
        <v>8376</v>
      </c>
      <c r="E1357" s="8" t="s">
        <v>8377</v>
      </c>
      <c r="F1357" s="8" t="s">
        <v>8378</v>
      </c>
      <c r="G1357" s="6" t="s">
        <v>60</v>
      </c>
      <c r="H1357" s="6" t="s">
        <v>34</v>
      </c>
      <c r="I1357" s="8" t="s">
        <v>253</v>
      </c>
      <c r="J1357" s="9">
        <v>1</v>
      </c>
      <c r="K1357" s="9">
        <v>284</v>
      </c>
      <c r="L1357" s="9">
        <v>2026</v>
      </c>
      <c r="M1357" s="8" t="s">
        <v>8379</v>
      </c>
      <c r="N1357" s="8" t="s">
        <v>37</v>
      </c>
      <c r="O1357" s="8" t="s">
        <v>280</v>
      </c>
      <c r="P1357" s="6" t="s">
        <v>306</v>
      </c>
      <c r="Q1357" s="8" t="s">
        <v>65</v>
      </c>
      <c r="R1357" s="10" t="s">
        <v>8380</v>
      </c>
      <c r="S1357" s="11"/>
      <c r="T1357" s="6"/>
      <c r="U1357" s="15" t="str">
        <f>HYPERLINK("https://media.infra-m.ru/2222/2222963/cover/2222963.jpg", "Обложка")</f>
        <v>Обложка</v>
      </c>
      <c r="V1357" s="8" t="s">
        <v>1263</v>
      </c>
      <c r="W1357" s="6"/>
      <c r="X1357" s="6"/>
      <c r="Y1357" s="6"/>
      <c r="Z1357" s="6"/>
      <c r="AA1357" s="6" t="s">
        <v>76</v>
      </c>
      <c r="AB1357" s="8"/>
      <c r="AC1357" s="27">
        <v>9785160195025</v>
      </c>
    </row>
    <row r="1358" spans="1:29" s="4" customFormat="1" ht="51.9" customHeight="1" x14ac:dyDescent="0.2">
      <c r="A1358" s="5">
        <v>0</v>
      </c>
      <c r="B1358" s="6" t="s">
        <v>8381</v>
      </c>
      <c r="C1358" s="7">
        <v>1984.8</v>
      </c>
      <c r="D1358" s="8" t="s">
        <v>8382</v>
      </c>
      <c r="E1358" s="8" t="s">
        <v>8383</v>
      </c>
      <c r="F1358" s="8" t="s">
        <v>8384</v>
      </c>
      <c r="G1358" s="6" t="s">
        <v>118</v>
      </c>
      <c r="H1358" s="6" t="s">
        <v>34</v>
      </c>
      <c r="I1358" s="8" t="s">
        <v>253</v>
      </c>
      <c r="J1358" s="9">
        <v>1</v>
      </c>
      <c r="K1358" s="9">
        <v>286</v>
      </c>
      <c r="L1358" s="9">
        <v>2027</v>
      </c>
      <c r="M1358" s="8" t="s">
        <v>8385</v>
      </c>
      <c r="N1358" s="8" t="s">
        <v>37</v>
      </c>
      <c r="O1358" s="8" t="s">
        <v>280</v>
      </c>
      <c r="P1358" s="6" t="s">
        <v>51</v>
      </c>
      <c r="Q1358" s="8" t="s">
        <v>52</v>
      </c>
      <c r="R1358" s="10" t="s">
        <v>8386</v>
      </c>
      <c r="S1358" s="11" t="s">
        <v>8387</v>
      </c>
      <c r="T1358" s="6"/>
      <c r="U1358" s="15" t="str">
        <f>HYPERLINK("https://media.infra-m.ru/2272/2272266/cover/2272266.jpg", "Обложка")</f>
        <v>Обложка</v>
      </c>
      <c r="V1358" s="8" t="s">
        <v>3130</v>
      </c>
      <c r="W1358" s="6"/>
      <c r="X1358" s="6"/>
      <c r="Y1358" s="6"/>
      <c r="Z1358" s="6"/>
      <c r="AA1358" s="6" t="s">
        <v>55</v>
      </c>
      <c r="AB1358" s="8"/>
      <c r="AC1358" s="27">
        <v>9785160191614</v>
      </c>
    </row>
    <row r="1359" spans="1:29" s="4" customFormat="1" ht="51.9" customHeight="1" x14ac:dyDescent="0.2">
      <c r="A1359" s="5">
        <v>0</v>
      </c>
      <c r="B1359" s="6" t="s">
        <v>8388</v>
      </c>
      <c r="C1359" s="13">
        <v>744</v>
      </c>
      <c r="D1359" s="8" t="s">
        <v>8389</v>
      </c>
      <c r="E1359" s="8" t="s">
        <v>8390</v>
      </c>
      <c r="F1359" s="8" t="s">
        <v>8391</v>
      </c>
      <c r="G1359" s="6" t="s">
        <v>33</v>
      </c>
      <c r="H1359" s="6" t="s">
        <v>34</v>
      </c>
      <c r="I1359" s="8" t="s">
        <v>35</v>
      </c>
      <c r="J1359" s="9">
        <v>1</v>
      </c>
      <c r="K1359" s="9">
        <v>178</v>
      </c>
      <c r="L1359" s="9">
        <v>2018</v>
      </c>
      <c r="M1359" s="8" t="s">
        <v>8392</v>
      </c>
      <c r="N1359" s="8" t="s">
        <v>37</v>
      </c>
      <c r="O1359" s="8" t="s">
        <v>233</v>
      </c>
      <c r="P1359" s="6" t="s">
        <v>39</v>
      </c>
      <c r="Q1359" s="8" t="s">
        <v>65</v>
      </c>
      <c r="R1359" s="10" t="s">
        <v>8393</v>
      </c>
      <c r="S1359" s="11"/>
      <c r="T1359" s="6"/>
      <c r="U1359" s="15" t="str">
        <f>HYPERLINK("https://media.infra-m.ru/0973/0973383/cover/973383.jpg", "Обложка")</f>
        <v>Обложка</v>
      </c>
      <c r="V1359" s="8" t="s">
        <v>247</v>
      </c>
      <c r="W1359" s="6"/>
      <c r="X1359" s="6"/>
      <c r="Y1359" s="6"/>
      <c r="Z1359" s="6"/>
      <c r="AA1359" s="6" t="s">
        <v>779</v>
      </c>
      <c r="AB1359" s="8"/>
      <c r="AC1359" s="27">
        <v>9785160118567</v>
      </c>
    </row>
    <row r="1360" spans="1:29" s="4" customFormat="1" ht="51.9" customHeight="1" x14ac:dyDescent="0.2">
      <c r="A1360" s="5">
        <v>0</v>
      </c>
      <c r="B1360" s="6" t="s">
        <v>8394</v>
      </c>
      <c r="C1360" s="7">
        <v>2608.8000000000002</v>
      </c>
      <c r="D1360" s="8" t="s">
        <v>8395</v>
      </c>
      <c r="E1360" s="8" t="s">
        <v>8396</v>
      </c>
      <c r="F1360" s="8" t="s">
        <v>8397</v>
      </c>
      <c r="G1360" s="6" t="s">
        <v>118</v>
      </c>
      <c r="H1360" s="6" t="s">
        <v>34</v>
      </c>
      <c r="I1360" s="8" t="s">
        <v>271</v>
      </c>
      <c r="J1360" s="9">
        <v>1</v>
      </c>
      <c r="K1360" s="9">
        <v>468</v>
      </c>
      <c r="L1360" s="9">
        <v>2024</v>
      </c>
      <c r="M1360" s="8" t="s">
        <v>8398</v>
      </c>
      <c r="N1360" s="8" t="s">
        <v>37</v>
      </c>
      <c r="O1360" s="8" t="s">
        <v>280</v>
      </c>
      <c r="P1360" s="6" t="s">
        <v>306</v>
      </c>
      <c r="Q1360" s="8" t="s">
        <v>52</v>
      </c>
      <c r="R1360" s="10" t="s">
        <v>8399</v>
      </c>
      <c r="S1360" s="11" t="s">
        <v>8400</v>
      </c>
      <c r="T1360" s="6"/>
      <c r="U1360" s="15" t="str">
        <f>HYPERLINK("https://media.infra-m.ru/2120/2120757/cover/2120757.jpg", "Обложка")</f>
        <v>Обложка</v>
      </c>
      <c r="V1360" s="8" t="s">
        <v>396</v>
      </c>
      <c r="W1360" s="6"/>
      <c r="X1360" s="6"/>
      <c r="Y1360" s="6"/>
      <c r="Z1360" s="6"/>
      <c r="AA1360" s="6" t="s">
        <v>430</v>
      </c>
      <c r="AB1360" s="8" t="s">
        <v>8401</v>
      </c>
      <c r="AC1360" s="27">
        <v>9785160167275</v>
      </c>
    </row>
    <row r="1361" spans="1:29" s="4" customFormat="1" ht="51.9" customHeight="1" x14ac:dyDescent="0.2">
      <c r="A1361" s="5">
        <v>0</v>
      </c>
      <c r="B1361" s="6" t="s">
        <v>8402</v>
      </c>
      <c r="C1361" s="7">
        <v>2712</v>
      </c>
      <c r="D1361" s="8" t="s">
        <v>8403</v>
      </c>
      <c r="E1361" s="8" t="s">
        <v>8404</v>
      </c>
      <c r="F1361" s="8" t="s">
        <v>489</v>
      </c>
      <c r="G1361" s="6" t="s">
        <v>60</v>
      </c>
      <c r="H1361" s="6" t="s">
        <v>34</v>
      </c>
      <c r="I1361" s="8" t="s">
        <v>3119</v>
      </c>
      <c r="J1361" s="9">
        <v>1</v>
      </c>
      <c r="K1361" s="9">
        <v>477</v>
      </c>
      <c r="L1361" s="9">
        <v>2024</v>
      </c>
      <c r="M1361" s="8" t="s">
        <v>8405</v>
      </c>
      <c r="N1361" s="8" t="s">
        <v>37</v>
      </c>
      <c r="O1361" s="8" t="s">
        <v>280</v>
      </c>
      <c r="P1361" s="6" t="s">
        <v>306</v>
      </c>
      <c r="Q1361" s="8" t="s">
        <v>65</v>
      </c>
      <c r="R1361" s="10" t="s">
        <v>8399</v>
      </c>
      <c r="S1361" s="11" t="s">
        <v>8400</v>
      </c>
      <c r="T1361" s="6"/>
      <c r="U1361" s="15" t="str">
        <f>HYPERLINK("https://media.infra-m.ru/2125/2125206/cover/2125206.jpg", "Обложка")</f>
        <v>Обложка</v>
      </c>
      <c r="V1361" s="8" t="s">
        <v>396</v>
      </c>
      <c r="W1361" s="6"/>
      <c r="X1361" s="6"/>
      <c r="Y1361" s="6"/>
      <c r="Z1361" s="6"/>
      <c r="AA1361" s="6" t="s">
        <v>106</v>
      </c>
      <c r="AB1361" s="8" t="s">
        <v>8401</v>
      </c>
      <c r="AC1361" s="27">
        <v>9785160195186</v>
      </c>
    </row>
    <row r="1362" spans="1:29" s="4" customFormat="1" ht="51.9" customHeight="1" x14ac:dyDescent="0.2">
      <c r="A1362" s="5">
        <v>0</v>
      </c>
      <c r="B1362" s="6" t="s">
        <v>8406</v>
      </c>
      <c r="C1362" s="7">
        <v>1596</v>
      </c>
      <c r="D1362" s="8" t="s">
        <v>8407</v>
      </c>
      <c r="E1362" s="8" t="s">
        <v>8396</v>
      </c>
      <c r="F1362" s="8" t="s">
        <v>8408</v>
      </c>
      <c r="G1362" s="6" t="s">
        <v>118</v>
      </c>
      <c r="H1362" s="6" t="s">
        <v>34</v>
      </c>
      <c r="I1362" s="8" t="s">
        <v>253</v>
      </c>
      <c r="J1362" s="9">
        <v>1</v>
      </c>
      <c r="K1362" s="9">
        <v>289</v>
      </c>
      <c r="L1362" s="9">
        <v>2024</v>
      </c>
      <c r="M1362" s="8" t="s">
        <v>8409</v>
      </c>
      <c r="N1362" s="8" t="s">
        <v>37</v>
      </c>
      <c r="O1362" s="8" t="s">
        <v>280</v>
      </c>
      <c r="P1362" s="6" t="s">
        <v>306</v>
      </c>
      <c r="Q1362" s="8" t="s">
        <v>52</v>
      </c>
      <c r="R1362" s="10" t="s">
        <v>8410</v>
      </c>
      <c r="S1362" s="11" t="s">
        <v>8411</v>
      </c>
      <c r="T1362" s="6" t="s">
        <v>97</v>
      </c>
      <c r="U1362" s="15" t="str">
        <f>HYPERLINK("https://media.infra-m.ru/2036/2036540/cover/2036540.jpg", "Обложка")</f>
        <v>Обложка</v>
      </c>
      <c r="V1362" s="8" t="s">
        <v>657</v>
      </c>
      <c r="W1362" s="6"/>
      <c r="X1362" s="6"/>
      <c r="Y1362" s="6"/>
      <c r="Z1362" s="6"/>
      <c r="AA1362" s="6" t="s">
        <v>248</v>
      </c>
      <c r="AB1362" s="8"/>
      <c r="AC1362" s="27">
        <v>9785160194790</v>
      </c>
    </row>
    <row r="1363" spans="1:29" s="4" customFormat="1" ht="51.9" customHeight="1" x14ac:dyDescent="0.2">
      <c r="A1363" s="5">
        <v>0</v>
      </c>
      <c r="B1363" s="6" t="s">
        <v>8412</v>
      </c>
      <c r="C1363" s="7">
        <v>1804.8</v>
      </c>
      <c r="D1363" s="8" t="s">
        <v>8413</v>
      </c>
      <c r="E1363" s="8" t="s">
        <v>8414</v>
      </c>
      <c r="F1363" s="8" t="s">
        <v>8415</v>
      </c>
      <c r="G1363" s="6" t="s">
        <v>60</v>
      </c>
      <c r="H1363" s="6" t="s">
        <v>34</v>
      </c>
      <c r="I1363" s="8" t="s">
        <v>504</v>
      </c>
      <c r="J1363" s="9">
        <v>1</v>
      </c>
      <c r="K1363" s="9">
        <v>300</v>
      </c>
      <c r="L1363" s="9">
        <v>2025</v>
      </c>
      <c r="M1363" s="8" t="s">
        <v>8416</v>
      </c>
      <c r="N1363" s="8" t="s">
        <v>37</v>
      </c>
      <c r="O1363" s="8" t="s">
        <v>233</v>
      </c>
      <c r="P1363" s="6" t="s">
        <v>51</v>
      </c>
      <c r="Q1363" s="8" t="s">
        <v>500</v>
      </c>
      <c r="R1363" s="10" t="s">
        <v>8417</v>
      </c>
      <c r="S1363" s="11" t="s">
        <v>8418</v>
      </c>
      <c r="T1363" s="6"/>
      <c r="U1363" s="15" t="str">
        <f>HYPERLINK("https://media.infra-m.ru/2187/2187018/cover/2187018.jpg", "Обложка")</f>
        <v>Обложка</v>
      </c>
      <c r="V1363" s="8" t="s">
        <v>8419</v>
      </c>
      <c r="W1363" s="6"/>
      <c r="X1363" s="6"/>
      <c r="Y1363" s="6"/>
      <c r="Z1363" s="6"/>
      <c r="AA1363" s="6" t="s">
        <v>43</v>
      </c>
      <c r="AB1363" s="8"/>
      <c r="AC1363" s="27">
        <v>9785160127903</v>
      </c>
    </row>
    <row r="1364" spans="1:29" s="4" customFormat="1" ht="42" customHeight="1" x14ac:dyDescent="0.2">
      <c r="A1364" s="5">
        <v>0</v>
      </c>
      <c r="B1364" s="6" t="s">
        <v>8420</v>
      </c>
      <c r="C1364" s="7">
        <v>1260</v>
      </c>
      <c r="D1364" s="8" t="s">
        <v>8421</v>
      </c>
      <c r="E1364" s="8" t="s">
        <v>8422</v>
      </c>
      <c r="F1364" s="8" t="s">
        <v>8423</v>
      </c>
      <c r="G1364" s="6" t="s">
        <v>33</v>
      </c>
      <c r="H1364" s="6" t="s">
        <v>34</v>
      </c>
      <c r="I1364" s="8" t="s">
        <v>35</v>
      </c>
      <c r="J1364" s="9">
        <v>1</v>
      </c>
      <c r="K1364" s="9">
        <v>222</v>
      </c>
      <c r="L1364" s="9">
        <v>2024</v>
      </c>
      <c r="M1364" s="8" t="s">
        <v>8424</v>
      </c>
      <c r="N1364" s="8" t="s">
        <v>37</v>
      </c>
      <c r="O1364" s="8" t="s">
        <v>499</v>
      </c>
      <c r="P1364" s="6" t="s">
        <v>39</v>
      </c>
      <c r="Q1364" s="8" t="s">
        <v>40</v>
      </c>
      <c r="R1364" s="10" t="s">
        <v>8425</v>
      </c>
      <c r="S1364" s="11"/>
      <c r="T1364" s="6"/>
      <c r="U1364" s="15" t="str">
        <f>HYPERLINK("https://media.infra-m.ru/2032/2032519/cover/2032519.jpg", "Обложка")</f>
        <v>Обложка</v>
      </c>
      <c r="V1364" s="8" t="s">
        <v>247</v>
      </c>
      <c r="W1364" s="6"/>
      <c r="X1364" s="6"/>
      <c r="Y1364" s="6"/>
      <c r="Z1364" s="6"/>
      <c r="AA1364" s="6" t="s">
        <v>76</v>
      </c>
      <c r="AB1364" s="8"/>
      <c r="AC1364" s="27">
        <v>9785160185958</v>
      </c>
    </row>
    <row r="1365" spans="1:29" s="4" customFormat="1" ht="51.9" customHeight="1" x14ac:dyDescent="0.2">
      <c r="A1365" s="5">
        <v>0</v>
      </c>
      <c r="B1365" s="6" t="s">
        <v>8426</v>
      </c>
      <c r="C1365" s="7">
        <v>1996.8</v>
      </c>
      <c r="D1365" s="8" t="s">
        <v>8427</v>
      </c>
      <c r="E1365" s="8" t="s">
        <v>8428</v>
      </c>
      <c r="F1365" s="8" t="s">
        <v>8429</v>
      </c>
      <c r="G1365" s="6" t="s">
        <v>118</v>
      </c>
      <c r="H1365" s="6" t="s">
        <v>1779</v>
      </c>
      <c r="I1365" s="8"/>
      <c r="J1365" s="9">
        <v>1</v>
      </c>
      <c r="K1365" s="9">
        <v>316</v>
      </c>
      <c r="L1365" s="9">
        <v>2025</v>
      </c>
      <c r="M1365" s="8" t="s">
        <v>8430</v>
      </c>
      <c r="N1365" s="8" t="s">
        <v>37</v>
      </c>
      <c r="O1365" s="8" t="s">
        <v>136</v>
      </c>
      <c r="P1365" s="6" t="s">
        <v>39</v>
      </c>
      <c r="Q1365" s="8" t="s">
        <v>40</v>
      </c>
      <c r="R1365" s="10" t="s">
        <v>8431</v>
      </c>
      <c r="S1365" s="11"/>
      <c r="T1365" s="6"/>
      <c r="U1365" s="15" t="str">
        <f>HYPERLINK("https://media.infra-m.ru/2203/2203674/cover/2203674.jpg", "Обложка")</f>
        <v>Обложка</v>
      </c>
      <c r="V1365" s="8" t="s">
        <v>2466</v>
      </c>
      <c r="W1365" s="6"/>
      <c r="X1365" s="6"/>
      <c r="Y1365" s="6"/>
      <c r="Z1365" s="6"/>
      <c r="AA1365" s="6" t="s">
        <v>99</v>
      </c>
      <c r="AB1365" s="8"/>
      <c r="AC1365" s="27">
        <v>9785917688367</v>
      </c>
    </row>
    <row r="1366" spans="1:29" s="4" customFormat="1" ht="42" customHeight="1" x14ac:dyDescent="0.2">
      <c r="A1366" s="5">
        <v>0</v>
      </c>
      <c r="B1366" s="6" t="s">
        <v>8432</v>
      </c>
      <c r="C1366" s="7">
        <v>1116</v>
      </c>
      <c r="D1366" s="8" t="s">
        <v>8433</v>
      </c>
      <c r="E1366" s="8" t="s">
        <v>8434</v>
      </c>
      <c r="F1366" s="8" t="s">
        <v>8435</v>
      </c>
      <c r="G1366" s="6" t="s">
        <v>60</v>
      </c>
      <c r="H1366" s="6" t="s">
        <v>34</v>
      </c>
      <c r="I1366" s="8" t="s">
        <v>253</v>
      </c>
      <c r="J1366" s="9">
        <v>1</v>
      </c>
      <c r="K1366" s="9">
        <v>174</v>
      </c>
      <c r="L1366" s="9">
        <v>2025</v>
      </c>
      <c r="M1366" s="8" t="s">
        <v>8436</v>
      </c>
      <c r="N1366" s="8" t="s">
        <v>37</v>
      </c>
      <c r="O1366" s="8" t="s">
        <v>499</v>
      </c>
      <c r="P1366" s="6" t="s">
        <v>51</v>
      </c>
      <c r="Q1366" s="8" t="s">
        <v>500</v>
      </c>
      <c r="R1366" s="10" t="s">
        <v>8437</v>
      </c>
      <c r="S1366" s="11"/>
      <c r="T1366" s="6"/>
      <c r="U1366" s="15" t="str">
        <f>HYPERLINK("https://media.infra-m.ru/2158/2158057/cover/2158057.jpg", "Обложка")</f>
        <v>Обложка</v>
      </c>
      <c r="V1366" s="8" t="s">
        <v>8438</v>
      </c>
      <c r="W1366" s="6"/>
      <c r="X1366" s="6"/>
      <c r="Y1366" s="6"/>
      <c r="Z1366" s="6"/>
      <c r="AA1366" s="6" t="s">
        <v>68</v>
      </c>
      <c r="AB1366" s="8"/>
      <c r="AC1366" s="27">
        <v>9785160201078</v>
      </c>
    </row>
    <row r="1367" spans="1:29" s="4" customFormat="1" ht="51.9" customHeight="1" x14ac:dyDescent="0.2">
      <c r="A1367" s="5">
        <v>0</v>
      </c>
      <c r="B1367" s="6" t="s">
        <v>8439</v>
      </c>
      <c r="C1367" s="7">
        <v>1852.8</v>
      </c>
      <c r="D1367" s="8" t="s">
        <v>8440</v>
      </c>
      <c r="E1367" s="8" t="s">
        <v>8441</v>
      </c>
      <c r="F1367" s="8" t="s">
        <v>8442</v>
      </c>
      <c r="G1367" s="6" t="s">
        <v>118</v>
      </c>
      <c r="H1367" s="6" t="s">
        <v>34</v>
      </c>
      <c r="I1367" s="8" t="s">
        <v>253</v>
      </c>
      <c r="J1367" s="9">
        <v>1</v>
      </c>
      <c r="K1367" s="9">
        <v>296</v>
      </c>
      <c r="L1367" s="9">
        <v>2025</v>
      </c>
      <c r="M1367" s="8" t="s">
        <v>8443</v>
      </c>
      <c r="N1367" s="8" t="s">
        <v>37</v>
      </c>
      <c r="O1367" s="8" t="s">
        <v>233</v>
      </c>
      <c r="P1367" s="6" t="s">
        <v>306</v>
      </c>
      <c r="Q1367" s="8" t="s">
        <v>52</v>
      </c>
      <c r="R1367" s="10" t="s">
        <v>4506</v>
      </c>
      <c r="S1367" s="11" t="s">
        <v>8444</v>
      </c>
      <c r="T1367" s="6" t="s">
        <v>97</v>
      </c>
      <c r="U1367" s="15" t="str">
        <f>HYPERLINK("https://media.infra-m.ru/2192/2192255/cover/2192255.jpg", "Обложка")</f>
        <v>Обложка</v>
      </c>
      <c r="V1367" s="8" t="s">
        <v>831</v>
      </c>
      <c r="W1367" s="6"/>
      <c r="X1367" s="6"/>
      <c r="Y1367" s="6"/>
      <c r="Z1367" s="6"/>
      <c r="AA1367" s="6" t="s">
        <v>274</v>
      </c>
      <c r="AB1367" s="8"/>
      <c r="AC1367" s="27">
        <v>9785160188164</v>
      </c>
    </row>
    <row r="1368" spans="1:29" s="4" customFormat="1" ht="42" customHeight="1" x14ac:dyDescent="0.2">
      <c r="A1368" s="5">
        <v>0</v>
      </c>
      <c r="B1368" s="6" t="s">
        <v>8445</v>
      </c>
      <c r="C1368" s="7">
        <v>1008</v>
      </c>
      <c r="D1368" s="8" t="s">
        <v>8446</v>
      </c>
      <c r="E1368" s="8" t="s">
        <v>8447</v>
      </c>
      <c r="F1368" s="8" t="s">
        <v>8448</v>
      </c>
      <c r="G1368" s="6" t="s">
        <v>33</v>
      </c>
      <c r="H1368" s="6" t="s">
        <v>34</v>
      </c>
      <c r="I1368" s="8" t="s">
        <v>35</v>
      </c>
      <c r="J1368" s="9">
        <v>1</v>
      </c>
      <c r="K1368" s="9">
        <v>156</v>
      </c>
      <c r="L1368" s="9">
        <v>2025</v>
      </c>
      <c r="M1368" s="8" t="s">
        <v>8449</v>
      </c>
      <c r="N1368" s="8" t="s">
        <v>37</v>
      </c>
      <c r="O1368" s="8" t="s">
        <v>280</v>
      </c>
      <c r="P1368" s="6" t="s">
        <v>39</v>
      </c>
      <c r="Q1368" s="8" t="s">
        <v>40</v>
      </c>
      <c r="R1368" s="10" t="s">
        <v>8450</v>
      </c>
      <c r="S1368" s="11"/>
      <c r="T1368" s="6"/>
      <c r="U1368" s="15" t="str">
        <f>HYPERLINK("https://media.infra-m.ru/2207/2207060/cover/2207060.jpg", "Обложка")</f>
        <v>Обложка</v>
      </c>
      <c r="V1368" s="8" t="s">
        <v>8451</v>
      </c>
      <c r="W1368" s="6"/>
      <c r="X1368" s="6"/>
      <c r="Y1368" s="6"/>
      <c r="Z1368" s="6"/>
      <c r="AA1368" s="6" t="s">
        <v>86</v>
      </c>
      <c r="AB1368" s="8"/>
      <c r="AC1368" s="27">
        <v>9785160159140</v>
      </c>
    </row>
    <row r="1369" spans="1:29" s="4" customFormat="1" ht="33" customHeight="1" x14ac:dyDescent="0.2">
      <c r="A1369" s="5">
        <v>0</v>
      </c>
      <c r="B1369" s="6" t="s">
        <v>8452</v>
      </c>
      <c r="C1369" s="13">
        <v>648</v>
      </c>
      <c r="D1369" s="8" t="s">
        <v>8453</v>
      </c>
      <c r="E1369" s="8" t="s">
        <v>8447</v>
      </c>
      <c r="F1369" s="8" t="s">
        <v>8448</v>
      </c>
      <c r="G1369" s="6" t="s">
        <v>60</v>
      </c>
      <c r="H1369" s="6" t="s">
        <v>34</v>
      </c>
      <c r="I1369" s="8" t="s">
        <v>35</v>
      </c>
      <c r="J1369" s="9">
        <v>1</v>
      </c>
      <c r="K1369" s="9">
        <v>156</v>
      </c>
      <c r="L1369" s="9">
        <v>2019</v>
      </c>
      <c r="M1369" s="8" t="s">
        <v>8454</v>
      </c>
      <c r="N1369" s="8" t="s">
        <v>37</v>
      </c>
      <c r="O1369" s="8" t="s">
        <v>280</v>
      </c>
      <c r="P1369" s="6" t="s">
        <v>39</v>
      </c>
      <c r="Q1369" s="8" t="s">
        <v>40</v>
      </c>
      <c r="R1369" s="10" t="s">
        <v>8450</v>
      </c>
      <c r="S1369" s="11"/>
      <c r="T1369" s="6"/>
      <c r="U1369" s="12"/>
      <c r="V1369" s="8" t="s">
        <v>8451</v>
      </c>
      <c r="W1369" s="6"/>
      <c r="X1369" s="6"/>
      <c r="Y1369" s="6"/>
      <c r="Z1369" s="6"/>
      <c r="AA1369" s="6" t="s">
        <v>86</v>
      </c>
      <c r="AB1369" s="8"/>
      <c r="AC1369" s="27">
        <v>9785160140216</v>
      </c>
    </row>
    <row r="1370" spans="1:29" s="4" customFormat="1" ht="42" customHeight="1" x14ac:dyDescent="0.2">
      <c r="A1370" s="5">
        <v>0</v>
      </c>
      <c r="B1370" s="6" t="s">
        <v>8455</v>
      </c>
      <c r="C1370" s="13">
        <v>808.8</v>
      </c>
      <c r="D1370" s="8" t="s">
        <v>8456</v>
      </c>
      <c r="E1370" s="8" t="s">
        <v>8457</v>
      </c>
      <c r="F1370" s="8" t="s">
        <v>8458</v>
      </c>
      <c r="G1370" s="6" t="s">
        <v>33</v>
      </c>
      <c r="H1370" s="6" t="s">
        <v>34</v>
      </c>
      <c r="I1370" s="8" t="s">
        <v>35</v>
      </c>
      <c r="J1370" s="9">
        <v>1</v>
      </c>
      <c r="K1370" s="9">
        <v>122</v>
      </c>
      <c r="L1370" s="9">
        <v>2027</v>
      </c>
      <c r="M1370" s="8" t="s">
        <v>8459</v>
      </c>
      <c r="N1370" s="8" t="s">
        <v>37</v>
      </c>
      <c r="O1370" s="8" t="s">
        <v>233</v>
      </c>
      <c r="P1370" s="6" t="s">
        <v>39</v>
      </c>
      <c r="Q1370" s="8" t="s">
        <v>40</v>
      </c>
      <c r="R1370" s="10" t="s">
        <v>3516</v>
      </c>
      <c r="S1370" s="11"/>
      <c r="T1370" s="6" t="s">
        <v>97</v>
      </c>
      <c r="U1370" s="15" t="str">
        <f>HYPERLINK("https://media.infra-m.ru/2257/2257140/cover/2257140.jpg", "Обложка")</f>
        <v>Обложка</v>
      </c>
      <c r="V1370" s="8" t="s">
        <v>247</v>
      </c>
      <c r="W1370" s="6"/>
      <c r="X1370" s="6"/>
      <c r="Y1370" s="6"/>
      <c r="Z1370" s="6"/>
      <c r="AA1370" s="6" t="s">
        <v>99</v>
      </c>
      <c r="AB1370" s="8"/>
      <c r="AC1370" s="27">
        <v>9785160124391</v>
      </c>
    </row>
    <row r="1371" spans="1:29" s="4" customFormat="1" ht="44.1" customHeight="1" x14ac:dyDescent="0.2">
      <c r="A1371" s="5">
        <v>0</v>
      </c>
      <c r="B1371" s="6" t="s">
        <v>8460</v>
      </c>
      <c r="C1371" s="13">
        <v>984</v>
      </c>
      <c r="D1371" s="8" t="s">
        <v>8461</v>
      </c>
      <c r="E1371" s="8" t="s">
        <v>8462</v>
      </c>
      <c r="F1371" s="8" t="s">
        <v>8463</v>
      </c>
      <c r="G1371" s="6" t="s">
        <v>33</v>
      </c>
      <c r="H1371" s="6" t="s">
        <v>34</v>
      </c>
      <c r="I1371" s="8" t="s">
        <v>457</v>
      </c>
      <c r="J1371" s="9">
        <v>1</v>
      </c>
      <c r="K1371" s="9">
        <v>181</v>
      </c>
      <c r="L1371" s="9">
        <v>2023</v>
      </c>
      <c r="M1371" s="8" t="s">
        <v>8464</v>
      </c>
      <c r="N1371" s="8" t="s">
        <v>37</v>
      </c>
      <c r="O1371" s="8" t="s">
        <v>136</v>
      </c>
      <c r="P1371" s="6" t="s">
        <v>39</v>
      </c>
      <c r="Q1371" s="8" t="s">
        <v>40</v>
      </c>
      <c r="R1371" s="10" t="s">
        <v>8465</v>
      </c>
      <c r="S1371" s="11"/>
      <c r="T1371" s="6"/>
      <c r="U1371" s="15" t="str">
        <f>HYPERLINK("https://media.infra-m.ru/2023/2023957/cover/2023957.jpg", "Обложка")</f>
        <v>Обложка</v>
      </c>
      <c r="V1371" s="8" t="s">
        <v>247</v>
      </c>
      <c r="W1371" s="6"/>
      <c r="X1371" s="6"/>
      <c r="Y1371" s="6"/>
      <c r="Z1371" s="6"/>
      <c r="AA1371" s="6" t="s">
        <v>115</v>
      </c>
      <c r="AB1371" s="8"/>
      <c r="AC1371" s="27">
        <v>9785160167060</v>
      </c>
    </row>
    <row r="1372" spans="1:29" s="4" customFormat="1" ht="51.9" customHeight="1" x14ac:dyDescent="0.2">
      <c r="A1372" s="5">
        <v>0</v>
      </c>
      <c r="B1372" s="6" t="s">
        <v>8466</v>
      </c>
      <c r="C1372" s="7">
        <v>1372.8</v>
      </c>
      <c r="D1372" s="8" t="s">
        <v>8467</v>
      </c>
      <c r="E1372" s="8" t="s">
        <v>8468</v>
      </c>
      <c r="F1372" s="8" t="s">
        <v>1336</v>
      </c>
      <c r="G1372" s="6" t="s">
        <v>118</v>
      </c>
      <c r="H1372" s="6" t="s">
        <v>34</v>
      </c>
      <c r="I1372" s="8" t="s">
        <v>271</v>
      </c>
      <c r="J1372" s="9">
        <v>1</v>
      </c>
      <c r="K1372" s="9">
        <v>247</v>
      </c>
      <c r="L1372" s="9">
        <v>2024</v>
      </c>
      <c r="M1372" s="8" t="s">
        <v>8469</v>
      </c>
      <c r="N1372" s="8" t="s">
        <v>37</v>
      </c>
      <c r="O1372" s="8" t="s">
        <v>233</v>
      </c>
      <c r="P1372" s="6" t="s">
        <v>51</v>
      </c>
      <c r="Q1372" s="8" t="s">
        <v>52</v>
      </c>
      <c r="R1372" s="10" t="s">
        <v>8470</v>
      </c>
      <c r="S1372" s="11" t="s">
        <v>8471</v>
      </c>
      <c r="T1372" s="6"/>
      <c r="U1372" s="15" t="str">
        <f>HYPERLINK("https://media.infra-m.ru/2006/2006896/cover/2006896.jpg", "Обложка")</f>
        <v>Обложка</v>
      </c>
      <c r="V1372" s="8" t="s">
        <v>1339</v>
      </c>
      <c r="W1372" s="6"/>
      <c r="X1372" s="6"/>
      <c r="Y1372" s="6"/>
      <c r="Z1372" s="6"/>
      <c r="AA1372" s="6" t="s">
        <v>86</v>
      </c>
      <c r="AB1372" s="8"/>
      <c r="AC1372" s="27">
        <v>9785160140469</v>
      </c>
    </row>
    <row r="1373" spans="1:29" s="4" customFormat="1" ht="51.9" customHeight="1" x14ac:dyDescent="0.2">
      <c r="A1373" s="5">
        <v>0</v>
      </c>
      <c r="B1373" s="6" t="s">
        <v>8472</v>
      </c>
      <c r="C1373" s="7">
        <v>2304</v>
      </c>
      <c r="D1373" s="8" t="s">
        <v>8473</v>
      </c>
      <c r="E1373" s="8" t="s">
        <v>8474</v>
      </c>
      <c r="F1373" s="8" t="s">
        <v>8475</v>
      </c>
      <c r="G1373" s="6" t="s">
        <v>118</v>
      </c>
      <c r="H1373" s="6" t="s">
        <v>34</v>
      </c>
      <c r="I1373" s="8" t="s">
        <v>253</v>
      </c>
      <c r="J1373" s="9">
        <v>1</v>
      </c>
      <c r="K1373" s="9">
        <v>384</v>
      </c>
      <c r="L1373" s="9">
        <v>2025</v>
      </c>
      <c r="M1373" s="8" t="s">
        <v>8476</v>
      </c>
      <c r="N1373" s="8" t="s">
        <v>37</v>
      </c>
      <c r="O1373" s="8" t="s">
        <v>280</v>
      </c>
      <c r="P1373" s="6" t="s">
        <v>51</v>
      </c>
      <c r="Q1373" s="8" t="s">
        <v>52</v>
      </c>
      <c r="R1373" s="10" t="s">
        <v>8477</v>
      </c>
      <c r="S1373" s="11" t="s">
        <v>8478</v>
      </c>
      <c r="T1373" s="6"/>
      <c r="U1373" s="15" t="str">
        <f>HYPERLINK("https://media.infra-m.ru/2054/2054174/cover/2054174.jpg", "Обложка")</f>
        <v>Обложка</v>
      </c>
      <c r="V1373" s="8" t="s">
        <v>8479</v>
      </c>
      <c r="W1373" s="6"/>
      <c r="X1373" s="6"/>
      <c r="Y1373" s="6"/>
      <c r="Z1373" s="6"/>
      <c r="AA1373" s="6" t="s">
        <v>4554</v>
      </c>
      <c r="AB1373" s="8"/>
      <c r="AC1373" s="27">
        <v>9785160187662</v>
      </c>
    </row>
    <row r="1374" spans="1:29" s="4" customFormat="1" ht="42" customHeight="1" x14ac:dyDescent="0.2">
      <c r="A1374" s="5">
        <v>0</v>
      </c>
      <c r="B1374" s="6" t="s">
        <v>8480</v>
      </c>
      <c r="C1374" s="7">
        <v>1020</v>
      </c>
      <c r="D1374" s="8" t="s">
        <v>8481</v>
      </c>
      <c r="E1374" s="8" t="s">
        <v>8482</v>
      </c>
      <c r="F1374" s="8" t="s">
        <v>8483</v>
      </c>
      <c r="G1374" s="6" t="s">
        <v>118</v>
      </c>
      <c r="H1374" s="6" t="s">
        <v>134</v>
      </c>
      <c r="I1374" s="8"/>
      <c r="J1374" s="9">
        <v>1</v>
      </c>
      <c r="K1374" s="9">
        <v>176</v>
      </c>
      <c r="L1374" s="9">
        <v>2023</v>
      </c>
      <c r="M1374" s="8" t="s">
        <v>8484</v>
      </c>
      <c r="N1374" s="8" t="s">
        <v>37</v>
      </c>
      <c r="O1374" s="8" t="s">
        <v>280</v>
      </c>
      <c r="P1374" s="6" t="s">
        <v>39</v>
      </c>
      <c r="Q1374" s="8" t="s">
        <v>40</v>
      </c>
      <c r="R1374" s="10" t="s">
        <v>8485</v>
      </c>
      <c r="S1374" s="11"/>
      <c r="T1374" s="6"/>
      <c r="U1374" s="15" t="str">
        <f>HYPERLINK("https://media.infra-m.ru/1977/1977972/cover/1977972.jpg", "Обложка")</f>
        <v>Обложка</v>
      </c>
      <c r="V1374" s="8" t="s">
        <v>1483</v>
      </c>
      <c r="W1374" s="6"/>
      <c r="X1374" s="6"/>
      <c r="Y1374" s="6"/>
      <c r="Z1374" s="6"/>
      <c r="AA1374" s="6" t="s">
        <v>1256</v>
      </c>
      <c r="AB1374" s="8"/>
      <c r="AC1374" s="27">
        <v>9785001560470</v>
      </c>
    </row>
    <row r="1375" spans="1:29" s="4" customFormat="1" ht="42" customHeight="1" x14ac:dyDescent="0.2">
      <c r="A1375" s="5">
        <v>0</v>
      </c>
      <c r="B1375" s="6" t="s">
        <v>8486</v>
      </c>
      <c r="C1375" s="7">
        <v>1600.8</v>
      </c>
      <c r="D1375" s="8" t="s">
        <v>8487</v>
      </c>
      <c r="E1375" s="8" t="s">
        <v>8488</v>
      </c>
      <c r="F1375" s="8" t="s">
        <v>8489</v>
      </c>
      <c r="G1375" s="6" t="s">
        <v>60</v>
      </c>
      <c r="H1375" s="6" t="s">
        <v>34</v>
      </c>
      <c r="I1375" s="8" t="s">
        <v>271</v>
      </c>
      <c r="J1375" s="9">
        <v>1</v>
      </c>
      <c r="K1375" s="9">
        <v>230</v>
      </c>
      <c r="L1375" s="9">
        <v>2027</v>
      </c>
      <c r="M1375" s="8" t="s">
        <v>8490</v>
      </c>
      <c r="N1375" s="8" t="s">
        <v>63</v>
      </c>
      <c r="O1375" s="8" t="s">
        <v>64</v>
      </c>
      <c r="P1375" s="6" t="s">
        <v>51</v>
      </c>
      <c r="Q1375" s="8" t="s">
        <v>52</v>
      </c>
      <c r="R1375" s="10" t="s">
        <v>2640</v>
      </c>
      <c r="S1375" s="11"/>
      <c r="T1375" s="6" t="s">
        <v>97</v>
      </c>
      <c r="U1375" s="15" t="str">
        <f>HYPERLINK("https://media.infra-m.ru/2272/2272386/cover/2272386.jpg", "Обложка")</f>
        <v>Обложка</v>
      </c>
      <c r="V1375" s="8" t="s">
        <v>6642</v>
      </c>
      <c r="W1375" s="6"/>
      <c r="X1375" s="6"/>
      <c r="Y1375" s="6"/>
      <c r="Z1375" s="6"/>
      <c r="AA1375" s="6" t="s">
        <v>874</v>
      </c>
      <c r="AB1375" s="8"/>
      <c r="AC1375" s="27">
        <v>9785160100777</v>
      </c>
    </row>
    <row r="1376" spans="1:29" s="4" customFormat="1" ht="51.9" customHeight="1" x14ac:dyDescent="0.2">
      <c r="A1376" s="5">
        <v>0</v>
      </c>
      <c r="B1376" s="6" t="s">
        <v>8491</v>
      </c>
      <c r="C1376" s="7">
        <v>1900.8</v>
      </c>
      <c r="D1376" s="8" t="s">
        <v>8492</v>
      </c>
      <c r="E1376" s="8" t="s">
        <v>8493</v>
      </c>
      <c r="F1376" s="8" t="s">
        <v>8494</v>
      </c>
      <c r="G1376" s="6" t="s">
        <v>60</v>
      </c>
      <c r="H1376" s="6" t="s">
        <v>1042</v>
      </c>
      <c r="I1376" s="8" t="s">
        <v>253</v>
      </c>
      <c r="J1376" s="9">
        <v>1</v>
      </c>
      <c r="K1376" s="9">
        <v>271</v>
      </c>
      <c r="L1376" s="9">
        <v>2027</v>
      </c>
      <c r="M1376" s="8" t="s">
        <v>8495</v>
      </c>
      <c r="N1376" s="8" t="s">
        <v>37</v>
      </c>
      <c r="O1376" s="8" t="s">
        <v>136</v>
      </c>
      <c r="P1376" s="6" t="s">
        <v>51</v>
      </c>
      <c r="Q1376" s="8" t="s">
        <v>52</v>
      </c>
      <c r="R1376" s="10" t="s">
        <v>6217</v>
      </c>
      <c r="S1376" s="11" t="s">
        <v>8496</v>
      </c>
      <c r="T1376" s="6"/>
      <c r="U1376" s="15" t="str">
        <f>HYPERLINK("https://media.infra-m.ru/2256/2256574/cover/2256574.jpg", "Обложка")</f>
        <v>Обложка</v>
      </c>
      <c r="V1376" s="8" t="s">
        <v>4892</v>
      </c>
      <c r="W1376" s="6"/>
      <c r="X1376" s="6"/>
      <c r="Y1376" s="6"/>
      <c r="Z1376" s="6"/>
      <c r="AA1376" s="6" t="s">
        <v>129</v>
      </c>
      <c r="AB1376" s="8"/>
      <c r="AC1376" s="27">
        <v>9785819904763</v>
      </c>
    </row>
    <row r="1377" spans="1:29" s="4" customFormat="1" ht="51.9" customHeight="1" x14ac:dyDescent="0.2">
      <c r="A1377" s="5">
        <v>0</v>
      </c>
      <c r="B1377" s="6" t="s">
        <v>8497</v>
      </c>
      <c r="C1377" s="13">
        <v>984</v>
      </c>
      <c r="D1377" s="8" t="s">
        <v>8498</v>
      </c>
      <c r="E1377" s="8" t="s">
        <v>8499</v>
      </c>
      <c r="F1377" s="8" t="s">
        <v>8500</v>
      </c>
      <c r="G1377" s="6" t="s">
        <v>33</v>
      </c>
      <c r="H1377" s="6" t="s">
        <v>34</v>
      </c>
      <c r="I1377" s="8" t="s">
        <v>35</v>
      </c>
      <c r="J1377" s="9">
        <v>1</v>
      </c>
      <c r="K1377" s="9">
        <v>157</v>
      </c>
      <c r="L1377" s="9">
        <v>2024</v>
      </c>
      <c r="M1377" s="8" t="s">
        <v>8501</v>
      </c>
      <c r="N1377" s="8" t="s">
        <v>37</v>
      </c>
      <c r="O1377" s="8" t="s">
        <v>136</v>
      </c>
      <c r="P1377" s="6" t="s">
        <v>39</v>
      </c>
      <c r="Q1377" s="8" t="s">
        <v>40</v>
      </c>
      <c r="R1377" s="10" t="s">
        <v>1230</v>
      </c>
      <c r="S1377" s="11"/>
      <c r="T1377" s="6"/>
      <c r="U1377" s="15" t="str">
        <f>HYPERLINK("https://media.infra-m.ru/2131/2131415/cover/2131415.jpg", "Обложка")</f>
        <v>Обложка</v>
      </c>
      <c r="V1377" s="8" t="s">
        <v>8502</v>
      </c>
      <c r="W1377" s="6"/>
      <c r="X1377" s="6"/>
      <c r="Y1377" s="6"/>
      <c r="Z1377" s="6"/>
      <c r="AA1377" s="6" t="s">
        <v>157</v>
      </c>
      <c r="AB1377" s="8"/>
      <c r="AC1377" s="27">
        <v>9785160181738</v>
      </c>
    </row>
    <row r="1378" spans="1:29" s="4" customFormat="1" ht="42" customHeight="1" x14ac:dyDescent="0.2">
      <c r="A1378" s="5">
        <v>0</v>
      </c>
      <c r="B1378" s="6" t="s">
        <v>8503</v>
      </c>
      <c r="C1378" s="7">
        <v>2296.8000000000002</v>
      </c>
      <c r="D1378" s="8" t="s">
        <v>8504</v>
      </c>
      <c r="E1378" s="8" t="s">
        <v>8505</v>
      </c>
      <c r="F1378" s="8" t="s">
        <v>8506</v>
      </c>
      <c r="G1378" s="6" t="s">
        <v>33</v>
      </c>
      <c r="H1378" s="6" t="s">
        <v>34</v>
      </c>
      <c r="I1378" s="8" t="s">
        <v>35</v>
      </c>
      <c r="J1378" s="9">
        <v>1</v>
      </c>
      <c r="K1378" s="9">
        <v>331</v>
      </c>
      <c r="L1378" s="9">
        <v>2027</v>
      </c>
      <c r="M1378" s="8" t="s">
        <v>8507</v>
      </c>
      <c r="N1378" s="8" t="s">
        <v>37</v>
      </c>
      <c r="O1378" s="8" t="s">
        <v>233</v>
      </c>
      <c r="P1378" s="6" t="s">
        <v>39</v>
      </c>
      <c r="Q1378" s="8" t="s">
        <v>40</v>
      </c>
      <c r="R1378" s="10" t="s">
        <v>3008</v>
      </c>
      <c r="S1378" s="11"/>
      <c r="T1378" s="6"/>
      <c r="U1378" s="15" t="str">
        <f>HYPERLINK("https://media.infra-m.ru/2266/2266704/cover/2266704.jpg", "Обложка")</f>
        <v>Обложка</v>
      </c>
      <c r="V1378" s="8" t="s">
        <v>588</v>
      </c>
      <c r="W1378" s="6"/>
      <c r="X1378" s="6"/>
      <c r="Y1378" s="6"/>
      <c r="Z1378" s="6"/>
      <c r="AA1378" s="6" t="s">
        <v>561</v>
      </c>
      <c r="AB1378" s="8"/>
      <c r="AC1378" s="27">
        <v>9785160165721</v>
      </c>
    </row>
    <row r="1379" spans="1:29" s="4" customFormat="1" ht="44.1" customHeight="1" x14ac:dyDescent="0.2">
      <c r="A1379" s="5">
        <v>0</v>
      </c>
      <c r="B1379" s="6" t="s">
        <v>8508</v>
      </c>
      <c r="C1379" s="7">
        <v>1229.9000000000001</v>
      </c>
      <c r="D1379" s="8" t="s">
        <v>8509</v>
      </c>
      <c r="E1379" s="8" t="s">
        <v>8505</v>
      </c>
      <c r="F1379" s="8" t="s">
        <v>8506</v>
      </c>
      <c r="G1379" s="6" t="s">
        <v>60</v>
      </c>
      <c r="H1379" s="6" t="s">
        <v>5605</v>
      </c>
      <c r="I1379" s="8" t="s">
        <v>35</v>
      </c>
      <c r="J1379" s="9">
        <v>1</v>
      </c>
      <c r="K1379" s="9">
        <v>330</v>
      </c>
      <c r="L1379" s="9">
        <v>2017</v>
      </c>
      <c r="M1379" s="8" t="s">
        <v>8510</v>
      </c>
      <c r="N1379" s="8" t="s">
        <v>37</v>
      </c>
      <c r="O1379" s="8" t="s">
        <v>233</v>
      </c>
      <c r="P1379" s="6" t="s">
        <v>39</v>
      </c>
      <c r="Q1379" s="8" t="s">
        <v>40</v>
      </c>
      <c r="R1379" s="10" t="s">
        <v>3008</v>
      </c>
      <c r="S1379" s="11"/>
      <c r="T1379" s="6"/>
      <c r="U1379" s="15" t="str">
        <f>HYPERLINK("https://media.infra-m.ru/0902/0902310/cover/902310.jpg", "Обложка")</f>
        <v>Обложка</v>
      </c>
      <c r="V1379" s="8" t="s">
        <v>588</v>
      </c>
      <c r="W1379" s="6"/>
      <c r="X1379" s="6"/>
      <c r="Y1379" s="6"/>
      <c r="Z1379" s="6"/>
      <c r="AA1379" s="6" t="s">
        <v>561</v>
      </c>
      <c r="AB1379" s="8"/>
      <c r="AC1379" s="27">
        <v>9785160036694</v>
      </c>
    </row>
    <row r="1380" spans="1:29" s="4" customFormat="1" ht="51.9" customHeight="1" x14ac:dyDescent="0.2">
      <c r="A1380" s="5">
        <v>0</v>
      </c>
      <c r="B1380" s="6" t="s">
        <v>8511</v>
      </c>
      <c r="C1380" s="7">
        <v>3100.8</v>
      </c>
      <c r="D1380" s="8" t="s">
        <v>8512</v>
      </c>
      <c r="E1380" s="8" t="s">
        <v>8513</v>
      </c>
      <c r="F1380" s="8" t="s">
        <v>8514</v>
      </c>
      <c r="G1380" s="6" t="s">
        <v>118</v>
      </c>
      <c r="H1380" s="6" t="s">
        <v>34</v>
      </c>
      <c r="I1380" s="8" t="s">
        <v>271</v>
      </c>
      <c r="J1380" s="9">
        <v>1</v>
      </c>
      <c r="K1380" s="9">
        <v>445</v>
      </c>
      <c r="L1380" s="9">
        <v>2027</v>
      </c>
      <c r="M1380" s="8" t="s">
        <v>8515</v>
      </c>
      <c r="N1380" s="8" t="s">
        <v>37</v>
      </c>
      <c r="O1380" s="8" t="s">
        <v>233</v>
      </c>
      <c r="P1380" s="6" t="s">
        <v>306</v>
      </c>
      <c r="Q1380" s="8" t="s">
        <v>52</v>
      </c>
      <c r="R1380" s="10" t="s">
        <v>8516</v>
      </c>
      <c r="S1380" s="11" t="s">
        <v>8517</v>
      </c>
      <c r="T1380" s="6"/>
      <c r="U1380" s="15" t="str">
        <f>HYPERLINK("https://media.infra-m.ru/2272/2272388/cover/2272388.jpg", "Обложка")</f>
        <v>Обложка</v>
      </c>
      <c r="V1380" s="8" t="s">
        <v>2055</v>
      </c>
      <c r="W1380" s="6"/>
      <c r="X1380" s="6"/>
      <c r="Y1380" s="6"/>
      <c r="Z1380" s="6"/>
      <c r="AA1380" s="6" t="s">
        <v>7463</v>
      </c>
      <c r="AB1380" s="8"/>
      <c r="AC1380" s="27">
        <v>9785160141404</v>
      </c>
    </row>
    <row r="1381" spans="1:29" s="4" customFormat="1" ht="51.9" customHeight="1" x14ac:dyDescent="0.2">
      <c r="A1381" s="5">
        <v>0</v>
      </c>
      <c r="B1381" s="6" t="s">
        <v>8518</v>
      </c>
      <c r="C1381" s="7">
        <v>2064</v>
      </c>
      <c r="D1381" s="8" t="s">
        <v>8519</v>
      </c>
      <c r="E1381" s="8" t="s">
        <v>8520</v>
      </c>
      <c r="F1381" s="8" t="s">
        <v>8521</v>
      </c>
      <c r="G1381" s="6" t="s">
        <v>118</v>
      </c>
      <c r="H1381" s="6" t="s">
        <v>313</v>
      </c>
      <c r="I1381" s="8" t="s">
        <v>253</v>
      </c>
      <c r="J1381" s="9">
        <v>1</v>
      </c>
      <c r="K1381" s="9">
        <v>344</v>
      </c>
      <c r="L1381" s="9">
        <v>2024</v>
      </c>
      <c r="M1381" s="8" t="s">
        <v>8522</v>
      </c>
      <c r="N1381" s="8" t="s">
        <v>37</v>
      </c>
      <c r="O1381" s="8" t="s">
        <v>233</v>
      </c>
      <c r="P1381" s="6" t="s">
        <v>306</v>
      </c>
      <c r="Q1381" s="8" t="s">
        <v>65</v>
      </c>
      <c r="R1381" s="10" t="s">
        <v>8523</v>
      </c>
      <c r="S1381" s="11"/>
      <c r="T1381" s="6"/>
      <c r="U1381" s="15" t="str">
        <f>HYPERLINK("https://media.infra-m.ru/2093/2093931/cover/2093931.jpg", "Обложка")</f>
        <v>Обложка</v>
      </c>
      <c r="V1381" s="8" t="s">
        <v>3693</v>
      </c>
      <c r="W1381" s="6"/>
      <c r="X1381" s="6"/>
      <c r="Y1381" s="6"/>
      <c r="Z1381" s="6"/>
      <c r="AA1381" s="6" t="s">
        <v>106</v>
      </c>
      <c r="AB1381" s="8"/>
      <c r="AC1381" s="27">
        <v>9785369019627</v>
      </c>
    </row>
    <row r="1382" spans="1:29" s="4" customFormat="1" ht="51.9" customHeight="1" x14ac:dyDescent="0.2">
      <c r="A1382" s="5">
        <v>0</v>
      </c>
      <c r="B1382" s="6" t="s">
        <v>8524</v>
      </c>
      <c r="C1382" s="7">
        <v>1476</v>
      </c>
      <c r="D1382" s="8" t="s">
        <v>8525</v>
      </c>
      <c r="E1382" s="8" t="s">
        <v>8526</v>
      </c>
      <c r="F1382" s="8" t="s">
        <v>8521</v>
      </c>
      <c r="G1382" s="6" t="s">
        <v>60</v>
      </c>
      <c r="H1382" s="6" t="s">
        <v>313</v>
      </c>
      <c r="I1382" s="8" t="s">
        <v>253</v>
      </c>
      <c r="J1382" s="9">
        <v>1</v>
      </c>
      <c r="K1382" s="9">
        <v>345</v>
      </c>
      <c r="L1382" s="9">
        <v>2020</v>
      </c>
      <c r="M1382" s="8" t="s">
        <v>8527</v>
      </c>
      <c r="N1382" s="8" t="s">
        <v>37</v>
      </c>
      <c r="O1382" s="8" t="s">
        <v>233</v>
      </c>
      <c r="P1382" s="6" t="s">
        <v>306</v>
      </c>
      <c r="Q1382" s="8" t="s">
        <v>65</v>
      </c>
      <c r="R1382" s="10" t="s">
        <v>8523</v>
      </c>
      <c r="S1382" s="11"/>
      <c r="T1382" s="6"/>
      <c r="U1382" s="15" t="str">
        <f>HYPERLINK("https://media.infra-m.ru/1088/1088721/cover/1088721.jpg", "Обложка")</f>
        <v>Обложка</v>
      </c>
      <c r="V1382" s="8" t="s">
        <v>3693</v>
      </c>
      <c r="W1382" s="6"/>
      <c r="X1382" s="6"/>
      <c r="Y1382" s="6"/>
      <c r="Z1382" s="6"/>
      <c r="AA1382" s="6" t="s">
        <v>1256</v>
      </c>
      <c r="AB1382" s="8"/>
      <c r="AC1382" s="27">
        <v>9785369018538</v>
      </c>
    </row>
    <row r="1383" spans="1:29" s="4" customFormat="1" ht="51.9" customHeight="1" x14ac:dyDescent="0.2">
      <c r="A1383" s="5">
        <v>0</v>
      </c>
      <c r="B1383" s="6" t="s">
        <v>8528</v>
      </c>
      <c r="C1383" s="7">
        <v>1092</v>
      </c>
      <c r="D1383" s="8" t="s">
        <v>8529</v>
      </c>
      <c r="E1383" s="8" t="s">
        <v>8530</v>
      </c>
      <c r="F1383" s="8" t="s">
        <v>8531</v>
      </c>
      <c r="G1383" s="6" t="s">
        <v>118</v>
      </c>
      <c r="H1383" s="6" t="s">
        <v>34</v>
      </c>
      <c r="I1383" s="8" t="s">
        <v>253</v>
      </c>
      <c r="J1383" s="9">
        <v>1</v>
      </c>
      <c r="K1383" s="9">
        <v>165</v>
      </c>
      <c r="L1383" s="9">
        <v>2026</v>
      </c>
      <c r="M1383" s="8" t="s">
        <v>8532</v>
      </c>
      <c r="N1383" s="8" t="s">
        <v>37</v>
      </c>
      <c r="O1383" s="8" t="s">
        <v>136</v>
      </c>
      <c r="P1383" s="6" t="s">
        <v>51</v>
      </c>
      <c r="Q1383" s="8" t="s">
        <v>500</v>
      </c>
      <c r="R1383" s="10" t="s">
        <v>8533</v>
      </c>
      <c r="S1383" s="11" t="s">
        <v>8534</v>
      </c>
      <c r="T1383" s="6"/>
      <c r="U1383" s="15" t="str">
        <f>HYPERLINK("https://media.infra-m.ru/2247/2247905/cover/2247905.jpg", "Обложка")</f>
        <v>Обложка</v>
      </c>
      <c r="V1383" s="8" t="s">
        <v>2854</v>
      </c>
      <c r="W1383" s="6"/>
      <c r="X1383" s="6"/>
      <c r="Y1383" s="6"/>
      <c r="Z1383" s="6"/>
      <c r="AA1383" s="6" t="s">
        <v>86</v>
      </c>
      <c r="AB1383" s="8"/>
      <c r="AC1383" s="27">
        <v>9785160220352</v>
      </c>
    </row>
    <row r="1384" spans="1:29" s="4" customFormat="1" ht="51.9" customHeight="1" x14ac:dyDescent="0.2">
      <c r="A1384" s="5">
        <v>0</v>
      </c>
      <c r="B1384" s="6" t="s">
        <v>8535</v>
      </c>
      <c r="C1384" s="7">
        <v>1188</v>
      </c>
      <c r="D1384" s="8" t="s">
        <v>8536</v>
      </c>
      <c r="E1384" s="8" t="s">
        <v>8537</v>
      </c>
      <c r="F1384" s="8" t="s">
        <v>8531</v>
      </c>
      <c r="G1384" s="6" t="s">
        <v>118</v>
      </c>
      <c r="H1384" s="6" t="s">
        <v>34</v>
      </c>
      <c r="I1384" s="8" t="s">
        <v>253</v>
      </c>
      <c r="J1384" s="9">
        <v>1</v>
      </c>
      <c r="K1384" s="9">
        <v>169</v>
      </c>
      <c r="L1384" s="9">
        <v>2026</v>
      </c>
      <c r="M1384" s="8" t="s">
        <v>8538</v>
      </c>
      <c r="N1384" s="8" t="s">
        <v>37</v>
      </c>
      <c r="O1384" s="8" t="s">
        <v>136</v>
      </c>
      <c r="P1384" s="6" t="s">
        <v>51</v>
      </c>
      <c r="Q1384" s="8" t="s">
        <v>500</v>
      </c>
      <c r="R1384" s="10" t="s">
        <v>8539</v>
      </c>
      <c r="S1384" s="11" t="s">
        <v>8540</v>
      </c>
      <c r="T1384" s="6"/>
      <c r="U1384" s="15" t="str">
        <f>HYPERLINK("https://media.infra-m.ru/2233/2233484/cover/2233484.jpg", "Обложка")</f>
        <v>Обложка</v>
      </c>
      <c r="V1384" s="8" t="s">
        <v>2854</v>
      </c>
      <c r="W1384" s="6"/>
      <c r="X1384" s="6"/>
      <c r="Y1384" s="6"/>
      <c r="Z1384" s="6"/>
      <c r="AA1384" s="6" t="s">
        <v>148</v>
      </c>
      <c r="AB1384" s="8"/>
      <c r="AC1384" s="27">
        <v>9785160216621</v>
      </c>
    </row>
    <row r="1385" spans="1:29" s="4" customFormat="1" ht="51.9" customHeight="1" x14ac:dyDescent="0.2">
      <c r="A1385" s="5">
        <v>0</v>
      </c>
      <c r="B1385" s="6" t="s">
        <v>8541</v>
      </c>
      <c r="C1385" s="7">
        <v>1553.9</v>
      </c>
      <c r="D1385" s="8" t="s">
        <v>8542</v>
      </c>
      <c r="E1385" s="8" t="s">
        <v>8543</v>
      </c>
      <c r="F1385" s="8" t="s">
        <v>8514</v>
      </c>
      <c r="G1385" s="6" t="s">
        <v>60</v>
      </c>
      <c r="H1385" s="6" t="s">
        <v>34</v>
      </c>
      <c r="I1385" s="8" t="s">
        <v>271</v>
      </c>
      <c r="J1385" s="9">
        <v>1</v>
      </c>
      <c r="K1385" s="9">
        <v>444</v>
      </c>
      <c r="L1385" s="9">
        <v>2018</v>
      </c>
      <c r="M1385" s="8" t="s">
        <v>8544</v>
      </c>
      <c r="N1385" s="8" t="s">
        <v>37</v>
      </c>
      <c r="O1385" s="8" t="s">
        <v>233</v>
      </c>
      <c r="P1385" s="6" t="s">
        <v>306</v>
      </c>
      <c r="Q1385" s="8" t="s">
        <v>52</v>
      </c>
      <c r="R1385" s="10" t="s">
        <v>8516</v>
      </c>
      <c r="S1385" s="11" t="s">
        <v>8517</v>
      </c>
      <c r="T1385" s="6"/>
      <c r="U1385" s="15" t="str">
        <f>HYPERLINK("https://media.infra-m.ru/0981/0981154/cover/981154.jpg", "Обложка")</f>
        <v>Обложка</v>
      </c>
      <c r="V1385" s="8" t="s">
        <v>2055</v>
      </c>
      <c r="W1385" s="6"/>
      <c r="X1385" s="6"/>
      <c r="Y1385" s="6"/>
      <c r="Z1385" s="6"/>
      <c r="AA1385" s="6" t="s">
        <v>8545</v>
      </c>
      <c r="AB1385" s="8"/>
      <c r="AC1385" s="27">
        <v>9785160106816</v>
      </c>
    </row>
    <row r="1386" spans="1:29" s="4" customFormat="1" ht="51.9" customHeight="1" x14ac:dyDescent="0.2">
      <c r="A1386" s="5">
        <v>0</v>
      </c>
      <c r="B1386" s="6" t="s">
        <v>8546</v>
      </c>
      <c r="C1386" s="7">
        <v>2508</v>
      </c>
      <c r="D1386" s="8" t="s">
        <v>8547</v>
      </c>
      <c r="E1386" s="8" t="s">
        <v>8513</v>
      </c>
      <c r="F1386" s="8" t="s">
        <v>8514</v>
      </c>
      <c r="G1386" s="6" t="s">
        <v>60</v>
      </c>
      <c r="H1386" s="6" t="s">
        <v>34</v>
      </c>
      <c r="I1386" s="8" t="s">
        <v>263</v>
      </c>
      <c r="J1386" s="9">
        <v>1</v>
      </c>
      <c r="K1386" s="9">
        <v>445</v>
      </c>
      <c r="L1386" s="9">
        <v>2024</v>
      </c>
      <c r="M1386" s="8" t="s">
        <v>8548</v>
      </c>
      <c r="N1386" s="8" t="s">
        <v>37</v>
      </c>
      <c r="O1386" s="8" t="s">
        <v>233</v>
      </c>
      <c r="P1386" s="6" t="s">
        <v>306</v>
      </c>
      <c r="Q1386" s="8" t="s">
        <v>265</v>
      </c>
      <c r="R1386" s="10" t="s">
        <v>8549</v>
      </c>
      <c r="S1386" s="11" t="s">
        <v>8550</v>
      </c>
      <c r="T1386" s="6"/>
      <c r="U1386" s="15" t="str">
        <f>HYPERLINK("https://media.infra-m.ru/2119/2119558/cover/2119558.jpg", "Обложка")</f>
        <v>Обложка</v>
      </c>
      <c r="V1386" s="8" t="s">
        <v>2055</v>
      </c>
      <c r="W1386" s="6"/>
      <c r="X1386" s="6"/>
      <c r="Y1386" s="6"/>
      <c r="Z1386" s="6" t="s">
        <v>267</v>
      </c>
      <c r="AA1386" s="6" t="s">
        <v>8551</v>
      </c>
      <c r="AB1386" s="8"/>
      <c r="AC1386" s="27">
        <v>9785160153834</v>
      </c>
    </row>
    <row r="1387" spans="1:29" s="4" customFormat="1" ht="51.9" customHeight="1" x14ac:dyDescent="0.2">
      <c r="A1387" s="5">
        <v>0</v>
      </c>
      <c r="B1387" s="6" t="s">
        <v>8552</v>
      </c>
      <c r="C1387" s="7">
        <v>1968</v>
      </c>
      <c r="D1387" s="8" t="s">
        <v>8553</v>
      </c>
      <c r="E1387" s="8" t="s">
        <v>8554</v>
      </c>
      <c r="F1387" s="8" t="s">
        <v>8555</v>
      </c>
      <c r="G1387" s="6" t="s">
        <v>118</v>
      </c>
      <c r="H1387" s="6" t="s">
        <v>34</v>
      </c>
      <c r="I1387" s="8" t="s">
        <v>263</v>
      </c>
      <c r="J1387" s="9">
        <v>1</v>
      </c>
      <c r="K1387" s="9">
        <v>297</v>
      </c>
      <c r="L1387" s="9">
        <v>2026</v>
      </c>
      <c r="M1387" s="8" t="s">
        <v>8556</v>
      </c>
      <c r="N1387" s="8" t="s">
        <v>585</v>
      </c>
      <c r="O1387" s="8" t="s">
        <v>775</v>
      </c>
      <c r="P1387" s="6" t="s">
        <v>51</v>
      </c>
      <c r="Q1387" s="8" t="s">
        <v>265</v>
      </c>
      <c r="R1387" s="10" t="s">
        <v>8557</v>
      </c>
      <c r="S1387" s="11" t="s">
        <v>8558</v>
      </c>
      <c r="T1387" s="6"/>
      <c r="U1387" s="15" t="str">
        <f>HYPERLINK("https://media.infra-m.ru/2225/2225226/cover/2225226.jpg", "Обложка")</f>
        <v>Обложка</v>
      </c>
      <c r="V1387" s="8" t="s">
        <v>3735</v>
      </c>
      <c r="W1387" s="6"/>
      <c r="X1387" s="6"/>
      <c r="Y1387" s="6"/>
      <c r="Z1387" s="6"/>
      <c r="AA1387" s="6" t="s">
        <v>430</v>
      </c>
      <c r="AB1387" s="8"/>
      <c r="AC1387" s="27">
        <v>9785160154947</v>
      </c>
    </row>
    <row r="1388" spans="1:29" s="4" customFormat="1" ht="44.1" customHeight="1" x14ac:dyDescent="0.2">
      <c r="A1388" s="5">
        <v>0</v>
      </c>
      <c r="B1388" s="6" t="s">
        <v>8559</v>
      </c>
      <c r="C1388" s="13">
        <v>773.9</v>
      </c>
      <c r="D1388" s="8" t="s">
        <v>8560</v>
      </c>
      <c r="E1388" s="8" t="s">
        <v>8561</v>
      </c>
      <c r="F1388" s="8" t="s">
        <v>8562</v>
      </c>
      <c r="G1388" s="6" t="s">
        <v>60</v>
      </c>
      <c r="H1388" s="6" t="s">
        <v>1644</v>
      </c>
      <c r="I1388" s="8"/>
      <c r="J1388" s="9">
        <v>1</v>
      </c>
      <c r="K1388" s="9">
        <v>144</v>
      </c>
      <c r="L1388" s="9">
        <v>2023</v>
      </c>
      <c r="M1388" s="8" t="s">
        <v>8563</v>
      </c>
      <c r="N1388" s="8" t="s">
        <v>37</v>
      </c>
      <c r="O1388" s="8" t="s">
        <v>233</v>
      </c>
      <c r="P1388" s="6" t="s">
        <v>51</v>
      </c>
      <c r="Q1388" s="8" t="s">
        <v>500</v>
      </c>
      <c r="R1388" s="10" t="s">
        <v>4009</v>
      </c>
      <c r="S1388" s="11"/>
      <c r="T1388" s="6"/>
      <c r="U1388" s="15" t="str">
        <f>HYPERLINK("https://media.infra-m.ru/1903/1903308/cover/1903308.jpg", "Обложка")</f>
        <v>Обложка</v>
      </c>
      <c r="V1388" s="8" t="s">
        <v>8564</v>
      </c>
      <c r="W1388" s="6"/>
      <c r="X1388" s="6"/>
      <c r="Y1388" s="6"/>
      <c r="Z1388" s="6"/>
      <c r="AA1388" s="6" t="s">
        <v>274</v>
      </c>
      <c r="AB1388" s="8"/>
      <c r="AC1388" s="27">
        <v>9785977603546</v>
      </c>
    </row>
    <row r="1389" spans="1:29" s="4" customFormat="1" ht="42" customHeight="1" x14ac:dyDescent="0.2">
      <c r="A1389" s="5">
        <v>0</v>
      </c>
      <c r="B1389" s="6" t="s">
        <v>8565</v>
      </c>
      <c r="C1389" s="7">
        <v>1637.9</v>
      </c>
      <c r="D1389" s="8" t="s">
        <v>8566</v>
      </c>
      <c r="E1389" s="8" t="s">
        <v>8567</v>
      </c>
      <c r="F1389" s="8" t="s">
        <v>8568</v>
      </c>
      <c r="G1389" s="6" t="s">
        <v>118</v>
      </c>
      <c r="H1389" s="6" t="s">
        <v>34</v>
      </c>
      <c r="I1389" s="8" t="s">
        <v>35</v>
      </c>
      <c r="J1389" s="9">
        <v>1</v>
      </c>
      <c r="K1389" s="9">
        <v>304</v>
      </c>
      <c r="L1389" s="9">
        <v>2023</v>
      </c>
      <c r="M1389" s="8" t="s">
        <v>8569</v>
      </c>
      <c r="N1389" s="8" t="s">
        <v>37</v>
      </c>
      <c r="O1389" s="8" t="s">
        <v>280</v>
      </c>
      <c r="P1389" s="6" t="s">
        <v>39</v>
      </c>
      <c r="Q1389" s="8" t="s">
        <v>40</v>
      </c>
      <c r="R1389" s="10" t="s">
        <v>8410</v>
      </c>
      <c r="S1389" s="11"/>
      <c r="T1389" s="6" t="s">
        <v>97</v>
      </c>
      <c r="U1389" s="15" t="str">
        <f>HYPERLINK("https://media.infra-m.ru/2002/2002614/cover/2002614.jpg", "Обложка")</f>
        <v>Обложка</v>
      </c>
      <c r="V1389" s="8" t="s">
        <v>3130</v>
      </c>
      <c r="W1389" s="6"/>
      <c r="X1389" s="6"/>
      <c r="Y1389" s="6"/>
      <c r="Z1389" s="6"/>
      <c r="AA1389" s="6" t="s">
        <v>99</v>
      </c>
      <c r="AB1389" s="8"/>
      <c r="AC1389" s="27">
        <v>9785160123127</v>
      </c>
    </row>
    <row r="1390" spans="1:29" s="4" customFormat="1" ht="51.9" customHeight="1" x14ac:dyDescent="0.2">
      <c r="A1390" s="5">
        <v>0</v>
      </c>
      <c r="B1390" s="6" t="s">
        <v>8570</v>
      </c>
      <c r="C1390" s="13">
        <v>780</v>
      </c>
      <c r="D1390" s="8" t="s">
        <v>8571</v>
      </c>
      <c r="E1390" s="8" t="s">
        <v>8572</v>
      </c>
      <c r="F1390" s="8" t="s">
        <v>8573</v>
      </c>
      <c r="G1390" s="6" t="s">
        <v>33</v>
      </c>
      <c r="H1390" s="6" t="s">
        <v>34</v>
      </c>
      <c r="I1390" s="8"/>
      <c r="J1390" s="9">
        <v>1</v>
      </c>
      <c r="K1390" s="9">
        <v>166</v>
      </c>
      <c r="L1390" s="9">
        <v>2022</v>
      </c>
      <c r="M1390" s="8" t="s">
        <v>8574</v>
      </c>
      <c r="N1390" s="8" t="s">
        <v>37</v>
      </c>
      <c r="O1390" s="8" t="s">
        <v>136</v>
      </c>
      <c r="P1390" s="6" t="s">
        <v>39</v>
      </c>
      <c r="Q1390" s="8" t="s">
        <v>40</v>
      </c>
      <c r="R1390" s="10" t="s">
        <v>8575</v>
      </c>
      <c r="S1390" s="11"/>
      <c r="T1390" s="6"/>
      <c r="U1390" s="15" t="str">
        <f>HYPERLINK("https://media.infra-m.ru/1854/1854748/cover/1854748.jpg", "Обложка")</f>
        <v>Обложка</v>
      </c>
      <c r="V1390" s="8" t="s">
        <v>1184</v>
      </c>
      <c r="W1390" s="6"/>
      <c r="X1390" s="6"/>
      <c r="Y1390" s="6"/>
      <c r="Z1390" s="6"/>
      <c r="AA1390" s="6" t="s">
        <v>115</v>
      </c>
      <c r="AB1390" s="8"/>
      <c r="AC1390" s="27">
        <v>9785160138381</v>
      </c>
    </row>
    <row r="1391" spans="1:29" s="4" customFormat="1" ht="51.9" customHeight="1" x14ac:dyDescent="0.2">
      <c r="A1391" s="5">
        <v>0</v>
      </c>
      <c r="B1391" s="6" t="s">
        <v>8576</v>
      </c>
      <c r="C1391" s="13">
        <v>809.9</v>
      </c>
      <c r="D1391" s="8" t="s">
        <v>8577</v>
      </c>
      <c r="E1391" s="8" t="s">
        <v>8578</v>
      </c>
      <c r="F1391" s="8" t="s">
        <v>8579</v>
      </c>
      <c r="G1391" s="6" t="s">
        <v>33</v>
      </c>
      <c r="H1391" s="6" t="s">
        <v>34</v>
      </c>
      <c r="I1391" s="8" t="s">
        <v>271</v>
      </c>
      <c r="J1391" s="9">
        <v>1</v>
      </c>
      <c r="K1391" s="9">
        <v>151</v>
      </c>
      <c r="L1391" s="9">
        <v>2023</v>
      </c>
      <c r="M1391" s="8" t="s">
        <v>8580</v>
      </c>
      <c r="N1391" s="8" t="s">
        <v>37</v>
      </c>
      <c r="O1391" s="8" t="s">
        <v>233</v>
      </c>
      <c r="P1391" s="6" t="s">
        <v>51</v>
      </c>
      <c r="Q1391" s="8" t="s">
        <v>52</v>
      </c>
      <c r="R1391" s="10" t="s">
        <v>4009</v>
      </c>
      <c r="S1391" s="11" t="s">
        <v>8581</v>
      </c>
      <c r="T1391" s="6"/>
      <c r="U1391" s="15" t="str">
        <f>HYPERLINK("https://media.infra-m.ru/1894/1894416/cover/1894416.jpg", "Обложка")</f>
        <v>Обложка</v>
      </c>
      <c r="V1391" s="8" t="s">
        <v>350</v>
      </c>
      <c r="W1391" s="6"/>
      <c r="X1391" s="6"/>
      <c r="Y1391" s="6"/>
      <c r="Z1391" s="6"/>
      <c r="AA1391" s="6" t="s">
        <v>274</v>
      </c>
      <c r="AB1391" s="8"/>
      <c r="AC1391" s="27">
        <v>9785160098890</v>
      </c>
    </row>
    <row r="1392" spans="1:29" s="4" customFormat="1" ht="42" customHeight="1" x14ac:dyDescent="0.2">
      <c r="A1392" s="5">
        <v>0</v>
      </c>
      <c r="B1392" s="6" t="s">
        <v>8582</v>
      </c>
      <c r="C1392" s="7">
        <v>1068</v>
      </c>
      <c r="D1392" s="8" t="s">
        <v>8583</v>
      </c>
      <c r="E1392" s="8" t="s">
        <v>8584</v>
      </c>
      <c r="F1392" s="8" t="s">
        <v>1442</v>
      </c>
      <c r="G1392" s="6" t="s">
        <v>118</v>
      </c>
      <c r="H1392" s="6" t="s">
        <v>34</v>
      </c>
      <c r="I1392" s="8" t="s">
        <v>35</v>
      </c>
      <c r="J1392" s="9">
        <v>1</v>
      </c>
      <c r="K1392" s="9">
        <v>220</v>
      </c>
      <c r="L1392" s="9">
        <v>2022</v>
      </c>
      <c r="M1392" s="8" t="s">
        <v>8585</v>
      </c>
      <c r="N1392" s="8" t="s">
        <v>37</v>
      </c>
      <c r="O1392" s="8" t="s">
        <v>136</v>
      </c>
      <c r="P1392" s="6" t="s">
        <v>39</v>
      </c>
      <c r="Q1392" s="8" t="s">
        <v>40</v>
      </c>
      <c r="R1392" s="10" t="s">
        <v>6521</v>
      </c>
      <c r="S1392" s="11"/>
      <c r="T1392" s="6"/>
      <c r="U1392" s="15" t="str">
        <f>HYPERLINK("https://media.infra-m.ru/1869/1869001/cover/1869001.jpg", "Обложка")</f>
        <v>Обложка</v>
      </c>
      <c r="V1392" s="8" t="s">
        <v>657</v>
      </c>
      <c r="W1392" s="6"/>
      <c r="X1392" s="6"/>
      <c r="Y1392" s="6"/>
      <c r="Z1392" s="6"/>
      <c r="AA1392" s="6" t="s">
        <v>779</v>
      </c>
      <c r="AB1392" s="8"/>
      <c r="AC1392" s="27">
        <v>9785160121574</v>
      </c>
    </row>
    <row r="1393" spans="1:29" s="4" customFormat="1" ht="42" customHeight="1" x14ac:dyDescent="0.2">
      <c r="A1393" s="5">
        <v>0</v>
      </c>
      <c r="B1393" s="6" t="s">
        <v>8586</v>
      </c>
      <c r="C1393" s="7">
        <v>1224</v>
      </c>
      <c r="D1393" s="8" t="s">
        <v>8587</v>
      </c>
      <c r="E1393" s="8" t="s">
        <v>8588</v>
      </c>
      <c r="F1393" s="8" t="s">
        <v>8589</v>
      </c>
      <c r="G1393" s="6" t="s">
        <v>60</v>
      </c>
      <c r="H1393" s="6" t="s">
        <v>134</v>
      </c>
      <c r="I1393" s="8"/>
      <c r="J1393" s="9">
        <v>1</v>
      </c>
      <c r="K1393" s="9">
        <v>216</v>
      </c>
      <c r="L1393" s="9">
        <v>2023</v>
      </c>
      <c r="M1393" s="8" t="s">
        <v>8590</v>
      </c>
      <c r="N1393" s="8" t="s">
        <v>37</v>
      </c>
      <c r="O1393" s="8" t="s">
        <v>136</v>
      </c>
      <c r="P1393" s="6" t="s">
        <v>51</v>
      </c>
      <c r="Q1393" s="8" t="s">
        <v>500</v>
      </c>
      <c r="R1393" s="10" t="s">
        <v>8591</v>
      </c>
      <c r="S1393" s="11"/>
      <c r="T1393" s="6"/>
      <c r="U1393" s="15" t="str">
        <f>HYPERLINK("https://media.infra-m.ru/1915/1915618/cover/1915618.jpg", "Обложка")</f>
        <v>Обложка</v>
      </c>
      <c r="V1393" s="8" t="s">
        <v>546</v>
      </c>
      <c r="W1393" s="6"/>
      <c r="X1393" s="6"/>
      <c r="Y1393" s="6"/>
      <c r="Z1393" s="6"/>
      <c r="AA1393" s="6" t="s">
        <v>157</v>
      </c>
      <c r="AB1393" s="8"/>
      <c r="AC1393" s="27">
        <v>9785001562832</v>
      </c>
    </row>
    <row r="1394" spans="1:29" s="4" customFormat="1" ht="51.9" customHeight="1" x14ac:dyDescent="0.2">
      <c r="A1394" s="5">
        <v>0</v>
      </c>
      <c r="B1394" s="6" t="s">
        <v>8592</v>
      </c>
      <c r="C1394" s="7">
        <v>1493.9</v>
      </c>
      <c r="D1394" s="8" t="s">
        <v>8593</v>
      </c>
      <c r="E1394" s="8" t="s">
        <v>8594</v>
      </c>
      <c r="F1394" s="8" t="s">
        <v>8595</v>
      </c>
      <c r="G1394" s="6" t="s">
        <v>60</v>
      </c>
      <c r="H1394" s="6" t="s">
        <v>34</v>
      </c>
      <c r="I1394" s="8"/>
      <c r="J1394" s="9">
        <v>1</v>
      </c>
      <c r="K1394" s="9">
        <v>320</v>
      </c>
      <c r="L1394" s="9">
        <v>2022</v>
      </c>
      <c r="M1394" s="8" t="s">
        <v>8596</v>
      </c>
      <c r="N1394" s="8" t="s">
        <v>37</v>
      </c>
      <c r="O1394" s="8" t="s">
        <v>136</v>
      </c>
      <c r="P1394" s="6" t="s">
        <v>39</v>
      </c>
      <c r="Q1394" s="8" t="s">
        <v>40</v>
      </c>
      <c r="R1394" s="10" t="s">
        <v>8597</v>
      </c>
      <c r="S1394" s="11"/>
      <c r="T1394" s="6"/>
      <c r="U1394" s="15" t="str">
        <f>HYPERLINK("https://media.infra-m.ru/1861/1861796/cover/1861796.jpg", "Обложка")</f>
        <v>Обложка</v>
      </c>
      <c r="V1394" s="8" t="s">
        <v>138</v>
      </c>
      <c r="W1394" s="6"/>
      <c r="X1394" s="6"/>
      <c r="Y1394" s="6"/>
      <c r="Z1394" s="6"/>
      <c r="AA1394" s="6" t="s">
        <v>248</v>
      </c>
      <c r="AB1394" s="8"/>
      <c r="AC1394" s="27">
        <v>9785160104003</v>
      </c>
    </row>
    <row r="1395" spans="1:29" s="4" customFormat="1" ht="51.9" customHeight="1" x14ac:dyDescent="0.2">
      <c r="A1395" s="5">
        <v>0</v>
      </c>
      <c r="B1395" s="6" t="s">
        <v>8598</v>
      </c>
      <c r="C1395" s="13">
        <v>976.8</v>
      </c>
      <c r="D1395" s="8" t="s">
        <v>8599</v>
      </c>
      <c r="E1395" s="8" t="s">
        <v>8600</v>
      </c>
      <c r="F1395" s="8" t="s">
        <v>8601</v>
      </c>
      <c r="G1395" s="6" t="s">
        <v>118</v>
      </c>
      <c r="H1395" s="6" t="s">
        <v>34</v>
      </c>
      <c r="I1395" s="8" t="s">
        <v>271</v>
      </c>
      <c r="J1395" s="9">
        <v>1</v>
      </c>
      <c r="K1395" s="9">
        <v>156</v>
      </c>
      <c r="L1395" s="9">
        <v>2025</v>
      </c>
      <c r="M1395" s="8" t="s">
        <v>8602</v>
      </c>
      <c r="N1395" s="8" t="s">
        <v>37</v>
      </c>
      <c r="O1395" s="8" t="s">
        <v>83</v>
      </c>
      <c r="P1395" s="6" t="s">
        <v>51</v>
      </c>
      <c r="Q1395" s="8" t="s">
        <v>52</v>
      </c>
      <c r="R1395" s="10" t="s">
        <v>8603</v>
      </c>
      <c r="S1395" s="11" t="s">
        <v>8604</v>
      </c>
      <c r="T1395" s="6" t="s">
        <v>97</v>
      </c>
      <c r="U1395" s="15" t="str">
        <f>HYPERLINK("https://media.infra-m.ru/2184/2184887/cover/2184887.jpg", "Обложка")</f>
        <v>Обложка</v>
      </c>
      <c r="V1395" s="8" t="s">
        <v>445</v>
      </c>
      <c r="W1395" s="6"/>
      <c r="X1395" s="6"/>
      <c r="Y1395" s="6"/>
      <c r="Z1395" s="6"/>
      <c r="AA1395" s="6" t="s">
        <v>248</v>
      </c>
      <c r="AB1395" s="8"/>
      <c r="AC1395" s="27">
        <v>9785160089881</v>
      </c>
    </row>
    <row r="1396" spans="1:29" s="4" customFormat="1" ht="44.1" customHeight="1" x14ac:dyDescent="0.2">
      <c r="A1396" s="5">
        <v>0</v>
      </c>
      <c r="B1396" s="6" t="s">
        <v>8605</v>
      </c>
      <c r="C1396" s="7">
        <v>1476</v>
      </c>
      <c r="D1396" s="8" t="s">
        <v>8606</v>
      </c>
      <c r="E1396" s="8" t="s">
        <v>8607</v>
      </c>
      <c r="F1396" s="8" t="s">
        <v>4721</v>
      </c>
      <c r="G1396" s="6" t="s">
        <v>60</v>
      </c>
      <c r="H1396" s="6" t="s">
        <v>34</v>
      </c>
      <c r="I1396" s="8" t="s">
        <v>35</v>
      </c>
      <c r="J1396" s="9">
        <v>1</v>
      </c>
      <c r="K1396" s="9">
        <v>314</v>
      </c>
      <c r="L1396" s="9">
        <v>2022</v>
      </c>
      <c r="M1396" s="8" t="s">
        <v>8608</v>
      </c>
      <c r="N1396" s="8" t="s">
        <v>63</v>
      </c>
      <c r="O1396" s="8" t="s">
        <v>126</v>
      </c>
      <c r="P1396" s="6" t="s">
        <v>39</v>
      </c>
      <c r="Q1396" s="8" t="s">
        <v>40</v>
      </c>
      <c r="R1396" s="10" t="s">
        <v>8609</v>
      </c>
      <c r="S1396" s="11"/>
      <c r="T1396" s="6"/>
      <c r="U1396" s="15" t="str">
        <f>HYPERLINK("https://media.infra-m.ru/1660/1660953/cover/1660953.jpg", "Обложка")</f>
        <v>Обложка</v>
      </c>
      <c r="V1396" s="8" t="s">
        <v>911</v>
      </c>
      <c r="W1396" s="6"/>
      <c r="X1396" s="6"/>
      <c r="Y1396" s="6"/>
      <c r="Z1396" s="6"/>
      <c r="AA1396" s="6" t="s">
        <v>148</v>
      </c>
      <c r="AB1396" s="8"/>
      <c r="AC1396" s="27">
        <v>9785160170749</v>
      </c>
    </row>
    <row r="1397" spans="1:29" s="4" customFormat="1" ht="42" customHeight="1" x14ac:dyDescent="0.2">
      <c r="A1397" s="5">
        <v>0</v>
      </c>
      <c r="B1397" s="6" t="s">
        <v>8610</v>
      </c>
      <c r="C1397" s="7">
        <v>1853.9</v>
      </c>
      <c r="D1397" s="8" t="s">
        <v>8611</v>
      </c>
      <c r="E1397" s="8" t="s">
        <v>8612</v>
      </c>
      <c r="F1397" s="8" t="s">
        <v>8613</v>
      </c>
      <c r="G1397" s="6" t="s">
        <v>60</v>
      </c>
      <c r="H1397" s="6" t="s">
        <v>34</v>
      </c>
      <c r="I1397" s="8" t="s">
        <v>457</v>
      </c>
      <c r="J1397" s="9">
        <v>1</v>
      </c>
      <c r="K1397" s="9">
        <v>343</v>
      </c>
      <c r="L1397" s="9">
        <v>2023</v>
      </c>
      <c r="M1397" s="8" t="s">
        <v>8614</v>
      </c>
      <c r="N1397" s="8" t="s">
        <v>37</v>
      </c>
      <c r="O1397" s="8" t="s">
        <v>136</v>
      </c>
      <c r="P1397" s="6" t="s">
        <v>39</v>
      </c>
      <c r="Q1397" s="8" t="s">
        <v>40</v>
      </c>
      <c r="R1397" s="10" t="s">
        <v>6521</v>
      </c>
      <c r="S1397" s="11"/>
      <c r="T1397" s="6"/>
      <c r="U1397" s="15" t="str">
        <f>HYPERLINK("https://media.infra-m.ru/2002/2002635/cover/2002635.jpg", "Обложка")</f>
        <v>Обложка</v>
      </c>
      <c r="V1397" s="8" t="s">
        <v>3243</v>
      </c>
      <c r="W1397" s="6"/>
      <c r="X1397" s="6"/>
      <c r="Y1397" s="6"/>
      <c r="Z1397" s="6"/>
      <c r="AA1397" s="6" t="s">
        <v>99</v>
      </c>
      <c r="AB1397" s="8"/>
      <c r="AC1397" s="27">
        <v>9785160123882</v>
      </c>
    </row>
    <row r="1398" spans="1:29" s="4" customFormat="1" ht="51.9" customHeight="1" x14ac:dyDescent="0.2">
      <c r="A1398" s="5">
        <v>0</v>
      </c>
      <c r="B1398" s="6" t="s">
        <v>8615</v>
      </c>
      <c r="C1398" s="7">
        <v>1968</v>
      </c>
      <c r="D1398" s="8" t="s">
        <v>8616</v>
      </c>
      <c r="E1398" s="8" t="s">
        <v>8617</v>
      </c>
      <c r="F1398" s="8" t="s">
        <v>8618</v>
      </c>
      <c r="G1398" s="6" t="s">
        <v>118</v>
      </c>
      <c r="H1398" s="6" t="s">
        <v>134</v>
      </c>
      <c r="I1398" s="8"/>
      <c r="J1398" s="9">
        <v>1</v>
      </c>
      <c r="K1398" s="9">
        <v>328</v>
      </c>
      <c r="L1398" s="9">
        <v>2025</v>
      </c>
      <c r="M1398" s="8" t="s">
        <v>8619</v>
      </c>
      <c r="N1398" s="8" t="s">
        <v>37</v>
      </c>
      <c r="O1398" s="8" t="s">
        <v>136</v>
      </c>
      <c r="P1398" s="6" t="s">
        <v>39</v>
      </c>
      <c r="Q1398" s="8" t="s">
        <v>40</v>
      </c>
      <c r="R1398" s="10" t="s">
        <v>8620</v>
      </c>
      <c r="S1398" s="11"/>
      <c r="T1398" s="6"/>
      <c r="U1398" s="15" t="str">
        <f>HYPERLINK("https://media.infra-m.ru/2156/2156326/cover/2156326.jpg", "Обложка")</f>
        <v>Обложка</v>
      </c>
      <c r="V1398" s="8" t="s">
        <v>138</v>
      </c>
      <c r="W1398" s="6"/>
      <c r="X1398" s="6"/>
      <c r="Y1398" s="6"/>
      <c r="Z1398" s="6"/>
      <c r="AA1398" s="6" t="s">
        <v>55</v>
      </c>
      <c r="AB1398" s="8"/>
      <c r="AC1398" s="27">
        <v>9785917683799</v>
      </c>
    </row>
    <row r="1399" spans="1:29" s="4" customFormat="1" ht="51.9" customHeight="1" x14ac:dyDescent="0.2">
      <c r="A1399" s="5">
        <v>0</v>
      </c>
      <c r="B1399" s="6" t="s">
        <v>8621</v>
      </c>
      <c r="C1399" s="7">
        <v>2938.8</v>
      </c>
      <c r="D1399" s="8" t="s">
        <v>8622</v>
      </c>
      <c r="E1399" s="8" t="s">
        <v>8623</v>
      </c>
      <c r="F1399" s="8" t="s">
        <v>8624</v>
      </c>
      <c r="G1399" s="6" t="s">
        <v>60</v>
      </c>
      <c r="H1399" s="6" t="s">
        <v>48</v>
      </c>
      <c r="I1399" s="8" t="s">
        <v>271</v>
      </c>
      <c r="J1399" s="9">
        <v>1</v>
      </c>
      <c r="K1399" s="9">
        <v>432</v>
      </c>
      <c r="L1399" s="9">
        <v>2023</v>
      </c>
      <c r="M1399" s="8" t="s">
        <v>8625</v>
      </c>
      <c r="N1399" s="8" t="s">
        <v>63</v>
      </c>
      <c r="O1399" s="8" t="s">
        <v>181</v>
      </c>
      <c r="P1399" s="6" t="s">
        <v>51</v>
      </c>
      <c r="Q1399" s="8" t="s">
        <v>52</v>
      </c>
      <c r="R1399" s="10" t="s">
        <v>8626</v>
      </c>
      <c r="S1399" s="11" t="s">
        <v>8627</v>
      </c>
      <c r="T1399" s="6"/>
      <c r="U1399" s="15" t="str">
        <f>HYPERLINK("https://media.infra-m.ru/1940/1940914/cover/1940914.jpg", "Обложка")</f>
        <v>Обложка</v>
      </c>
      <c r="V1399" s="8" t="s">
        <v>7509</v>
      </c>
      <c r="W1399" s="6"/>
      <c r="X1399" s="6"/>
      <c r="Y1399" s="6"/>
      <c r="Z1399" s="6"/>
      <c r="AA1399" s="6" t="s">
        <v>248</v>
      </c>
      <c r="AB1399" s="8"/>
      <c r="AC1399" s="27">
        <v>9785911348083</v>
      </c>
    </row>
    <row r="1400" spans="1:29" s="4" customFormat="1" ht="51.9" customHeight="1" x14ac:dyDescent="0.2">
      <c r="A1400" s="5">
        <v>0</v>
      </c>
      <c r="B1400" s="6" t="s">
        <v>8628</v>
      </c>
      <c r="C1400" s="7">
        <v>3586.8</v>
      </c>
      <c r="D1400" s="8" t="s">
        <v>8629</v>
      </c>
      <c r="E1400" s="8" t="s">
        <v>8630</v>
      </c>
      <c r="F1400" s="8" t="s">
        <v>8631</v>
      </c>
      <c r="G1400" s="6" t="s">
        <v>60</v>
      </c>
      <c r="H1400" s="6" t="s">
        <v>34</v>
      </c>
      <c r="I1400" s="8" t="s">
        <v>253</v>
      </c>
      <c r="J1400" s="9">
        <v>1</v>
      </c>
      <c r="K1400" s="9">
        <v>478</v>
      </c>
      <c r="L1400" s="9">
        <v>2026</v>
      </c>
      <c r="M1400" s="8" t="s">
        <v>8632</v>
      </c>
      <c r="N1400" s="8" t="s">
        <v>63</v>
      </c>
      <c r="O1400" s="8" t="s">
        <v>181</v>
      </c>
      <c r="P1400" s="6" t="s">
        <v>51</v>
      </c>
      <c r="Q1400" s="8" t="s">
        <v>52</v>
      </c>
      <c r="R1400" s="10" t="s">
        <v>8626</v>
      </c>
      <c r="S1400" s="11" t="s">
        <v>8633</v>
      </c>
      <c r="T1400" s="6"/>
      <c r="U1400" s="15" t="str">
        <f>HYPERLINK("https://media.infra-m.ru/2232/2232354/cover/2232354.jpg", "Обложка")</f>
        <v>Обложка</v>
      </c>
      <c r="V1400" s="8" t="s">
        <v>7509</v>
      </c>
      <c r="W1400" s="6"/>
      <c r="X1400" s="6"/>
      <c r="Y1400" s="6"/>
      <c r="Z1400" s="6"/>
      <c r="AA1400" s="6" t="s">
        <v>106</v>
      </c>
      <c r="AB1400" s="8"/>
      <c r="AC1400" s="27">
        <v>9785160167305</v>
      </c>
    </row>
    <row r="1401" spans="1:29" s="4" customFormat="1" ht="51.9" customHeight="1" x14ac:dyDescent="0.2">
      <c r="A1401" s="5">
        <v>0</v>
      </c>
      <c r="B1401" s="6" t="s">
        <v>8634</v>
      </c>
      <c r="C1401" s="7">
        <v>2752.8</v>
      </c>
      <c r="D1401" s="8" t="s">
        <v>8635</v>
      </c>
      <c r="E1401" s="8" t="s">
        <v>8636</v>
      </c>
      <c r="F1401" s="8" t="s">
        <v>1442</v>
      </c>
      <c r="G1401" s="6" t="s">
        <v>60</v>
      </c>
      <c r="H1401" s="6" t="s">
        <v>34</v>
      </c>
      <c r="I1401" s="8" t="s">
        <v>35</v>
      </c>
      <c r="J1401" s="9">
        <v>1</v>
      </c>
      <c r="K1401" s="9">
        <v>396</v>
      </c>
      <c r="L1401" s="9">
        <v>2026</v>
      </c>
      <c r="M1401" s="8" t="s">
        <v>8637</v>
      </c>
      <c r="N1401" s="8" t="s">
        <v>37</v>
      </c>
      <c r="O1401" s="8" t="s">
        <v>136</v>
      </c>
      <c r="P1401" s="6" t="s">
        <v>39</v>
      </c>
      <c r="Q1401" s="8" t="s">
        <v>40</v>
      </c>
      <c r="R1401" s="10" t="s">
        <v>8638</v>
      </c>
      <c r="S1401" s="11"/>
      <c r="T1401" s="6" t="s">
        <v>97</v>
      </c>
      <c r="U1401" s="15" t="str">
        <f>HYPERLINK("https://media.infra-m.ru/2269/2269995/cover/2269995.jpg", "Обложка")</f>
        <v>Обложка</v>
      </c>
      <c r="V1401" s="8" t="s">
        <v>657</v>
      </c>
      <c r="W1401" s="6"/>
      <c r="X1401" s="6"/>
      <c r="Y1401" s="6"/>
      <c r="Z1401" s="6"/>
      <c r="AA1401" s="6" t="s">
        <v>187</v>
      </c>
      <c r="AB1401" s="8"/>
      <c r="AC1401" s="27">
        <v>9785160218533</v>
      </c>
    </row>
    <row r="1402" spans="1:29" s="4" customFormat="1" ht="51.9" customHeight="1" x14ac:dyDescent="0.2">
      <c r="A1402" s="5">
        <v>0</v>
      </c>
      <c r="B1402" s="6" t="s">
        <v>8639</v>
      </c>
      <c r="C1402" s="7">
        <v>1336.8</v>
      </c>
      <c r="D1402" s="8" t="s">
        <v>8640</v>
      </c>
      <c r="E1402" s="8" t="s">
        <v>8641</v>
      </c>
      <c r="F1402" s="8" t="s">
        <v>1442</v>
      </c>
      <c r="G1402" s="6" t="s">
        <v>33</v>
      </c>
      <c r="H1402" s="6" t="s">
        <v>34</v>
      </c>
      <c r="I1402" s="8" t="s">
        <v>35</v>
      </c>
      <c r="J1402" s="9">
        <v>1</v>
      </c>
      <c r="K1402" s="9">
        <v>221</v>
      </c>
      <c r="L1402" s="9">
        <v>2025</v>
      </c>
      <c r="M1402" s="8" t="s">
        <v>8642</v>
      </c>
      <c r="N1402" s="8" t="s">
        <v>37</v>
      </c>
      <c r="O1402" s="8" t="s">
        <v>136</v>
      </c>
      <c r="P1402" s="6" t="s">
        <v>39</v>
      </c>
      <c r="Q1402" s="8" t="s">
        <v>40</v>
      </c>
      <c r="R1402" s="10" t="s">
        <v>8643</v>
      </c>
      <c r="S1402" s="11"/>
      <c r="T1402" s="6"/>
      <c r="U1402" s="15" t="str">
        <f>HYPERLINK("https://media.infra-m.ru/2163/2163184/cover/2163184.jpg", "Обложка")</f>
        <v>Обложка</v>
      </c>
      <c r="V1402" s="8" t="s">
        <v>657</v>
      </c>
      <c r="W1402" s="6"/>
      <c r="X1402" s="6"/>
      <c r="Y1402" s="6"/>
      <c r="Z1402" s="6"/>
      <c r="AA1402" s="6" t="s">
        <v>86</v>
      </c>
      <c r="AB1402" s="8"/>
      <c r="AC1402" s="27">
        <v>9785160142784</v>
      </c>
    </row>
    <row r="1403" spans="1:29" s="4" customFormat="1" ht="51.9" customHeight="1" x14ac:dyDescent="0.2">
      <c r="A1403" s="5">
        <v>0</v>
      </c>
      <c r="B1403" s="6" t="s">
        <v>8644</v>
      </c>
      <c r="C1403" s="7">
        <v>1968</v>
      </c>
      <c r="D1403" s="8" t="s">
        <v>8645</v>
      </c>
      <c r="E1403" s="8" t="s">
        <v>8646</v>
      </c>
      <c r="F1403" s="8" t="s">
        <v>8647</v>
      </c>
      <c r="G1403" s="6" t="s">
        <v>60</v>
      </c>
      <c r="H1403" s="6" t="s">
        <v>34</v>
      </c>
      <c r="I1403" s="8" t="s">
        <v>35</v>
      </c>
      <c r="J1403" s="9">
        <v>1</v>
      </c>
      <c r="K1403" s="9">
        <v>344</v>
      </c>
      <c r="L1403" s="9">
        <v>2024</v>
      </c>
      <c r="M1403" s="8" t="s">
        <v>8648</v>
      </c>
      <c r="N1403" s="8" t="s">
        <v>37</v>
      </c>
      <c r="O1403" s="8" t="s">
        <v>136</v>
      </c>
      <c r="P1403" s="6" t="s">
        <v>39</v>
      </c>
      <c r="Q1403" s="8" t="s">
        <v>40</v>
      </c>
      <c r="R1403" s="10" t="s">
        <v>8649</v>
      </c>
      <c r="S1403" s="11"/>
      <c r="T1403" s="6"/>
      <c r="U1403" s="15" t="str">
        <f>HYPERLINK("https://media.infra-m.ru/2001/2001728/cover/2001728.jpg", "Обложка")</f>
        <v>Обложка</v>
      </c>
      <c r="V1403" s="8" t="s">
        <v>227</v>
      </c>
      <c r="W1403" s="6"/>
      <c r="X1403" s="6"/>
      <c r="Y1403" s="6"/>
      <c r="Z1403" s="6"/>
      <c r="AA1403" s="6" t="s">
        <v>76</v>
      </c>
      <c r="AB1403" s="8"/>
      <c r="AC1403" s="27">
        <v>9785160184227</v>
      </c>
    </row>
    <row r="1404" spans="1:29" s="4" customFormat="1" ht="42" customHeight="1" x14ac:dyDescent="0.2">
      <c r="A1404" s="5">
        <v>0</v>
      </c>
      <c r="B1404" s="6" t="s">
        <v>8650</v>
      </c>
      <c r="C1404" s="13">
        <v>976.8</v>
      </c>
      <c r="D1404" s="8" t="s">
        <v>8651</v>
      </c>
      <c r="E1404" s="8" t="s">
        <v>8652</v>
      </c>
      <c r="F1404" s="8" t="s">
        <v>8568</v>
      </c>
      <c r="G1404" s="6" t="s">
        <v>33</v>
      </c>
      <c r="H1404" s="6" t="s">
        <v>34</v>
      </c>
      <c r="I1404" s="8" t="s">
        <v>271</v>
      </c>
      <c r="J1404" s="9">
        <v>1</v>
      </c>
      <c r="K1404" s="9">
        <v>156</v>
      </c>
      <c r="L1404" s="9">
        <v>2025</v>
      </c>
      <c r="M1404" s="8" t="s">
        <v>8653</v>
      </c>
      <c r="N1404" s="8" t="s">
        <v>37</v>
      </c>
      <c r="O1404" s="8" t="s">
        <v>280</v>
      </c>
      <c r="P1404" s="6" t="s">
        <v>51</v>
      </c>
      <c r="Q1404" s="8" t="s">
        <v>52</v>
      </c>
      <c r="R1404" s="10" t="s">
        <v>8386</v>
      </c>
      <c r="S1404" s="11"/>
      <c r="T1404" s="6" t="s">
        <v>97</v>
      </c>
      <c r="U1404" s="15" t="str">
        <f>HYPERLINK("https://media.infra-m.ru/2195/2195311/cover/2195311.jpg", "Обложка")</f>
        <v>Обложка</v>
      </c>
      <c r="V1404" s="8" t="s">
        <v>3130</v>
      </c>
      <c r="W1404" s="6"/>
      <c r="X1404" s="6"/>
      <c r="Y1404" s="6"/>
      <c r="Z1404" s="6"/>
      <c r="AA1404" s="6" t="s">
        <v>274</v>
      </c>
      <c r="AB1404" s="8"/>
      <c r="AC1404" s="27">
        <v>9785160100951</v>
      </c>
    </row>
    <row r="1405" spans="1:29" s="4" customFormat="1" ht="42" customHeight="1" x14ac:dyDescent="0.2">
      <c r="A1405" s="5">
        <v>0</v>
      </c>
      <c r="B1405" s="6" t="s">
        <v>8654</v>
      </c>
      <c r="C1405" s="7">
        <v>1360.8</v>
      </c>
      <c r="D1405" s="8" t="s">
        <v>8655</v>
      </c>
      <c r="E1405" s="8" t="s">
        <v>8656</v>
      </c>
      <c r="F1405" s="8" t="s">
        <v>8657</v>
      </c>
      <c r="G1405" s="6" t="s">
        <v>33</v>
      </c>
      <c r="H1405" s="6" t="s">
        <v>313</v>
      </c>
      <c r="I1405" s="8" t="s">
        <v>35</v>
      </c>
      <c r="J1405" s="9">
        <v>1</v>
      </c>
      <c r="K1405" s="9">
        <v>195</v>
      </c>
      <c r="L1405" s="9">
        <v>2026</v>
      </c>
      <c r="M1405" s="8" t="s">
        <v>8658</v>
      </c>
      <c r="N1405" s="8" t="s">
        <v>37</v>
      </c>
      <c r="O1405" s="8" t="s">
        <v>136</v>
      </c>
      <c r="P1405" s="6" t="s">
        <v>39</v>
      </c>
      <c r="Q1405" s="8" t="s">
        <v>40</v>
      </c>
      <c r="R1405" s="10" t="s">
        <v>1625</v>
      </c>
      <c r="S1405" s="11"/>
      <c r="T1405" s="6"/>
      <c r="U1405" s="15" t="str">
        <f>HYPERLINK("https://media.infra-m.ru/2253/2253927/cover/2253927.jpg", "Обложка")</f>
        <v>Обложка</v>
      </c>
      <c r="V1405" s="8" t="s">
        <v>1483</v>
      </c>
      <c r="W1405" s="6"/>
      <c r="X1405" s="6"/>
      <c r="Y1405" s="6"/>
      <c r="Z1405" s="6"/>
      <c r="AA1405" s="6" t="s">
        <v>115</v>
      </c>
      <c r="AB1405" s="8"/>
      <c r="AC1405" s="27">
        <v>9785369017937</v>
      </c>
    </row>
    <row r="1406" spans="1:29" s="4" customFormat="1" ht="51.9" customHeight="1" x14ac:dyDescent="0.2">
      <c r="A1406" s="5">
        <v>0</v>
      </c>
      <c r="B1406" s="6" t="s">
        <v>8659</v>
      </c>
      <c r="C1406" s="7">
        <v>1632</v>
      </c>
      <c r="D1406" s="8" t="s">
        <v>8660</v>
      </c>
      <c r="E1406" s="8" t="s">
        <v>8661</v>
      </c>
      <c r="F1406" s="8" t="s">
        <v>8662</v>
      </c>
      <c r="G1406" s="6" t="s">
        <v>33</v>
      </c>
      <c r="H1406" s="6" t="s">
        <v>134</v>
      </c>
      <c r="I1406" s="8" t="s">
        <v>8663</v>
      </c>
      <c r="J1406" s="9">
        <v>1</v>
      </c>
      <c r="K1406" s="9">
        <v>272</v>
      </c>
      <c r="L1406" s="9">
        <v>2025</v>
      </c>
      <c r="M1406" s="8" t="s">
        <v>8664</v>
      </c>
      <c r="N1406" s="8" t="s">
        <v>37</v>
      </c>
      <c r="O1406" s="8" t="s">
        <v>136</v>
      </c>
      <c r="P1406" s="6" t="s">
        <v>51</v>
      </c>
      <c r="Q1406" s="8" t="s">
        <v>52</v>
      </c>
      <c r="R1406" s="10" t="s">
        <v>1068</v>
      </c>
      <c r="S1406" s="11"/>
      <c r="T1406" s="6"/>
      <c r="U1406" s="15" t="str">
        <f>HYPERLINK("https://media.infra-m.ru/2179/2179207/cover/2179207.jpg", "Обложка")</f>
        <v>Обложка</v>
      </c>
      <c r="V1406" s="8" t="s">
        <v>1277</v>
      </c>
      <c r="W1406" s="6"/>
      <c r="X1406" s="6"/>
      <c r="Y1406" s="6"/>
      <c r="Z1406" s="6"/>
      <c r="AA1406" s="6" t="s">
        <v>8665</v>
      </c>
      <c r="AB1406" s="8"/>
      <c r="AC1406" s="27">
        <v>9785001560616</v>
      </c>
    </row>
    <row r="1407" spans="1:29" s="4" customFormat="1" ht="51.9" customHeight="1" x14ac:dyDescent="0.2">
      <c r="A1407" s="5">
        <v>0</v>
      </c>
      <c r="B1407" s="6" t="s">
        <v>8666</v>
      </c>
      <c r="C1407" s="7">
        <v>1920</v>
      </c>
      <c r="D1407" s="8" t="s">
        <v>8667</v>
      </c>
      <c r="E1407" s="8" t="s">
        <v>8668</v>
      </c>
      <c r="F1407" s="8" t="s">
        <v>8662</v>
      </c>
      <c r="G1407" s="6" t="s">
        <v>33</v>
      </c>
      <c r="H1407" s="6" t="s">
        <v>134</v>
      </c>
      <c r="I1407" s="8" t="s">
        <v>8663</v>
      </c>
      <c r="J1407" s="9">
        <v>1</v>
      </c>
      <c r="K1407" s="9">
        <v>296</v>
      </c>
      <c r="L1407" s="9">
        <v>2026</v>
      </c>
      <c r="M1407" s="8" t="s">
        <v>8669</v>
      </c>
      <c r="N1407" s="8" t="s">
        <v>37</v>
      </c>
      <c r="O1407" s="8" t="s">
        <v>136</v>
      </c>
      <c r="P1407" s="6" t="s">
        <v>51</v>
      </c>
      <c r="Q1407" s="8" t="s">
        <v>52</v>
      </c>
      <c r="R1407" s="10" t="s">
        <v>1068</v>
      </c>
      <c r="S1407" s="11"/>
      <c r="T1407" s="6"/>
      <c r="U1407" s="15" t="str">
        <f>HYPERLINK("https://media.infra-m.ru/2216/2216216/cover/2216216.jpg", "Обложка")</f>
        <v>Обложка</v>
      </c>
      <c r="V1407" s="8" t="s">
        <v>1277</v>
      </c>
      <c r="W1407" s="6"/>
      <c r="X1407" s="6"/>
      <c r="Y1407" s="6"/>
      <c r="Z1407" s="6"/>
      <c r="AA1407" s="6" t="s">
        <v>8670</v>
      </c>
      <c r="AB1407" s="8"/>
      <c r="AC1407" s="27">
        <v>9785001564492</v>
      </c>
    </row>
    <row r="1408" spans="1:29" s="4" customFormat="1" ht="51.9" customHeight="1" x14ac:dyDescent="0.2">
      <c r="A1408" s="5">
        <v>0</v>
      </c>
      <c r="B1408" s="6" t="s">
        <v>8671</v>
      </c>
      <c r="C1408" s="13">
        <v>948</v>
      </c>
      <c r="D1408" s="8" t="s">
        <v>8672</v>
      </c>
      <c r="E1408" s="8" t="s">
        <v>8673</v>
      </c>
      <c r="F1408" s="8" t="s">
        <v>8662</v>
      </c>
      <c r="G1408" s="6" t="s">
        <v>33</v>
      </c>
      <c r="H1408" s="6" t="s">
        <v>134</v>
      </c>
      <c r="I1408" s="8" t="s">
        <v>8663</v>
      </c>
      <c r="J1408" s="9">
        <v>1</v>
      </c>
      <c r="K1408" s="9">
        <v>304</v>
      </c>
      <c r="L1408" s="9">
        <v>2019</v>
      </c>
      <c r="M1408" s="8" t="s">
        <v>8674</v>
      </c>
      <c r="N1408" s="8" t="s">
        <v>37</v>
      </c>
      <c r="O1408" s="8" t="s">
        <v>136</v>
      </c>
      <c r="P1408" s="6" t="s">
        <v>51</v>
      </c>
      <c r="Q1408" s="8" t="s">
        <v>52</v>
      </c>
      <c r="R1408" s="10" t="s">
        <v>1068</v>
      </c>
      <c r="S1408" s="11"/>
      <c r="T1408" s="6"/>
      <c r="U1408" s="15" t="str">
        <f>HYPERLINK("https://media.infra-m.ru/1002/1002332/cover/1002332.jpg", "Обложка")</f>
        <v>Обложка</v>
      </c>
      <c r="V1408" s="8" t="s">
        <v>1277</v>
      </c>
      <c r="W1408" s="6"/>
      <c r="X1408" s="6"/>
      <c r="Y1408" s="6"/>
      <c r="Z1408" s="6"/>
      <c r="AA1408" s="6" t="s">
        <v>8675</v>
      </c>
      <c r="AB1408" s="8"/>
      <c r="AC1408" s="27">
        <v>9785917687308</v>
      </c>
    </row>
    <row r="1409" spans="1:29" s="4" customFormat="1" ht="51.9" customHeight="1" x14ac:dyDescent="0.2">
      <c r="A1409" s="5">
        <v>0</v>
      </c>
      <c r="B1409" s="6" t="s">
        <v>8676</v>
      </c>
      <c r="C1409" s="7">
        <v>3228</v>
      </c>
      <c r="D1409" s="8" t="s">
        <v>8677</v>
      </c>
      <c r="E1409" s="8" t="s">
        <v>8678</v>
      </c>
      <c r="F1409" s="8" t="s">
        <v>8679</v>
      </c>
      <c r="G1409" s="6" t="s">
        <v>60</v>
      </c>
      <c r="H1409" s="6" t="s">
        <v>34</v>
      </c>
      <c r="I1409" s="8" t="s">
        <v>253</v>
      </c>
      <c r="J1409" s="9">
        <v>1</v>
      </c>
      <c r="K1409" s="9">
        <v>489</v>
      </c>
      <c r="L1409" s="9">
        <v>2026</v>
      </c>
      <c r="M1409" s="8" t="s">
        <v>8680</v>
      </c>
      <c r="N1409" s="8" t="s">
        <v>37</v>
      </c>
      <c r="O1409" s="8" t="s">
        <v>136</v>
      </c>
      <c r="P1409" s="6" t="s">
        <v>306</v>
      </c>
      <c r="Q1409" s="8" t="s">
        <v>377</v>
      </c>
      <c r="R1409" s="10" t="s">
        <v>1068</v>
      </c>
      <c r="S1409" s="11" t="s">
        <v>5619</v>
      </c>
      <c r="T1409" s="6"/>
      <c r="U1409" s="15" t="str">
        <f>HYPERLINK("https://media.infra-m.ru/2202/2202103/cover/2202103.jpg", "Обложка")</f>
        <v>Обложка</v>
      </c>
      <c r="V1409" s="8" t="s">
        <v>8681</v>
      </c>
      <c r="W1409" s="6"/>
      <c r="X1409" s="6"/>
      <c r="Y1409" s="6"/>
      <c r="Z1409" s="6"/>
      <c r="AA1409" s="6" t="s">
        <v>8682</v>
      </c>
      <c r="AB1409" s="8"/>
      <c r="AC1409" s="27">
        <v>9785160197005</v>
      </c>
    </row>
    <row r="1410" spans="1:29" s="4" customFormat="1" ht="42" customHeight="1" x14ac:dyDescent="0.2">
      <c r="A1410" s="5">
        <v>0</v>
      </c>
      <c r="B1410" s="6" t="s">
        <v>8683</v>
      </c>
      <c r="C1410" s="7">
        <v>1756.8</v>
      </c>
      <c r="D1410" s="8" t="s">
        <v>8684</v>
      </c>
      <c r="E1410" s="8" t="s">
        <v>8685</v>
      </c>
      <c r="F1410" s="8" t="s">
        <v>8662</v>
      </c>
      <c r="G1410" s="6" t="s">
        <v>118</v>
      </c>
      <c r="H1410" s="6" t="s">
        <v>134</v>
      </c>
      <c r="I1410" s="8" t="s">
        <v>263</v>
      </c>
      <c r="J1410" s="9">
        <v>1</v>
      </c>
      <c r="K1410" s="9">
        <v>272</v>
      </c>
      <c r="L1410" s="9">
        <v>2025</v>
      </c>
      <c r="M1410" s="8" t="s">
        <v>8686</v>
      </c>
      <c r="N1410" s="8" t="s">
        <v>37</v>
      </c>
      <c r="O1410" s="8" t="s">
        <v>136</v>
      </c>
      <c r="P1410" s="6" t="s">
        <v>306</v>
      </c>
      <c r="Q1410" s="8" t="s">
        <v>265</v>
      </c>
      <c r="R1410" s="10" t="s">
        <v>479</v>
      </c>
      <c r="S1410" s="11"/>
      <c r="T1410" s="6"/>
      <c r="U1410" s="15" t="str">
        <f>HYPERLINK("https://media.infra-m.ru/2221/2221575/cover/2221575.jpg", "Обложка")</f>
        <v>Обложка</v>
      </c>
      <c r="V1410" s="8" t="s">
        <v>1277</v>
      </c>
      <c r="W1410" s="6"/>
      <c r="X1410" s="6" t="s">
        <v>24</v>
      </c>
      <c r="Y1410" s="6"/>
      <c r="Z1410" s="6" t="s">
        <v>267</v>
      </c>
      <c r="AA1410" s="6" t="s">
        <v>258</v>
      </c>
      <c r="AB1410" s="8"/>
      <c r="AC1410" s="27">
        <v>9785001561453</v>
      </c>
    </row>
    <row r="1411" spans="1:29" s="4" customFormat="1" ht="42" customHeight="1" x14ac:dyDescent="0.2">
      <c r="A1411" s="5">
        <v>0</v>
      </c>
      <c r="B1411" s="6" t="s">
        <v>8687</v>
      </c>
      <c r="C1411" s="7">
        <v>1104</v>
      </c>
      <c r="D1411" s="8" t="s">
        <v>8688</v>
      </c>
      <c r="E1411" s="8" t="s">
        <v>8689</v>
      </c>
      <c r="F1411" s="8" t="s">
        <v>8662</v>
      </c>
      <c r="G1411" s="6" t="s">
        <v>60</v>
      </c>
      <c r="H1411" s="6" t="s">
        <v>134</v>
      </c>
      <c r="I1411" s="8" t="s">
        <v>263</v>
      </c>
      <c r="J1411" s="9">
        <v>1</v>
      </c>
      <c r="K1411" s="9">
        <v>304</v>
      </c>
      <c r="L1411" s="9">
        <v>2019</v>
      </c>
      <c r="M1411" s="8" t="s">
        <v>8690</v>
      </c>
      <c r="N1411" s="8" t="s">
        <v>37</v>
      </c>
      <c r="O1411" s="8" t="s">
        <v>136</v>
      </c>
      <c r="P1411" s="6" t="s">
        <v>306</v>
      </c>
      <c r="Q1411" s="8" t="s">
        <v>265</v>
      </c>
      <c r="R1411" s="10" t="s">
        <v>479</v>
      </c>
      <c r="S1411" s="11"/>
      <c r="T1411" s="6"/>
      <c r="U1411" s="15" t="str">
        <f>HYPERLINK("https://media.infra-m.ru/1003/1003236/cover/1003236.jpg", "Обложка")</f>
        <v>Обложка</v>
      </c>
      <c r="V1411" s="8" t="s">
        <v>1277</v>
      </c>
      <c r="W1411" s="6"/>
      <c r="X1411" s="6" t="s">
        <v>24</v>
      </c>
      <c r="Y1411" s="6"/>
      <c r="Z1411" s="6" t="s">
        <v>267</v>
      </c>
      <c r="AA1411" s="6" t="s">
        <v>86</v>
      </c>
      <c r="AB1411" s="8"/>
      <c r="AC1411" s="27">
        <v>9785917689241</v>
      </c>
    </row>
    <row r="1412" spans="1:29" s="4" customFormat="1" ht="42" customHeight="1" x14ac:dyDescent="0.2">
      <c r="A1412" s="5">
        <v>0</v>
      </c>
      <c r="B1412" s="6" t="s">
        <v>8691</v>
      </c>
      <c r="C1412" s="7">
        <v>2256</v>
      </c>
      <c r="D1412" s="8" t="s">
        <v>8692</v>
      </c>
      <c r="E1412" s="8" t="s">
        <v>8693</v>
      </c>
      <c r="F1412" s="8" t="s">
        <v>8662</v>
      </c>
      <c r="G1412" s="6" t="s">
        <v>118</v>
      </c>
      <c r="H1412" s="6" t="s">
        <v>134</v>
      </c>
      <c r="I1412" s="8" t="s">
        <v>263</v>
      </c>
      <c r="J1412" s="9">
        <v>1</v>
      </c>
      <c r="K1412" s="9">
        <v>296</v>
      </c>
      <c r="L1412" s="9">
        <v>2026</v>
      </c>
      <c r="M1412" s="8" t="s">
        <v>8694</v>
      </c>
      <c r="N1412" s="8" t="s">
        <v>37</v>
      </c>
      <c r="O1412" s="8" t="s">
        <v>136</v>
      </c>
      <c r="P1412" s="6" t="s">
        <v>306</v>
      </c>
      <c r="Q1412" s="8" t="s">
        <v>265</v>
      </c>
      <c r="R1412" s="10" t="s">
        <v>479</v>
      </c>
      <c r="S1412" s="11"/>
      <c r="T1412" s="6"/>
      <c r="U1412" s="15" t="str">
        <f>HYPERLINK("https://media.infra-m.ru/2234/2234659/cover/2234659.jpg", "Обложка")</f>
        <v>Обложка</v>
      </c>
      <c r="V1412" s="8" t="s">
        <v>1277</v>
      </c>
      <c r="W1412" s="6"/>
      <c r="X1412" s="6" t="s">
        <v>24</v>
      </c>
      <c r="Y1412" s="6"/>
      <c r="Z1412" s="6" t="s">
        <v>267</v>
      </c>
      <c r="AA1412" s="6" t="s">
        <v>3772</v>
      </c>
      <c r="AB1412" s="8"/>
      <c r="AC1412" s="27">
        <v>9785001564706</v>
      </c>
    </row>
    <row r="1413" spans="1:29" s="4" customFormat="1" ht="51.9" customHeight="1" x14ac:dyDescent="0.2">
      <c r="A1413" s="5">
        <v>0</v>
      </c>
      <c r="B1413" s="6" t="s">
        <v>8695</v>
      </c>
      <c r="C1413" s="7">
        <v>2812.8</v>
      </c>
      <c r="D1413" s="8" t="s">
        <v>8696</v>
      </c>
      <c r="E1413" s="8" t="s">
        <v>8689</v>
      </c>
      <c r="F1413" s="8" t="s">
        <v>8697</v>
      </c>
      <c r="G1413" s="6" t="s">
        <v>118</v>
      </c>
      <c r="H1413" s="6" t="s">
        <v>34</v>
      </c>
      <c r="I1413" s="8"/>
      <c r="J1413" s="9">
        <v>1</v>
      </c>
      <c r="K1413" s="9">
        <v>404</v>
      </c>
      <c r="L1413" s="9">
        <v>2027</v>
      </c>
      <c r="M1413" s="8" t="s">
        <v>8698</v>
      </c>
      <c r="N1413" s="8" t="s">
        <v>37</v>
      </c>
      <c r="O1413" s="8" t="s">
        <v>136</v>
      </c>
      <c r="P1413" s="6" t="s">
        <v>306</v>
      </c>
      <c r="Q1413" s="8" t="s">
        <v>65</v>
      </c>
      <c r="R1413" s="10" t="s">
        <v>1068</v>
      </c>
      <c r="S1413" s="11" t="s">
        <v>8699</v>
      </c>
      <c r="T1413" s="6"/>
      <c r="U1413" s="15" t="str">
        <f>HYPERLINK("https://media.infra-m.ru/2263/2263114/cover/2263114.jpg", "Обложка")</f>
        <v>Обложка</v>
      </c>
      <c r="V1413" s="8" t="s">
        <v>1715</v>
      </c>
      <c r="W1413" s="6"/>
      <c r="X1413" s="6"/>
      <c r="Y1413" s="6"/>
      <c r="Z1413" s="6"/>
      <c r="AA1413" s="6" t="s">
        <v>1256</v>
      </c>
      <c r="AB1413" s="8"/>
      <c r="AC1413" s="27">
        <v>9785160154619</v>
      </c>
    </row>
    <row r="1414" spans="1:29" s="4" customFormat="1" ht="51.9" customHeight="1" x14ac:dyDescent="0.2">
      <c r="A1414" s="5">
        <v>0</v>
      </c>
      <c r="B1414" s="6" t="s">
        <v>8700</v>
      </c>
      <c r="C1414" s="7">
        <v>1752</v>
      </c>
      <c r="D1414" s="8" t="s">
        <v>8701</v>
      </c>
      <c r="E1414" s="8" t="s">
        <v>8689</v>
      </c>
      <c r="F1414" s="8" t="s">
        <v>8697</v>
      </c>
      <c r="G1414" s="6" t="s">
        <v>60</v>
      </c>
      <c r="H1414" s="6" t="s">
        <v>34</v>
      </c>
      <c r="I1414" s="8" t="s">
        <v>263</v>
      </c>
      <c r="J1414" s="9">
        <v>1</v>
      </c>
      <c r="K1414" s="9">
        <v>404</v>
      </c>
      <c r="L1414" s="9">
        <v>2021</v>
      </c>
      <c r="M1414" s="8" t="s">
        <v>8702</v>
      </c>
      <c r="N1414" s="8" t="s">
        <v>37</v>
      </c>
      <c r="O1414" s="8" t="s">
        <v>136</v>
      </c>
      <c r="P1414" s="6" t="s">
        <v>306</v>
      </c>
      <c r="Q1414" s="8" t="s">
        <v>265</v>
      </c>
      <c r="R1414" s="10" t="s">
        <v>479</v>
      </c>
      <c r="S1414" s="11" t="s">
        <v>8703</v>
      </c>
      <c r="T1414" s="6"/>
      <c r="U1414" s="15" t="str">
        <f>HYPERLINK("https://media.infra-m.ru/1204/1204678/cover/1204678.jpg", "Обложка")</f>
        <v>Обложка</v>
      </c>
      <c r="V1414" s="8" t="s">
        <v>1715</v>
      </c>
      <c r="W1414" s="6"/>
      <c r="X1414" s="6" t="s">
        <v>24</v>
      </c>
      <c r="Y1414" s="6"/>
      <c r="Z1414" s="6" t="s">
        <v>882</v>
      </c>
      <c r="AA1414" s="6" t="s">
        <v>430</v>
      </c>
      <c r="AB1414" s="8"/>
      <c r="AC1414" s="27">
        <v>9785160166407</v>
      </c>
    </row>
    <row r="1415" spans="1:29" s="4" customFormat="1" ht="51.9" customHeight="1" x14ac:dyDescent="0.2">
      <c r="A1415" s="5">
        <v>0</v>
      </c>
      <c r="B1415" s="6" t="s">
        <v>8704</v>
      </c>
      <c r="C1415" s="7">
        <v>2592</v>
      </c>
      <c r="D1415" s="8" t="s">
        <v>8705</v>
      </c>
      <c r="E1415" s="8" t="s">
        <v>8706</v>
      </c>
      <c r="F1415" s="8" t="s">
        <v>8679</v>
      </c>
      <c r="G1415" s="6" t="s">
        <v>60</v>
      </c>
      <c r="H1415" s="6" t="s">
        <v>34</v>
      </c>
      <c r="I1415" s="8" t="s">
        <v>271</v>
      </c>
      <c r="J1415" s="9">
        <v>1</v>
      </c>
      <c r="K1415" s="9">
        <v>479</v>
      </c>
      <c r="L1415" s="9">
        <v>2023</v>
      </c>
      <c r="M1415" s="8" t="s">
        <v>8707</v>
      </c>
      <c r="N1415" s="8" t="s">
        <v>37</v>
      </c>
      <c r="O1415" s="8" t="s">
        <v>136</v>
      </c>
      <c r="P1415" s="6" t="s">
        <v>306</v>
      </c>
      <c r="Q1415" s="8" t="s">
        <v>52</v>
      </c>
      <c r="R1415" s="10" t="s">
        <v>1068</v>
      </c>
      <c r="S1415" s="11" t="s">
        <v>5619</v>
      </c>
      <c r="T1415" s="6"/>
      <c r="U1415" s="15" t="str">
        <f>HYPERLINK("https://media.infra-m.ru/1895/1895088/cover/1895088.jpg", "Обложка")</f>
        <v>Обложка</v>
      </c>
      <c r="V1415" s="8" t="s">
        <v>8681</v>
      </c>
      <c r="W1415" s="6"/>
      <c r="X1415" s="6"/>
      <c r="Y1415" s="6"/>
      <c r="Z1415" s="6"/>
      <c r="AA1415" s="6" t="s">
        <v>8708</v>
      </c>
      <c r="AB1415" s="8"/>
      <c r="AC1415" s="27">
        <v>9785160126548</v>
      </c>
    </row>
    <row r="1416" spans="1:29" s="4" customFormat="1" ht="44.1" customHeight="1" x14ac:dyDescent="0.2">
      <c r="A1416" s="5">
        <v>0</v>
      </c>
      <c r="B1416" s="6" t="s">
        <v>8709</v>
      </c>
      <c r="C1416" s="7">
        <v>1812</v>
      </c>
      <c r="D1416" s="8" t="s">
        <v>8710</v>
      </c>
      <c r="E1416" s="8" t="s">
        <v>8711</v>
      </c>
      <c r="F1416" s="8" t="s">
        <v>8712</v>
      </c>
      <c r="G1416" s="6" t="s">
        <v>33</v>
      </c>
      <c r="H1416" s="6" t="s">
        <v>313</v>
      </c>
      <c r="I1416" s="8" t="s">
        <v>35</v>
      </c>
      <c r="J1416" s="9">
        <v>1</v>
      </c>
      <c r="K1416" s="9">
        <v>320</v>
      </c>
      <c r="L1416" s="9">
        <v>2024</v>
      </c>
      <c r="M1416" s="8" t="s">
        <v>8713</v>
      </c>
      <c r="N1416" s="8" t="s">
        <v>37</v>
      </c>
      <c r="O1416" s="8" t="s">
        <v>136</v>
      </c>
      <c r="P1416" s="6" t="s">
        <v>8714</v>
      </c>
      <c r="Q1416" s="8" t="s">
        <v>40</v>
      </c>
      <c r="R1416" s="10" t="s">
        <v>8715</v>
      </c>
      <c r="S1416" s="11"/>
      <c r="T1416" s="6"/>
      <c r="U1416" s="15" t="str">
        <f>HYPERLINK("https://media.infra-m.ru/2135/2135869/cover/2135869.jpg", "Обложка")</f>
        <v>Обложка</v>
      </c>
      <c r="V1416" s="8" t="s">
        <v>8716</v>
      </c>
      <c r="W1416" s="6"/>
      <c r="X1416" s="6"/>
      <c r="Y1416" s="6"/>
      <c r="Z1416" s="6"/>
      <c r="AA1416" s="6" t="s">
        <v>55</v>
      </c>
      <c r="AB1416" s="8"/>
      <c r="AC1416" s="27">
        <v>9785369012772</v>
      </c>
    </row>
    <row r="1417" spans="1:29" s="4" customFormat="1" ht="51.9" customHeight="1" x14ac:dyDescent="0.2">
      <c r="A1417" s="5">
        <v>0</v>
      </c>
      <c r="B1417" s="6" t="s">
        <v>8717</v>
      </c>
      <c r="C1417" s="7">
        <v>2388</v>
      </c>
      <c r="D1417" s="8" t="s">
        <v>8718</v>
      </c>
      <c r="E1417" s="8" t="s">
        <v>8719</v>
      </c>
      <c r="F1417" s="8" t="s">
        <v>8720</v>
      </c>
      <c r="G1417" s="6" t="s">
        <v>60</v>
      </c>
      <c r="H1417" s="6" t="s">
        <v>34</v>
      </c>
      <c r="I1417" s="8" t="s">
        <v>253</v>
      </c>
      <c r="J1417" s="9">
        <v>1</v>
      </c>
      <c r="K1417" s="9">
        <v>350</v>
      </c>
      <c r="L1417" s="9">
        <v>2026</v>
      </c>
      <c r="M1417" s="8" t="s">
        <v>8721</v>
      </c>
      <c r="N1417" s="8" t="s">
        <v>37</v>
      </c>
      <c r="O1417" s="8" t="s">
        <v>136</v>
      </c>
      <c r="P1417" s="6" t="s">
        <v>51</v>
      </c>
      <c r="Q1417" s="8" t="s">
        <v>52</v>
      </c>
      <c r="R1417" s="10" t="s">
        <v>8722</v>
      </c>
      <c r="S1417" s="11"/>
      <c r="T1417" s="6"/>
      <c r="U1417" s="15" t="str">
        <f>HYPERLINK("https://media.infra-m.ru/2223/2223653/cover/2223653.jpg", "Обложка")</f>
        <v>Обложка</v>
      </c>
      <c r="V1417" s="8" t="s">
        <v>8723</v>
      </c>
      <c r="W1417" s="6" t="s">
        <v>186</v>
      </c>
      <c r="X1417" s="6"/>
      <c r="Y1417" s="6"/>
      <c r="Z1417" s="6"/>
      <c r="AA1417" s="6" t="s">
        <v>187</v>
      </c>
      <c r="AB1417" s="8" t="s">
        <v>308</v>
      </c>
      <c r="AC1417" s="27">
        <v>9785160214146</v>
      </c>
    </row>
    <row r="1418" spans="1:29" s="4" customFormat="1" ht="51.9" customHeight="1" x14ac:dyDescent="0.2">
      <c r="A1418" s="5">
        <v>0</v>
      </c>
      <c r="B1418" s="6" t="s">
        <v>8724</v>
      </c>
      <c r="C1418" s="7">
        <v>3208.8</v>
      </c>
      <c r="D1418" s="8" t="s">
        <v>8725</v>
      </c>
      <c r="E1418" s="8" t="s">
        <v>8726</v>
      </c>
      <c r="F1418" s="8" t="s">
        <v>8727</v>
      </c>
      <c r="G1418" s="6" t="s">
        <v>60</v>
      </c>
      <c r="H1418" s="6" t="s">
        <v>34</v>
      </c>
      <c r="I1418" s="8" t="s">
        <v>253</v>
      </c>
      <c r="J1418" s="9">
        <v>1</v>
      </c>
      <c r="K1418" s="9">
        <v>515</v>
      </c>
      <c r="L1418" s="9">
        <v>2026</v>
      </c>
      <c r="M1418" s="8" t="s">
        <v>8728</v>
      </c>
      <c r="N1418" s="8" t="s">
        <v>37</v>
      </c>
      <c r="O1418" s="8" t="s">
        <v>136</v>
      </c>
      <c r="P1418" s="6" t="s">
        <v>306</v>
      </c>
      <c r="Q1418" s="8" t="s">
        <v>65</v>
      </c>
      <c r="R1418" s="10" t="s">
        <v>1255</v>
      </c>
      <c r="S1418" s="11" t="s">
        <v>8729</v>
      </c>
      <c r="T1418" s="6"/>
      <c r="U1418" s="15" t="str">
        <f>HYPERLINK("https://media.infra-m.ru/2223/2223194/cover/2223194.jpg", "Обложка")</f>
        <v>Обложка</v>
      </c>
      <c r="V1418" s="8" t="s">
        <v>7167</v>
      </c>
      <c r="W1418" s="6"/>
      <c r="X1418" s="6"/>
      <c r="Y1418" s="6"/>
      <c r="Z1418" s="6"/>
      <c r="AA1418" s="6" t="s">
        <v>430</v>
      </c>
      <c r="AB1418" s="8"/>
      <c r="AC1418" s="27">
        <v>9785160184579</v>
      </c>
    </row>
    <row r="1419" spans="1:29" s="4" customFormat="1" ht="51.9" customHeight="1" x14ac:dyDescent="0.2">
      <c r="A1419" s="5">
        <v>0</v>
      </c>
      <c r="B1419" s="6" t="s">
        <v>8730</v>
      </c>
      <c r="C1419" s="7">
        <v>1968</v>
      </c>
      <c r="D1419" s="8" t="s">
        <v>8731</v>
      </c>
      <c r="E1419" s="8" t="s">
        <v>8726</v>
      </c>
      <c r="F1419" s="8" t="s">
        <v>8732</v>
      </c>
      <c r="G1419" s="6" t="s">
        <v>60</v>
      </c>
      <c r="H1419" s="6" t="s">
        <v>34</v>
      </c>
      <c r="I1419" s="8" t="s">
        <v>61</v>
      </c>
      <c r="J1419" s="9">
        <v>1</v>
      </c>
      <c r="K1419" s="9">
        <v>314</v>
      </c>
      <c r="L1419" s="9">
        <v>2025</v>
      </c>
      <c r="M1419" s="8" t="s">
        <v>8733</v>
      </c>
      <c r="N1419" s="8" t="s">
        <v>37</v>
      </c>
      <c r="O1419" s="8" t="s">
        <v>136</v>
      </c>
      <c r="P1419" s="6" t="s">
        <v>51</v>
      </c>
      <c r="Q1419" s="8" t="s">
        <v>52</v>
      </c>
      <c r="R1419" s="10" t="s">
        <v>8734</v>
      </c>
      <c r="S1419" s="11"/>
      <c r="T1419" s="6"/>
      <c r="U1419" s="15" t="str">
        <f>HYPERLINK("https://media.infra-m.ru/2185/2185524/cover/2185524.jpg", "Обложка")</f>
        <v>Обложка</v>
      </c>
      <c r="V1419" s="8" t="s">
        <v>67</v>
      </c>
      <c r="W1419" s="6"/>
      <c r="X1419" s="6"/>
      <c r="Y1419" s="6"/>
      <c r="Z1419" s="6"/>
      <c r="AA1419" s="6" t="s">
        <v>68</v>
      </c>
      <c r="AB1419" s="8"/>
      <c r="AC1419" s="27">
        <v>9785160206004</v>
      </c>
    </row>
    <row r="1420" spans="1:29" s="4" customFormat="1" ht="51.9" customHeight="1" x14ac:dyDescent="0.2">
      <c r="A1420" s="5">
        <v>0</v>
      </c>
      <c r="B1420" s="6" t="s">
        <v>8735</v>
      </c>
      <c r="C1420" s="7">
        <v>3504</v>
      </c>
      <c r="D1420" s="8" t="s">
        <v>8736</v>
      </c>
      <c r="E1420" s="8" t="s">
        <v>8737</v>
      </c>
      <c r="F1420" s="8" t="s">
        <v>8738</v>
      </c>
      <c r="G1420" s="6" t="s">
        <v>60</v>
      </c>
      <c r="H1420" s="6" t="s">
        <v>34</v>
      </c>
      <c r="I1420" s="8" t="s">
        <v>253</v>
      </c>
      <c r="J1420" s="9">
        <v>1</v>
      </c>
      <c r="K1420" s="9">
        <v>583</v>
      </c>
      <c r="L1420" s="9">
        <v>2025</v>
      </c>
      <c r="M1420" s="8" t="s">
        <v>8739</v>
      </c>
      <c r="N1420" s="8" t="s">
        <v>37</v>
      </c>
      <c r="O1420" s="8" t="s">
        <v>136</v>
      </c>
      <c r="P1420" s="6" t="s">
        <v>306</v>
      </c>
      <c r="Q1420" s="8" t="s">
        <v>65</v>
      </c>
      <c r="R1420" s="10" t="s">
        <v>8740</v>
      </c>
      <c r="S1420" s="11" t="s">
        <v>8741</v>
      </c>
      <c r="T1420" s="6"/>
      <c r="U1420" s="15" t="str">
        <f>HYPERLINK("https://media.infra-m.ru/2177/2177667/cover/2177667.jpg", "Обложка")</f>
        <v>Обложка</v>
      </c>
      <c r="V1420" s="8" t="s">
        <v>7167</v>
      </c>
      <c r="W1420" s="6"/>
      <c r="X1420" s="6"/>
      <c r="Y1420" s="6"/>
      <c r="Z1420" s="6"/>
      <c r="AA1420" s="6" t="s">
        <v>148</v>
      </c>
      <c r="AB1420" s="8"/>
      <c r="AC1420" s="27">
        <v>9785160184548</v>
      </c>
    </row>
    <row r="1421" spans="1:29" s="4" customFormat="1" ht="51.9" customHeight="1" x14ac:dyDescent="0.2">
      <c r="A1421" s="5">
        <v>0</v>
      </c>
      <c r="B1421" s="6" t="s">
        <v>8742</v>
      </c>
      <c r="C1421" s="7">
        <v>3593.9</v>
      </c>
      <c r="D1421" s="8" t="s">
        <v>8743</v>
      </c>
      <c r="E1421" s="8" t="s">
        <v>8744</v>
      </c>
      <c r="F1421" s="8" t="s">
        <v>8745</v>
      </c>
      <c r="G1421" s="6" t="s">
        <v>118</v>
      </c>
      <c r="H1421" s="6" t="s">
        <v>134</v>
      </c>
      <c r="I1421" s="8" t="s">
        <v>8746</v>
      </c>
      <c r="J1421" s="9">
        <v>1</v>
      </c>
      <c r="K1421" s="9">
        <v>688</v>
      </c>
      <c r="L1421" s="9">
        <v>2021</v>
      </c>
      <c r="M1421" s="8" t="s">
        <v>8747</v>
      </c>
      <c r="N1421" s="8" t="s">
        <v>37</v>
      </c>
      <c r="O1421" s="8" t="s">
        <v>136</v>
      </c>
      <c r="P1421" s="6" t="s">
        <v>306</v>
      </c>
      <c r="Q1421" s="8" t="s">
        <v>265</v>
      </c>
      <c r="R1421" s="10" t="s">
        <v>479</v>
      </c>
      <c r="S1421" s="11" t="s">
        <v>8748</v>
      </c>
      <c r="T1421" s="6"/>
      <c r="U1421" s="15" t="str">
        <f>HYPERLINK("https://media.infra-m.ru/1905/1905752/cover/1905752.jpg", "Обложка")</f>
        <v>Обложка</v>
      </c>
      <c r="V1421" s="8" t="s">
        <v>1184</v>
      </c>
      <c r="W1421" s="6"/>
      <c r="X1421" s="6"/>
      <c r="Y1421" s="6"/>
      <c r="Z1421" s="6"/>
      <c r="AA1421" s="6" t="s">
        <v>3736</v>
      </c>
      <c r="AB1421" s="8"/>
      <c r="AC1421" s="27">
        <v>9785917689043</v>
      </c>
    </row>
    <row r="1422" spans="1:29" s="4" customFormat="1" ht="51.9" customHeight="1" x14ac:dyDescent="0.2">
      <c r="A1422" s="5">
        <v>0</v>
      </c>
      <c r="B1422" s="6" t="s">
        <v>8749</v>
      </c>
      <c r="C1422" s="7">
        <v>4192.8</v>
      </c>
      <c r="D1422" s="8" t="s">
        <v>8750</v>
      </c>
      <c r="E1422" s="8" t="s">
        <v>8751</v>
      </c>
      <c r="F1422" s="8" t="s">
        <v>8752</v>
      </c>
      <c r="G1422" s="6" t="s">
        <v>60</v>
      </c>
      <c r="H1422" s="6" t="s">
        <v>134</v>
      </c>
      <c r="I1422" s="8" t="s">
        <v>8746</v>
      </c>
      <c r="J1422" s="9">
        <v>1</v>
      </c>
      <c r="K1422" s="9">
        <v>680</v>
      </c>
      <c r="L1422" s="9">
        <v>2026</v>
      </c>
      <c r="M1422" s="8" t="s">
        <v>8753</v>
      </c>
      <c r="N1422" s="8" t="s">
        <v>37</v>
      </c>
      <c r="O1422" s="8" t="s">
        <v>136</v>
      </c>
      <c r="P1422" s="6" t="s">
        <v>306</v>
      </c>
      <c r="Q1422" s="8" t="s">
        <v>265</v>
      </c>
      <c r="R1422" s="10" t="s">
        <v>479</v>
      </c>
      <c r="S1422" s="11" t="s">
        <v>8748</v>
      </c>
      <c r="T1422" s="6"/>
      <c r="U1422" s="15" t="str">
        <f>HYPERLINK("https://media.infra-m.ru/2237/2237633/cover/2237633.jpg", "Обложка")</f>
        <v>Обложка</v>
      </c>
      <c r="V1422" s="8" t="s">
        <v>1184</v>
      </c>
      <c r="W1422" s="6"/>
      <c r="X1422" s="6"/>
      <c r="Y1422" s="6"/>
      <c r="Z1422" s="6"/>
      <c r="AA1422" s="6" t="s">
        <v>8754</v>
      </c>
      <c r="AB1422" s="8"/>
      <c r="AC1422" s="27">
        <v>9785001562719</v>
      </c>
    </row>
    <row r="1423" spans="1:29" s="4" customFormat="1" ht="51.9" customHeight="1" x14ac:dyDescent="0.2">
      <c r="A1423" s="5">
        <v>0</v>
      </c>
      <c r="B1423" s="6" t="s">
        <v>8755</v>
      </c>
      <c r="C1423" s="7">
        <v>3108</v>
      </c>
      <c r="D1423" s="8" t="s">
        <v>8756</v>
      </c>
      <c r="E1423" s="8" t="s">
        <v>8757</v>
      </c>
      <c r="F1423" s="8" t="s">
        <v>8758</v>
      </c>
      <c r="G1423" s="6" t="s">
        <v>60</v>
      </c>
      <c r="H1423" s="6" t="s">
        <v>34</v>
      </c>
      <c r="I1423" s="8" t="s">
        <v>253</v>
      </c>
      <c r="J1423" s="9">
        <v>1</v>
      </c>
      <c r="K1423" s="9">
        <v>447</v>
      </c>
      <c r="L1423" s="9">
        <v>2027</v>
      </c>
      <c r="M1423" s="8" t="s">
        <v>8759</v>
      </c>
      <c r="N1423" s="8" t="s">
        <v>37</v>
      </c>
      <c r="O1423" s="8" t="s">
        <v>136</v>
      </c>
      <c r="P1423" s="6" t="s">
        <v>306</v>
      </c>
      <c r="Q1423" s="8" t="s">
        <v>377</v>
      </c>
      <c r="R1423" s="10" t="s">
        <v>8760</v>
      </c>
      <c r="S1423" s="11" t="s">
        <v>8761</v>
      </c>
      <c r="T1423" s="6"/>
      <c r="U1423" s="15" t="str">
        <f>HYPERLINK("https://media.infra-m.ru/2272/2272397/cover/2272397.jpg", "Обложка")</f>
        <v>Обложка</v>
      </c>
      <c r="V1423" s="8" t="s">
        <v>1715</v>
      </c>
      <c r="W1423" s="6"/>
      <c r="X1423" s="6"/>
      <c r="Y1423" s="6"/>
      <c r="Z1423" s="6"/>
      <c r="AA1423" s="6" t="s">
        <v>896</v>
      </c>
      <c r="AB1423" s="8"/>
      <c r="AC1423" s="27">
        <v>9785160225319</v>
      </c>
    </row>
    <row r="1424" spans="1:29" s="4" customFormat="1" ht="51.9" customHeight="1" x14ac:dyDescent="0.2">
      <c r="A1424" s="5">
        <v>0</v>
      </c>
      <c r="B1424" s="6" t="s">
        <v>8762</v>
      </c>
      <c r="C1424" s="7">
        <v>1644</v>
      </c>
      <c r="D1424" s="8" t="s">
        <v>8763</v>
      </c>
      <c r="E1424" s="8" t="s">
        <v>8764</v>
      </c>
      <c r="F1424" s="8" t="s">
        <v>8765</v>
      </c>
      <c r="G1424" s="6" t="s">
        <v>118</v>
      </c>
      <c r="H1424" s="6" t="s">
        <v>1042</v>
      </c>
      <c r="I1424" s="8" t="s">
        <v>253</v>
      </c>
      <c r="J1424" s="9">
        <v>1</v>
      </c>
      <c r="K1424" s="9">
        <v>400</v>
      </c>
      <c r="L1424" s="9">
        <v>2020</v>
      </c>
      <c r="M1424" s="8" t="s">
        <v>8766</v>
      </c>
      <c r="N1424" s="8" t="s">
        <v>37</v>
      </c>
      <c r="O1424" s="8" t="s">
        <v>136</v>
      </c>
      <c r="P1424" s="6" t="s">
        <v>306</v>
      </c>
      <c r="Q1424" s="8" t="s">
        <v>52</v>
      </c>
      <c r="R1424" s="10" t="s">
        <v>8760</v>
      </c>
      <c r="S1424" s="11" t="s">
        <v>8767</v>
      </c>
      <c r="T1424" s="6"/>
      <c r="U1424" s="15" t="str">
        <f>HYPERLINK("https://media.infra-m.ru/1066/1066009/cover/1066009.jpg", "Обложка")</f>
        <v>Обложка</v>
      </c>
      <c r="V1424" s="8" t="s">
        <v>1715</v>
      </c>
      <c r="W1424" s="6"/>
      <c r="X1424" s="6"/>
      <c r="Y1424" s="6"/>
      <c r="Z1424" s="6"/>
      <c r="AA1424" s="6" t="s">
        <v>779</v>
      </c>
      <c r="AB1424" s="8"/>
      <c r="AC1424" s="27">
        <v>9785819908570</v>
      </c>
    </row>
    <row r="1425" spans="1:29" s="4" customFormat="1" ht="51.9" customHeight="1" x14ac:dyDescent="0.2">
      <c r="A1425" s="5">
        <v>0</v>
      </c>
      <c r="B1425" s="6" t="s">
        <v>8768</v>
      </c>
      <c r="C1425" s="7">
        <v>4168.8</v>
      </c>
      <c r="D1425" s="8" t="s">
        <v>8769</v>
      </c>
      <c r="E1425" s="8" t="s">
        <v>8770</v>
      </c>
      <c r="F1425" s="8" t="s">
        <v>8771</v>
      </c>
      <c r="G1425" s="6" t="s">
        <v>60</v>
      </c>
      <c r="H1425" s="6" t="s">
        <v>34</v>
      </c>
      <c r="I1425" s="8" t="s">
        <v>5350</v>
      </c>
      <c r="J1425" s="9">
        <v>1</v>
      </c>
      <c r="K1425" s="9">
        <v>602</v>
      </c>
      <c r="L1425" s="9">
        <v>2027</v>
      </c>
      <c r="M1425" s="8" t="s">
        <v>8772</v>
      </c>
      <c r="N1425" s="8" t="s">
        <v>37</v>
      </c>
      <c r="O1425" s="8" t="s">
        <v>136</v>
      </c>
      <c r="P1425" s="6" t="s">
        <v>306</v>
      </c>
      <c r="Q1425" s="8" t="s">
        <v>65</v>
      </c>
      <c r="R1425" s="10" t="s">
        <v>8773</v>
      </c>
      <c r="S1425" s="11" t="s">
        <v>8761</v>
      </c>
      <c r="T1425" s="6"/>
      <c r="U1425" s="15" t="str">
        <f>HYPERLINK("https://media.infra-m.ru/2262/2262690/cover/2262690.jpg", "Обложка")</f>
        <v>Обложка</v>
      </c>
      <c r="V1425" s="8" t="s">
        <v>1715</v>
      </c>
      <c r="W1425" s="6"/>
      <c r="X1425" s="6"/>
      <c r="Y1425" s="6"/>
      <c r="Z1425" s="6"/>
      <c r="AA1425" s="6" t="s">
        <v>1303</v>
      </c>
      <c r="AB1425" s="8"/>
      <c r="AC1425" s="27">
        <v>9785160165745</v>
      </c>
    </row>
    <row r="1426" spans="1:29" s="4" customFormat="1" ht="51.9" customHeight="1" x14ac:dyDescent="0.2">
      <c r="A1426" s="5">
        <v>0</v>
      </c>
      <c r="B1426" s="6" t="s">
        <v>8774</v>
      </c>
      <c r="C1426" s="7">
        <v>3028.8</v>
      </c>
      <c r="D1426" s="8" t="s">
        <v>8775</v>
      </c>
      <c r="E1426" s="8" t="s">
        <v>8764</v>
      </c>
      <c r="F1426" s="8" t="s">
        <v>8771</v>
      </c>
      <c r="G1426" s="6" t="s">
        <v>60</v>
      </c>
      <c r="H1426" s="6" t="s">
        <v>1042</v>
      </c>
      <c r="I1426" s="8" t="s">
        <v>271</v>
      </c>
      <c r="J1426" s="9">
        <v>1</v>
      </c>
      <c r="K1426" s="9">
        <v>559</v>
      </c>
      <c r="L1426" s="9">
        <v>2023</v>
      </c>
      <c r="M1426" s="8" t="s">
        <v>8776</v>
      </c>
      <c r="N1426" s="8" t="s">
        <v>37</v>
      </c>
      <c r="O1426" s="8" t="s">
        <v>136</v>
      </c>
      <c r="P1426" s="6" t="s">
        <v>306</v>
      </c>
      <c r="Q1426" s="8" t="s">
        <v>52</v>
      </c>
      <c r="R1426" s="10" t="s">
        <v>8773</v>
      </c>
      <c r="S1426" s="11" t="s">
        <v>8767</v>
      </c>
      <c r="T1426" s="6"/>
      <c r="U1426" s="15" t="str">
        <f>HYPERLINK("https://media.infra-m.ru/2012/2012681/cover/2012681.jpg", "Обложка")</f>
        <v>Обложка</v>
      </c>
      <c r="V1426" s="8" t="s">
        <v>1715</v>
      </c>
      <c r="W1426" s="6"/>
      <c r="X1426" s="6"/>
      <c r="Y1426" s="6"/>
      <c r="Z1426" s="6"/>
      <c r="AA1426" s="6" t="s">
        <v>779</v>
      </c>
      <c r="AB1426" s="8"/>
      <c r="AC1426" s="27">
        <v>9785819907498</v>
      </c>
    </row>
    <row r="1427" spans="1:29" s="4" customFormat="1" ht="51.9" customHeight="1" x14ac:dyDescent="0.2">
      <c r="A1427" s="5">
        <v>0</v>
      </c>
      <c r="B1427" s="6" t="s">
        <v>8777</v>
      </c>
      <c r="C1427" s="7">
        <v>3360</v>
      </c>
      <c r="D1427" s="8" t="s">
        <v>8778</v>
      </c>
      <c r="E1427" s="8" t="s">
        <v>8779</v>
      </c>
      <c r="F1427" s="8" t="s">
        <v>8780</v>
      </c>
      <c r="G1427" s="6" t="s">
        <v>118</v>
      </c>
      <c r="H1427" s="6" t="s">
        <v>34</v>
      </c>
      <c r="I1427" s="8" t="s">
        <v>304</v>
      </c>
      <c r="J1427" s="9">
        <v>1</v>
      </c>
      <c r="K1427" s="9">
        <v>626</v>
      </c>
      <c r="L1427" s="9">
        <v>2023</v>
      </c>
      <c r="M1427" s="8" t="s">
        <v>8781</v>
      </c>
      <c r="N1427" s="8" t="s">
        <v>37</v>
      </c>
      <c r="O1427" s="8" t="s">
        <v>136</v>
      </c>
      <c r="P1427" s="6" t="s">
        <v>306</v>
      </c>
      <c r="Q1427" s="8" t="s">
        <v>65</v>
      </c>
      <c r="R1427" s="10" t="s">
        <v>1068</v>
      </c>
      <c r="S1427" s="11" t="s">
        <v>8782</v>
      </c>
      <c r="T1427" s="6"/>
      <c r="U1427" s="15" t="str">
        <f>HYPERLINK("https://media.infra-m.ru/1925/1925513/cover/1925513.jpg", "Обложка")</f>
        <v>Обложка</v>
      </c>
      <c r="V1427" s="8" t="s">
        <v>247</v>
      </c>
      <c r="W1427" s="6"/>
      <c r="X1427" s="6"/>
      <c r="Y1427" s="6"/>
      <c r="Z1427" s="6"/>
      <c r="AA1427" s="6" t="s">
        <v>2240</v>
      </c>
      <c r="AB1427" s="8"/>
      <c r="AC1427" s="27">
        <v>9785160185439</v>
      </c>
    </row>
    <row r="1428" spans="1:29" s="4" customFormat="1" ht="51.9" customHeight="1" x14ac:dyDescent="0.2">
      <c r="A1428" s="5">
        <v>0</v>
      </c>
      <c r="B1428" s="6" t="s">
        <v>8783</v>
      </c>
      <c r="C1428" s="7">
        <v>1440</v>
      </c>
      <c r="D1428" s="8" t="s">
        <v>8784</v>
      </c>
      <c r="E1428" s="8" t="s">
        <v>8744</v>
      </c>
      <c r="F1428" s="8" t="s">
        <v>8785</v>
      </c>
      <c r="G1428" s="6" t="s">
        <v>60</v>
      </c>
      <c r="H1428" s="6" t="s">
        <v>313</v>
      </c>
      <c r="I1428" s="8" t="s">
        <v>253</v>
      </c>
      <c r="J1428" s="9">
        <v>1</v>
      </c>
      <c r="K1428" s="9">
        <v>400</v>
      </c>
      <c r="L1428" s="9">
        <v>2018</v>
      </c>
      <c r="M1428" s="8" t="s">
        <v>8786</v>
      </c>
      <c r="N1428" s="8" t="s">
        <v>37</v>
      </c>
      <c r="O1428" s="8" t="s">
        <v>136</v>
      </c>
      <c r="P1428" s="6" t="s">
        <v>51</v>
      </c>
      <c r="Q1428" s="8" t="s">
        <v>52</v>
      </c>
      <c r="R1428" s="10" t="s">
        <v>8787</v>
      </c>
      <c r="S1428" s="11" t="s">
        <v>8788</v>
      </c>
      <c r="T1428" s="6"/>
      <c r="U1428" s="15" t="str">
        <f>HYPERLINK("https://media.infra-m.ru/0976/0976270/cover/976270.jpg", "Обложка")</f>
        <v>Обложка</v>
      </c>
      <c r="V1428" s="8" t="s">
        <v>396</v>
      </c>
      <c r="W1428" s="6"/>
      <c r="X1428" s="6"/>
      <c r="Y1428" s="6"/>
      <c r="Z1428" s="6"/>
      <c r="AA1428" s="6" t="s">
        <v>8545</v>
      </c>
      <c r="AB1428" s="8"/>
      <c r="AC1428" s="27">
        <v>9785369015834</v>
      </c>
    </row>
    <row r="1429" spans="1:29" s="4" customFormat="1" ht="51.9" customHeight="1" x14ac:dyDescent="0.2">
      <c r="A1429" s="5">
        <v>0</v>
      </c>
      <c r="B1429" s="6" t="s">
        <v>8789</v>
      </c>
      <c r="C1429" s="7">
        <v>2392.8000000000002</v>
      </c>
      <c r="D1429" s="8" t="s">
        <v>8790</v>
      </c>
      <c r="E1429" s="8" t="s">
        <v>8751</v>
      </c>
      <c r="F1429" s="8" t="s">
        <v>8785</v>
      </c>
      <c r="G1429" s="6" t="s">
        <v>60</v>
      </c>
      <c r="H1429" s="6" t="s">
        <v>313</v>
      </c>
      <c r="I1429" s="8" t="s">
        <v>253</v>
      </c>
      <c r="J1429" s="9">
        <v>1</v>
      </c>
      <c r="K1429" s="9">
        <v>404</v>
      </c>
      <c r="L1429" s="9">
        <v>2023</v>
      </c>
      <c r="M1429" s="8" t="s">
        <v>8791</v>
      </c>
      <c r="N1429" s="8" t="s">
        <v>37</v>
      </c>
      <c r="O1429" s="8" t="s">
        <v>136</v>
      </c>
      <c r="P1429" s="6" t="s">
        <v>51</v>
      </c>
      <c r="Q1429" s="8" t="s">
        <v>52</v>
      </c>
      <c r="R1429" s="10" t="s">
        <v>8787</v>
      </c>
      <c r="S1429" s="11" t="s">
        <v>8788</v>
      </c>
      <c r="T1429" s="6"/>
      <c r="U1429" s="15" t="str">
        <f>HYPERLINK("https://media.infra-m.ru/1841/1841424/cover/1841424.jpg", "Обложка")</f>
        <v>Обложка</v>
      </c>
      <c r="V1429" s="8" t="s">
        <v>396</v>
      </c>
      <c r="W1429" s="6"/>
      <c r="X1429" s="6"/>
      <c r="Y1429" s="6"/>
      <c r="Z1429" s="6"/>
      <c r="AA1429" s="6" t="s">
        <v>8551</v>
      </c>
      <c r="AB1429" s="8"/>
      <c r="AC1429" s="27">
        <v>9785369018354</v>
      </c>
    </row>
    <row r="1430" spans="1:29" s="4" customFormat="1" ht="42" customHeight="1" x14ac:dyDescent="0.2">
      <c r="A1430" s="5">
        <v>0</v>
      </c>
      <c r="B1430" s="6" t="s">
        <v>8792</v>
      </c>
      <c r="C1430" s="13">
        <v>720</v>
      </c>
      <c r="D1430" s="8" t="s">
        <v>8793</v>
      </c>
      <c r="E1430" s="8" t="s">
        <v>8794</v>
      </c>
      <c r="F1430" s="8" t="s">
        <v>8795</v>
      </c>
      <c r="G1430" s="6" t="s">
        <v>33</v>
      </c>
      <c r="H1430" s="6" t="s">
        <v>34</v>
      </c>
      <c r="I1430" s="8" t="s">
        <v>35</v>
      </c>
      <c r="J1430" s="9">
        <v>1</v>
      </c>
      <c r="K1430" s="9">
        <v>124</v>
      </c>
      <c r="L1430" s="9">
        <v>2024</v>
      </c>
      <c r="M1430" s="8" t="s">
        <v>8796</v>
      </c>
      <c r="N1430" s="8" t="s">
        <v>37</v>
      </c>
      <c r="O1430" s="8" t="s">
        <v>136</v>
      </c>
      <c r="P1430" s="6" t="s">
        <v>39</v>
      </c>
      <c r="Q1430" s="8" t="s">
        <v>40</v>
      </c>
      <c r="R1430" s="10" t="s">
        <v>684</v>
      </c>
      <c r="S1430" s="11"/>
      <c r="T1430" s="6"/>
      <c r="U1430" s="15" t="str">
        <f>HYPERLINK("https://media.infra-m.ru/2082/2082660/cover/2082660.jpg", "Обложка")</f>
        <v>Обложка</v>
      </c>
      <c r="V1430" s="8" t="s">
        <v>911</v>
      </c>
      <c r="W1430" s="6"/>
      <c r="X1430" s="6"/>
      <c r="Y1430" s="6"/>
      <c r="Z1430" s="6"/>
      <c r="AA1430" s="6" t="s">
        <v>76</v>
      </c>
      <c r="AB1430" s="8"/>
      <c r="AC1430" s="27">
        <v>9785160190051</v>
      </c>
    </row>
    <row r="1431" spans="1:29" s="4" customFormat="1" ht="42" customHeight="1" x14ac:dyDescent="0.2">
      <c r="A1431" s="5">
        <v>0</v>
      </c>
      <c r="B1431" s="6" t="s">
        <v>8797</v>
      </c>
      <c r="C1431" s="13">
        <v>868.8</v>
      </c>
      <c r="D1431" s="8" t="s">
        <v>8798</v>
      </c>
      <c r="E1431" s="8" t="s">
        <v>8799</v>
      </c>
      <c r="F1431" s="8" t="s">
        <v>8800</v>
      </c>
      <c r="G1431" s="6" t="s">
        <v>33</v>
      </c>
      <c r="H1431" s="6" t="s">
        <v>134</v>
      </c>
      <c r="I1431" s="8"/>
      <c r="J1431" s="9">
        <v>1</v>
      </c>
      <c r="K1431" s="9">
        <v>144</v>
      </c>
      <c r="L1431" s="9">
        <v>2025</v>
      </c>
      <c r="M1431" s="8" t="s">
        <v>8801</v>
      </c>
      <c r="N1431" s="8" t="s">
        <v>37</v>
      </c>
      <c r="O1431" s="8" t="s">
        <v>136</v>
      </c>
      <c r="P1431" s="6" t="s">
        <v>39</v>
      </c>
      <c r="Q1431" s="8" t="s">
        <v>40</v>
      </c>
      <c r="R1431" s="10" t="s">
        <v>1631</v>
      </c>
      <c r="S1431" s="11"/>
      <c r="T1431" s="6"/>
      <c r="U1431" s="15" t="str">
        <f>HYPERLINK("https://media.infra-m.ru/2169/2169162/cover/2169162.jpg", "Обложка")</f>
        <v>Обложка</v>
      </c>
      <c r="V1431" s="8" t="s">
        <v>5801</v>
      </c>
      <c r="W1431" s="6"/>
      <c r="X1431" s="6"/>
      <c r="Y1431" s="6"/>
      <c r="Z1431" s="6"/>
      <c r="AA1431" s="6" t="s">
        <v>55</v>
      </c>
      <c r="AB1431" s="8"/>
      <c r="AC1431" s="27">
        <v>9785917683928</v>
      </c>
    </row>
    <row r="1432" spans="1:29" s="4" customFormat="1" ht="44.1" customHeight="1" x14ac:dyDescent="0.2">
      <c r="A1432" s="5">
        <v>0</v>
      </c>
      <c r="B1432" s="6" t="s">
        <v>8802</v>
      </c>
      <c r="C1432" s="7">
        <v>2896.8</v>
      </c>
      <c r="D1432" s="8" t="s">
        <v>8803</v>
      </c>
      <c r="E1432" s="8" t="s">
        <v>8804</v>
      </c>
      <c r="F1432" s="8" t="s">
        <v>2850</v>
      </c>
      <c r="G1432" s="6" t="s">
        <v>33</v>
      </c>
      <c r="H1432" s="6" t="s">
        <v>241</v>
      </c>
      <c r="I1432" s="8" t="s">
        <v>253</v>
      </c>
      <c r="J1432" s="9">
        <v>1</v>
      </c>
      <c r="K1432" s="9">
        <v>439</v>
      </c>
      <c r="L1432" s="9">
        <v>2026</v>
      </c>
      <c r="M1432" s="8" t="s">
        <v>8805</v>
      </c>
      <c r="N1432" s="8" t="s">
        <v>63</v>
      </c>
      <c r="O1432" s="8" t="s">
        <v>64</v>
      </c>
      <c r="P1432" s="6" t="s">
        <v>51</v>
      </c>
      <c r="Q1432" s="8" t="s">
        <v>52</v>
      </c>
      <c r="R1432" s="10" t="s">
        <v>553</v>
      </c>
      <c r="S1432" s="11"/>
      <c r="T1432" s="6"/>
      <c r="U1432" s="15" t="str">
        <f>HYPERLINK("https://media.infra-m.ru/2218/2218955/cover/2218955.jpg", "Обложка")</f>
        <v>Обложка</v>
      </c>
      <c r="V1432" s="8" t="s">
        <v>2854</v>
      </c>
      <c r="W1432" s="6"/>
      <c r="X1432" s="6"/>
      <c r="Y1432" s="6"/>
      <c r="Z1432" s="6"/>
      <c r="AA1432" s="6" t="s">
        <v>99</v>
      </c>
      <c r="AB1432" s="8"/>
      <c r="AC1432" s="27">
        <v>9785955805207</v>
      </c>
    </row>
    <row r="1433" spans="1:29" s="4" customFormat="1" ht="51.9" customHeight="1" x14ac:dyDescent="0.2">
      <c r="A1433" s="5">
        <v>0</v>
      </c>
      <c r="B1433" s="6" t="s">
        <v>8806</v>
      </c>
      <c r="C1433" s="13">
        <v>976.8</v>
      </c>
      <c r="D1433" s="8" t="s">
        <v>8807</v>
      </c>
      <c r="E1433" s="8" t="s">
        <v>8808</v>
      </c>
      <c r="F1433" s="8" t="s">
        <v>2620</v>
      </c>
      <c r="G1433" s="6" t="s">
        <v>33</v>
      </c>
      <c r="H1433" s="6" t="s">
        <v>34</v>
      </c>
      <c r="I1433" s="8" t="s">
        <v>253</v>
      </c>
      <c r="J1433" s="9">
        <v>1</v>
      </c>
      <c r="K1433" s="9">
        <v>140</v>
      </c>
      <c r="L1433" s="9">
        <v>2027</v>
      </c>
      <c r="M1433" s="8" t="s">
        <v>8809</v>
      </c>
      <c r="N1433" s="8" t="s">
        <v>63</v>
      </c>
      <c r="O1433" s="8" t="s">
        <v>64</v>
      </c>
      <c r="P1433" s="6" t="s">
        <v>51</v>
      </c>
      <c r="Q1433" s="8" t="s">
        <v>52</v>
      </c>
      <c r="R1433" s="10" t="s">
        <v>8810</v>
      </c>
      <c r="S1433" s="11"/>
      <c r="T1433" s="6"/>
      <c r="U1433" s="15" t="str">
        <f>HYPERLINK("https://media.infra-m.ru/2270/2270469/cover/2270469.jpg", "Обложка")</f>
        <v>Обложка</v>
      </c>
      <c r="V1433" s="8" t="s">
        <v>2623</v>
      </c>
      <c r="W1433" s="6"/>
      <c r="X1433" s="6"/>
      <c r="Y1433" s="6"/>
      <c r="Z1433" s="6"/>
      <c r="AA1433" s="6" t="s">
        <v>55</v>
      </c>
      <c r="AB1433" s="8"/>
      <c r="AC1433" s="27">
        <v>9785160054841</v>
      </c>
    </row>
    <row r="1434" spans="1:29" s="4" customFormat="1" ht="42" customHeight="1" x14ac:dyDescent="0.2">
      <c r="A1434" s="5">
        <v>0</v>
      </c>
      <c r="B1434" s="6" t="s">
        <v>8811</v>
      </c>
      <c r="C1434" s="7">
        <v>1152</v>
      </c>
      <c r="D1434" s="8" t="s">
        <v>8812</v>
      </c>
      <c r="E1434" s="8" t="s">
        <v>8813</v>
      </c>
      <c r="F1434" s="8" t="s">
        <v>8814</v>
      </c>
      <c r="G1434" s="6" t="s">
        <v>60</v>
      </c>
      <c r="H1434" s="6" t="s">
        <v>34</v>
      </c>
      <c r="I1434" s="8" t="s">
        <v>375</v>
      </c>
      <c r="J1434" s="9">
        <v>1</v>
      </c>
      <c r="K1434" s="9">
        <v>178</v>
      </c>
      <c r="L1434" s="9">
        <v>2025</v>
      </c>
      <c r="M1434" s="8" t="s">
        <v>8815</v>
      </c>
      <c r="N1434" s="8" t="s">
        <v>63</v>
      </c>
      <c r="O1434" s="8" t="s">
        <v>64</v>
      </c>
      <c r="P1434" s="6" t="s">
        <v>51</v>
      </c>
      <c r="Q1434" s="8" t="s">
        <v>65</v>
      </c>
      <c r="R1434" s="10" t="s">
        <v>66</v>
      </c>
      <c r="S1434" s="11"/>
      <c r="T1434" s="6"/>
      <c r="U1434" s="15" t="str">
        <f>HYPERLINK("https://media.infra-m.ru/2162/2162068/cover/2162068.jpg", "Обложка")</f>
        <v>Обложка</v>
      </c>
      <c r="V1434" s="8" t="s">
        <v>379</v>
      </c>
      <c r="W1434" s="6"/>
      <c r="X1434" s="6"/>
      <c r="Y1434" s="6"/>
      <c r="Z1434" s="6"/>
      <c r="AA1434" s="6" t="s">
        <v>68</v>
      </c>
      <c r="AB1434" s="8"/>
      <c r="AC1434" s="27">
        <v>9785160201719</v>
      </c>
    </row>
    <row r="1435" spans="1:29" s="4" customFormat="1" ht="51.9" customHeight="1" x14ac:dyDescent="0.2">
      <c r="A1435" s="5">
        <v>0</v>
      </c>
      <c r="B1435" s="6" t="s">
        <v>8816</v>
      </c>
      <c r="C1435" s="7">
        <v>1188</v>
      </c>
      <c r="D1435" s="8" t="s">
        <v>8817</v>
      </c>
      <c r="E1435" s="8" t="s">
        <v>8818</v>
      </c>
      <c r="F1435" s="8" t="s">
        <v>8819</v>
      </c>
      <c r="G1435" s="6" t="s">
        <v>33</v>
      </c>
      <c r="H1435" s="6" t="s">
        <v>34</v>
      </c>
      <c r="I1435" s="8" t="s">
        <v>35</v>
      </c>
      <c r="J1435" s="9">
        <v>1</v>
      </c>
      <c r="K1435" s="9">
        <v>187</v>
      </c>
      <c r="L1435" s="9">
        <v>2025</v>
      </c>
      <c r="M1435" s="8" t="s">
        <v>8820</v>
      </c>
      <c r="N1435" s="8" t="s">
        <v>63</v>
      </c>
      <c r="O1435" s="8" t="s">
        <v>64</v>
      </c>
      <c r="P1435" s="6" t="s">
        <v>39</v>
      </c>
      <c r="Q1435" s="8" t="s">
        <v>40</v>
      </c>
      <c r="R1435" s="10" t="s">
        <v>5704</v>
      </c>
      <c r="S1435" s="11"/>
      <c r="T1435" s="6"/>
      <c r="U1435" s="15" t="str">
        <f>HYPERLINK("https://media.infra-m.ru/2074/2074252/cover/2074252.jpg", "Обложка")</f>
        <v>Обложка</v>
      </c>
      <c r="V1435" s="8" t="s">
        <v>8821</v>
      </c>
      <c r="W1435" s="6"/>
      <c r="X1435" s="6"/>
      <c r="Y1435" s="6"/>
      <c r="Z1435" s="6"/>
      <c r="AA1435" s="6" t="s">
        <v>68</v>
      </c>
      <c r="AB1435" s="8" t="s">
        <v>8822</v>
      </c>
      <c r="AC1435" s="27">
        <v>9785160188775</v>
      </c>
    </row>
    <row r="1436" spans="1:29" s="4" customFormat="1" ht="51.9" customHeight="1" x14ac:dyDescent="0.2">
      <c r="A1436" s="5">
        <v>0</v>
      </c>
      <c r="B1436" s="6" t="s">
        <v>8823</v>
      </c>
      <c r="C1436" s="7">
        <v>1032</v>
      </c>
      <c r="D1436" s="8" t="s">
        <v>8824</v>
      </c>
      <c r="E1436" s="8" t="s">
        <v>8825</v>
      </c>
      <c r="F1436" s="8" t="s">
        <v>8826</v>
      </c>
      <c r="G1436" s="6" t="s">
        <v>33</v>
      </c>
      <c r="H1436" s="6" t="s">
        <v>34</v>
      </c>
      <c r="I1436" s="8"/>
      <c r="J1436" s="9">
        <v>1</v>
      </c>
      <c r="K1436" s="9">
        <v>160</v>
      </c>
      <c r="L1436" s="9">
        <v>2026</v>
      </c>
      <c r="M1436" s="8" t="s">
        <v>8827</v>
      </c>
      <c r="N1436" s="8" t="s">
        <v>63</v>
      </c>
      <c r="O1436" s="8" t="s">
        <v>181</v>
      </c>
      <c r="P1436" s="6" t="s">
        <v>39</v>
      </c>
      <c r="Q1436" s="8" t="s">
        <v>40</v>
      </c>
      <c r="R1436" s="10" t="s">
        <v>8828</v>
      </c>
      <c r="S1436" s="11"/>
      <c r="T1436" s="6"/>
      <c r="U1436" s="15" t="str">
        <f>HYPERLINK("https://media.infra-m.ru/2221/2221516/cover/2221516.jpg", "Обложка")</f>
        <v>Обложка</v>
      </c>
      <c r="V1436" s="8" t="s">
        <v>958</v>
      </c>
      <c r="W1436" s="6"/>
      <c r="X1436" s="6"/>
      <c r="Y1436" s="6"/>
      <c r="Z1436" s="6"/>
      <c r="AA1436" s="6" t="s">
        <v>274</v>
      </c>
      <c r="AB1436" s="8"/>
      <c r="AC1436" s="27">
        <v>9785160112695</v>
      </c>
    </row>
    <row r="1437" spans="1:29" s="4" customFormat="1" ht="51.9" customHeight="1" x14ac:dyDescent="0.2">
      <c r="A1437" s="5">
        <v>0</v>
      </c>
      <c r="B1437" s="6" t="s">
        <v>8829</v>
      </c>
      <c r="C1437" s="7">
        <v>1240.8</v>
      </c>
      <c r="D1437" s="8" t="s">
        <v>8830</v>
      </c>
      <c r="E1437" s="8" t="s">
        <v>8831</v>
      </c>
      <c r="F1437" s="8" t="s">
        <v>8832</v>
      </c>
      <c r="G1437" s="6" t="s">
        <v>33</v>
      </c>
      <c r="H1437" s="6" t="s">
        <v>34</v>
      </c>
      <c r="I1437" s="8" t="s">
        <v>35</v>
      </c>
      <c r="J1437" s="9">
        <v>1</v>
      </c>
      <c r="K1437" s="9">
        <v>199</v>
      </c>
      <c r="L1437" s="9">
        <v>2026</v>
      </c>
      <c r="M1437" s="8" t="s">
        <v>8833</v>
      </c>
      <c r="N1437" s="8" t="s">
        <v>243</v>
      </c>
      <c r="O1437" s="8" t="s">
        <v>964</v>
      </c>
      <c r="P1437" s="6" t="s">
        <v>39</v>
      </c>
      <c r="Q1437" s="8" t="s">
        <v>40</v>
      </c>
      <c r="R1437" s="10" t="s">
        <v>8834</v>
      </c>
      <c r="S1437" s="11"/>
      <c r="T1437" s="6"/>
      <c r="U1437" s="15" t="str">
        <f>HYPERLINK("https://media.infra-m.ru/2221/2221950/cover/2221950.jpg", "Обложка")</f>
        <v>Обложка</v>
      </c>
      <c r="V1437" s="8" t="s">
        <v>2382</v>
      </c>
      <c r="W1437" s="6"/>
      <c r="X1437" s="6"/>
      <c r="Y1437" s="6"/>
      <c r="Z1437" s="6"/>
      <c r="AA1437" s="6" t="s">
        <v>148</v>
      </c>
      <c r="AB1437" s="8"/>
      <c r="AC1437" s="27">
        <v>9785160172361</v>
      </c>
    </row>
    <row r="1438" spans="1:29" s="4" customFormat="1" ht="42" customHeight="1" x14ac:dyDescent="0.2">
      <c r="A1438" s="5">
        <v>0</v>
      </c>
      <c r="B1438" s="6" t="s">
        <v>8835</v>
      </c>
      <c r="C1438" s="7">
        <v>1580.4</v>
      </c>
      <c r="D1438" s="8" t="s">
        <v>8836</v>
      </c>
      <c r="E1438" s="8" t="s">
        <v>8837</v>
      </c>
      <c r="F1438" s="8" t="s">
        <v>8838</v>
      </c>
      <c r="G1438" s="6" t="s">
        <v>33</v>
      </c>
      <c r="H1438" s="6" t="s">
        <v>48</v>
      </c>
      <c r="I1438" s="8" t="s">
        <v>253</v>
      </c>
      <c r="J1438" s="9">
        <v>1</v>
      </c>
      <c r="K1438" s="9">
        <v>184</v>
      </c>
      <c r="L1438" s="9">
        <v>2026</v>
      </c>
      <c r="M1438" s="8" t="s">
        <v>8839</v>
      </c>
      <c r="N1438" s="8" t="s">
        <v>243</v>
      </c>
      <c r="O1438" s="8" t="s">
        <v>385</v>
      </c>
      <c r="P1438" s="6" t="s">
        <v>51</v>
      </c>
      <c r="Q1438" s="8" t="s">
        <v>52</v>
      </c>
      <c r="R1438" s="10" t="s">
        <v>8840</v>
      </c>
      <c r="S1438" s="11"/>
      <c r="T1438" s="6"/>
      <c r="U1438" s="15" t="str">
        <f>HYPERLINK("https://media.infra-m.ru/2238/2238510/cover/2238510.jpg", "Обложка")</f>
        <v>Обложка</v>
      </c>
      <c r="V1438" s="8" t="s">
        <v>3329</v>
      </c>
      <c r="W1438" s="6"/>
      <c r="X1438" s="6"/>
      <c r="Y1438" s="6"/>
      <c r="Z1438" s="6"/>
      <c r="AA1438" s="6" t="s">
        <v>274</v>
      </c>
      <c r="AB1438" s="8"/>
      <c r="AC1438" s="27">
        <v>9785000910979</v>
      </c>
    </row>
    <row r="1439" spans="1:29" s="4" customFormat="1" ht="42" customHeight="1" x14ac:dyDescent="0.2">
      <c r="A1439" s="5">
        <v>0</v>
      </c>
      <c r="B1439" s="6" t="s">
        <v>8841</v>
      </c>
      <c r="C1439" s="7">
        <v>2076</v>
      </c>
      <c r="D1439" s="8" t="s">
        <v>8842</v>
      </c>
      <c r="E1439" s="8" t="s">
        <v>8843</v>
      </c>
      <c r="F1439" s="8" t="s">
        <v>8844</v>
      </c>
      <c r="G1439" s="6" t="s">
        <v>33</v>
      </c>
      <c r="H1439" s="6" t="s">
        <v>34</v>
      </c>
      <c r="I1439" s="8" t="s">
        <v>35</v>
      </c>
      <c r="J1439" s="9">
        <v>1</v>
      </c>
      <c r="K1439" s="9">
        <v>315</v>
      </c>
      <c r="L1439" s="9">
        <v>2026</v>
      </c>
      <c r="M1439" s="8" t="s">
        <v>8845</v>
      </c>
      <c r="N1439" s="8" t="s">
        <v>243</v>
      </c>
      <c r="O1439" s="8" t="s">
        <v>385</v>
      </c>
      <c r="P1439" s="6" t="s">
        <v>39</v>
      </c>
      <c r="Q1439" s="8" t="s">
        <v>40</v>
      </c>
      <c r="R1439" s="10" t="s">
        <v>8846</v>
      </c>
      <c r="S1439" s="11"/>
      <c r="T1439" s="6"/>
      <c r="U1439" s="15" t="str">
        <f>HYPERLINK("https://media.infra-m.ru/2226/2226485/cover/2226485.jpg", "Обложка")</f>
        <v>Обложка</v>
      </c>
      <c r="V1439" s="8" t="s">
        <v>8847</v>
      </c>
      <c r="W1439" s="6"/>
      <c r="X1439" s="6"/>
      <c r="Y1439" s="6"/>
      <c r="Z1439" s="6"/>
      <c r="AA1439" s="6" t="s">
        <v>430</v>
      </c>
      <c r="AB1439" s="8"/>
      <c r="AC1439" s="27">
        <v>9785160160252</v>
      </c>
    </row>
    <row r="1440" spans="1:29" s="4" customFormat="1" ht="51.9" customHeight="1" x14ac:dyDescent="0.2">
      <c r="A1440" s="5">
        <v>0</v>
      </c>
      <c r="B1440" s="6" t="s">
        <v>8848</v>
      </c>
      <c r="C1440" s="7">
        <v>1108.8</v>
      </c>
      <c r="D1440" s="8" t="s">
        <v>8849</v>
      </c>
      <c r="E1440" s="8" t="s">
        <v>8850</v>
      </c>
      <c r="F1440" s="8" t="s">
        <v>8851</v>
      </c>
      <c r="G1440" s="6" t="s">
        <v>60</v>
      </c>
      <c r="H1440" s="6" t="s">
        <v>241</v>
      </c>
      <c r="I1440" s="8" t="s">
        <v>3496</v>
      </c>
      <c r="J1440" s="9">
        <v>1</v>
      </c>
      <c r="K1440" s="9">
        <v>160</v>
      </c>
      <c r="L1440" s="9">
        <v>2027</v>
      </c>
      <c r="M1440" s="8" t="s">
        <v>8852</v>
      </c>
      <c r="N1440" s="8" t="s">
        <v>37</v>
      </c>
      <c r="O1440" s="8" t="s">
        <v>136</v>
      </c>
      <c r="P1440" s="6" t="s">
        <v>39</v>
      </c>
      <c r="Q1440" s="8" t="s">
        <v>40</v>
      </c>
      <c r="R1440" s="10" t="s">
        <v>8853</v>
      </c>
      <c r="S1440" s="11"/>
      <c r="T1440" s="6"/>
      <c r="U1440" s="15" t="str">
        <f>HYPERLINK("https://media.infra-m.ru/2264/2264688/cover/2264688.jpg", "Обложка")</f>
        <v>Обложка</v>
      </c>
      <c r="V1440" s="8" t="s">
        <v>247</v>
      </c>
      <c r="W1440" s="6"/>
      <c r="X1440" s="6"/>
      <c r="Y1440" s="6"/>
      <c r="Z1440" s="6"/>
      <c r="AA1440" s="6" t="s">
        <v>55</v>
      </c>
      <c r="AB1440" s="8"/>
      <c r="AC1440" s="27">
        <v>9785955803203</v>
      </c>
    </row>
    <row r="1441" spans="1:29" s="4" customFormat="1" ht="44.1" customHeight="1" x14ac:dyDescent="0.2">
      <c r="A1441" s="5">
        <v>0</v>
      </c>
      <c r="B1441" s="6" t="s">
        <v>8854</v>
      </c>
      <c r="C1441" s="7">
        <v>1253.9000000000001</v>
      </c>
      <c r="D1441" s="8" t="s">
        <v>8855</v>
      </c>
      <c r="E1441" s="8" t="s">
        <v>8856</v>
      </c>
      <c r="F1441" s="8" t="s">
        <v>8857</v>
      </c>
      <c r="G1441" s="6" t="s">
        <v>60</v>
      </c>
      <c r="H1441" s="6" t="s">
        <v>34</v>
      </c>
      <c r="I1441" s="8" t="s">
        <v>1074</v>
      </c>
      <c r="J1441" s="9">
        <v>1</v>
      </c>
      <c r="K1441" s="9">
        <v>336</v>
      </c>
      <c r="L1441" s="9">
        <v>2018</v>
      </c>
      <c r="M1441" s="8" t="s">
        <v>8858</v>
      </c>
      <c r="N1441" s="8" t="s">
        <v>37</v>
      </c>
      <c r="O1441" s="8" t="s">
        <v>136</v>
      </c>
      <c r="P1441" s="6" t="s">
        <v>39</v>
      </c>
      <c r="Q1441" s="8" t="s">
        <v>40</v>
      </c>
      <c r="R1441" s="10" t="s">
        <v>8859</v>
      </c>
      <c r="S1441" s="11"/>
      <c r="T1441" s="6"/>
      <c r="U1441" s="15" t="str">
        <f>HYPERLINK("https://media.infra-m.ru/0926/0926197/cover/926197.jpg", "Обложка")</f>
        <v>Обложка</v>
      </c>
      <c r="V1441" s="8" t="s">
        <v>138</v>
      </c>
      <c r="W1441" s="6"/>
      <c r="X1441" s="6"/>
      <c r="Y1441" s="6"/>
      <c r="Z1441" s="6"/>
      <c r="AA1441" s="6" t="s">
        <v>274</v>
      </c>
      <c r="AB1441" s="8"/>
      <c r="AC1441" s="27">
        <v>9785160113845</v>
      </c>
    </row>
    <row r="1442" spans="1:29" s="4" customFormat="1" ht="42" customHeight="1" x14ac:dyDescent="0.2">
      <c r="A1442" s="5">
        <v>0</v>
      </c>
      <c r="B1442" s="6" t="s">
        <v>8860</v>
      </c>
      <c r="C1442" s="7">
        <v>2100</v>
      </c>
      <c r="D1442" s="8" t="s">
        <v>8861</v>
      </c>
      <c r="E1442" s="8" t="s">
        <v>8862</v>
      </c>
      <c r="F1442" s="8" t="s">
        <v>8863</v>
      </c>
      <c r="G1442" s="6" t="s">
        <v>60</v>
      </c>
      <c r="H1442" s="6" t="s">
        <v>34</v>
      </c>
      <c r="I1442" s="8" t="s">
        <v>35</v>
      </c>
      <c r="J1442" s="9">
        <v>1</v>
      </c>
      <c r="K1442" s="9">
        <v>300</v>
      </c>
      <c r="L1442" s="9">
        <v>2026</v>
      </c>
      <c r="M1442" s="8" t="s">
        <v>8864</v>
      </c>
      <c r="N1442" s="8" t="s">
        <v>37</v>
      </c>
      <c r="O1442" s="8" t="s">
        <v>233</v>
      </c>
      <c r="P1442" s="6" t="s">
        <v>39</v>
      </c>
      <c r="Q1442" s="8" t="s">
        <v>40</v>
      </c>
      <c r="R1442" s="10" t="s">
        <v>5331</v>
      </c>
      <c r="S1442" s="11"/>
      <c r="T1442" s="6"/>
      <c r="U1442" s="15" t="str">
        <f>HYPERLINK("https://media.infra-m.ru/2227/2227077/cover/2227077.jpg", "Обложка")</f>
        <v>Обложка</v>
      </c>
      <c r="V1442" s="8" t="s">
        <v>657</v>
      </c>
      <c r="W1442" s="6" t="s">
        <v>351</v>
      </c>
      <c r="X1442" s="6"/>
      <c r="Y1442" s="6"/>
      <c r="Z1442" s="6"/>
      <c r="AA1442" s="6" t="s">
        <v>187</v>
      </c>
      <c r="AB1442" s="8" t="s">
        <v>308</v>
      </c>
      <c r="AC1442" s="27">
        <v>9785160214887</v>
      </c>
    </row>
    <row r="1443" spans="1:29" s="4" customFormat="1" ht="42" customHeight="1" x14ac:dyDescent="0.2">
      <c r="A1443" s="5">
        <v>0</v>
      </c>
      <c r="B1443" s="6" t="s">
        <v>8865</v>
      </c>
      <c r="C1443" s="7">
        <v>1776</v>
      </c>
      <c r="D1443" s="8" t="s">
        <v>8866</v>
      </c>
      <c r="E1443" s="8" t="s">
        <v>8867</v>
      </c>
      <c r="F1443" s="8" t="s">
        <v>8868</v>
      </c>
      <c r="G1443" s="6" t="s">
        <v>118</v>
      </c>
      <c r="H1443" s="6" t="s">
        <v>134</v>
      </c>
      <c r="I1443" s="8"/>
      <c r="J1443" s="9">
        <v>1</v>
      </c>
      <c r="K1443" s="9">
        <v>320</v>
      </c>
      <c r="L1443" s="9">
        <v>2024</v>
      </c>
      <c r="M1443" s="8" t="s">
        <v>8869</v>
      </c>
      <c r="N1443" s="8" t="s">
        <v>37</v>
      </c>
      <c r="O1443" s="8" t="s">
        <v>136</v>
      </c>
      <c r="P1443" s="6" t="s">
        <v>39</v>
      </c>
      <c r="Q1443" s="8" t="s">
        <v>40</v>
      </c>
      <c r="R1443" s="10" t="s">
        <v>1625</v>
      </c>
      <c r="S1443" s="11"/>
      <c r="T1443" s="6"/>
      <c r="U1443" s="15" t="str">
        <f>HYPERLINK("https://media.infra-m.ru/2083/2083853/cover/2083853.jpg", "Обложка")</f>
        <v>Обложка</v>
      </c>
      <c r="V1443" s="8" t="s">
        <v>1083</v>
      </c>
      <c r="W1443" s="6"/>
      <c r="X1443" s="6"/>
      <c r="Y1443" s="6"/>
      <c r="Z1443" s="6"/>
      <c r="AA1443" s="6" t="s">
        <v>129</v>
      </c>
      <c r="AB1443" s="8"/>
      <c r="AC1443" s="27">
        <v>9785917681719</v>
      </c>
    </row>
    <row r="1444" spans="1:29" s="4" customFormat="1" ht="51.9" customHeight="1" x14ac:dyDescent="0.2">
      <c r="A1444" s="5">
        <v>0</v>
      </c>
      <c r="B1444" s="6" t="s">
        <v>8870</v>
      </c>
      <c r="C1444" s="7">
        <v>1264.8</v>
      </c>
      <c r="D1444" s="8" t="s">
        <v>8871</v>
      </c>
      <c r="E1444" s="8" t="s">
        <v>8872</v>
      </c>
      <c r="F1444" s="8" t="s">
        <v>240</v>
      </c>
      <c r="G1444" s="6" t="s">
        <v>118</v>
      </c>
      <c r="H1444" s="6" t="s">
        <v>34</v>
      </c>
      <c r="I1444" s="8" t="s">
        <v>253</v>
      </c>
      <c r="J1444" s="9">
        <v>1</v>
      </c>
      <c r="K1444" s="9">
        <v>205</v>
      </c>
      <c r="L1444" s="9">
        <v>2025</v>
      </c>
      <c r="M1444" s="8" t="s">
        <v>8873</v>
      </c>
      <c r="N1444" s="8" t="s">
        <v>243</v>
      </c>
      <c r="O1444" s="8" t="s">
        <v>244</v>
      </c>
      <c r="P1444" s="6" t="s">
        <v>306</v>
      </c>
      <c r="Q1444" s="8" t="s">
        <v>52</v>
      </c>
      <c r="R1444" s="10" t="s">
        <v>8874</v>
      </c>
      <c r="S1444" s="11" t="s">
        <v>8875</v>
      </c>
      <c r="T1444" s="6"/>
      <c r="U1444" s="15" t="str">
        <f>HYPERLINK("https://media.infra-m.ru/2215/2215746/cover/2215746.jpg", "Обложка")</f>
        <v>Обложка</v>
      </c>
      <c r="V1444" s="8" t="s">
        <v>247</v>
      </c>
      <c r="W1444" s="6"/>
      <c r="X1444" s="6"/>
      <c r="Y1444" s="6"/>
      <c r="Z1444" s="6"/>
      <c r="AA1444" s="6" t="s">
        <v>115</v>
      </c>
      <c r="AB1444" s="8"/>
      <c r="AC1444" s="27">
        <v>9785160211350</v>
      </c>
    </row>
    <row r="1445" spans="1:29" s="4" customFormat="1" ht="51.9" customHeight="1" x14ac:dyDescent="0.2">
      <c r="A1445" s="5">
        <v>0</v>
      </c>
      <c r="B1445" s="6" t="s">
        <v>8876</v>
      </c>
      <c r="C1445" s="7">
        <v>1276.8</v>
      </c>
      <c r="D1445" s="8" t="s">
        <v>8877</v>
      </c>
      <c r="E1445" s="8" t="s">
        <v>8872</v>
      </c>
      <c r="F1445" s="8" t="s">
        <v>240</v>
      </c>
      <c r="G1445" s="6" t="s">
        <v>118</v>
      </c>
      <c r="H1445" s="6" t="s">
        <v>34</v>
      </c>
      <c r="I1445" s="8" t="s">
        <v>263</v>
      </c>
      <c r="J1445" s="9">
        <v>1</v>
      </c>
      <c r="K1445" s="9">
        <v>205</v>
      </c>
      <c r="L1445" s="9">
        <v>2026</v>
      </c>
      <c r="M1445" s="8" t="s">
        <v>8878</v>
      </c>
      <c r="N1445" s="8" t="s">
        <v>243</v>
      </c>
      <c r="O1445" s="8" t="s">
        <v>244</v>
      </c>
      <c r="P1445" s="6" t="s">
        <v>306</v>
      </c>
      <c r="Q1445" s="8" t="s">
        <v>265</v>
      </c>
      <c r="R1445" s="10" t="s">
        <v>8879</v>
      </c>
      <c r="S1445" s="11" t="s">
        <v>8880</v>
      </c>
      <c r="T1445" s="6"/>
      <c r="U1445" s="15" t="str">
        <f>HYPERLINK("https://media.infra-m.ru/2213/2213309/cover/2213309.jpg", "Обложка")</f>
        <v>Обложка</v>
      </c>
      <c r="V1445" s="8" t="s">
        <v>247</v>
      </c>
      <c r="W1445" s="6"/>
      <c r="X1445" s="6"/>
      <c r="Y1445" s="6"/>
      <c r="Z1445" s="6" t="s">
        <v>267</v>
      </c>
      <c r="AA1445" s="6" t="s">
        <v>1256</v>
      </c>
      <c r="AB1445" s="8"/>
      <c r="AC1445" s="27">
        <v>9785160156637</v>
      </c>
    </row>
    <row r="1446" spans="1:29" s="4" customFormat="1" ht="51.9" customHeight="1" x14ac:dyDescent="0.2">
      <c r="A1446" s="5">
        <v>0</v>
      </c>
      <c r="B1446" s="6" t="s">
        <v>8881</v>
      </c>
      <c r="C1446" s="7">
        <v>2248.8000000000002</v>
      </c>
      <c r="D1446" s="8" t="s">
        <v>8882</v>
      </c>
      <c r="E1446" s="8" t="s">
        <v>8883</v>
      </c>
      <c r="F1446" s="8" t="s">
        <v>8884</v>
      </c>
      <c r="G1446" s="6" t="s">
        <v>33</v>
      </c>
      <c r="H1446" s="6" t="s">
        <v>34</v>
      </c>
      <c r="I1446" s="8" t="s">
        <v>35</v>
      </c>
      <c r="J1446" s="9">
        <v>1</v>
      </c>
      <c r="K1446" s="9">
        <v>324</v>
      </c>
      <c r="L1446" s="9">
        <v>2027</v>
      </c>
      <c r="M1446" s="8" t="s">
        <v>8885</v>
      </c>
      <c r="N1446" s="8" t="s">
        <v>63</v>
      </c>
      <c r="O1446" s="8" t="s">
        <v>126</v>
      </c>
      <c r="P1446" s="6" t="s">
        <v>39</v>
      </c>
      <c r="Q1446" s="8" t="s">
        <v>40</v>
      </c>
      <c r="R1446" s="10" t="s">
        <v>8886</v>
      </c>
      <c r="S1446" s="11"/>
      <c r="T1446" s="6"/>
      <c r="U1446" s="15" t="str">
        <f>HYPERLINK("https://media.infra-m.ru/2266/2266696/cover/2266696.jpg", "Обложка")</f>
        <v>Обложка</v>
      </c>
      <c r="V1446" s="8" t="s">
        <v>2382</v>
      </c>
      <c r="W1446" s="6"/>
      <c r="X1446" s="6"/>
      <c r="Y1446" s="6"/>
      <c r="Z1446" s="6"/>
      <c r="AA1446" s="6" t="s">
        <v>43</v>
      </c>
      <c r="AB1446" s="8"/>
      <c r="AC1446" s="27">
        <v>9785160060101</v>
      </c>
    </row>
    <row r="1447" spans="1:29" s="4" customFormat="1" ht="51.9" customHeight="1" x14ac:dyDescent="0.2">
      <c r="A1447" s="5">
        <v>0</v>
      </c>
      <c r="B1447" s="6" t="s">
        <v>8887</v>
      </c>
      <c r="C1447" s="7">
        <v>1680</v>
      </c>
      <c r="D1447" s="8" t="s">
        <v>8888</v>
      </c>
      <c r="E1447" s="8" t="s">
        <v>8889</v>
      </c>
      <c r="F1447" s="8" t="s">
        <v>8890</v>
      </c>
      <c r="G1447" s="6" t="s">
        <v>33</v>
      </c>
      <c r="H1447" s="6" t="s">
        <v>34</v>
      </c>
      <c r="I1447" s="8" t="s">
        <v>253</v>
      </c>
      <c r="J1447" s="9">
        <v>1</v>
      </c>
      <c r="K1447" s="9">
        <v>239</v>
      </c>
      <c r="L1447" s="9">
        <v>2027</v>
      </c>
      <c r="M1447" s="8" t="s">
        <v>8891</v>
      </c>
      <c r="N1447" s="8" t="s">
        <v>243</v>
      </c>
      <c r="O1447" s="8" t="s">
        <v>964</v>
      </c>
      <c r="P1447" s="6" t="s">
        <v>51</v>
      </c>
      <c r="Q1447" s="8" t="s">
        <v>52</v>
      </c>
      <c r="R1447" s="10" t="s">
        <v>8892</v>
      </c>
      <c r="S1447" s="11" t="s">
        <v>8893</v>
      </c>
      <c r="T1447" s="6"/>
      <c r="U1447" s="15" t="str">
        <f>HYPERLINK("https://media.infra-m.ru/2266/2266750/cover/2266750.jpg", "Обложка")</f>
        <v>Обложка</v>
      </c>
      <c r="V1447" s="8" t="s">
        <v>831</v>
      </c>
      <c r="W1447" s="6"/>
      <c r="X1447" s="6"/>
      <c r="Y1447" s="6"/>
      <c r="Z1447" s="6"/>
      <c r="AA1447" s="6" t="s">
        <v>779</v>
      </c>
      <c r="AB1447" s="8"/>
      <c r="AC1447" s="27">
        <v>9785160202884</v>
      </c>
    </row>
    <row r="1448" spans="1:29" s="4" customFormat="1" ht="51.9" customHeight="1" x14ac:dyDescent="0.2">
      <c r="A1448" s="5">
        <v>0</v>
      </c>
      <c r="B1448" s="6" t="s">
        <v>8894</v>
      </c>
      <c r="C1448" s="7">
        <v>1576.8</v>
      </c>
      <c r="D1448" s="8" t="s">
        <v>8895</v>
      </c>
      <c r="E1448" s="8" t="s">
        <v>8889</v>
      </c>
      <c r="F1448" s="8" t="s">
        <v>8890</v>
      </c>
      <c r="G1448" s="6" t="s">
        <v>118</v>
      </c>
      <c r="H1448" s="6" t="s">
        <v>34</v>
      </c>
      <c r="I1448" s="8" t="s">
        <v>263</v>
      </c>
      <c r="J1448" s="9">
        <v>1</v>
      </c>
      <c r="K1448" s="9">
        <v>239</v>
      </c>
      <c r="L1448" s="9">
        <v>2026</v>
      </c>
      <c r="M1448" s="8" t="s">
        <v>8896</v>
      </c>
      <c r="N1448" s="8" t="s">
        <v>243</v>
      </c>
      <c r="O1448" s="8" t="s">
        <v>964</v>
      </c>
      <c r="P1448" s="6" t="s">
        <v>51</v>
      </c>
      <c r="Q1448" s="8" t="s">
        <v>265</v>
      </c>
      <c r="R1448" s="10" t="s">
        <v>8897</v>
      </c>
      <c r="S1448" s="11" t="s">
        <v>8898</v>
      </c>
      <c r="T1448" s="6"/>
      <c r="U1448" s="15" t="str">
        <f>HYPERLINK("https://media.infra-m.ru/2248/2248353/cover/2248353.jpg", "Обложка")</f>
        <v>Обложка</v>
      </c>
      <c r="V1448" s="8" t="s">
        <v>831</v>
      </c>
      <c r="W1448" s="6"/>
      <c r="X1448" s="6"/>
      <c r="Y1448" s="6"/>
      <c r="Z1448" s="6" t="s">
        <v>267</v>
      </c>
      <c r="AA1448" s="6" t="s">
        <v>115</v>
      </c>
      <c r="AB1448" s="8"/>
      <c r="AC1448" s="27">
        <v>9785160191812</v>
      </c>
    </row>
    <row r="1449" spans="1:29" s="4" customFormat="1" ht="51.9" customHeight="1" x14ac:dyDescent="0.2">
      <c r="A1449" s="5">
        <v>0</v>
      </c>
      <c r="B1449" s="6" t="s">
        <v>8899</v>
      </c>
      <c r="C1449" s="7">
        <v>1504.8</v>
      </c>
      <c r="D1449" s="8" t="s">
        <v>8900</v>
      </c>
      <c r="E1449" s="8" t="s">
        <v>8901</v>
      </c>
      <c r="F1449" s="8" t="s">
        <v>8902</v>
      </c>
      <c r="G1449" s="6" t="s">
        <v>118</v>
      </c>
      <c r="H1449" s="6" t="s">
        <v>34</v>
      </c>
      <c r="I1449" s="8" t="s">
        <v>271</v>
      </c>
      <c r="J1449" s="9">
        <v>1</v>
      </c>
      <c r="K1449" s="9">
        <v>216</v>
      </c>
      <c r="L1449" s="9">
        <v>2027</v>
      </c>
      <c r="M1449" s="8" t="s">
        <v>8903</v>
      </c>
      <c r="N1449" s="8" t="s">
        <v>37</v>
      </c>
      <c r="O1449" s="8" t="s">
        <v>233</v>
      </c>
      <c r="P1449" s="6" t="s">
        <v>51</v>
      </c>
      <c r="Q1449" s="8" t="s">
        <v>52</v>
      </c>
      <c r="R1449" s="10" t="s">
        <v>8904</v>
      </c>
      <c r="S1449" s="11" t="s">
        <v>2238</v>
      </c>
      <c r="T1449" s="6" t="s">
        <v>97</v>
      </c>
      <c r="U1449" s="15" t="str">
        <f>HYPERLINK("https://media.infra-m.ru/2263/2263218/cover/2263218.jpg", "Обложка")</f>
        <v>Обложка</v>
      </c>
      <c r="V1449" s="8" t="s">
        <v>2222</v>
      </c>
      <c r="W1449" s="6"/>
      <c r="X1449" s="6"/>
      <c r="Y1449" s="6"/>
      <c r="Z1449" s="6"/>
      <c r="AA1449" s="6" t="s">
        <v>248</v>
      </c>
      <c r="AB1449" s="8"/>
      <c r="AC1449" s="27">
        <v>9785160068787</v>
      </c>
    </row>
    <row r="1450" spans="1:29" s="4" customFormat="1" ht="51.9" customHeight="1" x14ac:dyDescent="0.2">
      <c r="A1450" s="5">
        <v>0</v>
      </c>
      <c r="B1450" s="6" t="s">
        <v>8905</v>
      </c>
      <c r="C1450" s="7">
        <v>2724</v>
      </c>
      <c r="D1450" s="8" t="s">
        <v>8906</v>
      </c>
      <c r="E1450" s="8" t="s">
        <v>8907</v>
      </c>
      <c r="F1450" s="8" t="s">
        <v>8908</v>
      </c>
      <c r="G1450" s="6" t="s">
        <v>33</v>
      </c>
      <c r="H1450" s="6" t="s">
        <v>34</v>
      </c>
      <c r="I1450" s="8" t="s">
        <v>35</v>
      </c>
      <c r="J1450" s="9">
        <v>1</v>
      </c>
      <c r="K1450" s="9">
        <v>412</v>
      </c>
      <c r="L1450" s="9">
        <v>2026</v>
      </c>
      <c r="M1450" s="8" t="s">
        <v>8909</v>
      </c>
      <c r="N1450" s="8" t="s">
        <v>63</v>
      </c>
      <c r="O1450" s="8" t="s">
        <v>154</v>
      </c>
      <c r="P1450" s="6" t="s">
        <v>39</v>
      </c>
      <c r="Q1450" s="8" t="s">
        <v>40</v>
      </c>
      <c r="R1450" s="10" t="s">
        <v>8910</v>
      </c>
      <c r="S1450" s="11"/>
      <c r="T1450" s="6"/>
      <c r="U1450" s="15" t="str">
        <f>HYPERLINK("https://media.infra-m.ru/2215/2215334/cover/2215334.jpg", "Обложка")</f>
        <v>Обложка</v>
      </c>
      <c r="V1450" s="8" t="s">
        <v>5801</v>
      </c>
      <c r="W1450" s="6"/>
      <c r="X1450" s="6"/>
      <c r="Y1450" s="6"/>
      <c r="Z1450" s="6"/>
      <c r="AA1450" s="6" t="s">
        <v>157</v>
      </c>
      <c r="AB1450" s="8" t="s">
        <v>8911</v>
      </c>
      <c r="AC1450" s="27">
        <v>9785160176994</v>
      </c>
    </row>
    <row r="1451" spans="1:29" s="4" customFormat="1" ht="51.9" customHeight="1" x14ac:dyDescent="0.2">
      <c r="A1451" s="5">
        <v>0</v>
      </c>
      <c r="B1451" s="6" t="s">
        <v>8912</v>
      </c>
      <c r="C1451" s="7">
        <v>1620</v>
      </c>
      <c r="D1451" s="8" t="s">
        <v>8913</v>
      </c>
      <c r="E1451" s="8" t="s">
        <v>8914</v>
      </c>
      <c r="F1451" s="8" t="s">
        <v>654</v>
      </c>
      <c r="G1451" s="6" t="s">
        <v>118</v>
      </c>
      <c r="H1451" s="6" t="s">
        <v>34</v>
      </c>
      <c r="I1451" s="8" t="s">
        <v>504</v>
      </c>
      <c r="J1451" s="9">
        <v>1</v>
      </c>
      <c r="K1451" s="9">
        <v>301</v>
      </c>
      <c r="L1451" s="9">
        <v>2023</v>
      </c>
      <c r="M1451" s="8" t="s">
        <v>8915</v>
      </c>
      <c r="N1451" s="8" t="s">
        <v>37</v>
      </c>
      <c r="O1451" s="8" t="s">
        <v>280</v>
      </c>
      <c r="P1451" s="6" t="s">
        <v>306</v>
      </c>
      <c r="Q1451" s="8" t="s">
        <v>500</v>
      </c>
      <c r="R1451" s="10" t="s">
        <v>8916</v>
      </c>
      <c r="S1451" s="11" t="s">
        <v>8917</v>
      </c>
      <c r="T1451" s="6"/>
      <c r="U1451" s="15" t="str">
        <f>HYPERLINK("https://media.infra-m.ru/1920/1920311/cover/1920311.jpg", "Обложка")</f>
        <v>Обложка</v>
      </c>
      <c r="V1451" s="8" t="s">
        <v>657</v>
      </c>
      <c r="W1451" s="6"/>
      <c r="X1451" s="6"/>
      <c r="Y1451" s="6"/>
      <c r="Z1451" s="6"/>
      <c r="AA1451" s="6" t="s">
        <v>115</v>
      </c>
      <c r="AB1451" s="8"/>
      <c r="AC1451" s="27">
        <v>9785160147406</v>
      </c>
    </row>
    <row r="1452" spans="1:29" s="4" customFormat="1" ht="51.9" customHeight="1" x14ac:dyDescent="0.2">
      <c r="A1452" s="5">
        <v>0</v>
      </c>
      <c r="B1452" s="6" t="s">
        <v>8918</v>
      </c>
      <c r="C1452" s="7">
        <v>1980</v>
      </c>
      <c r="D1452" s="8" t="s">
        <v>8919</v>
      </c>
      <c r="E1452" s="8" t="s">
        <v>8920</v>
      </c>
      <c r="F1452" s="8" t="s">
        <v>654</v>
      </c>
      <c r="G1452" s="6" t="s">
        <v>118</v>
      </c>
      <c r="H1452" s="6" t="s">
        <v>34</v>
      </c>
      <c r="I1452" s="8" t="s">
        <v>253</v>
      </c>
      <c r="J1452" s="9">
        <v>1</v>
      </c>
      <c r="K1452" s="9">
        <v>324</v>
      </c>
      <c r="L1452" s="9">
        <v>2025</v>
      </c>
      <c r="M1452" s="8" t="s">
        <v>8921</v>
      </c>
      <c r="N1452" s="8" t="s">
        <v>37</v>
      </c>
      <c r="O1452" s="8" t="s">
        <v>280</v>
      </c>
      <c r="P1452" s="6" t="s">
        <v>306</v>
      </c>
      <c r="Q1452" s="8" t="s">
        <v>500</v>
      </c>
      <c r="R1452" s="10" t="s">
        <v>8916</v>
      </c>
      <c r="S1452" s="11" t="s">
        <v>8917</v>
      </c>
      <c r="T1452" s="6"/>
      <c r="U1452" s="15" t="str">
        <f>HYPERLINK("https://media.infra-m.ru/2184/2184927/cover/2184927.jpg", "Обложка")</f>
        <v>Обложка</v>
      </c>
      <c r="V1452" s="8" t="s">
        <v>657</v>
      </c>
      <c r="W1452" s="6"/>
      <c r="X1452" s="6"/>
      <c r="Y1452" s="6"/>
      <c r="Z1452" s="6"/>
      <c r="AA1452" s="6" t="s">
        <v>106</v>
      </c>
      <c r="AB1452" s="8"/>
      <c r="AC1452" s="27">
        <v>9785160206103</v>
      </c>
    </row>
    <row r="1453" spans="1:29" s="4" customFormat="1" ht="51.9" customHeight="1" x14ac:dyDescent="0.2">
      <c r="A1453" s="5">
        <v>0</v>
      </c>
      <c r="B1453" s="6" t="s">
        <v>8922</v>
      </c>
      <c r="C1453" s="7">
        <v>1668</v>
      </c>
      <c r="D1453" s="8" t="s">
        <v>8923</v>
      </c>
      <c r="E1453" s="8" t="s">
        <v>8924</v>
      </c>
      <c r="F1453" s="8" t="s">
        <v>8925</v>
      </c>
      <c r="G1453" s="6" t="s">
        <v>118</v>
      </c>
      <c r="H1453" s="6" t="s">
        <v>34</v>
      </c>
      <c r="I1453" s="8" t="s">
        <v>457</v>
      </c>
      <c r="J1453" s="9">
        <v>1</v>
      </c>
      <c r="K1453" s="9">
        <v>240</v>
      </c>
      <c r="L1453" s="9">
        <v>2026</v>
      </c>
      <c r="M1453" s="8" t="s">
        <v>8926</v>
      </c>
      <c r="N1453" s="8" t="s">
        <v>37</v>
      </c>
      <c r="O1453" s="8" t="s">
        <v>233</v>
      </c>
      <c r="P1453" s="6" t="s">
        <v>39</v>
      </c>
      <c r="Q1453" s="8" t="s">
        <v>40</v>
      </c>
      <c r="R1453" s="10" t="s">
        <v>8927</v>
      </c>
      <c r="S1453" s="11"/>
      <c r="T1453" s="6"/>
      <c r="U1453" s="15" t="str">
        <f>HYPERLINK("https://media.infra-m.ru/2226/2226526/cover/2226526.jpg", "Обложка")</f>
        <v>Обложка</v>
      </c>
      <c r="V1453" s="8" t="s">
        <v>6642</v>
      </c>
      <c r="W1453" s="6"/>
      <c r="X1453" s="6"/>
      <c r="Y1453" s="6"/>
      <c r="Z1453" s="6"/>
      <c r="AA1453" s="6" t="s">
        <v>68</v>
      </c>
      <c r="AB1453" s="8"/>
      <c r="AC1453" s="27">
        <v>9785160200477</v>
      </c>
    </row>
    <row r="1454" spans="1:29" s="4" customFormat="1" ht="51.9" customHeight="1" x14ac:dyDescent="0.2">
      <c r="A1454" s="5">
        <v>0</v>
      </c>
      <c r="B1454" s="6" t="s">
        <v>8928</v>
      </c>
      <c r="C1454" s="13">
        <v>761.9</v>
      </c>
      <c r="D1454" s="8" t="s">
        <v>8929</v>
      </c>
      <c r="E1454" s="8" t="s">
        <v>8930</v>
      </c>
      <c r="F1454" s="8" t="s">
        <v>8931</v>
      </c>
      <c r="G1454" s="6" t="s">
        <v>60</v>
      </c>
      <c r="H1454" s="6" t="s">
        <v>34</v>
      </c>
      <c r="I1454" s="8" t="s">
        <v>35</v>
      </c>
      <c r="J1454" s="9">
        <v>1</v>
      </c>
      <c r="K1454" s="9">
        <v>204</v>
      </c>
      <c r="L1454" s="9">
        <v>2018</v>
      </c>
      <c r="M1454" s="8" t="s">
        <v>8932</v>
      </c>
      <c r="N1454" s="8" t="s">
        <v>37</v>
      </c>
      <c r="O1454" s="8" t="s">
        <v>280</v>
      </c>
      <c r="P1454" s="6" t="s">
        <v>39</v>
      </c>
      <c r="Q1454" s="8" t="s">
        <v>40</v>
      </c>
      <c r="R1454" s="10" t="s">
        <v>8933</v>
      </c>
      <c r="S1454" s="11"/>
      <c r="T1454" s="6"/>
      <c r="U1454" s="15" t="str">
        <f>HYPERLINK("https://media.infra-m.ru/0925/0925853/cover/925853.jpg", "Обложка")</f>
        <v>Обложка</v>
      </c>
      <c r="V1454" s="8" t="s">
        <v>3196</v>
      </c>
      <c r="W1454" s="6"/>
      <c r="X1454" s="6"/>
      <c r="Y1454" s="6"/>
      <c r="Z1454" s="6"/>
      <c r="AA1454" s="6" t="s">
        <v>3800</v>
      </c>
      <c r="AB1454" s="8"/>
      <c r="AC1454" s="27">
        <v>9785160117683</v>
      </c>
    </row>
    <row r="1455" spans="1:29" s="4" customFormat="1" ht="51.9" customHeight="1" x14ac:dyDescent="0.2">
      <c r="A1455" s="5">
        <v>0</v>
      </c>
      <c r="B1455" s="6" t="s">
        <v>8934</v>
      </c>
      <c r="C1455" s="7">
        <v>1104</v>
      </c>
      <c r="D1455" s="8" t="s">
        <v>8935</v>
      </c>
      <c r="E1455" s="8" t="s">
        <v>8930</v>
      </c>
      <c r="F1455" s="8" t="s">
        <v>8931</v>
      </c>
      <c r="G1455" s="6" t="s">
        <v>33</v>
      </c>
      <c r="H1455" s="6" t="s">
        <v>34</v>
      </c>
      <c r="I1455" s="8" t="s">
        <v>35</v>
      </c>
      <c r="J1455" s="9">
        <v>1</v>
      </c>
      <c r="K1455" s="9">
        <v>204</v>
      </c>
      <c r="L1455" s="9">
        <v>2023</v>
      </c>
      <c r="M1455" s="8" t="s">
        <v>8936</v>
      </c>
      <c r="N1455" s="8" t="s">
        <v>37</v>
      </c>
      <c r="O1455" s="8" t="s">
        <v>280</v>
      </c>
      <c r="P1455" s="6" t="s">
        <v>39</v>
      </c>
      <c r="Q1455" s="8" t="s">
        <v>40</v>
      </c>
      <c r="R1455" s="10" t="s">
        <v>8933</v>
      </c>
      <c r="S1455" s="11"/>
      <c r="T1455" s="6" t="s">
        <v>97</v>
      </c>
      <c r="U1455" s="15" t="str">
        <f>HYPERLINK("https://media.infra-m.ru/2038/2038259/cover/2038259.jpg", "Обложка")</f>
        <v>Обложка</v>
      </c>
      <c r="V1455" s="8" t="s">
        <v>3196</v>
      </c>
      <c r="W1455" s="6"/>
      <c r="X1455" s="6"/>
      <c r="Y1455" s="6"/>
      <c r="Z1455" s="6"/>
      <c r="AA1455" s="6" t="s">
        <v>3800</v>
      </c>
      <c r="AB1455" s="8"/>
      <c r="AC1455" s="27">
        <v>9785160186887</v>
      </c>
    </row>
    <row r="1456" spans="1:29" s="4" customFormat="1" ht="51.9" customHeight="1" x14ac:dyDescent="0.2">
      <c r="A1456" s="5">
        <v>0</v>
      </c>
      <c r="B1456" s="6" t="s">
        <v>8937</v>
      </c>
      <c r="C1456" s="13">
        <v>184.8</v>
      </c>
      <c r="D1456" s="8" t="s">
        <v>8938</v>
      </c>
      <c r="E1456" s="8" t="s">
        <v>8939</v>
      </c>
      <c r="F1456" s="8" t="s">
        <v>6770</v>
      </c>
      <c r="G1456" s="6" t="s">
        <v>33</v>
      </c>
      <c r="H1456" s="6" t="s">
        <v>313</v>
      </c>
      <c r="I1456" s="8"/>
      <c r="J1456" s="9">
        <v>1</v>
      </c>
      <c r="K1456" s="9">
        <v>11</v>
      </c>
      <c r="L1456" s="9">
        <v>2026</v>
      </c>
      <c r="M1456" s="8" t="s">
        <v>8940</v>
      </c>
      <c r="N1456" s="8" t="s">
        <v>37</v>
      </c>
      <c r="O1456" s="8" t="s">
        <v>136</v>
      </c>
      <c r="P1456" s="6" t="s">
        <v>6774</v>
      </c>
      <c r="Q1456" s="8" t="s">
        <v>40</v>
      </c>
      <c r="R1456" s="10" t="s">
        <v>8941</v>
      </c>
      <c r="S1456" s="11"/>
      <c r="T1456" s="6"/>
      <c r="U1456" s="15" t="str">
        <f>HYPERLINK("https://media.infra-m.ru/2256/2256023/cover/2256023.jpg", "Обложка")</f>
        <v>Обложка</v>
      </c>
      <c r="V1456" s="8"/>
      <c r="W1456" s="6"/>
      <c r="X1456" s="6"/>
      <c r="Y1456" s="6"/>
      <c r="Z1456" s="6"/>
      <c r="AA1456" s="6" t="s">
        <v>1007</v>
      </c>
      <c r="AB1456" s="8"/>
      <c r="AC1456" s="27">
        <v>9785369006269</v>
      </c>
    </row>
    <row r="1457" spans="1:29" s="4" customFormat="1" ht="51.9" customHeight="1" x14ac:dyDescent="0.2">
      <c r="A1457" s="5">
        <v>0</v>
      </c>
      <c r="B1457" s="6" t="s">
        <v>8942</v>
      </c>
      <c r="C1457" s="7">
        <v>3444</v>
      </c>
      <c r="D1457" s="8" t="s">
        <v>8943</v>
      </c>
      <c r="E1457" s="8" t="s">
        <v>8944</v>
      </c>
      <c r="F1457" s="8" t="s">
        <v>8945</v>
      </c>
      <c r="G1457" s="6" t="s">
        <v>60</v>
      </c>
      <c r="H1457" s="6" t="s">
        <v>34</v>
      </c>
      <c r="I1457" s="8" t="s">
        <v>253</v>
      </c>
      <c r="J1457" s="9">
        <v>1</v>
      </c>
      <c r="K1457" s="9">
        <v>522</v>
      </c>
      <c r="L1457" s="9">
        <v>2026</v>
      </c>
      <c r="M1457" s="8" t="s">
        <v>8946</v>
      </c>
      <c r="N1457" s="8" t="s">
        <v>243</v>
      </c>
      <c r="O1457" s="8" t="s">
        <v>1100</v>
      </c>
      <c r="P1457" s="6" t="s">
        <v>306</v>
      </c>
      <c r="Q1457" s="8" t="s">
        <v>52</v>
      </c>
      <c r="R1457" s="10" t="s">
        <v>8947</v>
      </c>
      <c r="S1457" s="11" t="s">
        <v>8948</v>
      </c>
      <c r="T1457" s="6" t="s">
        <v>97</v>
      </c>
      <c r="U1457" s="15" t="str">
        <f>HYPERLINK("https://media.infra-m.ru/2231/2231739/cover/2231739.jpg", "Обложка")</f>
        <v>Обложка</v>
      </c>
      <c r="V1457" s="8" t="s">
        <v>1030</v>
      </c>
      <c r="W1457" s="6"/>
      <c r="X1457" s="6"/>
      <c r="Y1457" s="6"/>
      <c r="Z1457" s="6"/>
      <c r="AA1457" s="6" t="s">
        <v>779</v>
      </c>
      <c r="AB1457" s="8"/>
      <c r="AC1457" s="27">
        <v>9785160191768</v>
      </c>
    </row>
    <row r="1458" spans="1:29" s="4" customFormat="1" ht="51.9" customHeight="1" x14ac:dyDescent="0.2">
      <c r="A1458" s="5">
        <v>0</v>
      </c>
      <c r="B1458" s="6" t="s">
        <v>8949</v>
      </c>
      <c r="C1458" s="7">
        <v>3448.8</v>
      </c>
      <c r="D1458" s="8" t="s">
        <v>8950</v>
      </c>
      <c r="E1458" s="8" t="s">
        <v>8944</v>
      </c>
      <c r="F1458" s="8" t="s">
        <v>8945</v>
      </c>
      <c r="G1458" s="6" t="s">
        <v>118</v>
      </c>
      <c r="H1458" s="6" t="s">
        <v>34</v>
      </c>
      <c r="I1458" s="8" t="s">
        <v>263</v>
      </c>
      <c r="J1458" s="9">
        <v>1</v>
      </c>
      <c r="K1458" s="9">
        <v>522</v>
      </c>
      <c r="L1458" s="9">
        <v>2026</v>
      </c>
      <c r="M1458" s="8" t="s">
        <v>8951</v>
      </c>
      <c r="N1458" s="8" t="s">
        <v>243</v>
      </c>
      <c r="O1458" s="8" t="s">
        <v>1100</v>
      </c>
      <c r="P1458" s="6" t="s">
        <v>306</v>
      </c>
      <c r="Q1458" s="8" t="s">
        <v>265</v>
      </c>
      <c r="R1458" s="10" t="s">
        <v>8952</v>
      </c>
      <c r="S1458" s="11" t="s">
        <v>8953</v>
      </c>
      <c r="T1458" s="6" t="s">
        <v>97</v>
      </c>
      <c r="U1458" s="15" t="str">
        <f>HYPERLINK("https://media.infra-m.ru/2233/2233063/cover/2233063.jpg", "Обложка")</f>
        <v>Обложка</v>
      </c>
      <c r="V1458" s="8" t="s">
        <v>1030</v>
      </c>
      <c r="W1458" s="6"/>
      <c r="X1458" s="6"/>
      <c r="Y1458" s="6"/>
      <c r="Z1458" s="6" t="s">
        <v>267</v>
      </c>
      <c r="AA1458" s="6" t="s">
        <v>86</v>
      </c>
      <c r="AB1458" s="8"/>
      <c r="AC1458" s="27">
        <v>9785160139104</v>
      </c>
    </row>
    <row r="1459" spans="1:29" s="4" customFormat="1" ht="42" customHeight="1" x14ac:dyDescent="0.2">
      <c r="A1459" s="5">
        <v>0</v>
      </c>
      <c r="B1459" s="6" t="s">
        <v>8954</v>
      </c>
      <c r="C1459" s="7">
        <v>3444</v>
      </c>
      <c r="D1459" s="8" t="s">
        <v>8955</v>
      </c>
      <c r="E1459" s="8" t="s">
        <v>8944</v>
      </c>
      <c r="F1459" s="8" t="s">
        <v>8945</v>
      </c>
      <c r="G1459" s="6" t="s">
        <v>60</v>
      </c>
      <c r="H1459" s="6" t="s">
        <v>34</v>
      </c>
      <c r="I1459" s="8" t="s">
        <v>179</v>
      </c>
      <c r="J1459" s="9">
        <v>1</v>
      </c>
      <c r="K1459" s="9">
        <v>514</v>
      </c>
      <c r="L1459" s="9">
        <v>2026</v>
      </c>
      <c r="M1459" s="8" t="s">
        <v>8956</v>
      </c>
      <c r="N1459" s="8" t="s">
        <v>243</v>
      </c>
      <c r="O1459" s="8" t="s">
        <v>1100</v>
      </c>
      <c r="P1459" s="6" t="s">
        <v>182</v>
      </c>
      <c r="Q1459" s="8"/>
      <c r="R1459" s="10" t="s">
        <v>8952</v>
      </c>
      <c r="S1459" s="11"/>
      <c r="T1459" s="6" t="s">
        <v>97</v>
      </c>
      <c r="U1459" s="15" t="str">
        <f>HYPERLINK("https://media.infra-m.ru/2176/2176673/cover/2176673.jpg", "Обложка")</f>
        <v>Обложка</v>
      </c>
      <c r="V1459" s="8" t="s">
        <v>1030</v>
      </c>
      <c r="W1459" s="6" t="s">
        <v>1382</v>
      </c>
      <c r="X1459" s="6"/>
      <c r="Y1459" s="6"/>
      <c r="Z1459" s="6"/>
      <c r="AA1459" s="6" t="s">
        <v>187</v>
      </c>
      <c r="AB1459" s="8"/>
      <c r="AC1459" s="27">
        <v>9785160204758</v>
      </c>
    </row>
    <row r="1460" spans="1:29" s="4" customFormat="1" ht="51.9" customHeight="1" x14ac:dyDescent="0.2">
      <c r="A1460" s="5">
        <v>0</v>
      </c>
      <c r="B1460" s="6" t="s">
        <v>8957</v>
      </c>
      <c r="C1460" s="7">
        <v>2914.8</v>
      </c>
      <c r="D1460" s="8" t="s">
        <v>8958</v>
      </c>
      <c r="E1460" s="8" t="s">
        <v>8959</v>
      </c>
      <c r="F1460" s="8" t="s">
        <v>8960</v>
      </c>
      <c r="G1460" s="6" t="s">
        <v>118</v>
      </c>
      <c r="H1460" s="6" t="s">
        <v>48</v>
      </c>
      <c r="I1460" s="8" t="s">
        <v>263</v>
      </c>
      <c r="J1460" s="9">
        <v>1</v>
      </c>
      <c r="K1460" s="9">
        <v>288</v>
      </c>
      <c r="L1460" s="9">
        <v>2027</v>
      </c>
      <c r="M1460" s="8" t="s">
        <v>8961</v>
      </c>
      <c r="N1460" s="8" t="s">
        <v>63</v>
      </c>
      <c r="O1460" s="8" t="s">
        <v>181</v>
      </c>
      <c r="P1460" s="6" t="s">
        <v>51</v>
      </c>
      <c r="Q1460" s="8" t="s">
        <v>265</v>
      </c>
      <c r="R1460" s="10" t="s">
        <v>8962</v>
      </c>
      <c r="S1460" s="11" t="s">
        <v>4567</v>
      </c>
      <c r="T1460" s="6"/>
      <c r="U1460" s="15" t="str">
        <f>HYPERLINK("https://media.infra-m.ru/2266/2266247/cover/2266247.jpg", "Обложка")</f>
        <v>Обложка</v>
      </c>
      <c r="V1460" s="8" t="s">
        <v>227</v>
      </c>
      <c r="W1460" s="6"/>
      <c r="X1460" s="6"/>
      <c r="Y1460" s="6"/>
      <c r="Z1460" s="6"/>
      <c r="AA1460" s="6" t="s">
        <v>3800</v>
      </c>
      <c r="AB1460" s="8"/>
      <c r="AC1460" s="27">
        <v>9785000914021</v>
      </c>
    </row>
    <row r="1461" spans="1:29" s="4" customFormat="1" ht="42" customHeight="1" x14ac:dyDescent="0.2">
      <c r="A1461" s="5">
        <v>0</v>
      </c>
      <c r="B1461" s="6" t="s">
        <v>8963</v>
      </c>
      <c r="C1461" s="7">
        <v>2014.8</v>
      </c>
      <c r="D1461" s="8" t="s">
        <v>8964</v>
      </c>
      <c r="E1461" s="8" t="s">
        <v>8959</v>
      </c>
      <c r="F1461" s="8" t="s">
        <v>8965</v>
      </c>
      <c r="G1461" s="6" t="s">
        <v>118</v>
      </c>
      <c r="H1461" s="6" t="s">
        <v>34</v>
      </c>
      <c r="I1461" s="8" t="s">
        <v>179</v>
      </c>
      <c r="J1461" s="9">
        <v>1</v>
      </c>
      <c r="K1461" s="9">
        <v>288</v>
      </c>
      <c r="L1461" s="9">
        <v>2027</v>
      </c>
      <c r="M1461" s="8" t="s">
        <v>8966</v>
      </c>
      <c r="N1461" s="8" t="s">
        <v>63</v>
      </c>
      <c r="O1461" s="8" t="s">
        <v>181</v>
      </c>
      <c r="P1461" s="6" t="s">
        <v>182</v>
      </c>
      <c r="Q1461" s="8"/>
      <c r="R1461" s="10" t="s">
        <v>8967</v>
      </c>
      <c r="S1461" s="11"/>
      <c r="T1461" s="6"/>
      <c r="U1461" s="15" t="str">
        <f>HYPERLINK("https://media.infra-m.ru/2263/2263915/cover/2263915.jpg", "Обложка")</f>
        <v>Обложка</v>
      </c>
      <c r="V1461" s="8" t="s">
        <v>227</v>
      </c>
      <c r="W1461" s="6"/>
      <c r="X1461" s="6"/>
      <c r="Y1461" s="6"/>
      <c r="Z1461" s="6"/>
      <c r="AA1461" s="6" t="s">
        <v>1295</v>
      </c>
      <c r="AB1461" s="8"/>
      <c r="AC1461" s="27">
        <v>9785160217178</v>
      </c>
    </row>
    <row r="1462" spans="1:29" s="4" customFormat="1" ht="42" customHeight="1" x14ac:dyDescent="0.2">
      <c r="A1462" s="5">
        <v>0</v>
      </c>
      <c r="B1462" s="6" t="s">
        <v>8968</v>
      </c>
      <c r="C1462" s="7">
        <v>2640</v>
      </c>
      <c r="D1462" s="8" t="s">
        <v>8969</v>
      </c>
      <c r="E1462" s="8" t="s">
        <v>8970</v>
      </c>
      <c r="F1462" s="8" t="s">
        <v>8971</v>
      </c>
      <c r="G1462" s="6" t="s">
        <v>60</v>
      </c>
      <c r="H1462" s="6" t="s">
        <v>34</v>
      </c>
      <c r="I1462" s="8"/>
      <c r="J1462" s="9">
        <v>1</v>
      </c>
      <c r="K1462" s="9">
        <v>240</v>
      </c>
      <c r="L1462" s="9">
        <v>2026</v>
      </c>
      <c r="M1462" s="8" t="s">
        <v>8972</v>
      </c>
      <c r="N1462" s="8" t="s">
        <v>37</v>
      </c>
      <c r="O1462" s="8" t="s">
        <v>233</v>
      </c>
      <c r="P1462" s="6" t="s">
        <v>39</v>
      </c>
      <c r="Q1462" s="8" t="s">
        <v>40</v>
      </c>
      <c r="R1462" s="10" t="s">
        <v>3169</v>
      </c>
      <c r="S1462" s="11"/>
      <c r="T1462" s="6"/>
      <c r="U1462" s="15" t="str">
        <f>HYPERLINK("https://media.infra-m.ru/2259/2259674/cover/2259674.jpg", "Обложка")</f>
        <v>Обложка</v>
      </c>
      <c r="V1462" s="8" t="s">
        <v>644</v>
      </c>
      <c r="W1462" s="6" t="s">
        <v>2115</v>
      </c>
      <c r="X1462" s="6"/>
      <c r="Y1462" s="6"/>
      <c r="Z1462" s="6"/>
      <c r="AA1462" s="6" t="s">
        <v>187</v>
      </c>
      <c r="AB1462" s="8"/>
      <c r="AC1462" s="27">
        <v>9785160222431</v>
      </c>
    </row>
    <row r="1463" spans="1:29" s="4" customFormat="1" ht="51.9" customHeight="1" x14ac:dyDescent="0.2">
      <c r="A1463" s="5">
        <v>0</v>
      </c>
      <c r="B1463" s="6" t="s">
        <v>8973</v>
      </c>
      <c r="C1463" s="7">
        <v>1216.8</v>
      </c>
      <c r="D1463" s="8" t="s">
        <v>8974</v>
      </c>
      <c r="E1463" s="8" t="s">
        <v>8975</v>
      </c>
      <c r="F1463" s="8" t="s">
        <v>8976</v>
      </c>
      <c r="G1463" s="6" t="s">
        <v>60</v>
      </c>
      <c r="H1463" s="6" t="s">
        <v>34</v>
      </c>
      <c r="I1463" s="8" t="s">
        <v>263</v>
      </c>
      <c r="J1463" s="9">
        <v>1</v>
      </c>
      <c r="K1463" s="9">
        <v>173</v>
      </c>
      <c r="L1463" s="9">
        <v>2026</v>
      </c>
      <c r="M1463" s="8" t="s">
        <v>8977</v>
      </c>
      <c r="N1463" s="8" t="s">
        <v>37</v>
      </c>
      <c r="O1463" s="8" t="s">
        <v>499</v>
      </c>
      <c r="P1463" s="6" t="s">
        <v>51</v>
      </c>
      <c r="Q1463" s="8" t="s">
        <v>265</v>
      </c>
      <c r="R1463" s="10" t="s">
        <v>8978</v>
      </c>
      <c r="S1463" s="11"/>
      <c r="T1463" s="6"/>
      <c r="U1463" s="15" t="str">
        <f>HYPERLINK("https://media.infra-m.ru/2259/2259031/cover/2259031.jpg", "Обложка")</f>
        <v>Обложка</v>
      </c>
      <c r="V1463" s="8" t="s">
        <v>8979</v>
      </c>
      <c r="W1463" s="6"/>
      <c r="X1463" s="6"/>
      <c r="Y1463" s="6"/>
      <c r="Z1463" s="6"/>
      <c r="AA1463" s="6" t="s">
        <v>68</v>
      </c>
      <c r="AB1463" s="8"/>
      <c r="AC1463" s="27">
        <v>9785160205281</v>
      </c>
    </row>
    <row r="1464" spans="1:29" s="4" customFormat="1" ht="51.9" customHeight="1" x14ac:dyDescent="0.2">
      <c r="A1464" s="5">
        <v>0</v>
      </c>
      <c r="B1464" s="6" t="s">
        <v>8980</v>
      </c>
      <c r="C1464" s="13">
        <v>952.8</v>
      </c>
      <c r="D1464" s="8" t="s">
        <v>8981</v>
      </c>
      <c r="E1464" s="8" t="s">
        <v>8982</v>
      </c>
      <c r="F1464" s="8" t="s">
        <v>8983</v>
      </c>
      <c r="G1464" s="6" t="s">
        <v>60</v>
      </c>
      <c r="H1464" s="6" t="s">
        <v>34</v>
      </c>
      <c r="I1464" s="8" t="s">
        <v>253</v>
      </c>
      <c r="J1464" s="9">
        <v>1</v>
      </c>
      <c r="K1464" s="9">
        <v>153</v>
      </c>
      <c r="L1464" s="9">
        <v>2026</v>
      </c>
      <c r="M1464" s="8" t="s">
        <v>8984</v>
      </c>
      <c r="N1464" s="8" t="s">
        <v>37</v>
      </c>
      <c r="O1464" s="8" t="s">
        <v>280</v>
      </c>
      <c r="P1464" s="6" t="s">
        <v>51</v>
      </c>
      <c r="Q1464" s="8" t="s">
        <v>52</v>
      </c>
      <c r="R1464" s="10" t="s">
        <v>8985</v>
      </c>
      <c r="S1464" s="11"/>
      <c r="T1464" s="6"/>
      <c r="U1464" s="15" t="str">
        <f>HYPERLINK("https://media.infra-m.ru/2223/2223175/cover/2223175.jpg", "Обложка")</f>
        <v>Обложка</v>
      </c>
      <c r="V1464" s="8" t="s">
        <v>8986</v>
      </c>
      <c r="W1464" s="6"/>
      <c r="X1464" s="6"/>
      <c r="Y1464" s="6"/>
      <c r="Z1464" s="6"/>
      <c r="AA1464" s="6" t="s">
        <v>8987</v>
      </c>
      <c r="AB1464" s="8"/>
      <c r="AC1464" s="27">
        <v>9785160178417</v>
      </c>
    </row>
    <row r="1465" spans="1:29" s="4" customFormat="1" ht="51.9" customHeight="1" x14ac:dyDescent="0.2">
      <c r="A1465" s="5">
        <v>0</v>
      </c>
      <c r="B1465" s="6" t="s">
        <v>8988</v>
      </c>
      <c r="C1465" s="13">
        <v>744</v>
      </c>
      <c r="D1465" s="8" t="s">
        <v>8989</v>
      </c>
      <c r="E1465" s="8" t="s">
        <v>8990</v>
      </c>
      <c r="F1465" s="8" t="s">
        <v>8991</v>
      </c>
      <c r="G1465" s="6" t="s">
        <v>33</v>
      </c>
      <c r="H1465" s="6" t="s">
        <v>34</v>
      </c>
      <c r="I1465" s="8" t="s">
        <v>271</v>
      </c>
      <c r="J1465" s="9">
        <v>1</v>
      </c>
      <c r="K1465" s="9">
        <v>136</v>
      </c>
      <c r="L1465" s="9">
        <v>2022</v>
      </c>
      <c r="M1465" s="8" t="s">
        <v>8992</v>
      </c>
      <c r="N1465" s="8" t="s">
        <v>37</v>
      </c>
      <c r="O1465" s="8" t="s">
        <v>280</v>
      </c>
      <c r="P1465" s="6" t="s">
        <v>1481</v>
      </c>
      <c r="Q1465" s="8" t="s">
        <v>52</v>
      </c>
      <c r="R1465" s="10" t="s">
        <v>8985</v>
      </c>
      <c r="S1465" s="11" t="s">
        <v>8993</v>
      </c>
      <c r="T1465" s="6"/>
      <c r="U1465" s="15" t="str">
        <f>HYPERLINK("https://media.infra-m.ru/1710/1710999/cover/1710999.jpg", "Обложка")</f>
        <v>Обложка</v>
      </c>
      <c r="V1465" s="8" t="s">
        <v>8986</v>
      </c>
      <c r="W1465" s="6"/>
      <c r="X1465" s="6"/>
      <c r="Y1465" s="6"/>
      <c r="Z1465" s="6"/>
      <c r="AA1465" s="6" t="s">
        <v>8994</v>
      </c>
      <c r="AB1465" s="8"/>
      <c r="AC1465" s="27">
        <v>9785160099187</v>
      </c>
    </row>
    <row r="1466" spans="1:29" s="4" customFormat="1" ht="51.9" customHeight="1" x14ac:dyDescent="0.2">
      <c r="A1466" s="5">
        <v>0</v>
      </c>
      <c r="B1466" s="6" t="s">
        <v>8995</v>
      </c>
      <c r="C1466" s="13">
        <v>744</v>
      </c>
      <c r="D1466" s="8" t="s">
        <v>8996</v>
      </c>
      <c r="E1466" s="8" t="s">
        <v>8990</v>
      </c>
      <c r="F1466" s="8" t="s">
        <v>8991</v>
      </c>
      <c r="G1466" s="6" t="s">
        <v>33</v>
      </c>
      <c r="H1466" s="6" t="s">
        <v>34</v>
      </c>
      <c r="I1466" s="8" t="s">
        <v>263</v>
      </c>
      <c r="J1466" s="9">
        <v>1</v>
      </c>
      <c r="K1466" s="9">
        <v>136</v>
      </c>
      <c r="L1466" s="9">
        <v>2023</v>
      </c>
      <c r="M1466" s="8" t="s">
        <v>8997</v>
      </c>
      <c r="N1466" s="8" t="s">
        <v>37</v>
      </c>
      <c r="O1466" s="8" t="s">
        <v>280</v>
      </c>
      <c r="P1466" s="6" t="s">
        <v>1481</v>
      </c>
      <c r="Q1466" s="8" t="s">
        <v>265</v>
      </c>
      <c r="R1466" s="10" t="s">
        <v>8998</v>
      </c>
      <c r="S1466" s="11" t="s">
        <v>8999</v>
      </c>
      <c r="T1466" s="6"/>
      <c r="U1466" s="15" t="str">
        <f>HYPERLINK("https://media.infra-m.ru/2008/2008751/cover/2008751.jpg", "Обложка")</f>
        <v>Обложка</v>
      </c>
      <c r="V1466" s="8" t="s">
        <v>8986</v>
      </c>
      <c r="W1466" s="6"/>
      <c r="X1466" s="6"/>
      <c r="Y1466" s="6"/>
      <c r="Z1466" s="6" t="s">
        <v>267</v>
      </c>
      <c r="AA1466" s="6" t="s">
        <v>1117</v>
      </c>
      <c r="AB1466" s="8"/>
      <c r="AC1466" s="27">
        <v>9785160145471</v>
      </c>
    </row>
    <row r="1467" spans="1:29" s="4" customFormat="1" ht="51.9" customHeight="1" x14ac:dyDescent="0.2">
      <c r="A1467" s="5">
        <v>0</v>
      </c>
      <c r="B1467" s="6" t="s">
        <v>9000</v>
      </c>
      <c r="C1467" s="7">
        <v>1012.8</v>
      </c>
      <c r="D1467" s="8" t="s">
        <v>9001</v>
      </c>
      <c r="E1467" s="8" t="s">
        <v>8982</v>
      </c>
      <c r="F1467" s="8" t="s">
        <v>8983</v>
      </c>
      <c r="G1467" s="6" t="s">
        <v>60</v>
      </c>
      <c r="H1467" s="6" t="s">
        <v>34</v>
      </c>
      <c r="I1467" s="8" t="s">
        <v>263</v>
      </c>
      <c r="J1467" s="9">
        <v>1</v>
      </c>
      <c r="K1467" s="9">
        <v>153</v>
      </c>
      <c r="L1467" s="9">
        <v>2026</v>
      </c>
      <c r="M1467" s="8" t="s">
        <v>9002</v>
      </c>
      <c r="N1467" s="8" t="s">
        <v>37</v>
      </c>
      <c r="O1467" s="8" t="s">
        <v>280</v>
      </c>
      <c r="P1467" s="6" t="s">
        <v>1481</v>
      </c>
      <c r="Q1467" s="8" t="s">
        <v>265</v>
      </c>
      <c r="R1467" s="10" t="s">
        <v>8998</v>
      </c>
      <c r="S1467" s="11" t="s">
        <v>8999</v>
      </c>
      <c r="T1467" s="6"/>
      <c r="U1467" s="15" t="str">
        <f>HYPERLINK("https://media.infra-m.ru/2229/2229956/cover/2229956.jpg", "Обложка")</f>
        <v>Обложка</v>
      </c>
      <c r="V1467" s="8" t="s">
        <v>8986</v>
      </c>
      <c r="W1467" s="6"/>
      <c r="X1467" s="6"/>
      <c r="Y1467" s="6"/>
      <c r="Z1467" s="6" t="s">
        <v>267</v>
      </c>
      <c r="AA1467" s="6" t="s">
        <v>8987</v>
      </c>
      <c r="AB1467" s="8"/>
      <c r="AC1467" s="27">
        <v>9785160200132</v>
      </c>
    </row>
    <row r="1468" spans="1:29" s="4" customFormat="1" ht="51.9" customHeight="1" x14ac:dyDescent="0.2">
      <c r="A1468" s="5">
        <v>0</v>
      </c>
      <c r="B1468" s="6" t="s">
        <v>9003</v>
      </c>
      <c r="C1468" s="7">
        <v>2244</v>
      </c>
      <c r="D1468" s="8" t="s">
        <v>9004</v>
      </c>
      <c r="E1468" s="8" t="s">
        <v>9005</v>
      </c>
      <c r="F1468" s="8" t="s">
        <v>9006</v>
      </c>
      <c r="G1468" s="6" t="s">
        <v>118</v>
      </c>
      <c r="H1468" s="6" t="s">
        <v>34</v>
      </c>
      <c r="I1468" s="8" t="s">
        <v>253</v>
      </c>
      <c r="J1468" s="9">
        <v>1</v>
      </c>
      <c r="K1468" s="9">
        <v>323</v>
      </c>
      <c r="L1468" s="9">
        <v>2026</v>
      </c>
      <c r="M1468" s="8" t="s">
        <v>9007</v>
      </c>
      <c r="N1468" s="8" t="s">
        <v>37</v>
      </c>
      <c r="O1468" s="8" t="s">
        <v>280</v>
      </c>
      <c r="P1468" s="6" t="s">
        <v>306</v>
      </c>
      <c r="Q1468" s="8" t="s">
        <v>65</v>
      </c>
      <c r="R1468" s="10" t="s">
        <v>9008</v>
      </c>
      <c r="S1468" s="11" t="s">
        <v>9009</v>
      </c>
      <c r="T1468" s="6"/>
      <c r="U1468" s="15" t="str">
        <f>HYPERLINK("https://media.infra-m.ru/2258/2258675/cover/2258675.jpg", "Обложка")</f>
        <v>Обложка</v>
      </c>
      <c r="V1468" s="8" t="s">
        <v>2047</v>
      </c>
      <c r="W1468" s="6"/>
      <c r="X1468" s="6"/>
      <c r="Y1468" s="6"/>
      <c r="Z1468" s="6"/>
      <c r="AA1468" s="6" t="s">
        <v>148</v>
      </c>
      <c r="AB1468" s="8"/>
      <c r="AC1468" s="27">
        <v>9785160185019</v>
      </c>
    </row>
    <row r="1469" spans="1:29" s="4" customFormat="1" ht="51.9" customHeight="1" x14ac:dyDescent="0.2">
      <c r="A1469" s="5">
        <v>0</v>
      </c>
      <c r="B1469" s="6" t="s">
        <v>9010</v>
      </c>
      <c r="C1469" s="7">
        <v>1812</v>
      </c>
      <c r="D1469" s="8" t="s">
        <v>9011</v>
      </c>
      <c r="E1469" s="8" t="s">
        <v>9005</v>
      </c>
      <c r="F1469" s="8" t="s">
        <v>9006</v>
      </c>
      <c r="G1469" s="6" t="s">
        <v>118</v>
      </c>
      <c r="H1469" s="6" t="s">
        <v>34</v>
      </c>
      <c r="I1469" s="8" t="s">
        <v>271</v>
      </c>
      <c r="J1469" s="9">
        <v>1</v>
      </c>
      <c r="K1469" s="9">
        <v>320</v>
      </c>
      <c r="L1469" s="9">
        <v>2023</v>
      </c>
      <c r="M1469" s="8" t="s">
        <v>9012</v>
      </c>
      <c r="N1469" s="8" t="s">
        <v>37</v>
      </c>
      <c r="O1469" s="8" t="s">
        <v>499</v>
      </c>
      <c r="P1469" s="6" t="s">
        <v>394</v>
      </c>
      <c r="Q1469" s="8" t="s">
        <v>52</v>
      </c>
      <c r="R1469" s="10" t="s">
        <v>5391</v>
      </c>
      <c r="S1469" s="11" t="s">
        <v>9013</v>
      </c>
      <c r="T1469" s="6"/>
      <c r="U1469" s="15" t="str">
        <f>HYPERLINK("https://media.infra-m.ru/2111/2111782/cover/2111782.jpg", "Обложка")</f>
        <v>Обложка</v>
      </c>
      <c r="V1469" s="8" t="s">
        <v>2047</v>
      </c>
      <c r="W1469" s="6"/>
      <c r="X1469" s="6"/>
      <c r="Y1469" s="6"/>
      <c r="Z1469" s="6"/>
      <c r="AA1469" s="6" t="s">
        <v>157</v>
      </c>
      <c r="AB1469" s="8"/>
      <c r="AC1469" s="27">
        <v>9785160174976</v>
      </c>
    </row>
    <row r="1470" spans="1:29" s="4" customFormat="1" ht="51.9" customHeight="1" x14ac:dyDescent="0.2">
      <c r="A1470" s="5">
        <v>0</v>
      </c>
      <c r="B1470" s="6" t="s">
        <v>9014</v>
      </c>
      <c r="C1470" s="7">
        <v>1056</v>
      </c>
      <c r="D1470" s="8" t="s">
        <v>9015</v>
      </c>
      <c r="E1470" s="8" t="s">
        <v>9016</v>
      </c>
      <c r="F1470" s="8" t="s">
        <v>2960</v>
      </c>
      <c r="G1470" s="6" t="s">
        <v>118</v>
      </c>
      <c r="H1470" s="6" t="s">
        <v>34</v>
      </c>
      <c r="I1470" s="8" t="s">
        <v>253</v>
      </c>
      <c r="J1470" s="9">
        <v>1</v>
      </c>
      <c r="K1470" s="9">
        <v>160</v>
      </c>
      <c r="L1470" s="9">
        <v>2026</v>
      </c>
      <c r="M1470" s="8" t="s">
        <v>9017</v>
      </c>
      <c r="N1470" s="8" t="s">
        <v>63</v>
      </c>
      <c r="O1470" s="8" t="s">
        <v>64</v>
      </c>
      <c r="P1470" s="6" t="s">
        <v>306</v>
      </c>
      <c r="Q1470" s="8" t="s">
        <v>52</v>
      </c>
      <c r="R1470" s="10" t="s">
        <v>357</v>
      </c>
      <c r="S1470" s="11" t="s">
        <v>2238</v>
      </c>
      <c r="T1470" s="6"/>
      <c r="U1470" s="15" t="str">
        <f>HYPERLINK("https://media.infra-m.ru/2218/2218983/cover/2218983.jpg", "Обложка")</f>
        <v>Обложка</v>
      </c>
      <c r="V1470" s="8" t="s">
        <v>2623</v>
      </c>
      <c r="W1470" s="6"/>
      <c r="X1470" s="6"/>
      <c r="Y1470" s="6"/>
      <c r="Z1470" s="6"/>
      <c r="AA1470" s="6" t="s">
        <v>248</v>
      </c>
      <c r="AB1470" s="8"/>
      <c r="AC1470" s="27">
        <v>9785160191690</v>
      </c>
    </row>
    <row r="1471" spans="1:29" s="4" customFormat="1" ht="51.9" customHeight="1" x14ac:dyDescent="0.2">
      <c r="A1471" s="5">
        <v>0</v>
      </c>
      <c r="B1471" s="6" t="s">
        <v>9018</v>
      </c>
      <c r="C1471" s="7">
        <v>1092</v>
      </c>
      <c r="D1471" s="8" t="s">
        <v>9019</v>
      </c>
      <c r="E1471" s="8" t="s">
        <v>9020</v>
      </c>
      <c r="F1471" s="8" t="s">
        <v>9021</v>
      </c>
      <c r="G1471" s="6" t="s">
        <v>33</v>
      </c>
      <c r="H1471" s="6" t="s">
        <v>34</v>
      </c>
      <c r="I1471" s="8" t="s">
        <v>253</v>
      </c>
      <c r="J1471" s="9">
        <v>1</v>
      </c>
      <c r="K1471" s="9">
        <v>165</v>
      </c>
      <c r="L1471" s="9">
        <v>2026</v>
      </c>
      <c r="M1471" s="8" t="s">
        <v>9022</v>
      </c>
      <c r="N1471" s="8" t="s">
        <v>63</v>
      </c>
      <c r="O1471" s="8" t="s">
        <v>64</v>
      </c>
      <c r="P1471" s="6" t="s">
        <v>51</v>
      </c>
      <c r="Q1471" s="8" t="s">
        <v>65</v>
      </c>
      <c r="R1471" s="10" t="s">
        <v>9023</v>
      </c>
      <c r="S1471" s="11" t="s">
        <v>9024</v>
      </c>
      <c r="T1471" s="6" t="s">
        <v>97</v>
      </c>
      <c r="U1471" s="15" t="str">
        <f>HYPERLINK("https://media.infra-m.ru/2225/2225177/cover/2225177.jpg", "Обложка")</f>
        <v>Обложка</v>
      </c>
      <c r="V1471" s="8" t="s">
        <v>657</v>
      </c>
      <c r="W1471" s="6"/>
      <c r="X1471" s="6"/>
      <c r="Y1471" s="6"/>
      <c r="Z1471" s="6"/>
      <c r="AA1471" s="6" t="s">
        <v>274</v>
      </c>
      <c r="AB1471" s="8"/>
      <c r="AC1471" s="27">
        <v>9785160185927</v>
      </c>
    </row>
    <row r="1472" spans="1:29" s="4" customFormat="1" ht="42" customHeight="1" x14ac:dyDescent="0.2">
      <c r="A1472" s="5">
        <v>0</v>
      </c>
      <c r="B1472" s="6" t="s">
        <v>9025</v>
      </c>
      <c r="C1472" s="7">
        <v>2424</v>
      </c>
      <c r="D1472" s="8" t="s">
        <v>9026</v>
      </c>
      <c r="E1472" s="8" t="s">
        <v>9027</v>
      </c>
      <c r="F1472" s="8" t="s">
        <v>9028</v>
      </c>
      <c r="G1472" s="6" t="s">
        <v>118</v>
      </c>
      <c r="H1472" s="6" t="s">
        <v>34</v>
      </c>
      <c r="I1472" s="8" t="s">
        <v>179</v>
      </c>
      <c r="J1472" s="9">
        <v>1</v>
      </c>
      <c r="K1472" s="9">
        <v>348</v>
      </c>
      <c r="L1472" s="9">
        <v>2027</v>
      </c>
      <c r="M1472" s="8" t="s">
        <v>9029</v>
      </c>
      <c r="N1472" s="8" t="s">
        <v>37</v>
      </c>
      <c r="O1472" s="8" t="s">
        <v>233</v>
      </c>
      <c r="P1472" s="6" t="s">
        <v>182</v>
      </c>
      <c r="Q1472" s="8" t="s">
        <v>65</v>
      </c>
      <c r="R1472" s="10" t="s">
        <v>9030</v>
      </c>
      <c r="S1472" s="11"/>
      <c r="T1472" s="6"/>
      <c r="U1472" s="15" t="str">
        <f>HYPERLINK("https://media.infra-m.ru/2266/2266528/cover/2266528.jpg", "Обложка")</f>
        <v>Обложка</v>
      </c>
      <c r="V1472" s="8" t="s">
        <v>6147</v>
      </c>
      <c r="W1472" s="6"/>
      <c r="X1472" s="6"/>
      <c r="Y1472" s="6"/>
      <c r="Z1472" s="6"/>
      <c r="AA1472" s="6" t="s">
        <v>68</v>
      </c>
      <c r="AB1472" s="8"/>
      <c r="AC1472" s="27">
        <v>9785160204857</v>
      </c>
    </row>
    <row r="1473" spans="1:29" s="4" customFormat="1" ht="51.9" customHeight="1" x14ac:dyDescent="0.2">
      <c r="A1473" s="5">
        <v>0</v>
      </c>
      <c r="B1473" s="6" t="s">
        <v>9031</v>
      </c>
      <c r="C1473" s="7">
        <v>2296.8000000000002</v>
      </c>
      <c r="D1473" s="8" t="s">
        <v>9032</v>
      </c>
      <c r="E1473" s="8" t="s">
        <v>9027</v>
      </c>
      <c r="F1473" s="8" t="s">
        <v>9033</v>
      </c>
      <c r="G1473" s="6" t="s">
        <v>118</v>
      </c>
      <c r="H1473" s="6" t="s">
        <v>34</v>
      </c>
      <c r="I1473" s="8" t="s">
        <v>253</v>
      </c>
      <c r="J1473" s="9">
        <v>1</v>
      </c>
      <c r="K1473" s="9">
        <v>348</v>
      </c>
      <c r="L1473" s="9">
        <v>2026</v>
      </c>
      <c r="M1473" s="8" t="s">
        <v>9034</v>
      </c>
      <c r="N1473" s="8" t="s">
        <v>37</v>
      </c>
      <c r="O1473" s="8" t="s">
        <v>233</v>
      </c>
      <c r="P1473" s="6" t="s">
        <v>51</v>
      </c>
      <c r="Q1473" s="8" t="s">
        <v>65</v>
      </c>
      <c r="R1473" s="10" t="s">
        <v>9035</v>
      </c>
      <c r="S1473" s="11" t="s">
        <v>9036</v>
      </c>
      <c r="T1473" s="6"/>
      <c r="U1473" s="15" t="str">
        <f>HYPERLINK("https://media.infra-m.ru/2229/2229955/cover/2229955.jpg", "Обложка")</f>
        <v>Обложка</v>
      </c>
      <c r="V1473" s="8" t="s">
        <v>6147</v>
      </c>
      <c r="W1473" s="6"/>
      <c r="X1473" s="6"/>
      <c r="Y1473" s="6"/>
      <c r="Z1473" s="6"/>
      <c r="AA1473" s="6" t="s">
        <v>129</v>
      </c>
      <c r="AB1473" s="8"/>
      <c r="AC1473" s="27">
        <v>9785160185323</v>
      </c>
    </row>
    <row r="1474" spans="1:29" s="4" customFormat="1" ht="42" customHeight="1" x14ac:dyDescent="0.2">
      <c r="A1474" s="5">
        <v>0</v>
      </c>
      <c r="B1474" s="6" t="s">
        <v>9037</v>
      </c>
      <c r="C1474" s="7">
        <v>1428</v>
      </c>
      <c r="D1474" s="8" t="s">
        <v>9038</v>
      </c>
      <c r="E1474" s="8" t="s">
        <v>9039</v>
      </c>
      <c r="F1474" s="8" t="s">
        <v>9040</v>
      </c>
      <c r="G1474" s="6" t="s">
        <v>60</v>
      </c>
      <c r="H1474" s="6" t="s">
        <v>34</v>
      </c>
      <c r="I1474" s="8" t="s">
        <v>263</v>
      </c>
      <c r="J1474" s="9">
        <v>1</v>
      </c>
      <c r="K1474" s="9">
        <v>192</v>
      </c>
      <c r="L1474" s="9">
        <v>2026</v>
      </c>
      <c r="M1474" s="8" t="s">
        <v>9041</v>
      </c>
      <c r="N1474" s="8" t="s">
        <v>37</v>
      </c>
      <c r="O1474" s="8" t="s">
        <v>280</v>
      </c>
      <c r="P1474" s="6" t="s">
        <v>51</v>
      </c>
      <c r="Q1474" s="8" t="s">
        <v>265</v>
      </c>
      <c r="R1474" s="10" t="s">
        <v>9042</v>
      </c>
      <c r="S1474" s="11"/>
      <c r="T1474" s="6"/>
      <c r="U1474" s="15" t="str">
        <f>HYPERLINK("https://media.infra-m.ru/2212/2212031/cover/2212031.jpg", "Обложка")</f>
        <v>Обложка</v>
      </c>
      <c r="V1474" s="8" t="s">
        <v>227</v>
      </c>
      <c r="W1474" s="6" t="s">
        <v>2941</v>
      </c>
      <c r="X1474" s="6"/>
      <c r="Y1474" s="6"/>
      <c r="Z1474" s="6"/>
      <c r="AA1474" s="6" t="s">
        <v>187</v>
      </c>
      <c r="AB1474" s="8" t="s">
        <v>9043</v>
      </c>
      <c r="AC1474" s="27">
        <v>9785160210506</v>
      </c>
    </row>
    <row r="1475" spans="1:29" s="4" customFormat="1" ht="51.9" customHeight="1" x14ac:dyDescent="0.2">
      <c r="A1475" s="5">
        <v>0</v>
      </c>
      <c r="B1475" s="6" t="s">
        <v>9044</v>
      </c>
      <c r="C1475" s="7">
        <v>1092</v>
      </c>
      <c r="D1475" s="8" t="s">
        <v>9045</v>
      </c>
      <c r="E1475" s="8" t="s">
        <v>9046</v>
      </c>
      <c r="F1475" s="8" t="s">
        <v>9047</v>
      </c>
      <c r="G1475" s="6" t="s">
        <v>118</v>
      </c>
      <c r="H1475" s="6" t="s">
        <v>241</v>
      </c>
      <c r="I1475" s="8"/>
      <c r="J1475" s="9">
        <v>1</v>
      </c>
      <c r="K1475" s="9">
        <v>254</v>
      </c>
      <c r="L1475" s="9">
        <v>2021</v>
      </c>
      <c r="M1475" s="8" t="s">
        <v>9048</v>
      </c>
      <c r="N1475" s="8" t="s">
        <v>37</v>
      </c>
      <c r="O1475" s="8" t="s">
        <v>233</v>
      </c>
      <c r="P1475" s="6" t="s">
        <v>51</v>
      </c>
      <c r="Q1475" s="8" t="s">
        <v>52</v>
      </c>
      <c r="R1475" s="10" t="s">
        <v>9049</v>
      </c>
      <c r="S1475" s="11" t="s">
        <v>9050</v>
      </c>
      <c r="T1475" s="6" t="s">
        <v>97</v>
      </c>
      <c r="U1475" s="15" t="str">
        <f>HYPERLINK("https://media.infra-m.ru/1235/1235907/cover/1235907.jpg", "Обложка")</f>
        <v>Обложка</v>
      </c>
      <c r="V1475" s="8" t="s">
        <v>657</v>
      </c>
      <c r="W1475" s="6"/>
      <c r="X1475" s="6"/>
      <c r="Y1475" s="6"/>
      <c r="Z1475" s="6"/>
      <c r="AA1475" s="6" t="s">
        <v>129</v>
      </c>
      <c r="AB1475" s="8"/>
      <c r="AC1475" s="27">
        <v>9785955806501</v>
      </c>
    </row>
    <row r="1476" spans="1:29" s="4" customFormat="1" ht="51.9" customHeight="1" x14ac:dyDescent="0.2">
      <c r="A1476" s="5">
        <v>0</v>
      </c>
      <c r="B1476" s="6" t="s">
        <v>9051</v>
      </c>
      <c r="C1476" s="7">
        <v>2008.8</v>
      </c>
      <c r="D1476" s="8" t="s">
        <v>9052</v>
      </c>
      <c r="E1476" s="8" t="s">
        <v>9053</v>
      </c>
      <c r="F1476" s="8" t="s">
        <v>9054</v>
      </c>
      <c r="G1476" s="6" t="s">
        <v>60</v>
      </c>
      <c r="H1476" s="6" t="s">
        <v>34</v>
      </c>
      <c r="I1476" s="8" t="s">
        <v>253</v>
      </c>
      <c r="J1476" s="9">
        <v>1</v>
      </c>
      <c r="K1476" s="9">
        <v>288</v>
      </c>
      <c r="L1476" s="9">
        <v>2027</v>
      </c>
      <c r="M1476" s="8" t="s">
        <v>9055</v>
      </c>
      <c r="N1476" s="8" t="s">
        <v>37</v>
      </c>
      <c r="O1476" s="8" t="s">
        <v>499</v>
      </c>
      <c r="P1476" s="6" t="s">
        <v>51</v>
      </c>
      <c r="Q1476" s="8" t="s">
        <v>52</v>
      </c>
      <c r="R1476" s="10" t="s">
        <v>9049</v>
      </c>
      <c r="S1476" s="11"/>
      <c r="T1476" s="6" t="s">
        <v>97</v>
      </c>
      <c r="U1476" s="15" t="str">
        <f>HYPERLINK("https://media.infra-m.ru/2265/2265981/cover/2265981.jpg", "Обложка")</f>
        <v>Обложка</v>
      </c>
      <c r="V1476" s="8" t="s">
        <v>657</v>
      </c>
      <c r="W1476" s="6"/>
      <c r="X1476" s="6"/>
      <c r="Y1476" s="6"/>
      <c r="Z1476" s="6"/>
      <c r="AA1476" s="6" t="s">
        <v>917</v>
      </c>
      <c r="AB1476" s="8"/>
      <c r="AC1476" s="27">
        <v>9785160198361</v>
      </c>
    </row>
    <row r="1477" spans="1:29" s="4" customFormat="1" ht="51.9" customHeight="1" x14ac:dyDescent="0.2">
      <c r="A1477" s="5">
        <v>0</v>
      </c>
      <c r="B1477" s="6" t="s">
        <v>9056</v>
      </c>
      <c r="C1477" s="7">
        <v>1180.8</v>
      </c>
      <c r="D1477" s="8" t="s">
        <v>9057</v>
      </c>
      <c r="E1477" s="8" t="s">
        <v>9058</v>
      </c>
      <c r="F1477" s="8" t="s">
        <v>9059</v>
      </c>
      <c r="G1477" s="6" t="s">
        <v>118</v>
      </c>
      <c r="H1477" s="6" t="s">
        <v>34</v>
      </c>
      <c r="I1477" s="8" t="s">
        <v>271</v>
      </c>
      <c r="J1477" s="9">
        <v>1</v>
      </c>
      <c r="K1477" s="9">
        <v>189</v>
      </c>
      <c r="L1477" s="9">
        <v>2025</v>
      </c>
      <c r="M1477" s="8" t="s">
        <v>9060</v>
      </c>
      <c r="N1477" s="8" t="s">
        <v>63</v>
      </c>
      <c r="O1477" s="8" t="s">
        <v>154</v>
      </c>
      <c r="P1477" s="6" t="s">
        <v>105</v>
      </c>
      <c r="Q1477" s="8" t="s">
        <v>377</v>
      </c>
      <c r="R1477" s="10" t="s">
        <v>9061</v>
      </c>
      <c r="S1477" s="11" t="s">
        <v>9062</v>
      </c>
      <c r="T1477" s="6"/>
      <c r="U1477" s="15" t="str">
        <f>HYPERLINK("https://media.infra-m.ru/2204/2204393/cover/2204393.jpg", "Обложка")</f>
        <v>Обложка</v>
      </c>
      <c r="V1477" s="8" t="s">
        <v>9063</v>
      </c>
      <c r="W1477" s="6"/>
      <c r="X1477" s="6"/>
      <c r="Y1477" s="6"/>
      <c r="Z1477" s="6"/>
      <c r="AA1477" s="6" t="s">
        <v>404</v>
      </c>
      <c r="AB1477" s="8"/>
      <c r="AC1477" s="27">
        <v>9785160135809</v>
      </c>
    </row>
    <row r="1478" spans="1:29" s="4" customFormat="1" ht="51.9" customHeight="1" x14ac:dyDescent="0.2">
      <c r="A1478" s="5">
        <v>0</v>
      </c>
      <c r="B1478" s="6" t="s">
        <v>9064</v>
      </c>
      <c r="C1478" s="13">
        <v>479.9</v>
      </c>
      <c r="D1478" s="8" t="s">
        <v>9065</v>
      </c>
      <c r="E1478" s="8" t="s">
        <v>9066</v>
      </c>
      <c r="F1478" s="8" t="s">
        <v>9067</v>
      </c>
      <c r="G1478" s="6" t="s">
        <v>33</v>
      </c>
      <c r="H1478" s="6" t="s">
        <v>313</v>
      </c>
      <c r="I1478" s="8" t="s">
        <v>504</v>
      </c>
      <c r="J1478" s="9">
        <v>1</v>
      </c>
      <c r="K1478" s="9">
        <v>146</v>
      </c>
      <c r="L1478" s="9">
        <v>2017</v>
      </c>
      <c r="M1478" s="8" t="s">
        <v>9068</v>
      </c>
      <c r="N1478" s="8" t="s">
        <v>37</v>
      </c>
      <c r="O1478" s="8" t="s">
        <v>280</v>
      </c>
      <c r="P1478" s="6" t="s">
        <v>51</v>
      </c>
      <c r="Q1478" s="8" t="s">
        <v>500</v>
      </c>
      <c r="R1478" s="10" t="s">
        <v>9069</v>
      </c>
      <c r="S1478" s="11"/>
      <c r="T1478" s="6"/>
      <c r="U1478" s="15" t="str">
        <f>HYPERLINK("https://media.infra-m.ru/0672/0672802/cover/672802.jpg", "Обложка")</f>
        <v>Обложка</v>
      </c>
      <c r="V1478" s="8" t="s">
        <v>588</v>
      </c>
      <c r="W1478" s="6"/>
      <c r="X1478" s="6"/>
      <c r="Y1478" s="6"/>
      <c r="Z1478" s="6"/>
      <c r="AA1478" s="6" t="s">
        <v>99</v>
      </c>
      <c r="AB1478" s="8"/>
      <c r="AC1478" s="27">
        <v>9785369016411</v>
      </c>
    </row>
    <row r="1479" spans="1:29" s="4" customFormat="1" ht="51.9" customHeight="1" x14ac:dyDescent="0.2">
      <c r="A1479" s="5">
        <v>0</v>
      </c>
      <c r="B1479" s="6" t="s">
        <v>9070</v>
      </c>
      <c r="C1479" s="7">
        <v>1096.8</v>
      </c>
      <c r="D1479" s="8" t="s">
        <v>9071</v>
      </c>
      <c r="E1479" s="8" t="s">
        <v>9072</v>
      </c>
      <c r="F1479" s="8" t="s">
        <v>9067</v>
      </c>
      <c r="G1479" s="6" t="s">
        <v>33</v>
      </c>
      <c r="H1479" s="6" t="s">
        <v>313</v>
      </c>
      <c r="I1479" s="8" t="s">
        <v>253</v>
      </c>
      <c r="J1479" s="9">
        <v>1</v>
      </c>
      <c r="K1479" s="9">
        <v>162</v>
      </c>
      <c r="L1479" s="9">
        <v>2026</v>
      </c>
      <c r="M1479" s="8" t="s">
        <v>9073</v>
      </c>
      <c r="N1479" s="8" t="s">
        <v>37</v>
      </c>
      <c r="O1479" s="8" t="s">
        <v>280</v>
      </c>
      <c r="P1479" s="6" t="s">
        <v>51</v>
      </c>
      <c r="Q1479" s="8" t="s">
        <v>500</v>
      </c>
      <c r="R1479" s="10" t="s">
        <v>9069</v>
      </c>
      <c r="S1479" s="11"/>
      <c r="T1479" s="6"/>
      <c r="U1479" s="15" t="str">
        <f>HYPERLINK("https://media.infra-m.ru/2243/2243405/cover/2243405.jpg", "Обложка")</f>
        <v>Обложка</v>
      </c>
      <c r="V1479" s="8" t="s">
        <v>588</v>
      </c>
      <c r="W1479" s="6"/>
      <c r="X1479" s="6"/>
      <c r="Y1479" s="6"/>
      <c r="Z1479" s="6"/>
      <c r="AA1479" s="6" t="s">
        <v>896</v>
      </c>
      <c r="AB1479" s="8"/>
      <c r="AC1479" s="27">
        <v>9785369019139</v>
      </c>
    </row>
    <row r="1480" spans="1:29" s="4" customFormat="1" ht="51.9" customHeight="1" x14ac:dyDescent="0.2">
      <c r="A1480" s="5">
        <v>0</v>
      </c>
      <c r="B1480" s="6" t="s">
        <v>9074</v>
      </c>
      <c r="C1480" s="7">
        <v>1108.8</v>
      </c>
      <c r="D1480" s="8" t="s">
        <v>9075</v>
      </c>
      <c r="E1480" s="8" t="s">
        <v>9076</v>
      </c>
      <c r="F1480" s="8" t="s">
        <v>9077</v>
      </c>
      <c r="G1480" s="6" t="s">
        <v>60</v>
      </c>
      <c r="H1480" s="6" t="s">
        <v>241</v>
      </c>
      <c r="I1480" s="8" t="s">
        <v>271</v>
      </c>
      <c r="J1480" s="9">
        <v>1</v>
      </c>
      <c r="K1480" s="9">
        <v>160</v>
      </c>
      <c r="L1480" s="9">
        <v>2026</v>
      </c>
      <c r="M1480" s="8" t="s">
        <v>9078</v>
      </c>
      <c r="N1480" s="8" t="s">
        <v>37</v>
      </c>
      <c r="O1480" s="8" t="s">
        <v>280</v>
      </c>
      <c r="P1480" s="6" t="s">
        <v>51</v>
      </c>
      <c r="Q1480" s="8" t="s">
        <v>52</v>
      </c>
      <c r="R1480" s="10" t="s">
        <v>9079</v>
      </c>
      <c r="S1480" s="11" t="s">
        <v>9080</v>
      </c>
      <c r="T1480" s="6"/>
      <c r="U1480" s="15" t="str">
        <f>HYPERLINK("https://media.infra-m.ru/2209/2209243/cover/2209243.jpg", "Обложка")</f>
        <v>Обложка</v>
      </c>
      <c r="V1480" s="8" t="s">
        <v>3735</v>
      </c>
      <c r="W1480" s="6"/>
      <c r="X1480" s="6"/>
      <c r="Y1480" s="6"/>
      <c r="Z1480" s="6"/>
      <c r="AA1480" s="6" t="s">
        <v>248</v>
      </c>
      <c r="AB1480" s="8"/>
      <c r="AC1480" s="27">
        <v>9785955803012</v>
      </c>
    </row>
    <row r="1481" spans="1:29" s="4" customFormat="1" ht="51.9" customHeight="1" x14ac:dyDescent="0.2">
      <c r="A1481" s="5">
        <v>0</v>
      </c>
      <c r="B1481" s="6" t="s">
        <v>9081</v>
      </c>
      <c r="C1481" s="7">
        <v>1320</v>
      </c>
      <c r="D1481" s="8" t="s">
        <v>9082</v>
      </c>
      <c r="E1481" s="8" t="s">
        <v>9076</v>
      </c>
      <c r="F1481" s="8" t="s">
        <v>9083</v>
      </c>
      <c r="G1481" s="6" t="s">
        <v>118</v>
      </c>
      <c r="H1481" s="6" t="s">
        <v>34</v>
      </c>
      <c r="I1481" s="8" t="s">
        <v>253</v>
      </c>
      <c r="J1481" s="9">
        <v>1</v>
      </c>
      <c r="K1481" s="9">
        <v>190</v>
      </c>
      <c r="L1481" s="9">
        <v>2027</v>
      </c>
      <c r="M1481" s="8" t="s">
        <v>9084</v>
      </c>
      <c r="N1481" s="8" t="s">
        <v>37</v>
      </c>
      <c r="O1481" s="8" t="s">
        <v>280</v>
      </c>
      <c r="P1481" s="6" t="s">
        <v>51</v>
      </c>
      <c r="Q1481" s="8" t="s">
        <v>52</v>
      </c>
      <c r="R1481" s="10" t="s">
        <v>9085</v>
      </c>
      <c r="S1481" s="11" t="s">
        <v>9086</v>
      </c>
      <c r="T1481" s="6"/>
      <c r="U1481" s="15" t="str">
        <f>HYPERLINK("https://media.infra-m.ru/2263/2263606/cover/2263606.jpg", "Обложка")</f>
        <v>Обложка</v>
      </c>
      <c r="V1481" s="8" t="s">
        <v>2088</v>
      </c>
      <c r="W1481" s="6"/>
      <c r="X1481" s="6"/>
      <c r="Y1481" s="6"/>
      <c r="Z1481" s="6"/>
      <c r="AA1481" s="6" t="s">
        <v>1015</v>
      </c>
      <c r="AB1481" s="8"/>
      <c r="AC1481" s="27">
        <v>9785160208589</v>
      </c>
    </row>
    <row r="1482" spans="1:29" s="4" customFormat="1" ht="51.9" customHeight="1" x14ac:dyDescent="0.2">
      <c r="A1482" s="5">
        <v>0</v>
      </c>
      <c r="B1482" s="6" t="s">
        <v>9087</v>
      </c>
      <c r="C1482" s="7">
        <v>1324.8</v>
      </c>
      <c r="D1482" s="8" t="s">
        <v>9088</v>
      </c>
      <c r="E1482" s="8" t="s">
        <v>9076</v>
      </c>
      <c r="F1482" s="8" t="s">
        <v>9083</v>
      </c>
      <c r="G1482" s="6" t="s">
        <v>60</v>
      </c>
      <c r="H1482" s="6" t="s">
        <v>34</v>
      </c>
      <c r="I1482" s="8" t="s">
        <v>263</v>
      </c>
      <c r="J1482" s="9">
        <v>1</v>
      </c>
      <c r="K1482" s="9">
        <v>190</v>
      </c>
      <c r="L1482" s="9">
        <v>2027</v>
      </c>
      <c r="M1482" s="8" t="s">
        <v>9089</v>
      </c>
      <c r="N1482" s="8" t="s">
        <v>37</v>
      </c>
      <c r="O1482" s="8" t="s">
        <v>280</v>
      </c>
      <c r="P1482" s="6" t="s">
        <v>51</v>
      </c>
      <c r="Q1482" s="8" t="s">
        <v>265</v>
      </c>
      <c r="R1482" s="10" t="s">
        <v>9090</v>
      </c>
      <c r="S1482" s="11"/>
      <c r="T1482" s="6"/>
      <c r="U1482" s="15" t="str">
        <f>HYPERLINK("https://media.infra-m.ru/2263/2263843/cover/2263843.jpg", "Обложка")</f>
        <v>Обложка</v>
      </c>
      <c r="V1482" s="8" t="s">
        <v>2088</v>
      </c>
      <c r="W1482" s="6"/>
      <c r="X1482" s="6"/>
      <c r="Y1482" s="6"/>
      <c r="Z1482" s="6" t="s">
        <v>267</v>
      </c>
      <c r="AA1482" s="6" t="s">
        <v>68</v>
      </c>
      <c r="AB1482" s="8"/>
      <c r="AC1482" s="27">
        <v>9785160203218</v>
      </c>
    </row>
    <row r="1483" spans="1:29" s="4" customFormat="1" ht="51.9" customHeight="1" x14ac:dyDescent="0.2">
      <c r="A1483" s="5">
        <v>0</v>
      </c>
      <c r="B1483" s="6" t="s">
        <v>9091</v>
      </c>
      <c r="C1483" s="7">
        <v>1068</v>
      </c>
      <c r="D1483" s="8" t="s">
        <v>9092</v>
      </c>
      <c r="E1483" s="8" t="s">
        <v>9093</v>
      </c>
      <c r="F1483" s="8" t="s">
        <v>9094</v>
      </c>
      <c r="G1483" s="6" t="s">
        <v>33</v>
      </c>
      <c r="H1483" s="6" t="s">
        <v>313</v>
      </c>
      <c r="I1483" s="8" t="s">
        <v>9095</v>
      </c>
      <c r="J1483" s="9">
        <v>1</v>
      </c>
      <c r="K1483" s="9">
        <v>161</v>
      </c>
      <c r="L1483" s="9">
        <v>2026</v>
      </c>
      <c r="M1483" s="8" t="s">
        <v>9096</v>
      </c>
      <c r="N1483" s="8" t="s">
        <v>37</v>
      </c>
      <c r="O1483" s="8" t="s">
        <v>280</v>
      </c>
      <c r="P1483" s="6" t="s">
        <v>51</v>
      </c>
      <c r="Q1483" s="8" t="s">
        <v>40</v>
      </c>
      <c r="R1483" s="10" t="s">
        <v>9097</v>
      </c>
      <c r="S1483" s="11"/>
      <c r="T1483" s="6"/>
      <c r="U1483" s="15" t="str">
        <f>HYPERLINK("https://media.infra-m.ru/2251/2251181/cover/2251181.jpg", "Обложка")</f>
        <v>Обложка</v>
      </c>
      <c r="V1483" s="8" t="s">
        <v>657</v>
      </c>
      <c r="W1483" s="6"/>
      <c r="X1483" s="6"/>
      <c r="Y1483" s="6"/>
      <c r="Z1483" s="6"/>
      <c r="AA1483" s="6" t="s">
        <v>360</v>
      </c>
      <c r="AB1483" s="8"/>
      <c r="AC1483" s="27">
        <v>9785369015131</v>
      </c>
    </row>
    <row r="1484" spans="1:29" s="4" customFormat="1" ht="51.9" customHeight="1" x14ac:dyDescent="0.2">
      <c r="A1484" s="5">
        <v>0</v>
      </c>
      <c r="B1484" s="6" t="s">
        <v>9098</v>
      </c>
      <c r="C1484" s="7">
        <v>1596</v>
      </c>
      <c r="D1484" s="8" t="s">
        <v>9099</v>
      </c>
      <c r="E1484" s="8" t="s">
        <v>9100</v>
      </c>
      <c r="F1484" s="8" t="s">
        <v>9101</v>
      </c>
      <c r="G1484" s="6" t="s">
        <v>60</v>
      </c>
      <c r="H1484" s="6" t="s">
        <v>34</v>
      </c>
      <c r="I1484" s="8" t="s">
        <v>253</v>
      </c>
      <c r="J1484" s="9">
        <v>1</v>
      </c>
      <c r="K1484" s="9">
        <v>258</v>
      </c>
      <c r="L1484" s="9">
        <v>2025</v>
      </c>
      <c r="M1484" s="8" t="s">
        <v>9102</v>
      </c>
      <c r="N1484" s="8" t="s">
        <v>37</v>
      </c>
      <c r="O1484" s="8" t="s">
        <v>280</v>
      </c>
      <c r="P1484" s="6" t="s">
        <v>51</v>
      </c>
      <c r="Q1484" s="8" t="s">
        <v>52</v>
      </c>
      <c r="R1484" s="10" t="s">
        <v>9103</v>
      </c>
      <c r="S1484" s="11"/>
      <c r="T1484" s="6"/>
      <c r="U1484" s="15" t="str">
        <f>HYPERLINK("https://media.infra-m.ru/1874/1874278/cover/1874278.jpg", "Обложка")</f>
        <v>Обложка</v>
      </c>
      <c r="V1484" s="8" t="s">
        <v>5250</v>
      </c>
      <c r="W1484" s="6"/>
      <c r="X1484" s="6"/>
      <c r="Y1484" s="6"/>
      <c r="Z1484" s="6"/>
      <c r="AA1484" s="6" t="s">
        <v>68</v>
      </c>
      <c r="AB1484" s="8"/>
      <c r="AC1484" s="27">
        <v>9785160177779</v>
      </c>
    </row>
    <row r="1485" spans="1:29" s="4" customFormat="1" ht="44.1" customHeight="1" x14ac:dyDescent="0.2">
      <c r="A1485" s="5">
        <v>0</v>
      </c>
      <c r="B1485" s="6" t="s">
        <v>9104</v>
      </c>
      <c r="C1485" s="7">
        <v>2008.8</v>
      </c>
      <c r="D1485" s="8" t="s">
        <v>9105</v>
      </c>
      <c r="E1485" s="8" t="s">
        <v>9100</v>
      </c>
      <c r="F1485" s="8" t="s">
        <v>9101</v>
      </c>
      <c r="G1485" s="6" t="s">
        <v>60</v>
      </c>
      <c r="H1485" s="6" t="s">
        <v>34</v>
      </c>
      <c r="I1485" s="8" t="s">
        <v>263</v>
      </c>
      <c r="J1485" s="9">
        <v>1</v>
      </c>
      <c r="K1485" s="9">
        <v>258</v>
      </c>
      <c r="L1485" s="9">
        <v>2026</v>
      </c>
      <c r="M1485" s="8" t="s">
        <v>9106</v>
      </c>
      <c r="N1485" s="8" t="s">
        <v>37</v>
      </c>
      <c r="O1485" s="8" t="s">
        <v>280</v>
      </c>
      <c r="P1485" s="6" t="s">
        <v>51</v>
      </c>
      <c r="Q1485" s="8" t="s">
        <v>265</v>
      </c>
      <c r="R1485" s="10" t="s">
        <v>9107</v>
      </c>
      <c r="S1485" s="11"/>
      <c r="T1485" s="6"/>
      <c r="U1485" s="15" t="str">
        <f>HYPERLINK("https://media.infra-m.ru/2231/2231219/cover/2231219.jpg", "Обложка")</f>
        <v>Обложка</v>
      </c>
      <c r="V1485" s="8" t="s">
        <v>5250</v>
      </c>
      <c r="W1485" s="6"/>
      <c r="X1485" s="6"/>
      <c r="Y1485" s="6"/>
      <c r="Z1485" s="6" t="s">
        <v>267</v>
      </c>
      <c r="AA1485" s="6" t="s">
        <v>68</v>
      </c>
      <c r="AB1485" s="8"/>
      <c r="AC1485" s="27">
        <v>9785160202334</v>
      </c>
    </row>
    <row r="1486" spans="1:29" s="4" customFormat="1" ht="51.9" customHeight="1" x14ac:dyDescent="0.2">
      <c r="A1486" s="5">
        <v>0</v>
      </c>
      <c r="B1486" s="6" t="s">
        <v>9108</v>
      </c>
      <c r="C1486" s="7">
        <v>2664</v>
      </c>
      <c r="D1486" s="8" t="s">
        <v>9109</v>
      </c>
      <c r="E1486" s="8" t="s">
        <v>9110</v>
      </c>
      <c r="F1486" s="8" t="s">
        <v>9111</v>
      </c>
      <c r="G1486" s="6" t="s">
        <v>60</v>
      </c>
      <c r="H1486" s="6" t="s">
        <v>34</v>
      </c>
      <c r="I1486" s="8" t="s">
        <v>263</v>
      </c>
      <c r="J1486" s="9">
        <v>1</v>
      </c>
      <c r="K1486" s="9">
        <v>403</v>
      </c>
      <c r="L1486" s="9">
        <v>2026</v>
      </c>
      <c r="M1486" s="8" t="s">
        <v>9112</v>
      </c>
      <c r="N1486" s="8" t="s">
        <v>37</v>
      </c>
      <c r="O1486" s="8" t="s">
        <v>280</v>
      </c>
      <c r="P1486" s="6" t="s">
        <v>306</v>
      </c>
      <c r="Q1486" s="8" t="s">
        <v>265</v>
      </c>
      <c r="R1486" s="10" t="s">
        <v>9113</v>
      </c>
      <c r="S1486" s="11"/>
      <c r="T1486" s="6" t="s">
        <v>97</v>
      </c>
      <c r="U1486" s="15" t="str">
        <f>HYPERLINK("https://media.infra-m.ru/2229/2229298/cover/2229298.jpg", "Обложка")</f>
        <v>Обложка</v>
      </c>
      <c r="V1486" s="8" t="s">
        <v>445</v>
      </c>
      <c r="W1486" s="6"/>
      <c r="X1486" s="6"/>
      <c r="Y1486" s="6"/>
      <c r="Z1486" s="6" t="s">
        <v>267</v>
      </c>
      <c r="AA1486" s="6" t="s">
        <v>5423</v>
      </c>
      <c r="AB1486" s="8"/>
      <c r="AC1486" s="27">
        <v>9785160204567</v>
      </c>
    </row>
    <row r="1487" spans="1:29" s="4" customFormat="1" ht="51.9" customHeight="1" x14ac:dyDescent="0.2">
      <c r="A1487" s="5">
        <v>0</v>
      </c>
      <c r="B1487" s="6" t="s">
        <v>9114</v>
      </c>
      <c r="C1487" s="7">
        <v>2112</v>
      </c>
      <c r="D1487" s="8" t="s">
        <v>9115</v>
      </c>
      <c r="E1487" s="8" t="s">
        <v>9116</v>
      </c>
      <c r="F1487" s="8" t="s">
        <v>9111</v>
      </c>
      <c r="G1487" s="6" t="s">
        <v>118</v>
      </c>
      <c r="H1487" s="6" t="s">
        <v>34</v>
      </c>
      <c r="I1487" s="8" t="s">
        <v>271</v>
      </c>
      <c r="J1487" s="9">
        <v>1</v>
      </c>
      <c r="K1487" s="9">
        <v>393</v>
      </c>
      <c r="L1487" s="9">
        <v>2021</v>
      </c>
      <c r="M1487" s="8" t="s">
        <v>9117</v>
      </c>
      <c r="N1487" s="8" t="s">
        <v>37</v>
      </c>
      <c r="O1487" s="8" t="s">
        <v>280</v>
      </c>
      <c r="P1487" s="6" t="s">
        <v>306</v>
      </c>
      <c r="Q1487" s="8" t="s">
        <v>52</v>
      </c>
      <c r="R1487" s="10" t="s">
        <v>9118</v>
      </c>
      <c r="S1487" s="11" t="s">
        <v>9119</v>
      </c>
      <c r="T1487" s="6" t="s">
        <v>97</v>
      </c>
      <c r="U1487" s="15" t="str">
        <f>HYPERLINK("https://media.infra-m.ru/1246/1246687/cover/1246687.jpg", "Обложка")</f>
        <v>Обложка</v>
      </c>
      <c r="V1487" s="8" t="s">
        <v>445</v>
      </c>
      <c r="W1487" s="6"/>
      <c r="X1487" s="6" t="s">
        <v>24</v>
      </c>
      <c r="Y1487" s="6"/>
      <c r="Z1487" s="6"/>
      <c r="AA1487" s="6" t="s">
        <v>3736</v>
      </c>
      <c r="AB1487" s="8"/>
      <c r="AC1487" s="27">
        <v>9785160149929</v>
      </c>
    </row>
    <row r="1488" spans="1:29" s="4" customFormat="1" ht="51.9" customHeight="1" x14ac:dyDescent="0.2">
      <c r="A1488" s="5">
        <v>0</v>
      </c>
      <c r="B1488" s="6" t="s">
        <v>9120</v>
      </c>
      <c r="C1488" s="7">
        <v>1493.9</v>
      </c>
      <c r="D1488" s="8" t="s">
        <v>9121</v>
      </c>
      <c r="E1488" s="8" t="s">
        <v>9122</v>
      </c>
      <c r="F1488" s="8" t="s">
        <v>9123</v>
      </c>
      <c r="G1488" s="6" t="s">
        <v>60</v>
      </c>
      <c r="H1488" s="6" t="s">
        <v>34</v>
      </c>
      <c r="I1488" s="8" t="s">
        <v>271</v>
      </c>
      <c r="J1488" s="9">
        <v>1</v>
      </c>
      <c r="K1488" s="9">
        <v>364</v>
      </c>
      <c r="L1488" s="9">
        <v>2019</v>
      </c>
      <c r="M1488" s="8" t="s">
        <v>9124</v>
      </c>
      <c r="N1488" s="8" t="s">
        <v>37</v>
      </c>
      <c r="O1488" s="8" t="s">
        <v>280</v>
      </c>
      <c r="P1488" s="6" t="s">
        <v>306</v>
      </c>
      <c r="Q1488" s="8" t="s">
        <v>52</v>
      </c>
      <c r="R1488" s="10" t="s">
        <v>9118</v>
      </c>
      <c r="S1488" s="11" t="s">
        <v>9125</v>
      </c>
      <c r="T1488" s="6" t="s">
        <v>97</v>
      </c>
      <c r="U1488" s="15" t="str">
        <f>HYPERLINK("https://media.infra-m.ru/0991/0991884/cover/991884.jpg", "Обложка")</f>
        <v>Обложка</v>
      </c>
      <c r="V1488" s="8" t="s">
        <v>445</v>
      </c>
      <c r="W1488" s="6"/>
      <c r="X1488" s="6" t="s">
        <v>24</v>
      </c>
      <c r="Y1488" s="6"/>
      <c r="Z1488" s="6"/>
      <c r="AA1488" s="6" t="s">
        <v>7324</v>
      </c>
      <c r="AB1488" s="8"/>
      <c r="AC1488" s="27">
        <v>9785160049236</v>
      </c>
    </row>
    <row r="1489" spans="1:29" s="4" customFormat="1" ht="51.9" customHeight="1" x14ac:dyDescent="0.2">
      <c r="A1489" s="5">
        <v>0</v>
      </c>
      <c r="B1489" s="6" t="s">
        <v>9126</v>
      </c>
      <c r="C1489" s="7">
        <v>2664</v>
      </c>
      <c r="D1489" s="8" t="s">
        <v>9127</v>
      </c>
      <c r="E1489" s="8" t="s">
        <v>9110</v>
      </c>
      <c r="F1489" s="8" t="s">
        <v>9111</v>
      </c>
      <c r="G1489" s="6" t="s">
        <v>60</v>
      </c>
      <c r="H1489" s="6" t="s">
        <v>34</v>
      </c>
      <c r="I1489" s="8" t="s">
        <v>253</v>
      </c>
      <c r="J1489" s="9">
        <v>1</v>
      </c>
      <c r="K1489" s="9">
        <v>403</v>
      </c>
      <c r="L1489" s="9">
        <v>2026</v>
      </c>
      <c r="M1489" s="8" t="s">
        <v>9128</v>
      </c>
      <c r="N1489" s="8" t="s">
        <v>37</v>
      </c>
      <c r="O1489" s="8" t="s">
        <v>280</v>
      </c>
      <c r="P1489" s="6" t="s">
        <v>306</v>
      </c>
      <c r="Q1489" s="8" t="s">
        <v>52</v>
      </c>
      <c r="R1489" s="10" t="s">
        <v>9118</v>
      </c>
      <c r="S1489" s="11"/>
      <c r="T1489" s="6" t="s">
        <v>97</v>
      </c>
      <c r="U1489" s="15" t="str">
        <f>HYPERLINK("https://media.infra-m.ru/2237/2237661/cover/2237661.jpg", "Обложка")</f>
        <v>Обложка</v>
      </c>
      <c r="V1489" s="8" t="s">
        <v>445</v>
      </c>
      <c r="W1489" s="6"/>
      <c r="X1489" s="6" t="s">
        <v>24</v>
      </c>
      <c r="Y1489" s="6"/>
      <c r="Z1489" s="6"/>
      <c r="AA1489" s="6" t="s">
        <v>8754</v>
      </c>
      <c r="AB1489" s="8"/>
      <c r="AC1489" s="27">
        <v>9785160180526</v>
      </c>
    </row>
    <row r="1490" spans="1:29" s="4" customFormat="1" ht="51.9" customHeight="1" x14ac:dyDescent="0.2">
      <c r="A1490" s="5">
        <v>0</v>
      </c>
      <c r="B1490" s="6" t="s">
        <v>9129</v>
      </c>
      <c r="C1490" s="7">
        <v>1992</v>
      </c>
      <c r="D1490" s="8" t="s">
        <v>9130</v>
      </c>
      <c r="E1490" s="8" t="s">
        <v>9131</v>
      </c>
      <c r="F1490" s="8" t="s">
        <v>9132</v>
      </c>
      <c r="G1490" s="6" t="s">
        <v>118</v>
      </c>
      <c r="H1490" s="6" t="s">
        <v>34</v>
      </c>
      <c r="I1490" s="8" t="s">
        <v>253</v>
      </c>
      <c r="J1490" s="9">
        <v>1</v>
      </c>
      <c r="K1490" s="9">
        <v>332</v>
      </c>
      <c r="L1490" s="9">
        <v>2025</v>
      </c>
      <c r="M1490" s="8" t="s">
        <v>9133</v>
      </c>
      <c r="N1490" s="8" t="s">
        <v>37</v>
      </c>
      <c r="O1490" s="8" t="s">
        <v>207</v>
      </c>
      <c r="P1490" s="6" t="s">
        <v>306</v>
      </c>
      <c r="Q1490" s="8" t="s">
        <v>52</v>
      </c>
      <c r="R1490" s="10" t="s">
        <v>9134</v>
      </c>
      <c r="S1490" s="11" t="s">
        <v>9135</v>
      </c>
      <c r="T1490" s="6" t="s">
        <v>97</v>
      </c>
      <c r="U1490" s="15" t="str">
        <f>HYPERLINK("https://media.infra-m.ru/1906/1906699/cover/1906699.jpg", "Обложка")</f>
        <v>Обложка</v>
      </c>
      <c r="V1490" s="8" t="s">
        <v>3087</v>
      </c>
      <c r="W1490" s="6"/>
      <c r="X1490" s="6"/>
      <c r="Y1490" s="6"/>
      <c r="Z1490" s="6"/>
      <c r="AA1490" s="6" t="s">
        <v>6033</v>
      </c>
      <c r="AB1490" s="8"/>
      <c r="AC1490" s="27">
        <v>9785160206080</v>
      </c>
    </row>
    <row r="1491" spans="1:29" s="4" customFormat="1" ht="51.9" customHeight="1" x14ac:dyDescent="0.2">
      <c r="A1491" s="5">
        <v>0</v>
      </c>
      <c r="B1491" s="6" t="s">
        <v>9136</v>
      </c>
      <c r="C1491" s="7">
        <v>1348.8</v>
      </c>
      <c r="D1491" s="8" t="s">
        <v>9137</v>
      </c>
      <c r="E1491" s="8" t="s">
        <v>9138</v>
      </c>
      <c r="F1491" s="8" t="s">
        <v>9139</v>
      </c>
      <c r="G1491" s="6" t="s">
        <v>118</v>
      </c>
      <c r="H1491" s="6" t="s">
        <v>34</v>
      </c>
      <c r="I1491" s="8" t="s">
        <v>271</v>
      </c>
      <c r="J1491" s="9">
        <v>1</v>
      </c>
      <c r="K1491" s="9">
        <v>216</v>
      </c>
      <c r="L1491" s="9">
        <v>2025</v>
      </c>
      <c r="M1491" s="8" t="s">
        <v>9140</v>
      </c>
      <c r="N1491" s="8" t="s">
        <v>37</v>
      </c>
      <c r="O1491" s="8" t="s">
        <v>207</v>
      </c>
      <c r="P1491" s="6" t="s">
        <v>51</v>
      </c>
      <c r="Q1491" s="8" t="s">
        <v>52</v>
      </c>
      <c r="R1491" s="10" t="s">
        <v>9141</v>
      </c>
      <c r="S1491" s="11" t="s">
        <v>9142</v>
      </c>
      <c r="T1491" s="6"/>
      <c r="U1491" s="15" t="str">
        <f>HYPERLINK("https://media.infra-m.ru/2196/2196125/cover/2196125.jpg", "Обложка")</f>
        <v>Обложка</v>
      </c>
      <c r="V1491" s="8" t="s">
        <v>657</v>
      </c>
      <c r="W1491" s="6"/>
      <c r="X1491" s="6"/>
      <c r="Y1491" s="6"/>
      <c r="Z1491" s="6"/>
      <c r="AA1491" s="6" t="s">
        <v>99</v>
      </c>
      <c r="AB1491" s="8"/>
      <c r="AC1491" s="27">
        <v>9785160122229</v>
      </c>
    </row>
    <row r="1492" spans="1:29" s="4" customFormat="1" ht="51.9" customHeight="1" x14ac:dyDescent="0.2">
      <c r="A1492" s="5">
        <v>0</v>
      </c>
      <c r="B1492" s="6" t="s">
        <v>9143</v>
      </c>
      <c r="C1492" s="7">
        <v>1060.8</v>
      </c>
      <c r="D1492" s="8" t="s">
        <v>9144</v>
      </c>
      <c r="E1492" s="8" t="s">
        <v>9138</v>
      </c>
      <c r="F1492" s="8" t="s">
        <v>9145</v>
      </c>
      <c r="G1492" s="6" t="s">
        <v>60</v>
      </c>
      <c r="H1492" s="6" t="s">
        <v>34</v>
      </c>
      <c r="I1492" s="8" t="s">
        <v>271</v>
      </c>
      <c r="J1492" s="9">
        <v>1</v>
      </c>
      <c r="K1492" s="9">
        <v>169</v>
      </c>
      <c r="L1492" s="9">
        <v>2026</v>
      </c>
      <c r="M1492" s="8" t="s">
        <v>9146</v>
      </c>
      <c r="N1492" s="8" t="s">
        <v>37</v>
      </c>
      <c r="O1492" s="8" t="s">
        <v>207</v>
      </c>
      <c r="P1492" s="6" t="s">
        <v>51</v>
      </c>
      <c r="Q1492" s="8" t="s">
        <v>52</v>
      </c>
      <c r="R1492" s="10" t="s">
        <v>9147</v>
      </c>
      <c r="S1492" s="11" t="s">
        <v>9148</v>
      </c>
      <c r="T1492" s="6"/>
      <c r="U1492" s="15" t="str">
        <f>HYPERLINK("https://media.infra-m.ru/2223/2223192/cover/2223192.jpg", "Обложка")</f>
        <v>Обложка</v>
      </c>
      <c r="V1492" s="8" t="s">
        <v>9149</v>
      </c>
      <c r="W1492" s="6"/>
      <c r="X1492" s="6"/>
      <c r="Y1492" s="6"/>
      <c r="Z1492" s="6"/>
      <c r="AA1492" s="6" t="s">
        <v>430</v>
      </c>
      <c r="AB1492" s="8"/>
      <c r="AC1492" s="27">
        <v>9785160152400</v>
      </c>
    </row>
    <row r="1493" spans="1:29" s="4" customFormat="1" ht="51.9" customHeight="1" x14ac:dyDescent="0.2">
      <c r="A1493" s="5">
        <v>0</v>
      </c>
      <c r="B1493" s="6" t="s">
        <v>9150</v>
      </c>
      <c r="C1493" s="13">
        <v>736.8</v>
      </c>
      <c r="D1493" s="8" t="s">
        <v>9151</v>
      </c>
      <c r="E1493" s="8" t="s">
        <v>9138</v>
      </c>
      <c r="F1493" s="8" t="s">
        <v>9152</v>
      </c>
      <c r="G1493" s="6" t="s">
        <v>33</v>
      </c>
      <c r="H1493" s="6" t="s">
        <v>241</v>
      </c>
      <c r="I1493" s="8"/>
      <c r="J1493" s="9">
        <v>1</v>
      </c>
      <c r="K1493" s="9">
        <v>112</v>
      </c>
      <c r="L1493" s="9">
        <v>2026</v>
      </c>
      <c r="M1493" s="8" t="s">
        <v>9153</v>
      </c>
      <c r="N1493" s="8" t="s">
        <v>37</v>
      </c>
      <c r="O1493" s="8" t="s">
        <v>207</v>
      </c>
      <c r="P1493" s="6" t="s">
        <v>1481</v>
      </c>
      <c r="Q1493" s="8" t="s">
        <v>52</v>
      </c>
      <c r="R1493" s="10" t="s">
        <v>9154</v>
      </c>
      <c r="S1493" s="11"/>
      <c r="T1493" s="6"/>
      <c r="U1493" s="15" t="str">
        <f>HYPERLINK("https://media.infra-m.ru/2233/2233537/cover/2233537.jpg", "Обложка")</f>
        <v>Обложка</v>
      </c>
      <c r="V1493" s="8" t="s">
        <v>9155</v>
      </c>
      <c r="W1493" s="6"/>
      <c r="X1493" s="6"/>
      <c r="Y1493" s="6"/>
      <c r="Z1493" s="6"/>
      <c r="AA1493" s="6" t="s">
        <v>1015</v>
      </c>
      <c r="AB1493" s="8"/>
      <c r="AC1493" s="27">
        <v>9785955801537</v>
      </c>
    </row>
    <row r="1494" spans="1:29" s="4" customFormat="1" ht="51.9" customHeight="1" x14ac:dyDescent="0.2">
      <c r="A1494" s="5">
        <v>0</v>
      </c>
      <c r="B1494" s="6" t="s">
        <v>9156</v>
      </c>
      <c r="C1494" s="7">
        <v>1156.8</v>
      </c>
      <c r="D1494" s="8" t="s">
        <v>9157</v>
      </c>
      <c r="E1494" s="8" t="s">
        <v>9158</v>
      </c>
      <c r="F1494" s="8" t="s">
        <v>6770</v>
      </c>
      <c r="G1494" s="6" t="s">
        <v>60</v>
      </c>
      <c r="H1494" s="6" t="s">
        <v>134</v>
      </c>
      <c r="I1494" s="8"/>
      <c r="J1494" s="9">
        <v>1</v>
      </c>
      <c r="K1494" s="9">
        <v>184</v>
      </c>
      <c r="L1494" s="9">
        <v>2025</v>
      </c>
      <c r="M1494" s="8" t="s">
        <v>9159</v>
      </c>
      <c r="N1494" s="8" t="s">
        <v>37</v>
      </c>
      <c r="O1494" s="8" t="s">
        <v>83</v>
      </c>
      <c r="P1494" s="6" t="s">
        <v>39</v>
      </c>
      <c r="Q1494" s="8" t="s">
        <v>40</v>
      </c>
      <c r="R1494" s="10" t="s">
        <v>9160</v>
      </c>
      <c r="S1494" s="11"/>
      <c r="T1494" s="6"/>
      <c r="U1494" s="15" t="str">
        <f>HYPERLINK("https://media.infra-m.ru/2206/2206900/cover/2206900.jpg", "Обложка")</f>
        <v>Обложка</v>
      </c>
      <c r="V1494" s="8"/>
      <c r="W1494" s="6"/>
      <c r="X1494" s="6"/>
      <c r="Y1494" s="6"/>
      <c r="Z1494" s="6"/>
      <c r="AA1494" s="6" t="s">
        <v>115</v>
      </c>
      <c r="AB1494" s="8"/>
      <c r="AC1494" s="27">
        <v>9785001560050</v>
      </c>
    </row>
    <row r="1495" spans="1:29" s="4" customFormat="1" ht="42" customHeight="1" x14ac:dyDescent="0.2">
      <c r="A1495" s="5">
        <v>0</v>
      </c>
      <c r="B1495" s="6" t="s">
        <v>9161</v>
      </c>
      <c r="C1495" s="7">
        <v>1524</v>
      </c>
      <c r="D1495" s="8" t="s">
        <v>9162</v>
      </c>
      <c r="E1495" s="8" t="s">
        <v>9163</v>
      </c>
      <c r="F1495" s="8" t="s">
        <v>9164</v>
      </c>
      <c r="G1495" s="6" t="s">
        <v>118</v>
      </c>
      <c r="H1495" s="6" t="s">
        <v>34</v>
      </c>
      <c r="I1495" s="8" t="s">
        <v>263</v>
      </c>
      <c r="J1495" s="9">
        <v>1</v>
      </c>
      <c r="K1495" s="9">
        <v>207</v>
      </c>
      <c r="L1495" s="9">
        <v>2027</v>
      </c>
      <c r="M1495" s="8" t="s">
        <v>9165</v>
      </c>
      <c r="N1495" s="8" t="s">
        <v>37</v>
      </c>
      <c r="O1495" s="8" t="s">
        <v>233</v>
      </c>
      <c r="P1495" s="6" t="s">
        <v>51</v>
      </c>
      <c r="Q1495" s="8" t="s">
        <v>265</v>
      </c>
      <c r="R1495" s="10" t="s">
        <v>3777</v>
      </c>
      <c r="S1495" s="11"/>
      <c r="T1495" s="6"/>
      <c r="U1495" s="15" t="str">
        <f>HYPERLINK("https://media.infra-m.ru/2269/2269391/cover/2269391.jpg", "Обложка")</f>
        <v>Обложка</v>
      </c>
      <c r="V1495" s="8" t="s">
        <v>396</v>
      </c>
      <c r="W1495" s="6"/>
      <c r="X1495" s="6"/>
      <c r="Y1495" s="6"/>
      <c r="Z1495" s="6"/>
      <c r="AA1495" s="6" t="s">
        <v>68</v>
      </c>
      <c r="AB1495" s="8"/>
      <c r="AC1495" s="27">
        <v>9785160206264</v>
      </c>
    </row>
    <row r="1496" spans="1:29" s="4" customFormat="1" ht="51.9" customHeight="1" x14ac:dyDescent="0.2">
      <c r="A1496" s="5">
        <v>0</v>
      </c>
      <c r="B1496" s="6" t="s">
        <v>9166</v>
      </c>
      <c r="C1496" s="7">
        <v>2608.8000000000002</v>
      </c>
      <c r="D1496" s="8" t="s">
        <v>9167</v>
      </c>
      <c r="E1496" s="8" t="s">
        <v>9168</v>
      </c>
      <c r="F1496" s="8" t="s">
        <v>4080</v>
      </c>
      <c r="G1496" s="6" t="s">
        <v>118</v>
      </c>
      <c r="H1496" s="6" t="s">
        <v>34</v>
      </c>
      <c r="I1496" s="8" t="s">
        <v>271</v>
      </c>
      <c r="J1496" s="9">
        <v>1</v>
      </c>
      <c r="K1496" s="9">
        <v>483</v>
      </c>
      <c r="L1496" s="9">
        <v>2023</v>
      </c>
      <c r="M1496" s="8" t="s">
        <v>9169</v>
      </c>
      <c r="N1496" s="8" t="s">
        <v>37</v>
      </c>
      <c r="O1496" s="8" t="s">
        <v>233</v>
      </c>
      <c r="P1496" s="6" t="s">
        <v>306</v>
      </c>
      <c r="Q1496" s="8" t="s">
        <v>52</v>
      </c>
      <c r="R1496" s="10" t="s">
        <v>9170</v>
      </c>
      <c r="S1496" s="11" t="s">
        <v>9171</v>
      </c>
      <c r="T1496" s="6"/>
      <c r="U1496" s="15" t="str">
        <f>HYPERLINK("https://media.infra-m.ru/2002/2002609/cover/2002609.jpg", "Обложка")</f>
        <v>Обложка</v>
      </c>
      <c r="V1496" s="8" t="s">
        <v>2035</v>
      </c>
      <c r="W1496" s="6"/>
      <c r="X1496" s="6"/>
      <c r="Y1496" s="6"/>
      <c r="Z1496" s="6"/>
      <c r="AA1496" s="6" t="s">
        <v>623</v>
      </c>
      <c r="AB1496" s="8"/>
      <c r="AC1496" s="27">
        <v>9785160125220</v>
      </c>
    </row>
    <row r="1497" spans="1:29" s="4" customFormat="1" ht="51.9" customHeight="1" x14ac:dyDescent="0.2">
      <c r="A1497" s="5">
        <v>0</v>
      </c>
      <c r="B1497" s="6" t="s">
        <v>9172</v>
      </c>
      <c r="C1497" s="7">
        <v>3592.8</v>
      </c>
      <c r="D1497" s="8" t="s">
        <v>9173</v>
      </c>
      <c r="E1497" s="8" t="s">
        <v>9174</v>
      </c>
      <c r="F1497" s="8" t="s">
        <v>9175</v>
      </c>
      <c r="G1497" s="6" t="s">
        <v>60</v>
      </c>
      <c r="H1497" s="6" t="s">
        <v>34</v>
      </c>
      <c r="I1497" s="8" t="s">
        <v>271</v>
      </c>
      <c r="J1497" s="9">
        <v>1</v>
      </c>
      <c r="K1497" s="9">
        <v>592</v>
      </c>
      <c r="L1497" s="9">
        <v>2026</v>
      </c>
      <c r="M1497" s="8" t="s">
        <v>9176</v>
      </c>
      <c r="N1497" s="8" t="s">
        <v>37</v>
      </c>
      <c r="O1497" s="8" t="s">
        <v>233</v>
      </c>
      <c r="P1497" s="6" t="s">
        <v>306</v>
      </c>
      <c r="Q1497" s="8" t="s">
        <v>52</v>
      </c>
      <c r="R1497" s="10" t="s">
        <v>4009</v>
      </c>
      <c r="S1497" s="11" t="s">
        <v>9177</v>
      </c>
      <c r="T1497" s="6"/>
      <c r="U1497" s="15" t="str">
        <f>HYPERLINK("https://media.infra-m.ru/2224/2224184/cover/2224184.jpg", "Обложка")</f>
        <v>Обложка</v>
      </c>
      <c r="V1497" s="8" t="s">
        <v>396</v>
      </c>
      <c r="W1497" s="6"/>
      <c r="X1497" s="6"/>
      <c r="Y1497" s="6"/>
      <c r="Z1497" s="6"/>
      <c r="AA1497" s="6" t="s">
        <v>43</v>
      </c>
      <c r="AB1497" s="8"/>
      <c r="AC1497" s="27">
        <v>9785160051147</v>
      </c>
    </row>
    <row r="1498" spans="1:29" s="4" customFormat="1" ht="51.9" customHeight="1" x14ac:dyDescent="0.2">
      <c r="A1498" s="5">
        <v>0</v>
      </c>
      <c r="B1498" s="6" t="s">
        <v>9178</v>
      </c>
      <c r="C1498" s="7">
        <v>1024.8</v>
      </c>
      <c r="D1498" s="8" t="s">
        <v>9179</v>
      </c>
      <c r="E1498" s="8" t="s">
        <v>9174</v>
      </c>
      <c r="F1498" s="8" t="s">
        <v>9180</v>
      </c>
      <c r="G1498" s="6" t="s">
        <v>60</v>
      </c>
      <c r="H1498" s="6" t="s">
        <v>313</v>
      </c>
      <c r="I1498" s="8" t="s">
        <v>253</v>
      </c>
      <c r="J1498" s="9">
        <v>1</v>
      </c>
      <c r="K1498" s="9">
        <v>155</v>
      </c>
      <c r="L1498" s="9">
        <v>2026</v>
      </c>
      <c r="M1498" s="8" t="s">
        <v>9181</v>
      </c>
      <c r="N1498" s="8" t="s">
        <v>37</v>
      </c>
      <c r="O1498" s="8" t="s">
        <v>233</v>
      </c>
      <c r="P1498" s="6" t="s">
        <v>51</v>
      </c>
      <c r="Q1498" s="8" t="s">
        <v>52</v>
      </c>
      <c r="R1498" s="10" t="s">
        <v>9182</v>
      </c>
      <c r="S1498" s="11" t="s">
        <v>9183</v>
      </c>
      <c r="T1498" s="6"/>
      <c r="U1498" s="15" t="str">
        <f>HYPERLINK("https://media.infra-m.ru/2205/2205343/cover/2205343.jpg", "Обложка")</f>
        <v>Обложка</v>
      </c>
      <c r="V1498" s="8" t="s">
        <v>704</v>
      </c>
      <c r="W1498" s="6"/>
      <c r="X1498" s="6"/>
      <c r="Y1498" s="6"/>
      <c r="Z1498" s="6"/>
      <c r="AA1498" s="6" t="s">
        <v>248</v>
      </c>
      <c r="AB1498" s="8"/>
      <c r="AC1498" s="27">
        <v>9785369013489</v>
      </c>
    </row>
    <row r="1499" spans="1:29" s="4" customFormat="1" ht="51.9" customHeight="1" x14ac:dyDescent="0.2">
      <c r="A1499" s="5">
        <v>0</v>
      </c>
      <c r="B1499" s="6" t="s">
        <v>9184</v>
      </c>
      <c r="C1499" s="7">
        <v>1908</v>
      </c>
      <c r="D1499" s="8" t="s">
        <v>9185</v>
      </c>
      <c r="E1499" s="8" t="s">
        <v>9174</v>
      </c>
      <c r="F1499" s="8" t="s">
        <v>9186</v>
      </c>
      <c r="G1499" s="6" t="s">
        <v>118</v>
      </c>
      <c r="H1499" s="6" t="s">
        <v>34</v>
      </c>
      <c r="I1499" s="8" t="s">
        <v>253</v>
      </c>
      <c r="J1499" s="9">
        <v>1</v>
      </c>
      <c r="K1499" s="9">
        <v>288</v>
      </c>
      <c r="L1499" s="9">
        <v>2026</v>
      </c>
      <c r="M1499" s="8" t="s">
        <v>9187</v>
      </c>
      <c r="N1499" s="8" t="s">
        <v>37</v>
      </c>
      <c r="O1499" s="8" t="s">
        <v>233</v>
      </c>
      <c r="P1499" s="6" t="s">
        <v>51</v>
      </c>
      <c r="Q1499" s="8" t="s">
        <v>52</v>
      </c>
      <c r="R1499" s="10" t="s">
        <v>9188</v>
      </c>
      <c r="S1499" s="11" t="s">
        <v>9189</v>
      </c>
      <c r="T1499" s="6"/>
      <c r="U1499" s="15" t="str">
        <f>HYPERLINK("https://media.infra-m.ru/2242/2242353/cover/2242353.jpg", "Обложка")</f>
        <v>Обложка</v>
      </c>
      <c r="V1499" s="8" t="s">
        <v>2035</v>
      </c>
      <c r="W1499" s="6"/>
      <c r="X1499" s="6"/>
      <c r="Y1499" s="6"/>
      <c r="Z1499" s="6"/>
      <c r="AA1499" s="6" t="s">
        <v>248</v>
      </c>
      <c r="AB1499" s="8"/>
      <c r="AC1499" s="27">
        <v>9785160219110</v>
      </c>
    </row>
    <row r="1500" spans="1:29" s="4" customFormat="1" ht="51.9" customHeight="1" x14ac:dyDescent="0.2">
      <c r="A1500" s="5">
        <v>0</v>
      </c>
      <c r="B1500" s="6" t="s">
        <v>9190</v>
      </c>
      <c r="C1500" s="7">
        <v>3088.8</v>
      </c>
      <c r="D1500" s="8" t="s">
        <v>9191</v>
      </c>
      <c r="E1500" s="8" t="s">
        <v>9174</v>
      </c>
      <c r="F1500" s="8" t="s">
        <v>9192</v>
      </c>
      <c r="G1500" s="6" t="s">
        <v>118</v>
      </c>
      <c r="H1500" s="6" t="s">
        <v>1644</v>
      </c>
      <c r="I1500" s="8"/>
      <c r="J1500" s="9">
        <v>1</v>
      </c>
      <c r="K1500" s="9">
        <v>496</v>
      </c>
      <c r="L1500" s="9">
        <v>2025</v>
      </c>
      <c r="M1500" s="8" t="s">
        <v>9193</v>
      </c>
      <c r="N1500" s="8" t="s">
        <v>37</v>
      </c>
      <c r="O1500" s="8" t="s">
        <v>233</v>
      </c>
      <c r="P1500" s="6" t="s">
        <v>51</v>
      </c>
      <c r="Q1500" s="8" t="s">
        <v>52</v>
      </c>
      <c r="R1500" s="10" t="s">
        <v>9194</v>
      </c>
      <c r="S1500" s="11" t="s">
        <v>2135</v>
      </c>
      <c r="T1500" s="6"/>
      <c r="U1500" s="15" t="str">
        <f>HYPERLINK("https://media.infra-m.ru/2188/2188714/cover/2188714.jpg", "Обложка")</f>
        <v>Обложка</v>
      </c>
      <c r="V1500" s="8" t="s">
        <v>247</v>
      </c>
      <c r="W1500" s="6"/>
      <c r="X1500" s="6"/>
      <c r="Y1500" s="6"/>
      <c r="Z1500" s="6"/>
      <c r="AA1500" s="6" t="s">
        <v>561</v>
      </c>
      <c r="AB1500" s="8"/>
      <c r="AC1500" s="27">
        <v>9785977601085</v>
      </c>
    </row>
    <row r="1501" spans="1:29" s="4" customFormat="1" ht="51.9" customHeight="1" x14ac:dyDescent="0.2">
      <c r="A1501" s="5">
        <v>0</v>
      </c>
      <c r="B1501" s="6" t="s">
        <v>9195</v>
      </c>
      <c r="C1501" s="7">
        <v>2136</v>
      </c>
      <c r="D1501" s="8" t="s">
        <v>9196</v>
      </c>
      <c r="E1501" s="8" t="s">
        <v>9197</v>
      </c>
      <c r="F1501" s="8" t="s">
        <v>9198</v>
      </c>
      <c r="G1501" s="6" t="s">
        <v>118</v>
      </c>
      <c r="H1501" s="6" t="s">
        <v>34</v>
      </c>
      <c r="I1501" s="8" t="s">
        <v>253</v>
      </c>
      <c r="J1501" s="9">
        <v>1</v>
      </c>
      <c r="K1501" s="9">
        <v>323</v>
      </c>
      <c r="L1501" s="9">
        <v>2026</v>
      </c>
      <c r="M1501" s="8" t="s">
        <v>9199</v>
      </c>
      <c r="N1501" s="8" t="s">
        <v>37</v>
      </c>
      <c r="O1501" s="8" t="s">
        <v>233</v>
      </c>
      <c r="P1501" s="6" t="s">
        <v>306</v>
      </c>
      <c r="Q1501" s="8" t="s">
        <v>52</v>
      </c>
      <c r="R1501" s="10" t="s">
        <v>9200</v>
      </c>
      <c r="S1501" s="11"/>
      <c r="T1501" s="6"/>
      <c r="U1501" s="15" t="str">
        <f>HYPERLINK("https://media.infra-m.ru/2226/2226979/cover/2226979.jpg", "Обложка")</f>
        <v>Обложка</v>
      </c>
      <c r="V1501" s="8" t="s">
        <v>588</v>
      </c>
      <c r="W1501" s="6"/>
      <c r="X1501" s="6"/>
      <c r="Y1501" s="6"/>
      <c r="Z1501" s="6"/>
      <c r="AA1501" s="6" t="s">
        <v>157</v>
      </c>
      <c r="AB1501" s="8"/>
      <c r="AC1501" s="27">
        <v>9785160152325</v>
      </c>
    </row>
    <row r="1502" spans="1:29" s="4" customFormat="1" ht="51.9" customHeight="1" x14ac:dyDescent="0.2">
      <c r="A1502" s="5">
        <v>0</v>
      </c>
      <c r="B1502" s="6" t="s">
        <v>9201</v>
      </c>
      <c r="C1502" s="7">
        <v>1416</v>
      </c>
      <c r="D1502" s="8" t="s">
        <v>9202</v>
      </c>
      <c r="E1502" s="8" t="s">
        <v>9203</v>
      </c>
      <c r="F1502" s="8" t="s">
        <v>9204</v>
      </c>
      <c r="G1502" s="6" t="s">
        <v>60</v>
      </c>
      <c r="H1502" s="6" t="s">
        <v>34</v>
      </c>
      <c r="I1502" s="8" t="s">
        <v>1128</v>
      </c>
      <c r="J1502" s="9">
        <v>1</v>
      </c>
      <c r="K1502" s="9">
        <v>235</v>
      </c>
      <c r="L1502" s="9">
        <v>2025</v>
      </c>
      <c r="M1502" s="8" t="s">
        <v>9205</v>
      </c>
      <c r="N1502" s="8" t="s">
        <v>243</v>
      </c>
      <c r="O1502" s="8" t="s">
        <v>1100</v>
      </c>
      <c r="P1502" s="6" t="s">
        <v>51</v>
      </c>
      <c r="Q1502" s="8" t="s">
        <v>52</v>
      </c>
      <c r="R1502" s="10" t="s">
        <v>9206</v>
      </c>
      <c r="S1502" s="11" t="s">
        <v>9207</v>
      </c>
      <c r="T1502" s="6"/>
      <c r="U1502" s="15" t="str">
        <f>HYPERLINK("https://media.infra-m.ru/2168/2168126/cover/2168126.jpg", "Обложка")</f>
        <v>Обложка</v>
      </c>
      <c r="V1502" s="8" t="s">
        <v>1132</v>
      </c>
      <c r="W1502" s="6"/>
      <c r="X1502" s="6"/>
      <c r="Y1502" s="6"/>
      <c r="Z1502" s="6"/>
      <c r="AA1502" s="6" t="s">
        <v>68</v>
      </c>
      <c r="AB1502" s="8"/>
      <c r="AC1502" s="27">
        <v>9785160202846</v>
      </c>
    </row>
    <row r="1503" spans="1:29" s="4" customFormat="1" ht="42" customHeight="1" x14ac:dyDescent="0.2">
      <c r="A1503" s="5">
        <v>0</v>
      </c>
      <c r="B1503" s="6" t="s">
        <v>9208</v>
      </c>
      <c r="C1503" s="7">
        <v>2688</v>
      </c>
      <c r="D1503" s="8" t="s">
        <v>9209</v>
      </c>
      <c r="E1503" s="8" t="s">
        <v>9210</v>
      </c>
      <c r="F1503" s="8" t="s">
        <v>9211</v>
      </c>
      <c r="G1503" s="6" t="s">
        <v>60</v>
      </c>
      <c r="H1503" s="6" t="s">
        <v>34</v>
      </c>
      <c r="I1503" s="8" t="s">
        <v>35</v>
      </c>
      <c r="J1503" s="9">
        <v>1</v>
      </c>
      <c r="K1503" s="9">
        <v>448</v>
      </c>
      <c r="L1503" s="9">
        <v>2025</v>
      </c>
      <c r="M1503" s="8" t="s">
        <v>9212</v>
      </c>
      <c r="N1503" s="8" t="s">
        <v>37</v>
      </c>
      <c r="O1503" s="8" t="s">
        <v>136</v>
      </c>
      <c r="P1503" s="6" t="s">
        <v>39</v>
      </c>
      <c r="Q1503" s="8" t="s">
        <v>40</v>
      </c>
      <c r="R1503" s="10" t="s">
        <v>1631</v>
      </c>
      <c r="S1503" s="11"/>
      <c r="T1503" s="6"/>
      <c r="U1503" s="15" t="str">
        <f>HYPERLINK("https://media.infra-m.ru/2180/2180546/cover/2180546.jpg", "Обложка")</f>
        <v>Обложка</v>
      </c>
      <c r="V1503" s="8" t="s">
        <v>6114</v>
      </c>
      <c r="W1503" s="6"/>
      <c r="X1503" s="6"/>
      <c r="Y1503" s="6"/>
      <c r="Z1503" s="6"/>
      <c r="AA1503" s="6" t="s">
        <v>99</v>
      </c>
      <c r="AB1503" s="8" t="s">
        <v>493</v>
      </c>
      <c r="AC1503" s="27">
        <v>9785160128696</v>
      </c>
    </row>
    <row r="1504" spans="1:29" s="4" customFormat="1" ht="51.9" customHeight="1" x14ac:dyDescent="0.2">
      <c r="A1504" s="5">
        <v>0</v>
      </c>
      <c r="B1504" s="6" t="s">
        <v>9213</v>
      </c>
      <c r="C1504" s="7">
        <v>2436</v>
      </c>
      <c r="D1504" s="8" t="s">
        <v>9214</v>
      </c>
      <c r="E1504" s="8" t="s">
        <v>9215</v>
      </c>
      <c r="F1504" s="8" t="s">
        <v>9216</v>
      </c>
      <c r="G1504" s="6" t="s">
        <v>33</v>
      </c>
      <c r="H1504" s="6" t="s">
        <v>313</v>
      </c>
      <c r="I1504" s="8" t="s">
        <v>4459</v>
      </c>
      <c r="J1504" s="9">
        <v>1</v>
      </c>
      <c r="K1504" s="9">
        <v>370</v>
      </c>
      <c r="L1504" s="9">
        <v>2026</v>
      </c>
      <c r="M1504" s="8" t="s">
        <v>9217</v>
      </c>
      <c r="N1504" s="8" t="s">
        <v>243</v>
      </c>
      <c r="O1504" s="8" t="s">
        <v>385</v>
      </c>
      <c r="P1504" s="6" t="s">
        <v>748</v>
      </c>
      <c r="Q1504" s="8" t="s">
        <v>40</v>
      </c>
      <c r="R1504" s="10" t="s">
        <v>9218</v>
      </c>
      <c r="S1504" s="11"/>
      <c r="T1504" s="6"/>
      <c r="U1504" s="15" t="str">
        <f>HYPERLINK("https://media.infra-m.ru/2230/2230991/cover/2230991.jpg", "Обложка")</f>
        <v>Обложка</v>
      </c>
      <c r="V1504" s="8" t="s">
        <v>9219</v>
      </c>
      <c r="W1504" s="6"/>
      <c r="X1504" s="6"/>
      <c r="Y1504" s="6"/>
      <c r="Z1504" s="6"/>
      <c r="AA1504" s="6" t="s">
        <v>55</v>
      </c>
      <c r="AB1504" s="8"/>
      <c r="AC1504" s="27">
        <v>9785369010969</v>
      </c>
    </row>
    <row r="1505" spans="1:29" s="4" customFormat="1" ht="51.9" customHeight="1" x14ac:dyDescent="0.2">
      <c r="A1505" s="5">
        <v>0</v>
      </c>
      <c r="B1505" s="6" t="s">
        <v>9220</v>
      </c>
      <c r="C1505" s="7">
        <v>1344</v>
      </c>
      <c r="D1505" s="8" t="s">
        <v>9221</v>
      </c>
      <c r="E1505" s="8" t="s">
        <v>9222</v>
      </c>
      <c r="F1505" s="8" t="s">
        <v>9223</v>
      </c>
      <c r="G1505" s="6" t="s">
        <v>118</v>
      </c>
      <c r="H1505" s="6" t="s">
        <v>34</v>
      </c>
      <c r="I1505" s="8" t="s">
        <v>263</v>
      </c>
      <c r="J1505" s="9">
        <v>1</v>
      </c>
      <c r="K1505" s="9">
        <v>203</v>
      </c>
      <c r="L1505" s="9">
        <v>2026</v>
      </c>
      <c r="M1505" s="8" t="s">
        <v>9224</v>
      </c>
      <c r="N1505" s="8" t="s">
        <v>243</v>
      </c>
      <c r="O1505" s="8" t="s">
        <v>758</v>
      </c>
      <c r="P1505" s="6" t="s">
        <v>51</v>
      </c>
      <c r="Q1505" s="8" t="s">
        <v>265</v>
      </c>
      <c r="R1505" s="10" t="s">
        <v>9225</v>
      </c>
      <c r="S1505" s="11" t="s">
        <v>9226</v>
      </c>
      <c r="T1505" s="6"/>
      <c r="U1505" s="15" t="str">
        <f>HYPERLINK("https://media.infra-m.ru/2213/2213528/cover/2213528.jpg", "Обложка")</f>
        <v>Обложка</v>
      </c>
      <c r="V1505" s="8" t="s">
        <v>9227</v>
      </c>
      <c r="W1505" s="6"/>
      <c r="X1505" s="6" t="s">
        <v>24</v>
      </c>
      <c r="Y1505" s="6"/>
      <c r="Z1505" s="6"/>
      <c r="AA1505" s="6" t="s">
        <v>623</v>
      </c>
      <c r="AB1505" s="8" t="s">
        <v>3581</v>
      </c>
      <c r="AC1505" s="27">
        <v>9785160124339</v>
      </c>
    </row>
    <row r="1506" spans="1:29" s="4" customFormat="1" ht="51.9" customHeight="1" x14ac:dyDescent="0.2">
      <c r="A1506" s="5">
        <v>0</v>
      </c>
      <c r="B1506" s="6" t="s">
        <v>9228</v>
      </c>
      <c r="C1506" s="7">
        <v>1380</v>
      </c>
      <c r="D1506" s="8" t="s">
        <v>9229</v>
      </c>
      <c r="E1506" s="8" t="s">
        <v>9230</v>
      </c>
      <c r="F1506" s="8" t="s">
        <v>9231</v>
      </c>
      <c r="G1506" s="6" t="s">
        <v>118</v>
      </c>
      <c r="H1506" s="6" t="s">
        <v>34</v>
      </c>
      <c r="I1506" s="8" t="s">
        <v>253</v>
      </c>
      <c r="J1506" s="9">
        <v>1</v>
      </c>
      <c r="K1506" s="9">
        <v>204</v>
      </c>
      <c r="L1506" s="9">
        <v>2026</v>
      </c>
      <c r="M1506" s="8" t="s">
        <v>9232</v>
      </c>
      <c r="N1506" s="8" t="s">
        <v>243</v>
      </c>
      <c r="O1506" s="8" t="s">
        <v>385</v>
      </c>
      <c r="P1506" s="6" t="s">
        <v>51</v>
      </c>
      <c r="Q1506" s="8" t="s">
        <v>377</v>
      </c>
      <c r="R1506" s="10" t="s">
        <v>9233</v>
      </c>
      <c r="S1506" s="11" t="s">
        <v>9234</v>
      </c>
      <c r="T1506" s="6"/>
      <c r="U1506" s="15" t="str">
        <f>HYPERLINK("https://media.infra-m.ru/2213/2213698/cover/2213698.jpg", "Обложка")</f>
        <v>Обложка</v>
      </c>
      <c r="V1506" s="8" t="s">
        <v>414</v>
      </c>
      <c r="W1506" s="6"/>
      <c r="X1506" s="6"/>
      <c r="Y1506" s="6"/>
      <c r="Z1506" s="6"/>
      <c r="AA1506" s="6" t="s">
        <v>115</v>
      </c>
      <c r="AB1506" s="8"/>
      <c r="AC1506" s="27">
        <v>9785160211022</v>
      </c>
    </row>
    <row r="1507" spans="1:29" s="4" customFormat="1" ht="42" customHeight="1" x14ac:dyDescent="0.2">
      <c r="A1507" s="5">
        <v>0</v>
      </c>
      <c r="B1507" s="6" t="s">
        <v>9235</v>
      </c>
      <c r="C1507" s="7">
        <v>2188.8000000000002</v>
      </c>
      <c r="D1507" s="8" t="s">
        <v>9236</v>
      </c>
      <c r="E1507" s="8" t="s">
        <v>9237</v>
      </c>
      <c r="F1507" s="8" t="s">
        <v>9238</v>
      </c>
      <c r="G1507" s="6" t="s">
        <v>33</v>
      </c>
      <c r="H1507" s="6" t="s">
        <v>34</v>
      </c>
      <c r="I1507" s="8" t="s">
        <v>35</v>
      </c>
      <c r="J1507" s="9">
        <v>1</v>
      </c>
      <c r="K1507" s="9">
        <v>331</v>
      </c>
      <c r="L1507" s="9">
        <v>2026</v>
      </c>
      <c r="M1507" s="8" t="s">
        <v>9239</v>
      </c>
      <c r="N1507" s="8" t="s">
        <v>93</v>
      </c>
      <c r="O1507" s="8" t="s">
        <v>94</v>
      </c>
      <c r="P1507" s="6" t="s">
        <v>39</v>
      </c>
      <c r="Q1507" s="8" t="s">
        <v>40</v>
      </c>
      <c r="R1507" s="10" t="s">
        <v>1563</v>
      </c>
      <c r="S1507" s="11"/>
      <c r="T1507" s="6"/>
      <c r="U1507" s="15" t="str">
        <f>HYPERLINK("https://media.infra-m.ru/2238/2238264/cover/2238264.jpg", "Обложка")</f>
        <v>Обложка</v>
      </c>
      <c r="V1507" s="8" t="s">
        <v>9240</v>
      </c>
      <c r="W1507" s="6"/>
      <c r="X1507" s="6"/>
      <c r="Y1507" s="6"/>
      <c r="Z1507" s="6"/>
      <c r="AA1507" s="6" t="s">
        <v>1256</v>
      </c>
      <c r="AB1507" s="8"/>
      <c r="AC1507" s="27">
        <v>9785160158884</v>
      </c>
    </row>
    <row r="1508" spans="1:29" s="4" customFormat="1" ht="42" customHeight="1" x14ac:dyDescent="0.2">
      <c r="A1508" s="5">
        <v>0</v>
      </c>
      <c r="B1508" s="6" t="s">
        <v>9241</v>
      </c>
      <c r="C1508" s="7">
        <v>1240.8</v>
      </c>
      <c r="D1508" s="8" t="s">
        <v>9242</v>
      </c>
      <c r="E1508" s="8" t="s">
        <v>9243</v>
      </c>
      <c r="F1508" s="8" t="s">
        <v>9244</v>
      </c>
      <c r="G1508" s="6" t="s">
        <v>33</v>
      </c>
      <c r="H1508" s="6" t="s">
        <v>34</v>
      </c>
      <c r="I1508" s="8" t="s">
        <v>35</v>
      </c>
      <c r="J1508" s="9">
        <v>1</v>
      </c>
      <c r="K1508" s="9">
        <v>179</v>
      </c>
      <c r="L1508" s="9">
        <v>2027</v>
      </c>
      <c r="M1508" s="8" t="s">
        <v>9245</v>
      </c>
      <c r="N1508" s="8" t="s">
        <v>37</v>
      </c>
      <c r="O1508" s="8" t="s">
        <v>136</v>
      </c>
      <c r="P1508" s="6" t="s">
        <v>39</v>
      </c>
      <c r="Q1508" s="8" t="s">
        <v>40</v>
      </c>
      <c r="R1508" s="10" t="s">
        <v>9246</v>
      </c>
      <c r="S1508" s="11"/>
      <c r="T1508" s="6"/>
      <c r="U1508" s="15" t="str">
        <f>HYPERLINK("https://media.infra-m.ru/2262/2262691/cover/2262691.jpg", "Обложка")</f>
        <v>Обложка</v>
      </c>
      <c r="V1508" s="8" t="s">
        <v>3636</v>
      </c>
      <c r="W1508" s="6"/>
      <c r="X1508" s="6"/>
      <c r="Y1508" s="6"/>
      <c r="Z1508" s="6"/>
      <c r="AA1508" s="6" t="s">
        <v>157</v>
      </c>
      <c r="AB1508" s="8"/>
      <c r="AC1508" s="27">
        <v>9785160178806</v>
      </c>
    </row>
    <row r="1509" spans="1:29" s="4" customFormat="1" ht="44.1" customHeight="1" x14ac:dyDescent="0.2">
      <c r="A1509" s="5">
        <v>0</v>
      </c>
      <c r="B1509" s="6" t="s">
        <v>9247</v>
      </c>
      <c r="C1509" s="7">
        <v>2784</v>
      </c>
      <c r="D1509" s="8" t="s">
        <v>9248</v>
      </c>
      <c r="E1509" s="8" t="s">
        <v>9249</v>
      </c>
      <c r="F1509" s="8" t="s">
        <v>674</v>
      </c>
      <c r="G1509" s="6" t="s">
        <v>118</v>
      </c>
      <c r="H1509" s="6" t="s">
        <v>134</v>
      </c>
      <c r="I1509" s="8"/>
      <c r="J1509" s="9">
        <v>1</v>
      </c>
      <c r="K1509" s="9">
        <v>400</v>
      </c>
      <c r="L1509" s="9">
        <v>2026</v>
      </c>
      <c r="M1509" s="8" t="s">
        <v>9250</v>
      </c>
      <c r="N1509" s="8" t="s">
        <v>37</v>
      </c>
      <c r="O1509" s="8" t="s">
        <v>136</v>
      </c>
      <c r="P1509" s="6" t="s">
        <v>39</v>
      </c>
      <c r="Q1509" s="8" t="s">
        <v>40</v>
      </c>
      <c r="R1509" s="10" t="s">
        <v>9251</v>
      </c>
      <c r="S1509" s="11"/>
      <c r="T1509" s="6"/>
      <c r="U1509" s="15" t="str">
        <f>HYPERLINK("https://media.infra-m.ru/2261/2261235/cover/2261235.jpg", "Обложка")</f>
        <v>Обложка</v>
      </c>
      <c r="V1509" s="8" t="s">
        <v>677</v>
      </c>
      <c r="W1509" s="6"/>
      <c r="X1509" s="6"/>
      <c r="Y1509" s="6"/>
      <c r="Z1509" s="6"/>
      <c r="AA1509" s="6" t="s">
        <v>430</v>
      </c>
      <c r="AB1509" s="8"/>
      <c r="AC1509" s="27">
        <v>9785001561521</v>
      </c>
    </row>
    <row r="1510" spans="1:29" s="4" customFormat="1" ht="51.9" customHeight="1" x14ac:dyDescent="0.2">
      <c r="A1510" s="5">
        <v>0</v>
      </c>
      <c r="B1510" s="6" t="s">
        <v>9252</v>
      </c>
      <c r="C1510" s="7">
        <v>2608.8000000000002</v>
      </c>
      <c r="D1510" s="8" t="s">
        <v>9253</v>
      </c>
      <c r="E1510" s="8" t="s">
        <v>9254</v>
      </c>
      <c r="F1510" s="8" t="s">
        <v>9255</v>
      </c>
      <c r="G1510" s="6" t="s">
        <v>60</v>
      </c>
      <c r="H1510" s="6" t="s">
        <v>34</v>
      </c>
      <c r="I1510" s="8" t="s">
        <v>253</v>
      </c>
      <c r="J1510" s="9">
        <v>1</v>
      </c>
      <c r="K1510" s="9">
        <v>416</v>
      </c>
      <c r="L1510" s="9">
        <v>2025</v>
      </c>
      <c r="M1510" s="8" t="s">
        <v>9256</v>
      </c>
      <c r="N1510" s="8" t="s">
        <v>243</v>
      </c>
      <c r="O1510" s="8" t="s">
        <v>758</v>
      </c>
      <c r="P1510" s="6" t="s">
        <v>51</v>
      </c>
      <c r="Q1510" s="8" t="s">
        <v>65</v>
      </c>
      <c r="R1510" s="10" t="s">
        <v>9257</v>
      </c>
      <c r="S1510" s="11" t="s">
        <v>9258</v>
      </c>
      <c r="T1510" s="6"/>
      <c r="U1510" s="15" t="str">
        <f>HYPERLINK("https://media.infra-m.ru/2211/2211743/cover/2211743.jpg", "Обложка")</f>
        <v>Обложка</v>
      </c>
      <c r="V1510" s="8" t="s">
        <v>631</v>
      </c>
      <c r="W1510" s="6"/>
      <c r="X1510" s="6"/>
      <c r="Y1510" s="6"/>
      <c r="Z1510" s="6"/>
      <c r="AA1510" s="6" t="s">
        <v>874</v>
      </c>
      <c r="AB1510" s="8"/>
      <c r="AC1510" s="27">
        <v>9785160188447</v>
      </c>
    </row>
    <row r="1511" spans="1:29" s="4" customFormat="1" ht="51.9" customHeight="1" x14ac:dyDescent="0.2">
      <c r="A1511" s="5">
        <v>0</v>
      </c>
      <c r="B1511" s="6" t="s">
        <v>9259</v>
      </c>
      <c r="C1511" s="7">
        <v>2244</v>
      </c>
      <c r="D1511" s="8" t="s">
        <v>9260</v>
      </c>
      <c r="E1511" s="8" t="s">
        <v>9254</v>
      </c>
      <c r="F1511" s="8" t="s">
        <v>9255</v>
      </c>
      <c r="G1511" s="6" t="s">
        <v>118</v>
      </c>
      <c r="H1511" s="6" t="s">
        <v>34</v>
      </c>
      <c r="I1511" s="8" t="s">
        <v>263</v>
      </c>
      <c r="J1511" s="9">
        <v>1</v>
      </c>
      <c r="K1511" s="9">
        <v>416</v>
      </c>
      <c r="L1511" s="9">
        <v>2023</v>
      </c>
      <c r="M1511" s="8" t="s">
        <v>9261</v>
      </c>
      <c r="N1511" s="8" t="s">
        <v>243</v>
      </c>
      <c r="O1511" s="8" t="s">
        <v>758</v>
      </c>
      <c r="P1511" s="6" t="s">
        <v>51</v>
      </c>
      <c r="Q1511" s="8" t="s">
        <v>265</v>
      </c>
      <c r="R1511" s="10" t="s">
        <v>9262</v>
      </c>
      <c r="S1511" s="11" t="s">
        <v>9263</v>
      </c>
      <c r="T1511" s="6"/>
      <c r="U1511" s="15" t="str">
        <f>HYPERLINK("https://media.infra-m.ru/1915/1915372/cover/1915372.jpg", "Обложка")</f>
        <v>Обложка</v>
      </c>
      <c r="V1511" s="8" t="s">
        <v>631</v>
      </c>
      <c r="W1511" s="6"/>
      <c r="X1511" s="6"/>
      <c r="Y1511" s="6"/>
      <c r="Z1511" s="6" t="s">
        <v>882</v>
      </c>
      <c r="AA1511" s="6" t="s">
        <v>218</v>
      </c>
      <c r="AB1511" s="8"/>
      <c r="AC1511" s="27">
        <v>9785160156095</v>
      </c>
    </row>
    <row r="1512" spans="1:29" s="4" customFormat="1" ht="42" customHeight="1" x14ac:dyDescent="0.2">
      <c r="A1512" s="5">
        <v>0</v>
      </c>
      <c r="B1512" s="6" t="s">
        <v>9264</v>
      </c>
      <c r="C1512" s="7">
        <v>1260</v>
      </c>
      <c r="D1512" s="8" t="s">
        <v>9265</v>
      </c>
      <c r="E1512" s="8" t="s">
        <v>9266</v>
      </c>
      <c r="F1512" s="8" t="s">
        <v>9267</v>
      </c>
      <c r="G1512" s="6" t="s">
        <v>60</v>
      </c>
      <c r="H1512" s="6" t="s">
        <v>34</v>
      </c>
      <c r="I1512" s="8" t="s">
        <v>1248</v>
      </c>
      <c r="J1512" s="9">
        <v>1</v>
      </c>
      <c r="K1512" s="9">
        <v>182</v>
      </c>
      <c r="L1512" s="9">
        <v>2026</v>
      </c>
      <c r="M1512" s="8" t="s">
        <v>9268</v>
      </c>
      <c r="N1512" s="8" t="s">
        <v>243</v>
      </c>
      <c r="O1512" s="8" t="s">
        <v>758</v>
      </c>
      <c r="P1512" s="6" t="s">
        <v>51</v>
      </c>
      <c r="Q1512" s="8" t="s">
        <v>52</v>
      </c>
      <c r="R1512" s="10" t="s">
        <v>9269</v>
      </c>
      <c r="S1512" s="11"/>
      <c r="T1512" s="6"/>
      <c r="U1512" s="15" t="str">
        <f>HYPERLINK("https://media.infra-m.ru/2222/2222619/cover/2222619.jpg", "Обложка")</f>
        <v>Обложка</v>
      </c>
      <c r="V1512" s="8" t="s">
        <v>1083</v>
      </c>
      <c r="W1512" s="6" t="s">
        <v>1382</v>
      </c>
      <c r="X1512" s="6"/>
      <c r="Y1512" s="6"/>
      <c r="Z1512" s="6"/>
      <c r="AA1512" s="6" t="s">
        <v>187</v>
      </c>
      <c r="AB1512" s="8"/>
      <c r="AC1512" s="27">
        <v>9785160213446</v>
      </c>
    </row>
    <row r="1513" spans="1:29" s="4" customFormat="1" ht="51.9" customHeight="1" x14ac:dyDescent="0.2">
      <c r="A1513" s="5">
        <v>0</v>
      </c>
      <c r="B1513" s="6" t="s">
        <v>9270</v>
      </c>
      <c r="C1513" s="7">
        <v>2100</v>
      </c>
      <c r="D1513" s="8" t="s">
        <v>9271</v>
      </c>
      <c r="E1513" s="8" t="s">
        <v>9272</v>
      </c>
      <c r="F1513" s="8" t="s">
        <v>9273</v>
      </c>
      <c r="G1513" s="6" t="s">
        <v>118</v>
      </c>
      <c r="H1513" s="6" t="s">
        <v>34</v>
      </c>
      <c r="I1513" s="8" t="s">
        <v>263</v>
      </c>
      <c r="J1513" s="9">
        <v>1</v>
      </c>
      <c r="K1513" s="9">
        <v>232</v>
      </c>
      <c r="L1513" s="9">
        <v>2026</v>
      </c>
      <c r="M1513" s="8" t="s">
        <v>9274</v>
      </c>
      <c r="N1513" s="8" t="s">
        <v>243</v>
      </c>
      <c r="O1513" s="8" t="s">
        <v>758</v>
      </c>
      <c r="P1513" s="6" t="s">
        <v>51</v>
      </c>
      <c r="Q1513" s="8" t="s">
        <v>265</v>
      </c>
      <c r="R1513" s="10" t="s">
        <v>9275</v>
      </c>
      <c r="S1513" s="11" t="s">
        <v>4567</v>
      </c>
      <c r="T1513" s="6"/>
      <c r="U1513" s="15" t="str">
        <f>HYPERLINK("https://media.infra-m.ru/2259/2259747/cover/2259747.jpg", "Обложка")</f>
        <v>Обложка</v>
      </c>
      <c r="V1513" s="8" t="s">
        <v>9276</v>
      </c>
      <c r="W1513" s="6"/>
      <c r="X1513" s="6" t="s">
        <v>24</v>
      </c>
      <c r="Y1513" s="6"/>
      <c r="Z1513" s="6"/>
      <c r="AA1513" s="6" t="s">
        <v>3991</v>
      </c>
      <c r="AB1513" s="8"/>
      <c r="AC1513" s="27">
        <v>9785160222974</v>
      </c>
    </row>
    <row r="1514" spans="1:29" s="4" customFormat="1" ht="51.9" customHeight="1" x14ac:dyDescent="0.2">
      <c r="A1514" s="5">
        <v>0</v>
      </c>
      <c r="B1514" s="6" t="s">
        <v>9277</v>
      </c>
      <c r="C1514" s="7">
        <v>1313.9</v>
      </c>
      <c r="D1514" s="8" t="s">
        <v>9278</v>
      </c>
      <c r="E1514" s="8" t="s">
        <v>9279</v>
      </c>
      <c r="F1514" s="8" t="s">
        <v>9280</v>
      </c>
      <c r="G1514" s="6" t="s">
        <v>60</v>
      </c>
      <c r="H1514" s="6" t="s">
        <v>48</v>
      </c>
      <c r="I1514" s="8" t="s">
        <v>401</v>
      </c>
      <c r="J1514" s="9">
        <v>1</v>
      </c>
      <c r="K1514" s="9">
        <v>240</v>
      </c>
      <c r="L1514" s="9">
        <v>2021</v>
      </c>
      <c r="M1514" s="8" t="s">
        <v>9281</v>
      </c>
      <c r="N1514" s="8" t="s">
        <v>243</v>
      </c>
      <c r="O1514" s="8" t="s">
        <v>758</v>
      </c>
      <c r="P1514" s="6" t="s">
        <v>51</v>
      </c>
      <c r="Q1514" s="8" t="s">
        <v>265</v>
      </c>
      <c r="R1514" s="10" t="s">
        <v>9275</v>
      </c>
      <c r="S1514" s="11" t="s">
        <v>4567</v>
      </c>
      <c r="T1514" s="6"/>
      <c r="U1514" s="15" t="str">
        <f>HYPERLINK("https://media.infra-m.ru/1254/1254669/cover/1254669.jpg", "Обложка")</f>
        <v>Обложка</v>
      </c>
      <c r="V1514" s="8" t="s">
        <v>9276</v>
      </c>
      <c r="W1514" s="6"/>
      <c r="X1514" s="6" t="s">
        <v>24</v>
      </c>
      <c r="Y1514" s="6"/>
      <c r="Z1514" s="6"/>
      <c r="AA1514" s="6" t="s">
        <v>7324</v>
      </c>
      <c r="AB1514" s="8"/>
      <c r="AC1514" s="27">
        <v>9785000914571</v>
      </c>
    </row>
    <row r="1515" spans="1:29" s="4" customFormat="1" ht="51.9" customHeight="1" x14ac:dyDescent="0.2">
      <c r="A1515" s="5">
        <v>0</v>
      </c>
      <c r="B1515" s="6" t="s">
        <v>9282</v>
      </c>
      <c r="C1515" s="7">
        <v>2096.4</v>
      </c>
      <c r="D1515" s="8" t="s">
        <v>9283</v>
      </c>
      <c r="E1515" s="8" t="s">
        <v>9272</v>
      </c>
      <c r="F1515" s="8" t="s">
        <v>9273</v>
      </c>
      <c r="G1515" s="6" t="s">
        <v>118</v>
      </c>
      <c r="H1515" s="6" t="s">
        <v>48</v>
      </c>
      <c r="I1515" s="8" t="s">
        <v>271</v>
      </c>
      <c r="J1515" s="9">
        <v>1</v>
      </c>
      <c r="K1515" s="9">
        <v>232</v>
      </c>
      <c r="L1515" s="9">
        <v>2027</v>
      </c>
      <c r="M1515" s="8" t="s">
        <v>9284</v>
      </c>
      <c r="N1515" s="8" t="s">
        <v>243</v>
      </c>
      <c r="O1515" s="8" t="s">
        <v>758</v>
      </c>
      <c r="P1515" s="6" t="s">
        <v>51</v>
      </c>
      <c r="Q1515" s="8" t="s">
        <v>52</v>
      </c>
      <c r="R1515" s="10" t="s">
        <v>9285</v>
      </c>
      <c r="S1515" s="11" t="s">
        <v>9286</v>
      </c>
      <c r="T1515" s="6"/>
      <c r="U1515" s="15" t="str">
        <f>HYPERLINK("https://media.infra-m.ru/2267/2267085/cover/2267085.jpg", "Обложка")</f>
        <v>Обложка</v>
      </c>
      <c r="V1515" s="8" t="s">
        <v>9276</v>
      </c>
      <c r="W1515" s="6"/>
      <c r="X1515" s="6"/>
      <c r="Y1515" s="6"/>
      <c r="Z1515" s="6" t="s">
        <v>632</v>
      </c>
      <c r="AA1515" s="6" t="s">
        <v>6898</v>
      </c>
      <c r="AB1515" s="8"/>
      <c r="AC1515" s="27">
        <v>9785000917268</v>
      </c>
    </row>
    <row r="1516" spans="1:29" s="4" customFormat="1" ht="51.9" customHeight="1" x14ac:dyDescent="0.2">
      <c r="A1516" s="5">
        <v>0</v>
      </c>
      <c r="B1516" s="6" t="s">
        <v>9287</v>
      </c>
      <c r="C1516" s="7">
        <v>2248.8000000000002</v>
      </c>
      <c r="D1516" s="8" t="s">
        <v>9288</v>
      </c>
      <c r="E1516" s="8" t="s">
        <v>9289</v>
      </c>
      <c r="F1516" s="8" t="s">
        <v>9290</v>
      </c>
      <c r="G1516" s="6" t="s">
        <v>118</v>
      </c>
      <c r="H1516" s="6" t="s">
        <v>34</v>
      </c>
      <c r="I1516" s="8" t="s">
        <v>271</v>
      </c>
      <c r="J1516" s="9">
        <v>1</v>
      </c>
      <c r="K1516" s="9">
        <v>323</v>
      </c>
      <c r="L1516" s="9">
        <v>2027</v>
      </c>
      <c r="M1516" s="8" t="s">
        <v>9291</v>
      </c>
      <c r="N1516" s="8" t="s">
        <v>243</v>
      </c>
      <c r="O1516" s="8" t="s">
        <v>758</v>
      </c>
      <c r="P1516" s="6" t="s">
        <v>51</v>
      </c>
      <c r="Q1516" s="8" t="s">
        <v>52</v>
      </c>
      <c r="R1516" s="10" t="s">
        <v>9292</v>
      </c>
      <c r="S1516" s="11" t="s">
        <v>9293</v>
      </c>
      <c r="T1516" s="6"/>
      <c r="U1516" s="15" t="str">
        <f>HYPERLINK("https://media.infra-m.ru/2265/2265540/cover/2265540.jpg", "Обложка")</f>
        <v>Обложка</v>
      </c>
      <c r="V1516" s="8" t="s">
        <v>4976</v>
      </c>
      <c r="W1516" s="6"/>
      <c r="X1516" s="6" t="s">
        <v>24</v>
      </c>
      <c r="Y1516" s="6"/>
      <c r="Z1516" s="6"/>
      <c r="AA1516" s="6" t="s">
        <v>148</v>
      </c>
      <c r="AB1516" s="8"/>
      <c r="AC1516" s="27">
        <v>9785160165097</v>
      </c>
    </row>
    <row r="1517" spans="1:29" s="4" customFormat="1" ht="51.9" customHeight="1" x14ac:dyDescent="0.2">
      <c r="A1517" s="5">
        <v>0</v>
      </c>
      <c r="B1517" s="6" t="s">
        <v>9294</v>
      </c>
      <c r="C1517" s="13">
        <v>708</v>
      </c>
      <c r="D1517" s="8" t="s">
        <v>9295</v>
      </c>
      <c r="E1517" s="8" t="s">
        <v>9296</v>
      </c>
      <c r="F1517" s="8" t="s">
        <v>9273</v>
      </c>
      <c r="G1517" s="6" t="s">
        <v>33</v>
      </c>
      <c r="H1517" s="6" t="s">
        <v>34</v>
      </c>
      <c r="I1517" s="8" t="s">
        <v>263</v>
      </c>
      <c r="J1517" s="9">
        <v>1</v>
      </c>
      <c r="K1517" s="9">
        <v>72</v>
      </c>
      <c r="L1517" s="9">
        <v>2026</v>
      </c>
      <c r="M1517" s="8" t="s">
        <v>9297</v>
      </c>
      <c r="N1517" s="8" t="s">
        <v>243</v>
      </c>
      <c r="O1517" s="8" t="s">
        <v>758</v>
      </c>
      <c r="P1517" s="6" t="s">
        <v>51</v>
      </c>
      <c r="Q1517" s="8" t="s">
        <v>265</v>
      </c>
      <c r="R1517" s="10" t="s">
        <v>9298</v>
      </c>
      <c r="S1517" s="11" t="s">
        <v>9299</v>
      </c>
      <c r="T1517" s="6"/>
      <c r="U1517" s="15" t="str">
        <f>HYPERLINK("https://media.infra-m.ru/2204/2204887/cover/2204887.jpg", "Обложка")</f>
        <v>Обложка</v>
      </c>
      <c r="V1517" s="8" t="s">
        <v>9276</v>
      </c>
      <c r="W1517" s="6"/>
      <c r="X1517" s="6" t="s">
        <v>24</v>
      </c>
      <c r="Y1517" s="6"/>
      <c r="Z1517" s="6" t="s">
        <v>267</v>
      </c>
      <c r="AA1517" s="6" t="s">
        <v>86</v>
      </c>
      <c r="AB1517" s="8"/>
      <c r="AC1517" s="27">
        <v>9785160211473</v>
      </c>
    </row>
    <row r="1518" spans="1:29" s="4" customFormat="1" ht="51.9" customHeight="1" x14ac:dyDescent="0.2">
      <c r="A1518" s="5">
        <v>0</v>
      </c>
      <c r="B1518" s="6" t="s">
        <v>9300</v>
      </c>
      <c r="C1518" s="13">
        <v>712.8</v>
      </c>
      <c r="D1518" s="8" t="s">
        <v>9301</v>
      </c>
      <c r="E1518" s="8" t="s">
        <v>9296</v>
      </c>
      <c r="F1518" s="8" t="s">
        <v>9273</v>
      </c>
      <c r="G1518" s="6" t="s">
        <v>33</v>
      </c>
      <c r="H1518" s="6" t="s">
        <v>48</v>
      </c>
      <c r="I1518" s="8" t="s">
        <v>253</v>
      </c>
      <c r="J1518" s="9">
        <v>1</v>
      </c>
      <c r="K1518" s="9">
        <v>72</v>
      </c>
      <c r="L1518" s="9">
        <v>2026</v>
      </c>
      <c r="M1518" s="8" t="s">
        <v>9302</v>
      </c>
      <c r="N1518" s="8" t="s">
        <v>243</v>
      </c>
      <c r="O1518" s="8" t="s">
        <v>758</v>
      </c>
      <c r="P1518" s="6" t="s">
        <v>51</v>
      </c>
      <c r="Q1518" s="8" t="s">
        <v>52</v>
      </c>
      <c r="R1518" s="10" t="s">
        <v>9303</v>
      </c>
      <c r="S1518" s="11" t="s">
        <v>9304</v>
      </c>
      <c r="T1518" s="6"/>
      <c r="U1518" s="15" t="str">
        <f>HYPERLINK("https://media.infra-m.ru/2237/2237210/cover/2237210.jpg", "Обложка")</f>
        <v>Обложка</v>
      </c>
      <c r="V1518" s="8" t="s">
        <v>9276</v>
      </c>
      <c r="W1518" s="6"/>
      <c r="X1518" s="6"/>
      <c r="Y1518" s="6"/>
      <c r="Z1518" s="6"/>
      <c r="AA1518" s="6" t="s">
        <v>274</v>
      </c>
      <c r="AB1518" s="8"/>
      <c r="AC1518" s="27">
        <v>9785000916414</v>
      </c>
    </row>
    <row r="1519" spans="1:29" s="4" customFormat="1" ht="51.9" customHeight="1" x14ac:dyDescent="0.2">
      <c r="A1519" s="5">
        <v>0</v>
      </c>
      <c r="B1519" s="6" t="s">
        <v>9305</v>
      </c>
      <c r="C1519" s="7">
        <v>1922.4</v>
      </c>
      <c r="D1519" s="8" t="s">
        <v>9306</v>
      </c>
      <c r="E1519" s="8" t="s">
        <v>9307</v>
      </c>
      <c r="F1519" s="8" t="s">
        <v>9308</v>
      </c>
      <c r="G1519" s="6" t="s">
        <v>118</v>
      </c>
      <c r="H1519" s="6" t="s">
        <v>1042</v>
      </c>
      <c r="I1519" s="8" t="s">
        <v>401</v>
      </c>
      <c r="J1519" s="9">
        <v>1</v>
      </c>
      <c r="K1519" s="9">
        <v>224</v>
      </c>
      <c r="L1519" s="9">
        <v>2026</v>
      </c>
      <c r="M1519" s="8" t="s">
        <v>9309</v>
      </c>
      <c r="N1519" s="8" t="s">
        <v>243</v>
      </c>
      <c r="O1519" s="8" t="s">
        <v>758</v>
      </c>
      <c r="P1519" s="6" t="s">
        <v>51</v>
      </c>
      <c r="Q1519" s="8" t="s">
        <v>265</v>
      </c>
      <c r="R1519" s="10" t="s">
        <v>9310</v>
      </c>
      <c r="S1519" s="11" t="s">
        <v>9311</v>
      </c>
      <c r="T1519" s="6"/>
      <c r="U1519" s="15" t="str">
        <f>HYPERLINK("https://media.infra-m.ru/2225/2225113/cover/2225113.jpg", "Обложка")</f>
        <v>Обложка</v>
      </c>
      <c r="V1519" s="8" t="s">
        <v>9312</v>
      </c>
      <c r="W1519" s="6"/>
      <c r="X1519" s="6" t="s">
        <v>24</v>
      </c>
      <c r="Y1519" s="6"/>
      <c r="Z1519" s="6"/>
      <c r="AA1519" s="6" t="s">
        <v>1506</v>
      </c>
      <c r="AB1519" s="8"/>
      <c r="AC1519" s="27">
        <v>9785819908464</v>
      </c>
    </row>
    <row r="1520" spans="1:29" s="4" customFormat="1" ht="42" customHeight="1" x14ac:dyDescent="0.2">
      <c r="A1520" s="5">
        <v>0</v>
      </c>
      <c r="B1520" s="6" t="s">
        <v>9313</v>
      </c>
      <c r="C1520" s="7">
        <v>1144.8</v>
      </c>
      <c r="D1520" s="8" t="s">
        <v>9314</v>
      </c>
      <c r="E1520" s="8" t="s">
        <v>9315</v>
      </c>
      <c r="F1520" s="8" t="s">
        <v>9316</v>
      </c>
      <c r="G1520" s="6" t="s">
        <v>33</v>
      </c>
      <c r="H1520" s="6" t="s">
        <v>34</v>
      </c>
      <c r="I1520" s="8" t="s">
        <v>35</v>
      </c>
      <c r="J1520" s="9">
        <v>1</v>
      </c>
      <c r="K1520" s="9">
        <v>172</v>
      </c>
      <c r="L1520" s="9">
        <v>2026</v>
      </c>
      <c r="M1520" s="8" t="s">
        <v>9317</v>
      </c>
      <c r="N1520" s="8" t="s">
        <v>63</v>
      </c>
      <c r="O1520" s="8" t="s">
        <v>154</v>
      </c>
      <c r="P1520" s="6" t="s">
        <v>39</v>
      </c>
      <c r="Q1520" s="8" t="s">
        <v>40</v>
      </c>
      <c r="R1520" s="10" t="s">
        <v>2956</v>
      </c>
      <c r="S1520" s="11"/>
      <c r="T1520" s="6"/>
      <c r="U1520" s="15" t="str">
        <f>HYPERLINK("https://media.infra-m.ru/2232/2232566/cover/2232566.jpg", "Обложка")</f>
        <v>Обложка</v>
      </c>
      <c r="V1520" s="8" t="s">
        <v>9318</v>
      </c>
      <c r="W1520" s="6"/>
      <c r="X1520" s="6"/>
      <c r="Y1520" s="6"/>
      <c r="Z1520" s="6"/>
      <c r="AA1520" s="6" t="s">
        <v>274</v>
      </c>
      <c r="AB1520" s="8"/>
      <c r="AC1520" s="27">
        <v>9785160101675</v>
      </c>
    </row>
    <row r="1521" spans="1:29" s="4" customFormat="1" ht="44.1" customHeight="1" x14ac:dyDescent="0.2">
      <c r="A1521" s="5">
        <v>0</v>
      </c>
      <c r="B1521" s="6" t="s">
        <v>9319</v>
      </c>
      <c r="C1521" s="7">
        <v>1456.8</v>
      </c>
      <c r="D1521" s="8" t="s">
        <v>9320</v>
      </c>
      <c r="E1521" s="8" t="s">
        <v>9321</v>
      </c>
      <c r="F1521" s="8" t="s">
        <v>9322</v>
      </c>
      <c r="G1521" s="6" t="s">
        <v>118</v>
      </c>
      <c r="H1521" s="6" t="s">
        <v>34</v>
      </c>
      <c r="I1521" s="8" t="s">
        <v>263</v>
      </c>
      <c r="J1521" s="9">
        <v>1</v>
      </c>
      <c r="K1521" s="9">
        <v>207</v>
      </c>
      <c r="L1521" s="9">
        <v>2026</v>
      </c>
      <c r="M1521" s="8" t="s">
        <v>9323</v>
      </c>
      <c r="N1521" s="8" t="s">
        <v>93</v>
      </c>
      <c r="O1521" s="8" t="s">
        <v>94</v>
      </c>
      <c r="P1521" s="6" t="s">
        <v>51</v>
      </c>
      <c r="Q1521" s="8" t="s">
        <v>265</v>
      </c>
      <c r="R1521" s="10" t="s">
        <v>9324</v>
      </c>
      <c r="S1521" s="11"/>
      <c r="T1521" s="6"/>
      <c r="U1521" s="15" t="str">
        <f>HYPERLINK("https://media.infra-m.ru/2230/2230632/cover/2230632.jpg", "Обложка")</f>
        <v>Обложка</v>
      </c>
      <c r="V1521" s="8" t="s">
        <v>227</v>
      </c>
      <c r="W1521" s="6"/>
      <c r="X1521" s="6"/>
      <c r="Y1521" s="6"/>
      <c r="Z1521" s="6"/>
      <c r="AA1521" s="6" t="s">
        <v>76</v>
      </c>
      <c r="AB1521" s="8"/>
      <c r="AC1521" s="27">
        <v>9785160176413</v>
      </c>
    </row>
    <row r="1522" spans="1:29" s="4" customFormat="1" ht="51.9" customHeight="1" x14ac:dyDescent="0.2">
      <c r="A1522" s="5">
        <v>0</v>
      </c>
      <c r="B1522" s="6" t="s">
        <v>9325</v>
      </c>
      <c r="C1522" s="7">
        <v>1260</v>
      </c>
      <c r="D1522" s="8" t="s">
        <v>9326</v>
      </c>
      <c r="E1522" s="8" t="s">
        <v>9327</v>
      </c>
      <c r="F1522" s="8" t="s">
        <v>9328</v>
      </c>
      <c r="G1522" s="6" t="s">
        <v>118</v>
      </c>
      <c r="H1522" s="6" t="s">
        <v>34</v>
      </c>
      <c r="I1522" s="8" t="s">
        <v>263</v>
      </c>
      <c r="J1522" s="9">
        <v>1</v>
      </c>
      <c r="K1522" s="9">
        <v>190</v>
      </c>
      <c r="L1522" s="9">
        <v>2026</v>
      </c>
      <c r="M1522" s="8" t="s">
        <v>9329</v>
      </c>
      <c r="N1522" s="8" t="s">
        <v>63</v>
      </c>
      <c r="O1522" s="8" t="s">
        <v>64</v>
      </c>
      <c r="P1522" s="6" t="s">
        <v>306</v>
      </c>
      <c r="Q1522" s="8" t="s">
        <v>265</v>
      </c>
      <c r="R1522" s="10" t="s">
        <v>9330</v>
      </c>
      <c r="S1522" s="11" t="s">
        <v>9331</v>
      </c>
      <c r="T1522" s="6"/>
      <c r="U1522" s="15" t="str">
        <f>HYPERLINK("https://media.infra-m.ru/2220/2220984/cover/2220984.jpg", "Обложка")</f>
        <v>Обложка</v>
      </c>
      <c r="V1522" s="8" t="s">
        <v>2222</v>
      </c>
      <c r="W1522" s="6"/>
      <c r="X1522" s="6"/>
      <c r="Y1522" s="6"/>
      <c r="Z1522" s="6"/>
      <c r="AA1522" s="6" t="s">
        <v>430</v>
      </c>
      <c r="AB1522" s="8"/>
      <c r="AC1522" s="27">
        <v>9785160161365</v>
      </c>
    </row>
    <row r="1523" spans="1:29" s="4" customFormat="1" ht="51.9" customHeight="1" x14ac:dyDescent="0.2">
      <c r="A1523" s="5">
        <v>0</v>
      </c>
      <c r="B1523" s="6" t="s">
        <v>9332</v>
      </c>
      <c r="C1523" s="7">
        <v>2004</v>
      </c>
      <c r="D1523" s="8" t="s">
        <v>9333</v>
      </c>
      <c r="E1523" s="8" t="s">
        <v>9334</v>
      </c>
      <c r="F1523" s="8" t="s">
        <v>9335</v>
      </c>
      <c r="G1523" s="6" t="s">
        <v>33</v>
      </c>
      <c r="H1523" s="6" t="s">
        <v>34</v>
      </c>
      <c r="I1523" s="8"/>
      <c r="J1523" s="9">
        <v>1</v>
      </c>
      <c r="K1523" s="9">
        <v>288</v>
      </c>
      <c r="L1523" s="9">
        <v>2027</v>
      </c>
      <c r="M1523" s="8" t="s">
        <v>9336</v>
      </c>
      <c r="N1523" s="8" t="s">
        <v>63</v>
      </c>
      <c r="O1523" s="8" t="s">
        <v>154</v>
      </c>
      <c r="P1523" s="6" t="s">
        <v>51</v>
      </c>
      <c r="Q1523" s="8" t="s">
        <v>52</v>
      </c>
      <c r="R1523" s="10" t="s">
        <v>9337</v>
      </c>
      <c r="S1523" s="11" t="s">
        <v>9338</v>
      </c>
      <c r="T1523" s="6"/>
      <c r="U1523" s="15" t="str">
        <f>HYPERLINK("https://media.infra-m.ru/2264/2264973/cover/2264973.jpg", "Обложка")</f>
        <v>Обложка</v>
      </c>
      <c r="V1523" s="8" t="s">
        <v>128</v>
      </c>
      <c r="W1523" s="6"/>
      <c r="X1523" s="6"/>
      <c r="Y1523" s="6"/>
      <c r="Z1523" s="6"/>
      <c r="AA1523" s="6" t="s">
        <v>2338</v>
      </c>
      <c r="AB1523" s="8"/>
      <c r="AC1523" s="27">
        <v>9785160223858</v>
      </c>
    </row>
    <row r="1524" spans="1:29" s="4" customFormat="1" ht="51.9" customHeight="1" x14ac:dyDescent="0.2">
      <c r="A1524" s="5">
        <v>0</v>
      </c>
      <c r="B1524" s="6" t="s">
        <v>9339</v>
      </c>
      <c r="C1524" s="7">
        <v>2584.8000000000002</v>
      </c>
      <c r="D1524" s="8" t="s">
        <v>9340</v>
      </c>
      <c r="E1524" s="8" t="s">
        <v>9341</v>
      </c>
      <c r="F1524" s="8" t="s">
        <v>9342</v>
      </c>
      <c r="G1524" s="6" t="s">
        <v>118</v>
      </c>
      <c r="H1524" s="6" t="s">
        <v>34</v>
      </c>
      <c r="I1524" s="8" t="s">
        <v>263</v>
      </c>
      <c r="J1524" s="9">
        <v>1</v>
      </c>
      <c r="K1524" s="9">
        <v>372</v>
      </c>
      <c r="L1524" s="9">
        <v>2026</v>
      </c>
      <c r="M1524" s="8" t="s">
        <v>9343</v>
      </c>
      <c r="N1524" s="8" t="s">
        <v>63</v>
      </c>
      <c r="O1524" s="8" t="s">
        <v>154</v>
      </c>
      <c r="P1524" s="6" t="s">
        <v>306</v>
      </c>
      <c r="Q1524" s="8" t="s">
        <v>265</v>
      </c>
      <c r="R1524" s="10" t="s">
        <v>9344</v>
      </c>
      <c r="S1524" s="11" t="s">
        <v>9345</v>
      </c>
      <c r="T1524" s="6"/>
      <c r="U1524" s="15" t="str">
        <f>HYPERLINK("https://media.infra-m.ru/2261/2261240/cover/2261240.jpg", "Обложка")</f>
        <v>Обложка</v>
      </c>
      <c r="V1524" s="8" t="s">
        <v>9346</v>
      </c>
      <c r="W1524" s="6"/>
      <c r="X1524" s="6"/>
      <c r="Y1524" s="6"/>
      <c r="Z1524" s="6"/>
      <c r="AA1524" s="6" t="s">
        <v>9347</v>
      </c>
      <c r="AB1524" s="8"/>
      <c r="AC1524" s="27">
        <v>9785160159720</v>
      </c>
    </row>
    <row r="1525" spans="1:29" s="4" customFormat="1" ht="51.9" customHeight="1" x14ac:dyDescent="0.2">
      <c r="A1525" s="5">
        <v>0</v>
      </c>
      <c r="B1525" s="6" t="s">
        <v>9348</v>
      </c>
      <c r="C1525" s="7">
        <v>2304</v>
      </c>
      <c r="D1525" s="8" t="s">
        <v>9349</v>
      </c>
      <c r="E1525" s="8" t="s">
        <v>9350</v>
      </c>
      <c r="F1525" s="8" t="s">
        <v>9342</v>
      </c>
      <c r="G1525" s="6" t="s">
        <v>118</v>
      </c>
      <c r="H1525" s="6" t="s">
        <v>34</v>
      </c>
      <c r="I1525" s="8" t="s">
        <v>253</v>
      </c>
      <c r="J1525" s="9">
        <v>1</v>
      </c>
      <c r="K1525" s="9">
        <v>384</v>
      </c>
      <c r="L1525" s="9">
        <v>2025</v>
      </c>
      <c r="M1525" s="8" t="s">
        <v>9351</v>
      </c>
      <c r="N1525" s="8" t="s">
        <v>63</v>
      </c>
      <c r="O1525" s="8" t="s">
        <v>154</v>
      </c>
      <c r="P1525" s="6" t="s">
        <v>306</v>
      </c>
      <c r="Q1525" s="8" t="s">
        <v>52</v>
      </c>
      <c r="R1525" s="10" t="s">
        <v>9352</v>
      </c>
      <c r="S1525" s="11" t="s">
        <v>9353</v>
      </c>
      <c r="T1525" s="6"/>
      <c r="U1525" s="15" t="str">
        <f>HYPERLINK("https://media.infra-m.ru/2186/2186851/cover/2186851.jpg", "Обложка")</f>
        <v>Обложка</v>
      </c>
      <c r="V1525" s="8" t="s">
        <v>9346</v>
      </c>
      <c r="W1525" s="6"/>
      <c r="X1525" s="6"/>
      <c r="Y1525" s="6"/>
      <c r="Z1525" s="6"/>
      <c r="AA1525" s="6" t="s">
        <v>6898</v>
      </c>
      <c r="AB1525" s="8"/>
      <c r="AC1525" s="27">
        <v>9785160191157</v>
      </c>
    </row>
    <row r="1526" spans="1:29" s="4" customFormat="1" ht="51.9" customHeight="1" x14ac:dyDescent="0.2">
      <c r="A1526" s="5">
        <v>0</v>
      </c>
      <c r="B1526" s="6" t="s">
        <v>9354</v>
      </c>
      <c r="C1526" s="7">
        <v>2728.8</v>
      </c>
      <c r="D1526" s="8" t="s">
        <v>9355</v>
      </c>
      <c r="E1526" s="8" t="s">
        <v>9356</v>
      </c>
      <c r="F1526" s="8" t="s">
        <v>9357</v>
      </c>
      <c r="G1526" s="6" t="s">
        <v>60</v>
      </c>
      <c r="H1526" s="6" t="s">
        <v>34</v>
      </c>
      <c r="I1526" s="8" t="s">
        <v>375</v>
      </c>
      <c r="J1526" s="9">
        <v>1</v>
      </c>
      <c r="K1526" s="9">
        <v>413</v>
      </c>
      <c r="L1526" s="9">
        <v>2026</v>
      </c>
      <c r="M1526" s="8" t="s">
        <v>9358</v>
      </c>
      <c r="N1526" s="8" t="s">
        <v>243</v>
      </c>
      <c r="O1526" s="8" t="s">
        <v>385</v>
      </c>
      <c r="P1526" s="6" t="s">
        <v>306</v>
      </c>
      <c r="Q1526" s="8" t="s">
        <v>65</v>
      </c>
      <c r="R1526" s="10" t="s">
        <v>9359</v>
      </c>
      <c r="S1526" s="11" t="s">
        <v>9360</v>
      </c>
      <c r="T1526" s="6"/>
      <c r="U1526" s="15" t="str">
        <f>HYPERLINK("https://media.infra-m.ru/2238/2238507/cover/2238507.jpg", "Обложка")</f>
        <v>Обложка</v>
      </c>
      <c r="V1526" s="8" t="s">
        <v>379</v>
      </c>
      <c r="W1526" s="6"/>
      <c r="X1526" s="6"/>
      <c r="Y1526" s="6"/>
      <c r="Z1526" s="6"/>
      <c r="AA1526" s="6" t="s">
        <v>76</v>
      </c>
      <c r="AB1526" s="8"/>
      <c r="AC1526" s="27">
        <v>9785160199979</v>
      </c>
    </row>
    <row r="1527" spans="1:29" s="4" customFormat="1" ht="42" customHeight="1" x14ac:dyDescent="0.2">
      <c r="A1527" s="5">
        <v>0</v>
      </c>
      <c r="B1527" s="6" t="s">
        <v>9361</v>
      </c>
      <c r="C1527" s="7">
        <v>1072.8</v>
      </c>
      <c r="D1527" s="8" t="s">
        <v>9362</v>
      </c>
      <c r="E1527" s="8" t="s">
        <v>9363</v>
      </c>
      <c r="F1527" s="8" t="s">
        <v>9364</v>
      </c>
      <c r="G1527" s="6" t="s">
        <v>33</v>
      </c>
      <c r="H1527" s="6" t="s">
        <v>34</v>
      </c>
      <c r="I1527" s="8" t="s">
        <v>1074</v>
      </c>
      <c r="J1527" s="9">
        <v>1</v>
      </c>
      <c r="K1527" s="9">
        <v>172</v>
      </c>
      <c r="L1527" s="9">
        <v>2025</v>
      </c>
      <c r="M1527" s="8" t="s">
        <v>9365</v>
      </c>
      <c r="N1527" s="8" t="s">
        <v>37</v>
      </c>
      <c r="O1527" s="8" t="s">
        <v>136</v>
      </c>
      <c r="P1527" s="6" t="s">
        <v>39</v>
      </c>
      <c r="Q1527" s="8" t="s">
        <v>40</v>
      </c>
      <c r="R1527" s="10" t="s">
        <v>1625</v>
      </c>
      <c r="S1527" s="11"/>
      <c r="T1527" s="6"/>
      <c r="U1527" s="15" t="str">
        <f>HYPERLINK("https://media.infra-m.ru/2194/2194358/cover/2194358.jpg", "Обложка")</f>
        <v>Обложка</v>
      </c>
      <c r="V1527" s="8" t="s">
        <v>138</v>
      </c>
      <c r="W1527" s="6"/>
      <c r="X1527" s="6"/>
      <c r="Y1527" s="6"/>
      <c r="Z1527" s="6"/>
      <c r="AA1527" s="6" t="s">
        <v>55</v>
      </c>
      <c r="AB1527" s="8"/>
      <c r="AC1527" s="27">
        <v>9785160164465</v>
      </c>
    </row>
    <row r="1528" spans="1:29" s="4" customFormat="1" ht="33" customHeight="1" x14ac:dyDescent="0.2">
      <c r="A1528" s="5">
        <v>0</v>
      </c>
      <c r="B1528" s="6" t="s">
        <v>9366</v>
      </c>
      <c r="C1528" s="13">
        <v>708</v>
      </c>
      <c r="D1528" s="8" t="s">
        <v>9367</v>
      </c>
      <c r="E1528" s="8" t="s">
        <v>9363</v>
      </c>
      <c r="F1528" s="8" t="s">
        <v>9364</v>
      </c>
      <c r="G1528" s="6" t="s">
        <v>118</v>
      </c>
      <c r="H1528" s="6" t="s">
        <v>34</v>
      </c>
      <c r="I1528" s="8"/>
      <c r="J1528" s="9">
        <v>1</v>
      </c>
      <c r="K1528" s="9">
        <v>172</v>
      </c>
      <c r="L1528" s="9">
        <v>2019</v>
      </c>
      <c r="M1528" s="8" t="s">
        <v>9368</v>
      </c>
      <c r="N1528" s="8" t="s">
        <v>37</v>
      </c>
      <c r="O1528" s="8" t="s">
        <v>136</v>
      </c>
      <c r="P1528" s="6" t="s">
        <v>39</v>
      </c>
      <c r="Q1528" s="8" t="s">
        <v>40</v>
      </c>
      <c r="R1528" s="10" t="s">
        <v>1625</v>
      </c>
      <c r="S1528" s="11"/>
      <c r="T1528" s="6"/>
      <c r="U1528" s="12"/>
      <c r="V1528" s="8" t="s">
        <v>138</v>
      </c>
      <c r="W1528" s="6"/>
      <c r="X1528" s="6"/>
      <c r="Y1528" s="6"/>
      <c r="Z1528" s="6"/>
      <c r="AA1528" s="6" t="s">
        <v>55</v>
      </c>
      <c r="AB1528" s="8"/>
      <c r="AC1528" s="27">
        <v>9785160100944</v>
      </c>
    </row>
    <row r="1529" spans="1:29" s="4" customFormat="1" ht="51.9" customHeight="1" x14ac:dyDescent="0.2">
      <c r="A1529" s="5">
        <v>0</v>
      </c>
      <c r="B1529" s="6" t="s">
        <v>9369</v>
      </c>
      <c r="C1529" s="7">
        <v>1380</v>
      </c>
      <c r="D1529" s="8" t="s">
        <v>9370</v>
      </c>
      <c r="E1529" s="8" t="s">
        <v>9371</v>
      </c>
      <c r="F1529" s="8" t="s">
        <v>9372</v>
      </c>
      <c r="G1529" s="6" t="s">
        <v>118</v>
      </c>
      <c r="H1529" s="6" t="s">
        <v>134</v>
      </c>
      <c r="I1529" s="8"/>
      <c r="J1529" s="9">
        <v>1</v>
      </c>
      <c r="K1529" s="9">
        <v>208</v>
      </c>
      <c r="L1529" s="9">
        <v>2026</v>
      </c>
      <c r="M1529" s="8" t="s">
        <v>9373</v>
      </c>
      <c r="N1529" s="8" t="s">
        <v>37</v>
      </c>
      <c r="O1529" s="8" t="s">
        <v>280</v>
      </c>
      <c r="P1529" s="6" t="s">
        <v>3141</v>
      </c>
      <c r="Q1529" s="8" t="s">
        <v>40</v>
      </c>
      <c r="R1529" s="10" t="s">
        <v>8620</v>
      </c>
      <c r="S1529" s="11"/>
      <c r="T1529" s="6"/>
      <c r="U1529" s="15" t="str">
        <f>HYPERLINK("https://media.infra-m.ru/2224/2224674/cover/2224674.jpg", "Обложка")</f>
        <v>Обложка</v>
      </c>
      <c r="V1529" s="8" t="s">
        <v>138</v>
      </c>
      <c r="W1529" s="6"/>
      <c r="X1529" s="6"/>
      <c r="Y1529" s="6"/>
      <c r="Z1529" s="6"/>
      <c r="AA1529" s="6" t="s">
        <v>86</v>
      </c>
      <c r="AB1529" s="8"/>
      <c r="AC1529" s="27">
        <v>9785917689074</v>
      </c>
    </row>
    <row r="1530" spans="1:29" s="4" customFormat="1" ht="42" customHeight="1" x14ac:dyDescent="0.2">
      <c r="A1530" s="5">
        <v>0</v>
      </c>
      <c r="B1530" s="6" t="s">
        <v>9374</v>
      </c>
      <c r="C1530" s="13">
        <v>900</v>
      </c>
      <c r="D1530" s="8" t="s">
        <v>9375</v>
      </c>
      <c r="E1530" s="8" t="s">
        <v>9376</v>
      </c>
      <c r="F1530" s="8" t="s">
        <v>9377</v>
      </c>
      <c r="G1530" s="6" t="s">
        <v>33</v>
      </c>
      <c r="H1530" s="6" t="s">
        <v>34</v>
      </c>
      <c r="I1530" s="8" t="s">
        <v>35</v>
      </c>
      <c r="J1530" s="9">
        <v>1</v>
      </c>
      <c r="K1530" s="9">
        <v>124</v>
      </c>
      <c r="L1530" s="9">
        <v>2026</v>
      </c>
      <c r="M1530" s="8" t="s">
        <v>9378</v>
      </c>
      <c r="N1530" s="8" t="s">
        <v>37</v>
      </c>
      <c r="O1530" s="8" t="s">
        <v>38</v>
      </c>
      <c r="P1530" s="6" t="s">
        <v>39</v>
      </c>
      <c r="Q1530" s="8" t="s">
        <v>40</v>
      </c>
      <c r="R1530" s="10" t="s">
        <v>9379</v>
      </c>
      <c r="S1530" s="11"/>
      <c r="T1530" s="6"/>
      <c r="U1530" s="15" t="str">
        <f>HYPERLINK("https://media.infra-m.ru/2246/2246446/cover/2246446.jpg", "Обложка")</f>
        <v>Обложка</v>
      </c>
      <c r="V1530" s="8" t="s">
        <v>4923</v>
      </c>
      <c r="W1530" s="6" t="s">
        <v>9380</v>
      </c>
      <c r="X1530" s="6"/>
      <c r="Y1530" s="6"/>
      <c r="Z1530" s="6"/>
      <c r="AA1530" s="6" t="s">
        <v>187</v>
      </c>
      <c r="AB1530" s="8"/>
      <c r="AC1530" s="27">
        <v>9785160220086</v>
      </c>
    </row>
    <row r="1531" spans="1:29" s="4" customFormat="1" ht="42" customHeight="1" x14ac:dyDescent="0.2">
      <c r="A1531" s="5">
        <v>0</v>
      </c>
      <c r="B1531" s="6" t="s">
        <v>9381</v>
      </c>
      <c r="C1531" s="7">
        <v>1788</v>
      </c>
      <c r="D1531" s="8" t="s">
        <v>9382</v>
      </c>
      <c r="E1531" s="8" t="s">
        <v>9383</v>
      </c>
      <c r="F1531" s="8" t="s">
        <v>9384</v>
      </c>
      <c r="G1531" s="6" t="s">
        <v>60</v>
      </c>
      <c r="H1531" s="6" t="s">
        <v>34</v>
      </c>
      <c r="I1531" s="8" t="s">
        <v>35</v>
      </c>
      <c r="J1531" s="9">
        <v>1</v>
      </c>
      <c r="K1531" s="9">
        <v>265</v>
      </c>
      <c r="L1531" s="9">
        <v>2026</v>
      </c>
      <c r="M1531" s="8" t="s">
        <v>9385</v>
      </c>
      <c r="N1531" s="8" t="s">
        <v>37</v>
      </c>
      <c r="O1531" s="8" t="s">
        <v>136</v>
      </c>
      <c r="P1531" s="6" t="s">
        <v>39</v>
      </c>
      <c r="Q1531" s="8" t="s">
        <v>40</v>
      </c>
      <c r="R1531" s="10" t="s">
        <v>9386</v>
      </c>
      <c r="S1531" s="11"/>
      <c r="T1531" s="6"/>
      <c r="U1531" s="15" t="str">
        <f>HYPERLINK("https://media.infra-m.ru/2222/2222624/cover/2222624.jpg", "Обложка")</f>
        <v>Обложка</v>
      </c>
      <c r="V1531" s="8" t="s">
        <v>9387</v>
      </c>
      <c r="W1531" s="6" t="s">
        <v>186</v>
      </c>
      <c r="X1531" s="6"/>
      <c r="Y1531" s="6"/>
      <c r="Z1531" s="6"/>
      <c r="AA1531" s="6" t="s">
        <v>187</v>
      </c>
      <c r="AB1531" s="8" t="s">
        <v>308</v>
      </c>
      <c r="AC1531" s="27">
        <v>9785160213491</v>
      </c>
    </row>
    <row r="1532" spans="1:29" s="4" customFormat="1" ht="42" customHeight="1" x14ac:dyDescent="0.2">
      <c r="A1532" s="5">
        <v>0</v>
      </c>
      <c r="B1532" s="6" t="s">
        <v>9388</v>
      </c>
      <c r="C1532" s="7">
        <v>3228</v>
      </c>
      <c r="D1532" s="8" t="s">
        <v>9389</v>
      </c>
      <c r="E1532" s="8" t="s">
        <v>9390</v>
      </c>
      <c r="F1532" s="8" t="s">
        <v>9391</v>
      </c>
      <c r="G1532" s="6" t="s">
        <v>60</v>
      </c>
      <c r="H1532" s="6" t="s">
        <v>34</v>
      </c>
      <c r="I1532" s="8" t="s">
        <v>288</v>
      </c>
      <c r="J1532" s="9">
        <v>1</v>
      </c>
      <c r="K1532" s="9">
        <v>489</v>
      </c>
      <c r="L1532" s="9">
        <v>2026</v>
      </c>
      <c r="M1532" s="8" t="s">
        <v>9392</v>
      </c>
      <c r="N1532" s="8" t="s">
        <v>37</v>
      </c>
      <c r="O1532" s="8" t="s">
        <v>136</v>
      </c>
      <c r="P1532" s="6" t="s">
        <v>306</v>
      </c>
      <c r="Q1532" s="8" t="s">
        <v>65</v>
      </c>
      <c r="R1532" s="10" t="s">
        <v>1625</v>
      </c>
      <c r="S1532" s="11"/>
      <c r="T1532" s="6"/>
      <c r="U1532" s="15" t="str">
        <f>HYPERLINK("https://media.infra-m.ru/2229/2229256/cover/2229256.jpg", "Обложка")</f>
        <v>Обложка</v>
      </c>
      <c r="V1532" s="8" t="s">
        <v>292</v>
      </c>
      <c r="W1532" s="6"/>
      <c r="X1532" s="6"/>
      <c r="Y1532" s="6"/>
      <c r="Z1532" s="6"/>
      <c r="AA1532" s="6" t="s">
        <v>68</v>
      </c>
      <c r="AB1532" s="8"/>
      <c r="AC1532" s="27">
        <v>9785160199276</v>
      </c>
    </row>
    <row r="1533" spans="1:29" s="4" customFormat="1" ht="42" customHeight="1" x14ac:dyDescent="0.2">
      <c r="A1533" s="5">
        <v>0</v>
      </c>
      <c r="B1533" s="6" t="s">
        <v>9393</v>
      </c>
      <c r="C1533" s="7">
        <v>4308</v>
      </c>
      <c r="D1533" s="8" t="s">
        <v>9394</v>
      </c>
      <c r="E1533" s="8" t="s">
        <v>9390</v>
      </c>
      <c r="F1533" s="8" t="s">
        <v>9391</v>
      </c>
      <c r="G1533" s="6" t="s">
        <v>118</v>
      </c>
      <c r="H1533" s="6" t="s">
        <v>34</v>
      </c>
      <c r="I1533" s="8" t="s">
        <v>263</v>
      </c>
      <c r="J1533" s="9">
        <v>1</v>
      </c>
      <c r="K1533" s="9">
        <v>489</v>
      </c>
      <c r="L1533" s="9">
        <v>2026</v>
      </c>
      <c r="M1533" s="8" t="s">
        <v>9395</v>
      </c>
      <c r="N1533" s="8" t="s">
        <v>37</v>
      </c>
      <c r="O1533" s="8" t="s">
        <v>136</v>
      </c>
      <c r="P1533" s="6" t="s">
        <v>306</v>
      </c>
      <c r="Q1533" s="8" t="s">
        <v>265</v>
      </c>
      <c r="R1533" s="10" t="s">
        <v>479</v>
      </c>
      <c r="S1533" s="11"/>
      <c r="T1533" s="6"/>
      <c r="U1533" s="15" t="str">
        <f>HYPERLINK("https://media.infra-m.ru/2242/2242554/cover/2242554.jpg", "Обложка")</f>
        <v>Обложка</v>
      </c>
      <c r="V1533" s="8" t="s">
        <v>292</v>
      </c>
      <c r="W1533" s="6" t="s">
        <v>299</v>
      </c>
      <c r="X1533" s="6"/>
      <c r="Y1533" s="6"/>
      <c r="Z1533" s="6"/>
      <c r="AA1533" s="6" t="s">
        <v>187</v>
      </c>
      <c r="AB1533" s="8"/>
      <c r="AC1533" s="27">
        <v>9785160219134</v>
      </c>
    </row>
    <row r="1534" spans="1:29" s="4" customFormat="1" ht="51.9" customHeight="1" x14ac:dyDescent="0.2">
      <c r="A1534" s="5">
        <v>0</v>
      </c>
      <c r="B1534" s="6" t="s">
        <v>9396</v>
      </c>
      <c r="C1534" s="7">
        <v>1276.8</v>
      </c>
      <c r="D1534" s="8" t="s">
        <v>9397</v>
      </c>
      <c r="E1534" s="8" t="s">
        <v>9398</v>
      </c>
      <c r="F1534" s="8" t="s">
        <v>9399</v>
      </c>
      <c r="G1534" s="6" t="s">
        <v>60</v>
      </c>
      <c r="H1534" s="6" t="s">
        <v>34</v>
      </c>
      <c r="I1534" s="8" t="s">
        <v>253</v>
      </c>
      <c r="J1534" s="9">
        <v>1</v>
      </c>
      <c r="K1534" s="9">
        <v>171</v>
      </c>
      <c r="L1534" s="9">
        <v>2026</v>
      </c>
      <c r="M1534" s="8" t="s">
        <v>9400</v>
      </c>
      <c r="N1534" s="8" t="s">
        <v>37</v>
      </c>
      <c r="O1534" s="8" t="s">
        <v>136</v>
      </c>
      <c r="P1534" s="6" t="s">
        <v>51</v>
      </c>
      <c r="Q1534" s="8" t="s">
        <v>65</v>
      </c>
      <c r="R1534" s="10" t="s">
        <v>1068</v>
      </c>
      <c r="S1534" s="11"/>
      <c r="T1534" s="6"/>
      <c r="U1534" s="15" t="str">
        <f>HYPERLINK("https://media.infra-m.ru/2221/2221707/cover/2221707.jpg", "Обложка")</f>
        <v>Обложка</v>
      </c>
      <c r="V1534" s="8" t="s">
        <v>1212</v>
      </c>
      <c r="W1534" s="6"/>
      <c r="X1534" s="6"/>
      <c r="Y1534" s="6"/>
      <c r="Z1534" s="6"/>
      <c r="AA1534" s="6" t="s">
        <v>68</v>
      </c>
      <c r="AB1534" s="8"/>
      <c r="AC1534" s="27">
        <v>9785160201337</v>
      </c>
    </row>
    <row r="1535" spans="1:29" s="4" customFormat="1" ht="42" customHeight="1" x14ac:dyDescent="0.2">
      <c r="A1535" s="5">
        <v>0</v>
      </c>
      <c r="B1535" s="6" t="s">
        <v>9401</v>
      </c>
      <c r="C1535" s="7">
        <v>1524</v>
      </c>
      <c r="D1535" s="8" t="s">
        <v>9402</v>
      </c>
      <c r="E1535" s="8" t="s">
        <v>9398</v>
      </c>
      <c r="F1535" s="8" t="s">
        <v>9399</v>
      </c>
      <c r="G1535" s="6" t="s">
        <v>118</v>
      </c>
      <c r="H1535" s="6" t="s">
        <v>34</v>
      </c>
      <c r="I1535" s="8" t="s">
        <v>263</v>
      </c>
      <c r="J1535" s="9">
        <v>1</v>
      </c>
      <c r="K1535" s="9">
        <v>171</v>
      </c>
      <c r="L1535" s="9">
        <v>2026</v>
      </c>
      <c r="M1535" s="8" t="s">
        <v>9403</v>
      </c>
      <c r="N1535" s="8" t="s">
        <v>37</v>
      </c>
      <c r="O1535" s="8" t="s">
        <v>136</v>
      </c>
      <c r="P1535" s="6" t="s">
        <v>51</v>
      </c>
      <c r="Q1535" s="8" t="s">
        <v>265</v>
      </c>
      <c r="R1535" s="10" t="s">
        <v>479</v>
      </c>
      <c r="S1535" s="11"/>
      <c r="T1535" s="6"/>
      <c r="U1535" s="15" t="str">
        <f>HYPERLINK("https://media.infra-m.ru/2242/2242561/cover/2242561.jpg", "Обложка")</f>
        <v>Обложка</v>
      </c>
      <c r="V1535" s="8" t="s">
        <v>1212</v>
      </c>
      <c r="W1535" s="6" t="s">
        <v>299</v>
      </c>
      <c r="X1535" s="6"/>
      <c r="Y1535" s="6"/>
      <c r="Z1535" s="6"/>
      <c r="AA1535" s="6" t="s">
        <v>187</v>
      </c>
      <c r="AB1535" s="8"/>
      <c r="AC1535" s="27">
        <v>9785160219158</v>
      </c>
    </row>
    <row r="1536" spans="1:29" s="4" customFormat="1" ht="51.9" customHeight="1" x14ac:dyDescent="0.2">
      <c r="A1536" s="5">
        <v>0</v>
      </c>
      <c r="B1536" s="6" t="s">
        <v>9404</v>
      </c>
      <c r="C1536" s="7">
        <v>1776</v>
      </c>
      <c r="D1536" s="8" t="s">
        <v>9405</v>
      </c>
      <c r="E1536" s="8" t="s">
        <v>9406</v>
      </c>
      <c r="F1536" s="8" t="s">
        <v>9407</v>
      </c>
      <c r="G1536" s="6" t="s">
        <v>118</v>
      </c>
      <c r="H1536" s="6" t="s">
        <v>34</v>
      </c>
      <c r="I1536" s="8" t="s">
        <v>253</v>
      </c>
      <c r="J1536" s="9">
        <v>1</v>
      </c>
      <c r="K1536" s="9">
        <v>255</v>
      </c>
      <c r="L1536" s="9">
        <v>2026</v>
      </c>
      <c r="M1536" s="8" t="s">
        <v>9408</v>
      </c>
      <c r="N1536" s="8" t="s">
        <v>37</v>
      </c>
      <c r="O1536" s="8" t="s">
        <v>136</v>
      </c>
      <c r="P1536" s="6" t="s">
        <v>51</v>
      </c>
      <c r="Q1536" s="8" t="s">
        <v>377</v>
      </c>
      <c r="R1536" s="10" t="s">
        <v>9409</v>
      </c>
      <c r="S1536" s="11"/>
      <c r="T1536" s="6"/>
      <c r="U1536" s="15" t="str">
        <f>HYPERLINK("https://media.infra-m.ru/2260/2260423/cover/2260423.jpg", "Обложка")</f>
        <v>Обложка</v>
      </c>
      <c r="V1536" s="8" t="s">
        <v>1184</v>
      </c>
      <c r="W1536" s="6"/>
      <c r="X1536" s="6"/>
      <c r="Y1536" s="6"/>
      <c r="Z1536" s="6"/>
      <c r="AA1536" s="6" t="s">
        <v>157</v>
      </c>
      <c r="AB1536" s="8"/>
      <c r="AC1536" s="27">
        <v>9785160222738</v>
      </c>
    </row>
    <row r="1537" spans="1:29" s="4" customFormat="1" ht="42" customHeight="1" x14ac:dyDescent="0.2">
      <c r="A1537" s="5">
        <v>0</v>
      </c>
      <c r="B1537" s="6" t="s">
        <v>9410</v>
      </c>
      <c r="C1537" s="7">
        <v>3696</v>
      </c>
      <c r="D1537" s="8" t="s">
        <v>9411</v>
      </c>
      <c r="E1537" s="8" t="s">
        <v>9412</v>
      </c>
      <c r="F1537" s="8" t="s">
        <v>9413</v>
      </c>
      <c r="G1537" s="6" t="s">
        <v>60</v>
      </c>
      <c r="H1537" s="6" t="s">
        <v>34</v>
      </c>
      <c r="I1537" s="8" t="s">
        <v>253</v>
      </c>
      <c r="J1537" s="9">
        <v>1</v>
      </c>
      <c r="K1537" s="9">
        <v>530</v>
      </c>
      <c r="L1537" s="9">
        <v>2027</v>
      </c>
      <c r="M1537" s="8" t="s">
        <v>9414</v>
      </c>
      <c r="N1537" s="8" t="s">
        <v>93</v>
      </c>
      <c r="O1537" s="8" t="s">
        <v>94</v>
      </c>
      <c r="P1537" s="6" t="s">
        <v>306</v>
      </c>
      <c r="Q1537" s="8" t="s">
        <v>52</v>
      </c>
      <c r="R1537" s="10" t="s">
        <v>9415</v>
      </c>
      <c r="S1537" s="11"/>
      <c r="T1537" s="6"/>
      <c r="U1537" s="15" t="str">
        <f>HYPERLINK("https://media.infra-m.ru/2272/2272345/cover/2272345.jpg", "Обложка")</f>
        <v>Обложка</v>
      </c>
      <c r="V1537" s="8" t="s">
        <v>1599</v>
      </c>
      <c r="W1537" s="6"/>
      <c r="X1537" s="6"/>
      <c r="Y1537" s="6"/>
      <c r="Z1537" s="6"/>
      <c r="AA1537" s="6" t="s">
        <v>76</v>
      </c>
      <c r="AB1537" s="8"/>
      <c r="AC1537" s="27">
        <v>9785160197272</v>
      </c>
    </row>
    <row r="1538" spans="1:29" s="4" customFormat="1" ht="51.9" customHeight="1" x14ac:dyDescent="0.2">
      <c r="A1538" s="5">
        <v>0</v>
      </c>
      <c r="B1538" s="6" t="s">
        <v>9416</v>
      </c>
      <c r="C1538" s="7">
        <v>2088</v>
      </c>
      <c r="D1538" s="8" t="s">
        <v>9417</v>
      </c>
      <c r="E1538" s="8" t="s">
        <v>9412</v>
      </c>
      <c r="F1538" s="8" t="s">
        <v>9413</v>
      </c>
      <c r="G1538" s="6" t="s">
        <v>118</v>
      </c>
      <c r="H1538" s="6" t="s">
        <v>34</v>
      </c>
      <c r="I1538" s="8" t="s">
        <v>253</v>
      </c>
      <c r="J1538" s="9">
        <v>1</v>
      </c>
      <c r="K1538" s="9">
        <v>299</v>
      </c>
      <c r="L1538" s="9">
        <v>2027</v>
      </c>
      <c r="M1538" s="8" t="s">
        <v>9418</v>
      </c>
      <c r="N1538" s="8" t="s">
        <v>93</v>
      </c>
      <c r="O1538" s="8" t="s">
        <v>94</v>
      </c>
      <c r="P1538" s="6" t="s">
        <v>105</v>
      </c>
      <c r="Q1538" s="8" t="s">
        <v>52</v>
      </c>
      <c r="R1538" s="10" t="s">
        <v>9419</v>
      </c>
      <c r="S1538" s="11" t="s">
        <v>9420</v>
      </c>
      <c r="T1538" s="6"/>
      <c r="U1538" s="15" t="str">
        <f>HYPERLINK("https://media.infra-m.ru/2266/2266140/cover/2266140.jpg", "Обложка")</f>
        <v>Обложка</v>
      </c>
      <c r="V1538" s="8" t="s">
        <v>1599</v>
      </c>
      <c r="W1538" s="6"/>
      <c r="X1538" s="6"/>
      <c r="Y1538" s="6"/>
      <c r="Z1538" s="6"/>
      <c r="AA1538" s="6" t="s">
        <v>148</v>
      </c>
      <c r="AB1538" s="8"/>
      <c r="AC1538" s="27">
        <v>9785160198187</v>
      </c>
    </row>
    <row r="1539" spans="1:29" s="4" customFormat="1" ht="51.9" customHeight="1" x14ac:dyDescent="0.2">
      <c r="A1539" s="5">
        <v>0</v>
      </c>
      <c r="B1539" s="6" t="s">
        <v>9421</v>
      </c>
      <c r="C1539" s="7">
        <v>1260</v>
      </c>
      <c r="D1539" s="8" t="s">
        <v>9422</v>
      </c>
      <c r="E1539" s="8" t="s">
        <v>9423</v>
      </c>
      <c r="F1539" s="8" t="s">
        <v>9424</v>
      </c>
      <c r="G1539" s="6" t="s">
        <v>118</v>
      </c>
      <c r="H1539" s="6" t="s">
        <v>34</v>
      </c>
      <c r="I1539" s="8" t="s">
        <v>375</v>
      </c>
      <c r="J1539" s="9">
        <v>1</v>
      </c>
      <c r="K1539" s="9">
        <v>161</v>
      </c>
      <c r="L1539" s="9">
        <v>2026</v>
      </c>
      <c r="M1539" s="8" t="s">
        <v>9425</v>
      </c>
      <c r="N1539" s="8" t="s">
        <v>243</v>
      </c>
      <c r="O1539" s="8" t="s">
        <v>385</v>
      </c>
      <c r="P1539" s="6" t="s">
        <v>105</v>
      </c>
      <c r="Q1539" s="8" t="s">
        <v>65</v>
      </c>
      <c r="R1539" s="10" t="s">
        <v>378</v>
      </c>
      <c r="S1539" s="11" t="s">
        <v>1845</v>
      </c>
      <c r="T1539" s="6"/>
      <c r="U1539" s="15" t="str">
        <f>HYPERLINK("https://media.infra-m.ru/2239/2239057/cover/2239057.jpg", "Обложка")</f>
        <v>Обложка</v>
      </c>
      <c r="V1539" s="8" t="s">
        <v>379</v>
      </c>
      <c r="W1539" s="6"/>
      <c r="X1539" s="6"/>
      <c r="Y1539" s="6"/>
      <c r="Z1539" s="6"/>
      <c r="AA1539" s="6" t="s">
        <v>68</v>
      </c>
      <c r="AB1539" s="8"/>
      <c r="AC1539" s="27">
        <v>9785160201009</v>
      </c>
    </row>
    <row r="1540" spans="1:29" s="4" customFormat="1" ht="51.9" customHeight="1" x14ac:dyDescent="0.2">
      <c r="A1540" s="5">
        <v>0</v>
      </c>
      <c r="B1540" s="6" t="s">
        <v>9426</v>
      </c>
      <c r="C1540" s="7">
        <v>2388</v>
      </c>
      <c r="D1540" s="8" t="s">
        <v>9427</v>
      </c>
      <c r="E1540" s="8" t="s">
        <v>9428</v>
      </c>
      <c r="F1540" s="8" t="s">
        <v>1932</v>
      </c>
      <c r="G1540" s="6" t="s">
        <v>118</v>
      </c>
      <c r="H1540" s="6" t="s">
        <v>34</v>
      </c>
      <c r="I1540" s="8" t="s">
        <v>263</v>
      </c>
      <c r="J1540" s="9">
        <v>1</v>
      </c>
      <c r="K1540" s="9">
        <v>391</v>
      </c>
      <c r="L1540" s="9">
        <v>2025</v>
      </c>
      <c r="M1540" s="8" t="s">
        <v>9429</v>
      </c>
      <c r="N1540" s="8" t="s">
        <v>243</v>
      </c>
      <c r="O1540" s="8" t="s">
        <v>758</v>
      </c>
      <c r="P1540" s="6" t="s">
        <v>51</v>
      </c>
      <c r="Q1540" s="8" t="s">
        <v>265</v>
      </c>
      <c r="R1540" s="10" t="s">
        <v>1934</v>
      </c>
      <c r="S1540" s="11" t="s">
        <v>9430</v>
      </c>
      <c r="T1540" s="6"/>
      <c r="U1540" s="15" t="str">
        <f>HYPERLINK("https://media.infra-m.ru/2163/2163869/cover/2163869.jpg", "Обложка")</f>
        <v>Обложка</v>
      </c>
      <c r="V1540" s="8" t="s">
        <v>227</v>
      </c>
      <c r="W1540" s="6"/>
      <c r="X1540" s="6"/>
      <c r="Y1540" s="6"/>
      <c r="Z1540" s="6" t="s">
        <v>267</v>
      </c>
      <c r="AA1540" s="6" t="s">
        <v>917</v>
      </c>
      <c r="AB1540" s="8"/>
      <c r="AC1540" s="27">
        <v>9785160202358</v>
      </c>
    </row>
    <row r="1541" spans="1:29" s="4" customFormat="1" ht="51.9" customHeight="1" x14ac:dyDescent="0.2">
      <c r="A1541" s="5">
        <v>0</v>
      </c>
      <c r="B1541" s="6" t="s">
        <v>9431</v>
      </c>
      <c r="C1541" s="7">
        <v>2352</v>
      </c>
      <c r="D1541" s="8" t="s">
        <v>9432</v>
      </c>
      <c r="E1541" s="8" t="s">
        <v>9428</v>
      </c>
      <c r="F1541" s="8" t="s">
        <v>1932</v>
      </c>
      <c r="G1541" s="6" t="s">
        <v>118</v>
      </c>
      <c r="H1541" s="6" t="s">
        <v>34</v>
      </c>
      <c r="I1541" s="8" t="s">
        <v>253</v>
      </c>
      <c r="J1541" s="9">
        <v>1</v>
      </c>
      <c r="K1541" s="9">
        <v>391</v>
      </c>
      <c r="L1541" s="9">
        <v>2025</v>
      </c>
      <c r="M1541" s="8" t="s">
        <v>9433</v>
      </c>
      <c r="N1541" s="8" t="s">
        <v>243</v>
      </c>
      <c r="O1541" s="8" t="s">
        <v>758</v>
      </c>
      <c r="P1541" s="6" t="s">
        <v>51</v>
      </c>
      <c r="Q1541" s="8" t="s">
        <v>52</v>
      </c>
      <c r="R1541" s="10" t="s">
        <v>9434</v>
      </c>
      <c r="S1541" s="11" t="s">
        <v>9430</v>
      </c>
      <c r="T1541" s="6"/>
      <c r="U1541" s="15" t="str">
        <f>HYPERLINK("https://media.infra-m.ru/2168/2168805/cover/2168805.jpg", "Обложка")</f>
        <v>Обложка</v>
      </c>
      <c r="V1541" s="8" t="s">
        <v>227</v>
      </c>
      <c r="W1541" s="6"/>
      <c r="X1541" s="6"/>
      <c r="Y1541" s="6"/>
      <c r="Z1541" s="6"/>
      <c r="AA1541" s="6" t="s">
        <v>1303</v>
      </c>
      <c r="AB1541" s="8"/>
      <c r="AC1541" s="27">
        <v>9785160204222</v>
      </c>
    </row>
    <row r="1542" spans="1:29" s="4" customFormat="1" ht="51.9" customHeight="1" x14ac:dyDescent="0.2">
      <c r="A1542" s="5">
        <v>0</v>
      </c>
      <c r="B1542" s="6" t="s">
        <v>9435</v>
      </c>
      <c r="C1542" s="7">
        <v>1438.8</v>
      </c>
      <c r="D1542" s="8" t="s">
        <v>9436</v>
      </c>
      <c r="E1542" s="8" t="s">
        <v>9437</v>
      </c>
      <c r="F1542" s="8" t="s">
        <v>9438</v>
      </c>
      <c r="G1542" s="6" t="s">
        <v>118</v>
      </c>
      <c r="H1542" s="6" t="s">
        <v>34</v>
      </c>
      <c r="I1542" s="8" t="s">
        <v>35</v>
      </c>
      <c r="J1542" s="9">
        <v>1</v>
      </c>
      <c r="K1542" s="9">
        <v>213</v>
      </c>
      <c r="L1542" s="9">
        <v>2026</v>
      </c>
      <c r="M1542" s="8" t="s">
        <v>9439</v>
      </c>
      <c r="N1542" s="8" t="s">
        <v>243</v>
      </c>
      <c r="O1542" s="8" t="s">
        <v>385</v>
      </c>
      <c r="P1542" s="6" t="s">
        <v>39</v>
      </c>
      <c r="Q1542" s="8" t="s">
        <v>40</v>
      </c>
      <c r="R1542" s="10" t="s">
        <v>9440</v>
      </c>
      <c r="S1542" s="11"/>
      <c r="T1542" s="6"/>
      <c r="U1542" s="15" t="str">
        <f>HYPERLINK("https://media.infra-m.ru/2255/2255711/cover/2255711.jpg", "Обложка")</f>
        <v>Обложка</v>
      </c>
      <c r="V1542" s="8" t="s">
        <v>546</v>
      </c>
      <c r="W1542" s="6"/>
      <c r="X1542" s="6"/>
      <c r="Y1542" s="6"/>
      <c r="Z1542" s="6"/>
      <c r="AA1542" s="6" t="s">
        <v>187</v>
      </c>
      <c r="AB1542" s="8" t="s">
        <v>9441</v>
      </c>
      <c r="AC1542" s="27">
        <v>9785160217024</v>
      </c>
    </row>
    <row r="1543" spans="1:29" s="4" customFormat="1" ht="51.9" customHeight="1" x14ac:dyDescent="0.2">
      <c r="A1543" s="5">
        <v>0</v>
      </c>
      <c r="B1543" s="6" t="s">
        <v>9442</v>
      </c>
      <c r="C1543" s="7">
        <v>1596</v>
      </c>
      <c r="D1543" s="8" t="s">
        <v>9443</v>
      </c>
      <c r="E1543" s="8" t="s">
        <v>9444</v>
      </c>
      <c r="F1543" s="8" t="s">
        <v>9445</v>
      </c>
      <c r="G1543" s="6" t="s">
        <v>118</v>
      </c>
      <c r="H1543" s="6" t="s">
        <v>34</v>
      </c>
      <c r="I1543" s="8" t="s">
        <v>253</v>
      </c>
      <c r="J1543" s="9">
        <v>1</v>
      </c>
      <c r="K1543" s="9">
        <v>229</v>
      </c>
      <c r="L1543" s="9">
        <v>2027</v>
      </c>
      <c r="M1543" s="8" t="s">
        <v>9446</v>
      </c>
      <c r="N1543" s="8" t="s">
        <v>243</v>
      </c>
      <c r="O1543" s="8" t="s">
        <v>964</v>
      </c>
      <c r="P1543" s="6" t="s">
        <v>51</v>
      </c>
      <c r="Q1543" s="8" t="s">
        <v>500</v>
      </c>
      <c r="R1543" s="10" t="s">
        <v>9447</v>
      </c>
      <c r="S1543" s="11" t="s">
        <v>9448</v>
      </c>
      <c r="T1543" s="6"/>
      <c r="U1543" s="15" t="str">
        <f>HYPERLINK("https://media.infra-m.ru/2271/2271507/cover/2271507.jpg", "Обложка")</f>
        <v>Обложка</v>
      </c>
      <c r="V1543" s="8" t="s">
        <v>867</v>
      </c>
      <c r="W1543" s="6"/>
      <c r="X1543" s="6"/>
      <c r="Y1543" s="6"/>
      <c r="Z1543" s="6"/>
      <c r="AA1543" s="6" t="s">
        <v>430</v>
      </c>
      <c r="AB1543" s="8"/>
      <c r="AC1543" s="27">
        <v>9785160206820</v>
      </c>
    </row>
    <row r="1544" spans="1:29" s="4" customFormat="1" ht="51.9" customHeight="1" x14ac:dyDescent="0.2">
      <c r="A1544" s="5">
        <v>0</v>
      </c>
      <c r="B1544" s="6" t="s">
        <v>9449</v>
      </c>
      <c r="C1544" s="7">
        <v>1192.8</v>
      </c>
      <c r="D1544" s="8" t="s">
        <v>9450</v>
      </c>
      <c r="E1544" s="8" t="s">
        <v>9451</v>
      </c>
      <c r="F1544" s="8" t="s">
        <v>9452</v>
      </c>
      <c r="G1544" s="6" t="s">
        <v>118</v>
      </c>
      <c r="H1544" s="6" t="s">
        <v>313</v>
      </c>
      <c r="I1544" s="8" t="s">
        <v>253</v>
      </c>
      <c r="J1544" s="9">
        <v>1</v>
      </c>
      <c r="K1544" s="9">
        <v>180</v>
      </c>
      <c r="L1544" s="9">
        <v>2026</v>
      </c>
      <c r="M1544" s="8" t="s">
        <v>9453</v>
      </c>
      <c r="N1544" s="8" t="s">
        <v>243</v>
      </c>
      <c r="O1544" s="8" t="s">
        <v>964</v>
      </c>
      <c r="P1544" s="6" t="s">
        <v>51</v>
      </c>
      <c r="Q1544" s="8" t="s">
        <v>52</v>
      </c>
      <c r="R1544" s="10" t="s">
        <v>9454</v>
      </c>
      <c r="S1544" s="11"/>
      <c r="T1544" s="6"/>
      <c r="U1544" s="15" t="str">
        <f>HYPERLINK("https://media.infra-m.ru/2242/2242876/cover/2242876.jpg", "Обложка")</f>
        <v>Обложка</v>
      </c>
      <c r="V1544" s="8" t="s">
        <v>3595</v>
      </c>
      <c r="W1544" s="6"/>
      <c r="X1544" s="6"/>
      <c r="Y1544" s="6"/>
      <c r="Z1544" s="6"/>
      <c r="AA1544" s="6" t="s">
        <v>1256</v>
      </c>
      <c r="AB1544" s="8"/>
      <c r="AC1544" s="27">
        <v>9785369018378</v>
      </c>
    </row>
    <row r="1545" spans="1:29" s="4" customFormat="1" ht="42" customHeight="1" x14ac:dyDescent="0.2">
      <c r="A1545" s="5">
        <v>0</v>
      </c>
      <c r="B1545" s="6" t="s">
        <v>9455</v>
      </c>
      <c r="C1545" s="7">
        <v>1128</v>
      </c>
      <c r="D1545" s="8" t="s">
        <v>9456</v>
      </c>
      <c r="E1545" s="8" t="s">
        <v>9451</v>
      </c>
      <c r="F1545" s="8" t="s">
        <v>9452</v>
      </c>
      <c r="G1545" s="6" t="s">
        <v>118</v>
      </c>
      <c r="H1545" s="6" t="s">
        <v>313</v>
      </c>
      <c r="I1545" s="8" t="s">
        <v>401</v>
      </c>
      <c r="J1545" s="9">
        <v>1</v>
      </c>
      <c r="K1545" s="9">
        <v>180</v>
      </c>
      <c r="L1545" s="9">
        <v>2026</v>
      </c>
      <c r="M1545" s="8" t="s">
        <v>9457</v>
      </c>
      <c r="N1545" s="8" t="s">
        <v>243</v>
      </c>
      <c r="O1545" s="8" t="s">
        <v>964</v>
      </c>
      <c r="P1545" s="6" t="s">
        <v>51</v>
      </c>
      <c r="Q1545" s="8" t="s">
        <v>265</v>
      </c>
      <c r="R1545" s="10" t="s">
        <v>9458</v>
      </c>
      <c r="S1545" s="11"/>
      <c r="T1545" s="6"/>
      <c r="U1545" s="15" t="str">
        <f>HYPERLINK("https://media.infra-m.ru/2220/2220935/cover/2220935.jpg", "Обложка")</f>
        <v>Обложка</v>
      </c>
      <c r="V1545" s="8" t="s">
        <v>3595</v>
      </c>
      <c r="W1545" s="6"/>
      <c r="X1545" s="6"/>
      <c r="Y1545" s="6"/>
      <c r="Z1545" s="6" t="s">
        <v>267</v>
      </c>
      <c r="AA1545" s="6" t="s">
        <v>1256</v>
      </c>
      <c r="AB1545" s="8"/>
      <c r="AC1545" s="27">
        <v>9785369018392</v>
      </c>
    </row>
    <row r="1546" spans="1:29" s="4" customFormat="1" ht="51.9" customHeight="1" x14ac:dyDescent="0.2">
      <c r="A1546" s="5">
        <v>0</v>
      </c>
      <c r="B1546" s="6" t="s">
        <v>9459</v>
      </c>
      <c r="C1546" s="7">
        <v>1385.9</v>
      </c>
      <c r="D1546" s="8" t="s">
        <v>9460</v>
      </c>
      <c r="E1546" s="8" t="s">
        <v>9461</v>
      </c>
      <c r="F1546" s="8" t="s">
        <v>9462</v>
      </c>
      <c r="G1546" s="6" t="s">
        <v>60</v>
      </c>
      <c r="H1546" s="6" t="s">
        <v>34</v>
      </c>
      <c r="I1546" s="8" t="s">
        <v>271</v>
      </c>
      <c r="J1546" s="9">
        <v>1</v>
      </c>
      <c r="K1546" s="9">
        <v>304</v>
      </c>
      <c r="L1546" s="9">
        <v>2022</v>
      </c>
      <c r="M1546" s="8" t="s">
        <v>9463</v>
      </c>
      <c r="N1546" s="8" t="s">
        <v>37</v>
      </c>
      <c r="O1546" s="8" t="s">
        <v>280</v>
      </c>
      <c r="P1546" s="6" t="s">
        <v>51</v>
      </c>
      <c r="Q1546" s="8" t="s">
        <v>52</v>
      </c>
      <c r="R1546" s="10" t="s">
        <v>2086</v>
      </c>
      <c r="S1546" s="11" t="s">
        <v>2087</v>
      </c>
      <c r="T1546" s="6" t="s">
        <v>97</v>
      </c>
      <c r="U1546" s="15" t="str">
        <f>HYPERLINK("https://media.infra-m.ru/1844/1844307/cover/1844307.jpg", "Обложка")</f>
        <v>Обложка</v>
      </c>
      <c r="V1546" s="8" t="s">
        <v>2088</v>
      </c>
      <c r="W1546" s="6"/>
      <c r="X1546" s="6"/>
      <c r="Y1546" s="6"/>
      <c r="Z1546" s="6"/>
      <c r="AA1546" s="6" t="s">
        <v>248</v>
      </c>
      <c r="AB1546" s="8"/>
      <c r="AC1546" s="27">
        <v>9785160068688</v>
      </c>
    </row>
    <row r="1547" spans="1:29" s="4" customFormat="1" ht="51.9" customHeight="1" x14ac:dyDescent="0.2">
      <c r="A1547" s="5">
        <v>0</v>
      </c>
      <c r="B1547" s="6" t="s">
        <v>9464</v>
      </c>
      <c r="C1547" s="7">
        <v>1932</v>
      </c>
      <c r="D1547" s="8" t="s">
        <v>9465</v>
      </c>
      <c r="E1547" s="8" t="s">
        <v>9466</v>
      </c>
      <c r="F1547" s="8" t="s">
        <v>8890</v>
      </c>
      <c r="G1547" s="6" t="s">
        <v>118</v>
      </c>
      <c r="H1547" s="6" t="s">
        <v>34</v>
      </c>
      <c r="I1547" s="8" t="s">
        <v>263</v>
      </c>
      <c r="J1547" s="9">
        <v>1</v>
      </c>
      <c r="K1547" s="9">
        <v>287</v>
      </c>
      <c r="L1547" s="9">
        <v>2026</v>
      </c>
      <c r="M1547" s="8" t="s">
        <v>9467</v>
      </c>
      <c r="N1547" s="8" t="s">
        <v>243</v>
      </c>
      <c r="O1547" s="8" t="s">
        <v>964</v>
      </c>
      <c r="P1547" s="6" t="s">
        <v>51</v>
      </c>
      <c r="Q1547" s="8" t="s">
        <v>265</v>
      </c>
      <c r="R1547" s="10" t="s">
        <v>9468</v>
      </c>
      <c r="S1547" s="11" t="s">
        <v>9469</v>
      </c>
      <c r="T1547" s="6"/>
      <c r="U1547" s="15" t="str">
        <f>HYPERLINK("https://media.infra-m.ru/2232/2232954/cover/2232954.jpg", "Обложка")</f>
        <v>Обложка</v>
      </c>
      <c r="V1547" s="8" t="s">
        <v>831</v>
      </c>
      <c r="W1547" s="6"/>
      <c r="X1547" s="6"/>
      <c r="Y1547" s="6"/>
      <c r="Z1547" s="6" t="s">
        <v>267</v>
      </c>
      <c r="AA1547" s="6" t="s">
        <v>2240</v>
      </c>
      <c r="AB1547" s="8"/>
      <c r="AC1547" s="27">
        <v>9785160216409</v>
      </c>
    </row>
    <row r="1548" spans="1:29" s="4" customFormat="1" ht="51.9" customHeight="1" x14ac:dyDescent="0.2">
      <c r="A1548" s="5">
        <v>0</v>
      </c>
      <c r="B1548" s="6" t="s">
        <v>9470</v>
      </c>
      <c r="C1548" s="7">
        <v>1780.8</v>
      </c>
      <c r="D1548" s="8" t="s">
        <v>9471</v>
      </c>
      <c r="E1548" s="8" t="s">
        <v>9466</v>
      </c>
      <c r="F1548" s="8" t="s">
        <v>8890</v>
      </c>
      <c r="G1548" s="6" t="s">
        <v>118</v>
      </c>
      <c r="H1548" s="6" t="s">
        <v>48</v>
      </c>
      <c r="I1548" s="8" t="s">
        <v>253</v>
      </c>
      <c r="J1548" s="9">
        <v>1</v>
      </c>
      <c r="K1548" s="9">
        <v>287</v>
      </c>
      <c r="L1548" s="9">
        <v>2025</v>
      </c>
      <c r="M1548" s="8" t="s">
        <v>9472</v>
      </c>
      <c r="N1548" s="8" t="s">
        <v>243</v>
      </c>
      <c r="O1548" s="8" t="s">
        <v>964</v>
      </c>
      <c r="P1548" s="6" t="s">
        <v>51</v>
      </c>
      <c r="Q1548" s="8" t="s">
        <v>52</v>
      </c>
      <c r="R1548" s="10" t="s">
        <v>9473</v>
      </c>
      <c r="S1548" s="11" t="s">
        <v>9474</v>
      </c>
      <c r="T1548" s="6"/>
      <c r="U1548" s="15" t="str">
        <f>HYPERLINK("https://media.infra-m.ru/2191/2191631/cover/2191631.jpg", "Обложка")</f>
        <v>Обложка</v>
      </c>
      <c r="V1548" s="8" t="s">
        <v>831</v>
      </c>
      <c r="W1548" s="6"/>
      <c r="X1548" s="6"/>
      <c r="Y1548" s="6"/>
      <c r="Z1548" s="6"/>
      <c r="AA1548" s="6" t="s">
        <v>874</v>
      </c>
      <c r="AB1548" s="8"/>
      <c r="AC1548" s="27">
        <v>9785000917893</v>
      </c>
    </row>
    <row r="1549" spans="1:29" s="4" customFormat="1" ht="51.9" customHeight="1" x14ac:dyDescent="0.2">
      <c r="A1549" s="5">
        <v>0</v>
      </c>
      <c r="B1549" s="6" t="s">
        <v>9475</v>
      </c>
      <c r="C1549" s="13">
        <v>924</v>
      </c>
      <c r="D1549" s="8" t="s">
        <v>9476</v>
      </c>
      <c r="E1549" s="8" t="s">
        <v>9477</v>
      </c>
      <c r="F1549" s="8" t="s">
        <v>9478</v>
      </c>
      <c r="G1549" s="6" t="s">
        <v>118</v>
      </c>
      <c r="H1549" s="6" t="s">
        <v>34</v>
      </c>
      <c r="I1549" s="8" t="s">
        <v>271</v>
      </c>
      <c r="J1549" s="9">
        <v>1</v>
      </c>
      <c r="K1549" s="9">
        <v>208</v>
      </c>
      <c r="L1549" s="9">
        <v>2021</v>
      </c>
      <c r="M1549" s="8" t="s">
        <v>9479</v>
      </c>
      <c r="N1549" s="8" t="s">
        <v>243</v>
      </c>
      <c r="O1549" s="8" t="s">
        <v>964</v>
      </c>
      <c r="P1549" s="6" t="s">
        <v>51</v>
      </c>
      <c r="Q1549" s="8" t="s">
        <v>52</v>
      </c>
      <c r="R1549" s="10" t="s">
        <v>9480</v>
      </c>
      <c r="S1549" s="11" t="s">
        <v>9481</v>
      </c>
      <c r="T1549" s="6"/>
      <c r="U1549" s="15" t="str">
        <f>HYPERLINK("https://media.infra-m.ru/1225/1225393/cover/1225393.jpg", "Обложка")</f>
        <v>Обложка</v>
      </c>
      <c r="V1549" s="8" t="s">
        <v>9482</v>
      </c>
      <c r="W1549" s="6"/>
      <c r="X1549" s="6"/>
      <c r="Y1549" s="6"/>
      <c r="Z1549" s="6"/>
      <c r="AA1549" s="6" t="s">
        <v>129</v>
      </c>
      <c r="AB1549" s="8"/>
      <c r="AC1549" s="27">
        <v>9785160048642</v>
      </c>
    </row>
    <row r="1550" spans="1:29" s="4" customFormat="1" ht="42" customHeight="1" x14ac:dyDescent="0.2">
      <c r="A1550" s="5">
        <v>0</v>
      </c>
      <c r="B1550" s="6" t="s">
        <v>9483</v>
      </c>
      <c r="C1550" s="7">
        <v>2344.8000000000002</v>
      </c>
      <c r="D1550" s="8" t="s">
        <v>9484</v>
      </c>
      <c r="E1550" s="8" t="s">
        <v>9485</v>
      </c>
      <c r="F1550" s="8" t="s">
        <v>6856</v>
      </c>
      <c r="G1550" s="6" t="s">
        <v>118</v>
      </c>
      <c r="H1550" s="6" t="s">
        <v>34</v>
      </c>
      <c r="I1550" s="8" t="s">
        <v>1081</v>
      </c>
      <c r="J1550" s="9">
        <v>1</v>
      </c>
      <c r="K1550" s="9">
        <v>355</v>
      </c>
      <c r="L1550" s="9">
        <v>2026</v>
      </c>
      <c r="M1550" s="8" t="s">
        <v>9486</v>
      </c>
      <c r="N1550" s="8" t="s">
        <v>37</v>
      </c>
      <c r="O1550" s="8" t="s">
        <v>290</v>
      </c>
      <c r="P1550" s="6" t="s">
        <v>39</v>
      </c>
      <c r="Q1550" s="8" t="s">
        <v>40</v>
      </c>
      <c r="R1550" s="10" t="s">
        <v>9487</v>
      </c>
      <c r="S1550" s="11"/>
      <c r="T1550" s="6"/>
      <c r="U1550" s="15" t="str">
        <f>HYPERLINK("https://media.infra-m.ru/2188/2188327/cover/2188327.jpg", "Обложка")</f>
        <v>Обложка</v>
      </c>
      <c r="V1550" s="8" t="s">
        <v>1069</v>
      </c>
      <c r="W1550" s="6"/>
      <c r="X1550" s="6"/>
      <c r="Y1550" s="6"/>
      <c r="Z1550" s="6"/>
      <c r="AA1550" s="6" t="s">
        <v>99</v>
      </c>
      <c r="AB1550" s="8"/>
      <c r="AC1550" s="27">
        <v>9785160162966</v>
      </c>
    </row>
    <row r="1551" spans="1:29" s="4" customFormat="1" ht="44.1" customHeight="1" x14ac:dyDescent="0.2">
      <c r="A1551" s="5">
        <v>0</v>
      </c>
      <c r="B1551" s="6" t="s">
        <v>9488</v>
      </c>
      <c r="C1551" s="7">
        <v>2712</v>
      </c>
      <c r="D1551" s="8" t="s">
        <v>9489</v>
      </c>
      <c r="E1551" s="8" t="s">
        <v>9490</v>
      </c>
      <c r="F1551" s="8" t="s">
        <v>9491</v>
      </c>
      <c r="G1551" s="6" t="s">
        <v>60</v>
      </c>
      <c r="H1551" s="6" t="s">
        <v>34</v>
      </c>
      <c r="I1551" s="8" t="s">
        <v>35</v>
      </c>
      <c r="J1551" s="9">
        <v>1</v>
      </c>
      <c r="K1551" s="9">
        <v>482</v>
      </c>
      <c r="L1551" s="9">
        <v>2024</v>
      </c>
      <c r="M1551" s="8" t="s">
        <v>9492</v>
      </c>
      <c r="N1551" s="8" t="s">
        <v>63</v>
      </c>
      <c r="O1551" s="8" t="s">
        <v>126</v>
      </c>
      <c r="P1551" s="6" t="s">
        <v>39</v>
      </c>
      <c r="Q1551" s="8" t="s">
        <v>40</v>
      </c>
      <c r="R1551" s="10" t="s">
        <v>9493</v>
      </c>
      <c r="S1551" s="11"/>
      <c r="T1551" s="6"/>
      <c r="U1551" s="15" t="str">
        <f>HYPERLINK("https://media.infra-m.ru/2099/2099001/cover/2099001.jpg", "Обложка")</f>
        <v>Обложка</v>
      </c>
      <c r="V1551" s="8" t="s">
        <v>9494</v>
      </c>
      <c r="W1551" s="6"/>
      <c r="X1551" s="6"/>
      <c r="Y1551" s="6"/>
      <c r="Z1551" s="6"/>
      <c r="AA1551" s="6" t="s">
        <v>76</v>
      </c>
      <c r="AB1551" s="8"/>
      <c r="AC1551" s="27">
        <v>9785160192338</v>
      </c>
    </row>
    <row r="1552" spans="1:29" s="4" customFormat="1" ht="44.1" customHeight="1" x14ac:dyDescent="0.2">
      <c r="A1552" s="5">
        <v>0</v>
      </c>
      <c r="B1552" s="6" t="s">
        <v>9495</v>
      </c>
      <c r="C1552" s="13">
        <v>960</v>
      </c>
      <c r="D1552" s="8" t="s">
        <v>9496</v>
      </c>
      <c r="E1552" s="8" t="s">
        <v>9497</v>
      </c>
      <c r="F1552" s="8" t="s">
        <v>9498</v>
      </c>
      <c r="G1552" s="6" t="s">
        <v>33</v>
      </c>
      <c r="H1552" s="6" t="s">
        <v>34</v>
      </c>
      <c r="I1552" s="8" t="s">
        <v>35</v>
      </c>
      <c r="J1552" s="9">
        <v>1</v>
      </c>
      <c r="K1552" s="9">
        <v>204</v>
      </c>
      <c r="L1552" s="9">
        <v>2022</v>
      </c>
      <c r="M1552" s="8" t="s">
        <v>9499</v>
      </c>
      <c r="N1552" s="8" t="s">
        <v>63</v>
      </c>
      <c r="O1552" s="8" t="s">
        <v>126</v>
      </c>
      <c r="P1552" s="6" t="s">
        <v>39</v>
      </c>
      <c r="Q1552" s="8" t="s">
        <v>40</v>
      </c>
      <c r="R1552" s="10" t="s">
        <v>9500</v>
      </c>
      <c r="S1552" s="11"/>
      <c r="T1552" s="6"/>
      <c r="U1552" s="15" t="str">
        <f>HYPERLINK("https://media.infra-m.ru/1095/1095043/cover/1095043.jpg", "Обложка")</f>
        <v>Обложка</v>
      </c>
      <c r="V1552" s="8" t="s">
        <v>2427</v>
      </c>
      <c r="W1552" s="6"/>
      <c r="X1552" s="6"/>
      <c r="Y1552" s="6"/>
      <c r="Z1552" s="6"/>
      <c r="AA1552" s="6" t="s">
        <v>148</v>
      </c>
      <c r="AB1552" s="8"/>
      <c r="AC1552" s="27">
        <v>9785160163062</v>
      </c>
    </row>
    <row r="1553" spans="1:29" s="4" customFormat="1" ht="42" customHeight="1" x14ac:dyDescent="0.2">
      <c r="A1553" s="5">
        <v>0</v>
      </c>
      <c r="B1553" s="6" t="s">
        <v>9501</v>
      </c>
      <c r="C1553" s="13">
        <v>708</v>
      </c>
      <c r="D1553" s="8" t="s">
        <v>9502</v>
      </c>
      <c r="E1553" s="8" t="s">
        <v>9503</v>
      </c>
      <c r="F1553" s="8" t="s">
        <v>9504</v>
      </c>
      <c r="G1553" s="6" t="s">
        <v>33</v>
      </c>
      <c r="H1553" s="6" t="s">
        <v>34</v>
      </c>
      <c r="I1553" s="8" t="s">
        <v>253</v>
      </c>
      <c r="J1553" s="9">
        <v>1</v>
      </c>
      <c r="K1553" s="9">
        <v>86</v>
      </c>
      <c r="L1553" s="9">
        <v>2026</v>
      </c>
      <c r="M1553" s="8" t="s">
        <v>9505</v>
      </c>
      <c r="N1553" s="8" t="s">
        <v>63</v>
      </c>
      <c r="O1553" s="8" t="s">
        <v>64</v>
      </c>
      <c r="P1553" s="6" t="s">
        <v>51</v>
      </c>
      <c r="Q1553" s="8" t="s">
        <v>65</v>
      </c>
      <c r="R1553" s="10" t="s">
        <v>9506</v>
      </c>
      <c r="S1553" s="11"/>
      <c r="T1553" s="6"/>
      <c r="U1553" s="15" t="str">
        <f>HYPERLINK("https://media.infra-m.ru/2238/2238377/cover/2238377.jpg", "Обложка")</f>
        <v>Обложка</v>
      </c>
      <c r="V1553" s="8" t="s">
        <v>6127</v>
      </c>
      <c r="W1553" s="6"/>
      <c r="X1553" s="6"/>
      <c r="Y1553" s="6"/>
      <c r="Z1553" s="6"/>
      <c r="AA1553" s="6" t="s">
        <v>43</v>
      </c>
      <c r="AB1553" s="8"/>
      <c r="AC1553" s="27">
        <v>9785160098845</v>
      </c>
    </row>
    <row r="1554" spans="1:29" s="4" customFormat="1" ht="51.9" customHeight="1" x14ac:dyDescent="0.2">
      <c r="A1554" s="5">
        <v>0</v>
      </c>
      <c r="B1554" s="6" t="s">
        <v>9507</v>
      </c>
      <c r="C1554" s="7">
        <v>2260.8000000000002</v>
      </c>
      <c r="D1554" s="8" t="s">
        <v>9508</v>
      </c>
      <c r="E1554" s="8" t="s">
        <v>9509</v>
      </c>
      <c r="F1554" s="8" t="s">
        <v>9510</v>
      </c>
      <c r="G1554" s="6" t="s">
        <v>118</v>
      </c>
      <c r="H1554" s="6" t="s">
        <v>34</v>
      </c>
      <c r="I1554" s="8" t="s">
        <v>271</v>
      </c>
      <c r="J1554" s="9">
        <v>1</v>
      </c>
      <c r="K1554" s="9">
        <v>343</v>
      </c>
      <c r="L1554" s="9">
        <v>2026</v>
      </c>
      <c r="M1554" s="8" t="s">
        <v>9511</v>
      </c>
      <c r="N1554" s="8" t="s">
        <v>93</v>
      </c>
      <c r="O1554" s="8" t="s">
        <v>9512</v>
      </c>
      <c r="P1554" s="6" t="s">
        <v>51</v>
      </c>
      <c r="Q1554" s="8" t="s">
        <v>52</v>
      </c>
      <c r="R1554" s="10" t="s">
        <v>9352</v>
      </c>
      <c r="S1554" s="11" t="s">
        <v>9513</v>
      </c>
      <c r="T1554" s="6"/>
      <c r="U1554" s="15" t="str">
        <f>HYPERLINK("https://media.infra-m.ru/2240/2240577/cover/2240577.jpg", "Обложка")</f>
        <v>Обложка</v>
      </c>
      <c r="V1554" s="8" t="s">
        <v>9514</v>
      </c>
      <c r="W1554" s="6"/>
      <c r="X1554" s="6"/>
      <c r="Y1554" s="6"/>
      <c r="Z1554" s="6"/>
      <c r="AA1554" s="6" t="s">
        <v>148</v>
      </c>
      <c r="AB1554" s="8"/>
      <c r="AC1554" s="27">
        <v>9785160166278</v>
      </c>
    </row>
    <row r="1555" spans="1:29" s="4" customFormat="1" ht="51.9" customHeight="1" x14ac:dyDescent="0.2">
      <c r="A1555" s="5">
        <v>0</v>
      </c>
      <c r="B1555" s="6" t="s">
        <v>9515</v>
      </c>
      <c r="C1555" s="7">
        <v>2136</v>
      </c>
      <c r="D1555" s="8" t="s">
        <v>9516</v>
      </c>
      <c r="E1555" s="8" t="s">
        <v>9517</v>
      </c>
      <c r="F1555" s="8" t="s">
        <v>9518</v>
      </c>
      <c r="G1555" s="6" t="s">
        <v>118</v>
      </c>
      <c r="H1555" s="6" t="s">
        <v>34</v>
      </c>
      <c r="I1555" s="8" t="s">
        <v>35</v>
      </c>
      <c r="J1555" s="9">
        <v>1</v>
      </c>
      <c r="K1555" s="9">
        <v>323</v>
      </c>
      <c r="L1555" s="9">
        <v>2026</v>
      </c>
      <c r="M1555" s="8" t="s">
        <v>9519</v>
      </c>
      <c r="N1555" s="8" t="s">
        <v>93</v>
      </c>
      <c r="O1555" s="8" t="s">
        <v>94</v>
      </c>
      <c r="P1555" s="6" t="s">
        <v>39</v>
      </c>
      <c r="Q1555" s="8" t="s">
        <v>40</v>
      </c>
      <c r="R1555" s="10" t="s">
        <v>9520</v>
      </c>
      <c r="S1555" s="11"/>
      <c r="T1555" s="6"/>
      <c r="U1555" s="15" t="str">
        <f>HYPERLINK("https://media.infra-m.ru/2223/2223140/cover/2223140.jpg", "Обложка")</f>
        <v>Обложка</v>
      </c>
      <c r="V1555" s="8" t="s">
        <v>1551</v>
      </c>
      <c r="W1555" s="6"/>
      <c r="X1555" s="6"/>
      <c r="Y1555" s="6"/>
      <c r="Z1555" s="6"/>
      <c r="AA1555" s="6" t="s">
        <v>218</v>
      </c>
      <c r="AB1555" s="8"/>
      <c r="AC1555" s="27">
        <v>9785160156866</v>
      </c>
    </row>
    <row r="1556" spans="1:29" s="4" customFormat="1" ht="51.9" customHeight="1" x14ac:dyDescent="0.2">
      <c r="A1556" s="5">
        <v>0</v>
      </c>
      <c r="B1556" s="6" t="s">
        <v>9521</v>
      </c>
      <c r="C1556" s="7">
        <v>1092</v>
      </c>
      <c r="D1556" s="8" t="s">
        <v>9522</v>
      </c>
      <c r="E1556" s="8" t="s">
        <v>9523</v>
      </c>
      <c r="F1556" s="8" t="s">
        <v>9524</v>
      </c>
      <c r="G1556" s="6" t="s">
        <v>118</v>
      </c>
      <c r="H1556" s="6" t="s">
        <v>34</v>
      </c>
      <c r="I1556" s="8" t="s">
        <v>35</v>
      </c>
      <c r="J1556" s="9">
        <v>1</v>
      </c>
      <c r="K1556" s="9">
        <v>267</v>
      </c>
      <c r="L1556" s="9">
        <v>2019</v>
      </c>
      <c r="M1556" s="8" t="s">
        <v>9525</v>
      </c>
      <c r="N1556" s="8" t="s">
        <v>93</v>
      </c>
      <c r="O1556" s="8" t="s">
        <v>94</v>
      </c>
      <c r="P1556" s="6" t="s">
        <v>39</v>
      </c>
      <c r="Q1556" s="8" t="s">
        <v>40</v>
      </c>
      <c r="R1556" s="10" t="s">
        <v>9520</v>
      </c>
      <c r="S1556" s="11"/>
      <c r="T1556" s="6"/>
      <c r="U1556" s="15" t="str">
        <f>HYPERLINK("https://media.infra-m.ru/1032/1032359/cover/1032359.jpg", "Обложка")</f>
        <v>Обложка</v>
      </c>
      <c r="V1556" s="8" t="s">
        <v>1551</v>
      </c>
      <c r="W1556" s="6"/>
      <c r="X1556" s="6"/>
      <c r="Y1556" s="6"/>
      <c r="Z1556" s="6"/>
      <c r="AA1556" s="6" t="s">
        <v>86</v>
      </c>
      <c r="AB1556" s="8"/>
      <c r="AC1556" s="27">
        <v>9785160140735</v>
      </c>
    </row>
    <row r="1557" spans="1:29" s="4" customFormat="1" ht="42" customHeight="1" x14ac:dyDescent="0.2">
      <c r="A1557" s="5">
        <v>0</v>
      </c>
      <c r="B1557" s="6" t="s">
        <v>9526</v>
      </c>
      <c r="C1557" s="7">
        <v>1032</v>
      </c>
      <c r="D1557" s="8" t="s">
        <v>9527</v>
      </c>
      <c r="E1557" s="8" t="s">
        <v>9528</v>
      </c>
      <c r="F1557" s="8" t="s">
        <v>9529</v>
      </c>
      <c r="G1557" s="6" t="s">
        <v>33</v>
      </c>
      <c r="H1557" s="6" t="s">
        <v>34</v>
      </c>
      <c r="I1557" s="8"/>
      <c r="J1557" s="9">
        <v>1</v>
      </c>
      <c r="K1557" s="9">
        <v>152</v>
      </c>
      <c r="L1557" s="9">
        <v>2026</v>
      </c>
      <c r="M1557" s="8" t="s">
        <v>9530</v>
      </c>
      <c r="N1557" s="8" t="s">
        <v>37</v>
      </c>
      <c r="O1557" s="8" t="s">
        <v>499</v>
      </c>
      <c r="P1557" s="6" t="s">
        <v>51</v>
      </c>
      <c r="Q1557" s="8" t="s">
        <v>52</v>
      </c>
      <c r="R1557" s="10" t="s">
        <v>9531</v>
      </c>
      <c r="S1557" s="11"/>
      <c r="T1557" s="6"/>
      <c r="U1557" s="15" t="str">
        <f>HYPERLINK("https://media.infra-m.ru/2192/2192471/cover/2192471.jpg", "Обложка")</f>
        <v>Обложка</v>
      </c>
      <c r="V1557" s="8"/>
      <c r="W1557" s="6"/>
      <c r="X1557" s="6"/>
      <c r="Y1557" s="6"/>
      <c r="Z1557" s="6"/>
      <c r="AA1557" s="6" t="s">
        <v>99</v>
      </c>
      <c r="AB1557" s="8"/>
      <c r="AC1557" s="27">
        <v>9785160129419</v>
      </c>
    </row>
    <row r="1558" spans="1:29" s="4" customFormat="1" ht="51.9" customHeight="1" x14ac:dyDescent="0.2">
      <c r="A1558" s="5">
        <v>0</v>
      </c>
      <c r="B1558" s="6" t="s">
        <v>9532</v>
      </c>
      <c r="C1558" s="13">
        <v>984</v>
      </c>
      <c r="D1558" s="8" t="s">
        <v>9533</v>
      </c>
      <c r="E1558" s="8" t="s">
        <v>9528</v>
      </c>
      <c r="F1558" s="8" t="s">
        <v>9529</v>
      </c>
      <c r="G1558" s="6" t="s">
        <v>33</v>
      </c>
      <c r="H1558" s="6" t="s">
        <v>1644</v>
      </c>
      <c r="I1558" s="8" t="s">
        <v>263</v>
      </c>
      <c r="J1558" s="9">
        <v>1</v>
      </c>
      <c r="K1558" s="9">
        <v>152</v>
      </c>
      <c r="L1558" s="9">
        <v>2026</v>
      </c>
      <c r="M1558" s="8" t="s">
        <v>9534</v>
      </c>
      <c r="N1558" s="8" t="s">
        <v>37</v>
      </c>
      <c r="O1558" s="8" t="s">
        <v>499</v>
      </c>
      <c r="P1558" s="6" t="s">
        <v>51</v>
      </c>
      <c r="Q1558" s="8" t="s">
        <v>265</v>
      </c>
      <c r="R1558" s="10" t="s">
        <v>9535</v>
      </c>
      <c r="S1558" s="11"/>
      <c r="T1558" s="6"/>
      <c r="U1558" s="15" t="str">
        <f>HYPERLINK("https://media.infra-m.ru/1845/1845998/cover/1845998.jpg", "Обложка")</f>
        <v>Обложка</v>
      </c>
      <c r="V1558" s="8" t="s">
        <v>958</v>
      </c>
      <c r="W1558" s="6"/>
      <c r="X1558" s="6"/>
      <c r="Y1558" s="6"/>
      <c r="Z1558" s="6" t="s">
        <v>267</v>
      </c>
      <c r="AA1558" s="6" t="s">
        <v>187</v>
      </c>
      <c r="AB1558" s="8"/>
      <c r="AC1558" s="27">
        <v>9785977605458</v>
      </c>
    </row>
    <row r="1559" spans="1:29" s="4" customFormat="1" ht="51.9" customHeight="1" x14ac:dyDescent="0.2">
      <c r="A1559" s="5">
        <v>0</v>
      </c>
      <c r="B1559" s="6" t="s">
        <v>9536</v>
      </c>
      <c r="C1559" s="7">
        <v>1056</v>
      </c>
      <c r="D1559" s="8" t="s">
        <v>9537</v>
      </c>
      <c r="E1559" s="8" t="s">
        <v>9538</v>
      </c>
      <c r="F1559" s="8" t="s">
        <v>9539</v>
      </c>
      <c r="G1559" s="6" t="s">
        <v>33</v>
      </c>
      <c r="H1559" s="6" t="s">
        <v>1644</v>
      </c>
      <c r="I1559" s="8" t="s">
        <v>263</v>
      </c>
      <c r="J1559" s="9">
        <v>1</v>
      </c>
      <c r="K1559" s="9">
        <v>176</v>
      </c>
      <c r="L1559" s="9">
        <v>2025</v>
      </c>
      <c r="M1559" s="8" t="s">
        <v>9540</v>
      </c>
      <c r="N1559" s="8" t="s">
        <v>37</v>
      </c>
      <c r="O1559" s="8" t="s">
        <v>499</v>
      </c>
      <c r="P1559" s="6" t="s">
        <v>51</v>
      </c>
      <c r="Q1559" s="8" t="s">
        <v>265</v>
      </c>
      <c r="R1559" s="10" t="s">
        <v>9541</v>
      </c>
      <c r="S1559" s="11"/>
      <c r="T1559" s="6"/>
      <c r="U1559" s="15" t="str">
        <f>HYPERLINK("https://media.infra-m.ru/2192/2192953/cover/2192953.jpg", "Обложка")</f>
        <v>Обложка</v>
      </c>
      <c r="V1559" s="8" t="s">
        <v>958</v>
      </c>
      <c r="W1559" s="6"/>
      <c r="X1559" s="6"/>
      <c r="Y1559" s="6"/>
      <c r="Z1559" s="6"/>
      <c r="AA1559" s="6" t="s">
        <v>68</v>
      </c>
      <c r="AB1559" s="8" t="s">
        <v>4718</v>
      </c>
      <c r="AC1559" s="27">
        <v>9785977605830</v>
      </c>
    </row>
    <row r="1560" spans="1:29" s="4" customFormat="1" ht="51.9" customHeight="1" x14ac:dyDescent="0.2">
      <c r="A1560" s="5">
        <v>0</v>
      </c>
      <c r="B1560" s="6" t="s">
        <v>9542</v>
      </c>
      <c r="C1560" s="7">
        <v>1164</v>
      </c>
      <c r="D1560" s="8" t="s">
        <v>9543</v>
      </c>
      <c r="E1560" s="8" t="s">
        <v>9538</v>
      </c>
      <c r="F1560" s="8" t="s">
        <v>9539</v>
      </c>
      <c r="G1560" s="6" t="s">
        <v>33</v>
      </c>
      <c r="H1560" s="6" t="s">
        <v>34</v>
      </c>
      <c r="I1560" s="8"/>
      <c r="J1560" s="9">
        <v>1</v>
      </c>
      <c r="K1560" s="9">
        <v>176</v>
      </c>
      <c r="L1560" s="9">
        <v>2026</v>
      </c>
      <c r="M1560" s="8" t="s">
        <v>9544</v>
      </c>
      <c r="N1560" s="8" t="s">
        <v>37</v>
      </c>
      <c r="O1560" s="8" t="s">
        <v>499</v>
      </c>
      <c r="P1560" s="6" t="s">
        <v>51</v>
      </c>
      <c r="Q1560" s="8" t="s">
        <v>52</v>
      </c>
      <c r="R1560" s="10" t="s">
        <v>9545</v>
      </c>
      <c r="S1560" s="11" t="s">
        <v>9546</v>
      </c>
      <c r="T1560" s="6"/>
      <c r="U1560" s="15" t="str">
        <f>HYPERLINK("https://media.infra-m.ru/2224/2224459/cover/2224459.jpg", "Обложка")</f>
        <v>Обложка</v>
      </c>
      <c r="V1560" s="8" t="s">
        <v>958</v>
      </c>
      <c r="W1560" s="6"/>
      <c r="X1560" s="6"/>
      <c r="Y1560" s="6"/>
      <c r="Z1560" s="6"/>
      <c r="AA1560" s="6" t="s">
        <v>43</v>
      </c>
      <c r="AB1560" s="8"/>
      <c r="AC1560" s="27">
        <v>9785160092621</v>
      </c>
    </row>
    <row r="1561" spans="1:29" s="4" customFormat="1" ht="42" customHeight="1" x14ac:dyDescent="0.2">
      <c r="A1561" s="5">
        <v>0</v>
      </c>
      <c r="B1561" s="6" t="s">
        <v>9547</v>
      </c>
      <c r="C1561" s="13">
        <v>648</v>
      </c>
      <c r="D1561" s="8" t="s">
        <v>9548</v>
      </c>
      <c r="E1561" s="8" t="s">
        <v>9549</v>
      </c>
      <c r="F1561" s="8" t="s">
        <v>1960</v>
      </c>
      <c r="G1561" s="6" t="s">
        <v>33</v>
      </c>
      <c r="H1561" s="6" t="s">
        <v>34</v>
      </c>
      <c r="I1561" s="8" t="s">
        <v>35</v>
      </c>
      <c r="J1561" s="9">
        <v>1</v>
      </c>
      <c r="K1561" s="9">
        <v>119</v>
      </c>
      <c r="L1561" s="9">
        <v>2023</v>
      </c>
      <c r="M1561" s="8" t="s">
        <v>9550</v>
      </c>
      <c r="N1561" s="8" t="s">
        <v>63</v>
      </c>
      <c r="O1561" s="8" t="s">
        <v>126</v>
      </c>
      <c r="P1561" s="6" t="s">
        <v>39</v>
      </c>
      <c r="Q1561" s="8" t="s">
        <v>40</v>
      </c>
      <c r="R1561" s="10" t="s">
        <v>9551</v>
      </c>
      <c r="S1561" s="11"/>
      <c r="T1561" s="6"/>
      <c r="U1561" s="15" t="str">
        <f>HYPERLINK("https://media.infra-m.ru/1938/1938022/cover/1938022.jpg", "Обложка")</f>
        <v>Обложка</v>
      </c>
      <c r="V1561" s="8" t="s">
        <v>227</v>
      </c>
      <c r="W1561" s="6"/>
      <c r="X1561" s="6"/>
      <c r="Y1561" s="6"/>
      <c r="Z1561" s="6"/>
      <c r="AA1561" s="6" t="s">
        <v>779</v>
      </c>
      <c r="AB1561" s="8"/>
      <c r="AC1561" s="27">
        <v>9785160113630</v>
      </c>
    </row>
    <row r="1562" spans="1:29" s="4" customFormat="1" ht="42" customHeight="1" x14ac:dyDescent="0.2">
      <c r="A1562" s="5">
        <v>0</v>
      </c>
      <c r="B1562" s="6" t="s">
        <v>9552</v>
      </c>
      <c r="C1562" s="13">
        <v>689.9</v>
      </c>
      <c r="D1562" s="8" t="s">
        <v>9553</v>
      </c>
      <c r="E1562" s="8" t="s">
        <v>9554</v>
      </c>
      <c r="F1562" s="8" t="s">
        <v>9555</v>
      </c>
      <c r="G1562" s="6" t="s">
        <v>33</v>
      </c>
      <c r="H1562" s="6" t="s">
        <v>34</v>
      </c>
      <c r="I1562" s="8" t="s">
        <v>35</v>
      </c>
      <c r="J1562" s="9">
        <v>1</v>
      </c>
      <c r="K1562" s="9">
        <v>128</v>
      </c>
      <c r="L1562" s="9">
        <v>2023</v>
      </c>
      <c r="M1562" s="8" t="s">
        <v>9556</v>
      </c>
      <c r="N1562" s="8" t="s">
        <v>243</v>
      </c>
      <c r="O1562" s="8" t="s">
        <v>329</v>
      </c>
      <c r="P1562" s="6" t="s">
        <v>39</v>
      </c>
      <c r="Q1562" s="8" t="s">
        <v>40</v>
      </c>
      <c r="R1562" s="10" t="s">
        <v>9557</v>
      </c>
      <c r="S1562" s="11"/>
      <c r="T1562" s="6"/>
      <c r="U1562" s="15" t="str">
        <f>HYPERLINK("https://media.infra-m.ru/2024/2024015/cover/2024015.jpg", "Обложка")</f>
        <v>Обложка</v>
      </c>
      <c r="V1562" s="8" t="s">
        <v>1083</v>
      </c>
      <c r="W1562" s="6"/>
      <c r="X1562" s="6"/>
      <c r="Y1562" s="6"/>
      <c r="Z1562" s="6"/>
      <c r="AA1562" s="6" t="s">
        <v>248</v>
      </c>
      <c r="AB1562" s="8"/>
      <c r="AC1562" s="27">
        <v>9785160063744</v>
      </c>
    </row>
    <row r="1563" spans="1:29" s="4" customFormat="1" ht="51.9" customHeight="1" x14ac:dyDescent="0.2">
      <c r="A1563" s="5">
        <v>0</v>
      </c>
      <c r="B1563" s="6" t="s">
        <v>9558</v>
      </c>
      <c r="C1563" s="13">
        <v>401.9</v>
      </c>
      <c r="D1563" s="8" t="s">
        <v>9559</v>
      </c>
      <c r="E1563" s="8" t="s">
        <v>9560</v>
      </c>
      <c r="F1563" s="8" t="s">
        <v>9561</v>
      </c>
      <c r="G1563" s="6" t="s">
        <v>21</v>
      </c>
      <c r="H1563" s="6" t="s">
        <v>48</v>
      </c>
      <c r="I1563" s="8" t="s">
        <v>271</v>
      </c>
      <c r="J1563" s="9">
        <v>30</v>
      </c>
      <c r="K1563" s="9">
        <v>160</v>
      </c>
      <c r="L1563" s="9">
        <v>2016</v>
      </c>
      <c r="M1563" s="8" t="s">
        <v>9562</v>
      </c>
      <c r="N1563" s="8" t="s">
        <v>243</v>
      </c>
      <c r="O1563" s="8" t="s">
        <v>758</v>
      </c>
      <c r="P1563" s="6" t="s">
        <v>51</v>
      </c>
      <c r="Q1563" s="8" t="s">
        <v>52</v>
      </c>
      <c r="R1563" s="10" t="s">
        <v>9563</v>
      </c>
      <c r="S1563" s="11" t="s">
        <v>9564</v>
      </c>
      <c r="T1563" s="6"/>
      <c r="U1563" s="15" t="str">
        <f>HYPERLINK("https://media.infra-m.ru/0520/0520165/cover/520165.jpg", "Обложка")</f>
        <v>Обложка</v>
      </c>
      <c r="V1563" s="8" t="s">
        <v>9565</v>
      </c>
      <c r="W1563" s="6"/>
      <c r="X1563" s="6"/>
      <c r="Y1563" s="6"/>
      <c r="Z1563" s="6"/>
      <c r="AA1563" s="6" t="s">
        <v>718</v>
      </c>
      <c r="AB1563" s="8"/>
      <c r="AC1563" s="27">
        <v>9785911347901</v>
      </c>
    </row>
    <row r="1564" spans="1:29" s="4" customFormat="1" ht="51.9" customHeight="1" x14ac:dyDescent="0.2">
      <c r="A1564" s="5">
        <v>0</v>
      </c>
      <c r="B1564" s="6" t="s">
        <v>9566</v>
      </c>
      <c r="C1564" s="7">
        <v>1156.8</v>
      </c>
      <c r="D1564" s="8" t="s">
        <v>9567</v>
      </c>
      <c r="E1564" s="8" t="s">
        <v>9568</v>
      </c>
      <c r="F1564" s="8" t="s">
        <v>9569</v>
      </c>
      <c r="G1564" s="6" t="s">
        <v>60</v>
      </c>
      <c r="H1564" s="6" t="s">
        <v>34</v>
      </c>
      <c r="I1564" s="8" t="s">
        <v>271</v>
      </c>
      <c r="J1564" s="9">
        <v>1</v>
      </c>
      <c r="K1564" s="9">
        <v>175</v>
      </c>
      <c r="L1564" s="9">
        <v>2026</v>
      </c>
      <c r="M1564" s="8" t="s">
        <v>9570</v>
      </c>
      <c r="N1564" s="8" t="s">
        <v>243</v>
      </c>
      <c r="O1564" s="8" t="s">
        <v>758</v>
      </c>
      <c r="P1564" s="6" t="s">
        <v>51</v>
      </c>
      <c r="Q1564" s="8" t="s">
        <v>52</v>
      </c>
      <c r="R1564" s="10" t="s">
        <v>9563</v>
      </c>
      <c r="S1564" s="11" t="s">
        <v>9571</v>
      </c>
      <c r="T1564" s="6"/>
      <c r="U1564" s="15" t="str">
        <f>HYPERLINK("https://media.infra-m.ru/2242/2242096/cover/2242096.jpg", "Обложка")</f>
        <v>Обложка</v>
      </c>
      <c r="V1564" s="8" t="s">
        <v>9565</v>
      </c>
      <c r="W1564" s="6"/>
      <c r="X1564" s="6"/>
      <c r="Y1564" s="6"/>
      <c r="Z1564" s="6"/>
      <c r="AA1564" s="6" t="s">
        <v>1389</v>
      </c>
      <c r="AB1564" s="8"/>
      <c r="AC1564" s="27">
        <v>9785160157740</v>
      </c>
    </row>
    <row r="1565" spans="1:29" s="4" customFormat="1" ht="42" customHeight="1" x14ac:dyDescent="0.2">
      <c r="A1565" s="5">
        <v>0</v>
      </c>
      <c r="B1565" s="6" t="s">
        <v>9572</v>
      </c>
      <c r="C1565" s="7">
        <v>1272</v>
      </c>
      <c r="D1565" s="8" t="s">
        <v>9573</v>
      </c>
      <c r="E1565" s="8" t="s">
        <v>9574</v>
      </c>
      <c r="F1565" s="8" t="s">
        <v>9575</v>
      </c>
      <c r="G1565" s="6" t="s">
        <v>33</v>
      </c>
      <c r="H1565" s="6" t="s">
        <v>134</v>
      </c>
      <c r="I1565" s="8"/>
      <c r="J1565" s="9">
        <v>1</v>
      </c>
      <c r="K1565" s="9">
        <v>192</v>
      </c>
      <c r="L1565" s="9">
        <v>2026</v>
      </c>
      <c r="M1565" s="8" t="s">
        <v>9576</v>
      </c>
      <c r="N1565" s="8" t="s">
        <v>37</v>
      </c>
      <c r="O1565" s="8" t="s">
        <v>136</v>
      </c>
      <c r="P1565" s="6" t="s">
        <v>39</v>
      </c>
      <c r="Q1565" s="8" t="s">
        <v>40</v>
      </c>
      <c r="R1565" s="10" t="s">
        <v>9577</v>
      </c>
      <c r="S1565" s="11"/>
      <c r="T1565" s="6"/>
      <c r="U1565" s="15" t="str">
        <f>HYPERLINK("https://media.infra-m.ru/2241/2241975/cover/2241975.jpg", "Обложка")</f>
        <v>Обложка</v>
      </c>
      <c r="V1565" s="8" t="s">
        <v>1184</v>
      </c>
      <c r="W1565" s="6"/>
      <c r="X1565" s="6"/>
      <c r="Y1565" s="6"/>
      <c r="Z1565" s="6"/>
      <c r="AA1565" s="6" t="s">
        <v>274</v>
      </c>
      <c r="AB1565" s="8"/>
      <c r="AC1565" s="27">
        <v>9785917686028</v>
      </c>
    </row>
    <row r="1566" spans="1:29" s="4" customFormat="1" ht="42" customHeight="1" x14ac:dyDescent="0.2">
      <c r="A1566" s="5">
        <v>0</v>
      </c>
      <c r="B1566" s="6" t="s">
        <v>9578</v>
      </c>
      <c r="C1566" s="7">
        <v>1312.8</v>
      </c>
      <c r="D1566" s="8" t="s">
        <v>9579</v>
      </c>
      <c r="E1566" s="8" t="s">
        <v>9580</v>
      </c>
      <c r="F1566" s="8" t="s">
        <v>9581</v>
      </c>
      <c r="G1566" s="6" t="s">
        <v>33</v>
      </c>
      <c r="H1566" s="6" t="s">
        <v>34</v>
      </c>
      <c r="I1566" s="8" t="s">
        <v>35</v>
      </c>
      <c r="J1566" s="9">
        <v>1</v>
      </c>
      <c r="K1566" s="9">
        <v>176</v>
      </c>
      <c r="L1566" s="9">
        <v>2026</v>
      </c>
      <c r="M1566" s="8" t="s">
        <v>9582</v>
      </c>
      <c r="N1566" s="8" t="s">
        <v>585</v>
      </c>
      <c r="O1566" s="8" t="s">
        <v>2472</v>
      </c>
      <c r="P1566" s="6" t="s">
        <v>39</v>
      </c>
      <c r="Q1566" s="8" t="s">
        <v>40</v>
      </c>
      <c r="R1566" s="10" t="s">
        <v>9583</v>
      </c>
      <c r="S1566" s="11"/>
      <c r="T1566" s="6"/>
      <c r="U1566" s="15" t="str">
        <f>HYPERLINK("https://media.infra-m.ru/2239/2239924/cover/2239924.jpg", "Обложка")</f>
        <v>Обложка</v>
      </c>
      <c r="V1566" s="8" t="s">
        <v>9584</v>
      </c>
      <c r="W1566" s="6"/>
      <c r="X1566" s="6"/>
      <c r="Y1566" s="6"/>
      <c r="Z1566" s="6"/>
      <c r="AA1566" s="6" t="s">
        <v>157</v>
      </c>
      <c r="AB1566" s="8"/>
      <c r="AC1566" s="27">
        <v>9785160183572</v>
      </c>
    </row>
    <row r="1567" spans="1:29" s="4" customFormat="1" ht="51.9" customHeight="1" x14ac:dyDescent="0.2">
      <c r="A1567" s="5">
        <v>0</v>
      </c>
      <c r="B1567" s="6" t="s">
        <v>9585</v>
      </c>
      <c r="C1567" s="7">
        <v>1838.4</v>
      </c>
      <c r="D1567" s="8" t="s">
        <v>9586</v>
      </c>
      <c r="E1567" s="8" t="s">
        <v>9587</v>
      </c>
      <c r="F1567" s="8" t="s">
        <v>9588</v>
      </c>
      <c r="G1567" s="6" t="s">
        <v>118</v>
      </c>
      <c r="H1567" s="6" t="s">
        <v>34</v>
      </c>
      <c r="I1567" s="8" t="s">
        <v>253</v>
      </c>
      <c r="J1567" s="9">
        <v>1</v>
      </c>
      <c r="K1567" s="9">
        <v>214</v>
      </c>
      <c r="L1567" s="9">
        <v>2026</v>
      </c>
      <c r="M1567" s="8" t="s">
        <v>9589</v>
      </c>
      <c r="N1567" s="8" t="s">
        <v>243</v>
      </c>
      <c r="O1567" s="8" t="s">
        <v>964</v>
      </c>
      <c r="P1567" s="6" t="s">
        <v>51</v>
      </c>
      <c r="Q1567" s="8" t="s">
        <v>377</v>
      </c>
      <c r="R1567" s="10" t="s">
        <v>9590</v>
      </c>
      <c r="S1567" s="11" t="s">
        <v>9591</v>
      </c>
      <c r="T1567" s="6"/>
      <c r="U1567" s="15" t="str">
        <f>HYPERLINK("https://media.infra-m.ru/2239/2239520/cover/2239520.jpg", "Обложка")</f>
        <v>Обложка</v>
      </c>
      <c r="V1567" s="8" t="s">
        <v>9592</v>
      </c>
      <c r="W1567" s="6"/>
      <c r="X1567" s="6"/>
      <c r="Y1567" s="6"/>
      <c r="Z1567" s="6"/>
      <c r="AA1567" s="6" t="s">
        <v>430</v>
      </c>
      <c r="AB1567" s="8"/>
      <c r="AC1567" s="27">
        <v>9785160219141</v>
      </c>
    </row>
    <row r="1568" spans="1:29" s="4" customFormat="1" ht="51.9" customHeight="1" x14ac:dyDescent="0.2">
      <c r="A1568" s="5">
        <v>0</v>
      </c>
      <c r="B1568" s="6" t="s">
        <v>9593</v>
      </c>
      <c r="C1568" s="7">
        <v>1382.4</v>
      </c>
      <c r="D1568" s="8" t="s">
        <v>9594</v>
      </c>
      <c r="E1568" s="8" t="s">
        <v>9595</v>
      </c>
      <c r="F1568" s="8" t="s">
        <v>9596</v>
      </c>
      <c r="G1568" s="6" t="s">
        <v>33</v>
      </c>
      <c r="H1568" s="6" t="s">
        <v>34</v>
      </c>
      <c r="I1568" s="8" t="s">
        <v>457</v>
      </c>
      <c r="J1568" s="9">
        <v>1</v>
      </c>
      <c r="K1568" s="9">
        <v>192</v>
      </c>
      <c r="L1568" s="9">
        <v>2024</v>
      </c>
      <c r="M1568" s="8" t="s">
        <v>9597</v>
      </c>
      <c r="N1568" s="8" t="s">
        <v>585</v>
      </c>
      <c r="O1568" s="8" t="s">
        <v>667</v>
      </c>
      <c r="P1568" s="6" t="s">
        <v>39</v>
      </c>
      <c r="Q1568" s="8" t="s">
        <v>40</v>
      </c>
      <c r="R1568" s="10" t="s">
        <v>9598</v>
      </c>
      <c r="S1568" s="11"/>
      <c r="T1568" s="6"/>
      <c r="U1568" s="15" t="str">
        <f>HYPERLINK("https://media.infra-m.ru/2055/2055773/cover/2055773.jpg", "Обложка")</f>
        <v>Обложка</v>
      </c>
      <c r="V1568" s="8" t="s">
        <v>247</v>
      </c>
      <c r="W1568" s="6"/>
      <c r="X1568" s="6"/>
      <c r="Y1568" s="6"/>
      <c r="Z1568" s="6"/>
      <c r="AA1568" s="6" t="s">
        <v>106</v>
      </c>
      <c r="AB1568" s="8"/>
      <c r="AC1568" s="27">
        <v>9785160187686</v>
      </c>
    </row>
    <row r="1569" spans="1:29" s="4" customFormat="1" ht="51.9" customHeight="1" x14ac:dyDescent="0.2">
      <c r="A1569" s="5">
        <v>0</v>
      </c>
      <c r="B1569" s="6" t="s">
        <v>9599</v>
      </c>
      <c r="C1569" s="7">
        <v>1144.8</v>
      </c>
      <c r="D1569" s="8" t="s">
        <v>9600</v>
      </c>
      <c r="E1569" s="8" t="s">
        <v>9601</v>
      </c>
      <c r="F1569" s="8" t="s">
        <v>9596</v>
      </c>
      <c r="G1569" s="6" t="s">
        <v>33</v>
      </c>
      <c r="H1569" s="6" t="s">
        <v>34</v>
      </c>
      <c r="I1569" s="8" t="s">
        <v>457</v>
      </c>
      <c r="J1569" s="9">
        <v>1</v>
      </c>
      <c r="K1569" s="9">
        <v>163</v>
      </c>
      <c r="L1569" s="9">
        <v>2023</v>
      </c>
      <c r="M1569" s="8" t="s">
        <v>9602</v>
      </c>
      <c r="N1569" s="8" t="s">
        <v>585</v>
      </c>
      <c r="O1569" s="8" t="s">
        <v>667</v>
      </c>
      <c r="P1569" s="6" t="s">
        <v>39</v>
      </c>
      <c r="Q1569" s="8" t="s">
        <v>40</v>
      </c>
      <c r="R1569" s="10" t="s">
        <v>9598</v>
      </c>
      <c r="S1569" s="11"/>
      <c r="T1569" s="6"/>
      <c r="U1569" s="15" t="str">
        <f>HYPERLINK("https://media.infra-m.ru/1976/1976138/cover/1976138.jpg", "Обложка")</f>
        <v>Обложка</v>
      </c>
      <c r="V1569" s="8" t="s">
        <v>247</v>
      </c>
      <c r="W1569" s="6"/>
      <c r="X1569" s="6"/>
      <c r="Y1569" s="6"/>
      <c r="Z1569" s="6"/>
      <c r="AA1569" s="6" t="s">
        <v>115</v>
      </c>
      <c r="AB1569" s="8"/>
      <c r="AC1569" s="27">
        <v>9785160162331</v>
      </c>
    </row>
    <row r="1570" spans="1:29" s="4" customFormat="1" ht="42" customHeight="1" x14ac:dyDescent="0.2">
      <c r="A1570" s="5">
        <v>0</v>
      </c>
      <c r="B1570" s="6" t="s">
        <v>9603</v>
      </c>
      <c r="C1570" s="7">
        <v>1140</v>
      </c>
      <c r="D1570" s="8" t="s">
        <v>9604</v>
      </c>
      <c r="E1570" s="8" t="s">
        <v>9605</v>
      </c>
      <c r="F1570" s="8" t="s">
        <v>9606</v>
      </c>
      <c r="G1570" s="6" t="s">
        <v>33</v>
      </c>
      <c r="H1570" s="6" t="s">
        <v>34</v>
      </c>
      <c r="I1570" s="8" t="s">
        <v>35</v>
      </c>
      <c r="J1570" s="9">
        <v>1</v>
      </c>
      <c r="K1570" s="9">
        <v>251</v>
      </c>
      <c r="L1570" s="9">
        <v>2021</v>
      </c>
      <c r="M1570" s="8" t="s">
        <v>9607</v>
      </c>
      <c r="N1570" s="8" t="s">
        <v>37</v>
      </c>
      <c r="O1570" s="8" t="s">
        <v>499</v>
      </c>
      <c r="P1570" s="6" t="s">
        <v>39</v>
      </c>
      <c r="Q1570" s="8" t="s">
        <v>40</v>
      </c>
      <c r="R1570" s="10" t="s">
        <v>3832</v>
      </c>
      <c r="S1570" s="11"/>
      <c r="T1570" s="6"/>
      <c r="U1570" s="15" t="str">
        <f>HYPERLINK("https://media.infra-m.ru/1154/1154382/cover/1154382.jpg", "Обложка")</f>
        <v>Обложка</v>
      </c>
      <c r="V1570" s="8"/>
      <c r="W1570" s="6"/>
      <c r="X1570" s="6"/>
      <c r="Y1570" s="6"/>
      <c r="Z1570" s="6"/>
      <c r="AA1570" s="6" t="s">
        <v>430</v>
      </c>
      <c r="AB1570" s="8"/>
      <c r="AC1570" s="27">
        <v>9785160164618</v>
      </c>
    </row>
    <row r="1571" spans="1:29" s="4" customFormat="1" ht="42" customHeight="1" x14ac:dyDescent="0.2">
      <c r="A1571" s="5">
        <v>0</v>
      </c>
      <c r="B1571" s="6" t="s">
        <v>9608</v>
      </c>
      <c r="C1571" s="13">
        <v>780</v>
      </c>
      <c r="D1571" s="8" t="s">
        <v>9609</v>
      </c>
      <c r="E1571" s="8" t="s">
        <v>9610</v>
      </c>
      <c r="F1571" s="8" t="s">
        <v>9611</v>
      </c>
      <c r="G1571" s="6" t="s">
        <v>33</v>
      </c>
      <c r="H1571" s="6" t="s">
        <v>34</v>
      </c>
      <c r="I1571" s="8" t="s">
        <v>35</v>
      </c>
      <c r="J1571" s="9">
        <v>1</v>
      </c>
      <c r="K1571" s="9">
        <v>135</v>
      </c>
      <c r="L1571" s="9">
        <v>2022</v>
      </c>
      <c r="M1571" s="8" t="s">
        <v>9612</v>
      </c>
      <c r="N1571" s="8" t="s">
        <v>37</v>
      </c>
      <c r="O1571" s="8" t="s">
        <v>280</v>
      </c>
      <c r="P1571" s="6" t="s">
        <v>39</v>
      </c>
      <c r="Q1571" s="8" t="s">
        <v>40</v>
      </c>
      <c r="R1571" s="10" t="s">
        <v>9613</v>
      </c>
      <c r="S1571" s="11"/>
      <c r="T1571" s="6"/>
      <c r="U1571" s="15" t="str">
        <f>HYPERLINK("https://media.infra-m.ru/1872/1872859/cover/1872859.jpg", "Обложка")</f>
        <v>Обложка</v>
      </c>
      <c r="V1571" s="8" t="s">
        <v>9614</v>
      </c>
      <c r="W1571" s="6"/>
      <c r="X1571" s="6"/>
      <c r="Y1571" s="6"/>
      <c r="Z1571" s="6"/>
      <c r="AA1571" s="6" t="s">
        <v>148</v>
      </c>
      <c r="AB1571" s="8"/>
      <c r="AC1571" s="27">
        <v>9785160177618</v>
      </c>
    </row>
    <row r="1572" spans="1:29" s="4" customFormat="1" ht="42" customHeight="1" x14ac:dyDescent="0.2">
      <c r="A1572" s="5">
        <v>0</v>
      </c>
      <c r="B1572" s="6" t="s">
        <v>9615</v>
      </c>
      <c r="C1572" s="7">
        <v>1092</v>
      </c>
      <c r="D1572" s="8" t="s">
        <v>9616</v>
      </c>
      <c r="E1572" s="8" t="s">
        <v>9617</v>
      </c>
      <c r="F1572" s="8" t="s">
        <v>9618</v>
      </c>
      <c r="G1572" s="6" t="s">
        <v>33</v>
      </c>
      <c r="H1572" s="6" t="s">
        <v>34</v>
      </c>
      <c r="I1572" s="8" t="s">
        <v>35</v>
      </c>
      <c r="J1572" s="9">
        <v>1</v>
      </c>
      <c r="K1572" s="9">
        <v>165</v>
      </c>
      <c r="L1572" s="9">
        <v>2026</v>
      </c>
      <c r="M1572" s="8" t="s">
        <v>9619</v>
      </c>
      <c r="N1572" s="8" t="s">
        <v>37</v>
      </c>
      <c r="O1572" s="8" t="s">
        <v>38</v>
      </c>
      <c r="P1572" s="6" t="s">
        <v>39</v>
      </c>
      <c r="Q1572" s="8" t="s">
        <v>40</v>
      </c>
      <c r="R1572" s="10" t="s">
        <v>41</v>
      </c>
      <c r="S1572" s="11"/>
      <c r="T1572" s="6"/>
      <c r="U1572" s="15" t="str">
        <f>HYPERLINK("https://media.infra-m.ru/2251/2251183/cover/2251183.jpg", "Обложка")</f>
        <v>Обложка</v>
      </c>
      <c r="V1572" s="8" t="s">
        <v>9620</v>
      </c>
      <c r="W1572" s="6"/>
      <c r="X1572" s="6"/>
      <c r="Y1572" s="6"/>
      <c r="Z1572" s="6"/>
      <c r="AA1572" s="6" t="s">
        <v>430</v>
      </c>
      <c r="AB1572" s="8"/>
      <c r="AC1572" s="27">
        <v>9785160167503</v>
      </c>
    </row>
    <row r="1573" spans="1:29" s="4" customFormat="1" ht="42" customHeight="1" x14ac:dyDescent="0.2">
      <c r="A1573" s="5">
        <v>0</v>
      </c>
      <c r="B1573" s="6" t="s">
        <v>9621</v>
      </c>
      <c r="C1573" s="7">
        <v>2100</v>
      </c>
      <c r="D1573" s="8" t="s">
        <v>9622</v>
      </c>
      <c r="E1573" s="8" t="s">
        <v>9623</v>
      </c>
      <c r="F1573" s="8" t="s">
        <v>9624</v>
      </c>
      <c r="G1573" s="6" t="s">
        <v>118</v>
      </c>
      <c r="H1573" s="6" t="s">
        <v>134</v>
      </c>
      <c r="I1573" s="8"/>
      <c r="J1573" s="9">
        <v>1</v>
      </c>
      <c r="K1573" s="9">
        <v>336</v>
      </c>
      <c r="L1573" s="9">
        <v>2026</v>
      </c>
      <c r="M1573" s="8" t="s">
        <v>9625</v>
      </c>
      <c r="N1573" s="8" t="s">
        <v>37</v>
      </c>
      <c r="O1573" s="8" t="s">
        <v>83</v>
      </c>
      <c r="P1573" s="6" t="s">
        <v>51</v>
      </c>
      <c r="Q1573" s="8" t="s">
        <v>500</v>
      </c>
      <c r="R1573" s="10" t="s">
        <v>7683</v>
      </c>
      <c r="S1573" s="11"/>
      <c r="T1573" s="6"/>
      <c r="U1573" s="15" t="str">
        <f>HYPERLINK("https://media.infra-m.ru/2213/2213488/cover/2213488.jpg", "Обложка")</f>
        <v>Обложка</v>
      </c>
      <c r="V1573" s="8" t="s">
        <v>9626</v>
      </c>
      <c r="W1573" s="6"/>
      <c r="X1573" s="6"/>
      <c r="Y1573" s="6"/>
      <c r="Z1573" s="6"/>
      <c r="AA1573" s="6" t="s">
        <v>859</v>
      </c>
      <c r="AB1573" s="8"/>
      <c r="AC1573" s="27">
        <v>9785917685311</v>
      </c>
    </row>
    <row r="1574" spans="1:29" s="4" customFormat="1" ht="51.9" customHeight="1" x14ac:dyDescent="0.2">
      <c r="A1574" s="5">
        <v>0</v>
      </c>
      <c r="B1574" s="6" t="s">
        <v>9627</v>
      </c>
      <c r="C1574" s="7">
        <v>2256</v>
      </c>
      <c r="D1574" s="8" t="s">
        <v>9628</v>
      </c>
      <c r="E1574" s="8" t="s">
        <v>9629</v>
      </c>
      <c r="F1574" s="8" t="s">
        <v>9630</v>
      </c>
      <c r="G1574" s="6" t="s">
        <v>118</v>
      </c>
      <c r="H1574" s="6" t="s">
        <v>34</v>
      </c>
      <c r="I1574" s="8" t="s">
        <v>253</v>
      </c>
      <c r="J1574" s="9">
        <v>1</v>
      </c>
      <c r="K1574" s="9">
        <v>341</v>
      </c>
      <c r="L1574" s="9">
        <v>2026</v>
      </c>
      <c r="M1574" s="8" t="s">
        <v>9631</v>
      </c>
      <c r="N1574" s="8" t="s">
        <v>37</v>
      </c>
      <c r="O1574" s="8" t="s">
        <v>50</v>
      </c>
      <c r="P1574" s="6" t="s">
        <v>51</v>
      </c>
      <c r="Q1574" s="8" t="s">
        <v>52</v>
      </c>
      <c r="R1574" s="10" t="s">
        <v>9632</v>
      </c>
      <c r="S1574" s="11"/>
      <c r="T1574" s="6"/>
      <c r="U1574" s="15" t="str">
        <f>HYPERLINK("https://media.infra-m.ru/2222/2222864/cover/2222864.jpg", "Обложка")</f>
        <v>Обложка</v>
      </c>
      <c r="V1574" s="8" t="s">
        <v>445</v>
      </c>
      <c r="W1574" s="6"/>
      <c r="X1574" s="6"/>
      <c r="Y1574" s="6"/>
      <c r="Z1574" s="6"/>
      <c r="AA1574" s="6" t="s">
        <v>68</v>
      </c>
      <c r="AB1574" s="8" t="s">
        <v>4718</v>
      </c>
      <c r="AC1574" s="27">
        <v>9785160198934</v>
      </c>
    </row>
    <row r="1575" spans="1:29" s="4" customFormat="1" ht="51.9" customHeight="1" x14ac:dyDescent="0.2">
      <c r="A1575" s="5">
        <v>0</v>
      </c>
      <c r="B1575" s="6" t="s">
        <v>9633</v>
      </c>
      <c r="C1575" s="7">
        <v>1584</v>
      </c>
      <c r="D1575" s="8" t="s">
        <v>9634</v>
      </c>
      <c r="E1575" s="8" t="s">
        <v>9635</v>
      </c>
      <c r="F1575" s="8" t="s">
        <v>1041</v>
      </c>
      <c r="G1575" s="6" t="s">
        <v>118</v>
      </c>
      <c r="H1575" s="6" t="s">
        <v>34</v>
      </c>
      <c r="I1575" s="8" t="s">
        <v>263</v>
      </c>
      <c r="J1575" s="9">
        <v>1</v>
      </c>
      <c r="K1575" s="9">
        <v>240</v>
      </c>
      <c r="L1575" s="9">
        <v>2026</v>
      </c>
      <c r="M1575" s="8" t="s">
        <v>9636</v>
      </c>
      <c r="N1575" s="8" t="s">
        <v>243</v>
      </c>
      <c r="O1575" s="8" t="s">
        <v>964</v>
      </c>
      <c r="P1575" s="6" t="s">
        <v>51</v>
      </c>
      <c r="Q1575" s="8" t="s">
        <v>265</v>
      </c>
      <c r="R1575" s="10" t="s">
        <v>9637</v>
      </c>
      <c r="S1575" s="11" t="s">
        <v>9638</v>
      </c>
      <c r="T1575" s="6"/>
      <c r="U1575" s="15" t="str">
        <f>HYPERLINK("https://media.infra-m.ru/2237/2237194/cover/2237194.jpg", "Обложка")</f>
        <v>Обложка</v>
      </c>
      <c r="V1575" s="8" t="s">
        <v>1046</v>
      </c>
      <c r="W1575" s="6"/>
      <c r="X1575" s="6"/>
      <c r="Y1575" s="6"/>
      <c r="Z1575" s="6"/>
      <c r="AA1575" s="6" t="s">
        <v>949</v>
      </c>
      <c r="AB1575" s="8"/>
      <c r="AC1575" s="27">
        <v>9785160217499</v>
      </c>
    </row>
    <row r="1576" spans="1:29" s="4" customFormat="1" ht="51.9" customHeight="1" x14ac:dyDescent="0.2">
      <c r="A1576" s="5">
        <v>0</v>
      </c>
      <c r="B1576" s="6" t="s">
        <v>9639</v>
      </c>
      <c r="C1576" s="7">
        <v>1440</v>
      </c>
      <c r="D1576" s="8" t="s">
        <v>9640</v>
      </c>
      <c r="E1576" s="8" t="s">
        <v>9641</v>
      </c>
      <c r="F1576" s="8" t="s">
        <v>9642</v>
      </c>
      <c r="G1576" s="6" t="s">
        <v>118</v>
      </c>
      <c r="H1576" s="6" t="s">
        <v>1042</v>
      </c>
      <c r="I1576" s="8" t="s">
        <v>263</v>
      </c>
      <c r="J1576" s="9">
        <v>1</v>
      </c>
      <c r="K1576" s="9">
        <v>240</v>
      </c>
      <c r="L1576" s="9">
        <v>2025</v>
      </c>
      <c r="M1576" s="8" t="s">
        <v>9643</v>
      </c>
      <c r="N1576" s="8" t="s">
        <v>243</v>
      </c>
      <c r="O1576" s="8" t="s">
        <v>964</v>
      </c>
      <c r="P1576" s="6" t="s">
        <v>51</v>
      </c>
      <c r="Q1576" s="8" t="s">
        <v>265</v>
      </c>
      <c r="R1576" s="10" t="s">
        <v>9644</v>
      </c>
      <c r="S1576" s="11" t="s">
        <v>9645</v>
      </c>
      <c r="T1576" s="6"/>
      <c r="U1576" s="15" t="str">
        <f>HYPERLINK("https://media.infra-m.ru/2180/2180533/cover/2180533.jpg", "Обложка")</f>
        <v>Обложка</v>
      </c>
      <c r="V1576" s="8" t="s">
        <v>1046</v>
      </c>
      <c r="W1576" s="6"/>
      <c r="X1576" s="6"/>
      <c r="Y1576" s="6"/>
      <c r="Z1576" s="6"/>
      <c r="AA1576" s="6" t="s">
        <v>1047</v>
      </c>
      <c r="AB1576" s="8"/>
      <c r="AC1576" s="27">
        <v>9785819907504</v>
      </c>
    </row>
    <row r="1577" spans="1:29" s="4" customFormat="1" ht="51.9" customHeight="1" x14ac:dyDescent="0.2">
      <c r="A1577" s="5">
        <v>0</v>
      </c>
      <c r="B1577" s="6" t="s">
        <v>9646</v>
      </c>
      <c r="C1577" s="13">
        <v>720</v>
      </c>
      <c r="D1577" s="8" t="s">
        <v>9647</v>
      </c>
      <c r="E1577" s="8" t="s">
        <v>9648</v>
      </c>
      <c r="F1577" s="8" t="s">
        <v>9649</v>
      </c>
      <c r="G1577" s="6" t="s">
        <v>33</v>
      </c>
      <c r="H1577" s="6" t="s">
        <v>34</v>
      </c>
      <c r="I1577" s="8" t="s">
        <v>263</v>
      </c>
      <c r="J1577" s="9">
        <v>1</v>
      </c>
      <c r="K1577" s="9">
        <v>105</v>
      </c>
      <c r="L1577" s="9">
        <v>2026</v>
      </c>
      <c r="M1577" s="8" t="s">
        <v>9650</v>
      </c>
      <c r="N1577" s="8" t="s">
        <v>585</v>
      </c>
      <c r="O1577" s="8" t="s">
        <v>667</v>
      </c>
      <c r="P1577" s="6" t="s">
        <v>105</v>
      </c>
      <c r="Q1577" s="8" t="s">
        <v>265</v>
      </c>
      <c r="R1577" s="10" t="s">
        <v>9651</v>
      </c>
      <c r="S1577" s="11" t="s">
        <v>9652</v>
      </c>
      <c r="T1577" s="6"/>
      <c r="U1577" s="15" t="str">
        <f>HYPERLINK("https://media.infra-m.ru/2223/2223185/cover/2223185.jpg", "Обложка")</f>
        <v>Обложка</v>
      </c>
      <c r="V1577" s="8" t="s">
        <v>6090</v>
      </c>
      <c r="W1577" s="6"/>
      <c r="X1577" s="6" t="s">
        <v>24</v>
      </c>
      <c r="Y1577" s="6"/>
      <c r="Z1577" s="6" t="s">
        <v>267</v>
      </c>
      <c r="AA1577" s="6" t="s">
        <v>218</v>
      </c>
      <c r="AB1577" s="8"/>
      <c r="AC1577" s="27">
        <v>9785160156712</v>
      </c>
    </row>
    <row r="1578" spans="1:29" s="4" customFormat="1" ht="51.9" customHeight="1" x14ac:dyDescent="0.2">
      <c r="A1578" s="5">
        <v>0</v>
      </c>
      <c r="B1578" s="6" t="s">
        <v>9653</v>
      </c>
      <c r="C1578" s="13">
        <v>624</v>
      </c>
      <c r="D1578" s="8" t="s">
        <v>9654</v>
      </c>
      <c r="E1578" s="8" t="s">
        <v>9648</v>
      </c>
      <c r="F1578" s="8" t="s">
        <v>9649</v>
      </c>
      <c r="G1578" s="6" t="s">
        <v>33</v>
      </c>
      <c r="H1578" s="6" t="s">
        <v>34</v>
      </c>
      <c r="I1578" s="8" t="s">
        <v>253</v>
      </c>
      <c r="J1578" s="9">
        <v>1</v>
      </c>
      <c r="K1578" s="9">
        <v>105</v>
      </c>
      <c r="L1578" s="9">
        <v>2024</v>
      </c>
      <c r="M1578" s="8" t="s">
        <v>9655</v>
      </c>
      <c r="N1578" s="8" t="s">
        <v>585</v>
      </c>
      <c r="O1578" s="8" t="s">
        <v>667</v>
      </c>
      <c r="P1578" s="6" t="s">
        <v>105</v>
      </c>
      <c r="Q1578" s="8" t="s">
        <v>52</v>
      </c>
      <c r="R1578" s="10" t="s">
        <v>9656</v>
      </c>
      <c r="S1578" s="11" t="s">
        <v>9657</v>
      </c>
      <c r="T1578" s="6"/>
      <c r="U1578" s="15" t="str">
        <f>HYPERLINK("https://media.infra-m.ru/2082/2082670/cover/2082670.jpg", "Обложка")</f>
        <v>Обложка</v>
      </c>
      <c r="V1578" s="8" t="s">
        <v>6090</v>
      </c>
      <c r="W1578" s="6"/>
      <c r="X1578" s="6"/>
      <c r="Y1578" s="6"/>
      <c r="Z1578" s="6"/>
      <c r="AA1578" s="6" t="s">
        <v>106</v>
      </c>
      <c r="AB1578" s="8" t="s">
        <v>1317</v>
      </c>
      <c r="AC1578" s="27">
        <v>9785160191928</v>
      </c>
    </row>
    <row r="1579" spans="1:29" s="4" customFormat="1" ht="51.9" customHeight="1" x14ac:dyDescent="0.2">
      <c r="A1579" s="5">
        <v>0</v>
      </c>
      <c r="B1579" s="6" t="s">
        <v>9658</v>
      </c>
      <c r="C1579" s="13">
        <v>564</v>
      </c>
      <c r="D1579" s="8" t="s">
        <v>9659</v>
      </c>
      <c r="E1579" s="8" t="s">
        <v>9660</v>
      </c>
      <c r="F1579" s="8" t="s">
        <v>9661</v>
      </c>
      <c r="G1579" s="6" t="s">
        <v>33</v>
      </c>
      <c r="H1579" s="6" t="s">
        <v>34</v>
      </c>
      <c r="I1579" s="8" t="s">
        <v>271</v>
      </c>
      <c r="J1579" s="9">
        <v>1</v>
      </c>
      <c r="K1579" s="9">
        <v>104</v>
      </c>
      <c r="L1579" s="9">
        <v>2022</v>
      </c>
      <c r="M1579" s="8" t="s">
        <v>9662</v>
      </c>
      <c r="N1579" s="8" t="s">
        <v>585</v>
      </c>
      <c r="O1579" s="8" t="s">
        <v>667</v>
      </c>
      <c r="P1579" s="6" t="s">
        <v>105</v>
      </c>
      <c r="Q1579" s="8" t="s">
        <v>52</v>
      </c>
      <c r="R1579" s="10" t="s">
        <v>9656</v>
      </c>
      <c r="S1579" s="11" t="s">
        <v>9663</v>
      </c>
      <c r="T1579" s="6"/>
      <c r="U1579" s="15" t="str">
        <f>HYPERLINK("https://media.infra-m.ru/1942/1942678/cover/1942678.jpg", "Обложка")</f>
        <v>Обложка</v>
      </c>
      <c r="V1579" s="8" t="s">
        <v>6090</v>
      </c>
      <c r="W1579" s="6"/>
      <c r="X1579" s="6"/>
      <c r="Y1579" s="6"/>
      <c r="Z1579" s="6"/>
      <c r="AA1579" s="6" t="s">
        <v>55</v>
      </c>
      <c r="AB1579" s="8" t="s">
        <v>1317</v>
      </c>
      <c r="AC1579" s="27">
        <v>9785160066011</v>
      </c>
    </row>
    <row r="1580" spans="1:29" s="4" customFormat="1" ht="51.9" customHeight="1" x14ac:dyDescent="0.2">
      <c r="A1580" s="5">
        <v>0</v>
      </c>
      <c r="B1580" s="6" t="s">
        <v>9664</v>
      </c>
      <c r="C1580" s="7">
        <v>1476</v>
      </c>
      <c r="D1580" s="8" t="s">
        <v>9665</v>
      </c>
      <c r="E1580" s="8" t="s">
        <v>9666</v>
      </c>
      <c r="F1580" s="8" t="s">
        <v>9667</v>
      </c>
      <c r="G1580" s="6" t="s">
        <v>118</v>
      </c>
      <c r="H1580" s="6" t="s">
        <v>820</v>
      </c>
      <c r="I1580" s="8" t="s">
        <v>263</v>
      </c>
      <c r="J1580" s="9">
        <v>1</v>
      </c>
      <c r="K1580" s="9">
        <v>224</v>
      </c>
      <c r="L1580" s="9">
        <v>2026</v>
      </c>
      <c r="M1580" s="8" t="s">
        <v>9668</v>
      </c>
      <c r="N1580" s="8" t="s">
        <v>585</v>
      </c>
      <c r="O1580" s="8" t="s">
        <v>667</v>
      </c>
      <c r="P1580" s="6" t="s">
        <v>51</v>
      </c>
      <c r="Q1580" s="8" t="s">
        <v>265</v>
      </c>
      <c r="R1580" s="10" t="s">
        <v>9651</v>
      </c>
      <c r="S1580" s="11"/>
      <c r="T1580" s="6"/>
      <c r="U1580" s="15" t="str">
        <f>HYPERLINK("https://media.infra-m.ru/2207/2207565/cover/2207565.jpg", "Обложка")</f>
        <v>Обложка</v>
      </c>
      <c r="V1580" s="8" t="s">
        <v>3413</v>
      </c>
      <c r="W1580" s="6"/>
      <c r="X1580" s="6" t="s">
        <v>24</v>
      </c>
      <c r="Y1580" s="6"/>
      <c r="Z1580" s="6"/>
      <c r="AA1580" s="6" t="s">
        <v>99</v>
      </c>
      <c r="AB1580" s="8"/>
      <c r="AC1580" s="27">
        <v>9785906818720</v>
      </c>
    </row>
    <row r="1581" spans="1:29" s="4" customFormat="1" ht="51.9" customHeight="1" x14ac:dyDescent="0.2">
      <c r="A1581" s="5">
        <v>0</v>
      </c>
      <c r="B1581" s="6" t="s">
        <v>9669</v>
      </c>
      <c r="C1581" s="7">
        <v>1828.8</v>
      </c>
      <c r="D1581" s="8" t="s">
        <v>9670</v>
      </c>
      <c r="E1581" s="8" t="s">
        <v>9671</v>
      </c>
      <c r="F1581" s="8" t="s">
        <v>9672</v>
      </c>
      <c r="G1581" s="6" t="s">
        <v>60</v>
      </c>
      <c r="H1581" s="6" t="s">
        <v>820</v>
      </c>
      <c r="I1581" s="8" t="s">
        <v>1904</v>
      </c>
      <c r="J1581" s="9">
        <v>1</v>
      </c>
      <c r="K1581" s="9">
        <v>278</v>
      </c>
      <c r="L1581" s="9">
        <v>2026</v>
      </c>
      <c r="M1581" s="8" t="s">
        <v>9673</v>
      </c>
      <c r="N1581" s="8" t="s">
        <v>585</v>
      </c>
      <c r="O1581" s="8" t="s">
        <v>667</v>
      </c>
      <c r="P1581" s="6" t="s">
        <v>306</v>
      </c>
      <c r="Q1581" s="8" t="s">
        <v>52</v>
      </c>
      <c r="R1581" s="10" t="s">
        <v>9674</v>
      </c>
      <c r="S1581" s="11"/>
      <c r="T1581" s="6"/>
      <c r="U1581" s="15" t="str">
        <f>HYPERLINK("https://media.infra-m.ru/2253/2253928/cover/2253928.jpg", "Обложка")</f>
        <v>Обложка</v>
      </c>
      <c r="V1581" s="8" t="s">
        <v>7003</v>
      </c>
      <c r="W1581" s="6"/>
      <c r="X1581" s="6"/>
      <c r="Y1581" s="6"/>
      <c r="Z1581" s="6"/>
      <c r="AA1581" s="6" t="s">
        <v>779</v>
      </c>
      <c r="AB1581" s="8"/>
      <c r="AC1581" s="27">
        <v>9785906818119</v>
      </c>
    </row>
    <row r="1582" spans="1:29" s="4" customFormat="1" ht="51.9" customHeight="1" x14ac:dyDescent="0.2">
      <c r="A1582" s="5">
        <v>0</v>
      </c>
      <c r="B1582" s="6" t="s">
        <v>9675</v>
      </c>
      <c r="C1582" s="7">
        <v>2788.8</v>
      </c>
      <c r="D1582" s="8" t="s">
        <v>9676</v>
      </c>
      <c r="E1582" s="8" t="s">
        <v>9677</v>
      </c>
      <c r="F1582" s="8" t="s">
        <v>9678</v>
      </c>
      <c r="G1582" s="6" t="s">
        <v>60</v>
      </c>
      <c r="H1582" s="6" t="s">
        <v>34</v>
      </c>
      <c r="I1582" s="8" t="s">
        <v>271</v>
      </c>
      <c r="J1582" s="9">
        <v>1</v>
      </c>
      <c r="K1582" s="9">
        <v>466</v>
      </c>
      <c r="L1582" s="9">
        <v>2025</v>
      </c>
      <c r="M1582" s="8" t="s">
        <v>9679</v>
      </c>
      <c r="N1582" s="8" t="s">
        <v>585</v>
      </c>
      <c r="O1582" s="8" t="s">
        <v>667</v>
      </c>
      <c r="P1582" s="6" t="s">
        <v>51</v>
      </c>
      <c r="Q1582" s="8" t="s">
        <v>52</v>
      </c>
      <c r="R1582" s="10" t="s">
        <v>9680</v>
      </c>
      <c r="S1582" s="11" t="s">
        <v>9681</v>
      </c>
      <c r="T1582" s="6"/>
      <c r="U1582" s="15" t="str">
        <f>HYPERLINK("https://media.infra-m.ru/2160/2160644/cover/2160644.jpg", "Обложка")</f>
        <v>Обложка</v>
      </c>
      <c r="V1582" s="8" t="s">
        <v>831</v>
      </c>
      <c r="W1582" s="6"/>
      <c r="X1582" s="6"/>
      <c r="Y1582" s="6"/>
      <c r="Z1582" s="6"/>
      <c r="AA1582" s="6" t="s">
        <v>148</v>
      </c>
      <c r="AB1582" s="8"/>
      <c r="AC1582" s="27">
        <v>9785160169569</v>
      </c>
    </row>
    <row r="1583" spans="1:29" s="4" customFormat="1" ht="51.9" customHeight="1" x14ac:dyDescent="0.2">
      <c r="A1583" s="5">
        <v>0</v>
      </c>
      <c r="B1583" s="6" t="s">
        <v>9682</v>
      </c>
      <c r="C1583" s="7">
        <v>1404</v>
      </c>
      <c r="D1583" s="8" t="s">
        <v>9683</v>
      </c>
      <c r="E1583" s="8" t="s">
        <v>9684</v>
      </c>
      <c r="F1583" s="8" t="s">
        <v>9667</v>
      </c>
      <c r="G1583" s="6" t="s">
        <v>118</v>
      </c>
      <c r="H1583" s="6" t="s">
        <v>820</v>
      </c>
      <c r="I1583" s="8" t="s">
        <v>263</v>
      </c>
      <c r="J1583" s="9">
        <v>1</v>
      </c>
      <c r="K1583" s="9">
        <v>208</v>
      </c>
      <c r="L1583" s="9">
        <v>2026</v>
      </c>
      <c r="M1583" s="8" t="s">
        <v>9685</v>
      </c>
      <c r="N1583" s="8" t="s">
        <v>585</v>
      </c>
      <c r="O1583" s="8" t="s">
        <v>667</v>
      </c>
      <c r="P1583" s="6" t="s">
        <v>306</v>
      </c>
      <c r="Q1583" s="8" t="s">
        <v>265</v>
      </c>
      <c r="R1583" s="10" t="s">
        <v>9651</v>
      </c>
      <c r="S1583" s="11"/>
      <c r="T1583" s="6"/>
      <c r="U1583" s="15" t="str">
        <f>HYPERLINK("https://media.infra-m.ru/2207/2207571/cover/2207571.jpg", "Обложка")</f>
        <v>Обложка</v>
      </c>
      <c r="V1583" s="8" t="s">
        <v>3413</v>
      </c>
      <c r="W1583" s="6"/>
      <c r="X1583" s="6"/>
      <c r="Y1583" s="6"/>
      <c r="Z1583" s="6"/>
      <c r="AA1583" s="6" t="s">
        <v>99</v>
      </c>
      <c r="AB1583" s="8"/>
      <c r="AC1583" s="27">
        <v>9785906818218</v>
      </c>
    </row>
    <row r="1584" spans="1:29" s="4" customFormat="1" ht="51.9" customHeight="1" x14ac:dyDescent="0.2">
      <c r="A1584" s="5">
        <v>0</v>
      </c>
      <c r="B1584" s="6" t="s">
        <v>9686</v>
      </c>
      <c r="C1584" s="13">
        <v>952.8</v>
      </c>
      <c r="D1584" s="8" t="s">
        <v>9687</v>
      </c>
      <c r="E1584" s="8" t="s">
        <v>9684</v>
      </c>
      <c r="F1584" s="8" t="s">
        <v>9688</v>
      </c>
      <c r="G1584" s="6" t="s">
        <v>118</v>
      </c>
      <c r="H1584" s="6" t="s">
        <v>34</v>
      </c>
      <c r="I1584" s="8" t="s">
        <v>253</v>
      </c>
      <c r="J1584" s="9">
        <v>1</v>
      </c>
      <c r="K1584" s="9">
        <v>133</v>
      </c>
      <c r="L1584" s="9">
        <v>2026</v>
      </c>
      <c r="M1584" s="8" t="s">
        <v>9689</v>
      </c>
      <c r="N1584" s="8" t="s">
        <v>585</v>
      </c>
      <c r="O1584" s="8" t="s">
        <v>667</v>
      </c>
      <c r="P1584" s="6" t="s">
        <v>306</v>
      </c>
      <c r="Q1584" s="8" t="s">
        <v>65</v>
      </c>
      <c r="R1584" s="10" t="s">
        <v>9690</v>
      </c>
      <c r="S1584" s="11" t="s">
        <v>9691</v>
      </c>
      <c r="T1584" s="6"/>
      <c r="U1584" s="15" t="str">
        <f>HYPERLINK("https://media.infra-m.ru/2250/2250931/cover/2250931.jpg", "Обложка")</f>
        <v>Обложка</v>
      </c>
      <c r="V1584" s="8" t="s">
        <v>6090</v>
      </c>
      <c r="W1584" s="6"/>
      <c r="X1584" s="6"/>
      <c r="Y1584" s="6"/>
      <c r="Z1584" s="6"/>
      <c r="AA1584" s="6" t="s">
        <v>43</v>
      </c>
      <c r="AB1584" s="8"/>
      <c r="AC1584" s="27">
        <v>9785160185033</v>
      </c>
    </row>
    <row r="1585" spans="1:29" s="4" customFormat="1" ht="51.9" customHeight="1" x14ac:dyDescent="0.2">
      <c r="A1585" s="5">
        <v>0</v>
      </c>
      <c r="B1585" s="6" t="s">
        <v>9692</v>
      </c>
      <c r="C1585" s="7">
        <v>1152</v>
      </c>
      <c r="D1585" s="8" t="s">
        <v>9693</v>
      </c>
      <c r="E1585" s="8" t="s">
        <v>9684</v>
      </c>
      <c r="F1585" s="8" t="s">
        <v>9694</v>
      </c>
      <c r="G1585" s="6" t="s">
        <v>118</v>
      </c>
      <c r="H1585" s="6" t="s">
        <v>313</v>
      </c>
      <c r="I1585" s="8" t="s">
        <v>401</v>
      </c>
      <c r="J1585" s="9">
        <v>1</v>
      </c>
      <c r="K1585" s="9">
        <v>174</v>
      </c>
      <c r="L1585" s="9">
        <v>2026</v>
      </c>
      <c r="M1585" s="8" t="s">
        <v>9695</v>
      </c>
      <c r="N1585" s="8" t="s">
        <v>585</v>
      </c>
      <c r="O1585" s="8" t="s">
        <v>667</v>
      </c>
      <c r="P1585" s="6" t="s">
        <v>51</v>
      </c>
      <c r="Q1585" s="8" t="s">
        <v>265</v>
      </c>
      <c r="R1585" s="10" t="s">
        <v>9651</v>
      </c>
      <c r="S1585" s="11"/>
      <c r="T1585" s="6"/>
      <c r="U1585" s="15" t="str">
        <f>HYPERLINK("https://media.infra-m.ru/2218/2218398/cover/2218398.jpg", "Обложка")</f>
        <v>Обложка</v>
      </c>
      <c r="V1585" s="8" t="s">
        <v>227</v>
      </c>
      <c r="W1585" s="6"/>
      <c r="X1585" s="6"/>
      <c r="Y1585" s="6"/>
      <c r="Z1585" s="6" t="s">
        <v>267</v>
      </c>
      <c r="AA1585" s="6" t="s">
        <v>1256</v>
      </c>
      <c r="AB1585" s="8"/>
      <c r="AC1585" s="27">
        <v>9785369018262</v>
      </c>
    </row>
    <row r="1586" spans="1:29" s="4" customFormat="1" ht="51.9" customHeight="1" x14ac:dyDescent="0.2">
      <c r="A1586" s="5">
        <v>0</v>
      </c>
      <c r="B1586" s="6" t="s">
        <v>9696</v>
      </c>
      <c r="C1586" s="7">
        <v>1156.8</v>
      </c>
      <c r="D1586" s="8" t="s">
        <v>9697</v>
      </c>
      <c r="E1586" s="8" t="s">
        <v>9684</v>
      </c>
      <c r="F1586" s="8" t="s">
        <v>9698</v>
      </c>
      <c r="G1586" s="6" t="s">
        <v>118</v>
      </c>
      <c r="H1586" s="6" t="s">
        <v>313</v>
      </c>
      <c r="I1586" s="8" t="s">
        <v>392</v>
      </c>
      <c r="J1586" s="9">
        <v>1</v>
      </c>
      <c r="K1586" s="9">
        <v>174</v>
      </c>
      <c r="L1586" s="9">
        <v>2026</v>
      </c>
      <c r="M1586" s="8" t="s">
        <v>9699</v>
      </c>
      <c r="N1586" s="8" t="s">
        <v>585</v>
      </c>
      <c r="O1586" s="8" t="s">
        <v>667</v>
      </c>
      <c r="P1586" s="6" t="s">
        <v>51</v>
      </c>
      <c r="Q1586" s="8" t="s">
        <v>52</v>
      </c>
      <c r="R1586" s="10" t="s">
        <v>9700</v>
      </c>
      <c r="S1586" s="11" t="s">
        <v>9701</v>
      </c>
      <c r="T1586" s="6"/>
      <c r="U1586" s="15" t="str">
        <f>HYPERLINK("https://media.infra-m.ru/2234/2234340/cover/2234340.jpg", "Обложка")</f>
        <v>Обложка</v>
      </c>
      <c r="V1586" s="8" t="s">
        <v>227</v>
      </c>
      <c r="W1586" s="6"/>
      <c r="X1586" s="6"/>
      <c r="Y1586" s="6"/>
      <c r="Z1586" s="6"/>
      <c r="AA1586" s="6" t="s">
        <v>1506</v>
      </c>
      <c r="AB1586" s="8"/>
      <c r="AC1586" s="27">
        <v>9785369002056</v>
      </c>
    </row>
    <row r="1587" spans="1:29" s="4" customFormat="1" ht="51.9" customHeight="1" x14ac:dyDescent="0.2">
      <c r="A1587" s="5">
        <v>0</v>
      </c>
      <c r="B1587" s="6" t="s">
        <v>9702</v>
      </c>
      <c r="C1587" s="7">
        <v>3024</v>
      </c>
      <c r="D1587" s="8" t="s">
        <v>9703</v>
      </c>
      <c r="E1587" s="8" t="s">
        <v>9684</v>
      </c>
      <c r="F1587" s="8" t="s">
        <v>9704</v>
      </c>
      <c r="G1587" s="6" t="s">
        <v>60</v>
      </c>
      <c r="H1587" s="6" t="s">
        <v>34</v>
      </c>
      <c r="I1587" s="8" t="s">
        <v>253</v>
      </c>
      <c r="J1587" s="9">
        <v>1</v>
      </c>
      <c r="K1587" s="9">
        <v>542</v>
      </c>
      <c r="L1587" s="9">
        <v>2024</v>
      </c>
      <c r="M1587" s="8" t="s">
        <v>9705</v>
      </c>
      <c r="N1587" s="8" t="s">
        <v>585</v>
      </c>
      <c r="O1587" s="8" t="s">
        <v>667</v>
      </c>
      <c r="P1587" s="6" t="s">
        <v>51</v>
      </c>
      <c r="Q1587" s="8" t="s">
        <v>52</v>
      </c>
      <c r="R1587" s="10" t="s">
        <v>9706</v>
      </c>
      <c r="S1587" s="11" t="s">
        <v>9707</v>
      </c>
      <c r="T1587" s="6"/>
      <c r="U1587" s="15" t="str">
        <f>HYPERLINK("https://media.infra-m.ru/2125/2125933/cover/2125933.jpg", "Обложка")</f>
        <v>Обложка</v>
      </c>
      <c r="V1587" s="8" t="s">
        <v>227</v>
      </c>
      <c r="W1587" s="6"/>
      <c r="X1587" s="6"/>
      <c r="Y1587" s="6"/>
      <c r="Z1587" s="6"/>
      <c r="AA1587" s="6" t="s">
        <v>115</v>
      </c>
      <c r="AB1587" s="8"/>
      <c r="AC1587" s="27">
        <v>9785160195322</v>
      </c>
    </row>
    <row r="1588" spans="1:29" s="4" customFormat="1" ht="51.9" customHeight="1" x14ac:dyDescent="0.2">
      <c r="A1588" s="5">
        <v>0</v>
      </c>
      <c r="B1588" s="6" t="s">
        <v>9708</v>
      </c>
      <c r="C1588" s="7">
        <v>1392</v>
      </c>
      <c r="D1588" s="8" t="s">
        <v>9709</v>
      </c>
      <c r="E1588" s="8" t="s">
        <v>9684</v>
      </c>
      <c r="F1588" s="8" t="s">
        <v>9710</v>
      </c>
      <c r="G1588" s="6" t="s">
        <v>118</v>
      </c>
      <c r="H1588" s="6" t="s">
        <v>34</v>
      </c>
      <c r="I1588" s="8" t="s">
        <v>263</v>
      </c>
      <c r="J1588" s="9">
        <v>1</v>
      </c>
      <c r="K1588" s="9">
        <v>222</v>
      </c>
      <c r="L1588" s="9">
        <v>2026</v>
      </c>
      <c r="M1588" s="8" t="s">
        <v>9711</v>
      </c>
      <c r="N1588" s="8" t="s">
        <v>585</v>
      </c>
      <c r="O1588" s="8" t="s">
        <v>667</v>
      </c>
      <c r="P1588" s="6" t="s">
        <v>51</v>
      </c>
      <c r="Q1588" s="8" t="s">
        <v>265</v>
      </c>
      <c r="R1588" s="10" t="s">
        <v>9651</v>
      </c>
      <c r="S1588" s="11" t="s">
        <v>9712</v>
      </c>
      <c r="T1588" s="6"/>
      <c r="U1588" s="15" t="str">
        <f>HYPERLINK("https://media.infra-m.ru/2215/2215742/cover/2215742.jpg", "Обложка")</f>
        <v>Обложка</v>
      </c>
      <c r="V1588" s="8" t="s">
        <v>227</v>
      </c>
      <c r="W1588" s="6"/>
      <c r="X1588" s="6"/>
      <c r="Y1588" s="6"/>
      <c r="Z1588" s="6"/>
      <c r="AA1588" s="6" t="s">
        <v>949</v>
      </c>
      <c r="AB1588" s="8"/>
      <c r="AC1588" s="27">
        <v>9785160211497</v>
      </c>
    </row>
    <row r="1589" spans="1:29" s="4" customFormat="1" ht="51.9" customHeight="1" x14ac:dyDescent="0.2">
      <c r="A1589" s="5">
        <v>0</v>
      </c>
      <c r="B1589" s="6" t="s">
        <v>9713</v>
      </c>
      <c r="C1589" s="7">
        <v>1116</v>
      </c>
      <c r="D1589" s="8" t="s">
        <v>9714</v>
      </c>
      <c r="E1589" s="8" t="s">
        <v>9715</v>
      </c>
      <c r="F1589" s="8" t="s">
        <v>9716</v>
      </c>
      <c r="G1589" s="6" t="s">
        <v>33</v>
      </c>
      <c r="H1589" s="6" t="s">
        <v>34</v>
      </c>
      <c r="I1589" s="8" t="s">
        <v>35</v>
      </c>
      <c r="J1589" s="9">
        <v>1</v>
      </c>
      <c r="K1589" s="9">
        <v>195</v>
      </c>
      <c r="L1589" s="9">
        <v>2024</v>
      </c>
      <c r="M1589" s="8" t="s">
        <v>9717</v>
      </c>
      <c r="N1589" s="8" t="s">
        <v>63</v>
      </c>
      <c r="O1589" s="8" t="s">
        <v>9718</v>
      </c>
      <c r="P1589" s="6" t="s">
        <v>39</v>
      </c>
      <c r="Q1589" s="8" t="s">
        <v>40</v>
      </c>
      <c r="R1589" s="10" t="s">
        <v>9719</v>
      </c>
      <c r="S1589" s="11"/>
      <c r="T1589" s="6"/>
      <c r="U1589" s="15" t="str">
        <f>HYPERLINK("https://media.infra-m.ru/2135/2135242/cover/2135242.jpg", "Обложка")</f>
        <v>Обложка</v>
      </c>
      <c r="V1589" s="8" t="s">
        <v>9720</v>
      </c>
      <c r="W1589" s="6"/>
      <c r="X1589" s="6"/>
      <c r="Y1589" s="6"/>
      <c r="Z1589" s="6"/>
      <c r="AA1589" s="6" t="s">
        <v>1256</v>
      </c>
      <c r="AB1589" s="8"/>
      <c r="AC1589" s="27">
        <v>9785160152653</v>
      </c>
    </row>
    <row r="1590" spans="1:29" s="4" customFormat="1" ht="44.1" customHeight="1" x14ac:dyDescent="0.2">
      <c r="A1590" s="5">
        <v>0</v>
      </c>
      <c r="B1590" s="6" t="s">
        <v>9721</v>
      </c>
      <c r="C1590" s="7">
        <v>1032</v>
      </c>
      <c r="D1590" s="8" t="s">
        <v>9722</v>
      </c>
      <c r="E1590" s="8" t="s">
        <v>9723</v>
      </c>
      <c r="F1590" s="8" t="s">
        <v>9724</v>
      </c>
      <c r="G1590" s="6" t="s">
        <v>33</v>
      </c>
      <c r="H1590" s="6" t="s">
        <v>34</v>
      </c>
      <c r="I1590" s="8" t="s">
        <v>35</v>
      </c>
      <c r="J1590" s="9">
        <v>1</v>
      </c>
      <c r="K1590" s="9">
        <v>181</v>
      </c>
      <c r="L1590" s="9">
        <v>2023</v>
      </c>
      <c r="M1590" s="8" t="s">
        <v>9725</v>
      </c>
      <c r="N1590" s="8" t="s">
        <v>37</v>
      </c>
      <c r="O1590" s="8" t="s">
        <v>233</v>
      </c>
      <c r="P1590" s="6" t="s">
        <v>39</v>
      </c>
      <c r="Q1590" s="8" t="s">
        <v>40</v>
      </c>
      <c r="R1590" s="10" t="s">
        <v>9726</v>
      </c>
      <c r="S1590" s="11"/>
      <c r="T1590" s="6"/>
      <c r="U1590" s="15" t="str">
        <f>HYPERLINK("https://media.infra-m.ru/1893/1893196/cover/1893196.jpg", "Обложка")</f>
        <v>Обложка</v>
      </c>
      <c r="V1590" s="8" t="s">
        <v>9727</v>
      </c>
      <c r="W1590" s="6"/>
      <c r="X1590" s="6"/>
      <c r="Y1590" s="6"/>
      <c r="Z1590" s="6"/>
      <c r="AA1590" s="6" t="s">
        <v>157</v>
      </c>
      <c r="AB1590" s="8"/>
      <c r="AC1590" s="27">
        <v>9785160178547</v>
      </c>
    </row>
    <row r="1591" spans="1:29" s="4" customFormat="1" ht="42" customHeight="1" x14ac:dyDescent="0.2">
      <c r="A1591" s="5">
        <v>0</v>
      </c>
      <c r="B1591" s="6" t="s">
        <v>9728</v>
      </c>
      <c r="C1591" s="7">
        <v>1996.8</v>
      </c>
      <c r="D1591" s="8" t="s">
        <v>9729</v>
      </c>
      <c r="E1591" s="8" t="s">
        <v>9730</v>
      </c>
      <c r="F1591" s="8" t="s">
        <v>6484</v>
      </c>
      <c r="G1591" s="6" t="s">
        <v>118</v>
      </c>
      <c r="H1591" s="6" t="s">
        <v>34</v>
      </c>
      <c r="I1591" s="8" t="s">
        <v>35</v>
      </c>
      <c r="J1591" s="9">
        <v>1</v>
      </c>
      <c r="K1591" s="9">
        <v>301</v>
      </c>
      <c r="L1591" s="9">
        <v>2026</v>
      </c>
      <c r="M1591" s="8" t="s">
        <v>9731</v>
      </c>
      <c r="N1591" s="8" t="s">
        <v>243</v>
      </c>
      <c r="O1591" s="8" t="s">
        <v>964</v>
      </c>
      <c r="P1591" s="6" t="s">
        <v>39</v>
      </c>
      <c r="Q1591" s="8" t="s">
        <v>40</v>
      </c>
      <c r="R1591" s="10" t="s">
        <v>9732</v>
      </c>
      <c r="S1591" s="11"/>
      <c r="T1591" s="6"/>
      <c r="U1591" s="15" t="str">
        <f>HYPERLINK("https://media.infra-m.ru/2239/2239521/cover/2239521.jpg", "Обложка")</f>
        <v>Обложка</v>
      </c>
      <c r="V1591" s="8" t="s">
        <v>4943</v>
      </c>
      <c r="W1591" s="6"/>
      <c r="X1591" s="6"/>
      <c r="Y1591" s="6"/>
      <c r="Z1591" s="6"/>
      <c r="AA1591" s="6" t="s">
        <v>86</v>
      </c>
      <c r="AB1591" s="8"/>
      <c r="AC1591" s="27">
        <v>9785160134826</v>
      </c>
    </row>
    <row r="1592" spans="1:29" s="4" customFormat="1" ht="42" customHeight="1" x14ac:dyDescent="0.2">
      <c r="A1592" s="5">
        <v>0</v>
      </c>
      <c r="B1592" s="6" t="s">
        <v>9733</v>
      </c>
      <c r="C1592" s="7">
        <v>1480.8</v>
      </c>
      <c r="D1592" s="8" t="s">
        <v>9734</v>
      </c>
      <c r="E1592" s="8" t="s">
        <v>9735</v>
      </c>
      <c r="F1592" s="8" t="s">
        <v>9736</v>
      </c>
      <c r="G1592" s="6" t="s">
        <v>60</v>
      </c>
      <c r="H1592" s="6" t="s">
        <v>34</v>
      </c>
      <c r="I1592" s="8" t="s">
        <v>9737</v>
      </c>
      <c r="J1592" s="9">
        <v>1</v>
      </c>
      <c r="K1592" s="9">
        <v>225</v>
      </c>
      <c r="L1592" s="9">
        <v>2026</v>
      </c>
      <c r="M1592" s="8" t="s">
        <v>9738</v>
      </c>
      <c r="N1592" s="8" t="s">
        <v>93</v>
      </c>
      <c r="O1592" s="8" t="s">
        <v>94</v>
      </c>
      <c r="P1592" s="6" t="s">
        <v>51</v>
      </c>
      <c r="Q1592" s="8" t="s">
        <v>1349</v>
      </c>
      <c r="R1592" s="10" t="s">
        <v>9739</v>
      </c>
      <c r="S1592" s="11"/>
      <c r="T1592" s="6"/>
      <c r="U1592" s="15" t="str">
        <f>HYPERLINK("https://media.infra-m.ru/2231/2231239/cover/2231239.jpg", "Обложка")</f>
        <v>Обложка</v>
      </c>
      <c r="V1592" s="8" t="s">
        <v>6135</v>
      </c>
      <c r="W1592" s="6"/>
      <c r="X1592" s="6"/>
      <c r="Y1592" s="6"/>
      <c r="Z1592" s="6"/>
      <c r="AA1592" s="6" t="s">
        <v>76</v>
      </c>
      <c r="AB1592" s="8"/>
      <c r="AC1592" s="27">
        <v>9785160180748</v>
      </c>
    </row>
    <row r="1593" spans="1:29" s="4" customFormat="1" ht="51.9" customHeight="1" x14ac:dyDescent="0.2">
      <c r="A1593" s="5">
        <v>0</v>
      </c>
      <c r="B1593" s="6" t="s">
        <v>9740</v>
      </c>
      <c r="C1593" s="13">
        <v>900</v>
      </c>
      <c r="D1593" s="8" t="s">
        <v>9741</v>
      </c>
      <c r="E1593" s="8" t="s">
        <v>9742</v>
      </c>
      <c r="F1593" s="8" t="s">
        <v>9743</v>
      </c>
      <c r="G1593" s="6" t="s">
        <v>33</v>
      </c>
      <c r="H1593" s="6" t="s">
        <v>34</v>
      </c>
      <c r="I1593" s="8" t="s">
        <v>3538</v>
      </c>
      <c r="J1593" s="9">
        <v>1</v>
      </c>
      <c r="K1593" s="9">
        <v>128</v>
      </c>
      <c r="L1593" s="9">
        <v>2027</v>
      </c>
      <c r="M1593" s="8" t="s">
        <v>9744</v>
      </c>
      <c r="N1593" s="8" t="s">
        <v>585</v>
      </c>
      <c r="O1593" s="8" t="s">
        <v>586</v>
      </c>
      <c r="P1593" s="6" t="s">
        <v>9745</v>
      </c>
      <c r="Q1593" s="8" t="s">
        <v>1349</v>
      </c>
      <c r="R1593" s="10" t="s">
        <v>9746</v>
      </c>
      <c r="S1593" s="11"/>
      <c r="T1593" s="6"/>
      <c r="U1593" s="15" t="str">
        <f>HYPERLINK("https://media.infra-m.ru/2268/2268062/cover/2268062.jpg", "Обложка")</f>
        <v>Обложка</v>
      </c>
      <c r="V1593" s="8" t="s">
        <v>6135</v>
      </c>
      <c r="W1593" s="6"/>
      <c r="X1593" s="6"/>
      <c r="Y1593" s="6"/>
      <c r="Z1593" s="6"/>
      <c r="AA1593" s="6" t="s">
        <v>3721</v>
      </c>
      <c r="AB1593" s="8"/>
      <c r="AC1593" s="27">
        <v>9785160067223</v>
      </c>
    </row>
    <row r="1594" spans="1:29" s="4" customFormat="1" ht="51.9" customHeight="1" x14ac:dyDescent="0.2">
      <c r="A1594" s="5">
        <v>0</v>
      </c>
      <c r="B1594" s="6" t="s">
        <v>9747</v>
      </c>
      <c r="C1594" s="7">
        <v>1680</v>
      </c>
      <c r="D1594" s="8" t="s">
        <v>9748</v>
      </c>
      <c r="E1594" s="8" t="s">
        <v>9749</v>
      </c>
      <c r="F1594" s="8" t="s">
        <v>8475</v>
      </c>
      <c r="G1594" s="6" t="s">
        <v>118</v>
      </c>
      <c r="H1594" s="6" t="s">
        <v>34</v>
      </c>
      <c r="I1594" s="8" t="s">
        <v>3538</v>
      </c>
      <c r="J1594" s="9">
        <v>1</v>
      </c>
      <c r="K1594" s="9">
        <v>253</v>
      </c>
      <c r="L1594" s="9">
        <v>2026</v>
      </c>
      <c r="M1594" s="8" t="s">
        <v>9750</v>
      </c>
      <c r="N1594" s="8" t="s">
        <v>585</v>
      </c>
      <c r="O1594" s="8" t="s">
        <v>586</v>
      </c>
      <c r="P1594" s="6" t="s">
        <v>3141</v>
      </c>
      <c r="Q1594" s="8" t="s">
        <v>1349</v>
      </c>
      <c r="R1594" s="10" t="s">
        <v>9751</v>
      </c>
      <c r="S1594" s="11"/>
      <c r="T1594" s="6"/>
      <c r="U1594" s="15" t="str">
        <f>HYPERLINK("https://media.infra-m.ru/2239/2239068/cover/2239068.jpg", "Обложка")</f>
        <v>Обложка</v>
      </c>
      <c r="V1594" s="8" t="s">
        <v>8479</v>
      </c>
      <c r="W1594" s="6"/>
      <c r="X1594" s="6"/>
      <c r="Y1594" s="6"/>
      <c r="Z1594" s="6"/>
      <c r="AA1594" s="6" t="s">
        <v>9752</v>
      </c>
      <c r="AB1594" s="8"/>
      <c r="AC1594" s="27">
        <v>9785160174570</v>
      </c>
    </row>
    <row r="1595" spans="1:29" s="4" customFormat="1" ht="51.9" customHeight="1" x14ac:dyDescent="0.2">
      <c r="A1595" s="5">
        <v>0</v>
      </c>
      <c r="B1595" s="6" t="s">
        <v>9753</v>
      </c>
      <c r="C1595" s="7">
        <v>1816.8</v>
      </c>
      <c r="D1595" s="8" t="s">
        <v>9754</v>
      </c>
      <c r="E1595" s="8" t="s">
        <v>9755</v>
      </c>
      <c r="F1595" s="8" t="s">
        <v>9756</v>
      </c>
      <c r="G1595" s="6" t="s">
        <v>33</v>
      </c>
      <c r="H1595" s="6" t="s">
        <v>34</v>
      </c>
      <c r="I1595" s="8" t="s">
        <v>504</v>
      </c>
      <c r="J1595" s="9">
        <v>1</v>
      </c>
      <c r="K1595" s="9">
        <v>276</v>
      </c>
      <c r="L1595" s="9">
        <v>2026</v>
      </c>
      <c r="M1595" s="8" t="s">
        <v>9757</v>
      </c>
      <c r="N1595" s="8" t="s">
        <v>37</v>
      </c>
      <c r="O1595" s="8" t="s">
        <v>38</v>
      </c>
      <c r="P1595" s="6" t="s">
        <v>51</v>
      </c>
      <c r="Q1595" s="8" t="s">
        <v>500</v>
      </c>
      <c r="R1595" s="10" t="s">
        <v>9758</v>
      </c>
      <c r="S1595" s="11" t="s">
        <v>9759</v>
      </c>
      <c r="T1595" s="6"/>
      <c r="U1595" s="15" t="str">
        <f>HYPERLINK("https://media.infra-m.ru/2251/2251049/cover/2251049.jpg", "Обложка")</f>
        <v>Обложка</v>
      </c>
      <c r="V1595" s="8" t="s">
        <v>3196</v>
      </c>
      <c r="W1595" s="6"/>
      <c r="X1595" s="6"/>
      <c r="Y1595" s="6"/>
      <c r="Z1595" s="6"/>
      <c r="AA1595" s="6" t="s">
        <v>43</v>
      </c>
      <c r="AB1595" s="8"/>
      <c r="AC1595" s="27">
        <v>9785160160306</v>
      </c>
    </row>
    <row r="1596" spans="1:29" s="4" customFormat="1" ht="51.9" customHeight="1" x14ac:dyDescent="0.2">
      <c r="A1596" s="5">
        <v>0</v>
      </c>
      <c r="B1596" s="6" t="s">
        <v>9760</v>
      </c>
      <c r="C1596" s="13">
        <v>960</v>
      </c>
      <c r="D1596" s="8" t="s">
        <v>9761</v>
      </c>
      <c r="E1596" s="8" t="s">
        <v>9755</v>
      </c>
      <c r="F1596" s="8" t="s">
        <v>9756</v>
      </c>
      <c r="G1596" s="6" t="s">
        <v>60</v>
      </c>
      <c r="H1596" s="6" t="s">
        <v>34</v>
      </c>
      <c r="I1596" s="8" t="s">
        <v>504</v>
      </c>
      <c r="J1596" s="9">
        <v>1</v>
      </c>
      <c r="K1596" s="9">
        <v>276</v>
      </c>
      <c r="L1596" s="9">
        <v>2017</v>
      </c>
      <c r="M1596" s="8" t="s">
        <v>9762</v>
      </c>
      <c r="N1596" s="8" t="s">
        <v>37</v>
      </c>
      <c r="O1596" s="8" t="s">
        <v>38</v>
      </c>
      <c r="P1596" s="6" t="s">
        <v>51</v>
      </c>
      <c r="Q1596" s="8" t="s">
        <v>500</v>
      </c>
      <c r="R1596" s="10" t="s">
        <v>9758</v>
      </c>
      <c r="S1596" s="11" t="s">
        <v>9759</v>
      </c>
      <c r="T1596" s="6"/>
      <c r="U1596" s="12"/>
      <c r="V1596" s="8" t="s">
        <v>3196</v>
      </c>
      <c r="W1596" s="6"/>
      <c r="X1596" s="6"/>
      <c r="Y1596" s="6"/>
      <c r="Z1596" s="6"/>
      <c r="AA1596" s="6" t="s">
        <v>43</v>
      </c>
      <c r="AB1596" s="8"/>
      <c r="AC1596" s="27">
        <v>9785160116518</v>
      </c>
    </row>
    <row r="1597" spans="1:29" s="4" customFormat="1" ht="44.1" customHeight="1" x14ac:dyDescent="0.2">
      <c r="A1597" s="5">
        <v>0</v>
      </c>
      <c r="B1597" s="6" t="s">
        <v>9763</v>
      </c>
      <c r="C1597" s="13">
        <v>857.9</v>
      </c>
      <c r="D1597" s="8" t="s">
        <v>9764</v>
      </c>
      <c r="E1597" s="8" t="s">
        <v>9765</v>
      </c>
      <c r="F1597" s="8" t="s">
        <v>9766</v>
      </c>
      <c r="G1597" s="6" t="s">
        <v>60</v>
      </c>
      <c r="H1597" s="6" t="s">
        <v>34</v>
      </c>
      <c r="I1597" s="8" t="s">
        <v>1081</v>
      </c>
      <c r="J1597" s="9">
        <v>1</v>
      </c>
      <c r="K1597" s="9">
        <v>203</v>
      </c>
      <c r="L1597" s="9">
        <v>2020</v>
      </c>
      <c r="M1597" s="8" t="s">
        <v>9767</v>
      </c>
      <c r="N1597" s="8" t="s">
        <v>585</v>
      </c>
      <c r="O1597" s="8" t="s">
        <v>667</v>
      </c>
      <c r="P1597" s="6" t="s">
        <v>39</v>
      </c>
      <c r="Q1597" s="8" t="s">
        <v>40</v>
      </c>
      <c r="R1597" s="10" t="s">
        <v>9768</v>
      </c>
      <c r="S1597" s="11"/>
      <c r="T1597" s="6"/>
      <c r="U1597" s="15" t="str">
        <f>HYPERLINK("https://media.infra-m.ru/1044/1044599/cover/1044599.jpg", "Обложка")</f>
        <v>Обложка</v>
      </c>
      <c r="V1597" s="8" t="s">
        <v>1083</v>
      </c>
      <c r="W1597" s="6"/>
      <c r="X1597" s="6"/>
      <c r="Y1597" s="6"/>
      <c r="Z1597" s="6"/>
      <c r="AA1597" s="6" t="s">
        <v>86</v>
      </c>
      <c r="AB1597" s="8"/>
      <c r="AC1597" s="27">
        <v>9785160134055</v>
      </c>
    </row>
    <row r="1598" spans="1:29" s="4" customFormat="1" ht="44.1" customHeight="1" x14ac:dyDescent="0.2">
      <c r="A1598" s="5">
        <v>0</v>
      </c>
      <c r="B1598" s="6" t="s">
        <v>9769</v>
      </c>
      <c r="C1598" s="7">
        <v>1128</v>
      </c>
      <c r="D1598" s="8" t="s">
        <v>9770</v>
      </c>
      <c r="E1598" s="8" t="s">
        <v>9765</v>
      </c>
      <c r="F1598" s="8" t="s">
        <v>9766</v>
      </c>
      <c r="G1598" s="6" t="s">
        <v>33</v>
      </c>
      <c r="H1598" s="6" t="s">
        <v>34</v>
      </c>
      <c r="I1598" s="8" t="s">
        <v>1081</v>
      </c>
      <c r="J1598" s="9">
        <v>1</v>
      </c>
      <c r="K1598" s="9">
        <v>203</v>
      </c>
      <c r="L1598" s="9">
        <v>2024</v>
      </c>
      <c r="M1598" s="8" t="s">
        <v>9771</v>
      </c>
      <c r="N1598" s="8" t="s">
        <v>585</v>
      </c>
      <c r="O1598" s="8" t="s">
        <v>667</v>
      </c>
      <c r="P1598" s="6" t="s">
        <v>39</v>
      </c>
      <c r="Q1598" s="8" t="s">
        <v>40</v>
      </c>
      <c r="R1598" s="10" t="s">
        <v>9768</v>
      </c>
      <c r="S1598" s="11"/>
      <c r="T1598" s="6"/>
      <c r="U1598" s="15" t="str">
        <f>HYPERLINK("https://media.infra-m.ru/2124/2124909/cover/2124909.jpg", "Обложка")</f>
        <v>Обложка</v>
      </c>
      <c r="V1598" s="8" t="s">
        <v>1083</v>
      </c>
      <c r="W1598" s="6"/>
      <c r="X1598" s="6"/>
      <c r="Y1598" s="6"/>
      <c r="Z1598" s="6"/>
      <c r="AA1598" s="6" t="s">
        <v>86</v>
      </c>
      <c r="AB1598" s="8"/>
      <c r="AC1598" s="27">
        <v>9785160181882</v>
      </c>
    </row>
    <row r="1599" spans="1:29" s="4" customFormat="1" ht="51.9" customHeight="1" x14ac:dyDescent="0.2">
      <c r="A1599" s="5">
        <v>0</v>
      </c>
      <c r="B1599" s="6" t="s">
        <v>9772</v>
      </c>
      <c r="C1599" s="7">
        <v>1368</v>
      </c>
      <c r="D1599" s="8" t="s">
        <v>9773</v>
      </c>
      <c r="E1599" s="8" t="s">
        <v>9774</v>
      </c>
      <c r="F1599" s="8" t="s">
        <v>9775</v>
      </c>
      <c r="G1599" s="6" t="s">
        <v>118</v>
      </c>
      <c r="H1599" s="6" t="s">
        <v>34</v>
      </c>
      <c r="I1599" s="8" t="s">
        <v>2927</v>
      </c>
      <c r="J1599" s="9">
        <v>1</v>
      </c>
      <c r="K1599" s="9">
        <v>196</v>
      </c>
      <c r="L1599" s="9">
        <v>2026</v>
      </c>
      <c r="M1599" s="8" t="s">
        <v>9776</v>
      </c>
      <c r="N1599" s="8" t="s">
        <v>243</v>
      </c>
      <c r="O1599" s="8" t="s">
        <v>933</v>
      </c>
      <c r="P1599" s="6" t="s">
        <v>51</v>
      </c>
      <c r="Q1599" s="8" t="s">
        <v>52</v>
      </c>
      <c r="R1599" s="10" t="s">
        <v>4915</v>
      </c>
      <c r="S1599" s="11" t="s">
        <v>9777</v>
      </c>
      <c r="T1599" s="6"/>
      <c r="U1599" s="15" t="str">
        <f>HYPERLINK("https://media.infra-m.ru/2233/2233795/cover/2233795.jpg", "Обложка")</f>
        <v>Обложка</v>
      </c>
      <c r="V1599" s="8" t="s">
        <v>1083</v>
      </c>
      <c r="W1599" s="6"/>
      <c r="X1599" s="6"/>
      <c r="Y1599" s="6"/>
      <c r="Z1599" s="6"/>
      <c r="AA1599" s="6" t="s">
        <v>99</v>
      </c>
      <c r="AB1599" s="8"/>
      <c r="AC1599" s="27">
        <v>9785160163727</v>
      </c>
    </row>
    <row r="1600" spans="1:29" s="4" customFormat="1" ht="42" customHeight="1" x14ac:dyDescent="0.2">
      <c r="A1600" s="5">
        <v>0</v>
      </c>
      <c r="B1600" s="6" t="s">
        <v>9778</v>
      </c>
      <c r="C1600" s="7">
        <v>2129.9</v>
      </c>
      <c r="D1600" s="8" t="s">
        <v>9779</v>
      </c>
      <c r="E1600" s="8" t="s">
        <v>9780</v>
      </c>
      <c r="F1600" s="8" t="s">
        <v>9781</v>
      </c>
      <c r="G1600" s="6" t="s">
        <v>60</v>
      </c>
      <c r="H1600" s="6" t="s">
        <v>34</v>
      </c>
      <c r="I1600" s="8" t="s">
        <v>35</v>
      </c>
      <c r="J1600" s="9">
        <v>1</v>
      </c>
      <c r="K1600" s="9">
        <v>394</v>
      </c>
      <c r="L1600" s="9">
        <v>2023</v>
      </c>
      <c r="M1600" s="8" t="s">
        <v>9782</v>
      </c>
      <c r="N1600" s="8" t="s">
        <v>243</v>
      </c>
      <c r="O1600" s="8" t="s">
        <v>758</v>
      </c>
      <c r="P1600" s="6" t="s">
        <v>39</v>
      </c>
      <c r="Q1600" s="8" t="s">
        <v>40</v>
      </c>
      <c r="R1600" s="10" t="s">
        <v>9783</v>
      </c>
      <c r="S1600" s="11"/>
      <c r="T1600" s="6"/>
      <c r="U1600" s="15" t="str">
        <f>HYPERLINK("https://media.infra-m.ru/2006/2006912/cover/2006912.jpg", "Обложка")</f>
        <v>Обложка</v>
      </c>
      <c r="V1600" s="8" t="s">
        <v>4473</v>
      </c>
      <c r="W1600" s="6"/>
      <c r="X1600" s="6"/>
      <c r="Y1600" s="6"/>
      <c r="Z1600" s="6"/>
      <c r="AA1600" s="6" t="s">
        <v>86</v>
      </c>
      <c r="AB1600" s="8"/>
      <c r="AC1600" s="27">
        <v>9785160136264</v>
      </c>
    </row>
    <row r="1601" spans="1:29" s="4" customFormat="1" ht="51.9" customHeight="1" x14ac:dyDescent="0.2">
      <c r="A1601" s="5">
        <v>0</v>
      </c>
      <c r="B1601" s="6" t="s">
        <v>9784</v>
      </c>
      <c r="C1601" s="7">
        <v>1452</v>
      </c>
      <c r="D1601" s="8" t="s">
        <v>9785</v>
      </c>
      <c r="E1601" s="8" t="s">
        <v>9786</v>
      </c>
      <c r="F1601" s="8" t="s">
        <v>9787</v>
      </c>
      <c r="G1601" s="6" t="s">
        <v>60</v>
      </c>
      <c r="H1601" s="6" t="s">
        <v>34</v>
      </c>
      <c r="I1601" s="8" t="s">
        <v>35</v>
      </c>
      <c r="J1601" s="9">
        <v>1</v>
      </c>
      <c r="K1601" s="9">
        <v>211</v>
      </c>
      <c r="L1601" s="9">
        <v>2026</v>
      </c>
      <c r="M1601" s="8" t="s">
        <v>9788</v>
      </c>
      <c r="N1601" s="8" t="s">
        <v>37</v>
      </c>
      <c r="O1601" s="8" t="s">
        <v>136</v>
      </c>
      <c r="P1601" s="6" t="s">
        <v>39</v>
      </c>
      <c r="Q1601" s="8" t="s">
        <v>40</v>
      </c>
      <c r="R1601" s="10" t="s">
        <v>9789</v>
      </c>
      <c r="S1601" s="11"/>
      <c r="T1601" s="6"/>
      <c r="U1601" s="15" t="str">
        <f>HYPERLINK("https://media.infra-m.ru/2205/2205347/cover/2205347.jpg", "Обложка")</f>
        <v>Обложка</v>
      </c>
      <c r="V1601" s="8" t="s">
        <v>3304</v>
      </c>
      <c r="W1601" s="6" t="s">
        <v>1382</v>
      </c>
      <c r="X1601" s="6"/>
      <c r="Y1601" s="6"/>
      <c r="Z1601" s="6"/>
      <c r="AA1601" s="6" t="s">
        <v>187</v>
      </c>
      <c r="AB1601" s="8"/>
      <c r="AC1601" s="27">
        <v>9785160209258</v>
      </c>
    </row>
    <row r="1602" spans="1:29" s="4" customFormat="1" ht="44.1" customHeight="1" x14ac:dyDescent="0.2">
      <c r="A1602" s="5">
        <v>0</v>
      </c>
      <c r="B1602" s="6" t="s">
        <v>9790</v>
      </c>
      <c r="C1602" s="7">
        <v>2178</v>
      </c>
      <c r="D1602" s="8" t="s">
        <v>9791</v>
      </c>
      <c r="E1602" s="8" t="s">
        <v>9792</v>
      </c>
      <c r="F1602" s="8" t="s">
        <v>9793</v>
      </c>
      <c r="G1602" s="6" t="s">
        <v>60</v>
      </c>
      <c r="H1602" s="6" t="s">
        <v>134</v>
      </c>
      <c r="I1602" s="8"/>
      <c r="J1602" s="9">
        <v>1</v>
      </c>
      <c r="K1602" s="9">
        <v>352</v>
      </c>
      <c r="L1602" s="9">
        <v>2023</v>
      </c>
      <c r="M1602" s="8" t="s">
        <v>9794</v>
      </c>
      <c r="N1602" s="8" t="s">
        <v>37</v>
      </c>
      <c r="O1602" s="8" t="s">
        <v>136</v>
      </c>
      <c r="P1602" s="6" t="s">
        <v>39</v>
      </c>
      <c r="Q1602" s="8" t="s">
        <v>40</v>
      </c>
      <c r="R1602" s="10" t="s">
        <v>9795</v>
      </c>
      <c r="S1602" s="11"/>
      <c r="T1602" s="6"/>
      <c r="U1602" s="15" t="str">
        <f>HYPERLINK("https://media.infra-m.ru/2046/2046939/cover/2046939.jpg", "Обложка")</f>
        <v>Обложка</v>
      </c>
      <c r="V1602" s="8"/>
      <c r="W1602" s="6"/>
      <c r="X1602" s="6"/>
      <c r="Y1602" s="6"/>
      <c r="Z1602" s="6"/>
      <c r="AA1602" s="6" t="s">
        <v>157</v>
      </c>
      <c r="AB1602" s="8"/>
      <c r="AC1602" s="27">
        <v>9785001562979</v>
      </c>
    </row>
    <row r="1603" spans="1:29" s="4" customFormat="1" ht="42" customHeight="1" x14ac:dyDescent="0.2">
      <c r="A1603" s="5">
        <v>0</v>
      </c>
      <c r="B1603" s="6" t="s">
        <v>9796</v>
      </c>
      <c r="C1603" s="13">
        <v>372</v>
      </c>
      <c r="D1603" s="8" t="s">
        <v>9797</v>
      </c>
      <c r="E1603" s="8" t="s">
        <v>9798</v>
      </c>
      <c r="F1603" s="8" t="s">
        <v>6770</v>
      </c>
      <c r="G1603" s="6" t="s">
        <v>33</v>
      </c>
      <c r="H1603" s="6" t="s">
        <v>34</v>
      </c>
      <c r="I1603" s="8" t="s">
        <v>6772</v>
      </c>
      <c r="J1603" s="9">
        <v>1</v>
      </c>
      <c r="K1603" s="9">
        <v>66</v>
      </c>
      <c r="L1603" s="9">
        <v>2024</v>
      </c>
      <c r="M1603" s="8" t="s">
        <v>9799</v>
      </c>
      <c r="N1603" s="8" t="s">
        <v>37</v>
      </c>
      <c r="O1603" s="8" t="s">
        <v>290</v>
      </c>
      <c r="P1603" s="6" t="s">
        <v>9800</v>
      </c>
      <c r="Q1603" s="8" t="s">
        <v>65</v>
      </c>
      <c r="R1603" s="10" t="s">
        <v>9801</v>
      </c>
      <c r="S1603" s="11"/>
      <c r="T1603" s="6"/>
      <c r="U1603" s="15" t="str">
        <f>HYPERLINK("https://media.infra-m.ru/2146/2146186/cover/2146186.jpg", "Обложка")</f>
        <v>Обложка</v>
      </c>
      <c r="V1603" s="8"/>
      <c r="W1603" s="6"/>
      <c r="X1603" s="6"/>
      <c r="Y1603" s="6"/>
      <c r="Z1603" s="6"/>
      <c r="AA1603" s="6" t="s">
        <v>106</v>
      </c>
      <c r="AB1603" s="8"/>
      <c r="AC1603" s="27">
        <v>9785160200590</v>
      </c>
    </row>
    <row r="1604" spans="1:29" s="4" customFormat="1" ht="42" customHeight="1" x14ac:dyDescent="0.2">
      <c r="A1604" s="5">
        <v>0</v>
      </c>
      <c r="B1604" s="6" t="s">
        <v>9802</v>
      </c>
      <c r="C1604" s="13">
        <v>256.8</v>
      </c>
      <c r="D1604" s="8" t="s">
        <v>9803</v>
      </c>
      <c r="E1604" s="8" t="s">
        <v>9804</v>
      </c>
      <c r="F1604" s="8" t="s">
        <v>6770</v>
      </c>
      <c r="G1604" s="6" t="s">
        <v>33</v>
      </c>
      <c r="H1604" s="6" t="s">
        <v>34</v>
      </c>
      <c r="I1604" s="8" t="s">
        <v>6772</v>
      </c>
      <c r="J1604" s="9">
        <v>1</v>
      </c>
      <c r="K1604" s="9">
        <v>65</v>
      </c>
      <c r="L1604" s="9">
        <v>2024</v>
      </c>
      <c r="M1604" s="8" t="s">
        <v>9805</v>
      </c>
      <c r="N1604" s="8" t="s">
        <v>37</v>
      </c>
      <c r="O1604" s="8" t="s">
        <v>290</v>
      </c>
      <c r="P1604" s="6" t="s">
        <v>9800</v>
      </c>
      <c r="Q1604" s="8" t="s">
        <v>65</v>
      </c>
      <c r="R1604" s="10" t="s">
        <v>9801</v>
      </c>
      <c r="S1604" s="11"/>
      <c r="T1604" s="6"/>
      <c r="U1604" s="15" t="str">
        <f>HYPERLINK("https://media.infra-m.ru/2081/2081084/cover/2081084.jpg", "Обложка")</f>
        <v>Обложка</v>
      </c>
      <c r="V1604" s="8"/>
      <c r="W1604" s="6"/>
      <c r="X1604" s="6"/>
      <c r="Y1604" s="6"/>
      <c r="Z1604" s="6"/>
      <c r="AA1604" s="6" t="s">
        <v>157</v>
      </c>
      <c r="AB1604" s="8"/>
      <c r="AC1604" s="27">
        <v>9785160184876</v>
      </c>
    </row>
    <row r="1605" spans="1:29" s="4" customFormat="1" ht="42" customHeight="1" x14ac:dyDescent="0.2">
      <c r="A1605" s="5">
        <v>0</v>
      </c>
      <c r="B1605" s="6" t="s">
        <v>9806</v>
      </c>
      <c r="C1605" s="13">
        <v>492</v>
      </c>
      <c r="D1605" s="8" t="s">
        <v>9807</v>
      </c>
      <c r="E1605" s="8" t="s">
        <v>9808</v>
      </c>
      <c r="F1605" s="8" t="s">
        <v>6770</v>
      </c>
      <c r="G1605" s="6" t="s">
        <v>33</v>
      </c>
      <c r="H1605" s="6" t="s">
        <v>34</v>
      </c>
      <c r="I1605" s="8" t="s">
        <v>6772</v>
      </c>
      <c r="J1605" s="9">
        <v>1</v>
      </c>
      <c r="K1605" s="9">
        <v>67</v>
      </c>
      <c r="L1605" s="9">
        <v>2026</v>
      </c>
      <c r="M1605" s="8" t="s">
        <v>9809</v>
      </c>
      <c r="N1605" s="8" t="s">
        <v>37</v>
      </c>
      <c r="O1605" s="8" t="s">
        <v>290</v>
      </c>
      <c r="P1605" s="6" t="s">
        <v>9800</v>
      </c>
      <c r="Q1605" s="8" t="s">
        <v>65</v>
      </c>
      <c r="R1605" s="10" t="s">
        <v>9801</v>
      </c>
      <c r="S1605" s="11"/>
      <c r="T1605" s="6"/>
      <c r="U1605" s="15" t="str">
        <f>HYPERLINK("https://media.infra-m.ru/2213/2213648/cover/2213648.jpg", "Обложка")</f>
        <v>Обложка</v>
      </c>
      <c r="V1605" s="8"/>
      <c r="W1605" s="6" t="s">
        <v>186</v>
      </c>
      <c r="X1605" s="6"/>
      <c r="Y1605" s="6"/>
      <c r="Z1605" s="6"/>
      <c r="AA1605" s="6" t="s">
        <v>3772</v>
      </c>
      <c r="AB1605" s="8"/>
      <c r="AC1605" s="27">
        <v>9785160216010</v>
      </c>
    </row>
    <row r="1606" spans="1:29" s="4" customFormat="1" ht="42" customHeight="1" x14ac:dyDescent="0.2">
      <c r="A1606" s="5">
        <v>0</v>
      </c>
      <c r="B1606" s="6" t="s">
        <v>9810</v>
      </c>
      <c r="C1606" s="7">
        <v>1097.9000000000001</v>
      </c>
      <c r="D1606" s="8" t="s">
        <v>9811</v>
      </c>
      <c r="E1606" s="8" t="s">
        <v>9812</v>
      </c>
      <c r="F1606" s="8" t="s">
        <v>9813</v>
      </c>
      <c r="G1606" s="6" t="s">
        <v>33</v>
      </c>
      <c r="H1606" s="6" t="s">
        <v>313</v>
      </c>
      <c r="I1606" s="8" t="s">
        <v>35</v>
      </c>
      <c r="J1606" s="9">
        <v>1</v>
      </c>
      <c r="K1606" s="9">
        <v>204</v>
      </c>
      <c r="L1606" s="9">
        <v>2023</v>
      </c>
      <c r="M1606" s="8" t="s">
        <v>9814</v>
      </c>
      <c r="N1606" s="8" t="s">
        <v>585</v>
      </c>
      <c r="O1606" s="8" t="s">
        <v>667</v>
      </c>
      <c r="P1606" s="6" t="s">
        <v>39</v>
      </c>
      <c r="Q1606" s="8" t="s">
        <v>40</v>
      </c>
      <c r="R1606" s="10" t="s">
        <v>9815</v>
      </c>
      <c r="S1606" s="11"/>
      <c r="T1606" s="6" t="s">
        <v>97</v>
      </c>
      <c r="U1606" s="15" t="str">
        <f>HYPERLINK("https://media.infra-m.ru/1894/1894477/cover/1894477.jpg", "Обложка")</f>
        <v>Обложка</v>
      </c>
      <c r="V1606" s="8" t="s">
        <v>6642</v>
      </c>
      <c r="W1606" s="6"/>
      <c r="X1606" s="6"/>
      <c r="Y1606" s="6"/>
      <c r="Z1606" s="6"/>
      <c r="AA1606" s="6" t="s">
        <v>779</v>
      </c>
      <c r="AB1606" s="8"/>
      <c r="AC1606" s="27">
        <v>9785369015278</v>
      </c>
    </row>
    <row r="1607" spans="1:29" s="4" customFormat="1" ht="51.9" customHeight="1" x14ac:dyDescent="0.2">
      <c r="A1607" s="5">
        <v>0</v>
      </c>
      <c r="B1607" s="6" t="s">
        <v>9816</v>
      </c>
      <c r="C1607" s="7">
        <v>1116</v>
      </c>
      <c r="D1607" s="8" t="s">
        <v>9817</v>
      </c>
      <c r="E1607" s="8" t="s">
        <v>9818</v>
      </c>
      <c r="F1607" s="8" t="s">
        <v>9819</v>
      </c>
      <c r="G1607" s="6" t="s">
        <v>118</v>
      </c>
      <c r="H1607" s="6" t="s">
        <v>34</v>
      </c>
      <c r="I1607" s="8" t="s">
        <v>253</v>
      </c>
      <c r="J1607" s="9">
        <v>1</v>
      </c>
      <c r="K1607" s="9">
        <v>160</v>
      </c>
      <c r="L1607" s="9">
        <v>2026</v>
      </c>
      <c r="M1607" s="8" t="s">
        <v>9820</v>
      </c>
      <c r="N1607" s="8" t="s">
        <v>93</v>
      </c>
      <c r="O1607" s="8" t="s">
        <v>94</v>
      </c>
      <c r="P1607" s="6" t="s">
        <v>105</v>
      </c>
      <c r="Q1607" s="8" t="s">
        <v>65</v>
      </c>
      <c r="R1607" s="10" t="s">
        <v>9415</v>
      </c>
      <c r="S1607" s="11" t="s">
        <v>9821</v>
      </c>
      <c r="T1607" s="6"/>
      <c r="U1607" s="15" t="str">
        <f>HYPERLINK("https://media.infra-m.ru/2261/2261225/cover/2261225.jpg", "Обложка")</f>
        <v>Обложка</v>
      </c>
      <c r="V1607" s="8" t="s">
        <v>9822</v>
      </c>
      <c r="W1607" s="6"/>
      <c r="X1607" s="6"/>
      <c r="Y1607" s="6"/>
      <c r="Z1607" s="6"/>
      <c r="AA1607" s="6" t="s">
        <v>274</v>
      </c>
      <c r="AB1607" s="8"/>
      <c r="AC1607" s="27">
        <v>9785160188577</v>
      </c>
    </row>
    <row r="1608" spans="1:29" s="4" customFormat="1" ht="51.9" customHeight="1" x14ac:dyDescent="0.2">
      <c r="A1608" s="5">
        <v>0</v>
      </c>
      <c r="B1608" s="6" t="s">
        <v>9823</v>
      </c>
      <c r="C1608" s="7">
        <v>2188.8000000000002</v>
      </c>
      <c r="D1608" s="8" t="s">
        <v>9824</v>
      </c>
      <c r="E1608" s="8" t="s">
        <v>9825</v>
      </c>
      <c r="F1608" s="8" t="s">
        <v>6945</v>
      </c>
      <c r="G1608" s="6" t="s">
        <v>60</v>
      </c>
      <c r="H1608" s="6" t="s">
        <v>241</v>
      </c>
      <c r="I1608" s="8"/>
      <c r="J1608" s="9">
        <v>1</v>
      </c>
      <c r="K1608" s="9">
        <v>315</v>
      </c>
      <c r="L1608" s="9">
        <v>2027</v>
      </c>
      <c r="M1608" s="8" t="s">
        <v>9826</v>
      </c>
      <c r="N1608" s="8" t="s">
        <v>63</v>
      </c>
      <c r="O1608" s="8" t="s">
        <v>154</v>
      </c>
      <c r="P1608" s="6" t="s">
        <v>51</v>
      </c>
      <c r="Q1608" s="8" t="s">
        <v>52</v>
      </c>
      <c r="R1608" s="10" t="s">
        <v>7388</v>
      </c>
      <c r="S1608" s="11"/>
      <c r="T1608" s="6"/>
      <c r="U1608" s="15" t="str">
        <f>HYPERLINK("https://media.infra-m.ru/2273/2273713/cover/2273713.jpg", "Обложка")</f>
        <v>Обложка</v>
      </c>
      <c r="V1608" s="8" t="s">
        <v>617</v>
      </c>
      <c r="W1608" s="6"/>
      <c r="X1608" s="6"/>
      <c r="Y1608" s="6"/>
      <c r="Z1608" s="6"/>
      <c r="AA1608" s="6" t="s">
        <v>43</v>
      </c>
      <c r="AB1608" s="8"/>
      <c r="AC1608" s="27">
        <v>9785955802053</v>
      </c>
    </row>
    <row r="1609" spans="1:29" s="4" customFormat="1" ht="42" customHeight="1" x14ac:dyDescent="0.2">
      <c r="A1609" s="5">
        <v>0</v>
      </c>
      <c r="B1609" s="6" t="s">
        <v>9827</v>
      </c>
      <c r="C1609" s="7">
        <v>1552.8</v>
      </c>
      <c r="D1609" s="8" t="s">
        <v>9828</v>
      </c>
      <c r="E1609" s="8" t="s">
        <v>9829</v>
      </c>
      <c r="F1609" s="8" t="s">
        <v>9830</v>
      </c>
      <c r="G1609" s="6" t="s">
        <v>60</v>
      </c>
      <c r="H1609" s="6" t="s">
        <v>34</v>
      </c>
      <c r="I1609" s="8" t="s">
        <v>271</v>
      </c>
      <c r="J1609" s="9">
        <v>1</v>
      </c>
      <c r="K1609" s="9">
        <v>224</v>
      </c>
      <c r="L1609" s="9">
        <v>2027</v>
      </c>
      <c r="M1609" s="8" t="s">
        <v>9831</v>
      </c>
      <c r="N1609" s="8" t="s">
        <v>63</v>
      </c>
      <c r="O1609" s="8" t="s">
        <v>154</v>
      </c>
      <c r="P1609" s="6" t="s">
        <v>306</v>
      </c>
      <c r="Q1609" s="8" t="s">
        <v>52</v>
      </c>
      <c r="R1609" s="10" t="s">
        <v>2956</v>
      </c>
      <c r="S1609" s="11"/>
      <c r="T1609" s="6"/>
      <c r="U1609" s="15" t="str">
        <f>HYPERLINK("https://media.infra-m.ru/2273/2273714/cover/2273714.jpg", "Обложка")</f>
        <v>Обложка</v>
      </c>
      <c r="V1609" s="8" t="s">
        <v>7920</v>
      </c>
      <c r="W1609" s="6"/>
      <c r="X1609" s="6"/>
      <c r="Y1609" s="6"/>
      <c r="Z1609" s="6"/>
      <c r="AA1609" s="6" t="s">
        <v>274</v>
      </c>
      <c r="AB1609" s="8"/>
      <c r="AC1609" s="27">
        <v>9785160093994</v>
      </c>
    </row>
    <row r="1610" spans="1:29" s="4" customFormat="1" ht="44.1" customHeight="1" x14ac:dyDescent="0.2">
      <c r="A1610" s="5">
        <v>0</v>
      </c>
      <c r="B1610" s="6" t="s">
        <v>9832</v>
      </c>
      <c r="C1610" s="7">
        <v>1596</v>
      </c>
      <c r="D1610" s="8" t="s">
        <v>9833</v>
      </c>
      <c r="E1610" s="8" t="s">
        <v>9834</v>
      </c>
      <c r="F1610" s="8" t="s">
        <v>9835</v>
      </c>
      <c r="G1610" s="6" t="s">
        <v>33</v>
      </c>
      <c r="H1610" s="6" t="s">
        <v>34</v>
      </c>
      <c r="I1610" s="8" t="s">
        <v>35</v>
      </c>
      <c r="J1610" s="9">
        <v>1</v>
      </c>
      <c r="K1610" s="9">
        <v>340</v>
      </c>
      <c r="L1610" s="9">
        <v>2022</v>
      </c>
      <c r="M1610" s="8" t="s">
        <v>9836</v>
      </c>
      <c r="N1610" s="8" t="s">
        <v>63</v>
      </c>
      <c r="O1610" s="8" t="s">
        <v>154</v>
      </c>
      <c r="P1610" s="6" t="s">
        <v>39</v>
      </c>
      <c r="Q1610" s="8" t="s">
        <v>40</v>
      </c>
      <c r="R1610" s="10" t="s">
        <v>9837</v>
      </c>
      <c r="S1610" s="11"/>
      <c r="T1610" s="6"/>
      <c r="U1610" s="15" t="str">
        <f>HYPERLINK("https://media.infra-m.ru/1864/1864236/cover/1864236.jpg", "Обложка")</f>
        <v>Обложка</v>
      </c>
      <c r="V1610" s="8" t="s">
        <v>7920</v>
      </c>
      <c r="W1610" s="6"/>
      <c r="X1610" s="6"/>
      <c r="Y1610" s="6"/>
      <c r="Z1610" s="6"/>
      <c r="AA1610" s="6" t="s">
        <v>55</v>
      </c>
      <c r="AB1610" s="8"/>
      <c r="AC1610" s="27">
        <v>9785160103327</v>
      </c>
    </row>
    <row r="1611" spans="1:29" s="4" customFormat="1" ht="51.9" customHeight="1" x14ac:dyDescent="0.2">
      <c r="A1611" s="5">
        <v>0</v>
      </c>
      <c r="B1611" s="6" t="s">
        <v>9838</v>
      </c>
      <c r="C1611" s="7">
        <v>2416.8000000000002</v>
      </c>
      <c r="D1611" s="8" t="s">
        <v>9839</v>
      </c>
      <c r="E1611" s="8" t="s">
        <v>9840</v>
      </c>
      <c r="F1611" s="8" t="s">
        <v>9841</v>
      </c>
      <c r="G1611" s="6" t="s">
        <v>118</v>
      </c>
      <c r="H1611" s="6" t="s">
        <v>34</v>
      </c>
      <c r="I1611" s="8" t="s">
        <v>2025</v>
      </c>
      <c r="J1611" s="9">
        <v>1</v>
      </c>
      <c r="K1611" s="9">
        <v>348</v>
      </c>
      <c r="L1611" s="9">
        <v>2027</v>
      </c>
      <c r="M1611" s="8" t="s">
        <v>9842</v>
      </c>
      <c r="N1611" s="8" t="s">
        <v>585</v>
      </c>
      <c r="O1611" s="8" t="s">
        <v>667</v>
      </c>
      <c r="P1611" s="6" t="s">
        <v>51</v>
      </c>
      <c r="Q1611" s="8" t="s">
        <v>52</v>
      </c>
      <c r="R1611" s="10" t="s">
        <v>9843</v>
      </c>
      <c r="S1611" s="11" t="s">
        <v>9844</v>
      </c>
      <c r="T1611" s="6"/>
      <c r="U1611" s="15" t="str">
        <f>HYPERLINK("https://media.infra-m.ru/2273/2273716/cover/2273716.jpg", "Обложка")</f>
        <v>Обложка</v>
      </c>
      <c r="V1611" s="8" t="s">
        <v>247</v>
      </c>
      <c r="W1611" s="6"/>
      <c r="X1611" s="6"/>
      <c r="Y1611" s="6"/>
      <c r="Z1611" s="6"/>
      <c r="AA1611" s="6" t="s">
        <v>430</v>
      </c>
      <c r="AB1611" s="8"/>
      <c r="AC1611" s="27">
        <v>9785160159713</v>
      </c>
    </row>
    <row r="1612" spans="1:29" s="4" customFormat="1" ht="51.9" customHeight="1" x14ac:dyDescent="0.2">
      <c r="A1612" s="5">
        <v>0</v>
      </c>
      <c r="B1612" s="6" t="s">
        <v>9845</v>
      </c>
      <c r="C1612" s="7">
        <v>2064</v>
      </c>
      <c r="D1612" s="8" t="s">
        <v>9846</v>
      </c>
      <c r="E1612" s="8" t="s">
        <v>9847</v>
      </c>
      <c r="F1612" s="8" t="s">
        <v>9841</v>
      </c>
      <c r="G1612" s="6" t="s">
        <v>60</v>
      </c>
      <c r="H1612" s="6" t="s">
        <v>34</v>
      </c>
      <c r="I1612" s="8" t="s">
        <v>2025</v>
      </c>
      <c r="J1612" s="9">
        <v>1</v>
      </c>
      <c r="K1612" s="9">
        <v>504</v>
      </c>
      <c r="L1612" s="9">
        <v>2020</v>
      </c>
      <c r="M1612" s="8" t="s">
        <v>9848</v>
      </c>
      <c r="N1612" s="8" t="s">
        <v>585</v>
      </c>
      <c r="O1612" s="8" t="s">
        <v>667</v>
      </c>
      <c r="P1612" s="6" t="s">
        <v>306</v>
      </c>
      <c r="Q1612" s="8" t="s">
        <v>52</v>
      </c>
      <c r="R1612" s="10" t="s">
        <v>9849</v>
      </c>
      <c r="S1612" s="11" t="s">
        <v>9850</v>
      </c>
      <c r="T1612" s="6"/>
      <c r="U1612" s="15" t="str">
        <f>HYPERLINK("https://media.infra-m.ru/1072/1072180/cover/1072180.jpg", "Обложка")</f>
        <v>Обложка</v>
      </c>
      <c r="V1612" s="8" t="s">
        <v>247</v>
      </c>
      <c r="W1612" s="6"/>
      <c r="X1612" s="6"/>
      <c r="Y1612" s="6"/>
      <c r="Z1612" s="6"/>
      <c r="AA1612" s="6" t="s">
        <v>1256</v>
      </c>
      <c r="AB1612" s="8"/>
      <c r="AC1612" s="27">
        <v>9785160159706</v>
      </c>
    </row>
    <row r="1613" spans="1:29" s="4" customFormat="1" ht="51.9" customHeight="1" x14ac:dyDescent="0.2">
      <c r="A1613" s="5">
        <v>0</v>
      </c>
      <c r="B1613" s="6" t="s">
        <v>9851</v>
      </c>
      <c r="C1613" s="13">
        <v>588</v>
      </c>
      <c r="D1613" s="8" t="s">
        <v>9852</v>
      </c>
      <c r="E1613" s="8" t="s">
        <v>9853</v>
      </c>
      <c r="F1613" s="8" t="s">
        <v>9854</v>
      </c>
      <c r="G1613" s="6" t="s">
        <v>33</v>
      </c>
      <c r="H1613" s="6" t="s">
        <v>313</v>
      </c>
      <c r="I1613" s="8" t="s">
        <v>35</v>
      </c>
      <c r="J1613" s="9">
        <v>1</v>
      </c>
      <c r="K1613" s="9">
        <v>100</v>
      </c>
      <c r="L1613" s="9">
        <v>2023</v>
      </c>
      <c r="M1613" s="8" t="s">
        <v>9855</v>
      </c>
      <c r="N1613" s="8" t="s">
        <v>37</v>
      </c>
      <c r="O1613" s="8" t="s">
        <v>499</v>
      </c>
      <c r="P1613" s="6" t="s">
        <v>39</v>
      </c>
      <c r="Q1613" s="8" t="s">
        <v>40</v>
      </c>
      <c r="R1613" s="10" t="s">
        <v>9856</v>
      </c>
      <c r="S1613" s="11"/>
      <c r="T1613" s="6"/>
      <c r="U1613" s="15" t="str">
        <f>HYPERLINK("https://media.infra-m.ru/2038/2038254/cover/2038254.jpg", "Обложка")</f>
        <v>Обложка</v>
      </c>
      <c r="V1613" s="8" t="s">
        <v>9565</v>
      </c>
      <c r="W1613" s="6"/>
      <c r="X1613" s="6"/>
      <c r="Y1613" s="6"/>
      <c r="Z1613" s="6"/>
      <c r="AA1613" s="6" t="s">
        <v>274</v>
      </c>
      <c r="AB1613" s="8"/>
      <c r="AC1613" s="27">
        <v>9785369013922</v>
      </c>
    </row>
    <row r="1614" spans="1:29" s="4" customFormat="1" ht="42" customHeight="1" x14ac:dyDescent="0.2">
      <c r="A1614" s="5">
        <v>0</v>
      </c>
      <c r="B1614" s="6" t="s">
        <v>9857</v>
      </c>
      <c r="C1614" s="7">
        <v>3192</v>
      </c>
      <c r="D1614" s="8" t="s">
        <v>9858</v>
      </c>
      <c r="E1614" s="8" t="s">
        <v>9859</v>
      </c>
      <c r="F1614" s="8" t="s">
        <v>9860</v>
      </c>
      <c r="G1614" s="6" t="s">
        <v>60</v>
      </c>
      <c r="H1614" s="6" t="s">
        <v>34</v>
      </c>
      <c r="I1614" s="8" t="s">
        <v>35</v>
      </c>
      <c r="J1614" s="9">
        <v>1</v>
      </c>
      <c r="K1614" s="9">
        <v>459</v>
      </c>
      <c r="L1614" s="9">
        <v>2026</v>
      </c>
      <c r="M1614" s="8" t="s">
        <v>9861</v>
      </c>
      <c r="N1614" s="8" t="s">
        <v>37</v>
      </c>
      <c r="O1614" s="8" t="s">
        <v>136</v>
      </c>
      <c r="P1614" s="6" t="s">
        <v>39</v>
      </c>
      <c r="Q1614" s="8" t="s">
        <v>40</v>
      </c>
      <c r="R1614" s="10" t="s">
        <v>9862</v>
      </c>
      <c r="S1614" s="11"/>
      <c r="T1614" s="6"/>
      <c r="U1614" s="15" t="str">
        <f>HYPERLINK("https://media.infra-m.ru/2220/2220297/cover/2220297.jpg", "Обложка")</f>
        <v>Обложка</v>
      </c>
      <c r="V1614" s="8" t="s">
        <v>4923</v>
      </c>
      <c r="W1614" s="6"/>
      <c r="X1614" s="6"/>
      <c r="Y1614" s="6"/>
      <c r="Z1614" s="6"/>
      <c r="AA1614" s="6" t="s">
        <v>917</v>
      </c>
      <c r="AB1614" s="8" t="s">
        <v>3833</v>
      </c>
      <c r="AC1614" s="27">
        <v>9785160200156</v>
      </c>
    </row>
    <row r="1615" spans="1:29" s="4" customFormat="1" ht="51.9" customHeight="1" x14ac:dyDescent="0.2">
      <c r="A1615" s="5">
        <v>0</v>
      </c>
      <c r="B1615" s="6" t="s">
        <v>9863</v>
      </c>
      <c r="C1615" s="13">
        <v>869.9</v>
      </c>
      <c r="D1615" s="8" t="s">
        <v>9864</v>
      </c>
      <c r="E1615" s="8" t="s">
        <v>9865</v>
      </c>
      <c r="F1615" s="8" t="s">
        <v>9866</v>
      </c>
      <c r="G1615" s="6" t="s">
        <v>33</v>
      </c>
      <c r="H1615" s="6" t="s">
        <v>134</v>
      </c>
      <c r="I1615" s="8"/>
      <c r="J1615" s="9">
        <v>1</v>
      </c>
      <c r="K1615" s="9">
        <v>160</v>
      </c>
      <c r="L1615" s="9">
        <v>2023</v>
      </c>
      <c r="M1615" s="8" t="s">
        <v>9867</v>
      </c>
      <c r="N1615" s="8" t="s">
        <v>37</v>
      </c>
      <c r="O1615" s="8" t="s">
        <v>83</v>
      </c>
      <c r="P1615" s="6" t="s">
        <v>39</v>
      </c>
      <c r="Q1615" s="8" t="s">
        <v>40</v>
      </c>
      <c r="R1615" s="10" t="s">
        <v>9868</v>
      </c>
      <c r="S1615" s="11"/>
      <c r="T1615" s="6"/>
      <c r="U1615" s="15" t="str">
        <f>HYPERLINK("https://media.infra-m.ru/2038/2038262/cover/2038262.jpg", "Обложка")</f>
        <v>Обложка</v>
      </c>
      <c r="V1615" s="8" t="s">
        <v>9869</v>
      </c>
      <c r="W1615" s="6"/>
      <c r="X1615" s="6"/>
      <c r="Y1615" s="6"/>
      <c r="Z1615" s="6"/>
      <c r="AA1615" s="6" t="s">
        <v>274</v>
      </c>
      <c r="AB1615" s="8"/>
      <c r="AC1615" s="27">
        <v>9785917685878</v>
      </c>
    </row>
    <row r="1616" spans="1:29" s="4" customFormat="1" ht="51.9" customHeight="1" x14ac:dyDescent="0.2">
      <c r="A1616" s="5">
        <v>0</v>
      </c>
      <c r="B1616" s="6" t="s">
        <v>9870</v>
      </c>
      <c r="C1616" s="7">
        <v>1344</v>
      </c>
      <c r="D1616" s="8" t="s">
        <v>9871</v>
      </c>
      <c r="E1616" s="8" t="s">
        <v>9872</v>
      </c>
      <c r="F1616" s="8" t="s">
        <v>9873</v>
      </c>
      <c r="G1616" s="6" t="s">
        <v>118</v>
      </c>
      <c r="H1616" s="6" t="s">
        <v>134</v>
      </c>
      <c r="I1616" s="8"/>
      <c r="J1616" s="9">
        <v>1</v>
      </c>
      <c r="K1616" s="9">
        <v>192</v>
      </c>
      <c r="L1616" s="9">
        <v>2026</v>
      </c>
      <c r="M1616" s="8" t="s">
        <v>9874</v>
      </c>
      <c r="N1616" s="8" t="s">
        <v>37</v>
      </c>
      <c r="O1616" s="8" t="s">
        <v>136</v>
      </c>
      <c r="P1616" s="6" t="s">
        <v>39</v>
      </c>
      <c r="Q1616" s="8" t="s">
        <v>40</v>
      </c>
      <c r="R1616" s="10" t="s">
        <v>9875</v>
      </c>
      <c r="S1616" s="11"/>
      <c r="T1616" s="6"/>
      <c r="U1616" s="15" t="str">
        <f>HYPERLINK("https://media.infra-m.ru/2255/2255247/cover/2255247.jpg", "Обложка")</f>
        <v>Обложка</v>
      </c>
      <c r="V1616" s="8" t="s">
        <v>1277</v>
      </c>
      <c r="W1616" s="6"/>
      <c r="X1616" s="6"/>
      <c r="Y1616" s="6"/>
      <c r="Z1616" s="6"/>
      <c r="AA1616" s="6" t="s">
        <v>1256</v>
      </c>
      <c r="AB1616" s="8"/>
      <c r="AC1616" s="27">
        <v>9785001560388</v>
      </c>
    </row>
    <row r="1617" spans="1:29" s="4" customFormat="1" ht="44.1" customHeight="1" x14ac:dyDescent="0.2">
      <c r="A1617" s="5">
        <v>0</v>
      </c>
      <c r="B1617" s="6" t="s">
        <v>9876</v>
      </c>
      <c r="C1617" s="7">
        <v>1133.9000000000001</v>
      </c>
      <c r="D1617" s="8" t="s">
        <v>9877</v>
      </c>
      <c r="E1617" s="8" t="s">
        <v>9878</v>
      </c>
      <c r="F1617" s="8" t="s">
        <v>9879</v>
      </c>
      <c r="G1617" s="6" t="s">
        <v>60</v>
      </c>
      <c r="H1617" s="6" t="s">
        <v>241</v>
      </c>
      <c r="I1617" s="8"/>
      <c r="J1617" s="9">
        <v>1</v>
      </c>
      <c r="K1617" s="9">
        <v>224</v>
      </c>
      <c r="L1617" s="9">
        <v>2022</v>
      </c>
      <c r="M1617" s="8" t="s">
        <v>9880</v>
      </c>
      <c r="N1617" s="8" t="s">
        <v>37</v>
      </c>
      <c r="O1617" s="8" t="s">
        <v>280</v>
      </c>
      <c r="P1617" s="6" t="s">
        <v>51</v>
      </c>
      <c r="Q1617" s="8" t="s">
        <v>52</v>
      </c>
      <c r="R1617" s="10" t="s">
        <v>2127</v>
      </c>
      <c r="S1617" s="11"/>
      <c r="T1617" s="6"/>
      <c r="U1617" s="15" t="str">
        <f>HYPERLINK("https://media.infra-m.ru/1873/1873273/cover/1873273.jpg", "Обложка")</f>
        <v>Обложка</v>
      </c>
      <c r="V1617" s="8" t="s">
        <v>247</v>
      </c>
      <c r="W1617" s="6"/>
      <c r="X1617" s="6"/>
      <c r="Y1617" s="6"/>
      <c r="Z1617" s="6"/>
      <c r="AA1617" s="6" t="s">
        <v>274</v>
      </c>
      <c r="AB1617" s="8"/>
      <c r="AC1617" s="27">
        <v>9785955803692</v>
      </c>
    </row>
    <row r="1618" spans="1:29" s="4" customFormat="1" ht="51.9" customHeight="1" x14ac:dyDescent="0.2">
      <c r="A1618" s="5">
        <v>0</v>
      </c>
      <c r="B1618" s="6" t="s">
        <v>9881</v>
      </c>
      <c r="C1618" s="13">
        <v>592.79999999999995</v>
      </c>
      <c r="D1618" s="8" t="s">
        <v>9882</v>
      </c>
      <c r="E1618" s="8" t="s">
        <v>9883</v>
      </c>
      <c r="F1618" s="8" t="s">
        <v>9884</v>
      </c>
      <c r="G1618" s="6" t="s">
        <v>33</v>
      </c>
      <c r="H1618" s="6" t="s">
        <v>34</v>
      </c>
      <c r="I1618" s="8" t="s">
        <v>9885</v>
      </c>
      <c r="J1618" s="9">
        <v>1</v>
      </c>
      <c r="K1618" s="9">
        <v>74</v>
      </c>
      <c r="L1618" s="9">
        <v>2026</v>
      </c>
      <c r="M1618" s="8" t="s">
        <v>9886</v>
      </c>
      <c r="N1618" s="8" t="s">
        <v>243</v>
      </c>
      <c r="O1618" s="8" t="s">
        <v>385</v>
      </c>
      <c r="P1618" s="6" t="s">
        <v>51</v>
      </c>
      <c r="Q1618" s="8" t="s">
        <v>749</v>
      </c>
      <c r="R1618" s="10" t="s">
        <v>9887</v>
      </c>
      <c r="S1618" s="11" t="s">
        <v>9888</v>
      </c>
      <c r="T1618" s="6"/>
      <c r="U1618" s="15" t="str">
        <f>HYPERLINK("https://media.infra-m.ru/2231/2231736/cover/2231736.jpg", "Обложка")</f>
        <v>Обложка</v>
      </c>
      <c r="V1618" s="8" t="s">
        <v>9889</v>
      </c>
      <c r="W1618" s="6"/>
      <c r="X1618" s="6"/>
      <c r="Y1618" s="6"/>
      <c r="Z1618" s="6"/>
      <c r="AA1618" s="6" t="s">
        <v>248</v>
      </c>
      <c r="AB1618" s="8"/>
      <c r="AC1618" s="27">
        <v>9785160091532</v>
      </c>
    </row>
    <row r="1619" spans="1:29" s="4" customFormat="1" ht="51.9" customHeight="1" x14ac:dyDescent="0.2">
      <c r="A1619" s="5">
        <v>0</v>
      </c>
      <c r="B1619" s="6" t="s">
        <v>9890</v>
      </c>
      <c r="C1619" s="13">
        <v>592.79999999999995</v>
      </c>
      <c r="D1619" s="8" t="s">
        <v>9891</v>
      </c>
      <c r="E1619" s="8" t="s">
        <v>9883</v>
      </c>
      <c r="F1619" s="8" t="s">
        <v>9884</v>
      </c>
      <c r="G1619" s="6" t="s">
        <v>33</v>
      </c>
      <c r="H1619" s="6" t="s">
        <v>34</v>
      </c>
      <c r="I1619" s="8" t="s">
        <v>263</v>
      </c>
      <c r="J1619" s="9">
        <v>1</v>
      </c>
      <c r="K1619" s="9">
        <v>74</v>
      </c>
      <c r="L1619" s="9">
        <v>2026</v>
      </c>
      <c r="M1619" s="8" t="s">
        <v>9892</v>
      </c>
      <c r="N1619" s="8" t="s">
        <v>243</v>
      </c>
      <c r="O1619" s="8" t="s">
        <v>385</v>
      </c>
      <c r="P1619" s="6" t="s">
        <v>51</v>
      </c>
      <c r="Q1619" s="8" t="s">
        <v>265</v>
      </c>
      <c r="R1619" s="10" t="s">
        <v>9893</v>
      </c>
      <c r="S1619" s="11" t="s">
        <v>9894</v>
      </c>
      <c r="T1619" s="6"/>
      <c r="U1619" s="15" t="str">
        <f>HYPERLINK("https://media.infra-m.ru/2230/2230674/cover/2230674.jpg", "Обложка")</f>
        <v>Обложка</v>
      </c>
      <c r="V1619" s="8" t="s">
        <v>9889</v>
      </c>
      <c r="W1619" s="6"/>
      <c r="X1619" s="6"/>
      <c r="Y1619" s="6"/>
      <c r="Z1619" s="6" t="s">
        <v>705</v>
      </c>
      <c r="AA1619" s="6" t="s">
        <v>86</v>
      </c>
      <c r="AB1619" s="8"/>
      <c r="AC1619" s="27">
        <v>9785160139128</v>
      </c>
    </row>
    <row r="1620" spans="1:29" s="4" customFormat="1" ht="44.1" customHeight="1" x14ac:dyDescent="0.2">
      <c r="A1620" s="5">
        <v>0</v>
      </c>
      <c r="B1620" s="6" t="s">
        <v>9895</v>
      </c>
      <c r="C1620" s="7">
        <v>1512</v>
      </c>
      <c r="D1620" s="8" t="s">
        <v>9896</v>
      </c>
      <c r="E1620" s="8" t="s">
        <v>9897</v>
      </c>
      <c r="F1620" s="8" t="s">
        <v>9898</v>
      </c>
      <c r="G1620" s="6" t="s">
        <v>118</v>
      </c>
      <c r="H1620" s="6" t="s">
        <v>134</v>
      </c>
      <c r="I1620" s="8"/>
      <c r="J1620" s="9">
        <v>1</v>
      </c>
      <c r="K1620" s="9">
        <v>272</v>
      </c>
      <c r="L1620" s="9">
        <v>2023</v>
      </c>
      <c r="M1620" s="8" t="s">
        <v>9899</v>
      </c>
      <c r="N1620" s="8" t="s">
        <v>37</v>
      </c>
      <c r="O1620" s="8" t="s">
        <v>136</v>
      </c>
      <c r="P1620" s="6" t="s">
        <v>39</v>
      </c>
      <c r="Q1620" s="8" t="s">
        <v>749</v>
      </c>
      <c r="R1620" s="10" t="s">
        <v>6521</v>
      </c>
      <c r="S1620" s="11"/>
      <c r="T1620" s="6"/>
      <c r="U1620" s="15" t="str">
        <f>HYPERLINK("https://media.infra-m.ru/2048/2048087/cover/2048087.jpg", "Обложка")</f>
        <v>Обложка</v>
      </c>
      <c r="V1620" s="8" t="s">
        <v>6114</v>
      </c>
      <c r="W1620" s="6"/>
      <c r="X1620" s="6"/>
      <c r="Y1620" s="6"/>
      <c r="Z1620" s="6"/>
      <c r="AA1620" s="6" t="s">
        <v>99</v>
      </c>
      <c r="AB1620" s="8"/>
      <c r="AC1620" s="27">
        <v>9785917688336</v>
      </c>
    </row>
    <row r="1621" spans="1:29" s="4" customFormat="1" ht="42" customHeight="1" x14ac:dyDescent="0.2">
      <c r="A1621" s="5">
        <v>0</v>
      </c>
      <c r="B1621" s="6" t="s">
        <v>9900</v>
      </c>
      <c r="C1621" s="7">
        <v>1068</v>
      </c>
      <c r="D1621" s="8" t="s">
        <v>9901</v>
      </c>
      <c r="E1621" s="8" t="s">
        <v>9902</v>
      </c>
      <c r="F1621" s="8" t="s">
        <v>6297</v>
      </c>
      <c r="G1621" s="6" t="s">
        <v>33</v>
      </c>
      <c r="H1621" s="6" t="s">
        <v>34</v>
      </c>
      <c r="I1621" s="8" t="s">
        <v>35</v>
      </c>
      <c r="J1621" s="9">
        <v>1</v>
      </c>
      <c r="K1621" s="9">
        <v>189</v>
      </c>
      <c r="L1621" s="9">
        <v>2024</v>
      </c>
      <c r="M1621" s="8" t="s">
        <v>9903</v>
      </c>
      <c r="N1621" s="8" t="s">
        <v>37</v>
      </c>
      <c r="O1621" s="8" t="s">
        <v>136</v>
      </c>
      <c r="P1621" s="6" t="s">
        <v>39</v>
      </c>
      <c r="Q1621" s="8" t="s">
        <v>40</v>
      </c>
      <c r="R1621" s="10" t="s">
        <v>1631</v>
      </c>
      <c r="S1621" s="11"/>
      <c r="T1621" s="6"/>
      <c r="U1621" s="15" t="str">
        <f>HYPERLINK("https://media.infra-m.ru/2139/2139291/cover/2139291.jpg", "Обложка")</f>
        <v>Обложка</v>
      </c>
      <c r="V1621" s="8" t="s">
        <v>1956</v>
      </c>
      <c r="W1621" s="6"/>
      <c r="X1621" s="6"/>
      <c r="Y1621" s="6"/>
      <c r="Z1621" s="6"/>
      <c r="AA1621" s="6" t="s">
        <v>86</v>
      </c>
      <c r="AB1621" s="8"/>
      <c r="AC1621" s="27">
        <v>9785160136127</v>
      </c>
    </row>
    <row r="1622" spans="1:29" s="4" customFormat="1" ht="42" customHeight="1" x14ac:dyDescent="0.2">
      <c r="A1622" s="5">
        <v>0</v>
      </c>
      <c r="B1622" s="6" t="s">
        <v>9904</v>
      </c>
      <c r="C1622" s="13">
        <v>900</v>
      </c>
      <c r="D1622" s="8" t="s">
        <v>9905</v>
      </c>
      <c r="E1622" s="8" t="s">
        <v>9906</v>
      </c>
      <c r="F1622" s="8" t="s">
        <v>9907</v>
      </c>
      <c r="G1622" s="6" t="s">
        <v>33</v>
      </c>
      <c r="H1622" s="6" t="s">
        <v>34</v>
      </c>
      <c r="I1622" s="8" t="s">
        <v>35</v>
      </c>
      <c r="J1622" s="9">
        <v>1</v>
      </c>
      <c r="K1622" s="9">
        <v>198</v>
      </c>
      <c r="L1622" s="9">
        <v>2022</v>
      </c>
      <c r="M1622" s="8" t="s">
        <v>9908</v>
      </c>
      <c r="N1622" s="8" t="s">
        <v>37</v>
      </c>
      <c r="O1622" s="8" t="s">
        <v>136</v>
      </c>
      <c r="P1622" s="6" t="s">
        <v>39</v>
      </c>
      <c r="Q1622" s="8" t="s">
        <v>40</v>
      </c>
      <c r="R1622" s="10" t="s">
        <v>8485</v>
      </c>
      <c r="S1622" s="11"/>
      <c r="T1622" s="6"/>
      <c r="U1622" s="15" t="str">
        <f>HYPERLINK("https://media.infra-m.ru/1759/1759764/cover/1759764.jpg", "Обложка")</f>
        <v>Обложка</v>
      </c>
      <c r="V1622" s="8" t="s">
        <v>9909</v>
      </c>
      <c r="W1622" s="6"/>
      <c r="X1622" s="6"/>
      <c r="Y1622" s="6"/>
      <c r="Z1622" s="6"/>
      <c r="AA1622" s="6" t="s">
        <v>55</v>
      </c>
      <c r="AB1622" s="8"/>
      <c r="AC1622" s="27">
        <v>9785160066981</v>
      </c>
    </row>
    <row r="1623" spans="1:29" s="4" customFormat="1" ht="42" customHeight="1" x14ac:dyDescent="0.2">
      <c r="A1623" s="5">
        <v>0</v>
      </c>
      <c r="B1623" s="6" t="s">
        <v>9910</v>
      </c>
      <c r="C1623" s="7">
        <v>1860</v>
      </c>
      <c r="D1623" s="8" t="s">
        <v>9911</v>
      </c>
      <c r="E1623" s="8" t="s">
        <v>9912</v>
      </c>
      <c r="F1623" s="8" t="s">
        <v>9913</v>
      </c>
      <c r="G1623" s="6" t="s">
        <v>118</v>
      </c>
      <c r="H1623" s="6" t="s">
        <v>134</v>
      </c>
      <c r="I1623" s="8"/>
      <c r="J1623" s="9">
        <v>1</v>
      </c>
      <c r="K1623" s="9">
        <v>336</v>
      </c>
      <c r="L1623" s="9">
        <v>2024</v>
      </c>
      <c r="M1623" s="8" t="s">
        <v>9914</v>
      </c>
      <c r="N1623" s="8" t="s">
        <v>37</v>
      </c>
      <c r="O1623" s="8" t="s">
        <v>136</v>
      </c>
      <c r="P1623" s="6" t="s">
        <v>39</v>
      </c>
      <c r="Q1623" s="8" t="s">
        <v>40</v>
      </c>
      <c r="R1623" s="10" t="s">
        <v>8485</v>
      </c>
      <c r="S1623" s="11"/>
      <c r="T1623" s="6"/>
      <c r="U1623" s="15" t="str">
        <f>HYPERLINK("https://media.infra-m.ru/2130/2130736/cover/2130736.jpg", "Обложка")</f>
        <v>Обложка</v>
      </c>
      <c r="V1623" s="8" t="s">
        <v>138</v>
      </c>
      <c r="W1623" s="6"/>
      <c r="X1623" s="6"/>
      <c r="Y1623" s="6"/>
      <c r="Z1623" s="6"/>
      <c r="AA1623" s="6" t="s">
        <v>86</v>
      </c>
      <c r="AB1623" s="8"/>
      <c r="AC1623" s="27">
        <v>9785917689111</v>
      </c>
    </row>
    <row r="1624" spans="1:29" s="4" customFormat="1" ht="42" customHeight="1" x14ac:dyDescent="0.2">
      <c r="A1624" s="5">
        <v>0</v>
      </c>
      <c r="B1624" s="6" t="s">
        <v>9915</v>
      </c>
      <c r="C1624" s="7">
        <v>1084.8</v>
      </c>
      <c r="D1624" s="8" t="s">
        <v>9916</v>
      </c>
      <c r="E1624" s="8" t="s">
        <v>9917</v>
      </c>
      <c r="F1624" s="8" t="s">
        <v>9918</v>
      </c>
      <c r="G1624" s="6" t="s">
        <v>33</v>
      </c>
      <c r="H1624" s="6" t="s">
        <v>134</v>
      </c>
      <c r="I1624" s="8"/>
      <c r="J1624" s="9">
        <v>1</v>
      </c>
      <c r="K1624" s="9">
        <v>192</v>
      </c>
      <c r="L1624" s="9">
        <v>2024</v>
      </c>
      <c r="M1624" s="8" t="s">
        <v>9919</v>
      </c>
      <c r="N1624" s="8" t="s">
        <v>37</v>
      </c>
      <c r="O1624" s="8" t="s">
        <v>136</v>
      </c>
      <c r="P1624" s="6" t="s">
        <v>39</v>
      </c>
      <c r="Q1624" s="8" t="s">
        <v>40</v>
      </c>
      <c r="R1624" s="10" t="s">
        <v>9920</v>
      </c>
      <c r="S1624" s="11"/>
      <c r="T1624" s="6"/>
      <c r="U1624" s="15" t="str">
        <f>HYPERLINK("https://media.infra-m.ru/2133/2133758/cover/2133758.jpg", "Обложка")</f>
        <v>Обложка</v>
      </c>
      <c r="V1624" s="8" t="s">
        <v>644</v>
      </c>
      <c r="W1624" s="6"/>
      <c r="X1624" s="6"/>
      <c r="Y1624" s="6"/>
      <c r="Z1624" s="6"/>
      <c r="AA1624" s="6" t="s">
        <v>248</v>
      </c>
      <c r="AB1624" s="8"/>
      <c r="AC1624" s="27">
        <v>9785917684529</v>
      </c>
    </row>
    <row r="1625" spans="1:29" s="4" customFormat="1" ht="44.1" customHeight="1" x14ac:dyDescent="0.2">
      <c r="A1625" s="5">
        <v>0</v>
      </c>
      <c r="B1625" s="6" t="s">
        <v>9921</v>
      </c>
      <c r="C1625" s="7">
        <v>1980</v>
      </c>
      <c r="D1625" s="8" t="s">
        <v>9922</v>
      </c>
      <c r="E1625" s="8" t="s">
        <v>9923</v>
      </c>
      <c r="F1625" s="8" t="s">
        <v>9924</v>
      </c>
      <c r="G1625" s="6" t="s">
        <v>60</v>
      </c>
      <c r="H1625" s="6" t="s">
        <v>134</v>
      </c>
      <c r="I1625" s="8"/>
      <c r="J1625" s="9">
        <v>1</v>
      </c>
      <c r="K1625" s="9">
        <v>296</v>
      </c>
      <c r="L1625" s="9">
        <v>2025</v>
      </c>
      <c r="M1625" s="8" t="s">
        <v>9925</v>
      </c>
      <c r="N1625" s="8" t="s">
        <v>37</v>
      </c>
      <c r="O1625" s="8" t="s">
        <v>136</v>
      </c>
      <c r="P1625" s="6" t="s">
        <v>39</v>
      </c>
      <c r="Q1625" s="8" t="s">
        <v>40</v>
      </c>
      <c r="R1625" s="10" t="s">
        <v>1955</v>
      </c>
      <c r="S1625" s="11"/>
      <c r="T1625" s="6"/>
      <c r="U1625" s="15" t="str">
        <f>HYPERLINK("https://media.infra-m.ru/2185/2185047/cover/2185047.jpg", "Обложка")</f>
        <v>Обложка</v>
      </c>
      <c r="V1625" s="8"/>
      <c r="W1625" s="6"/>
      <c r="X1625" s="6"/>
      <c r="Y1625" s="6"/>
      <c r="Z1625" s="6"/>
      <c r="AA1625" s="6" t="s">
        <v>68</v>
      </c>
      <c r="AB1625" s="8"/>
      <c r="AC1625" s="27">
        <v>9785001563990</v>
      </c>
    </row>
    <row r="1626" spans="1:29" s="4" customFormat="1" ht="51.9" customHeight="1" x14ac:dyDescent="0.2">
      <c r="A1626" s="5">
        <v>0</v>
      </c>
      <c r="B1626" s="6" t="s">
        <v>9926</v>
      </c>
      <c r="C1626" s="7">
        <v>3176.4</v>
      </c>
      <c r="D1626" s="8" t="s">
        <v>9927</v>
      </c>
      <c r="E1626" s="8" t="s">
        <v>9928</v>
      </c>
      <c r="F1626" s="8" t="s">
        <v>9929</v>
      </c>
      <c r="G1626" s="6" t="s">
        <v>21</v>
      </c>
      <c r="H1626" s="6" t="s">
        <v>820</v>
      </c>
      <c r="I1626" s="8" t="s">
        <v>394</v>
      </c>
      <c r="J1626" s="9">
        <v>1</v>
      </c>
      <c r="K1626" s="9">
        <v>396</v>
      </c>
      <c r="L1626" s="9">
        <v>2025</v>
      </c>
      <c r="M1626" s="8" t="s">
        <v>9930</v>
      </c>
      <c r="N1626" s="8" t="s">
        <v>37</v>
      </c>
      <c r="O1626" s="8" t="s">
        <v>280</v>
      </c>
      <c r="P1626" s="6" t="s">
        <v>51</v>
      </c>
      <c r="Q1626" s="8" t="s">
        <v>749</v>
      </c>
      <c r="R1626" s="10" t="s">
        <v>9931</v>
      </c>
      <c r="S1626" s="11"/>
      <c r="T1626" s="6" t="s">
        <v>97</v>
      </c>
      <c r="U1626" s="15" t="str">
        <f>HYPERLINK("https://media.infra-m.ru/2195/2195018/cover/2195018.jpg", "Обложка")</f>
        <v>Обложка</v>
      </c>
      <c r="V1626" s="8" t="s">
        <v>247</v>
      </c>
      <c r="W1626" s="6"/>
      <c r="X1626" s="6"/>
      <c r="Y1626" s="6"/>
      <c r="Z1626" s="6"/>
      <c r="AA1626" s="6" t="s">
        <v>274</v>
      </c>
      <c r="AB1626" s="8"/>
      <c r="AC1626" s="27">
        <v>9785905554971</v>
      </c>
    </row>
    <row r="1627" spans="1:29" s="4" customFormat="1" ht="51.9" customHeight="1" x14ac:dyDescent="0.2">
      <c r="A1627" s="5">
        <v>0</v>
      </c>
      <c r="B1627" s="6" t="s">
        <v>9932</v>
      </c>
      <c r="C1627" s="13">
        <v>820.8</v>
      </c>
      <c r="D1627" s="8" t="s">
        <v>9933</v>
      </c>
      <c r="E1627" s="8" t="s">
        <v>9934</v>
      </c>
      <c r="F1627" s="8" t="s">
        <v>9935</v>
      </c>
      <c r="G1627" s="6" t="s">
        <v>33</v>
      </c>
      <c r="H1627" s="6" t="s">
        <v>34</v>
      </c>
      <c r="I1627" s="8" t="s">
        <v>271</v>
      </c>
      <c r="J1627" s="9">
        <v>1</v>
      </c>
      <c r="K1627" s="9">
        <v>126</v>
      </c>
      <c r="L1627" s="9">
        <v>2025</v>
      </c>
      <c r="M1627" s="8" t="s">
        <v>9936</v>
      </c>
      <c r="N1627" s="8" t="s">
        <v>37</v>
      </c>
      <c r="O1627" s="8" t="s">
        <v>136</v>
      </c>
      <c r="P1627" s="6" t="s">
        <v>51</v>
      </c>
      <c r="Q1627" s="8" t="s">
        <v>52</v>
      </c>
      <c r="R1627" s="10" t="s">
        <v>1275</v>
      </c>
      <c r="S1627" s="11"/>
      <c r="T1627" s="6"/>
      <c r="U1627" s="15" t="str">
        <f>HYPERLINK("https://media.infra-m.ru/2192/2192258/cover/2192258.jpg", "Обложка")</f>
        <v>Обложка</v>
      </c>
      <c r="V1627" s="8" t="s">
        <v>9937</v>
      </c>
      <c r="W1627" s="6"/>
      <c r="X1627" s="6"/>
      <c r="Y1627" s="6"/>
      <c r="Z1627" s="6"/>
      <c r="AA1627" s="6" t="s">
        <v>248</v>
      </c>
      <c r="AB1627" s="8"/>
      <c r="AC1627" s="27">
        <v>9785160069012</v>
      </c>
    </row>
    <row r="1628" spans="1:29" s="4" customFormat="1" ht="51.9" customHeight="1" x14ac:dyDescent="0.2">
      <c r="A1628" s="5">
        <v>0</v>
      </c>
      <c r="B1628" s="6" t="s">
        <v>9938</v>
      </c>
      <c r="C1628" s="7">
        <v>1728</v>
      </c>
      <c r="D1628" s="8" t="s">
        <v>9939</v>
      </c>
      <c r="E1628" s="8" t="s">
        <v>9940</v>
      </c>
      <c r="F1628" s="8" t="s">
        <v>9941</v>
      </c>
      <c r="G1628" s="6" t="s">
        <v>118</v>
      </c>
      <c r="H1628" s="6" t="s">
        <v>134</v>
      </c>
      <c r="I1628" s="8"/>
      <c r="J1628" s="9">
        <v>1</v>
      </c>
      <c r="K1628" s="9">
        <v>240</v>
      </c>
      <c r="L1628" s="9">
        <v>2026</v>
      </c>
      <c r="M1628" s="8" t="s">
        <v>9942</v>
      </c>
      <c r="N1628" s="8" t="s">
        <v>37</v>
      </c>
      <c r="O1628" s="8" t="s">
        <v>136</v>
      </c>
      <c r="P1628" s="6" t="s">
        <v>39</v>
      </c>
      <c r="Q1628" s="8" t="s">
        <v>40</v>
      </c>
      <c r="R1628" s="10" t="s">
        <v>484</v>
      </c>
      <c r="S1628" s="11"/>
      <c r="T1628" s="6"/>
      <c r="U1628" s="15" t="str">
        <f>HYPERLINK("https://media.infra-m.ru/2260/2260106/cover/2260106.jpg", "Обложка")</f>
        <v>Обложка</v>
      </c>
      <c r="V1628" s="8" t="s">
        <v>9943</v>
      </c>
      <c r="W1628" s="6"/>
      <c r="X1628" s="6"/>
      <c r="Y1628" s="6"/>
      <c r="Z1628" s="6"/>
      <c r="AA1628" s="6" t="s">
        <v>859</v>
      </c>
      <c r="AB1628" s="8"/>
      <c r="AC1628" s="27">
        <v>9785917684420</v>
      </c>
    </row>
    <row r="1629" spans="1:29" s="4" customFormat="1" ht="51.9" customHeight="1" x14ac:dyDescent="0.2">
      <c r="A1629" s="5">
        <v>0</v>
      </c>
      <c r="B1629" s="6" t="s">
        <v>9944</v>
      </c>
      <c r="C1629" s="7">
        <v>1668</v>
      </c>
      <c r="D1629" s="8" t="s">
        <v>9945</v>
      </c>
      <c r="E1629" s="8" t="s">
        <v>9946</v>
      </c>
      <c r="F1629" s="8" t="s">
        <v>9947</v>
      </c>
      <c r="G1629" s="6" t="s">
        <v>118</v>
      </c>
      <c r="H1629" s="6" t="s">
        <v>34</v>
      </c>
      <c r="I1629" s="8" t="s">
        <v>253</v>
      </c>
      <c r="J1629" s="9">
        <v>1</v>
      </c>
      <c r="K1629" s="9">
        <v>255</v>
      </c>
      <c r="L1629" s="9">
        <v>2025</v>
      </c>
      <c r="M1629" s="8" t="s">
        <v>9948</v>
      </c>
      <c r="N1629" s="8" t="s">
        <v>37</v>
      </c>
      <c r="O1629" s="8" t="s">
        <v>136</v>
      </c>
      <c r="P1629" s="6" t="s">
        <v>51</v>
      </c>
      <c r="Q1629" s="8" t="s">
        <v>65</v>
      </c>
      <c r="R1629" s="10" t="s">
        <v>9949</v>
      </c>
      <c r="S1629" s="11"/>
      <c r="T1629" s="6"/>
      <c r="U1629" s="15" t="str">
        <f>HYPERLINK("https://media.infra-m.ru/2201/2201253/cover/2201253.jpg", "Обложка")</f>
        <v>Обложка</v>
      </c>
      <c r="V1629" s="8" t="s">
        <v>227</v>
      </c>
      <c r="W1629" s="6"/>
      <c r="X1629" s="6"/>
      <c r="Y1629" s="6"/>
      <c r="Z1629" s="6"/>
      <c r="AA1629" s="6" t="s">
        <v>76</v>
      </c>
      <c r="AB1629" s="8"/>
      <c r="AC1629" s="27">
        <v>9785160208831</v>
      </c>
    </row>
    <row r="1630" spans="1:29" s="4" customFormat="1" ht="51.9" customHeight="1" x14ac:dyDescent="0.2">
      <c r="A1630" s="5">
        <v>0</v>
      </c>
      <c r="B1630" s="6" t="s">
        <v>9950</v>
      </c>
      <c r="C1630" s="7">
        <v>1821.6</v>
      </c>
      <c r="D1630" s="8" t="s">
        <v>9951</v>
      </c>
      <c r="E1630" s="8" t="s">
        <v>9952</v>
      </c>
      <c r="F1630" s="8" t="s">
        <v>9953</v>
      </c>
      <c r="G1630" s="6" t="s">
        <v>60</v>
      </c>
      <c r="H1630" s="6" t="s">
        <v>134</v>
      </c>
      <c r="I1630" s="8"/>
      <c r="J1630" s="9">
        <v>1</v>
      </c>
      <c r="K1630" s="9">
        <v>284</v>
      </c>
      <c r="L1630" s="9">
        <v>2025</v>
      </c>
      <c r="M1630" s="8" t="s">
        <v>9954</v>
      </c>
      <c r="N1630" s="8" t="s">
        <v>37</v>
      </c>
      <c r="O1630" s="8" t="s">
        <v>136</v>
      </c>
      <c r="P1630" s="6" t="s">
        <v>39</v>
      </c>
      <c r="Q1630" s="8" t="s">
        <v>65</v>
      </c>
      <c r="R1630" s="10" t="s">
        <v>4881</v>
      </c>
      <c r="S1630" s="11"/>
      <c r="T1630" s="6"/>
      <c r="U1630" s="15" t="str">
        <f>HYPERLINK("https://media.infra-m.ru/2196/2196816/cover/2196816.jpg", "Обложка")</f>
        <v>Обложка</v>
      </c>
      <c r="V1630" s="8" t="s">
        <v>1069</v>
      </c>
      <c r="W1630" s="6"/>
      <c r="X1630" s="6"/>
      <c r="Y1630" s="6"/>
      <c r="Z1630" s="6"/>
      <c r="AA1630" s="6" t="s">
        <v>68</v>
      </c>
      <c r="AB1630" s="8"/>
      <c r="AC1630" s="27">
        <v>9785001563945</v>
      </c>
    </row>
    <row r="1631" spans="1:29" s="4" customFormat="1" ht="42" customHeight="1" x14ac:dyDescent="0.2">
      <c r="A1631" s="5">
        <v>0</v>
      </c>
      <c r="B1631" s="6" t="s">
        <v>9955</v>
      </c>
      <c r="C1631" s="7">
        <v>2788.8</v>
      </c>
      <c r="D1631" s="8" t="s">
        <v>9956</v>
      </c>
      <c r="E1631" s="8" t="s">
        <v>9957</v>
      </c>
      <c r="F1631" s="8" t="s">
        <v>9958</v>
      </c>
      <c r="G1631" s="6" t="s">
        <v>118</v>
      </c>
      <c r="H1631" s="6" t="s">
        <v>134</v>
      </c>
      <c r="I1631" s="8"/>
      <c r="J1631" s="9">
        <v>1</v>
      </c>
      <c r="K1631" s="9">
        <v>448</v>
      </c>
      <c r="L1631" s="9">
        <v>2024</v>
      </c>
      <c r="M1631" s="8" t="s">
        <v>9959</v>
      </c>
      <c r="N1631" s="8" t="s">
        <v>37</v>
      </c>
      <c r="O1631" s="8" t="s">
        <v>136</v>
      </c>
      <c r="P1631" s="6" t="s">
        <v>39</v>
      </c>
      <c r="Q1631" s="8" t="s">
        <v>40</v>
      </c>
      <c r="R1631" s="10" t="s">
        <v>1255</v>
      </c>
      <c r="S1631" s="11"/>
      <c r="T1631" s="6"/>
      <c r="U1631" s="15" t="str">
        <f>HYPERLINK("https://media.infra-m.ru/2146/2146811/cover/2146811.jpg", "Обложка")</f>
        <v>Обложка</v>
      </c>
      <c r="V1631" s="8" t="s">
        <v>1184</v>
      </c>
      <c r="W1631" s="6"/>
      <c r="X1631" s="6"/>
      <c r="Y1631" s="6"/>
      <c r="Z1631" s="6"/>
      <c r="AA1631" s="6" t="s">
        <v>258</v>
      </c>
      <c r="AB1631" s="8"/>
      <c r="AC1631" s="27">
        <v>9785001561538</v>
      </c>
    </row>
    <row r="1632" spans="1:29" s="4" customFormat="1" ht="42" customHeight="1" x14ac:dyDescent="0.2">
      <c r="A1632" s="5">
        <v>0</v>
      </c>
      <c r="B1632" s="6" t="s">
        <v>9960</v>
      </c>
      <c r="C1632" s="7">
        <v>3672</v>
      </c>
      <c r="D1632" s="8" t="s">
        <v>9961</v>
      </c>
      <c r="E1632" s="8" t="s">
        <v>9962</v>
      </c>
      <c r="F1632" s="8" t="s">
        <v>9958</v>
      </c>
      <c r="G1632" s="6" t="s">
        <v>118</v>
      </c>
      <c r="H1632" s="6" t="s">
        <v>134</v>
      </c>
      <c r="I1632" s="8"/>
      <c r="J1632" s="9">
        <v>1</v>
      </c>
      <c r="K1632" s="9">
        <v>556</v>
      </c>
      <c r="L1632" s="9">
        <v>2026</v>
      </c>
      <c r="M1632" s="8" t="s">
        <v>9963</v>
      </c>
      <c r="N1632" s="8" t="s">
        <v>37</v>
      </c>
      <c r="O1632" s="8" t="s">
        <v>136</v>
      </c>
      <c r="P1632" s="6" t="s">
        <v>39</v>
      </c>
      <c r="Q1632" s="8" t="s">
        <v>40</v>
      </c>
      <c r="R1632" s="10" t="s">
        <v>1255</v>
      </c>
      <c r="S1632" s="11"/>
      <c r="T1632" s="6"/>
      <c r="U1632" s="15" t="str">
        <f>HYPERLINK("https://media.infra-m.ru/2227/2227484/cover/2227484.jpg", "Обложка")</f>
        <v>Обложка</v>
      </c>
      <c r="V1632" s="8" t="s">
        <v>1184</v>
      </c>
      <c r="W1632" s="6" t="s">
        <v>186</v>
      </c>
      <c r="X1632" s="6"/>
      <c r="Y1632" s="6"/>
      <c r="Z1632" s="6"/>
      <c r="AA1632" s="6" t="s">
        <v>3772</v>
      </c>
      <c r="AB1632" s="8"/>
      <c r="AC1632" s="27">
        <v>9785001564645</v>
      </c>
    </row>
    <row r="1633" spans="1:29" s="4" customFormat="1" ht="42" customHeight="1" x14ac:dyDescent="0.2">
      <c r="A1633" s="5">
        <v>0</v>
      </c>
      <c r="B1633" s="6" t="s">
        <v>9964</v>
      </c>
      <c r="C1633" s="7">
        <v>1572</v>
      </c>
      <c r="D1633" s="8" t="s">
        <v>9965</v>
      </c>
      <c r="E1633" s="8" t="s">
        <v>9966</v>
      </c>
      <c r="F1633" s="8" t="s">
        <v>9958</v>
      </c>
      <c r="G1633" s="6" t="s">
        <v>60</v>
      </c>
      <c r="H1633" s="6" t="s">
        <v>134</v>
      </c>
      <c r="I1633" s="8"/>
      <c r="J1633" s="9">
        <v>1</v>
      </c>
      <c r="K1633" s="9">
        <v>384</v>
      </c>
      <c r="L1633" s="9">
        <v>2019</v>
      </c>
      <c r="M1633" s="8" t="s">
        <v>9967</v>
      </c>
      <c r="N1633" s="8" t="s">
        <v>37</v>
      </c>
      <c r="O1633" s="8" t="s">
        <v>136</v>
      </c>
      <c r="P1633" s="6" t="s">
        <v>39</v>
      </c>
      <c r="Q1633" s="8" t="s">
        <v>40</v>
      </c>
      <c r="R1633" s="10" t="s">
        <v>1255</v>
      </c>
      <c r="S1633" s="11"/>
      <c r="T1633" s="6"/>
      <c r="U1633" s="15" t="str">
        <f>HYPERLINK("https://media.infra-m.ru/1001/1001980/cover/1001980.jpg", "Обложка")</f>
        <v>Обложка</v>
      </c>
      <c r="V1633" s="8" t="s">
        <v>1184</v>
      </c>
      <c r="W1633" s="6"/>
      <c r="X1633" s="6"/>
      <c r="Y1633" s="6"/>
      <c r="Z1633" s="6"/>
      <c r="AA1633" s="6" t="s">
        <v>779</v>
      </c>
      <c r="AB1633" s="8"/>
      <c r="AC1633" s="27">
        <v>9785917687681</v>
      </c>
    </row>
    <row r="1634" spans="1:29" s="4" customFormat="1" ht="51.9" customHeight="1" x14ac:dyDescent="0.2">
      <c r="A1634" s="5">
        <v>0</v>
      </c>
      <c r="B1634" s="6" t="s">
        <v>9968</v>
      </c>
      <c r="C1634" s="7">
        <v>1860</v>
      </c>
      <c r="D1634" s="8" t="s">
        <v>9969</v>
      </c>
      <c r="E1634" s="8" t="s">
        <v>9970</v>
      </c>
      <c r="F1634" s="8" t="s">
        <v>661</v>
      </c>
      <c r="G1634" s="6" t="s">
        <v>118</v>
      </c>
      <c r="H1634" s="6" t="s">
        <v>34</v>
      </c>
      <c r="I1634" s="8" t="s">
        <v>3538</v>
      </c>
      <c r="J1634" s="9">
        <v>1</v>
      </c>
      <c r="K1634" s="9">
        <v>282</v>
      </c>
      <c r="L1634" s="9">
        <v>2026</v>
      </c>
      <c r="M1634" s="8" t="s">
        <v>9971</v>
      </c>
      <c r="N1634" s="8" t="s">
        <v>37</v>
      </c>
      <c r="O1634" s="8" t="s">
        <v>280</v>
      </c>
      <c r="P1634" s="6" t="s">
        <v>234</v>
      </c>
      <c r="Q1634" s="8" t="s">
        <v>1349</v>
      </c>
      <c r="R1634" s="10" t="s">
        <v>9972</v>
      </c>
      <c r="S1634" s="11" t="s">
        <v>9973</v>
      </c>
      <c r="T1634" s="6" t="s">
        <v>97</v>
      </c>
      <c r="U1634" s="15" t="str">
        <f>HYPERLINK("https://media.infra-m.ru/2254/2254349/cover/2254349.jpg", "Обложка")</f>
        <v>Обложка</v>
      </c>
      <c r="V1634" s="8" t="s">
        <v>3196</v>
      </c>
      <c r="W1634" s="6"/>
      <c r="X1634" s="6"/>
      <c r="Y1634" s="6"/>
      <c r="Z1634" s="6"/>
      <c r="AA1634" s="6" t="s">
        <v>3189</v>
      </c>
      <c r="AB1634" s="8"/>
      <c r="AC1634" s="27">
        <v>9785160173030</v>
      </c>
    </row>
    <row r="1635" spans="1:29" s="4" customFormat="1" ht="51.9" customHeight="1" x14ac:dyDescent="0.2">
      <c r="A1635" s="5">
        <v>0</v>
      </c>
      <c r="B1635" s="6" t="s">
        <v>9974</v>
      </c>
      <c r="C1635" s="7">
        <v>1157.9000000000001</v>
      </c>
      <c r="D1635" s="8" t="s">
        <v>9975</v>
      </c>
      <c r="E1635" s="8" t="s">
        <v>9976</v>
      </c>
      <c r="F1635" s="8" t="s">
        <v>9977</v>
      </c>
      <c r="G1635" s="6" t="s">
        <v>60</v>
      </c>
      <c r="H1635" s="6" t="s">
        <v>34</v>
      </c>
      <c r="I1635" s="8" t="s">
        <v>3538</v>
      </c>
      <c r="J1635" s="9">
        <v>1</v>
      </c>
      <c r="K1635" s="9">
        <v>299</v>
      </c>
      <c r="L1635" s="9">
        <v>2019</v>
      </c>
      <c r="M1635" s="8" t="s">
        <v>9978</v>
      </c>
      <c r="N1635" s="8" t="s">
        <v>37</v>
      </c>
      <c r="O1635" s="8" t="s">
        <v>280</v>
      </c>
      <c r="P1635" s="6" t="s">
        <v>95</v>
      </c>
      <c r="Q1635" s="8" t="s">
        <v>1349</v>
      </c>
      <c r="R1635" s="10" t="s">
        <v>9972</v>
      </c>
      <c r="S1635" s="11" t="s">
        <v>9979</v>
      </c>
      <c r="T1635" s="6" t="s">
        <v>97</v>
      </c>
      <c r="U1635" s="15" t="str">
        <f>HYPERLINK("https://media.infra-m.ru/0989/0989156/cover/989156.jpg", "Обложка")</f>
        <v>Обложка</v>
      </c>
      <c r="V1635" s="8" t="s">
        <v>3196</v>
      </c>
      <c r="W1635" s="6"/>
      <c r="X1635" s="6"/>
      <c r="Y1635" s="6"/>
      <c r="Z1635" s="6"/>
      <c r="AA1635" s="6" t="s">
        <v>859</v>
      </c>
      <c r="AB1635" s="8"/>
      <c r="AC1635" s="27">
        <v>9785160067834</v>
      </c>
    </row>
    <row r="1636" spans="1:29" s="4" customFormat="1" ht="44.1" customHeight="1" x14ac:dyDescent="0.2">
      <c r="A1636" s="5">
        <v>0</v>
      </c>
      <c r="B1636" s="6" t="s">
        <v>9980</v>
      </c>
      <c r="C1636" s="13">
        <v>852</v>
      </c>
      <c r="D1636" s="8" t="s">
        <v>9981</v>
      </c>
      <c r="E1636" s="8" t="s">
        <v>9982</v>
      </c>
      <c r="F1636" s="8" t="s">
        <v>9983</v>
      </c>
      <c r="G1636" s="6" t="s">
        <v>33</v>
      </c>
      <c r="H1636" s="6" t="s">
        <v>34</v>
      </c>
      <c r="I1636" s="8"/>
      <c r="J1636" s="9">
        <v>1</v>
      </c>
      <c r="K1636" s="9">
        <v>130</v>
      </c>
      <c r="L1636" s="9">
        <v>2026</v>
      </c>
      <c r="M1636" s="8" t="s">
        <v>9984</v>
      </c>
      <c r="N1636" s="8" t="s">
        <v>37</v>
      </c>
      <c r="O1636" s="8" t="s">
        <v>8119</v>
      </c>
      <c r="P1636" s="6" t="s">
        <v>234</v>
      </c>
      <c r="Q1636" s="8" t="s">
        <v>1660</v>
      </c>
      <c r="R1636" s="10" t="s">
        <v>9985</v>
      </c>
      <c r="S1636" s="11"/>
      <c r="T1636" s="6"/>
      <c r="U1636" s="15" t="str">
        <f>HYPERLINK("https://media.infra-m.ru/2231/2231096/cover/2231096.jpg", "Обложка")</f>
        <v>Обложка</v>
      </c>
      <c r="V1636" s="8" t="s">
        <v>9986</v>
      </c>
      <c r="W1636" s="6"/>
      <c r="X1636" s="6"/>
      <c r="Y1636" s="6"/>
      <c r="Z1636" s="6"/>
      <c r="AA1636" s="6" t="s">
        <v>274</v>
      </c>
      <c r="AB1636" s="8"/>
      <c r="AC1636" s="27">
        <v>9785160215747</v>
      </c>
    </row>
    <row r="1637" spans="1:29" s="4" customFormat="1" ht="44.1" customHeight="1" x14ac:dyDescent="0.2">
      <c r="A1637" s="5">
        <v>0</v>
      </c>
      <c r="B1637" s="6" t="s">
        <v>9987</v>
      </c>
      <c r="C1637" s="7">
        <v>2268</v>
      </c>
      <c r="D1637" s="8" t="s">
        <v>9988</v>
      </c>
      <c r="E1637" s="8" t="s">
        <v>9989</v>
      </c>
      <c r="F1637" s="8" t="s">
        <v>9990</v>
      </c>
      <c r="G1637" s="6" t="s">
        <v>60</v>
      </c>
      <c r="H1637" s="6" t="s">
        <v>34</v>
      </c>
      <c r="I1637" s="8" t="s">
        <v>35</v>
      </c>
      <c r="J1637" s="9">
        <v>1</v>
      </c>
      <c r="K1637" s="9">
        <v>480</v>
      </c>
      <c r="L1637" s="9">
        <v>2022</v>
      </c>
      <c r="M1637" s="8" t="s">
        <v>9991</v>
      </c>
      <c r="N1637" s="8" t="s">
        <v>37</v>
      </c>
      <c r="O1637" s="8" t="s">
        <v>136</v>
      </c>
      <c r="P1637" s="6" t="s">
        <v>39</v>
      </c>
      <c r="Q1637" s="8" t="s">
        <v>40</v>
      </c>
      <c r="R1637" s="10" t="s">
        <v>9992</v>
      </c>
      <c r="S1637" s="11"/>
      <c r="T1637" s="6"/>
      <c r="U1637" s="15" t="str">
        <f>HYPERLINK("https://media.infra-m.ru/1819/1819040/cover/1819040.jpg", "Обложка")</f>
        <v>Обложка</v>
      </c>
      <c r="V1637" s="8" t="s">
        <v>1742</v>
      </c>
      <c r="W1637" s="6"/>
      <c r="X1637" s="6"/>
      <c r="Y1637" s="6"/>
      <c r="Z1637" s="6"/>
      <c r="AA1637" s="6" t="s">
        <v>148</v>
      </c>
      <c r="AB1637" s="8"/>
      <c r="AC1637" s="27">
        <v>9785160171975</v>
      </c>
    </row>
    <row r="1638" spans="1:29" s="4" customFormat="1" ht="51.9" customHeight="1" x14ac:dyDescent="0.2">
      <c r="A1638" s="5">
        <v>0</v>
      </c>
      <c r="B1638" s="6" t="s">
        <v>9993</v>
      </c>
      <c r="C1638" s="13">
        <v>792</v>
      </c>
      <c r="D1638" s="8" t="s">
        <v>9994</v>
      </c>
      <c r="E1638" s="8" t="s">
        <v>9995</v>
      </c>
      <c r="F1638" s="8" t="s">
        <v>9996</v>
      </c>
      <c r="G1638" s="6" t="s">
        <v>33</v>
      </c>
      <c r="H1638" s="6" t="s">
        <v>34</v>
      </c>
      <c r="I1638" s="8" t="s">
        <v>35</v>
      </c>
      <c r="J1638" s="9">
        <v>1</v>
      </c>
      <c r="K1638" s="9">
        <v>119</v>
      </c>
      <c r="L1638" s="9">
        <v>2026</v>
      </c>
      <c r="M1638" s="8" t="s">
        <v>9997</v>
      </c>
      <c r="N1638" s="8" t="s">
        <v>37</v>
      </c>
      <c r="O1638" s="8" t="s">
        <v>136</v>
      </c>
      <c r="P1638" s="6" t="s">
        <v>39</v>
      </c>
      <c r="Q1638" s="8" t="s">
        <v>40</v>
      </c>
      <c r="R1638" s="10" t="s">
        <v>8643</v>
      </c>
      <c r="S1638" s="11"/>
      <c r="T1638" s="6"/>
      <c r="U1638" s="15" t="str">
        <f>HYPERLINK("https://media.infra-m.ru/2244/2244299/cover/2244299.jpg", "Обложка")</f>
        <v>Обложка</v>
      </c>
      <c r="V1638" s="8" t="s">
        <v>138</v>
      </c>
      <c r="W1638" s="6"/>
      <c r="X1638" s="6"/>
      <c r="Y1638" s="6"/>
      <c r="Z1638" s="6"/>
      <c r="AA1638" s="6" t="s">
        <v>86</v>
      </c>
      <c r="AB1638" s="8"/>
      <c r="AC1638" s="27">
        <v>9785160131115</v>
      </c>
    </row>
    <row r="1639" spans="1:29" s="4" customFormat="1" ht="42" customHeight="1" x14ac:dyDescent="0.2">
      <c r="A1639" s="5">
        <v>0</v>
      </c>
      <c r="B1639" s="6" t="s">
        <v>9998</v>
      </c>
      <c r="C1639" s="7">
        <v>2820</v>
      </c>
      <c r="D1639" s="8" t="s">
        <v>9999</v>
      </c>
      <c r="E1639" s="8" t="s">
        <v>10000</v>
      </c>
      <c r="F1639" s="8" t="s">
        <v>10001</v>
      </c>
      <c r="G1639" s="6" t="s">
        <v>118</v>
      </c>
      <c r="H1639" s="6" t="s">
        <v>134</v>
      </c>
      <c r="I1639" s="8"/>
      <c r="J1639" s="9">
        <v>1</v>
      </c>
      <c r="K1639" s="9">
        <v>452</v>
      </c>
      <c r="L1639" s="9">
        <v>2025</v>
      </c>
      <c r="M1639" s="8" t="s">
        <v>10002</v>
      </c>
      <c r="N1639" s="8" t="s">
        <v>37</v>
      </c>
      <c r="O1639" s="8" t="s">
        <v>136</v>
      </c>
      <c r="P1639" s="6" t="s">
        <v>39</v>
      </c>
      <c r="Q1639" s="8" t="s">
        <v>40</v>
      </c>
      <c r="R1639" s="10" t="s">
        <v>1804</v>
      </c>
      <c r="S1639" s="11"/>
      <c r="T1639" s="6"/>
      <c r="U1639" s="15" t="str">
        <f>HYPERLINK("https://media.infra-m.ru/2202/2202750/cover/2202750.jpg", "Обложка")</f>
        <v>Обложка</v>
      </c>
      <c r="V1639" s="8" t="s">
        <v>138</v>
      </c>
      <c r="W1639" s="6"/>
      <c r="X1639" s="6"/>
      <c r="Y1639" s="6"/>
      <c r="Z1639" s="6"/>
      <c r="AA1639" s="6" t="s">
        <v>917</v>
      </c>
      <c r="AB1639" s="8"/>
      <c r="AC1639" s="27">
        <v>9785001564348</v>
      </c>
    </row>
    <row r="1640" spans="1:29" s="4" customFormat="1" ht="42" customHeight="1" x14ac:dyDescent="0.2">
      <c r="A1640" s="5">
        <v>0</v>
      </c>
      <c r="B1640" s="6" t="s">
        <v>10003</v>
      </c>
      <c r="C1640" s="7">
        <v>2172</v>
      </c>
      <c r="D1640" s="8" t="s">
        <v>10004</v>
      </c>
      <c r="E1640" s="8" t="s">
        <v>10005</v>
      </c>
      <c r="F1640" s="8" t="s">
        <v>10001</v>
      </c>
      <c r="G1640" s="6" t="s">
        <v>118</v>
      </c>
      <c r="H1640" s="6" t="s">
        <v>134</v>
      </c>
      <c r="I1640" s="8"/>
      <c r="J1640" s="9">
        <v>1</v>
      </c>
      <c r="K1640" s="9">
        <v>384</v>
      </c>
      <c r="L1640" s="9">
        <v>2024</v>
      </c>
      <c r="M1640" s="8" t="s">
        <v>10006</v>
      </c>
      <c r="N1640" s="8" t="s">
        <v>37</v>
      </c>
      <c r="O1640" s="8" t="s">
        <v>136</v>
      </c>
      <c r="P1640" s="6" t="s">
        <v>39</v>
      </c>
      <c r="Q1640" s="8" t="s">
        <v>40</v>
      </c>
      <c r="R1640" s="10" t="s">
        <v>1804</v>
      </c>
      <c r="S1640" s="11"/>
      <c r="T1640" s="6"/>
      <c r="U1640" s="15" t="str">
        <f>HYPERLINK("https://media.infra-m.ru/2156/2156985/cover/2156985.jpg", "Обложка")</f>
        <v>Обложка</v>
      </c>
      <c r="V1640" s="8" t="s">
        <v>138</v>
      </c>
      <c r="W1640" s="6"/>
      <c r="X1640" s="6"/>
      <c r="Y1640" s="6"/>
      <c r="Z1640" s="6"/>
      <c r="AA1640" s="6" t="s">
        <v>157</v>
      </c>
      <c r="AB1640" s="8"/>
      <c r="AC1640" s="27">
        <v>9785001563228</v>
      </c>
    </row>
    <row r="1641" spans="1:29" s="4" customFormat="1" ht="51.9" customHeight="1" x14ac:dyDescent="0.2">
      <c r="A1641" s="5">
        <v>0</v>
      </c>
      <c r="B1641" s="6" t="s">
        <v>10007</v>
      </c>
      <c r="C1641" s="13">
        <v>516</v>
      </c>
      <c r="D1641" s="8" t="s">
        <v>10008</v>
      </c>
      <c r="E1641" s="8" t="s">
        <v>10009</v>
      </c>
      <c r="F1641" s="8" t="s">
        <v>10010</v>
      </c>
      <c r="G1641" s="6" t="s">
        <v>33</v>
      </c>
      <c r="H1641" s="6" t="s">
        <v>34</v>
      </c>
      <c r="I1641" s="8" t="s">
        <v>271</v>
      </c>
      <c r="J1641" s="9">
        <v>1</v>
      </c>
      <c r="K1641" s="9">
        <v>99</v>
      </c>
      <c r="L1641" s="9">
        <v>2022</v>
      </c>
      <c r="M1641" s="8" t="s">
        <v>10011</v>
      </c>
      <c r="N1641" s="8" t="s">
        <v>37</v>
      </c>
      <c r="O1641" s="8" t="s">
        <v>233</v>
      </c>
      <c r="P1641" s="6" t="s">
        <v>51</v>
      </c>
      <c r="Q1641" s="8" t="s">
        <v>52</v>
      </c>
      <c r="R1641" s="10" t="s">
        <v>10012</v>
      </c>
      <c r="S1641" s="11" t="s">
        <v>10013</v>
      </c>
      <c r="T1641" s="6"/>
      <c r="U1641" s="15" t="str">
        <f>HYPERLINK("https://media.infra-m.ru/0912/0912747/cover/912747.jpg", "Обложка")</f>
        <v>Обложка</v>
      </c>
      <c r="V1641" s="8" t="s">
        <v>10014</v>
      </c>
      <c r="W1641" s="6"/>
      <c r="X1641" s="6"/>
      <c r="Y1641" s="6"/>
      <c r="Z1641" s="6"/>
      <c r="AA1641" s="6" t="s">
        <v>99</v>
      </c>
      <c r="AB1641" s="8"/>
      <c r="AC1641" s="27">
        <v>9785160119014</v>
      </c>
    </row>
    <row r="1642" spans="1:29" s="4" customFormat="1" ht="44.1" customHeight="1" x14ac:dyDescent="0.2">
      <c r="A1642" s="5">
        <v>0</v>
      </c>
      <c r="B1642" s="6" t="s">
        <v>10015</v>
      </c>
      <c r="C1642" s="13">
        <v>732</v>
      </c>
      <c r="D1642" s="8" t="s">
        <v>10016</v>
      </c>
      <c r="E1642" s="8" t="s">
        <v>10017</v>
      </c>
      <c r="F1642" s="8" t="s">
        <v>10018</v>
      </c>
      <c r="G1642" s="6" t="s">
        <v>33</v>
      </c>
      <c r="H1642" s="6" t="s">
        <v>34</v>
      </c>
      <c r="I1642" s="8" t="s">
        <v>35</v>
      </c>
      <c r="J1642" s="9">
        <v>1</v>
      </c>
      <c r="K1642" s="9">
        <v>110</v>
      </c>
      <c r="L1642" s="9">
        <v>2026</v>
      </c>
      <c r="M1642" s="8" t="s">
        <v>10019</v>
      </c>
      <c r="N1642" s="8" t="s">
        <v>37</v>
      </c>
      <c r="O1642" s="8" t="s">
        <v>280</v>
      </c>
      <c r="P1642" s="6" t="s">
        <v>39</v>
      </c>
      <c r="Q1642" s="8" t="s">
        <v>40</v>
      </c>
      <c r="R1642" s="10" t="s">
        <v>6677</v>
      </c>
      <c r="S1642" s="11"/>
      <c r="T1642" s="6"/>
      <c r="U1642" s="15" t="str">
        <f>HYPERLINK("https://media.infra-m.ru/2253/2253936/cover/2253936.jpg", "Обложка")</f>
        <v>Обложка</v>
      </c>
      <c r="V1642" s="8" t="s">
        <v>3196</v>
      </c>
      <c r="W1642" s="6"/>
      <c r="X1642" s="6"/>
      <c r="Y1642" s="6"/>
      <c r="Z1642" s="6"/>
      <c r="AA1642" s="6" t="s">
        <v>779</v>
      </c>
      <c r="AB1642" s="8"/>
      <c r="AC1642" s="27">
        <v>9785160113661</v>
      </c>
    </row>
    <row r="1643" spans="1:29" s="4" customFormat="1" ht="51.9" customHeight="1" x14ac:dyDescent="0.2">
      <c r="A1643" s="5">
        <v>0</v>
      </c>
      <c r="B1643" s="6" t="s">
        <v>10020</v>
      </c>
      <c r="C1643" s="13">
        <v>780</v>
      </c>
      <c r="D1643" s="8" t="s">
        <v>10021</v>
      </c>
      <c r="E1643" s="8" t="s">
        <v>10009</v>
      </c>
      <c r="F1643" s="8" t="s">
        <v>10010</v>
      </c>
      <c r="G1643" s="6" t="s">
        <v>33</v>
      </c>
      <c r="H1643" s="6" t="s">
        <v>34</v>
      </c>
      <c r="I1643" s="8" t="s">
        <v>263</v>
      </c>
      <c r="J1643" s="9">
        <v>1</v>
      </c>
      <c r="K1643" s="9">
        <v>99</v>
      </c>
      <c r="L1643" s="9">
        <v>2026</v>
      </c>
      <c r="M1643" s="8" t="s">
        <v>10022</v>
      </c>
      <c r="N1643" s="8" t="s">
        <v>37</v>
      </c>
      <c r="O1643" s="8" t="s">
        <v>233</v>
      </c>
      <c r="P1643" s="6" t="s">
        <v>51</v>
      </c>
      <c r="Q1643" s="8" t="s">
        <v>265</v>
      </c>
      <c r="R1643" s="10" t="s">
        <v>10023</v>
      </c>
      <c r="S1643" s="11" t="s">
        <v>10024</v>
      </c>
      <c r="T1643" s="6"/>
      <c r="U1643" s="15" t="str">
        <f>HYPERLINK("https://media.infra-m.ru/2266/2266092/cover/2266092.jpg", "Обложка")</f>
        <v>Обложка</v>
      </c>
      <c r="V1643" s="8" t="s">
        <v>10014</v>
      </c>
      <c r="W1643" s="6"/>
      <c r="X1643" s="6"/>
      <c r="Y1643" s="6"/>
      <c r="Z1643" s="6" t="s">
        <v>267</v>
      </c>
      <c r="AA1643" s="6" t="s">
        <v>115</v>
      </c>
      <c r="AB1643" s="8"/>
      <c r="AC1643" s="27">
        <v>9785160148939</v>
      </c>
    </row>
    <row r="1644" spans="1:29" s="4" customFormat="1" ht="51.9" customHeight="1" x14ac:dyDescent="0.2">
      <c r="A1644" s="5">
        <v>0</v>
      </c>
      <c r="B1644" s="6" t="s">
        <v>10025</v>
      </c>
      <c r="C1644" s="7">
        <v>1248</v>
      </c>
      <c r="D1644" s="8" t="s">
        <v>10026</v>
      </c>
      <c r="E1644" s="8" t="s">
        <v>10027</v>
      </c>
      <c r="F1644" s="8" t="s">
        <v>10028</v>
      </c>
      <c r="G1644" s="6" t="s">
        <v>118</v>
      </c>
      <c r="H1644" s="6" t="s">
        <v>34</v>
      </c>
      <c r="I1644" s="8" t="s">
        <v>271</v>
      </c>
      <c r="J1644" s="9">
        <v>1</v>
      </c>
      <c r="K1644" s="9">
        <v>304</v>
      </c>
      <c r="L1644" s="9">
        <v>2020</v>
      </c>
      <c r="M1644" s="8" t="s">
        <v>10029</v>
      </c>
      <c r="N1644" s="8" t="s">
        <v>37</v>
      </c>
      <c r="O1644" s="8" t="s">
        <v>280</v>
      </c>
      <c r="P1644" s="6" t="s">
        <v>51</v>
      </c>
      <c r="Q1644" s="8" t="s">
        <v>52</v>
      </c>
      <c r="R1644" s="10" t="s">
        <v>10030</v>
      </c>
      <c r="S1644" s="11" t="s">
        <v>10031</v>
      </c>
      <c r="T1644" s="6" t="s">
        <v>97</v>
      </c>
      <c r="U1644" s="15" t="str">
        <f>HYPERLINK("https://media.infra-m.ru/1078/1078152/cover/1078152.jpg", "Обложка")</f>
        <v>Обложка</v>
      </c>
      <c r="V1644" s="8" t="s">
        <v>445</v>
      </c>
      <c r="W1644" s="6"/>
      <c r="X1644" s="6" t="s">
        <v>24</v>
      </c>
      <c r="Y1644" s="6"/>
      <c r="Z1644" s="6"/>
      <c r="AA1644" s="6" t="s">
        <v>769</v>
      </c>
      <c r="AB1644" s="8"/>
      <c r="AC1644" s="27">
        <v>9785160048055</v>
      </c>
    </row>
    <row r="1645" spans="1:29" s="4" customFormat="1" ht="51.9" customHeight="1" x14ac:dyDescent="0.2">
      <c r="A1645" s="5">
        <v>0</v>
      </c>
      <c r="B1645" s="6" t="s">
        <v>10032</v>
      </c>
      <c r="C1645" s="7">
        <v>1696.8</v>
      </c>
      <c r="D1645" s="8" t="s">
        <v>10033</v>
      </c>
      <c r="E1645" s="8" t="s">
        <v>10034</v>
      </c>
      <c r="F1645" s="8" t="s">
        <v>5091</v>
      </c>
      <c r="G1645" s="6" t="s">
        <v>60</v>
      </c>
      <c r="H1645" s="6" t="s">
        <v>34</v>
      </c>
      <c r="I1645" s="8" t="s">
        <v>263</v>
      </c>
      <c r="J1645" s="9">
        <v>1</v>
      </c>
      <c r="K1645" s="9">
        <v>244</v>
      </c>
      <c r="L1645" s="9">
        <v>2026</v>
      </c>
      <c r="M1645" s="8" t="s">
        <v>10035</v>
      </c>
      <c r="N1645" s="8" t="s">
        <v>37</v>
      </c>
      <c r="O1645" s="8" t="s">
        <v>233</v>
      </c>
      <c r="P1645" s="6" t="s">
        <v>306</v>
      </c>
      <c r="Q1645" s="8" t="s">
        <v>265</v>
      </c>
      <c r="R1645" s="10" t="s">
        <v>10036</v>
      </c>
      <c r="S1645" s="11" t="s">
        <v>10037</v>
      </c>
      <c r="T1645" s="6"/>
      <c r="U1645" s="15" t="str">
        <f>HYPERLINK("https://media.infra-m.ru/2262/2262001/cover/2262001.jpg", "Обложка")</f>
        <v>Обложка</v>
      </c>
      <c r="V1645" s="8" t="s">
        <v>831</v>
      </c>
      <c r="W1645" s="6"/>
      <c r="X1645" s="6"/>
      <c r="Y1645" s="6"/>
      <c r="Z1645" s="6"/>
      <c r="AA1645" s="6" t="s">
        <v>1256</v>
      </c>
      <c r="AB1645" s="8" t="s">
        <v>2231</v>
      </c>
      <c r="AC1645" s="27">
        <v>9785160159287</v>
      </c>
    </row>
    <row r="1646" spans="1:29" s="4" customFormat="1" ht="42" customHeight="1" x14ac:dyDescent="0.2">
      <c r="A1646" s="5">
        <v>0</v>
      </c>
      <c r="B1646" s="6" t="s">
        <v>10038</v>
      </c>
      <c r="C1646" s="7">
        <v>3196.8</v>
      </c>
      <c r="D1646" s="8" t="s">
        <v>10039</v>
      </c>
      <c r="E1646" s="8" t="s">
        <v>10034</v>
      </c>
      <c r="F1646" s="8" t="s">
        <v>6157</v>
      </c>
      <c r="G1646" s="6" t="s">
        <v>60</v>
      </c>
      <c r="H1646" s="6" t="s">
        <v>34</v>
      </c>
      <c r="I1646" s="8" t="s">
        <v>434</v>
      </c>
      <c r="J1646" s="9">
        <v>1</v>
      </c>
      <c r="K1646" s="9">
        <v>459</v>
      </c>
      <c r="L1646" s="9">
        <v>2027</v>
      </c>
      <c r="M1646" s="8" t="s">
        <v>10040</v>
      </c>
      <c r="N1646" s="8" t="s">
        <v>37</v>
      </c>
      <c r="O1646" s="8" t="s">
        <v>233</v>
      </c>
      <c r="P1646" s="6" t="s">
        <v>306</v>
      </c>
      <c r="Q1646" s="8" t="s">
        <v>265</v>
      </c>
      <c r="R1646" s="10" t="s">
        <v>10036</v>
      </c>
      <c r="S1646" s="11"/>
      <c r="T1646" s="6"/>
      <c r="U1646" s="15" t="str">
        <f>HYPERLINK("https://media.infra-m.ru/2273/2273719/cover/2273719.jpg", "Обложка")</f>
        <v>Обложка</v>
      </c>
      <c r="V1646" s="8" t="s">
        <v>247</v>
      </c>
      <c r="W1646" s="6"/>
      <c r="X1646" s="6"/>
      <c r="Y1646" s="6"/>
      <c r="Z1646" s="6"/>
      <c r="AA1646" s="6" t="s">
        <v>76</v>
      </c>
      <c r="AB1646" s="8"/>
      <c r="AC1646" s="27">
        <v>9785160180328</v>
      </c>
    </row>
    <row r="1647" spans="1:29" s="4" customFormat="1" ht="51.9" customHeight="1" x14ac:dyDescent="0.2">
      <c r="A1647" s="5">
        <v>0</v>
      </c>
      <c r="B1647" s="6" t="s">
        <v>10041</v>
      </c>
      <c r="C1647" s="7">
        <v>1440</v>
      </c>
      <c r="D1647" s="8" t="s">
        <v>10042</v>
      </c>
      <c r="E1647" s="8" t="s">
        <v>10043</v>
      </c>
      <c r="F1647" s="8" t="s">
        <v>10044</v>
      </c>
      <c r="G1647" s="6" t="s">
        <v>60</v>
      </c>
      <c r="H1647" s="6" t="s">
        <v>34</v>
      </c>
      <c r="I1647" s="8" t="s">
        <v>253</v>
      </c>
      <c r="J1647" s="9">
        <v>1</v>
      </c>
      <c r="K1647" s="9">
        <v>188</v>
      </c>
      <c r="L1647" s="9">
        <v>2026</v>
      </c>
      <c r="M1647" s="8" t="s">
        <v>10045</v>
      </c>
      <c r="N1647" s="8" t="s">
        <v>37</v>
      </c>
      <c r="O1647" s="8" t="s">
        <v>233</v>
      </c>
      <c r="P1647" s="6" t="s">
        <v>51</v>
      </c>
      <c r="Q1647" s="8" t="s">
        <v>377</v>
      </c>
      <c r="R1647" s="10" t="s">
        <v>2750</v>
      </c>
      <c r="S1647" s="11" t="s">
        <v>10046</v>
      </c>
      <c r="T1647" s="6"/>
      <c r="U1647" s="15" t="str">
        <f>HYPERLINK("https://media.infra-m.ru/2257/2257129/cover/2257129.jpg", "Обложка")</f>
        <v>Обложка</v>
      </c>
      <c r="V1647" s="8" t="s">
        <v>1675</v>
      </c>
      <c r="W1647" s="6"/>
      <c r="X1647" s="6"/>
      <c r="Y1647" s="6"/>
      <c r="Z1647" s="6"/>
      <c r="AA1647" s="6" t="s">
        <v>148</v>
      </c>
      <c r="AB1647" s="8"/>
      <c r="AC1647" s="27">
        <v>9785160222011</v>
      </c>
    </row>
    <row r="1648" spans="1:29" s="4" customFormat="1" ht="42" customHeight="1" x14ac:dyDescent="0.2">
      <c r="A1648" s="5">
        <v>0</v>
      </c>
      <c r="B1648" s="6" t="s">
        <v>10047</v>
      </c>
      <c r="C1648" s="7">
        <v>1428</v>
      </c>
      <c r="D1648" s="8" t="s">
        <v>10048</v>
      </c>
      <c r="E1648" s="8" t="s">
        <v>10049</v>
      </c>
      <c r="F1648" s="8" t="s">
        <v>10050</v>
      </c>
      <c r="G1648" s="6" t="s">
        <v>33</v>
      </c>
      <c r="H1648" s="6" t="s">
        <v>34</v>
      </c>
      <c r="I1648" s="8" t="s">
        <v>35</v>
      </c>
      <c r="J1648" s="9">
        <v>1</v>
      </c>
      <c r="K1648" s="9">
        <v>226</v>
      </c>
      <c r="L1648" s="9">
        <v>2025</v>
      </c>
      <c r="M1648" s="8" t="s">
        <v>10051</v>
      </c>
      <c r="N1648" s="8" t="s">
        <v>243</v>
      </c>
      <c r="O1648" s="8" t="s">
        <v>798</v>
      </c>
      <c r="P1648" s="6" t="s">
        <v>39</v>
      </c>
      <c r="Q1648" s="8" t="s">
        <v>40</v>
      </c>
      <c r="R1648" s="10" t="s">
        <v>7812</v>
      </c>
      <c r="S1648" s="11"/>
      <c r="T1648" s="6"/>
      <c r="U1648" s="15" t="str">
        <f>HYPERLINK("https://media.infra-m.ru/2184/2184873/cover/2184873.jpg", "Обложка")</f>
        <v>Обложка</v>
      </c>
      <c r="V1648" s="8" t="s">
        <v>10052</v>
      </c>
      <c r="W1648" s="6"/>
      <c r="X1648" s="6"/>
      <c r="Y1648" s="6"/>
      <c r="Z1648" s="6"/>
      <c r="AA1648" s="6" t="s">
        <v>157</v>
      </c>
      <c r="AB1648" s="8"/>
      <c r="AC1648" s="27">
        <v>9785160186252</v>
      </c>
    </row>
    <row r="1649" spans="1:29" s="4" customFormat="1" ht="44.1" customHeight="1" x14ac:dyDescent="0.2">
      <c r="A1649" s="5">
        <v>0</v>
      </c>
      <c r="B1649" s="6" t="s">
        <v>10053</v>
      </c>
      <c r="C1649" s="7">
        <v>1764</v>
      </c>
      <c r="D1649" s="8" t="s">
        <v>10054</v>
      </c>
      <c r="E1649" s="8" t="s">
        <v>10055</v>
      </c>
      <c r="F1649" s="8" t="s">
        <v>10056</v>
      </c>
      <c r="G1649" s="6" t="s">
        <v>33</v>
      </c>
      <c r="H1649" s="6" t="s">
        <v>34</v>
      </c>
      <c r="I1649" s="8" t="s">
        <v>35</v>
      </c>
      <c r="J1649" s="9">
        <v>1</v>
      </c>
      <c r="K1649" s="9">
        <v>315</v>
      </c>
      <c r="L1649" s="9">
        <v>2022</v>
      </c>
      <c r="M1649" s="8" t="s">
        <v>10057</v>
      </c>
      <c r="N1649" s="8" t="s">
        <v>243</v>
      </c>
      <c r="O1649" s="8" t="s">
        <v>798</v>
      </c>
      <c r="P1649" s="6" t="s">
        <v>39</v>
      </c>
      <c r="Q1649" s="8" t="s">
        <v>40</v>
      </c>
      <c r="R1649" s="10" t="s">
        <v>10058</v>
      </c>
      <c r="S1649" s="11"/>
      <c r="T1649" s="6"/>
      <c r="U1649" s="15" t="str">
        <f>HYPERLINK("https://media.infra-m.ru/1816/1816638/cover/1816638.jpg", "Обложка")</f>
        <v>Обложка</v>
      </c>
      <c r="V1649" s="8" t="s">
        <v>7509</v>
      </c>
      <c r="W1649" s="6"/>
      <c r="X1649" s="6"/>
      <c r="Y1649" s="6"/>
      <c r="Z1649" s="6"/>
      <c r="AA1649" s="6" t="s">
        <v>148</v>
      </c>
      <c r="AB1649" s="8"/>
      <c r="AC1649" s="27">
        <v>9785160171548</v>
      </c>
    </row>
    <row r="1650" spans="1:29" s="4" customFormat="1" ht="51.9" customHeight="1" x14ac:dyDescent="0.2">
      <c r="A1650" s="5">
        <v>0</v>
      </c>
      <c r="B1650" s="6" t="s">
        <v>10059</v>
      </c>
      <c r="C1650" s="7">
        <v>1204.8</v>
      </c>
      <c r="D1650" s="8" t="s">
        <v>10060</v>
      </c>
      <c r="E1650" s="8" t="s">
        <v>10061</v>
      </c>
      <c r="F1650" s="8" t="s">
        <v>10062</v>
      </c>
      <c r="G1650" s="6" t="s">
        <v>118</v>
      </c>
      <c r="H1650" s="6" t="s">
        <v>34</v>
      </c>
      <c r="I1650" s="8" t="s">
        <v>271</v>
      </c>
      <c r="J1650" s="9">
        <v>1</v>
      </c>
      <c r="K1650" s="9">
        <v>193</v>
      </c>
      <c r="L1650" s="9">
        <v>2025</v>
      </c>
      <c r="M1650" s="8" t="s">
        <v>10063</v>
      </c>
      <c r="N1650" s="8" t="s">
        <v>37</v>
      </c>
      <c r="O1650" s="8" t="s">
        <v>280</v>
      </c>
      <c r="P1650" s="6" t="s">
        <v>51</v>
      </c>
      <c r="Q1650" s="8" t="s">
        <v>52</v>
      </c>
      <c r="R1650" s="10" t="s">
        <v>3679</v>
      </c>
      <c r="S1650" s="11" t="s">
        <v>10064</v>
      </c>
      <c r="T1650" s="6"/>
      <c r="U1650" s="15" t="str">
        <f>HYPERLINK("https://media.infra-m.ru/2194/2194386/cover/2194386.jpg", "Обложка")</f>
        <v>Обложка</v>
      </c>
      <c r="V1650" s="8" t="s">
        <v>1425</v>
      </c>
      <c r="W1650" s="6"/>
      <c r="X1650" s="6"/>
      <c r="Y1650" s="6"/>
      <c r="Z1650" s="6"/>
      <c r="AA1650" s="6" t="s">
        <v>2240</v>
      </c>
      <c r="AB1650" s="8"/>
      <c r="AC1650" s="27">
        <v>9785160143767</v>
      </c>
    </row>
    <row r="1651" spans="1:29" s="4" customFormat="1" ht="51.9" customHeight="1" x14ac:dyDescent="0.2">
      <c r="A1651" s="5">
        <v>0</v>
      </c>
      <c r="B1651" s="6" t="s">
        <v>10065</v>
      </c>
      <c r="C1651" s="13">
        <v>809.9</v>
      </c>
      <c r="D1651" s="8" t="s">
        <v>10066</v>
      </c>
      <c r="E1651" s="8" t="s">
        <v>10067</v>
      </c>
      <c r="F1651" s="8" t="s">
        <v>10068</v>
      </c>
      <c r="G1651" s="6" t="s">
        <v>60</v>
      </c>
      <c r="H1651" s="6" t="s">
        <v>1795</v>
      </c>
      <c r="I1651" s="8"/>
      <c r="J1651" s="9">
        <v>1</v>
      </c>
      <c r="K1651" s="9">
        <v>208</v>
      </c>
      <c r="L1651" s="9">
        <v>2019</v>
      </c>
      <c r="M1651" s="8" t="s">
        <v>10069</v>
      </c>
      <c r="N1651" s="8" t="s">
        <v>37</v>
      </c>
      <c r="O1651" s="8" t="s">
        <v>280</v>
      </c>
      <c r="P1651" s="6" t="s">
        <v>51</v>
      </c>
      <c r="Q1651" s="8" t="s">
        <v>52</v>
      </c>
      <c r="R1651" s="10" t="s">
        <v>3679</v>
      </c>
      <c r="S1651" s="11"/>
      <c r="T1651" s="6"/>
      <c r="U1651" s="15" t="str">
        <f>HYPERLINK("https://media.infra-m.ru/1009/1009286/cover/1009286.jpg", "Обложка")</f>
        <v>Обложка</v>
      </c>
      <c r="V1651" s="8" t="s">
        <v>1425</v>
      </c>
      <c r="W1651" s="6"/>
      <c r="X1651" s="6"/>
      <c r="Y1651" s="6"/>
      <c r="Z1651" s="6"/>
      <c r="AA1651" s="6" t="s">
        <v>248</v>
      </c>
      <c r="AB1651" s="8"/>
      <c r="AC1651" s="27">
        <v>9785982814043</v>
      </c>
    </row>
    <row r="1652" spans="1:29" s="4" customFormat="1" ht="51.9" customHeight="1" x14ac:dyDescent="0.2">
      <c r="A1652" s="5">
        <v>0</v>
      </c>
      <c r="B1652" s="6" t="s">
        <v>10070</v>
      </c>
      <c r="C1652" s="7">
        <v>1120.8</v>
      </c>
      <c r="D1652" s="8" t="s">
        <v>10071</v>
      </c>
      <c r="E1652" s="8" t="s">
        <v>10072</v>
      </c>
      <c r="F1652" s="8" t="s">
        <v>10073</v>
      </c>
      <c r="G1652" s="6" t="s">
        <v>60</v>
      </c>
      <c r="H1652" s="6" t="s">
        <v>134</v>
      </c>
      <c r="I1652" s="8"/>
      <c r="J1652" s="9">
        <v>1</v>
      </c>
      <c r="K1652" s="9">
        <v>180</v>
      </c>
      <c r="L1652" s="9">
        <v>2026</v>
      </c>
      <c r="M1652" s="8" t="s">
        <v>10074</v>
      </c>
      <c r="N1652" s="8" t="s">
        <v>37</v>
      </c>
      <c r="O1652" s="8" t="s">
        <v>136</v>
      </c>
      <c r="P1652" s="6" t="s">
        <v>3141</v>
      </c>
      <c r="Q1652" s="8" t="s">
        <v>40</v>
      </c>
      <c r="R1652" s="10" t="s">
        <v>1661</v>
      </c>
      <c r="S1652" s="11"/>
      <c r="T1652" s="6"/>
      <c r="U1652" s="15" t="str">
        <f>HYPERLINK("https://media.infra-m.ru/2220/2220859/cover/2220859.jpg", "Обложка")</f>
        <v>Обложка</v>
      </c>
      <c r="V1652" s="8" t="s">
        <v>1928</v>
      </c>
      <c r="W1652" s="6"/>
      <c r="X1652" s="6"/>
      <c r="Y1652" s="6"/>
      <c r="Z1652" s="6"/>
      <c r="AA1652" s="6" t="s">
        <v>157</v>
      </c>
      <c r="AB1652" s="8"/>
      <c r="AC1652" s="27">
        <v>9785001562825</v>
      </c>
    </row>
    <row r="1653" spans="1:29" s="4" customFormat="1" ht="51.9" customHeight="1" x14ac:dyDescent="0.2">
      <c r="A1653" s="5">
        <v>0</v>
      </c>
      <c r="B1653" s="6" t="s">
        <v>10075</v>
      </c>
      <c r="C1653" s="7">
        <v>1980</v>
      </c>
      <c r="D1653" s="8" t="s">
        <v>10076</v>
      </c>
      <c r="E1653" s="8" t="s">
        <v>10077</v>
      </c>
      <c r="F1653" s="8" t="s">
        <v>10078</v>
      </c>
      <c r="G1653" s="6" t="s">
        <v>118</v>
      </c>
      <c r="H1653" s="6" t="s">
        <v>34</v>
      </c>
      <c r="I1653" s="8" t="s">
        <v>263</v>
      </c>
      <c r="J1653" s="9">
        <v>1</v>
      </c>
      <c r="K1653" s="9">
        <v>278</v>
      </c>
      <c r="L1653" s="9">
        <v>2027</v>
      </c>
      <c r="M1653" s="8" t="s">
        <v>10079</v>
      </c>
      <c r="N1653" s="8" t="s">
        <v>243</v>
      </c>
      <c r="O1653" s="8" t="s">
        <v>758</v>
      </c>
      <c r="P1653" s="6" t="s">
        <v>51</v>
      </c>
      <c r="Q1653" s="8" t="s">
        <v>265</v>
      </c>
      <c r="R1653" s="10" t="s">
        <v>10080</v>
      </c>
      <c r="S1653" s="11" t="s">
        <v>10081</v>
      </c>
      <c r="T1653" s="6"/>
      <c r="U1653" s="15" t="str">
        <f>HYPERLINK("https://media.infra-m.ru/2270/2270079/cover/2270079.jpg", "Обложка")</f>
        <v>Обложка</v>
      </c>
      <c r="V1653" s="8" t="s">
        <v>10082</v>
      </c>
      <c r="W1653" s="6"/>
      <c r="X1653" s="6" t="s">
        <v>24</v>
      </c>
      <c r="Y1653" s="6"/>
      <c r="Z1653" s="6"/>
      <c r="AA1653" s="6" t="s">
        <v>115</v>
      </c>
      <c r="AB1653" s="8"/>
      <c r="AC1653" s="27">
        <v>9785160151526</v>
      </c>
    </row>
    <row r="1654" spans="1:29" s="4" customFormat="1" ht="42" customHeight="1" x14ac:dyDescent="0.2">
      <c r="A1654" s="5">
        <v>0</v>
      </c>
      <c r="B1654" s="6" t="s">
        <v>10083</v>
      </c>
      <c r="C1654" s="7">
        <v>1432.8</v>
      </c>
      <c r="D1654" s="8" t="s">
        <v>10084</v>
      </c>
      <c r="E1654" s="8" t="s">
        <v>10085</v>
      </c>
      <c r="F1654" s="8" t="s">
        <v>10086</v>
      </c>
      <c r="G1654" s="6" t="s">
        <v>60</v>
      </c>
      <c r="H1654" s="6" t="s">
        <v>34</v>
      </c>
      <c r="I1654" s="8" t="s">
        <v>35</v>
      </c>
      <c r="J1654" s="9">
        <v>1</v>
      </c>
      <c r="K1654" s="9">
        <v>205</v>
      </c>
      <c r="L1654" s="9">
        <v>2026</v>
      </c>
      <c r="M1654" s="8" t="s">
        <v>10087</v>
      </c>
      <c r="N1654" s="8" t="s">
        <v>37</v>
      </c>
      <c r="O1654" s="8" t="s">
        <v>136</v>
      </c>
      <c r="P1654" s="6" t="s">
        <v>39</v>
      </c>
      <c r="Q1654" s="8" t="s">
        <v>40</v>
      </c>
      <c r="R1654" s="10" t="s">
        <v>10088</v>
      </c>
      <c r="S1654" s="11"/>
      <c r="T1654" s="6"/>
      <c r="U1654" s="15" t="str">
        <f>HYPERLINK("https://media.infra-m.ru/2244/2244463/cover/2244463.jpg", "Обложка")</f>
        <v>Обложка</v>
      </c>
      <c r="V1654" s="8"/>
      <c r="W1654" s="6"/>
      <c r="X1654" s="6"/>
      <c r="Y1654" s="6"/>
      <c r="Z1654" s="6"/>
      <c r="AA1654" s="6" t="s">
        <v>148</v>
      </c>
      <c r="AB1654" s="8"/>
      <c r="AC1654" s="27">
        <v>9785160175096</v>
      </c>
    </row>
    <row r="1655" spans="1:29" s="4" customFormat="1" ht="44.1" customHeight="1" x14ac:dyDescent="0.2">
      <c r="A1655" s="5">
        <v>0</v>
      </c>
      <c r="B1655" s="6" t="s">
        <v>10089</v>
      </c>
      <c r="C1655" s="7">
        <v>2388</v>
      </c>
      <c r="D1655" s="8" t="s">
        <v>10090</v>
      </c>
      <c r="E1655" s="8" t="s">
        <v>10091</v>
      </c>
      <c r="F1655" s="8" t="s">
        <v>661</v>
      </c>
      <c r="G1655" s="6" t="s">
        <v>118</v>
      </c>
      <c r="H1655" s="6" t="s">
        <v>34</v>
      </c>
      <c r="I1655" s="8"/>
      <c r="J1655" s="9">
        <v>1</v>
      </c>
      <c r="K1655" s="9">
        <v>526</v>
      </c>
      <c r="L1655" s="9">
        <v>2021</v>
      </c>
      <c r="M1655" s="8" t="s">
        <v>10092</v>
      </c>
      <c r="N1655" s="8" t="s">
        <v>37</v>
      </c>
      <c r="O1655" s="8" t="s">
        <v>280</v>
      </c>
      <c r="P1655" s="6" t="s">
        <v>10093</v>
      </c>
      <c r="Q1655" s="8" t="s">
        <v>183</v>
      </c>
      <c r="R1655" s="10" t="s">
        <v>10094</v>
      </c>
      <c r="S1655" s="11"/>
      <c r="T1655" s="6"/>
      <c r="U1655" s="15" t="str">
        <f>HYPERLINK("https://media.infra-m.ru/1163/1163311/cover/1163311.jpg", "Обложка")</f>
        <v>Обложка</v>
      </c>
      <c r="V1655" s="8" t="s">
        <v>3196</v>
      </c>
      <c r="W1655" s="6"/>
      <c r="X1655" s="6"/>
      <c r="Y1655" s="6"/>
      <c r="Z1655" s="6"/>
      <c r="AA1655" s="6" t="s">
        <v>10095</v>
      </c>
      <c r="AB1655" s="8"/>
      <c r="AC1655" s="27">
        <v>9785160164809</v>
      </c>
    </row>
    <row r="1656" spans="1:29" s="4" customFormat="1" ht="51.9" customHeight="1" x14ac:dyDescent="0.2">
      <c r="A1656" s="5">
        <v>0</v>
      </c>
      <c r="B1656" s="6" t="s">
        <v>10096</v>
      </c>
      <c r="C1656" s="7">
        <v>2884.8</v>
      </c>
      <c r="D1656" s="8" t="s">
        <v>10097</v>
      </c>
      <c r="E1656" s="8" t="s">
        <v>10098</v>
      </c>
      <c r="F1656" s="8" t="s">
        <v>10099</v>
      </c>
      <c r="G1656" s="6" t="s">
        <v>118</v>
      </c>
      <c r="H1656" s="6" t="s">
        <v>34</v>
      </c>
      <c r="I1656" s="8" t="s">
        <v>271</v>
      </c>
      <c r="J1656" s="9">
        <v>1</v>
      </c>
      <c r="K1656" s="9">
        <v>462</v>
      </c>
      <c r="L1656" s="9">
        <v>2025</v>
      </c>
      <c r="M1656" s="8" t="s">
        <v>10100</v>
      </c>
      <c r="N1656" s="8" t="s">
        <v>243</v>
      </c>
      <c r="O1656" s="8" t="s">
        <v>798</v>
      </c>
      <c r="P1656" s="6" t="s">
        <v>51</v>
      </c>
      <c r="Q1656" s="8" t="s">
        <v>52</v>
      </c>
      <c r="R1656" s="10" t="s">
        <v>6735</v>
      </c>
      <c r="S1656" s="11" t="s">
        <v>10101</v>
      </c>
      <c r="T1656" s="6"/>
      <c r="U1656" s="15" t="str">
        <f>HYPERLINK("https://media.infra-m.ru/2210/2210204/cover/2210204.jpg", "Обложка")</f>
        <v>Обложка</v>
      </c>
      <c r="V1656" s="8" t="s">
        <v>7509</v>
      </c>
      <c r="W1656" s="6"/>
      <c r="X1656" s="6"/>
      <c r="Y1656" s="6"/>
      <c r="Z1656" s="6"/>
      <c r="AA1656" s="6" t="s">
        <v>55</v>
      </c>
      <c r="AB1656" s="8"/>
      <c r="AC1656" s="27">
        <v>9785160066943</v>
      </c>
    </row>
    <row r="1657" spans="1:29" s="4" customFormat="1" ht="51.9" customHeight="1" x14ac:dyDescent="0.2">
      <c r="A1657" s="5">
        <v>0</v>
      </c>
      <c r="B1657" s="6" t="s">
        <v>10102</v>
      </c>
      <c r="C1657" s="7">
        <v>3936</v>
      </c>
      <c r="D1657" s="8" t="s">
        <v>10103</v>
      </c>
      <c r="E1657" s="8" t="s">
        <v>10104</v>
      </c>
      <c r="F1657" s="8" t="s">
        <v>10105</v>
      </c>
      <c r="G1657" s="6" t="s">
        <v>60</v>
      </c>
      <c r="H1657" s="6" t="s">
        <v>34</v>
      </c>
      <c r="I1657" s="8" t="s">
        <v>271</v>
      </c>
      <c r="J1657" s="9">
        <v>1</v>
      </c>
      <c r="K1657" s="9">
        <v>630</v>
      </c>
      <c r="L1657" s="9">
        <v>2025</v>
      </c>
      <c r="M1657" s="8" t="s">
        <v>10106</v>
      </c>
      <c r="N1657" s="8" t="s">
        <v>243</v>
      </c>
      <c r="O1657" s="8" t="s">
        <v>798</v>
      </c>
      <c r="P1657" s="6" t="s">
        <v>105</v>
      </c>
      <c r="Q1657" s="8" t="s">
        <v>52</v>
      </c>
      <c r="R1657" s="10" t="s">
        <v>6735</v>
      </c>
      <c r="S1657" s="11" t="s">
        <v>10107</v>
      </c>
      <c r="T1657" s="6"/>
      <c r="U1657" s="15" t="str">
        <f>HYPERLINK("https://media.infra-m.ru/2206/2206243/cover/2206243.jpg", "Обложка")</f>
        <v>Обложка</v>
      </c>
      <c r="V1657" s="8" t="s">
        <v>7509</v>
      </c>
      <c r="W1657" s="6"/>
      <c r="X1657" s="6"/>
      <c r="Y1657" s="6"/>
      <c r="Z1657" s="6"/>
      <c r="AA1657" s="6" t="s">
        <v>55</v>
      </c>
      <c r="AB1657" s="8"/>
      <c r="AC1657" s="27">
        <v>9785160064031</v>
      </c>
    </row>
    <row r="1658" spans="1:29" s="4" customFormat="1" ht="51.9" customHeight="1" x14ac:dyDescent="0.2">
      <c r="A1658" s="5">
        <v>0</v>
      </c>
      <c r="B1658" s="6" t="s">
        <v>10108</v>
      </c>
      <c r="C1658" s="7">
        <v>1284</v>
      </c>
      <c r="D1658" s="8" t="s">
        <v>10109</v>
      </c>
      <c r="E1658" s="8" t="s">
        <v>10110</v>
      </c>
      <c r="F1658" s="8" t="s">
        <v>10111</v>
      </c>
      <c r="G1658" s="6" t="s">
        <v>118</v>
      </c>
      <c r="H1658" s="6" t="s">
        <v>34</v>
      </c>
      <c r="I1658" s="8" t="s">
        <v>10112</v>
      </c>
      <c r="J1658" s="9">
        <v>1</v>
      </c>
      <c r="K1658" s="9">
        <v>237</v>
      </c>
      <c r="L1658" s="9">
        <v>2023</v>
      </c>
      <c r="M1658" s="8" t="s">
        <v>10113</v>
      </c>
      <c r="N1658" s="8" t="s">
        <v>243</v>
      </c>
      <c r="O1658" s="8" t="s">
        <v>758</v>
      </c>
      <c r="P1658" s="6" t="s">
        <v>51</v>
      </c>
      <c r="Q1658" s="8" t="s">
        <v>500</v>
      </c>
      <c r="R1658" s="10" t="s">
        <v>10114</v>
      </c>
      <c r="S1658" s="11" t="s">
        <v>10115</v>
      </c>
      <c r="T1658" s="6"/>
      <c r="U1658" s="15" t="str">
        <f>HYPERLINK("https://media.infra-m.ru/1939/1939945/cover/1939945.jpg", "Обложка")</f>
        <v>Обложка</v>
      </c>
      <c r="V1658" s="8" t="s">
        <v>1083</v>
      </c>
      <c r="W1658" s="6"/>
      <c r="X1658" s="6"/>
      <c r="Y1658" s="6"/>
      <c r="Z1658" s="6"/>
      <c r="AA1658" s="6" t="s">
        <v>86</v>
      </c>
      <c r="AB1658" s="8"/>
      <c r="AC1658" s="27">
        <v>9785160159799</v>
      </c>
    </row>
    <row r="1659" spans="1:29" s="4" customFormat="1" ht="51.9" customHeight="1" x14ac:dyDescent="0.2">
      <c r="A1659" s="5">
        <v>0</v>
      </c>
      <c r="B1659" s="6" t="s">
        <v>10116</v>
      </c>
      <c r="C1659" s="7">
        <v>3112.8</v>
      </c>
      <c r="D1659" s="8" t="s">
        <v>10117</v>
      </c>
      <c r="E1659" s="8" t="s">
        <v>10118</v>
      </c>
      <c r="F1659" s="8" t="s">
        <v>10119</v>
      </c>
      <c r="G1659" s="6" t="s">
        <v>60</v>
      </c>
      <c r="H1659" s="6" t="s">
        <v>34</v>
      </c>
      <c r="I1659" s="8" t="s">
        <v>253</v>
      </c>
      <c r="J1659" s="9">
        <v>1</v>
      </c>
      <c r="K1659" s="9">
        <v>400</v>
      </c>
      <c r="L1659" s="9">
        <v>2026</v>
      </c>
      <c r="M1659" s="8" t="s">
        <v>10120</v>
      </c>
      <c r="N1659" s="8" t="s">
        <v>243</v>
      </c>
      <c r="O1659" s="8" t="s">
        <v>798</v>
      </c>
      <c r="P1659" s="6" t="s">
        <v>51</v>
      </c>
      <c r="Q1659" s="8" t="s">
        <v>52</v>
      </c>
      <c r="R1659" s="10" t="s">
        <v>6735</v>
      </c>
      <c r="S1659" s="11" t="s">
        <v>10121</v>
      </c>
      <c r="T1659" s="6"/>
      <c r="U1659" s="15" t="str">
        <f>HYPERLINK("https://media.infra-m.ru/2264/2264711/cover/2264711.jpg", "Обложка")</f>
        <v>Обложка</v>
      </c>
      <c r="V1659" s="8" t="s">
        <v>4368</v>
      </c>
      <c r="W1659" s="6"/>
      <c r="X1659" s="6"/>
      <c r="Y1659" s="6"/>
      <c r="Z1659" s="6"/>
      <c r="AA1659" s="6" t="s">
        <v>274</v>
      </c>
      <c r="AB1659" s="8"/>
      <c r="AC1659" s="27">
        <v>9785160060743</v>
      </c>
    </row>
    <row r="1660" spans="1:29" s="4" customFormat="1" ht="51.9" customHeight="1" x14ac:dyDescent="0.2">
      <c r="A1660" s="5">
        <v>0</v>
      </c>
      <c r="B1660" s="6" t="s">
        <v>10122</v>
      </c>
      <c r="C1660" s="7">
        <v>1416</v>
      </c>
      <c r="D1660" s="8" t="s">
        <v>10123</v>
      </c>
      <c r="E1660" s="8" t="s">
        <v>10124</v>
      </c>
      <c r="F1660" s="8" t="s">
        <v>10125</v>
      </c>
      <c r="G1660" s="6" t="s">
        <v>60</v>
      </c>
      <c r="H1660" s="6" t="s">
        <v>34</v>
      </c>
      <c r="I1660" s="8" t="s">
        <v>35</v>
      </c>
      <c r="J1660" s="9">
        <v>1</v>
      </c>
      <c r="K1660" s="9">
        <v>213</v>
      </c>
      <c r="L1660" s="9">
        <v>2025</v>
      </c>
      <c r="M1660" s="8" t="s">
        <v>10126</v>
      </c>
      <c r="N1660" s="8" t="s">
        <v>63</v>
      </c>
      <c r="O1660" s="8" t="s">
        <v>126</v>
      </c>
      <c r="P1660" s="6" t="s">
        <v>39</v>
      </c>
      <c r="Q1660" s="8" t="s">
        <v>40</v>
      </c>
      <c r="R1660" s="10" t="s">
        <v>10127</v>
      </c>
      <c r="S1660" s="11"/>
      <c r="T1660" s="6"/>
      <c r="U1660" s="15" t="str">
        <f>HYPERLINK("https://media.infra-m.ru/2211/2211639/cover/2211639.jpg", "Обложка")</f>
        <v>Обложка</v>
      </c>
      <c r="V1660" s="8" t="s">
        <v>3177</v>
      </c>
      <c r="W1660" s="6" t="s">
        <v>2565</v>
      </c>
      <c r="X1660" s="6"/>
      <c r="Y1660" s="6"/>
      <c r="Z1660" s="6"/>
      <c r="AA1660" s="6" t="s">
        <v>917</v>
      </c>
      <c r="AB1660" s="8"/>
      <c r="AC1660" s="27">
        <v>9785160210421</v>
      </c>
    </row>
    <row r="1661" spans="1:29" s="4" customFormat="1" ht="42" customHeight="1" x14ac:dyDescent="0.2">
      <c r="A1661" s="5">
        <v>0</v>
      </c>
      <c r="B1661" s="6" t="s">
        <v>10128</v>
      </c>
      <c r="C1661" s="7">
        <v>2593.6999999999998</v>
      </c>
      <c r="D1661" s="8" t="s">
        <v>10129</v>
      </c>
      <c r="E1661" s="8" t="s">
        <v>10130</v>
      </c>
      <c r="F1661" s="8" t="s">
        <v>10131</v>
      </c>
      <c r="G1661" s="6" t="s">
        <v>118</v>
      </c>
      <c r="H1661" s="6" t="s">
        <v>34</v>
      </c>
      <c r="I1661" s="8" t="s">
        <v>253</v>
      </c>
      <c r="J1661" s="9">
        <v>1</v>
      </c>
      <c r="K1661" s="9">
        <v>241</v>
      </c>
      <c r="L1661" s="9">
        <v>2025</v>
      </c>
      <c r="M1661" s="8" t="s">
        <v>10132</v>
      </c>
      <c r="N1661" s="8" t="s">
        <v>37</v>
      </c>
      <c r="O1661" s="8" t="s">
        <v>136</v>
      </c>
      <c r="P1661" s="6" t="s">
        <v>51</v>
      </c>
      <c r="Q1661" s="8" t="s">
        <v>65</v>
      </c>
      <c r="R1661" s="10" t="s">
        <v>10133</v>
      </c>
      <c r="S1661" s="11"/>
      <c r="T1661" s="6"/>
      <c r="U1661" s="15" t="str">
        <f>HYPERLINK("https://media.infra-m.ru/2217/2217148/cover/2217148.jpg", "Обложка")</f>
        <v>Обложка</v>
      </c>
      <c r="V1661" s="8" t="s">
        <v>588</v>
      </c>
      <c r="W1661" s="6"/>
      <c r="X1661" s="6"/>
      <c r="Y1661" s="6"/>
      <c r="Z1661" s="6"/>
      <c r="AA1661" s="6" t="s">
        <v>76</v>
      </c>
      <c r="AB1661" s="8"/>
      <c r="AC1661" s="27">
        <v>9785160192307</v>
      </c>
    </row>
    <row r="1662" spans="1:29" s="4" customFormat="1" ht="42" customHeight="1" x14ac:dyDescent="0.2">
      <c r="A1662" s="5">
        <v>0</v>
      </c>
      <c r="B1662" s="6" t="s">
        <v>10134</v>
      </c>
      <c r="C1662" s="7">
        <v>1920</v>
      </c>
      <c r="D1662" s="8" t="s">
        <v>10135</v>
      </c>
      <c r="E1662" s="8" t="s">
        <v>10136</v>
      </c>
      <c r="F1662" s="8" t="s">
        <v>10131</v>
      </c>
      <c r="G1662" s="6" t="s">
        <v>60</v>
      </c>
      <c r="H1662" s="6" t="s">
        <v>34</v>
      </c>
      <c r="I1662" s="8" t="s">
        <v>253</v>
      </c>
      <c r="J1662" s="9">
        <v>1</v>
      </c>
      <c r="K1662" s="9">
        <v>265</v>
      </c>
      <c r="L1662" s="9">
        <v>2026</v>
      </c>
      <c r="M1662" s="8" t="s">
        <v>10137</v>
      </c>
      <c r="N1662" s="8" t="s">
        <v>37</v>
      </c>
      <c r="O1662" s="8" t="s">
        <v>136</v>
      </c>
      <c r="P1662" s="6" t="s">
        <v>51</v>
      </c>
      <c r="Q1662" s="8" t="s">
        <v>65</v>
      </c>
      <c r="R1662" s="10" t="s">
        <v>10133</v>
      </c>
      <c r="S1662" s="11"/>
      <c r="T1662" s="6"/>
      <c r="U1662" s="15" t="str">
        <f>HYPERLINK("https://media.infra-m.ru/2246/2246495/cover/2246495.jpg", "Обложка")</f>
        <v>Обложка</v>
      </c>
      <c r="V1662" s="8" t="s">
        <v>588</v>
      </c>
      <c r="W1662" s="6" t="s">
        <v>9380</v>
      </c>
      <c r="X1662" s="6"/>
      <c r="Y1662" s="6"/>
      <c r="Z1662" s="6"/>
      <c r="AA1662" s="6" t="s">
        <v>650</v>
      </c>
      <c r="AB1662" s="8"/>
      <c r="AC1662" s="27">
        <v>9785160220154</v>
      </c>
    </row>
    <row r="1663" spans="1:29" s="4" customFormat="1" ht="42" customHeight="1" x14ac:dyDescent="0.2">
      <c r="A1663" s="5">
        <v>0</v>
      </c>
      <c r="B1663" s="6" t="s">
        <v>10138</v>
      </c>
      <c r="C1663" s="13">
        <v>540</v>
      </c>
      <c r="D1663" s="8" t="s">
        <v>10139</v>
      </c>
      <c r="E1663" s="8" t="s">
        <v>10140</v>
      </c>
      <c r="F1663" s="8" t="s">
        <v>10141</v>
      </c>
      <c r="G1663" s="6" t="s">
        <v>33</v>
      </c>
      <c r="H1663" s="6" t="s">
        <v>34</v>
      </c>
      <c r="I1663" s="8" t="s">
        <v>35</v>
      </c>
      <c r="J1663" s="9">
        <v>1</v>
      </c>
      <c r="K1663" s="9">
        <v>100</v>
      </c>
      <c r="L1663" s="9">
        <v>2023</v>
      </c>
      <c r="M1663" s="8" t="s">
        <v>10142</v>
      </c>
      <c r="N1663" s="8" t="s">
        <v>37</v>
      </c>
      <c r="O1663" s="8" t="s">
        <v>136</v>
      </c>
      <c r="P1663" s="6" t="s">
        <v>39</v>
      </c>
      <c r="Q1663" s="8" t="s">
        <v>40</v>
      </c>
      <c r="R1663" s="10" t="s">
        <v>1625</v>
      </c>
      <c r="S1663" s="11"/>
      <c r="T1663" s="6"/>
      <c r="U1663" s="15" t="str">
        <f>HYPERLINK("https://media.infra-m.ru/2019/2019767/cover/2019767.jpg", "Обложка")</f>
        <v>Обложка</v>
      </c>
      <c r="V1663" s="8" t="s">
        <v>227</v>
      </c>
      <c r="W1663" s="6"/>
      <c r="X1663" s="6"/>
      <c r="Y1663" s="6"/>
      <c r="Z1663" s="6"/>
      <c r="AA1663" s="6" t="s">
        <v>43</v>
      </c>
      <c r="AB1663" s="8"/>
      <c r="AC1663" s="27">
        <v>9785160052397</v>
      </c>
    </row>
    <row r="1664" spans="1:29" s="4" customFormat="1" ht="44.1" customHeight="1" x14ac:dyDescent="0.2">
      <c r="A1664" s="5">
        <v>0</v>
      </c>
      <c r="B1664" s="6" t="s">
        <v>10143</v>
      </c>
      <c r="C1664" s="7">
        <v>1264.8</v>
      </c>
      <c r="D1664" s="8" t="s">
        <v>10144</v>
      </c>
      <c r="E1664" s="8" t="s">
        <v>10145</v>
      </c>
      <c r="F1664" s="8" t="s">
        <v>9941</v>
      </c>
      <c r="G1664" s="6" t="s">
        <v>60</v>
      </c>
      <c r="H1664" s="6" t="s">
        <v>134</v>
      </c>
      <c r="I1664" s="8"/>
      <c r="J1664" s="9">
        <v>1</v>
      </c>
      <c r="K1664" s="9">
        <v>192</v>
      </c>
      <c r="L1664" s="9">
        <v>2026</v>
      </c>
      <c r="M1664" s="8" t="s">
        <v>10146</v>
      </c>
      <c r="N1664" s="8" t="s">
        <v>37</v>
      </c>
      <c r="O1664" s="8" t="s">
        <v>136</v>
      </c>
      <c r="P1664" s="6" t="s">
        <v>39</v>
      </c>
      <c r="Q1664" s="8" t="s">
        <v>40</v>
      </c>
      <c r="R1664" s="10" t="s">
        <v>6534</v>
      </c>
      <c r="S1664" s="11"/>
      <c r="T1664" s="6"/>
      <c r="U1664" s="15" t="str">
        <f>HYPERLINK("https://media.infra-m.ru/2147/2147468/cover/2147468.jpg", "Обложка")</f>
        <v>Обложка</v>
      </c>
      <c r="V1664" s="8" t="s">
        <v>9943</v>
      </c>
      <c r="W1664" s="6"/>
      <c r="X1664" s="6"/>
      <c r="Y1664" s="6"/>
      <c r="Z1664" s="6"/>
      <c r="AA1664" s="6" t="s">
        <v>55</v>
      </c>
      <c r="AB1664" s="8"/>
      <c r="AC1664" s="27">
        <v>9785917683805</v>
      </c>
    </row>
    <row r="1665" spans="1:29" s="4" customFormat="1" ht="51.9" customHeight="1" x14ac:dyDescent="0.2">
      <c r="A1665" s="5">
        <v>0</v>
      </c>
      <c r="B1665" s="6" t="s">
        <v>10147</v>
      </c>
      <c r="C1665" s="7">
        <v>1452</v>
      </c>
      <c r="D1665" s="8" t="s">
        <v>10148</v>
      </c>
      <c r="E1665" s="8" t="s">
        <v>10149</v>
      </c>
      <c r="F1665" s="8" t="s">
        <v>10150</v>
      </c>
      <c r="G1665" s="6" t="s">
        <v>118</v>
      </c>
      <c r="H1665" s="6" t="s">
        <v>134</v>
      </c>
      <c r="I1665" s="8"/>
      <c r="J1665" s="9">
        <v>1</v>
      </c>
      <c r="K1665" s="9">
        <v>232</v>
      </c>
      <c r="L1665" s="9">
        <v>2025</v>
      </c>
      <c r="M1665" s="8" t="s">
        <v>10151</v>
      </c>
      <c r="N1665" s="8" t="s">
        <v>37</v>
      </c>
      <c r="O1665" s="8" t="s">
        <v>136</v>
      </c>
      <c r="P1665" s="6" t="s">
        <v>306</v>
      </c>
      <c r="Q1665" s="8" t="s">
        <v>52</v>
      </c>
      <c r="R1665" s="10" t="s">
        <v>1255</v>
      </c>
      <c r="S1665" s="11"/>
      <c r="T1665" s="6"/>
      <c r="U1665" s="15" t="str">
        <f>HYPERLINK("https://media.infra-m.ru/2194/2194345/cover/2194345.jpg", "Обложка")</f>
        <v>Обложка</v>
      </c>
      <c r="V1665" s="8" t="s">
        <v>1184</v>
      </c>
      <c r="W1665" s="6"/>
      <c r="X1665" s="6"/>
      <c r="Y1665" s="6"/>
      <c r="Z1665" s="6"/>
      <c r="AA1665" s="6" t="s">
        <v>148</v>
      </c>
      <c r="AB1665" s="8" t="s">
        <v>10152</v>
      </c>
      <c r="AC1665" s="27">
        <v>9785001561859</v>
      </c>
    </row>
    <row r="1666" spans="1:29" s="4" customFormat="1" ht="51.9" customHeight="1" x14ac:dyDescent="0.2">
      <c r="A1666" s="5">
        <v>0</v>
      </c>
      <c r="B1666" s="6" t="s">
        <v>10153</v>
      </c>
      <c r="C1666" s="7">
        <v>2544</v>
      </c>
      <c r="D1666" s="8" t="s">
        <v>10154</v>
      </c>
      <c r="E1666" s="8" t="s">
        <v>10155</v>
      </c>
      <c r="F1666" s="8" t="s">
        <v>10150</v>
      </c>
      <c r="G1666" s="6" t="s">
        <v>60</v>
      </c>
      <c r="H1666" s="6" t="s">
        <v>134</v>
      </c>
      <c r="I1666" s="8"/>
      <c r="J1666" s="9">
        <v>1</v>
      </c>
      <c r="K1666" s="9">
        <v>408</v>
      </c>
      <c r="L1666" s="9">
        <v>2026</v>
      </c>
      <c r="M1666" s="8" t="s">
        <v>10156</v>
      </c>
      <c r="N1666" s="8" t="s">
        <v>37</v>
      </c>
      <c r="O1666" s="8" t="s">
        <v>136</v>
      </c>
      <c r="P1666" s="6" t="s">
        <v>39</v>
      </c>
      <c r="Q1666" s="8" t="s">
        <v>40</v>
      </c>
      <c r="R1666" s="10" t="s">
        <v>4881</v>
      </c>
      <c r="S1666" s="11"/>
      <c r="T1666" s="6"/>
      <c r="U1666" s="15" t="str">
        <f>HYPERLINK("https://media.infra-m.ru/2212/2212342/cover/2212342.jpg", "Обложка")</f>
        <v>Обложка</v>
      </c>
      <c r="V1666" s="8" t="s">
        <v>1184</v>
      </c>
      <c r="W1666" s="6"/>
      <c r="X1666" s="6"/>
      <c r="Y1666" s="6"/>
      <c r="Z1666" s="6"/>
      <c r="AA1666" s="6" t="s">
        <v>430</v>
      </c>
      <c r="AB1666" s="8"/>
      <c r="AC1666" s="27">
        <v>9785001561613</v>
      </c>
    </row>
    <row r="1667" spans="1:29" s="4" customFormat="1" ht="51.9" customHeight="1" x14ac:dyDescent="0.2">
      <c r="A1667" s="5">
        <v>0</v>
      </c>
      <c r="B1667" s="6" t="s">
        <v>10157</v>
      </c>
      <c r="C1667" s="7">
        <v>1012.8</v>
      </c>
      <c r="D1667" s="8" t="s">
        <v>10158</v>
      </c>
      <c r="E1667" s="8" t="s">
        <v>10159</v>
      </c>
      <c r="F1667" s="8" t="s">
        <v>10160</v>
      </c>
      <c r="G1667" s="6" t="s">
        <v>118</v>
      </c>
      <c r="H1667" s="6" t="s">
        <v>34</v>
      </c>
      <c r="I1667" s="8" t="s">
        <v>504</v>
      </c>
      <c r="J1667" s="9">
        <v>1</v>
      </c>
      <c r="K1667" s="9">
        <v>168</v>
      </c>
      <c r="L1667" s="9">
        <v>2025</v>
      </c>
      <c r="M1667" s="8" t="s">
        <v>10161</v>
      </c>
      <c r="N1667" s="8" t="s">
        <v>37</v>
      </c>
      <c r="O1667" s="8" t="s">
        <v>136</v>
      </c>
      <c r="P1667" s="6" t="s">
        <v>51</v>
      </c>
      <c r="Q1667" s="8" t="s">
        <v>500</v>
      </c>
      <c r="R1667" s="10" t="s">
        <v>1230</v>
      </c>
      <c r="S1667" s="11" t="s">
        <v>10162</v>
      </c>
      <c r="T1667" s="6"/>
      <c r="U1667" s="15" t="str">
        <f>HYPERLINK("https://media.infra-m.ru/2115/2115270/cover/2115270.jpg", "Обложка")</f>
        <v>Обложка</v>
      </c>
      <c r="V1667" s="8" t="s">
        <v>10163</v>
      </c>
      <c r="W1667" s="6"/>
      <c r="X1667" s="6"/>
      <c r="Y1667" s="6"/>
      <c r="Z1667" s="6"/>
      <c r="AA1667" s="6" t="s">
        <v>1256</v>
      </c>
      <c r="AB1667" s="8"/>
      <c r="AC1667" s="27">
        <v>9785160147604</v>
      </c>
    </row>
    <row r="1668" spans="1:29" s="4" customFormat="1" ht="42" customHeight="1" x14ac:dyDescent="0.2">
      <c r="A1668" s="5">
        <v>0</v>
      </c>
      <c r="B1668" s="6" t="s">
        <v>10164</v>
      </c>
      <c r="C1668" s="7">
        <v>1300.8</v>
      </c>
      <c r="D1668" s="8" t="s">
        <v>10165</v>
      </c>
      <c r="E1668" s="8" t="s">
        <v>10166</v>
      </c>
      <c r="F1668" s="8" t="s">
        <v>10167</v>
      </c>
      <c r="G1668" s="6" t="s">
        <v>21</v>
      </c>
      <c r="H1668" s="6" t="s">
        <v>134</v>
      </c>
      <c r="I1668" s="8"/>
      <c r="J1668" s="9">
        <v>1</v>
      </c>
      <c r="K1668" s="9">
        <v>208</v>
      </c>
      <c r="L1668" s="9">
        <v>2025</v>
      </c>
      <c r="M1668" s="8" t="s">
        <v>10168</v>
      </c>
      <c r="N1668" s="8" t="s">
        <v>37</v>
      </c>
      <c r="O1668" s="8" t="s">
        <v>136</v>
      </c>
      <c r="P1668" s="6" t="s">
        <v>39</v>
      </c>
      <c r="Q1668" s="8" t="s">
        <v>40</v>
      </c>
      <c r="R1668" s="10" t="s">
        <v>1625</v>
      </c>
      <c r="S1668" s="11"/>
      <c r="T1668" s="6"/>
      <c r="U1668" s="15" t="str">
        <f>HYPERLINK("https://media.infra-m.ru/2192/2192456/cover/2192456.jpg", "Обложка")</f>
        <v>Обложка</v>
      </c>
      <c r="V1668" s="8" t="s">
        <v>1357</v>
      </c>
      <c r="W1668" s="6"/>
      <c r="X1668" s="6"/>
      <c r="Y1668" s="6"/>
      <c r="Z1668" s="6"/>
      <c r="AA1668" s="6" t="s">
        <v>55</v>
      </c>
      <c r="AB1668" s="8"/>
      <c r="AC1668" s="27">
        <v>9785917684123</v>
      </c>
    </row>
    <row r="1669" spans="1:29" s="4" customFormat="1" ht="44.1" customHeight="1" x14ac:dyDescent="0.2">
      <c r="A1669" s="5">
        <v>0</v>
      </c>
      <c r="B1669" s="6" t="s">
        <v>10169</v>
      </c>
      <c r="C1669" s="7">
        <v>1800</v>
      </c>
      <c r="D1669" s="8" t="s">
        <v>10170</v>
      </c>
      <c r="E1669" s="8" t="s">
        <v>10171</v>
      </c>
      <c r="F1669" s="8" t="s">
        <v>10172</v>
      </c>
      <c r="G1669" s="6" t="s">
        <v>118</v>
      </c>
      <c r="H1669" s="6" t="s">
        <v>34</v>
      </c>
      <c r="I1669" s="8" t="s">
        <v>263</v>
      </c>
      <c r="J1669" s="9">
        <v>1</v>
      </c>
      <c r="K1669" s="9">
        <v>272</v>
      </c>
      <c r="L1669" s="9">
        <v>2026</v>
      </c>
      <c r="M1669" s="8" t="s">
        <v>10173</v>
      </c>
      <c r="N1669" s="8" t="s">
        <v>93</v>
      </c>
      <c r="O1669" s="8" t="s">
        <v>94</v>
      </c>
      <c r="P1669" s="6" t="s">
        <v>51</v>
      </c>
      <c r="Q1669" s="8" t="s">
        <v>265</v>
      </c>
      <c r="R1669" s="10" t="s">
        <v>10174</v>
      </c>
      <c r="S1669" s="11"/>
      <c r="T1669" s="6"/>
      <c r="U1669" s="15" t="str">
        <f>HYPERLINK("https://media.infra-m.ru/2215/2215336/cover/2215336.jpg", "Обложка")</f>
        <v>Обложка</v>
      </c>
      <c r="V1669" s="8" t="s">
        <v>10175</v>
      </c>
      <c r="W1669" s="6"/>
      <c r="X1669" s="6"/>
      <c r="Y1669" s="6"/>
      <c r="Z1669" s="6" t="s">
        <v>267</v>
      </c>
      <c r="AA1669" s="6" t="s">
        <v>76</v>
      </c>
      <c r="AB1669" s="8"/>
      <c r="AC1669" s="27">
        <v>9785160194387</v>
      </c>
    </row>
    <row r="1670" spans="1:29" s="4" customFormat="1" ht="42" customHeight="1" x14ac:dyDescent="0.2">
      <c r="A1670" s="5">
        <v>0</v>
      </c>
      <c r="B1670" s="6" t="s">
        <v>10176</v>
      </c>
      <c r="C1670" s="7">
        <v>1800</v>
      </c>
      <c r="D1670" s="8" t="s">
        <v>10177</v>
      </c>
      <c r="E1670" s="8" t="s">
        <v>10171</v>
      </c>
      <c r="F1670" s="8" t="s">
        <v>10172</v>
      </c>
      <c r="G1670" s="6" t="s">
        <v>118</v>
      </c>
      <c r="H1670" s="6" t="s">
        <v>34</v>
      </c>
      <c r="I1670" s="8" t="s">
        <v>253</v>
      </c>
      <c r="J1670" s="9">
        <v>1</v>
      </c>
      <c r="K1670" s="9">
        <v>272</v>
      </c>
      <c r="L1670" s="9">
        <v>2026</v>
      </c>
      <c r="M1670" s="8" t="s">
        <v>10178</v>
      </c>
      <c r="N1670" s="8" t="s">
        <v>93</v>
      </c>
      <c r="O1670" s="8" t="s">
        <v>94</v>
      </c>
      <c r="P1670" s="6" t="s">
        <v>51</v>
      </c>
      <c r="Q1670" s="8" t="s">
        <v>52</v>
      </c>
      <c r="R1670" s="10" t="s">
        <v>10179</v>
      </c>
      <c r="S1670" s="11"/>
      <c r="T1670" s="6"/>
      <c r="U1670" s="15" t="str">
        <f>HYPERLINK("https://media.infra-m.ru/2218/2218990/cover/2218990.jpg", "Обложка")</f>
        <v>Обложка</v>
      </c>
      <c r="V1670" s="8" t="s">
        <v>10175</v>
      </c>
      <c r="W1670" s="6"/>
      <c r="X1670" s="6"/>
      <c r="Y1670" s="6"/>
      <c r="Z1670" s="6"/>
      <c r="AA1670" s="6" t="s">
        <v>76</v>
      </c>
      <c r="AB1670" s="8"/>
      <c r="AC1670" s="27">
        <v>9785160161679</v>
      </c>
    </row>
    <row r="1671" spans="1:29" s="4" customFormat="1" ht="51.9" customHeight="1" x14ac:dyDescent="0.2">
      <c r="A1671" s="5">
        <v>0</v>
      </c>
      <c r="B1671" s="6" t="s">
        <v>10180</v>
      </c>
      <c r="C1671" s="7">
        <v>1396.8</v>
      </c>
      <c r="D1671" s="8" t="s">
        <v>10181</v>
      </c>
      <c r="E1671" s="8" t="s">
        <v>10182</v>
      </c>
      <c r="F1671" s="8" t="s">
        <v>10183</v>
      </c>
      <c r="G1671" s="6" t="s">
        <v>118</v>
      </c>
      <c r="H1671" s="6" t="s">
        <v>34</v>
      </c>
      <c r="I1671" s="8" t="s">
        <v>263</v>
      </c>
      <c r="J1671" s="9">
        <v>1</v>
      </c>
      <c r="K1671" s="9">
        <v>223</v>
      </c>
      <c r="L1671" s="9">
        <v>2026</v>
      </c>
      <c r="M1671" s="8" t="s">
        <v>10184</v>
      </c>
      <c r="N1671" s="8" t="s">
        <v>93</v>
      </c>
      <c r="O1671" s="8" t="s">
        <v>94</v>
      </c>
      <c r="P1671" s="6" t="s">
        <v>51</v>
      </c>
      <c r="Q1671" s="8" t="s">
        <v>265</v>
      </c>
      <c r="R1671" s="10" t="s">
        <v>10185</v>
      </c>
      <c r="S1671" s="11" t="s">
        <v>10186</v>
      </c>
      <c r="T1671" s="6"/>
      <c r="U1671" s="15" t="str">
        <f>HYPERLINK("https://media.infra-m.ru/2216/2216828/cover/2216828.jpg", "Обложка")</f>
        <v>Обложка</v>
      </c>
      <c r="V1671" s="8" t="s">
        <v>3304</v>
      </c>
      <c r="W1671" s="6"/>
      <c r="X1671" s="6"/>
      <c r="Y1671" s="6"/>
      <c r="Z1671" s="6"/>
      <c r="AA1671" s="6" t="s">
        <v>148</v>
      </c>
      <c r="AB1671" s="8"/>
      <c r="AC1671" s="27">
        <v>9785160155401</v>
      </c>
    </row>
    <row r="1672" spans="1:29" s="4" customFormat="1" ht="51.9" customHeight="1" x14ac:dyDescent="0.2">
      <c r="A1672" s="5">
        <v>0</v>
      </c>
      <c r="B1672" s="6" t="s">
        <v>10187</v>
      </c>
      <c r="C1672" s="7">
        <v>1300.8</v>
      </c>
      <c r="D1672" s="8" t="s">
        <v>10188</v>
      </c>
      <c r="E1672" s="8" t="s">
        <v>10189</v>
      </c>
      <c r="F1672" s="8" t="s">
        <v>1965</v>
      </c>
      <c r="G1672" s="6" t="s">
        <v>118</v>
      </c>
      <c r="H1672" s="6" t="s">
        <v>34</v>
      </c>
      <c r="I1672" s="8" t="s">
        <v>271</v>
      </c>
      <c r="J1672" s="9">
        <v>1</v>
      </c>
      <c r="K1672" s="9">
        <v>208</v>
      </c>
      <c r="L1672" s="9">
        <v>2025</v>
      </c>
      <c r="M1672" s="8" t="s">
        <v>10190</v>
      </c>
      <c r="N1672" s="8" t="s">
        <v>63</v>
      </c>
      <c r="O1672" s="8" t="s">
        <v>64</v>
      </c>
      <c r="P1672" s="6" t="s">
        <v>51</v>
      </c>
      <c r="Q1672" s="8" t="s">
        <v>52</v>
      </c>
      <c r="R1672" s="10" t="s">
        <v>10191</v>
      </c>
      <c r="S1672" s="11" t="s">
        <v>10192</v>
      </c>
      <c r="T1672" s="6"/>
      <c r="U1672" s="15" t="str">
        <f>HYPERLINK("https://media.infra-m.ru/2196/2196100/cover/2196100.jpg", "Обложка")</f>
        <v>Обложка</v>
      </c>
      <c r="V1672" s="8" t="s">
        <v>1599</v>
      </c>
      <c r="W1672" s="6"/>
      <c r="X1672" s="6"/>
      <c r="Y1672" s="6"/>
      <c r="Z1672" s="6"/>
      <c r="AA1672" s="6" t="s">
        <v>360</v>
      </c>
      <c r="AB1672" s="8"/>
      <c r="AC1672" s="27">
        <v>9785160120270</v>
      </c>
    </row>
    <row r="1673" spans="1:29" s="4" customFormat="1" ht="51.9" customHeight="1" x14ac:dyDescent="0.2">
      <c r="A1673" s="5">
        <v>0</v>
      </c>
      <c r="B1673" s="6" t="s">
        <v>10193</v>
      </c>
      <c r="C1673" s="13">
        <v>996</v>
      </c>
      <c r="D1673" s="8" t="s">
        <v>10194</v>
      </c>
      <c r="E1673" s="8" t="s">
        <v>10195</v>
      </c>
      <c r="F1673" s="8" t="s">
        <v>10196</v>
      </c>
      <c r="G1673" s="6" t="s">
        <v>33</v>
      </c>
      <c r="H1673" s="6" t="s">
        <v>34</v>
      </c>
      <c r="I1673" s="8" t="s">
        <v>35</v>
      </c>
      <c r="J1673" s="9">
        <v>1</v>
      </c>
      <c r="K1673" s="9">
        <v>216</v>
      </c>
      <c r="L1673" s="9">
        <v>2022</v>
      </c>
      <c r="M1673" s="8" t="s">
        <v>10197</v>
      </c>
      <c r="N1673" s="8" t="s">
        <v>63</v>
      </c>
      <c r="O1673" s="8" t="s">
        <v>126</v>
      </c>
      <c r="P1673" s="6" t="s">
        <v>39</v>
      </c>
      <c r="Q1673" s="8" t="s">
        <v>40</v>
      </c>
      <c r="R1673" s="10" t="s">
        <v>10198</v>
      </c>
      <c r="S1673" s="11"/>
      <c r="T1673" s="6"/>
      <c r="U1673" s="15" t="str">
        <f>HYPERLINK("https://media.infra-m.ru/1863/1863143/cover/1863143.jpg", "Обложка")</f>
        <v>Обложка</v>
      </c>
      <c r="V1673" s="8" t="s">
        <v>546</v>
      </c>
      <c r="W1673" s="6"/>
      <c r="X1673" s="6"/>
      <c r="Y1673" s="6"/>
      <c r="Z1673" s="6"/>
      <c r="AA1673" s="6" t="s">
        <v>55</v>
      </c>
      <c r="AB1673" s="8"/>
      <c r="AC1673" s="27">
        <v>9785160066790</v>
      </c>
    </row>
    <row r="1674" spans="1:29" s="4" customFormat="1" ht="51.9" customHeight="1" x14ac:dyDescent="0.2">
      <c r="A1674" s="5">
        <v>0</v>
      </c>
      <c r="B1674" s="6" t="s">
        <v>10199</v>
      </c>
      <c r="C1674" s="7">
        <v>3576</v>
      </c>
      <c r="D1674" s="8" t="s">
        <v>10200</v>
      </c>
      <c r="E1674" s="8" t="s">
        <v>10201</v>
      </c>
      <c r="F1674" s="8" t="s">
        <v>10202</v>
      </c>
      <c r="G1674" s="6" t="s">
        <v>60</v>
      </c>
      <c r="H1674" s="6" t="s">
        <v>34</v>
      </c>
      <c r="I1674" s="8" t="s">
        <v>253</v>
      </c>
      <c r="J1674" s="9">
        <v>1</v>
      </c>
      <c r="K1674" s="9">
        <v>656</v>
      </c>
      <c r="L1674" s="9">
        <v>2026</v>
      </c>
      <c r="M1674" s="8" t="s">
        <v>10203</v>
      </c>
      <c r="N1674" s="8" t="s">
        <v>63</v>
      </c>
      <c r="O1674" s="8" t="s">
        <v>181</v>
      </c>
      <c r="P1674" s="6" t="s">
        <v>306</v>
      </c>
      <c r="Q1674" s="8" t="s">
        <v>52</v>
      </c>
      <c r="R1674" s="10" t="s">
        <v>10204</v>
      </c>
      <c r="S1674" s="11" t="s">
        <v>10205</v>
      </c>
      <c r="T1674" s="6" t="s">
        <v>97</v>
      </c>
      <c r="U1674" s="15" t="str">
        <f>HYPERLINK("https://media.infra-m.ru/2232/2232920/cover/2232920.jpg", "Обложка")</f>
        <v>Обложка</v>
      </c>
      <c r="V1674" s="8" t="s">
        <v>445</v>
      </c>
      <c r="W1674" s="6"/>
      <c r="X1674" s="6"/>
      <c r="Y1674" s="6"/>
      <c r="Z1674" s="6"/>
      <c r="AA1674" s="6" t="s">
        <v>86</v>
      </c>
      <c r="AB1674" s="8"/>
      <c r="AC1674" s="27">
        <v>9785160216393</v>
      </c>
    </row>
    <row r="1675" spans="1:29" s="4" customFormat="1" ht="51.9" customHeight="1" x14ac:dyDescent="0.2">
      <c r="A1675" s="5">
        <v>0</v>
      </c>
      <c r="B1675" s="6" t="s">
        <v>10206</v>
      </c>
      <c r="C1675" s="7">
        <v>3736.8</v>
      </c>
      <c r="D1675" s="8" t="s">
        <v>10207</v>
      </c>
      <c r="E1675" s="8" t="s">
        <v>10201</v>
      </c>
      <c r="F1675" s="8" t="s">
        <v>10202</v>
      </c>
      <c r="G1675" s="6" t="s">
        <v>60</v>
      </c>
      <c r="H1675" s="6" t="s">
        <v>241</v>
      </c>
      <c r="I1675" s="8" t="s">
        <v>263</v>
      </c>
      <c r="J1675" s="9">
        <v>1</v>
      </c>
      <c r="K1675" s="9">
        <v>661</v>
      </c>
      <c r="L1675" s="9">
        <v>2027</v>
      </c>
      <c r="M1675" s="8" t="s">
        <v>10208</v>
      </c>
      <c r="N1675" s="8" t="s">
        <v>63</v>
      </c>
      <c r="O1675" s="8" t="s">
        <v>181</v>
      </c>
      <c r="P1675" s="6" t="s">
        <v>306</v>
      </c>
      <c r="Q1675" s="8" t="s">
        <v>265</v>
      </c>
      <c r="R1675" s="10" t="s">
        <v>10209</v>
      </c>
      <c r="S1675" s="11" t="s">
        <v>10210</v>
      </c>
      <c r="T1675" s="6" t="s">
        <v>97</v>
      </c>
      <c r="U1675" s="15" t="str">
        <f>HYPERLINK("https://media.infra-m.ru/2273/2273020/cover/2273020.jpg", "Обложка")</f>
        <v>Обложка</v>
      </c>
      <c r="V1675" s="8" t="s">
        <v>445</v>
      </c>
      <c r="W1675" s="6"/>
      <c r="X1675" s="6"/>
      <c r="Y1675" s="6"/>
      <c r="Z1675" s="6" t="s">
        <v>267</v>
      </c>
      <c r="AA1675" s="6" t="s">
        <v>115</v>
      </c>
      <c r="AB1675" s="8"/>
      <c r="AC1675" s="27">
        <v>9785955806297</v>
      </c>
    </row>
    <row r="1676" spans="1:29" s="4" customFormat="1" ht="42" customHeight="1" x14ac:dyDescent="0.2">
      <c r="A1676" s="5">
        <v>0</v>
      </c>
      <c r="B1676" s="6" t="s">
        <v>10211</v>
      </c>
      <c r="C1676" s="7">
        <v>1168.8</v>
      </c>
      <c r="D1676" s="8" t="s">
        <v>10212</v>
      </c>
      <c r="E1676" s="8" t="s">
        <v>10213</v>
      </c>
      <c r="F1676" s="8" t="s">
        <v>10214</v>
      </c>
      <c r="G1676" s="6" t="s">
        <v>33</v>
      </c>
      <c r="H1676" s="6" t="s">
        <v>134</v>
      </c>
      <c r="I1676" s="8"/>
      <c r="J1676" s="9">
        <v>1</v>
      </c>
      <c r="K1676" s="9">
        <v>176</v>
      </c>
      <c r="L1676" s="9">
        <v>2026</v>
      </c>
      <c r="M1676" s="8" t="s">
        <v>10215</v>
      </c>
      <c r="N1676" s="8" t="s">
        <v>37</v>
      </c>
      <c r="O1676" s="8" t="s">
        <v>136</v>
      </c>
      <c r="P1676" s="6" t="s">
        <v>39</v>
      </c>
      <c r="Q1676" s="8" t="s">
        <v>40</v>
      </c>
      <c r="R1676" s="10" t="s">
        <v>1667</v>
      </c>
      <c r="S1676" s="11"/>
      <c r="T1676" s="6"/>
      <c r="U1676" s="15" t="str">
        <f>HYPERLINK("https://media.infra-m.ru/2252/2252188/cover/2252188.jpg", "Обложка")</f>
        <v>Обложка</v>
      </c>
      <c r="V1676" s="8" t="s">
        <v>1184</v>
      </c>
      <c r="W1676" s="6"/>
      <c r="X1676" s="6"/>
      <c r="Y1676" s="6"/>
      <c r="Z1676" s="6"/>
      <c r="AA1676" s="6" t="s">
        <v>99</v>
      </c>
      <c r="AB1676" s="8"/>
      <c r="AC1676" s="27">
        <v>9785917687971</v>
      </c>
    </row>
    <row r="1677" spans="1:29" s="4" customFormat="1" ht="51.9" customHeight="1" x14ac:dyDescent="0.2">
      <c r="A1677" s="5">
        <v>0</v>
      </c>
      <c r="B1677" s="6" t="s">
        <v>10216</v>
      </c>
      <c r="C1677" s="13">
        <v>624</v>
      </c>
      <c r="D1677" s="8" t="s">
        <v>10217</v>
      </c>
      <c r="E1677" s="8" t="s">
        <v>10218</v>
      </c>
      <c r="F1677" s="8" t="s">
        <v>10219</v>
      </c>
      <c r="G1677" s="6" t="s">
        <v>33</v>
      </c>
      <c r="H1677" s="6" t="s">
        <v>34</v>
      </c>
      <c r="I1677" s="8" t="s">
        <v>35</v>
      </c>
      <c r="J1677" s="9">
        <v>1</v>
      </c>
      <c r="K1677" s="9">
        <v>100</v>
      </c>
      <c r="L1677" s="9">
        <v>2024</v>
      </c>
      <c r="M1677" s="8" t="s">
        <v>10220</v>
      </c>
      <c r="N1677" s="8" t="s">
        <v>37</v>
      </c>
      <c r="O1677" s="8" t="s">
        <v>50</v>
      </c>
      <c r="P1677" s="6" t="s">
        <v>39</v>
      </c>
      <c r="Q1677" s="8" t="s">
        <v>40</v>
      </c>
      <c r="R1677" s="10" t="s">
        <v>10221</v>
      </c>
      <c r="S1677" s="11"/>
      <c r="T1677" s="6"/>
      <c r="U1677" s="15" t="str">
        <f>HYPERLINK("https://media.infra-m.ru/2080/2080714/cover/2080714.jpg", "Обложка")</f>
        <v>Обложка</v>
      </c>
      <c r="V1677" s="8" t="s">
        <v>10222</v>
      </c>
      <c r="W1677" s="6"/>
      <c r="X1677" s="6"/>
      <c r="Y1677" s="6"/>
      <c r="Z1677" s="6"/>
      <c r="AA1677" s="6" t="s">
        <v>99</v>
      </c>
      <c r="AB1677" s="8"/>
      <c r="AC1677" s="27">
        <v>9785160138633</v>
      </c>
    </row>
    <row r="1678" spans="1:29" s="4" customFormat="1" ht="51.9" customHeight="1" x14ac:dyDescent="0.2">
      <c r="A1678" s="5">
        <v>0</v>
      </c>
      <c r="B1678" s="6" t="s">
        <v>10223</v>
      </c>
      <c r="C1678" s="7">
        <v>1204.8</v>
      </c>
      <c r="D1678" s="8" t="s">
        <v>10224</v>
      </c>
      <c r="E1678" s="8" t="s">
        <v>10225</v>
      </c>
      <c r="F1678" s="8" t="s">
        <v>6221</v>
      </c>
      <c r="G1678" s="6" t="s">
        <v>60</v>
      </c>
      <c r="H1678" s="6" t="s">
        <v>313</v>
      </c>
      <c r="I1678" s="8" t="s">
        <v>35</v>
      </c>
      <c r="J1678" s="9">
        <v>1</v>
      </c>
      <c r="K1678" s="9">
        <v>173</v>
      </c>
      <c r="L1678" s="9">
        <v>2026</v>
      </c>
      <c r="M1678" s="8" t="s">
        <v>10226</v>
      </c>
      <c r="N1678" s="8" t="s">
        <v>37</v>
      </c>
      <c r="O1678" s="8" t="s">
        <v>136</v>
      </c>
      <c r="P1678" s="6" t="s">
        <v>39</v>
      </c>
      <c r="Q1678" s="8" t="s">
        <v>40</v>
      </c>
      <c r="R1678" s="10" t="s">
        <v>1068</v>
      </c>
      <c r="S1678" s="11"/>
      <c r="T1678" s="6"/>
      <c r="U1678" s="15" t="str">
        <f>HYPERLINK("https://media.infra-m.ru/2255/2255659/cover/2255659.jpg", "Обложка")</f>
        <v>Обложка</v>
      </c>
      <c r="V1678" s="8" t="s">
        <v>6224</v>
      </c>
      <c r="W1678" s="6"/>
      <c r="X1678" s="6"/>
      <c r="Y1678" s="6"/>
      <c r="Z1678" s="6"/>
      <c r="AA1678" s="6" t="s">
        <v>76</v>
      </c>
      <c r="AB1678" s="8"/>
      <c r="AC1678" s="27">
        <v>9785369019382</v>
      </c>
    </row>
    <row r="1679" spans="1:29" s="4" customFormat="1" ht="51.9" customHeight="1" x14ac:dyDescent="0.2">
      <c r="A1679" s="5">
        <v>0</v>
      </c>
      <c r="B1679" s="6" t="s">
        <v>10227</v>
      </c>
      <c r="C1679" s="7">
        <v>1524</v>
      </c>
      <c r="D1679" s="8" t="s">
        <v>10228</v>
      </c>
      <c r="E1679" s="8" t="s">
        <v>10229</v>
      </c>
      <c r="F1679" s="8" t="s">
        <v>10230</v>
      </c>
      <c r="G1679" s="6" t="s">
        <v>33</v>
      </c>
      <c r="H1679" s="6" t="s">
        <v>34</v>
      </c>
      <c r="I1679" s="8" t="s">
        <v>35</v>
      </c>
      <c r="J1679" s="9">
        <v>1</v>
      </c>
      <c r="K1679" s="9">
        <v>231</v>
      </c>
      <c r="L1679" s="9">
        <v>2026</v>
      </c>
      <c r="M1679" s="8" t="s">
        <v>10231</v>
      </c>
      <c r="N1679" s="8" t="s">
        <v>63</v>
      </c>
      <c r="O1679" s="8" t="s">
        <v>126</v>
      </c>
      <c r="P1679" s="6" t="s">
        <v>39</v>
      </c>
      <c r="Q1679" s="8" t="s">
        <v>40</v>
      </c>
      <c r="R1679" s="10" t="s">
        <v>127</v>
      </c>
      <c r="S1679" s="11"/>
      <c r="T1679" s="6" t="s">
        <v>97</v>
      </c>
      <c r="U1679" s="15" t="str">
        <f>HYPERLINK("https://media.infra-m.ru/2242/2242880/cover/2242880.jpg", "Обложка")</f>
        <v>Обложка</v>
      </c>
      <c r="V1679" s="8" t="s">
        <v>546</v>
      </c>
      <c r="W1679" s="6"/>
      <c r="X1679" s="6"/>
      <c r="Y1679" s="6"/>
      <c r="Z1679" s="6"/>
      <c r="AA1679" s="6" t="s">
        <v>55</v>
      </c>
      <c r="AB1679" s="8"/>
      <c r="AC1679" s="27">
        <v>9785160066783</v>
      </c>
    </row>
    <row r="1680" spans="1:29" s="4" customFormat="1" ht="51.9" customHeight="1" x14ac:dyDescent="0.2">
      <c r="A1680" s="5">
        <v>0</v>
      </c>
      <c r="B1680" s="6" t="s">
        <v>10232</v>
      </c>
      <c r="C1680" s="7">
        <v>1212</v>
      </c>
      <c r="D1680" s="8" t="s">
        <v>10233</v>
      </c>
      <c r="E1680" s="8" t="s">
        <v>10234</v>
      </c>
      <c r="F1680" s="8" t="s">
        <v>10235</v>
      </c>
      <c r="G1680" s="6" t="s">
        <v>118</v>
      </c>
      <c r="H1680" s="6" t="s">
        <v>34</v>
      </c>
      <c r="I1680" s="8" t="s">
        <v>253</v>
      </c>
      <c r="J1680" s="9">
        <v>1</v>
      </c>
      <c r="K1680" s="9">
        <v>182</v>
      </c>
      <c r="L1680" s="9">
        <v>2026</v>
      </c>
      <c r="M1680" s="8" t="s">
        <v>10236</v>
      </c>
      <c r="N1680" s="8" t="s">
        <v>93</v>
      </c>
      <c r="O1680" s="8" t="s">
        <v>94</v>
      </c>
      <c r="P1680" s="6" t="s">
        <v>51</v>
      </c>
      <c r="Q1680" s="8" t="s">
        <v>500</v>
      </c>
      <c r="R1680" s="10" t="s">
        <v>7030</v>
      </c>
      <c r="S1680" s="11" t="s">
        <v>10237</v>
      </c>
      <c r="T1680" s="6" t="s">
        <v>97</v>
      </c>
      <c r="U1680" s="15" t="str">
        <f>HYPERLINK("https://media.infra-m.ru/2216/2216048/cover/2216048.jpg", "Обложка")</f>
        <v>Обложка</v>
      </c>
      <c r="V1680" s="8" t="s">
        <v>10238</v>
      </c>
      <c r="W1680" s="6"/>
      <c r="X1680" s="6"/>
      <c r="Y1680" s="6"/>
      <c r="Z1680" s="6"/>
      <c r="AA1680" s="6" t="s">
        <v>1256</v>
      </c>
      <c r="AB1680" s="8"/>
      <c r="AC1680" s="27">
        <v>9785160211657</v>
      </c>
    </row>
    <row r="1681" spans="1:29" s="4" customFormat="1" ht="42" customHeight="1" x14ac:dyDescent="0.2">
      <c r="A1681" s="5">
        <v>0</v>
      </c>
      <c r="B1681" s="6" t="s">
        <v>10239</v>
      </c>
      <c r="C1681" s="7">
        <v>1368</v>
      </c>
      <c r="D1681" s="8" t="s">
        <v>10240</v>
      </c>
      <c r="E1681" s="8" t="s">
        <v>10241</v>
      </c>
      <c r="F1681" s="8" t="s">
        <v>509</v>
      </c>
      <c r="G1681" s="6" t="s">
        <v>33</v>
      </c>
      <c r="H1681" s="6" t="s">
        <v>34</v>
      </c>
      <c r="I1681" s="8" t="s">
        <v>35</v>
      </c>
      <c r="J1681" s="9">
        <v>1</v>
      </c>
      <c r="K1681" s="9">
        <v>207</v>
      </c>
      <c r="L1681" s="9">
        <v>2026</v>
      </c>
      <c r="M1681" s="8" t="s">
        <v>10242</v>
      </c>
      <c r="N1681" s="8" t="s">
        <v>63</v>
      </c>
      <c r="O1681" s="8" t="s">
        <v>126</v>
      </c>
      <c r="P1681" s="6" t="s">
        <v>39</v>
      </c>
      <c r="Q1681" s="8" t="s">
        <v>40</v>
      </c>
      <c r="R1681" s="10" t="s">
        <v>10243</v>
      </c>
      <c r="S1681" s="11"/>
      <c r="T1681" s="6"/>
      <c r="U1681" s="15" t="str">
        <f>HYPERLINK("https://media.infra-m.ru/2213/2213680/cover/2213680.jpg", "Обложка")</f>
        <v>Обложка</v>
      </c>
      <c r="V1681" s="8" t="s">
        <v>512</v>
      </c>
      <c r="W1681" s="6"/>
      <c r="X1681" s="6"/>
      <c r="Y1681" s="6"/>
      <c r="Z1681" s="6"/>
      <c r="AA1681" s="6" t="s">
        <v>115</v>
      </c>
      <c r="AB1681" s="8"/>
      <c r="AC1681" s="27">
        <v>9785160149875</v>
      </c>
    </row>
    <row r="1682" spans="1:29" s="4" customFormat="1" ht="42" customHeight="1" x14ac:dyDescent="0.2">
      <c r="A1682" s="5">
        <v>0</v>
      </c>
      <c r="B1682" s="6" t="s">
        <v>10244</v>
      </c>
      <c r="C1682" s="7">
        <v>1008</v>
      </c>
      <c r="D1682" s="8" t="s">
        <v>10245</v>
      </c>
      <c r="E1682" s="8" t="s">
        <v>10246</v>
      </c>
      <c r="F1682" s="8" t="s">
        <v>509</v>
      </c>
      <c r="G1682" s="6" t="s">
        <v>33</v>
      </c>
      <c r="H1682" s="6" t="s">
        <v>34</v>
      </c>
      <c r="I1682" s="8" t="s">
        <v>35</v>
      </c>
      <c r="J1682" s="9">
        <v>1</v>
      </c>
      <c r="K1682" s="9">
        <v>167</v>
      </c>
      <c r="L1682" s="9">
        <v>2025</v>
      </c>
      <c r="M1682" s="8" t="s">
        <v>10247</v>
      </c>
      <c r="N1682" s="8" t="s">
        <v>63</v>
      </c>
      <c r="O1682" s="8" t="s">
        <v>126</v>
      </c>
      <c r="P1682" s="6" t="s">
        <v>39</v>
      </c>
      <c r="Q1682" s="8" t="s">
        <v>40</v>
      </c>
      <c r="R1682" s="10" t="s">
        <v>10248</v>
      </c>
      <c r="S1682" s="11"/>
      <c r="T1682" s="6"/>
      <c r="U1682" s="15" t="str">
        <f>HYPERLINK("https://media.infra-m.ru/2172/2172557/cover/2172557.jpg", "Обложка")</f>
        <v>Обложка</v>
      </c>
      <c r="V1682" s="8" t="s">
        <v>512</v>
      </c>
      <c r="W1682" s="6"/>
      <c r="X1682" s="6"/>
      <c r="Y1682" s="6"/>
      <c r="Z1682" s="6"/>
      <c r="AA1682" s="6" t="s">
        <v>430</v>
      </c>
      <c r="AB1682" s="8"/>
      <c r="AC1682" s="27">
        <v>9785160167299</v>
      </c>
    </row>
    <row r="1683" spans="1:29" s="4" customFormat="1" ht="51.9" customHeight="1" x14ac:dyDescent="0.2">
      <c r="A1683" s="5">
        <v>0</v>
      </c>
      <c r="B1683" s="6" t="s">
        <v>10249</v>
      </c>
      <c r="C1683" s="7">
        <v>2368.8000000000002</v>
      </c>
      <c r="D1683" s="8" t="s">
        <v>10250</v>
      </c>
      <c r="E1683" s="8" t="s">
        <v>10251</v>
      </c>
      <c r="F1683" s="8" t="s">
        <v>10252</v>
      </c>
      <c r="G1683" s="6" t="s">
        <v>118</v>
      </c>
      <c r="H1683" s="6" t="s">
        <v>34</v>
      </c>
      <c r="I1683" s="8" t="s">
        <v>10253</v>
      </c>
      <c r="J1683" s="9">
        <v>1</v>
      </c>
      <c r="K1683" s="9">
        <v>358</v>
      </c>
      <c r="L1683" s="9">
        <v>2026</v>
      </c>
      <c r="M1683" s="8" t="s">
        <v>10254</v>
      </c>
      <c r="N1683" s="8" t="s">
        <v>37</v>
      </c>
      <c r="O1683" s="8" t="s">
        <v>83</v>
      </c>
      <c r="P1683" s="6" t="s">
        <v>39</v>
      </c>
      <c r="Q1683" s="8" t="s">
        <v>40</v>
      </c>
      <c r="R1683" s="10" t="s">
        <v>10255</v>
      </c>
      <c r="S1683" s="11"/>
      <c r="T1683" s="6"/>
      <c r="U1683" s="15" t="str">
        <f>HYPERLINK("https://media.infra-m.ru/2249/2249391/cover/2249391.jpg", "Обложка")</f>
        <v>Обложка</v>
      </c>
      <c r="V1683" s="8" t="s">
        <v>10256</v>
      </c>
      <c r="W1683" s="6"/>
      <c r="X1683" s="6"/>
      <c r="Y1683" s="6"/>
      <c r="Z1683" s="6"/>
      <c r="AA1683" s="6" t="s">
        <v>779</v>
      </c>
      <c r="AB1683" s="8"/>
      <c r="AC1683" s="27">
        <v>9785160102580</v>
      </c>
    </row>
    <row r="1684" spans="1:29" s="4" customFormat="1" ht="42" customHeight="1" x14ac:dyDescent="0.2">
      <c r="A1684" s="5">
        <v>0</v>
      </c>
      <c r="B1684" s="6" t="s">
        <v>10257</v>
      </c>
      <c r="C1684" s="7">
        <v>1104</v>
      </c>
      <c r="D1684" s="8" t="s">
        <v>10258</v>
      </c>
      <c r="E1684" s="8" t="s">
        <v>10259</v>
      </c>
      <c r="F1684" s="8" t="s">
        <v>10260</v>
      </c>
      <c r="G1684" s="6" t="s">
        <v>60</v>
      </c>
      <c r="H1684" s="6" t="s">
        <v>34</v>
      </c>
      <c r="I1684" s="8" t="s">
        <v>253</v>
      </c>
      <c r="J1684" s="9">
        <v>1</v>
      </c>
      <c r="K1684" s="9">
        <v>156</v>
      </c>
      <c r="L1684" s="9">
        <v>2026</v>
      </c>
      <c r="M1684" s="8" t="s">
        <v>10261</v>
      </c>
      <c r="N1684" s="8" t="s">
        <v>63</v>
      </c>
      <c r="O1684" s="8" t="s">
        <v>126</v>
      </c>
      <c r="P1684" s="6" t="s">
        <v>51</v>
      </c>
      <c r="Q1684" s="8" t="s">
        <v>52</v>
      </c>
      <c r="R1684" s="10" t="s">
        <v>10262</v>
      </c>
      <c r="S1684" s="11"/>
      <c r="T1684" s="6"/>
      <c r="U1684" s="15" t="str">
        <f>HYPERLINK("https://media.infra-m.ru/2221/2221709/cover/2221709.jpg", "Обложка")</f>
        <v>Обложка</v>
      </c>
      <c r="V1684" s="8" t="s">
        <v>10263</v>
      </c>
      <c r="W1684" s="6" t="s">
        <v>299</v>
      </c>
      <c r="X1684" s="6"/>
      <c r="Y1684" s="6"/>
      <c r="Z1684" s="6"/>
      <c r="AA1684" s="6" t="s">
        <v>187</v>
      </c>
      <c r="AB1684" s="8" t="s">
        <v>308</v>
      </c>
      <c r="AC1684" s="27">
        <v>9785160213125</v>
      </c>
    </row>
    <row r="1685" spans="1:29" s="4" customFormat="1" ht="42" customHeight="1" x14ac:dyDescent="0.2">
      <c r="A1685" s="5">
        <v>0</v>
      </c>
      <c r="B1685" s="6" t="s">
        <v>10264</v>
      </c>
      <c r="C1685" s="7">
        <v>1920</v>
      </c>
      <c r="D1685" s="8" t="s">
        <v>10265</v>
      </c>
      <c r="E1685" s="8" t="s">
        <v>10266</v>
      </c>
      <c r="F1685" s="8" t="s">
        <v>3281</v>
      </c>
      <c r="G1685" s="6" t="s">
        <v>118</v>
      </c>
      <c r="H1685" s="6" t="s">
        <v>134</v>
      </c>
      <c r="I1685" s="8"/>
      <c r="J1685" s="9">
        <v>1</v>
      </c>
      <c r="K1685" s="9">
        <v>400</v>
      </c>
      <c r="L1685" s="9">
        <v>2022</v>
      </c>
      <c r="M1685" s="8" t="s">
        <v>10267</v>
      </c>
      <c r="N1685" s="8" t="s">
        <v>37</v>
      </c>
      <c r="O1685" s="8" t="s">
        <v>136</v>
      </c>
      <c r="P1685" s="6" t="s">
        <v>39</v>
      </c>
      <c r="Q1685" s="8" t="s">
        <v>40</v>
      </c>
      <c r="R1685" s="10" t="s">
        <v>1625</v>
      </c>
      <c r="S1685" s="11"/>
      <c r="T1685" s="6"/>
      <c r="U1685" s="15" t="str">
        <f>HYPERLINK("https://media.infra-m.ru/1761/1761836/cover/1761836.jpg", "Обложка")</f>
        <v>Обложка</v>
      </c>
      <c r="V1685" s="8" t="s">
        <v>138</v>
      </c>
      <c r="W1685" s="6"/>
      <c r="X1685" s="6"/>
      <c r="Y1685" s="6"/>
      <c r="Z1685" s="6"/>
      <c r="AA1685" s="6" t="s">
        <v>115</v>
      </c>
      <c r="AB1685" s="8"/>
      <c r="AC1685" s="27">
        <v>9785917689876</v>
      </c>
    </row>
    <row r="1686" spans="1:29" s="4" customFormat="1" ht="44.1" customHeight="1" x14ac:dyDescent="0.2">
      <c r="A1686" s="5">
        <v>0</v>
      </c>
      <c r="B1686" s="6" t="s">
        <v>10268</v>
      </c>
      <c r="C1686" s="7">
        <v>1200</v>
      </c>
      <c r="D1686" s="8" t="s">
        <v>10269</v>
      </c>
      <c r="E1686" s="8" t="s">
        <v>10270</v>
      </c>
      <c r="F1686" s="8" t="s">
        <v>10271</v>
      </c>
      <c r="G1686" s="6" t="s">
        <v>33</v>
      </c>
      <c r="H1686" s="6" t="s">
        <v>1644</v>
      </c>
      <c r="I1686" s="8"/>
      <c r="J1686" s="9">
        <v>1</v>
      </c>
      <c r="K1686" s="9">
        <v>264</v>
      </c>
      <c r="L1686" s="9">
        <v>2022</v>
      </c>
      <c r="M1686" s="8" t="s">
        <v>10272</v>
      </c>
      <c r="N1686" s="8" t="s">
        <v>37</v>
      </c>
      <c r="O1686" s="8" t="s">
        <v>233</v>
      </c>
      <c r="P1686" s="6" t="s">
        <v>51</v>
      </c>
      <c r="Q1686" s="8" t="s">
        <v>52</v>
      </c>
      <c r="R1686" s="10" t="s">
        <v>9147</v>
      </c>
      <c r="S1686" s="11"/>
      <c r="T1686" s="6"/>
      <c r="U1686" s="15" t="str">
        <f>HYPERLINK("https://media.infra-m.ru/1855/1855982/cover/1855982.jpg", "Обложка")</f>
        <v>Обложка</v>
      </c>
      <c r="V1686" s="8" t="s">
        <v>4448</v>
      </c>
      <c r="W1686" s="6"/>
      <c r="X1686" s="6"/>
      <c r="Y1686" s="6"/>
      <c r="Z1686" s="6"/>
      <c r="AA1686" s="6" t="s">
        <v>115</v>
      </c>
      <c r="AB1686" s="8"/>
      <c r="AC1686" s="27">
        <v>9785977604963</v>
      </c>
    </row>
    <row r="1687" spans="1:29" s="4" customFormat="1" ht="51.9" customHeight="1" x14ac:dyDescent="0.2">
      <c r="A1687" s="5">
        <v>0</v>
      </c>
      <c r="B1687" s="6" t="s">
        <v>10273</v>
      </c>
      <c r="C1687" s="13">
        <v>497.9</v>
      </c>
      <c r="D1687" s="8" t="s">
        <v>10274</v>
      </c>
      <c r="E1687" s="8" t="s">
        <v>10275</v>
      </c>
      <c r="F1687" s="8" t="s">
        <v>10276</v>
      </c>
      <c r="G1687" s="6" t="s">
        <v>33</v>
      </c>
      <c r="H1687" s="6" t="s">
        <v>313</v>
      </c>
      <c r="I1687" s="8" t="s">
        <v>35</v>
      </c>
      <c r="J1687" s="9">
        <v>1</v>
      </c>
      <c r="K1687" s="9">
        <v>91</v>
      </c>
      <c r="L1687" s="9">
        <v>2023</v>
      </c>
      <c r="M1687" s="8" t="s">
        <v>10277</v>
      </c>
      <c r="N1687" s="8" t="s">
        <v>37</v>
      </c>
      <c r="O1687" s="8" t="s">
        <v>136</v>
      </c>
      <c r="P1687" s="6" t="s">
        <v>39</v>
      </c>
      <c r="Q1687" s="8" t="s">
        <v>40</v>
      </c>
      <c r="R1687" s="10" t="s">
        <v>10278</v>
      </c>
      <c r="S1687" s="11"/>
      <c r="T1687" s="6" t="s">
        <v>97</v>
      </c>
      <c r="U1687" s="15" t="str">
        <f>HYPERLINK("https://media.infra-m.ru/1895/1895619/cover/1895619.jpg", "Обложка")</f>
        <v>Обложка</v>
      </c>
      <c r="V1687" s="8" t="s">
        <v>6224</v>
      </c>
      <c r="W1687" s="6"/>
      <c r="X1687" s="6"/>
      <c r="Y1687" s="6"/>
      <c r="Z1687" s="6"/>
      <c r="AA1687" s="6" t="s">
        <v>274</v>
      </c>
      <c r="AB1687" s="8"/>
      <c r="AC1687" s="27">
        <v>9785369014431</v>
      </c>
    </row>
    <row r="1688" spans="1:29" s="4" customFormat="1" ht="51.9" customHeight="1" x14ac:dyDescent="0.2">
      <c r="A1688" s="5">
        <v>0</v>
      </c>
      <c r="B1688" s="6" t="s">
        <v>10279</v>
      </c>
      <c r="C1688" s="7">
        <v>2820</v>
      </c>
      <c r="D1688" s="8" t="s">
        <v>10280</v>
      </c>
      <c r="E1688" s="8" t="s">
        <v>10281</v>
      </c>
      <c r="F1688" s="8" t="s">
        <v>10282</v>
      </c>
      <c r="G1688" s="6" t="s">
        <v>60</v>
      </c>
      <c r="H1688" s="6" t="s">
        <v>34</v>
      </c>
      <c r="I1688" s="8"/>
      <c r="J1688" s="9">
        <v>1</v>
      </c>
      <c r="K1688" s="9">
        <v>650</v>
      </c>
      <c r="L1688" s="9">
        <v>2024</v>
      </c>
      <c r="M1688" s="8" t="s">
        <v>10283</v>
      </c>
      <c r="N1688" s="8" t="s">
        <v>37</v>
      </c>
      <c r="O1688" s="8" t="s">
        <v>136</v>
      </c>
      <c r="P1688" s="6" t="s">
        <v>683</v>
      </c>
      <c r="Q1688" s="8" t="s">
        <v>40</v>
      </c>
      <c r="R1688" s="10" t="s">
        <v>10284</v>
      </c>
      <c r="S1688" s="11"/>
      <c r="T1688" s="6"/>
      <c r="U1688" s="15" t="str">
        <f>HYPERLINK("https://media.infra-m.ru/2104/2104295/cover/2104295.jpg", "Обложка")</f>
        <v>Обложка</v>
      </c>
      <c r="V1688" s="8" t="s">
        <v>1184</v>
      </c>
      <c r="W1688" s="6"/>
      <c r="X1688" s="6"/>
      <c r="Y1688" s="6"/>
      <c r="Z1688" s="6"/>
      <c r="AA1688" s="6" t="s">
        <v>623</v>
      </c>
      <c r="AB1688" s="8"/>
      <c r="AC1688" s="27">
        <v>9785160121611</v>
      </c>
    </row>
    <row r="1689" spans="1:29" s="4" customFormat="1" ht="51.9" customHeight="1" x14ac:dyDescent="0.2">
      <c r="A1689" s="5">
        <v>0</v>
      </c>
      <c r="B1689" s="6" t="s">
        <v>10285</v>
      </c>
      <c r="C1689" s="7">
        <v>3300</v>
      </c>
      <c r="D1689" s="8" t="s">
        <v>10286</v>
      </c>
      <c r="E1689" s="8" t="s">
        <v>10287</v>
      </c>
      <c r="F1689" s="8" t="s">
        <v>10288</v>
      </c>
      <c r="G1689" s="6" t="s">
        <v>60</v>
      </c>
      <c r="H1689" s="6" t="s">
        <v>134</v>
      </c>
      <c r="I1689" s="8"/>
      <c r="J1689" s="9">
        <v>1</v>
      </c>
      <c r="K1689" s="9">
        <v>528</v>
      </c>
      <c r="L1689" s="9">
        <v>2026</v>
      </c>
      <c r="M1689" s="8" t="s">
        <v>10289</v>
      </c>
      <c r="N1689" s="8" t="s">
        <v>37</v>
      </c>
      <c r="O1689" s="8" t="s">
        <v>136</v>
      </c>
      <c r="P1689" s="6" t="s">
        <v>306</v>
      </c>
      <c r="Q1689" s="8" t="s">
        <v>52</v>
      </c>
      <c r="R1689" s="10" t="s">
        <v>1653</v>
      </c>
      <c r="S1689" s="11"/>
      <c r="T1689" s="6"/>
      <c r="U1689" s="15" t="str">
        <f>HYPERLINK("https://media.infra-m.ru/2213/2213505/cover/2213505.jpg", "Обложка")</f>
        <v>Обложка</v>
      </c>
      <c r="V1689" s="8" t="s">
        <v>1647</v>
      </c>
      <c r="W1689" s="6"/>
      <c r="X1689" s="6"/>
      <c r="Y1689" s="6"/>
      <c r="Z1689" s="6"/>
      <c r="AA1689" s="6" t="s">
        <v>86</v>
      </c>
      <c r="AB1689" s="8"/>
      <c r="AC1689" s="27">
        <v>9785917689562</v>
      </c>
    </row>
    <row r="1690" spans="1:29" s="4" customFormat="1" ht="51.9" customHeight="1" x14ac:dyDescent="0.2">
      <c r="A1690" s="5">
        <v>0</v>
      </c>
      <c r="B1690" s="6" t="s">
        <v>10290</v>
      </c>
      <c r="C1690" s="7">
        <v>2592</v>
      </c>
      <c r="D1690" s="8" t="s">
        <v>10291</v>
      </c>
      <c r="E1690" s="8" t="s">
        <v>10292</v>
      </c>
      <c r="F1690" s="8" t="s">
        <v>10288</v>
      </c>
      <c r="G1690" s="6" t="s">
        <v>60</v>
      </c>
      <c r="H1690" s="6" t="s">
        <v>134</v>
      </c>
      <c r="I1690" s="8"/>
      <c r="J1690" s="9">
        <v>1</v>
      </c>
      <c r="K1690" s="9">
        <v>416</v>
      </c>
      <c r="L1690" s="9">
        <v>2026</v>
      </c>
      <c r="M1690" s="8" t="s">
        <v>10293</v>
      </c>
      <c r="N1690" s="8" t="s">
        <v>37</v>
      </c>
      <c r="O1690" s="8" t="s">
        <v>136</v>
      </c>
      <c r="P1690" s="6" t="s">
        <v>306</v>
      </c>
      <c r="Q1690" s="8" t="s">
        <v>52</v>
      </c>
      <c r="R1690" s="10" t="s">
        <v>1275</v>
      </c>
      <c r="S1690" s="11"/>
      <c r="T1690" s="6"/>
      <c r="U1690" s="15" t="str">
        <f>HYPERLINK("https://media.infra-m.ru/2218/2218404/cover/2218404.jpg", "Обложка")</f>
        <v>Обложка</v>
      </c>
      <c r="V1690" s="8" t="s">
        <v>1647</v>
      </c>
      <c r="W1690" s="6"/>
      <c r="X1690" s="6"/>
      <c r="Y1690" s="6"/>
      <c r="Z1690" s="6"/>
      <c r="AA1690" s="6" t="s">
        <v>86</v>
      </c>
      <c r="AB1690" s="8"/>
      <c r="AC1690" s="27">
        <v>9785917689579</v>
      </c>
    </row>
    <row r="1691" spans="1:29" s="4" customFormat="1" ht="51.9" customHeight="1" x14ac:dyDescent="0.2">
      <c r="A1691" s="5">
        <v>0</v>
      </c>
      <c r="B1691" s="6" t="s">
        <v>10294</v>
      </c>
      <c r="C1691" s="7">
        <v>1012.8</v>
      </c>
      <c r="D1691" s="8" t="s">
        <v>10295</v>
      </c>
      <c r="E1691" s="8" t="s">
        <v>10296</v>
      </c>
      <c r="F1691" s="8" t="s">
        <v>10297</v>
      </c>
      <c r="G1691" s="6" t="s">
        <v>118</v>
      </c>
      <c r="H1691" s="6" t="s">
        <v>34</v>
      </c>
      <c r="I1691" s="8" t="s">
        <v>2025</v>
      </c>
      <c r="J1691" s="9">
        <v>1</v>
      </c>
      <c r="K1691" s="9">
        <v>182</v>
      </c>
      <c r="L1691" s="9">
        <v>2024</v>
      </c>
      <c r="M1691" s="8" t="s">
        <v>10298</v>
      </c>
      <c r="N1691" s="8" t="s">
        <v>37</v>
      </c>
      <c r="O1691" s="8" t="s">
        <v>136</v>
      </c>
      <c r="P1691" s="6" t="s">
        <v>51</v>
      </c>
      <c r="Q1691" s="8" t="s">
        <v>52</v>
      </c>
      <c r="R1691" s="10" t="s">
        <v>10299</v>
      </c>
      <c r="S1691" s="11" t="s">
        <v>10300</v>
      </c>
      <c r="T1691" s="6"/>
      <c r="U1691" s="15" t="str">
        <f>HYPERLINK("https://media.infra-m.ru/2006/2006935/cover/2006935.jpg", "Обложка")</f>
        <v>Обложка</v>
      </c>
      <c r="V1691" s="8" t="s">
        <v>1184</v>
      </c>
      <c r="W1691" s="6"/>
      <c r="X1691" s="6"/>
      <c r="Y1691" s="6"/>
      <c r="Z1691" s="6"/>
      <c r="AA1691" s="6" t="s">
        <v>115</v>
      </c>
      <c r="AB1691" s="8"/>
      <c r="AC1691" s="27">
        <v>9785160146485</v>
      </c>
    </row>
    <row r="1692" spans="1:29" s="4" customFormat="1" ht="42" customHeight="1" x14ac:dyDescent="0.2">
      <c r="A1692" s="5">
        <v>0</v>
      </c>
      <c r="B1692" s="6" t="s">
        <v>10301</v>
      </c>
      <c r="C1692" s="7">
        <v>1080</v>
      </c>
      <c r="D1692" s="8" t="s">
        <v>10302</v>
      </c>
      <c r="E1692" s="8" t="s">
        <v>10303</v>
      </c>
      <c r="F1692" s="8" t="s">
        <v>10304</v>
      </c>
      <c r="G1692" s="6" t="s">
        <v>118</v>
      </c>
      <c r="H1692" s="6" t="s">
        <v>34</v>
      </c>
      <c r="I1692" s="8" t="s">
        <v>1888</v>
      </c>
      <c r="J1692" s="9">
        <v>1</v>
      </c>
      <c r="K1692" s="9">
        <v>173</v>
      </c>
      <c r="L1692" s="9">
        <v>2026</v>
      </c>
      <c r="M1692" s="8" t="s">
        <v>10305</v>
      </c>
      <c r="N1692" s="8" t="s">
        <v>93</v>
      </c>
      <c r="O1692" s="8" t="s">
        <v>10306</v>
      </c>
      <c r="P1692" s="6" t="s">
        <v>105</v>
      </c>
      <c r="Q1692" s="8" t="s">
        <v>1891</v>
      </c>
      <c r="R1692" s="10" t="s">
        <v>10307</v>
      </c>
      <c r="S1692" s="11"/>
      <c r="T1692" s="6"/>
      <c r="U1692" s="15" t="str">
        <f>HYPERLINK("https://media.infra-m.ru/2215/2215656/cover/2215656.jpg", "Обложка")</f>
        <v>Обложка</v>
      </c>
      <c r="V1692" s="8" t="s">
        <v>2544</v>
      </c>
      <c r="W1692" s="6"/>
      <c r="X1692" s="6"/>
      <c r="Y1692" s="6"/>
      <c r="Z1692" s="6"/>
      <c r="AA1692" s="6" t="s">
        <v>86</v>
      </c>
      <c r="AB1692" s="8"/>
      <c r="AC1692" s="27">
        <v>9785160211886</v>
      </c>
    </row>
    <row r="1693" spans="1:29" s="4" customFormat="1" ht="42" customHeight="1" x14ac:dyDescent="0.2">
      <c r="A1693" s="5">
        <v>0</v>
      </c>
      <c r="B1693" s="6" t="s">
        <v>10308</v>
      </c>
      <c r="C1693" s="7">
        <v>2232</v>
      </c>
      <c r="D1693" s="8" t="s">
        <v>10309</v>
      </c>
      <c r="E1693" s="8" t="s">
        <v>10310</v>
      </c>
      <c r="F1693" s="8" t="s">
        <v>10311</v>
      </c>
      <c r="G1693" s="6" t="s">
        <v>118</v>
      </c>
      <c r="H1693" s="6" t="s">
        <v>134</v>
      </c>
      <c r="I1693" s="8"/>
      <c r="J1693" s="9">
        <v>1</v>
      </c>
      <c r="K1693" s="9">
        <v>320</v>
      </c>
      <c r="L1693" s="9">
        <v>2026</v>
      </c>
      <c r="M1693" s="8" t="s">
        <v>10312</v>
      </c>
      <c r="N1693" s="8" t="s">
        <v>37</v>
      </c>
      <c r="O1693" s="8" t="s">
        <v>136</v>
      </c>
      <c r="P1693" s="6" t="s">
        <v>39</v>
      </c>
      <c r="Q1693" s="8" t="s">
        <v>40</v>
      </c>
      <c r="R1693" s="10" t="s">
        <v>1631</v>
      </c>
      <c r="S1693" s="11"/>
      <c r="T1693" s="6"/>
      <c r="U1693" s="15" t="str">
        <f>HYPERLINK("https://media.infra-m.ru/2248/2248227/cover/2248227.jpg", "Обложка")</f>
        <v>Обложка</v>
      </c>
      <c r="V1693" s="8" t="s">
        <v>227</v>
      </c>
      <c r="W1693" s="6"/>
      <c r="X1693" s="6"/>
      <c r="Y1693" s="6"/>
      <c r="Z1693" s="6"/>
      <c r="AA1693" s="6" t="s">
        <v>99</v>
      </c>
      <c r="AB1693" s="8"/>
      <c r="AC1693" s="27">
        <v>9785917688381</v>
      </c>
    </row>
    <row r="1694" spans="1:29" s="4" customFormat="1" ht="42" customHeight="1" x14ac:dyDescent="0.2">
      <c r="A1694" s="5">
        <v>0</v>
      </c>
      <c r="B1694" s="6" t="s">
        <v>10313</v>
      </c>
      <c r="C1694" s="13">
        <v>952.8</v>
      </c>
      <c r="D1694" s="8" t="s">
        <v>10314</v>
      </c>
      <c r="E1694" s="8" t="s">
        <v>10315</v>
      </c>
      <c r="F1694" s="8" t="s">
        <v>10316</v>
      </c>
      <c r="G1694" s="6" t="s">
        <v>33</v>
      </c>
      <c r="H1694" s="6" t="s">
        <v>48</v>
      </c>
      <c r="I1694" s="8"/>
      <c r="J1694" s="9">
        <v>1</v>
      </c>
      <c r="K1694" s="9">
        <v>144</v>
      </c>
      <c r="L1694" s="9">
        <v>2026</v>
      </c>
      <c r="M1694" s="8" t="s">
        <v>10317</v>
      </c>
      <c r="N1694" s="8" t="s">
        <v>63</v>
      </c>
      <c r="O1694" s="8" t="s">
        <v>154</v>
      </c>
      <c r="P1694" s="6" t="s">
        <v>39</v>
      </c>
      <c r="Q1694" s="8" t="s">
        <v>40</v>
      </c>
      <c r="R1694" s="10" t="s">
        <v>10318</v>
      </c>
      <c r="S1694" s="11"/>
      <c r="T1694" s="6"/>
      <c r="U1694" s="15" t="str">
        <f>HYPERLINK("https://media.infra-m.ru/2246/2246643/cover/2246643.jpg", "Обложка")</f>
        <v>Обложка</v>
      </c>
      <c r="V1694" s="8" t="s">
        <v>1599</v>
      </c>
      <c r="W1694" s="6"/>
      <c r="X1694" s="6"/>
      <c r="Y1694" s="6"/>
      <c r="Z1694" s="6"/>
      <c r="AA1694" s="6" t="s">
        <v>43</v>
      </c>
      <c r="AB1694" s="8"/>
      <c r="AC1694" s="27">
        <v>9785911346607</v>
      </c>
    </row>
    <row r="1695" spans="1:29" s="4" customFormat="1" ht="44.1" customHeight="1" x14ac:dyDescent="0.2">
      <c r="A1695" s="5">
        <v>0</v>
      </c>
      <c r="B1695" s="6" t="s">
        <v>10319</v>
      </c>
      <c r="C1695" s="13">
        <v>424.8</v>
      </c>
      <c r="D1695" s="8" t="s">
        <v>10320</v>
      </c>
      <c r="E1695" s="8" t="s">
        <v>10321</v>
      </c>
      <c r="F1695" s="8" t="s">
        <v>10322</v>
      </c>
      <c r="G1695" s="6" t="s">
        <v>33</v>
      </c>
      <c r="H1695" s="6" t="s">
        <v>48</v>
      </c>
      <c r="I1695" s="8"/>
      <c r="J1695" s="9">
        <v>1</v>
      </c>
      <c r="K1695" s="9">
        <v>64</v>
      </c>
      <c r="L1695" s="9">
        <v>2026</v>
      </c>
      <c r="M1695" s="8" t="s">
        <v>10323</v>
      </c>
      <c r="N1695" s="8" t="s">
        <v>63</v>
      </c>
      <c r="O1695" s="8" t="s">
        <v>154</v>
      </c>
      <c r="P1695" s="6" t="s">
        <v>39</v>
      </c>
      <c r="Q1695" s="8" t="s">
        <v>40</v>
      </c>
      <c r="R1695" s="10" t="s">
        <v>10324</v>
      </c>
      <c r="S1695" s="11"/>
      <c r="T1695" s="6"/>
      <c r="U1695" s="15" t="str">
        <f>HYPERLINK("https://media.infra-m.ru/2217/2217603/cover/2217603.jpg", "Обложка")</f>
        <v>Обложка</v>
      </c>
      <c r="V1695" s="8" t="s">
        <v>10325</v>
      </c>
      <c r="W1695" s="6"/>
      <c r="X1695" s="6"/>
      <c r="Y1695" s="6"/>
      <c r="Z1695" s="6"/>
      <c r="AA1695" s="6" t="s">
        <v>2338</v>
      </c>
      <c r="AB1695" s="8"/>
      <c r="AC1695" s="27">
        <v>9785911345020</v>
      </c>
    </row>
    <row r="1696" spans="1:29" s="4" customFormat="1" ht="51.9" customHeight="1" x14ac:dyDescent="0.2">
      <c r="A1696" s="5">
        <v>0</v>
      </c>
      <c r="B1696" s="6" t="s">
        <v>10326</v>
      </c>
      <c r="C1696" s="7">
        <v>1824</v>
      </c>
      <c r="D1696" s="8" t="s">
        <v>10327</v>
      </c>
      <c r="E1696" s="8" t="s">
        <v>10328</v>
      </c>
      <c r="F1696" s="8" t="s">
        <v>10329</v>
      </c>
      <c r="G1696" s="6" t="s">
        <v>118</v>
      </c>
      <c r="H1696" s="6" t="s">
        <v>134</v>
      </c>
      <c r="I1696" s="8"/>
      <c r="J1696" s="9">
        <v>1</v>
      </c>
      <c r="K1696" s="9">
        <v>304</v>
      </c>
      <c r="L1696" s="9">
        <v>2025</v>
      </c>
      <c r="M1696" s="8" t="s">
        <v>10330</v>
      </c>
      <c r="N1696" s="8" t="s">
        <v>37</v>
      </c>
      <c r="O1696" s="8" t="s">
        <v>136</v>
      </c>
      <c r="P1696" s="6" t="s">
        <v>306</v>
      </c>
      <c r="Q1696" s="8" t="s">
        <v>52</v>
      </c>
      <c r="R1696" s="10" t="s">
        <v>1275</v>
      </c>
      <c r="S1696" s="11" t="s">
        <v>10331</v>
      </c>
      <c r="T1696" s="6"/>
      <c r="U1696" s="15" t="str">
        <f>HYPERLINK("https://media.infra-m.ru/2174/2174261/cover/2174261.jpg", "Обложка")</f>
        <v>Обложка</v>
      </c>
      <c r="V1696" s="8" t="s">
        <v>1184</v>
      </c>
      <c r="W1696" s="6"/>
      <c r="X1696" s="6"/>
      <c r="Y1696" s="6"/>
      <c r="Z1696" s="6"/>
      <c r="AA1696" s="6" t="s">
        <v>274</v>
      </c>
      <c r="AB1696" s="8"/>
      <c r="AC1696" s="27">
        <v>9785917685731</v>
      </c>
    </row>
    <row r="1697" spans="1:29" s="4" customFormat="1" ht="51.9" customHeight="1" x14ac:dyDescent="0.2">
      <c r="A1697" s="5">
        <v>0</v>
      </c>
      <c r="B1697" s="6" t="s">
        <v>10332</v>
      </c>
      <c r="C1697" s="7">
        <v>1432.8</v>
      </c>
      <c r="D1697" s="8" t="s">
        <v>10333</v>
      </c>
      <c r="E1697" s="8" t="s">
        <v>10334</v>
      </c>
      <c r="F1697" s="8" t="s">
        <v>10335</v>
      </c>
      <c r="G1697" s="6" t="s">
        <v>33</v>
      </c>
      <c r="H1697" s="6" t="s">
        <v>34</v>
      </c>
      <c r="I1697" s="8" t="s">
        <v>111</v>
      </c>
      <c r="J1697" s="9">
        <v>1</v>
      </c>
      <c r="K1697" s="9">
        <v>205</v>
      </c>
      <c r="L1697" s="9">
        <v>2026</v>
      </c>
      <c r="M1697" s="8" t="s">
        <v>10336</v>
      </c>
      <c r="N1697" s="8" t="s">
        <v>63</v>
      </c>
      <c r="O1697" s="8" t="s">
        <v>64</v>
      </c>
      <c r="P1697" s="6" t="s">
        <v>39</v>
      </c>
      <c r="Q1697" s="8" t="s">
        <v>40</v>
      </c>
      <c r="R1697" s="10" t="s">
        <v>10337</v>
      </c>
      <c r="S1697" s="11"/>
      <c r="T1697" s="6"/>
      <c r="U1697" s="15" t="str">
        <f>HYPERLINK("https://media.infra-m.ru/2244/2244464/cover/2244464.jpg", "Обложка")</f>
        <v>Обложка</v>
      </c>
      <c r="V1697" s="8" t="s">
        <v>414</v>
      </c>
      <c r="W1697" s="6"/>
      <c r="X1697" s="6"/>
      <c r="Y1697" s="6"/>
      <c r="Z1697" s="6"/>
      <c r="AA1697" s="6" t="s">
        <v>1256</v>
      </c>
      <c r="AB1697" s="8"/>
      <c r="AC1697" s="27">
        <v>9785160160177</v>
      </c>
    </row>
    <row r="1698" spans="1:29" s="4" customFormat="1" ht="51.9" customHeight="1" x14ac:dyDescent="0.2">
      <c r="A1698" s="5">
        <v>0</v>
      </c>
      <c r="B1698" s="6" t="s">
        <v>10338</v>
      </c>
      <c r="C1698" s="7">
        <v>1068</v>
      </c>
      <c r="D1698" s="8" t="s">
        <v>10339</v>
      </c>
      <c r="E1698" s="8" t="s">
        <v>10340</v>
      </c>
      <c r="F1698" s="8" t="s">
        <v>10341</v>
      </c>
      <c r="G1698" s="6" t="s">
        <v>118</v>
      </c>
      <c r="H1698" s="6" t="s">
        <v>34</v>
      </c>
      <c r="I1698" s="8" t="s">
        <v>263</v>
      </c>
      <c r="J1698" s="9">
        <v>1</v>
      </c>
      <c r="K1698" s="9">
        <v>153</v>
      </c>
      <c r="L1698" s="9">
        <v>2026</v>
      </c>
      <c r="M1698" s="8" t="s">
        <v>10342</v>
      </c>
      <c r="N1698" s="8" t="s">
        <v>243</v>
      </c>
      <c r="O1698" s="8" t="s">
        <v>798</v>
      </c>
      <c r="P1698" s="6" t="s">
        <v>51</v>
      </c>
      <c r="Q1698" s="8" t="s">
        <v>265</v>
      </c>
      <c r="R1698" s="10" t="s">
        <v>10343</v>
      </c>
      <c r="S1698" s="11" t="s">
        <v>10344</v>
      </c>
      <c r="T1698" s="6" t="s">
        <v>97</v>
      </c>
      <c r="U1698" s="15" t="str">
        <f>HYPERLINK("https://media.infra-m.ru/2259/2259756/cover/2259756.jpg", "Обложка")</f>
        <v>Обложка</v>
      </c>
      <c r="V1698" s="8" t="s">
        <v>227</v>
      </c>
      <c r="W1698" s="6"/>
      <c r="X1698" s="6"/>
      <c r="Y1698" s="6"/>
      <c r="Z1698" s="6"/>
      <c r="AA1698" s="6" t="s">
        <v>2240</v>
      </c>
      <c r="AB1698" s="8"/>
      <c r="AC1698" s="27">
        <v>9785160136530</v>
      </c>
    </row>
    <row r="1699" spans="1:29" s="4" customFormat="1" ht="51.9" customHeight="1" x14ac:dyDescent="0.2">
      <c r="A1699" s="5">
        <v>0</v>
      </c>
      <c r="B1699" s="6" t="s">
        <v>10345</v>
      </c>
      <c r="C1699" s="13">
        <v>420</v>
      </c>
      <c r="D1699" s="8" t="s">
        <v>10346</v>
      </c>
      <c r="E1699" s="8" t="s">
        <v>10347</v>
      </c>
      <c r="F1699" s="8" t="s">
        <v>10341</v>
      </c>
      <c r="G1699" s="6" t="s">
        <v>33</v>
      </c>
      <c r="H1699" s="6" t="s">
        <v>34</v>
      </c>
      <c r="I1699" s="8" t="s">
        <v>263</v>
      </c>
      <c r="J1699" s="9">
        <v>1</v>
      </c>
      <c r="K1699" s="9">
        <v>152</v>
      </c>
      <c r="L1699" s="9">
        <v>2018</v>
      </c>
      <c r="M1699" s="8" t="s">
        <v>10348</v>
      </c>
      <c r="N1699" s="8" t="s">
        <v>243</v>
      </c>
      <c r="O1699" s="8" t="s">
        <v>798</v>
      </c>
      <c r="P1699" s="6" t="s">
        <v>51</v>
      </c>
      <c r="Q1699" s="8" t="s">
        <v>265</v>
      </c>
      <c r="R1699" s="10" t="s">
        <v>10343</v>
      </c>
      <c r="S1699" s="11" t="s">
        <v>10344</v>
      </c>
      <c r="T1699" s="6" t="s">
        <v>97</v>
      </c>
      <c r="U1699" s="15" t="str">
        <f>HYPERLINK("https://media.infra-m.ru/0933/0933879/cover/933879.jpg", "Обложка")</f>
        <v>Обложка</v>
      </c>
      <c r="V1699" s="8" t="s">
        <v>227</v>
      </c>
      <c r="W1699" s="6"/>
      <c r="X1699" s="6"/>
      <c r="Y1699" s="6"/>
      <c r="Z1699" s="6"/>
      <c r="AA1699" s="6" t="s">
        <v>129</v>
      </c>
      <c r="AB1699" s="8"/>
      <c r="AC1699" s="27">
        <v>9785160134673</v>
      </c>
    </row>
    <row r="1700" spans="1:29" s="4" customFormat="1" ht="51.9" customHeight="1" x14ac:dyDescent="0.2">
      <c r="A1700" s="5">
        <v>0</v>
      </c>
      <c r="B1700" s="6" t="s">
        <v>10349</v>
      </c>
      <c r="C1700" s="7">
        <v>1444.8</v>
      </c>
      <c r="D1700" s="8" t="s">
        <v>10350</v>
      </c>
      <c r="E1700" s="8" t="s">
        <v>10351</v>
      </c>
      <c r="F1700" s="8" t="s">
        <v>10352</v>
      </c>
      <c r="G1700" s="6" t="s">
        <v>118</v>
      </c>
      <c r="H1700" s="6" t="s">
        <v>34</v>
      </c>
      <c r="I1700" s="8" t="s">
        <v>263</v>
      </c>
      <c r="J1700" s="9">
        <v>1</v>
      </c>
      <c r="K1700" s="9">
        <v>208</v>
      </c>
      <c r="L1700" s="9">
        <v>2027</v>
      </c>
      <c r="M1700" s="8" t="s">
        <v>10353</v>
      </c>
      <c r="N1700" s="8" t="s">
        <v>37</v>
      </c>
      <c r="O1700" s="8" t="s">
        <v>290</v>
      </c>
      <c r="P1700" s="6" t="s">
        <v>51</v>
      </c>
      <c r="Q1700" s="8" t="s">
        <v>265</v>
      </c>
      <c r="R1700" s="10" t="s">
        <v>10354</v>
      </c>
      <c r="S1700" s="11" t="s">
        <v>10355</v>
      </c>
      <c r="T1700" s="6"/>
      <c r="U1700" s="15" t="str">
        <f>HYPERLINK("https://media.infra-m.ru/2263/2263176/cover/2263176.jpg", "Обложка")</f>
        <v>Обложка</v>
      </c>
      <c r="V1700" s="8" t="s">
        <v>4230</v>
      </c>
      <c r="W1700" s="6"/>
      <c r="X1700" s="6"/>
      <c r="Y1700" s="6"/>
      <c r="Z1700" s="6"/>
      <c r="AA1700" s="6" t="s">
        <v>1256</v>
      </c>
      <c r="AB1700" s="8" t="s">
        <v>1418</v>
      </c>
      <c r="AC1700" s="27">
        <v>9785160155067</v>
      </c>
    </row>
    <row r="1701" spans="1:29" s="4" customFormat="1" ht="42" customHeight="1" x14ac:dyDescent="0.2">
      <c r="A1701" s="5">
        <v>0</v>
      </c>
      <c r="B1701" s="6" t="s">
        <v>10356</v>
      </c>
      <c r="C1701" s="7">
        <v>1308</v>
      </c>
      <c r="D1701" s="8" t="s">
        <v>10357</v>
      </c>
      <c r="E1701" s="8" t="s">
        <v>10351</v>
      </c>
      <c r="F1701" s="8" t="s">
        <v>10352</v>
      </c>
      <c r="G1701" s="6" t="s">
        <v>118</v>
      </c>
      <c r="H1701" s="6" t="s">
        <v>34</v>
      </c>
      <c r="I1701" s="8" t="s">
        <v>253</v>
      </c>
      <c r="J1701" s="9">
        <v>1</v>
      </c>
      <c r="K1701" s="9">
        <v>208</v>
      </c>
      <c r="L1701" s="9">
        <v>2026</v>
      </c>
      <c r="M1701" s="8" t="s">
        <v>10358</v>
      </c>
      <c r="N1701" s="8" t="s">
        <v>37</v>
      </c>
      <c r="O1701" s="8" t="s">
        <v>290</v>
      </c>
      <c r="P1701" s="6" t="s">
        <v>51</v>
      </c>
      <c r="Q1701" s="8" t="s">
        <v>65</v>
      </c>
      <c r="R1701" s="10" t="s">
        <v>291</v>
      </c>
      <c r="S1701" s="11"/>
      <c r="T1701" s="6"/>
      <c r="U1701" s="15" t="str">
        <f>HYPERLINK("https://media.infra-m.ru/2216/2216021/cover/2216021.jpg", "Обложка")</f>
        <v>Обложка</v>
      </c>
      <c r="V1701" s="8" t="s">
        <v>4230</v>
      </c>
      <c r="W1701" s="6"/>
      <c r="X1701" s="6"/>
      <c r="Y1701" s="6"/>
      <c r="Z1701" s="6" t="s">
        <v>3974</v>
      </c>
      <c r="AA1701" s="6" t="s">
        <v>76</v>
      </c>
      <c r="AB1701" s="8"/>
      <c r="AC1701" s="27">
        <v>9785160185996</v>
      </c>
    </row>
    <row r="1702" spans="1:29" s="4" customFormat="1" ht="51.9" customHeight="1" x14ac:dyDescent="0.2">
      <c r="A1702" s="5">
        <v>0</v>
      </c>
      <c r="B1702" s="6" t="s">
        <v>10359</v>
      </c>
      <c r="C1702" s="13">
        <v>976.8</v>
      </c>
      <c r="D1702" s="8" t="s">
        <v>10360</v>
      </c>
      <c r="E1702" s="8" t="s">
        <v>10361</v>
      </c>
      <c r="F1702" s="8" t="s">
        <v>1960</v>
      </c>
      <c r="G1702" s="6" t="s">
        <v>33</v>
      </c>
      <c r="H1702" s="6" t="s">
        <v>34</v>
      </c>
      <c r="I1702" s="8" t="s">
        <v>35</v>
      </c>
      <c r="J1702" s="9">
        <v>1</v>
      </c>
      <c r="K1702" s="9">
        <v>157</v>
      </c>
      <c r="L1702" s="9">
        <v>2025</v>
      </c>
      <c r="M1702" s="8" t="s">
        <v>10362</v>
      </c>
      <c r="N1702" s="8" t="s">
        <v>63</v>
      </c>
      <c r="O1702" s="8" t="s">
        <v>126</v>
      </c>
      <c r="P1702" s="6" t="s">
        <v>39</v>
      </c>
      <c r="Q1702" s="8" t="s">
        <v>40</v>
      </c>
      <c r="R1702" s="10" t="s">
        <v>127</v>
      </c>
      <c r="S1702" s="11"/>
      <c r="T1702" s="6"/>
      <c r="U1702" s="15" t="str">
        <f>HYPERLINK("https://media.infra-m.ru/2208/2208452/cover/2208452.jpg", "Обложка")</f>
        <v>Обложка</v>
      </c>
      <c r="V1702" s="8" t="s">
        <v>227</v>
      </c>
      <c r="W1702" s="6"/>
      <c r="X1702" s="6"/>
      <c r="Y1702" s="6"/>
      <c r="Z1702" s="6"/>
      <c r="AA1702" s="6" t="s">
        <v>115</v>
      </c>
      <c r="AB1702" s="8"/>
      <c r="AC1702" s="27">
        <v>9785160145136</v>
      </c>
    </row>
    <row r="1703" spans="1:29" s="4" customFormat="1" ht="51.9" customHeight="1" x14ac:dyDescent="0.2">
      <c r="A1703" s="5">
        <v>0</v>
      </c>
      <c r="B1703" s="6" t="s">
        <v>10363</v>
      </c>
      <c r="C1703" s="13">
        <v>696</v>
      </c>
      <c r="D1703" s="8" t="s">
        <v>10364</v>
      </c>
      <c r="E1703" s="8" t="s">
        <v>10365</v>
      </c>
      <c r="F1703" s="8" t="s">
        <v>10366</v>
      </c>
      <c r="G1703" s="6" t="s">
        <v>33</v>
      </c>
      <c r="H1703" s="6" t="s">
        <v>34</v>
      </c>
      <c r="I1703" s="8" t="s">
        <v>517</v>
      </c>
      <c r="J1703" s="9">
        <v>1</v>
      </c>
      <c r="K1703" s="9">
        <v>98</v>
      </c>
      <c r="L1703" s="9">
        <v>2025</v>
      </c>
      <c r="M1703" s="8" t="s">
        <v>10367</v>
      </c>
      <c r="N1703" s="8" t="s">
        <v>37</v>
      </c>
      <c r="O1703" s="8" t="s">
        <v>280</v>
      </c>
      <c r="P1703" s="6" t="s">
        <v>234</v>
      </c>
      <c r="Q1703" s="8" t="s">
        <v>749</v>
      </c>
      <c r="R1703" s="10" t="s">
        <v>10368</v>
      </c>
      <c r="S1703" s="11"/>
      <c r="T1703" s="6" t="s">
        <v>97</v>
      </c>
      <c r="U1703" s="15" t="str">
        <f>HYPERLINK("https://media.infra-m.ru/2208/2208460/cover/2208460.jpg", "Обложка")</f>
        <v>Обложка</v>
      </c>
      <c r="V1703" s="8" t="s">
        <v>227</v>
      </c>
      <c r="W1703" s="6"/>
      <c r="X1703" s="6"/>
      <c r="Y1703" s="6"/>
      <c r="Z1703" s="6"/>
      <c r="AA1703" s="6" t="s">
        <v>779</v>
      </c>
      <c r="AB1703" s="8"/>
      <c r="AC1703" s="27">
        <v>9785160109039</v>
      </c>
    </row>
    <row r="1704" spans="1:29" s="4" customFormat="1" ht="44.1" customHeight="1" x14ac:dyDescent="0.2">
      <c r="A1704" s="5">
        <v>0</v>
      </c>
      <c r="B1704" s="6" t="s">
        <v>10369</v>
      </c>
      <c r="C1704" s="7">
        <v>1440</v>
      </c>
      <c r="D1704" s="8" t="s">
        <v>10370</v>
      </c>
      <c r="E1704" s="8" t="s">
        <v>10371</v>
      </c>
      <c r="F1704" s="8" t="s">
        <v>10372</v>
      </c>
      <c r="G1704" s="6" t="s">
        <v>33</v>
      </c>
      <c r="H1704" s="6" t="s">
        <v>34</v>
      </c>
      <c r="I1704" s="8" t="s">
        <v>35</v>
      </c>
      <c r="J1704" s="9">
        <v>1</v>
      </c>
      <c r="K1704" s="9">
        <v>218</v>
      </c>
      <c r="L1704" s="9">
        <v>2026</v>
      </c>
      <c r="M1704" s="8" t="s">
        <v>10373</v>
      </c>
      <c r="N1704" s="8" t="s">
        <v>63</v>
      </c>
      <c r="O1704" s="8" t="s">
        <v>154</v>
      </c>
      <c r="P1704" s="6" t="s">
        <v>39</v>
      </c>
      <c r="Q1704" s="8" t="s">
        <v>40</v>
      </c>
      <c r="R1704" s="10" t="s">
        <v>10374</v>
      </c>
      <c r="S1704" s="11"/>
      <c r="T1704" s="6"/>
      <c r="U1704" s="15" t="str">
        <f>HYPERLINK("https://media.infra-m.ru/2230/2230771/cover/2230771.jpg", "Обложка")</f>
        <v>Обложка</v>
      </c>
      <c r="V1704" s="8" t="s">
        <v>1192</v>
      </c>
      <c r="W1704" s="6"/>
      <c r="X1704" s="6"/>
      <c r="Y1704" s="6"/>
      <c r="Z1704" s="6"/>
      <c r="AA1704" s="6" t="s">
        <v>157</v>
      </c>
      <c r="AB1704" s="8"/>
      <c r="AC1704" s="27">
        <v>9785160181189</v>
      </c>
    </row>
    <row r="1705" spans="1:29" s="4" customFormat="1" ht="42" customHeight="1" x14ac:dyDescent="0.2">
      <c r="A1705" s="5">
        <v>0</v>
      </c>
      <c r="B1705" s="6" t="s">
        <v>10375</v>
      </c>
      <c r="C1705" s="7">
        <v>1308</v>
      </c>
      <c r="D1705" s="8" t="s">
        <v>10376</v>
      </c>
      <c r="E1705" s="8" t="s">
        <v>10377</v>
      </c>
      <c r="F1705" s="8" t="s">
        <v>10378</v>
      </c>
      <c r="G1705" s="6" t="s">
        <v>33</v>
      </c>
      <c r="H1705" s="6" t="s">
        <v>34</v>
      </c>
      <c r="I1705" s="8" t="s">
        <v>35</v>
      </c>
      <c r="J1705" s="9">
        <v>1</v>
      </c>
      <c r="K1705" s="9">
        <v>197</v>
      </c>
      <c r="L1705" s="9">
        <v>2026</v>
      </c>
      <c r="M1705" s="8" t="s">
        <v>10379</v>
      </c>
      <c r="N1705" s="8" t="s">
        <v>243</v>
      </c>
      <c r="O1705" s="8" t="s">
        <v>385</v>
      </c>
      <c r="P1705" s="6" t="s">
        <v>39</v>
      </c>
      <c r="Q1705" s="8" t="s">
        <v>40</v>
      </c>
      <c r="R1705" s="10" t="s">
        <v>378</v>
      </c>
      <c r="S1705" s="11"/>
      <c r="T1705" s="6" t="s">
        <v>97</v>
      </c>
      <c r="U1705" s="15" t="str">
        <f>HYPERLINK("https://media.infra-m.ru/2251/2251357/cover/2251357.jpg", "Обложка")</f>
        <v>Обложка</v>
      </c>
      <c r="V1705" s="8" t="s">
        <v>10380</v>
      </c>
      <c r="W1705" s="6"/>
      <c r="X1705" s="6"/>
      <c r="Y1705" s="6"/>
      <c r="Z1705" s="6"/>
      <c r="AA1705" s="6" t="s">
        <v>779</v>
      </c>
      <c r="AB1705" s="8"/>
      <c r="AC1705" s="27">
        <v>9785160113258</v>
      </c>
    </row>
    <row r="1706" spans="1:29" s="4" customFormat="1" ht="42" customHeight="1" x14ac:dyDescent="0.2">
      <c r="A1706" s="5">
        <v>0</v>
      </c>
      <c r="B1706" s="6" t="s">
        <v>10381</v>
      </c>
      <c r="C1706" s="7">
        <v>3115.2</v>
      </c>
      <c r="D1706" s="8" t="s">
        <v>10382</v>
      </c>
      <c r="E1706" s="8" t="s">
        <v>10383</v>
      </c>
      <c r="F1706" s="8"/>
      <c r="G1706" s="6" t="s">
        <v>33</v>
      </c>
      <c r="H1706" s="6" t="s">
        <v>134</v>
      </c>
      <c r="I1706" s="8"/>
      <c r="J1706" s="9">
        <v>1</v>
      </c>
      <c r="K1706" s="9">
        <v>150</v>
      </c>
      <c r="L1706" s="9">
        <v>2024</v>
      </c>
      <c r="M1706" s="8"/>
      <c r="N1706" s="8" t="s">
        <v>37</v>
      </c>
      <c r="O1706" s="8" t="s">
        <v>136</v>
      </c>
      <c r="P1706" s="6" t="s">
        <v>314</v>
      </c>
      <c r="Q1706" s="8"/>
      <c r="R1706" s="10"/>
      <c r="S1706" s="11"/>
      <c r="T1706" s="6"/>
      <c r="U1706" s="15" t="str">
        <f>HYPERLINK("https://media.infra-m.ru/2134/2134473/cover/2134473.jpg", "Обложка")</f>
        <v>Обложка</v>
      </c>
      <c r="V1706" s="8"/>
      <c r="W1706" s="6"/>
      <c r="X1706" s="6"/>
      <c r="Y1706" s="6"/>
      <c r="Z1706" s="6"/>
      <c r="AA1706" s="6" t="s">
        <v>274</v>
      </c>
      <c r="AB1706" s="8"/>
      <c r="AC1706" s="27"/>
    </row>
    <row r="1707" spans="1:29" s="4" customFormat="1" ht="42" customHeight="1" x14ac:dyDescent="0.2">
      <c r="A1707" s="5">
        <v>0</v>
      </c>
      <c r="B1707" s="6" t="s">
        <v>10384</v>
      </c>
      <c r="C1707" s="7">
        <v>3207.6</v>
      </c>
      <c r="D1707" s="8" t="s">
        <v>10385</v>
      </c>
      <c r="E1707" s="8" t="s">
        <v>10386</v>
      </c>
      <c r="F1707" s="8"/>
      <c r="G1707" s="6" t="s">
        <v>33</v>
      </c>
      <c r="H1707" s="6" t="s">
        <v>134</v>
      </c>
      <c r="I1707" s="8"/>
      <c r="J1707" s="9">
        <v>1</v>
      </c>
      <c r="K1707" s="9">
        <v>144</v>
      </c>
      <c r="L1707" s="9">
        <v>2026</v>
      </c>
      <c r="M1707" s="8"/>
      <c r="N1707" s="8" t="s">
        <v>37</v>
      </c>
      <c r="O1707" s="8" t="s">
        <v>136</v>
      </c>
      <c r="P1707" s="6" t="s">
        <v>314</v>
      </c>
      <c r="Q1707" s="8"/>
      <c r="R1707" s="10"/>
      <c r="S1707" s="11"/>
      <c r="T1707" s="6"/>
      <c r="U1707" s="15" t="str">
        <f>HYPERLINK("https://media.infra-m.ru/2230/2230049/cover/2230049.jpg", "Обложка")</f>
        <v>Обложка</v>
      </c>
      <c r="V1707" s="8"/>
      <c r="W1707" s="6" t="s">
        <v>649</v>
      </c>
      <c r="X1707" s="6"/>
      <c r="Y1707" s="6"/>
      <c r="Z1707" s="6"/>
      <c r="AA1707" s="6" t="s">
        <v>76</v>
      </c>
      <c r="AB1707" s="8"/>
      <c r="AC1707" s="27"/>
    </row>
    <row r="1708" spans="1:29" s="4" customFormat="1" ht="42" customHeight="1" x14ac:dyDescent="0.2">
      <c r="A1708" s="5">
        <v>0</v>
      </c>
      <c r="B1708" s="6" t="s">
        <v>10387</v>
      </c>
      <c r="C1708" s="7">
        <v>2046</v>
      </c>
      <c r="D1708" s="8" t="s">
        <v>10388</v>
      </c>
      <c r="E1708" s="8" t="s">
        <v>10389</v>
      </c>
      <c r="F1708" s="8"/>
      <c r="G1708" s="6" t="s">
        <v>33</v>
      </c>
      <c r="H1708" s="6" t="s">
        <v>134</v>
      </c>
      <c r="I1708" s="8"/>
      <c r="J1708" s="9">
        <v>1</v>
      </c>
      <c r="K1708" s="9">
        <v>180</v>
      </c>
      <c r="L1708" s="9">
        <v>2024</v>
      </c>
      <c r="M1708" s="8"/>
      <c r="N1708" s="8" t="s">
        <v>37</v>
      </c>
      <c r="O1708" s="8" t="s">
        <v>136</v>
      </c>
      <c r="P1708" s="6" t="s">
        <v>314</v>
      </c>
      <c r="Q1708" s="8"/>
      <c r="R1708" s="10"/>
      <c r="S1708" s="11"/>
      <c r="T1708" s="6"/>
      <c r="U1708" s="15" t="str">
        <f>HYPERLINK("https://media.infra-m.ru/2134/2134463/cover/2134463.jpg", "Обложка")</f>
        <v>Обложка</v>
      </c>
      <c r="V1708" s="8"/>
      <c r="W1708" s="6"/>
      <c r="X1708" s="6"/>
      <c r="Y1708" s="6"/>
      <c r="Z1708" s="6"/>
      <c r="AA1708" s="6" t="s">
        <v>248</v>
      </c>
      <c r="AB1708" s="8"/>
      <c r="AC1708" s="27"/>
    </row>
    <row r="1709" spans="1:29" s="4" customFormat="1" ht="42" customHeight="1" x14ac:dyDescent="0.2">
      <c r="A1709" s="5">
        <v>0</v>
      </c>
      <c r="B1709" s="6" t="s">
        <v>10390</v>
      </c>
      <c r="C1709" s="7">
        <v>2217.6</v>
      </c>
      <c r="D1709" s="8" t="s">
        <v>10391</v>
      </c>
      <c r="E1709" s="8" t="s">
        <v>10392</v>
      </c>
      <c r="F1709" s="8"/>
      <c r="G1709" s="6" t="s">
        <v>33</v>
      </c>
      <c r="H1709" s="6" t="s">
        <v>134</v>
      </c>
      <c r="I1709" s="8"/>
      <c r="J1709" s="9">
        <v>1</v>
      </c>
      <c r="K1709" s="9">
        <v>176</v>
      </c>
      <c r="L1709" s="9">
        <v>2026</v>
      </c>
      <c r="M1709" s="8"/>
      <c r="N1709" s="8" t="s">
        <v>37</v>
      </c>
      <c r="O1709" s="8" t="s">
        <v>136</v>
      </c>
      <c r="P1709" s="6" t="s">
        <v>314</v>
      </c>
      <c r="Q1709" s="8"/>
      <c r="R1709" s="10"/>
      <c r="S1709" s="11"/>
      <c r="T1709" s="6"/>
      <c r="U1709" s="15" t="str">
        <f>HYPERLINK("https://media.infra-m.ru/2238/2238622/cover/2238622.jpg", "Обложка")</f>
        <v>Обложка</v>
      </c>
      <c r="V1709" s="8"/>
      <c r="W1709" s="6" t="s">
        <v>4466</v>
      </c>
      <c r="X1709" s="6"/>
      <c r="Y1709" s="6"/>
      <c r="Z1709" s="6"/>
      <c r="AA1709" s="6" t="s">
        <v>10393</v>
      </c>
      <c r="AB1709" s="8"/>
      <c r="AC1709" s="27"/>
    </row>
    <row r="1710" spans="1:29" s="4" customFormat="1" ht="51.9" customHeight="1" x14ac:dyDescent="0.2">
      <c r="A1710" s="5">
        <v>0</v>
      </c>
      <c r="B1710" s="6" t="s">
        <v>10394</v>
      </c>
      <c r="C1710" s="7">
        <v>1308</v>
      </c>
      <c r="D1710" s="8" t="s">
        <v>10395</v>
      </c>
      <c r="E1710" s="8" t="s">
        <v>10396</v>
      </c>
      <c r="F1710" s="8" t="s">
        <v>10397</v>
      </c>
      <c r="G1710" s="6" t="s">
        <v>118</v>
      </c>
      <c r="H1710" s="6" t="s">
        <v>34</v>
      </c>
      <c r="I1710" s="8" t="s">
        <v>253</v>
      </c>
      <c r="J1710" s="9">
        <v>1</v>
      </c>
      <c r="K1710" s="9">
        <v>176</v>
      </c>
      <c r="L1710" s="9">
        <v>2027</v>
      </c>
      <c r="M1710" s="8" t="s">
        <v>10398</v>
      </c>
      <c r="N1710" s="8" t="s">
        <v>37</v>
      </c>
      <c r="O1710" s="8" t="s">
        <v>50</v>
      </c>
      <c r="P1710" s="6" t="s">
        <v>51</v>
      </c>
      <c r="Q1710" s="8" t="s">
        <v>52</v>
      </c>
      <c r="R1710" s="10" t="s">
        <v>10399</v>
      </c>
      <c r="S1710" s="11" t="s">
        <v>10400</v>
      </c>
      <c r="T1710" s="6"/>
      <c r="U1710" s="15" t="str">
        <f>HYPERLINK("https://media.infra-m.ru/2262/2262698/cover/2262698.jpg", "Обложка")</f>
        <v>Обложка</v>
      </c>
      <c r="V1710" s="8" t="s">
        <v>4409</v>
      </c>
      <c r="W1710" s="6"/>
      <c r="X1710" s="6"/>
      <c r="Y1710" s="6"/>
      <c r="Z1710" s="6"/>
      <c r="AA1710" s="6" t="s">
        <v>55</v>
      </c>
      <c r="AB1710" s="8"/>
      <c r="AC1710" s="27">
        <v>9785160212227</v>
      </c>
    </row>
    <row r="1711" spans="1:29" s="4" customFormat="1" ht="51.9" customHeight="1" x14ac:dyDescent="0.2">
      <c r="A1711" s="5">
        <v>0</v>
      </c>
      <c r="B1711" s="6" t="s">
        <v>10401</v>
      </c>
      <c r="C1711" s="7">
        <v>1068</v>
      </c>
      <c r="D1711" s="8" t="s">
        <v>10402</v>
      </c>
      <c r="E1711" s="8" t="s">
        <v>10403</v>
      </c>
      <c r="F1711" s="8" t="s">
        <v>10404</v>
      </c>
      <c r="G1711" s="6" t="s">
        <v>33</v>
      </c>
      <c r="H1711" s="6" t="s">
        <v>34</v>
      </c>
      <c r="I1711" s="8" t="s">
        <v>35</v>
      </c>
      <c r="J1711" s="9">
        <v>1</v>
      </c>
      <c r="K1711" s="9">
        <v>161</v>
      </c>
      <c r="L1711" s="9">
        <v>2025</v>
      </c>
      <c r="M1711" s="8" t="s">
        <v>10405</v>
      </c>
      <c r="N1711" s="8" t="s">
        <v>93</v>
      </c>
      <c r="O1711" s="8" t="s">
        <v>94</v>
      </c>
      <c r="P1711" s="6" t="s">
        <v>39</v>
      </c>
      <c r="Q1711" s="8" t="s">
        <v>40</v>
      </c>
      <c r="R1711" s="10" t="s">
        <v>10406</v>
      </c>
      <c r="S1711" s="11"/>
      <c r="T1711" s="6"/>
      <c r="U1711" s="15" t="str">
        <f>HYPERLINK("https://media.infra-m.ru/2203/2203351/cover/2203351.jpg", "Обложка")</f>
        <v>Обложка</v>
      </c>
      <c r="V1711" s="8" t="s">
        <v>3177</v>
      </c>
      <c r="W1711" s="6"/>
      <c r="X1711" s="6"/>
      <c r="Y1711" s="6"/>
      <c r="Z1711" s="6"/>
      <c r="AA1711" s="6" t="s">
        <v>68</v>
      </c>
      <c r="AB1711" s="8"/>
      <c r="AC1711" s="27">
        <v>9785160209128</v>
      </c>
    </row>
    <row r="1712" spans="1:29" s="4" customFormat="1" ht="42" customHeight="1" x14ac:dyDescent="0.2">
      <c r="A1712" s="5">
        <v>0</v>
      </c>
      <c r="B1712" s="6" t="s">
        <v>10407</v>
      </c>
      <c r="C1712" s="7">
        <v>2056.8000000000002</v>
      </c>
      <c r="D1712" s="8" t="s">
        <v>10408</v>
      </c>
      <c r="E1712" s="8" t="s">
        <v>10409</v>
      </c>
      <c r="F1712" s="8" t="s">
        <v>10410</v>
      </c>
      <c r="G1712" s="6" t="s">
        <v>33</v>
      </c>
      <c r="H1712" s="6" t="s">
        <v>34</v>
      </c>
      <c r="I1712" s="8" t="s">
        <v>35</v>
      </c>
      <c r="J1712" s="9">
        <v>1</v>
      </c>
      <c r="K1712" s="9">
        <v>296</v>
      </c>
      <c r="L1712" s="9">
        <v>2026</v>
      </c>
      <c r="M1712" s="8" t="s">
        <v>10411</v>
      </c>
      <c r="N1712" s="8" t="s">
        <v>243</v>
      </c>
      <c r="O1712" s="8" t="s">
        <v>385</v>
      </c>
      <c r="P1712" s="6" t="s">
        <v>39</v>
      </c>
      <c r="Q1712" s="8" t="s">
        <v>40</v>
      </c>
      <c r="R1712" s="10" t="s">
        <v>378</v>
      </c>
      <c r="S1712" s="11"/>
      <c r="T1712" s="6"/>
      <c r="U1712" s="15" t="str">
        <f>HYPERLINK("https://media.infra-m.ru/2251/2251170/cover/2251170.jpg", "Обложка")</f>
        <v>Обложка</v>
      </c>
      <c r="V1712" s="8" t="s">
        <v>10412</v>
      </c>
      <c r="W1712" s="6"/>
      <c r="X1712" s="6"/>
      <c r="Y1712" s="6"/>
      <c r="Z1712" s="6"/>
      <c r="AA1712" s="6" t="s">
        <v>859</v>
      </c>
      <c r="AB1712" s="8"/>
      <c r="AC1712" s="27">
        <v>9785160065427</v>
      </c>
    </row>
    <row r="1713" spans="1:29" s="4" customFormat="1" ht="42" customHeight="1" x14ac:dyDescent="0.2">
      <c r="A1713" s="5">
        <v>0</v>
      </c>
      <c r="B1713" s="6" t="s">
        <v>10413</v>
      </c>
      <c r="C1713" s="13">
        <v>900</v>
      </c>
      <c r="D1713" s="8" t="s">
        <v>10414</v>
      </c>
      <c r="E1713" s="8" t="s">
        <v>10415</v>
      </c>
      <c r="F1713" s="8" t="s">
        <v>10416</v>
      </c>
      <c r="G1713" s="6" t="s">
        <v>118</v>
      </c>
      <c r="H1713" s="6" t="s">
        <v>34</v>
      </c>
      <c r="I1713" s="8" t="s">
        <v>35</v>
      </c>
      <c r="J1713" s="9">
        <v>1</v>
      </c>
      <c r="K1713" s="9">
        <v>193</v>
      </c>
      <c r="L1713" s="9">
        <v>2022</v>
      </c>
      <c r="M1713" s="8" t="s">
        <v>10417</v>
      </c>
      <c r="N1713" s="8" t="s">
        <v>93</v>
      </c>
      <c r="O1713" s="8" t="s">
        <v>94</v>
      </c>
      <c r="P1713" s="6" t="s">
        <v>39</v>
      </c>
      <c r="Q1713" s="8" t="s">
        <v>40</v>
      </c>
      <c r="R1713" s="10" t="s">
        <v>10418</v>
      </c>
      <c r="S1713" s="11"/>
      <c r="T1713" s="6"/>
      <c r="U1713" s="15" t="str">
        <f>HYPERLINK("https://media.infra-m.ru/1854/1854751/cover/1854751.jpg", "Обложка")</f>
        <v>Обложка</v>
      </c>
      <c r="V1713" s="8" t="s">
        <v>3196</v>
      </c>
      <c r="W1713" s="6"/>
      <c r="X1713" s="6"/>
      <c r="Y1713" s="6"/>
      <c r="Z1713" s="6"/>
      <c r="AA1713" s="6" t="s">
        <v>779</v>
      </c>
      <c r="AB1713" s="8"/>
      <c r="AC1713" s="27">
        <v>9785160117553</v>
      </c>
    </row>
    <row r="1714" spans="1:29" s="4" customFormat="1" ht="42" customHeight="1" x14ac:dyDescent="0.2">
      <c r="A1714" s="5">
        <v>0</v>
      </c>
      <c r="B1714" s="6" t="s">
        <v>10419</v>
      </c>
      <c r="C1714" s="7">
        <v>1428</v>
      </c>
      <c r="D1714" s="8" t="s">
        <v>10420</v>
      </c>
      <c r="E1714" s="8" t="s">
        <v>10421</v>
      </c>
      <c r="F1714" s="8" t="s">
        <v>1960</v>
      </c>
      <c r="G1714" s="6" t="s">
        <v>60</v>
      </c>
      <c r="H1714" s="6" t="s">
        <v>34</v>
      </c>
      <c r="I1714" s="8" t="s">
        <v>35</v>
      </c>
      <c r="J1714" s="9">
        <v>1</v>
      </c>
      <c r="K1714" s="9">
        <v>263</v>
      </c>
      <c r="L1714" s="9">
        <v>2023</v>
      </c>
      <c r="M1714" s="8" t="s">
        <v>10422</v>
      </c>
      <c r="N1714" s="8" t="s">
        <v>63</v>
      </c>
      <c r="O1714" s="8" t="s">
        <v>126</v>
      </c>
      <c r="P1714" s="6" t="s">
        <v>39</v>
      </c>
      <c r="Q1714" s="8" t="s">
        <v>40</v>
      </c>
      <c r="R1714" s="10" t="s">
        <v>10423</v>
      </c>
      <c r="S1714" s="11"/>
      <c r="T1714" s="6"/>
      <c r="U1714" s="15" t="str">
        <f>HYPERLINK("https://media.infra-m.ru/1898/1898396/cover/1898396.jpg", "Обложка")</f>
        <v>Обложка</v>
      </c>
      <c r="V1714" s="8" t="s">
        <v>227</v>
      </c>
      <c r="W1714" s="6"/>
      <c r="X1714" s="6"/>
      <c r="Y1714" s="6"/>
      <c r="Z1714" s="6"/>
      <c r="AA1714" s="6" t="s">
        <v>157</v>
      </c>
      <c r="AB1714" s="8" t="s">
        <v>1785</v>
      </c>
      <c r="AC1714" s="27">
        <v>9785160179339</v>
      </c>
    </row>
    <row r="1715" spans="1:29" s="4" customFormat="1" ht="42" customHeight="1" x14ac:dyDescent="0.2">
      <c r="A1715" s="5">
        <v>0</v>
      </c>
      <c r="B1715" s="6" t="s">
        <v>10424</v>
      </c>
      <c r="C1715" s="7">
        <v>1428</v>
      </c>
      <c r="D1715" s="8" t="s">
        <v>10425</v>
      </c>
      <c r="E1715" s="8" t="s">
        <v>10426</v>
      </c>
      <c r="F1715" s="8" t="s">
        <v>10427</v>
      </c>
      <c r="G1715" s="6" t="s">
        <v>33</v>
      </c>
      <c r="H1715" s="6" t="s">
        <v>34</v>
      </c>
      <c r="I1715" s="8" t="s">
        <v>35</v>
      </c>
      <c r="J1715" s="9">
        <v>1</v>
      </c>
      <c r="K1715" s="9">
        <v>216</v>
      </c>
      <c r="L1715" s="9">
        <v>2026</v>
      </c>
      <c r="M1715" s="8" t="s">
        <v>10428</v>
      </c>
      <c r="N1715" s="8" t="s">
        <v>37</v>
      </c>
      <c r="O1715" s="8" t="s">
        <v>38</v>
      </c>
      <c r="P1715" s="6" t="s">
        <v>39</v>
      </c>
      <c r="Q1715" s="8" t="s">
        <v>40</v>
      </c>
      <c r="R1715" s="10" t="s">
        <v>10429</v>
      </c>
      <c r="S1715" s="11"/>
      <c r="T1715" s="6"/>
      <c r="U1715" s="15" t="str">
        <f>HYPERLINK("https://media.infra-m.ru/2173/2173569/cover/2173569.jpg", "Обложка")</f>
        <v>Обложка</v>
      </c>
      <c r="V1715" s="8" t="s">
        <v>10430</v>
      </c>
      <c r="W1715" s="6"/>
      <c r="X1715" s="6"/>
      <c r="Y1715" s="6"/>
      <c r="Z1715" s="6"/>
      <c r="AA1715" s="6" t="s">
        <v>86</v>
      </c>
      <c r="AB1715" s="8"/>
      <c r="AC1715" s="27">
        <v>9785160181554</v>
      </c>
    </row>
    <row r="1716" spans="1:29" s="4" customFormat="1" ht="42" customHeight="1" x14ac:dyDescent="0.2">
      <c r="A1716" s="5">
        <v>0</v>
      </c>
      <c r="B1716" s="6" t="s">
        <v>10431</v>
      </c>
      <c r="C1716" s="7">
        <v>1300.8</v>
      </c>
      <c r="D1716" s="8" t="s">
        <v>10432</v>
      </c>
      <c r="E1716" s="8" t="s">
        <v>10426</v>
      </c>
      <c r="F1716" s="8" t="s">
        <v>10427</v>
      </c>
      <c r="G1716" s="6" t="s">
        <v>60</v>
      </c>
      <c r="H1716" s="6" t="s">
        <v>34</v>
      </c>
      <c r="I1716" s="8" t="s">
        <v>35</v>
      </c>
      <c r="J1716" s="9">
        <v>1</v>
      </c>
      <c r="K1716" s="9">
        <v>216</v>
      </c>
      <c r="L1716" s="9">
        <v>2025</v>
      </c>
      <c r="M1716" s="8" t="s">
        <v>10428</v>
      </c>
      <c r="N1716" s="8" t="s">
        <v>37</v>
      </c>
      <c r="O1716" s="8" t="s">
        <v>38</v>
      </c>
      <c r="P1716" s="6" t="s">
        <v>39</v>
      </c>
      <c r="Q1716" s="8" t="s">
        <v>40</v>
      </c>
      <c r="R1716" s="10" t="s">
        <v>10429</v>
      </c>
      <c r="S1716" s="11"/>
      <c r="T1716" s="6"/>
      <c r="U1716" s="15" t="str">
        <f>HYPERLINK("https://media.infra-m.ru/2170/2170060/cover/2170060.jpg", "Обложка")</f>
        <v>Обложка</v>
      </c>
      <c r="V1716" s="8" t="s">
        <v>10430</v>
      </c>
      <c r="W1716" s="6"/>
      <c r="X1716" s="6"/>
      <c r="Y1716" s="6"/>
      <c r="Z1716" s="6"/>
      <c r="AA1716" s="6" t="s">
        <v>86</v>
      </c>
      <c r="AB1716" s="8"/>
      <c r="AC1716" s="27">
        <v>9785160181554</v>
      </c>
    </row>
    <row r="1717" spans="1:29" s="4" customFormat="1" ht="51.9" customHeight="1" x14ac:dyDescent="0.2">
      <c r="A1717" s="5">
        <v>0</v>
      </c>
      <c r="B1717" s="6" t="s">
        <v>10433</v>
      </c>
      <c r="C1717" s="7">
        <v>1478.4</v>
      </c>
      <c r="D1717" s="8" t="s">
        <v>10434</v>
      </c>
      <c r="E1717" s="8" t="s">
        <v>10435</v>
      </c>
      <c r="F1717" s="8" t="s">
        <v>10436</v>
      </c>
      <c r="G1717" s="6" t="s">
        <v>33</v>
      </c>
      <c r="H1717" s="6" t="s">
        <v>34</v>
      </c>
      <c r="I1717" s="8" t="s">
        <v>253</v>
      </c>
      <c r="J1717" s="9">
        <v>1</v>
      </c>
      <c r="K1717" s="9">
        <v>164</v>
      </c>
      <c r="L1717" s="9">
        <v>2027</v>
      </c>
      <c r="M1717" s="8" t="s">
        <v>10437</v>
      </c>
      <c r="N1717" s="8" t="s">
        <v>585</v>
      </c>
      <c r="O1717" s="8" t="s">
        <v>667</v>
      </c>
      <c r="P1717" s="6" t="s">
        <v>51</v>
      </c>
      <c r="Q1717" s="8" t="s">
        <v>500</v>
      </c>
      <c r="R1717" s="10" t="s">
        <v>10438</v>
      </c>
      <c r="S1717" s="11" t="s">
        <v>10439</v>
      </c>
      <c r="T1717" s="6"/>
      <c r="U1717" s="15" t="str">
        <f>HYPERLINK("https://media.infra-m.ru/2272/2272507/cover/2272507.jpg", "Обложка")</f>
        <v>Обложка</v>
      </c>
      <c r="V1717" s="8" t="s">
        <v>6090</v>
      </c>
      <c r="W1717" s="6"/>
      <c r="X1717" s="6"/>
      <c r="Y1717" s="6"/>
      <c r="Z1717" s="6"/>
      <c r="AA1717" s="6" t="s">
        <v>55</v>
      </c>
      <c r="AB1717" s="8"/>
      <c r="AC1717" s="27">
        <v>9785160213392</v>
      </c>
    </row>
    <row r="1718" spans="1:29" s="4" customFormat="1" ht="42" customHeight="1" x14ac:dyDescent="0.2">
      <c r="A1718" s="5">
        <v>0</v>
      </c>
      <c r="B1718" s="6" t="s">
        <v>10440</v>
      </c>
      <c r="C1718" s="13">
        <v>724.8</v>
      </c>
      <c r="D1718" s="8" t="s">
        <v>10441</v>
      </c>
      <c r="E1718" s="8" t="s">
        <v>10442</v>
      </c>
      <c r="F1718" s="8" t="s">
        <v>10443</v>
      </c>
      <c r="G1718" s="6" t="s">
        <v>33</v>
      </c>
      <c r="H1718" s="6" t="s">
        <v>34</v>
      </c>
      <c r="I1718" s="8" t="s">
        <v>10444</v>
      </c>
      <c r="J1718" s="9">
        <v>1</v>
      </c>
      <c r="K1718" s="9">
        <v>104</v>
      </c>
      <c r="L1718" s="9">
        <v>2026</v>
      </c>
      <c r="M1718" s="8" t="s">
        <v>10445</v>
      </c>
      <c r="N1718" s="8" t="s">
        <v>37</v>
      </c>
      <c r="O1718" s="8" t="s">
        <v>136</v>
      </c>
      <c r="P1718" s="6" t="s">
        <v>1689</v>
      </c>
      <c r="Q1718" s="8" t="s">
        <v>40</v>
      </c>
      <c r="R1718" s="10" t="s">
        <v>1625</v>
      </c>
      <c r="S1718" s="11"/>
      <c r="T1718" s="6"/>
      <c r="U1718" s="15" t="str">
        <f>HYPERLINK("https://media.infra-m.ru/2239/2239116/cover/2239116.jpg", "Обложка")</f>
        <v>Обложка</v>
      </c>
      <c r="V1718" s="8" t="s">
        <v>9937</v>
      </c>
      <c r="W1718" s="6"/>
      <c r="X1718" s="6"/>
      <c r="Y1718" s="6"/>
      <c r="Z1718" s="6"/>
      <c r="AA1718" s="6" t="s">
        <v>1007</v>
      </c>
      <c r="AB1718" s="8"/>
      <c r="AC1718" s="27">
        <v>9785160167954</v>
      </c>
    </row>
    <row r="1719" spans="1:29" s="4" customFormat="1" ht="51.9" customHeight="1" x14ac:dyDescent="0.2">
      <c r="A1719" s="5">
        <v>0</v>
      </c>
      <c r="B1719" s="6" t="s">
        <v>10446</v>
      </c>
      <c r="C1719" s="7">
        <v>2112</v>
      </c>
      <c r="D1719" s="8" t="s">
        <v>10447</v>
      </c>
      <c r="E1719" s="8" t="s">
        <v>10448</v>
      </c>
      <c r="F1719" s="8" t="s">
        <v>10449</v>
      </c>
      <c r="G1719" s="6" t="s">
        <v>118</v>
      </c>
      <c r="H1719" s="6" t="s">
        <v>34</v>
      </c>
      <c r="I1719" s="8" t="s">
        <v>253</v>
      </c>
      <c r="J1719" s="9">
        <v>1</v>
      </c>
      <c r="K1719" s="9">
        <v>304</v>
      </c>
      <c r="L1719" s="9">
        <v>2027</v>
      </c>
      <c r="M1719" s="8" t="s">
        <v>10450</v>
      </c>
      <c r="N1719" s="8" t="s">
        <v>585</v>
      </c>
      <c r="O1719" s="8" t="s">
        <v>667</v>
      </c>
      <c r="P1719" s="6" t="s">
        <v>51</v>
      </c>
      <c r="Q1719" s="8" t="s">
        <v>52</v>
      </c>
      <c r="R1719" s="10" t="s">
        <v>7293</v>
      </c>
      <c r="S1719" s="11" t="s">
        <v>10451</v>
      </c>
      <c r="T1719" s="6"/>
      <c r="U1719" s="15" t="str">
        <f>HYPERLINK("https://media.infra-m.ru/2267/2267487/cover/2267487.jpg", "Обложка")</f>
        <v>Обложка</v>
      </c>
      <c r="V1719" s="8" t="s">
        <v>6090</v>
      </c>
      <c r="W1719" s="6"/>
      <c r="X1719" s="6"/>
      <c r="Y1719" s="6"/>
      <c r="Z1719" s="6"/>
      <c r="AA1719" s="6" t="s">
        <v>10452</v>
      </c>
      <c r="AB1719" s="8"/>
      <c r="AC1719" s="27">
        <v>9785160100715</v>
      </c>
    </row>
    <row r="1720" spans="1:29" s="4" customFormat="1" ht="51.9" customHeight="1" x14ac:dyDescent="0.2">
      <c r="A1720" s="5">
        <v>0</v>
      </c>
      <c r="B1720" s="6" t="s">
        <v>10453</v>
      </c>
      <c r="C1720" s="7">
        <v>1368</v>
      </c>
      <c r="D1720" s="8" t="s">
        <v>10454</v>
      </c>
      <c r="E1720" s="8" t="s">
        <v>10455</v>
      </c>
      <c r="F1720" s="8" t="s">
        <v>10456</v>
      </c>
      <c r="G1720" s="6" t="s">
        <v>118</v>
      </c>
      <c r="H1720" s="6" t="s">
        <v>34</v>
      </c>
      <c r="I1720" s="8" t="s">
        <v>1835</v>
      </c>
      <c r="J1720" s="9">
        <v>1</v>
      </c>
      <c r="K1720" s="9">
        <v>198</v>
      </c>
      <c r="L1720" s="9">
        <v>2026</v>
      </c>
      <c r="M1720" s="8" t="s">
        <v>10457</v>
      </c>
      <c r="N1720" s="8" t="s">
        <v>63</v>
      </c>
      <c r="O1720" s="8" t="s">
        <v>64</v>
      </c>
      <c r="P1720" s="6" t="s">
        <v>1837</v>
      </c>
      <c r="Q1720" s="8" t="s">
        <v>65</v>
      </c>
      <c r="R1720" s="10" t="s">
        <v>10458</v>
      </c>
      <c r="S1720" s="11"/>
      <c r="T1720" s="6"/>
      <c r="U1720" s="15" t="str">
        <f>HYPERLINK("https://media.infra-m.ru/2212/2212448/cover/2212448.jpg", "Обложка")</f>
        <v>Обложка</v>
      </c>
      <c r="V1720" s="8" t="s">
        <v>10459</v>
      </c>
      <c r="W1720" s="6"/>
      <c r="X1720" s="6"/>
      <c r="Y1720" s="6"/>
      <c r="Z1720" s="6"/>
      <c r="AA1720" s="6" t="s">
        <v>68</v>
      </c>
      <c r="AB1720" s="8"/>
      <c r="AC1720" s="27">
        <v>9785160178639</v>
      </c>
    </row>
    <row r="1721" spans="1:29" s="4" customFormat="1" ht="42" customHeight="1" x14ac:dyDescent="0.2">
      <c r="A1721" s="5">
        <v>0</v>
      </c>
      <c r="B1721" s="6" t="s">
        <v>10460</v>
      </c>
      <c r="C1721" s="13">
        <v>864</v>
      </c>
      <c r="D1721" s="8" t="s">
        <v>10461</v>
      </c>
      <c r="E1721" s="8" t="s">
        <v>10462</v>
      </c>
      <c r="F1721" s="8" t="s">
        <v>10463</v>
      </c>
      <c r="G1721" s="6" t="s">
        <v>33</v>
      </c>
      <c r="H1721" s="6" t="s">
        <v>34</v>
      </c>
      <c r="I1721" s="8" t="s">
        <v>35</v>
      </c>
      <c r="J1721" s="9">
        <v>1</v>
      </c>
      <c r="K1721" s="9">
        <v>158</v>
      </c>
      <c r="L1721" s="9">
        <v>2023</v>
      </c>
      <c r="M1721" s="8" t="s">
        <v>10464</v>
      </c>
      <c r="N1721" s="8" t="s">
        <v>37</v>
      </c>
      <c r="O1721" s="8" t="s">
        <v>136</v>
      </c>
      <c r="P1721" s="6" t="s">
        <v>39</v>
      </c>
      <c r="Q1721" s="8" t="s">
        <v>40</v>
      </c>
      <c r="R1721" s="10" t="s">
        <v>1631</v>
      </c>
      <c r="S1721" s="11"/>
      <c r="T1721" s="6"/>
      <c r="U1721" s="15" t="str">
        <f>HYPERLINK("https://media.infra-m.ru/2038/2038289/cover/2038289.jpg", "Обложка")</f>
        <v>Обложка</v>
      </c>
      <c r="V1721" s="8" t="s">
        <v>247</v>
      </c>
      <c r="W1721" s="6"/>
      <c r="X1721" s="6"/>
      <c r="Y1721" s="6"/>
      <c r="Z1721" s="6"/>
      <c r="AA1721" s="6" t="s">
        <v>115</v>
      </c>
      <c r="AB1721" s="8"/>
      <c r="AC1721" s="27">
        <v>9785160142661</v>
      </c>
    </row>
    <row r="1722" spans="1:29" s="4" customFormat="1" ht="44.1" customHeight="1" x14ac:dyDescent="0.2">
      <c r="A1722" s="5">
        <v>0</v>
      </c>
      <c r="B1722" s="6" t="s">
        <v>10465</v>
      </c>
      <c r="C1722" s="13">
        <v>600</v>
      </c>
      <c r="D1722" s="8" t="s">
        <v>10466</v>
      </c>
      <c r="E1722" s="8" t="s">
        <v>10467</v>
      </c>
      <c r="F1722" s="8" t="s">
        <v>10468</v>
      </c>
      <c r="G1722" s="6" t="s">
        <v>33</v>
      </c>
      <c r="H1722" s="6" t="s">
        <v>34</v>
      </c>
      <c r="I1722" s="8" t="s">
        <v>1074</v>
      </c>
      <c r="J1722" s="9">
        <v>1</v>
      </c>
      <c r="K1722" s="9">
        <v>96</v>
      </c>
      <c r="L1722" s="9">
        <v>2024</v>
      </c>
      <c r="M1722" s="8" t="s">
        <v>10469</v>
      </c>
      <c r="N1722" s="8" t="s">
        <v>37</v>
      </c>
      <c r="O1722" s="8" t="s">
        <v>136</v>
      </c>
      <c r="P1722" s="6" t="s">
        <v>39</v>
      </c>
      <c r="Q1722" s="8" t="s">
        <v>40</v>
      </c>
      <c r="R1722" s="10" t="s">
        <v>10470</v>
      </c>
      <c r="S1722" s="11"/>
      <c r="T1722" s="6"/>
      <c r="U1722" s="15" t="str">
        <f>HYPERLINK("https://media.infra-m.ru/2125/2125829/cover/2125829.jpg", "Обложка")</f>
        <v>Обложка</v>
      </c>
      <c r="V1722" s="8" t="s">
        <v>138</v>
      </c>
      <c r="W1722" s="6"/>
      <c r="X1722" s="6"/>
      <c r="Y1722" s="6"/>
      <c r="Z1722" s="6"/>
      <c r="AA1722" s="6" t="s">
        <v>779</v>
      </c>
      <c r="AB1722" s="8"/>
      <c r="AC1722" s="27">
        <v>9785160122717</v>
      </c>
    </row>
    <row r="1723" spans="1:29" s="4" customFormat="1" ht="42" customHeight="1" x14ac:dyDescent="0.2">
      <c r="A1723" s="5">
        <v>0</v>
      </c>
      <c r="B1723" s="6" t="s">
        <v>10471</v>
      </c>
      <c r="C1723" s="7">
        <v>3148.8</v>
      </c>
      <c r="D1723" s="8" t="s">
        <v>10472</v>
      </c>
      <c r="E1723" s="8" t="s">
        <v>10473</v>
      </c>
      <c r="F1723" s="8" t="s">
        <v>4951</v>
      </c>
      <c r="G1723" s="6" t="s">
        <v>118</v>
      </c>
      <c r="H1723" s="6" t="s">
        <v>134</v>
      </c>
      <c r="I1723" s="8"/>
      <c r="J1723" s="9">
        <v>1</v>
      </c>
      <c r="K1723" s="9">
        <v>452</v>
      </c>
      <c r="L1723" s="9">
        <v>2027</v>
      </c>
      <c r="M1723" s="8" t="s">
        <v>10474</v>
      </c>
      <c r="N1723" s="8" t="s">
        <v>37</v>
      </c>
      <c r="O1723" s="8" t="s">
        <v>136</v>
      </c>
      <c r="P1723" s="6" t="s">
        <v>39</v>
      </c>
      <c r="Q1723" s="8" t="s">
        <v>40</v>
      </c>
      <c r="R1723" s="10" t="s">
        <v>1667</v>
      </c>
      <c r="S1723" s="11"/>
      <c r="T1723" s="6"/>
      <c r="U1723" s="15" t="str">
        <f>HYPERLINK("https://media.infra-m.ru/2261/2261754/cover/2261754.jpg", "Обложка")</f>
        <v>Обложка</v>
      </c>
      <c r="V1723" s="8" t="s">
        <v>1184</v>
      </c>
      <c r="W1723" s="6"/>
      <c r="X1723" s="6"/>
      <c r="Y1723" s="6"/>
      <c r="Z1723" s="6"/>
      <c r="AA1723" s="6" t="s">
        <v>99</v>
      </c>
      <c r="AB1723" s="8"/>
      <c r="AC1723" s="27">
        <v>9785917687711</v>
      </c>
    </row>
    <row r="1724" spans="1:29" s="4" customFormat="1" ht="44.1" customHeight="1" x14ac:dyDescent="0.2">
      <c r="A1724" s="5">
        <v>0</v>
      </c>
      <c r="B1724" s="6" t="s">
        <v>10475</v>
      </c>
      <c r="C1724" s="7">
        <v>2104.8000000000002</v>
      </c>
      <c r="D1724" s="8" t="s">
        <v>10476</v>
      </c>
      <c r="E1724" s="8" t="s">
        <v>10477</v>
      </c>
      <c r="F1724" s="8" t="s">
        <v>8100</v>
      </c>
      <c r="G1724" s="6" t="s">
        <v>60</v>
      </c>
      <c r="H1724" s="6" t="s">
        <v>134</v>
      </c>
      <c r="I1724" s="8"/>
      <c r="J1724" s="9">
        <v>1</v>
      </c>
      <c r="K1724" s="9">
        <v>336</v>
      </c>
      <c r="L1724" s="9">
        <v>2025</v>
      </c>
      <c r="M1724" s="8" t="s">
        <v>10478</v>
      </c>
      <c r="N1724" s="8" t="s">
        <v>37</v>
      </c>
      <c r="O1724" s="8" t="s">
        <v>136</v>
      </c>
      <c r="P1724" s="6" t="s">
        <v>39</v>
      </c>
      <c r="Q1724" s="8" t="s">
        <v>40</v>
      </c>
      <c r="R1724" s="10" t="s">
        <v>6217</v>
      </c>
      <c r="S1724" s="11"/>
      <c r="T1724" s="6"/>
      <c r="U1724" s="15" t="str">
        <f>HYPERLINK("https://media.infra-m.ru/2183/2183393/cover/2183393.jpg", "Обложка")</f>
        <v>Обложка</v>
      </c>
      <c r="V1724" s="8" t="s">
        <v>1069</v>
      </c>
      <c r="W1724" s="6"/>
      <c r="X1724" s="6"/>
      <c r="Y1724" s="6"/>
      <c r="Z1724" s="6"/>
      <c r="AA1724" s="6" t="s">
        <v>1047</v>
      </c>
      <c r="AB1724" s="8"/>
      <c r="AC1724" s="27">
        <v>9785917686936</v>
      </c>
    </row>
    <row r="1725" spans="1:29" s="4" customFormat="1" ht="51.9" customHeight="1" x14ac:dyDescent="0.2">
      <c r="A1725" s="5">
        <v>0</v>
      </c>
      <c r="B1725" s="6" t="s">
        <v>10479</v>
      </c>
      <c r="C1725" s="13">
        <v>828</v>
      </c>
      <c r="D1725" s="8" t="s">
        <v>10480</v>
      </c>
      <c r="E1725" s="8" t="s">
        <v>10481</v>
      </c>
      <c r="F1725" s="8" t="s">
        <v>10482</v>
      </c>
      <c r="G1725" s="6" t="s">
        <v>118</v>
      </c>
      <c r="H1725" s="6" t="s">
        <v>134</v>
      </c>
      <c r="I1725" s="8"/>
      <c r="J1725" s="9">
        <v>1</v>
      </c>
      <c r="K1725" s="9">
        <v>127</v>
      </c>
      <c r="L1725" s="9">
        <v>2025</v>
      </c>
      <c r="M1725" s="8" t="s">
        <v>10483</v>
      </c>
      <c r="N1725" s="8" t="s">
        <v>37</v>
      </c>
      <c r="O1725" s="8" t="s">
        <v>136</v>
      </c>
      <c r="P1725" s="6" t="s">
        <v>51</v>
      </c>
      <c r="Q1725" s="8" t="s">
        <v>52</v>
      </c>
      <c r="R1725" s="10" t="s">
        <v>1275</v>
      </c>
      <c r="S1725" s="11"/>
      <c r="T1725" s="6"/>
      <c r="U1725" s="15" t="str">
        <f>HYPERLINK("https://media.infra-m.ru/2175/2175022/cover/2175022.jpg", "Обложка")</f>
        <v>Обложка</v>
      </c>
      <c r="V1725" s="8" t="s">
        <v>9822</v>
      </c>
      <c r="W1725" s="6"/>
      <c r="X1725" s="6"/>
      <c r="Y1725" s="6"/>
      <c r="Z1725" s="6"/>
      <c r="AA1725" s="6" t="s">
        <v>115</v>
      </c>
      <c r="AB1725" s="8"/>
      <c r="AC1725" s="27">
        <v>9785917689685</v>
      </c>
    </row>
    <row r="1726" spans="1:29" s="4" customFormat="1" ht="44.1" customHeight="1" x14ac:dyDescent="0.2">
      <c r="A1726" s="5">
        <v>0</v>
      </c>
      <c r="B1726" s="6" t="s">
        <v>10484</v>
      </c>
      <c r="C1726" s="7">
        <v>1348.8</v>
      </c>
      <c r="D1726" s="8" t="s">
        <v>10485</v>
      </c>
      <c r="E1726" s="8" t="s">
        <v>10486</v>
      </c>
      <c r="F1726" s="8" t="s">
        <v>10487</v>
      </c>
      <c r="G1726" s="6" t="s">
        <v>33</v>
      </c>
      <c r="H1726" s="6" t="s">
        <v>34</v>
      </c>
      <c r="I1726" s="8" t="s">
        <v>35</v>
      </c>
      <c r="J1726" s="9">
        <v>1</v>
      </c>
      <c r="K1726" s="9">
        <v>216</v>
      </c>
      <c r="L1726" s="9">
        <v>2025</v>
      </c>
      <c r="M1726" s="8" t="s">
        <v>10488</v>
      </c>
      <c r="N1726" s="8" t="s">
        <v>37</v>
      </c>
      <c r="O1726" s="8" t="s">
        <v>136</v>
      </c>
      <c r="P1726" s="6" t="s">
        <v>39</v>
      </c>
      <c r="Q1726" s="8" t="s">
        <v>40</v>
      </c>
      <c r="R1726" s="10" t="s">
        <v>10489</v>
      </c>
      <c r="S1726" s="11"/>
      <c r="T1726" s="6"/>
      <c r="U1726" s="15" t="str">
        <f>HYPERLINK("https://media.infra-m.ru/2192/2192154/cover/2192154.jpg", "Обложка")</f>
        <v>Обложка</v>
      </c>
      <c r="V1726" s="8" t="s">
        <v>10490</v>
      </c>
      <c r="W1726" s="6"/>
      <c r="X1726" s="6"/>
      <c r="Y1726" s="6"/>
      <c r="Z1726" s="6"/>
      <c r="AA1726" s="6" t="s">
        <v>1256</v>
      </c>
      <c r="AB1726" s="8"/>
      <c r="AC1726" s="27">
        <v>9785160156477</v>
      </c>
    </row>
    <row r="1727" spans="1:29" s="4" customFormat="1" ht="51.9" customHeight="1" x14ac:dyDescent="0.2">
      <c r="A1727" s="5">
        <v>0</v>
      </c>
      <c r="B1727" s="6" t="s">
        <v>10491</v>
      </c>
      <c r="C1727" s="7">
        <v>1744.8</v>
      </c>
      <c r="D1727" s="8" t="s">
        <v>10492</v>
      </c>
      <c r="E1727" s="8" t="s">
        <v>10493</v>
      </c>
      <c r="F1727" s="8" t="s">
        <v>10494</v>
      </c>
      <c r="G1727" s="6" t="s">
        <v>60</v>
      </c>
      <c r="H1727" s="6" t="s">
        <v>134</v>
      </c>
      <c r="I1727" s="8"/>
      <c r="J1727" s="9">
        <v>1</v>
      </c>
      <c r="K1727" s="9">
        <v>280</v>
      </c>
      <c r="L1727" s="9">
        <v>2026</v>
      </c>
      <c r="M1727" s="8" t="s">
        <v>10495</v>
      </c>
      <c r="N1727" s="8" t="s">
        <v>37</v>
      </c>
      <c r="O1727" s="8" t="s">
        <v>136</v>
      </c>
      <c r="P1727" s="6" t="s">
        <v>1689</v>
      </c>
      <c r="Q1727" s="8" t="s">
        <v>40</v>
      </c>
      <c r="R1727" s="10" t="s">
        <v>1068</v>
      </c>
      <c r="S1727" s="11"/>
      <c r="T1727" s="6"/>
      <c r="U1727" s="15" t="str">
        <f>HYPERLINK("https://media.infra-m.ru/2216/2216178/cover/2216178.jpg", "Обложка")</f>
        <v>Обложка</v>
      </c>
      <c r="V1727" s="8" t="s">
        <v>138</v>
      </c>
      <c r="W1727" s="6"/>
      <c r="X1727" s="6"/>
      <c r="Y1727" s="6"/>
      <c r="Z1727" s="6"/>
      <c r="AA1727" s="6" t="s">
        <v>76</v>
      </c>
      <c r="AB1727" s="8"/>
      <c r="AC1727" s="27">
        <v>9785001563341</v>
      </c>
    </row>
    <row r="1728" spans="1:29" s="4" customFormat="1" ht="51.9" customHeight="1" x14ac:dyDescent="0.2">
      <c r="A1728" s="5">
        <v>0</v>
      </c>
      <c r="B1728" s="6" t="s">
        <v>10496</v>
      </c>
      <c r="C1728" s="7">
        <v>1320</v>
      </c>
      <c r="D1728" s="8" t="s">
        <v>10497</v>
      </c>
      <c r="E1728" s="8" t="s">
        <v>10498</v>
      </c>
      <c r="F1728" s="8" t="s">
        <v>10499</v>
      </c>
      <c r="G1728" s="6" t="s">
        <v>60</v>
      </c>
      <c r="H1728" s="6" t="s">
        <v>134</v>
      </c>
      <c r="I1728" s="8"/>
      <c r="J1728" s="9">
        <v>1</v>
      </c>
      <c r="K1728" s="9">
        <v>184</v>
      </c>
      <c r="L1728" s="9">
        <v>2025</v>
      </c>
      <c r="M1728" s="8" t="s">
        <v>10500</v>
      </c>
      <c r="N1728" s="8" t="s">
        <v>37</v>
      </c>
      <c r="O1728" s="8" t="s">
        <v>136</v>
      </c>
      <c r="P1728" s="6" t="s">
        <v>3141</v>
      </c>
      <c r="Q1728" s="8" t="s">
        <v>40</v>
      </c>
      <c r="R1728" s="10" t="s">
        <v>1230</v>
      </c>
      <c r="S1728" s="11"/>
      <c r="T1728" s="6"/>
      <c r="U1728" s="15" t="str">
        <f>HYPERLINK("https://media.infra-m.ru/2192/2192055/cover/2192055.jpg", "Обложка")</f>
        <v>Обложка</v>
      </c>
      <c r="V1728" s="8" t="s">
        <v>138</v>
      </c>
      <c r="W1728" s="6"/>
      <c r="X1728" s="6"/>
      <c r="Y1728" s="6"/>
      <c r="Z1728" s="6"/>
      <c r="AA1728" s="6" t="s">
        <v>68</v>
      </c>
      <c r="AB1728" s="8"/>
      <c r="AC1728" s="27">
        <v>9785001564218</v>
      </c>
    </row>
    <row r="1729" spans="1:29" s="4" customFormat="1" ht="51.9" customHeight="1" x14ac:dyDescent="0.2">
      <c r="A1729" s="5">
        <v>0</v>
      </c>
      <c r="B1729" s="6" t="s">
        <v>10501</v>
      </c>
      <c r="C1729" s="7">
        <v>1164</v>
      </c>
      <c r="D1729" s="8" t="s">
        <v>10502</v>
      </c>
      <c r="E1729" s="8" t="s">
        <v>10503</v>
      </c>
      <c r="F1729" s="8" t="s">
        <v>10504</v>
      </c>
      <c r="G1729" s="6" t="s">
        <v>118</v>
      </c>
      <c r="H1729" s="6" t="s">
        <v>34</v>
      </c>
      <c r="I1729" s="8" t="s">
        <v>253</v>
      </c>
      <c r="J1729" s="9">
        <v>1</v>
      </c>
      <c r="K1729" s="9">
        <v>175</v>
      </c>
      <c r="L1729" s="9">
        <v>2026</v>
      </c>
      <c r="M1729" s="8" t="s">
        <v>10505</v>
      </c>
      <c r="N1729" s="8" t="s">
        <v>37</v>
      </c>
      <c r="O1729" s="8" t="s">
        <v>136</v>
      </c>
      <c r="P1729" s="6" t="s">
        <v>51</v>
      </c>
      <c r="Q1729" s="8" t="s">
        <v>65</v>
      </c>
      <c r="R1729" s="10" t="s">
        <v>10506</v>
      </c>
      <c r="S1729" s="11" t="s">
        <v>10507</v>
      </c>
      <c r="T1729" s="6" t="s">
        <v>97</v>
      </c>
      <c r="U1729" s="15" t="str">
        <f>HYPERLINK("https://media.infra-m.ru/2237/2237203/cover/2237203.jpg", "Обложка")</f>
        <v>Обложка</v>
      </c>
      <c r="V1729" s="8" t="s">
        <v>6700</v>
      </c>
      <c r="W1729" s="6"/>
      <c r="X1729" s="6"/>
      <c r="Y1729" s="6"/>
      <c r="Z1729" s="6"/>
      <c r="AA1729" s="6" t="s">
        <v>76</v>
      </c>
      <c r="AB1729" s="8"/>
      <c r="AC1729" s="27">
        <v>9785160197302</v>
      </c>
    </row>
    <row r="1730" spans="1:29" s="4" customFormat="1" ht="44.1" customHeight="1" x14ac:dyDescent="0.2">
      <c r="A1730" s="5">
        <v>0</v>
      </c>
      <c r="B1730" s="6" t="s">
        <v>10508</v>
      </c>
      <c r="C1730" s="7">
        <v>1068</v>
      </c>
      <c r="D1730" s="8" t="s">
        <v>10509</v>
      </c>
      <c r="E1730" s="8" t="s">
        <v>10510</v>
      </c>
      <c r="F1730" s="8" t="s">
        <v>10511</v>
      </c>
      <c r="G1730" s="6" t="s">
        <v>33</v>
      </c>
      <c r="H1730" s="6" t="s">
        <v>34</v>
      </c>
      <c r="I1730" s="8" t="s">
        <v>35</v>
      </c>
      <c r="J1730" s="9">
        <v>1</v>
      </c>
      <c r="K1730" s="9">
        <v>184</v>
      </c>
      <c r="L1730" s="9">
        <v>2022</v>
      </c>
      <c r="M1730" s="8" t="s">
        <v>10512</v>
      </c>
      <c r="N1730" s="8" t="s">
        <v>243</v>
      </c>
      <c r="O1730" s="8" t="s">
        <v>1100</v>
      </c>
      <c r="P1730" s="6" t="s">
        <v>39</v>
      </c>
      <c r="Q1730" s="8" t="s">
        <v>40</v>
      </c>
      <c r="R1730" s="10" t="s">
        <v>9583</v>
      </c>
      <c r="S1730" s="11"/>
      <c r="T1730" s="6"/>
      <c r="U1730" s="15" t="str">
        <f>HYPERLINK("https://media.infra-m.ru/1870/1870595/cover/1870595.jpg", "Обложка")</f>
        <v>Обложка</v>
      </c>
      <c r="V1730" s="8" t="s">
        <v>10513</v>
      </c>
      <c r="W1730" s="6"/>
      <c r="X1730" s="6"/>
      <c r="Y1730" s="6"/>
      <c r="Z1730" s="6"/>
      <c r="AA1730" s="6" t="s">
        <v>148</v>
      </c>
      <c r="AB1730" s="8"/>
      <c r="AC1730" s="27">
        <v>9785160177328</v>
      </c>
    </row>
    <row r="1731" spans="1:29" s="4" customFormat="1" ht="42" customHeight="1" x14ac:dyDescent="0.2">
      <c r="A1731" s="5">
        <v>0</v>
      </c>
      <c r="B1731" s="6" t="s">
        <v>10514</v>
      </c>
      <c r="C1731" s="7">
        <v>1068</v>
      </c>
      <c r="D1731" s="8" t="s">
        <v>10515</v>
      </c>
      <c r="E1731" s="8" t="s">
        <v>10516</v>
      </c>
      <c r="F1731" s="8" t="s">
        <v>10517</v>
      </c>
      <c r="G1731" s="6" t="s">
        <v>33</v>
      </c>
      <c r="H1731" s="6" t="s">
        <v>34</v>
      </c>
      <c r="I1731" s="8" t="s">
        <v>35</v>
      </c>
      <c r="J1731" s="9">
        <v>1</v>
      </c>
      <c r="K1731" s="9">
        <v>192</v>
      </c>
      <c r="L1731" s="9">
        <v>2023</v>
      </c>
      <c r="M1731" s="8" t="s">
        <v>10518</v>
      </c>
      <c r="N1731" s="8" t="s">
        <v>243</v>
      </c>
      <c r="O1731" s="8" t="s">
        <v>385</v>
      </c>
      <c r="P1731" s="6" t="s">
        <v>39</v>
      </c>
      <c r="Q1731" s="8" t="s">
        <v>40</v>
      </c>
      <c r="R1731" s="10" t="s">
        <v>378</v>
      </c>
      <c r="S1731" s="11"/>
      <c r="T1731" s="6"/>
      <c r="U1731" s="15" t="str">
        <f>HYPERLINK("https://media.infra-m.ru/2127/2127022/cover/2127022.jpg", "Обложка")</f>
        <v>Обложка</v>
      </c>
      <c r="V1731" s="8" t="s">
        <v>10519</v>
      </c>
      <c r="W1731" s="6"/>
      <c r="X1731" s="6"/>
      <c r="Y1731" s="6"/>
      <c r="Z1731" s="6"/>
      <c r="AA1731" s="6" t="s">
        <v>1256</v>
      </c>
      <c r="AB1731" s="8"/>
      <c r="AC1731" s="27">
        <v>9785160155210</v>
      </c>
    </row>
    <row r="1732" spans="1:29" s="4" customFormat="1" ht="42" customHeight="1" x14ac:dyDescent="0.2">
      <c r="A1732" s="5">
        <v>0</v>
      </c>
      <c r="B1732" s="6" t="s">
        <v>10520</v>
      </c>
      <c r="C1732" s="7">
        <v>1468.8</v>
      </c>
      <c r="D1732" s="8" t="s">
        <v>10521</v>
      </c>
      <c r="E1732" s="8" t="s">
        <v>10522</v>
      </c>
      <c r="F1732" s="8" t="s">
        <v>10523</v>
      </c>
      <c r="G1732" s="6" t="s">
        <v>60</v>
      </c>
      <c r="H1732" s="6" t="s">
        <v>134</v>
      </c>
      <c r="I1732" s="8"/>
      <c r="J1732" s="9">
        <v>1</v>
      </c>
      <c r="K1732" s="9">
        <v>272</v>
      </c>
      <c r="L1732" s="9">
        <v>2023</v>
      </c>
      <c r="M1732" s="8" t="s">
        <v>10524</v>
      </c>
      <c r="N1732" s="8" t="s">
        <v>37</v>
      </c>
      <c r="O1732" s="8" t="s">
        <v>136</v>
      </c>
      <c r="P1732" s="6" t="s">
        <v>39</v>
      </c>
      <c r="Q1732" s="8" t="s">
        <v>40</v>
      </c>
      <c r="R1732" s="10" t="s">
        <v>1667</v>
      </c>
      <c r="S1732" s="11"/>
      <c r="T1732" s="6"/>
      <c r="U1732" s="15" t="str">
        <f>HYPERLINK("https://media.infra-m.ru/1876/1876636/cover/1876636.jpg", "Обложка")</f>
        <v>Обложка</v>
      </c>
      <c r="V1732" s="8" t="s">
        <v>644</v>
      </c>
      <c r="W1732" s="6"/>
      <c r="X1732" s="6"/>
      <c r="Y1732" s="6"/>
      <c r="Z1732" s="6"/>
      <c r="AA1732" s="6" t="s">
        <v>779</v>
      </c>
      <c r="AB1732" s="8"/>
      <c r="AC1732" s="27">
        <v>9785917687766</v>
      </c>
    </row>
    <row r="1733" spans="1:29" s="4" customFormat="1" ht="42" customHeight="1" x14ac:dyDescent="0.2">
      <c r="A1733" s="5">
        <v>0</v>
      </c>
      <c r="B1733" s="6" t="s">
        <v>10525</v>
      </c>
      <c r="C1733" s="7">
        <v>1032</v>
      </c>
      <c r="D1733" s="8" t="s">
        <v>10526</v>
      </c>
      <c r="E1733" s="8" t="s">
        <v>10527</v>
      </c>
      <c r="F1733" s="8" t="s">
        <v>10528</v>
      </c>
      <c r="G1733" s="6" t="s">
        <v>33</v>
      </c>
      <c r="H1733" s="6" t="s">
        <v>241</v>
      </c>
      <c r="I1733" s="8" t="s">
        <v>3496</v>
      </c>
      <c r="J1733" s="9">
        <v>1</v>
      </c>
      <c r="K1733" s="9">
        <v>160</v>
      </c>
      <c r="L1733" s="9">
        <v>2025</v>
      </c>
      <c r="M1733" s="8" t="s">
        <v>10529</v>
      </c>
      <c r="N1733" s="8" t="s">
        <v>243</v>
      </c>
      <c r="O1733" s="8" t="s">
        <v>964</v>
      </c>
      <c r="P1733" s="6" t="s">
        <v>39</v>
      </c>
      <c r="Q1733" s="8" t="s">
        <v>40</v>
      </c>
      <c r="R1733" s="10" t="s">
        <v>10530</v>
      </c>
      <c r="S1733" s="11"/>
      <c r="T1733" s="6"/>
      <c r="U1733" s="15" t="str">
        <f>HYPERLINK("https://media.infra-m.ru/2196/2196088/cover/2196088.jpg", "Обложка")</f>
        <v>Обложка</v>
      </c>
      <c r="V1733" s="8" t="s">
        <v>217</v>
      </c>
      <c r="W1733" s="6"/>
      <c r="X1733" s="6" t="s">
        <v>24</v>
      </c>
      <c r="Y1733" s="6"/>
      <c r="Z1733" s="6"/>
      <c r="AA1733" s="6" t="s">
        <v>99</v>
      </c>
      <c r="AB1733" s="8"/>
      <c r="AC1733" s="27">
        <v>9785955805580</v>
      </c>
    </row>
    <row r="1734" spans="1:29" s="4" customFormat="1" ht="51.9" customHeight="1" x14ac:dyDescent="0.2">
      <c r="A1734" s="5">
        <v>0</v>
      </c>
      <c r="B1734" s="6" t="s">
        <v>10531</v>
      </c>
      <c r="C1734" s="13">
        <v>348</v>
      </c>
      <c r="D1734" s="8" t="s">
        <v>10532</v>
      </c>
      <c r="E1734" s="8" t="s">
        <v>10533</v>
      </c>
      <c r="F1734" s="8" t="s">
        <v>7525</v>
      </c>
      <c r="G1734" s="6" t="s">
        <v>33</v>
      </c>
      <c r="H1734" s="6" t="s">
        <v>7498</v>
      </c>
      <c r="I1734" s="8"/>
      <c r="J1734" s="9">
        <v>1</v>
      </c>
      <c r="K1734" s="9">
        <v>78</v>
      </c>
      <c r="L1734" s="9">
        <v>2024</v>
      </c>
      <c r="M1734" s="8" t="s">
        <v>10534</v>
      </c>
      <c r="N1734" s="8" t="s">
        <v>93</v>
      </c>
      <c r="O1734" s="8" t="s">
        <v>7500</v>
      </c>
      <c r="P1734" s="6" t="s">
        <v>51</v>
      </c>
      <c r="Q1734" s="8" t="s">
        <v>1891</v>
      </c>
      <c r="R1734" s="10" t="s">
        <v>10535</v>
      </c>
      <c r="S1734" s="11" t="s">
        <v>10536</v>
      </c>
      <c r="T1734" s="6"/>
      <c r="U1734" s="15" t="str">
        <f>HYPERLINK("https://media.infra-m.ru/2184/2184805/cover/2184805.jpg", "Обложка")</f>
        <v>Обложка</v>
      </c>
      <c r="V1734" s="8" t="s">
        <v>7502</v>
      </c>
      <c r="W1734" s="6"/>
      <c r="X1734" s="6"/>
      <c r="Y1734" s="6"/>
      <c r="Z1734" s="6"/>
      <c r="AA1734" s="6" t="s">
        <v>76</v>
      </c>
      <c r="AB1734" s="8"/>
      <c r="AC1734" s="27">
        <v>9785918835524</v>
      </c>
    </row>
    <row r="1735" spans="1:29" s="4" customFormat="1" ht="42" customHeight="1" x14ac:dyDescent="0.2">
      <c r="A1735" s="5">
        <v>0</v>
      </c>
      <c r="B1735" s="6" t="s">
        <v>10537</v>
      </c>
      <c r="C1735" s="7">
        <v>1384.8</v>
      </c>
      <c r="D1735" s="8" t="s">
        <v>10538</v>
      </c>
      <c r="E1735" s="8" t="s">
        <v>10539</v>
      </c>
      <c r="F1735" s="8" t="s">
        <v>10540</v>
      </c>
      <c r="G1735" s="6" t="s">
        <v>60</v>
      </c>
      <c r="H1735" s="6" t="s">
        <v>34</v>
      </c>
      <c r="I1735" s="8" t="s">
        <v>91</v>
      </c>
      <c r="J1735" s="9">
        <v>1</v>
      </c>
      <c r="K1735" s="9">
        <v>192</v>
      </c>
      <c r="L1735" s="9">
        <v>2026</v>
      </c>
      <c r="M1735" s="8" t="s">
        <v>10541</v>
      </c>
      <c r="N1735" s="8" t="s">
        <v>585</v>
      </c>
      <c r="O1735" s="8" t="s">
        <v>1518</v>
      </c>
      <c r="P1735" s="6" t="s">
        <v>51</v>
      </c>
      <c r="Q1735" s="8" t="s">
        <v>3587</v>
      </c>
      <c r="R1735" s="10" t="s">
        <v>5799</v>
      </c>
      <c r="S1735" s="11"/>
      <c r="T1735" s="6"/>
      <c r="U1735" s="15" t="str">
        <f>HYPERLINK("https://media.infra-m.ru/2243/2243394/cover/2243394.jpg", "Обложка")</f>
        <v>Обложка</v>
      </c>
      <c r="V1735" s="8" t="s">
        <v>4230</v>
      </c>
      <c r="W1735" s="6"/>
      <c r="X1735" s="6"/>
      <c r="Y1735" s="6"/>
      <c r="Z1735" s="6"/>
      <c r="AA1735" s="6" t="s">
        <v>68</v>
      </c>
      <c r="AB1735" s="8"/>
      <c r="AC1735" s="27">
        <v>9785160200019</v>
      </c>
    </row>
    <row r="1736" spans="1:29" s="4" customFormat="1" ht="42" customHeight="1" x14ac:dyDescent="0.2">
      <c r="A1736" s="5">
        <v>0</v>
      </c>
      <c r="B1736" s="6" t="s">
        <v>10542</v>
      </c>
      <c r="C1736" s="7">
        <v>1360.8</v>
      </c>
      <c r="D1736" s="8" t="s">
        <v>10543</v>
      </c>
      <c r="E1736" s="8" t="s">
        <v>10544</v>
      </c>
      <c r="F1736" s="8" t="s">
        <v>10545</v>
      </c>
      <c r="G1736" s="6" t="s">
        <v>33</v>
      </c>
      <c r="H1736" s="6" t="s">
        <v>34</v>
      </c>
      <c r="I1736" s="8" t="s">
        <v>35</v>
      </c>
      <c r="J1736" s="9">
        <v>1</v>
      </c>
      <c r="K1736" s="9">
        <v>205</v>
      </c>
      <c r="L1736" s="9">
        <v>2026</v>
      </c>
      <c r="M1736" s="8" t="s">
        <v>10546</v>
      </c>
      <c r="N1736" s="8" t="s">
        <v>37</v>
      </c>
      <c r="O1736" s="8" t="s">
        <v>136</v>
      </c>
      <c r="P1736" s="6" t="s">
        <v>39</v>
      </c>
      <c r="Q1736" s="8" t="s">
        <v>40</v>
      </c>
      <c r="R1736" s="10" t="s">
        <v>10547</v>
      </c>
      <c r="S1736" s="11"/>
      <c r="T1736" s="6"/>
      <c r="U1736" s="15" t="str">
        <f>HYPERLINK("https://media.infra-m.ru/2238/2238380/cover/2238380.jpg", "Обложка")</f>
        <v>Обложка</v>
      </c>
      <c r="V1736" s="8" t="s">
        <v>10548</v>
      </c>
      <c r="W1736" s="6"/>
      <c r="X1736" s="6"/>
      <c r="Y1736" s="6"/>
      <c r="Z1736" s="6"/>
      <c r="AA1736" s="6" t="s">
        <v>157</v>
      </c>
      <c r="AB1736" s="8" t="s">
        <v>2208</v>
      </c>
      <c r="AC1736" s="27">
        <v>9785160185941</v>
      </c>
    </row>
    <row r="1737" spans="1:29" s="4" customFormat="1" ht="51.9" customHeight="1" x14ac:dyDescent="0.2">
      <c r="A1737" s="5">
        <v>0</v>
      </c>
      <c r="B1737" s="6" t="s">
        <v>10549</v>
      </c>
      <c r="C1737" s="7">
        <v>1884</v>
      </c>
      <c r="D1737" s="8" t="s">
        <v>10550</v>
      </c>
      <c r="E1737" s="8" t="s">
        <v>10551</v>
      </c>
      <c r="F1737" s="8" t="s">
        <v>10552</v>
      </c>
      <c r="G1737" s="6" t="s">
        <v>33</v>
      </c>
      <c r="H1737" s="6" t="s">
        <v>34</v>
      </c>
      <c r="I1737" s="8" t="s">
        <v>253</v>
      </c>
      <c r="J1737" s="9">
        <v>1</v>
      </c>
      <c r="K1737" s="9">
        <v>285</v>
      </c>
      <c r="L1737" s="9">
        <v>2026</v>
      </c>
      <c r="M1737" s="8" t="s">
        <v>10553</v>
      </c>
      <c r="N1737" s="8" t="s">
        <v>37</v>
      </c>
      <c r="O1737" s="8" t="s">
        <v>83</v>
      </c>
      <c r="P1737" s="6" t="s">
        <v>51</v>
      </c>
      <c r="Q1737" s="8" t="s">
        <v>52</v>
      </c>
      <c r="R1737" s="10" t="s">
        <v>10554</v>
      </c>
      <c r="S1737" s="11" t="s">
        <v>10555</v>
      </c>
      <c r="T1737" s="6"/>
      <c r="U1737" s="15" t="str">
        <f>HYPERLINK("https://media.infra-m.ru/2244/2244329/cover/2244329.jpg", "Обложка")</f>
        <v>Обложка</v>
      </c>
      <c r="V1737" s="8" t="s">
        <v>3087</v>
      </c>
      <c r="W1737" s="6"/>
      <c r="X1737" s="6"/>
      <c r="Y1737" s="6"/>
      <c r="Z1737" s="6"/>
      <c r="AA1737" s="6" t="s">
        <v>779</v>
      </c>
      <c r="AB1737" s="8"/>
      <c r="AC1737" s="27">
        <v>9785160220321</v>
      </c>
    </row>
    <row r="1738" spans="1:29" s="4" customFormat="1" ht="42" customHeight="1" x14ac:dyDescent="0.2">
      <c r="A1738" s="5">
        <v>0</v>
      </c>
      <c r="B1738" s="6" t="s">
        <v>10556</v>
      </c>
      <c r="C1738" s="7">
        <v>2092.8000000000002</v>
      </c>
      <c r="D1738" s="8" t="s">
        <v>10557</v>
      </c>
      <c r="E1738" s="8" t="s">
        <v>10558</v>
      </c>
      <c r="F1738" s="8" t="s">
        <v>10559</v>
      </c>
      <c r="G1738" s="6" t="s">
        <v>60</v>
      </c>
      <c r="H1738" s="6" t="s">
        <v>313</v>
      </c>
      <c r="I1738" s="8" t="s">
        <v>10560</v>
      </c>
      <c r="J1738" s="9">
        <v>1</v>
      </c>
      <c r="K1738" s="9">
        <v>377</v>
      </c>
      <c r="L1738" s="9">
        <v>2024</v>
      </c>
      <c r="M1738" s="8" t="s">
        <v>10561</v>
      </c>
      <c r="N1738" s="8" t="s">
        <v>37</v>
      </c>
      <c r="O1738" s="8" t="s">
        <v>136</v>
      </c>
      <c r="P1738" s="6" t="s">
        <v>39</v>
      </c>
      <c r="Q1738" s="8" t="s">
        <v>40</v>
      </c>
      <c r="R1738" s="10" t="s">
        <v>1667</v>
      </c>
      <c r="S1738" s="11"/>
      <c r="T1738" s="6"/>
      <c r="U1738" s="15" t="str">
        <f>HYPERLINK("https://media.infra-m.ru/1895/1895633/cover/1895633.jpg", "Обложка")</f>
        <v>Обложка</v>
      </c>
      <c r="V1738" s="8" t="s">
        <v>1069</v>
      </c>
      <c r="W1738" s="6"/>
      <c r="X1738" s="6"/>
      <c r="Y1738" s="6"/>
      <c r="Z1738" s="6"/>
      <c r="AA1738" s="6" t="s">
        <v>86</v>
      </c>
      <c r="AB1738" s="8"/>
      <c r="AC1738" s="27">
        <v>9785369017517</v>
      </c>
    </row>
    <row r="1739" spans="1:29" s="4" customFormat="1" ht="51.9" customHeight="1" x14ac:dyDescent="0.2">
      <c r="A1739" s="5">
        <v>0</v>
      </c>
      <c r="B1739" s="6" t="s">
        <v>10562</v>
      </c>
      <c r="C1739" s="7">
        <v>1240.8</v>
      </c>
      <c r="D1739" s="8" t="s">
        <v>10563</v>
      </c>
      <c r="E1739" s="8" t="s">
        <v>10564</v>
      </c>
      <c r="F1739" s="8" t="s">
        <v>10565</v>
      </c>
      <c r="G1739" s="6" t="s">
        <v>33</v>
      </c>
      <c r="H1739" s="6" t="s">
        <v>34</v>
      </c>
      <c r="I1739" s="8" t="s">
        <v>35</v>
      </c>
      <c r="J1739" s="9">
        <v>1</v>
      </c>
      <c r="K1739" s="9">
        <v>178</v>
      </c>
      <c r="L1739" s="9">
        <v>2027</v>
      </c>
      <c r="M1739" s="8" t="s">
        <v>10566</v>
      </c>
      <c r="N1739" s="8" t="s">
        <v>37</v>
      </c>
      <c r="O1739" s="8" t="s">
        <v>136</v>
      </c>
      <c r="P1739" s="6" t="s">
        <v>39</v>
      </c>
      <c r="Q1739" s="8" t="s">
        <v>40</v>
      </c>
      <c r="R1739" s="10" t="s">
        <v>10567</v>
      </c>
      <c r="S1739" s="11"/>
      <c r="T1739" s="6"/>
      <c r="U1739" s="15" t="str">
        <f>HYPERLINK("https://media.infra-m.ru/2257/2257134/cover/2257134.jpg", "Обложка")</f>
        <v>Обложка</v>
      </c>
      <c r="V1739" s="8" t="s">
        <v>1599</v>
      </c>
      <c r="W1739" s="6"/>
      <c r="X1739" s="6"/>
      <c r="Y1739" s="6"/>
      <c r="Z1739" s="6"/>
      <c r="AA1739" s="6" t="s">
        <v>148</v>
      </c>
      <c r="AB1739" s="8"/>
      <c r="AC1739" s="27">
        <v>9785160170015</v>
      </c>
    </row>
    <row r="1740" spans="1:29" s="4" customFormat="1" ht="51.9" customHeight="1" x14ac:dyDescent="0.2">
      <c r="A1740" s="5">
        <v>0</v>
      </c>
      <c r="B1740" s="6" t="s">
        <v>10568</v>
      </c>
      <c r="C1740" s="7">
        <v>2016</v>
      </c>
      <c r="D1740" s="8" t="s">
        <v>10569</v>
      </c>
      <c r="E1740" s="8" t="s">
        <v>10570</v>
      </c>
      <c r="F1740" s="8" t="s">
        <v>10571</v>
      </c>
      <c r="G1740" s="6" t="s">
        <v>118</v>
      </c>
      <c r="H1740" s="6" t="s">
        <v>1644</v>
      </c>
      <c r="I1740" s="8"/>
      <c r="J1740" s="9">
        <v>1</v>
      </c>
      <c r="K1740" s="9">
        <v>336</v>
      </c>
      <c r="L1740" s="9">
        <v>2025</v>
      </c>
      <c r="M1740" s="8" t="s">
        <v>10572</v>
      </c>
      <c r="N1740" s="8" t="s">
        <v>37</v>
      </c>
      <c r="O1740" s="8" t="s">
        <v>280</v>
      </c>
      <c r="P1740" s="6" t="s">
        <v>51</v>
      </c>
      <c r="Q1740" s="8" t="s">
        <v>65</v>
      </c>
      <c r="R1740" s="10" t="s">
        <v>10573</v>
      </c>
      <c r="S1740" s="11" t="s">
        <v>10574</v>
      </c>
      <c r="T1740" s="6"/>
      <c r="U1740" s="15" t="str">
        <f>HYPERLINK("https://media.infra-m.ru/2156/2156917/cover/2156917.jpg", "Обложка")</f>
        <v>Обложка</v>
      </c>
      <c r="V1740" s="8" t="s">
        <v>247</v>
      </c>
      <c r="W1740" s="6"/>
      <c r="X1740" s="6"/>
      <c r="Y1740" s="6"/>
      <c r="Z1740" s="6"/>
      <c r="AA1740" s="6" t="s">
        <v>218</v>
      </c>
      <c r="AB1740" s="8"/>
      <c r="AC1740" s="27">
        <v>9785977605083</v>
      </c>
    </row>
    <row r="1741" spans="1:29" s="4" customFormat="1" ht="51.9" customHeight="1" x14ac:dyDescent="0.2">
      <c r="A1741" s="5">
        <v>0</v>
      </c>
      <c r="B1741" s="6" t="s">
        <v>10575</v>
      </c>
      <c r="C1741" s="13">
        <v>984</v>
      </c>
      <c r="D1741" s="8" t="s">
        <v>10576</v>
      </c>
      <c r="E1741" s="8" t="s">
        <v>10577</v>
      </c>
      <c r="F1741" s="8" t="s">
        <v>10571</v>
      </c>
      <c r="G1741" s="6" t="s">
        <v>33</v>
      </c>
      <c r="H1741" s="6" t="s">
        <v>1644</v>
      </c>
      <c r="I1741" s="8"/>
      <c r="J1741" s="9">
        <v>1</v>
      </c>
      <c r="K1741" s="9">
        <v>272</v>
      </c>
      <c r="L1741" s="9">
        <v>2019</v>
      </c>
      <c r="M1741" s="8" t="s">
        <v>10578</v>
      </c>
      <c r="N1741" s="8" t="s">
        <v>37</v>
      </c>
      <c r="O1741" s="8" t="s">
        <v>280</v>
      </c>
      <c r="P1741" s="6" t="s">
        <v>51</v>
      </c>
      <c r="Q1741" s="8" t="s">
        <v>65</v>
      </c>
      <c r="R1741" s="10" t="s">
        <v>10573</v>
      </c>
      <c r="S1741" s="11" t="s">
        <v>10574</v>
      </c>
      <c r="T1741" s="6"/>
      <c r="U1741" s="15" t="str">
        <f>HYPERLINK("https://media.infra-m.ru/1031/1031637/cover/1031637.jpg", "Обложка")</f>
        <v>Обложка</v>
      </c>
      <c r="V1741" s="8" t="s">
        <v>247</v>
      </c>
      <c r="W1741" s="6"/>
      <c r="X1741" s="6"/>
      <c r="Y1741" s="6"/>
      <c r="Z1741" s="6"/>
      <c r="AA1741" s="6" t="s">
        <v>1015</v>
      </c>
      <c r="AB1741" s="8"/>
      <c r="AC1741" s="27">
        <v>9785977601320</v>
      </c>
    </row>
    <row r="1742" spans="1:29" s="4" customFormat="1" ht="51.9" customHeight="1" x14ac:dyDescent="0.2">
      <c r="A1742" s="5">
        <v>0</v>
      </c>
      <c r="B1742" s="6" t="s">
        <v>10579</v>
      </c>
      <c r="C1742" s="7">
        <v>1876.8</v>
      </c>
      <c r="D1742" s="8" t="s">
        <v>10580</v>
      </c>
      <c r="E1742" s="8" t="s">
        <v>10581</v>
      </c>
      <c r="F1742" s="8" t="s">
        <v>10582</v>
      </c>
      <c r="G1742" s="6" t="s">
        <v>118</v>
      </c>
      <c r="H1742" s="6" t="s">
        <v>34</v>
      </c>
      <c r="I1742" s="8" t="s">
        <v>271</v>
      </c>
      <c r="J1742" s="9">
        <v>1</v>
      </c>
      <c r="K1742" s="9">
        <v>300</v>
      </c>
      <c r="L1742" s="9">
        <v>2025</v>
      </c>
      <c r="M1742" s="8" t="s">
        <v>10583</v>
      </c>
      <c r="N1742" s="8" t="s">
        <v>37</v>
      </c>
      <c r="O1742" s="8" t="s">
        <v>136</v>
      </c>
      <c r="P1742" s="6" t="s">
        <v>51</v>
      </c>
      <c r="Q1742" s="8" t="s">
        <v>52</v>
      </c>
      <c r="R1742" s="10" t="s">
        <v>10584</v>
      </c>
      <c r="S1742" s="11"/>
      <c r="T1742" s="6"/>
      <c r="U1742" s="15" t="str">
        <f>HYPERLINK("https://media.infra-m.ru/2192/2192152/cover/2192152.jpg", "Обложка")</f>
        <v>Обложка</v>
      </c>
      <c r="V1742" s="8" t="s">
        <v>227</v>
      </c>
      <c r="W1742" s="6"/>
      <c r="X1742" s="6"/>
      <c r="Y1742" s="6"/>
      <c r="Z1742" s="6"/>
      <c r="AA1742" s="6" t="s">
        <v>115</v>
      </c>
      <c r="AB1742" s="8"/>
      <c r="AC1742" s="27">
        <v>9785160157818</v>
      </c>
    </row>
    <row r="1743" spans="1:29" s="4" customFormat="1" ht="51.9" customHeight="1" x14ac:dyDescent="0.2">
      <c r="A1743" s="5">
        <v>0</v>
      </c>
      <c r="B1743" s="6" t="s">
        <v>10585</v>
      </c>
      <c r="C1743" s="7">
        <v>1740</v>
      </c>
      <c r="D1743" s="8" t="s">
        <v>10586</v>
      </c>
      <c r="E1743" s="8" t="s">
        <v>10587</v>
      </c>
      <c r="F1743" s="8" t="s">
        <v>10588</v>
      </c>
      <c r="G1743" s="6" t="s">
        <v>118</v>
      </c>
      <c r="H1743" s="6" t="s">
        <v>34</v>
      </c>
      <c r="I1743" s="8" t="s">
        <v>253</v>
      </c>
      <c r="J1743" s="9">
        <v>1</v>
      </c>
      <c r="K1743" s="9">
        <v>263</v>
      </c>
      <c r="L1743" s="9">
        <v>2027</v>
      </c>
      <c r="M1743" s="8" t="s">
        <v>10589</v>
      </c>
      <c r="N1743" s="8" t="s">
        <v>37</v>
      </c>
      <c r="O1743" s="8" t="s">
        <v>50</v>
      </c>
      <c r="P1743" s="6" t="s">
        <v>51</v>
      </c>
      <c r="Q1743" s="8" t="s">
        <v>52</v>
      </c>
      <c r="R1743" s="10" t="s">
        <v>10590</v>
      </c>
      <c r="S1743" s="11" t="s">
        <v>10591</v>
      </c>
      <c r="T1743" s="6"/>
      <c r="U1743" s="15" t="str">
        <f>HYPERLINK("https://media.infra-m.ru/2246/2246848/cover/2246848.jpg", "Обложка")</f>
        <v>Обложка</v>
      </c>
      <c r="V1743" s="8" t="s">
        <v>2095</v>
      </c>
      <c r="W1743" s="6"/>
      <c r="X1743" s="6"/>
      <c r="Y1743" s="6"/>
      <c r="Z1743" s="6"/>
      <c r="AA1743" s="6" t="s">
        <v>115</v>
      </c>
      <c r="AB1743" s="8"/>
      <c r="AC1743" s="27">
        <v>9785160199245</v>
      </c>
    </row>
    <row r="1744" spans="1:29" s="4" customFormat="1" ht="44.1" customHeight="1" x14ac:dyDescent="0.2">
      <c r="A1744" s="5">
        <v>0</v>
      </c>
      <c r="B1744" s="6" t="s">
        <v>10592</v>
      </c>
      <c r="C1744" s="7">
        <v>1300.8</v>
      </c>
      <c r="D1744" s="8" t="s">
        <v>10593</v>
      </c>
      <c r="E1744" s="8" t="s">
        <v>10594</v>
      </c>
      <c r="F1744" s="8" t="s">
        <v>10595</v>
      </c>
      <c r="G1744" s="6" t="s">
        <v>33</v>
      </c>
      <c r="H1744" s="6" t="s">
        <v>34</v>
      </c>
      <c r="I1744" s="8" t="s">
        <v>35</v>
      </c>
      <c r="J1744" s="9">
        <v>1</v>
      </c>
      <c r="K1744" s="9">
        <v>216</v>
      </c>
      <c r="L1744" s="9">
        <v>2025</v>
      </c>
      <c r="M1744" s="8" t="s">
        <v>10596</v>
      </c>
      <c r="N1744" s="8" t="s">
        <v>37</v>
      </c>
      <c r="O1744" s="8" t="s">
        <v>136</v>
      </c>
      <c r="P1744" s="6" t="s">
        <v>39</v>
      </c>
      <c r="Q1744" s="8" t="s">
        <v>40</v>
      </c>
      <c r="R1744" s="10" t="s">
        <v>1625</v>
      </c>
      <c r="S1744" s="11"/>
      <c r="T1744" s="6"/>
      <c r="U1744" s="15" t="str">
        <f>HYPERLINK("https://media.infra-m.ru/2184/2184872/cover/2184872.jpg", "Обложка")</f>
        <v>Обложка</v>
      </c>
      <c r="V1744" s="8" t="s">
        <v>1184</v>
      </c>
      <c r="W1744" s="6"/>
      <c r="X1744" s="6"/>
      <c r="Y1744" s="6"/>
      <c r="Z1744" s="6"/>
      <c r="AA1744" s="6" t="s">
        <v>1256</v>
      </c>
      <c r="AB1744" s="8"/>
      <c r="AC1744" s="27">
        <v>9785160155234</v>
      </c>
    </row>
    <row r="1745" spans="1:29" s="4" customFormat="1" ht="42" customHeight="1" x14ac:dyDescent="0.2">
      <c r="A1745" s="5">
        <v>0</v>
      </c>
      <c r="B1745" s="6" t="s">
        <v>10597</v>
      </c>
      <c r="C1745" s="7">
        <v>1168.8</v>
      </c>
      <c r="D1745" s="8" t="s">
        <v>10598</v>
      </c>
      <c r="E1745" s="8" t="s">
        <v>10599</v>
      </c>
      <c r="F1745" s="8" t="s">
        <v>10600</v>
      </c>
      <c r="G1745" s="6" t="s">
        <v>21</v>
      </c>
      <c r="H1745" s="6" t="s">
        <v>48</v>
      </c>
      <c r="I1745" s="8" t="s">
        <v>271</v>
      </c>
      <c r="J1745" s="9">
        <v>1</v>
      </c>
      <c r="K1745" s="9">
        <v>176</v>
      </c>
      <c r="L1745" s="9">
        <v>2026</v>
      </c>
      <c r="M1745" s="8" t="s">
        <v>10601</v>
      </c>
      <c r="N1745" s="8" t="s">
        <v>243</v>
      </c>
      <c r="O1745" s="8" t="s">
        <v>758</v>
      </c>
      <c r="P1745" s="6" t="s">
        <v>51</v>
      </c>
      <c r="Q1745" s="8" t="s">
        <v>52</v>
      </c>
      <c r="R1745" s="10" t="s">
        <v>10602</v>
      </c>
      <c r="S1745" s="11"/>
      <c r="T1745" s="6"/>
      <c r="U1745" s="15" t="str">
        <f>HYPERLINK("https://media.infra-m.ru/2238/2238498/cover/2238498.jpg", "Обложка")</f>
        <v>Обложка</v>
      </c>
      <c r="V1745" s="8" t="s">
        <v>867</v>
      </c>
      <c r="W1745" s="6"/>
      <c r="X1745" s="6"/>
      <c r="Y1745" s="6"/>
      <c r="Z1745" s="6"/>
      <c r="AA1745" s="6" t="s">
        <v>274</v>
      </c>
      <c r="AB1745" s="8"/>
      <c r="AC1745" s="27">
        <v>9785911349691</v>
      </c>
    </row>
    <row r="1746" spans="1:29" s="4" customFormat="1" ht="51.9" customHeight="1" x14ac:dyDescent="0.2">
      <c r="A1746" s="5">
        <v>0</v>
      </c>
      <c r="B1746" s="6" t="s">
        <v>10603</v>
      </c>
      <c r="C1746" s="13">
        <v>617.9</v>
      </c>
      <c r="D1746" s="8" t="s">
        <v>10604</v>
      </c>
      <c r="E1746" s="8" t="s">
        <v>10605</v>
      </c>
      <c r="F1746" s="8" t="s">
        <v>10606</v>
      </c>
      <c r="G1746" s="6" t="s">
        <v>33</v>
      </c>
      <c r="H1746" s="6" t="s">
        <v>134</v>
      </c>
      <c r="I1746" s="8"/>
      <c r="J1746" s="9">
        <v>1</v>
      </c>
      <c r="K1746" s="9">
        <v>128</v>
      </c>
      <c r="L1746" s="9">
        <v>2020</v>
      </c>
      <c r="M1746" s="8" t="s">
        <v>10607</v>
      </c>
      <c r="N1746" s="8" t="s">
        <v>37</v>
      </c>
      <c r="O1746" s="8" t="s">
        <v>136</v>
      </c>
      <c r="P1746" s="6" t="s">
        <v>39</v>
      </c>
      <c r="Q1746" s="8" t="s">
        <v>40</v>
      </c>
      <c r="R1746" s="10" t="s">
        <v>9875</v>
      </c>
      <c r="S1746" s="11"/>
      <c r="T1746" s="6"/>
      <c r="U1746" s="15" t="str">
        <f>HYPERLINK("https://media.infra-m.ru/1058/1058761/cover/1058761.jpg", "Обложка")</f>
        <v>Обложка</v>
      </c>
      <c r="V1746" s="8" t="s">
        <v>138</v>
      </c>
      <c r="W1746" s="6"/>
      <c r="X1746" s="6"/>
      <c r="Y1746" s="6"/>
      <c r="Z1746" s="6"/>
      <c r="AA1746" s="6" t="s">
        <v>99</v>
      </c>
      <c r="AB1746" s="8"/>
      <c r="AC1746" s="27">
        <v>9785917688725</v>
      </c>
    </row>
    <row r="1747" spans="1:29" s="4" customFormat="1" ht="42" customHeight="1" x14ac:dyDescent="0.2">
      <c r="A1747" s="5">
        <v>0</v>
      </c>
      <c r="B1747" s="6" t="s">
        <v>10608</v>
      </c>
      <c r="C1747" s="7">
        <v>3172.8</v>
      </c>
      <c r="D1747" s="8" t="s">
        <v>10609</v>
      </c>
      <c r="E1747" s="8" t="s">
        <v>10610</v>
      </c>
      <c r="F1747" s="8" t="s">
        <v>10611</v>
      </c>
      <c r="G1747" s="6" t="s">
        <v>118</v>
      </c>
      <c r="H1747" s="6" t="s">
        <v>134</v>
      </c>
      <c r="I1747" s="8"/>
      <c r="J1747" s="9">
        <v>1</v>
      </c>
      <c r="K1747" s="9">
        <v>608</v>
      </c>
      <c r="L1747" s="9">
        <v>2025</v>
      </c>
      <c r="M1747" s="8" t="s">
        <v>10612</v>
      </c>
      <c r="N1747" s="8" t="s">
        <v>37</v>
      </c>
      <c r="O1747" s="8" t="s">
        <v>136</v>
      </c>
      <c r="P1747" s="6" t="s">
        <v>39</v>
      </c>
      <c r="Q1747" s="8" t="s">
        <v>40</v>
      </c>
      <c r="R1747" s="10" t="s">
        <v>10613</v>
      </c>
      <c r="S1747" s="11"/>
      <c r="T1747" s="6"/>
      <c r="U1747" s="15" t="str">
        <f>HYPERLINK("https://media.infra-m.ru/2160/2160653/cover/2160653.jpg", "Обложка")</f>
        <v>Обложка</v>
      </c>
      <c r="V1747" s="8" t="s">
        <v>10614</v>
      </c>
      <c r="W1747" s="6"/>
      <c r="X1747" s="6"/>
      <c r="Y1747" s="6"/>
      <c r="Z1747" s="6"/>
      <c r="AA1747" s="6" t="s">
        <v>99</v>
      </c>
      <c r="AB1747" s="8"/>
      <c r="AC1747" s="27">
        <v>9785917688213</v>
      </c>
    </row>
    <row r="1748" spans="1:29" s="4" customFormat="1" ht="51.9" customHeight="1" x14ac:dyDescent="0.2">
      <c r="A1748" s="5">
        <v>0</v>
      </c>
      <c r="B1748" s="6" t="s">
        <v>10615</v>
      </c>
      <c r="C1748" s="7">
        <v>1524</v>
      </c>
      <c r="D1748" s="8" t="s">
        <v>10616</v>
      </c>
      <c r="E1748" s="8" t="s">
        <v>10617</v>
      </c>
      <c r="F1748" s="8" t="s">
        <v>10618</v>
      </c>
      <c r="G1748" s="6" t="s">
        <v>118</v>
      </c>
      <c r="H1748" s="6" t="s">
        <v>34</v>
      </c>
      <c r="I1748" s="8" t="s">
        <v>263</v>
      </c>
      <c r="J1748" s="9">
        <v>1</v>
      </c>
      <c r="K1748" s="9">
        <v>219</v>
      </c>
      <c r="L1748" s="9">
        <v>2027</v>
      </c>
      <c r="M1748" s="8" t="s">
        <v>10619</v>
      </c>
      <c r="N1748" s="8" t="s">
        <v>243</v>
      </c>
      <c r="O1748" s="8" t="s">
        <v>758</v>
      </c>
      <c r="P1748" s="6" t="s">
        <v>51</v>
      </c>
      <c r="Q1748" s="8" t="s">
        <v>265</v>
      </c>
      <c r="R1748" s="10" t="s">
        <v>10620</v>
      </c>
      <c r="S1748" s="11" t="s">
        <v>10621</v>
      </c>
      <c r="T1748" s="6"/>
      <c r="U1748" s="15" t="str">
        <f>HYPERLINK("https://media.infra-m.ru/2266/2266087/cover/2266087.jpg", "Обложка")</f>
        <v>Обложка</v>
      </c>
      <c r="V1748" s="8" t="s">
        <v>8139</v>
      </c>
      <c r="W1748" s="6"/>
      <c r="X1748" s="6"/>
      <c r="Y1748" s="6"/>
      <c r="Z1748" s="6"/>
      <c r="AA1748" s="6" t="s">
        <v>1256</v>
      </c>
      <c r="AB1748" s="8"/>
      <c r="AC1748" s="27">
        <v>9785160155654</v>
      </c>
    </row>
    <row r="1749" spans="1:29" s="4" customFormat="1" ht="51.9" customHeight="1" x14ac:dyDescent="0.2">
      <c r="A1749" s="5">
        <v>0</v>
      </c>
      <c r="B1749" s="6" t="s">
        <v>10622</v>
      </c>
      <c r="C1749" s="7">
        <v>1192.8</v>
      </c>
      <c r="D1749" s="8" t="s">
        <v>10623</v>
      </c>
      <c r="E1749" s="8" t="s">
        <v>10624</v>
      </c>
      <c r="F1749" s="8" t="s">
        <v>10625</v>
      </c>
      <c r="G1749" s="6" t="s">
        <v>60</v>
      </c>
      <c r="H1749" s="6" t="s">
        <v>34</v>
      </c>
      <c r="I1749" s="8" t="s">
        <v>35</v>
      </c>
      <c r="J1749" s="9">
        <v>1</v>
      </c>
      <c r="K1749" s="9">
        <v>156</v>
      </c>
      <c r="L1749" s="9">
        <v>2026</v>
      </c>
      <c r="M1749" s="8" t="s">
        <v>10626</v>
      </c>
      <c r="N1749" s="8" t="s">
        <v>37</v>
      </c>
      <c r="O1749" s="8" t="s">
        <v>136</v>
      </c>
      <c r="P1749" s="6" t="s">
        <v>39</v>
      </c>
      <c r="Q1749" s="8" t="s">
        <v>40</v>
      </c>
      <c r="R1749" s="10" t="s">
        <v>10627</v>
      </c>
      <c r="S1749" s="11"/>
      <c r="T1749" s="6"/>
      <c r="U1749" s="15" t="str">
        <f>HYPERLINK("https://media.infra-m.ru/2267/2267935/cover/2267935.jpg", "Обложка")</f>
        <v>Обложка</v>
      </c>
      <c r="V1749" s="8" t="s">
        <v>5726</v>
      </c>
      <c r="W1749" s="6"/>
      <c r="X1749" s="6"/>
      <c r="Y1749" s="6"/>
      <c r="Z1749" s="6"/>
      <c r="AA1749" s="6" t="s">
        <v>187</v>
      </c>
      <c r="AB1749" s="8"/>
      <c r="AC1749" s="27">
        <v>9785160218571</v>
      </c>
    </row>
    <row r="1750" spans="1:29" s="4" customFormat="1" ht="51.9" customHeight="1" x14ac:dyDescent="0.2">
      <c r="A1750" s="5">
        <v>0</v>
      </c>
      <c r="B1750" s="6" t="s">
        <v>10628</v>
      </c>
      <c r="C1750" s="7">
        <v>2728.8</v>
      </c>
      <c r="D1750" s="8" t="s">
        <v>10629</v>
      </c>
      <c r="E1750" s="8" t="s">
        <v>10630</v>
      </c>
      <c r="F1750" s="8" t="s">
        <v>10631</v>
      </c>
      <c r="G1750" s="6" t="s">
        <v>118</v>
      </c>
      <c r="H1750" s="6" t="s">
        <v>34</v>
      </c>
      <c r="I1750" s="8" t="s">
        <v>271</v>
      </c>
      <c r="J1750" s="9">
        <v>1</v>
      </c>
      <c r="K1750" s="9">
        <v>392</v>
      </c>
      <c r="L1750" s="9">
        <v>2027</v>
      </c>
      <c r="M1750" s="8" t="s">
        <v>10632</v>
      </c>
      <c r="N1750" s="8" t="s">
        <v>585</v>
      </c>
      <c r="O1750" s="8" t="s">
        <v>775</v>
      </c>
      <c r="P1750" s="6" t="s">
        <v>51</v>
      </c>
      <c r="Q1750" s="8" t="s">
        <v>52</v>
      </c>
      <c r="R1750" s="10" t="s">
        <v>10633</v>
      </c>
      <c r="S1750" s="11" t="s">
        <v>10634</v>
      </c>
      <c r="T1750" s="6"/>
      <c r="U1750" s="15" t="str">
        <f>HYPERLINK("https://media.infra-m.ru/2264/2264691/cover/2264691.jpg", "Обложка")</f>
        <v>Обложка</v>
      </c>
      <c r="V1750" s="8" t="s">
        <v>1083</v>
      </c>
      <c r="W1750" s="6"/>
      <c r="X1750" s="6"/>
      <c r="Y1750" s="6"/>
      <c r="Z1750" s="6"/>
      <c r="AA1750" s="6" t="s">
        <v>55</v>
      </c>
      <c r="AB1750" s="8"/>
      <c r="AC1750" s="27">
        <v>9785160180915</v>
      </c>
    </row>
    <row r="1751" spans="1:29" s="4" customFormat="1" ht="42" customHeight="1" x14ac:dyDescent="0.2">
      <c r="A1751" s="5">
        <v>0</v>
      </c>
      <c r="B1751" s="6" t="s">
        <v>10635</v>
      </c>
      <c r="C1751" s="7">
        <v>2596.8000000000002</v>
      </c>
      <c r="D1751" s="8" t="s">
        <v>10636</v>
      </c>
      <c r="E1751" s="8" t="s">
        <v>10630</v>
      </c>
      <c r="F1751" s="8" t="s">
        <v>10631</v>
      </c>
      <c r="G1751" s="6" t="s">
        <v>118</v>
      </c>
      <c r="H1751" s="6" t="s">
        <v>34</v>
      </c>
      <c r="I1751" s="8" t="s">
        <v>10637</v>
      </c>
      <c r="J1751" s="9">
        <v>1</v>
      </c>
      <c r="K1751" s="9">
        <v>392</v>
      </c>
      <c r="L1751" s="9">
        <v>2026</v>
      </c>
      <c r="M1751" s="8" t="s">
        <v>10638</v>
      </c>
      <c r="N1751" s="8" t="s">
        <v>585</v>
      </c>
      <c r="O1751" s="8" t="s">
        <v>775</v>
      </c>
      <c r="P1751" s="6" t="s">
        <v>51</v>
      </c>
      <c r="Q1751" s="8" t="s">
        <v>265</v>
      </c>
      <c r="R1751" s="10" t="s">
        <v>10639</v>
      </c>
      <c r="S1751" s="11"/>
      <c r="T1751" s="6"/>
      <c r="U1751" s="15" t="str">
        <f>HYPERLINK("https://media.infra-m.ru/2243/2243642/cover/2243642.jpg", "Обложка")</f>
        <v>Обложка</v>
      </c>
      <c r="V1751" s="8" t="s">
        <v>1083</v>
      </c>
      <c r="W1751" s="6"/>
      <c r="X1751" s="6"/>
      <c r="Y1751" s="6"/>
      <c r="Z1751" s="6" t="s">
        <v>267</v>
      </c>
      <c r="AA1751" s="6" t="s">
        <v>68</v>
      </c>
      <c r="AB1751" s="8"/>
      <c r="AC1751" s="27">
        <v>9785160202044</v>
      </c>
    </row>
    <row r="1752" spans="1:29" s="4" customFormat="1" ht="51.9" customHeight="1" x14ac:dyDescent="0.2">
      <c r="A1752" s="5">
        <v>0</v>
      </c>
      <c r="B1752" s="6" t="s">
        <v>10640</v>
      </c>
      <c r="C1752" s="7">
        <v>2568</v>
      </c>
      <c r="D1752" s="8" t="s">
        <v>10641</v>
      </c>
      <c r="E1752" s="8" t="s">
        <v>10642</v>
      </c>
      <c r="F1752" s="8" t="s">
        <v>10643</v>
      </c>
      <c r="G1752" s="6" t="s">
        <v>118</v>
      </c>
      <c r="H1752" s="6" t="s">
        <v>34</v>
      </c>
      <c r="I1752" s="8" t="s">
        <v>263</v>
      </c>
      <c r="J1752" s="9">
        <v>1</v>
      </c>
      <c r="K1752" s="9">
        <v>368</v>
      </c>
      <c r="L1752" s="9">
        <v>2026</v>
      </c>
      <c r="M1752" s="8" t="s">
        <v>10644</v>
      </c>
      <c r="N1752" s="8" t="s">
        <v>243</v>
      </c>
      <c r="O1752" s="8" t="s">
        <v>244</v>
      </c>
      <c r="P1752" s="6" t="s">
        <v>51</v>
      </c>
      <c r="Q1752" s="8" t="s">
        <v>265</v>
      </c>
      <c r="R1752" s="10" t="s">
        <v>10645</v>
      </c>
      <c r="S1752" s="11" t="s">
        <v>1013</v>
      </c>
      <c r="T1752" s="6"/>
      <c r="U1752" s="15" t="str">
        <f>HYPERLINK("https://media.infra-m.ru/2244/2244018/cover/2244018.jpg", "Обложка")</f>
        <v>Обложка</v>
      </c>
      <c r="V1752" s="8" t="s">
        <v>1871</v>
      </c>
      <c r="W1752" s="6"/>
      <c r="X1752" s="6"/>
      <c r="Y1752" s="6"/>
      <c r="Z1752" s="6"/>
      <c r="AA1752" s="6" t="s">
        <v>874</v>
      </c>
      <c r="AB1752" s="8"/>
      <c r="AC1752" s="27">
        <v>9785160222264</v>
      </c>
    </row>
    <row r="1753" spans="1:29" s="4" customFormat="1" ht="51.9" customHeight="1" x14ac:dyDescent="0.2">
      <c r="A1753" s="5">
        <v>0</v>
      </c>
      <c r="B1753" s="6" t="s">
        <v>10646</v>
      </c>
      <c r="C1753" s="7">
        <v>2268</v>
      </c>
      <c r="D1753" s="8" t="s">
        <v>10647</v>
      </c>
      <c r="E1753" s="8" t="s">
        <v>10648</v>
      </c>
      <c r="F1753" s="8" t="s">
        <v>10649</v>
      </c>
      <c r="G1753" s="6" t="s">
        <v>118</v>
      </c>
      <c r="H1753" s="6" t="s">
        <v>313</v>
      </c>
      <c r="I1753" s="8" t="s">
        <v>253</v>
      </c>
      <c r="J1753" s="9">
        <v>1</v>
      </c>
      <c r="K1753" s="9">
        <v>400</v>
      </c>
      <c r="L1753" s="9">
        <v>2024</v>
      </c>
      <c r="M1753" s="8" t="s">
        <v>10650</v>
      </c>
      <c r="N1753" s="8" t="s">
        <v>243</v>
      </c>
      <c r="O1753" s="8" t="s">
        <v>244</v>
      </c>
      <c r="P1753" s="6" t="s">
        <v>51</v>
      </c>
      <c r="Q1753" s="8" t="s">
        <v>65</v>
      </c>
      <c r="R1753" s="10" t="s">
        <v>10651</v>
      </c>
      <c r="S1753" s="11"/>
      <c r="T1753" s="6"/>
      <c r="U1753" s="15" t="str">
        <f>HYPERLINK("https://media.infra-m.ru/2140/2140566/cover/2140566.jpg", "Обложка")</f>
        <v>Обложка</v>
      </c>
      <c r="V1753" s="8" t="s">
        <v>2088</v>
      </c>
      <c r="W1753" s="6"/>
      <c r="X1753" s="6"/>
      <c r="Y1753" s="6"/>
      <c r="Z1753" s="6"/>
      <c r="AA1753" s="6" t="s">
        <v>1031</v>
      </c>
      <c r="AB1753" s="8"/>
      <c r="AC1753" s="27">
        <v>9785369017593</v>
      </c>
    </row>
    <row r="1754" spans="1:29" s="4" customFormat="1" ht="51.9" customHeight="1" x14ac:dyDescent="0.2">
      <c r="A1754" s="5">
        <v>0</v>
      </c>
      <c r="B1754" s="6" t="s">
        <v>10652</v>
      </c>
      <c r="C1754" s="7">
        <v>1199.9000000000001</v>
      </c>
      <c r="D1754" s="8" t="s">
        <v>10653</v>
      </c>
      <c r="E1754" s="8" t="s">
        <v>10654</v>
      </c>
      <c r="F1754" s="8" t="s">
        <v>10655</v>
      </c>
      <c r="G1754" s="6" t="s">
        <v>60</v>
      </c>
      <c r="H1754" s="6" t="s">
        <v>313</v>
      </c>
      <c r="I1754" s="8" t="s">
        <v>10656</v>
      </c>
      <c r="J1754" s="9">
        <v>1</v>
      </c>
      <c r="K1754" s="9">
        <v>392</v>
      </c>
      <c r="L1754" s="9">
        <v>2018</v>
      </c>
      <c r="M1754" s="8" t="s">
        <v>10657</v>
      </c>
      <c r="N1754" s="8" t="s">
        <v>243</v>
      </c>
      <c r="O1754" s="8" t="s">
        <v>244</v>
      </c>
      <c r="P1754" s="6" t="s">
        <v>51</v>
      </c>
      <c r="Q1754" s="8" t="s">
        <v>52</v>
      </c>
      <c r="R1754" s="10" t="s">
        <v>10651</v>
      </c>
      <c r="S1754" s="11" t="s">
        <v>10658</v>
      </c>
      <c r="T1754" s="6"/>
      <c r="U1754" s="15" t="str">
        <f>HYPERLINK("https://media.infra-m.ru/0937/0937469/cover/937469.jpg", "Обложка")</f>
        <v>Обложка</v>
      </c>
      <c r="V1754" s="8" t="s">
        <v>2088</v>
      </c>
      <c r="W1754" s="6"/>
      <c r="X1754" s="6"/>
      <c r="Y1754" s="6"/>
      <c r="Z1754" s="6"/>
      <c r="AA1754" s="6" t="s">
        <v>874</v>
      </c>
      <c r="AB1754" s="8"/>
      <c r="AC1754" s="27">
        <v>9785369013786</v>
      </c>
    </row>
    <row r="1755" spans="1:29" s="4" customFormat="1" ht="51.9" customHeight="1" x14ac:dyDescent="0.2">
      <c r="A1755" s="5">
        <v>0</v>
      </c>
      <c r="B1755" s="6" t="s">
        <v>10659</v>
      </c>
      <c r="C1755" s="7">
        <v>2628</v>
      </c>
      <c r="D1755" s="8" t="s">
        <v>10660</v>
      </c>
      <c r="E1755" s="8" t="s">
        <v>10661</v>
      </c>
      <c r="F1755" s="8" t="s">
        <v>10649</v>
      </c>
      <c r="G1755" s="6" t="s">
        <v>60</v>
      </c>
      <c r="H1755" s="6" t="s">
        <v>313</v>
      </c>
      <c r="I1755" s="8" t="s">
        <v>253</v>
      </c>
      <c r="J1755" s="9">
        <v>1</v>
      </c>
      <c r="K1755" s="9">
        <v>398</v>
      </c>
      <c r="L1755" s="9">
        <v>2026</v>
      </c>
      <c r="M1755" s="8" t="s">
        <v>10662</v>
      </c>
      <c r="N1755" s="8" t="s">
        <v>243</v>
      </c>
      <c r="O1755" s="8" t="s">
        <v>244</v>
      </c>
      <c r="P1755" s="6" t="s">
        <v>51</v>
      </c>
      <c r="Q1755" s="8" t="s">
        <v>65</v>
      </c>
      <c r="R1755" s="10" t="s">
        <v>10651</v>
      </c>
      <c r="S1755" s="11"/>
      <c r="T1755" s="6"/>
      <c r="U1755" s="15" t="str">
        <f>HYPERLINK("https://media.infra-m.ru/2242/2242341/cover/2242341.jpg", "Обложка")</f>
        <v>Обложка</v>
      </c>
      <c r="V1755" s="8" t="s">
        <v>2088</v>
      </c>
      <c r="W1755" s="6" t="s">
        <v>351</v>
      </c>
      <c r="X1755" s="6"/>
      <c r="Y1755" s="6"/>
      <c r="Z1755" s="6"/>
      <c r="AA1755" s="6" t="s">
        <v>1031</v>
      </c>
      <c r="AB1755" s="8"/>
      <c r="AC1755" s="27">
        <v>9785369030141</v>
      </c>
    </row>
    <row r="1756" spans="1:29" s="4" customFormat="1" ht="51.9" customHeight="1" x14ac:dyDescent="0.2">
      <c r="A1756" s="5">
        <v>0</v>
      </c>
      <c r="B1756" s="6" t="s">
        <v>10663</v>
      </c>
      <c r="C1756" s="13">
        <v>816</v>
      </c>
      <c r="D1756" s="8" t="s">
        <v>10664</v>
      </c>
      <c r="E1756" s="8" t="s">
        <v>10665</v>
      </c>
      <c r="F1756" s="8" t="s">
        <v>10666</v>
      </c>
      <c r="G1756" s="6" t="s">
        <v>33</v>
      </c>
      <c r="H1756" s="6" t="s">
        <v>34</v>
      </c>
      <c r="I1756" s="8" t="s">
        <v>271</v>
      </c>
      <c r="J1756" s="9">
        <v>1</v>
      </c>
      <c r="K1756" s="9">
        <v>142</v>
      </c>
      <c r="L1756" s="9">
        <v>2023</v>
      </c>
      <c r="M1756" s="8" t="s">
        <v>10667</v>
      </c>
      <c r="N1756" s="8" t="s">
        <v>585</v>
      </c>
      <c r="O1756" s="8" t="s">
        <v>775</v>
      </c>
      <c r="P1756" s="6" t="s">
        <v>51</v>
      </c>
      <c r="Q1756" s="8" t="s">
        <v>52</v>
      </c>
      <c r="R1756" s="10" t="s">
        <v>10668</v>
      </c>
      <c r="S1756" s="11" t="s">
        <v>10669</v>
      </c>
      <c r="T1756" s="6"/>
      <c r="U1756" s="15" t="str">
        <f>HYPERLINK("https://media.infra-m.ru/2126/2126634/cover/2126634.jpg", "Обложка")</f>
        <v>Обложка</v>
      </c>
      <c r="V1756" s="8" t="s">
        <v>831</v>
      </c>
      <c r="W1756" s="6"/>
      <c r="X1756" s="6"/>
      <c r="Y1756" s="6"/>
      <c r="Z1756" s="6"/>
      <c r="AA1756" s="6" t="s">
        <v>779</v>
      </c>
      <c r="AB1756" s="8"/>
      <c r="AC1756" s="27">
        <v>9785160113319</v>
      </c>
    </row>
    <row r="1757" spans="1:29" s="4" customFormat="1" ht="51.9" customHeight="1" x14ac:dyDescent="0.2">
      <c r="A1757" s="5">
        <v>0</v>
      </c>
      <c r="B1757" s="6" t="s">
        <v>10670</v>
      </c>
      <c r="C1757" s="7">
        <v>1000.8</v>
      </c>
      <c r="D1757" s="8" t="s">
        <v>10671</v>
      </c>
      <c r="E1757" s="8" t="s">
        <v>10665</v>
      </c>
      <c r="F1757" s="8" t="s">
        <v>10666</v>
      </c>
      <c r="G1757" s="6" t="s">
        <v>60</v>
      </c>
      <c r="H1757" s="6" t="s">
        <v>34</v>
      </c>
      <c r="I1757" s="8" t="s">
        <v>263</v>
      </c>
      <c r="J1757" s="9">
        <v>1</v>
      </c>
      <c r="K1757" s="9">
        <v>142</v>
      </c>
      <c r="L1757" s="9">
        <v>2027</v>
      </c>
      <c r="M1757" s="8" t="s">
        <v>10672</v>
      </c>
      <c r="N1757" s="8" t="s">
        <v>585</v>
      </c>
      <c r="O1757" s="8" t="s">
        <v>775</v>
      </c>
      <c r="P1757" s="6" t="s">
        <v>51</v>
      </c>
      <c r="Q1757" s="8" t="s">
        <v>265</v>
      </c>
      <c r="R1757" s="10" t="s">
        <v>10673</v>
      </c>
      <c r="S1757" s="11" t="s">
        <v>10674</v>
      </c>
      <c r="T1757" s="6"/>
      <c r="U1757" s="15" t="str">
        <f>HYPERLINK("https://media.infra-m.ru/2262/2262265/cover/2262265.jpg", "Обложка")</f>
        <v>Обложка</v>
      </c>
      <c r="V1757" s="8" t="s">
        <v>831</v>
      </c>
      <c r="W1757" s="6"/>
      <c r="X1757" s="6"/>
      <c r="Y1757" s="6"/>
      <c r="Z1757" s="6" t="s">
        <v>267</v>
      </c>
      <c r="AA1757" s="6" t="s">
        <v>430</v>
      </c>
      <c r="AB1757" s="8"/>
      <c r="AC1757" s="27">
        <v>9785160169279</v>
      </c>
    </row>
    <row r="1758" spans="1:29" s="4" customFormat="1" ht="51.9" customHeight="1" x14ac:dyDescent="0.2">
      <c r="A1758" s="5">
        <v>0</v>
      </c>
      <c r="B1758" s="6" t="s">
        <v>10675</v>
      </c>
      <c r="C1758" s="7">
        <v>2256</v>
      </c>
      <c r="D1758" s="8" t="s">
        <v>10676</v>
      </c>
      <c r="E1758" s="8" t="s">
        <v>10677</v>
      </c>
      <c r="F1758" s="8" t="s">
        <v>10678</v>
      </c>
      <c r="G1758" s="6" t="s">
        <v>60</v>
      </c>
      <c r="H1758" s="6" t="s">
        <v>34</v>
      </c>
      <c r="I1758" s="8" t="s">
        <v>35</v>
      </c>
      <c r="J1758" s="9">
        <v>1</v>
      </c>
      <c r="K1758" s="9">
        <v>376</v>
      </c>
      <c r="L1758" s="9">
        <v>2024</v>
      </c>
      <c r="M1758" s="8" t="s">
        <v>10679</v>
      </c>
      <c r="N1758" s="8" t="s">
        <v>37</v>
      </c>
      <c r="O1758" s="8" t="s">
        <v>83</v>
      </c>
      <c r="P1758" s="6" t="s">
        <v>39</v>
      </c>
      <c r="Q1758" s="8" t="s">
        <v>40</v>
      </c>
      <c r="R1758" s="10" t="s">
        <v>10680</v>
      </c>
      <c r="S1758" s="11"/>
      <c r="T1758" s="6"/>
      <c r="U1758" s="15" t="str">
        <f>HYPERLINK("https://media.infra-m.ru/2141/2141098/cover/2141098.jpg", "Обложка")</f>
        <v>Обложка</v>
      </c>
      <c r="V1758" s="8" t="s">
        <v>3109</v>
      </c>
      <c r="W1758" s="6"/>
      <c r="X1758" s="6"/>
      <c r="Y1758" s="6"/>
      <c r="Z1758" s="6"/>
      <c r="AA1758" s="6" t="s">
        <v>76</v>
      </c>
      <c r="AB1758" s="8"/>
      <c r="AC1758" s="27">
        <v>9785160198521</v>
      </c>
    </row>
    <row r="1759" spans="1:29" s="4" customFormat="1" ht="51.9" customHeight="1" x14ac:dyDescent="0.2">
      <c r="A1759" s="5">
        <v>0</v>
      </c>
      <c r="B1759" s="6" t="s">
        <v>10681</v>
      </c>
      <c r="C1759" s="7">
        <v>1756.8</v>
      </c>
      <c r="D1759" s="8" t="s">
        <v>10682</v>
      </c>
      <c r="E1759" s="8" t="s">
        <v>10683</v>
      </c>
      <c r="F1759" s="8" t="s">
        <v>10684</v>
      </c>
      <c r="G1759" s="6" t="s">
        <v>118</v>
      </c>
      <c r="H1759" s="6" t="s">
        <v>34</v>
      </c>
      <c r="I1759" s="8" t="s">
        <v>263</v>
      </c>
      <c r="J1759" s="9">
        <v>1</v>
      </c>
      <c r="K1759" s="9">
        <v>252</v>
      </c>
      <c r="L1759" s="9">
        <v>2027</v>
      </c>
      <c r="M1759" s="8" t="s">
        <v>10685</v>
      </c>
      <c r="N1759" s="8" t="s">
        <v>243</v>
      </c>
      <c r="O1759" s="8" t="s">
        <v>1100</v>
      </c>
      <c r="P1759" s="6" t="s">
        <v>306</v>
      </c>
      <c r="Q1759" s="8" t="s">
        <v>265</v>
      </c>
      <c r="R1759" s="10" t="s">
        <v>10686</v>
      </c>
      <c r="S1759" s="11" t="s">
        <v>10687</v>
      </c>
      <c r="T1759" s="6" t="s">
        <v>97</v>
      </c>
      <c r="U1759" s="15" t="str">
        <f>HYPERLINK("https://media.infra-m.ru/2273/2273721/cover/2273721.jpg", "Обложка")</f>
        <v>Обложка</v>
      </c>
      <c r="V1759" s="8" t="s">
        <v>1030</v>
      </c>
      <c r="W1759" s="6"/>
      <c r="X1759" s="6"/>
      <c r="Y1759" s="6"/>
      <c r="Z1759" s="6"/>
      <c r="AA1759" s="6" t="s">
        <v>779</v>
      </c>
      <c r="AB1759" s="8"/>
      <c r="AC1759" s="27">
        <v>9785160111889</v>
      </c>
    </row>
    <row r="1760" spans="1:29" s="4" customFormat="1" ht="51.9" customHeight="1" x14ac:dyDescent="0.2">
      <c r="A1760" s="5">
        <v>0</v>
      </c>
      <c r="B1760" s="6" t="s">
        <v>10688</v>
      </c>
      <c r="C1760" s="7">
        <v>1240.8</v>
      </c>
      <c r="D1760" s="8" t="s">
        <v>10689</v>
      </c>
      <c r="E1760" s="8" t="s">
        <v>10690</v>
      </c>
      <c r="F1760" s="8" t="s">
        <v>10691</v>
      </c>
      <c r="G1760" s="6" t="s">
        <v>60</v>
      </c>
      <c r="H1760" s="6" t="s">
        <v>34</v>
      </c>
      <c r="I1760" s="8" t="s">
        <v>10692</v>
      </c>
      <c r="J1760" s="9">
        <v>1</v>
      </c>
      <c r="K1760" s="9">
        <v>178</v>
      </c>
      <c r="L1760" s="9">
        <v>2026</v>
      </c>
      <c r="M1760" s="8" t="s">
        <v>10693</v>
      </c>
      <c r="N1760" s="8" t="s">
        <v>37</v>
      </c>
      <c r="O1760" s="8" t="s">
        <v>136</v>
      </c>
      <c r="P1760" s="6" t="s">
        <v>3141</v>
      </c>
      <c r="Q1760" s="8" t="s">
        <v>65</v>
      </c>
      <c r="R1760" s="10" t="s">
        <v>7447</v>
      </c>
      <c r="S1760" s="11"/>
      <c r="T1760" s="6"/>
      <c r="U1760" s="15" t="str">
        <f>HYPERLINK("https://media.infra-m.ru/2260/2260404/cover/2260404.jpg", "Обложка")</f>
        <v>Обложка</v>
      </c>
      <c r="V1760" s="8" t="s">
        <v>10694</v>
      </c>
      <c r="W1760" s="6"/>
      <c r="X1760" s="6"/>
      <c r="Y1760" s="6"/>
      <c r="Z1760" s="6"/>
      <c r="AA1760" s="6" t="s">
        <v>86</v>
      </c>
      <c r="AB1760" s="8"/>
      <c r="AC1760" s="27">
        <v>9785160130811</v>
      </c>
    </row>
    <row r="1761" spans="1:29" s="4" customFormat="1" ht="51.9" customHeight="1" x14ac:dyDescent="0.2">
      <c r="A1761" s="5">
        <v>0</v>
      </c>
      <c r="B1761" s="6" t="s">
        <v>10695</v>
      </c>
      <c r="C1761" s="13">
        <v>904.8</v>
      </c>
      <c r="D1761" s="8" t="s">
        <v>10696</v>
      </c>
      <c r="E1761" s="8" t="s">
        <v>10697</v>
      </c>
      <c r="F1761" s="8" t="s">
        <v>10698</v>
      </c>
      <c r="G1761" s="6" t="s">
        <v>21</v>
      </c>
      <c r="H1761" s="6" t="s">
        <v>134</v>
      </c>
      <c r="I1761" s="8"/>
      <c r="J1761" s="9">
        <v>1</v>
      </c>
      <c r="K1761" s="9">
        <v>144</v>
      </c>
      <c r="L1761" s="9">
        <v>2025</v>
      </c>
      <c r="M1761" s="8" t="s">
        <v>10699</v>
      </c>
      <c r="N1761" s="8" t="s">
        <v>37</v>
      </c>
      <c r="O1761" s="8" t="s">
        <v>136</v>
      </c>
      <c r="P1761" s="6" t="s">
        <v>39</v>
      </c>
      <c r="Q1761" s="8" t="s">
        <v>749</v>
      </c>
      <c r="R1761" s="10" t="s">
        <v>9920</v>
      </c>
      <c r="S1761" s="11"/>
      <c r="T1761" s="6"/>
      <c r="U1761" s="15" t="str">
        <f>HYPERLINK("https://media.infra-m.ru/2192/2192443/cover/2192443.jpg", "Обложка")</f>
        <v>Обложка</v>
      </c>
      <c r="V1761" s="8" t="s">
        <v>1184</v>
      </c>
      <c r="W1761" s="6"/>
      <c r="X1761" s="6"/>
      <c r="Y1761" s="6"/>
      <c r="Z1761" s="6"/>
      <c r="AA1761" s="6" t="s">
        <v>274</v>
      </c>
      <c r="AB1761" s="8"/>
      <c r="AC1761" s="27">
        <v>9785917686462</v>
      </c>
    </row>
    <row r="1762" spans="1:29" s="4" customFormat="1" ht="44.1" customHeight="1" x14ac:dyDescent="0.2">
      <c r="A1762" s="5">
        <v>0</v>
      </c>
      <c r="B1762" s="6" t="s">
        <v>10700</v>
      </c>
      <c r="C1762" s="13">
        <v>804</v>
      </c>
      <c r="D1762" s="8" t="s">
        <v>10701</v>
      </c>
      <c r="E1762" s="8" t="s">
        <v>10702</v>
      </c>
      <c r="F1762" s="8" t="s">
        <v>10691</v>
      </c>
      <c r="G1762" s="6" t="s">
        <v>60</v>
      </c>
      <c r="H1762" s="6" t="s">
        <v>34</v>
      </c>
      <c r="I1762" s="8" t="s">
        <v>10692</v>
      </c>
      <c r="J1762" s="9">
        <v>1</v>
      </c>
      <c r="K1762" s="9">
        <v>193</v>
      </c>
      <c r="L1762" s="9">
        <v>2019</v>
      </c>
      <c r="M1762" s="8" t="s">
        <v>10703</v>
      </c>
      <c r="N1762" s="8" t="s">
        <v>37</v>
      </c>
      <c r="O1762" s="8" t="s">
        <v>136</v>
      </c>
      <c r="P1762" s="6" t="s">
        <v>51</v>
      </c>
      <c r="Q1762" s="8" t="s">
        <v>183</v>
      </c>
      <c r="R1762" s="10" t="s">
        <v>10704</v>
      </c>
      <c r="S1762" s="11"/>
      <c r="T1762" s="6" t="s">
        <v>97</v>
      </c>
      <c r="U1762" s="15" t="str">
        <f>HYPERLINK("https://media.infra-m.ru/0999/0999759/cover/999759.jpg", "Обложка")</f>
        <v>Обложка</v>
      </c>
      <c r="V1762" s="8" t="s">
        <v>10694</v>
      </c>
      <c r="W1762" s="6"/>
      <c r="X1762" s="6"/>
      <c r="Y1762" s="6"/>
      <c r="Z1762" s="6"/>
      <c r="AA1762" s="6" t="s">
        <v>115</v>
      </c>
      <c r="AB1762" s="8"/>
      <c r="AC1762" s="27">
        <v>9785160146881</v>
      </c>
    </row>
    <row r="1763" spans="1:29" s="4" customFormat="1" ht="44.1" customHeight="1" x14ac:dyDescent="0.2">
      <c r="A1763" s="5">
        <v>0</v>
      </c>
      <c r="B1763" s="6" t="s">
        <v>10705</v>
      </c>
      <c r="C1763" s="7">
        <v>1272</v>
      </c>
      <c r="D1763" s="8" t="s">
        <v>10706</v>
      </c>
      <c r="E1763" s="8" t="s">
        <v>10707</v>
      </c>
      <c r="F1763" s="8" t="s">
        <v>10691</v>
      </c>
      <c r="G1763" s="6" t="s">
        <v>118</v>
      </c>
      <c r="H1763" s="6" t="s">
        <v>34</v>
      </c>
      <c r="I1763" s="8" t="s">
        <v>10692</v>
      </c>
      <c r="J1763" s="9">
        <v>1</v>
      </c>
      <c r="K1763" s="9">
        <v>193</v>
      </c>
      <c r="L1763" s="9">
        <v>2026</v>
      </c>
      <c r="M1763" s="8" t="s">
        <v>10708</v>
      </c>
      <c r="N1763" s="8" t="s">
        <v>37</v>
      </c>
      <c r="O1763" s="8" t="s">
        <v>136</v>
      </c>
      <c r="P1763" s="6" t="s">
        <v>51</v>
      </c>
      <c r="Q1763" s="8" t="s">
        <v>183</v>
      </c>
      <c r="R1763" s="10" t="s">
        <v>10704</v>
      </c>
      <c r="S1763" s="11"/>
      <c r="T1763" s="6" t="s">
        <v>97</v>
      </c>
      <c r="U1763" s="15" t="str">
        <f>HYPERLINK("https://media.infra-m.ru/2254/2254496/cover/2254496.jpg", "Обложка")</f>
        <v>Обложка</v>
      </c>
      <c r="V1763" s="8" t="s">
        <v>10694</v>
      </c>
      <c r="W1763" s="6"/>
      <c r="X1763" s="6"/>
      <c r="Y1763" s="6"/>
      <c r="Z1763" s="6"/>
      <c r="AA1763" s="6" t="s">
        <v>218</v>
      </c>
      <c r="AB1763" s="8"/>
      <c r="AC1763" s="27">
        <v>9785160162621</v>
      </c>
    </row>
    <row r="1764" spans="1:29" s="4" customFormat="1" ht="51.9" customHeight="1" x14ac:dyDescent="0.2">
      <c r="A1764" s="5">
        <v>0</v>
      </c>
      <c r="B1764" s="6" t="s">
        <v>10709</v>
      </c>
      <c r="C1764" s="13">
        <v>996</v>
      </c>
      <c r="D1764" s="8" t="s">
        <v>10710</v>
      </c>
      <c r="E1764" s="8" t="s">
        <v>10711</v>
      </c>
      <c r="F1764" s="8" t="s">
        <v>10712</v>
      </c>
      <c r="G1764" s="6" t="s">
        <v>33</v>
      </c>
      <c r="H1764" s="6" t="s">
        <v>34</v>
      </c>
      <c r="I1764" s="8" t="s">
        <v>35</v>
      </c>
      <c r="J1764" s="9">
        <v>1</v>
      </c>
      <c r="K1764" s="9">
        <v>133</v>
      </c>
      <c r="L1764" s="9">
        <v>2026</v>
      </c>
      <c r="M1764" s="8" t="s">
        <v>10713</v>
      </c>
      <c r="N1764" s="8" t="s">
        <v>37</v>
      </c>
      <c r="O1764" s="8" t="s">
        <v>136</v>
      </c>
      <c r="P1764" s="6" t="s">
        <v>39</v>
      </c>
      <c r="Q1764" s="8" t="s">
        <v>40</v>
      </c>
      <c r="R1764" s="10" t="s">
        <v>10714</v>
      </c>
      <c r="S1764" s="11"/>
      <c r="T1764" s="6"/>
      <c r="U1764" s="15" t="str">
        <f>HYPERLINK("https://media.infra-m.ru/2238/2238051/cover/2238051.jpg", "Обложка")</f>
        <v>Обложка</v>
      </c>
      <c r="V1764" s="8" t="s">
        <v>10715</v>
      </c>
      <c r="W1764" s="6" t="s">
        <v>528</v>
      </c>
      <c r="X1764" s="6"/>
      <c r="Y1764" s="6"/>
      <c r="Z1764" s="6"/>
      <c r="AA1764" s="6" t="s">
        <v>187</v>
      </c>
      <c r="AB1764" s="8"/>
      <c r="AC1764" s="27">
        <v>9785160217840</v>
      </c>
    </row>
    <row r="1765" spans="1:29" s="4" customFormat="1" ht="42" customHeight="1" x14ac:dyDescent="0.2">
      <c r="A1765" s="5">
        <v>0</v>
      </c>
      <c r="B1765" s="6" t="s">
        <v>10716</v>
      </c>
      <c r="C1765" s="13">
        <v>713.9</v>
      </c>
      <c r="D1765" s="8" t="s">
        <v>10717</v>
      </c>
      <c r="E1765" s="8" t="s">
        <v>10718</v>
      </c>
      <c r="F1765" s="8" t="s">
        <v>10691</v>
      </c>
      <c r="G1765" s="6" t="s">
        <v>33</v>
      </c>
      <c r="H1765" s="6" t="s">
        <v>34</v>
      </c>
      <c r="I1765" s="8" t="s">
        <v>10692</v>
      </c>
      <c r="J1765" s="9">
        <v>1</v>
      </c>
      <c r="K1765" s="9">
        <v>166</v>
      </c>
      <c r="L1765" s="9">
        <v>2021</v>
      </c>
      <c r="M1765" s="8" t="s">
        <v>10719</v>
      </c>
      <c r="N1765" s="8" t="s">
        <v>37</v>
      </c>
      <c r="O1765" s="8" t="s">
        <v>136</v>
      </c>
      <c r="P1765" s="6" t="s">
        <v>7441</v>
      </c>
      <c r="Q1765" s="8" t="s">
        <v>3587</v>
      </c>
      <c r="R1765" s="10" t="s">
        <v>9577</v>
      </c>
      <c r="S1765" s="11"/>
      <c r="T1765" s="6" t="s">
        <v>97</v>
      </c>
      <c r="U1765" s="15" t="str">
        <f>HYPERLINK("https://media.infra-m.ru/1215/1215827/cover/1215827.jpg", "Обложка")</f>
        <v>Обложка</v>
      </c>
      <c r="V1765" s="8" t="s">
        <v>10694</v>
      </c>
      <c r="W1765" s="6"/>
      <c r="X1765" s="6"/>
      <c r="Y1765" s="6"/>
      <c r="Z1765" s="6"/>
      <c r="AA1765" s="6" t="s">
        <v>99</v>
      </c>
      <c r="AB1765" s="8"/>
      <c r="AC1765" s="27">
        <v>9785160149943</v>
      </c>
    </row>
    <row r="1766" spans="1:29" s="4" customFormat="1" ht="42" customHeight="1" x14ac:dyDescent="0.2">
      <c r="A1766" s="5">
        <v>0</v>
      </c>
      <c r="B1766" s="6" t="s">
        <v>10720</v>
      </c>
      <c r="C1766" s="7">
        <v>1200</v>
      </c>
      <c r="D1766" s="8" t="s">
        <v>10721</v>
      </c>
      <c r="E1766" s="8" t="s">
        <v>10722</v>
      </c>
      <c r="F1766" s="8" t="s">
        <v>10691</v>
      </c>
      <c r="G1766" s="6" t="s">
        <v>118</v>
      </c>
      <c r="H1766" s="6" t="s">
        <v>34</v>
      </c>
      <c r="I1766" s="8" t="s">
        <v>10692</v>
      </c>
      <c r="J1766" s="9">
        <v>1</v>
      </c>
      <c r="K1766" s="9">
        <v>181</v>
      </c>
      <c r="L1766" s="9">
        <v>2026</v>
      </c>
      <c r="M1766" s="8" t="s">
        <v>10723</v>
      </c>
      <c r="N1766" s="8" t="s">
        <v>37</v>
      </c>
      <c r="O1766" s="8" t="s">
        <v>136</v>
      </c>
      <c r="P1766" s="6" t="s">
        <v>51</v>
      </c>
      <c r="Q1766" s="8" t="s">
        <v>3587</v>
      </c>
      <c r="R1766" s="10" t="s">
        <v>9577</v>
      </c>
      <c r="S1766" s="11"/>
      <c r="T1766" s="6"/>
      <c r="U1766" s="15" t="str">
        <f>HYPERLINK("https://media.infra-m.ru/2254/2254497/cover/2254497.jpg", "Обложка")</f>
        <v>Обложка</v>
      </c>
      <c r="V1766" s="8" t="s">
        <v>10694</v>
      </c>
      <c r="W1766" s="6"/>
      <c r="X1766" s="6"/>
      <c r="Y1766" s="6"/>
      <c r="Z1766" s="6"/>
      <c r="AA1766" s="6" t="s">
        <v>258</v>
      </c>
      <c r="AB1766" s="8"/>
      <c r="AC1766" s="27">
        <v>9785160169958</v>
      </c>
    </row>
    <row r="1767" spans="1:29" s="4" customFormat="1" ht="44.1" customHeight="1" x14ac:dyDescent="0.2">
      <c r="A1767" s="5">
        <v>0</v>
      </c>
      <c r="B1767" s="6" t="s">
        <v>10724</v>
      </c>
      <c r="C1767" s="7">
        <v>1524</v>
      </c>
      <c r="D1767" s="8" t="s">
        <v>10725</v>
      </c>
      <c r="E1767" s="8" t="s">
        <v>10726</v>
      </c>
      <c r="F1767" s="8" t="s">
        <v>10691</v>
      </c>
      <c r="G1767" s="6" t="s">
        <v>118</v>
      </c>
      <c r="H1767" s="6" t="s">
        <v>34</v>
      </c>
      <c r="I1767" s="8" t="s">
        <v>10692</v>
      </c>
      <c r="J1767" s="9">
        <v>1</v>
      </c>
      <c r="K1767" s="9">
        <v>219</v>
      </c>
      <c r="L1767" s="9">
        <v>2026</v>
      </c>
      <c r="M1767" s="8" t="s">
        <v>10727</v>
      </c>
      <c r="N1767" s="8" t="s">
        <v>37</v>
      </c>
      <c r="O1767" s="8" t="s">
        <v>136</v>
      </c>
      <c r="P1767" s="6" t="s">
        <v>3141</v>
      </c>
      <c r="Q1767" s="8" t="s">
        <v>183</v>
      </c>
      <c r="R1767" s="10" t="s">
        <v>10728</v>
      </c>
      <c r="S1767" s="11"/>
      <c r="T1767" s="6"/>
      <c r="U1767" s="15" t="str">
        <f>HYPERLINK("https://media.infra-m.ru/2221/2221546/cover/2221546.jpg", "Обложка")</f>
        <v>Обложка</v>
      </c>
      <c r="V1767" s="8" t="s">
        <v>10694</v>
      </c>
      <c r="W1767" s="6"/>
      <c r="X1767" s="6"/>
      <c r="Y1767" s="6"/>
      <c r="Z1767" s="6"/>
      <c r="AA1767" s="6" t="s">
        <v>430</v>
      </c>
      <c r="AB1767" s="8"/>
      <c r="AC1767" s="27">
        <v>9785160167442</v>
      </c>
    </row>
    <row r="1768" spans="1:29" s="4" customFormat="1" ht="51.9" customHeight="1" x14ac:dyDescent="0.2">
      <c r="A1768" s="5">
        <v>0</v>
      </c>
      <c r="B1768" s="6" t="s">
        <v>10729</v>
      </c>
      <c r="C1768" s="7">
        <v>2208</v>
      </c>
      <c r="D1768" s="8" t="s">
        <v>10730</v>
      </c>
      <c r="E1768" s="8" t="s">
        <v>10731</v>
      </c>
      <c r="F1768" s="8" t="s">
        <v>10732</v>
      </c>
      <c r="G1768" s="6" t="s">
        <v>118</v>
      </c>
      <c r="H1768" s="6" t="s">
        <v>34</v>
      </c>
      <c r="I1768" s="8" t="s">
        <v>253</v>
      </c>
      <c r="J1768" s="9">
        <v>1</v>
      </c>
      <c r="K1768" s="9">
        <v>398</v>
      </c>
      <c r="L1768" s="9">
        <v>2024</v>
      </c>
      <c r="M1768" s="8" t="s">
        <v>10733</v>
      </c>
      <c r="N1768" s="8" t="s">
        <v>37</v>
      </c>
      <c r="O1768" s="8" t="s">
        <v>83</v>
      </c>
      <c r="P1768" s="6" t="s">
        <v>51</v>
      </c>
      <c r="Q1768" s="8" t="s">
        <v>52</v>
      </c>
      <c r="R1768" s="10" t="s">
        <v>10734</v>
      </c>
      <c r="S1768" s="11" t="s">
        <v>10735</v>
      </c>
      <c r="T1768" s="6" t="s">
        <v>97</v>
      </c>
      <c r="U1768" s="15" t="str">
        <f>HYPERLINK("https://media.infra-m.ru/2122/2122487/cover/2122487.jpg", "Обложка")</f>
        <v>Обложка</v>
      </c>
      <c r="V1768" s="8" t="s">
        <v>4892</v>
      </c>
      <c r="W1768" s="6"/>
      <c r="X1768" s="6"/>
      <c r="Y1768" s="6"/>
      <c r="Z1768" s="6"/>
      <c r="AA1768" s="6" t="s">
        <v>86</v>
      </c>
      <c r="AB1768" s="8"/>
      <c r="AC1768" s="27">
        <v>9785160194615</v>
      </c>
    </row>
    <row r="1769" spans="1:29" s="4" customFormat="1" ht="51.9" customHeight="1" x14ac:dyDescent="0.2">
      <c r="A1769" s="5">
        <v>0</v>
      </c>
      <c r="B1769" s="6" t="s">
        <v>10736</v>
      </c>
      <c r="C1769" s="7">
        <v>1000.8</v>
      </c>
      <c r="D1769" s="8" t="s">
        <v>10737</v>
      </c>
      <c r="E1769" s="8" t="s">
        <v>10738</v>
      </c>
      <c r="F1769" s="8" t="s">
        <v>10739</v>
      </c>
      <c r="G1769" s="6" t="s">
        <v>60</v>
      </c>
      <c r="H1769" s="6" t="s">
        <v>241</v>
      </c>
      <c r="I1769" s="8"/>
      <c r="J1769" s="9">
        <v>1</v>
      </c>
      <c r="K1769" s="9">
        <v>176</v>
      </c>
      <c r="L1769" s="9">
        <v>2024</v>
      </c>
      <c r="M1769" s="8" t="s">
        <v>10740</v>
      </c>
      <c r="N1769" s="8" t="s">
        <v>243</v>
      </c>
      <c r="O1769" s="8" t="s">
        <v>329</v>
      </c>
      <c r="P1769" s="6" t="s">
        <v>51</v>
      </c>
      <c r="Q1769" s="8" t="s">
        <v>52</v>
      </c>
      <c r="R1769" s="10" t="s">
        <v>10741</v>
      </c>
      <c r="S1769" s="11"/>
      <c r="T1769" s="6"/>
      <c r="U1769" s="15" t="str">
        <f>HYPERLINK("https://media.infra-m.ru/2125/2125185/cover/2125185.jpg", "Обложка")</f>
        <v>Обложка</v>
      </c>
      <c r="V1769" s="8" t="s">
        <v>10742</v>
      </c>
      <c r="W1769" s="6"/>
      <c r="X1769" s="6"/>
      <c r="Y1769" s="6"/>
      <c r="Z1769" s="6"/>
      <c r="AA1769" s="6" t="s">
        <v>55</v>
      </c>
      <c r="AB1769" s="8"/>
      <c r="AC1769" s="27">
        <v>9785955802510</v>
      </c>
    </row>
    <row r="1770" spans="1:29" s="4" customFormat="1" ht="42" customHeight="1" x14ac:dyDescent="0.2">
      <c r="A1770" s="5">
        <v>0</v>
      </c>
      <c r="B1770" s="6" t="s">
        <v>10743</v>
      </c>
      <c r="C1770" s="7">
        <v>1224</v>
      </c>
      <c r="D1770" s="8" t="s">
        <v>10744</v>
      </c>
      <c r="E1770" s="8" t="s">
        <v>10745</v>
      </c>
      <c r="F1770" s="8" t="s">
        <v>10746</v>
      </c>
      <c r="G1770" s="6" t="s">
        <v>33</v>
      </c>
      <c r="H1770" s="6" t="s">
        <v>34</v>
      </c>
      <c r="I1770" s="8" t="s">
        <v>35</v>
      </c>
      <c r="J1770" s="9">
        <v>1</v>
      </c>
      <c r="K1770" s="9">
        <v>274</v>
      </c>
      <c r="L1770" s="9">
        <v>2020</v>
      </c>
      <c r="M1770" s="8" t="s">
        <v>10747</v>
      </c>
      <c r="N1770" s="8" t="s">
        <v>37</v>
      </c>
      <c r="O1770" s="8" t="s">
        <v>136</v>
      </c>
      <c r="P1770" s="6" t="s">
        <v>39</v>
      </c>
      <c r="Q1770" s="8" t="s">
        <v>40</v>
      </c>
      <c r="R1770" s="10" t="s">
        <v>1631</v>
      </c>
      <c r="S1770" s="11"/>
      <c r="T1770" s="6"/>
      <c r="U1770" s="15" t="str">
        <f>HYPERLINK("https://media.infra-m.ru/1078/1078337/cover/1078337.jpg", "Обложка")</f>
        <v>Обложка</v>
      </c>
      <c r="V1770" s="8" t="s">
        <v>3087</v>
      </c>
      <c r="W1770" s="6"/>
      <c r="X1770" s="6"/>
      <c r="Y1770" s="6"/>
      <c r="Z1770" s="6"/>
      <c r="AA1770" s="6" t="s">
        <v>248</v>
      </c>
      <c r="AB1770" s="8"/>
      <c r="AC1770" s="27">
        <v>9785160066554</v>
      </c>
    </row>
    <row r="1771" spans="1:29" s="4" customFormat="1" ht="51.9" customHeight="1" x14ac:dyDescent="0.2">
      <c r="A1771" s="5">
        <v>0</v>
      </c>
      <c r="B1771" s="6" t="s">
        <v>10748</v>
      </c>
      <c r="C1771" s="7">
        <v>3592.8</v>
      </c>
      <c r="D1771" s="8" t="s">
        <v>10749</v>
      </c>
      <c r="E1771" s="8" t="s">
        <v>10750</v>
      </c>
      <c r="F1771" s="8" t="s">
        <v>10751</v>
      </c>
      <c r="G1771" s="6" t="s">
        <v>118</v>
      </c>
      <c r="H1771" s="6" t="s">
        <v>34</v>
      </c>
      <c r="I1771" s="8" t="s">
        <v>263</v>
      </c>
      <c r="J1771" s="9">
        <v>1</v>
      </c>
      <c r="K1771" s="9">
        <v>641</v>
      </c>
      <c r="L1771" s="9">
        <v>2025</v>
      </c>
      <c r="M1771" s="8" t="s">
        <v>10752</v>
      </c>
      <c r="N1771" s="8" t="s">
        <v>243</v>
      </c>
      <c r="O1771" s="8" t="s">
        <v>385</v>
      </c>
      <c r="P1771" s="6" t="s">
        <v>306</v>
      </c>
      <c r="Q1771" s="8" t="s">
        <v>265</v>
      </c>
      <c r="R1771" s="10" t="s">
        <v>10753</v>
      </c>
      <c r="S1771" s="11" t="s">
        <v>10754</v>
      </c>
      <c r="T1771" s="6"/>
      <c r="U1771" s="15" t="str">
        <f>HYPERLINK("https://media.infra-m.ru/2208/2208738/cover/2208738.jpg", "Обложка")</f>
        <v>Обложка</v>
      </c>
      <c r="V1771" s="8" t="s">
        <v>10755</v>
      </c>
      <c r="W1771" s="6"/>
      <c r="X1771" s="6"/>
      <c r="Y1771" s="6"/>
      <c r="Z1771" s="6"/>
      <c r="AA1771" s="6" t="s">
        <v>430</v>
      </c>
      <c r="AB1771" s="8" t="s">
        <v>3596</v>
      </c>
      <c r="AC1771" s="27">
        <v>9785160160627</v>
      </c>
    </row>
    <row r="1772" spans="1:29" s="4" customFormat="1" ht="51.9" customHeight="1" x14ac:dyDescent="0.2">
      <c r="A1772" s="5">
        <v>0</v>
      </c>
      <c r="B1772" s="6" t="s">
        <v>10756</v>
      </c>
      <c r="C1772" s="7">
        <v>1564.8</v>
      </c>
      <c r="D1772" s="8" t="s">
        <v>10757</v>
      </c>
      <c r="E1772" s="8" t="s">
        <v>10758</v>
      </c>
      <c r="F1772" s="8" t="s">
        <v>10759</v>
      </c>
      <c r="G1772" s="6" t="s">
        <v>33</v>
      </c>
      <c r="H1772" s="6" t="s">
        <v>48</v>
      </c>
      <c r="I1772" s="8" t="s">
        <v>253</v>
      </c>
      <c r="J1772" s="9">
        <v>1</v>
      </c>
      <c r="K1772" s="9">
        <v>224</v>
      </c>
      <c r="L1772" s="9">
        <v>2027</v>
      </c>
      <c r="M1772" s="8" t="s">
        <v>10760</v>
      </c>
      <c r="N1772" s="8" t="s">
        <v>93</v>
      </c>
      <c r="O1772" s="8" t="s">
        <v>94</v>
      </c>
      <c r="P1772" s="6" t="s">
        <v>105</v>
      </c>
      <c r="Q1772" s="8" t="s">
        <v>52</v>
      </c>
      <c r="R1772" s="10" t="s">
        <v>10761</v>
      </c>
      <c r="S1772" s="11"/>
      <c r="T1772" s="6"/>
      <c r="U1772" s="15" t="str">
        <f>HYPERLINK("https://media.infra-m.ru/2255/2255784/cover/2255784.jpg", "Обложка")</f>
        <v>Обложка</v>
      </c>
      <c r="V1772" s="8" t="s">
        <v>1599</v>
      </c>
      <c r="W1772" s="6"/>
      <c r="X1772" s="6"/>
      <c r="Y1772" s="6"/>
      <c r="Z1772" s="6"/>
      <c r="AA1772" s="6" t="s">
        <v>274</v>
      </c>
      <c r="AB1772" s="8"/>
      <c r="AC1772" s="27">
        <v>9785000910405</v>
      </c>
    </row>
    <row r="1773" spans="1:29" s="4" customFormat="1" ht="51.9" customHeight="1" x14ac:dyDescent="0.2">
      <c r="A1773" s="5">
        <v>0</v>
      </c>
      <c r="B1773" s="6" t="s">
        <v>10762</v>
      </c>
      <c r="C1773" s="7">
        <v>1560</v>
      </c>
      <c r="D1773" s="8" t="s">
        <v>10763</v>
      </c>
      <c r="E1773" s="8" t="s">
        <v>10758</v>
      </c>
      <c r="F1773" s="8" t="s">
        <v>10759</v>
      </c>
      <c r="G1773" s="6" t="s">
        <v>118</v>
      </c>
      <c r="H1773" s="6" t="s">
        <v>34</v>
      </c>
      <c r="I1773" s="8"/>
      <c r="J1773" s="9">
        <v>1</v>
      </c>
      <c r="K1773" s="9">
        <v>224</v>
      </c>
      <c r="L1773" s="9">
        <v>2027</v>
      </c>
      <c r="M1773" s="8" t="s">
        <v>10764</v>
      </c>
      <c r="N1773" s="8" t="s">
        <v>93</v>
      </c>
      <c r="O1773" s="8" t="s">
        <v>94</v>
      </c>
      <c r="P1773" s="6" t="s">
        <v>105</v>
      </c>
      <c r="Q1773" s="8" t="s">
        <v>265</v>
      </c>
      <c r="R1773" s="10" t="s">
        <v>10765</v>
      </c>
      <c r="S1773" s="11" t="s">
        <v>10766</v>
      </c>
      <c r="T1773" s="6"/>
      <c r="U1773" s="15" t="str">
        <f>HYPERLINK("https://media.infra-m.ru/2271/2271590/cover/2271590.jpg", "Обложка")</f>
        <v>Обложка</v>
      </c>
      <c r="V1773" s="8" t="s">
        <v>1599</v>
      </c>
      <c r="W1773" s="6"/>
      <c r="X1773" s="6"/>
      <c r="Y1773" s="6"/>
      <c r="Z1773" s="6" t="s">
        <v>267</v>
      </c>
      <c r="AA1773" s="6" t="s">
        <v>115</v>
      </c>
      <c r="AB1773" s="8"/>
      <c r="AC1773" s="27">
        <v>9785160212135</v>
      </c>
    </row>
    <row r="1774" spans="1:29" s="4" customFormat="1" ht="51.9" customHeight="1" x14ac:dyDescent="0.2">
      <c r="A1774" s="5">
        <v>0</v>
      </c>
      <c r="B1774" s="6" t="s">
        <v>10767</v>
      </c>
      <c r="C1774" s="7">
        <v>1644</v>
      </c>
      <c r="D1774" s="8" t="s">
        <v>10768</v>
      </c>
      <c r="E1774" s="8" t="s">
        <v>10769</v>
      </c>
      <c r="F1774" s="8" t="s">
        <v>10770</v>
      </c>
      <c r="G1774" s="6" t="s">
        <v>33</v>
      </c>
      <c r="H1774" s="6" t="s">
        <v>34</v>
      </c>
      <c r="I1774" s="8" t="s">
        <v>35</v>
      </c>
      <c r="J1774" s="9">
        <v>1</v>
      </c>
      <c r="K1774" s="9">
        <v>248</v>
      </c>
      <c r="L1774" s="9">
        <v>2026</v>
      </c>
      <c r="M1774" s="8" t="s">
        <v>10771</v>
      </c>
      <c r="N1774" s="8" t="s">
        <v>37</v>
      </c>
      <c r="O1774" s="8" t="s">
        <v>233</v>
      </c>
      <c r="P1774" s="6" t="s">
        <v>39</v>
      </c>
      <c r="Q1774" s="8" t="s">
        <v>40</v>
      </c>
      <c r="R1774" s="10" t="s">
        <v>10772</v>
      </c>
      <c r="S1774" s="11"/>
      <c r="T1774" s="6"/>
      <c r="U1774" s="15" t="str">
        <f>HYPERLINK("https://media.infra-m.ru/2234/2234031/cover/2234031.jpg", "Обложка")</f>
        <v>Обложка</v>
      </c>
      <c r="V1774" s="8" t="s">
        <v>396</v>
      </c>
      <c r="W1774" s="6"/>
      <c r="X1774" s="6"/>
      <c r="Y1774" s="6"/>
      <c r="Z1774" s="6"/>
      <c r="AA1774" s="6" t="s">
        <v>157</v>
      </c>
      <c r="AB1774" s="8"/>
      <c r="AC1774" s="27">
        <v>9785160179360</v>
      </c>
    </row>
    <row r="1775" spans="1:29" s="4" customFormat="1" ht="44.1" customHeight="1" x14ac:dyDescent="0.2">
      <c r="A1775" s="5">
        <v>0</v>
      </c>
      <c r="B1775" s="6" t="s">
        <v>10773</v>
      </c>
      <c r="C1775" s="7">
        <v>2596.8000000000002</v>
      </c>
      <c r="D1775" s="8" t="s">
        <v>10774</v>
      </c>
      <c r="E1775" s="8" t="s">
        <v>10775</v>
      </c>
      <c r="F1775" s="8" t="s">
        <v>10776</v>
      </c>
      <c r="G1775" s="6" t="s">
        <v>60</v>
      </c>
      <c r="H1775" s="6" t="s">
        <v>1779</v>
      </c>
      <c r="I1775" s="8"/>
      <c r="J1775" s="9">
        <v>1</v>
      </c>
      <c r="K1775" s="9">
        <v>416</v>
      </c>
      <c r="L1775" s="9">
        <v>2026</v>
      </c>
      <c r="M1775" s="8" t="s">
        <v>10777</v>
      </c>
      <c r="N1775" s="8" t="s">
        <v>37</v>
      </c>
      <c r="O1775" s="8" t="s">
        <v>136</v>
      </c>
      <c r="P1775" s="6" t="s">
        <v>39</v>
      </c>
      <c r="Q1775" s="8" t="s">
        <v>749</v>
      </c>
      <c r="R1775" s="10" t="s">
        <v>8485</v>
      </c>
      <c r="S1775" s="11"/>
      <c r="T1775" s="6"/>
      <c r="U1775" s="15" t="str">
        <f>HYPERLINK("https://media.infra-m.ru/2210/2210341/cover/2210341.jpg", "Обложка")</f>
        <v>Обложка</v>
      </c>
      <c r="V1775" s="8" t="s">
        <v>2466</v>
      </c>
      <c r="W1775" s="6"/>
      <c r="X1775" s="6"/>
      <c r="Y1775" s="6"/>
      <c r="Z1775" s="6"/>
      <c r="AA1775" s="6" t="s">
        <v>274</v>
      </c>
      <c r="AB1775" s="8"/>
      <c r="AC1775" s="27">
        <v>9785917685564</v>
      </c>
    </row>
    <row r="1776" spans="1:29" s="4" customFormat="1" ht="42" customHeight="1" x14ac:dyDescent="0.2">
      <c r="A1776" s="5">
        <v>0</v>
      </c>
      <c r="B1776" s="6" t="s">
        <v>10778</v>
      </c>
      <c r="C1776" s="7">
        <v>2592</v>
      </c>
      <c r="D1776" s="8" t="s">
        <v>10779</v>
      </c>
      <c r="E1776" s="8" t="s">
        <v>10780</v>
      </c>
      <c r="F1776" s="8" t="s">
        <v>10776</v>
      </c>
      <c r="G1776" s="6" t="s">
        <v>60</v>
      </c>
      <c r="H1776" s="6" t="s">
        <v>134</v>
      </c>
      <c r="I1776" s="8"/>
      <c r="J1776" s="9">
        <v>1</v>
      </c>
      <c r="K1776" s="9">
        <v>416</v>
      </c>
      <c r="L1776" s="9">
        <v>2026</v>
      </c>
      <c r="M1776" s="8" t="s">
        <v>10781</v>
      </c>
      <c r="N1776" s="8" t="s">
        <v>37</v>
      </c>
      <c r="O1776" s="8" t="s">
        <v>136</v>
      </c>
      <c r="P1776" s="6" t="s">
        <v>39</v>
      </c>
      <c r="Q1776" s="8" t="s">
        <v>40</v>
      </c>
      <c r="R1776" s="10" t="s">
        <v>8485</v>
      </c>
      <c r="S1776" s="11"/>
      <c r="T1776" s="6"/>
      <c r="U1776" s="15" t="str">
        <f>HYPERLINK("https://media.infra-m.ru/2213/2213683/cover/2213683.jpg", "Обложка")</f>
        <v>Обложка</v>
      </c>
      <c r="V1776" s="8" t="s">
        <v>2466</v>
      </c>
      <c r="W1776" s="6"/>
      <c r="X1776" s="6"/>
      <c r="Y1776" s="6"/>
      <c r="Z1776" s="6"/>
      <c r="AA1776" s="6" t="s">
        <v>86</v>
      </c>
      <c r="AB1776" s="8"/>
      <c r="AC1776" s="27">
        <v>9785001564485</v>
      </c>
    </row>
    <row r="1777" spans="1:29" s="4" customFormat="1" ht="42" customHeight="1" x14ac:dyDescent="0.2">
      <c r="A1777" s="5">
        <v>0</v>
      </c>
      <c r="B1777" s="6" t="s">
        <v>10782</v>
      </c>
      <c r="C1777" s="7">
        <v>2596.8000000000002</v>
      </c>
      <c r="D1777" s="8" t="s">
        <v>10783</v>
      </c>
      <c r="E1777" s="8" t="s">
        <v>10784</v>
      </c>
      <c r="F1777" s="8" t="s">
        <v>10776</v>
      </c>
      <c r="G1777" s="6" t="s">
        <v>60</v>
      </c>
      <c r="H1777" s="6" t="s">
        <v>134</v>
      </c>
      <c r="I1777" s="8"/>
      <c r="J1777" s="9">
        <v>1</v>
      </c>
      <c r="K1777" s="9">
        <v>416</v>
      </c>
      <c r="L1777" s="9">
        <v>2026</v>
      </c>
      <c r="M1777" s="8" t="s">
        <v>10785</v>
      </c>
      <c r="N1777" s="8" t="s">
        <v>37</v>
      </c>
      <c r="O1777" s="8" t="s">
        <v>136</v>
      </c>
      <c r="P1777" s="6" t="s">
        <v>39</v>
      </c>
      <c r="Q1777" s="8" t="s">
        <v>40</v>
      </c>
      <c r="R1777" s="10" t="s">
        <v>10786</v>
      </c>
      <c r="S1777" s="11"/>
      <c r="T1777" s="6"/>
      <c r="U1777" s="15" t="str">
        <f>HYPERLINK("https://media.infra-m.ru/2221/2221239/cover/2221239.jpg", "Обложка")</f>
        <v>Обложка</v>
      </c>
      <c r="V1777" s="8" t="s">
        <v>2466</v>
      </c>
      <c r="W1777" s="6"/>
      <c r="X1777" s="6"/>
      <c r="Y1777" s="6"/>
      <c r="Z1777" s="6"/>
      <c r="AA1777" s="6" t="s">
        <v>779</v>
      </c>
      <c r="AB1777" s="8"/>
      <c r="AC1777" s="27">
        <v>9785917687438</v>
      </c>
    </row>
    <row r="1778" spans="1:29" s="4" customFormat="1" ht="42" customHeight="1" x14ac:dyDescent="0.2">
      <c r="A1778" s="5">
        <v>0</v>
      </c>
      <c r="B1778" s="6" t="s">
        <v>10787</v>
      </c>
      <c r="C1778" s="7">
        <v>2392.8000000000002</v>
      </c>
      <c r="D1778" s="8" t="s">
        <v>10788</v>
      </c>
      <c r="E1778" s="8" t="s">
        <v>10789</v>
      </c>
      <c r="F1778" s="8" t="s">
        <v>10776</v>
      </c>
      <c r="G1778" s="6" t="s">
        <v>118</v>
      </c>
      <c r="H1778" s="6" t="s">
        <v>134</v>
      </c>
      <c r="I1778" s="8"/>
      <c r="J1778" s="9">
        <v>1</v>
      </c>
      <c r="K1778" s="9">
        <v>384</v>
      </c>
      <c r="L1778" s="9">
        <v>2025</v>
      </c>
      <c r="M1778" s="8" t="s">
        <v>10790</v>
      </c>
      <c r="N1778" s="8" t="s">
        <v>37</v>
      </c>
      <c r="O1778" s="8" t="s">
        <v>136</v>
      </c>
      <c r="P1778" s="6" t="s">
        <v>39</v>
      </c>
      <c r="Q1778" s="8" t="s">
        <v>40</v>
      </c>
      <c r="R1778" s="10" t="s">
        <v>1255</v>
      </c>
      <c r="S1778" s="11"/>
      <c r="T1778" s="6"/>
      <c r="U1778" s="15" t="str">
        <f>HYPERLINK("https://media.infra-m.ru/2192/2192581/cover/2192581.jpg", "Обложка")</f>
        <v>Обложка</v>
      </c>
      <c r="V1778" s="8" t="s">
        <v>2466</v>
      </c>
      <c r="W1778" s="6"/>
      <c r="X1778" s="6"/>
      <c r="Y1778" s="6"/>
      <c r="Z1778" s="6"/>
      <c r="AA1778" s="6" t="s">
        <v>99</v>
      </c>
      <c r="AB1778" s="8"/>
      <c r="AC1778" s="27">
        <v>9785917688251</v>
      </c>
    </row>
    <row r="1779" spans="1:29" s="4" customFormat="1" ht="51.9" customHeight="1" x14ac:dyDescent="0.2">
      <c r="A1779" s="5">
        <v>0</v>
      </c>
      <c r="B1779" s="6" t="s">
        <v>10791</v>
      </c>
      <c r="C1779" s="7">
        <v>1769.3</v>
      </c>
      <c r="D1779" s="8" t="s">
        <v>10792</v>
      </c>
      <c r="E1779" s="8" t="s">
        <v>10793</v>
      </c>
      <c r="F1779" s="8" t="s">
        <v>10794</v>
      </c>
      <c r="G1779" s="6" t="s">
        <v>118</v>
      </c>
      <c r="H1779" s="6" t="s">
        <v>313</v>
      </c>
      <c r="I1779" s="8"/>
      <c r="J1779" s="9">
        <v>1</v>
      </c>
      <c r="K1779" s="9">
        <v>387</v>
      </c>
      <c r="L1779" s="9">
        <v>2021</v>
      </c>
      <c r="M1779" s="8" t="s">
        <v>10795</v>
      </c>
      <c r="N1779" s="8" t="s">
        <v>37</v>
      </c>
      <c r="O1779" s="8" t="s">
        <v>136</v>
      </c>
      <c r="P1779" s="6" t="s">
        <v>306</v>
      </c>
      <c r="Q1779" s="8" t="s">
        <v>52</v>
      </c>
      <c r="R1779" s="10" t="s">
        <v>10796</v>
      </c>
      <c r="S1779" s="11"/>
      <c r="T1779" s="6"/>
      <c r="U1779" s="15" t="str">
        <f>HYPERLINK("https://media.infra-m.ru/1855/1855856/cover/1855856.jpg", "Обложка")</f>
        <v>Обложка</v>
      </c>
      <c r="V1779" s="8" t="s">
        <v>7167</v>
      </c>
      <c r="W1779" s="6"/>
      <c r="X1779" s="6"/>
      <c r="Y1779" s="6"/>
      <c r="Z1779" s="6"/>
      <c r="AA1779" s="6" t="s">
        <v>1117</v>
      </c>
      <c r="AB1779" s="8"/>
      <c r="AC1779" s="27">
        <v>9785369017814</v>
      </c>
    </row>
    <row r="1780" spans="1:29" s="4" customFormat="1" ht="51.9" customHeight="1" x14ac:dyDescent="0.2">
      <c r="A1780" s="5">
        <v>0</v>
      </c>
      <c r="B1780" s="6" t="s">
        <v>10797</v>
      </c>
      <c r="C1780" s="7">
        <v>2100</v>
      </c>
      <c r="D1780" s="8" t="s">
        <v>10798</v>
      </c>
      <c r="E1780" s="8" t="s">
        <v>10799</v>
      </c>
      <c r="F1780" s="8" t="s">
        <v>10794</v>
      </c>
      <c r="G1780" s="6" t="s">
        <v>118</v>
      </c>
      <c r="H1780" s="6" t="s">
        <v>313</v>
      </c>
      <c r="I1780" s="8"/>
      <c r="J1780" s="9">
        <v>1</v>
      </c>
      <c r="K1780" s="9">
        <v>388</v>
      </c>
      <c r="L1780" s="9">
        <v>2023</v>
      </c>
      <c r="M1780" s="8" t="s">
        <v>10800</v>
      </c>
      <c r="N1780" s="8" t="s">
        <v>37</v>
      </c>
      <c r="O1780" s="8" t="s">
        <v>136</v>
      </c>
      <c r="P1780" s="6" t="s">
        <v>306</v>
      </c>
      <c r="Q1780" s="8" t="s">
        <v>52</v>
      </c>
      <c r="R1780" s="10" t="s">
        <v>10796</v>
      </c>
      <c r="S1780" s="11"/>
      <c r="T1780" s="6"/>
      <c r="U1780" s="15" t="str">
        <f>HYPERLINK("https://media.infra-m.ru/1932/1932337/cover/1932337.jpg", "Обложка")</f>
        <v>Обложка</v>
      </c>
      <c r="V1780" s="8" t="s">
        <v>7167</v>
      </c>
      <c r="W1780" s="6"/>
      <c r="X1780" s="6"/>
      <c r="Y1780" s="6"/>
      <c r="Z1780" s="6"/>
      <c r="AA1780" s="6" t="s">
        <v>3841</v>
      </c>
      <c r="AB1780" s="8"/>
      <c r="AC1780" s="27">
        <v>9785369019085</v>
      </c>
    </row>
    <row r="1781" spans="1:29" s="4" customFormat="1" ht="51.9" customHeight="1" x14ac:dyDescent="0.2">
      <c r="A1781" s="5">
        <v>0</v>
      </c>
      <c r="B1781" s="6" t="s">
        <v>10801</v>
      </c>
      <c r="C1781" s="7">
        <v>2380.8000000000002</v>
      </c>
      <c r="D1781" s="8" t="s">
        <v>10802</v>
      </c>
      <c r="E1781" s="8" t="s">
        <v>10803</v>
      </c>
      <c r="F1781" s="8" t="s">
        <v>10794</v>
      </c>
      <c r="G1781" s="6" t="s">
        <v>118</v>
      </c>
      <c r="H1781" s="6" t="s">
        <v>313</v>
      </c>
      <c r="I1781" s="8" t="s">
        <v>253</v>
      </c>
      <c r="J1781" s="9">
        <v>1</v>
      </c>
      <c r="K1781" s="9">
        <v>395</v>
      </c>
      <c r="L1781" s="9">
        <v>2024</v>
      </c>
      <c r="M1781" s="8" t="s">
        <v>10804</v>
      </c>
      <c r="N1781" s="8" t="s">
        <v>37</v>
      </c>
      <c r="O1781" s="8" t="s">
        <v>136</v>
      </c>
      <c r="P1781" s="6" t="s">
        <v>306</v>
      </c>
      <c r="Q1781" s="8" t="s">
        <v>52</v>
      </c>
      <c r="R1781" s="10" t="s">
        <v>10796</v>
      </c>
      <c r="S1781" s="11"/>
      <c r="T1781" s="6"/>
      <c r="U1781" s="15" t="str">
        <f>HYPERLINK("https://media.infra-m.ru/2215/2215547/cover/2215547.jpg", "Обложка")</f>
        <v>Обложка</v>
      </c>
      <c r="V1781" s="8" t="s">
        <v>7167</v>
      </c>
      <c r="W1781" s="6"/>
      <c r="X1781" s="6"/>
      <c r="Y1781" s="6"/>
      <c r="Z1781" s="6"/>
      <c r="AA1781" s="6" t="s">
        <v>10805</v>
      </c>
      <c r="AB1781" s="8"/>
      <c r="AC1781" s="27">
        <v>9785369019511</v>
      </c>
    </row>
    <row r="1782" spans="1:29" s="4" customFormat="1" ht="51.9" customHeight="1" x14ac:dyDescent="0.2">
      <c r="A1782" s="5">
        <v>0</v>
      </c>
      <c r="B1782" s="6" t="s">
        <v>10806</v>
      </c>
      <c r="C1782" s="7">
        <v>2508</v>
      </c>
      <c r="D1782" s="8" t="s">
        <v>10807</v>
      </c>
      <c r="E1782" s="8" t="s">
        <v>10808</v>
      </c>
      <c r="F1782" s="8" t="s">
        <v>10794</v>
      </c>
      <c r="G1782" s="6" t="s">
        <v>118</v>
      </c>
      <c r="H1782" s="6" t="s">
        <v>313</v>
      </c>
      <c r="I1782" s="8" t="s">
        <v>253</v>
      </c>
      <c r="J1782" s="9">
        <v>1</v>
      </c>
      <c r="K1782" s="9">
        <v>396</v>
      </c>
      <c r="L1782" s="9">
        <v>2025</v>
      </c>
      <c r="M1782" s="8" t="s">
        <v>10809</v>
      </c>
      <c r="N1782" s="8" t="s">
        <v>37</v>
      </c>
      <c r="O1782" s="8" t="s">
        <v>136</v>
      </c>
      <c r="P1782" s="6" t="s">
        <v>306</v>
      </c>
      <c r="Q1782" s="8" t="s">
        <v>52</v>
      </c>
      <c r="R1782" s="10" t="s">
        <v>10796</v>
      </c>
      <c r="S1782" s="11"/>
      <c r="T1782" s="6"/>
      <c r="U1782" s="15" t="str">
        <f>HYPERLINK("https://media.infra-m.ru/2173/2173240/cover/2173240.jpg", "Обложка")</f>
        <v>Обложка</v>
      </c>
      <c r="V1782" s="8" t="s">
        <v>7167</v>
      </c>
      <c r="W1782" s="6"/>
      <c r="X1782" s="6"/>
      <c r="Y1782" s="6"/>
      <c r="Z1782" s="6"/>
      <c r="AA1782" s="6" t="s">
        <v>8682</v>
      </c>
      <c r="AB1782" s="8"/>
      <c r="AC1782" s="27">
        <v>9785369019863</v>
      </c>
    </row>
    <row r="1783" spans="1:29" s="4" customFormat="1" ht="51.9" customHeight="1" x14ac:dyDescent="0.2">
      <c r="A1783" s="5">
        <v>0</v>
      </c>
      <c r="B1783" s="6" t="s">
        <v>10810</v>
      </c>
      <c r="C1783" s="7">
        <v>2664</v>
      </c>
      <c r="D1783" s="8" t="s">
        <v>10811</v>
      </c>
      <c r="E1783" s="8" t="s">
        <v>10812</v>
      </c>
      <c r="F1783" s="8" t="s">
        <v>10794</v>
      </c>
      <c r="G1783" s="6" t="s">
        <v>60</v>
      </c>
      <c r="H1783" s="6" t="s">
        <v>313</v>
      </c>
      <c r="I1783" s="8" t="s">
        <v>253</v>
      </c>
      <c r="J1783" s="9">
        <v>1</v>
      </c>
      <c r="K1783" s="9">
        <v>399</v>
      </c>
      <c r="L1783" s="9">
        <v>2026</v>
      </c>
      <c r="M1783" s="8" t="s">
        <v>10813</v>
      </c>
      <c r="N1783" s="8" t="s">
        <v>37</v>
      </c>
      <c r="O1783" s="8" t="s">
        <v>136</v>
      </c>
      <c r="P1783" s="6" t="s">
        <v>306</v>
      </c>
      <c r="Q1783" s="8" t="s">
        <v>52</v>
      </c>
      <c r="R1783" s="10" t="s">
        <v>10796</v>
      </c>
      <c r="S1783" s="11"/>
      <c r="T1783" s="6"/>
      <c r="U1783" s="15" t="str">
        <f>HYPERLINK("https://media.infra-m.ru/2244/2244526/cover/2244526.jpg", "Обложка")</f>
        <v>Обложка</v>
      </c>
      <c r="V1783" s="8" t="s">
        <v>7167</v>
      </c>
      <c r="W1783" s="6"/>
      <c r="X1783" s="6"/>
      <c r="Y1783" s="6"/>
      <c r="Z1783" s="6"/>
      <c r="AA1783" s="6" t="s">
        <v>10814</v>
      </c>
      <c r="AB1783" s="8"/>
      <c r="AC1783" s="27">
        <v>9785369030059</v>
      </c>
    </row>
    <row r="1784" spans="1:29" s="4" customFormat="1" ht="51.9" customHeight="1" x14ac:dyDescent="0.2">
      <c r="A1784" s="5">
        <v>0</v>
      </c>
      <c r="B1784" s="6" t="s">
        <v>10815</v>
      </c>
      <c r="C1784" s="13">
        <v>809.9</v>
      </c>
      <c r="D1784" s="8" t="s">
        <v>10816</v>
      </c>
      <c r="E1784" s="8" t="s">
        <v>10817</v>
      </c>
      <c r="F1784" s="8" t="s">
        <v>10818</v>
      </c>
      <c r="G1784" s="6" t="s">
        <v>7062</v>
      </c>
      <c r="H1784" s="6" t="s">
        <v>313</v>
      </c>
      <c r="I1784" s="8" t="s">
        <v>253</v>
      </c>
      <c r="J1784" s="9">
        <v>10</v>
      </c>
      <c r="K1784" s="9">
        <v>443</v>
      </c>
      <c r="L1784" s="9">
        <v>2015</v>
      </c>
      <c r="M1784" s="8" t="s">
        <v>10819</v>
      </c>
      <c r="N1784" s="8" t="s">
        <v>37</v>
      </c>
      <c r="O1784" s="8" t="s">
        <v>136</v>
      </c>
      <c r="P1784" s="6" t="s">
        <v>306</v>
      </c>
      <c r="Q1784" s="8" t="s">
        <v>52</v>
      </c>
      <c r="R1784" s="10" t="s">
        <v>10796</v>
      </c>
      <c r="S1784" s="11" t="s">
        <v>10820</v>
      </c>
      <c r="T1784" s="6"/>
      <c r="U1784" s="15" t="str">
        <f>HYPERLINK("https://media.infra-m.ru/0502/0502204/cover/502204.jpg", "Обложка")</f>
        <v>Обложка</v>
      </c>
      <c r="V1784" s="8" t="s">
        <v>7167</v>
      </c>
      <c r="W1784" s="6"/>
      <c r="X1784" s="6"/>
      <c r="Y1784" s="6"/>
      <c r="Z1784" s="6"/>
      <c r="AA1784" s="6" t="s">
        <v>718</v>
      </c>
      <c r="AB1784" s="8"/>
      <c r="AC1784" s="27">
        <v>9785369012024</v>
      </c>
    </row>
    <row r="1785" spans="1:29" s="4" customFormat="1" ht="51.9" customHeight="1" x14ac:dyDescent="0.2">
      <c r="A1785" s="5">
        <v>0</v>
      </c>
      <c r="B1785" s="6" t="s">
        <v>10821</v>
      </c>
      <c r="C1785" s="7">
        <v>3888</v>
      </c>
      <c r="D1785" s="8" t="s">
        <v>10822</v>
      </c>
      <c r="E1785" s="8" t="s">
        <v>10803</v>
      </c>
      <c r="F1785" s="8" t="s">
        <v>10776</v>
      </c>
      <c r="G1785" s="6" t="s">
        <v>60</v>
      </c>
      <c r="H1785" s="6" t="s">
        <v>134</v>
      </c>
      <c r="I1785" s="8" t="s">
        <v>10823</v>
      </c>
      <c r="J1785" s="9">
        <v>1</v>
      </c>
      <c r="K1785" s="9">
        <v>560</v>
      </c>
      <c r="L1785" s="9">
        <v>2026</v>
      </c>
      <c r="M1785" s="8" t="s">
        <v>10824</v>
      </c>
      <c r="N1785" s="8" t="s">
        <v>37</v>
      </c>
      <c r="O1785" s="8" t="s">
        <v>136</v>
      </c>
      <c r="P1785" s="6" t="s">
        <v>306</v>
      </c>
      <c r="Q1785" s="8" t="s">
        <v>52</v>
      </c>
      <c r="R1785" s="10" t="s">
        <v>10825</v>
      </c>
      <c r="S1785" s="11" t="s">
        <v>10826</v>
      </c>
      <c r="T1785" s="6"/>
      <c r="U1785" s="15" t="str">
        <f>HYPERLINK("https://media.infra-m.ru/2260/2260414/cover/2260414.jpg", "Обложка")</f>
        <v>Обложка</v>
      </c>
      <c r="V1785" s="8" t="s">
        <v>2466</v>
      </c>
      <c r="W1785" s="6"/>
      <c r="X1785" s="6"/>
      <c r="Y1785" s="6"/>
      <c r="Z1785" s="6"/>
      <c r="AA1785" s="6" t="s">
        <v>5169</v>
      </c>
      <c r="AB1785" s="8"/>
      <c r="AC1785" s="27">
        <v>9785917686318</v>
      </c>
    </row>
    <row r="1786" spans="1:29" s="4" customFormat="1" ht="51.9" customHeight="1" x14ac:dyDescent="0.2">
      <c r="A1786" s="5">
        <v>0</v>
      </c>
      <c r="B1786" s="6" t="s">
        <v>10827</v>
      </c>
      <c r="C1786" s="7">
        <v>3120</v>
      </c>
      <c r="D1786" s="8" t="s">
        <v>10828</v>
      </c>
      <c r="E1786" s="8" t="s">
        <v>10829</v>
      </c>
      <c r="F1786" s="8" t="s">
        <v>10830</v>
      </c>
      <c r="G1786" s="6" t="s">
        <v>60</v>
      </c>
      <c r="H1786" s="6" t="s">
        <v>34</v>
      </c>
      <c r="I1786" s="8" t="s">
        <v>1074</v>
      </c>
      <c r="J1786" s="9">
        <v>1</v>
      </c>
      <c r="K1786" s="9">
        <v>448</v>
      </c>
      <c r="L1786" s="9">
        <v>2026</v>
      </c>
      <c r="M1786" s="8" t="s">
        <v>10831</v>
      </c>
      <c r="N1786" s="8" t="s">
        <v>37</v>
      </c>
      <c r="O1786" s="8" t="s">
        <v>136</v>
      </c>
      <c r="P1786" s="6" t="s">
        <v>306</v>
      </c>
      <c r="Q1786" s="8" t="s">
        <v>65</v>
      </c>
      <c r="R1786" s="10" t="s">
        <v>10832</v>
      </c>
      <c r="S1786" s="11"/>
      <c r="T1786" s="6"/>
      <c r="U1786" s="15" t="str">
        <f>HYPERLINK("https://media.infra-m.ru/2262/2262004/cover/2262004.jpg", "Обложка")</f>
        <v>Обложка</v>
      </c>
      <c r="V1786" s="8" t="s">
        <v>138</v>
      </c>
      <c r="W1786" s="6"/>
      <c r="X1786" s="6"/>
      <c r="Y1786" s="6"/>
      <c r="Z1786" s="6"/>
      <c r="AA1786" s="6" t="s">
        <v>68</v>
      </c>
      <c r="AB1786" s="8"/>
      <c r="AC1786" s="27">
        <v>9785160197340</v>
      </c>
    </row>
    <row r="1787" spans="1:29" s="4" customFormat="1" ht="42" customHeight="1" x14ac:dyDescent="0.2">
      <c r="A1787" s="5">
        <v>0</v>
      </c>
      <c r="B1787" s="6" t="s">
        <v>10833</v>
      </c>
      <c r="C1787" s="7">
        <v>1696.8</v>
      </c>
      <c r="D1787" s="8" t="s">
        <v>10834</v>
      </c>
      <c r="E1787" s="8" t="s">
        <v>10835</v>
      </c>
      <c r="F1787" s="8" t="s">
        <v>10836</v>
      </c>
      <c r="G1787" s="6" t="s">
        <v>60</v>
      </c>
      <c r="H1787" s="6" t="s">
        <v>34</v>
      </c>
      <c r="I1787" s="8" t="s">
        <v>1074</v>
      </c>
      <c r="J1787" s="9">
        <v>1</v>
      </c>
      <c r="K1787" s="9">
        <v>272</v>
      </c>
      <c r="L1787" s="9">
        <v>2025</v>
      </c>
      <c r="M1787" s="8" t="s">
        <v>10837</v>
      </c>
      <c r="N1787" s="8" t="s">
        <v>37</v>
      </c>
      <c r="O1787" s="8" t="s">
        <v>136</v>
      </c>
      <c r="P1787" s="6" t="s">
        <v>39</v>
      </c>
      <c r="Q1787" s="8" t="s">
        <v>40</v>
      </c>
      <c r="R1787" s="10" t="s">
        <v>10838</v>
      </c>
      <c r="S1787" s="11"/>
      <c r="T1787" s="6"/>
      <c r="U1787" s="15" t="str">
        <f>HYPERLINK("https://media.infra-m.ru/2200/2200111/cover/2200111.jpg", "Обложка")</f>
        <v>Обложка</v>
      </c>
      <c r="V1787" s="8" t="s">
        <v>138</v>
      </c>
      <c r="W1787" s="6"/>
      <c r="X1787" s="6"/>
      <c r="Y1787" s="6"/>
      <c r="Z1787" s="6"/>
      <c r="AA1787" s="6" t="s">
        <v>274</v>
      </c>
      <c r="AB1787" s="8"/>
      <c r="AC1787" s="27">
        <v>9785160109480</v>
      </c>
    </row>
    <row r="1788" spans="1:29" s="4" customFormat="1" ht="51.9" customHeight="1" x14ac:dyDescent="0.2">
      <c r="A1788" s="5">
        <v>0</v>
      </c>
      <c r="B1788" s="6" t="s">
        <v>10839</v>
      </c>
      <c r="C1788" s="7">
        <v>1284</v>
      </c>
      <c r="D1788" s="8" t="s">
        <v>10840</v>
      </c>
      <c r="E1788" s="8" t="s">
        <v>10841</v>
      </c>
      <c r="F1788" s="8" t="s">
        <v>10487</v>
      </c>
      <c r="G1788" s="6" t="s">
        <v>118</v>
      </c>
      <c r="H1788" s="6" t="s">
        <v>34</v>
      </c>
      <c r="I1788" s="8" t="s">
        <v>263</v>
      </c>
      <c r="J1788" s="9">
        <v>1</v>
      </c>
      <c r="K1788" s="9">
        <v>194</v>
      </c>
      <c r="L1788" s="9">
        <v>2026</v>
      </c>
      <c r="M1788" s="8" t="s">
        <v>10842</v>
      </c>
      <c r="N1788" s="8" t="s">
        <v>37</v>
      </c>
      <c r="O1788" s="8" t="s">
        <v>136</v>
      </c>
      <c r="P1788" s="6" t="s">
        <v>51</v>
      </c>
      <c r="Q1788" s="8" t="s">
        <v>265</v>
      </c>
      <c r="R1788" s="10" t="s">
        <v>8557</v>
      </c>
      <c r="S1788" s="11" t="s">
        <v>10843</v>
      </c>
      <c r="T1788" s="6"/>
      <c r="U1788" s="15" t="str">
        <f>HYPERLINK("https://media.infra-m.ru/2225/2225218/cover/2225218.jpg", "Обложка")</f>
        <v>Обложка</v>
      </c>
      <c r="V1788" s="8" t="s">
        <v>10490</v>
      </c>
      <c r="W1788" s="6"/>
      <c r="X1788" s="6"/>
      <c r="Y1788" s="6"/>
      <c r="Z1788" s="6"/>
      <c r="AA1788" s="6" t="s">
        <v>148</v>
      </c>
      <c r="AB1788" s="8"/>
      <c r="AC1788" s="27">
        <v>9785160173375</v>
      </c>
    </row>
    <row r="1789" spans="1:29" s="4" customFormat="1" ht="51.9" customHeight="1" x14ac:dyDescent="0.2">
      <c r="A1789" s="5">
        <v>0</v>
      </c>
      <c r="B1789" s="6" t="s">
        <v>10844</v>
      </c>
      <c r="C1789" s="7">
        <v>2800.8</v>
      </c>
      <c r="D1789" s="8" t="s">
        <v>10845</v>
      </c>
      <c r="E1789" s="8" t="s">
        <v>10846</v>
      </c>
      <c r="F1789" s="8" t="s">
        <v>10847</v>
      </c>
      <c r="G1789" s="6" t="s">
        <v>60</v>
      </c>
      <c r="H1789" s="6" t="s">
        <v>34</v>
      </c>
      <c r="I1789" s="8" t="s">
        <v>263</v>
      </c>
      <c r="J1789" s="9">
        <v>1</v>
      </c>
      <c r="K1789" s="9">
        <v>424</v>
      </c>
      <c r="L1789" s="9">
        <v>2026</v>
      </c>
      <c r="M1789" s="8" t="s">
        <v>10848</v>
      </c>
      <c r="N1789" s="8" t="s">
        <v>243</v>
      </c>
      <c r="O1789" s="8" t="s">
        <v>1100</v>
      </c>
      <c r="P1789" s="6" t="s">
        <v>51</v>
      </c>
      <c r="Q1789" s="8" t="s">
        <v>265</v>
      </c>
      <c r="R1789" s="10" t="s">
        <v>10849</v>
      </c>
      <c r="S1789" s="11" t="s">
        <v>10850</v>
      </c>
      <c r="T1789" s="6"/>
      <c r="U1789" s="15" t="str">
        <f>HYPERLINK("https://media.infra-m.ru/2218/2218363/cover/2218363.jpg", "Обложка")</f>
        <v>Обложка</v>
      </c>
      <c r="V1789" s="8" t="s">
        <v>1030</v>
      </c>
      <c r="W1789" s="6"/>
      <c r="X1789" s="6"/>
      <c r="Y1789" s="6"/>
      <c r="Z1789" s="6" t="s">
        <v>267</v>
      </c>
      <c r="AA1789" s="6" t="s">
        <v>86</v>
      </c>
      <c r="AB1789" s="8" t="s">
        <v>1418</v>
      </c>
      <c r="AC1789" s="27">
        <v>9785160139159</v>
      </c>
    </row>
    <row r="1790" spans="1:29" s="4" customFormat="1" ht="51.9" customHeight="1" x14ac:dyDescent="0.2">
      <c r="A1790" s="5">
        <v>0</v>
      </c>
      <c r="B1790" s="6" t="s">
        <v>10851</v>
      </c>
      <c r="C1790" s="7">
        <v>2800.8</v>
      </c>
      <c r="D1790" s="8" t="s">
        <v>10852</v>
      </c>
      <c r="E1790" s="8" t="s">
        <v>10853</v>
      </c>
      <c r="F1790" s="8" t="s">
        <v>10854</v>
      </c>
      <c r="G1790" s="6" t="s">
        <v>60</v>
      </c>
      <c r="H1790" s="6" t="s">
        <v>34</v>
      </c>
      <c r="I1790" s="8" t="s">
        <v>271</v>
      </c>
      <c r="J1790" s="9">
        <v>1</v>
      </c>
      <c r="K1790" s="9">
        <v>424</v>
      </c>
      <c r="L1790" s="9">
        <v>2026</v>
      </c>
      <c r="M1790" s="8" t="s">
        <v>10855</v>
      </c>
      <c r="N1790" s="8" t="s">
        <v>243</v>
      </c>
      <c r="O1790" s="8" t="s">
        <v>1100</v>
      </c>
      <c r="P1790" s="6" t="s">
        <v>51</v>
      </c>
      <c r="Q1790" s="8" t="s">
        <v>52</v>
      </c>
      <c r="R1790" s="10" t="s">
        <v>10856</v>
      </c>
      <c r="S1790" s="11" t="s">
        <v>10857</v>
      </c>
      <c r="T1790" s="6"/>
      <c r="U1790" s="15" t="str">
        <f>HYPERLINK("https://media.infra-m.ru/2251/2251075/cover/2251075.jpg", "Обложка")</f>
        <v>Обложка</v>
      </c>
      <c r="V1790" s="8" t="s">
        <v>1030</v>
      </c>
      <c r="W1790" s="6"/>
      <c r="X1790" s="6"/>
      <c r="Y1790" s="6"/>
      <c r="Z1790" s="6"/>
      <c r="AA1790" s="6" t="s">
        <v>55</v>
      </c>
      <c r="AB1790" s="8"/>
      <c r="AC1790" s="27">
        <v>9785160062990</v>
      </c>
    </row>
    <row r="1791" spans="1:29" s="4" customFormat="1" ht="51.9" customHeight="1" x14ac:dyDescent="0.2">
      <c r="A1791" s="5">
        <v>0</v>
      </c>
      <c r="B1791" s="6" t="s">
        <v>10858</v>
      </c>
      <c r="C1791" s="7">
        <v>3960</v>
      </c>
      <c r="D1791" s="8" t="s">
        <v>10859</v>
      </c>
      <c r="E1791" s="8" t="s">
        <v>10860</v>
      </c>
      <c r="F1791" s="8" t="s">
        <v>10861</v>
      </c>
      <c r="G1791" s="6" t="s">
        <v>60</v>
      </c>
      <c r="H1791" s="6" t="s">
        <v>34</v>
      </c>
      <c r="I1791" s="8" t="s">
        <v>253</v>
      </c>
      <c r="J1791" s="9">
        <v>1</v>
      </c>
      <c r="K1791" s="9">
        <v>608</v>
      </c>
      <c r="L1791" s="9">
        <v>2026</v>
      </c>
      <c r="M1791" s="8" t="s">
        <v>10862</v>
      </c>
      <c r="N1791" s="8" t="s">
        <v>243</v>
      </c>
      <c r="O1791" s="8" t="s">
        <v>1100</v>
      </c>
      <c r="P1791" s="6" t="s">
        <v>306</v>
      </c>
      <c r="Q1791" s="8" t="s">
        <v>52</v>
      </c>
      <c r="R1791" s="10" t="s">
        <v>10863</v>
      </c>
      <c r="S1791" s="11" t="s">
        <v>10864</v>
      </c>
      <c r="T1791" s="6"/>
      <c r="U1791" s="15" t="str">
        <f>HYPERLINK("https://media.infra-m.ru/2244/2244324/cover/2244324.jpg", "Обложка")</f>
        <v>Обложка</v>
      </c>
      <c r="V1791" s="8" t="s">
        <v>1030</v>
      </c>
      <c r="W1791" s="6"/>
      <c r="X1791" s="6"/>
      <c r="Y1791" s="6"/>
      <c r="Z1791" s="6"/>
      <c r="AA1791" s="6" t="s">
        <v>55</v>
      </c>
      <c r="AB1791" s="8"/>
      <c r="AC1791" s="27">
        <v>9785160202624</v>
      </c>
    </row>
    <row r="1792" spans="1:29" s="4" customFormat="1" ht="51.9" customHeight="1" x14ac:dyDescent="0.2">
      <c r="A1792" s="5">
        <v>0</v>
      </c>
      <c r="B1792" s="6" t="s">
        <v>10865</v>
      </c>
      <c r="C1792" s="7">
        <v>1648.8</v>
      </c>
      <c r="D1792" s="8" t="s">
        <v>10866</v>
      </c>
      <c r="E1792" s="8" t="s">
        <v>10860</v>
      </c>
      <c r="F1792" s="8" t="s">
        <v>10684</v>
      </c>
      <c r="G1792" s="6" t="s">
        <v>118</v>
      </c>
      <c r="H1792" s="6" t="s">
        <v>34</v>
      </c>
      <c r="I1792" s="8" t="s">
        <v>263</v>
      </c>
      <c r="J1792" s="9">
        <v>1</v>
      </c>
      <c r="K1792" s="9">
        <v>237</v>
      </c>
      <c r="L1792" s="9">
        <v>2026</v>
      </c>
      <c r="M1792" s="8" t="s">
        <v>10867</v>
      </c>
      <c r="N1792" s="8" t="s">
        <v>243</v>
      </c>
      <c r="O1792" s="8" t="s">
        <v>1100</v>
      </c>
      <c r="P1792" s="6" t="s">
        <v>51</v>
      </c>
      <c r="Q1792" s="8" t="s">
        <v>265</v>
      </c>
      <c r="R1792" s="10" t="s">
        <v>1138</v>
      </c>
      <c r="S1792" s="11" t="s">
        <v>1139</v>
      </c>
      <c r="T1792" s="6" t="s">
        <v>97</v>
      </c>
      <c r="U1792" s="15" t="str">
        <f>HYPERLINK("https://media.infra-m.ru/2258/2258020/cover/2258020.jpg", "Обложка")</f>
        <v>Обложка</v>
      </c>
      <c r="V1792" s="8" t="s">
        <v>1030</v>
      </c>
      <c r="W1792" s="6"/>
      <c r="X1792" s="6"/>
      <c r="Y1792" s="6"/>
      <c r="Z1792" s="6" t="s">
        <v>882</v>
      </c>
      <c r="AA1792" s="6" t="s">
        <v>115</v>
      </c>
      <c r="AB1792" s="8" t="s">
        <v>493</v>
      </c>
      <c r="AC1792" s="27">
        <v>9785160139142</v>
      </c>
    </row>
    <row r="1793" spans="1:29" s="4" customFormat="1" ht="51.9" customHeight="1" x14ac:dyDescent="0.2">
      <c r="A1793" s="5">
        <v>0</v>
      </c>
      <c r="B1793" s="6" t="s">
        <v>10868</v>
      </c>
      <c r="C1793" s="7">
        <v>1656</v>
      </c>
      <c r="D1793" s="8" t="s">
        <v>10869</v>
      </c>
      <c r="E1793" s="8" t="s">
        <v>10860</v>
      </c>
      <c r="F1793" s="8" t="s">
        <v>10684</v>
      </c>
      <c r="G1793" s="6" t="s">
        <v>118</v>
      </c>
      <c r="H1793" s="6" t="s">
        <v>34</v>
      </c>
      <c r="I1793" s="8" t="s">
        <v>253</v>
      </c>
      <c r="J1793" s="9">
        <v>1</v>
      </c>
      <c r="K1793" s="9">
        <v>237</v>
      </c>
      <c r="L1793" s="9">
        <v>2027</v>
      </c>
      <c r="M1793" s="8" t="s">
        <v>10870</v>
      </c>
      <c r="N1793" s="8" t="s">
        <v>243</v>
      </c>
      <c r="O1793" s="8" t="s">
        <v>1100</v>
      </c>
      <c r="P1793" s="6" t="s">
        <v>51</v>
      </c>
      <c r="Q1793" s="8" t="s">
        <v>65</v>
      </c>
      <c r="R1793" s="10" t="s">
        <v>5837</v>
      </c>
      <c r="S1793" s="11" t="s">
        <v>10871</v>
      </c>
      <c r="T1793" s="6" t="s">
        <v>97</v>
      </c>
      <c r="U1793" s="15" t="str">
        <f>HYPERLINK("https://media.infra-m.ru/2268/2268074/cover/2268074.jpg", "Обложка")</f>
        <v>Обложка</v>
      </c>
      <c r="V1793" s="8" t="s">
        <v>1030</v>
      </c>
      <c r="W1793" s="6"/>
      <c r="X1793" s="6"/>
      <c r="Y1793" s="6"/>
      <c r="Z1793" s="6"/>
      <c r="AA1793" s="6" t="s">
        <v>779</v>
      </c>
      <c r="AB1793" s="8"/>
      <c r="AC1793" s="27">
        <v>9785160187730</v>
      </c>
    </row>
    <row r="1794" spans="1:29" s="4" customFormat="1" ht="51.9" customHeight="1" x14ac:dyDescent="0.2">
      <c r="A1794" s="5">
        <v>0</v>
      </c>
      <c r="B1794" s="6" t="s">
        <v>10872</v>
      </c>
      <c r="C1794" s="7">
        <v>2184</v>
      </c>
      <c r="D1794" s="8" t="s">
        <v>10873</v>
      </c>
      <c r="E1794" s="8" t="s">
        <v>10874</v>
      </c>
      <c r="F1794" s="8" t="s">
        <v>10875</v>
      </c>
      <c r="G1794" s="6" t="s">
        <v>118</v>
      </c>
      <c r="H1794" s="6" t="s">
        <v>34</v>
      </c>
      <c r="I1794" s="8" t="s">
        <v>253</v>
      </c>
      <c r="J1794" s="9">
        <v>1</v>
      </c>
      <c r="K1794" s="9">
        <v>343</v>
      </c>
      <c r="L1794" s="9">
        <v>2026</v>
      </c>
      <c r="M1794" s="8" t="s">
        <v>10876</v>
      </c>
      <c r="N1794" s="8" t="s">
        <v>243</v>
      </c>
      <c r="O1794" s="8" t="s">
        <v>798</v>
      </c>
      <c r="P1794" s="6" t="s">
        <v>51</v>
      </c>
      <c r="Q1794" s="8" t="s">
        <v>52</v>
      </c>
      <c r="R1794" s="10" t="s">
        <v>10877</v>
      </c>
      <c r="S1794" s="11" t="s">
        <v>10878</v>
      </c>
      <c r="T1794" s="6" t="s">
        <v>97</v>
      </c>
      <c r="U1794" s="15" t="str">
        <f>HYPERLINK("https://media.infra-m.ru/2213/2213682/cover/2213682.jpg", "Обложка")</f>
        <v>Обложка</v>
      </c>
      <c r="V1794" s="8" t="s">
        <v>809</v>
      </c>
      <c r="W1794" s="6"/>
      <c r="X1794" s="6"/>
      <c r="Y1794" s="6"/>
      <c r="Z1794" s="6"/>
      <c r="AA1794" s="6" t="s">
        <v>99</v>
      </c>
      <c r="AB1794" s="8"/>
      <c r="AC1794" s="27">
        <v>9785160211121</v>
      </c>
    </row>
    <row r="1795" spans="1:29" s="4" customFormat="1" ht="44.1" customHeight="1" x14ac:dyDescent="0.2">
      <c r="A1795" s="5">
        <v>0</v>
      </c>
      <c r="B1795" s="6" t="s">
        <v>10879</v>
      </c>
      <c r="C1795" s="7">
        <v>1904.4</v>
      </c>
      <c r="D1795" s="8" t="s">
        <v>10880</v>
      </c>
      <c r="E1795" s="8" t="s">
        <v>10881</v>
      </c>
      <c r="F1795" s="8" t="s">
        <v>10882</v>
      </c>
      <c r="G1795" s="6" t="s">
        <v>118</v>
      </c>
      <c r="H1795" s="6" t="s">
        <v>34</v>
      </c>
      <c r="I1795" s="8" t="s">
        <v>35</v>
      </c>
      <c r="J1795" s="9">
        <v>1</v>
      </c>
      <c r="K1795" s="9">
        <v>222</v>
      </c>
      <c r="L1795" s="9">
        <v>2026</v>
      </c>
      <c r="M1795" s="8" t="s">
        <v>10883</v>
      </c>
      <c r="N1795" s="8" t="s">
        <v>37</v>
      </c>
      <c r="O1795" s="8" t="s">
        <v>136</v>
      </c>
      <c r="P1795" s="6" t="s">
        <v>39</v>
      </c>
      <c r="Q1795" s="8" t="s">
        <v>65</v>
      </c>
      <c r="R1795" s="10" t="s">
        <v>10884</v>
      </c>
      <c r="S1795" s="11"/>
      <c r="T1795" s="6"/>
      <c r="U1795" s="15" t="str">
        <f>HYPERLINK("https://media.infra-m.ru/2226/2226495/cover/2226495.jpg", "Обложка")</f>
        <v>Обложка</v>
      </c>
      <c r="V1795" s="8" t="s">
        <v>2602</v>
      </c>
      <c r="W1795" s="6"/>
      <c r="X1795" s="6"/>
      <c r="Y1795" s="6"/>
      <c r="Z1795" s="6"/>
      <c r="AA1795" s="6" t="s">
        <v>68</v>
      </c>
      <c r="AB1795" s="8"/>
      <c r="AC1795" s="27">
        <v>9785160206448</v>
      </c>
    </row>
    <row r="1796" spans="1:29" s="4" customFormat="1" ht="51.9" customHeight="1" x14ac:dyDescent="0.2">
      <c r="A1796" s="5">
        <v>0</v>
      </c>
      <c r="B1796" s="6" t="s">
        <v>10885</v>
      </c>
      <c r="C1796" s="13">
        <v>696</v>
      </c>
      <c r="D1796" s="8" t="s">
        <v>10886</v>
      </c>
      <c r="E1796" s="8" t="s">
        <v>10887</v>
      </c>
      <c r="F1796" s="8" t="s">
        <v>8555</v>
      </c>
      <c r="G1796" s="6" t="s">
        <v>60</v>
      </c>
      <c r="H1796" s="6" t="s">
        <v>34</v>
      </c>
      <c r="I1796" s="8" t="s">
        <v>271</v>
      </c>
      <c r="J1796" s="9">
        <v>1</v>
      </c>
      <c r="K1796" s="9">
        <v>203</v>
      </c>
      <c r="L1796" s="9">
        <v>2018</v>
      </c>
      <c r="M1796" s="8" t="s">
        <v>10888</v>
      </c>
      <c r="N1796" s="8" t="s">
        <v>37</v>
      </c>
      <c r="O1796" s="8" t="s">
        <v>280</v>
      </c>
      <c r="P1796" s="6" t="s">
        <v>51</v>
      </c>
      <c r="Q1796" s="8" t="s">
        <v>52</v>
      </c>
      <c r="R1796" s="10" t="s">
        <v>10889</v>
      </c>
      <c r="S1796" s="11" t="s">
        <v>10890</v>
      </c>
      <c r="T1796" s="6"/>
      <c r="U1796" s="15" t="str">
        <f>HYPERLINK("https://media.infra-m.ru/0966/0966558/cover/966558.jpg", "Обложка")</f>
        <v>Обложка</v>
      </c>
      <c r="V1796" s="8" t="s">
        <v>3735</v>
      </c>
      <c r="W1796" s="6"/>
      <c r="X1796" s="6"/>
      <c r="Y1796" s="6"/>
      <c r="Z1796" s="6"/>
      <c r="AA1796" s="6" t="s">
        <v>55</v>
      </c>
      <c r="AB1796" s="8"/>
      <c r="AC1796" s="27">
        <v>9785160066189</v>
      </c>
    </row>
    <row r="1797" spans="1:29" s="4" customFormat="1" ht="42" customHeight="1" x14ac:dyDescent="0.2">
      <c r="A1797" s="5">
        <v>0</v>
      </c>
      <c r="B1797" s="6" t="s">
        <v>10891</v>
      </c>
      <c r="C1797" s="7">
        <v>1456.8</v>
      </c>
      <c r="D1797" s="8" t="s">
        <v>10892</v>
      </c>
      <c r="E1797" s="8" t="s">
        <v>10893</v>
      </c>
      <c r="F1797" s="8" t="s">
        <v>8555</v>
      </c>
      <c r="G1797" s="6" t="s">
        <v>118</v>
      </c>
      <c r="H1797" s="6" t="s">
        <v>34</v>
      </c>
      <c r="I1797" s="8" t="s">
        <v>263</v>
      </c>
      <c r="J1797" s="9">
        <v>1</v>
      </c>
      <c r="K1797" s="9">
        <v>221</v>
      </c>
      <c r="L1797" s="9">
        <v>2026</v>
      </c>
      <c r="M1797" s="8" t="s">
        <v>10894</v>
      </c>
      <c r="N1797" s="8" t="s">
        <v>37</v>
      </c>
      <c r="O1797" s="8" t="s">
        <v>280</v>
      </c>
      <c r="P1797" s="6" t="s">
        <v>51</v>
      </c>
      <c r="Q1797" s="8" t="s">
        <v>265</v>
      </c>
      <c r="R1797" s="10" t="s">
        <v>8557</v>
      </c>
      <c r="S1797" s="11"/>
      <c r="T1797" s="6"/>
      <c r="U1797" s="15" t="str">
        <f>HYPERLINK("https://media.infra-m.ru/2230/2230648/cover/2230648.jpg", "Обложка")</f>
        <v>Обложка</v>
      </c>
      <c r="V1797" s="8" t="s">
        <v>3735</v>
      </c>
      <c r="W1797" s="6"/>
      <c r="X1797" s="6"/>
      <c r="Y1797" s="6"/>
      <c r="Z1797" s="6" t="s">
        <v>267</v>
      </c>
      <c r="AA1797" s="6" t="s">
        <v>106</v>
      </c>
      <c r="AB1797" s="8"/>
      <c r="AC1797" s="27">
        <v>9785160193762</v>
      </c>
    </row>
    <row r="1798" spans="1:29" s="4" customFormat="1" ht="51.9" customHeight="1" x14ac:dyDescent="0.2">
      <c r="A1798" s="5">
        <v>0</v>
      </c>
      <c r="B1798" s="6" t="s">
        <v>10895</v>
      </c>
      <c r="C1798" s="7">
        <v>1540.8</v>
      </c>
      <c r="D1798" s="8" t="s">
        <v>10896</v>
      </c>
      <c r="E1798" s="8" t="s">
        <v>10893</v>
      </c>
      <c r="F1798" s="8" t="s">
        <v>8555</v>
      </c>
      <c r="G1798" s="6" t="s">
        <v>118</v>
      </c>
      <c r="H1798" s="6" t="s">
        <v>34</v>
      </c>
      <c r="I1798" s="8" t="s">
        <v>271</v>
      </c>
      <c r="J1798" s="9">
        <v>1</v>
      </c>
      <c r="K1798" s="9">
        <v>221</v>
      </c>
      <c r="L1798" s="9">
        <v>2027</v>
      </c>
      <c r="M1798" s="8" t="s">
        <v>10897</v>
      </c>
      <c r="N1798" s="8" t="s">
        <v>37</v>
      </c>
      <c r="O1798" s="8" t="s">
        <v>280</v>
      </c>
      <c r="P1798" s="6" t="s">
        <v>51</v>
      </c>
      <c r="Q1798" s="8" t="s">
        <v>52</v>
      </c>
      <c r="R1798" s="10" t="s">
        <v>10889</v>
      </c>
      <c r="S1798" s="11" t="s">
        <v>10890</v>
      </c>
      <c r="T1798" s="6"/>
      <c r="U1798" s="15" t="str">
        <f>HYPERLINK("https://media.infra-m.ru/2266/2266517/cover/2266517.jpg", "Обложка")</f>
        <v>Обложка</v>
      </c>
      <c r="V1798" s="8" t="s">
        <v>3735</v>
      </c>
      <c r="W1798" s="6"/>
      <c r="X1798" s="6"/>
      <c r="Y1798" s="6"/>
      <c r="Z1798" s="6"/>
      <c r="AA1798" s="6" t="s">
        <v>2240</v>
      </c>
      <c r="AB1798" s="8"/>
      <c r="AC1798" s="27">
        <v>9785160192598</v>
      </c>
    </row>
    <row r="1799" spans="1:29" s="4" customFormat="1" ht="51.9" customHeight="1" x14ac:dyDescent="0.2">
      <c r="A1799" s="5">
        <v>0</v>
      </c>
      <c r="B1799" s="6" t="s">
        <v>10898</v>
      </c>
      <c r="C1799" s="7">
        <v>1116</v>
      </c>
      <c r="D1799" s="8" t="s">
        <v>10899</v>
      </c>
      <c r="E1799" s="8" t="s">
        <v>10887</v>
      </c>
      <c r="F1799" s="8" t="s">
        <v>8555</v>
      </c>
      <c r="G1799" s="6" t="s">
        <v>118</v>
      </c>
      <c r="H1799" s="6" t="s">
        <v>34</v>
      </c>
      <c r="I1799" s="8" t="s">
        <v>263</v>
      </c>
      <c r="J1799" s="9">
        <v>1</v>
      </c>
      <c r="K1799" s="9">
        <v>221</v>
      </c>
      <c r="L1799" s="9">
        <v>2022</v>
      </c>
      <c r="M1799" s="8" t="s">
        <v>10900</v>
      </c>
      <c r="N1799" s="8" t="s">
        <v>37</v>
      </c>
      <c r="O1799" s="8" t="s">
        <v>280</v>
      </c>
      <c r="P1799" s="6" t="s">
        <v>51</v>
      </c>
      <c r="Q1799" s="8" t="s">
        <v>265</v>
      </c>
      <c r="R1799" s="10" t="s">
        <v>8557</v>
      </c>
      <c r="S1799" s="11" t="s">
        <v>10901</v>
      </c>
      <c r="T1799" s="6"/>
      <c r="U1799" s="15" t="str">
        <f>HYPERLINK("https://media.infra-m.ru/1873/1873262/cover/1873262.jpg", "Обложка")</f>
        <v>Обложка</v>
      </c>
      <c r="V1799" s="8" t="s">
        <v>3735</v>
      </c>
      <c r="W1799" s="6"/>
      <c r="X1799" s="6"/>
      <c r="Y1799" s="6"/>
      <c r="Z1799" s="6" t="s">
        <v>267</v>
      </c>
      <c r="AA1799" s="6" t="s">
        <v>86</v>
      </c>
      <c r="AB1799" s="8"/>
      <c r="AC1799" s="27">
        <v>9785160139166</v>
      </c>
    </row>
    <row r="1800" spans="1:29" s="4" customFormat="1" ht="42" customHeight="1" x14ac:dyDescent="0.2">
      <c r="A1800" s="5">
        <v>0</v>
      </c>
      <c r="B1800" s="6" t="s">
        <v>10902</v>
      </c>
      <c r="C1800" s="7">
        <v>1516.8</v>
      </c>
      <c r="D1800" s="8" t="s">
        <v>10903</v>
      </c>
      <c r="E1800" s="8" t="s">
        <v>10904</v>
      </c>
      <c r="F1800" s="8" t="s">
        <v>10905</v>
      </c>
      <c r="G1800" s="6" t="s">
        <v>33</v>
      </c>
      <c r="H1800" s="6" t="s">
        <v>34</v>
      </c>
      <c r="I1800" s="8" t="s">
        <v>35</v>
      </c>
      <c r="J1800" s="9">
        <v>1</v>
      </c>
      <c r="K1800" s="9">
        <v>242</v>
      </c>
      <c r="L1800" s="9">
        <v>2025</v>
      </c>
      <c r="M1800" s="8" t="s">
        <v>10906</v>
      </c>
      <c r="N1800" s="8" t="s">
        <v>243</v>
      </c>
      <c r="O1800" s="8" t="s">
        <v>1100</v>
      </c>
      <c r="P1800" s="6" t="s">
        <v>39</v>
      </c>
      <c r="Q1800" s="8" t="s">
        <v>40</v>
      </c>
      <c r="R1800" s="10" t="s">
        <v>5837</v>
      </c>
      <c r="S1800" s="11"/>
      <c r="T1800" s="6"/>
      <c r="U1800" s="15" t="str">
        <f>HYPERLINK("https://media.infra-m.ru/2199/2199633/cover/2199633.jpg", "Обложка")</f>
        <v>Обложка</v>
      </c>
      <c r="V1800" s="8" t="s">
        <v>1030</v>
      </c>
      <c r="W1800" s="6"/>
      <c r="X1800" s="6"/>
      <c r="Y1800" s="6"/>
      <c r="Z1800" s="6"/>
      <c r="AA1800" s="6" t="s">
        <v>779</v>
      </c>
      <c r="AB1800" s="8"/>
      <c r="AC1800" s="27">
        <v>9785160198491</v>
      </c>
    </row>
    <row r="1801" spans="1:29" s="4" customFormat="1" ht="42" customHeight="1" x14ac:dyDescent="0.2">
      <c r="A1801" s="5">
        <v>0</v>
      </c>
      <c r="B1801" s="6" t="s">
        <v>10907</v>
      </c>
      <c r="C1801" s="7">
        <v>1708.8</v>
      </c>
      <c r="D1801" s="8" t="s">
        <v>10908</v>
      </c>
      <c r="E1801" s="8" t="s">
        <v>10904</v>
      </c>
      <c r="F1801" s="8" t="s">
        <v>10905</v>
      </c>
      <c r="G1801" s="6" t="s">
        <v>118</v>
      </c>
      <c r="H1801" s="6" t="s">
        <v>34</v>
      </c>
      <c r="I1801" s="8" t="s">
        <v>35</v>
      </c>
      <c r="J1801" s="9">
        <v>1</v>
      </c>
      <c r="K1801" s="9">
        <v>242</v>
      </c>
      <c r="L1801" s="9">
        <v>2026</v>
      </c>
      <c r="M1801" s="8" t="s">
        <v>10906</v>
      </c>
      <c r="N1801" s="8" t="s">
        <v>243</v>
      </c>
      <c r="O1801" s="8" t="s">
        <v>1100</v>
      </c>
      <c r="P1801" s="6" t="s">
        <v>39</v>
      </c>
      <c r="Q1801" s="8" t="s">
        <v>40</v>
      </c>
      <c r="R1801" s="10" t="s">
        <v>5837</v>
      </c>
      <c r="S1801" s="11"/>
      <c r="T1801" s="6"/>
      <c r="U1801" s="15" t="str">
        <f>HYPERLINK("https://media.infra-m.ru/2228/2228944/cover/2228944.jpg", "Обложка")</f>
        <v>Обложка</v>
      </c>
      <c r="V1801" s="8" t="s">
        <v>1030</v>
      </c>
      <c r="W1801" s="6"/>
      <c r="X1801" s="6"/>
      <c r="Y1801" s="6"/>
      <c r="Z1801" s="6"/>
      <c r="AA1801" s="6" t="s">
        <v>779</v>
      </c>
      <c r="AB1801" s="8"/>
      <c r="AC1801" s="27">
        <v>9785160198491</v>
      </c>
    </row>
    <row r="1802" spans="1:29" s="4" customFormat="1" ht="42" customHeight="1" x14ac:dyDescent="0.2">
      <c r="A1802" s="5">
        <v>0</v>
      </c>
      <c r="B1802" s="6" t="s">
        <v>10909</v>
      </c>
      <c r="C1802" s="7">
        <v>1672.8</v>
      </c>
      <c r="D1802" s="8" t="s">
        <v>10910</v>
      </c>
      <c r="E1802" s="8" t="s">
        <v>10911</v>
      </c>
      <c r="F1802" s="8" t="s">
        <v>463</v>
      </c>
      <c r="G1802" s="6" t="s">
        <v>33</v>
      </c>
      <c r="H1802" s="6" t="s">
        <v>34</v>
      </c>
      <c r="I1802" s="8" t="s">
        <v>35</v>
      </c>
      <c r="J1802" s="9">
        <v>1</v>
      </c>
      <c r="K1802" s="9">
        <v>240</v>
      </c>
      <c r="L1802" s="9">
        <v>2026</v>
      </c>
      <c r="M1802" s="8" t="s">
        <v>10912</v>
      </c>
      <c r="N1802" s="8" t="s">
        <v>63</v>
      </c>
      <c r="O1802" s="8" t="s">
        <v>126</v>
      </c>
      <c r="P1802" s="6" t="s">
        <v>39</v>
      </c>
      <c r="Q1802" s="8" t="s">
        <v>40</v>
      </c>
      <c r="R1802" s="10" t="s">
        <v>10423</v>
      </c>
      <c r="S1802" s="11"/>
      <c r="T1802" s="6"/>
      <c r="U1802" s="15" t="str">
        <f>HYPERLINK("https://media.infra-m.ru/2261/2261993/cover/2261993.jpg", "Обложка")</f>
        <v>Обложка</v>
      </c>
      <c r="V1802" s="8" t="s">
        <v>466</v>
      </c>
      <c r="W1802" s="6"/>
      <c r="X1802" s="6"/>
      <c r="Y1802" s="6"/>
      <c r="Z1802" s="6"/>
      <c r="AA1802" s="6" t="s">
        <v>148</v>
      </c>
      <c r="AB1802" s="8"/>
      <c r="AC1802" s="27">
        <v>9785160171982</v>
      </c>
    </row>
    <row r="1803" spans="1:29" s="4" customFormat="1" ht="44.1" customHeight="1" x14ac:dyDescent="0.2">
      <c r="A1803" s="5">
        <v>0</v>
      </c>
      <c r="B1803" s="6" t="s">
        <v>10913</v>
      </c>
      <c r="C1803" s="7">
        <v>1780.8</v>
      </c>
      <c r="D1803" s="8" t="s">
        <v>10914</v>
      </c>
      <c r="E1803" s="8" t="s">
        <v>10915</v>
      </c>
      <c r="F1803" s="8" t="s">
        <v>10916</v>
      </c>
      <c r="G1803" s="6" t="s">
        <v>60</v>
      </c>
      <c r="H1803" s="6" t="s">
        <v>34</v>
      </c>
      <c r="I1803" s="8" t="s">
        <v>35</v>
      </c>
      <c r="J1803" s="9">
        <v>1</v>
      </c>
      <c r="K1803" s="9">
        <v>225</v>
      </c>
      <c r="L1803" s="9">
        <v>2027</v>
      </c>
      <c r="M1803" s="8" t="s">
        <v>10917</v>
      </c>
      <c r="N1803" s="8" t="s">
        <v>37</v>
      </c>
      <c r="O1803" s="8" t="s">
        <v>136</v>
      </c>
      <c r="P1803" s="6" t="s">
        <v>39</v>
      </c>
      <c r="Q1803" s="8" t="s">
        <v>40</v>
      </c>
      <c r="R1803" s="10" t="s">
        <v>9251</v>
      </c>
      <c r="S1803" s="11"/>
      <c r="T1803" s="6"/>
      <c r="U1803" s="15" t="str">
        <f>HYPERLINK("https://media.infra-m.ru/2262/2262868/cover/2262868.jpg", "Обложка")</f>
        <v>Обложка</v>
      </c>
      <c r="V1803" s="8" t="s">
        <v>3636</v>
      </c>
      <c r="W1803" s="6"/>
      <c r="X1803" s="6"/>
      <c r="Y1803" s="6"/>
      <c r="Z1803" s="6"/>
      <c r="AA1803" s="6" t="s">
        <v>157</v>
      </c>
      <c r="AB1803" s="8"/>
      <c r="AC1803" s="27">
        <v>9785160185361</v>
      </c>
    </row>
    <row r="1804" spans="1:29" s="4" customFormat="1" ht="51.9" customHeight="1" x14ac:dyDescent="0.2">
      <c r="A1804" s="5">
        <v>0</v>
      </c>
      <c r="B1804" s="6" t="s">
        <v>10918</v>
      </c>
      <c r="C1804" s="7">
        <v>1788</v>
      </c>
      <c r="D1804" s="8" t="s">
        <v>10919</v>
      </c>
      <c r="E1804" s="8" t="s">
        <v>10920</v>
      </c>
      <c r="F1804" s="8" t="s">
        <v>10921</v>
      </c>
      <c r="G1804" s="6" t="s">
        <v>60</v>
      </c>
      <c r="H1804" s="6" t="s">
        <v>34</v>
      </c>
      <c r="I1804" s="8" t="s">
        <v>35</v>
      </c>
      <c r="J1804" s="9">
        <v>1</v>
      </c>
      <c r="K1804" s="9">
        <v>246</v>
      </c>
      <c r="L1804" s="9">
        <v>2027</v>
      </c>
      <c r="M1804" s="8" t="s">
        <v>10922</v>
      </c>
      <c r="N1804" s="8" t="s">
        <v>37</v>
      </c>
      <c r="O1804" s="8" t="s">
        <v>136</v>
      </c>
      <c r="P1804" s="6" t="s">
        <v>39</v>
      </c>
      <c r="Q1804" s="8" t="s">
        <v>40</v>
      </c>
      <c r="R1804" s="10" t="s">
        <v>10923</v>
      </c>
      <c r="S1804" s="11"/>
      <c r="T1804" s="6"/>
      <c r="U1804" s="15" t="str">
        <f>HYPERLINK("https://media.infra-m.ru/2228/2228547/cover/2228547.jpg", "Обложка")</f>
        <v>Обложка</v>
      </c>
      <c r="V1804" s="8" t="s">
        <v>3087</v>
      </c>
      <c r="W1804" s="6" t="s">
        <v>2115</v>
      </c>
      <c r="X1804" s="6"/>
      <c r="Y1804" s="6"/>
      <c r="Z1804" s="6"/>
      <c r="AA1804" s="6" t="s">
        <v>420</v>
      </c>
      <c r="AB1804" s="8" t="s">
        <v>308</v>
      </c>
      <c r="AC1804" s="27">
        <v>9785160215167</v>
      </c>
    </row>
    <row r="1805" spans="1:29" s="4" customFormat="1" ht="51.9" customHeight="1" x14ac:dyDescent="0.2">
      <c r="A1805" s="5">
        <v>0</v>
      </c>
      <c r="B1805" s="6" t="s">
        <v>10924</v>
      </c>
      <c r="C1805" s="13">
        <v>960</v>
      </c>
      <c r="D1805" s="8" t="s">
        <v>10925</v>
      </c>
      <c r="E1805" s="8" t="s">
        <v>10926</v>
      </c>
      <c r="F1805" s="8" t="s">
        <v>10927</v>
      </c>
      <c r="G1805" s="6" t="s">
        <v>33</v>
      </c>
      <c r="H1805" s="6" t="s">
        <v>34</v>
      </c>
      <c r="I1805" s="8" t="s">
        <v>35</v>
      </c>
      <c r="J1805" s="9">
        <v>1</v>
      </c>
      <c r="K1805" s="9">
        <v>141</v>
      </c>
      <c r="L1805" s="9">
        <v>2025</v>
      </c>
      <c r="M1805" s="8" t="s">
        <v>10928</v>
      </c>
      <c r="N1805" s="8" t="s">
        <v>37</v>
      </c>
      <c r="O1805" s="8" t="s">
        <v>136</v>
      </c>
      <c r="P1805" s="6" t="s">
        <v>39</v>
      </c>
      <c r="Q1805" s="8" t="s">
        <v>40</v>
      </c>
      <c r="R1805" s="10" t="s">
        <v>10929</v>
      </c>
      <c r="S1805" s="11"/>
      <c r="T1805" s="6"/>
      <c r="U1805" s="15" t="str">
        <f>HYPERLINK("https://media.infra-m.ru/2188/2188423/cover/2188423.jpg", "Обложка")</f>
        <v>Обложка</v>
      </c>
      <c r="V1805" s="8" t="s">
        <v>10930</v>
      </c>
      <c r="W1805" s="6"/>
      <c r="X1805" s="6"/>
      <c r="Y1805" s="6"/>
      <c r="Z1805" s="6"/>
      <c r="AA1805" s="6" t="s">
        <v>68</v>
      </c>
      <c r="AB1805" s="8"/>
      <c r="AC1805" s="27">
        <v>9785160207032</v>
      </c>
    </row>
    <row r="1806" spans="1:29" s="4" customFormat="1" ht="51.9" customHeight="1" x14ac:dyDescent="0.2">
      <c r="A1806" s="5">
        <v>0</v>
      </c>
      <c r="B1806" s="6" t="s">
        <v>10931</v>
      </c>
      <c r="C1806" s="7">
        <v>1240.8</v>
      </c>
      <c r="D1806" s="8" t="s">
        <v>10932</v>
      </c>
      <c r="E1806" s="8" t="s">
        <v>10933</v>
      </c>
      <c r="F1806" s="8" t="s">
        <v>10934</v>
      </c>
      <c r="G1806" s="6" t="s">
        <v>33</v>
      </c>
      <c r="H1806" s="6" t="s">
        <v>134</v>
      </c>
      <c r="I1806" s="8"/>
      <c r="J1806" s="9">
        <v>1</v>
      </c>
      <c r="K1806" s="9">
        <v>176</v>
      </c>
      <c r="L1806" s="9">
        <v>2027</v>
      </c>
      <c r="M1806" s="8" t="s">
        <v>10935</v>
      </c>
      <c r="N1806" s="8" t="s">
        <v>37</v>
      </c>
      <c r="O1806" s="8" t="s">
        <v>136</v>
      </c>
      <c r="P1806" s="6" t="s">
        <v>51</v>
      </c>
      <c r="Q1806" s="8" t="s">
        <v>52</v>
      </c>
      <c r="R1806" s="10" t="s">
        <v>10936</v>
      </c>
      <c r="S1806" s="11" t="s">
        <v>10937</v>
      </c>
      <c r="T1806" s="6"/>
      <c r="U1806" s="15" t="str">
        <f>HYPERLINK("https://media.infra-m.ru/2263/2263213/cover/2263213.jpg", "Обложка")</f>
        <v>Обложка</v>
      </c>
      <c r="V1806" s="8" t="s">
        <v>10938</v>
      </c>
      <c r="W1806" s="6"/>
      <c r="X1806" s="6"/>
      <c r="Y1806" s="6"/>
      <c r="Z1806" s="6"/>
      <c r="AA1806" s="6" t="s">
        <v>274</v>
      </c>
      <c r="AB1806" s="8"/>
      <c r="AC1806" s="27">
        <v>9785917686431</v>
      </c>
    </row>
    <row r="1807" spans="1:29" s="4" customFormat="1" ht="44.1" customHeight="1" x14ac:dyDescent="0.2">
      <c r="A1807" s="5">
        <v>0</v>
      </c>
      <c r="B1807" s="6" t="s">
        <v>10939</v>
      </c>
      <c r="C1807" s="7">
        <v>2632.8</v>
      </c>
      <c r="D1807" s="8" t="s">
        <v>10940</v>
      </c>
      <c r="E1807" s="8" t="s">
        <v>10941</v>
      </c>
      <c r="F1807" s="8" t="s">
        <v>10942</v>
      </c>
      <c r="G1807" s="6" t="s">
        <v>60</v>
      </c>
      <c r="H1807" s="6" t="s">
        <v>5605</v>
      </c>
      <c r="I1807" s="8"/>
      <c r="J1807" s="9">
        <v>1</v>
      </c>
      <c r="K1807" s="9">
        <v>378</v>
      </c>
      <c r="L1807" s="9">
        <v>2027</v>
      </c>
      <c r="M1807" s="8" t="s">
        <v>10943</v>
      </c>
      <c r="N1807" s="8" t="s">
        <v>63</v>
      </c>
      <c r="O1807" s="8" t="s">
        <v>64</v>
      </c>
      <c r="P1807" s="6" t="s">
        <v>39</v>
      </c>
      <c r="Q1807" s="8" t="s">
        <v>40</v>
      </c>
      <c r="R1807" s="10" t="s">
        <v>10944</v>
      </c>
      <c r="S1807" s="11"/>
      <c r="T1807" s="6"/>
      <c r="U1807" s="15" t="str">
        <f>HYPERLINK("https://media.infra-m.ru/2264/2264694/cover/2264694.jpg", "Обложка")</f>
        <v>Обложка</v>
      </c>
      <c r="V1807" s="8" t="s">
        <v>3087</v>
      </c>
      <c r="W1807" s="6"/>
      <c r="X1807" s="6"/>
      <c r="Y1807" s="6"/>
      <c r="Z1807" s="6"/>
      <c r="AA1807" s="6" t="s">
        <v>129</v>
      </c>
      <c r="AB1807" s="8"/>
      <c r="AC1807" s="27">
        <v>9785160042022</v>
      </c>
    </row>
    <row r="1808" spans="1:29" s="4" customFormat="1" ht="51.9" customHeight="1" x14ac:dyDescent="0.2">
      <c r="A1808" s="5">
        <v>0</v>
      </c>
      <c r="B1808" s="6" t="s">
        <v>10945</v>
      </c>
      <c r="C1808" s="7">
        <v>1908</v>
      </c>
      <c r="D1808" s="8" t="s">
        <v>10946</v>
      </c>
      <c r="E1808" s="8" t="s">
        <v>10947</v>
      </c>
      <c r="F1808" s="8" t="s">
        <v>10948</v>
      </c>
      <c r="G1808" s="6" t="s">
        <v>33</v>
      </c>
      <c r="H1808" s="6" t="s">
        <v>34</v>
      </c>
      <c r="I1808" s="8" t="s">
        <v>35</v>
      </c>
      <c r="J1808" s="9">
        <v>1</v>
      </c>
      <c r="K1808" s="9">
        <v>358</v>
      </c>
      <c r="L1808" s="9">
        <v>2023</v>
      </c>
      <c r="M1808" s="8" t="s">
        <v>10949</v>
      </c>
      <c r="N1808" s="8" t="s">
        <v>37</v>
      </c>
      <c r="O1808" s="8" t="s">
        <v>50</v>
      </c>
      <c r="P1808" s="6" t="s">
        <v>39</v>
      </c>
      <c r="Q1808" s="8" t="s">
        <v>40</v>
      </c>
      <c r="R1808" s="10" t="s">
        <v>10950</v>
      </c>
      <c r="S1808" s="11"/>
      <c r="T1808" s="6"/>
      <c r="U1808" s="15" t="str">
        <f>HYPERLINK("https://media.infra-m.ru/1868/1868918/cover/1868918.jpg", "Обложка")</f>
        <v>Обложка</v>
      </c>
      <c r="V1808" s="8" t="s">
        <v>10951</v>
      </c>
      <c r="W1808" s="6"/>
      <c r="X1808" s="6"/>
      <c r="Y1808" s="6"/>
      <c r="Z1808" s="6"/>
      <c r="AA1808" s="6" t="s">
        <v>157</v>
      </c>
      <c r="AB1808" s="8"/>
      <c r="AC1808" s="27">
        <v>9785160177014</v>
      </c>
    </row>
    <row r="1809" spans="1:29" s="4" customFormat="1" ht="51.9" customHeight="1" x14ac:dyDescent="0.2">
      <c r="A1809" s="5">
        <v>0</v>
      </c>
      <c r="B1809" s="6" t="s">
        <v>10952</v>
      </c>
      <c r="C1809" s="7">
        <v>1008</v>
      </c>
      <c r="D1809" s="8" t="s">
        <v>10953</v>
      </c>
      <c r="E1809" s="8" t="s">
        <v>10954</v>
      </c>
      <c r="F1809" s="8" t="s">
        <v>10955</v>
      </c>
      <c r="G1809" s="6" t="s">
        <v>118</v>
      </c>
      <c r="H1809" s="6" t="s">
        <v>34</v>
      </c>
      <c r="I1809" s="8" t="s">
        <v>457</v>
      </c>
      <c r="J1809" s="9">
        <v>1</v>
      </c>
      <c r="K1809" s="9">
        <v>209</v>
      </c>
      <c r="L1809" s="9">
        <v>2020</v>
      </c>
      <c r="M1809" s="8" t="s">
        <v>10956</v>
      </c>
      <c r="N1809" s="8" t="s">
        <v>37</v>
      </c>
      <c r="O1809" s="8" t="s">
        <v>233</v>
      </c>
      <c r="P1809" s="6" t="s">
        <v>39</v>
      </c>
      <c r="Q1809" s="8" t="s">
        <v>40</v>
      </c>
      <c r="R1809" s="10" t="s">
        <v>10957</v>
      </c>
      <c r="S1809" s="11"/>
      <c r="T1809" s="6"/>
      <c r="U1809" s="15" t="str">
        <f>HYPERLINK("https://media.infra-m.ru/1083/1083064/cover/1083064.jpg", "Обложка")</f>
        <v>Обложка</v>
      </c>
      <c r="V1809" s="8" t="s">
        <v>644</v>
      </c>
      <c r="W1809" s="6"/>
      <c r="X1809" s="6"/>
      <c r="Y1809" s="6"/>
      <c r="Z1809" s="6"/>
      <c r="AA1809" s="6" t="s">
        <v>115</v>
      </c>
      <c r="AB1809" s="8"/>
      <c r="AC1809" s="27">
        <v>9785160161334</v>
      </c>
    </row>
    <row r="1810" spans="1:29" s="4" customFormat="1" ht="42" customHeight="1" x14ac:dyDescent="0.2">
      <c r="A1810" s="5">
        <v>0</v>
      </c>
      <c r="B1810" s="6" t="s">
        <v>10958</v>
      </c>
      <c r="C1810" s="7">
        <v>1932</v>
      </c>
      <c r="D1810" s="8" t="s">
        <v>10959</v>
      </c>
      <c r="E1810" s="8" t="s">
        <v>10960</v>
      </c>
      <c r="F1810" s="8" t="s">
        <v>10961</v>
      </c>
      <c r="G1810" s="6" t="s">
        <v>118</v>
      </c>
      <c r="H1810" s="6" t="s">
        <v>34</v>
      </c>
      <c r="I1810" s="8" t="s">
        <v>1074</v>
      </c>
      <c r="J1810" s="9">
        <v>1</v>
      </c>
      <c r="K1810" s="9">
        <v>304</v>
      </c>
      <c r="L1810" s="9">
        <v>2026</v>
      </c>
      <c r="M1810" s="8" t="s">
        <v>10962</v>
      </c>
      <c r="N1810" s="8" t="s">
        <v>37</v>
      </c>
      <c r="O1810" s="8" t="s">
        <v>136</v>
      </c>
      <c r="P1810" s="6" t="s">
        <v>3141</v>
      </c>
      <c r="Q1810" s="8" t="s">
        <v>40</v>
      </c>
      <c r="R1810" s="10" t="s">
        <v>8485</v>
      </c>
      <c r="S1810" s="11"/>
      <c r="T1810" s="6"/>
      <c r="U1810" s="15" t="str">
        <f>HYPERLINK("https://media.infra-m.ru/2220/2220325/cover/2220325.jpg", "Обложка")</f>
        <v>Обложка</v>
      </c>
      <c r="V1810" s="8" t="s">
        <v>138</v>
      </c>
      <c r="W1810" s="6"/>
      <c r="X1810" s="6"/>
      <c r="Y1810" s="6"/>
      <c r="Z1810" s="6"/>
      <c r="AA1810" s="6" t="s">
        <v>1256</v>
      </c>
      <c r="AB1810" s="8"/>
      <c r="AC1810" s="27">
        <v>9785160160788</v>
      </c>
    </row>
    <row r="1811" spans="1:29" s="4" customFormat="1" ht="42" customHeight="1" x14ac:dyDescent="0.2">
      <c r="A1811" s="5">
        <v>0</v>
      </c>
      <c r="B1811" s="6" t="s">
        <v>10963</v>
      </c>
      <c r="C1811" s="7">
        <v>1392</v>
      </c>
      <c r="D1811" s="8" t="s">
        <v>10964</v>
      </c>
      <c r="E1811" s="8" t="s">
        <v>10965</v>
      </c>
      <c r="F1811" s="8" t="s">
        <v>10966</v>
      </c>
      <c r="G1811" s="6" t="s">
        <v>118</v>
      </c>
      <c r="H1811" s="6" t="s">
        <v>820</v>
      </c>
      <c r="I1811" s="8"/>
      <c r="J1811" s="9">
        <v>1</v>
      </c>
      <c r="K1811" s="9">
        <v>248</v>
      </c>
      <c r="L1811" s="9">
        <v>2024</v>
      </c>
      <c r="M1811" s="8" t="s">
        <v>10967</v>
      </c>
      <c r="N1811" s="8" t="s">
        <v>243</v>
      </c>
      <c r="O1811" s="8" t="s">
        <v>1100</v>
      </c>
      <c r="P1811" s="6" t="s">
        <v>306</v>
      </c>
      <c r="Q1811" s="8" t="s">
        <v>52</v>
      </c>
      <c r="R1811" s="10" t="s">
        <v>2505</v>
      </c>
      <c r="S1811" s="11"/>
      <c r="T1811" s="6"/>
      <c r="U1811" s="15" t="str">
        <f>HYPERLINK("https://media.infra-m.ru/2084/2084490/cover/2084490.jpg", "Обложка")</f>
        <v>Обложка</v>
      </c>
      <c r="V1811" s="8" t="s">
        <v>1915</v>
      </c>
      <c r="W1811" s="6"/>
      <c r="X1811" s="6"/>
      <c r="Y1811" s="6"/>
      <c r="Z1811" s="6"/>
      <c r="AA1811" s="6" t="s">
        <v>404</v>
      </c>
      <c r="AB1811" s="8"/>
      <c r="AC1811" s="27">
        <v>9785906923486</v>
      </c>
    </row>
    <row r="1812" spans="1:29" s="4" customFormat="1" ht="51.9" customHeight="1" x14ac:dyDescent="0.2">
      <c r="A1812" s="5">
        <v>0</v>
      </c>
      <c r="B1812" s="6" t="s">
        <v>10968</v>
      </c>
      <c r="C1812" s="7">
        <v>1396.8</v>
      </c>
      <c r="D1812" s="8" t="s">
        <v>10969</v>
      </c>
      <c r="E1812" s="8" t="s">
        <v>10970</v>
      </c>
      <c r="F1812" s="8" t="s">
        <v>10971</v>
      </c>
      <c r="G1812" s="6" t="s">
        <v>118</v>
      </c>
      <c r="H1812" s="6" t="s">
        <v>34</v>
      </c>
      <c r="I1812" s="8" t="s">
        <v>271</v>
      </c>
      <c r="J1812" s="9">
        <v>1</v>
      </c>
      <c r="K1812" s="9">
        <v>223</v>
      </c>
      <c r="L1812" s="9">
        <v>2025</v>
      </c>
      <c r="M1812" s="8" t="s">
        <v>10972</v>
      </c>
      <c r="N1812" s="8" t="s">
        <v>585</v>
      </c>
      <c r="O1812" s="8" t="s">
        <v>2472</v>
      </c>
      <c r="P1812" s="6" t="s">
        <v>51</v>
      </c>
      <c r="Q1812" s="8" t="s">
        <v>52</v>
      </c>
      <c r="R1812" s="10" t="s">
        <v>10973</v>
      </c>
      <c r="S1812" s="11"/>
      <c r="T1812" s="6" t="s">
        <v>97</v>
      </c>
      <c r="U1812" s="15" t="str">
        <f>HYPERLINK("https://media.infra-m.ru/2194/2194341/cover/2194341.jpg", "Обложка")</f>
        <v>Обложка</v>
      </c>
      <c r="V1812" s="8" t="s">
        <v>9584</v>
      </c>
      <c r="W1812" s="6"/>
      <c r="X1812" s="6"/>
      <c r="Y1812" s="6"/>
      <c r="Z1812" s="6"/>
      <c r="AA1812" s="6" t="s">
        <v>248</v>
      </c>
      <c r="AB1812" s="8"/>
      <c r="AC1812" s="27">
        <v>9785160062464</v>
      </c>
    </row>
    <row r="1813" spans="1:29" s="4" customFormat="1" ht="51.9" customHeight="1" x14ac:dyDescent="0.2">
      <c r="A1813" s="5">
        <v>0</v>
      </c>
      <c r="B1813" s="6" t="s">
        <v>10974</v>
      </c>
      <c r="C1813" s="7">
        <v>1236</v>
      </c>
      <c r="D1813" s="8" t="s">
        <v>10975</v>
      </c>
      <c r="E1813" s="8" t="s">
        <v>10970</v>
      </c>
      <c r="F1813" s="8" t="s">
        <v>10971</v>
      </c>
      <c r="G1813" s="6" t="s">
        <v>118</v>
      </c>
      <c r="H1813" s="6" t="s">
        <v>34</v>
      </c>
      <c r="I1813" s="8" t="s">
        <v>263</v>
      </c>
      <c r="J1813" s="9">
        <v>1</v>
      </c>
      <c r="K1813" s="9">
        <v>223</v>
      </c>
      <c r="L1813" s="9">
        <v>2024</v>
      </c>
      <c r="M1813" s="8" t="s">
        <v>10976</v>
      </c>
      <c r="N1813" s="8" t="s">
        <v>585</v>
      </c>
      <c r="O1813" s="8" t="s">
        <v>2472</v>
      </c>
      <c r="P1813" s="6" t="s">
        <v>51</v>
      </c>
      <c r="Q1813" s="8" t="s">
        <v>265</v>
      </c>
      <c r="R1813" s="10" t="s">
        <v>10977</v>
      </c>
      <c r="S1813" s="11" t="s">
        <v>10978</v>
      </c>
      <c r="T1813" s="6" t="s">
        <v>97</v>
      </c>
      <c r="U1813" s="15" t="str">
        <f>HYPERLINK("https://media.infra-m.ru/2096/2096929/cover/2096929.jpg", "Обложка")</f>
        <v>Обложка</v>
      </c>
      <c r="V1813" s="8" t="s">
        <v>9584</v>
      </c>
      <c r="W1813" s="6"/>
      <c r="X1813" s="6"/>
      <c r="Y1813" s="6"/>
      <c r="Z1813" s="6" t="s">
        <v>267</v>
      </c>
      <c r="AA1813" s="6" t="s">
        <v>86</v>
      </c>
      <c r="AB1813" s="8"/>
      <c r="AC1813" s="27">
        <v>9785160139173</v>
      </c>
    </row>
    <row r="1814" spans="1:29" s="4" customFormat="1" ht="51.9" customHeight="1" x14ac:dyDescent="0.2">
      <c r="A1814" s="5">
        <v>0</v>
      </c>
      <c r="B1814" s="6" t="s">
        <v>10979</v>
      </c>
      <c r="C1814" s="7">
        <v>1068</v>
      </c>
      <c r="D1814" s="8" t="s">
        <v>10980</v>
      </c>
      <c r="E1814" s="8" t="s">
        <v>10981</v>
      </c>
      <c r="F1814" s="8" t="s">
        <v>10982</v>
      </c>
      <c r="G1814" s="6" t="s">
        <v>33</v>
      </c>
      <c r="H1814" s="6" t="s">
        <v>34</v>
      </c>
      <c r="I1814" s="8" t="s">
        <v>253</v>
      </c>
      <c r="J1814" s="9">
        <v>1</v>
      </c>
      <c r="K1814" s="9">
        <v>154</v>
      </c>
      <c r="L1814" s="9">
        <v>2026</v>
      </c>
      <c r="M1814" s="8" t="s">
        <v>10983</v>
      </c>
      <c r="N1814" s="8" t="s">
        <v>63</v>
      </c>
      <c r="O1814" s="8" t="s">
        <v>154</v>
      </c>
      <c r="P1814" s="6" t="s">
        <v>51</v>
      </c>
      <c r="Q1814" s="8" t="s">
        <v>52</v>
      </c>
      <c r="R1814" s="10" t="s">
        <v>7394</v>
      </c>
      <c r="S1814" s="11" t="s">
        <v>10984</v>
      </c>
      <c r="T1814" s="6"/>
      <c r="U1814" s="15" t="str">
        <f>HYPERLINK("https://media.infra-m.ru/2262/2262003/cover/2262003.jpg", "Обложка")</f>
        <v>Обложка</v>
      </c>
      <c r="V1814" s="8" t="s">
        <v>10985</v>
      </c>
      <c r="W1814" s="6"/>
      <c r="X1814" s="6"/>
      <c r="Y1814" s="6"/>
      <c r="Z1814" s="6"/>
      <c r="AA1814" s="6" t="s">
        <v>623</v>
      </c>
      <c r="AB1814" s="8"/>
      <c r="AC1814" s="27">
        <v>9785160207162</v>
      </c>
    </row>
    <row r="1815" spans="1:29" s="4" customFormat="1" ht="51.9" customHeight="1" x14ac:dyDescent="0.2">
      <c r="A1815" s="5">
        <v>0</v>
      </c>
      <c r="B1815" s="6" t="s">
        <v>10986</v>
      </c>
      <c r="C1815" s="7">
        <v>1920</v>
      </c>
      <c r="D1815" s="8" t="s">
        <v>10987</v>
      </c>
      <c r="E1815" s="8" t="s">
        <v>10988</v>
      </c>
      <c r="F1815" s="8" t="s">
        <v>10989</v>
      </c>
      <c r="G1815" s="6" t="s">
        <v>60</v>
      </c>
      <c r="H1815" s="6" t="s">
        <v>34</v>
      </c>
      <c r="I1815" s="8" t="s">
        <v>35</v>
      </c>
      <c r="J1815" s="9">
        <v>1</v>
      </c>
      <c r="K1815" s="9">
        <v>302</v>
      </c>
      <c r="L1815" s="9">
        <v>2025</v>
      </c>
      <c r="M1815" s="8" t="s">
        <v>10990</v>
      </c>
      <c r="N1815" s="8" t="s">
        <v>63</v>
      </c>
      <c r="O1815" s="8" t="s">
        <v>64</v>
      </c>
      <c r="P1815" s="6" t="s">
        <v>39</v>
      </c>
      <c r="Q1815" s="8" t="s">
        <v>40</v>
      </c>
      <c r="R1815" s="10" t="s">
        <v>10991</v>
      </c>
      <c r="S1815" s="11"/>
      <c r="T1815" s="6"/>
      <c r="U1815" s="15" t="str">
        <f>HYPERLINK("https://media.infra-m.ru/2158/2158217/cover/2158217.jpg", "Обложка")</f>
        <v>Обложка</v>
      </c>
      <c r="V1815" s="8" t="s">
        <v>10992</v>
      </c>
      <c r="W1815" s="6"/>
      <c r="X1815" s="6"/>
      <c r="Y1815" s="6"/>
      <c r="Z1815" s="6"/>
      <c r="AA1815" s="6" t="s">
        <v>68</v>
      </c>
      <c r="AB1815" s="8" t="s">
        <v>10993</v>
      </c>
      <c r="AC1815" s="27">
        <v>9785160201122</v>
      </c>
    </row>
    <row r="1816" spans="1:29" s="4" customFormat="1" ht="42" customHeight="1" x14ac:dyDescent="0.2">
      <c r="A1816" s="5">
        <v>0</v>
      </c>
      <c r="B1816" s="6" t="s">
        <v>10994</v>
      </c>
      <c r="C1816" s="7">
        <v>3599.9</v>
      </c>
      <c r="D1816" s="8" t="s">
        <v>10995</v>
      </c>
      <c r="E1816" s="8" t="s">
        <v>10996</v>
      </c>
      <c r="F1816" s="8" t="s">
        <v>10997</v>
      </c>
      <c r="G1816" s="6" t="s">
        <v>60</v>
      </c>
      <c r="H1816" s="6" t="s">
        <v>10998</v>
      </c>
      <c r="I1816" s="8"/>
      <c r="J1816" s="9">
        <v>3</v>
      </c>
      <c r="K1816" s="9">
        <v>912</v>
      </c>
      <c r="L1816" s="9">
        <v>2010</v>
      </c>
      <c r="M1816" s="8" t="s">
        <v>10999</v>
      </c>
      <c r="N1816" s="8" t="s">
        <v>224</v>
      </c>
      <c r="O1816" s="8" t="s">
        <v>11000</v>
      </c>
      <c r="P1816" s="6" t="s">
        <v>10998</v>
      </c>
      <c r="Q1816" s="8" t="s">
        <v>40</v>
      </c>
      <c r="R1816" s="10"/>
      <c r="S1816" s="11"/>
      <c r="T1816" s="6"/>
      <c r="U1816" s="15" t="str">
        <f>HYPERLINK("https://media.infra-m.ru/0230/0230405/cover/230405.jpg", "Обложка")</f>
        <v>Обложка</v>
      </c>
      <c r="V1816" s="8" t="s">
        <v>11001</v>
      </c>
      <c r="W1816" s="6"/>
      <c r="X1816" s="6"/>
      <c r="Y1816" s="6"/>
      <c r="Z1816" s="6"/>
      <c r="AA1816" s="6" t="s">
        <v>1506</v>
      </c>
      <c r="AB1816" s="8"/>
      <c r="AC1816" s="27">
        <v>9785948020181</v>
      </c>
    </row>
    <row r="1817" spans="1:29" s="4" customFormat="1" ht="51.9" customHeight="1" x14ac:dyDescent="0.2">
      <c r="A1817" s="5">
        <v>0</v>
      </c>
      <c r="B1817" s="6" t="s">
        <v>11002</v>
      </c>
      <c r="C1817" s="7">
        <v>1996.8</v>
      </c>
      <c r="D1817" s="8" t="s">
        <v>11003</v>
      </c>
      <c r="E1817" s="8" t="s">
        <v>11004</v>
      </c>
      <c r="F1817" s="8" t="s">
        <v>11005</v>
      </c>
      <c r="G1817" s="6" t="s">
        <v>33</v>
      </c>
      <c r="H1817" s="6" t="s">
        <v>48</v>
      </c>
      <c r="I1817" s="8" t="s">
        <v>91</v>
      </c>
      <c r="J1817" s="9">
        <v>1</v>
      </c>
      <c r="K1817" s="9">
        <v>319</v>
      </c>
      <c r="L1817" s="9">
        <v>2026</v>
      </c>
      <c r="M1817" s="8" t="s">
        <v>11006</v>
      </c>
      <c r="N1817" s="8" t="s">
        <v>63</v>
      </c>
      <c r="O1817" s="8" t="s">
        <v>154</v>
      </c>
      <c r="P1817" s="6" t="s">
        <v>9745</v>
      </c>
      <c r="Q1817" s="8" t="s">
        <v>40</v>
      </c>
      <c r="R1817" s="10" t="s">
        <v>11007</v>
      </c>
      <c r="S1817" s="11"/>
      <c r="T1817" s="6"/>
      <c r="U1817" s="15" t="str">
        <f>HYPERLINK("https://media.infra-m.ru/2214/2214844/cover/2214844.jpg", "Обложка")</f>
        <v>Обложка</v>
      </c>
      <c r="V1817" s="8" t="s">
        <v>227</v>
      </c>
      <c r="W1817" s="6"/>
      <c r="X1817" s="6"/>
      <c r="Y1817" s="6"/>
      <c r="Z1817" s="6"/>
      <c r="AA1817" s="6" t="s">
        <v>2240</v>
      </c>
      <c r="AB1817" s="8"/>
      <c r="AC1817" s="27">
        <v>9785000916087</v>
      </c>
    </row>
    <row r="1818" spans="1:29" s="4" customFormat="1" ht="42" customHeight="1" x14ac:dyDescent="0.2">
      <c r="A1818" s="5">
        <v>0</v>
      </c>
      <c r="B1818" s="6" t="s">
        <v>11008</v>
      </c>
      <c r="C1818" s="7">
        <v>1140</v>
      </c>
      <c r="D1818" s="8" t="s">
        <v>11009</v>
      </c>
      <c r="E1818" s="8" t="s">
        <v>11010</v>
      </c>
      <c r="F1818" s="8" t="s">
        <v>11011</v>
      </c>
      <c r="G1818" s="6" t="s">
        <v>33</v>
      </c>
      <c r="H1818" s="6" t="s">
        <v>34</v>
      </c>
      <c r="I1818" s="8" t="s">
        <v>35</v>
      </c>
      <c r="J1818" s="9">
        <v>1</v>
      </c>
      <c r="K1818" s="9">
        <v>174</v>
      </c>
      <c r="L1818" s="9">
        <v>2026</v>
      </c>
      <c r="M1818" s="8" t="s">
        <v>11012</v>
      </c>
      <c r="N1818" s="8" t="s">
        <v>93</v>
      </c>
      <c r="O1818" s="8" t="s">
        <v>94</v>
      </c>
      <c r="P1818" s="6" t="s">
        <v>39</v>
      </c>
      <c r="Q1818" s="8" t="s">
        <v>40</v>
      </c>
      <c r="R1818" s="10" t="s">
        <v>594</v>
      </c>
      <c r="S1818" s="11"/>
      <c r="T1818" s="6"/>
      <c r="U1818" s="15" t="str">
        <f>HYPERLINK("https://media.infra-m.ru/2215/2215339/cover/2215339.jpg", "Обложка")</f>
        <v>Обложка</v>
      </c>
      <c r="V1818" s="8" t="s">
        <v>227</v>
      </c>
      <c r="W1818" s="6"/>
      <c r="X1818" s="6"/>
      <c r="Y1818" s="6"/>
      <c r="Z1818" s="6"/>
      <c r="AA1818" s="6" t="s">
        <v>561</v>
      </c>
      <c r="AB1818" s="8"/>
      <c r="AC1818" s="27">
        <v>9785160211947</v>
      </c>
    </row>
    <row r="1819" spans="1:29" s="4" customFormat="1" ht="51.9" customHeight="1" x14ac:dyDescent="0.2">
      <c r="A1819" s="5">
        <v>0</v>
      </c>
      <c r="B1819" s="6" t="s">
        <v>11013</v>
      </c>
      <c r="C1819" s="13">
        <v>984</v>
      </c>
      <c r="D1819" s="8" t="s">
        <v>11014</v>
      </c>
      <c r="E1819" s="8" t="s">
        <v>11015</v>
      </c>
      <c r="F1819" s="8" t="s">
        <v>11016</v>
      </c>
      <c r="G1819" s="6" t="s">
        <v>118</v>
      </c>
      <c r="H1819" s="6" t="s">
        <v>34</v>
      </c>
      <c r="I1819" s="8" t="s">
        <v>91</v>
      </c>
      <c r="J1819" s="9">
        <v>1</v>
      </c>
      <c r="K1819" s="9">
        <v>148</v>
      </c>
      <c r="L1819" s="9">
        <v>2026</v>
      </c>
      <c r="M1819" s="8" t="s">
        <v>11017</v>
      </c>
      <c r="N1819" s="8" t="s">
        <v>93</v>
      </c>
      <c r="O1819" s="8" t="s">
        <v>94</v>
      </c>
      <c r="P1819" s="6" t="s">
        <v>105</v>
      </c>
      <c r="Q1819" s="8" t="s">
        <v>40</v>
      </c>
      <c r="R1819" s="10" t="s">
        <v>11018</v>
      </c>
      <c r="S1819" s="11"/>
      <c r="T1819" s="6"/>
      <c r="U1819" s="15" t="str">
        <f>HYPERLINK("https://media.infra-m.ru/2211/2211937/cover/2211937.jpg", "Обложка")</f>
        <v>Обложка</v>
      </c>
      <c r="V1819" s="8" t="s">
        <v>6474</v>
      </c>
      <c r="W1819" s="6"/>
      <c r="X1819" s="6"/>
      <c r="Y1819" s="6"/>
      <c r="Z1819" s="6"/>
      <c r="AA1819" s="6" t="s">
        <v>115</v>
      </c>
      <c r="AB1819" s="8"/>
      <c r="AC1819" s="27">
        <v>9785160144450</v>
      </c>
    </row>
    <row r="1820" spans="1:29" s="4" customFormat="1" ht="42" customHeight="1" x14ac:dyDescent="0.2">
      <c r="A1820" s="5">
        <v>0</v>
      </c>
      <c r="B1820" s="6" t="s">
        <v>11019</v>
      </c>
      <c r="C1820" s="7">
        <v>1408.8</v>
      </c>
      <c r="D1820" s="8" t="s">
        <v>11020</v>
      </c>
      <c r="E1820" s="8" t="s">
        <v>11021</v>
      </c>
      <c r="F1820" s="8" t="s">
        <v>11022</v>
      </c>
      <c r="G1820" s="6" t="s">
        <v>60</v>
      </c>
      <c r="H1820" s="6" t="s">
        <v>34</v>
      </c>
      <c r="I1820" s="8" t="s">
        <v>35</v>
      </c>
      <c r="J1820" s="9">
        <v>1</v>
      </c>
      <c r="K1820" s="9">
        <v>203</v>
      </c>
      <c r="L1820" s="9">
        <v>2027</v>
      </c>
      <c r="M1820" s="8" t="s">
        <v>11023</v>
      </c>
      <c r="N1820" s="8" t="s">
        <v>93</v>
      </c>
      <c r="O1820" s="8" t="s">
        <v>94</v>
      </c>
      <c r="P1820" s="6" t="s">
        <v>39</v>
      </c>
      <c r="Q1820" s="8" t="s">
        <v>40</v>
      </c>
      <c r="R1820" s="10" t="s">
        <v>11024</v>
      </c>
      <c r="S1820" s="11"/>
      <c r="T1820" s="6"/>
      <c r="U1820" s="15" t="str">
        <f>HYPERLINK("https://media.infra-m.ru/2272/2272544/cover/2272544.jpg", "Обложка")</f>
        <v>Обложка</v>
      </c>
      <c r="V1820" s="8" t="s">
        <v>631</v>
      </c>
      <c r="W1820" s="6"/>
      <c r="X1820" s="6"/>
      <c r="Y1820" s="6"/>
      <c r="Z1820" s="6"/>
      <c r="AA1820" s="6" t="s">
        <v>76</v>
      </c>
      <c r="AB1820" s="8"/>
      <c r="AC1820" s="27">
        <v>9785160189369</v>
      </c>
    </row>
    <row r="1821" spans="1:29" s="4" customFormat="1" ht="51.9" customHeight="1" x14ac:dyDescent="0.2">
      <c r="A1821" s="5">
        <v>0</v>
      </c>
      <c r="B1821" s="6" t="s">
        <v>11025</v>
      </c>
      <c r="C1821" s="13">
        <v>664.8</v>
      </c>
      <c r="D1821" s="8" t="s">
        <v>11026</v>
      </c>
      <c r="E1821" s="8" t="s">
        <v>11027</v>
      </c>
      <c r="F1821" s="8" t="s">
        <v>11028</v>
      </c>
      <c r="G1821" s="6" t="s">
        <v>33</v>
      </c>
      <c r="H1821" s="6" t="s">
        <v>34</v>
      </c>
      <c r="I1821" s="8" t="s">
        <v>253</v>
      </c>
      <c r="J1821" s="9">
        <v>1</v>
      </c>
      <c r="K1821" s="9">
        <v>83</v>
      </c>
      <c r="L1821" s="9">
        <v>2027</v>
      </c>
      <c r="M1821" s="8" t="s">
        <v>11029</v>
      </c>
      <c r="N1821" s="8" t="s">
        <v>93</v>
      </c>
      <c r="O1821" s="8" t="s">
        <v>94</v>
      </c>
      <c r="P1821" s="6" t="s">
        <v>51</v>
      </c>
      <c r="Q1821" s="8" t="s">
        <v>52</v>
      </c>
      <c r="R1821" s="10" t="s">
        <v>9419</v>
      </c>
      <c r="S1821" s="11" t="s">
        <v>11030</v>
      </c>
      <c r="T1821" s="6" t="s">
        <v>97</v>
      </c>
      <c r="U1821" s="15" t="str">
        <f>HYPERLINK("https://media.infra-m.ru/2265/2265562/cover/2265562.jpg", "Обложка")</f>
        <v>Обложка</v>
      </c>
      <c r="V1821" s="8" t="s">
        <v>1599</v>
      </c>
      <c r="W1821" s="6"/>
      <c r="X1821" s="6"/>
      <c r="Y1821" s="6"/>
      <c r="Z1821" s="6"/>
      <c r="AA1821" s="6" t="s">
        <v>115</v>
      </c>
      <c r="AB1821" s="8"/>
      <c r="AC1821" s="27">
        <v>9785160191751</v>
      </c>
    </row>
    <row r="1822" spans="1:29" s="4" customFormat="1" ht="51.9" customHeight="1" x14ac:dyDescent="0.2">
      <c r="A1822" s="5">
        <v>0</v>
      </c>
      <c r="B1822" s="6" t="s">
        <v>11031</v>
      </c>
      <c r="C1822" s="13">
        <v>588</v>
      </c>
      <c r="D1822" s="8" t="s">
        <v>11032</v>
      </c>
      <c r="E1822" s="8" t="s">
        <v>11027</v>
      </c>
      <c r="F1822" s="8" t="s">
        <v>11028</v>
      </c>
      <c r="G1822" s="6" t="s">
        <v>33</v>
      </c>
      <c r="H1822" s="6" t="s">
        <v>34</v>
      </c>
      <c r="I1822" s="8" t="s">
        <v>263</v>
      </c>
      <c r="J1822" s="9">
        <v>1</v>
      </c>
      <c r="K1822" s="9">
        <v>83</v>
      </c>
      <c r="L1822" s="9">
        <v>2026</v>
      </c>
      <c r="M1822" s="8" t="s">
        <v>11033</v>
      </c>
      <c r="N1822" s="8" t="s">
        <v>93</v>
      </c>
      <c r="O1822" s="8" t="s">
        <v>94</v>
      </c>
      <c r="P1822" s="6" t="s">
        <v>51</v>
      </c>
      <c r="Q1822" s="8" t="s">
        <v>265</v>
      </c>
      <c r="R1822" s="10" t="s">
        <v>11034</v>
      </c>
      <c r="S1822" s="11" t="s">
        <v>11035</v>
      </c>
      <c r="T1822" s="6" t="s">
        <v>97</v>
      </c>
      <c r="U1822" s="15" t="str">
        <f>HYPERLINK("https://media.infra-m.ru/2230/2230636/cover/2230636.jpg", "Обложка")</f>
        <v>Обложка</v>
      </c>
      <c r="V1822" s="8" t="s">
        <v>1599</v>
      </c>
      <c r="W1822" s="6"/>
      <c r="X1822" s="6"/>
      <c r="Y1822" s="6"/>
      <c r="Z1822" s="6" t="s">
        <v>267</v>
      </c>
      <c r="AA1822" s="6" t="s">
        <v>430</v>
      </c>
      <c r="AB1822" s="8"/>
      <c r="AC1822" s="27">
        <v>9785160159515</v>
      </c>
    </row>
    <row r="1823" spans="1:29" s="4" customFormat="1" ht="51.9" customHeight="1" x14ac:dyDescent="0.2">
      <c r="A1823" s="5">
        <v>0</v>
      </c>
      <c r="B1823" s="6" t="s">
        <v>11036</v>
      </c>
      <c r="C1823" s="7">
        <v>1288.8</v>
      </c>
      <c r="D1823" s="8" t="s">
        <v>11037</v>
      </c>
      <c r="E1823" s="8" t="s">
        <v>11038</v>
      </c>
      <c r="F1823" s="8" t="s">
        <v>11039</v>
      </c>
      <c r="G1823" s="6" t="s">
        <v>118</v>
      </c>
      <c r="H1823" s="6" t="s">
        <v>34</v>
      </c>
      <c r="I1823" s="8" t="s">
        <v>2025</v>
      </c>
      <c r="J1823" s="9">
        <v>1</v>
      </c>
      <c r="K1823" s="9">
        <v>195</v>
      </c>
      <c r="L1823" s="9">
        <v>2026</v>
      </c>
      <c r="M1823" s="8" t="s">
        <v>11040</v>
      </c>
      <c r="N1823" s="8" t="s">
        <v>585</v>
      </c>
      <c r="O1823" s="8" t="s">
        <v>586</v>
      </c>
      <c r="P1823" s="6" t="s">
        <v>51</v>
      </c>
      <c r="Q1823" s="8" t="s">
        <v>52</v>
      </c>
      <c r="R1823" s="10" t="s">
        <v>3008</v>
      </c>
      <c r="S1823" s="11" t="s">
        <v>11041</v>
      </c>
      <c r="T1823" s="6"/>
      <c r="U1823" s="15" t="str">
        <f>HYPERLINK("https://media.infra-m.ru/2231/2231474/cover/2231474.jpg", "Обложка")</f>
        <v>Обложка</v>
      </c>
      <c r="V1823" s="8" t="s">
        <v>247</v>
      </c>
      <c r="W1823" s="6"/>
      <c r="X1823" s="6"/>
      <c r="Y1823" s="6"/>
      <c r="Z1823" s="6"/>
      <c r="AA1823" s="6" t="s">
        <v>115</v>
      </c>
      <c r="AB1823" s="8"/>
      <c r="AC1823" s="27">
        <v>9785160150079</v>
      </c>
    </row>
    <row r="1824" spans="1:29" s="4" customFormat="1" ht="51.9" customHeight="1" x14ac:dyDescent="0.2">
      <c r="A1824" s="5">
        <v>0</v>
      </c>
      <c r="B1824" s="6" t="s">
        <v>11042</v>
      </c>
      <c r="C1824" s="7">
        <v>1716</v>
      </c>
      <c r="D1824" s="8" t="s">
        <v>11043</v>
      </c>
      <c r="E1824" s="8" t="s">
        <v>11044</v>
      </c>
      <c r="F1824" s="8" t="s">
        <v>3350</v>
      </c>
      <c r="G1824" s="6" t="s">
        <v>60</v>
      </c>
      <c r="H1824" s="6" t="s">
        <v>34</v>
      </c>
      <c r="I1824" s="8" t="s">
        <v>253</v>
      </c>
      <c r="J1824" s="9">
        <v>1</v>
      </c>
      <c r="K1824" s="9">
        <v>249</v>
      </c>
      <c r="L1824" s="9">
        <v>2026</v>
      </c>
      <c r="M1824" s="8" t="s">
        <v>11045</v>
      </c>
      <c r="N1824" s="8" t="s">
        <v>63</v>
      </c>
      <c r="O1824" s="8" t="s">
        <v>154</v>
      </c>
      <c r="P1824" s="6" t="s">
        <v>51</v>
      </c>
      <c r="Q1824" s="8" t="s">
        <v>500</v>
      </c>
      <c r="R1824" s="10" t="s">
        <v>11046</v>
      </c>
      <c r="S1824" s="11"/>
      <c r="T1824" s="6"/>
      <c r="U1824" s="15" t="str">
        <f>HYPERLINK("https://media.infra-m.ru/2230/2230803/cover/2230803.jpg", "Обложка")</f>
        <v>Обложка</v>
      </c>
      <c r="V1824" s="8" t="s">
        <v>2389</v>
      </c>
      <c r="W1824" s="6" t="s">
        <v>351</v>
      </c>
      <c r="X1824" s="6"/>
      <c r="Y1824" s="6"/>
      <c r="Z1824" s="6"/>
      <c r="AA1824" s="6" t="s">
        <v>187</v>
      </c>
      <c r="AB1824" s="8"/>
      <c r="AC1824" s="27">
        <v>9785160215587</v>
      </c>
    </row>
    <row r="1825" spans="1:29" s="4" customFormat="1" ht="42" customHeight="1" x14ac:dyDescent="0.2">
      <c r="A1825" s="5">
        <v>0</v>
      </c>
      <c r="B1825" s="6" t="s">
        <v>11047</v>
      </c>
      <c r="C1825" s="7">
        <v>1824</v>
      </c>
      <c r="D1825" s="8" t="s">
        <v>11048</v>
      </c>
      <c r="E1825" s="8" t="s">
        <v>11049</v>
      </c>
      <c r="F1825" s="8" t="s">
        <v>11050</v>
      </c>
      <c r="G1825" s="6" t="s">
        <v>118</v>
      </c>
      <c r="H1825" s="6" t="s">
        <v>134</v>
      </c>
      <c r="I1825" s="8"/>
      <c r="J1825" s="9">
        <v>1</v>
      </c>
      <c r="K1825" s="9">
        <v>304</v>
      </c>
      <c r="L1825" s="9">
        <v>2025</v>
      </c>
      <c r="M1825" s="8" t="s">
        <v>11051</v>
      </c>
      <c r="N1825" s="8" t="s">
        <v>37</v>
      </c>
      <c r="O1825" s="8" t="s">
        <v>136</v>
      </c>
      <c r="P1825" s="6" t="s">
        <v>9745</v>
      </c>
      <c r="Q1825" s="8" t="s">
        <v>40</v>
      </c>
      <c r="R1825" s="10" t="s">
        <v>1625</v>
      </c>
      <c r="S1825" s="11"/>
      <c r="T1825" s="6"/>
      <c r="U1825" s="15" t="str">
        <f>HYPERLINK("https://media.infra-m.ru/2184/2184897/cover/2184897.jpg", "Обложка")</f>
        <v>Обложка</v>
      </c>
      <c r="V1825" s="8" t="s">
        <v>644</v>
      </c>
      <c r="W1825" s="6"/>
      <c r="X1825" s="6"/>
      <c r="Y1825" s="6"/>
      <c r="Z1825" s="6"/>
      <c r="AA1825" s="6" t="s">
        <v>274</v>
      </c>
      <c r="AB1825" s="8"/>
      <c r="AC1825" s="27">
        <v>9785917685458</v>
      </c>
    </row>
    <row r="1826" spans="1:29" s="4" customFormat="1" ht="51.9" customHeight="1" x14ac:dyDescent="0.2">
      <c r="A1826" s="5">
        <v>0</v>
      </c>
      <c r="B1826" s="6" t="s">
        <v>11052</v>
      </c>
      <c r="C1826" s="7">
        <v>1116</v>
      </c>
      <c r="D1826" s="8" t="s">
        <v>11053</v>
      </c>
      <c r="E1826" s="8" t="s">
        <v>11054</v>
      </c>
      <c r="F1826" s="8" t="s">
        <v>11055</v>
      </c>
      <c r="G1826" s="6" t="s">
        <v>118</v>
      </c>
      <c r="H1826" s="6" t="s">
        <v>34</v>
      </c>
      <c r="I1826" s="8" t="s">
        <v>263</v>
      </c>
      <c r="J1826" s="9">
        <v>1</v>
      </c>
      <c r="K1826" s="9">
        <v>160</v>
      </c>
      <c r="L1826" s="9">
        <v>2026</v>
      </c>
      <c r="M1826" s="8" t="s">
        <v>11056</v>
      </c>
      <c r="N1826" s="8" t="s">
        <v>93</v>
      </c>
      <c r="O1826" s="8" t="s">
        <v>94</v>
      </c>
      <c r="P1826" s="6" t="s">
        <v>105</v>
      </c>
      <c r="Q1826" s="8" t="s">
        <v>265</v>
      </c>
      <c r="R1826" s="10" t="s">
        <v>7037</v>
      </c>
      <c r="S1826" s="11" t="s">
        <v>7038</v>
      </c>
      <c r="T1826" s="6"/>
      <c r="U1826" s="15" t="str">
        <f>HYPERLINK("https://media.infra-m.ru/2262/2262020/cover/2262020.jpg", "Обложка")</f>
        <v>Обложка</v>
      </c>
      <c r="V1826" s="8" t="s">
        <v>1599</v>
      </c>
      <c r="W1826" s="6"/>
      <c r="X1826" s="6"/>
      <c r="Y1826" s="6"/>
      <c r="Z1826" s="6" t="s">
        <v>882</v>
      </c>
      <c r="AA1826" s="6" t="s">
        <v>1117</v>
      </c>
      <c r="AB1826" s="8"/>
      <c r="AC1826" s="27">
        <v>9785160139180</v>
      </c>
    </row>
    <row r="1827" spans="1:29" s="4" customFormat="1" ht="51.9" customHeight="1" x14ac:dyDescent="0.2">
      <c r="A1827" s="5">
        <v>0</v>
      </c>
      <c r="B1827" s="6" t="s">
        <v>11057</v>
      </c>
      <c r="C1827" s="7">
        <v>1056</v>
      </c>
      <c r="D1827" s="8" t="s">
        <v>11058</v>
      </c>
      <c r="E1827" s="8" t="s">
        <v>11054</v>
      </c>
      <c r="F1827" s="8" t="s">
        <v>11055</v>
      </c>
      <c r="G1827" s="6" t="s">
        <v>118</v>
      </c>
      <c r="H1827" s="6" t="s">
        <v>34</v>
      </c>
      <c r="I1827" s="8" t="s">
        <v>91</v>
      </c>
      <c r="J1827" s="9">
        <v>1</v>
      </c>
      <c r="K1827" s="9">
        <v>160</v>
      </c>
      <c r="L1827" s="9">
        <v>2026</v>
      </c>
      <c r="M1827" s="8" t="s">
        <v>11059</v>
      </c>
      <c r="N1827" s="8" t="s">
        <v>93</v>
      </c>
      <c r="O1827" s="8" t="s">
        <v>94</v>
      </c>
      <c r="P1827" s="6" t="s">
        <v>234</v>
      </c>
      <c r="Q1827" s="8" t="s">
        <v>65</v>
      </c>
      <c r="R1827" s="10" t="s">
        <v>11060</v>
      </c>
      <c r="S1827" s="11"/>
      <c r="T1827" s="6"/>
      <c r="U1827" s="15" t="str">
        <f>HYPERLINK("https://media.infra-m.ru/2242/2242906/cover/2242906.jpg", "Обложка")</f>
        <v>Обложка</v>
      </c>
      <c r="V1827" s="8" t="s">
        <v>1599</v>
      </c>
      <c r="W1827" s="6"/>
      <c r="X1827" s="6"/>
      <c r="Y1827" s="6"/>
      <c r="Z1827" s="6"/>
      <c r="AA1827" s="6" t="s">
        <v>3800</v>
      </c>
      <c r="AB1827" s="8"/>
      <c r="AC1827" s="27">
        <v>9785160118253</v>
      </c>
    </row>
    <row r="1828" spans="1:29" s="4" customFormat="1" ht="51.9" customHeight="1" x14ac:dyDescent="0.2">
      <c r="A1828" s="5">
        <v>0</v>
      </c>
      <c r="B1828" s="6" t="s">
        <v>11061</v>
      </c>
      <c r="C1828" s="7">
        <v>1024.8</v>
      </c>
      <c r="D1828" s="8" t="s">
        <v>11062</v>
      </c>
      <c r="E1828" s="8" t="s">
        <v>11063</v>
      </c>
      <c r="F1828" s="8" t="s">
        <v>11064</v>
      </c>
      <c r="G1828" s="6" t="s">
        <v>33</v>
      </c>
      <c r="H1828" s="6" t="s">
        <v>34</v>
      </c>
      <c r="I1828" s="8" t="s">
        <v>263</v>
      </c>
      <c r="J1828" s="9">
        <v>1</v>
      </c>
      <c r="K1828" s="9">
        <v>148</v>
      </c>
      <c r="L1828" s="9">
        <v>2027</v>
      </c>
      <c r="M1828" s="8" t="s">
        <v>11065</v>
      </c>
      <c r="N1828" s="8" t="s">
        <v>93</v>
      </c>
      <c r="O1828" s="8" t="s">
        <v>94</v>
      </c>
      <c r="P1828" s="6" t="s">
        <v>234</v>
      </c>
      <c r="Q1828" s="8" t="s">
        <v>265</v>
      </c>
      <c r="R1828" s="10" t="s">
        <v>11034</v>
      </c>
      <c r="S1828" s="11" t="s">
        <v>11066</v>
      </c>
      <c r="T1828" s="6"/>
      <c r="U1828" s="15" t="str">
        <f>HYPERLINK("https://media.infra-m.ru/2267/2267454/cover/2267454.jpg", "Обложка")</f>
        <v>Обложка</v>
      </c>
      <c r="V1828" s="8" t="s">
        <v>6474</v>
      </c>
      <c r="W1828" s="6"/>
      <c r="X1828" s="6"/>
      <c r="Y1828" s="6"/>
      <c r="Z1828" s="6" t="s">
        <v>267</v>
      </c>
      <c r="AA1828" s="6" t="s">
        <v>6898</v>
      </c>
      <c r="AB1828" s="8"/>
      <c r="AC1828" s="27">
        <v>9785160158082</v>
      </c>
    </row>
    <row r="1829" spans="1:29" s="4" customFormat="1" ht="51.9" customHeight="1" x14ac:dyDescent="0.2">
      <c r="A1829" s="5">
        <v>0</v>
      </c>
      <c r="B1829" s="6" t="s">
        <v>11067</v>
      </c>
      <c r="C1829" s="13">
        <v>456</v>
      </c>
      <c r="D1829" s="8" t="s">
        <v>11068</v>
      </c>
      <c r="E1829" s="8" t="s">
        <v>11069</v>
      </c>
      <c r="F1829" s="8" t="s">
        <v>11064</v>
      </c>
      <c r="G1829" s="6" t="s">
        <v>33</v>
      </c>
      <c r="H1829" s="6" t="s">
        <v>34</v>
      </c>
      <c r="I1829" s="8" t="s">
        <v>263</v>
      </c>
      <c r="J1829" s="9">
        <v>1</v>
      </c>
      <c r="K1829" s="9">
        <v>109</v>
      </c>
      <c r="L1829" s="9">
        <v>2020</v>
      </c>
      <c r="M1829" s="8" t="s">
        <v>11070</v>
      </c>
      <c r="N1829" s="8" t="s">
        <v>93</v>
      </c>
      <c r="O1829" s="8" t="s">
        <v>94</v>
      </c>
      <c r="P1829" s="6" t="s">
        <v>234</v>
      </c>
      <c r="Q1829" s="8" t="s">
        <v>265</v>
      </c>
      <c r="R1829" s="10" t="s">
        <v>11034</v>
      </c>
      <c r="S1829" s="11" t="s">
        <v>11071</v>
      </c>
      <c r="T1829" s="6"/>
      <c r="U1829" s="15" t="str">
        <f>HYPERLINK("https://media.infra-m.ru/1052/1052202/cover/1052202.jpg", "Обложка")</f>
        <v>Обложка</v>
      </c>
      <c r="V1829" s="8" t="s">
        <v>6474</v>
      </c>
      <c r="W1829" s="6"/>
      <c r="X1829" s="6"/>
      <c r="Y1829" s="6"/>
      <c r="Z1829" s="6" t="s">
        <v>267</v>
      </c>
      <c r="AA1829" s="6" t="s">
        <v>86</v>
      </c>
      <c r="AB1829" s="8"/>
      <c r="AC1829" s="27">
        <v>9785160140865</v>
      </c>
    </row>
    <row r="1830" spans="1:29" s="4" customFormat="1" ht="51.9" customHeight="1" x14ac:dyDescent="0.2">
      <c r="A1830" s="5">
        <v>0</v>
      </c>
      <c r="B1830" s="6" t="s">
        <v>11072</v>
      </c>
      <c r="C1830" s="7">
        <v>1032</v>
      </c>
      <c r="D1830" s="8" t="s">
        <v>11073</v>
      </c>
      <c r="E1830" s="8" t="s">
        <v>11063</v>
      </c>
      <c r="F1830" s="8" t="s">
        <v>11064</v>
      </c>
      <c r="G1830" s="6" t="s">
        <v>33</v>
      </c>
      <c r="H1830" s="6" t="s">
        <v>34</v>
      </c>
      <c r="I1830" s="8" t="s">
        <v>91</v>
      </c>
      <c r="J1830" s="9">
        <v>1</v>
      </c>
      <c r="K1830" s="9">
        <v>148</v>
      </c>
      <c r="L1830" s="9">
        <v>2027</v>
      </c>
      <c r="M1830" s="8" t="s">
        <v>11074</v>
      </c>
      <c r="N1830" s="8" t="s">
        <v>93</v>
      </c>
      <c r="O1830" s="8" t="s">
        <v>94</v>
      </c>
      <c r="P1830" s="6" t="s">
        <v>234</v>
      </c>
      <c r="Q1830" s="8" t="s">
        <v>52</v>
      </c>
      <c r="R1830" s="10" t="s">
        <v>11075</v>
      </c>
      <c r="S1830" s="11"/>
      <c r="T1830" s="6"/>
      <c r="U1830" s="15" t="str">
        <f>HYPERLINK("https://media.infra-m.ru/2268/2268183/cover/2268183.jpg", "Обложка")</f>
        <v>Обложка</v>
      </c>
      <c r="V1830" s="8" t="s">
        <v>6474</v>
      </c>
      <c r="W1830" s="6"/>
      <c r="X1830" s="6"/>
      <c r="Y1830" s="6"/>
      <c r="Z1830" s="6"/>
      <c r="AA1830" s="6" t="s">
        <v>6898</v>
      </c>
      <c r="AB1830" s="8"/>
      <c r="AC1830" s="27">
        <v>9785160150826</v>
      </c>
    </row>
    <row r="1831" spans="1:29" s="4" customFormat="1" ht="51.9" customHeight="1" x14ac:dyDescent="0.2">
      <c r="A1831" s="5">
        <v>0</v>
      </c>
      <c r="B1831" s="6" t="s">
        <v>11076</v>
      </c>
      <c r="C1831" s="13">
        <v>396</v>
      </c>
      <c r="D1831" s="8" t="s">
        <v>11077</v>
      </c>
      <c r="E1831" s="8" t="s">
        <v>11069</v>
      </c>
      <c r="F1831" s="8" t="s">
        <v>11064</v>
      </c>
      <c r="G1831" s="6" t="s">
        <v>33</v>
      </c>
      <c r="H1831" s="6" t="s">
        <v>34</v>
      </c>
      <c r="I1831" s="8" t="s">
        <v>91</v>
      </c>
      <c r="J1831" s="9">
        <v>1</v>
      </c>
      <c r="K1831" s="9">
        <v>109</v>
      </c>
      <c r="L1831" s="9">
        <v>2019</v>
      </c>
      <c r="M1831" s="8" t="s">
        <v>11078</v>
      </c>
      <c r="N1831" s="8" t="s">
        <v>93</v>
      </c>
      <c r="O1831" s="8" t="s">
        <v>94</v>
      </c>
      <c r="P1831" s="6" t="s">
        <v>234</v>
      </c>
      <c r="Q1831" s="8" t="s">
        <v>52</v>
      </c>
      <c r="R1831" s="10" t="s">
        <v>11075</v>
      </c>
      <c r="S1831" s="11"/>
      <c r="T1831" s="6"/>
      <c r="U1831" s="15" t="str">
        <f>HYPERLINK("https://media.infra-m.ru/1016/1016373/cover/1016373.jpg", "Обложка")</f>
        <v>Обложка</v>
      </c>
      <c r="V1831" s="8" t="s">
        <v>6474</v>
      </c>
      <c r="W1831" s="6"/>
      <c r="X1831" s="6"/>
      <c r="Y1831" s="6"/>
      <c r="Z1831" s="6"/>
      <c r="AA1831" s="6" t="s">
        <v>779</v>
      </c>
      <c r="AB1831" s="8"/>
      <c r="AC1831" s="27">
        <v>9785160118352</v>
      </c>
    </row>
    <row r="1832" spans="1:29" s="4" customFormat="1" ht="44.1" customHeight="1" x14ac:dyDescent="0.2">
      <c r="A1832" s="5">
        <v>0</v>
      </c>
      <c r="B1832" s="6" t="s">
        <v>11079</v>
      </c>
      <c r="C1832" s="7">
        <v>1272</v>
      </c>
      <c r="D1832" s="8" t="s">
        <v>11080</v>
      </c>
      <c r="E1832" s="8" t="s">
        <v>11081</v>
      </c>
      <c r="F1832" s="8" t="s">
        <v>6063</v>
      </c>
      <c r="G1832" s="6" t="s">
        <v>118</v>
      </c>
      <c r="H1832" s="6" t="s">
        <v>134</v>
      </c>
      <c r="I1832" s="8"/>
      <c r="J1832" s="9">
        <v>1</v>
      </c>
      <c r="K1832" s="9">
        <v>192</v>
      </c>
      <c r="L1832" s="9">
        <v>2026</v>
      </c>
      <c r="M1832" s="8" t="s">
        <v>11082</v>
      </c>
      <c r="N1832" s="8" t="s">
        <v>37</v>
      </c>
      <c r="O1832" s="8" t="s">
        <v>83</v>
      </c>
      <c r="P1832" s="6" t="s">
        <v>39</v>
      </c>
      <c r="Q1832" s="8" t="s">
        <v>40</v>
      </c>
      <c r="R1832" s="10" t="s">
        <v>11083</v>
      </c>
      <c r="S1832" s="11"/>
      <c r="T1832" s="6"/>
      <c r="U1832" s="15" t="str">
        <f>HYPERLINK("https://media.infra-m.ru/2218/2218064/cover/2218064.jpg", "Обложка")</f>
        <v>Обложка</v>
      </c>
      <c r="V1832" s="8" t="s">
        <v>1083</v>
      </c>
      <c r="W1832" s="6"/>
      <c r="X1832" s="6"/>
      <c r="Y1832" s="6"/>
      <c r="Z1832" s="6"/>
      <c r="AA1832" s="6" t="s">
        <v>99</v>
      </c>
      <c r="AB1832" s="8"/>
      <c r="AC1832" s="27">
        <v>9785917688329</v>
      </c>
    </row>
    <row r="1833" spans="1:29" s="4" customFormat="1" ht="51.9" customHeight="1" x14ac:dyDescent="0.2">
      <c r="A1833" s="5">
        <v>0</v>
      </c>
      <c r="B1833" s="6" t="s">
        <v>11084</v>
      </c>
      <c r="C1833" s="7">
        <v>2884.8</v>
      </c>
      <c r="D1833" s="8" t="s">
        <v>11085</v>
      </c>
      <c r="E1833" s="8" t="s">
        <v>11086</v>
      </c>
      <c r="F1833" s="8" t="s">
        <v>11087</v>
      </c>
      <c r="G1833" s="6" t="s">
        <v>118</v>
      </c>
      <c r="H1833" s="6" t="s">
        <v>34</v>
      </c>
      <c r="I1833" s="8" t="s">
        <v>271</v>
      </c>
      <c r="J1833" s="9">
        <v>1</v>
      </c>
      <c r="K1833" s="9">
        <v>461</v>
      </c>
      <c r="L1833" s="9">
        <v>2025</v>
      </c>
      <c r="M1833" s="8" t="s">
        <v>11088</v>
      </c>
      <c r="N1833" s="8" t="s">
        <v>37</v>
      </c>
      <c r="O1833" s="8" t="s">
        <v>499</v>
      </c>
      <c r="P1833" s="6" t="s">
        <v>306</v>
      </c>
      <c r="Q1833" s="8" t="s">
        <v>52</v>
      </c>
      <c r="R1833" s="10" t="s">
        <v>11089</v>
      </c>
      <c r="S1833" s="11" t="s">
        <v>11090</v>
      </c>
      <c r="T1833" s="6"/>
      <c r="U1833" s="15" t="str">
        <f>HYPERLINK("https://media.infra-m.ru/2197/2197593/cover/2197593.jpg", "Обложка")</f>
        <v>Обложка</v>
      </c>
      <c r="V1833" s="8" t="s">
        <v>657</v>
      </c>
      <c r="W1833" s="6"/>
      <c r="X1833" s="6"/>
      <c r="Y1833" s="6"/>
      <c r="Z1833" s="6"/>
      <c r="AA1833" s="6" t="s">
        <v>561</v>
      </c>
      <c r="AB1833" s="8"/>
      <c r="AC1833" s="27">
        <v>9785160153070</v>
      </c>
    </row>
    <row r="1834" spans="1:29" s="4" customFormat="1" ht="51.9" customHeight="1" x14ac:dyDescent="0.2">
      <c r="A1834" s="5">
        <v>0</v>
      </c>
      <c r="B1834" s="6" t="s">
        <v>11091</v>
      </c>
      <c r="C1834" s="7">
        <v>2508</v>
      </c>
      <c r="D1834" s="8" t="s">
        <v>11092</v>
      </c>
      <c r="E1834" s="8" t="s">
        <v>11086</v>
      </c>
      <c r="F1834" s="8" t="s">
        <v>11087</v>
      </c>
      <c r="G1834" s="6" t="s">
        <v>118</v>
      </c>
      <c r="H1834" s="6" t="s">
        <v>34</v>
      </c>
      <c r="I1834" s="8" t="s">
        <v>263</v>
      </c>
      <c r="J1834" s="9">
        <v>1</v>
      </c>
      <c r="K1834" s="9">
        <v>461</v>
      </c>
      <c r="L1834" s="9">
        <v>2023</v>
      </c>
      <c r="M1834" s="8" t="s">
        <v>11093</v>
      </c>
      <c r="N1834" s="8" t="s">
        <v>37</v>
      </c>
      <c r="O1834" s="8" t="s">
        <v>499</v>
      </c>
      <c r="P1834" s="6" t="s">
        <v>306</v>
      </c>
      <c r="Q1834" s="8" t="s">
        <v>265</v>
      </c>
      <c r="R1834" s="10" t="s">
        <v>11094</v>
      </c>
      <c r="S1834" s="11" t="s">
        <v>11095</v>
      </c>
      <c r="T1834" s="6"/>
      <c r="U1834" s="15" t="str">
        <f>HYPERLINK("https://media.infra-m.ru/1907/1907039/cover/1907039.jpg", "Обложка")</f>
        <v>Обложка</v>
      </c>
      <c r="V1834" s="8" t="s">
        <v>657</v>
      </c>
      <c r="W1834" s="6"/>
      <c r="X1834" s="6"/>
      <c r="Y1834" s="6"/>
      <c r="Z1834" s="6" t="s">
        <v>267</v>
      </c>
      <c r="AA1834" s="6" t="s">
        <v>1256</v>
      </c>
      <c r="AB1834" s="8"/>
      <c r="AC1834" s="27">
        <v>9785160160191</v>
      </c>
    </row>
    <row r="1835" spans="1:29" s="4" customFormat="1" ht="42" customHeight="1" x14ac:dyDescent="0.2">
      <c r="A1835" s="5">
        <v>0</v>
      </c>
      <c r="B1835" s="6" t="s">
        <v>11096</v>
      </c>
      <c r="C1835" s="7">
        <v>1008</v>
      </c>
      <c r="D1835" s="8" t="s">
        <v>11097</v>
      </c>
      <c r="E1835" s="8" t="s">
        <v>11098</v>
      </c>
      <c r="F1835" s="8" t="s">
        <v>11099</v>
      </c>
      <c r="G1835" s="6" t="s">
        <v>118</v>
      </c>
      <c r="H1835" s="6" t="s">
        <v>34</v>
      </c>
      <c r="I1835" s="8" t="s">
        <v>35</v>
      </c>
      <c r="J1835" s="9">
        <v>1</v>
      </c>
      <c r="K1835" s="9">
        <v>238</v>
      </c>
      <c r="L1835" s="9">
        <v>2020</v>
      </c>
      <c r="M1835" s="8" t="s">
        <v>11100</v>
      </c>
      <c r="N1835" s="8" t="s">
        <v>37</v>
      </c>
      <c r="O1835" s="8" t="s">
        <v>233</v>
      </c>
      <c r="P1835" s="6" t="s">
        <v>39</v>
      </c>
      <c r="Q1835" s="8" t="s">
        <v>40</v>
      </c>
      <c r="R1835" s="10" t="s">
        <v>357</v>
      </c>
      <c r="S1835" s="11"/>
      <c r="T1835" s="6" t="s">
        <v>97</v>
      </c>
      <c r="U1835" s="15" t="str">
        <f>HYPERLINK("https://media.infra-m.ru/1088/1088481/cover/1088481.jpg", "Обложка")</f>
        <v>Обложка</v>
      </c>
      <c r="V1835" s="8" t="s">
        <v>34</v>
      </c>
      <c r="W1835" s="6"/>
      <c r="X1835" s="6"/>
      <c r="Y1835" s="6"/>
      <c r="Z1835" s="6"/>
      <c r="AA1835" s="6" t="s">
        <v>99</v>
      </c>
      <c r="AB1835" s="8"/>
      <c r="AC1835" s="27">
        <v>9785160123486</v>
      </c>
    </row>
    <row r="1836" spans="1:29" s="4" customFormat="1" ht="42" customHeight="1" x14ac:dyDescent="0.2">
      <c r="A1836" s="5">
        <v>0</v>
      </c>
      <c r="B1836" s="6" t="s">
        <v>11101</v>
      </c>
      <c r="C1836" s="7">
        <v>1320</v>
      </c>
      <c r="D1836" s="8" t="s">
        <v>11102</v>
      </c>
      <c r="E1836" s="8" t="s">
        <v>11098</v>
      </c>
      <c r="F1836" s="8" t="s">
        <v>11099</v>
      </c>
      <c r="G1836" s="6" t="s">
        <v>33</v>
      </c>
      <c r="H1836" s="6" t="s">
        <v>34</v>
      </c>
      <c r="I1836" s="8" t="s">
        <v>35</v>
      </c>
      <c r="J1836" s="9">
        <v>1</v>
      </c>
      <c r="K1836" s="9">
        <v>238</v>
      </c>
      <c r="L1836" s="9">
        <v>2024</v>
      </c>
      <c r="M1836" s="8" t="s">
        <v>11103</v>
      </c>
      <c r="N1836" s="8" t="s">
        <v>37</v>
      </c>
      <c r="O1836" s="8" t="s">
        <v>233</v>
      </c>
      <c r="P1836" s="6" t="s">
        <v>39</v>
      </c>
      <c r="Q1836" s="8" t="s">
        <v>40</v>
      </c>
      <c r="R1836" s="10" t="s">
        <v>357</v>
      </c>
      <c r="S1836" s="11"/>
      <c r="T1836" s="6" t="s">
        <v>97</v>
      </c>
      <c r="U1836" s="15" t="str">
        <f>HYPERLINK("https://media.infra-m.ru/2084/2084491/cover/2084491.jpg", "Обложка")</f>
        <v>Обложка</v>
      </c>
      <c r="V1836" s="8" t="s">
        <v>34</v>
      </c>
      <c r="W1836" s="6"/>
      <c r="X1836" s="6"/>
      <c r="Y1836" s="6"/>
      <c r="Z1836" s="6"/>
      <c r="AA1836" s="6" t="s">
        <v>99</v>
      </c>
      <c r="AB1836" s="8"/>
      <c r="AC1836" s="27">
        <v>9785160174778</v>
      </c>
    </row>
    <row r="1837" spans="1:29" s="4" customFormat="1" ht="42" customHeight="1" x14ac:dyDescent="0.2">
      <c r="A1837" s="5">
        <v>0</v>
      </c>
      <c r="B1837" s="6" t="s">
        <v>11104</v>
      </c>
      <c r="C1837" s="13">
        <v>636</v>
      </c>
      <c r="D1837" s="8" t="s">
        <v>11105</v>
      </c>
      <c r="E1837" s="8" t="s">
        <v>11106</v>
      </c>
      <c r="F1837" s="8" t="s">
        <v>11107</v>
      </c>
      <c r="G1837" s="6" t="s">
        <v>33</v>
      </c>
      <c r="H1837" s="6" t="s">
        <v>34</v>
      </c>
      <c r="I1837" s="8" t="s">
        <v>35</v>
      </c>
      <c r="J1837" s="9">
        <v>1</v>
      </c>
      <c r="K1837" s="9">
        <v>118</v>
      </c>
      <c r="L1837" s="9">
        <v>2022</v>
      </c>
      <c r="M1837" s="8" t="s">
        <v>11108</v>
      </c>
      <c r="N1837" s="8" t="s">
        <v>63</v>
      </c>
      <c r="O1837" s="8" t="s">
        <v>126</v>
      </c>
      <c r="P1837" s="6" t="s">
        <v>39</v>
      </c>
      <c r="Q1837" s="8" t="s">
        <v>40</v>
      </c>
      <c r="R1837" s="10" t="s">
        <v>11109</v>
      </c>
      <c r="S1837" s="11"/>
      <c r="T1837" s="6"/>
      <c r="U1837" s="15" t="str">
        <f>HYPERLINK("https://media.infra-m.ru/1946/1946533/cover/1946533.jpg", "Обложка")</f>
        <v>Обложка</v>
      </c>
      <c r="V1837" s="8" t="s">
        <v>227</v>
      </c>
      <c r="W1837" s="6"/>
      <c r="X1837" s="6"/>
      <c r="Y1837" s="6"/>
      <c r="Z1837" s="6"/>
      <c r="AA1837" s="6" t="s">
        <v>248</v>
      </c>
      <c r="AB1837" s="8"/>
      <c r="AC1837" s="27">
        <v>9785160092034</v>
      </c>
    </row>
    <row r="1838" spans="1:29" s="4" customFormat="1" ht="51.9" customHeight="1" x14ac:dyDescent="0.2">
      <c r="A1838" s="5">
        <v>0</v>
      </c>
      <c r="B1838" s="6" t="s">
        <v>11110</v>
      </c>
      <c r="C1838" s="7">
        <v>1068</v>
      </c>
      <c r="D1838" s="8" t="s">
        <v>11111</v>
      </c>
      <c r="E1838" s="8" t="s">
        <v>11112</v>
      </c>
      <c r="F1838" s="8" t="s">
        <v>11113</v>
      </c>
      <c r="G1838" s="6" t="s">
        <v>33</v>
      </c>
      <c r="H1838" s="6" t="s">
        <v>34</v>
      </c>
      <c r="I1838" s="8" t="s">
        <v>35</v>
      </c>
      <c r="J1838" s="9">
        <v>1</v>
      </c>
      <c r="K1838" s="9">
        <v>172</v>
      </c>
      <c r="L1838" s="9">
        <v>2025</v>
      </c>
      <c r="M1838" s="8" t="s">
        <v>11114</v>
      </c>
      <c r="N1838" s="8" t="s">
        <v>37</v>
      </c>
      <c r="O1838" s="8" t="s">
        <v>50</v>
      </c>
      <c r="P1838" s="6" t="s">
        <v>39</v>
      </c>
      <c r="Q1838" s="8" t="s">
        <v>40</v>
      </c>
      <c r="R1838" s="10" t="s">
        <v>11115</v>
      </c>
      <c r="S1838" s="11"/>
      <c r="T1838" s="6"/>
      <c r="U1838" s="15" t="str">
        <f>HYPERLINK("https://media.infra-m.ru/2134/2134523/cover/2134523.jpg", "Обложка")</f>
        <v>Обложка</v>
      </c>
      <c r="V1838" s="8" t="s">
        <v>11116</v>
      </c>
      <c r="W1838" s="6"/>
      <c r="X1838" s="6"/>
      <c r="Y1838" s="6"/>
      <c r="Z1838" s="6"/>
      <c r="AA1838" s="6" t="s">
        <v>68</v>
      </c>
      <c r="AB1838" s="8" t="s">
        <v>11117</v>
      </c>
      <c r="AC1838" s="27">
        <v>9785160197234</v>
      </c>
    </row>
    <row r="1839" spans="1:29" s="4" customFormat="1" ht="42" customHeight="1" x14ac:dyDescent="0.2">
      <c r="A1839" s="5">
        <v>0</v>
      </c>
      <c r="B1839" s="6" t="s">
        <v>11118</v>
      </c>
      <c r="C1839" s="7">
        <v>1140</v>
      </c>
      <c r="D1839" s="8" t="s">
        <v>11119</v>
      </c>
      <c r="E1839" s="8" t="s">
        <v>11120</v>
      </c>
      <c r="F1839" s="8" t="s">
        <v>11121</v>
      </c>
      <c r="G1839" s="6" t="s">
        <v>33</v>
      </c>
      <c r="H1839" s="6" t="s">
        <v>34</v>
      </c>
      <c r="I1839" s="8" t="s">
        <v>35</v>
      </c>
      <c r="J1839" s="9">
        <v>1</v>
      </c>
      <c r="K1839" s="9">
        <v>172</v>
      </c>
      <c r="L1839" s="9">
        <v>2026</v>
      </c>
      <c r="M1839" s="8" t="s">
        <v>11122</v>
      </c>
      <c r="N1839" s="8" t="s">
        <v>63</v>
      </c>
      <c r="O1839" s="8" t="s">
        <v>64</v>
      </c>
      <c r="P1839" s="6" t="s">
        <v>39</v>
      </c>
      <c r="Q1839" s="8" t="s">
        <v>40</v>
      </c>
      <c r="R1839" s="10" t="s">
        <v>11123</v>
      </c>
      <c r="S1839" s="11"/>
      <c r="T1839" s="6"/>
      <c r="U1839" s="15" t="str">
        <f>HYPERLINK("https://media.infra-m.ru/2232/2232561/cover/2232561.jpg", "Обложка")</f>
        <v>Обложка</v>
      </c>
      <c r="V1839" s="8" t="s">
        <v>198</v>
      </c>
      <c r="W1839" s="6"/>
      <c r="X1839" s="6"/>
      <c r="Y1839" s="6"/>
      <c r="Z1839" s="6"/>
      <c r="AA1839" s="6" t="s">
        <v>115</v>
      </c>
      <c r="AB1839" s="8"/>
      <c r="AC1839" s="27">
        <v>9785160142715</v>
      </c>
    </row>
    <row r="1840" spans="1:29" s="4" customFormat="1" ht="51.9" customHeight="1" x14ac:dyDescent="0.2">
      <c r="A1840" s="5">
        <v>0</v>
      </c>
      <c r="B1840" s="6" t="s">
        <v>11124</v>
      </c>
      <c r="C1840" s="7">
        <v>1156.8</v>
      </c>
      <c r="D1840" s="8" t="s">
        <v>11125</v>
      </c>
      <c r="E1840" s="8" t="s">
        <v>11126</v>
      </c>
      <c r="F1840" s="8" t="s">
        <v>2960</v>
      </c>
      <c r="G1840" s="6" t="s">
        <v>60</v>
      </c>
      <c r="H1840" s="6" t="s">
        <v>5605</v>
      </c>
      <c r="I1840" s="8" t="s">
        <v>253</v>
      </c>
      <c r="J1840" s="9">
        <v>1</v>
      </c>
      <c r="K1840" s="9">
        <v>184</v>
      </c>
      <c r="L1840" s="9">
        <v>2026</v>
      </c>
      <c r="M1840" s="8" t="s">
        <v>11127</v>
      </c>
      <c r="N1840" s="8" t="s">
        <v>63</v>
      </c>
      <c r="O1840" s="8" t="s">
        <v>64</v>
      </c>
      <c r="P1840" s="6" t="s">
        <v>51</v>
      </c>
      <c r="Q1840" s="8" t="s">
        <v>52</v>
      </c>
      <c r="R1840" s="10" t="s">
        <v>2558</v>
      </c>
      <c r="S1840" s="11" t="s">
        <v>11128</v>
      </c>
      <c r="T1840" s="6"/>
      <c r="U1840" s="15" t="str">
        <f>HYPERLINK("https://media.infra-m.ru/2218/2218994/cover/2218994.jpg", "Обложка")</f>
        <v>Обложка</v>
      </c>
      <c r="V1840" s="8" t="s">
        <v>2623</v>
      </c>
      <c r="W1840" s="6"/>
      <c r="X1840" s="6"/>
      <c r="Y1840" s="6"/>
      <c r="Z1840" s="6"/>
      <c r="AA1840" s="6" t="s">
        <v>129</v>
      </c>
      <c r="AB1840" s="8"/>
      <c r="AC1840" s="27">
        <v>9785160044606</v>
      </c>
    </row>
    <row r="1841" spans="1:29" s="4" customFormat="1" ht="42" customHeight="1" x14ac:dyDescent="0.2">
      <c r="A1841" s="5">
        <v>0</v>
      </c>
      <c r="B1841" s="6" t="s">
        <v>11129</v>
      </c>
      <c r="C1841" s="7">
        <v>2880</v>
      </c>
      <c r="D1841" s="8" t="s">
        <v>11130</v>
      </c>
      <c r="E1841" s="8" t="s">
        <v>11131</v>
      </c>
      <c r="F1841" s="8" t="s">
        <v>11132</v>
      </c>
      <c r="G1841" s="6" t="s">
        <v>60</v>
      </c>
      <c r="H1841" s="6" t="s">
        <v>34</v>
      </c>
      <c r="I1841" s="8" t="s">
        <v>35</v>
      </c>
      <c r="J1841" s="9">
        <v>1</v>
      </c>
      <c r="K1841" s="9">
        <v>475</v>
      </c>
      <c r="L1841" s="9">
        <v>2025</v>
      </c>
      <c r="M1841" s="8" t="s">
        <v>11133</v>
      </c>
      <c r="N1841" s="8" t="s">
        <v>37</v>
      </c>
      <c r="O1841" s="8" t="s">
        <v>136</v>
      </c>
      <c r="P1841" s="6" t="s">
        <v>39</v>
      </c>
      <c r="Q1841" s="8" t="s">
        <v>40</v>
      </c>
      <c r="R1841" s="10" t="s">
        <v>11134</v>
      </c>
      <c r="S1841" s="11"/>
      <c r="T1841" s="6"/>
      <c r="U1841" s="15" t="str">
        <f>HYPERLINK("https://media.infra-m.ru/2152/2152062/cover/2152062.jpg", "Обложка")</f>
        <v>Обложка</v>
      </c>
      <c r="V1841" s="8" t="s">
        <v>11135</v>
      </c>
      <c r="W1841" s="6"/>
      <c r="X1841" s="6"/>
      <c r="Y1841" s="6"/>
      <c r="Z1841" s="6"/>
      <c r="AA1841" s="6" t="s">
        <v>76</v>
      </c>
      <c r="AB1841" s="8"/>
      <c r="AC1841" s="27">
        <v>9785160200194</v>
      </c>
    </row>
    <row r="1842" spans="1:29" s="4" customFormat="1" ht="44.1" customHeight="1" x14ac:dyDescent="0.2">
      <c r="A1842" s="5">
        <v>0</v>
      </c>
      <c r="B1842" s="6" t="s">
        <v>11136</v>
      </c>
      <c r="C1842" s="7">
        <v>2064</v>
      </c>
      <c r="D1842" s="8" t="s">
        <v>11137</v>
      </c>
      <c r="E1842" s="8" t="s">
        <v>11138</v>
      </c>
      <c r="F1842" s="8" t="s">
        <v>10948</v>
      </c>
      <c r="G1842" s="6" t="s">
        <v>33</v>
      </c>
      <c r="H1842" s="6" t="s">
        <v>34</v>
      </c>
      <c r="I1842" s="8" t="s">
        <v>35</v>
      </c>
      <c r="J1842" s="9">
        <v>1</v>
      </c>
      <c r="K1842" s="9">
        <v>296</v>
      </c>
      <c r="L1842" s="9">
        <v>2027</v>
      </c>
      <c r="M1842" s="8" t="s">
        <v>11139</v>
      </c>
      <c r="N1842" s="8" t="s">
        <v>37</v>
      </c>
      <c r="O1842" s="8" t="s">
        <v>50</v>
      </c>
      <c r="P1842" s="6" t="s">
        <v>39</v>
      </c>
      <c r="Q1842" s="8" t="s">
        <v>40</v>
      </c>
      <c r="R1842" s="10" t="s">
        <v>11140</v>
      </c>
      <c r="S1842" s="11"/>
      <c r="T1842" s="6"/>
      <c r="U1842" s="15" t="str">
        <f>HYPERLINK("https://media.infra-m.ru/2244/2244467/cover/2244467.jpg", "Обложка")</f>
        <v>Обложка</v>
      </c>
      <c r="V1842" s="8" t="s">
        <v>10951</v>
      </c>
      <c r="W1842" s="6"/>
      <c r="X1842" s="6"/>
      <c r="Y1842" s="6"/>
      <c r="Z1842" s="6"/>
      <c r="AA1842" s="6" t="s">
        <v>430</v>
      </c>
      <c r="AB1842" s="8" t="s">
        <v>2231</v>
      </c>
      <c r="AC1842" s="27">
        <v>9785160166742</v>
      </c>
    </row>
    <row r="1843" spans="1:29" s="4" customFormat="1" ht="42" customHeight="1" x14ac:dyDescent="0.2">
      <c r="A1843" s="5">
        <v>0</v>
      </c>
      <c r="B1843" s="6" t="s">
        <v>11141</v>
      </c>
      <c r="C1843" s="13">
        <v>700.8</v>
      </c>
      <c r="D1843" s="8" t="s">
        <v>11142</v>
      </c>
      <c r="E1843" s="8" t="s">
        <v>11143</v>
      </c>
      <c r="F1843" s="8" t="s">
        <v>11144</v>
      </c>
      <c r="G1843" s="6" t="s">
        <v>33</v>
      </c>
      <c r="H1843" s="6" t="s">
        <v>134</v>
      </c>
      <c r="I1843" s="8"/>
      <c r="J1843" s="9">
        <v>1</v>
      </c>
      <c r="K1843" s="9">
        <v>112</v>
      </c>
      <c r="L1843" s="9">
        <v>2023</v>
      </c>
      <c r="M1843" s="8" t="s">
        <v>11145</v>
      </c>
      <c r="N1843" s="8" t="s">
        <v>37</v>
      </c>
      <c r="O1843" s="8" t="s">
        <v>136</v>
      </c>
      <c r="P1843" s="6" t="s">
        <v>39</v>
      </c>
      <c r="Q1843" s="8" t="s">
        <v>40</v>
      </c>
      <c r="R1843" s="10" t="s">
        <v>1631</v>
      </c>
      <c r="S1843" s="11"/>
      <c r="T1843" s="6"/>
      <c r="U1843" s="15" t="str">
        <f>HYPERLINK("https://media.infra-m.ru/2043/2043219/cover/2043219.jpg", "Обложка")</f>
        <v>Обложка</v>
      </c>
      <c r="V1843" s="8" t="s">
        <v>1083</v>
      </c>
      <c r="W1843" s="6"/>
      <c r="X1843" s="6"/>
      <c r="Y1843" s="6"/>
      <c r="Z1843" s="6"/>
      <c r="AA1843" s="6" t="s">
        <v>248</v>
      </c>
      <c r="AB1843" s="8"/>
      <c r="AC1843" s="27">
        <v>9785917684369</v>
      </c>
    </row>
    <row r="1844" spans="1:29" s="4" customFormat="1" ht="51.9" customHeight="1" x14ac:dyDescent="0.2">
      <c r="A1844" s="5">
        <v>0</v>
      </c>
      <c r="B1844" s="6" t="s">
        <v>11146</v>
      </c>
      <c r="C1844" s="7">
        <v>1176</v>
      </c>
      <c r="D1844" s="8" t="s">
        <v>11147</v>
      </c>
      <c r="E1844" s="8" t="s">
        <v>11148</v>
      </c>
      <c r="F1844" s="8" t="s">
        <v>11149</v>
      </c>
      <c r="G1844" s="6" t="s">
        <v>118</v>
      </c>
      <c r="H1844" s="6" t="s">
        <v>34</v>
      </c>
      <c r="I1844" s="8" t="s">
        <v>35</v>
      </c>
      <c r="J1844" s="9">
        <v>1</v>
      </c>
      <c r="K1844" s="9">
        <v>211</v>
      </c>
      <c r="L1844" s="9">
        <v>2024</v>
      </c>
      <c r="M1844" s="8" t="s">
        <v>11150</v>
      </c>
      <c r="N1844" s="8" t="s">
        <v>37</v>
      </c>
      <c r="O1844" s="8" t="s">
        <v>136</v>
      </c>
      <c r="P1844" s="6" t="s">
        <v>39</v>
      </c>
      <c r="Q1844" s="8" t="s">
        <v>40</v>
      </c>
      <c r="R1844" s="10" t="s">
        <v>11151</v>
      </c>
      <c r="S1844" s="11"/>
      <c r="T1844" s="6"/>
      <c r="U1844" s="15" t="str">
        <f>HYPERLINK("https://media.infra-m.ru/2131/2131534/cover/2131534.jpg", "Обложка")</f>
        <v>Обложка</v>
      </c>
      <c r="V1844" s="8" t="s">
        <v>2544</v>
      </c>
      <c r="W1844" s="6"/>
      <c r="X1844" s="6"/>
      <c r="Y1844" s="6"/>
      <c r="Z1844" s="6"/>
      <c r="AA1844" s="6" t="s">
        <v>115</v>
      </c>
      <c r="AB1844" s="8"/>
      <c r="AC1844" s="27">
        <v>9785160142401</v>
      </c>
    </row>
    <row r="1845" spans="1:29" s="4" customFormat="1" ht="51.9" customHeight="1" x14ac:dyDescent="0.2">
      <c r="A1845" s="5">
        <v>0</v>
      </c>
      <c r="B1845" s="6" t="s">
        <v>11152</v>
      </c>
      <c r="C1845" s="7">
        <v>1188</v>
      </c>
      <c r="D1845" s="8" t="s">
        <v>11153</v>
      </c>
      <c r="E1845" s="8" t="s">
        <v>11154</v>
      </c>
      <c r="F1845" s="8" t="s">
        <v>11149</v>
      </c>
      <c r="G1845" s="6" t="s">
        <v>118</v>
      </c>
      <c r="H1845" s="6" t="s">
        <v>34</v>
      </c>
      <c r="I1845" s="8" t="s">
        <v>2765</v>
      </c>
      <c r="J1845" s="9">
        <v>1</v>
      </c>
      <c r="K1845" s="9">
        <v>175</v>
      </c>
      <c r="L1845" s="9">
        <v>2026</v>
      </c>
      <c r="M1845" s="8" t="s">
        <v>11155</v>
      </c>
      <c r="N1845" s="8" t="s">
        <v>37</v>
      </c>
      <c r="O1845" s="8" t="s">
        <v>136</v>
      </c>
      <c r="P1845" s="6" t="s">
        <v>306</v>
      </c>
      <c r="Q1845" s="8" t="s">
        <v>65</v>
      </c>
      <c r="R1845" s="10" t="s">
        <v>11156</v>
      </c>
      <c r="S1845" s="11"/>
      <c r="T1845" s="6"/>
      <c r="U1845" s="15" t="str">
        <f>HYPERLINK("https://media.infra-m.ru/2220/2220948/cover/2220948.jpg", "Обложка")</f>
        <v>Обложка</v>
      </c>
      <c r="V1845" s="8" t="s">
        <v>2544</v>
      </c>
      <c r="W1845" s="6"/>
      <c r="X1845" s="6"/>
      <c r="Y1845" s="6"/>
      <c r="Z1845" s="6"/>
      <c r="AA1845" s="6" t="s">
        <v>68</v>
      </c>
      <c r="AB1845" s="8"/>
      <c r="AC1845" s="27">
        <v>9785160197500</v>
      </c>
    </row>
    <row r="1846" spans="1:29" s="4" customFormat="1" ht="51.9" customHeight="1" x14ac:dyDescent="0.2">
      <c r="A1846" s="5">
        <v>0</v>
      </c>
      <c r="B1846" s="6" t="s">
        <v>11157</v>
      </c>
      <c r="C1846" s="7">
        <v>1732.8</v>
      </c>
      <c r="D1846" s="8" t="s">
        <v>11158</v>
      </c>
      <c r="E1846" s="8" t="s">
        <v>11159</v>
      </c>
      <c r="F1846" s="8" t="s">
        <v>1442</v>
      </c>
      <c r="G1846" s="6" t="s">
        <v>60</v>
      </c>
      <c r="H1846" s="6" t="s">
        <v>34</v>
      </c>
      <c r="I1846" s="8" t="s">
        <v>3119</v>
      </c>
      <c r="J1846" s="9">
        <v>1</v>
      </c>
      <c r="K1846" s="9">
        <v>263</v>
      </c>
      <c r="L1846" s="9">
        <v>2026</v>
      </c>
      <c r="M1846" s="8" t="s">
        <v>11160</v>
      </c>
      <c r="N1846" s="8" t="s">
        <v>37</v>
      </c>
      <c r="O1846" s="8" t="s">
        <v>136</v>
      </c>
      <c r="P1846" s="6" t="s">
        <v>306</v>
      </c>
      <c r="Q1846" s="8" t="s">
        <v>52</v>
      </c>
      <c r="R1846" s="10" t="s">
        <v>11161</v>
      </c>
      <c r="S1846" s="11" t="s">
        <v>11162</v>
      </c>
      <c r="T1846" s="6"/>
      <c r="U1846" s="15" t="str">
        <f>HYPERLINK("https://media.infra-m.ru/2240/2240176/cover/2240176.jpg", "Обложка")</f>
        <v>Обложка</v>
      </c>
      <c r="V1846" s="8" t="s">
        <v>657</v>
      </c>
      <c r="W1846" s="6"/>
      <c r="X1846" s="6"/>
      <c r="Y1846" s="6"/>
      <c r="Z1846" s="6"/>
      <c r="AA1846" s="6" t="s">
        <v>4023</v>
      </c>
      <c r="AB1846" s="8"/>
      <c r="AC1846" s="27">
        <v>9785160183817</v>
      </c>
    </row>
    <row r="1847" spans="1:29" s="4" customFormat="1" ht="51.9" customHeight="1" x14ac:dyDescent="0.2">
      <c r="A1847" s="5">
        <v>0</v>
      </c>
      <c r="B1847" s="6" t="s">
        <v>11163</v>
      </c>
      <c r="C1847" s="7">
        <v>1884</v>
      </c>
      <c r="D1847" s="8" t="s">
        <v>11164</v>
      </c>
      <c r="E1847" s="8" t="s">
        <v>11165</v>
      </c>
      <c r="F1847" s="8" t="s">
        <v>1442</v>
      </c>
      <c r="G1847" s="6" t="s">
        <v>60</v>
      </c>
      <c r="H1847" s="6" t="s">
        <v>34</v>
      </c>
      <c r="I1847" s="8" t="s">
        <v>3119</v>
      </c>
      <c r="J1847" s="9">
        <v>1</v>
      </c>
      <c r="K1847" s="9">
        <v>271</v>
      </c>
      <c r="L1847" s="9">
        <v>2027</v>
      </c>
      <c r="M1847" s="8" t="s">
        <v>11166</v>
      </c>
      <c r="N1847" s="8" t="s">
        <v>37</v>
      </c>
      <c r="O1847" s="8" t="s">
        <v>136</v>
      </c>
      <c r="P1847" s="6" t="s">
        <v>306</v>
      </c>
      <c r="Q1847" s="8" t="s">
        <v>52</v>
      </c>
      <c r="R1847" s="10" t="s">
        <v>11161</v>
      </c>
      <c r="S1847" s="11" t="s">
        <v>11167</v>
      </c>
      <c r="T1847" s="6"/>
      <c r="U1847" s="15" t="str">
        <f>HYPERLINK("https://media.infra-m.ru/2258/2258092/cover/2258092.jpg", "Обложка")</f>
        <v>Обложка</v>
      </c>
      <c r="V1847" s="8" t="s">
        <v>657</v>
      </c>
      <c r="W1847" s="6" t="s">
        <v>2115</v>
      </c>
      <c r="X1847" s="6"/>
      <c r="Y1847" s="6"/>
      <c r="Z1847" s="6"/>
      <c r="AA1847" s="6" t="s">
        <v>11168</v>
      </c>
      <c r="AB1847" s="8"/>
      <c r="AC1847" s="27">
        <v>9785160222158</v>
      </c>
    </row>
    <row r="1848" spans="1:29" s="4" customFormat="1" ht="51.9" customHeight="1" x14ac:dyDescent="0.2">
      <c r="A1848" s="5">
        <v>0</v>
      </c>
      <c r="B1848" s="6" t="s">
        <v>11169</v>
      </c>
      <c r="C1848" s="7">
        <v>1193.9000000000001</v>
      </c>
      <c r="D1848" s="8" t="s">
        <v>11170</v>
      </c>
      <c r="E1848" s="8" t="s">
        <v>11171</v>
      </c>
      <c r="F1848" s="8" t="s">
        <v>1442</v>
      </c>
      <c r="G1848" s="6" t="s">
        <v>118</v>
      </c>
      <c r="H1848" s="6" t="s">
        <v>34</v>
      </c>
      <c r="I1848" s="8" t="s">
        <v>271</v>
      </c>
      <c r="J1848" s="9">
        <v>1</v>
      </c>
      <c r="K1848" s="9">
        <v>239</v>
      </c>
      <c r="L1848" s="9">
        <v>2022</v>
      </c>
      <c r="M1848" s="8" t="s">
        <v>11172</v>
      </c>
      <c r="N1848" s="8" t="s">
        <v>37</v>
      </c>
      <c r="O1848" s="8" t="s">
        <v>136</v>
      </c>
      <c r="P1848" s="6" t="s">
        <v>51</v>
      </c>
      <c r="Q1848" s="8" t="s">
        <v>52</v>
      </c>
      <c r="R1848" s="10" t="s">
        <v>11161</v>
      </c>
      <c r="S1848" s="11" t="s">
        <v>11173</v>
      </c>
      <c r="T1848" s="6"/>
      <c r="U1848" s="15" t="str">
        <f>HYPERLINK("https://media.infra-m.ru/1869/1869569/cover/1869569.jpg", "Обложка")</f>
        <v>Обложка</v>
      </c>
      <c r="V1848" s="8" t="s">
        <v>657</v>
      </c>
      <c r="W1848" s="6"/>
      <c r="X1848" s="6"/>
      <c r="Y1848" s="6"/>
      <c r="Z1848" s="6"/>
      <c r="AA1848" s="6" t="s">
        <v>404</v>
      </c>
      <c r="AB1848" s="8"/>
      <c r="AC1848" s="27">
        <v>9785160136004</v>
      </c>
    </row>
    <row r="1849" spans="1:29" s="4" customFormat="1" ht="51.9" customHeight="1" x14ac:dyDescent="0.2">
      <c r="A1849" s="5">
        <v>0</v>
      </c>
      <c r="B1849" s="6" t="s">
        <v>11174</v>
      </c>
      <c r="C1849" s="7">
        <v>2633.9</v>
      </c>
      <c r="D1849" s="8" t="s">
        <v>11175</v>
      </c>
      <c r="E1849" s="8" t="s">
        <v>11176</v>
      </c>
      <c r="F1849" s="8" t="s">
        <v>11177</v>
      </c>
      <c r="G1849" s="6" t="s">
        <v>60</v>
      </c>
      <c r="H1849" s="6" t="s">
        <v>134</v>
      </c>
      <c r="I1849" s="8"/>
      <c r="J1849" s="9">
        <v>1</v>
      </c>
      <c r="K1849" s="9">
        <v>688</v>
      </c>
      <c r="L1849" s="9">
        <v>2019</v>
      </c>
      <c r="M1849" s="8" t="s">
        <v>11178</v>
      </c>
      <c r="N1849" s="8" t="s">
        <v>37</v>
      </c>
      <c r="O1849" s="8" t="s">
        <v>136</v>
      </c>
      <c r="P1849" s="6" t="s">
        <v>39</v>
      </c>
      <c r="Q1849" s="8" t="s">
        <v>749</v>
      </c>
      <c r="R1849" s="10" t="s">
        <v>11179</v>
      </c>
      <c r="S1849" s="11"/>
      <c r="T1849" s="6"/>
      <c r="U1849" s="15" t="str">
        <f>HYPERLINK("https://media.infra-m.ru/1006/1006922/cover/1006922.jpg", "Обложка")</f>
        <v>Обложка</v>
      </c>
      <c r="V1849" s="8" t="s">
        <v>546</v>
      </c>
      <c r="W1849" s="6"/>
      <c r="X1849" s="6"/>
      <c r="Y1849" s="6"/>
      <c r="Z1849" s="6"/>
      <c r="AA1849" s="6" t="s">
        <v>274</v>
      </c>
      <c r="AB1849" s="8"/>
      <c r="AC1849" s="27">
        <v>9785917686646</v>
      </c>
    </row>
    <row r="1850" spans="1:29" s="4" customFormat="1" ht="42" customHeight="1" x14ac:dyDescent="0.2">
      <c r="A1850" s="5">
        <v>0</v>
      </c>
      <c r="B1850" s="6" t="s">
        <v>11180</v>
      </c>
      <c r="C1850" s="7">
        <v>2963.9</v>
      </c>
      <c r="D1850" s="8" t="s">
        <v>11181</v>
      </c>
      <c r="E1850" s="8" t="s">
        <v>11176</v>
      </c>
      <c r="F1850" s="8" t="s">
        <v>11182</v>
      </c>
      <c r="G1850" s="6" t="s">
        <v>6526</v>
      </c>
      <c r="H1850" s="6" t="s">
        <v>134</v>
      </c>
      <c r="I1850" s="8"/>
      <c r="J1850" s="9">
        <v>1</v>
      </c>
      <c r="K1850" s="9">
        <v>712</v>
      </c>
      <c r="L1850" s="9">
        <v>2019</v>
      </c>
      <c r="M1850" s="8" t="s">
        <v>11183</v>
      </c>
      <c r="N1850" s="8" t="s">
        <v>37</v>
      </c>
      <c r="O1850" s="8" t="s">
        <v>136</v>
      </c>
      <c r="P1850" s="6" t="s">
        <v>39</v>
      </c>
      <c r="Q1850" s="8" t="s">
        <v>40</v>
      </c>
      <c r="R1850" s="10" t="s">
        <v>684</v>
      </c>
      <c r="S1850" s="11"/>
      <c r="T1850" s="6"/>
      <c r="U1850" s="15" t="str">
        <f>HYPERLINK("https://media.infra-m.ru/1077/1077648/cover/1077648.jpg", "Обложка")</f>
        <v>Обложка</v>
      </c>
      <c r="V1850" s="8" t="s">
        <v>1184</v>
      </c>
      <c r="W1850" s="6"/>
      <c r="X1850" s="6"/>
      <c r="Y1850" s="6"/>
      <c r="Z1850" s="6"/>
      <c r="AA1850" s="6" t="s">
        <v>115</v>
      </c>
      <c r="AB1850" s="8"/>
      <c r="AC1850" s="27">
        <v>9785001560418</v>
      </c>
    </row>
    <row r="1851" spans="1:29" s="4" customFormat="1" ht="51.9" customHeight="1" x14ac:dyDescent="0.2">
      <c r="A1851" s="5">
        <v>0</v>
      </c>
      <c r="B1851" s="6" t="s">
        <v>11184</v>
      </c>
      <c r="C1851" s="7">
        <v>1644</v>
      </c>
      <c r="D1851" s="8" t="s">
        <v>11185</v>
      </c>
      <c r="E1851" s="8" t="s">
        <v>11176</v>
      </c>
      <c r="F1851" s="8" t="s">
        <v>11186</v>
      </c>
      <c r="G1851" s="6" t="s">
        <v>60</v>
      </c>
      <c r="H1851" s="6" t="s">
        <v>34</v>
      </c>
      <c r="I1851" s="8" t="s">
        <v>35</v>
      </c>
      <c r="J1851" s="9">
        <v>1</v>
      </c>
      <c r="K1851" s="9">
        <v>249</v>
      </c>
      <c r="L1851" s="9">
        <v>2026</v>
      </c>
      <c r="M1851" s="8" t="s">
        <v>11187</v>
      </c>
      <c r="N1851" s="8" t="s">
        <v>37</v>
      </c>
      <c r="O1851" s="8" t="s">
        <v>136</v>
      </c>
      <c r="P1851" s="6" t="s">
        <v>1689</v>
      </c>
      <c r="Q1851" s="8" t="s">
        <v>40</v>
      </c>
      <c r="R1851" s="10" t="s">
        <v>4348</v>
      </c>
      <c r="S1851" s="11"/>
      <c r="T1851" s="6"/>
      <c r="U1851" s="15" t="str">
        <f>HYPERLINK("https://media.infra-m.ru/2236/2236983/cover/2236983.jpg", "Обложка")</f>
        <v>Обложка</v>
      </c>
      <c r="V1851" s="8" t="s">
        <v>138</v>
      </c>
      <c r="W1851" s="6" t="s">
        <v>528</v>
      </c>
      <c r="X1851" s="6"/>
      <c r="Y1851" s="6"/>
      <c r="Z1851" s="6"/>
      <c r="AA1851" s="6" t="s">
        <v>187</v>
      </c>
      <c r="AB1851" s="8"/>
      <c r="AC1851" s="27">
        <v>9785160217314</v>
      </c>
    </row>
    <row r="1852" spans="1:29" s="4" customFormat="1" ht="42" customHeight="1" x14ac:dyDescent="0.2">
      <c r="A1852" s="5">
        <v>0</v>
      </c>
      <c r="B1852" s="6" t="s">
        <v>11188</v>
      </c>
      <c r="C1852" s="7">
        <v>2748</v>
      </c>
      <c r="D1852" s="8" t="s">
        <v>11189</v>
      </c>
      <c r="E1852" s="8" t="s">
        <v>11176</v>
      </c>
      <c r="F1852" s="8" t="s">
        <v>11190</v>
      </c>
      <c r="G1852" s="6" t="s">
        <v>60</v>
      </c>
      <c r="H1852" s="6" t="s">
        <v>34</v>
      </c>
      <c r="I1852" s="8" t="s">
        <v>457</v>
      </c>
      <c r="J1852" s="9">
        <v>1</v>
      </c>
      <c r="K1852" s="9">
        <v>491</v>
      </c>
      <c r="L1852" s="9">
        <v>2024</v>
      </c>
      <c r="M1852" s="8" t="s">
        <v>11191</v>
      </c>
      <c r="N1852" s="8" t="s">
        <v>37</v>
      </c>
      <c r="O1852" s="8" t="s">
        <v>136</v>
      </c>
      <c r="P1852" s="6" t="s">
        <v>1689</v>
      </c>
      <c r="Q1852" s="8" t="s">
        <v>40</v>
      </c>
      <c r="R1852" s="10" t="s">
        <v>684</v>
      </c>
      <c r="S1852" s="11"/>
      <c r="T1852" s="6"/>
      <c r="U1852" s="15" t="str">
        <f>HYPERLINK("https://media.infra-m.ru/2146/2146549/cover/2146549.jpg", "Обложка")</f>
        <v>Обложка</v>
      </c>
      <c r="V1852" s="8" t="s">
        <v>247</v>
      </c>
      <c r="W1852" s="6"/>
      <c r="X1852" s="6"/>
      <c r="Y1852" s="6"/>
      <c r="Z1852" s="6"/>
      <c r="AA1852" s="6" t="s">
        <v>148</v>
      </c>
      <c r="AB1852" s="8"/>
      <c r="AC1852" s="27">
        <v>9785160172224</v>
      </c>
    </row>
    <row r="1853" spans="1:29" s="4" customFormat="1" ht="42" customHeight="1" x14ac:dyDescent="0.2">
      <c r="A1853" s="5">
        <v>0</v>
      </c>
      <c r="B1853" s="6" t="s">
        <v>11192</v>
      </c>
      <c r="C1853" s="7">
        <v>3532.8</v>
      </c>
      <c r="D1853" s="8" t="s">
        <v>11193</v>
      </c>
      <c r="E1853" s="8" t="s">
        <v>11194</v>
      </c>
      <c r="F1853" s="8" t="s">
        <v>11195</v>
      </c>
      <c r="G1853" s="6" t="s">
        <v>60</v>
      </c>
      <c r="H1853" s="6" t="s">
        <v>134</v>
      </c>
      <c r="I1853" s="8"/>
      <c r="J1853" s="9">
        <v>1</v>
      </c>
      <c r="K1853" s="9">
        <v>608</v>
      </c>
      <c r="L1853" s="9">
        <v>2025</v>
      </c>
      <c r="M1853" s="8" t="s">
        <v>11196</v>
      </c>
      <c r="N1853" s="8" t="s">
        <v>37</v>
      </c>
      <c r="O1853" s="8" t="s">
        <v>136</v>
      </c>
      <c r="P1853" s="6" t="s">
        <v>39</v>
      </c>
      <c r="Q1853" s="8" t="s">
        <v>40</v>
      </c>
      <c r="R1853" s="10" t="s">
        <v>1255</v>
      </c>
      <c r="S1853" s="11"/>
      <c r="T1853" s="6"/>
      <c r="U1853" s="15" t="str">
        <f>HYPERLINK("https://media.infra-m.ru/2208/2208457/cover/2208457.jpg", "Обложка")</f>
        <v>Обложка</v>
      </c>
      <c r="V1853" s="8" t="s">
        <v>1184</v>
      </c>
      <c r="W1853" s="6"/>
      <c r="X1853" s="6"/>
      <c r="Y1853" s="6"/>
      <c r="Z1853" s="6"/>
      <c r="AA1853" s="6" t="s">
        <v>99</v>
      </c>
      <c r="AB1853" s="8"/>
      <c r="AC1853" s="27">
        <v>9785917687834</v>
      </c>
    </row>
    <row r="1854" spans="1:29" s="4" customFormat="1" ht="51.9" customHeight="1" x14ac:dyDescent="0.2">
      <c r="A1854" s="5">
        <v>0</v>
      </c>
      <c r="B1854" s="6" t="s">
        <v>11197</v>
      </c>
      <c r="C1854" s="7">
        <v>1780.8</v>
      </c>
      <c r="D1854" s="8" t="s">
        <v>11198</v>
      </c>
      <c r="E1854" s="8" t="s">
        <v>11199</v>
      </c>
      <c r="F1854" s="8" t="s">
        <v>11200</v>
      </c>
      <c r="G1854" s="6" t="s">
        <v>118</v>
      </c>
      <c r="H1854" s="6" t="s">
        <v>34</v>
      </c>
      <c r="I1854" s="8" t="s">
        <v>263</v>
      </c>
      <c r="J1854" s="9">
        <v>1</v>
      </c>
      <c r="K1854" s="9">
        <v>270</v>
      </c>
      <c r="L1854" s="9">
        <v>2026</v>
      </c>
      <c r="M1854" s="8" t="s">
        <v>11201</v>
      </c>
      <c r="N1854" s="8" t="s">
        <v>243</v>
      </c>
      <c r="O1854" s="8" t="s">
        <v>798</v>
      </c>
      <c r="P1854" s="6" t="s">
        <v>306</v>
      </c>
      <c r="Q1854" s="8" t="s">
        <v>265</v>
      </c>
      <c r="R1854" s="10" t="s">
        <v>11202</v>
      </c>
      <c r="S1854" s="11" t="s">
        <v>11203</v>
      </c>
      <c r="T1854" s="6" t="s">
        <v>97</v>
      </c>
      <c r="U1854" s="15" t="str">
        <f>HYPERLINK("https://media.infra-m.ru/2233/2233823/cover/2233823.jpg", "Обложка")</f>
        <v>Обложка</v>
      </c>
      <c r="V1854" s="8" t="s">
        <v>227</v>
      </c>
      <c r="W1854" s="6"/>
      <c r="X1854" s="6" t="s">
        <v>24</v>
      </c>
      <c r="Y1854" s="6"/>
      <c r="Z1854" s="6"/>
      <c r="AA1854" s="6" t="s">
        <v>248</v>
      </c>
      <c r="AB1854" s="8"/>
      <c r="AC1854" s="27">
        <v>9785160060064</v>
      </c>
    </row>
    <row r="1855" spans="1:29" s="4" customFormat="1" ht="42" customHeight="1" x14ac:dyDescent="0.2">
      <c r="A1855" s="5">
        <v>0</v>
      </c>
      <c r="B1855" s="6" t="s">
        <v>11204</v>
      </c>
      <c r="C1855" s="13">
        <v>744</v>
      </c>
      <c r="D1855" s="8" t="s">
        <v>11205</v>
      </c>
      <c r="E1855" s="8" t="s">
        <v>11206</v>
      </c>
      <c r="F1855" s="8" t="s">
        <v>11207</v>
      </c>
      <c r="G1855" s="6" t="s">
        <v>33</v>
      </c>
      <c r="H1855" s="6" t="s">
        <v>34</v>
      </c>
      <c r="I1855" s="8" t="s">
        <v>35</v>
      </c>
      <c r="J1855" s="9">
        <v>1</v>
      </c>
      <c r="K1855" s="9">
        <v>122</v>
      </c>
      <c r="L1855" s="9">
        <v>2023</v>
      </c>
      <c r="M1855" s="8" t="s">
        <v>11208</v>
      </c>
      <c r="N1855" s="8" t="s">
        <v>37</v>
      </c>
      <c r="O1855" s="8" t="s">
        <v>83</v>
      </c>
      <c r="P1855" s="6" t="s">
        <v>39</v>
      </c>
      <c r="Q1855" s="8" t="s">
        <v>40</v>
      </c>
      <c r="R1855" s="10" t="s">
        <v>11209</v>
      </c>
      <c r="S1855" s="11"/>
      <c r="T1855" s="6"/>
      <c r="U1855" s="15" t="str">
        <f>HYPERLINK("https://media.infra-m.ru/2052/2052441/cover/2052441.jpg", "Обложка")</f>
        <v>Обложка</v>
      </c>
      <c r="V1855" s="8" t="s">
        <v>11210</v>
      </c>
      <c r="W1855" s="6"/>
      <c r="X1855" s="6"/>
      <c r="Y1855" s="6"/>
      <c r="Z1855" s="6"/>
      <c r="AA1855" s="6" t="s">
        <v>157</v>
      </c>
      <c r="AB1855" s="8"/>
      <c r="AC1855" s="27">
        <v>9785160187426</v>
      </c>
    </row>
    <row r="1856" spans="1:29" s="4" customFormat="1" ht="51.9" customHeight="1" x14ac:dyDescent="0.2">
      <c r="A1856" s="5">
        <v>0</v>
      </c>
      <c r="B1856" s="6" t="s">
        <v>11211</v>
      </c>
      <c r="C1856" s="7">
        <v>1252.8</v>
      </c>
      <c r="D1856" s="8" t="s">
        <v>11212</v>
      </c>
      <c r="E1856" s="8" t="s">
        <v>11213</v>
      </c>
      <c r="F1856" s="8" t="s">
        <v>11214</v>
      </c>
      <c r="G1856" s="6" t="s">
        <v>33</v>
      </c>
      <c r="H1856" s="6" t="s">
        <v>34</v>
      </c>
      <c r="I1856" s="8" t="s">
        <v>35</v>
      </c>
      <c r="J1856" s="9">
        <v>1</v>
      </c>
      <c r="K1856" s="9">
        <v>180</v>
      </c>
      <c r="L1856" s="9">
        <v>2026</v>
      </c>
      <c r="M1856" s="8" t="s">
        <v>11215</v>
      </c>
      <c r="N1856" s="8" t="s">
        <v>585</v>
      </c>
      <c r="O1856" s="8" t="s">
        <v>775</v>
      </c>
      <c r="P1856" s="6" t="s">
        <v>39</v>
      </c>
      <c r="Q1856" s="8" t="s">
        <v>40</v>
      </c>
      <c r="R1856" s="10" t="s">
        <v>11216</v>
      </c>
      <c r="S1856" s="11"/>
      <c r="T1856" s="6"/>
      <c r="U1856" s="15" t="str">
        <f>HYPERLINK("https://media.infra-m.ru/2262/2262079/cover/2262079.jpg", "Обложка")</f>
        <v>Обложка</v>
      </c>
      <c r="V1856" s="8" t="s">
        <v>2602</v>
      </c>
      <c r="W1856" s="6"/>
      <c r="X1856" s="6"/>
      <c r="Y1856" s="6"/>
      <c r="Z1856" s="6"/>
      <c r="AA1856" s="6" t="s">
        <v>1303</v>
      </c>
      <c r="AB1856" s="8"/>
      <c r="AC1856" s="27">
        <v>9785160173825</v>
      </c>
    </row>
    <row r="1857" spans="1:29" s="4" customFormat="1" ht="51.9" customHeight="1" x14ac:dyDescent="0.2">
      <c r="A1857" s="5">
        <v>0</v>
      </c>
      <c r="B1857" s="6" t="s">
        <v>11217</v>
      </c>
      <c r="C1857" s="13">
        <v>828</v>
      </c>
      <c r="D1857" s="8" t="s">
        <v>11218</v>
      </c>
      <c r="E1857" s="8" t="s">
        <v>11219</v>
      </c>
      <c r="F1857" s="8" t="s">
        <v>11220</v>
      </c>
      <c r="G1857" s="6" t="s">
        <v>33</v>
      </c>
      <c r="H1857" s="6" t="s">
        <v>34</v>
      </c>
      <c r="I1857" s="8" t="s">
        <v>35</v>
      </c>
      <c r="J1857" s="9">
        <v>1</v>
      </c>
      <c r="K1857" s="9">
        <v>177</v>
      </c>
      <c r="L1857" s="9">
        <v>2022</v>
      </c>
      <c r="M1857" s="8" t="s">
        <v>11221</v>
      </c>
      <c r="N1857" s="8" t="s">
        <v>585</v>
      </c>
      <c r="O1857" s="8" t="s">
        <v>775</v>
      </c>
      <c r="P1857" s="6" t="s">
        <v>39</v>
      </c>
      <c r="Q1857" s="8" t="s">
        <v>40</v>
      </c>
      <c r="R1857" s="10" t="s">
        <v>11216</v>
      </c>
      <c r="S1857" s="11"/>
      <c r="T1857" s="6"/>
      <c r="U1857" s="15" t="str">
        <f>HYPERLINK("https://media.infra-m.ru/1846/1846238/cover/1846238.jpg", "Обложка")</f>
        <v>Обложка</v>
      </c>
      <c r="V1857" s="8" t="s">
        <v>2602</v>
      </c>
      <c r="W1857" s="6"/>
      <c r="X1857" s="6"/>
      <c r="Y1857" s="6"/>
      <c r="Z1857" s="6"/>
      <c r="AA1857" s="6" t="s">
        <v>115</v>
      </c>
      <c r="AB1857" s="8"/>
      <c r="AC1857" s="27">
        <v>9785160140223</v>
      </c>
    </row>
    <row r="1858" spans="1:29" s="4" customFormat="1" ht="51.9" customHeight="1" x14ac:dyDescent="0.2">
      <c r="A1858" s="5">
        <v>0</v>
      </c>
      <c r="B1858" s="6" t="s">
        <v>11222</v>
      </c>
      <c r="C1858" s="7">
        <v>3898.8</v>
      </c>
      <c r="D1858" s="8" t="s">
        <v>11223</v>
      </c>
      <c r="E1858" s="8" t="s">
        <v>11224</v>
      </c>
      <c r="F1858" s="8" t="s">
        <v>11225</v>
      </c>
      <c r="G1858" s="6" t="s">
        <v>118</v>
      </c>
      <c r="H1858" s="6" t="s">
        <v>34</v>
      </c>
      <c r="I1858" s="8" t="s">
        <v>5350</v>
      </c>
      <c r="J1858" s="9">
        <v>1</v>
      </c>
      <c r="K1858" s="9">
        <v>296</v>
      </c>
      <c r="L1858" s="9">
        <v>2027</v>
      </c>
      <c r="M1858" s="8" t="s">
        <v>11226</v>
      </c>
      <c r="N1858" s="8" t="s">
        <v>243</v>
      </c>
      <c r="O1858" s="8" t="s">
        <v>385</v>
      </c>
      <c r="P1858" s="6" t="s">
        <v>51</v>
      </c>
      <c r="Q1858" s="8" t="s">
        <v>377</v>
      </c>
      <c r="R1858" s="10" t="s">
        <v>3883</v>
      </c>
      <c r="S1858" s="11" t="s">
        <v>11227</v>
      </c>
      <c r="T1858" s="6"/>
      <c r="U1858" s="15" t="str">
        <f>HYPERLINK("https://media.infra-m.ru/2257/2257099/cover/2257099.jpg", "Обложка")</f>
        <v>Обложка</v>
      </c>
      <c r="V1858" s="8" t="s">
        <v>3826</v>
      </c>
      <c r="W1858" s="6"/>
      <c r="X1858" s="6"/>
      <c r="Y1858" s="6"/>
      <c r="Z1858" s="6"/>
      <c r="AA1858" s="6" t="s">
        <v>1256</v>
      </c>
      <c r="AB1858" s="8"/>
      <c r="AC1858" s="27">
        <v>9785160147567</v>
      </c>
    </row>
    <row r="1859" spans="1:29" s="4" customFormat="1" ht="51.9" customHeight="1" x14ac:dyDescent="0.2">
      <c r="A1859" s="5">
        <v>0</v>
      </c>
      <c r="B1859" s="6" t="s">
        <v>11228</v>
      </c>
      <c r="C1859" s="7">
        <v>2088</v>
      </c>
      <c r="D1859" s="8" t="s">
        <v>11229</v>
      </c>
      <c r="E1859" s="8" t="s">
        <v>11230</v>
      </c>
      <c r="F1859" s="8" t="s">
        <v>11231</v>
      </c>
      <c r="G1859" s="6" t="s">
        <v>60</v>
      </c>
      <c r="H1859" s="6" t="s">
        <v>34</v>
      </c>
      <c r="I1859" s="8" t="s">
        <v>253</v>
      </c>
      <c r="J1859" s="9">
        <v>1</v>
      </c>
      <c r="K1859" s="9">
        <v>333</v>
      </c>
      <c r="L1859" s="9">
        <v>2025</v>
      </c>
      <c r="M1859" s="8" t="s">
        <v>11232</v>
      </c>
      <c r="N1859" s="8" t="s">
        <v>243</v>
      </c>
      <c r="O1859" s="8" t="s">
        <v>758</v>
      </c>
      <c r="P1859" s="6" t="s">
        <v>394</v>
      </c>
      <c r="Q1859" s="8" t="s">
        <v>65</v>
      </c>
      <c r="R1859" s="10" t="s">
        <v>11233</v>
      </c>
      <c r="S1859" s="11"/>
      <c r="T1859" s="6"/>
      <c r="U1859" s="15" t="str">
        <f>HYPERLINK("https://media.infra-m.ru/2052/2052421/cover/2052421.jpg", "Обложка")</f>
        <v>Обложка</v>
      </c>
      <c r="V1859" s="8" t="s">
        <v>217</v>
      </c>
      <c r="W1859" s="6"/>
      <c r="X1859" s="6"/>
      <c r="Y1859" s="6"/>
      <c r="Z1859" s="6"/>
      <c r="AA1859" s="6" t="s">
        <v>68</v>
      </c>
      <c r="AB1859" s="8"/>
      <c r="AC1859" s="27">
        <v>9785160187389</v>
      </c>
    </row>
    <row r="1860" spans="1:29" s="4" customFormat="1" ht="44.1" customHeight="1" x14ac:dyDescent="0.2">
      <c r="A1860" s="5">
        <v>0</v>
      </c>
      <c r="B1860" s="6" t="s">
        <v>11234</v>
      </c>
      <c r="C1860" s="7">
        <v>4920</v>
      </c>
      <c r="D1860" s="8" t="s">
        <v>11235</v>
      </c>
      <c r="E1860" s="8" t="s">
        <v>11236</v>
      </c>
      <c r="F1860" s="8" t="s">
        <v>11237</v>
      </c>
      <c r="G1860" s="6" t="s">
        <v>60</v>
      </c>
      <c r="H1860" s="6" t="s">
        <v>34</v>
      </c>
      <c r="I1860" s="8" t="s">
        <v>35</v>
      </c>
      <c r="J1860" s="9">
        <v>1</v>
      </c>
      <c r="K1860" s="9">
        <v>432</v>
      </c>
      <c r="L1860" s="9">
        <v>2026</v>
      </c>
      <c r="M1860" s="8" t="s">
        <v>11238</v>
      </c>
      <c r="N1860" s="8" t="s">
        <v>37</v>
      </c>
      <c r="O1860" s="8" t="s">
        <v>136</v>
      </c>
      <c r="P1860" s="6" t="s">
        <v>39</v>
      </c>
      <c r="Q1860" s="8" t="s">
        <v>40</v>
      </c>
      <c r="R1860" s="10" t="s">
        <v>11239</v>
      </c>
      <c r="S1860" s="11"/>
      <c r="T1860" s="6"/>
      <c r="U1860" s="15" t="str">
        <f>HYPERLINK("https://media.infra-m.ru/2243/2243232/cover/2243232.jpg", "Обложка")</f>
        <v>Обложка</v>
      </c>
      <c r="V1860" s="8" t="s">
        <v>11240</v>
      </c>
      <c r="W1860" s="6"/>
      <c r="X1860" s="6"/>
      <c r="Y1860" s="6"/>
      <c r="Z1860" s="6"/>
      <c r="AA1860" s="6" t="s">
        <v>68</v>
      </c>
      <c r="AB1860" s="8" t="s">
        <v>2634</v>
      </c>
      <c r="AC1860" s="27">
        <v>9785160208053</v>
      </c>
    </row>
    <row r="1861" spans="1:29" s="4" customFormat="1" ht="51.9" customHeight="1" x14ac:dyDescent="0.2">
      <c r="A1861" s="5">
        <v>0</v>
      </c>
      <c r="B1861" s="6" t="s">
        <v>11241</v>
      </c>
      <c r="C1861" s="7">
        <v>2460</v>
      </c>
      <c r="D1861" s="8" t="s">
        <v>11242</v>
      </c>
      <c r="E1861" s="8" t="s">
        <v>11243</v>
      </c>
      <c r="F1861" s="8" t="s">
        <v>11244</v>
      </c>
      <c r="G1861" s="6" t="s">
        <v>60</v>
      </c>
      <c r="H1861" s="6" t="s">
        <v>34</v>
      </c>
      <c r="I1861" s="8" t="s">
        <v>253</v>
      </c>
      <c r="J1861" s="9">
        <v>1</v>
      </c>
      <c r="K1861" s="9">
        <v>445</v>
      </c>
      <c r="L1861" s="9">
        <v>2024</v>
      </c>
      <c r="M1861" s="8" t="s">
        <v>11245</v>
      </c>
      <c r="N1861" s="8" t="s">
        <v>243</v>
      </c>
      <c r="O1861" s="8" t="s">
        <v>964</v>
      </c>
      <c r="P1861" s="6" t="s">
        <v>51</v>
      </c>
      <c r="Q1861" s="8" t="s">
        <v>65</v>
      </c>
      <c r="R1861" s="10" t="s">
        <v>11246</v>
      </c>
      <c r="S1861" s="11" t="s">
        <v>11247</v>
      </c>
      <c r="T1861" s="6"/>
      <c r="U1861" s="15" t="str">
        <f>HYPERLINK("https://media.infra-m.ru/2082/2082336/cover/2082336.jpg", "Обложка")</f>
        <v>Обложка</v>
      </c>
      <c r="V1861" s="8" t="s">
        <v>7509</v>
      </c>
      <c r="W1861" s="6"/>
      <c r="X1861" s="6"/>
      <c r="Y1861" s="6"/>
      <c r="Z1861" s="6"/>
      <c r="AA1861" s="6" t="s">
        <v>779</v>
      </c>
      <c r="AB1861" s="8"/>
      <c r="AC1861" s="27">
        <v>9785160114484</v>
      </c>
    </row>
    <row r="1862" spans="1:29" s="4" customFormat="1" ht="51.9" customHeight="1" x14ac:dyDescent="0.2">
      <c r="A1862" s="5">
        <v>0</v>
      </c>
      <c r="B1862" s="6" t="s">
        <v>11248</v>
      </c>
      <c r="C1862" s="7">
        <v>1884</v>
      </c>
      <c r="D1862" s="8" t="s">
        <v>11249</v>
      </c>
      <c r="E1862" s="8" t="s">
        <v>11250</v>
      </c>
      <c r="F1862" s="8" t="s">
        <v>11244</v>
      </c>
      <c r="G1862" s="6" t="s">
        <v>118</v>
      </c>
      <c r="H1862" s="6" t="s">
        <v>34</v>
      </c>
      <c r="I1862" s="8" t="s">
        <v>253</v>
      </c>
      <c r="J1862" s="9">
        <v>1</v>
      </c>
      <c r="K1862" s="9">
        <v>340</v>
      </c>
      <c r="L1862" s="9">
        <v>2023</v>
      </c>
      <c r="M1862" s="8" t="s">
        <v>11251</v>
      </c>
      <c r="N1862" s="8" t="s">
        <v>243</v>
      </c>
      <c r="O1862" s="8" t="s">
        <v>798</v>
      </c>
      <c r="P1862" s="6" t="s">
        <v>51</v>
      </c>
      <c r="Q1862" s="8" t="s">
        <v>65</v>
      </c>
      <c r="R1862" s="10" t="s">
        <v>11246</v>
      </c>
      <c r="S1862" s="11" t="s">
        <v>11252</v>
      </c>
      <c r="T1862" s="6"/>
      <c r="U1862" s="15" t="str">
        <f>HYPERLINK("https://media.infra-m.ru/2126/2126762/cover/2126762.jpg", "Обложка")</f>
        <v>Обложка</v>
      </c>
      <c r="V1862" s="8" t="s">
        <v>7509</v>
      </c>
      <c r="W1862" s="6"/>
      <c r="X1862" s="6"/>
      <c r="Y1862" s="6"/>
      <c r="Z1862" s="6"/>
      <c r="AA1862" s="6" t="s">
        <v>99</v>
      </c>
      <c r="AB1862" s="8"/>
      <c r="AC1862" s="27">
        <v>9785160126135</v>
      </c>
    </row>
    <row r="1863" spans="1:29" s="4" customFormat="1" ht="42" customHeight="1" x14ac:dyDescent="0.2">
      <c r="A1863" s="5">
        <v>0</v>
      </c>
      <c r="B1863" s="6" t="s">
        <v>11253</v>
      </c>
      <c r="C1863" s="7">
        <v>2160</v>
      </c>
      <c r="D1863" s="8" t="s">
        <v>11254</v>
      </c>
      <c r="E1863" s="8" t="s">
        <v>11255</v>
      </c>
      <c r="F1863" s="8" t="s">
        <v>2562</v>
      </c>
      <c r="G1863" s="6" t="s">
        <v>60</v>
      </c>
      <c r="H1863" s="6" t="s">
        <v>34</v>
      </c>
      <c r="I1863" s="8" t="s">
        <v>1835</v>
      </c>
      <c r="J1863" s="9">
        <v>1</v>
      </c>
      <c r="K1863" s="9">
        <v>381</v>
      </c>
      <c r="L1863" s="9">
        <v>2024</v>
      </c>
      <c r="M1863" s="8" t="s">
        <v>11256</v>
      </c>
      <c r="N1863" s="8" t="s">
        <v>37</v>
      </c>
      <c r="O1863" s="8" t="s">
        <v>50</v>
      </c>
      <c r="P1863" s="6" t="s">
        <v>1837</v>
      </c>
      <c r="Q1863" s="8" t="s">
        <v>65</v>
      </c>
      <c r="R1863" s="10" t="s">
        <v>2558</v>
      </c>
      <c r="S1863" s="11"/>
      <c r="T1863" s="6"/>
      <c r="U1863" s="15" t="str">
        <f>HYPERLINK("https://media.infra-m.ru/1415/1415375/cover/1415375.jpg", "Обложка")</f>
        <v>Обложка</v>
      </c>
      <c r="V1863" s="8" t="s">
        <v>843</v>
      </c>
      <c r="W1863" s="6"/>
      <c r="X1863" s="6"/>
      <c r="Y1863" s="6"/>
      <c r="Z1863" s="6"/>
      <c r="AA1863" s="6" t="s">
        <v>76</v>
      </c>
      <c r="AB1863" s="8"/>
      <c r="AC1863" s="27">
        <v>9785160169606</v>
      </c>
    </row>
    <row r="1864" spans="1:29" s="4" customFormat="1" ht="51.9" customHeight="1" x14ac:dyDescent="0.2">
      <c r="A1864" s="5">
        <v>0</v>
      </c>
      <c r="B1864" s="6" t="s">
        <v>11257</v>
      </c>
      <c r="C1864" s="7">
        <v>1476</v>
      </c>
      <c r="D1864" s="8" t="s">
        <v>11258</v>
      </c>
      <c r="E1864" s="8" t="s">
        <v>11259</v>
      </c>
      <c r="F1864" s="8" t="s">
        <v>11260</v>
      </c>
      <c r="G1864" s="6" t="s">
        <v>118</v>
      </c>
      <c r="H1864" s="6" t="s">
        <v>34</v>
      </c>
      <c r="I1864" s="8" t="s">
        <v>5350</v>
      </c>
      <c r="J1864" s="9">
        <v>1</v>
      </c>
      <c r="K1864" s="9">
        <v>267</v>
      </c>
      <c r="L1864" s="9">
        <v>2024</v>
      </c>
      <c r="M1864" s="8" t="s">
        <v>11261</v>
      </c>
      <c r="N1864" s="8" t="s">
        <v>243</v>
      </c>
      <c r="O1864" s="8" t="s">
        <v>385</v>
      </c>
      <c r="P1864" s="6" t="s">
        <v>51</v>
      </c>
      <c r="Q1864" s="8" t="s">
        <v>377</v>
      </c>
      <c r="R1864" s="10" t="s">
        <v>378</v>
      </c>
      <c r="S1864" s="11" t="s">
        <v>11262</v>
      </c>
      <c r="T1864" s="6"/>
      <c r="U1864" s="15" t="str">
        <f>HYPERLINK("https://media.infra-m.ru/2085/2085112/cover/2085112.jpg", "Обложка")</f>
        <v>Обложка</v>
      </c>
      <c r="V1864" s="8" t="s">
        <v>8054</v>
      </c>
      <c r="W1864" s="6"/>
      <c r="X1864" s="6"/>
      <c r="Y1864" s="6"/>
      <c r="Z1864" s="6"/>
      <c r="AA1864" s="6" t="s">
        <v>115</v>
      </c>
      <c r="AB1864" s="8"/>
      <c r="AC1864" s="27">
        <v>9785160154725</v>
      </c>
    </row>
    <row r="1865" spans="1:29" s="4" customFormat="1" ht="51.9" customHeight="1" x14ac:dyDescent="0.2">
      <c r="A1865" s="5">
        <v>0</v>
      </c>
      <c r="B1865" s="6" t="s">
        <v>11263</v>
      </c>
      <c r="C1865" s="7">
        <v>3288</v>
      </c>
      <c r="D1865" s="8" t="s">
        <v>11264</v>
      </c>
      <c r="E1865" s="8" t="s">
        <v>11265</v>
      </c>
      <c r="F1865" s="8" t="s">
        <v>11266</v>
      </c>
      <c r="G1865" s="6" t="s">
        <v>60</v>
      </c>
      <c r="H1865" s="6" t="s">
        <v>34</v>
      </c>
      <c r="I1865" s="8" t="s">
        <v>271</v>
      </c>
      <c r="J1865" s="9">
        <v>1</v>
      </c>
      <c r="K1865" s="9">
        <v>592</v>
      </c>
      <c r="L1865" s="9">
        <v>2024</v>
      </c>
      <c r="M1865" s="8" t="s">
        <v>11267</v>
      </c>
      <c r="N1865" s="8" t="s">
        <v>37</v>
      </c>
      <c r="O1865" s="8" t="s">
        <v>233</v>
      </c>
      <c r="P1865" s="6" t="s">
        <v>306</v>
      </c>
      <c r="Q1865" s="8" t="s">
        <v>52</v>
      </c>
      <c r="R1865" s="10" t="s">
        <v>11268</v>
      </c>
      <c r="S1865" s="11" t="s">
        <v>11269</v>
      </c>
      <c r="T1865" s="6"/>
      <c r="U1865" s="15" t="str">
        <f>HYPERLINK("https://media.infra-m.ru/2084/2084960/cover/2084960.jpg", "Обложка")</f>
        <v>Обложка</v>
      </c>
      <c r="V1865" s="8" t="s">
        <v>1871</v>
      </c>
      <c r="W1865" s="6"/>
      <c r="X1865" s="6"/>
      <c r="Y1865" s="6"/>
      <c r="Z1865" s="6"/>
      <c r="AA1865" s="6" t="s">
        <v>115</v>
      </c>
      <c r="AB1865" s="8"/>
      <c r="AC1865" s="27">
        <v>9785160145235</v>
      </c>
    </row>
    <row r="1866" spans="1:29" s="4" customFormat="1" ht="42" customHeight="1" x14ac:dyDescent="0.2">
      <c r="A1866" s="5">
        <v>0</v>
      </c>
      <c r="B1866" s="6" t="s">
        <v>11270</v>
      </c>
      <c r="C1866" s="7">
        <v>1156.8</v>
      </c>
      <c r="D1866" s="8" t="s">
        <v>11271</v>
      </c>
      <c r="E1866" s="8" t="s">
        <v>11272</v>
      </c>
      <c r="F1866" s="8" t="s">
        <v>11273</v>
      </c>
      <c r="G1866" s="6" t="s">
        <v>60</v>
      </c>
      <c r="H1866" s="6" t="s">
        <v>34</v>
      </c>
      <c r="I1866" s="8" t="s">
        <v>253</v>
      </c>
      <c r="J1866" s="9">
        <v>1</v>
      </c>
      <c r="K1866" s="9">
        <v>175</v>
      </c>
      <c r="L1866" s="9">
        <v>2026</v>
      </c>
      <c r="M1866" s="8" t="s">
        <v>11274</v>
      </c>
      <c r="N1866" s="8" t="s">
        <v>37</v>
      </c>
      <c r="O1866" s="8" t="s">
        <v>280</v>
      </c>
      <c r="P1866" s="6" t="s">
        <v>51</v>
      </c>
      <c r="Q1866" s="8" t="s">
        <v>52</v>
      </c>
      <c r="R1866" s="10" t="s">
        <v>357</v>
      </c>
      <c r="S1866" s="11"/>
      <c r="T1866" s="6"/>
      <c r="U1866" s="15" t="str">
        <f>HYPERLINK("https://media.infra-m.ru/2239/2239150/cover/2239150.jpg", "Обложка")</f>
        <v>Обложка</v>
      </c>
      <c r="V1866" s="8" t="s">
        <v>831</v>
      </c>
      <c r="W1866" s="6"/>
      <c r="X1866" s="6"/>
      <c r="Y1866" s="6"/>
      <c r="Z1866" s="6"/>
      <c r="AA1866" s="6" t="s">
        <v>157</v>
      </c>
      <c r="AB1866" s="8"/>
      <c r="AC1866" s="27">
        <v>9785160174754</v>
      </c>
    </row>
    <row r="1867" spans="1:29" s="4" customFormat="1" ht="51.9" customHeight="1" x14ac:dyDescent="0.2">
      <c r="A1867" s="5">
        <v>0</v>
      </c>
      <c r="B1867" s="6" t="s">
        <v>11275</v>
      </c>
      <c r="C1867" s="7">
        <v>1404</v>
      </c>
      <c r="D1867" s="8" t="s">
        <v>11276</v>
      </c>
      <c r="E1867" s="8" t="s">
        <v>11277</v>
      </c>
      <c r="F1867" s="8" t="s">
        <v>11278</v>
      </c>
      <c r="G1867" s="6" t="s">
        <v>118</v>
      </c>
      <c r="H1867" s="6" t="s">
        <v>34</v>
      </c>
      <c r="I1867" s="8" t="s">
        <v>253</v>
      </c>
      <c r="J1867" s="9">
        <v>1</v>
      </c>
      <c r="K1867" s="9">
        <v>254</v>
      </c>
      <c r="L1867" s="9">
        <v>2024</v>
      </c>
      <c r="M1867" s="8" t="s">
        <v>11279</v>
      </c>
      <c r="N1867" s="8" t="s">
        <v>243</v>
      </c>
      <c r="O1867" s="8" t="s">
        <v>244</v>
      </c>
      <c r="P1867" s="6" t="s">
        <v>51</v>
      </c>
      <c r="Q1867" s="8" t="s">
        <v>52</v>
      </c>
      <c r="R1867" s="10" t="s">
        <v>11280</v>
      </c>
      <c r="S1867" s="11" t="s">
        <v>11281</v>
      </c>
      <c r="T1867" s="6"/>
      <c r="U1867" s="15" t="str">
        <f>HYPERLINK("https://media.infra-m.ru/2079/2079693/cover/2079693.jpg", "Обложка")</f>
        <v>Обложка</v>
      </c>
      <c r="V1867" s="8" t="s">
        <v>644</v>
      </c>
      <c r="W1867" s="6"/>
      <c r="X1867" s="6"/>
      <c r="Y1867" s="6"/>
      <c r="Z1867" s="6"/>
      <c r="AA1867" s="6" t="s">
        <v>43</v>
      </c>
      <c r="AB1867" s="8"/>
      <c r="AC1867" s="27">
        <v>9785160189338</v>
      </c>
    </row>
    <row r="1868" spans="1:29" s="4" customFormat="1" ht="51.9" customHeight="1" x14ac:dyDescent="0.2">
      <c r="A1868" s="5">
        <v>0</v>
      </c>
      <c r="B1868" s="6" t="s">
        <v>11282</v>
      </c>
      <c r="C1868" s="7">
        <v>1704</v>
      </c>
      <c r="D1868" s="8" t="s">
        <v>11283</v>
      </c>
      <c r="E1868" s="8" t="s">
        <v>11284</v>
      </c>
      <c r="F1868" s="8" t="s">
        <v>11285</v>
      </c>
      <c r="G1868" s="6" t="s">
        <v>118</v>
      </c>
      <c r="H1868" s="6" t="s">
        <v>241</v>
      </c>
      <c r="I1868" s="8"/>
      <c r="J1868" s="9">
        <v>1</v>
      </c>
      <c r="K1868" s="9">
        <v>283</v>
      </c>
      <c r="L1868" s="9">
        <v>2024</v>
      </c>
      <c r="M1868" s="8" t="s">
        <v>11286</v>
      </c>
      <c r="N1868" s="8" t="s">
        <v>243</v>
      </c>
      <c r="O1868" s="8" t="s">
        <v>244</v>
      </c>
      <c r="P1868" s="6" t="s">
        <v>51</v>
      </c>
      <c r="Q1868" s="8" t="s">
        <v>500</v>
      </c>
      <c r="R1868" s="10" t="s">
        <v>11287</v>
      </c>
      <c r="S1868" s="11"/>
      <c r="T1868" s="6"/>
      <c r="U1868" s="15" t="str">
        <f>HYPERLINK("https://media.infra-m.ru/2149/2149172/cover/2149172.jpg", "Обложка")</f>
        <v>Обложка</v>
      </c>
      <c r="V1868" s="8" t="s">
        <v>11288</v>
      </c>
      <c r="W1868" s="6"/>
      <c r="X1868" s="6"/>
      <c r="Y1868" s="6"/>
      <c r="Z1868" s="6"/>
      <c r="AA1868" s="6" t="s">
        <v>86</v>
      </c>
      <c r="AB1868" s="8"/>
      <c r="AC1868" s="27">
        <v>9785955805955</v>
      </c>
    </row>
    <row r="1869" spans="1:29" s="4" customFormat="1" ht="51.9" customHeight="1" x14ac:dyDescent="0.2">
      <c r="A1869" s="5">
        <v>0</v>
      </c>
      <c r="B1869" s="6" t="s">
        <v>11289</v>
      </c>
      <c r="C1869" s="13">
        <v>900</v>
      </c>
      <c r="D1869" s="8" t="s">
        <v>11290</v>
      </c>
      <c r="E1869" s="8" t="s">
        <v>11291</v>
      </c>
      <c r="F1869" s="8" t="s">
        <v>11292</v>
      </c>
      <c r="G1869" s="6" t="s">
        <v>118</v>
      </c>
      <c r="H1869" s="6" t="s">
        <v>34</v>
      </c>
      <c r="I1869" s="8" t="s">
        <v>1753</v>
      </c>
      <c r="J1869" s="9">
        <v>1</v>
      </c>
      <c r="K1869" s="9">
        <v>193</v>
      </c>
      <c r="L1869" s="9">
        <v>2022</v>
      </c>
      <c r="M1869" s="8" t="s">
        <v>11293</v>
      </c>
      <c r="N1869" s="8" t="s">
        <v>585</v>
      </c>
      <c r="O1869" s="8" t="s">
        <v>667</v>
      </c>
      <c r="P1869" s="6" t="s">
        <v>51</v>
      </c>
      <c r="Q1869" s="8" t="s">
        <v>500</v>
      </c>
      <c r="R1869" s="10" t="s">
        <v>11294</v>
      </c>
      <c r="S1869" s="11" t="s">
        <v>11295</v>
      </c>
      <c r="T1869" s="6" t="s">
        <v>97</v>
      </c>
      <c r="U1869" s="15" t="str">
        <f>HYPERLINK("https://media.infra-m.ru/1864/1864087/cover/1864087.jpg", "Обложка")</f>
        <v>Обложка</v>
      </c>
      <c r="V1869" s="8" t="s">
        <v>247</v>
      </c>
      <c r="W1869" s="6"/>
      <c r="X1869" s="6"/>
      <c r="Y1869" s="6"/>
      <c r="Z1869" s="6"/>
      <c r="AA1869" s="6" t="s">
        <v>1256</v>
      </c>
      <c r="AB1869" s="8"/>
      <c r="AC1869" s="27">
        <v>9785160153933</v>
      </c>
    </row>
    <row r="1870" spans="1:29" s="4" customFormat="1" ht="42" customHeight="1" x14ac:dyDescent="0.2">
      <c r="A1870" s="5">
        <v>0</v>
      </c>
      <c r="B1870" s="6" t="s">
        <v>11296</v>
      </c>
      <c r="C1870" s="13">
        <v>964.8</v>
      </c>
      <c r="D1870" s="8" t="s">
        <v>11297</v>
      </c>
      <c r="E1870" s="8" t="s">
        <v>11298</v>
      </c>
      <c r="F1870" s="8" t="s">
        <v>11299</v>
      </c>
      <c r="G1870" s="6" t="s">
        <v>33</v>
      </c>
      <c r="H1870" s="6" t="s">
        <v>34</v>
      </c>
      <c r="I1870" s="8" t="s">
        <v>35</v>
      </c>
      <c r="J1870" s="9">
        <v>1</v>
      </c>
      <c r="K1870" s="9">
        <v>168</v>
      </c>
      <c r="L1870" s="9">
        <v>2023</v>
      </c>
      <c r="M1870" s="8" t="s">
        <v>11300</v>
      </c>
      <c r="N1870" s="8" t="s">
        <v>243</v>
      </c>
      <c r="O1870" s="8" t="s">
        <v>385</v>
      </c>
      <c r="P1870" s="6" t="s">
        <v>39</v>
      </c>
      <c r="Q1870" s="8" t="s">
        <v>40</v>
      </c>
      <c r="R1870" s="10" t="s">
        <v>11301</v>
      </c>
      <c r="S1870" s="11"/>
      <c r="T1870" s="6"/>
      <c r="U1870" s="15" t="str">
        <f>HYPERLINK("https://media.infra-m.ru/2058/2058757/cover/2058757.jpg", "Обложка")</f>
        <v>Обложка</v>
      </c>
      <c r="V1870" s="8" t="s">
        <v>8054</v>
      </c>
      <c r="W1870" s="6"/>
      <c r="X1870" s="6"/>
      <c r="Y1870" s="6"/>
      <c r="Z1870" s="6"/>
      <c r="AA1870" s="6" t="s">
        <v>1256</v>
      </c>
      <c r="AB1870" s="8"/>
      <c r="AC1870" s="27">
        <v>9785160162461</v>
      </c>
    </row>
    <row r="1871" spans="1:29" s="4" customFormat="1" ht="42" customHeight="1" x14ac:dyDescent="0.2">
      <c r="A1871" s="5">
        <v>0</v>
      </c>
      <c r="B1871" s="6" t="s">
        <v>11302</v>
      </c>
      <c r="C1871" s="7">
        <v>1228.8</v>
      </c>
      <c r="D1871" s="8" t="s">
        <v>11303</v>
      </c>
      <c r="E1871" s="8" t="s">
        <v>11304</v>
      </c>
      <c r="F1871" s="8" t="s">
        <v>11305</v>
      </c>
      <c r="G1871" s="6" t="s">
        <v>33</v>
      </c>
      <c r="H1871" s="6" t="s">
        <v>34</v>
      </c>
      <c r="I1871" s="8" t="s">
        <v>35</v>
      </c>
      <c r="J1871" s="9">
        <v>1</v>
      </c>
      <c r="K1871" s="9">
        <v>186</v>
      </c>
      <c r="L1871" s="9">
        <v>2026</v>
      </c>
      <c r="M1871" s="8" t="s">
        <v>11306</v>
      </c>
      <c r="N1871" s="8" t="s">
        <v>243</v>
      </c>
      <c r="O1871" s="8" t="s">
        <v>385</v>
      </c>
      <c r="P1871" s="6" t="s">
        <v>39</v>
      </c>
      <c r="Q1871" s="8" t="s">
        <v>40</v>
      </c>
      <c r="R1871" s="10" t="s">
        <v>378</v>
      </c>
      <c r="S1871" s="11"/>
      <c r="T1871" s="6"/>
      <c r="U1871" s="15" t="str">
        <f>HYPERLINK("https://media.infra-m.ru/2238/2238517/cover/2238517.jpg", "Обложка")</f>
        <v>Обложка</v>
      </c>
      <c r="V1871" s="8" t="s">
        <v>11307</v>
      </c>
      <c r="W1871" s="6"/>
      <c r="X1871" s="6"/>
      <c r="Y1871" s="6"/>
      <c r="Z1871" s="6"/>
      <c r="AA1871" s="6" t="s">
        <v>430</v>
      </c>
      <c r="AB1871" s="8"/>
      <c r="AC1871" s="27">
        <v>9785160155265</v>
      </c>
    </row>
    <row r="1872" spans="1:29" s="4" customFormat="1" ht="51.9" customHeight="1" x14ac:dyDescent="0.2">
      <c r="A1872" s="5">
        <v>0</v>
      </c>
      <c r="B1872" s="6" t="s">
        <v>11308</v>
      </c>
      <c r="C1872" s="7">
        <v>1428</v>
      </c>
      <c r="D1872" s="8" t="s">
        <v>11309</v>
      </c>
      <c r="E1872" s="8" t="s">
        <v>11310</v>
      </c>
      <c r="F1872" s="8" t="s">
        <v>11311</v>
      </c>
      <c r="G1872" s="6" t="s">
        <v>60</v>
      </c>
      <c r="H1872" s="6" t="s">
        <v>34</v>
      </c>
      <c r="I1872" s="8" t="s">
        <v>35</v>
      </c>
      <c r="J1872" s="9">
        <v>1</v>
      </c>
      <c r="K1872" s="9">
        <v>195</v>
      </c>
      <c r="L1872" s="9">
        <v>2027</v>
      </c>
      <c r="M1872" s="8" t="s">
        <v>11312</v>
      </c>
      <c r="N1872" s="8" t="s">
        <v>63</v>
      </c>
      <c r="O1872" s="8" t="s">
        <v>126</v>
      </c>
      <c r="P1872" s="6" t="s">
        <v>39</v>
      </c>
      <c r="Q1872" s="8" t="s">
        <v>40</v>
      </c>
      <c r="R1872" s="10" t="s">
        <v>11313</v>
      </c>
      <c r="S1872" s="11"/>
      <c r="T1872" s="6"/>
      <c r="U1872" s="15" t="str">
        <f>HYPERLINK("https://media.infra-m.ru/2255/2255737/cover/2255737.jpg", "Обложка")</f>
        <v>Обложка</v>
      </c>
      <c r="V1872" s="8" t="s">
        <v>217</v>
      </c>
      <c r="W1872" s="6" t="s">
        <v>649</v>
      </c>
      <c r="X1872" s="6"/>
      <c r="Y1872" s="6"/>
      <c r="Z1872" s="6"/>
      <c r="AA1872" s="6" t="s">
        <v>420</v>
      </c>
      <c r="AB1872" s="8"/>
      <c r="AC1872" s="27">
        <v>9785160221502</v>
      </c>
    </row>
    <row r="1873" spans="1:29" s="4" customFormat="1" ht="44.1" customHeight="1" x14ac:dyDescent="0.2">
      <c r="A1873" s="5">
        <v>0</v>
      </c>
      <c r="B1873" s="6" t="s">
        <v>11314</v>
      </c>
      <c r="C1873" s="7">
        <v>1944</v>
      </c>
      <c r="D1873" s="8" t="s">
        <v>11315</v>
      </c>
      <c r="E1873" s="8" t="s">
        <v>11316</v>
      </c>
      <c r="F1873" s="8" t="s">
        <v>11317</v>
      </c>
      <c r="G1873" s="6" t="s">
        <v>118</v>
      </c>
      <c r="H1873" s="6" t="s">
        <v>134</v>
      </c>
      <c r="I1873" s="8"/>
      <c r="J1873" s="9">
        <v>1</v>
      </c>
      <c r="K1873" s="9">
        <v>416</v>
      </c>
      <c r="L1873" s="9">
        <v>2022</v>
      </c>
      <c r="M1873" s="8" t="s">
        <v>11318</v>
      </c>
      <c r="N1873" s="8" t="s">
        <v>37</v>
      </c>
      <c r="O1873" s="8" t="s">
        <v>136</v>
      </c>
      <c r="P1873" s="6" t="s">
        <v>39</v>
      </c>
      <c r="Q1873" s="8" t="s">
        <v>40</v>
      </c>
      <c r="R1873" s="10" t="s">
        <v>1625</v>
      </c>
      <c r="S1873" s="11"/>
      <c r="T1873" s="6"/>
      <c r="U1873" s="15" t="str">
        <f>HYPERLINK("https://media.infra-m.ru/1858/1858195/cover/1858195.jpg", "Обложка")</f>
        <v>Обложка</v>
      </c>
      <c r="V1873" s="8" t="s">
        <v>138</v>
      </c>
      <c r="W1873" s="6"/>
      <c r="X1873" s="6"/>
      <c r="Y1873" s="6"/>
      <c r="Z1873" s="6"/>
      <c r="AA1873" s="6" t="s">
        <v>115</v>
      </c>
      <c r="AB1873" s="8"/>
      <c r="AC1873" s="27">
        <v>9785917689883</v>
      </c>
    </row>
    <row r="1874" spans="1:29" s="4" customFormat="1" ht="42" customHeight="1" x14ac:dyDescent="0.2">
      <c r="A1874" s="5">
        <v>0</v>
      </c>
      <c r="B1874" s="6" t="s">
        <v>11319</v>
      </c>
      <c r="C1874" s="7">
        <v>1860</v>
      </c>
      <c r="D1874" s="8" t="s">
        <v>11320</v>
      </c>
      <c r="E1874" s="8" t="s">
        <v>11321</v>
      </c>
      <c r="F1874" s="8" t="s">
        <v>11322</v>
      </c>
      <c r="G1874" s="6" t="s">
        <v>60</v>
      </c>
      <c r="H1874" s="6" t="s">
        <v>34</v>
      </c>
      <c r="I1874" s="8" t="s">
        <v>253</v>
      </c>
      <c r="J1874" s="9">
        <v>1</v>
      </c>
      <c r="K1874" s="9">
        <v>227</v>
      </c>
      <c r="L1874" s="9">
        <v>2026</v>
      </c>
      <c r="M1874" s="8" t="s">
        <v>11323</v>
      </c>
      <c r="N1874" s="8" t="s">
        <v>243</v>
      </c>
      <c r="O1874" s="8" t="s">
        <v>758</v>
      </c>
      <c r="P1874" s="6" t="s">
        <v>51</v>
      </c>
      <c r="Q1874" s="8" t="s">
        <v>65</v>
      </c>
      <c r="R1874" s="10" t="s">
        <v>11324</v>
      </c>
      <c r="S1874" s="11"/>
      <c r="T1874" s="6"/>
      <c r="U1874" s="15" t="str">
        <f>HYPERLINK("https://media.infra-m.ru/2211/2211135/cover/2211135.jpg", "Обложка")</f>
        <v>Обложка</v>
      </c>
      <c r="V1874" s="8" t="s">
        <v>11325</v>
      </c>
      <c r="W1874" s="6" t="s">
        <v>299</v>
      </c>
      <c r="X1874" s="6"/>
      <c r="Y1874" s="6"/>
      <c r="Z1874" s="6"/>
      <c r="AA1874" s="6" t="s">
        <v>187</v>
      </c>
      <c r="AB1874" s="8"/>
      <c r="AC1874" s="27">
        <v>9785160210209</v>
      </c>
    </row>
    <row r="1875" spans="1:29" s="4" customFormat="1" ht="51.9" customHeight="1" x14ac:dyDescent="0.2">
      <c r="A1875" s="5">
        <v>0</v>
      </c>
      <c r="B1875" s="6" t="s">
        <v>11326</v>
      </c>
      <c r="C1875" s="7">
        <v>2364</v>
      </c>
      <c r="D1875" s="8" t="s">
        <v>11327</v>
      </c>
      <c r="E1875" s="8" t="s">
        <v>11328</v>
      </c>
      <c r="F1875" s="8" t="s">
        <v>11322</v>
      </c>
      <c r="G1875" s="6" t="s">
        <v>118</v>
      </c>
      <c r="H1875" s="6" t="s">
        <v>34</v>
      </c>
      <c r="I1875" s="8" t="s">
        <v>253</v>
      </c>
      <c r="J1875" s="9">
        <v>1</v>
      </c>
      <c r="K1875" s="9">
        <v>363</v>
      </c>
      <c r="L1875" s="9">
        <v>2025</v>
      </c>
      <c r="M1875" s="8" t="s">
        <v>11329</v>
      </c>
      <c r="N1875" s="8" t="s">
        <v>243</v>
      </c>
      <c r="O1875" s="8" t="s">
        <v>758</v>
      </c>
      <c r="P1875" s="6" t="s">
        <v>51</v>
      </c>
      <c r="Q1875" s="8" t="s">
        <v>65</v>
      </c>
      <c r="R1875" s="10" t="s">
        <v>11330</v>
      </c>
      <c r="S1875" s="11"/>
      <c r="T1875" s="6"/>
      <c r="U1875" s="15" t="str">
        <f>HYPERLINK("https://media.infra-m.ru/2183/2183372/cover/2183372.jpg", "Обложка")</f>
        <v>Обложка</v>
      </c>
      <c r="V1875" s="8" t="s">
        <v>11325</v>
      </c>
      <c r="W1875" s="6"/>
      <c r="X1875" s="6"/>
      <c r="Y1875" s="6"/>
      <c r="Z1875" s="6"/>
      <c r="AA1875" s="6" t="s">
        <v>76</v>
      </c>
      <c r="AB1875" s="8"/>
      <c r="AC1875" s="27">
        <v>9785160195032</v>
      </c>
    </row>
    <row r="1876" spans="1:29" s="4" customFormat="1" ht="42" customHeight="1" x14ac:dyDescent="0.2">
      <c r="A1876" s="5">
        <v>0</v>
      </c>
      <c r="B1876" s="6" t="s">
        <v>11331</v>
      </c>
      <c r="C1876" s="13">
        <v>840</v>
      </c>
      <c r="D1876" s="8" t="s">
        <v>11332</v>
      </c>
      <c r="E1876" s="8" t="s">
        <v>11333</v>
      </c>
      <c r="F1876" s="8" t="s">
        <v>11334</v>
      </c>
      <c r="G1876" s="6" t="s">
        <v>33</v>
      </c>
      <c r="H1876" s="6" t="s">
        <v>313</v>
      </c>
      <c r="I1876" s="8" t="s">
        <v>35</v>
      </c>
      <c r="J1876" s="9">
        <v>1</v>
      </c>
      <c r="K1876" s="9">
        <v>134</v>
      </c>
      <c r="L1876" s="9">
        <v>2025</v>
      </c>
      <c r="M1876" s="8" t="s">
        <v>11335</v>
      </c>
      <c r="N1876" s="8" t="s">
        <v>63</v>
      </c>
      <c r="O1876" s="8" t="s">
        <v>64</v>
      </c>
      <c r="P1876" s="6" t="s">
        <v>39</v>
      </c>
      <c r="Q1876" s="8" t="s">
        <v>40</v>
      </c>
      <c r="R1876" s="10" t="s">
        <v>11336</v>
      </c>
      <c r="S1876" s="11"/>
      <c r="T1876" s="6"/>
      <c r="U1876" s="15" t="str">
        <f>HYPERLINK("https://media.infra-m.ru/2167/2167410/cover/2167410.jpg", "Обложка")</f>
        <v>Обложка</v>
      </c>
      <c r="V1876" s="8" t="s">
        <v>1425</v>
      </c>
      <c r="W1876" s="6"/>
      <c r="X1876" s="6"/>
      <c r="Y1876" s="6"/>
      <c r="Z1876" s="6"/>
      <c r="AA1876" s="6" t="s">
        <v>218</v>
      </c>
      <c r="AB1876" s="8"/>
      <c r="AC1876" s="27">
        <v>9785369018415</v>
      </c>
    </row>
    <row r="1877" spans="1:29" s="4" customFormat="1" ht="42" customHeight="1" x14ac:dyDescent="0.2">
      <c r="A1877" s="5">
        <v>0</v>
      </c>
      <c r="B1877" s="6" t="s">
        <v>11337</v>
      </c>
      <c r="C1877" s="13">
        <v>456</v>
      </c>
      <c r="D1877" s="8" t="s">
        <v>11338</v>
      </c>
      <c r="E1877" s="8" t="s">
        <v>11339</v>
      </c>
      <c r="F1877" s="8" t="s">
        <v>11334</v>
      </c>
      <c r="G1877" s="6" t="s">
        <v>33</v>
      </c>
      <c r="H1877" s="6" t="s">
        <v>313</v>
      </c>
      <c r="I1877" s="8" t="s">
        <v>35</v>
      </c>
      <c r="J1877" s="9">
        <v>1</v>
      </c>
      <c r="K1877" s="9">
        <v>112</v>
      </c>
      <c r="L1877" s="9">
        <v>2019</v>
      </c>
      <c r="M1877" s="8" t="s">
        <v>11340</v>
      </c>
      <c r="N1877" s="8" t="s">
        <v>63</v>
      </c>
      <c r="O1877" s="8" t="s">
        <v>64</v>
      </c>
      <c r="P1877" s="6" t="s">
        <v>39</v>
      </c>
      <c r="Q1877" s="8" t="s">
        <v>40</v>
      </c>
      <c r="R1877" s="10" t="s">
        <v>11336</v>
      </c>
      <c r="S1877" s="11"/>
      <c r="T1877" s="6"/>
      <c r="U1877" s="15" t="str">
        <f>HYPERLINK("https://media.infra-m.ru/1019/1019052/cover/1019052.jpg", "Обложка")</f>
        <v>Обложка</v>
      </c>
      <c r="V1877" s="8" t="s">
        <v>1425</v>
      </c>
      <c r="W1877" s="6"/>
      <c r="X1877" s="6"/>
      <c r="Y1877" s="6"/>
      <c r="Z1877" s="6"/>
      <c r="AA1877" s="6" t="s">
        <v>99</v>
      </c>
      <c r="AB1877" s="8"/>
      <c r="AC1877" s="27">
        <v>9785369016152</v>
      </c>
    </row>
    <row r="1878" spans="1:29" s="4" customFormat="1" ht="44.1" customHeight="1" x14ac:dyDescent="0.2">
      <c r="A1878" s="5">
        <v>0</v>
      </c>
      <c r="B1878" s="6" t="s">
        <v>11341</v>
      </c>
      <c r="C1878" s="13">
        <v>708</v>
      </c>
      <c r="D1878" s="8" t="s">
        <v>11342</v>
      </c>
      <c r="E1878" s="8" t="s">
        <v>11343</v>
      </c>
      <c r="F1878" s="8" t="s">
        <v>11344</v>
      </c>
      <c r="G1878" s="6" t="s">
        <v>33</v>
      </c>
      <c r="H1878" s="6" t="s">
        <v>34</v>
      </c>
      <c r="I1878" s="8" t="s">
        <v>35</v>
      </c>
      <c r="J1878" s="9">
        <v>1</v>
      </c>
      <c r="K1878" s="9">
        <v>106</v>
      </c>
      <c r="L1878" s="9">
        <v>2026</v>
      </c>
      <c r="M1878" s="8" t="s">
        <v>11345</v>
      </c>
      <c r="N1878" s="8" t="s">
        <v>37</v>
      </c>
      <c r="O1878" s="8" t="s">
        <v>499</v>
      </c>
      <c r="P1878" s="6" t="s">
        <v>39</v>
      </c>
      <c r="Q1878" s="8" t="s">
        <v>40</v>
      </c>
      <c r="R1878" s="10" t="s">
        <v>11346</v>
      </c>
      <c r="S1878" s="11"/>
      <c r="T1878" s="6"/>
      <c r="U1878" s="15" t="str">
        <f>HYPERLINK("https://media.infra-m.ru/2238/2238374/cover/2238374.jpg", "Обложка")</f>
        <v>Обложка</v>
      </c>
      <c r="V1878" s="8" t="s">
        <v>4409</v>
      </c>
      <c r="W1878" s="6"/>
      <c r="X1878" s="6"/>
      <c r="Y1878" s="6"/>
      <c r="Z1878" s="6"/>
      <c r="AA1878" s="6" t="s">
        <v>274</v>
      </c>
      <c r="AB1878" s="8"/>
      <c r="AC1878" s="27">
        <v>9785160101521</v>
      </c>
    </row>
    <row r="1879" spans="1:29" s="4" customFormat="1" ht="51.9" customHeight="1" x14ac:dyDescent="0.2">
      <c r="A1879" s="5">
        <v>0</v>
      </c>
      <c r="B1879" s="6" t="s">
        <v>11347</v>
      </c>
      <c r="C1879" s="7">
        <v>1565.9</v>
      </c>
      <c r="D1879" s="8" t="s">
        <v>11348</v>
      </c>
      <c r="E1879" s="8" t="s">
        <v>11349</v>
      </c>
      <c r="F1879" s="8" t="s">
        <v>11350</v>
      </c>
      <c r="G1879" s="6" t="s">
        <v>60</v>
      </c>
      <c r="H1879" s="6" t="s">
        <v>34</v>
      </c>
      <c r="I1879" s="8" t="s">
        <v>35</v>
      </c>
      <c r="J1879" s="9">
        <v>1</v>
      </c>
      <c r="K1879" s="9">
        <v>289</v>
      </c>
      <c r="L1879" s="9">
        <v>2023</v>
      </c>
      <c r="M1879" s="8" t="s">
        <v>11351</v>
      </c>
      <c r="N1879" s="8" t="s">
        <v>37</v>
      </c>
      <c r="O1879" s="8" t="s">
        <v>233</v>
      </c>
      <c r="P1879" s="6" t="s">
        <v>39</v>
      </c>
      <c r="Q1879" s="8" t="s">
        <v>40</v>
      </c>
      <c r="R1879" s="10" t="s">
        <v>11352</v>
      </c>
      <c r="S1879" s="11"/>
      <c r="T1879" s="6"/>
      <c r="U1879" s="15" t="str">
        <f>HYPERLINK("https://media.infra-m.ru/2002/2002622/cover/2002622.jpg", "Обложка")</f>
        <v>Обложка</v>
      </c>
      <c r="V1879" s="8" t="s">
        <v>9227</v>
      </c>
      <c r="W1879" s="6"/>
      <c r="X1879" s="6"/>
      <c r="Y1879" s="6"/>
      <c r="Z1879" s="6"/>
      <c r="AA1879" s="6" t="s">
        <v>99</v>
      </c>
      <c r="AB1879" s="8"/>
      <c r="AC1879" s="27">
        <v>9785160124292</v>
      </c>
    </row>
    <row r="1880" spans="1:29" s="4" customFormat="1" ht="51.9" customHeight="1" x14ac:dyDescent="0.2">
      <c r="A1880" s="5">
        <v>0</v>
      </c>
      <c r="B1880" s="6" t="s">
        <v>11353</v>
      </c>
      <c r="C1880" s="13">
        <v>640.79999999999995</v>
      </c>
      <c r="D1880" s="8" t="s">
        <v>11354</v>
      </c>
      <c r="E1880" s="8" t="s">
        <v>11355</v>
      </c>
      <c r="F1880" s="8" t="s">
        <v>11356</v>
      </c>
      <c r="G1880" s="6" t="s">
        <v>33</v>
      </c>
      <c r="H1880" s="6" t="s">
        <v>34</v>
      </c>
      <c r="I1880" s="8" t="s">
        <v>271</v>
      </c>
      <c r="J1880" s="9">
        <v>1</v>
      </c>
      <c r="K1880" s="9">
        <v>88</v>
      </c>
      <c r="L1880" s="9">
        <v>2026</v>
      </c>
      <c r="M1880" s="8" t="s">
        <v>11357</v>
      </c>
      <c r="N1880" s="8" t="s">
        <v>37</v>
      </c>
      <c r="O1880" s="8" t="s">
        <v>233</v>
      </c>
      <c r="P1880" s="6" t="s">
        <v>51</v>
      </c>
      <c r="Q1880" s="8" t="s">
        <v>52</v>
      </c>
      <c r="R1880" s="10" t="s">
        <v>11358</v>
      </c>
      <c r="S1880" s="11"/>
      <c r="T1880" s="6"/>
      <c r="U1880" s="15" t="str">
        <f>HYPERLINK("https://media.infra-m.ru/2260/2260417/cover/2260417.jpg", "Обложка")</f>
        <v>Обложка</v>
      </c>
      <c r="V1880" s="8" t="s">
        <v>3405</v>
      </c>
      <c r="W1880" s="6"/>
      <c r="X1880" s="6"/>
      <c r="Y1880" s="6"/>
      <c r="Z1880" s="6"/>
      <c r="AA1880" s="6" t="s">
        <v>129</v>
      </c>
      <c r="AB1880" s="8"/>
      <c r="AC1880" s="27">
        <v>9785160047546</v>
      </c>
    </row>
    <row r="1881" spans="1:29" s="4" customFormat="1" ht="51.9" customHeight="1" x14ac:dyDescent="0.2">
      <c r="A1881" s="5">
        <v>0</v>
      </c>
      <c r="B1881" s="6" t="s">
        <v>11359</v>
      </c>
      <c r="C1881" s="13">
        <v>952.8</v>
      </c>
      <c r="D1881" s="8" t="s">
        <v>11360</v>
      </c>
      <c r="E1881" s="8" t="s">
        <v>11361</v>
      </c>
      <c r="F1881" s="8" t="s">
        <v>11362</v>
      </c>
      <c r="G1881" s="6" t="s">
        <v>33</v>
      </c>
      <c r="H1881" s="6" t="s">
        <v>48</v>
      </c>
      <c r="I1881" s="8" t="s">
        <v>253</v>
      </c>
      <c r="J1881" s="9">
        <v>1</v>
      </c>
      <c r="K1881" s="9">
        <v>144</v>
      </c>
      <c r="L1881" s="9">
        <v>2026</v>
      </c>
      <c r="M1881" s="8" t="s">
        <v>11363</v>
      </c>
      <c r="N1881" s="8" t="s">
        <v>37</v>
      </c>
      <c r="O1881" s="8" t="s">
        <v>233</v>
      </c>
      <c r="P1881" s="6" t="s">
        <v>51</v>
      </c>
      <c r="Q1881" s="8" t="s">
        <v>52</v>
      </c>
      <c r="R1881" s="10" t="s">
        <v>3008</v>
      </c>
      <c r="S1881" s="11" t="s">
        <v>11364</v>
      </c>
      <c r="T1881" s="6"/>
      <c r="U1881" s="15" t="str">
        <f>HYPERLINK("https://media.infra-m.ru/2249/2249522/cover/2249522.jpg", "Обложка")</f>
        <v>Обложка</v>
      </c>
      <c r="V1881" s="8" t="s">
        <v>247</v>
      </c>
      <c r="W1881" s="6"/>
      <c r="X1881" s="6"/>
      <c r="Y1881" s="6"/>
      <c r="Z1881" s="6"/>
      <c r="AA1881" s="6" t="s">
        <v>6584</v>
      </c>
      <c r="AB1881" s="8"/>
      <c r="AC1881" s="27">
        <v>9785911342241</v>
      </c>
    </row>
    <row r="1882" spans="1:29" s="4" customFormat="1" ht="51.9" customHeight="1" x14ac:dyDescent="0.2">
      <c r="A1882" s="5">
        <v>0</v>
      </c>
      <c r="B1882" s="6" t="s">
        <v>11365</v>
      </c>
      <c r="C1882" s="7">
        <v>3740.4</v>
      </c>
      <c r="D1882" s="8" t="s">
        <v>11366</v>
      </c>
      <c r="E1882" s="8" t="s">
        <v>11367</v>
      </c>
      <c r="F1882" s="8" t="s">
        <v>11368</v>
      </c>
      <c r="G1882" s="6" t="s">
        <v>60</v>
      </c>
      <c r="H1882" s="6" t="s">
        <v>241</v>
      </c>
      <c r="I1882" s="8"/>
      <c r="J1882" s="9">
        <v>1</v>
      </c>
      <c r="K1882" s="9">
        <v>413</v>
      </c>
      <c r="L1882" s="9">
        <v>2027</v>
      </c>
      <c r="M1882" s="8" t="s">
        <v>11369</v>
      </c>
      <c r="N1882" s="8" t="s">
        <v>37</v>
      </c>
      <c r="O1882" s="8" t="s">
        <v>233</v>
      </c>
      <c r="P1882" s="6" t="s">
        <v>306</v>
      </c>
      <c r="Q1882" s="8" t="s">
        <v>52</v>
      </c>
      <c r="R1882" s="10" t="s">
        <v>2086</v>
      </c>
      <c r="S1882" s="11" t="s">
        <v>11370</v>
      </c>
      <c r="T1882" s="6"/>
      <c r="U1882" s="15" t="str">
        <f>HYPERLINK("https://media.infra-m.ru/2266/2266042/cover/2266042.jpg", "Обложка")</f>
        <v>Обложка</v>
      </c>
      <c r="V1882" s="8" t="s">
        <v>247</v>
      </c>
      <c r="W1882" s="6"/>
      <c r="X1882" s="6"/>
      <c r="Y1882" s="6"/>
      <c r="Z1882" s="6"/>
      <c r="AA1882" s="6" t="s">
        <v>129</v>
      </c>
      <c r="AB1882" s="8"/>
      <c r="AC1882" s="27">
        <v>9785955801292</v>
      </c>
    </row>
    <row r="1883" spans="1:29" s="4" customFormat="1" ht="51.9" customHeight="1" x14ac:dyDescent="0.2">
      <c r="A1883" s="5">
        <v>0</v>
      </c>
      <c r="B1883" s="6" t="s">
        <v>11371</v>
      </c>
      <c r="C1883" s="7">
        <v>2153.9</v>
      </c>
      <c r="D1883" s="8" t="s">
        <v>11372</v>
      </c>
      <c r="E1883" s="8" t="s">
        <v>11373</v>
      </c>
      <c r="F1883" s="8" t="s">
        <v>11374</v>
      </c>
      <c r="G1883" s="6" t="s">
        <v>60</v>
      </c>
      <c r="H1883" s="6" t="s">
        <v>1644</v>
      </c>
      <c r="I1883" s="8"/>
      <c r="J1883" s="9">
        <v>1</v>
      </c>
      <c r="K1883" s="9">
        <v>752</v>
      </c>
      <c r="L1883" s="9">
        <v>2021</v>
      </c>
      <c r="M1883" s="8" t="s">
        <v>11375</v>
      </c>
      <c r="N1883" s="8" t="s">
        <v>37</v>
      </c>
      <c r="O1883" s="8" t="s">
        <v>233</v>
      </c>
      <c r="P1883" s="6" t="s">
        <v>306</v>
      </c>
      <c r="Q1883" s="8" t="s">
        <v>52</v>
      </c>
      <c r="R1883" s="10" t="s">
        <v>11376</v>
      </c>
      <c r="S1883" s="11" t="s">
        <v>5155</v>
      </c>
      <c r="T1883" s="6"/>
      <c r="U1883" s="15" t="str">
        <f>HYPERLINK("https://media.infra-m.ru/1489/1489211/cover/1489211.jpg", "Обложка")</f>
        <v>Обложка</v>
      </c>
      <c r="V1883" s="8" t="s">
        <v>11377</v>
      </c>
      <c r="W1883" s="6"/>
      <c r="X1883" s="6"/>
      <c r="Y1883" s="6"/>
      <c r="Z1883" s="6"/>
      <c r="AA1883" s="6" t="s">
        <v>6584</v>
      </c>
      <c r="AB1883" s="8"/>
      <c r="AC1883" s="27">
        <v>9785977600712</v>
      </c>
    </row>
    <row r="1884" spans="1:29" s="4" customFormat="1" ht="51.9" customHeight="1" x14ac:dyDescent="0.2">
      <c r="A1884" s="5">
        <v>0</v>
      </c>
      <c r="B1884" s="6" t="s">
        <v>11378</v>
      </c>
      <c r="C1884" s="7">
        <v>1588.8</v>
      </c>
      <c r="D1884" s="8" t="s">
        <v>11379</v>
      </c>
      <c r="E1884" s="8" t="s">
        <v>11367</v>
      </c>
      <c r="F1884" s="8" t="s">
        <v>11380</v>
      </c>
      <c r="G1884" s="6" t="s">
        <v>118</v>
      </c>
      <c r="H1884" s="6" t="s">
        <v>34</v>
      </c>
      <c r="I1884" s="8" t="s">
        <v>271</v>
      </c>
      <c r="J1884" s="9">
        <v>1</v>
      </c>
      <c r="K1884" s="9">
        <v>287</v>
      </c>
      <c r="L1884" s="9">
        <v>2024</v>
      </c>
      <c r="M1884" s="8" t="s">
        <v>11381</v>
      </c>
      <c r="N1884" s="8" t="s">
        <v>37</v>
      </c>
      <c r="O1884" s="8" t="s">
        <v>233</v>
      </c>
      <c r="P1884" s="6" t="s">
        <v>306</v>
      </c>
      <c r="Q1884" s="8" t="s">
        <v>52</v>
      </c>
      <c r="R1884" s="10" t="s">
        <v>6039</v>
      </c>
      <c r="S1884" s="11" t="s">
        <v>11382</v>
      </c>
      <c r="T1884" s="6"/>
      <c r="U1884" s="15" t="str">
        <f>HYPERLINK("https://media.infra-m.ru/2125/2125275/cover/2125275.jpg", "Обложка")</f>
        <v>Обложка</v>
      </c>
      <c r="V1884" s="8" t="s">
        <v>396</v>
      </c>
      <c r="W1884" s="6"/>
      <c r="X1884" s="6"/>
      <c r="Y1884" s="6"/>
      <c r="Z1884" s="6"/>
      <c r="AA1884" s="6" t="s">
        <v>430</v>
      </c>
      <c r="AB1884" s="8"/>
      <c r="AC1884" s="27">
        <v>9785160160474</v>
      </c>
    </row>
    <row r="1885" spans="1:29" s="4" customFormat="1" ht="51.9" customHeight="1" x14ac:dyDescent="0.2">
      <c r="A1885" s="5">
        <v>0</v>
      </c>
      <c r="B1885" s="6" t="s">
        <v>11383</v>
      </c>
      <c r="C1885" s="7">
        <v>4078.8</v>
      </c>
      <c r="D1885" s="8" t="s">
        <v>11384</v>
      </c>
      <c r="E1885" s="8" t="s">
        <v>11367</v>
      </c>
      <c r="F1885" s="8" t="s">
        <v>11385</v>
      </c>
      <c r="G1885" s="6" t="s">
        <v>60</v>
      </c>
      <c r="H1885" s="6" t="s">
        <v>34</v>
      </c>
      <c r="I1885" s="8" t="s">
        <v>11386</v>
      </c>
      <c r="J1885" s="9">
        <v>1</v>
      </c>
      <c r="K1885" s="9">
        <v>1040</v>
      </c>
      <c r="L1885" s="9">
        <v>2022</v>
      </c>
      <c r="M1885" s="8" t="s">
        <v>11387</v>
      </c>
      <c r="N1885" s="8" t="s">
        <v>37</v>
      </c>
      <c r="O1885" s="8" t="s">
        <v>233</v>
      </c>
      <c r="P1885" s="6" t="s">
        <v>306</v>
      </c>
      <c r="Q1885" s="8" t="s">
        <v>52</v>
      </c>
      <c r="R1885" s="10" t="s">
        <v>2033</v>
      </c>
      <c r="S1885" s="11" t="s">
        <v>11388</v>
      </c>
      <c r="T1885" s="6"/>
      <c r="U1885" s="15" t="str">
        <f>HYPERLINK("https://media.infra-m.ru/1817/1817592/cover/1817592.jpg", "Обложка")</f>
        <v>Обложка</v>
      </c>
      <c r="V1885" s="8" t="s">
        <v>227</v>
      </c>
      <c r="W1885" s="6"/>
      <c r="X1885" s="6"/>
      <c r="Y1885" s="6"/>
      <c r="Z1885" s="6"/>
      <c r="AA1885" s="6" t="s">
        <v>10393</v>
      </c>
      <c r="AB1885" s="8"/>
      <c r="AC1885" s="27">
        <v>9785160167893</v>
      </c>
    </row>
    <row r="1886" spans="1:29" s="4" customFormat="1" ht="42" customHeight="1" x14ac:dyDescent="0.2">
      <c r="A1886" s="5">
        <v>0</v>
      </c>
      <c r="B1886" s="6" t="s">
        <v>11389</v>
      </c>
      <c r="C1886" s="7">
        <v>1164</v>
      </c>
      <c r="D1886" s="8" t="s">
        <v>11390</v>
      </c>
      <c r="E1886" s="8" t="s">
        <v>11367</v>
      </c>
      <c r="F1886" s="8" t="s">
        <v>11391</v>
      </c>
      <c r="G1886" s="6" t="s">
        <v>118</v>
      </c>
      <c r="H1886" s="6" t="s">
        <v>34</v>
      </c>
      <c r="I1886" s="8" t="s">
        <v>3119</v>
      </c>
      <c r="J1886" s="9">
        <v>1</v>
      </c>
      <c r="K1886" s="9">
        <v>157</v>
      </c>
      <c r="L1886" s="9">
        <v>2026</v>
      </c>
      <c r="M1886" s="8" t="s">
        <v>11392</v>
      </c>
      <c r="N1886" s="8" t="s">
        <v>37</v>
      </c>
      <c r="O1886" s="8" t="s">
        <v>233</v>
      </c>
      <c r="P1886" s="6" t="s">
        <v>51</v>
      </c>
      <c r="Q1886" s="8" t="s">
        <v>52</v>
      </c>
      <c r="R1886" s="10" t="s">
        <v>11393</v>
      </c>
      <c r="S1886" s="11"/>
      <c r="T1886" s="6" t="s">
        <v>97</v>
      </c>
      <c r="U1886" s="15" t="str">
        <f>HYPERLINK("https://media.infra-m.ru/2225/2225928/cover/2225928.jpg", "Обложка")</f>
        <v>Обложка</v>
      </c>
      <c r="V1886" s="8" t="s">
        <v>396</v>
      </c>
      <c r="W1886" s="6"/>
      <c r="X1886" s="6"/>
      <c r="Y1886" s="6"/>
      <c r="Z1886" s="6"/>
      <c r="AA1886" s="6" t="s">
        <v>76</v>
      </c>
      <c r="AB1886" s="8"/>
      <c r="AC1886" s="27">
        <v>9785160174204</v>
      </c>
    </row>
    <row r="1887" spans="1:29" s="4" customFormat="1" ht="51.9" customHeight="1" x14ac:dyDescent="0.2">
      <c r="A1887" s="5">
        <v>0</v>
      </c>
      <c r="B1887" s="6" t="s">
        <v>11394</v>
      </c>
      <c r="C1887" s="13">
        <v>576</v>
      </c>
      <c r="D1887" s="8" t="s">
        <v>11395</v>
      </c>
      <c r="E1887" s="8" t="s">
        <v>11396</v>
      </c>
      <c r="F1887" s="8" t="s">
        <v>11397</v>
      </c>
      <c r="G1887" s="6" t="s">
        <v>33</v>
      </c>
      <c r="H1887" s="6" t="s">
        <v>34</v>
      </c>
      <c r="I1887" s="8" t="s">
        <v>35</v>
      </c>
      <c r="J1887" s="9">
        <v>1</v>
      </c>
      <c r="K1887" s="9">
        <v>95</v>
      </c>
      <c r="L1887" s="9">
        <v>2024</v>
      </c>
      <c r="M1887" s="8" t="s">
        <v>11398</v>
      </c>
      <c r="N1887" s="8" t="s">
        <v>37</v>
      </c>
      <c r="O1887" s="8" t="s">
        <v>233</v>
      </c>
      <c r="P1887" s="6" t="s">
        <v>39</v>
      </c>
      <c r="Q1887" s="8" t="s">
        <v>40</v>
      </c>
      <c r="R1887" s="10" t="s">
        <v>2061</v>
      </c>
      <c r="S1887" s="11"/>
      <c r="T1887" s="6"/>
      <c r="U1887" s="15" t="str">
        <f>HYPERLINK("https://media.infra-m.ru/2114/2114338/cover/2114338.jpg", "Обложка")</f>
        <v>Обложка</v>
      </c>
      <c r="V1887" s="8" t="s">
        <v>904</v>
      </c>
      <c r="W1887" s="6"/>
      <c r="X1887" s="6"/>
      <c r="Y1887" s="6"/>
      <c r="Z1887" s="6"/>
      <c r="AA1887" s="6" t="s">
        <v>248</v>
      </c>
      <c r="AB1887" s="8"/>
      <c r="AC1887" s="27">
        <v>9785160183473</v>
      </c>
    </row>
    <row r="1888" spans="1:29" s="4" customFormat="1" ht="51.9" customHeight="1" x14ac:dyDescent="0.2">
      <c r="A1888" s="5">
        <v>0</v>
      </c>
      <c r="B1888" s="6" t="s">
        <v>11399</v>
      </c>
      <c r="C1888" s="13">
        <v>701.9</v>
      </c>
      <c r="D1888" s="8" t="s">
        <v>11400</v>
      </c>
      <c r="E1888" s="8" t="s">
        <v>11401</v>
      </c>
      <c r="F1888" s="8" t="s">
        <v>11402</v>
      </c>
      <c r="G1888" s="6" t="s">
        <v>60</v>
      </c>
      <c r="H1888" s="6" t="s">
        <v>34</v>
      </c>
      <c r="I1888" s="8" t="s">
        <v>504</v>
      </c>
      <c r="J1888" s="9">
        <v>1</v>
      </c>
      <c r="K1888" s="9">
        <v>162</v>
      </c>
      <c r="L1888" s="9">
        <v>2021</v>
      </c>
      <c r="M1888" s="8" t="s">
        <v>11403</v>
      </c>
      <c r="N1888" s="8" t="s">
        <v>37</v>
      </c>
      <c r="O1888" s="8" t="s">
        <v>233</v>
      </c>
      <c r="P1888" s="6" t="s">
        <v>51</v>
      </c>
      <c r="Q1888" s="8" t="s">
        <v>500</v>
      </c>
      <c r="R1888" s="10" t="s">
        <v>5149</v>
      </c>
      <c r="S1888" s="11" t="s">
        <v>11404</v>
      </c>
      <c r="T1888" s="6"/>
      <c r="U1888" s="15" t="str">
        <f>HYPERLINK("https://media.infra-m.ru/1216/1216868/cover/1216868.jpg", "Обложка")</f>
        <v>Обложка</v>
      </c>
      <c r="V1888" s="8" t="s">
        <v>11405</v>
      </c>
      <c r="W1888" s="6"/>
      <c r="X1888" s="6"/>
      <c r="Y1888" s="6"/>
      <c r="Z1888" s="6"/>
      <c r="AA1888" s="6" t="s">
        <v>86</v>
      </c>
      <c r="AB1888" s="8"/>
      <c r="AC1888" s="27">
        <v>9785160131177</v>
      </c>
    </row>
    <row r="1889" spans="1:29" s="4" customFormat="1" ht="51.9" customHeight="1" x14ac:dyDescent="0.2">
      <c r="A1889" s="5">
        <v>0</v>
      </c>
      <c r="B1889" s="6" t="s">
        <v>11406</v>
      </c>
      <c r="C1889" s="13">
        <v>876</v>
      </c>
      <c r="D1889" s="8" t="s">
        <v>11407</v>
      </c>
      <c r="E1889" s="8" t="s">
        <v>11401</v>
      </c>
      <c r="F1889" s="8" t="s">
        <v>11402</v>
      </c>
      <c r="G1889" s="6" t="s">
        <v>33</v>
      </c>
      <c r="H1889" s="6" t="s">
        <v>34</v>
      </c>
      <c r="I1889" s="8" t="s">
        <v>504</v>
      </c>
      <c r="J1889" s="9">
        <v>1</v>
      </c>
      <c r="K1889" s="9">
        <v>162</v>
      </c>
      <c r="L1889" s="9">
        <v>2023</v>
      </c>
      <c r="M1889" s="8" t="s">
        <v>11408</v>
      </c>
      <c r="N1889" s="8" t="s">
        <v>37</v>
      </c>
      <c r="O1889" s="8" t="s">
        <v>233</v>
      </c>
      <c r="P1889" s="6" t="s">
        <v>51</v>
      </c>
      <c r="Q1889" s="8" t="s">
        <v>500</v>
      </c>
      <c r="R1889" s="10" t="s">
        <v>5149</v>
      </c>
      <c r="S1889" s="11" t="s">
        <v>11404</v>
      </c>
      <c r="T1889" s="6"/>
      <c r="U1889" s="15" t="str">
        <f>HYPERLINK("https://media.infra-m.ru/1903/1903414/cover/1903414.jpg", "Обложка")</f>
        <v>Обложка</v>
      </c>
      <c r="V1889" s="8" t="s">
        <v>11405</v>
      </c>
      <c r="W1889" s="6"/>
      <c r="X1889" s="6"/>
      <c r="Y1889" s="6"/>
      <c r="Z1889" s="6"/>
      <c r="AA1889" s="6" t="s">
        <v>86</v>
      </c>
      <c r="AB1889" s="8"/>
      <c r="AC1889" s="27">
        <v>9785160172699</v>
      </c>
    </row>
    <row r="1890" spans="1:29" s="4" customFormat="1" ht="44.1" customHeight="1" x14ac:dyDescent="0.2">
      <c r="A1890" s="5">
        <v>0</v>
      </c>
      <c r="B1890" s="6" t="s">
        <v>11409</v>
      </c>
      <c r="C1890" s="7">
        <v>1780.8</v>
      </c>
      <c r="D1890" s="8" t="s">
        <v>11410</v>
      </c>
      <c r="E1890" s="8" t="s">
        <v>11411</v>
      </c>
      <c r="F1890" s="8" t="s">
        <v>11412</v>
      </c>
      <c r="G1890" s="6" t="s">
        <v>60</v>
      </c>
      <c r="H1890" s="6" t="s">
        <v>34</v>
      </c>
      <c r="I1890" s="8" t="s">
        <v>253</v>
      </c>
      <c r="J1890" s="9">
        <v>1</v>
      </c>
      <c r="K1890" s="9">
        <v>256</v>
      </c>
      <c r="L1890" s="9">
        <v>2027</v>
      </c>
      <c r="M1890" s="8" t="s">
        <v>11413</v>
      </c>
      <c r="N1890" s="8" t="s">
        <v>37</v>
      </c>
      <c r="O1890" s="8" t="s">
        <v>233</v>
      </c>
      <c r="P1890" s="6" t="s">
        <v>51</v>
      </c>
      <c r="Q1890" s="8" t="s">
        <v>65</v>
      </c>
      <c r="R1890" s="10" t="s">
        <v>11414</v>
      </c>
      <c r="S1890" s="11"/>
      <c r="T1890" s="6"/>
      <c r="U1890" s="15" t="str">
        <f>HYPERLINK("https://media.infra-m.ru/2272/2272445/cover/2272445.jpg", "Обложка")</f>
        <v>Обложка</v>
      </c>
      <c r="V1890" s="8" t="s">
        <v>1425</v>
      </c>
      <c r="W1890" s="6"/>
      <c r="X1890" s="6"/>
      <c r="Y1890" s="6"/>
      <c r="Z1890" s="6"/>
      <c r="AA1890" s="6" t="s">
        <v>76</v>
      </c>
      <c r="AB1890" s="8"/>
      <c r="AC1890" s="27">
        <v>9785160156484</v>
      </c>
    </row>
    <row r="1891" spans="1:29" s="4" customFormat="1" ht="51.9" customHeight="1" x14ac:dyDescent="0.2">
      <c r="A1891" s="5">
        <v>0</v>
      </c>
      <c r="B1891" s="6" t="s">
        <v>11415</v>
      </c>
      <c r="C1891" s="7">
        <v>1096.8</v>
      </c>
      <c r="D1891" s="8" t="s">
        <v>11416</v>
      </c>
      <c r="E1891" s="8" t="s">
        <v>11417</v>
      </c>
      <c r="F1891" s="8" t="s">
        <v>11418</v>
      </c>
      <c r="G1891" s="6" t="s">
        <v>60</v>
      </c>
      <c r="H1891" s="6" t="s">
        <v>1795</v>
      </c>
      <c r="I1891" s="8" t="s">
        <v>1904</v>
      </c>
      <c r="J1891" s="9">
        <v>1</v>
      </c>
      <c r="K1891" s="9">
        <v>176</v>
      </c>
      <c r="L1891" s="9">
        <v>2025</v>
      </c>
      <c r="M1891" s="8" t="s">
        <v>11419</v>
      </c>
      <c r="N1891" s="8" t="s">
        <v>37</v>
      </c>
      <c r="O1891" s="8" t="s">
        <v>499</v>
      </c>
      <c r="P1891" s="6" t="s">
        <v>51</v>
      </c>
      <c r="Q1891" s="8" t="s">
        <v>52</v>
      </c>
      <c r="R1891" s="10" t="s">
        <v>11420</v>
      </c>
      <c r="S1891" s="11" t="s">
        <v>11421</v>
      </c>
      <c r="T1891" s="6" t="s">
        <v>97</v>
      </c>
      <c r="U1891" s="15" t="str">
        <f>HYPERLINK("https://media.infra-m.ru/2202/2202316/cover/2202316.jpg", "Обложка")</f>
        <v>Обложка</v>
      </c>
      <c r="V1891" s="8" t="s">
        <v>1425</v>
      </c>
      <c r="W1891" s="6"/>
      <c r="X1891" s="6"/>
      <c r="Y1891" s="6"/>
      <c r="Z1891" s="6"/>
      <c r="AA1891" s="6" t="s">
        <v>248</v>
      </c>
      <c r="AB1891" s="8"/>
      <c r="AC1891" s="27">
        <v>9785982813701</v>
      </c>
    </row>
    <row r="1892" spans="1:29" s="4" customFormat="1" ht="51.9" customHeight="1" x14ac:dyDescent="0.2">
      <c r="A1892" s="5">
        <v>0</v>
      </c>
      <c r="B1892" s="6" t="s">
        <v>11422</v>
      </c>
      <c r="C1892" s="7">
        <v>1444.8</v>
      </c>
      <c r="D1892" s="8" t="s">
        <v>11423</v>
      </c>
      <c r="E1892" s="8" t="s">
        <v>11424</v>
      </c>
      <c r="F1892" s="8" t="s">
        <v>3532</v>
      </c>
      <c r="G1892" s="6" t="s">
        <v>60</v>
      </c>
      <c r="H1892" s="6" t="s">
        <v>34</v>
      </c>
      <c r="I1892" s="8" t="s">
        <v>271</v>
      </c>
      <c r="J1892" s="9">
        <v>1</v>
      </c>
      <c r="K1892" s="9">
        <v>254</v>
      </c>
      <c r="L1892" s="9">
        <v>2024</v>
      </c>
      <c r="M1892" s="8" t="s">
        <v>11425</v>
      </c>
      <c r="N1892" s="8" t="s">
        <v>37</v>
      </c>
      <c r="O1892" s="8" t="s">
        <v>233</v>
      </c>
      <c r="P1892" s="6" t="s">
        <v>51</v>
      </c>
      <c r="Q1892" s="8" t="s">
        <v>52</v>
      </c>
      <c r="R1892" s="10" t="s">
        <v>3679</v>
      </c>
      <c r="S1892" s="11" t="s">
        <v>11426</v>
      </c>
      <c r="T1892" s="6" t="s">
        <v>97</v>
      </c>
      <c r="U1892" s="15" t="str">
        <f>HYPERLINK("https://media.infra-m.ru/2152/2152113/cover/2152113.jpg", "Обложка")</f>
        <v>Обложка</v>
      </c>
      <c r="V1892" s="8" t="s">
        <v>396</v>
      </c>
      <c r="W1892" s="6"/>
      <c r="X1892" s="6"/>
      <c r="Y1892" s="6"/>
      <c r="Z1892" s="6"/>
      <c r="AA1892" s="6" t="s">
        <v>55</v>
      </c>
      <c r="AB1892" s="8"/>
      <c r="AC1892" s="27">
        <v>9785160193045</v>
      </c>
    </row>
    <row r="1893" spans="1:29" s="4" customFormat="1" ht="44.1" customHeight="1" x14ac:dyDescent="0.2">
      <c r="A1893" s="5">
        <v>0</v>
      </c>
      <c r="B1893" s="6" t="s">
        <v>11427</v>
      </c>
      <c r="C1893" s="7">
        <v>1224</v>
      </c>
      <c r="D1893" s="8" t="s">
        <v>11428</v>
      </c>
      <c r="E1893" s="8" t="s">
        <v>11429</v>
      </c>
      <c r="F1893" s="8" t="s">
        <v>11430</v>
      </c>
      <c r="G1893" s="6" t="s">
        <v>33</v>
      </c>
      <c r="H1893" s="6" t="s">
        <v>34</v>
      </c>
      <c r="I1893" s="8" t="s">
        <v>35</v>
      </c>
      <c r="J1893" s="9">
        <v>1</v>
      </c>
      <c r="K1893" s="9">
        <v>178</v>
      </c>
      <c r="L1893" s="9">
        <v>2026</v>
      </c>
      <c r="M1893" s="8" t="s">
        <v>11431</v>
      </c>
      <c r="N1893" s="8" t="s">
        <v>37</v>
      </c>
      <c r="O1893" s="8" t="s">
        <v>233</v>
      </c>
      <c r="P1893" s="6" t="s">
        <v>39</v>
      </c>
      <c r="Q1893" s="8" t="s">
        <v>40</v>
      </c>
      <c r="R1893" s="10" t="s">
        <v>11432</v>
      </c>
      <c r="S1893" s="11"/>
      <c r="T1893" s="6"/>
      <c r="U1893" s="15" t="str">
        <f>HYPERLINK("https://media.infra-m.ru/2222/2222852/cover/2222852.jpg", "Обложка")</f>
        <v>Обложка</v>
      </c>
      <c r="V1893" s="8" t="s">
        <v>11433</v>
      </c>
      <c r="W1893" s="6" t="s">
        <v>528</v>
      </c>
      <c r="X1893" s="6"/>
      <c r="Y1893" s="6"/>
      <c r="Z1893" s="6"/>
      <c r="AA1893" s="6" t="s">
        <v>187</v>
      </c>
      <c r="AB1893" s="8" t="s">
        <v>308</v>
      </c>
      <c r="AC1893" s="27">
        <v>9785160213651</v>
      </c>
    </row>
    <row r="1894" spans="1:29" s="4" customFormat="1" ht="51.9" customHeight="1" x14ac:dyDescent="0.2">
      <c r="A1894" s="5">
        <v>0</v>
      </c>
      <c r="B1894" s="6" t="s">
        <v>11434</v>
      </c>
      <c r="C1894" s="13">
        <v>689.9</v>
      </c>
      <c r="D1894" s="8" t="s">
        <v>11435</v>
      </c>
      <c r="E1894" s="8" t="s">
        <v>11436</v>
      </c>
      <c r="F1894" s="8" t="s">
        <v>11437</v>
      </c>
      <c r="G1894" s="6" t="s">
        <v>33</v>
      </c>
      <c r="H1894" s="6" t="s">
        <v>241</v>
      </c>
      <c r="I1894" s="8"/>
      <c r="J1894" s="9">
        <v>1</v>
      </c>
      <c r="K1894" s="9">
        <v>128</v>
      </c>
      <c r="L1894" s="9">
        <v>2023</v>
      </c>
      <c r="M1894" s="8" t="s">
        <v>11438</v>
      </c>
      <c r="N1894" s="8" t="s">
        <v>37</v>
      </c>
      <c r="O1894" s="8" t="s">
        <v>499</v>
      </c>
      <c r="P1894" s="6" t="s">
        <v>51</v>
      </c>
      <c r="Q1894" s="8" t="s">
        <v>52</v>
      </c>
      <c r="R1894" s="10" t="s">
        <v>11439</v>
      </c>
      <c r="S1894" s="11" t="s">
        <v>11440</v>
      </c>
      <c r="T1894" s="6"/>
      <c r="U1894" s="15" t="str">
        <f>HYPERLINK("https://media.infra-m.ru/1981/1981659/cover/1981659.jpg", "Обложка")</f>
        <v>Обложка</v>
      </c>
      <c r="V1894" s="8" t="s">
        <v>396</v>
      </c>
      <c r="W1894" s="6"/>
      <c r="X1894" s="6"/>
      <c r="Y1894" s="6"/>
      <c r="Z1894" s="6"/>
      <c r="AA1894" s="6" t="s">
        <v>248</v>
      </c>
      <c r="AB1894" s="8"/>
      <c r="AC1894" s="27">
        <v>9785955803357</v>
      </c>
    </row>
    <row r="1895" spans="1:29" s="4" customFormat="1" ht="51.9" customHeight="1" x14ac:dyDescent="0.2">
      <c r="A1895" s="5">
        <v>0</v>
      </c>
      <c r="B1895" s="6" t="s">
        <v>11441</v>
      </c>
      <c r="C1895" s="7">
        <v>1396.8</v>
      </c>
      <c r="D1895" s="8" t="s">
        <v>11442</v>
      </c>
      <c r="E1895" s="8" t="s">
        <v>11443</v>
      </c>
      <c r="F1895" s="8" t="s">
        <v>11444</v>
      </c>
      <c r="G1895" s="6" t="s">
        <v>118</v>
      </c>
      <c r="H1895" s="6" t="s">
        <v>34</v>
      </c>
      <c r="I1895" s="8" t="s">
        <v>271</v>
      </c>
      <c r="J1895" s="9">
        <v>1</v>
      </c>
      <c r="K1895" s="9">
        <v>248</v>
      </c>
      <c r="L1895" s="9">
        <v>2024</v>
      </c>
      <c r="M1895" s="8" t="s">
        <v>11445</v>
      </c>
      <c r="N1895" s="8" t="s">
        <v>37</v>
      </c>
      <c r="O1895" s="8" t="s">
        <v>233</v>
      </c>
      <c r="P1895" s="6" t="s">
        <v>306</v>
      </c>
      <c r="Q1895" s="8" t="s">
        <v>52</v>
      </c>
      <c r="R1895" s="10" t="s">
        <v>357</v>
      </c>
      <c r="S1895" s="11" t="s">
        <v>2094</v>
      </c>
      <c r="T1895" s="6"/>
      <c r="U1895" s="15" t="str">
        <f>HYPERLINK("https://media.infra-m.ru/2129/2129152/cover/2129152.jpg", "Обложка")</f>
        <v>Обложка</v>
      </c>
      <c r="V1895" s="8" t="s">
        <v>1505</v>
      </c>
      <c r="W1895" s="6"/>
      <c r="X1895" s="6"/>
      <c r="Y1895" s="6"/>
      <c r="Z1895" s="6"/>
      <c r="AA1895" s="6" t="s">
        <v>86</v>
      </c>
      <c r="AB1895" s="8" t="s">
        <v>1317</v>
      </c>
      <c r="AC1895" s="27">
        <v>9785160131047</v>
      </c>
    </row>
    <row r="1896" spans="1:29" s="4" customFormat="1" ht="51.9" customHeight="1" x14ac:dyDescent="0.2">
      <c r="A1896" s="5">
        <v>0</v>
      </c>
      <c r="B1896" s="6" t="s">
        <v>11446</v>
      </c>
      <c r="C1896" s="7">
        <v>1096.8</v>
      </c>
      <c r="D1896" s="8" t="s">
        <v>11447</v>
      </c>
      <c r="E1896" s="8" t="s">
        <v>11448</v>
      </c>
      <c r="F1896" s="8" t="s">
        <v>11449</v>
      </c>
      <c r="G1896" s="6" t="s">
        <v>33</v>
      </c>
      <c r="H1896" s="6" t="s">
        <v>34</v>
      </c>
      <c r="I1896" s="8" t="s">
        <v>271</v>
      </c>
      <c r="J1896" s="9">
        <v>1</v>
      </c>
      <c r="K1896" s="9">
        <v>176</v>
      </c>
      <c r="L1896" s="9">
        <v>2025</v>
      </c>
      <c r="M1896" s="8" t="s">
        <v>11450</v>
      </c>
      <c r="N1896" s="8" t="s">
        <v>37</v>
      </c>
      <c r="O1896" s="8" t="s">
        <v>233</v>
      </c>
      <c r="P1896" s="6" t="s">
        <v>51</v>
      </c>
      <c r="Q1896" s="8" t="s">
        <v>52</v>
      </c>
      <c r="R1896" s="10" t="s">
        <v>2086</v>
      </c>
      <c r="S1896" s="11" t="s">
        <v>11451</v>
      </c>
      <c r="T1896" s="6"/>
      <c r="U1896" s="15" t="str">
        <f>HYPERLINK("https://media.infra-m.ru/2194/2194365/cover/2194365.jpg", "Обложка")</f>
        <v>Обложка</v>
      </c>
      <c r="V1896" s="8" t="s">
        <v>1505</v>
      </c>
      <c r="W1896" s="6"/>
      <c r="X1896" s="6"/>
      <c r="Y1896" s="6"/>
      <c r="Z1896" s="6"/>
      <c r="AA1896" s="6" t="s">
        <v>1037</v>
      </c>
      <c r="AB1896" s="8"/>
      <c r="AC1896" s="27">
        <v>9785160095141</v>
      </c>
    </row>
    <row r="1897" spans="1:29" s="4" customFormat="1" ht="51.9" customHeight="1" x14ac:dyDescent="0.2">
      <c r="A1897" s="5">
        <v>0</v>
      </c>
      <c r="B1897" s="6" t="s">
        <v>11452</v>
      </c>
      <c r="C1897" s="7">
        <v>1144.8</v>
      </c>
      <c r="D1897" s="8" t="s">
        <v>11453</v>
      </c>
      <c r="E1897" s="8" t="s">
        <v>11454</v>
      </c>
      <c r="F1897" s="8" t="s">
        <v>11455</v>
      </c>
      <c r="G1897" s="6" t="s">
        <v>118</v>
      </c>
      <c r="H1897" s="6" t="s">
        <v>34</v>
      </c>
      <c r="I1897" s="8" t="s">
        <v>253</v>
      </c>
      <c r="J1897" s="9">
        <v>1</v>
      </c>
      <c r="K1897" s="9">
        <v>208</v>
      </c>
      <c r="L1897" s="9">
        <v>2023</v>
      </c>
      <c r="M1897" s="8" t="s">
        <v>11456</v>
      </c>
      <c r="N1897" s="8" t="s">
        <v>37</v>
      </c>
      <c r="O1897" s="8" t="s">
        <v>233</v>
      </c>
      <c r="P1897" s="6" t="s">
        <v>51</v>
      </c>
      <c r="Q1897" s="8" t="s">
        <v>65</v>
      </c>
      <c r="R1897" s="10" t="s">
        <v>11457</v>
      </c>
      <c r="S1897" s="11" t="s">
        <v>5522</v>
      </c>
      <c r="T1897" s="6"/>
      <c r="U1897" s="15" t="str">
        <f>HYPERLINK("https://media.infra-m.ru/2048/2048859/cover/2048859.jpg", "Обложка")</f>
        <v>Обложка</v>
      </c>
      <c r="V1897" s="8" t="s">
        <v>911</v>
      </c>
      <c r="W1897" s="6"/>
      <c r="X1897" s="6"/>
      <c r="Y1897" s="6"/>
      <c r="Z1897" s="6"/>
      <c r="AA1897" s="6" t="s">
        <v>874</v>
      </c>
      <c r="AB1897" s="8"/>
      <c r="AC1897" s="27">
        <v>9785160186603</v>
      </c>
    </row>
    <row r="1898" spans="1:29" s="4" customFormat="1" ht="51.9" customHeight="1" x14ac:dyDescent="0.2">
      <c r="A1898" s="5">
        <v>0</v>
      </c>
      <c r="B1898" s="6" t="s">
        <v>11458</v>
      </c>
      <c r="C1898" s="7">
        <v>2320.8000000000002</v>
      </c>
      <c r="D1898" s="8" t="s">
        <v>11459</v>
      </c>
      <c r="E1898" s="8" t="s">
        <v>11460</v>
      </c>
      <c r="F1898" s="8" t="s">
        <v>11461</v>
      </c>
      <c r="G1898" s="6" t="s">
        <v>118</v>
      </c>
      <c r="H1898" s="6" t="s">
        <v>34</v>
      </c>
      <c r="I1898" s="8" t="s">
        <v>271</v>
      </c>
      <c r="J1898" s="9">
        <v>1</v>
      </c>
      <c r="K1898" s="9">
        <v>333</v>
      </c>
      <c r="L1898" s="9">
        <v>2026</v>
      </c>
      <c r="M1898" s="8" t="s">
        <v>11462</v>
      </c>
      <c r="N1898" s="8" t="s">
        <v>37</v>
      </c>
      <c r="O1898" s="8" t="s">
        <v>280</v>
      </c>
      <c r="P1898" s="6" t="s">
        <v>306</v>
      </c>
      <c r="Q1898" s="8" t="s">
        <v>52</v>
      </c>
      <c r="R1898" s="10" t="s">
        <v>11463</v>
      </c>
      <c r="S1898" s="11" t="s">
        <v>11464</v>
      </c>
      <c r="T1898" s="6"/>
      <c r="U1898" s="15" t="str">
        <f>HYPERLINK("https://media.infra-m.ru/2223/2223624/cover/2223624.jpg", "Обложка")</f>
        <v>Обложка</v>
      </c>
      <c r="V1898" s="8" t="s">
        <v>247</v>
      </c>
      <c r="W1898" s="6"/>
      <c r="X1898" s="6"/>
      <c r="Y1898" s="6"/>
      <c r="Z1898" s="6"/>
      <c r="AA1898" s="6" t="s">
        <v>248</v>
      </c>
      <c r="AB1898" s="8"/>
      <c r="AC1898" s="27">
        <v>9785160050201</v>
      </c>
    </row>
    <row r="1899" spans="1:29" s="4" customFormat="1" ht="51.9" customHeight="1" x14ac:dyDescent="0.2">
      <c r="A1899" s="5">
        <v>0</v>
      </c>
      <c r="B1899" s="6" t="s">
        <v>11465</v>
      </c>
      <c r="C1899" s="7">
        <v>1588.8</v>
      </c>
      <c r="D1899" s="8" t="s">
        <v>11466</v>
      </c>
      <c r="E1899" s="8" t="s">
        <v>11460</v>
      </c>
      <c r="F1899" s="8" t="s">
        <v>11467</v>
      </c>
      <c r="G1899" s="6" t="s">
        <v>33</v>
      </c>
      <c r="H1899" s="6" t="s">
        <v>48</v>
      </c>
      <c r="I1899" s="8" t="s">
        <v>271</v>
      </c>
      <c r="J1899" s="9">
        <v>1</v>
      </c>
      <c r="K1899" s="9">
        <v>288</v>
      </c>
      <c r="L1899" s="9">
        <v>2024</v>
      </c>
      <c r="M1899" s="8" t="s">
        <v>11468</v>
      </c>
      <c r="N1899" s="8" t="s">
        <v>37</v>
      </c>
      <c r="O1899" s="8" t="s">
        <v>280</v>
      </c>
      <c r="P1899" s="6" t="s">
        <v>306</v>
      </c>
      <c r="Q1899" s="8" t="s">
        <v>52</v>
      </c>
      <c r="R1899" s="10" t="s">
        <v>1993</v>
      </c>
      <c r="S1899" s="11" t="s">
        <v>11469</v>
      </c>
      <c r="T1899" s="6"/>
      <c r="U1899" s="15" t="str">
        <f>HYPERLINK("https://media.infra-m.ru/2091/2091895/cover/2091895.jpg", "Обложка")</f>
        <v>Обложка</v>
      </c>
      <c r="V1899" s="8" t="s">
        <v>5902</v>
      </c>
      <c r="W1899" s="6"/>
      <c r="X1899" s="6"/>
      <c r="Y1899" s="6"/>
      <c r="Z1899" s="6"/>
      <c r="AA1899" s="6" t="s">
        <v>274</v>
      </c>
      <c r="AB1899" s="8"/>
      <c r="AC1899" s="27">
        <v>9785000910924</v>
      </c>
    </row>
    <row r="1900" spans="1:29" s="4" customFormat="1" ht="51.9" customHeight="1" x14ac:dyDescent="0.2">
      <c r="A1900" s="5">
        <v>0</v>
      </c>
      <c r="B1900" s="6" t="s">
        <v>11470</v>
      </c>
      <c r="C1900" s="7">
        <v>1248</v>
      </c>
      <c r="D1900" s="8" t="s">
        <v>11471</v>
      </c>
      <c r="E1900" s="8" t="s">
        <v>11460</v>
      </c>
      <c r="F1900" s="8" t="s">
        <v>11472</v>
      </c>
      <c r="G1900" s="6" t="s">
        <v>118</v>
      </c>
      <c r="H1900" s="6" t="s">
        <v>313</v>
      </c>
      <c r="I1900" s="8" t="s">
        <v>253</v>
      </c>
      <c r="J1900" s="9">
        <v>1</v>
      </c>
      <c r="K1900" s="9">
        <v>229</v>
      </c>
      <c r="L1900" s="9">
        <v>2022</v>
      </c>
      <c r="M1900" s="8" t="s">
        <v>11473</v>
      </c>
      <c r="N1900" s="8" t="s">
        <v>37</v>
      </c>
      <c r="O1900" s="8" t="s">
        <v>280</v>
      </c>
      <c r="P1900" s="6" t="s">
        <v>51</v>
      </c>
      <c r="Q1900" s="8" t="s">
        <v>52</v>
      </c>
      <c r="R1900" s="10" t="s">
        <v>357</v>
      </c>
      <c r="S1900" s="11" t="s">
        <v>11474</v>
      </c>
      <c r="T1900" s="6"/>
      <c r="U1900" s="15" t="str">
        <f>HYPERLINK("https://media.infra-m.ru/1948/1948225/cover/1948225.jpg", "Обложка")</f>
        <v>Обложка</v>
      </c>
      <c r="V1900" s="8" t="s">
        <v>2398</v>
      </c>
      <c r="W1900" s="6"/>
      <c r="X1900" s="6"/>
      <c r="Y1900" s="6"/>
      <c r="Z1900" s="6"/>
      <c r="AA1900" s="6" t="s">
        <v>248</v>
      </c>
      <c r="AB1900" s="8"/>
      <c r="AC1900" s="27">
        <v>9785369012413</v>
      </c>
    </row>
    <row r="1901" spans="1:29" s="4" customFormat="1" ht="42" customHeight="1" x14ac:dyDescent="0.2">
      <c r="A1901" s="5">
        <v>0</v>
      </c>
      <c r="B1901" s="6" t="s">
        <v>11475</v>
      </c>
      <c r="C1901" s="13">
        <v>984</v>
      </c>
      <c r="D1901" s="8" t="s">
        <v>11476</v>
      </c>
      <c r="E1901" s="8" t="s">
        <v>11477</v>
      </c>
      <c r="F1901" s="8" t="s">
        <v>11478</v>
      </c>
      <c r="G1901" s="6" t="s">
        <v>33</v>
      </c>
      <c r="H1901" s="6" t="s">
        <v>313</v>
      </c>
      <c r="I1901" s="8" t="s">
        <v>392</v>
      </c>
      <c r="J1901" s="9">
        <v>1</v>
      </c>
      <c r="K1901" s="9">
        <v>148</v>
      </c>
      <c r="L1901" s="9">
        <v>2026</v>
      </c>
      <c r="M1901" s="8" t="s">
        <v>11479</v>
      </c>
      <c r="N1901" s="8" t="s">
        <v>63</v>
      </c>
      <c r="O1901" s="8" t="s">
        <v>154</v>
      </c>
      <c r="P1901" s="6" t="s">
        <v>51</v>
      </c>
      <c r="Q1901" s="8" t="s">
        <v>52</v>
      </c>
      <c r="R1901" s="10" t="s">
        <v>11480</v>
      </c>
      <c r="S1901" s="11"/>
      <c r="T1901" s="6"/>
      <c r="U1901" s="15" t="str">
        <f>HYPERLINK("https://media.infra-m.ru/2226/2226028/cover/2226028.jpg", "Обложка")</f>
        <v>Обложка</v>
      </c>
      <c r="V1901" s="8" t="s">
        <v>2088</v>
      </c>
      <c r="W1901" s="6"/>
      <c r="X1901" s="6"/>
      <c r="Y1901" s="6"/>
      <c r="Z1901" s="6"/>
      <c r="AA1901" s="6" t="s">
        <v>779</v>
      </c>
      <c r="AB1901" s="8"/>
      <c r="AC1901" s="27">
        <v>9785369014677</v>
      </c>
    </row>
    <row r="1902" spans="1:29" s="4" customFormat="1" ht="51.9" customHeight="1" x14ac:dyDescent="0.2">
      <c r="A1902" s="5">
        <v>0</v>
      </c>
      <c r="B1902" s="6" t="s">
        <v>11481</v>
      </c>
      <c r="C1902" s="7">
        <v>1272</v>
      </c>
      <c r="D1902" s="8" t="s">
        <v>11482</v>
      </c>
      <c r="E1902" s="8" t="s">
        <v>11483</v>
      </c>
      <c r="F1902" s="8" t="s">
        <v>11484</v>
      </c>
      <c r="G1902" s="6" t="s">
        <v>33</v>
      </c>
      <c r="H1902" s="6" t="s">
        <v>34</v>
      </c>
      <c r="I1902" s="8"/>
      <c r="J1902" s="9">
        <v>1</v>
      </c>
      <c r="K1902" s="9">
        <v>192</v>
      </c>
      <c r="L1902" s="9">
        <v>2026</v>
      </c>
      <c r="M1902" s="8" t="s">
        <v>11485</v>
      </c>
      <c r="N1902" s="8" t="s">
        <v>243</v>
      </c>
      <c r="O1902" s="8" t="s">
        <v>758</v>
      </c>
      <c r="P1902" s="6" t="s">
        <v>51</v>
      </c>
      <c r="Q1902" s="8" t="s">
        <v>52</v>
      </c>
      <c r="R1902" s="10" t="s">
        <v>9434</v>
      </c>
      <c r="S1902" s="11" t="s">
        <v>11486</v>
      </c>
      <c r="T1902" s="6"/>
      <c r="U1902" s="15" t="str">
        <f>HYPERLINK("https://media.infra-m.ru/2230/2230920/cover/2230920.jpg", "Обложка")</f>
        <v>Обложка</v>
      </c>
      <c r="V1902" s="8" t="s">
        <v>867</v>
      </c>
      <c r="W1902" s="6"/>
      <c r="X1902" s="6"/>
      <c r="Y1902" s="6"/>
      <c r="Z1902" s="6"/>
      <c r="AA1902" s="6" t="s">
        <v>274</v>
      </c>
      <c r="AB1902" s="8"/>
      <c r="AC1902" s="27">
        <v>9785160217543</v>
      </c>
    </row>
    <row r="1903" spans="1:29" s="4" customFormat="1" ht="51.9" customHeight="1" x14ac:dyDescent="0.2">
      <c r="A1903" s="5">
        <v>0</v>
      </c>
      <c r="B1903" s="6" t="s">
        <v>11487</v>
      </c>
      <c r="C1903" s="13">
        <v>856.8</v>
      </c>
      <c r="D1903" s="8" t="s">
        <v>11488</v>
      </c>
      <c r="E1903" s="8" t="s">
        <v>11489</v>
      </c>
      <c r="F1903" s="8" t="s">
        <v>11490</v>
      </c>
      <c r="G1903" s="6" t="s">
        <v>33</v>
      </c>
      <c r="H1903" s="6" t="s">
        <v>34</v>
      </c>
      <c r="I1903" s="8" t="s">
        <v>271</v>
      </c>
      <c r="J1903" s="9">
        <v>1</v>
      </c>
      <c r="K1903" s="9">
        <v>113</v>
      </c>
      <c r="L1903" s="9">
        <v>2026</v>
      </c>
      <c r="M1903" s="8" t="s">
        <v>11491</v>
      </c>
      <c r="N1903" s="8" t="s">
        <v>37</v>
      </c>
      <c r="O1903" s="8" t="s">
        <v>499</v>
      </c>
      <c r="P1903" s="6" t="s">
        <v>105</v>
      </c>
      <c r="Q1903" s="8" t="s">
        <v>52</v>
      </c>
      <c r="R1903" s="10" t="s">
        <v>11492</v>
      </c>
      <c r="S1903" s="11" t="s">
        <v>11493</v>
      </c>
      <c r="T1903" s="6"/>
      <c r="U1903" s="15" t="str">
        <f>HYPERLINK("https://media.infra-m.ru/2222/2222973/cover/2222973.jpg", "Обложка")</f>
        <v>Обложка</v>
      </c>
      <c r="V1903" s="8" t="s">
        <v>445</v>
      </c>
      <c r="W1903" s="6"/>
      <c r="X1903" s="6"/>
      <c r="Y1903" s="6"/>
      <c r="Z1903" s="6"/>
      <c r="AA1903" s="6" t="s">
        <v>896</v>
      </c>
      <c r="AB1903" s="8"/>
      <c r="AC1903" s="27">
        <v>9785160169903</v>
      </c>
    </row>
    <row r="1904" spans="1:29" s="4" customFormat="1" ht="42" customHeight="1" x14ac:dyDescent="0.2">
      <c r="A1904" s="5">
        <v>0</v>
      </c>
      <c r="B1904" s="6" t="s">
        <v>11494</v>
      </c>
      <c r="C1904" s="13">
        <v>748.8</v>
      </c>
      <c r="D1904" s="8" t="s">
        <v>11495</v>
      </c>
      <c r="E1904" s="8" t="s">
        <v>11496</v>
      </c>
      <c r="F1904" s="8" t="s">
        <v>11490</v>
      </c>
      <c r="G1904" s="6" t="s">
        <v>33</v>
      </c>
      <c r="H1904" s="6" t="s">
        <v>34</v>
      </c>
      <c r="I1904" s="8" t="s">
        <v>263</v>
      </c>
      <c r="J1904" s="9">
        <v>1</v>
      </c>
      <c r="K1904" s="9">
        <v>113</v>
      </c>
      <c r="L1904" s="9">
        <v>2026</v>
      </c>
      <c r="M1904" s="8" t="s">
        <v>11497</v>
      </c>
      <c r="N1904" s="8" t="s">
        <v>37</v>
      </c>
      <c r="O1904" s="8" t="s">
        <v>233</v>
      </c>
      <c r="P1904" s="6" t="s">
        <v>105</v>
      </c>
      <c r="Q1904" s="8" t="s">
        <v>265</v>
      </c>
      <c r="R1904" s="10" t="s">
        <v>2813</v>
      </c>
      <c r="S1904" s="11"/>
      <c r="T1904" s="6"/>
      <c r="U1904" s="15" t="str">
        <f>HYPERLINK("https://media.infra-m.ru/2237/2237136/cover/2237136.jpg", "Обложка")</f>
        <v>Обложка</v>
      </c>
      <c r="V1904" s="8" t="s">
        <v>445</v>
      </c>
      <c r="W1904" s="6"/>
      <c r="X1904" s="6"/>
      <c r="Y1904" s="6"/>
      <c r="Z1904" s="6" t="s">
        <v>267</v>
      </c>
      <c r="AA1904" s="6" t="s">
        <v>106</v>
      </c>
      <c r="AB1904" s="8"/>
      <c r="AC1904" s="27">
        <v>9785160193380</v>
      </c>
    </row>
    <row r="1905" spans="1:29" s="4" customFormat="1" ht="51.9" customHeight="1" x14ac:dyDescent="0.2">
      <c r="A1905" s="5">
        <v>0</v>
      </c>
      <c r="B1905" s="6" t="s">
        <v>11498</v>
      </c>
      <c r="C1905" s="13">
        <v>492</v>
      </c>
      <c r="D1905" s="8" t="s">
        <v>11499</v>
      </c>
      <c r="E1905" s="8" t="s">
        <v>11500</v>
      </c>
      <c r="F1905" s="8" t="s">
        <v>11490</v>
      </c>
      <c r="G1905" s="6" t="s">
        <v>33</v>
      </c>
      <c r="H1905" s="6" t="s">
        <v>48</v>
      </c>
      <c r="I1905" s="8" t="s">
        <v>271</v>
      </c>
      <c r="J1905" s="9">
        <v>1</v>
      </c>
      <c r="K1905" s="9">
        <v>120</v>
      </c>
      <c r="L1905" s="9">
        <v>2020</v>
      </c>
      <c r="M1905" s="8" t="s">
        <v>11501</v>
      </c>
      <c r="N1905" s="8" t="s">
        <v>37</v>
      </c>
      <c r="O1905" s="8" t="s">
        <v>233</v>
      </c>
      <c r="P1905" s="6" t="s">
        <v>51</v>
      </c>
      <c r="Q1905" s="8" t="s">
        <v>52</v>
      </c>
      <c r="R1905" s="10" t="s">
        <v>11492</v>
      </c>
      <c r="S1905" s="11" t="s">
        <v>11502</v>
      </c>
      <c r="T1905" s="6"/>
      <c r="U1905" s="15" t="str">
        <f>HYPERLINK("https://media.infra-m.ru/1079/1079340/cover/1079340.jpg", "Обложка")</f>
        <v>Обложка</v>
      </c>
      <c r="V1905" s="8" t="s">
        <v>445</v>
      </c>
      <c r="W1905" s="6"/>
      <c r="X1905" s="6"/>
      <c r="Y1905" s="6"/>
      <c r="Z1905" s="6"/>
      <c r="AA1905" s="6" t="s">
        <v>99</v>
      </c>
      <c r="AB1905" s="8"/>
      <c r="AC1905" s="27">
        <v>9785000916025</v>
      </c>
    </row>
    <row r="1906" spans="1:29" s="4" customFormat="1" ht="51.9" customHeight="1" x14ac:dyDescent="0.2">
      <c r="A1906" s="5">
        <v>0</v>
      </c>
      <c r="B1906" s="6" t="s">
        <v>11503</v>
      </c>
      <c r="C1906" s="7">
        <v>2260.8000000000002</v>
      </c>
      <c r="D1906" s="8" t="s">
        <v>11504</v>
      </c>
      <c r="E1906" s="8" t="s">
        <v>11505</v>
      </c>
      <c r="F1906" s="8" t="s">
        <v>11506</v>
      </c>
      <c r="G1906" s="6" t="s">
        <v>60</v>
      </c>
      <c r="H1906" s="6" t="s">
        <v>1042</v>
      </c>
      <c r="I1906" s="8" t="s">
        <v>263</v>
      </c>
      <c r="J1906" s="9">
        <v>1</v>
      </c>
      <c r="K1906" s="9">
        <v>400</v>
      </c>
      <c r="L1906" s="9">
        <v>2024</v>
      </c>
      <c r="M1906" s="8" t="s">
        <v>11507</v>
      </c>
      <c r="N1906" s="8" t="s">
        <v>37</v>
      </c>
      <c r="O1906" s="8" t="s">
        <v>280</v>
      </c>
      <c r="P1906" s="6" t="s">
        <v>51</v>
      </c>
      <c r="Q1906" s="8" t="s">
        <v>265</v>
      </c>
      <c r="R1906" s="10" t="s">
        <v>4160</v>
      </c>
      <c r="S1906" s="11" t="s">
        <v>11508</v>
      </c>
      <c r="T1906" s="6"/>
      <c r="U1906" s="15" t="str">
        <f>HYPERLINK("https://media.infra-m.ru/2155/2155748/cover/2155748.jpg", "Обложка")</f>
        <v>Обложка</v>
      </c>
      <c r="V1906" s="8" t="s">
        <v>1505</v>
      </c>
      <c r="W1906" s="6"/>
      <c r="X1906" s="6"/>
      <c r="Y1906" s="6"/>
      <c r="Z1906" s="6" t="s">
        <v>267</v>
      </c>
      <c r="AA1906" s="6" t="s">
        <v>115</v>
      </c>
      <c r="AB1906" s="8"/>
      <c r="AC1906" s="27">
        <v>9785819907870</v>
      </c>
    </row>
    <row r="1907" spans="1:29" s="4" customFormat="1" ht="51.9" customHeight="1" x14ac:dyDescent="0.2">
      <c r="A1907" s="5">
        <v>0</v>
      </c>
      <c r="B1907" s="6" t="s">
        <v>11509</v>
      </c>
      <c r="C1907" s="7">
        <v>2644.8</v>
      </c>
      <c r="D1907" s="8" t="s">
        <v>11510</v>
      </c>
      <c r="E1907" s="8" t="s">
        <v>11505</v>
      </c>
      <c r="F1907" s="8" t="s">
        <v>11511</v>
      </c>
      <c r="G1907" s="6" t="s">
        <v>118</v>
      </c>
      <c r="H1907" s="6" t="s">
        <v>1042</v>
      </c>
      <c r="I1907" s="8" t="s">
        <v>253</v>
      </c>
      <c r="J1907" s="9">
        <v>1</v>
      </c>
      <c r="K1907" s="9">
        <v>400</v>
      </c>
      <c r="L1907" s="9">
        <v>2026</v>
      </c>
      <c r="M1907" s="8" t="s">
        <v>11512</v>
      </c>
      <c r="N1907" s="8" t="s">
        <v>37</v>
      </c>
      <c r="O1907" s="8" t="s">
        <v>280</v>
      </c>
      <c r="P1907" s="6" t="s">
        <v>51</v>
      </c>
      <c r="Q1907" s="8" t="s">
        <v>52</v>
      </c>
      <c r="R1907" s="10" t="s">
        <v>11513</v>
      </c>
      <c r="S1907" s="11" t="s">
        <v>11514</v>
      </c>
      <c r="T1907" s="6"/>
      <c r="U1907" s="15" t="str">
        <f>HYPERLINK("https://media.infra-m.ru/2232/2232180/cover/2232180.jpg", "Обложка")</f>
        <v>Обложка</v>
      </c>
      <c r="V1907" s="8" t="s">
        <v>1505</v>
      </c>
      <c r="W1907" s="6"/>
      <c r="X1907" s="6"/>
      <c r="Y1907" s="6"/>
      <c r="Z1907" s="6"/>
      <c r="AA1907" s="6" t="s">
        <v>129</v>
      </c>
      <c r="AB1907" s="8"/>
      <c r="AC1907" s="27">
        <v>9785819909454</v>
      </c>
    </row>
    <row r="1908" spans="1:29" s="4" customFormat="1" ht="51.9" customHeight="1" x14ac:dyDescent="0.2">
      <c r="A1908" s="5">
        <v>0</v>
      </c>
      <c r="B1908" s="6" t="s">
        <v>11515</v>
      </c>
      <c r="C1908" s="13">
        <v>689.9</v>
      </c>
      <c r="D1908" s="8" t="s">
        <v>11516</v>
      </c>
      <c r="E1908" s="8" t="s">
        <v>11517</v>
      </c>
      <c r="F1908" s="8" t="s">
        <v>11490</v>
      </c>
      <c r="G1908" s="6" t="s">
        <v>33</v>
      </c>
      <c r="H1908" s="6" t="s">
        <v>48</v>
      </c>
      <c r="I1908" s="8" t="s">
        <v>263</v>
      </c>
      <c r="J1908" s="9">
        <v>1</v>
      </c>
      <c r="K1908" s="9">
        <v>120</v>
      </c>
      <c r="L1908" s="9">
        <v>2023</v>
      </c>
      <c r="M1908" s="8" t="s">
        <v>11518</v>
      </c>
      <c r="N1908" s="8" t="s">
        <v>37</v>
      </c>
      <c r="O1908" s="8" t="s">
        <v>233</v>
      </c>
      <c r="P1908" s="6" t="s">
        <v>51</v>
      </c>
      <c r="Q1908" s="8" t="s">
        <v>265</v>
      </c>
      <c r="R1908" s="10" t="s">
        <v>2813</v>
      </c>
      <c r="S1908" s="11" t="s">
        <v>11519</v>
      </c>
      <c r="T1908" s="6"/>
      <c r="U1908" s="15" t="str">
        <f>HYPERLINK("https://media.infra-m.ru/1920/1920310/cover/1920310.jpg", "Обложка")</f>
        <v>Обложка</v>
      </c>
      <c r="V1908" s="8" t="s">
        <v>445</v>
      </c>
      <c r="W1908" s="6"/>
      <c r="X1908" s="6"/>
      <c r="Y1908" s="6"/>
      <c r="Z1908" s="6" t="s">
        <v>267</v>
      </c>
      <c r="AA1908" s="6" t="s">
        <v>115</v>
      </c>
      <c r="AB1908" s="8"/>
      <c r="AC1908" s="27">
        <v>9785000915677</v>
      </c>
    </row>
    <row r="1909" spans="1:29" s="4" customFormat="1" ht="44.1" customHeight="1" x14ac:dyDescent="0.2">
      <c r="A1909" s="5">
        <v>0</v>
      </c>
      <c r="B1909" s="6" t="s">
        <v>11520</v>
      </c>
      <c r="C1909" s="7">
        <v>1000.8</v>
      </c>
      <c r="D1909" s="8" t="s">
        <v>11521</v>
      </c>
      <c r="E1909" s="8" t="s">
        <v>11522</v>
      </c>
      <c r="F1909" s="8" t="s">
        <v>11523</v>
      </c>
      <c r="G1909" s="6" t="s">
        <v>33</v>
      </c>
      <c r="H1909" s="6" t="s">
        <v>34</v>
      </c>
      <c r="I1909" s="8" t="s">
        <v>35</v>
      </c>
      <c r="J1909" s="9">
        <v>1</v>
      </c>
      <c r="K1909" s="9">
        <v>160</v>
      </c>
      <c r="L1909" s="9">
        <v>2026</v>
      </c>
      <c r="M1909" s="8" t="s">
        <v>11524</v>
      </c>
      <c r="N1909" s="8" t="s">
        <v>37</v>
      </c>
      <c r="O1909" s="8" t="s">
        <v>50</v>
      </c>
      <c r="P1909" s="6" t="s">
        <v>39</v>
      </c>
      <c r="Q1909" s="8" t="s">
        <v>40</v>
      </c>
      <c r="R1909" s="10" t="s">
        <v>11525</v>
      </c>
      <c r="S1909" s="11"/>
      <c r="T1909" s="6"/>
      <c r="U1909" s="15" t="str">
        <f>HYPERLINK("https://media.infra-m.ru/2219/2219041/cover/2219041.jpg", "Обложка")</f>
        <v>Обложка</v>
      </c>
      <c r="V1909" s="8" t="s">
        <v>11526</v>
      </c>
      <c r="W1909" s="6"/>
      <c r="X1909" s="6"/>
      <c r="Y1909" s="6"/>
      <c r="Z1909" s="6"/>
      <c r="AA1909" s="6" t="s">
        <v>430</v>
      </c>
      <c r="AB1909" s="8"/>
      <c r="AC1909" s="27">
        <v>9785160164700</v>
      </c>
    </row>
    <row r="1910" spans="1:29" s="4" customFormat="1" ht="51.9" customHeight="1" x14ac:dyDescent="0.2">
      <c r="A1910" s="5">
        <v>0</v>
      </c>
      <c r="B1910" s="6" t="s">
        <v>11527</v>
      </c>
      <c r="C1910" s="13">
        <v>864</v>
      </c>
      <c r="D1910" s="8" t="s">
        <v>11528</v>
      </c>
      <c r="E1910" s="8" t="s">
        <v>11529</v>
      </c>
      <c r="F1910" s="8" t="s">
        <v>11530</v>
      </c>
      <c r="G1910" s="6" t="s">
        <v>60</v>
      </c>
      <c r="H1910" s="6" t="s">
        <v>34</v>
      </c>
      <c r="I1910" s="8" t="s">
        <v>35</v>
      </c>
      <c r="J1910" s="9">
        <v>1</v>
      </c>
      <c r="K1910" s="9">
        <v>118</v>
      </c>
      <c r="L1910" s="9">
        <v>2026</v>
      </c>
      <c r="M1910" s="8" t="s">
        <v>11531</v>
      </c>
      <c r="N1910" s="8" t="s">
        <v>243</v>
      </c>
      <c r="O1910" s="8" t="s">
        <v>758</v>
      </c>
      <c r="P1910" s="6" t="s">
        <v>39</v>
      </c>
      <c r="Q1910" s="8" t="s">
        <v>40</v>
      </c>
      <c r="R1910" s="10" t="s">
        <v>11532</v>
      </c>
      <c r="S1910" s="11"/>
      <c r="T1910" s="6"/>
      <c r="U1910" s="15" t="str">
        <f>HYPERLINK("https://media.infra-m.ru/2228/2228563/cover/2228563.jpg", "Обложка")</f>
        <v>Обложка</v>
      </c>
      <c r="V1910" s="8" t="s">
        <v>227</v>
      </c>
      <c r="W1910" s="6" t="s">
        <v>649</v>
      </c>
      <c r="X1910" s="6"/>
      <c r="Y1910" s="6"/>
      <c r="Z1910" s="6"/>
      <c r="AA1910" s="6" t="s">
        <v>187</v>
      </c>
      <c r="AB1910" s="8" t="s">
        <v>697</v>
      </c>
      <c r="AC1910" s="27">
        <v>9785160215198</v>
      </c>
    </row>
    <row r="1911" spans="1:29" s="4" customFormat="1" ht="44.1" customHeight="1" x14ac:dyDescent="0.2">
      <c r="A1911" s="5">
        <v>0</v>
      </c>
      <c r="B1911" s="6" t="s">
        <v>11533</v>
      </c>
      <c r="C1911" s="13">
        <v>832.8</v>
      </c>
      <c r="D1911" s="8" t="s">
        <v>11534</v>
      </c>
      <c r="E1911" s="8" t="s">
        <v>11535</v>
      </c>
      <c r="F1911" s="8" t="s">
        <v>11536</v>
      </c>
      <c r="G1911" s="6" t="s">
        <v>33</v>
      </c>
      <c r="H1911" s="6" t="s">
        <v>34</v>
      </c>
      <c r="I1911" s="8" t="s">
        <v>35</v>
      </c>
      <c r="J1911" s="9">
        <v>1</v>
      </c>
      <c r="K1911" s="9">
        <v>124</v>
      </c>
      <c r="L1911" s="9">
        <v>2025</v>
      </c>
      <c r="M1911" s="8" t="s">
        <v>11537</v>
      </c>
      <c r="N1911" s="8" t="s">
        <v>243</v>
      </c>
      <c r="O1911" s="8" t="s">
        <v>758</v>
      </c>
      <c r="P1911" s="6" t="s">
        <v>39</v>
      </c>
      <c r="Q1911" s="8" t="s">
        <v>40</v>
      </c>
      <c r="R1911" s="10" t="s">
        <v>11538</v>
      </c>
      <c r="S1911" s="11"/>
      <c r="T1911" s="6"/>
      <c r="U1911" s="15" t="str">
        <f>HYPERLINK("https://media.infra-m.ru/2184/2184905/cover/2184905.jpg", "Обложка")</f>
        <v>Обложка</v>
      </c>
      <c r="V1911" s="8" t="s">
        <v>7894</v>
      </c>
      <c r="W1911" s="6"/>
      <c r="X1911" s="6"/>
      <c r="Y1911" s="6"/>
      <c r="Z1911" s="6"/>
      <c r="AA1911" s="6" t="s">
        <v>1256</v>
      </c>
      <c r="AB1911" s="8"/>
      <c r="AC1911" s="27">
        <v>9785160154244</v>
      </c>
    </row>
    <row r="1912" spans="1:29" s="4" customFormat="1" ht="51.9" customHeight="1" x14ac:dyDescent="0.2">
      <c r="A1912" s="5">
        <v>0</v>
      </c>
      <c r="B1912" s="6" t="s">
        <v>11539</v>
      </c>
      <c r="C1912" s="7">
        <v>2124</v>
      </c>
      <c r="D1912" s="8" t="s">
        <v>11540</v>
      </c>
      <c r="E1912" s="8" t="s">
        <v>11541</v>
      </c>
      <c r="F1912" s="8" t="s">
        <v>11542</v>
      </c>
      <c r="G1912" s="6" t="s">
        <v>118</v>
      </c>
      <c r="H1912" s="6" t="s">
        <v>34</v>
      </c>
      <c r="I1912" s="8" t="s">
        <v>263</v>
      </c>
      <c r="J1912" s="9">
        <v>1</v>
      </c>
      <c r="K1912" s="9">
        <v>304</v>
      </c>
      <c r="L1912" s="9">
        <v>2027</v>
      </c>
      <c r="M1912" s="8" t="s">
        <v>11543</v>
      </c>
      <c r="N1912" s="8" t="s">
        <v>243</v>
      </c>
      <c r="O1912" s="8" t="s">
        <v>758</v>
      </c>
      <c r="P1912" s="6" t="s">
        <v>51</v>
      </c>
      <c r="Q1912" s="8" t="s">
        <v>265</v>
      </c>
      <c r="R1912" s="10" t="s">
        <v>11544</v>
      </c>
      <c r="S1912" s="11" t="s">
        <v>11545</v>
      </c>
      <c r="T1912" s="6"/>
      <c r="U1912" s="15" t="str">
        <f>HYPERLINK("https://media.infra-m.ru/2266/2266080/cover/2266080.jpg", "Обложка")</f>
        <v>Обложка</v>
      </c>
      <c r="V1912" s="8" t="s">
        <v>546</v>
      </c>
      <c r="W1912" s="6"/>
      <c r="X1912" s="6"/>
      <c r="Y1912" s="6"/>
      <c r="Z1912" s="6" t="s">
        <v>267</v>
      </c>
      <c r="AA1912" s="6" t="s">
        <v>430</v>
      </c>
      <c r="AB1912" s="8"/>
      <c r="AC1912" s="27">
        <v>9785160169286</v>
      </c>
    </row>
    <row r="1913" spans="1:29" s="4" customFormat="1" ht="51.9" customHeight="1" x14ac:dyDescent="0.2">
      <c r="A1913" s="5">
        <v>0</v>
      </c>
      <c r="B1913" s="6" t="s">
        <v>11546</v>
      </c>
      <c r="C1913" s="7">
        <v>2112</v>
      </c>
      <c r="D1913" s="8" t="s">
        <v>11547</v>
      </c>
      <c r="E1913" s="8" t="s">
        <v>11541</v>
      </c>
      <c r="F1913" s="8" t="s">
        <v>11542</v>
      </c>
      <c r="G1913" s="6" t="s">
        <v>118</v>
      </c>
      <c r="H1913" s="6" t="s">
        <v>34</v>
      </c>
      <c r="I1913" s="8" t="s">
        <v>253</v>
      </c>
      <c r="J1913" s="9">
        <v>1</v>
      </c>
      <c r="K1913" s="9">
        <v>304</v>
      </c>
      <c r="L1913" s="9">
        <v>2026</v>
      </c>
      <c r="M1913" s="8" t="s">
        <v>11548</v>
      </c>
      <c r="N1913" s="8" t="s">
        <v>243</v>
      </c>
      <c r="O1913" s="8" t="s">
        <v>758</v>
      </c>
      <c r="P1913" s="6" t="s">
        <v>51</v>
      </c>
      <c r="Q1913" s="8" t="s">
        <v>52</v>
      </c>
      <c r="R1913" s="10" t="s">
        <v>11549</v>
      </c>
      <c r="S1913" s="11" t="s">
        <v>11550</v>
      </c>
      <c r="T1913" s="6"/>
      <c r="U1913" s="15" t="str">
        <f>HYPERLINK("https://media.infra-m.ru/2261/2261222/cover/2261222.jpg", "Обложка")</f>
        <v>Обложка</v>
      </c>
      <c r="V1913" s="8" t="s">
        <v>546</v>
      </c>
      <c r="W1913" s="6"/>
      <c r="X1913" s="6"/>
      <c r="Y1913" s="6"/>
      <c r="Z1913" s="6"/>
      <c r="AA1913" s="6" t="s">
        <v>779</v>
      </c>
      <c r="AB1913" s="8"/>
      <c r="AC1913" s="27">
        <v>9785160195544</v>
      </c>
    </row>
    <row r="1914" spans="1:29" s="4" customFormat="1" ht="51.9" customHeight="1" x14ac:dyDescent="0.2">
      <c r="A1914" s="5">
        <v>0</v>
      </c>
      <c r="B1914" s="6" t="s">
        <v>11551</v>
      </c>
      <c r="C1914" s="7">
        <v>2980.8</v>
      </c>
      <c r="D1914" s="8" t="s">
        <v>11552</v>
      </c>
      <c r="E1914" s="8" t="s">
        <v>11553</v>
      </c>
      <c r="F1914" s="8" t="s">
        <v>11542</v>
      </c>
      <c r="G1914" s="6" t="s">
        <v>60</v>
      </c>
      <c r="H1914" s="6" t="s">
        <v>34</v>
      </c>
      <c r="I1914" s="8" t="s">
        <v>253</v>
      </c>
      <c r="J1914" s="9">
        <v>1</v>
      </c>
      <c r="K1914" s="9">
        <v>451</v>
      </c>
      <c r="L1914" s="9">
        <v>2026</v>
      </c>
      <c r="M1914" s="8" t="s">
        <v>11554</v>
      </c>
      <c r="N1914" s="8" t="s">
        <v>243</v>
      </c>
      <c r="O1914" s="8" t="s">
        <v>758</v>
      </c>
      <c r="P1914" s="6" t="s">
        <v>51</v>
      </c>
      <c r="Q1914" s="8" t="s">
        <v>52</v>
      </c>
      <c r="R1914" s="10" t="s">
        <v>11549</v>
      </c>
      <c r="S1914" s="11" t="s">
        <v>11550</v>
      </c>
      <c r="T1914" s="6"/>
      <c r="U1914" s="15" t="str">
        <f>HYPERLINK("https://media.infra-m.ru/2249/2249278/cover/2249278.jpg", "Обложка")</f>
        <v>Обложка</v>
      </c>
      <c r="V1914" s="8" t="s">
        <v>546</v>
      </c>
      <c r="W1914" s="6"/>
      <c r="X1914" s="6"/>
      <c r="Y1914" s="6"/>
      <c r="Z1914" s="6"/>
      <c r="AA1914" s="6" t="s">
        <v>779</v>
      </c>
      <c r="AB1914" s="8"/>
      <c r="AC1914" s="27">
        <v>9785160198149</v>
      </c>
    </row>
    <row r="1915" spans="1:29" s="4" customFormat="1" ht="51.9" customHeight="1" x14ac:dyDescent="0.2">
      <c r="A1915" s="5">
        <v>0</v>
      </c>
      <c r="B1915" s="6" t="s">
        <v>11555</v>
      </c>
      <c r="C1915" s="7">
        <v>3336</v>
      </c>
      <c r="D1915" s="8" t="s">
        <v>11556</v>
      </c>
      <c r="E1915" s="8" t="s">
        <v>11557</v>
      </c>
      <c r="F1915" s="8" t="s">
        <v>11558</v>
      </c>
      <c r="G1915" s="6" t="s">
        <v>60</v>
      </c>
      <c r="H1915" s="6" t="s">
        <v>34</v>
      </c>
      <c r="I1915" s="8" t="s">
        <v>253</v>
      </c>
      <c r="J1915" s="9">
        <v>1</v>
      </c>
      <c r="K1915" s="9">
        <v>479</v>
      </c>
      <c r="L1915" s="9">
        <v>2027</v>
      </c>
      <c r="M1915" s="8" t="s">
        <v>11559</v>
      </c>
      <c r="N1915" s="8" t="s">
        <v>243</v>
      </c>
      <c r="O1915" s="8" t="s">
        <v>798</v>
      </c>
      <c r="P1915" s="6" t="s">
        <v>306</v>
      </c>
      <c r="Q1915" s="8" t="s">
        <v>377</v>
      </c>
      <c r="R1915" s="10" t="s">
        <v>11560</v>
      </c>
      <c r="S1915" s="11" t="s">
        <v>11561</v>
      </c>
      <c r="T1915" s="6"/>
      <c r="U1915" s="15" t="str">
        <f>HYPERLINK("https://media.infra-m.ru/2266/2266119/cover/2266119.jpg", "Обложка")</f>
        <v>Обложка</v>
      </c>
      <c r="V1915" s="8" t="s">
        <v>4368</v>
      </c>
      <c r="W1915" s="6"/>
      <c r="X1915" s="6" t="s">
        <v>24</v>
      </c>
      <c r="Y1915" s="6"/>
      <c r="Z1915" s="6"/>
      <c r="AA1915" s="6" t="s">
        <v>11562</v>
      </c>
      <c r="AB1915" s="8"/>
      <c r="AC1915" s="27">
        <v>9785160204079</v>
      </c>
    </row>
    <row r="1916" spans="1:29" s="4" customFormat="1" ht="51.9" customHeight="1" x14ac:dyDescent="0.2">
      <c r="A1916" s="5">
        <v>0</v>
      </c>
      <c r="B1916" s="6" t="s">
        <v>11563</v>
      </c>
      <c r="C1916" s="7">
        <v>3168</v>
      </c>
      <c r="D1916" s="8" t="s">
        <v>11564</v>
      </c>
      <c r="E1916" s="8" t="s">
        <v>11557</v>
      </c>
      <c r="F1916" s="8" t="s">
        <v>11558</v>
      </c>
      <c r="G1916" s="6" t="s">
        <v>60</v>
      </c>
      <c r="H1916" s="6" t="s">
        <v>34</v>
      </c>
      <c r="I1916" s="8" t="s">
        <v>263</v>
      </c>
      <c r="J1916" s="9">
        <v>1</v>
      </c>
      <c r="K1916" s="9">
        <v>479</v>
      </c>
      <c r="L1916" s="9">
        <v>2026</v>
      </c>
      <c r="M1916" s="8" t="s">
        <v>11565</v>
      </c>
      <c r="N1916" s="8" t="s">
        <v>585</v>
      </c>
      <c r="O1916" s="8" t="s">
        <v>775</v>
      </c>
      <c r="P1916" s="6" t="s">
        <v>306</v>
      </c>
      <c r="Q1916" s="8" t="s">
        <v>265</v>
      </c>
      <c r="R1916" s="10" t="s">
        <v>7569</v>
      </c>
      <c r="S1916" s="11" t="s">
        <v>11566</v>
      </c>
      <c r="T1916" s="6"/>
      <c r="U1916" s="15" t="str">
        <f>HYPERLINK("https://media.infra-m.ru/2238/2238697/cover/2238697.jpg", "Обложка")</f>
        <v>Обложка</v>
      </c>
      <c r="V1916" s="8" t="s">
        <v>4368</v>
      </c>
      <c r="W1916" s="6"/>
      <c r="X1916" s="6"/>
      <c r="Y1916" s="6"/>
      <c r="Z1916" s="6" t="s">
        <v>3911</v>
      </c>
      <c r="AA1916" s="6" t="s">
        <v>3553</v>
      </c>
      <c r="AB1916" s="8"/>
      <c r="AC1916" s="27">
        <v>9785160139203</v>
      </c>
    </row>
    <row r="1917" spans="1:29" s="4" customFormat="1" ht="51.9" customHeight="1" x14ac:dyDescent="0.2">
      <c r="A1917" s="5">
        <v>0</v>
      </c>
      <c r="B1917" s="6" t="s">
        <v>11567</v>
      </c>
      <c r="C1917" s="7">
        <v>1384.8</v>
      </c>
      <c r="D1917" s="8" t="s">
        <v>11568</v>
      </c>
      <c r="E1917" s="8" t="s">
        <v>11569</v>
      </c>
      <c r="F1917" s="8" t="s">
        <v>11570</v>
      </c>
      <c r="G1917" s="6" t="s">
        <v>118</v>
      </c>
      <c r="H1917" s="6" t="s">
        <v>34</v>
      </c>
      <c r="I1917" s="8" t="s">
        <v>1248</v>
      </c>
      <c r="J1917" s="9">
        <v>1</v>
      </c>
      <c r="K1917" s="9">
        <v>199</v>
      </c>
      <c r="L1917" s="9">
        <v>2026</v>
      </c>
      <c r="M1917" s="8" t="s">
        <v>11571</v>
      </c>
      <c r="N1917" s="8" t="s">
        <v>243</v>
      </c>
      <c r="O1917" s="8" t="s">
        <v>329</v>
      </c>
      <c r="P1917" s="6" t="s">
        <v>51</v>
      </c>
      <c r="Q1917" s="8" t="s">
        <v>52</v>
      </c>
      <c r="R1917" s="10" t="s">
        <v>11572</v>
      </c>
      <c r="S1917" s="11" t="s">
        <v>11573</v>
      </c>
      <c r="T1917" s="6"/>
      <c r="U1917" s="15" t="str">
        <f>HYPERLINK("https://media.infra-m.ru/2215/2215212/cover/2215212.jpg", "Обложка")</f>
        <v>Обложка</v>
      </c>
      <c r="V1917" s="8" t="s">
        <v>1083</v>
      </c>
      <c r="W1917" s="6"/>
      <c r="X1917" s="6"/>
      <c r="Y1917" s="6"/>
      <c r="Z1917" s="6"/>
      <c r="AA1917" s="6" t="s">
        <v>11574</v>
      </c>
      <c r="AB1917" s="8"/>
      <c r="AC1917" s="27">
        <v>9785160132419</v>
      </c>
    </row>
    <row r="1918" spans="1:29" s="4" customFormat="1" ht="51.9" customHeight="1" x14ac:dyDescent="0.2">
      <c r="A1918" s="5">
        <v>0</v>
      </c>
      <c r="B1918" s="6" t="s">
        <v>11575</v>
      </c>
      <c r="C1918" s="7">
        <v>2608.8000000000002</v>
      </c>
      <c r="D1918" s="8" t="s">
        <v>11576</v>
      </c>
      <c r="E1918" s="8" t="s">
        <v>11577</v>
      </c>
      <c r="F1918" s="8" t="s">
        <v>11578</v>
      </c>
      <c r="G1918" s="6" t="s">
        <v>118</v>
      </c>
      <c r="H1918" s="6" t="s">
        <v>34</v>
      </c>
      <c r="I1918" s="8" t="s">
        <v>263</v>
      </c>
      <c r="J1918" s="9">
        <v>1</v>
      </c>
      <c r="K1918" s="9">
        <v>396</v>
      </c>
      <c r="L1918" s="9">
        <v>2026</v>
      </c>
      <c r="M1918" s="8" t="s">
        <v>11579</v>
      </c>
      <c r="N1918" s="8" t="s">
        <v>243</v>
      </c>
      <c r="O1918" s="8" t="s">
        <v>329</v>
      </c>
      <c r="P1918" s="6" t="s">
        <v>306</v>
      </c>
      <c r="Q1918" s="8" t="s">
        <v>265</v>
      </c>
      <c r="R1918" s="10" t="s">
        <v>11580</v>
      </c>
      <c r="S1918" s="11" t="s">
        <v>11581</v>
      </c>
      <c r="T1918" s="6"/>
      <c r="U1918" s="15" t="str">
        <f>HYPERLINK("https://media.infra-m.ru/2237/2237120/cover/2237120.jpg", "Обложка")</f>
        <v>Обложка</v>
      </c>
      <c r="V1918" s="8" t="s">
        <v>644</v>
      </c>
      <c r="W1918" s="6"/>
      <c r="X1918" s="6" t="s">
        <v>24</v>
      </c>
      <c r="Y1918" s="6"/>
      <c r="Z1918" s="6" t="s">
        <v>267</v>
      </c>
      <c r="AA1918" s="6" t="s">
        <v>1256</v>
      </c>
      <c r="AB1918" s="8"/>
      <c r="AC1918" s="27">
        <v>9785160162317</v>
      </c>
    </row>
    <row r="1919" spans="1:29" s="4" customFormat="1" ht="51.9" customHeight="1" x14ac:dyDescent="0.2">
      <c r="A1919" s="5">
        <v>0</v>
      </c>
      <c r="B1919" s="6" t="s">
        <v>11582</v>
      </c>
      <c r="C1919" s="7">
        <v>2608.8000000000002</v>
      </c>
      <c r="D1919" s="8" t="s">
        <v>11583</v>
      </c>
      <c r="E1919" s="8" t="s">
        <v>11577</v>
      </c>
      <c r="F1919" s="8" t="s">
        <v>11578</v>
      </c>
      <c r="G1919" s="6" t="s">
        <v>118</v>
      </c>
      <c r="H1919" s="6" t="s">
        <v>34</v>
      </c>
      <c r="I1919" s="8" t="s">
        <v>271</v>
      </c>
      <c r="J1919" s="9">
        <v>1</v>
      </c>
      <c r="K1919" s="9">
        <v>396</v>
      </c>
      <c r="L1919" s="9">
        <v>2026</v>
      </c>
      <c r="M1919" s="8" t="s">
        <v>11584</v>
      </c>
      <c r="N1919" s="8" t="s">
        <v>243</v>
      </c>
      <c r="O1919" s="8" t="s">
        <v>329</v>
      </c>
      <c r="P1919" s="6" t="s">
        <v>306</v>
      </c>
      <c r="Q1919" s="8" t="s">
        <v>52</v>
      </c>
      <c r="R1919" s="10" t="s">
        <v>11572</v>
      </c>
      <c r="S1919" s="11" t="s">
        <v>11585</v>
      </c>
      <c r="T1919" s="6"/>
      <c r="U1919" s="15" t="str">
        <f>HYPERLINK("https://media.infra-m.ru/2205/2205727/cover/2205727.jpg", "Обложка")</f>
        <v>Обложка</v>
      </c>
      <c r="V1919" s="8" t="s">
        <v>644</v>
      </c>
      <c r="W1919" s="6"/>
      <c r="X1919" s="6"/>
      <c r="Y1919" s="6"/>
      <c r="Z1919" s="6"/>
      <c r="AA1919" s="6" t="s">
        <v>561</v>
      </c>
      <c r="AB1919" s="8"/>
      <c r="AC1919" s="27">
        <v>9785160134475</v>
      </c>
    </row>
    <row r="1920" spans="1:29" s="4" customFormat="1" ht="51.9" customHeight="1" x14ac:dyDescent="0.2">
      <c r="A1920" s="5">
        <v>0</v>
      </c>
      <c r="B1920" s="6" t="s">
        <v>11586</v>
      </c>
      <c r="C1920" s="13">
        <v>936</v>
      </c>
      <c r="D1920" s="8" t="s">
        <v>11587</v>
      </c>
      <c r="E1920" s="8" t="s">
        <v>11588</v>
      </c>
      <c r="F1920" s="8" t="s">
        <v>11570</v>
      </c>
      <c r="G1920" s="6" t="s">
        <v>118</v>
      </c>
      <c r="H1920" s="6" t="s">
        <v>34</v>
      </c>
      <c r="I1920" s="8" t="s">
        <v>1248</v>
      </c>
      <c r="J1920" s="9">
        <v>1</v>
      </c>
      <c r="K1920" s="9">
        <v>156</v>
      </c>
      <c r="L1920" s="9">
        <v>2024</v>
      </c>
      <c r="M1920" s="8" t="s">
        <v>11589</v>
      </c>
      <c r="N1920" s="8" t="s">
        <v>243</v>
      </c>
      <c r="O1920" s="8" t="s">
        <v>329</v>
      </c>
      <c r="P1920" s="6" t="s">
        <v>51</v>
      </c>
      <c r="Q1920" s="8" t="s">
        <v>65</v>
      </c>
      <c r="R1920" s="10" t="s">
        <v>11590</v>
      </c>
      <c r="S1920" s="11" t="s">
        <v>11591</v>
      </c>
      <c r="T1920" s="6"/>
      <c r="U1920" s="15" t="str">
        <f>HYPERLINK("https://media.infra-m.ru/2149/2149566/cover/2149566.jpg", "Обложка")</f>
        <v>Обложка</v>
      </c>
      <c r="V1920" s="8" t="s">
        <v>1083</v>
      </c>
      <c r="W1920" s="6"/>
      <c r="X1920" s="6"/>
      <c r="Y1920" s="6"/>
      <c r="Z1920" s="6"/>
      <c r="AA1920" s="6" t="s">
        <v>1031</v>
      </c>
      <c r="AB1920" s="8"/>
      <c r="AC1920" s="27">
        <v>9785160185729</v>
      </c>
    </row>
    <row r="1921" spans="1:29" s="4" customFormat="1" ht="51.9" customHeight="1" x14ac:dyDescent="0.2">
      <c r="A1921" s="5">
        <v>0</v>
      </c>
      <c r="B1921" s="6" t="s">
        <v>11592</v>
      </c>
      <c r="C1921" s="13">
        <v>940.8</v>
      </c>
      <c r="D1921" s="8" t="s">
        <v>11593</v>
      </c>
      <c r="E1921" s="8" t="s">
        <v>11594</v>
      </c>
      <c r="F1921" s="8" t="s">
        <v>11595</v>
      </c>
      <c r="G1921" s="6" t="s">
        <v>33</v>
      </c>
      <c r="H1921" s="6" t="s">
        <v>34</v>
      </c>
      <c r="I1921" s="8" t="s">
        <v>271</v>
      </c>
      <c r="J1921" s="9">
        <v>1</v>
      </c>
      <c r="K1921" s="9">
        <v>125</v>
      </c>
      <c r="L1921" s="9">
        <v>2026</v>
      </c>
      <c r="M1921" s="8" t="s">
        <v>11596</v>
      </c>
      <c r="N1921" s="8" t="s">
        <v>243</v>
      </c>
      <c r="O1921" s="8" t="s">
        <v>329</v>
      </c>
      <c r="P1921" s="6" t="s">
        <v>51</v>
      </c>
      <c r="Q1921" s="8" t="s">
        <v>52</v>
      </c>
      <c r="R1921" s="10" t="s">
        <v>11597</v>
      </c>
      <c r="S1921" s="11" t="s">
        <v>11598</v>
      </c>
      <c r="T1921" s="6"/>
      <c r="U1921" s="15" t="str">
        <f>HYPERLINK("https://media.infra-m.ru/2245/2245273/cover/2245273.jpg", "Обложка")</f>
        <v>Обложка</v>
      </c>
      <c r="V1921" s="8" t="s">
        <v>761</v>
      </c>
      <c r="W1921" s="6"/>
      <c r="X1921" s="6"/>
      <c r="Y1921" s="6"/>
      <c r="Z1921" s="6"/>
      <c r="AA1921" s="6" t="s">
        <v>430</v>
      </c>
      <c r="AB1921" s="8"/>
      <c r="AC1921" s="27">
        <v>9785160137704</v>
      </c>
    </row>
    <row r="1922" spans="1:29" s="4" customFormat="1" ht="51.9" customHeight="1" x14ac:dyDescent="0.2">
      <c r="A1922" s="5">
        <v>0</v>
      </c>
      <c r="B1922" s="6" t="s">
        <v>11599</v>
      </c>
      <c r="C1922" s="13">
        <v>564</v>
      </c>
      <c r="D1922" s="8" t="s">
        <v>11600</v>
      </c>
      <c r="E1922" s="8" t="s">
        <v>11601</v>
      </c>
      <c r="F1922" s="8" t="s">
        <v>11578</v>
      </c>
      <c r="G1922" s="6" t="s">
        <v>33</v>
      </c>
      <c r="H1922" s="6" t="s">
        <v>34</v>
      </c>
      <c r="I1922" s="8" t="s">
        <v>253</v>
      </c>
      <c r="J1922" s="9">
        <v>1</v>
      </c>
      <c r="K1922" s="9">
        <v>78</v>
      </c>
      <c r="L1922" s="9">
        <v>2023</v>
      </c>
      <c r="M1922" s="8" t="s">
        <v>11602</v>
      </c>
      <c r="N1922" s="8" t="s">
        <v>243</v>
      </c>
      <c r="O1922" s="8" t="s">
        <v>329</v>
      </c>
      <c r="P1922" s="6" t="s">
        <v>51</v>
      </c>
      <c r="Q1922" s="8" t="s">
        <v>65</v>
      </c>
      <c r="R1922" s="10" t="s">
        <v>11603</v>
      </c>
      <c r="S1922" s="11" t="s">
        <v>11604</v>
      </c>
      <c r="T1922" s="6"/>
      <c r="U1922" s="15" t="str">
        <f>HYPERLINK("https://media.infra-m.ru/2029/2029802/cover/2029802.jpg", "Обложка")</f>
        <v>Обложка</v>
      </c>
      <c r="V1922" s="8" t="s">
        <v>644</v>
      </c>
      <c r="W1922" s="6"/>
      <c r="X1922" s="6" t="s">
        <v>24</v>
      </c>
      <c r="Y1922" s="6"/>
      <c r="Z1922" s="6"/>
      <c r="AA1922" s="6" t="s">
        <v>623</v>
      </c>
      <c r="AB1922" s="8"/>
      <c r="AC1922" s="27">
        <v>9785160186337</v>
      </c>
    </row>
    <row r="1923" spans="1:29" s="4" customFormat="1" ht="51.9" customHeight="1" x14ac:dyDescent="0.2">
      <c r="A1923" s="5">
        <v>0</v>
      </c>
      <c r="B1923" s="6" t="s">
        <v>11605</v>
      </c>
      <c r="C1923" s="7">
        <v>1276.8</v>
      </c>
      <c r="D1923" s="8" t="s">
        <v>11606</v>
      </c>
      <c r="E1923" s="8" t="s">
        <v>11607</v>
      </c>
      <c r="F1923" s="8" t="s">
        <v>11608</v>
      </c>
      <c r="G1923" s="6" t="s">
        <v>33</v>
      </c>
      <c r="H1923" s="6" t="s">
        <v>820</v>
      </c>
      <c r="I1923" s="8"/>
      <c r="J1923" s="9">
        <v>1</v>
      </c>
      <c r="K1923" s="9">
        <v>184</v>
      </c>
      <c r="L1923" s="9">
        <v>2026</v>
      </c>
      <c r="M1923" s="8" t="s">
        <v>11609</v>
      </c>
      <c r="N1923" s="8" t="s">
        <v>243</v>
      </c>
      <c r="O1923" s="8" t="s">
        <v>329</v>
      </c>
      <c r="P1923" s="6" t="s">
        <v>51</v>
      </c>
      <c r="Q1923" s="8" t="s">
        <v>65</v>
      </c>
      <c r="R1923" s="10" t="s">
        <v>11610</v>
      </c>
      <c r="S1923" s="11" t="s">
        <v>11611</v>
      </c>
      <c r="T1923" s="6"/>
      <c r="U1923" s="15" t="str">
        <f>HYPERLINK("https://media.infra-m.ru/2258/2258952/cover/2258952.jpg", "Обложка")</f>
        <v>Обложка</v>
      </c>
      <c r="V1923" s="8" t="s">
        <v>1206</v>
      </c>
      <c r="W1923" s="6"/>
      <c r="X1923" s="6" t="s">
        <v>24</v>
      </c>
      <c r="Y1923" s="6"/>
      <c r="Z1923" s="6"/>
      <c r="AA1923" s="6" t="s">
        <v>1123</v>
      </c>
      <c r="AB1923" s="8"/>
      <c r="AC1923" s="27">
        <v>9785905554865</v>
      </c>
    </row>
    <row r="1924" spans="1:29" s="4" customFormat="1" ht="51.9" customHeight="1" x14ac:dyDescent="0.2">
      <c r="A1924" s="5">
        <v>0</v>
      </c>
      <c r="B1924" s="6" t="s">
        <v>11612</v>
      </c>
      <c r="C1924" s="7">
        <v>1304.4000000000001</v>
      </c>
      <c r="D1924" s="8" t="s">
        <v>11613</v>
      </c>
      <c r="E1924" s="8" t="s">
        <v>11614</v>
      </c>
      <c r="F1924" s="8" t="s">
        <v>8222</v>
      </c>
      <c r="G1924" s="6" t="s">
        <v>33</v>
      </c>
      <c r="H1924" s="6" t="s">
        <v>48</v>
      </c>
      <c r="I1924" s="8" t="s">
        <v>263</v>
      </c>
      <c r="J1924" s="9">
        <v>1</v>
      </c>
      <c r="K1924" s="9">
        <v>81</v>
      </c>
      <c r="L1924" s="9">
        <v>2026</v>
      </c>
      <c r="M1924" s="8" t="s">
        <v>11615</v>
      </c>
      <c r="N1924" s="8" t="s">
        <v>243</v>
      </c>
      <c r="O1924" s="8" t="s">
        <v>329</v>
      </c>
      <c r="P1924" s="6" t="s">
        <v>11616</v>
      </c>
      <c r="Q1924" s="8" t="s">
        <v>265</v>
      </c>
      <c r="R1924" s="10" t="s">
        <v>11617</v>
      </c>
      <c r="S1924" s="11" t="s">
        <v>11618</v>
      </c>
      <c r="T1924" s="6"/>
      <c r="U1924" s="15" t="str">
        <f>HYPERLINK("https://media.infra-m.ru/2223/2223167/cover/2223167.jpg", "Обложка")</f>
        <v>Обложка</v>
      </c>
      <c r="V1924" s="8" t="s">
        <v>1184</v>
      </c>
      <c r="W1924" s="6"/>
      <c r="X1924" s="6"/>
      <c r="Y1924" s="6"/>
      <c r="Z1924" s="6"/>
      <c r="AA1924" s="6" t="s">
        <v>1123</v>
      </c>
      <c r="AB1924" s="8"/>
      <c r="AC1924" s="27">
        <v>9785000915424</v>
      </c>
    </row>
    <row r="1925" spans="1:29" s="4" customFormat="1" ht="51.9" customHeight="1" x14ac:dyDescent="0.2">
      <c r="A1925" s="5">
        <v>0</v>
      </c>
      <c r="B1925" s="6" t="s">
        <v>11619</v>
      </c>
      <c r="C1925" s="13">
        <v>836.4</v>
      </c>
      <c r="D1925" s="8" t="s">
        <v>11620</v>
      </c>
      <c r="E1925" s="8" t="s">
        <v>11614</v>
      </c>
      <c r="F1925" s="8" t="s">
        <v>8222</v>
      </c>
      <c r="G1925" s="6" t="s">
        <v>33</v>
      </c>
      <c r="H1925" s="6" t="s">
        <v>48</v>
      </c>
      <c r="I1925" s="8" t="s">
        <v>263</v>
      </c>
      <c r="J1925" s="9">
        <v>1</v>
      </c>
      <c r="K1925" s="9">
        <v>58</v>
      </c>
      <c r="L1925" s="9">
        <v>2025</v>
      </c>
      <c r="M1925" s="8" t="s">
        <v>11621</v>
      </c>
      <c r="N1925" s="8" t="s">
        <v>243</v>
      </c>
      <c r="O1925" s="8" t="s">
        <v>329</v>
      </c>
      <c r="P1925" s="6" t="s">
        <v>11616</v>
      </c>
      <c r="Q1925" s="8" t="s">
        <v>265</v>
      </c>
      <c r="R1925" s="10" t="s">
        <v>11622</v>
      </c>
      <c r="S1925" s="11" t="s">
        <v>9712</v>
      </c>
      <c r="T1925" s="6"/>
      <c r="U1925" s="15" t="str">
        <f>HYPERLINK("https://media.infra-m.ru/2227/2227040/cover/2227040.jpg", "Обложка")</f>
        <v>Обложка</v>
      </c>
      <c r="V1925" s="8" t="s">
        <v>227</v>
      </c>
      <c r="W1925" s="6"/>
      <c r="X1925" s="6" t="s">
        <v>24</v>
      </c>
      <c r="Y1925" s="6"/>
      <c r="Z1925" s="6"/>
      <c r="AA1925" s="6" t="s">
        <v>11623</v>
      </c>
      <c r="AB1925" s="8"/>
      <c r="AC1925" s="27">
        <v>9785000914779</v>
      </c>
    </row>
    <row r="1926" spans="1:29" s="4" customFormat="1" ht="51.9" customHeight="1" x14ac:dyDescent="0.2">
      <c r="A1926" s="5">
        <v>0</v>
      </c>
      <c r="B1926" s="6" t="s">
        <v>11624</v>
      </c>
      <c r="C1926" s="7">
        <v>2652</v>
      </c>
      <c r="D1926" s="8" t="s">
        <v>11625</v>
      </c>
      <c r="E1926" s="8" t="s">
        <v>11626</v>
      </c>
      <c r="F1926" s="8" t="s">
        <v>11627</v>
      </c>
      <c r="G1926" s="6" t="s">
        <v>118</v>
      </c>
      <c r="H1926" s="6" t="s">
        <v>34</v>
      </c>
      <c r="I1926" s="8" t="s">
        <v>263</v>
      </c>
      <c r="J1926" s="9">
        <v>1</v>
      </c>
      <c r="K1926" s="9">
        <v>381</v>
      </c>
      <c r="L1926" s="9">
        <v>2027</v>
      </c>
      <c r="M1926" s="8" t="s">
        <v>11628</v>
      </c>
      <c r="N1926" s="8" t="s">
        <v>243</v>
      </c>
      <c r="O1926" s="8" t="s">
        <v>329</v>
      </c>
      <c r="P1926" s="6" t="s">
        <v>306</v>
      </c>
      <c r="Q1926" s="8" t="s">
        <v>265</v>
      </c>
      <c r="R1926" s="10" t="s">
        <v>11629</v>
      </c>
      <c r="S1926" s="11" t="s">
        <v>11630</v>
      </c>
      <c r="T1926" s="6"/>
      <c r="U1926" s="15" t="str">
        <f>HYPERLINK("https://media.infra-m.ru/2263/2263628/cover/2263628.jpg", "Обложка")</f>
        <v>Обложка</v>
      </c>
      <c r="V1926" s="8" t="s">
        <v>1206</v>
      </c>
      <c r="W1926" s="6"/>
      <c r="X1926" s="6" t="s">
        <v>24</v>
      </c>
      <c r="Y1926" s="6"/>
      <c r="Z1926" s="6"/>
      <c r="AA1926" s="6" t="s">
        <v>115</v>
      </c>
      <c r="AB1926" s="8"/>
      <c r="AC1926" s="27">
        <v>9785160148175</v>
      </c>
    </row>
    <row r="1927" spans="1:29" s="4" customFormat="1" ht="51.9" customHeight="1" x14ac:dyDescent="0.2">
      <c r="A1927" s="5">
        <v>0</v>
      </c>
      <c r="B1927" s="6" t="s">
        <v>11631</v>
      </c>
      <c r="C1927" s="7">
        <v>3470.4</v>
      </c>
      <c r="D1927" s="8" t="s">
        <v>11632</v>
      </c>
      <c r="E1927" s="8" t="s">
        <v>11626</v>
      </c>
      <c r="F1927" s="8" t="s">
        <v>11633</v>
      </c>
      <c r="G1927" s="6" t="s">
        <v>118</v>
      </c>
      <c r="H1927" s="6" t="s">
        <v>34</v>
      </c>
      <c r="I1927" s="8" t="s">
        <v>263</v>
      </c>
      <c r="J1927" s="9">
        <v>1</v>
      </c>
      <c r="K1927" s="9">
        <v>383</v>
      </c>
      <c r="L1927" s="9">
        <v>2026</v>
      </c>
      <c r="M1927" s="8" t="s">
        <v>11634</v>
      </c>
      <c r="N1927" s="8" t="s">
        <v>243</v>
      </c>
      <c r="O1927" s="8" t="s">
        <v>329</v>
      </c>
      <c r="P1927" s="6" t="s">
        <v>306</v>
      </c>
      <c r="Q1927" s="8" t="s">
        <v>265</v>
      </c>
      <c r="R1927" s="10" t="s">
        <v>11635</v>
      </c>
      <c r="S1927" s="11" t="s">
        <v>11636</v>
      </c>
      <c r="T1927" s="6"/>
      <c r="U1927" s="15" t="str">
        <f>HYPERLINK("https://media.infra-m.ru/2261/2261245/cover/2261245.jpg", "Обложка")</f>
        <v>Обложка</v>
      </c>
      <c r="V1927" s="8" t="s">
        <v>1994</v>
      </c>
      <c r="W1927" s="6"/>
      <c r="X1927" s="6" t="s">
        <v>24</v>
      </c>
      <c r="Y1927" s="6"/>
      <c r="Z1927" s="6"/>
      <c r="AA1927" s="6" t="s">
        <v>1256</v>
      </c>
      <c r="AB1927" s="8"/>
      <c r="AC1927" s="27">
        <v>9785160155456</v>
      </c>
    </row>
    <row r="1928" spans="1:29" s="4" customFormat="1" ht="51.9" customHeight="1" x14ac:dyDescent="0.2">
      <c r="A1928" s="5">
        <v>0</v>
      </c>
      <c r="B1928" s="6" t="s">
        <v>11637</v>
      </c>
      <c r="C1928" s="7">
        <v>2016</v>
      </c>
      <c r="D1928" s="8" t="s">
        <v>11638</v>
      </c>
      <c r="E1928" s="8" t="s">
        <v>11639</v>
      </c>
      <c r="F1928" s="8" t="s">
        <v>11640</v>
      </c>
      <c r="G1928" s="6" t="s">
        <v>118</v>
      </c>
      <c r="H1928" s="6" t="s">
        <v>34</v>
      </c>
      <c r="I1928" s="8" t="s">
        <v>263</v>
      </c>
      <c r="J1928" s="9">
        <v>1</v>
      </c>
      <c r="K1928" s="9">
        <v>305</v>
      </c>
      <c r="L1928" s="9">
        <v>2026</v>
      </c>
      <c r="M1928" s="8" t="s">
        <v>11641</v>
      </c>
      <c r="N1928" s="8" t="s">
        <v>243</v>
      </c>
      <c r="O1928" s="8" t="s">
        <v>329</v>
      </c>
      <c r="P1928" s="6" t="s">
        <v>306</v>
      </c>
      <c r="Q1928" s="8" t="s">
        <v>265</v>
      </c>
      <c r="R1928" s="10" t="s">
        <v>11642</v>
      </c>
      <c r="S1928" s="11" t="s">
        <v>11643</v>
      </c>
      <c r="T1928" s="6"/>
      <c r="U1928" s="15" t="str">
        <f>HYPERLINK("https://media.infra-m.ru/2253/2253638/cover/2253638.jpg", "Обложка")</f>
        <v>Обложка</v>
      </c>
      <c r="V1928" s="8" t="s">
        <v>2602</v>
      </c>
      <c r="W1928" s="6"/>
      <c r="X1928" s="6" t="s">
        <v>24</v>
      </c>
      <c r="Y1928" s="6"/>
      <c r="Z1928" s="6"/>
      <c r="AA1928" s="6" t="s">
        <v>218</v>
      </c>
      <c r="AB1928" s="8"/>
      <c r="AC1928" s="27">
        <v>9785160153438</v>
      </c>
    </row>
    <row r="1929" spans="1:29" s="4" customFormat="1" ht="51.9" customHeight="1" x14ac:dyDescent="0.2">
      <c r="A1929" s="5">
        <v>0</v>
      </c>
      <c r="B1929" s="6" t="s">
        <v>11644</v>
      </c>
      <c r="C1929" s="7">
        <v>1073.9000000000001</v>
      </c>
      <c r="D1929" s="8" t="s">
        <v>11645</v>
      </c>
      <c r="E1929" s="8" t="s">
        <v>11626</v>
      </c>
      <c r="F1929" s="8" t="s">
        <v>11646</v>
      </c>
      <c r="G1929" s="6" t="s">
        <v>118</v>
      </c>
      <c r="H1929" s="6" t="s">
        <v>34</v>
      </c>
      <c r="I1929" s="8" t="s">
        <v>7198</v>
      </c>
      <c r="J1929" s="9">
        <v>1</v>
      </c>
      <c r="K1929" s="9">
        <v>199</v>
      </c>
      <c r="L1929" s="9">
        <v>2023</v>
      </c>
      <c r="M1929" s="8" t="s">
        <v>11647</v>
      </c>
      <c r="N1929" s="8" t="s">
        <v>243</v>
      </c>
      <c r="O1929" s="8" t="s">
        <v>329</v>
      </c>
      <c r="P1929" s="6" t="s">
        <v>51</v>
      </c>
      <c r="Q1929" s="8" t="s">
        <v>52</v>
      </c>
      <c r="R1929" s="10" t="s">
        <v>11648</v>
      </c>
      <c r="S1929" s="11" t="s">
        <v>11649</v>
      </c>
      <c r="T1929" s="6"/>
      <c r="U1929" s="15" t="str">
        <f>HYPERLINK("https://media.infra-m.ru/1869/1869220/cover/1869220.jpg", "Обложка")</f>
        <v>Обложка</v>
      </c>
      <c r="V1929" s="8" t="s">
        <v>1083</v>
      </c>
      <c r="W1929" s="6"/>
      <c r="X1929" s="6"/>
      <c r="Y1929" s="6"/>
      <c r="Z1929" s="6"/>
      <c r="AA1929" s="6" t="s">
        <v>86</v>
      </c>
      <c r="AB1929" s="8"/>
      <c r="AC1929" s="27">
        <v>9785160174532</v>
      </c>
    </row>
    <row r="1930" spans="1:29" s="4" customFormat="1" ht="51.9" customHeight="1" x14ac:dyDescent="0.2">
      <c r="A1930" s="5">
        <v>0</v>
      </c>
      <c r="B1930" s="6" t="s">
        <v>11650</v>
      </c>
      <c r="C1930" s="7">
        <v>1332</v>
      </c>
      <c r="D1930" s="8" t="s">
        <v>11651</v>
      </c>
      <c r="E1930" s="8" t="s">
        <v>11652</v>
      </c>
      <c r="F1930" s="8" t="s">
        <v>11653</v>
      </c>
      <c r="G1930" s="6" t="s">
        <v>118</v>
      </c>
      <c r="H1930" s="6" t="s">
        <v>34</v>
      </c>
      <c r="I1930" s="8" t="s">
        <v>1248</v>
      </c>
      <c r="J1930" s="9">
        <v>1</v>
      </c>
      <c r="K1930" s="9">
        <v>201</v>
      </c>
      <c r="L1930" s="9">
        <v>2026</v>
      </c>
      <c r="M1930" s="8" t="s">
        <v>11654</v>
      </c>
      <c r="N1930" s="8" t="s">
        <v>243</v>
      </c>
      <c r="O1930" s="8" t="s">
        <v>329</v>
      </c>
      <c r="P1930" s="6" t="s">
        <v>51</v>
      </c>
      <c r="Q1930" s="8" t="s">
        <v>52</v>
      </c>
      <c r="R1930" s="10" t="s">
        <v>11655</v>
      </c>
      <c r="S1930" s="11"/>
      <c r="T1930" s="6"/>
      <c r="U1930" s="15" t="str">
        <f>HYPERLINK("https://media.infra-m.ru/2233/2233956/cover/2233956.jpg", "Обложка")</f>
        <v>Обложка</v>
      </c>
      <c r="V1930" s="8" t="s">
        <v>1083</v>
      </c>
      <c r="W1930" s="6"/>
      <c r="X1930" s="6"/>
      <c r="Y1930" s="6"/>
      <c r="Z1930" s="6"/>
      <c r="AA1930" s="6" t="s">
        <v>187</v>
      </c>
      <c r="AB1930" s="8"/>
      <c r="AC1930" s="27">
        <v>9785160213439</v>
      </c>
    </row>
    <row r="1931" spans="1:29" s="4" customFormat="1" ht="51.9" customHeight="1" x14ac:dyDescent="0.2">
      <c r="A1931" s="5">
        <v>0</v>
      </c>
      <c r="B1931" s="6" t="s">
        <v>11656</v>
      </c>
      <c r="C1931" s="7">
        <v>1061.9000000000001</v>
      </c>
      <c r="D1931" s="8" t="s">
        <v>11657</v>
      </c>
      <c r="E1931" s="8" t="s">
        <v>11658</v>
      </c>
      <c r="F1931" s="8" t="s">
        <v>11659</v>
      </c>
      <c r="G1931" s="6" t="s">
        <v>33</v>
      </c>
      <c r="H1931" s="6" t="s">
        <v>34</v>
      </c>
      <c r="I1931" s="8" t="s">
        <v>9737</v>
      </c>
      <c r="J1931" s="9">
        <v>1</v>
      </c>
      <c r="K1931" s="9">
        <v>197</v>
      </c>
      <c r="L1931" s="9">
        <v>2023</v>
      </c>
      <c r="M1931" s="8" t="s">
        <v>11660</v>
      </c>
      <c r="N1931" s="8" t="s">
        <v>93</v>
      </c>
      <c r="O1931" s="8" t="s">
        <v>94</v>
      </c>
      <c r="P1931" s="6" t="s">
        <v>51</v>
      </c>
      <c r="Q1931" s="8" t="s">
        <v>1349</v>
      </c>
      <c r="R1931" s="10" t="s">
        <v>11661</v>
      </c>
      <c r="S1931" s="11" t="s">
        <v>11662</v>
      </c>
      <c r="T1931" s="6"/>
      <c r="U1931" s="15" t="str">
        <f>HYPERLINK("https://media.infra-m.ru/1911/1911923/cover/1911923.jpg", "Обложка")</f>
        <v>Обложка</v>
      </c>
      <c r="V1931" s="8" t="s">
        <v>631</v>
      </c>
      <c r="W1931" s="6"/>
      <c r="X1931" s="6"/>
      <c r="Y1931" s="6"/>
      <c r="Z1931" s="6"/>
      <c r="AA1931" s="6" t="s">
        <v>248</v>
      </c>
      <c r="AB1931" s="8"/>
      <c r="AC1931" s="27">
        <v>9785160092218</v>
      </c>
    </row>
    <row r="1932" spans="1:29" s="4" customFormat="1" ht="51.9" customHeight="1" x14ac:dyDescent="0.2">
      <c r="A1932" s="5">
        <v>0</v>
      </c>
      <c r="B1932" s="6" t="s">
        <v>11663</v>
      </c>
      <c r="C1932" s="13">
        <v>580.79999999999995</v>
      </c>
      <c r="D1932" s="8" t="s">
        <v>11664</v>
      </c>
      <c r="E1932" s="8" t="s">
        <v>11665</v>
      </c>
      <c r="F1932" s="8" t="s">
        <v>11666</v>
      </c>
      <c r="G1932" s="6" t="s">
        <v>33</v>
      </c>
      <c r="H1932" s="6" t="s">
        <v>34</v>
      </c>
      <c r="I1932" s="8" t="s">
        <v>253</v>
      </c>
      <c r="J1932" s="9">
        <v>1</v>
      </c>
      <c r="K1932" s="9">
        <v>88</v>
      </c>
      <c r="L1932" s="9">
        <v>2026</v>
      </c>
      <c r="M1932" s="8" t="s">
        <v>11667</v>
      </c>
      <c r="N1932" s="8" t="s">
        <v>93</v>
      </c>
      <c r="O1932" s="8" t="s">
        <v>94</v>
      </c>
      <c r="P1932" s="6" t="s">
        <v>95</v>
      </c>
      <c r="Q1932" s="8" t="s">
        <v>52</v>
      </c>
      <c r="R1932" s="10" t="s">
        <v>11668</v>
      </c>
      <c r="S1932" s="11" t="s">
        <v>11669</v>
      </c>
      <c r="T1932" s="6"/>
      <c r="U1932" s="15" t="str">
        <f>HYPERLINK("https://media.infra-m.ru/2218/2218995/cover/2218995.jpg", "Обложка")</f>
        <v>Обложка</v>
      </c>
      <c r="V1932" s="8" t="s">
        <v>6224</v>
      </c>
      <c r="W1932" s="6"/>
      <c r="X1932" s="6"/>
      <c r="Y1932" s="6"/>
      <c r="Z1932" s="6"/>
      <c r="AA1932" s="6" t="s">
        <v>55</v>
      </c>
      <c r="AB1932" s="8"/>
      <c r="AC1932" s="27">
        <v>9785160060026</v>
      </c>
    </row>
    <row r="1933" spans="1:29" s="4" customFormat="1" ht="42" customHeight="1" x14ac:dyDescent="0.2">
      <c r="A1933" s="5">
        <v>0</v>
      </c>
      <c r="B1933" s="6" t="s">
        <v>11670</v>
      </c>
      <c r="C1933" s="7">
        <v>2220</v>
      </c>
      <c r="D1933" s="8" t="s">
        <v>11671</v>
      </c>
      <c r="E1933" s="8" t="s">
        <v>11665</v>
      </c>
      <c r="F1933" s="8" t="s">
        <v>3261</v>
      </c>
      <c r="G1933" s="6" t="s">
        <v>60</v>
      </c>
      <c r="H1933" s="6" t="s">
        <v>34</v>
      </c>
      <c r="I1933" s="8" t="s">
        <v>253</v>
      </c>
      <c r="J1933" s="9">
        <v>1</v>
      </c>
      <c r="K1933" s="9">
        <v>347</v>
      </c>
      <c r="L1933" s="9">
        <v>2025</v>
      </c>
      <c r="M1933" s="8" t="s">
        <v>11672</v>
      </c>
      <c r="N1933" s="8" t="s">
        <v>93</v>
      </c>
      <c r="O1933" s="8" t="s">
        <v>94</v>
      </c>
      <c r="P1933" s="6" t="s">
        <v>306</v>
      </c>
      <c r="Q1933" s="8" t="s">
        <v>500</v>
      </c>
      <c r="R1933" s="10" t="s">
        <v>11673</v>
      </c>
      <c r="S1933" s="11"/>
      <c r="T1933" s="6"/>
      <c r="U1933" s="15" t="str">
        <f>HYPERLINK("https://media.infra-m.ru/2173/2173834/cover/2173834.jpg", "Обложка")</f>
        <v>Обложка</v>
      </c>
      <c r="V1933" s="8" t="s">
        <v>3264</v>
      </c>
      <c r="W1933" s="6"/>
      <c r="X1933" s="6"/>
      <c r="Y1933" s="6"/>
      <c r="Z1933" s="6"/>
      <c r="AA1933" s="6" t="s">
        <v>68</v>
      </c>
      <c r="AB1933" s="8"/>
      <c r="AC1933" s="27">
        <v>9785160204314</v>
      </c>
    </row>
    <row r="1934" spans="1:29" s="4" customFormat="1" ht="51.9" customHeight="1" x14ac:dyDescent="0.2">
      <c r="A1934" s="5">
        <v>0</v>
      </c>
      <c r="B1934" s="6" t="s">
        <v>11674</v>
      </c>
      <c r="C1934" s="7">
        <v>3768</v>
      </c>
      <c r="D1934" s="8" t="s">
        <v>11675</v>
      </c>
      <c r="E1934" s="8" t="s">
        <v>11676</v>
      </c>
      <c r="F1934" s="8" t="s">
        <v>11542</v>
      </c>
      <c r="G1934" s="6" t="s">
        <v>60</v>
      </c>
      <c r="H1934" s="6" t="s">
        <v>34</v>
      </c>
      <c r="I1934" s="8" t="s">
        <v>263</v>
      </c>
      <c r="J1934" s="9">
        <v>1</v>
      </c>
      <c r="K1934" s="9">
        <v>605</v>
      </c>
      <c r="L1934" s="9">
        <v>2026</v>
      </c>
      <c r="M1934" s="8" t="s">
        <v>11677</v>
      </c>
      <c r="N1934" s="8" t="s">
        <v>585</v>
      </c>
      <c r="O1934" s="8" t="s">
        <v>775</v>
      </c>
      <c r="P1934" s="6" t="s">
        <v>51</v>
      </c>
      <c r="Q1934" s="8" t="s">
        <v>265</v>
      </c>
      <c r="R1934" s="10" t="s">
        <v>11678</v>
      </c>
      <c r="S1934" s="11" t="s">
        <v>11679</v>
      </c>
      <c r="T1934" s="6" t="s">
        <v>97</v>
      </c>
      <c r="U1934" s="15" t="str">
        <f>HYPERLINK("https://media.infra-m.ru/2213/2213662/cover/2213662.jpg", "Обложка")</f>
        <v>Обложка</v>
      </c>
      <c r="V1934" s="8" t="s">
        <v>546</v>
      </c>
      <c r="W1934" s="6"/>
      <c r="X1934" s="6"/>
      <c r="Y1934" s="6"/>
      <c r="Z1934" s="6" t="s">
        <v>267</v>
      </c>
      <c r="AA1934" s="6" t="s">
        <v>430</v>
      </c>
      <c r="AB1934" s="8"/>
      <c r="AC1934" s="27">
        <v>9785160169293</v>
      </c>
    </row>
    <row r="1935" spans="1:29" s="4" customFormat="1" ht="51.9" customHeight="1" x14ac:dyDescent="0.2">
      <c r="A1935" s="5">
        <v>0</v>
      </c>
      <c r="B1935" s="6" t="s">
        <v>11680</v>
      </c>
      <c r="C1935" s="7">
        <v>3000</v>
      </c>
      <c r="D1935" s="8" t="s">
        <v>11681</v>
      </c>
      <c r="E1935" s="8" t="s">
        <v>11682</v>
      </c>
      <c r="F1935" s="8" t="s">
        <v>11542</v>
      </c>
      <c r="G1935" s="6" t="s">
        <v>60</v>
      </c>
      <c r="H1935" s="6" t="s">
        <v>34</v>
      </c>
      <c r="I1935" s="8" t="s">
        <v>271</v>
      </c>
      <c r="J1935" s="9">
        <v>1</v>
      </c>
      <c r="K1935" s="9">
        <v>556</v>
      </c>
      <c r="L1935" s="9">
        <v>2023</v>
      </c>
      <c r="M1935" s="8" t="s">
        <v>11683</v>
      </c>
      <c r="N1935" s="8" t="s">
        <v>585</v>
      </c>
      <c r="O1935" s="8" t="s">
        <v>775</v>
      </c>
      <c r="P1935" s="6" t="s">
        <v>51</v>
      </c>
      <c r="Q1935" s="8" t="s">
        <v>52</v>
      </c>
      <c r="R1935" s="10" t="s">
        <v>11684</v>
      </c>
      <c r="S1935" s="11" t="s">
        <v>11685</v>
      </c>
      <c r="T1935" s="6"/>
      <c r="U1935" s="15" t="str">
        <f>HYPERLINK("https://media.infra-m.ru/1971/1971859/cover/1971859.jpg", "Обложка")</f>
        <v>Обложка</v>
      </c>
      <c r="V1935" s="8" t="s">
        <v>546</v>
      </c>
      <c r="W1935" s="6"/>
      <c r="X1935" s="6"/>
      <c r="Y1935" s="6"/>
      <c r="Z1935" s="6"/>
      <c r="AA1935" s="6" t="s">
        <v>86</v>
      </c>
      <c r="AB1935" s="8" t="s">
        <v>11686</v>
      </c>
      <c r="AC1935" s="27">
        <v>9785160127606</v>
      </c>
    </row>
    <row r="1936" spans="1:29" s="4" customFormat="1" ht="51.9" customHeight="1" x14ac:dyDescent="0.2">
      <c r="A1936" s="5">
        <v>0</v>
      </c>
      <c r="B1936" s="6" t="s">
        <v>11687</v>
      </c>
      <c r="C1936" s="7">
        <v>2880</v>
      </c>
      <c r="D1936" s="8" t="s">
        <v>11688</v>
      </c>
      <c r="E1936" s="8" t="s">
        <v>11689</v>
      </c>
      <c r="F1936" s="8" t="s">
        <v>11542</v>
      </c>
      <c r="G1936" s="6" t="s">
        <v>60</v>
      </c>
      <c r="H1936" s="6" t="s">
        <v>34</v>
      </c>
      <c r="I1936" s="8" t="s">
        <v>253</v>
      </c>
      <c r="J1936" s="9">
        <v>1</v>
      </c>
      <c r="K1936" s="9">
        <v>523</v>
      </c>
      <c r="L1936" s="9">
        <v>2024</v>
      </c>
      <c r="M1936" s="8" t="s">
        <v>11690</v>
      </c>
      <c r="N1936" s="8" t="s">
        <v>585</v>
      </c>
      <c r="O1936" s="8" t="s">
        <v>775</v>
      </c>
      <c r="P1936" s="6" t="s">
        <v>51</v>
      </c>
      <c r="Q1936" s="8" t="s">
        <v>52</v>
      </c>
      <c r="R1936" s="10" t="s">
        <v>11691</v>
      </c>
      <c r="S1936" s="11" t="s">
        <v>11692</v>
      </c>
      <c r="T1936" s="6"/>
      <c r="U1936" s="15" t="str">
        <f>HYPERLINK("https://media.infra-m.ru/2131/2131762/cover/2131762.jpg", "Обложка")</f>
        <v>Обложка</v>
      </c>
      <c r="V1936" s="8" t="s">
        <v>546</v>
      </c>
      <c r="W1936" s="6"/>
      <c r="X1936" s="6"/>
      <c r="Y1936" s="6"/>
      <c r="Z1936" s="6"/>
      <c r="AA1936" s="6" t="s">
        <v>99</v>
      </c>
      <c r="AB1936" s="8"/>
      <c r="AC1936" s="27">
        <v>9785160196442</v>
      </c>
    </row>
    <row r="1937" spans="1:29" s="4" customFormat="1" ht="51.9" customHeight="1" x14ac:dyDescent="0.2">
      <c r="A1937" s="5">
        <v>0</v>
      </c>
      <c r="B1937" s="6" t="s">
        <v>11693</v>
      </c>
      <c r="C1937" s="7">
        <v>4200</v>
      </c>
      <c r="D1937" s="8" t="s">
        <v>11694</v>
      </c>
      <c r="E1937" s="8" t="s">
        <v>11676</v>
      </c>
      <c r="F1937" s="8" t="s">
        <v>11542</v>
      </c>
      <c r="G1937" s="6" t="s">
        <v>60</v>
      </c>
      <c r="H1937" s="6" t="s">
        <v>34</v>
      </c>
      <c r="I1937" s="8" t="s">
        <v>253</v>
      </c>
      <c r="J1937" s="9">
        <v>1</v>
      </c>
      <c r="K1937" s="9">
        <v>605</v>
      </c>
      <c r="L1937" s="9">
        <v>2027</v>
      </c>
      <c r="M1937" s="8" t="s">
        <v>11695</v>
      </c>
      <c r="N1937" s="8" t="s">
        <v>585</v>
      </c>
      <c r="O1937" s="8" t="s">
        <v>775</v>
      </c>
      <c r="P1937" s="6" t="s">
        <v>51</v>
      </c>
      <c r="Q1937" s="8" t="s">
        <v>52</v>
      </c>
      <c r="R1937" s="10" t="s">
        <v>11696</v>
      </c>
      <c r="S1937" s="11" t="s">
        <v>11697</v>
      </c>
      <c r="T1937" s="6" t="s">
        <v>97</v>
      </c>
      <c r="U1937" s="15" t="str">
        <f>HYPERLINK("https://media.infra-m.ru/2161/2161675/cover/2161675.jpg", "Обложка")</f>
        <v>Обложка</v>
      </c>
      <c r="V1937" s="8" t="s">
        <v>546</v>
      </c>
      <c r="W1937" s="6"/>
      <c r="X1937" s="6"/>
      <c r="Y1937" s="6"/>
      <c r="Z1937" s="6"/>
      <c r="AA1937" s="6" t="s">
        <v>99</v>
      </c>
      <c r="AB1937" s="8"/>
      <c r="AC1937" s="27">
        <v>9785160223803</v>
      </c>
    </row>
    <row r="1938" spans="1:29" s="4" customFormat="1" ht="51.9" customHeight="1" x14ac:dyDescent="0.2">
      <c r="A1938" s="5">
        <v>0</v>
      </c>
      <c r="B1938" s="6" t="s">
        <v>11698</v>
      </c>
      <c r="C1938" s="7">
        <v>2220</v>
      </c>
      <c r="D1938" s="8" t="s">
        <v>11699</v>
      </c>
      <c r="E1938" s="8" t="s">
        <v>11700</v>
      </c>
      <c r="F1938" s="8" t="s">
        <v>11701</v>
      </c>
      <c r="G1938" s="6" t="s">
        <v>118</v>
      </c>
      <c r="H1938" s="6" t="s">
        <v>34</v>
      </c>
      <c r="I1938" s="8" t="s">
        <v>1835</v>
      </c>
      <c r="J1938" s="9">
        <v>1</v>
      </c>
      <c r="K1938" s="9">
        <v>336</v>
      </c>
      <c r="L1938" s="9">
        <v>2026</v>
      </c>
      <c r="M1938" s="8" t="s">
        <v>11702</v>
      </c>
      <c r="N1938" s="8" t="s">
        <v>585</v>
      </c>
      <c r="O1938" s="8" t="s">
        <v>775</v>
      </c>
      <c r="P1938" s="6" t="s">
        <v>4401</v>
      </c>
      <c r="Q1938" s="8" t="s">
        <v>52</v>
      </c>
      <c r="R1938" s="10" t="s">
        <v>11703</v>
      </c>
      <c r="S1938" s="11"/>
      <c r="T1938" s="6" t="s">
        <v>97</v>
      </c>
      <c r="U1938" s="15" t="str">
        <f>HYPERLINK("https://media.infra-m.ru/2235/2235900/cover/2235900.jpg", "Обложка")</f>
        <v>Обложка</v>
      </c>
      <c r="V1938" s="8" t="s">
        <v>809</v>
      </c>
      <c r="W1938" s="6"/>
      <c r="X1938" s="6"/>
      <c r="Y1938" s="6"/>
      <c r="Z1938" s="6"/>
      <c r="AA1938" s="6" t="s">
        <v>779</v>
      </c>
      <c r="AB1938" s="8"/>
      <c r="AC1938" s="27">
        <v>9785160106922</v>
      </c>
    </row>
    <row r="1939" spans="1:29" s="4" customFormat="1" ht="51.9" customHeight="1" x14ac:dyDescent="0.2">
      <c r="A1939" s="5">
        <v>0</v>
      </c>
      <c r="B1939" s="6" t="s">
        <v>11704</v>
      </c>
      <c r="C1939" s="7">
        <v>2556</v>
      </c>
      <c r="D1939" s="8" t="s">
        <v>11705</v>
      </c>
      <c r="E1939" s="8" t="s">
        <v>11706</v>
      </c>
      <c r="F1939" s="8" t="s">
        <v>11707</v>
      </c>
      <c r="G1939" s="6" t="s">
        <v>118</v>
      </c>
      <c r="H1939" s="6" t="s">
        <v>34</v>
      </c>
      <c r="I1939" s="8" t="s">
        <v>253</v>
      </c>
      <c r="J1939" s="9">
        <v>1</v>
      </c>
      <c r="K1939" s="9">
        <v>386</v>
      </c>
      <c r="L1939" s="9">
        <v>2026</v>
      </c>
      <c r="M1939" s="8" t="s">
        <v>11708</v>
      </c>
      <c r="N1939" s="8" t="s">
        <v>243</v>
      </c>
      <c r="O1939" s="8" t="s">
        <v>798</v>
      </c>
      <c r="P1939" s="6" t="s">
        <v>306</v>
      </c>
      <c r="Q1939" s="8" t="s">
        <v>65</v>
      </c>
      <c r="R1939" s="10" t="s">
        <v>11709</v>
      </c>
      <c r="S1939" s="11" t="s">
        <v>11710</v>
      </c>
      <c r="T1939" s="6"/>
      <c r="U1939" s="15" t="str">
        <f>HYPERLINK("https://media.infra-m.ru/2256/2256722/cover/2256722.jpg", "Обложка")</f>
        <v>Обложка</v>
      </c>
      <c r="V1939" s="8" t="s">
        <v>1030</v>
      </c>
      <c r="W1939" s="6"/>
      <c r="X1939" s="6"/>
      <c r="Y1939" s="6"/>
      <c r="Z1939" s="6"/>
      <c r="AA1939" s="6" t="s">
        <v>115</v>
      </c>
      <c r="AB1939" s="8"/>
      <c r="AC1939" s="27">
        <v>9785160185255</v>
      </c>
    </row>
    <row r="1940" spans="1:29" s="4" customFormat="1" ht="51.9" customHeight="1" x14ac:dyDescent="0.2">
      <c r="A1940" s="5">
        <v>0</v>
      </c>
      <c r="B1940" s="6" t="s">
        <v>11711</v>
      </c>
      <c r="C1940" s="7">
        <v>1728</v>
      </c>
      <c r="D1940" s="8" t="s">
        <v>11712</v>
      </c>
      <c r="E1940" s="8" t="s">
        <v>11713</v>
      </c>
      <c r="F1940" s="8" t="s">
        <v>11714</v>
      </c>
      <c r="G1940" s="6" t="s">
        <v>118</v>
      </c>
      <c r="H1940" s="6" t="s">
        <v>34</v>
      </c>
      <c r="I1940" s="8" t="s">
        <v>253</v>
      </c>
      <c r="J1940" s="9">
        <v>1</v>
      </c>
      <c r="K1940" s="9">
        <v>262</v>
      </c>
      <c r="L1940" s="9">
        <v>2026</v>
      </c>
      <c r="M1940" s="8" t="s">
        <v>11715</v>
      </c>
      <c r="N1940" s="8" t="s">
        <v>243</v>
      </c>
      <c r="O1940" s="8" t="s">
        <v>798</v>
      </c>
      <c r="P1940" s="6" t="s">
        <v>306</v>
      </c>
      <c r="Q1940" s="8" t="s">
        <v>52</v>
      </c>
      <c r="R1940" s="10" t="s">
        <v>11716</v>
      </c>
      <c r="S1940" s="11" t="s">
        <v>11717</v>
      </c>
      <c r="T1940" s="6"/>
      <c r="U1940" s="15" t="str">
        <f>HYPERLINK("https://media.infra-m.ru/2225/2225627/cover/2225627.jpg", "Обложка")</f>
        <v>Обложка</v>
      </c>
      <c r="V1940" s="8" t="s">
        <v>1030</v>
      </c>
      <c r="W1940" s="6"/>
      <c r="X1940" s="6"/>
      <c r="Y1940" s="6"/>
      <c r="Z1940" s="6"/>
      <c r="AA1940" s="6" t="s">
        <v>3736</v>
      </c>
      <c r="AB1940" s="8"/>
      <c r="AC1940" s="27">
        <v>9785160214566</v>
      </c>
    </row>
    <row r="1941" spans="1:29" s="4" customFormat="1" ht="42" customHeight="1" x14ac:dyDescent="0.2">
      <c r="A1941" s="5">
        <v>0</v>
      </c>
      <c r="B1941" s="6" t="s">
        <v>11718</v>
      </c>
      <c r="C1941" s="13">
        <v>708</v>
      </c>
      <c r="D1941" s="8" t="s">
        <v>11719</v>
      </c>
      <c r="E1941" s="8" t="s">
        <v>11720</v>
      </c>
      <c r="F1941" s="8" t="s">
        <v>11721</v>
      </c>
      <c r="G1941" s="6" t="s">
        <v>118</v>
      </c>
      <c r="H1941" s="6" t="s">
        <v>34</v>
      </c>
      <c r="I1941" s="8" t="s">
        <v>1081</v>
      </c>
      <c r="J1941" s="9">
        <v>1</v>
      </c>
      <c r="K1941" s="9">
        <v>168</v>
      </c>
      <c r="L1941" s="9">
        <v>2020</v>
      </c>
      <c r="M1941" s="8" t="s">
        <v>11722</v>
      </c>
      <c r="N1941" s="8" t="s">
        <v>243</v>
      </c>
      <c r="O1941" s="8" t="s">
        <v>758</v>
      </c>
      <c r="P1941" s="6" t="s">
        <v>39</v>
      </c>
      <c r="Q1941" s="8" t="s">
        <v>40</v>
      </c>
      <c r="R1941" s="10" t="s">
        <v>11723</v>
      </c>
      <c r="S1941" s="11"/>
      <c r="T1941" s="6"/>
      <c r="U1941" s="15" t="str">
        <f>HYPERLINK("https://media.infra-m.ru/1072/1072219/cover/1072219.jpg", "Обложка")</f>
        <v>Обложка</v>
      </c>
      <c r="V1941" s="8" t="s">
        <v>1083</v>
      </c>
      <c r="W1941" s="6"/>
      <c r="X1941" s="6"/>
      <c r="Y1941" s="6"/>
      <c r="Z1941" s="6"/>
      <c r="AA1941" s="6" t="s">
        <v>86</v>
      </c>
      <c r="AB1941" s="8"/>
      <c r="AC1941" s="27">
        <v>9785160132297</v>
      </c>
    </row>
    <row r="1942" spans="1:29" s="4" customFormat="1" ht="51.9" customHeight="1" x14ac:dyDescent="0.2">
      <c r="A1942" s="5">
        <v>0</v>
      </c>
      <c r="B1942" s="6" t="s">
        <v>11724</v>
      </c>
      <c r="C1942" s="7">
        <v>1277.9000000000001</v>
      </c>
      <c r="D1942" s="8" t="s">
        <v>11725</v>
      </c>
      <c r="E1942" s="8" t="s">
        <v>11726</v>
      </c>
      <c r="F1942" s="8" t="s">
        <v>11727</v>
      </c>
      <c r="G1942" s="6" t="s">
        <v>60</v>
      </c>
      <c r="H1942" s="6" t="s">
        <v>241</v>
      </c>
      <c r="I1942" s="8" t="s">
        <v>271</v>
      </c>
      <c r="J1942" s="9">
        <v>1</v>
      </c>
      <c r="K1942" s="9">
        <v>236</v>
      </c>
      <c r="L1942" s="9">
        <v>2023</v>
      </c>
      <c r="M1942" s="8" t="s">
        <v>11728</v>
      </c>
      <c r="N1942" s="8" t="s">
        <v>37</v>
      </c>
      <c r="O1942" s="8" t="s">
        <v>280</v>
      </c>
      <c r="P1942" s="6" t="s">
        <v>51</v>
      </c>
      <c r="Q1942" s="8" t="s">
        <v>52</v>
      </c>
      <c r="R1942" s="10" t="s">
        <v>11729</v>
      </c>
      <c r="S1942" s="11"/>
      <c r="T1942" s="6"/>
      <c r="U1942" s="15" t="str">
        <f>HYPERLINK("https://media.infra-m.ru/2002/2002666/cover/2002666.jpg", "Обложка")</f>
        <v>Обложка</v>
      </c>
      <c r="V1942" s="8"/>
      <c r="W1942" s="6"/>
      <c r="X1942" s="6"/>
      <c r="Y1942" s="6"/>
      <c r="Z1942" s="6"/>
      <c r="AA1942" s="6" t="s">
        <v>99</v>
      </c>
      <c r="AB1942" s="8"/>
      <c r="AC1942" s="27">
        <v>9785955805368</v>
      </c>
    </row>
    <row r="1943" spans="1:29" s="4" customFormat="1" ht="51.9" customHeight="1" x14ac:dyDescent="0.2">
      <c r="A1943" s="5">
        <v>0</v>
      </c>
      <c r="B1943" s="6" t="s">
        <v>11730</v>
      </c>
      <c r="C1943" s="7">
        <v>1788</v>
      </c>
      <c r="D1943" s="8" t="s">
        <v>11731</v>
      </c>
      <c r="E1943" s="8" t="s">
        <v>11732</v>
      </c>
      <c r="F1943" s="8" t="s">
        <v>11733</v>
      </c>
      <c r="G1943" s="6" t="s">
        <v>33</v>
      </c>
      <c r="H1943" s="6" t="s">
        <v>34</v>
      </c>
      <c r="I1943" s="8" t="s">
        <v>35</v>
      </c>
      <c r="J1943" s="9">
        <v>1</v>
      </c>
      <c r="K1943" s="9">
        <v>270</v>
      </c>
      <c r="L1943" s="9">
        <v>2026</v>
      </c>
      <c r="M1943" s="8" t="s">
        <v>11734</v>
      </c>
      <c r="N1943" s="8" t="s">
        <v>37</v>
      </c>
      <c r="O1943" s="8" t="s">
        <v>233</v>
      </c>
      <c r="P1943" s="6" t="s">
        <v>39</v>
      </c>
      <c r="Q1943" s="8" t="s">
        <v>40</v>
      </c>
      <c r="R1943" s="10" t="s">
        <v>11735</v>
      </c>
      <c r="S1943" s="11"/>
      <c r="T1943" s="6"/>
      <c r="U1943" s="15" t="str">
        <f>HYPERLINK("https://media.infra-m.ru/2257/2257128/cover/2257128.jpg", "Обложка")</f>
        <v>Обложка</v>
      </c>
      <c r="V1943" s="8" t="s">
        <v>11736</v>
      </c>
      <c r="W1943" s="6"/>
      <c r="X1943" s="6"/>
      <c r="Y1943" s="6"/>
      <c r="Z1943" s="6"/>
      <c r="AA1943" s="6" t="s">
        <v>148</v>
      </c>
      <c r="AB1943" s="8"/>
      <c r="AC1943" s="27">
        <v>9785160172477</v>
      </c>
    </row>
    <row r="1944" spans="1:29" s="4" customFormat="1" ht="51.9" customHeight="1" x14ac:dyDescent="0.2">
      <c r="A1944" s="5">
        <v>0</v>
      </c>
      <c r="B1944" s="6" t="s">
        <v>11737</v>
      </c>
      <c r="C1944" s="7">
        <v>1192.8</v>
      </c>
      <c r="D1944" s="8" t="s">
        <v>11738</v>
      </c>
      <c r="E1944" s="8" t="s">
        <v>11739</v>
      </c>
      <c r="F1944" s="8" t="s">
        <v>11740</v>
      </c>
      <c r="G1944" s="6" t="s">
        <v>118</v>
      </c>
      <c r="H1944" s="6" t="s">
        <v>34</v>
      </c>
      <c r="I1944" s="8" t="s">
        <v>253</v>
      </c>
      <c r="J1944" s="9">
        <v>1</v>
      </c>
      <c r="K1944" s="9">
        <v>192</v>
      </c>
      <c r="L1944" s="9">
        <v>2026</v>
      </c>
      <c r="M1944" s="8" t="s">
        <v>11741</v>
      </c>
      <c r="N1944" s="8" t="s">
        <v>93</v>
      </c>
      <c r="O1944" s="8" t="s">
        <v>94</v>
      </c>
      <c r="P1944" s="6" t="s">
        <v>105</v>
      </c>
      <c r="Q1944" s="8" t="s">
        <v>65</v>
      </c>
      <c r="R1944" s="10" t="s">
        <v>11742</v>
      </c>
      <c r="S1944" s="11" t="s">
        <v>11743</v>
      </c>
      <c r="T1944" s="6"/>
      <c r="U1944" s="15" t="str">
        <f>HYPERLINK("https://media.infra-m.ru/2223/2223197/cover/2223197.jpg", "Обложка")</f>
        <v>Обложка</v>
      </c>
      <c r="V1944" s="8" t="s">
        <v>54</v>
      </c>
      <c r="W1944" s="6"/>
      <c r="X1944" s="6"/>
      <c r="Y1944" s="6"/>
      <c r="Z1944" s="6"/>
      <c r="AA1944" s="6" t="s">
        <v>430</v>
      </c>
      <c r="AB1944" s="8"/>
      <c r="AC1944" s="27">
        <v>9785160184968</v>
      </c>
    </row>
    <row r="1945" spans="1:29" s="4" customFormat="1" ht="51.9" customHeight="1" x14ac:dyDescent="0.2">
      <c r="A1945" s="5">
        <v>0</v>
      </c>
      <c r="B1945" s="6" t="s">
        <v>11744</v>
      </c>
      <c r="C1945" s="7">
        <v>1264.8</v>
      </c>
      <c r="D1945" s="8" t="s">
        <v>11745</v>
      </c>
      <c r="E1945" s="8" t="s">
        <v>11739</v>
      </c>
      <c r="F1945" s="8" t="s">
        <v>11740</v>
      </c>
      <c r="G1945" s="6" t="s">
        <v>118</v>
      </c>
      <c r="H1945" s="6" t="s">
        <v>34</v>
      </c>
      <c r="I1945" s="8" t="s">
        <v>263</v>
      </c>
      <c r="J1945" s="9">
        <v>1</v>
      </c>
      <c r="K1945" s="9">
        <v>192</v>
      </c>
      <c r="L1945" s="9">
        <v>2026</v>
      </c>
      <c r="M1945" s="8" t="s">
        <v>11746</v>
      </c>
      <c r="N1945" s="8" t="s">
        <v>93</v>
      </c>
      <c r="O1945" s="8" t="s">
        <v>94</v>
      </c>
      <c r="P1945" s="6" t="s">
        <v>105</v>
      </c>
      <c r="Q1945" s="8" t="s">
        <v>265</v>
      </c>
      <c r="R1945" s="10" t="s">
        <v>11747</v>
      </c>
      <c r="S1945" s="11" t="s">
        <v>11748</v>
      </c>
      <c r="T1945" s="6"/>
      <c r="U1945" s="15" t="str">
        <f>HYPERLINK("https://media.infra-m.ru/2229/2229019/cover/2229019.jpg", "Обложка")</f>
        <v>Обложка</v>
      </c>
      <c r="V1945" s="8" t="s">
        <v>54</v>
      </c>
      <c r="W1945" s="6"/>
      <c r="X1945" s="6"/>
      <c r="Y1945" s="6"/>
      <c r="Z1945" s="6" t="s">
        <v>882</v>
      </c>
      <c r="AA1945" s="6" t="s">
        <v>148</v>
      </c>
      <c r="AB1945" s="8"/>
      <c r="AC1945" s="27">
        <v>9785160171203</v>
      </c>
    </row>
    <row r="1946" spans="1:29" s="4" customFormat="1" ht="42" customHeight="1" x14ac:dyDescent="0.2">
      <c r="A1946" s="5">
        <v>0</v>
      </c>
      <c r="B1946" s="6" t="s">
        <v>11749</v>
      </c>
      <c r="C1946" s="7">
        <v>2100</v>
      </c>
      <c r="D1946" s="8" t="s">
        <v>11750</v>
      </c>
      <c r="E1946" s="8" t="s">
        <v>11751</v>
      </c>
      <c r="F1946" s="8" t="s">
        <v>9518</v>
      </c>
      <c r="G1946" s="6" t="s">
        <v>118</v>
      </c>
      <c r="H1946" s="6" t="s">
        <v>34</v>
      </c>
      <c r="I1946" s="8" t="s">
        <v>35</v>
      </c>
      <c r="J1946" s="9">
        <v>1</v>
      </c>
      <c r="K1946" s="9">
        <v>336</v>
      </c>
      <c r="L1946" s="9">
        <v>2026</v>
      </c>
      <c r="M1946" s="8" t="s">
        <v>11752</v>
      </c>
      <c r="N1946" s="8" t="s">
        <v>93</v>
      </c>
      <c r="O1946" s="8" t="s">
        <v>94</v>
      </c>
      <c r="P1946" s="6" t="s">
        <v>39</v>
      </c>
      <c r="Q1946" s="8" t="s">
        <v>40</v>
      </c>
      <c r="R1946" s="10" t="s">
        <v>11753</v>
      </c>
      <c r="S1946" s="11"/>
      <c r="T1946" s="6"/>
      <c r="U1946" s="15" t="str">
        <f>HYPERLINK("https://media.infra-m.ru/2215/2215343/cover/2215343.jpg", "Обложка")</f>
        <v>Обложка</v>
      </c>
      <c r="V1946" s="8" t="s">
        <v>1551</v>
      </c>
      <c r="W1946" s="6"/>
      <c r="X1946" s="6"/>
      <c r="Y1946" s="6"/>
      <c r="Z1946" s="6"/>
      <c r="AA1946" s="6" t="s">
        <v>76</v>
      </c>
      <c r="AB1946" s="8"/>
      <c r="AC1946" s="27">
        <v>9785160188751</v>
      </c>
    </row>
    <row r="1947" spans="1:29" s="4" customFormat="1" ht="44.1" customHeight="1" x14ac:dyDescent="0.2">
      <c r="A1947" s="5">
        <v>0</v>
      </c>
      <c r="B1947" s="6" t="s">
        <v>11754</v>
      </c>
      <c r="C1947" s="7">
        <v>1505.9</v>
      </c>
      <c r="D1947" s="8" t="s">
        <v>11755</v>
      </c>
      <c r="E1947" s="8" t="s">
        <v>11756</v>
      </c>
      <c r="F1947" s="8" t="s">
        <v>11757</v>
      </c>
      <c r="G1947" s="6" t="s">
        <v>33</v>
      </c>
      <c r="H1947" s="6" t="s">
        <v>34</v>
      </c>
      <c r="I1947" s="8" t="s">
        <v>35</v>
      </c>
      <c r="J1947" s="9">
        <v>1</v>
      </c>
      <c r="K1947" s="9">
        <v>299</v>
      </c>
      <c r="L1947" s="9">
        <v>2022</v>
      </c>
      <c r="M1947" s="8" t="s">
        <v>11758</v>
      </c>
      <c r="N1947" s="8" t="s">
        <v>37</v>
      </c>
      <c r="O1947" s="8" t="s">
        <v>83</v>
      </c>
      <c r="P1947" s="6" t="s">
        <v>39</v>
      </c>
      <c r="Q1947" s="8" t="s">
        <v>40</v>
      </c>
      <c r="R1947" s="10" t="s">
        <v>11759</v>
      </c>
      <c r="S1947" s="11"/>
      <c r="T1947" s="6"/>
      <c r="U1947" s="15" t="str">
        <f>HYPERLINK("https://media.infra-m.ru/1864/1864885/cover/1864885.jpg", "Обложка")</f>
        <v>Обложка</v>
      </c>
      <c r="V1947" s="8" t="s">
        <v>4943</v>
      </c>
      <c r="W1947" s="6"/>
      <c r="X1947" s="6"/>
      <c r="Y1947" s="6"/>
      <c r="Z1947" s="6"/>
      <c r="AA1947" s="6" t="s">
        <v>1256</v>
      </c>
      <c r="AB1947" s="8"/>
      <c r="AC1947" s="27">
        <v>9785160161945</v>
      </c>
    </row>
    <row r="1948" spans="1:29" s="4" customFormat="1" ht="51.9" customHeight="1" x14ac:dyDescent="0.2">
      <c r="A1948" s="5">
        <v>0</v>
      </c>
      <c r="B1948" s="6" t="s">
        <v>11760</v>
      </c>
      <c r="C1948" s="7">
        <v>2320.8000000000002</v>
      </c>
      <c r="D1948" s="8" t="s">
        <v>11761</v>
      </c>
      <c r="E1948" s="8" t="s">
        <v>11762</v>
      </c>
      <c r="F1948" s="8" t="s">
        <v>11763</v>
      </c>
      <c r="G1948" s="6" t="s">
        <v>118</v>
      </c>
      <c r="H1948" s="6" t="s">
        <v>34</v>
      </c>
      <c r="I1948" s="8" t="s">
        <v>304</v>
      </c>
      <c r="J1948" s="9">
        <v>1</v>
      </c>
      <c r="K1948" s="9">
        <v>334</v>
      </c>
      <c r="L1948" s="9">
        <v>2027</v>
      </c>
      <c r="M1948" s="8" t="s">
        <v>11764</v>
      </c>
      <c r="N1948" s="8" t="s">
        <v>37</v>
      </c>
      <c r="O1948" s="8" t="s">
        <v>280</v>
      </c>
      <c r="P1948" s="6" t="s">
        <v>306</v>
      </c>
      <c r="Q1948" s="8" t="s">
        <v>52</v>
      </c>
      <c r="R1948" s="10" t="s">
        <v>11765</v>
      </c>
      <c r="S1948" s="11" t="s">
        <v>11766</v>
      </c>
      <c r="T1948" s="6"/>
      <c r="U1948" s="15" t="str">
        <f>HYPERLINK("https://media.infra-m.ru/2263/2263917/cover/2263917.jpg", "Обложка")</f>
        <v>Обложка</v>
      </c>
      <c r="V1948" s="8" t="s">
        <v>247</v>
      </c>
      <c r="W1948" s="6"/>
      <c r="X1948" s="6"/>
      <c r="Y1948" s="6"/>
      <c r="Z1948" s="6"/>
      <c r="AA1948" s="6" t="s">
        <v>148</v>
      </c>
      <c r="AB1948" s="8"/>
      <c r="AC1948" s="27">
        <v>9785160190785</v>
      </c>
    </row>
    <row r="1949" spans="1:29" s="4" customFormat="1" ht="51.9" customHeight="1" x14ac:dyDescent="0.2">
      <c r="A1949" s="5">
        <v>0</v>
      </c>
      <c r="B1949" s="6" t="s">
        <v>11767</v>
      </c>
      <c r="C1949" s="7">
        <v>2272.8000000000002</v>
      </c>
      <c r="D1949" s="8" t="s">
        <v>11768</v>
      </c>
      <c r="E1949" s="8" t="s">
        <v>11769</v>
      </c>
      <c r="F1949" s="8" t="s">
        <v>11770</v>
      </c>
      <c r="G1949" s="6" t="s">
        <v>60</v>
      </c>
      <c r="H1949" s="6" t="s">
        <v>34</v>
      </c>
      <c r="I1949" s="8" t="s">
        <v>271</v>
      </c>
      <c r="J1949" s="9">
        <v>1</v>
      </c>
      <c r="K1949" s="9">
        <v>404</v>
      </c>
      <c r="L1949" s="9">
        <v>2024</v>
      </c>
      <c r="M1949" s="8" t="s">
        <v>11771</v>
      </c>
      <c r="N1949" s="8" t="s">
        <v>37</v>
      </c>
      <c r="O1949" s="8" t="s">
        <v>280</v>
      </c>
      <c r="P1949" s="6" t="s">
        <v>51</v>
      </c>
      <c r="Q1949" s="8" t="s">
        <v>52</v>
      </c>
      <c r="R1949" s="10" t="s">
        <v>11772</v>
      </c>
      <c r="S1949" s="11" t="s">
        <v>11773</v>
      </c>
      <c r="T1949" s="6"/>
      <c r="U1949" s="15" t="str">
        <f>HYPERLINK("https://media.infra-m.ru/2140/2140288/cover/2140288.jpg", "Обложка")</f>
        <v>Обложка</v>
      </c>
      <c r="V1949" s="8" t="s">
        <v>11774</v>
      </c>
      <c r="W1949" s="6"/>
      <c r="X1949" s="6"/>
      <c r="Y1949" s="6"/>
      <c r="Z1949" s="6"/>
      <c r="AA1949" s="6" t="s">
        <v>218</v>
      </c>
      <c r="AB1949" s="8"/>
      <c r="AC1949" s="27">
        <v>9785160154800</v>
      </c>
    </row>
    <row r="1950" spans="1:29" s="4" customFormat="1" ht="42" customHeight="1" x14ac:dyDescent="0.2">
      <c r="A1950" s="5">
        <v>0</v>
      </c>
      <c r="B1950" s="6" t="s">
        <v>11775</v>
      </c>
      <c r="C1950" s="7">
        <v>1600.8</v>
      </c>
      <c r="D1950" s="8" t="s">
        <v>11776</v>
      </c>
      <c r="E1950" s="8" t="s">
        <v>11777</v>
      </c>
      <c r="F1950" s="8" t="s">
        <v>11778</v>
      </c>
      <c r="G1950" s="6" t="s">
        <v>60</v>
      </c>
      <c r="H1950" s="6" t="s">
        <v>34</v>
      </c>
      <c r="I1950" s="8" t="s">
        <v>271</v>
      </c>
      <c r="J1950" s="9">
        <v>1</v>
      </c>
      <c r="K1950" s="9">
        <v>256</v>
      </c>
      <c r="L1950" s="9">
        <v>2025</v>
      </c>
      <c r="M1950" s="8" t="s">
        <v>11779</v>
      </c>
      <c r="N1950" s="8" t="s">
        <v>37</v>
      </c>
      <c r="O1950" s="8" t="s">
        <v>280</v>
      </c>
      <c r="P1950" s="6" t="s">
        <v>306</v>
      </c>
      <c r="Q1950" s="8" t="s">
        <v>52</v>
      </c>
      <c r="R1950" s="10" t="s">
        <v>2086</v>
      </c>
      <c r="S1950" s="11"/>
      <c r="T1950" s="6"/>
      <c r="U1950" s="15" t="str">
        <f>HYPERLINK("https://media.infra-m.ru/2194/2194366/cover/2194366.jpg", "Обложка")</f>
        <v>Обложка</v>
      </c>
      <c r="V1950" s="8" t="s">
        <v>4032</v>
      </c>
      <c r="W1950" s="6"/>
      <c r="X1950" s="6"/>
      <c r="Y1950" s="6"/>
      <c r="Z1950" s="6"/>
      <c r="AA1950" s="6" t="s">
        <v>274</v>
      </c>
      <c r="AB1950" s="8"/>
      <c r="AC1950" s="27">
        <v>9785160095219</v>
      </c>
    </row>
    <row r="1951" spans="1:29" s="4" customFormat="1" ht="51.9" customHeight="1" x14ac:dyDescent="0.2">
      <c r="A1951" s="5">
        <v>0</v>
      </c>
      <c r="B1951" s="6" t="s">
        <v>11780</v>
      </c>
      <c r="C1951" s="13">
        <v>532.79999999999995</v>
      </c>
      <c r="D1951" s="8" t="s">
        <v>11781</v>
      </c>
      <c r="E1951" s="8" t="s">
        <v>11782</v>
      </c>
      <c r="F1951" s="8" t="s">
        <v>6558</v>
      </c>
      <c r="G1951" s="6" t="s">
        <v>33</v>
      </c>
      <c r="H1951" s="6" t="s">
        <v>34</v>
      </c>
      <c r="I1951" s="8" t="s">
        <v>35</v>
      </c>
      <c r="J1951" s="9">
        <v>1</v>
      </c>
      <c r="K1951" s="9">
        <v>92</v>
      </c>
      <c r="L1951" s="9">
        <v>2023</v>
      </c>
      <c r="M1951" s="8" t="s">
        <v>11783</v>
      </c>
      <c r="N1951" s="8" t="s">
        <v>37</v>
      </c>
      <c r="O1951" s="8" t="s">
        <v>233</v>
      </c>
      <c r="P1951" s="6" t="s">
        <v>39</v>
      </c>
      <c r="Q1951" s="8" t="s">
        <v>40</v>
      </c>
      <c r="R1951" s="10" t="s">
        <v>11784</v>
      </c>
      <c r="S1951" s="11"/>
      <c r="T1951" s="6"/>
      <c r="U1951" s="15" t="str">
        <f>HYPERLINK("https://media.infra-m.ru/2006/2006088/cover/2006088.jpg", "Обложка")</f>
        <v>Обложка</v>
      </c>
      <c r="V1951" s="8" t="s">
        <v>6560</v>
      </c>
      <c r="W1951" s="6"/>
      <c r="X1951" s="6"/>
      <c r="Y1951" s="6"/>
      <c r="Z1951" s="6"/>
      <c r="AA1951" s="6" t="s">
        <v>99</v>
      </c>
      <c r="AB1951" s="8"/>
      <c r="AC1951" s="27">
        <v>9785160128948</v>
      </c>
    </row>
    <row r="1952" spans="1:29" s="4" customFormat="1" ht="51.9" customHeight="1" x14ac:dyDescent="0.2">
      <c r="A1952" s="5">
        <v>0</v>
      </c>
      <c r="B1952" s="6" t="s">
        <v>11785</v>
      </c>
      <c r="C1952" s="7">
        <v>1176</v>
      </c>
      <c r="D1952" s="8" t="s">
        <v>11786</v>
      </c>
      <c r="E1952" s="8" t="s">
        <v>11787</v>
      </c>
      <c r="F1952" s="8" t="s">
        <v>11788</v>
      </c>
      <c r="G1952" s="6" t="s">
        <v>118</v>
      </c>
      <c r="H1952" s="6" t="s">
        <v>34</v>
      </c>
      <c r="I1952" s="8" t="s">
        <v>253</v>
      </c>
      <c r="J1952" s="9">
        <v>1</v>
      </c>
      <c r="K1952" s="9">
        <v>167</v>
      </c>
      <c r="L1952" s="9">
        <v>2026</v>
      </c>
      <c r="M1952" s="8" t="s">
        <v>11789</v>
      </c>
      <c r="N1952" s="8" t="s">
        <v>93</v>
      </c>
      <c r="O1952" s="8" t="s">
        <v>94</v>
      </c>
      <c r="P1952" s="6" t="s">
        <v>51</v>
      </c>
      <c r="Q1952" s="8" t="s">
        <v>500</v>
      </c>
      <c r="R1952" s="10" t="s">
        <v>11790</v>
      </c>
      <c r="S1952" s="11" t="s">
        <v>11791</v>
      </c>
      <c r="T1952" s="6"/>
      <c r="U1952" s="15" t="str">
        <f>HYPERLINK("https://media.infra-m.ru/2216/2216039/cover/2216039.jpg", "Обложка")</f>
        <v>Обложка</v>
      </c>
      <c r="V1952" s="8" t="s">
        <v>10430</v>
      </c>
      <c r="W1952" s="6"/>
      <c r="X1952" s="6"/>
      <c r="Y1952" s="6"/>
      <c r="Z1952" s="6"/>
      <c r="AA1952" s="6" t="s">
        <v>99</v>
      </c>
      <c r="AB1952" s="8"/>
      <c r="AC1952" s="27">
        <v>9785160211626</v>
      </c>
    </row>
    <row r="1953" spans="1:29" s="4" customFormat="1" ht="51.9" customHeight="1" x14ac:dyDescent="0.2">
      <c r="A1953" s="5">
        <v>0</v>
      </c>
      <c r="B1953" s="6" t="s">
        <v>11792</v>
      </c>
      <c r="C1953" s="13">
        <v>772.8</v>
      </c>
      <c r="D1953" s="8" t="s">
        <v>11793</v>
      </c>
      <c r="E1953" s="8" t="s">
        <v>11794</v>
      </c>
      <c r="F1953" s="8" t="s">
        <v>11795</v>
      </c>
      <c r="G1953" s="6" t="s">
        <v>33</v>
      </c>
      <c r="H1953" s="6" t="s">
        <v>34</v>
      </c>
      <c r="I1953" s="8" t="s">
        <v>35</v>
      </c>
      <c r="J1953" s="9">
        <v>1</v>
      </c>
      <c r="K1953" s="9">
        <v>118</v>
      </c>
      <c r="L1953" s="9">
        <v>2026</v>
      </c>
      <c r="M1953" s="8" t="s">
        <v>11796</v>
      </c>
      <c r="N1953" s="8" t="s">
        <v>37</v>
      </c>
      <c r="O1953" s="8" t="s">
        <v>280</v>
      </c>
      <c r="P1953" s="6" t="s">
        <v>39</v>
      </c>
      <c r="Q1953" s="8" t="s">
        <v>40</v>
      </c>
      <c r="R1953" s="10" t="s">
        <v>11797</v>
      </c>
      <c r="S1953" s="11"/>
      <c r="T1953" s="6"/>
      <c r="U1953" s="15" t="str">
        <f>HYPERLINK("https://media.infra-m.ru/2208/2208696/cover/2208696.jpg", "Обложка")</f>
        <v>Обложка</v>
      </c>
      <c r="V1953" s="8" t="s">
        <v>644</v>
      </c>
      <c r="W1953" s="6"/>
      <c r="X1953" s="6"/>
      <c r="Y1953" s="6"/>
      <c r="Z1953" s="6"/>
      <c r="AA1953" s="6" t="s">
        <v>86</v>
      </c>
      <c r="AB1953" s="8"/>
      <c r="AC1953" s="27">
        <v>9785160142692</v>
      </c>
    </row>
    <row r="1954" spans="1:29" s="4" customFormat="1" ht="44.1" customHeight="1" x14ac:dyDescent="0.2">
      <c r="A1954" s="5">
        <v>0</v>
      </c>
      <c r="B1954" s="6" t="s">
        <v>11798</v>
      </c>
      <c r="C1954" s="13">
        <v>616.79999999999995</v>
      </c>
      <c r="D1954" s="8" t="s">
        <v>11799</v>
      </c>
      <c r="E1954" s="8" t="s">
        <v>11800</v>
      </c>
      <c r="F1954" s="8" t="s">
        <v>11801</v>
      </c>
      <c r="G1954" s="6" t="s">
        <v>33</v>
      </c>
      <c r="H1954" s="6" t="s">
        <v>313</v>
      </c>
      <c r="I1954" s="8" t="s">
        <v>35</v>
      </c>
      <c r="J1954" s="9">
        <v>1</v>
      </c>
      <c r="K1954" s="9">
        <v>88</v>
      </c>
      <c r="L1954" s="9">
        <v>2026</v>
      </c>
      <c r="M1954" s="8" t="s">
        <v>11802</v>
      </c>
      <c r="N1954" s="8" t="s">
        <v>243</v>
      </c>
      <c r="O1954" s="8" t="s">
        <v>758</v>
      </c>
      <c r="P1954" s="6" t="s">
        <v>39</v>
      </c>
      <c r="Q1954" s="8" t="s">
        <v>749</v>
      </c>
      <c r="R1954" s="10" t="s">
        <v>11803</v>
      </c>
      <c r="S1954" s="11"/>
      <c r="T1954" s="6" t="s">
        <v>97</v>
      </c>
      <c r="U1954" s="15" t="str">
        <f>HYPERLINK("https://media.infra-m.ru/2185/2185358/cover/2185358.jpg", "Обложка")</f>
        <v>Обложка</v>
      </c>
      <c r="V1954" s="8" t="s">
        <v>11804</v>
      </c>
      <c r="W1954" s="6"/>
      <c r="X1954" s="6"/>
      <c r="Y1954" s="6"/>
      <c r="Z1954" s="6"/>
      <c r="AA1954" s="6" t="s">
        <v>779</v>
      </c>
      <c r="AB1954" s="8"/>
      <c r="AC1954" s="27">
        <v>9785369014295</v>
      </c>
    </row>
    <row r="1955" spans="1:29" s="4" customFormat="1" ht="51.9" customHeight="1" x14ac:dyDescent="0.2">
      <c r="A1955" s="5">
        <v>0</v>
      </c>
      <c r="B1955" s="6" t="s">
        <v>11805</v>
      </c>
      <c r="C1955" s="7">
        <v>2128.8000000000002</v>
      </c>
      <c r="D1955" s="8" t="s">
        <v>11806</v>
      </c>
      <c r="E1955" s="8" t="s">
        <v>11807</v>
      </c>
      <c r="F1955" s="8" t="s">
        <v>9047</v>
      </c>
      <c r="G1955" s="6" t="s">
        <v>60</v>
      </c>
      <c r="H1955" s="6" t="s">
        <v>241</v>
      </c>
      <c r="I1955" s="8"/>
      <c r="J1955" s="9">
        <v>1</v>
      </c>
      <c r="K1955" s="9">
        <v>342</v>
      </c>
      <c r="L1955" s="9">
        <v>2025</v>
      </c>
      <c r="M1955" s="8" t="s">
        <v>11808</v>
      </c>
      <c r="N1955" s="8" t="s">
        <v>37</v>
      </c>
      <c r="O1955" s="8" t="s">
        <v>233</v>
      </c>
      <c r="P1955" s="6" t="s">
        <v>51</v>
      </c>
      <c r="Q1955" s="8" t="s">
        <v>52</v>
      </c>
      <c r="R1955" s="10" t="s">
        <v>11809</v>
      </c>
      <c r="S1955" s="11" t="s">
        <v>11810</v>
      </c>
      <c r="T1955" s="6"/>
      <c r="U1955" s="15" t="str">
        <f>HYPERLINK("https://media.infra-m.ru/2196/2196885/cover/2196885.jpg", "Обложка")</f>
        <v>Обложка</v>
      </c>
      <c r="V1955" s="8" t="s">
        <v>657</v>
      </c>
      <c r="W1955" s="6"/>
      <c r="X1955" s="6"/>
      <c r="Y1955" s="6"/>
      <c r="Z1955" s="6"/>
      <c r="AA1955" s="6" t="s">
        <v>129</v>
      </c>
      <c r="AB1955" s="8"/>
      <c r="AC1955" s="27">
        <v>9785955801872</v>
      </c>
    </row>
    <row r="1956" spans="1:29" s="4" customFormat="1" ht="51.9" customHeight="1" x14ac:dyDescent="0.2">
      <c r="A1956" s="5">
        <v>0</v>
      </c>
      <c r="B1956" s="6" t="s">
        <v>11811</v>
      </c>
      <c r="C1956" s="7">
        <v>1649.9</v>
      </c>
      <c r="D1956" s="8" t="s">
        <v>11812</v>
      </c>
      <c r="E1956" s="8" t="s">
        <v>11813</v>
      </c>
      <c r="F1956" s="8" t="s">
        <v>11814</v>
      </c>
      <c r="G1956" s="6" t="s">
        <v>60</v>
      </c>
      <c r="H1956" s="6" t="s">
        <v>1042</v>
      </c>
      <c r="I1956" s="8"/>
      <c r="J1956" s="9">
        <v>1</v>
      </c>
      <c r="K1956" s="9">
        <v>304</v>
      </c>
      <c r="L1956" s="9">
        <v>2023</v>
      </c>
      <c r="M1956" s="8" t="s">
        <v>11815</v>
      </c>
      <c r="N1956" s="8" t="s">
        <v>37</v>
      </c>
      <c r="O1956" s="8" t="s">
        <v>233</v>
      </c>
      <c r="P1956" s="6" t="s">
        <v>51</v>
      </c>
      <c r="Q1956" s="8" t="s">
        <v>52</v>
      </c>
      <c r="R1956" s="10" t="s">
        <v>11816</v>
      </c>
      <c r="S1956" s="11" t="s">
        <v>11817</v>
      </c>
      <c r="T1956" s="6"/>
      <c r="U1956" s="15" t="str">
        <f>HYPERLINK("https://media.infra-m.ru/2051/2051472/cover/2051472.jpg", "Обложка")</f>
        <v>Обложка</v>
      </c>
      <c r="V1956" s="8" t="s">
        <v>4892</v>
      </c>
      <c r="W1956" s="6"/>
      <c r="X1956" s="6"/>
      <c r="Y1956" s="6"/>
      <c r="Z1956" s="6"/>
      <c r="AA1956" s="6" t="s">
        <v>248</v>
      </c>
      <c r="AB1956" s="8"/>
      <c r="AC1956" s="27">
        <v>9785819905951</v>
      </c>
    </row>
    <row r="1957" spans="1:29" s="4" customFormat="1" ht="51.9" customHeight="1" x14ac:dyDescent="0.2">
      <c r="A1957" s="5">
        <v>0</v>
      </c>
      <c r="B1957" s="6" t="s">
        <v>11818</v>
      </c>
      <c r="C1957" s="7">
        <v>1156.8</v>
      </c>
      <c r="D1957" s="8" t="s">
        <v>11819</v>
      </c>
      <c r="E1957" s="8" t="s">
        <v>11820</v>
      </c>
      <c r="F1957" s="8" t="s">
        <v>11821</v>
      </c>
      <c r="G1957" s="6" t="s">
        <v>118</v>
      </c>
      <c r="H1957" s="6" t="s">
        <v>1795</v>
      </c>
      <c r="I1957" s="8" t="s">
        <v>4073</v>
      </c>
      <c r="J1957" s="9">
        <v>1</v>
      </c>
      <c r="K1957" s="9">
        <v>208</v>
      </c>
      <c r="L1957" s="9">
        <v>2023</v>
      </c>
      <c r="M1957" s="8" t="s">
        <v>11822</v>
      </c>
      <c r="N1957" s="8" t="s">
        <v>37</v>
      </c>
      <c r="O1957" s="8" t="s">
        <v>233</v>
      </c>
      <c r="P1957" s="6" t="s">
        <v>51</v>
      </c>
      <c r="Q1957" s="8" t="s">
        <v>52</v>
      </c>
      <c r="R1957" s="10" t="s">
        <v>3679</v>
      </c>
      <c r="S1957" s="11" t="s">
        <v>11823</v>
      </c>
      <c r="T1957" s="6"/>
      <c r="U1957" s="15" t="str">
        <f>HYPERLINK("https://media.infra-m.ru/1911/1911207/cover/1911207.jpg", "Обложка")</f>
        <v>Обложка</v>
      </c>
      <c r="V1957" s="8" t="s">
        <v>247</v>
      </c>
      <c r="W1957" s="6"/>
      <c r="X1957" s="6"/>
      <c r="Y1957" s="6"/>
      <c r="Z1957" s="6"/>
      <c r="AA1957" s="6" t="s">
        <v>274</v>
      </c>
      <c r="AB1957" s="8"/>
      <c r="AC1957" s="27">
        <v>9785982814036</v>
      </c>
    </row>
    <row r="1958" spans="1:29" s="4" customFormat="1" ht="51.9" customHeight="1" x14ac:dyDescent="0.2">
      <c r="A1958" s="5">
        <v>0</v>
      </c>
      <c r="B1958" s="6" t="s">
        <v>11824</v>
      </c>
      <c r="C1958" s="7">
        <v>1308</v>
      </c>
      <c r="D1958" s="8" t="s">
        <v>11825</v>
      </c>
      <c r="E1958" s="8" t="s">
        <v>11813</v>
      </c>
      <c r="F1958" s="8" t="s">
        <v>11826</v>
      </c>
      <c r="G1958" s="6" t="s">
        <v>118</v>
      </c>
      <c r="H1958" s="6" t="s">
        <v>34</v>
      </c>
      <c r="I1958" s="8" t="s">
        <v>1753</v>
      </c>
      <c r="J1958" s="9">
        <v>1</v>
      </c>
      <c r="K1958" s="9">
        <v>217</v>
      </c>
      <c r="L1958" s="9">
        <v>2025</v>
      </c>
      <c r="M1958" s="8" t="s">
        <v>11827</v>
      </c>
      <c r="N1958" s="8" t="s">
        <v>37</v>
      </c>
      <c r="O1958" s="8" t="s">
        <v>280</v>
      </c>
      <c r="P1958" s="6" t="s">
        <v>306</v>
      </c>
      <c r="Q1958" s="8" t="s">
        <v>500</v>
      </c>
      <c r="R1958" s="10" t="s">
        <v>4075</v>
      </c>
      <c r="S1958" s="11" t="s">
        <v>11828</v>
      </c>
      <c r="T1958" s="6"/>
      <c r="U1958" s="15" t="str">
        <f>HYPERLINK("https://media.infra-m.ru/2161/2161672/cover/2161672.jpg", "Обложка")</f>
        <v>Обложка</v>
      </c>
      <c r="V1958" s="8" t="s">
        <v>247</v>
      </c>
      <c r="W1958" s="6"/>
      <c r="X1958" s="6"/>
      <c r="Y1958" s="6"/>
      <c r="Z1958" s="6"/>
      <c r="AA1958" s="6" t="s">
        <v>115</v>
      </c>
      <c r="AB1958" s="8"/>
      <c r="AC1958" s="27">
        <v>9785160168951</v>
      </c>
    </row>
    <row r="1959" spans="1:29" s="4" customFormat="1" ht="42" customHeight="1" x14ac:dyDescent="0.2">
      <c r="A1959" s="5">
        <v>0</v>
      </c>
      <c r="B1959" s="6" t="s">
        <v>11829</v>
      </c>
      <c r="C1959" s="7">
        <v>3072</v>
      </c>
      <c r="D1959" s="8" t="s">
        <v>11830</v>
      </c>
      <c r="E1959" s="8" t="s">
        <v>11831</v>
      </c>
      <c r="F1959" s="8" t="s">
        <v>11832</v>
      </c>
      <c r="G1959" s="6" t="s">
        <v>60</v>
      </c>
      <c r="H1959" s="6" t="s">
        <v>1644</v>
      </c>
      <c r="I1959" s="8"/>
      <c r="J1959" s="9">
        <v>1</v>
      </c>
      <c r="K1959" s="9">
        <v>568</v>
      </c>
      <c r="L1959" s="9">
        <v>2023</v>
      </c>
      <c r="M1959" s="8" t="s">
        <v>11833</v>
      </c>
      <c r="N1959" s="8" t="s">
        <v>37</v>
      </c>
      <c r="O1959" s="8" t="s">
        <v>280</v>
      </c>
      <c r="P1959" s="6" t="s">
        <v>306</v>
      </c>
      <c r="Q1959" s="8" t="s">
        <v>65</v>
      </c>
      <c r="R1959" s="10" t="s">
        <v>11834</v>
      </c>
      <c r="S1959" s="11"/>
      <c r="T1959" s="6" t="s">
        <v>97</v>
      </c>
      <c r="U1959" s="15" t="str">
        <f>HYPERLINK("https://media.infra-m.ru/1905/1905069/cover/1905069.jpg", "Обложка")</f>
        <v>Обложка</v>
      </c>
      <c r="V1959" s="8" t="s">
        <v>1647</v>
      </c>
      <c r="W1959" s="6"/>
      <c r="X1959" s="6"/>
      <c r="Y1959" s="6"/>
      <c r="Z1959" s="6"/>
      <c r="AA1959" s="6" t="s">
        <v>115</v>
      </c>
      <c r="AB1959" s="8"/>
      <c r="AC1959" s="27">
        <v>9785977605045</v>
      </c>
    </row>
    <row r="1960" spans="1:29" s="4" customFormat="1" ht="51.9" customHeight="1" x14ac:dyDescent="0.2">
      <c r="A1960" s="5">
        <v>0</v>
      </c>
      <c r="B1960" s="6" t="s">
        <v>11835</v>
      </c>
      <c r="C1960" s="7">
        <v>1480.8</v>
      </c>
      <c r="D1960" s="8" t="s">
        <v>11836</v>
      </c>
      <c r="E1960" s="8" t="s">
        <v>11837</v>
      </c>
      <c r="F1960" s="8" t="s">
        <v>11838</v>
      </c>
      <c r="G1960" s="6" t="s">
        <v>33</v>
      </c>
      <c r="H1960" s="6" t="s">
        <v>1644</v>
      </c>
      <c r="I1960" s="8"/>
      <c r="J1960" s="9">
        <v>1</v>
      </c>
      <c r="K1960" s="9">
        <v>224</v>
      </c>
      <c r="L1960" s="9">
        <v>2026</v>
      </c>
      <c r="M1960" s="8" t="s">
        <v>11839</v>
      </c>
      <c r="N1960" s="8" t="s">
        <v>37</v>
      </c>
      <c r="O1960" s="8" t="s">
        <v>280</v>
      </c>
      <c r="P1960" s="6" t="s">
        <v>39</v>
      </c>
      <c r="Q1960" s="8" t="s">
        <v>40</v>
      </c>
      <c r="R1960" s="10" t="s">
        <v>11840</v>
      </c>
      <c r="S1960" s="11"/>
      <c r="T1960" s="6"/>
      <c r="U1960" s="15" t="str">
        <f>HYPERLINK("https://media.infra-m.ru/2227/2227860/cover/2227860.jpg", "Обложка")</f>
        <v>Обложка</v>
      </c>
      <c r="V1960" s="8" t="s">
        <v>4448</v>
      </c>
      <c r="W1960" s="6"/>
      <c r="X1960" s="6"/>
      <c r="Y1960" s="6"/>
      <c r="Z1960" s="6"/>
      <c r="AA1960" s="6" t="s">
        <v>55</v>
      </c>
      <c r="AB1960" s="8"/>
      <c r="AC1960" s="27">
        <v>9785977602792</v>
      </c>
    </row>
    <row r="1961" spans="1:29" s="4" customFormat="1" ht="51.9" customHeight="1" x14ac:dyDescent="0.2">
      <c r="A1961" s="5">
        <v>0</v>
      </c>
      <c r="B1961" s="6" t="s">
        <v>11841</v>
      </c>
      <c r="C1961" s="7">
        <v>3888</v>
      </c>
      <c r="D1961" s="8" t="s">
        <v>11842</v>
      </c>
      <c r="E1961" s="8" t="s">
        <v>11843</v>
      </c>
      <c r="F1961" s="8" t="s">
        <v>11844</v>
      </c>
      <c r="G1961" s="6" t="s">
        <v>60</v>
      </c>
      <c r="H1961" s="6" t="s">
        <v>34</v>
      </c>
      <c r="I1961" s="8" t="s">
        <v>35</v>
      </c>
      <c r="J1961" s="9">
        <v>1</v>
      </c>
      <c r="K1961" s="9">
        <v>624</v>
      </c>
      <c r="L1961" s="9">
        <v>2026</v>
      </c>
      <c r="M1961" s="8" t="s">
        <v>11845</v>
      </c>
      <c r="N1961" s="8" t="s">
        <v>37</v>
      </c>
      <c r="O1961" s="8" t="s">
        <v>280</v>
      </c>
      <c r="P1961" s="6" t="s">
        <v>39</v>
      </c>
      <c r="Q1961" s="8" t="s">
        <v>40</v>
      </c>
      <c r="R1961" s="10" t="s">
        <v>11846</v>
      </c>
      <c r="S1961" s="11"/>
      <c r="T1961" s="6"/>
      <c r="U1961" s="15" t="str">
        <f>HYPERLINK("https://media.infra-m.ru/2215/2215527/cover/2215527.jpg", "Обложка")</f>
        <v>Обложка</v>
      </c>
      <c r="V1961" s="8" t="s">
        <v>396</v>
      </c>
      <c r="W1961" s="6"/>
      <c r="X1961" s="6"/>
      <c r="Y1961" s="6"/>
      <c r="Z1961" s="6"/>
      <c r="AA1961" s="6" t="s">
        <v>561</v>
      </c>
      <c r="AB1961" s="8"/>
      <c r="AC1961" s="27">
        <v>9785160036496</v>
      </c>
    </row>
    <row r="1962" spans="1:29" s="4" customFormat="1" ht="51.9" customHeight="1" x14ac:dyDescent="0.2">
      <c r="A1962" s="5">
        <v>0</v>
      </c>
      <c r="B1962" s="6" t="s">
        <v>11847</v>
      </c>
      <c r="C1962" s="7">
        <v>3744</v>
      </c>
      <c r="D1962" s="8" t="s">
        <v>11848</v>
      </c>
      <c r="E1962" s="8" t="s">
        <v>11843</v>
      </c>
      <c r="F1962" s="8" t="s">
        <v>11844</v>
      </c>
      <c r="G1962" s="6" t="s">
        <v>33</v>
      </c>
      <c r="H1962" s="6" t="s">
        <v>34</v>
      </c>
      <c r="I1962" s="8" t="s">
        <v>35</v>
      </c>
      <c r="J1962" s="9">
        <v>1</v>
      </c>
      <c r="K1962" s="9">
        <v>624</v>
      </c>
      <c r="L1962" s="9">
        <v>2025</v>
      </c>
      <c r="M1962" s="8" t="s">
        <v>11849</v>
      </c>
      <c r="N1962" s="8" t="s">
        <v>37</v>
      </c>
      <c r="O1962" s="8" t="s">
        <v>280</v>
      </c>
      <c r="P1962" s="6" t="s">
        <v>39</v>
      </c>
      <c r="Q1962" s="8" t="s">
        <v>40</v>
      </c>
      <c r="R1962" s="10" t="s">
        <v>11846</v>
      </c>
      <c r="S1962" s="11"/>
      <c r="T1962" s="6"/>
      <c r="U1962" s="15" t="str">
        <f>HYPERLINK("https://media.infra-m.ru/2185/2185314/cover/2185314.jpg", "Обложка")</f>
        <v>Обложка</v>
      </c>
      <c r="V1962" s="8" t="s">
        <v>396</v>
      </c>
      <c r="W1962" s="6"/>
      <c r="X1962" s="6"/>
      <c r="Y1962" s="6"/>
      <c r="Z1962" s="6"/>
      <c r="AA1962" s="6" t="s">
        <v>561</v>
      </c>
      <c r="AB1962" s="8"/>
      <c r="AC1962" s="27">
        <v>9785160208893</v>
      </c>
    </row>
    <row r="1963" spans="1:29" s="4" customFormat="1" ht="42" customHeight="1" x14ac:dyDescent="0.2">
      <c r="A1963" s="5">
        <v>0</v>
      </c>
      <c r="B1963" s="6" t="s">
        <v>11850</v>
      </c>
      <c r="C1963" s="7">
        <v>1512</v>
      </c>
      <c r="D1963" s="8" t="s">
        <v>11851</v>
      </c>
      <c r="E1963" s="8" t="s">
        <v>11852</v>
      </c>
      <c r="F1963" s="8" t="s">
        <v>11853</v>
      </c>
      <c r="G1963" s="6" t="s">
        <v>33</v>
      </c>
      <c r="H1963" s="6" t="s">
        <v>34</v>
      </c>
      <c r="I1963" s="8"/>
      <c r="J1963" s="9">
        <v>1</v>
      </c>
      <c r="K1963" s="9">
        <v>268</v>
      </c>
      <c r="L1963" s="9">
        <v>2024</v>
      </c>
      <c r="M1963" s="8" t="s">
        <v>11854</v>
      </c>
      <c r="N1963" s="8" t="s">
        <v>37</v>
      </c>
      <c r="O1963" s="8" t="s">
        <v>233</v>
      </c>
      <c r="P1963" s="6" t="s">
        <v>39</v>
      </c>
      <c r="Q1963" s="8" t="s">
        <v>40</v>
      </c>
      <c r="R1963" s="10" t="s">
        <v>11855</v>
      </c>
      <c r="S1963" s="11"/>
      <c r="T1963" s="6"/>
      <c r="U1963" s="15" t="str">
        <f>HYPERLINK("https://media.infra-m.ru/2113/2113843/cover/2113843.jpg", "Обложка")</f>
        <v>Обложка</v>
      </c>
      <c r="V1963" s="8" t="s">
        <v>11856</v>
      </c>
      <c r="W1963" s="6"/>
      <c r="X1963" s="6"/>
      <c r="Y1963" s="6"/>
      <c r="Z1963" s="6"/>
      <c r="AA1963" s="6" t="s">
        <v>86</v>
      </c>
      <c r="AB1963" s="8"/>
      <c r="AC1963" s="27">
        <v>9785160163451</v>
      </c>
    </row>
    <row r="1964" spans="1:29" s="4" customFormat="1" ht="33" customHeight="1" x14ac:dyDescent="0.2">
      <c r="A1964" s="5">
        <v>0</v>
      </c>
      <c r="B1964" s="6" t="s">
        <v>11857</v>
      </c>
      <c r="C1964" s="7">
        <v>1032</v>
      </c>
      <c r="D1964" s="8" t="s">
        <v>11858</v>
      </c>
      <c r="E1964" s="8" t="s">
        <v>11852</v>
      </c>
      <c r="F1964" s="8" t="s">
        <v>11853</v>
      </c>
      <c r="G1964" s="6" t="s">
        <v>60</v>
      </c>
      <c r="H1964" s="6" t="s">
        <v>34</v>
      </c>
      <c r="I1964" s="8"/>
      <c r="J1964" s="9">
        <v>1</v>
      </c>
      <c r="K1964" s="9">
        <v>268</v>
      </c>
      <c r="L1964" s="9">
        <v>2018</v>
      </c>
      <c r="M1964" s="8" t="s">
        <v>11859</v>
      </c>
      <c r="N1964" s="8" t="s">
        <v>37</v>
      </c>
      <c r="O1964" s="8" t="s">
        <v>290</v>
      </c>
      <c r="P1964" s="6" t="s">
        <v>39</v>
      </c>
      <c r="Q1964" s="8" t="s">
        <v>40</v>
      </c>
      <c r="R1964" s="10" t="s">
        <v>11855</v>
      </c>
      <c r="S1964" s="11"/>
      <c r="T1964" s="6"/>
      <c r="U1964" s="12"/>
      <c r="V1964" s="8" t="s">
        <v>11856</v>
      </c>
      <c r="W1964" s="6"/>
      <c r="X1964" s="6"/>
      <c r="Y1964" s="6"/>
      <c r="Z1964" s="6"/>
      <c r="AA1964" s="6" t="s">
        <v>86</v>
      </c>
      <c r="AB1964" s="8"/>
      <c r="AC1964" s="27">
        <v>9785160140766</v>
      </c>
    </row>
    <row r="1965" spans="1:29" s="4" customFormat="1" ht="51.9" customHeight="1" x14ac:dyDescent="0.2">
      <c r="A1965" s="5">
        <v>0</v>
      </c>
      <c r="B1965" s="6" t="s">
        <v>11860</v>
      </c>
      <c r="C1965" s="7">
        <v>1308</v>
      </c>
      <c r="D1965" s="8" t="s">
        <v>11861</v>
      </c>
      <c r="E1965" s="8" t="s">
        <v>11862</v>
      </c>
      <c r="F1965" s="8" t="s">
        <v>11863</v>
      </c>
      <c r="G1965" s="6" t="s">
        <v>118</v>
      </c>
      <c r="H1965" s="6" t="s">
        <v>34</v>
      </c>
      <c r="I1965" s="8" t="s">
        <v>253</v>
      </c>
      <c r="J1965" s="9">
        <v>1</v>
      </c>
      <c r="K1965" s="9">
        <v>189</v>
      </c>
      <c r="L1965" s="9">
        <v>2026</v>
      </c>
      <c r="M1965" s="8" t="s">
        <v>11864</v>
      </c>
      <c r="N1965" s="8" t="s">
        <v>93</v>
      </c>
      <c r="O1965" s="8" t="s">
        <v>94</v>
      </c>
      <c r="P1965" s="6" t="s">
        <v>3141</v>
      </c>
      <c r="Q1965" s="8" t="s">
        <v>40</v>
      </c>
      <c r="R1965" s="10" t="s">
        <v>11865</v>
      </c>
      <c r="S1965" s="11"/>
      <c r="T1965" s="6"/>
      <c r="U1965" s="15" t="str">
        <f>HYPERLINK("https://media.infra-m.ru/2215/2215344/cover/2215344.jpg", "Обложка")</f>
        <v>Обложка</v>
      </c>
      <c r="V1965" s="8" t="s">
        <v>6059</v>
      </c>
      <c r="W1965" s="6"/>
      <c r="X1965" s="6"/>
      <c r="Y1965" s="6"/>
      <c r="Z1965" s="6"/>
      <c r="AA1965" s="6" t="s">
        <v>274</v>
      </c>
      <c r="AB1965" s="8"/>
      <c r="AC1965" s="27">
        <v>9785160211879</v>
      </c>
    </row>
    <row r="1966" spans="1:29" s="4" customFormat="1" ht="51.9" customHeight="1" x14ac:dyDescent="0.2">
      <c r="A1966" s="5">
        <v>0</v>
      </c>
      <c r="B1966" s="6" t="s">
        <v>11866</v>
      </c>
      <c r="C1966" s="7">
        <v>1084.8</v>
      </c>
      <c r="D1966" s="8" t="s">
        <v>11867</v>
      </c>
      <c r="E1966" s="8" t="s">
        <v>11868</v>
      </c>
      <c r="F1966" s="8" t="s">
        <v>11869</v>
      </c>
      <c r="G1966" s="6" t="s">
        <v>118</v>
      </c>
      <c r="H1966" s="6" t="s">
        <v>34</v>
      </c>
      <c r="I1966" s="8" t="s">
        <v>35</v>
      </c>
      <c r="J1966" s="9">
        <v>1</v>
      </c>
      <c r="K1966" s="9">
        <v>165</v>
      </c>
      <c r="L1966" s="9">
        <v>2026</v>
      </c>
      <c r="M1966" s="8" t="s">
        <v>11870</v>
      </c>
      <c r="N1966" s="8" t="s">
        <v>93</v>
      </c>
      <c r="O1966" s="8" t="s">
        <v>94</v>
      </c>
      <c r="P1966" s="6" t="s">
        <v>39</v>
      </c>
      <c r="Q1966" s="8" t="s">
        <v>40</v>
      </c>
      <c r="R1966" s="10" t="s">
        <v>11871</v>
      </c>
      <c r="S1966" s="11"/>
      <c r="T1966" s="6"/>
      <c r="U1966" s="15" t="str">
        <f>HYPERLINK("https://media.infra-m.ru/2216/2216858/cover/2216858.jpg", "Обложка")</f>
        <v>Обложка</v>
      </c>
      <c r="V1966" s="8" t="s">
        <v>54</v>
      </c>
      <c r="W1966" s="6"/>
      <c r="X1966" s="6"/>
      <c r="Y1966" s="6"/>
      <c r="Z1966" s="6"/>
      <c r="AA1966" s="6" t="s">
        <v>99</v>
      </c>
      <c r="AB1966" s="8"/>
      <c r="AC1966" s="27">
        <v>9785160126968</v>
      </c>
    </row>
    <row r="1967" spans="1:29" s="4" customFormat="1" ht="44.1" customHeight="1" x14ac:dyDescent="0.2">
      <c r="A1967" s="5">
        <v>0</v>
      </c>
      <c r="B1967" s="6" t="s">
        <v>11872</v>
      </c>
      <c r="C1967" s="7">
        <v>1704</v>
      </c>
      <c r="D1967" s="8" t="s">
        <v>11873</v>
      </c>
      <c r="E1967" s="8" t="s">
        <v>11874</v>
      </c>
      <c r="F1967" s="8" t="s">
        <v>11875</v>
      </c>
      <c r="G1967" s="6" t="s">
        <v>60</v>
      </c>
      <c r="H1967" s="6" t="s">
        <v>34</v>
      </c>
      <c r="I1967" s="8" t="s">
        <v>304</v>
      </c>
      <c r="J1967" s="9">
        <v>1</v>
      </c>
      <c r="K1967" s="9">
        <v>230</v>
      </c>
      <c r="L1967" s="9">
        <v>2026</v>
      </c>
      <c r="M1967" s="8" t="s">
        <v>11876</v>
      </c>
      <c r="N1967" s="8" t="s">
        <v>37</v>
      </c>
      <c r="O1967" s="8" t="s">
        <v>499</v>
      </c>
      <c r="P1967" s="6" t="s">
        <v>306</v>
      </c>
      <c r="Q1967" s="8" t="s">
        <v>500</v>
      </c>
      <c r="R1967" s="10" t="s">
        <v>11877</v>
      </c>
      <c r="S1967" s="11"/>
      <c r="T1967" s="6"/>
      <c r="U1967" s="15" t="str">
        <f>HYPERLINK("https://media.infra-m.ru/2216/2216458/cover/2216458.jpg", "Обложка")</f>
        <v>Обложка</v>
      </c>
      <c r="V1967" s="8" t="s">
        <v>396</v>
      </c>
      <c r="W1967" s="6" t="s">
        <v>351</v>
      </c>
      <c r="X1967" s="6"/>
      <c r="Y1967" s="6"/>
      <c r="Z1967" s="6"/>
      <c r="AA1967" s="6" t="s">
        <v>187</v>
      </c>
      <c r="AB1967" s="8" t="s">
        <v>11878</v>
      </c>
      <c r="AC1967" s="27">
        <v>9785160211688</v>
      </c>
    </row>
    <row r="1968" spans="1:29" s="4" customFormat="1" ht="51.9" customHeight="1" x14ac:dyDescent="0.2">
      <c r="A1968" s="5">
        <v>0</v>
      </c>
      <c r="B1968" s="6" t="s">
        <v>11879</v>
      </c>
      <c r="C1968" s="13">
        <v>881.9</v>
      </c>
      <c r="D1968" s="8" t="s">
        <v>11880</v>
      </c>
      <c r="E1968" s="8" t="s">
        <v>11881</v>
      </c>
      <c r="F1968" s="8" t="s">
        <v>11882</v>
      </c>
      <c r="G1968" s="6" t="s">
        <v>60</v>
      </c>
      <c r="H1968" s="6" t="s">
        <v>34</v>
      </c>
      <c r="I1968" s="8" t="s">
        <v>271</v>
      </c>
      <c r="J1968" s="9">
        <v>1</v>
      </c>
      <c r="K1968" s="9">
        <v>192</v>
      </c>
      <c r="L1968" s="9">
        <v>2022</v>
      </c>
      <c r="M1968" s="8" t="s">
        <v>11883</v>
      </c>
      <c r="N1968" s="8" t="s">
        <v>37</v>
      </c>
      <c r="O1968" s="8" t="s">
        <v>280</v>
      </c>
      <c r="P1968" s="6" t="s">
        <v>51</v>
      </c>
      <c r="Q1968" s="8" t="s">
        <v>52</v>
      </c>
      <c r="R1968" s="10" t="s">
        <v>11884</v>
      </c>
      <c r="S1968" s="11" t="s">
        <v>11885</v>
      </c>
      <c r="T1968" s="6"/>
      <c r="U1968" s="15" t="str">
        <f>HYPERLINK("https://media.infra-m.ru/1817/1817962/cover/1817962.jpg", "Обложка")</f>
        <v>Обложка</v>
      </c>
      <c r="V1968" s="8" t="s">
        <v>1030</v>
      </c>
      <c r="W1968" s="6"/>
      <c r="X1968" s="6"/>
      <c r="Y1968" s="6"/>
      <c r="Z1968" s="6"/>
      <c r="AA1968" s="6" t="s">
        <v>274</v>
      </c>
      <c r="AB1968" s="8"/>
      <c r="AC1968" s="27">
        <v>9785160106588</v>
      </c>
    </row>
    <row r="1969" spans="1:29" s="4" customFormat="1" ht="42" customHeight="1" x14ac:dyDescent="0.2">
      <c r="A1969" s="5">
        <v>0</v>
      </c>
      <c r="B1969" s="6" t="s">
        <v>11886</v>
      </c>
      <c r="C1969" s="7">
        <v>1476</v>
      </c>
      <c r="D1969" s="8" t="s">
        <v>11887</v>
      </c>
      <c r="E1969" s="8" t="s">
        <v>11888</v>
      </c>
      <c r="F1969" s="8" t="s">
        <v>11889</v>
      </c>
      <c r="G1969" s="6" t="s">
        <v>60</v>
      </c>
      <c r="H1969" s="6" t="s">
        <v>34</v>
      </c>
      <c r="I1969" s="8" t="s">
        <v>35</v>
      </c>
      <c r="J1969" s="9">
        <v>1</v>
      </c>
      <c r="K1969" s="9">
        <v>216</v>
      </c>
      <c r="L1969" s="9">
        <v>2025</v>
      </c>
      <c r="M1969" s="8" t="s">
        <v>11890</v>
      </c>
      <c r="N1969" s="8" t="s">
        <v>37</v>
      </c>
      <c r="O1969" s="8" t="s">
        <v>136</v>
      </c>
      <c r="P1969" s="6" t="s">
        <v>39</v>
      </c>
      <c r="Q1969" s="8" t="s">
        <v>40</v>
      </c>
      <c r="R1969" s="10" t="s">
        <v>1804</v>
      </c>
      <c r="S1969" s="11"/>
      <c r="T1969" s="6"/>
      <c r="U1969" s="15" t="str">
        <f>HYPERLINK("https://media.infra-m.ru/2186/2186797/cover/2186797.jpg", "Обложка")</f>
        <v>Обложка</v>
      </c>
      <c r="V1969" s="8" t="s">
        <v>1339</v>
      </c>
      <c r="W1969" s="6"/>
      <c r="X1969" s="6"/>
      <c r="Y1969" s="6"/>
      <c r="Z1969" s="6"/>
      <c r="AA1969" s="6" t="s">
        <v>68</v>
      </c>
      <c r="AB1969" s="8"/>
      <c r="AC1969" s="27">
        <v>9785160206363</v>
      </c>
    </row>
    <row r="1970" spans="1:29" s="4" customFormat="1" ht="51.9" customHeight="1" x14ac:dyDescent="0.2">
      <c r="A1970" s="5">
        <v>0</v>
      </c>
      <c r="B1970" s="6" t="s">
        <v>11891</v>
      </c>
      <c r="C1970" s="7">
        <v>1788</v>
      </c>
      <c r="D1970" s="8" t="s">
        <v>11892</v>
      </c>
      <c r="E1970" s="8" t="s">
        <v>11893</v>
      </c>
      <c r="F1970" s="8" t="s">
        <v>11894</v>
      </c>
      <c r="G1970" s="6" t="s">
        <v>33</v>
      </c>
      <c r="H1970" s="6" t="s">
        <v>34</v>
      </c>
      <c r="I1970" s="8" t="s">
        <v>35</v>
      </c>
      <c r="J1970" s="9">
        <v>1</v>
      </c>
      <c r="K1970" s="9">
        <v>177</v>
      </c>
      <c r="L1970" s="9">
        <v>2027</v>
      </c>
      <c r="M1970" s="8" t="s">
        <v>11895</v>
      </c>
      <c r="N1970" s="8" t="s">
        <v>243</v>
      </c>
      <c r="O1970" s="8" t="s">
        <v>758</v>
      </c>
      <c r="P1970" s="6" t="s">
        <v>39</v>
      </c>
      <c r="Q1970" s="8" t="s">
        <v>40</v>
      </c>
      <c r="R1970" s="10" t="s">
        <v>11896</v>
      </c>
      <c r="S1970" s="11"/>
      <c r="T1970" s="6"/>
      <c r="U1970" s="15" t="str">
        <f>HYPERLINK("https://media.infra-m.ru/2228/2228506/cover/2228506.jpg", "Обложка")</f>
        <v>Обложка</v>
      </c>
      <c r="V1970" s="8" t="s">
        <v>3177</v>
      </c>
      <c r="W1970" s="6" t="s">
        <v>649</v>
      </c>
      <c r="X1970" s="6"/>
      <c r="Y1970" s="6"/>
      <c r="Z1970" s="6"/>
      <c r="AA1970" s="6" t="s">
        <v>420</v>
      </c>
      <c r="AB1970" s="8" t="s">
        <v>4817</v>
      </c>
      <c r="AC1970" s="27">
        <v>9785160215143</v>
      </c>
    </row>
    <row r="1971" spans="1:29" s="4" customFormat="1" ht="42" customHeight="1" x14ac:dyDescent="0.2">
      <c r="A1971" s="5">
        <v>0</v>
      </c>
      <c r="B1971" s="6" t="s">
        <v>11897</v>
      </c>
      <c r="C1971" s="13">
        <v>696</v>
      </c>
      <c r="D1971" s="8" t="s">
        <v>11898</v>
      </c>
      <c r="E1971" s="8" t="s">
        <v>11899</v>
      </c>
      <c r="F1971" s="8" t="s">
        <v>11900</v>
      </c>
      <c r="G1971" s="6" t="s">
        <v>118</v>
      </c>
      <c r="H1971" s="6" t="s">
        <v>34</v>
      </c>
      <c r="I1971" s="8" t="s">
        <v>35</v>
      </c>
      <c r="J1971" s="9">
        <v>1</v>
      </c>
      <c r="K1971" s="9">
        <v>152</v>
      </c>
      <c r="L1971" s="9">
        <v>2022</v>
      </c>
      <c r="M1971" s="8" t="s">
        <v>11901</v>
      </c>
      <c r="N1971" s="8" t="s">
        <v>37</v>
      </c>
      <c r="O1971" s="8" t="s">
        <v>136</v>
      </c>
      <c r="P1971" s="6" t="s">
        <v>39</v>
      </c>
      <c r="Q1971" s="8" t="s">
        <v>40</v>
      </c>
      <c r="R1971" s="10" t="s">
        <v>11902</v>
      </c>
      <c r="S1971" s="11"/>
      <c r="T1971" s="6"/>
      <c r="U1971" s="15" t="str">
        <f>HYPERLINK("https://media.infra-m.ru/1843/1843182/cover/1843182.jpg", "Обложка")</f>
        <v>Обложка</v>
      </c>
      <c r="V1971" s="8" t="s">
        <v>227</v>
      </c>
      <c r="W1971" s="6"/>
      <c r="X1971" s="6"/>
      <c r="Y1971" s="6"/>
      <c r="Z1971" s="6"/>
      <c r="AA1971" s="6" t="s">
        <v>86</v>
      </c>
      <c r="AB1971" s="8"/>
      <c r="AC1971" s="27">
        <v>9785160134833</v>
      </c>
    </row>
    <row r="1972" spans="1:29" s="4" customFormat="1" ht="51.9" customHeight="1" x14ac:dyDescent="0.2">
      <c r="A1972" s="5">
        <v>0</v>
      </c>
      <c r="B1972" s="6" t="s">
        <v>11903</v>
      </c>
      <c r="C1972" s="7">
        <v>1320</v>
      </c>
      <c r="D1972" s="8" t="s">
        <v>11904</v>
      </c>
      <c r="E1972" s="8" t="s">
        <v>11905</v>
      </c>
      <c r="F1972" s="8" t="s">
        <v>11906</v>
      </c>
      <c r="G1972" s="6" t="s">
        <v>118</v>
      </c>
      <c r="H1972" s="6" t="s">
        <v>34</v>
      </c>
      <c r="I1972" s="8" t="s">
        <v>253</v>
      </c>
      <c r="J1972" s="9">
        <v>1</v>
      </c>
      <c r="K1972" s="9">
        <v>237</v>
      </c>
      <c r="L1972" s="9">
        <v>2024</v>
      </c>
      <c r="M1972" s="8" t="s">
        <v>11907</v>
      </c>
      <c r="N1972" s="8" t="s">
        <v>37</v>
      </c>
      <c r="O1972" s="8" t="s">
        <v>499</v>
      </c>
      <c r="P1972" s="6" t="s">
        <v>306</v>
      </c>
      <c r="Q1972" s="8" t="s">
        <v>52</v>
      </c>
      <c r="R1972" s="10" t="s">
        <v>11908</v>
      </c>
      <c r="S1972" s="11" t="s">
        <v>11909</v>
      </c>
      <c r="T1972" s="6"/>
      <c r="U1972" s="15" t="str">
        <f>HYPERLINK("https://media.infra-m.ru/1904/1904861/cover/1904861.jpg", "Обложка")</f>
        <v>Обложка</v>
      </c>
      <c r="V1972" s="8" t="s">
        <v>4448</v>
      </c>
      <c r="W1972" s="6"/>
      <c r="X1972" s="6"/>
      <c r="Y1972" s="6"/>
      <c r="Z1972" s="6"/>
      <c r="AA1972" s="6" t="s">
        <v>43</v>
      </c>
      <c r="AB1972" s="8"/>
      <c r="AC1972" s="27">
        <v>9785160189321</v>
      </c>
    </row>
    <row r="1973" spans="1:29" s="4" customFormat="1" ht="51.9" customHeight="1" x14ac:dyDescent="0.2">
      <c r="A1973" s="5">
        <v>0</v>
      </c>
      <c r="B1973" s="6" t="s">
        <v>11910</v>
      </c>
      <c r="C1973" s="7">
        <v>2008.8</v>
      </c>
      <c r="D1973" s="8" t="s">
        <v>11911</v>
      </c>
      <c r="E1973" s="8" t="s">
        <v>11912</v>
      </c>
      <c r="F1973" s="8" t="s">
        <v>11913</v>
      </c>
      <c r="G1973" s="6" t="s">
        <v>60</v>
      </c>
      <c r="H1973" s="6" t="s">
        <v>820</v>
      </c>
      <c r="I1973" s="8"/>
      <c r="J1973" s="9">
        <v>1</v>
      </c>
      <c r="K1973" s="9">
        <v>364</v>
      </c>
      <c r="L1973" s="9">
        <v>2024</v>
      </c>
      <c r="M1973" s="8" t="s">
        <v>11914</v>
      </c>
      <c r="N1973" s="8" t="s">
        <v>37</v>
      </c>
      <c r="O1973" s="8" t="s">
        <v>280</v>
      </c>
      <c r="P1973" s="6" t="s">
        <v>306</v>
      </c>
      <c r="Q1973" s="8" t="s">
        <v>52</v>
      </c>
      <c r="R1973" s="10" t="s">
        <v>11915</v>
      </c>
      <c r="S1973" s="11" t="s">
        <v>11916</v>
      </c>
      <c r="T1973" s="6"/>
      <c r="U1973" s="15" t="str">
        <f>HYPERLINK("https://media.infra-m.ru/2102/2102727/cover/2102727.jpg", "Обложка")</f>
        <v>Обложка</v>
      </c>
      <c r="V1973" s="8" t="s">
        <v>1030</v>
      </c>
      <c r="W1973" s="6"/>
      <c r="X1973" s="6"/>
      <c r="Y1973" s="6"/>
      <c r="Z1973" s="6"/>
      <c r="AA1973" s="6" t="s">
        <v>274</v>
      </c>
      <c r="AB1973" s="8"/>
      <c r="AC1973" s="27">
        <v>9785905554278</v>
      </c>
    </row>
    <row r="1974" spans="1:29" s="4" customFormat="1" ht="44.1" customHeight="1" x14ac:dyDescent="0.2">
      <c r="A1974" s="5">
        <v>0</v>
      </c>
      <c r="B1974" s="6" t="s">
        <v>11917</v>
      </c>
      <c r="C1974" s="7">
        <v>1524</v>
      </c>
      <c r="D1974" s="8" t="s">
        <v>11918</v>
      </c>
      <c r="E1974" s="8" t="s">
        <v>11919</v>
      </c>
      <c r="F1974" s="8" t="s">
        <v>11920</v>
      </c>
      <c r="G1974" s="6" t="s">
        <v>60</v>
      </c>
      <c r="H1974" s="6" t="s">
        <v>34</v>
      </c>
      <c r="I1974" s="8" t="s">
        <v>504</v>
      </c>
      <c r="J1974" s="9">
        <v>1</v>
      </c>
      <c r="K1974" s="9">
        <v>263</v>
      </c>
      <c r="L1974" s="9">
        <v>2024</v>
      </c>
      <c r="M1974" s="8" t="s">
        <v>11921</v>
      </c>
      <c r="N1974" s="8" t="s">
        <v>37</v>
      </c>
      <c r="O1974" s="8" t="s">
        <v>280</v>
      </c>
      <c r="P1974" s="6" t="s">
        <v>306</v>
      </c>
      <c r="Q1974" s="8" t="s">
        <v>500</v>
      </c>
      <c r="R1974" s="10" t="s">
        <v>11922</v>
      </c>
      <c r="S1974" s="11"/>
      <c r="T1974" s="6"/>
      <c r="U1974" s="15" t="str">
        <f>HYPERLINK("https://media.infra-m.ru/1859/1859853/cover/1859853.jpg", "Обложка")</f>
        <v>Обложка</v>
      </c>
      <c r="V1974" s="8" t="s">
        <v>247</v>
      </c>
      <c r="W1974" s="6"/>
      <c r="X1974" s="6"/>
      <c r="Y1974" s="6"/>
      <c r="Z1974" s="6"/>
      <c r="AA1974" s="6" t="s">
        <v>76</v>
      </c>
      <c r="AB1974" s="8"/>
      <c r="AC1974" s="27">
        <v>9785160175188</v>
      </c>
    </row>
    <row r="1975" spans="1:29" s="4" customFormat="1" ht="42" customHeight="1" x14ac:dyDescent="0.2">
      <c r="A1975" s="5">
        <v>0</v>
      </c>
      <c r="B1975" s="6" t="s">
        <v>11923</v>
      </c>
      <c r="C1975" s="7">
        <v>1331.9</v>
      </c>
      <c r="D1975" s="8" t="s">
        <v>11924</v>
      </c>
      <c r="E1975" s="8" t="s">
        <v>11925</v>
      </c>
      <c r="F1975" s="8" t="s">
        <v>11926</v>
      </c>
      <c r="G1975" s="6" t="s">
        <v>60</v>
      </c>
      <c r="H1975" s="6" t="s">
        <v>313</v>
      </c>
      <c r="I1975" s="8" t="s">
        <v>392</v>
      </c>
      <c r="J1975" s="9">
        <v>10</v>
      </c>
      <c r="K1975" s="9">
        <v>380</v>
      </c>
      <c r="L1975" s="9">
        <v>2017</v>
      </c>
      <c r="M1975" s="8" t="s">
        <v>11927</v>
      </c>
      <c r="N1975" s="8" t="s">
        <v>37</v>
      </c>
      <c r="O1975" s="8" t="s">
        <v>280</v>
      </c>
      <c r="P1975" s="6" t="s">
        <v>306</v>
      </c>
      <c r="Q1975" s="8" t="s">
        <v>52</v>
      </c>
      <c r="R1975" s="10" t="s">
        <v>357</v>
      </c>
      <c r="S1975" s="11"/>
      <c r="T1975" s="6"/>
      <c r="U1975" s="15" t="str">
        <f>HYPERLINK("https://media.infra-m.ru/0560/0560966/cover/560966.jpg", "Обложка")</f>
        <v>Обложка</v>
      </c>
      <c r="V1975" s="8" t="s">
        <v>2095</v>
      </c>
      <c r="W1975" s="6"/>
      <c r="X1975" s="6"/>
      <c r="Y1975" s="6"/>
      <c r="Z1975" s="6"/>
      <c r="AA1975" s="6" t="s">
        <v>360</v>
      </c>
      <c r="AB1975" s="8"/>
      <c r="AC1975" s="27">
        <v>9785369015704</v>
      </c>
    </row>
    <row r="1976" spans="1:29" s="4" customFormat="1" ht="51.9" customHeight="1" x14ac:dyDescent="0.2">
      <c r="A1976" s="5">
        <v>0</v>
      </c>
      <c r="B1976" s="6" t="s">
        <v>11928</v>
      </c>
      <c r="C1976" s="7">
        <v>2140.8000000000002</v>
      </c>
      <c r="D1976" s="8" t="s">
        <v>11929</v>
      </c>
      <c r="E1976" s="8" t="s">
        <v>11930</v>
      </c>
      <c r="F1976" s="8" t="s">
        <v>11931</v>
      </c>
      <c r="G1976" s="6" t="s">
        <v>118</v>
      </c>
      <c r="H1976" s="6" t="s">
        <v>34</v>
      </c>
      <c r="I1976" s="8" t="s">
        <v>304</v>
      </c>
      <c r="J1976" s="9">
        <v>1</v>
      </c>
      <c r="K1976" s="9">
        <v>343</v>
      </c>
      <c r="L1976" s="9">
        <v>2026</v>
      </c>
      <c r="M1976" s="8" t="s">
        <v>11932</v>
      </c>
      <c r="N1976" s="8" t="s">
        <v>37</v>
      </c>
      <c r="O1976" s="8" t="s">
        <v>280</v>
      </c>
      <c r="P1976" s="6" t="s">
        <v>306</v>
      </c>
      <c r="Q1976" s="8" t="s">
        <v>52</v>
      </c>
      <c r="R1976" s="10" t="s">
        <v>2053</v>
      </c>
      <c r="S1976" s="11" t="s">
        <v>11933</v>
      </c>
      <c r="T1976" s="6"/>
      <c r="U1976" s="15" t="str">
        <f>HYPERLINK("https://media.infra-m.ru/2219/2219039/cover/2219039.jpg", "Обложка")</f>
        <v>Обложка</v>
      </c>
      <c r="V1976" s="8" t="s">
        <v>247</v>
      </c>
      <c r="W1976" s="6"/>
      <c r="X1976" s="6"/>
      <c r="Y1976" s="6"/>
      <c r="Z1976" s="6"/>
      <c r="AA1976" s="6" t="s">
        <v>115</v>
      </c>
      <c r="AB1976" s="8"/>
      <c r="AC1976" s="27">
        <v>9785160187242</v>
      </c>
    </row>
    <row r="1977" spans="1:29" s="4" customFormat="1" ht="51.9" customHeight="1" x14ac:dyDescent="0.2">
      <c r="A1977" s="5">
        <v>0</v>
      </c>
      <c r="B1977" s="6" t="s">
        <v>11934</v>
      </c>
      <c r="C1977" s="7">
        <v>1060.8</v>
      </c>
      <c r="D1977" s="8" t="s">
        <v>11935</v>
      </c>
      <c r="E1977" s="8" t="s">
        <v>11936</v>
      </c>
      <c r="F1977" s="8" t="s">
        <v>11937</v>
      </c>
      <c r="G1977" s="6" t="s">
        <v>33</v>
      </c>
      <c r="H1977" s="6" t="s">
        <v>34</v>
      </c>
      <c r="I1977" s="8" t="s">
        <v>271</v>
      </c>
      <c r="J1977" s="9">
        <v>1</v>
      </c>
      <c r="K1977" s="9">
        <v>191</v>
      </c>
      <c r="L1977" s="9">
        <v>2024</v>
      </c>
      <c r="M1977" s="8" t="s">
        <v>11938</v>
      </c>
      <c r="N1977" s="8" t="s">
        <v>37</v>
      </c>
      <c r="O1977" s="8" t="s">
        <v>280</v>
      </c>
      <c r="P1977" s="6" t="s">
        <v>51</v>
      </c>
      <c r="Q1977" s="8" t="s">
        <v>52</v>
      </c>
      <c r="R1977" s="10" t="s">
        <v>11939</v>
      </c>
      <c r="S1977" s="11" t="s">
        <v>11940</v>
      </c>
      <c r="T1977" s="6"/>
      <c r="U1977" s="15" t="str">
        <f>HYPERLINK("https://media.infra-m.ru/2053/2053972/cover/2053972.jpg", "Обложка")</f>
        <v>Обложка</v>
      </c>
      <c r="V1977" s="8" t="s">
        <v>227</v>
      </c>
      <c r="W1977" s="6"/>
      <c r="X1977" s="6"/>
      <c r="Y1977" s="6"/>
      <c r="Z1977" s="6"/>
      <c r="AA1977" s="6" t="s">
        <v>1037</v>
      </c>
      <c r="AB1977" s="8"/>
      <c r="AC1977" s="27">
        <v>9785160067308</v>
      </c>
    </row>
    <row r="1978" spans="1:29" s="4" customFormat="1" ht="51.9" customHeight="1" x14ac:dyDescent="0.2">
      <c r="A1978" s="5">
        <v>0</v>
      </c>
      <c r="B1978" s="6" t="s">
        <v>11941</v>
      </c>
      <c r="C1978" s="7">
        <v>1864.8</v>
      </c>
      <c r="D1978" s="8" t="s">
        <v>11942</v>
      </c>
      <c r="E1978" s="8" t="s">
        <v>11930</v>
      </c>
      <c r="F1978" s="8" t="s">
        <v>11943</v>
      </c>
      <c r="G1978" s="6" t="s">
        <v>60</v>
      </c>
      <c r="H1978" s="6" t="s">
        <v>34</v>
      </c>
      <c r="I1978" s="8" t="s">
        <v>271</v>
      </c>
      <c r="J1978" s="9">
        <v>1</v>
      </c>
      <c r="K1978" s="9">
        <v>311</v>
      </c>
      <c r="L1978" s="9">
        <v>2025</v>
      </c>
      <c r="M1978" s="8" t="s">
        <v>11944</v>
      </c>
      <c r="N1978" s="8" t="s">
        <v>37</v>
      </c>
      <c r="O1978" s="8" t="s">
        <v>280</v>
      </c>
      <c r="P1978" s="6" t="s">
        <v>51</v>
      </c>
      <c r="Q1978" s="8" t="s">
        <v>52</v>
      </c>
      <c r="R1978" s="10" t="s">
        <v>11945</v>
      </c>
      <c r="S1978" s="11" t="s">
        <v>11946</v>
      </c>
      <c r="T1978" s="6"/>
      <c r="U1978" s="15" t="str">
        <f>HYPERLINK("https://media.infra-m.ru/2188/2188760/cover/2188760.jpg", "Обложка")</f>
        <v>Обложка</v>
      </c>
      <c r="V1978" s="8" t="s">
        <v>1798</v>
      </c>
      <c r="W1978" s="6"/>
      <c r="X1978" s="6"/>
      <c r="Y1978" s="6"/>
      <c r="Z1978" s="6"/>
      <c r="AA1978" s="6" t="s">
        <v>43</v>
      </c>
      <c r="AB1978" s="8"/>
      <c r="AC1978" s="27">
        <v>9785160048703</v>
      </c>
    </row>
    <row r="1979" spans="1:29" s="4" customFormat="1" ht="51.9" customHeight="1" x14ac:dyDescent="0.2">
      <c r="A1979" s="5">
        <v>0</v>
      </c>
      <c r="B1979" s="6" t="s">
        <v>11947</v>
      </c>
      <c r="C1979" s="7">
        <v>1168.8</v>
      </c>
      <c r="D1979" s="8" t="s">
        <v>11948</v>
      </c>
      <c r="E1979" s="8" t="s">
        <v>11930</v>
      </c>
      <c r="F1979" s="8" t="s">
        <v>11949</v>
      </c>
      <c r="G1979" s="6" t="s">
        <v>60</v>
      </c>
      <c r="H1979" s="6" t="s">
        <v>34</v>
      </c>
      <c r="I1979" s="8" t="s">
        <v>271</v>
      </c>
      <c r="J1979" s="9">
        <v>1</v>
      </c>
      <c r="K1979" s="9">
        <v>184</v>
      </c>
      <c r="L1979" s="9">
        <v>2025</v>
      </c>
      <c r="M1979" s="8" t="s">
        <v>11950</v>
      </c>
      <c r="N1979" s="8" t="s">
        <v>37</v>
      </c>
      <c r="O1979" s="8" t="s">
        <v>280</v>
      </c>
      <c r="P1979" s="6" t="s">
        <v>51</v>
      </c>
      <c r="Q1979" s="8" t="s">
        <v>52</v>
      </c>
      <c r="R1979" s="10" t="s">
        <v>1503</v>
      </c>
      <c r="S1979" s="11" t="s">
        <v>11951</v>
      </c>
      <c r="T1979" s="6"/>
      <c r="U1979" s="15" t="str">
        <f>HYPERLINK("https://media.infra-m.ru/2196/2196445/cover/2196445.jpg", "Обложка")</f>
        <v>Обложка</v>
      </c>
      <c r="V1979" s="8" t="s">
        <v>657</v>
      </c>
      <c r="W1979" s="6"/>
      <c r="X1979" s="6"/>
      <c r="Y1979" s="6"/>
      <c r="Z1979" s="6"/>
      <c r="AA1979" s="6" t="s">
        <v>55</v>
      </c>
      <c r="AB1979" s="8"/>
      <c r="AC1979" s="27">
        <v>9785160067919</v>
      </c>
    </row>
    <row r="1980" spans="1:29" s="4" customFormat="1" ht="42" customHeight="1" x14ac:dyDescent="0.2">
      <c r="A1980" s="5">
        <v>0</v>
      </c>
      <c r="B1980" s="6" t="s">
        <v>11952</v>
      </c>
      <c r="C1980" s="13">
        <v>996</v>
      </c>
      <c r="D1980" s="8" t="s">
        <v>11953</v>
      </c>
      <c r="E1980" s="8" t="s">
        <v>11954</v>
      </c>
      <c r="F1980" s="8" t="s">
        <v>11955</v>
      </c>
      <c r="G1980" s="6" t="s">
        <v>33</v>
      </c>
      <c r="H1980" s="6" t="s">
        <v>34</v>
      </c>
      <c r="I1980" s="8" t="s">
        <v>35</v>
      </c>
      <c r="J1980" s="9">
        <v>1</v>
      </c>
      <c r="K1980" s="9">
        <v>168</v>
      </c>
      <c r="L1980" s="9">
        <v>2024</v>
      </c>
      <c r="M1980" s="8" t="s">
        <v>11956</v>
      </c>
      <c r="N1980" s="8" t="s">
        <v>37</v>
      </c>
      <c r="O1980" s="8" t="s">
        <v>280</v>
      </c>
      <c r="P1980" s="6" t="s">
        <v>39</v>
      </c>
      <c r="Q1980" s="8" t="s">
        <v>40</v>
      </c>
      <c r="R1980" s="10" t="s">
        <v>3832</v>
      </c>
      <c r="S1980" s="11"/>
      <c r="T1980" s="6"/>
      <c r="U1980" s="15" t="str">
        <f>HYPERLINK("https://media.infra-m.ru/2084/2084040/cover/2084040.jpg", "Обложка")</f>
        <v>Обложка</v>
      </c>
      <c r="V1980" s="8" t="s">
        <v>11957</v>
      </c>
      <c r="W1980" s="6"/>
      <c r="X1980" s="6"/>
      <c r="Y1980" s="6"/>
      <c r="Z1980" s="6"/>
      <c r="AA1980" s="6" t="s">
        <v>76</v>
      </c>
      <c r="AB1980" s="8"/>
      <c r="AC1980" s="27">
        <v>9785160190440</v>
      </c>
    </row>
    <row r="1981" spans="1:29" s="4" customFormat="1" ht="51.9" customHeight="1" x14ac:dyDescent="0.2">
      <c r="A1981" s="5">
        <v>0</v>
      </c>
      <c r="B1981" s="6" t="s">
        <v>11958</v>
      </c>
      <c r="C1981" s="7">
        <v>2178</v>
      </c>
      <c r="D1981" s="8" t="s">
        <v>11959</v>
      </c>
      <c r="E1981" s="8" t="s">
        <v>11960</v>
      </c>
      <c r="F1981" s="8" t="s">
        <v>11961</v>
      </c>
      <c r="G1981" s="6" t="s">
        <v>60</v>
      </c>
      <c r="H1981" s="6" t="s">
        <v>134</v>
      </c>
      <c r="I1981" s="8"/>
      <c r="J1981" s="9">
        <v>1</v>
      </c>
      <c r="K1981" s="9">
        <v>252</v>
      </c>
      <c r="L1981" s="9">
        <v>2026</v>
      </c>
      <c r="M1981" s="8" t="s">
        <v>11962</v>
      </c>
      <c r="N1981" s="8" t="s">
        <v>37</v>
      </c>
      <c r="O1981" s="8" t="s">
        <v>8119</v>
      </c>
      <c r="P1981" s="6" t="s">
        <v>51</v>
      </c>
      <c r="Q1981" s="8" t="s">
        <v>65</v>
      </c>
      <c r="R1981" s="10" t="s">
        <v>6914</v>
      </c>
      <c r="S1981" s="11"/>
      <c r="T1981" s="6"/>
      <c r="U1981" s="15" t="str">
        <f>HYPERLINK("https://media.infra-m.ru/2235/2235739/cover/2235739.jpg", "Обложка")</f>
        <v>Обложка</v>
      </c>
      <c r="V1981" s="8" t="s">
        <v>1184</v>
      </c>
      <c r="W1981" s="6"/>
      <c r="X1981" s="6"/>
      <c r="Y1981" s="6"/>
      <c r="Z1981" s="6"/>
      <c r="AA1981" s="6" t="s">
        <v>68</v>
      </c>
      <c r="AB1981" s="8"/>
      <c r="AC1981" s="27">
        <v>9785001564454</v>
      </c>
    </row>
    <row r="1982" spans="1:29" s="4" customFormat="1" ht="51.9" customHeight="1" x14ac:dyDescent="0.2">
      <c r="A1982" s="5">
        <v>0</v>
      </c>
      <c r="B1982" s="6" t="s">
        <v>11963</v>
      </c>
      <c r="C1982" s="7">
        <v>1468.8</v>
      </c>
      <c r="D1982" s="8" t="s">
        <v>11964</v>
      </c>
      <c r="E1982" s="8" t="s">
        <v>11965</v>
      </c>
      <c r="F1982" s="8" t="s">
        <v>11966</v>
      </c>
      <c r="G1982" s="6" t="s">
        <v>33</v>
      </c>
      <c r="H1982" s="6" t="s">
        <v>1042</v>
      </c>
      <c r="I1982" s="8"/>
      <c r="J1982" s="9">
        <v>1</v>
      </c>
      <c r="K1982" s="9">
        <v>272</v>
      </c>
      <c r="L1982" s="9">
        <v>2023</v>
      </c>
      <c r="M1982" s="8" t="s">
        <v>11967</v>
      </c>
      <c r="N1982" s="8" t="s">
        <v>37</v>
      </c>
      <c r="O1982" s="8" t="s">
        <v>499</v>
      </c>
      <c r="P1982" s="6" t="s">
        <v>39</v>
      </c>
      <c r="Q1982" s="8" t="s">
        <v>40</v>
      </c>
      <c r="R1982" s="10" t="s">
        <v>11968</v>
      </c>
      <c r="S1982" s="11"/>
      <c r="T1982" s="6"/>
      <c r="U1982" s="15" t="str">
        <f>HYPERLINK("https://media.infra-m.ru/1855/1855796/cover/1855796.jpg", "Обложка")</f>
        <v>Обложка</v>
      </c>
      <c r="V1982" s="8" t="s">
        <v>396</v>
      </c>
      <c r="W1982" s="6"/>
      <c r="X1982" s="6"/>
      <c r="Y1982" s="6"/>
      <c r="Z1982" s="6"/>
      <c r="AA1982" s="6" t="s">
        <v>859</v>
      </c>
      <c r="AB1982" s="8"/>
      <c r="AC1982" s="27">
        <v>9785819906064</v>
      </c>
    </row>
    <row r="1983" spans="1:29" s="4" customFormat="1" ht="51.9" customHeight="1" x14ac:dyDescent="0.2">
      <c r="A1983" s="5">
        <v>0</v>
      </c>
      <c r="B1983" s="6" t="s">
        <v>11969</v>
      </c>
      <c r="C1983" s="7">
        <v>2220</v>
      </c>
      <c r="D1983" s="8" t="s">
        <v>11970</v>
      </c>
      <c r="E1983" s="8" t="s">
        <v>11971</v>
      </c>
      <c r="F1983" s="8" t="s">
        <v>11972</v>
      </c>
      <c r="G1983" s="6" t="s">
        <v>118</v>
      </c>
      <c r="H1983" s="6" t="s">
        <v>34</v>
      </c>
      <c r="I1983" s="8" t="s">
        <v>253</v>
      </c>
      <c r="J1983" s="9">
        <v>1</v>
      </c>
      <c r="K1983" s="9">
        <v>336</v>
      </c>
      <c r="L1983" s="9">
        <v>2026</v>
      </c>
      <c r="M1983" s="8" t="s">
        <v>11973</v>
      </c>
      <c r="N1983" s="8" t="s">
        <v>93</v>
      </c>
      <c r="O1983" s="8" t="s">
        <v>94</v>
      </c>
      <c r="P1983" s="6" t="s">
        <v>51</v>
      </c>
      <c r="Q1983" s="8" t="s">
        <v>52</v>
      </c>
      <c r="R1983" s="10" t="s">
        <v>11974</v>
      </c>
      <c r="S1983" s="11" t="s">
        <v>11975</v>
      </c>
      <c r="T1983" s="6"/>
      <c r="U1983" s="15" t="str">
        <f>HYPERLINK("https://media.infra-m.ru/2219/2219005/cover/2219005.jpg", "Обложка")</f>
        <v>Обложка</v>
      </c>
      <c r="V1983" s="8" t="s">
        <v>227</v>
      </c>
      <c r="W1983" s="6"/>
      <c r="X1983" s="6"/>
      <c r="Y1983" s="6"/>
      <c r="Z1983" s="6"/>
      <c r="AA1983" s="6" t="s">
        <v>55</v>
      </c>
      <c r="AB1983" s="8"/>
      <c r="AC1983" s="27">
        <v>9785160192581</v>
      </c>
    </row>
    <row r="1984" spans="1:29" s="4" customFormat="1" ht="44.1" customHeight="1" x14ac:dyDescent="0.2">
      <c r="A1984" s="5">
        <v>0</v>
      </c>
      <c r="B1984" s="6" t="s">
        <v>11976</v>
      </c>
      <c r="C1984" s="7">
        <v>1764</v>
      </c>
      <c r="D1984" s="8" t="s">
        <v>11977</v>
      </c>
      <c r="E1984" s="8" t="s">
        <v>11978</v>
      </c>
      <c r="F1984" s="8" t="s">
        <v>11979</v>
      </c>
      <c r="G1984" s="6" t="s">
        <v>118</v>
      </c>
      <c r="H1984" s="6" t="s">
        <v>34</v>
      </c>
      <c r="I1984" s="8" t="s">
        <v>263</v>
      </c>
      <c r="J1984" s="9">
        <v>1</v>
      </c>
      <c r="K1984" s="9">
        <v>267</v>
      </c>
      <c r="L1984" s="9">
        <v>2026</v>
      </c>
      <c r="M1984" s="8" t="s">
        <v>11980</v>
      </c>
      <c r="N1984" s="8" t="s">
        <v>63</v>
      </c>
      <c r="O1984" s="8" t="s">
        <v>64</v>
      </c>
      <c r="P1984" s="6" t="s">
        <v>51</v>
      </c>
      <c r="Q1984" s="8" t="s">
        <v>265</v>
      </c>
      <c r="R1984" s="10" t="s">
        <v>11981</v>
      </c>
      <c r="S1984" s="11"/>
      <c r="T1984" s="6"/>
      <c r="U1984" s="15" t="str">
        <f>HYPERLINK("https://media.infra-m.ru/2253/2253946/cover/2253946.jpg", "Обложка")</f>
        <v>Обложка</v>
      </c>
      <c r="V1984" s="8" t="s">
        <v>11982</v>
      </c>
      <c r="W1984" s="6"/>
      <c r="X1984" s="6"/>
      <c r="Y1984" s="6"/>
      <c r="Z1984" s="6"/>
      <c r="AA1984" s="6" t="s">
        <v>187</v>
      </c>
      <c r="AB1984" s="8" t="s">
        <v>343</v>
      </c>
      <c r="AC1984" s="27">
        <v>9785160204437</v>
      </c>
    </row>
    <row r="1985" spans="1:29" s="4" customFormat="1" ht="42" customHeight="1" x14ac:dyDescent="0.2">
      <c r="A1985" s="5">
        <v>0</v>
      </c>
      <c r="B1985" s="6" t="s">
        <v>11983</v>
      </c>
      <c r="C1985" s="7">
        <v>1620</v>
      </c>
      <c r="D1985" s="8" t="s">
        <v>11984</v>
      </c>
      <c r="E1985" s="8" t="s">
        <v>11985</v>
      </c>
      <c r="F1985" s="8" t="s">
        <v>2784</v>
      </c>
      <c r="G1985" s="6" t="s">
        <v>60</v>
      </c>
      <c r="H1985" s="6" t="s">
        <v>34</v>
      </c>
      <c r="I1985" s="8" t="s">
        <v>1248</v>
      </c>
      <c r="J1985" s="9">
        <v>1</v>
      </c>
      <c r="K1985" s="9">
        <v>239</v>
      </c>
      <c r="L1985" s="9">
        <v>2026</v>
      </c>
      <c r="M1985" s="8" t="s">
        <v>11986</v>
      </c>
      <c r="N1985" s="8" t="s">
        <v>63</v>
      </c>
      <c r="O1985" s="8" t="s">
        <v>64</v>
      </c>
      <c r="P1985" s="6" t="s">
        <v>51</v>
      </c>
      <c r="Q1985" s="8" t="s">
        <v>377</v>
      </c>
      <c r="R1985" s="10" t="s">
        <v>11987</v>
      </c>
      <c r="S1985" s="11"/>
      <c r="T1985" s="6"/>
      <c r="U1985" s="15" t="str">
        <f>HYPERLINK("https://media.infra-m.ru/2223/2223574/cover/2223574.jpg", "Обложка")</f>
        <v>Обложка</v>
      </c>
      <c r="V1985" s="8" t="s">
        <v>1083</v>
      </c>
      <c r="W1985" s="6" t="s">
        <v>186</v>
      </c>
      <c r="X1985" s="6"/>
      <c r="Y1985" s="6"/>
      <c r="Z1985" s="6"/>
      <c r="AA1985" s="6" t="s">
        <v>187</v>
      </c>
      <c r="AB1985" s="8"/>
      <c r="AC1985" s="27">
        <v>9785160213927</v>
      </c>
    </row>
    <row r="1986" spans="1:29" s="4" customFormat="1" ht="51.9" customHeight="1" x14ac:dyDescent="0.2">
      <c r="A1986" s="5">
        <v>0</v>
      </c>
      <c r="B1986" s="6" t="s">
        <v>11988</v>
      </c>
      <c r="C1986" s="7">
        <v>1272</v>
      </c>
      <c r="D1986" s="8" t="s">
        <v>11989</v>
      </c>
      <c r="E1986" s="8" t="s">
        <v>11990</v>
      </c>
      <c r="F1986" s="8" t="s">
        <v>1789</v>
      </c>
      <c r="G1986" s="6" t="s">
        <v>33</v>
      </c>
      <c r="H1986" s="6" t="s">
        <v>34</v>
      </c>
      <c r="I1986" s="8" t="s">
        <v>35</v>
      </c>
      <c r="J1986" s="9">
        <v>1</v>
      </c>
      <c r="K1986" s="9">
        <v>183</v>
      </c>
      <c r="L1986" s="9">
        <v>2027</v>
      </c>
      <c r="M1986" s="8" t="s">
        <v>11991</v>
      </c>
      <c r="N1986" s="8" t="s">
        <v>37</v>
      </c>
      <c r="O1986" s="8" t="s">
        <v>136</v>
      </c>
      <c r="P1986" s="6" t="s">
        <v>39</v>
      </c>
      <c r="Q1986" s="8" t="s">
        <v>40</v>
      </c>
      <c r="R1986" s="10" t="s">
        <v>11992</v>
      </c>
      <c r="S1986" s="11"/>
      <c r="T1986" s="6"/>
      <c r="U1986" s="15" t="str">
        <f>HYPERLINK("https://media.infra-m.ru/2264/2264975/cover/2264975.jpg", "Обложка")</f>
        <v>Обложка</v>
      </c>
      <c r="V1986" s="8" t="s">
        <v>911</v>
      </c>
      <c r="W1986" s="6"/>
      <c r="X1986" s="6"/>
      <c r="Y1986" s="6"/>
      <c r="Z1986" s="6"/>
      <c r="AA1986" s="6" t="s">
        <v>148</v>
      </c>
      <c r="AB1986" s="8"/>
      <c r="AC1986" s="27">
        <v>9785160169248</v>
      </c>
    </row>
    <row r="1987" spans="1:29" s="4" customFormat="1" ht="44.1" customHeight="1" x14ac:dyDescent="0.2">
      <c r="A1987" s="5">
        <v>0</v>
      </c>
      <c r="B1987" s="6" t="s">
        <v>11993</v>
      </c>
      <c r="C1987" s="7">
        <v>1300.8</v>
      </c>
      <c r="D1987" s="8" t="s">
        <v>11994</v>
      </c>
      <c r="E1987" s="8" t="s">
        <v>11995</v>
      </c>
      <c r="F1987" s="8" t="s">
        <v>11996</v>
      </c>
      <c r="G1987" s="6" t="s">
        <v>33</v>
      </c>
      <c r="H1987" s="6" t="s">
        <v>134</v>
      </c>
      <c r="I1987" s="8"/>
      <c r="J1987" s="9">
        <v>1</v>
      </c>
      <c r="K1987" s="9">
        <v>208</v>
      </c>
      <c r="L1987" s="9">
        <v>2025</v>
      </c>
      <c r="M1987" s="8" t="s">
        <v>11997</v>
      </c>
      <c r="N1987" s="8" t="s">
        <v>37</v>
      </c>
      <c r="O1987" s="8" t="s">
        <v>136</v>
      </c>
      <c r="P1987" s="6" t="s">
        <v>39</v>
      </c>
      <c r="Q1987" s="8" t="s">
        <v>749</v>
      </c>
      <c r="R1987" s="10" t="s">
        <v>6521</v>
      </c>
      <c r="S1987" s="11"/>
      <c r="T1987" s="6"/>
      <c r="U1987" s="15" t="str">
        <f>HYPERLINK("https://media.infra-m.ru/2192/2192459/cover/2192459.jpg", "Обложка")</f>
        <v>Обложка</v>
      </c>
      <c r="V1987" s="8" t="s">
        <v>11998</v>
      </c>
      <c r="W1987" s="6"/>
      <c r="X1987" s="6"/>
      <c r="Y1987" s="6"/>
      <c r="Z1987" s="6"/>
      <c r="AA1987" s="6" t="s">
        <v>779</v>
      </c>
      <c r="AB1987" s="8"/>
      <c r="AC1987" s="27">
        <v>9785917686981</v>
      </c>
    </row>
    <row r="1988" spans="1:29" s="4" customFormat="1" ht="51.9" customHeight="1" x14ac:dyDescent="0.2">
      <c r="A1988" s="5">
        <v>0</v>
      </c>
      <c r="B1988" s="6" t="s">
        <v>11999</v>
      </c>
      <c r="C1988" s="7">
        <v>1260</v>
      </c>
      <c r="D1988" s="8" t="s">
        <v>12000</v>
      </c>
      <c r="E1988" s="8" t="s">
        <v>12001</v>
      </c>
      <c r="F1988" s="8" t="s">
        <v>10297</v>
      </c>
      <c r="G1988" s="6" t="s">
        <v>33</v>
      </c>
      <c r="H1988" s="6" t="s">
        <v>34</v>
      </c>
      <c r="I1988" s="8" t="s">
        <v>35</v>
      </c>
      <c r="J1988" s="9">
        <v>1</v>
      </c>
      <c r="K1988" s="9">
        <v>190</v>
      </c>
      <c r="L1988" s="9">
        <v>2026</v>
      </c>
      <c r="M1988" s="8" t="s">
        <v>12002</v>
      </c>
      <c r="N1988" s="8" t="s">
        <v>37</v>
      </c>
      <c r="O1988" s="8" t="s">
        <v>136</v>
      </c>
      <c r="P1988" s="6" t="s">
        <v>39</v>
      </c>
      <c r="Q1988" s="8" t="s">
        <v>40</v>
      </c>
      <c r="R1988" s="10" t="s">
        <v>4348</v>
      </c>
      <c r="S1988" s="11"/>
      <c r="T1988" s="6"/>
      <c r="U1988" s="15" t="str">
        <f>HYPERLINK("https://media.infra-m.ru/2180/2180379/cover/2180379.jpg", "Обложка")</f>
        <v>Обложка</v>
      </c>
      <c r="V1988" s="8" t="s">
        <v>1184</v>
      </c>
      <c r="W1988" s="6" t="s">
        <v>186</v>
      </c>
      <c r="X1988" s="6"/>
      <c r="Y1988" s="6"/>
      <c r="Z1988" s="6"/>
      <c r="AA1988" s="6" t="s">
        <v>187</v>
      </c>
      <c r="AB1988" s="8"/>
      <c r="AC1988" s="27">
        <v>9785160205359</v>
      </c>
    </row>
    <row r="1989" spans="1:29" s="4" customFormat="1" ht="42" customHeight="1" x14ac:dyDescent="0.2">
      <c r="A1989" s="5">
        <v>0</v>
      </c>
      <c r="B1989" s="6" t="s">
        <v>12003</v>
      </c>
      <c r="C1989" s="7">
        <v>1296</v>
      </c>
      <c r="D1989" s="8" t="s">
        <v>12004</v>
      </c>
      <c r="E1989" s="8" t="s">
        <v>12005</v>
      </c>
      <c r="F1989" s="8" t="s">
        <v>12006</v>
      </c>
      <c r="G1989" s="6" t="s">
        <v>33</v>
      </c>
      <c r="H1989" s="6" t="s">
        <v>313</v>
      </c>
      <c r="I1989" s="8" t="s">
        <v>35</v>
      </c>
      <c r="J1989" s="9">
        <v>1</v>
      </c>
      <c r="K1989" s="9">
        <v>230</v>
      </c>
      <c r="L1989" s="9">
        <v>2024</v>
      </c>
      <c r="M1989" s="8" t="s">
        <v>12007</v>
      </c>
      <c r="N1989" s="8" t="s">
        <v>37</v>
      </c>
      <c r="O1989" s="8" t="s">
        <v>136</v>
      </c>
      <c r="P1989" s="6" t="s">
        <v>39</v>
      </c>
      <c r="Q1989" s="8" t="s">
        <v>40</v>
      </c>
      <c r="R1989" s="10" t="s">
        <v>684</v>
      </c>
      <c r="S1989" s="11"/>
      <c r="T1989" s="6"/>
      <c r="U1989" s="15" t="str">
        <f>HYPERLINK("https://media.infra-m.ru/2140/2140863/cover/2140863.jpg", "Обложка")</f>
        <v>Обложка</v>
      </c>
      <c r="V1989" s="8" t="s">
        <v>1949</v>
      </c>
      <c r="W1989" s="6"/>
      <c r="X1989" s="6"/>
      <c r="Y1989" s="6"/>
      <c r="Z1989" s="6"/>
      <c r="AA1989" s="6" t="s">
        <v>115</v>
      </c>
      <c r="AB1989" s="8"/>
      <c r="AC1989" s="27">
        <v>9785369018019</v>
      </c>
    </row>
    <row r="1990" spans="1:29" s="4" customFormat="1" ht="42" customHeight="1" x14ac:dyDescent="0.2">
      <c r="A1990" s="5">
        <v>0</v>
      </c>
      <c r="B1990" s="6" t="s">
        <v>12008</v>
      </c>
      <c r="C1990" s="13">
        <v>660</v>
      </c>
      <c r="D1990" s="8" t="s">
        <v>12009</v>
      </c>
      <c r="E1990" s="8" t="s">
        <v>12010</v>
      </c>
      <c r="F1990" s="8" t="s">
        <v>12011</v>
      </c>
      <c r="G1990" s="6" t="s">
        <v>33</v>
      </c>
      <c r="H1990" s="6" t="s">
        <v>34</v>
      </c>
      <c r="I1990" s="8" t="s">
        <v>35</v>
      </c>
      <c r="J1990" s="9">
        <v>1</v>
      </c>
      <c r="K1990" s="9">
        <v>114</v>
      </c>
      <c r="L1990" s="9">
        <v>2024</v>
      </c>
      <c r="M1990" s="8" t="s">
        <v>12012</v>
      </c>
      <c r="N1990" s="8" t="s">
        <v>37</v>
      </c>
      <c r="O1990" s="8" t="s">
        <v>233</v>
      </c>
      <c r="P1990" s="6" t="s">
        <v>39</v>
      </c>
      <c r="Q1990" s="8" t="s">
        <v>40</v>
      </c>
      <c r="R1990" s="10" t="s">
        <v>3008</v>
      </c>
      <c r="S1990" s="11"/>
      <c r="T1990" s="6"/>
      <c r="U1990" s="15" t="str">
        <f>HYPERLINK("https://media.infra-m.ru/2136/2136010/cover/2136010.jpg", "Обложка")</f>
        <v>Обложка</v>
      </c>
      <c r="V1990" s="8" t="s">
        <v>1768</v>
      </c>
      <c r="W1990" s="6"/>
      <c r="X1990" s="6"/>
      <c r="Y1990" s="6"/>
      <c r="Z1990" s="6"/>
      <c r="AA1990" s="6" t="s">
        <v>86</v>
      </c>
      <c r="AB1990" s="8"/>
      <c r="AC1990" s="27">
        <v>9785160134604</v>
      </c>
    </row>
    <row r="1991" spans="1:29" s="4" customFormat="1" ht="51.9" customHeight="1" x14ac:dyDescent="0.2">
      <c r="A1991" s="5">
        <v>0</v>
      </c>
      <c r="B1991" s="6" t="s">
        <v>12013</v>
      </c>
      <c r="C1991" s="7">
        <v>1800</v>
      </c>
      <c r="D1991" s="8" t="s">
        <v>12014</v>
      </c>
      <c r="E1991" s="8" t="s">
        <v>12015</v>
      </c>
      <c r="F1991" s="8" t="s">
        <v>12016</v>
      </c>
      <c r="G1991" s="6" t="s">
        <v>118</v>
      </c>
      <c r="H1991" s="6" t="s">
        <v>134</v>
      </c>
      <c r="I1991" s="8"/>
      <c r="J1991" s="9">
        <v>1</v>
      </c>
      <c r="K1991" s="9">
        <v>272</v>
      </c>
      <c r="L1991" s="9">
        <v>2024</v>
      </c>
      <c r="M1991" s="8" t="s">
        <v>12017</v>
      </c>
      <c r="N1991" s="8" t="s">
        <v>37</v>
      </c>
      <c r="O1991" s="8" t="s">
        <v>136</v>
      </c>
      <c r="P1991" s="6" t="s">
        <v>39</v>
      </c>
      <c r="Q1991" s="8" t="s">
        <v>40</v>
      </c>
      <c r="R1991" s="10" t="s">
        <v>12018</v>
      </c>
      <c r="S1991" s="11"/>
      <c r="T1991" s="6"/>
      <c r="U1991" s="15" t="str">
        <f>HYPERLINK("https://media.infra-m.ru/2234/2234303/cover/2234303.jpg", "Обложка")</f>
        <v>Обложка</v>
      </c>
      <c r="V1991" s="8" t="s">
        <v>1069</v>
      </c>
      <c r="W1991" s="6"/>
      <c r="X1991" s="6"/>
      <c r="Y1991" s="6"/>
      <c r="Z1991" s="6"/>
      <c r="AA1991" s="6" t="s">
        <v>1256</v>
      </c>
      <c r="AB1991" s="8"/>
      <c r="AC1991" s="27">
        <v>9785001560265</v>
      </c>
    </row>
    <row r="1992" spans="1:29" s="4" customFormat="1" ht="51.9" customHeight="1" x14ac:dyDescent="0.2">
      <c r="A1992" s="5">
        <v>0</v>
      </c>
      <c r="B1992" s="6" t="s">
        <v>12019</v>
      </c>
      <c r="C1992" s="7">
        <v>1152</v>
      </c>
      <c r="D1992" s="8" t="s">
        <v>12020</v>
      </c>
      <c r="E1992" s="8" t="s">
        <v>12021</v>
      </c>
      <c r="F1992" s="8" t="s">
        <v>12022</v>
      </c>
      <c r="G1992" s="6" t="s">
        <v>118</v>
      </c>
      <c r="H1992" s="6" t="s">
        <v>34</v>
      </c>
      <c r="I1992" s="8" t="s">
        <v>1074</v>
      </c>
      <c r="J1992" s="9">
        <v>1</v>
      </c>
      <c r="K1992" s="9">
        <v>248</v>
      </c>
      <c r="L1992" s="9">
        <v>2022</v>
      </c>
      <c r="M1992" s="8" t="s">
        <v>12023</v>
      </c>
      <c r="N1992" s="8" t="s">
        <v>37</v>
      </c>
      <c r="O1992" s="8" t="s">
        <v>136</v>
      </c>
      <c r="P1992" s="6" t="s">
        <v>39</v>
      </c>
      <c r="Q1992" s="8" t="s">
        <v>40</v>
      </c>
      <c r="R1992" s="10" t="s">
        <v>12024</v>
      </c>
      <c r="S1992" s="11"/>
      <c r="T1992" s="6"/>
      <c r="U1992" s="15" t="str">
        <f>HYPERLINK("https://media.infra-m.ru/1859/1859025/cover/1859025.jpg", "Обложка")</f>
        <v>Обложка</v>
      </c>
      <c r="V1992" s="8" t="s">
        <v>138</v>
      </c>
      <c r="W1992" s="6"/>
      <c r="X1992" s="6"/>
      <c r="Y1992" s="6"/>
      <c r="Z1992" s="6"/>
      <c r="AA1992" s="6" t="s">
        <v>99</v>
      </c>
      <c r="AB1992" s="8"/>
      <c r="AC1992" s="27">
        <v>9785160137407</v>
      </c>
    </row>
    <row r="1993" spans="1:29" s="4" customFormat="1" ht="42" customHeight="1" x14ac:dyDescent="0.2">
      <c r="A1993" s="5">
        <v>0</v>
      </c>
      <c r="B1993" s="6" t="s">
        <v>12025</v>
      </c>
      <c r="C1993" s="7">
        <v>1936.8</v>
      </c>
      <c r="D1993" s="8" t="s">
        <v>12026</v>
      </c>
      <c r="E1993" s="8" t="s">
        <v>12027</v>
      </c>
      <c r="F1993" s="8" t="s">
        <v>12028</v>
      </c>
      <c r="G1993" s="6" t="s">
        <v>60</v>
      </c>
      <c r="H1993" s="6" t="s">
        <v>34</v>
      </c>
      <c r="I1993" s="8" t="s">
        <v>504</v>
      </c>
      <c r="J1993" s="9">
        <v>1</v>
      </c>
      <c r="K1993" s="9">
        <v>279</v>
      </c>
      <c r="L1993" s="9">
        <v>2026</v>
      </c>
      <c r="M1993" s="8" t="s">
        <v>12029</v>
      </c>
      <c r="N1993" s="8" t="s">
        <v>37</v>
      </c>
      <c r="O1993" s="8" t="s">
        <v>233</v>
      </c>
      <c r="P1993" s="6" t="s">
        <v>51</v>
      </c>
      <c r="Q1993" s="8" t="s">
        <v>500</v>
      </c>
      <c r="R1993" s="10" t="s">
        <v>8450</v>
      </c>
      <c r="S1993" s="11"/>
      <c r="T1993" s="6"/>
      <c r="U1993" s="15" t="str">
        <f>HYPERLINK("https://media.infra-m.ru/2262/2262027/cover/2262027.jpg", "Обложка")</f>
        <v>Обложка</v>
      </c>
      <c r="V1993" s="8" t="s">
        <v>8419</v>
      </c>
      <c r="W1993" s="6"/>
      <c r="X1993" s="6"/>
      <c r="Y1993" s="6"/>
      <c r="Z1993" s="6"/>
      <c r="AA1993" s="6" t="s">
        <v>248</v>
      </c>
      <c r="AB1993" s="8"/>
      <c r="AC1993" s="27">
        <v>9785160067780</v>
      </c>
    </row>
    <row r="1994" spans="1:29" s="4" customFormat="1" ht="51.9" customHeight="1" x14ac:dyDescent="0.2">
      <c r="A1994" s="5">
        <v>0</v>
      </c>
      <c r="B1994" s="6" t="s">
        <v>12030</v>
      </c>
      <c r="C1994" s="7">
        <v>1896</v>
      </c>
      <c r="D1994" s="8" t="s">
        <v>12031</v>
      </c>
      <c r="E1994" s="8" t="s">
        <v>12032</v>
      </c>
      <c r="F1994" s="8" t="s">
        <v>12033</v>
      </c>
      <c r="G1994" s="6" t="s">
        <v>60</v>
      </c>
      <c r="H1994" s="6" t="s">
        <v>34</v>
      </c>
      <c r="I1994" s="8" t="s">
        <v>253</v>
      </c>
      <c r="J1994" s="9">
        <v>1</v>
      </c>
      <c r="K1994" s="9">
        <v>302</v>
      </c>
      <c r="L1994" s="9">
        <v>2025</v>
      </c>
      <c r="M1994" s="8" t="s">
        <v>12034</v>
      </c>
      <c r="N1994" s="8" t="s">
        <v>37</v>
      </c>
      <c r="O1994" s="8" t="s">
        <v>233</v>
      </c>
      <c r="P1994" s="6" t="s">
        <v>306</v>
      </c>
      <c r="Q1994" s="8" t="s">
        <v>65</v>
      </c>
      <c r="R1994" s="10" t="s">
        <v>12035</v>
      </c>
      <c r="S1994" s="11" t="s">
        <v>12036</v>
      </c>
      <c r="T1994" s="6"/>
      <c r="U1994" s="15" t="str">
        <f>HYPERLINK("https://media.infra-m.ru/2180/2180367/cover/2180367.jpg", "Обложка")</f>
        <v>Обложка</v>
      </c>
      <c r="V1994" s="8" t="s">
        <v>1014</v>
      </c>
      <c r="W1994" s="6"/>
      <c r="X1994" s="6"/>
      <c r="Y1994" s="6"/>
      <c r="Z1994" s="6"/>
      <c r="AA1994" s="6" t="s">
        <v>115</v>
      </c>
      <c r="AB1994" s="8" t="s">
        <v>12037</v>
      </c>
      <c r="AC1994" s="27">
        <v>9785160205236</v>
      </c>
    </row>
    <row r="1995" spans="1:29" s="4" customFormat="1" ht="51.9" customHeight="1" x14ac:dyDescent="0.2">
      <c r="A1995" s="5">
        <v>0</v>
      </c>
      <c r="B1995" s="6" t="s">
        <v>12038</v>
      </c>
      <c r="C1995" s="7">
        <v>1900.8</v>
      </c>
      <c r="D1995" s="8" t="s">
        <v>12039</v>
      </c>
      <c r="E1995" s="8" t="s">
        <v>12040</v>
      </c>
      <c r="F1995" s="8" t="s">
        <v>12041</v>
      </c>
      <c r="G1995" s="6" t="s">
        <v>60</v>
      </c>
      <c r="H1995" s="6" t="s">
        <v>1644</v>
      </c>
      <c r="I1995" s="8"/>
      <c r="J1995" s="9">
        <v>1</v>
      </c>
      <c r="K1995" s="9">
        <v>272</v>
      </c>
      <c r="L1995" s="9">
        <v>2027</v>
      </c>
      <c r="M1995" s="8" t="s">
        <v>12042</v>
      </c>
      <c r="N1995" s="8" t="s">
        <v>37</v>
      </c>
      <c r="O1995" s="8" t="s">
        <v>233</v>
      </c>
      <c r="P1995" s="6" t="s">
        <v>51</v>
      </c>
      <c r="Q1995" s="8" t="s">
        <v>52</v>
      </c>
      <c r="R1995" s="10" t="s">
        <v>12043</v>
      </c>
      <c r="S1995" s="11"/>
      <c r="T1995" s="6"/>
      <c r="U1995" s="15" t="str">
        <f>HYPERLINK("https://media.infra-m.ru/2250/2250826/cover/2250826.jpg", "Обложка")</f>
        <v>Обложка</v>
      </c>
      <c r="V1995" s="8" t="s">
        <v>227</v>
      </c>
      <c r="W1995" s="6"/>
      <c r="X1995" s="6"/>
      <c r="Y1995" s="6"/>
      <c r="Z1995" s="6"/>
      <c r="AA1995" s="6" t="s">
        <v>561</v>
      </c>
      <c r="AB1995" s="8"/>
      <c r="AC1995" s="27">
        <v>9785977601184</v>
      </c>
    </row>
    <row r="1996" spans="1:29" s="4" customFormat="1" ht="51.9" customHeight="1" x14ac:dyDescent="0.2">
      <c r="A1996" s="5">
        <v>0</v>
      </c>
      <c r="B1996" s="6" t="s">
        <v>12044</v>
      </c>
      <c r="C1996" s="7">
        <v>1672.8</v>
      </c>
      <c r="D1996" s="8" t="s">
        <v>12045</v>
      </c>
      <c r="E1996" s="8" t="s">
        <v>12040</v>
      </c>
      <c r="F1996" s="8" t="s">
        <v>12046</v>
      </c>
      <c r="G1996" s="6" t="s">
        <v>60</v>
      </c>
      <c r="H1996" s="6" t="s">
        <v>34</v>
      </c>
      <c r="I1996" s="8" t="s">
        <v>271</v>
      </c>
      <c r="J1996" s="9">
        <v>1</v>
      </c>
      <c r="K1996" s="9">
        <v>240</v>
      </c>
      <c r="L1996" s="9">
        <v>2027</v>
      </c>
      <c r="M1996" s="8" t="s">
        <v>12047</v>
      </c>
      <c r="N1996" s="8" t="s">
        <v>37</v>
      </c>
      <c r="O1996" s="8" t="s">
        <v>233</v>
      </c>
      <c r="P1996" s="6" t="s">
        <v>51</v>
      </c>
      <c r="Q1996" s="8" t="s">
        <v>52</v>
      </c>
      <c r="R1996" s="10" t="s">
        <v>12048</v>
      </c>
      <c r="S1996" s="11" t="s">
        <v>12049</v>
      </c>
      <c r="T1996" s="6"/>
      <c r="U1996" s="15" t="str">
        <f>HYPERLINK("https://media.infra-m.ru/2261/2261542/cover/2261542.jpg", "Обложка")</f>
        <v>Обложка</v>
      </c>
      <c r="V1996" s="8" t="s">
        <v>396</v>
      </c>
      <c r="W1996" s="6"/>
      <c r="X1996" s="6"/>
      <c r="Y1996" s="6"/>
      <c r="Z1996" s="6"/>
      <c r="AA1996" s="6" t="s">
        <v>55</v>
      </c>
      <c r="AB1996" s="8"/>
      <c r="AC1996" s="27">
        <v>9785160054933</v>
      </c>
    </row>
    <row r="1997" spans="1:29" s="4" customFormat="1" ht="51.9" customHeight="1" x14ac:dyDescent="0.2">
      <c r="A1997" s="5">
        <v>0</v>
      </c>
      <c r="B1997" s="6" t="s">
        <v>12050</v>
      </c>
      <c r="C1997" s="7">
        <v>2596.8000000000002</v>
      </c>
      <c r="D1997" s="8" t="s">
        <v>12051</v>
      </c>
      <c r="E1997" s="8" t="s">
        <v>12040</v>
      </c>
      <c r="F1997" s="8" t="s">
        <v>12052</v>
      </c>
      <c r="G1997" s="6" t="s">
        <v>60</v>
      </c>
      <c r="H1997" s="6" t="s">
        <v>34</v>
      </c>
      <c r="I1997" s="8" t="s">
        <v>271</v>
      </c>
      <c r="J1997" s="9">
        <v>1</v>
      </c>
      <c r="K1997" s="9">
        <v>416</v>
      </c>
      <c r="L1997" s="9">
        <v>2025</v>
      </c>
      <c r="M1997" s="8" t="s">
        <v>12053</v>
      </c>
      <c r="N1997" s="8" t="s">
        <v>37</v>
      </c>
      <c r="O1997" s="8" t="s">
        <v>233</v>
      </c>
      <c r="P1997" s="6" t="s">
        <v>51</v>
      </c>
      <c r="Q1997" s="8" t="s">
        <v>52</v>
      </c>
      <c r="R1997" s="10" t="s">
        <v>12054</v>
      </c>
      <c r="S1997" s="11" t="s">
        <v>12055</v>
      </c>
      <c r="T1997" s="6"/>
      <c r="U1997" s="15" t="str">
        <f>HYPERLINK("https://media.infra-m.ru/2196/2196872/cover/2196872.jpg", "Обложка")</f>
        <v>Обложка</v>
      </c>
      <c r="V1997" s="8" t="s">
        <v>12056</v>
      </c>
      <c r="W1997" s="6"/>
      <c r="X1997" s="6"/>
      <c r="Y1997" s="6"/>
      <c r="Z1997" s="6"/>
      <c r="AA1997" s="6" t="s">
        <v>12057</v>
      </c>
      <c r="AB1997" s="8"/>
      <c r="AC1997" s="27">
        <v>9785160043166</v>
      </c>
    </row>
    <row r="1998" spans="1:29" s="4" customFormat="1" ht="51.9" customHeight="1" x14ac:dyDescent="0.2">
      <c r="A1998" s="5">
        <v>0</v>
      </c>
      <c r="B1998" s="6" t="s">
        <v>12058</v>
      </c>
      <c r="C1998" s="7">
        <v>1176</v>
      </c>
      <c r="D1998" s="8" t="s">
        <v>12059</v>
      </c>
      <c r="E1998" s="8" t="s">
        <v>12060</v>
      </c>
      <c r="F1998" s="8" t="s">
        <v>8137</v>
      </c>
      <c r="G1998" s="6" t="s">
        <v>118</v>
      </c>
      <c r="H1998" s="6" t="s">
        <v>34</v>
      </c>
      <c r="I1998" s="8" t="s">
        <v>253</v>
      </c>
      <c r="J1998" s="9">
        <v>1</v>
      </c>
      <c r="K1998" s="9">
        <v>204</v>
      </c>
      <c r="L1998" s="9">
        <v>2023</v>
      </c>
      <c r="M1998" s="8" t="s">
        <v>12061</v>
      </c>
      <c r="N1998" s="8" t="s">
        <v>37</v>
      </c>
      <c r="O1998" s="8" t="s">
        <v>233</v>
      </c>
      <c r="P1998" s="6" t="s">
        <v>51</v>
      </c>
      <c r="Q1998" s="8" t="s">
        <v>65</v>
      </c>
      <c r="R1998" s="10" t="s">
        <v>3008</v>
      </c>
      <c r="S1998" s="11" t="s">
        <v>12062</v>
      </c>
      <c r="T1998" s="6"/>
      <c r="U1998" s="15" t="str">
        <f>HYPERLINK("https://media.infra-m.ru/2002/2002577/cover/2002577.jpg", "Обложка")</f>
        <v>Обложка</v>
      </c>
      <c r="V1998" s="8" t="s">
        <v>8139</v>
      </c>
      <c r="W1998" s="6"/>
      <c r="X1998" s="6"/>
      <c r="Y1998" s="6"/>
      <c r="Z1998" s="6"/>
      <c r="AA1998" s="6" t="s">
        <v>258</v>
      </c>
      <c r="AB1998" s="8"/>
      <c r="AC1998" s="27">
        <v>9785160184975</v>
      </c>
    </row>
    <row r="1999" spans="1:29" s="4" customFormat="1" ht="51.9" customHeight="1" x14ac:dyDescent="0.2">
      <c r="A1999" s="5">
        <v>0</v>
      </c>
      <c r="B1999" s="6" t="s">
        <v>12063</v>
      </c>
      <c r="C1999" s="13">
        <v>689.9</v>
      </c>
      <c r="D1999" s="8" t="s">
        <v>12064</v>
      </c>
      <c r="E1999" s="8" t="s">
        <v>12040</v>
      </c>
      <c r="F1999" s="8" t="s">
        <v>8137</v>
      </c>
      <c r="G1999" s="6" t="s">
        <v>33</v>
      </c>
      <c r="H1999" s="6" t="s">
        <v>34</v>
      </c>
      <c r="I1999" s="8" t="s">
        <v>271</v>
      </c>
      <c r="J1999" s="9">
        <v>1</v>
      </c>
      <c r="K1999" s="9">
        <v>160</v>
      </c>
      <c r="L1999" s="9">
        <v>2021</v>
      </c>
      <c r="M1999" s="8" t="s">
        <v>12065</v>
      </c>
      <c r="N1999" s="8" t="s">
        <v>37</v>
      </c>
      <c r="O1999" s="8" t="s">
        <v>233</v>
      </c>
      <c r="P1999" s="6" t="s">
        <v>51</v>
      </c>
      <c r="Q1999" s="8" t="s">
        <v>52</v>
      </c>
      <c r="R1999" s="10" t="s">
        <v>3008</v>
      </c>
      <c r="S1999" s="11" t="s">
        <v>12066</v>
      </c>
      <c r="T1999" s="6"/>
      <c r="U1999" s="15" t="str">
        <f>HYPERLINK("https://media.infra-m.ru/1212/1212868/cover/1212868.jpg", "Обложка")</f>
        <v>Обложка</v>
      </c>
      <c r="V1999" s="8" t="s">
        <v>8139</v>
      </c>
      <c r="W1999" s="6"/>
      <c r="X1999" s="6"/>
      <c r="Y1999" s="6"/>
      <c r="Z1999" s="6"/>
      <c r="AA1999" s="6" t="s">
        <v>779</v>
      </c>
      <c r="AB1999" s="8"/>
      <c r="AC1999" s="27">
        <v>9785160110493</v>
      </c>
    </row>
    <row r="2000" spans="1:29" s="4" customFormat="1" ht="51.9" customHeight="1" x14ac:dyDescent="0.2">
      <c r="A2000" s="5">
        <v>0</v>
      </c>
      <c r="B2000" s="6" t="s">
        <v>12067</v>
      </c>
      <c r="C2000" s="7">
        <v>1469.9</v>
      </c>
      <c r="D2000" s="8" t="s">
        <v>12068</v>
      </c>
      <c r="E2000" s="8" t="s">
        <v>12040</v>
      </c>
      <c r="F2000" s="8" t="s">
        <v>12069</v>
      </c>
      <c r="G2000" s="6" t="s">
        <v>60</v>
      </c>
      <c r="H2000" s="6" t="s">
        <v>34</v>
      </c>
      <c r="I2000" s="8" t="s">
        <v>271</v>
      </c>
      <c r="J2000" s="9">
        <v>1</v>
      </c>
      <c r="K2000" s="9">
        <v>272</v>
      </c>
      <c r="L2000" s="9">
        <v>2023</v>
      </c>
      <c r="M2000" s="8" t="s">
        <v>12070</v>
      </c>
      <c r="N2000" s="8" t="s">
        <v>37</v>
      </c>
      <c r="O2000" s="8" t="s">
        <v>233</v>
      </c>
      <c r="P2000" s="6" t="s">
        <v>51</v>
      </c>
      <c r="Q2000" s="8" t="s">
        <v>52</v>
      </c>
      <c r="R2000" s="10" t="s">
        <v>12071</v>
      </c>
      <c r="S2000" s="11" t="s">
        <v>12072</v>
      </c>
      <c r="T2000" s="6" t="s">
        <v>97</v>
      </c>
      <c r="U2000" s="15" t="str">
        <f>HYPERLINK("https://media.infra-m.ru/1906/1906703/cover/1906703.jpg", "Обложка")</f>
        <v>Обложка</v>
      </c>
      <c r="V2000" s="8" t="s">
        <v>11804</v>
      </c>
      <c r="W2000" s="6"/>
      <c r="X2000" s="6"/>
      <c r="Y2000" s="6"/>
      <c r="Z2000" s="6"/>
      <c r="AA2000" s="6" t="s">
        <v>248</v>
      </c>
      <c r="AB2000" s="8"/>
      <c r="AC2000" s="27">
        <v>9785160097862</v>
      </c>
    </row>
    <row r="2001" spans="1:29" s="4" customFormat="1" ht="51.9" customHeight="1" x14ac:dyDescent="0.2">
      <c r="A2001" s="5">
        <v>0</v>
      </c>
      <c r="B2001" s="6" t="s">
        <v>12073</v>
      </c>
      <c r="C2001" s="7">
        <v>1811.9</v>
      </c>
      <c r="D2001" s="8" t="s">
        <v>12074</v>
      </c>
      <c r="E2001" s="8" t="s">
        <v>12040</v>
      </c>
      <c r="F2001" s="8" t="s">
        <v>12075</v>
      </c>
      <c r="G2001" s="6" t="s">
        <v>60</v>
      </c>
      <c r="H2001" s="6" t="s">
        <v>134</v>
      </c>
      <c r="I2001" s="8"/>
      <c r="J2001" s="9">
        <v>1</v>
      </c>
      <c r="K2001" s="9">
        <v>472</v>
      </c>
      <c r="L2001" s="9">
        <v>2019</v>
      </c>
      <c r="M2001" s="8" t="s">
        <v>12076</v>
      </c>
      <c r="N2001" s="8" t="s">
        <v>37</v>
      </c>
      <c r="O2001" s="8" t="s">
        <v>233</v>
      </c>
      <c r="P2001" s="6" t="s">
        <v>51</v>
      </c>
      <c r="Q2001" s="8" t="s">
        <v>52</v>
      </c>
      <c r="R2001" s="10" t="s">
        <v>12035</v>
      </c>
      <c r="S2001" s="11"/>
      <c r="T2001" s="6"/>
      <c r="U2001" s="15" t="str">
        <f>HYPERLINK("https://media.infra-m.ru/1008/1008619/cover/1008619.jpg", "Обложка")</f>
        <v>Обложка</v>
      </c>
      <c r="V2001" s="8" t="s">
        <v>546</v>
      </c>
      <c r="W2001" s="6"/>
      <c r="X2001" s="6"/>
      <c r="Y2001" s="6"/>
      <c r="Z2001" s="6"/>
      <c r="AA2001" s="6" t="s">
        <v>115</v>
      </c>
      <c r="AB2001" s="8"/>
      <c r="AC2001" s="27">
        <v>9785917689982</v>
      </c>
    </row>
    <row r="2002" spans="1:29" s="4" customFormat="1" ht="42" customHeight="1" x14ac:dyDescent="0.2">
      <c r="A2002" s="5">
        <v>0</v>
      </c>
      <c r="B2002" s="6" t="s">
        <v>12077</v>
      </c>
      <c r="C2002" s="7">
        <v>1072.8</v>
      </c>
      <c r="D2002" s="8" t="s">
        <v>12078</v>
      </c>
      <c r="E2002" s="8" t="s">
        <v>12079</v>
      </c>
      <c r="F2002" s="8" t="s">
        <v>12080</v>
      </c>
      <c r="G2002" s="6" t="s">
        <v>33</v>
      </c>
      <c r="H2002" s="6" t="s">
        <v>34</v>
      </c>
      <c r="I2002" s="8" t="s">
        <v>35</v>
      </c>
      <c r="J2002" s="9">
        <v>1</v>
      </c>
      <c r="K2002" s="9">
        <v>155</v>
      </c>
      <c r="L2002" s="9">
        <v>2027</v>
      </c>
      <c r="M2002" s="8" t="s">
        <v>12081</v>
      </c>
      <c r="N2002" s="8" t="s">
        <v>37</v>
      </c>
      <c r="O2002" s="8" t="s">
        <v>233</v>
      </c>
      <c r="P2002" s="6" t="s">
        <v>39</v>
      </c>
      <c r="Q2002" s="8" t="s">
        <v>40</v>
      </c>
      <c r="R2002" s="10" t="s">
        <v>3169</v>
      </c>
      <c r="S2002" s="11"/>
      <c r="T2002" s="6"/>
      <c r="U2002" s="15" t="str">
        <f>HYPERLINK("https://media.infra-m.ru/2263/2263930/cover/2263930.jpg", "Обложка")</f>
        <v>Обложка</v>
      </c>
      <c r="V2002" s="8" t="s">
        <v>644</v>
      </c>
      <c r="W2002" s="6"/>
      <c r="X2002" s="6"/>
      <c r="Y2002" s="6"/>
      <c r="Z2002" s="6"/>
      <c r="AA2002" s="6" t="s">
        <v>274</v>
      </c>
      <c r="AB2002" s="8"/>
      <c r="AC2002" s="27">
        <v>9785160095868</v>
      </c>
    </row>
    <row r="2003" spans="1:29" s="4" customFormat="1" ht="42" customHeight="1" x14ac:dyDescent="0.2">
      <c r="A2003" s="5">
        <v>0</v>
      </c>
      <c r="B2003" s="6" t="s">
        <v>12082</v>
      </c>
      <c r="C2003" s="13">
        <v>419.9</v>
      </c>
      <c r="D2003" s="8" t="s">
        <v>12083</v>
      </c>
      <c r="E2003" s="8" t="s">
        <v>12079</v>
      </c>
      <c r="F2003" s="8" t="s">
        <v>12080</v>
      </c>
      <c r="G2003" s="6" t="s">
        <v>7062</v>
      </c>
      <c r="H2003" s="6" t="s">
        <v>34</v>
      </c>
      <c r="I2003" s="8" t="s">
        <v>35</v>
      </c>
      <c r="J2003" s="9">
        <v>16</v>
      </c>
      <c r="K2003" s="9">
        <v>155</v>
      </c>
      <c r="L2003" s="9">
        <v>2015</v>
      </c>
      <c r="M2003" s="8" t="s">
        <v>12081</v>
      </c>
      <c r="N2003" s="8" t="s">
        <v>37</v>
      </c>
      <c r="O2003" s="8" t="s">
        <v>233</v>
      </c>
      <c r="P2003" s="6" t="s">
        <v>39</v>
      </c>
      <c r="Q2003" s="8" t="s">
        <v>40</v>
      </c>
      <c r="R2003" s="10" t="s">
        <v>3169</v>
      </c>
      <c r="S2003" s="11"/>
      <c r="T2003" s="6"/>
      <c r="U2003" s="15" t="str">
        <f>HYPERLINK("https://media.infra-m.ru/0448/0448655/cover/448655.jpg", "Обложка")</f>
        <v>Обложка</v>
      </c>
      <c r="V2003" s="8" t="s">
        <v>644</v>
      </c>
      <c r="W2003" s="6"/>
      <c r="X2003" s="6"/>
      <c r="Y2003" s="6"/>
      <c r="Z2003" s="6"/>
      <c r="AA2003" s="6" t="s">
        <v>274</v>
      </c>
      <c r="AB2003" s="8"/>
      <c r="AC2003" s="27">
        <v>9785160095868</v>
      </c>
    </row>
    <row r="2004" spans="1:29" s="4" customFormat="1" ht="44.1" customHeight="1" x14ac:dyDescent="0.2">
      <c r="A2004" s="5">
        <v>0</v>
      </c>
      <c r="B2004" s="6" t="s">
        <v>12084</v>
      </c>
      <c r="C2004" s="7">
        <v>1840.8</v>
      </c>
      <c r="D2004" s="8" t="s">
        <v>12085</v>
      </c>
      <c r="E2004" s="8" t="s">
        <v>12086</v>
      </c>
      <c r="F2004" s="8" t="s">
        <v>12087</v>
      </c>
      <c r="G2004" s="6" t="s">
        <v>33</v>
      </c>
      <c r="H2004" s="6" t="s">
        <v>34</v>
      </c>
      <c r="I2004" s="8" t="s">
        <v>457</v>
      </c>
      <c r="J2004" s="9">
        <v>1</v>
      </c>
      <c r="K2004" s="9">
        <v>265</v>
      </c>
      <c r="L2004" s="9">
        <v>2027</v>
      </c>
      <c r="M2004" s="8" t="s">
        <v>12088</v>
      </c>
      <c r="N2004" s="8" t="s">
        <v>37</v>
      </c>
      <c r="O2004" s="8" t="s">
        <v>136</v>
      </c>
      <c r="P2004" s="6" t="s">
        <v>39</v>
      </c>
      <c r="Q2004" s="8" t="s">
        <v>40</v>
      </c>
      <c r="R2004" s="10" t="s">
        <v>12089</v>
      </c>
      <c r="S2004" s="11"/>
      <c r="T2004" s="6"/>
      <c r="U2004" s="15" t="str">
        <f>HYPERLINK("https://media.infra-m.ru/2271/2271811/cover/2271811.jpg", "Обложка")</f>
        <v>Обложка</v>
      </c>
      <c r="V2004" s="8" t="s">
        <v>247</v>
      </c>
      <c r="W2004" s="6"/>
      <c r="X2004" s="6"/>
      <c r="Y2004" s="6"/>
      <c r="Z2004" s="6"/>
      <c r="AA2004" s="6" t="s">
        <v>1256</v>
      </c>
      <c r="AB2004" s="8"/>
      <c r="AC2004" s="27">
        <v>9785160155203</v>
      </c>
    </row>
    <row r="2005" spans="1:29" s="4" customFormat="1" ht="51.9" customHeight="1" x14ac:dyDescent="0.2">
      <c r="A2005" s="5">
        <v>0</v>
      </c>
      <c r="B2005" s="6" t="s">
        <v>12090</v>
      </c>
      <c r="C2005" s="13">
        <v>600</v>
      </c>
      <c r="D2005" s="8" t="s">
        <v>12091</v>
      </c>
      <c r="E2005" s="8" t="s">
        <v>12092</v>
      </c>
      <c r="F2005" s="8" t="s">
        <v>12093</v>
      </c>
      <c r="G2005" s="6" t="s">
        <v>33</v>
      </c>
      <c r="H2005" s="6" t="s">
        <v>34</v>
      </c>
      <c r="I2005" s="8" t="s">
        <v>35</v>
      </c>
      <c r="J2005" s="9">
        <v>1</v>
      </c>
      <c r="K2005" s="9">
        <v>131</v>
      </c>
      <c r="L2005" s="9">
        <v>2022</v>
      </c>
      <c r="M2005" s="8" t="s">
        <v>12094</v>
      </c>
      <c r="N2005" s="8" t="s">
        <v>37</v>
      </c>
      <c r="O2005" s="8" t="s">
        <v>233</v>
      </c>
      <c r="P2005" s="6" t="s">
        <v>39</v>
      </c>
      <c r="Q2005" s="8" t="s">
        <v>40</v>
      </c>
      <c r="R2005" s="10" t="s">
        <v>12095</v>
      </c>
      <c r="S2005" s="11" t="s">
        <v>12096</v>
      </c>
      <c r="T2005" s="6"/>
      <c r="U2005" s="15" t="str">
        <f>HYPERLINK("https://media.infra-m.ru/1734/1734995/cover/1734995.jpg", "Обложка")</f>
        <v>Обложка</v>
      </c>
      <c r="V2005" s="8" t="s">
        <v>761</v>
      </c>
      <c r="W2005" s="6"/>
      <c r="X2005" s="6"/>
      <c r="Y2005" s="6"/>
      <c r="Z2005" s="6"/>
      <c r="AA2005" s="6" t="s">
        <v>274</v>
      </c>
      <c r="AB2005" s="8"/>
      <c r="AC2005" s="27">
        <v>9785160108148</v>
      </c>
    </row>
    <row r="2006" spans="1:29" s="4" customFormat="1" ht="42" customHeight="1" x14ac:dyDescent="0.2">
      <c r="A2006" s="5">
        <v>0</v>
      </c>
      <c r="B2006" s="6" t="s">
        <v>12097</v>
      </c>
      <c r="C2006" s="13">
        <v>972</v>
      </c>
      <c r="D2006" s="8" t="s">
        <v>12098</v>
      </c>
      <c r="E2006" s="8" t="s">
        <v>12099</v>
      </c>
      <c r="F2006" s="8" t="s">
        <v>11207</v>
      </c>
      <c r="G2006" s="6" t="s">
        <v>33</v>
      </c>
      <c r="H2006" s="6" t="s">
        <v>34</v>
      </c>
      <c r="I2006" s="8" t="s">
        <v>35</v>
      </c>
      <c r="J2006" s="9">
        <v>1</v>
      </c>
      <c r="K2006" s="9">
        <v>179</v>
      </c>
      <c r="L2006" s="9">
        <v>2023</v>
      </c>
      <c r="M2006" s="8" t="s">
        <v>12100</v>
      </c>
      <c r="N2006" s="8" t="s">
        <v>37</v>
      </c>
      <c r="O2006" s="8" t="s">
        <v>83</v>
      </c>
      <c r="P2006" s="6" t="s">
        <v>39</v>
      </c>
      <c r="Q2006" s="8" t="s">
        <v>40</v>
      </c>
      <c r="R2006" s="10" t="s">
        <v>6716</v>
      </c>
      <c r="S2006" s="11"/>
      <c r="T2006" s="6"/>
      <c r="U2006" s="15" t="str">
        <f>HYPERLINK("https://media.infra-m.ru/1871/1871442/cover/1871442.jpg", "Обложка")</f>
        <v>Обложка</v>
      </c>
      <c r="V2006" s="8" t="s">
        <v>11210</v>
      </c>
      <c r="W2006" s="6"/>
      <c r="X2006" s="6"/>
      <c r="Y2006" s="6"/>
      <c r="Z2006" s="6"/>
      <c r="AA2006" s="6" t="s">
        <v>157</v>
      </c>
      <c r="AB2006" s="8"/>
      <c r="AC2006" s="27">
        <v>9785160177427</v>
      </c>
    </row>
    <row r="2007" spans="1:29" s="4" customFormat="1" ht="42" customHeight="1" x14ac:dyDescent="0.2">
      <c r="A2007" s="5">
        <v>0</v>
      </c>
      <c r="B2007" s="6" t="s">
        <v>12101</v>
      </c>
      <c r="C2007" s="7">
        <v>1188</v>
      </c>
      <c r="D2007" s="8" t="s">
        <v>12102</v>
      </c>
      <c r="E2007" s="8" t="s">
        <v>12103</v>
      </c>
      <c r="F2007" s="8" t="s">
        <v>12104</v>
      </c>
      <c r="G2007" s="6" t="s">
        <v>33</v>
      </c>
      <c r="H2007" s="6" t="s">
        <v>34</v>
      </c>
      <c r="I2007" s="8" t="s">
        <v>35</v>
      </c>
      <c r="J2007" s="9">
        <v>1</v>
      </c>
      <c r="K2007" s="9">
        <v>220</v>
      </c>
      <c r="L2007" s="9">
        <v>2023</v>
      </c>
      <c r="M2007" s="8" t="s">
        <v>12105</v>
      </c>
      <c r="N2007" s="8" t="s">
        <v>37</v>
      </c>
      <c r="O2007" s="8" t="s">
        <v>233</v>
      </c>
      <c r="P2007" s="6" t="s">
        <v>39</v>
      </c>
      <c r="Q2007" s="8" t="s">
        <v>40</v>
      </c>
      <c r="R2007" s="10" t="s">
        <v>2033</v>
      </c>
      <c r="S2007" s="11"/>
      <c r="T2007" s="6"/>
      <c r="U2007" s="15" t="str">
        <f>HYPERLINK("https://media.infra-m.ru/2019/2019758/cover/2019758.jpg", "Обложка")</f>
        <v>Обложка</v>
      </c>
      <c r="V2007" s="8" t="s">
        <v>12106</v>
      </c>
      <c r="W2007" s="6"/>
      <c r="X2007" s="6"/>
      <c r="Y2007" s="6"/>
      <c r="Z2007" s="6"/>
      <c r="AA2007" s="6" t="s">
        <v>248</v>
      </c>
      <c r="AB2007" s="8"/>
      <c r="AC2007" s="27">
        <v>9785160104553</v>
      </c>
    </row>
    <row r="2008" spans="1:29" s="4" customFormat="1" ht="51.9" customHeight="1" x14ac:dyDescent="0.2">
      <c r="A2008" s="5">
        <v>0</v>
      </c>
      <c r="B2008" s="6" t="s">
        <v>12107</v>
      </c>
      <c r="C2008" s="13">
        <v>869.9</v>
      </c>
      <c r="D2008" s="8" t="s">
        <v>12108</v>
      </c>
      <c r="E2008" s="8" t="s">
        <v>12109</v>
      </c>
      <c r="F2008" s="8" t="s">
        <v>12110</v>
      </c>
      <c r="G2008" s="6" t="s">
        <v>60</v>
      </c>
      <c r="H2008" s="6" t="s">
        <v>241</v>
      </c>
      <c r="I2008" s="8" t="s">
        <v>3496</v>
      </c>
      <c r="J2008" s="9">
        <v>1</v>
      </c>
      <c r="K2008" s="9">
        <v>206</v>
      </c>
      <c r="L2008" s="9">
        <v>2020</v>
      </c>
      <c r="M2008" s="8" t="s">
        <v>12111</v>
      </c>
      <c r="N2008" s="8" t="s">
        <v>37</v>
      </c>
      <c r="O2008" s="8" t="s">
        <v>280</v>
      </c>
      <c r="P2008" s="6" t="s">
        <v>39</v>
      </c>
      <c r="Q2008" s="8" t="s">
        <v>500</v>
      </c>
      <c r="R2008" s="10" t="s">
        <v>12112</v>
      </c>
      <c r="S2008" s="11"/>
      <c r="T2008" s="6"/>
      <c r="U2008" s="15" t="str">
        <f>HYPERLINK("https://media.infra-m.ru/1047/1047111/cover/1047111.jpg", "Обложка")</f>
        <v>Обложка</v>
      </c>
      <c r="V2008" s="8" t="s">
        <v>3087</v>
      </c>
      <c r="W2008" s="6"/>
      <c r="X2008" s="6"/>
      <c r="Y2008" s="6"/>
      <c r="Z2008" s="6"/>
      <c r="AA2008" s="6" t="s">
        <v>779</v>
      </c>
      <c r="AB2008" s="8"/>
      <c r="AC2008" s="27">
        <v>9785955805429</v>
      </c>
    </row>
    <row r="2009" spans="1:29" s="4" customFormat="1" ht="42" customHeight="1" x14ac:dyDescent="0.2">
      <c r="A2009" s="5">
        <v>0</v>
      </c>
      <c r="B2009" s="6" t="s">
        <v>12113</v>
      </c>
      <c r="C2009" s="7">
        <v>2218.8000000000002</v>
      </c>
      <c r="D2009" s="8" t="s">
        <v>12114</v>
      </c>
      <c r="E2009" s="8" t="s">
        <v>12115</v>
      </c>
      <c r="F2009" s="8" t="s">
        <v>6770</v>
      </c>
      <c r="G2009" s="6" t="s">
        <v>118</v>
      </c>
      <c r="H2009" s="6" t="s">
        <v>34</v>
      </c>
      <c r="I2009" s="8" t="s">
        <v>6772</v>
      </c>
      <c r="J2009" s="9">
        <v>1</v>
      </c>
      <c r="K2009" s="9">
        <v>331</v>
      </c>
      <c r="L2009" s="9">
        <v>2026</v>
      </c>
      <c r="M2009" s="8" t="s">
        <v>12116</v>
      </c>
      <c r="N2009" s="8" t="s">
        <v>243</v>
      </c>
      <c r="O2009" s="8" t="s">
        <v>964</v>
      </c>
      <c r="P2009" s="6" t="s">
        <v>12117</v>
      </c>
      <c r="Q2009" s="8" t="s">
        <v>40</v>
      </c>
      <c r="R2009" s="10" t="s">
        <v>12118</v>
      </c>
      <c r="S2009" s="11"/>
      <c r="T2009" s="6"/>
      <c r="U2009" s="15" t="str">
        <f>HYPERLINK("https://media.infra-m.ru/2214/2214699/cover/2214699.jpg", "Обложка")</f>
        <v>Обложка</v>
      </c>
      <c r="V2009" s="8"/>
      <c r="W2009" s="6"/>
      <c r="X2009" s="6"/>
      <c r="Y2009" s="6"/>
      <c r="Z2009" s="6"/>
      <c r="AA2009" s="6" t="s">
        <v>1303</v>
      </c>
      <c r="AB2009" s="8"/>
      <c r="AC2009" s="27">
        <v>9785160181875</v>
      </c>
    </row>
    <row r="2010" spans="1:29" s="4" customFormat="1" ht="42" customHeight="1" x14ac:dyDescent="0.2">
      <c r="A2010" s="5">
        <v>0</v>
      </c>
      <c r="B2010" s="6" t="s">
        <v>12119</v>
      </c>
      <c r="C2010" s="7">
        <v>1152</v>
      </c>
      <c r="D2010" s="8" t="s">
        <v>12120</v>
      </c>
      <c r="E2010" s="8" t="s">
        <v>12121</v>
      </c>
      <c r="F2010" s="8" t="s">
        <v>6770</v>
      </c>
      <c r="G2010" s="6" t="s">
        <v>33</v>
      </c>
      <c r="H2010" s="6" t="s">
        <v>34</v>
      </c>
      <c r="I2010" s="8" t="s">
        <v>6772</v>
      </c>
      <c r="J2010" s="9">
        <v>1</v>
      </c>
      <c r="K2010" s="9">
        <v>271</v>
      </c>
      <c r="L2010" s="9">
        <v>2022</v>
      </c>
      <c r="M2010" s="8" t="s">
        <v>12122</v>
      </c>
      <c r="N2010" s="8" t="s">
        <v>243</v>
      </c>
      <c r="O2010" s="8" t="s">
        <v>964</v>
      </c>
      <c r="P2010" s="6" t="s">
        <v>12117</v>
      </c>
      <c r="Q2010" s="8" t="s">
        <v>40</v>
      </c>
      <c r="R2010" s="10" t="s">
        <v>12118</v>
      </c>
      <c r="S2010" s="11"/>
      <c r="T2010" s="6"/>
      <c r="U2010" s="15" t="str">
        <f>HYPERLINK("https://media.infra-m.ru/1868/1868800/cover/1868800.jpg", "Обложка")</f>
        <v>Обложка</v>
      </c>
      <c r="V2010" s="8"/>
      <c r="W2010" s="6"/>
      <c r="X2010" s="6"/>
      <c r="Y2010" s="6"/>
      <c r="Z2010" s="6"/>
      <c r="AA2010" s="6" t="s">
        <v>99</v>
      </c>
      <c r="AB2010" s="8"/>
      <c r="AC2010" s="27">
        <v>9785160130576</v>
      </c>
    </row>
    <row r="2011" spans="1:29" s="4" customFormat="1" ht="44.1" customHeight="1" x14ac:dyDescent="0.2">
      <c r="A2011" s="5">
        <v>0</v>
      </c>
      <c r="B2011" s="6" t="s">
        <v>12123</v>
      </c>
      <c r="C2011" s="13">
        <v>636</v>
      </c>
      <c r="D2011" s="8" t="s">
        <v>12124</v>
      </c>
      <c r="E2011" s="8" t="s">
        <v>12125</v>
      </c>
      <c r="F2011" s="8" t="s">
        <v>6770</v>
      </c>
      <c r="G2011" s="6" t="s">
        <v>33</v>
      </c>
      <c r="H2011" s="6" t="s">
        <v>34</v>
      </c>
      <c r="I2011" s="8" t="s">
        <v>6772</v>
      </c>
      <c r="J2011" s="9">
        <v>1</v>
      </c>
      <c r="K2011" s="9">
        <v>96</v>
      </c>
      <c r="L2011" s="9">
        <v>2026</v>
      </c>
      <c r="M2011" s="8" t="s">
        <v>12126</v>
      </c>
      <c r="N2011" s="8" t="s">
        <v>243</v>
      </c>
      <c r="O2011" s="8" t="s">
        <v>964</v>
      </c>
      <c r="P2011" s="6" t="s">
        <v>12117</v>
      </c>
      <c r="Q2011" s="8" t="s">
        <v>40</v>
      </c>
      <c r="R2011" s="10" t="s">
        <v>12127</v>
      </c>
      <c r="S2011" s="11"/>
      <c r="T2011" s="6"/>
      <c r="U2011" s="15" t="str">
        <f>HYPERLINK("https://media.infra-m.ru/2218/2218839/cover/2218839.jpg", "Обложка")</f>
        <v>Обложка</v>
      </c>
      <c r="V2011" s="8"/>
      <c r="W2011" s="6"/>
      <c r="X2011" s="6"/>
      <c r="Y2011" s="6"/>
      <c r="Z2011" s="6"/>
      <c r="AA2011" s="6" t="s">
        <v>99</v>
      </c>
      <c r="AB2011" s="8"/>
      <c r="AC2011" s="27">
        <v>9785160130422</v>
      </c>
    </row>
    <row r="2012" spans="1:29" s="4" customFormat="1" ht="44.1" customHeight="1" x14ac:dyDescent="0.2">
      <c r="A2012" s="5">
        <v>0</v>
      </c>
      <c r="B2012" s="6" t="s">
        <v>12128</v>
      </c>
      <c r="C2012" s="7">
        <v>1798.8</v>
      </c>
      <c r="D2012" s="8" t="s">
        <v>12129</v>
      </c>
      <c r="E2012" s="8" t="s">
        <v>12130</v>
      </c>
      <c r="F2012" s="8" t="s">
        <v>6770</v>
      </c>
      <c r="G2012" s="6" t="s">
        <v>118</v>
      </c>
      <c r="H2012" s="6" t="s">
        <v>34</v>
      </c>
      <c r="I2012" s="8"/>
      <c r="J2012" s="9">
        <v>1</v>
      </c>
      <c r="K2012" s="9">
        <v>130</v>
      </c>
      <c r="L2012" s="9">
        <v>2026</v>
      </c>
      <c r="M2012" s="8" t="s">
        <v>12131</v>
      </c>
      <c r="N2012" s="8" t="s">
        <v>243</v>
      </c>
      <c r="O2012" s="8" t="s">
        <v>964</v>
      </c>
      <c r="P2012" s="6" t="s">
        <v>12117</v>
      </c>
      <c r="Q2012" s="8" t="s">
        <v>40</v>
      </c>
      <c r="R2012" s="10" t="s">
        <v>12127</v>
      </c>
      <c r="S2012" s="11"/>
      <c r="T2012" s="6"/>
      <c r="U2012" s="15" t="str">
        <f>HYPERLINK("https://media.infra-m.ru/2214/2214700/cover/2214700.jpg", "Обложка")</f>
        <v>Обложка</v>
      </c>
      <c r="V2012" s="8"/>
      <c r="W2012" s="6"/>
      <c r="X2012" s="6"/>
      <c r="Y2012" s="6"/>
      <c r="Z2012" s="6"/>
      <c r="AA2012" s="6" t="s">
        <v>157</v>
      </c>
      <c r="AB2012" s="8"/>
      <c r="AC2012" s="27">
        <v>9785160181103</v>
      </c>
    </row>
    <row r="2013" spans="1:29" s="4" customFormat="1" ht="42" customHeight="1" x14ac:dyDescent="0.2">
      <c r="A2013" s="5">
        <v>0</v>
      </c>
      <c r="B2013" s="6" t="s">
        <v>12132</v>
      </c>
      <c r="C2013" s="7">
        <v>1272</v>
      </c>
      <c r="D2013" s="8" t="s">
        <v>12133</v>
      </c>
      <c r="E2013" s="8" t="s">
        <v>12134</v>
      </c>
      <c r="F2013" s="8" t="s">
        <v>6770</v>
      </c>
      <c r="G2013" s="6" t="s">
        <v>118</v>
      </c>
      <c r="H2013" s="6" t="s">
        <v>34</v>
      </c>
      <c r="I2013" s="8" t="s">
        <v>6772</v>
      </c>
      <c r="J2013" s="9">
        <v>1</v>
      </c>
      <c r="K2013" s="9">
        <v>287</v>
      </c>
      <c r="L2013" s="9">
        <v>2022</v>
      </c>
      <c r="M2013" s="8" t="s">
        <v>12135</v>
      </c>
      <c r="N2013" s="8" t="s">
        <v>243</v>
      </c>
      <c r="O2013" s="8" t="s">
        <v>964</v>
      </c>
      <c r="P2013" s="6" t="s">
        <v>12117</v>
      </c>
      <c r="Q2013" s="8" t="s">
        <v>40</v>
      </c>
      <c r="R2013" s="10" t="s">
        <v>12136</v>
      </c>
      <c r="S2013" s="11"/>
      <c r="T2013" s="6"/>
      <c r="U2013" s="15" t="str">
        <f>HYPERLINK("https://media.infra-m.ru/1861/1861121/cover/1861121.jpg", "Обложка")</f>
        <v>Обложка</v>
      </c>
      <c r="V2013" s="8"/>
      <c r="W2013" s="6"/>
      <c r="X2013" s="6"/>
      <c r="Y2013" s="6"/>
      <c r="Z2013" s="6"/>
      <c r="AA2013" s="6" t="s">
        <v>896</v>
      </c>
      <c r="AB2013" s="8"/>
      <c r="AC2013" s="27">
        <v>9785161016251</v>
      </c>
    </row>
    <row r="2014" spans="1:29" s="4" customFormat="1" ht="42" customHeight="1" x14ac:dyDescent="0.2">
      <c r="A2014" s="5">
        <v>0</v>
      </c>
      <c r="B2014" s="6" t="s">
        <v>12137</v>
      </c>
      <c r="C2014" s="7">
        <v>1668</v>
      </c>
      <c r="D2014" s="8" t="s">
        <v>12138</v>
      </c>
      <c r="E2014" s="8" t="s">
        <v>12139</v>
      </c>
      <c r="F2014" s="8"/>
      <c r="G2014" s="6" t="s">
        <v>118</v>
      </c>
      <c r="H2014" s="6" t="s">
        <v>34</v>
      </c>
      <c r="I2014" s="8" t="s">
        <v>6772</v>
      </c>
      <c r="J2014" s="9">
        <v>1</v>
      </c>
      <c r="K2014" s="9">
        <v>264</v>
      </c>
      <c r="L2014" s="9">
        <v>2025</v>
      </c>
      <c r="M2014" s="8" t="s">
        <v>12140</v>
      </c>
      <c r="N2014" s="8" t="s">
        <v>243</v>
      </c>
      <c r="O2014" s="8" t="s">
        <v>964</v>
      </c>
      <c r="P2014" s="6" t="s">
        <v>12117</v>
      </c>
      <c r="Q2014" s="8" t="s">
        <v>40</v>
      </c>
      <c r="R2014" s="10" t="s">
        <v>12136</v>
      </c>
      <c r="S2014" s="11"/>
      <c r="T2014" s="6"/>
      <c r="U2014" s="15" t="str">
        <f>HYPERLINK("https://media.infra-m.ru/2164/2164116/cover/2164116.jpg", "Обложка")</f>
        <v>Обложка</v>
      </c>
      <c r="V2014" s="8"/>
      <c r="W2014" s="6"/>
      <c r="X2014" s="6"/>
      <c r="Y2014" s="6"/>
      <c r="Z2014" s="6"/>
      <c r="AA2014" s="6" t="s">
        <v>1295</v>
      </c>
      <c r="AB2014" s="8"/>
      <c r="AC2014" s="27">
        <v>9785160205861</v>
      </c>
    </row>
    <row r="2015" spans="1:29" s="4" customFormat="1" ht="42" customHeight="1" x14ac:dyDescent="0.2">
      <c r="A2015" s="5">
        <v>0</v>
      </c>
      <c r="B2015" s="6" t="s">
        <v>12141</v>
      </c>
      <c r="C2015" s="7">
        <v>1080</v>
      </c>
      <c r="D2015" s="8" t="s">
        <v>12142</v>
      </c>
      <c r="E2015" s="8" t="s">
        <v>12143</v>
      </c>
      <c r="F2015" s="8" t="s">
        <v>6770</v>
      </c>
      <c r="G2015" s="6" t="s">
        <v>118</v>
      </c>
      <c r="H2015" s="6" t="s">
        <v>34</v>
      </c>
      <c r="I2015" s="8"/>
      <c r="J2015" s="9">
        <v>1</v>
      </c>
      <c r="K2015" s="9">
        <v>271</v>
      </c>
      <c r="L2015" s="9">
        <v>2019</v>
      </c>
      <c r="M2015" s="8" t="s">
        <v>12144</v>
      </c>
      <c r="N2015" s="8" t="s">
        <v>243</v>
      </c>
      <c r="O2015" s="8" t="s">
        <v>964</v>
      </c>
      <c r="P2015" s="6" t="s">
        <v>12117</v>
      </c>
      <c r="Q2015" s="8" t="s">
        <v>40</v>
      </c>
      <c r="R2015" s="10" t="s">
        <v>12136</v>
      </c>
      <c r="S2015" s="11"/>
      <c r="T2015" s="6"/>
      <c r="U2015" s="15" t="str">
        <f>HYPERLINK("https://media.infra-m.ru/1007/1007983/cover/1007983.jpg", "Обложка")</f>
        <v>Обложка</v>
      </c>
      <c r="V2015" s="8"/>
      <c r="W2015" s="6"/>
      <c r="X2015" s="6"/>
      <c r="Y2015" s="6"/>
      <c r="Z2015" s="6"/>
      <c r="AA2015" s="6" t="s">
        <v>99</v>
      </c>
      <c r="AB2015" s="8"/>
      <c r="AC2015" s="27">
        <v>9785160130033</v>
      </c>
    </row>
    <row r="2016" spans="1:29" s="4" customFormat="1" ht="44.1" customHeight="1" x14ac:dyDescent="0.2">
      <c r="A2016" s="5">
        <v>0</v>
      </c>
      <c r="B2016" s="6" t="s">
        <v>12145</v>
      </c>
      <c r="C2016" s="7">
        <v>1284</v>
      </c>
      <c r="D2016" s="8" t="s">
        <v>12146</v>
      </c>
      <c r="E2016" s="8" t="s">
        <v>12147</v>
      </c>
      <c r="F2016" s="8" t="s">
        <v>12148</v>
      </c>
      <c r="G2016" s="6" t="s">
        <v>33</v>
      </c>
      <c r="H2016" s="6" t="s">
        <v>34</v>
      </c>
      <c r="I2016" s="8" t="s">
        <v>35</v>
      </c>
      <c r="J2016" s="9">
        <v>1</v>
      </c>
      <c r="K2016" s="9">
        <v>278</v>
      </c>
      <c r="L2016" s="9">
        <v>2021</v>
      </c>
      <c r="M2016" s="8" t="s">
        <v>12149</v>
      </c>
      <c r="N2016" s="8" t="s">
        <v>37</v>
      </c>
      <c r="O2016" s="8" t="s">
        <v>233</v>
      </c>
      <c r="P2016" s="6" t="s">
        <v>39</v>
      </c>
      <c r="Q2016" s="8" t="s">
        <v>40</v>
      </c>
      <c r="R2016" s="10" t="s">
        <v>3008</v>
      </c>
      <c r="S2016" s="11"/>
      <c r="T2016" s="6"/>
      <c r="U2016" s="15" t="str">
        <f>HYPERLINK("https://media.infra-m.ru/1371/1371304/cover/1371304.jpg", "Обложка")</f>
        <v>Обложка</v>
      </c>
      <c r="V2016" s="8"/>
      <c r="W2016" s="6"/>
      <c r="X2016" s="6"/>
      <c r="Y2016" s="6"/>
      <c r="Z2016" s="6"/>
      <c r="AA2016" s="6" t="s">
        <v>430</v>
      </c>
      <c r="AB2016" s="8"/>
      <c r="AC2016" s="27">
        <v>9785160169125</v>
      </c>
    </row>
    <row r="2017" spans="1:29" s="4" customFormat="1" ht="51.9" customHeight="1" x14ac:dyDescent="0.2">
      <c r="A2017" s="5">
        <v>0</v>
      </c>
      <c r="B2017" s="6" t="s">
        <v>12150</v>
      </c>
      <c r="C2017" s="7">
        <v>1457.9</v>
      </c>
      <c r="D2017" s="8" t="s">
        <v>12151</v>
      </c>
      <c r="E2017" s="8" t="s">
        <v>12152</v>
      </c>
      <c r="F2017" s="8" t="s">
        <v>12153</v>
      </c>
      <c r="G2017" s="6" t="s">
        <v>60</v>
      </c>
      <c r="H2017" s="6" t="s">
        <v>48</v>
      </c>
      <c r="I2017" s="8" t="s">
        <v>253</v>
      </c>
      <c r="J2017" s="9">
        <v>10</v>
      </c>
      <c r="K2017" s="9">
        <v>320</v>
      </c>
      <c r="L2017" s="9">
        <v>2022</v>
      </c>
      <c r="M2017" s="8" t="s">
        <v>12154</v>
      </c>
      <c r="N2017" s="8" t="s">
        <v>243</v>
      </c>
      <c r="O2017" s="8" t="s">
        <v>758</v>
      </c>
      <c r="P2017" s="6" t="s">
        <v>306</v>
      </c>
      <c r="Q2017" s="8" t="s">
        <v>52</v>
      </c>
      <c r="R2017" s="10" t="s">
        <v>330</v>
      </c>
      <c r="S2017" s="11"/>
      <c r="T2017" s="6"/>
      <c r="U2017" s="15" t="str">
        <f>HYPERLINK("https://media.infra-m.ru/1836/1836111/cover/1836111.jpg", "Обложка")</f>
        <v>Обложка</v>
      </c>
      <c r="V2017" s="8" t="s">
        <v>1206</v>
      </c>
      <c r="W2017" s="6"/>
      <c r="X2017" s="6"/>
      <c r="Y2017" s="6"/>
      <c r="Z2017" s="6"/>
      <c r="AA2017" s="6" t="s">
        <v>274</v>
      </c>
      <c r="AB2017" s="8"/>
      <c r="AC2017" s="27">
        <v>9785000910733</v>
      </c>
    </row>
    <row r="2018" spans="1:29" s="4" customFormat="1" ht="51.9" customHeight="1" x14ac:dyDescent="0.2">
      <c r="A2018" s="5">
        <v>0</v>
      </c>
      <c r="B2018" s="6" t="s">
        <v>12155</v>
      </c>
      <c r="C2018" s="7">
        <v>2280</v>
      </c>
      <c r="D2018" s="8" t="s">
        <v>12156</v>
      </c>
      <c r="E2018" s="8" t="s">
        <v>12157</v>
      </c>
      <c r="F2018" s="8" t="s">
        <v>12153</v>
      </c>
      <c r="G2018" s="6" t="s">
        <v>60</v>
      </c>
      <c r="H2018" s="6" t="s">
        <v>34</v>
      </c>
      <c r="I2018" s="8" t="s">
        <v>253</v>
      </c>
      <c r="J2018" s="9">
        <v>1</v>
      </c>
      <c r="K2018" s="9">
        <v>391</v>
      </c>
      <c r="L2018" s="9">
        <v>2024</v>
      </c>
      <c r="M2018" s="8" t="s">
        <v>12158</v>
      </c>
      <c r="N2018" s="8" t="s">
        <v>243</v>
      </c>
      <c r="O2018" s="8" t="s">
        <v>758</v>
      </c>
      <c r="P2018" s="6" t="s">
        <v>306</v>
      </c>
      <c r="Q2018" s="8" t="s">
        <v>52</v>
      </c>
      <c r="R2018" s="10" t="s">
        <v>330</v>
      </c>
      <c r="S2018" s="11"/>
      <c r="T2018" s="6"/>
      <c r="U2018" s="15" t="str">
        <f>HYPERLINK("https://media.infra-m.ru/1870/1870562/cover/1870562.jpg", "Обложка")</f>
        <v>Обложка</v>
      </c>
      <c r="V2018" s="8" t="s">
        <v>1206</v>
      </c>
      <c r="W2018" s="6"/>
      <c r="X2018" s="6"/>
      <c r="Y2018" s="6"/>
      <c r="Z2018" s="6"/>
      <c r="AA2018" s="6" t="s">
        <v>106</v>
      </c>
      <c r="AB2018" s="8"/>
      <c r="AC2018" s="27">
        <v>9785160177229</v>
      </c>
    </row>
    <row r="2019" spans="1:29" s="4" customFormat="1" ht="51.9" customHeight="1" x14ac:dyDescent="0.2">
      <c r="A2019" s="5">
        <v>0</v>
      </c>
      <c r="B2019" s="6" t="s">
        <v>12159</v>
      </c>
      <c r="C2019" s="13">
        <v>768</v>
      </c>
      <c r="D2019" s="8" t="s">
        <v>12160</v>
      </c>
      <c r="E2019" s="8" t="s">
        <v>12161</v>
      </c>
      <c r="F2019" s="8" t="s">
        <v>12162</v>
      </c>
      <c r="G2019" s="6" t="s">
        <v>33</v>
      </c>
      <c r="H2019" s="6" t="s">
        <v>34</v>
      </c>
      <c r="I2019" s="8" t="s">
        <v>35</v>
      </c>
      <c r="J2019" s="9">
        <v>1</v>
      </c>
      <c r="K2019" s="9">
        <v>142</v>
      </c>
      <c r="L2019" s="9">
        <v>2023</v>
      </c>
      <c r="M2019" s="8" t="s">
        <v>12163</v>
      </c>
      <c r="N2019" s="8" t="s">
        <v>37</v>
      </c>
      <c r="O2019" s="8" t="s">
        <v>280</v>
      </c>
      <c r="P2019" s="6" t="s">
        <v>39</v>
      </c>
      <c r="Q2019" s="8" t="s">
        <v>40</v>
      </c>
      <c r="R2019" s="10" t="s">
        <v>12164</v>
      </c>
      <c r="S2019" s="11"/>
      <c r="T2019" s="6"/>
      <c r="U2019" s="15" t="str">
        <f>HYPERLINK("https://media.infra-m.ru/1905/1905073/cover/1905073.jpg", "Обложка")</f>
        <v>Обложка</v>
      </c>
      <c r="V2019" s="8" t="s">
        <v>396</v>
      </c>
      <c r="W2019" s="6"/>
      <c r="X2019" s="6"/>
      <c r="Y2019" s="6"/>
      <c r="Z2019" s="6"/>
      <c r="AA2019" s="6" t="s">
        <v>404</v>
      </c>
      <c r="AB2019" s="8"/>
      <c r="AC2019" s="27">
        <v>9785160138138</v>
      </c>
    </row>
    <row r="2020" spans="1:29" s="4" customFormat="1" ht="51.9" customHeight="1" x14ac:dyDescent="0.2">
      <c r="A2020" s="5">
        <v>0</v>
      </c>
      <c r="B2020" s="6" t="s">
        <v>12165</v>
      </c>
      <c r="C2020" s="7">
        <v>1728</v>
      </c>
      <c r="D2020" s="8" t="s">
        <v>12166</v>
      </c>
      <c r="E2020" s="8" t="s">
        <v>12167</v>
      </c>
      <c r="F2020" s="8" t="s">
        <v>12168</v>
      </c>
      <c r="G2020" s="6" t="s">
        <v>33</v>
      </c>
      <c r="H2020" s="6" t="s">
        <v>313</v>
      </c>
      <c r="I2020" s="8" t="s">
        <v>35</v>
      </c>
      <c r="J2020" s="9">
        <v>1</v>
      </c>
      <c r="K2020" s="9">
        <v>262</v>
      </c>
      <c r="L2020" s="9">
        <v>2026</v>
      </c>
      <c r="M2020" s="8" t="s">
        <v>12169</v>
      </c>
      <c r="N2020" s="8" t="s">
        <v>37</v>
      </c>
      <c r="O2020" s="8" t="s">
        <v>233</v>
      </c>
      <c r="P2020" s="6" t="s">
        <v>39</v>
      </c>
      <c r="Q2020" s="8" t="s">
        <v>749</v>
      </c>
      <c r="R2020" s="10" t="s">
        <v>12170</v>
      </c>
      <c r="S2020" s="11"/>
      <c r="T2020" s="6"/>
      <c r="U2020" s="15" t="str">
        <f>HYPERLINK("https://media.infra-m.ru/2249/2249327/cover/2249327.jpg", "Обложка")</f>
        <v>Обложка</v>
      </c>
      <c r="V2020" s="8" t="s">
        <v>12171</v>
      </c>
      <c r="W2020" s="6"/>
      <c r="X2020" s="6"/>
      <c r="Y2020" s="6"/>
      <c r="Z2020" s="6"/>
      <c r="AA2020" s="6" t="s">
        <v>779</v>
      </c>
      <c r="AB2020" s="8"/>
      <c r="AC2020" s="27">
        <v>9785369014721</v>
      </c>
    </row>
    <row r="2021" spans="1:29" s="4" customFormat="1" ht="44.1" customHeight="1" x14ac:dyDescent="0.2">
      <c r="A2021" s="5">
        <v>0</v>
      </c>
      <c r="B2021" s="6" t="s">
        <v>12172</v>
      </c>
      <c r="C2021" s="7">
        <v>3444</v>
      </c>
      <c r="D2021" s="8" t="s">
        <v>12173</v>
      </c>
      <c r="E2021" s="8" t="s">
        <v>12174</v>
      </c>
      <c r="F2021" s="8" t="s">
        <v>12175</v>
      </c>
      <c r="G2021" s="6" t="s">
        <v>60</v>
      </c>
      <c r="H2021" s="6" t="s">
        <v>1644</v>
      </c>
      <c r="I2021" s="8"/>
      <c r="J2021" s="9">
        <v>1</v>
      </c>
      <c r="K2021" s="9">
        <v>624</v>
      </c>
      <c r="L2021" s="9">
        <v>2024</v>
      </c>
      <c r="M2021" s="8" t="s">
        <v>12176</v>
      </c>
      <c r="N2021" s="8" t="s">
        <v>37</v>
      </c>
      <c r="O2021" s="8" t="s">
        <v>280</v>
      </c>
      <c r="P2021" s="6" t="s">
        <v>306</v>
      </c>
      <c r="Q2021" s="8" t="s">
        <v>500</v>
      </c>
      <c r="R2021" s="10" t="s">
        <v>2053</v>
      </c>
      <c r="S2021" s="11"/>
      <c r="T2021" s="6"/>
      <c r="U2021" s="15" t="str">
        <f>HYPERLINK("https://media.infra-m.ru/2094/2094354/cover/2094354.jpg", "Обложка")</f>
        <v>Обложка</v>
      </c>
      <c r="V2021" s="8" t="s">
        <v>247</v>
      </c>
      <c r="W2021" s="6"/>
      <c r="X2021" s="6"/>
      <c r="Y2021" s="6"/>
      <c r="Z2021" s="6"/>
      <c r="AA2021" s="6" t="s">
        <v>430</v>
      </c>
      <c r="AB2021" s="8"/>
      <c r="AC2021" s="27">
        <v>9785977605328</v>
      </c>
    </row>
    <row r="2022" spans="1:29" s="4" customFormat="1" ht="44.1" customHeight="1" x14ac:dyDescent="0.2">
      <c r="A2022" s="5">
        <v>0</v>
      </c>
      <c r="B2022" s="6" t="s">
        <v>12177</v>
      </c>
      <c r="C2022" s="7">
        <v>1156.8</v>
      </c>
      <c r="D2022" s="8" t="s">
        <v>12178</v>
      </c>
      <c r="E2022" s="8" t="s">
        <v>12179</v>
      </c>
      <c r="F2022" s="8" t="s">
        <v>12180</v>
      </c>
      <c r="G2022" s="6" t="s">
        <v>33</v>
      </c>
      <c r="H2022" s="6" t="s">
        <v>34</v>
      </c>
      <c r="I2022" s="8" t="s">
        <v>35</v>
      </c>
      <c r="J2022" s="9">
        <v>1</v>
      </c>
      <c r="K2022" s="9">
        <v>174</v>
      </c>
      <c r="L2022" s="9">
        <v>2026</v>
      </c>
      <c r="M2022" s="8" t="s">
        <v>12181</v>
      </c>
      <c r="N2022" s="8" t="s">
        <v>37</v>
      </c>
      <c r="O2022" s="8" t="s">
        <v>233</v>
      </c>
      <c r="P2022" s="6" t="s">
        <v>39</v>
      </c>
      <c r="Q2022" s="8" t="s">
        <v>40</v>
      </c>
      <c r="R2022" s="10" t="s">
        <v>12182</v>
      </c>
      <c r="S2022" s="11"/>
      <c r="T2022" s="6"/>
      <c r="U2022" s="15" t="str">
        <f>HYPERLINK("https://media.infra-m.ru/2239/2239104/cover/2239104.jpg", "Обложка")</f>
        <v>Обложка</v>
      </c>
      <c r="V2022" s="8" t="s">
        <v>761</v>
      </c>
      <c r="W2022" s="6"/>
      <c r="X2022" s="6"/>
      <c r="Y2022" s="6"/>
      <c r="Z2022" s="6"/>
      <c r="AA2022" s="6" t="s">
        <v>86</v>
      </c>
      <c r="AB2022" s="8"/>
      <c r="AC2022" s="27">
        <v>9785160142289</v>
      </c>
    </row>
    <row r="2023" spans="1:29" s="4" customFormat="1" ht="44.1" customHeight="1" x14ac:dyDescent="0.2">
      <c r="A2023" s="5">
        <v>0</v>
      </c>
      <c r="B2023" s="6" t="s">
        <v>12183</v>
      </c>
      <c r="C2023" s="13">
        <v>648</v>
      </c>
      <c r="D2023" s="8" t="s">
        <v>12184</v>
      </c>
      <c r="E2023" s="8" t="s">
        <v>12179</v>
      </c>
      <c r="F2023" s="8" t="s">
        <v>12180</v>
      </c>
      <c r="G2023" s="6" t="s">
        <v>60</v>
      </c>
      <c r="H2023" s="6" t="s">
        <v>34</v>
      </c>
      <c r="I2023" s="8" t="s">
        <v>35</v>
      </c>
      <c r="J2023" s="9">
        <v>1</v>
      </c>
      <c r="K2023" s="9">
        <v>174</v>
      </c>
      <c r="L2023" s="9">
        <v>2018</v>
      </c>
      <c r="M2023" s="8" t="s">
        <v>12185</v>
      </c>
      <c r="N2023" s="8" t="s">
        <v>37</v>
      </c>
      <c r="O2023" s="8" t="s">
        <v>233</v>
      </c>
      <c r="P2023" s="6" t="s">
        <v>39</v>
      </c>
      <c r="Q2023" s="8" t="s">
        <v>40</v>
      </c>
      <c r="R2023" s="10" t="s">
        <v>12182</v>
      </c>
      <c r="S2023" s="11"/>
      <c r="T2023" s="6" t="s">
        <v>97</v>
      </c>
      <c r="U2023" s="12"/>
      <c r="V2023" s="8" t="s">
        <v>761</v>
      </c>
      <c r="W2023" s="6"/>
      <c r="X2023" s="6"/>
      <c r="Y2023" s="6"/>
      <c r="Z2023" s="6"/>
      <c r="AA2023" s="6" t="s">
        <v>86</v>
      </c>
      <c r="AB2023" s="8"/>
      <c r="AC2023" s="27">
        <v>9785160130736</v>
      </c>
    </row>
    <row r="2024" spans="1:29" s="4" customFormat="1" ht="51.9" customHeight="1" x14ac:dyDescent="0.2">
      <c r="A2024" s="5">
        <v>0</v>
      </c>
      <c r="B2024" s="6" t="s">
        <v>12186</v>
      </c>
      <c r="C2024" s="7">
        <v>1380</v>
      </c>
      <c r="D2024" s="8" t="s">
        <v>12187</v>
      </c>
      <c r="E2024" s="8" t="s">
        <v>12188</v>
      </c>
      <c r="F2024" s="8" t="s">
        <v>12189</v>
      </c>
      <c r="G2024" s="6" t="s">
        <v>60</v>
      </c>
      <c r="H2024" s="6" t="s">
        <v>34</v>
      </c>
      <c r="I2024" s="8" t="s">
        <v>35</v>
      </c>
      <c r="J2024" s="9">
        <v>1</v>
      </c>
      <c r="K2024" s="9">
        <v>173</v>
      </c>
      <c r="L2024" s="9">
        <v>2027</v>
      </c>
      <c r="M2024" s="8" t="s">
        <v>12190</v>
      </c>
      <c r="N2024" s="8" t="s">
        <v>37</v>
      </c>
      <c r="O2024" s="8" t="s">
        <v>499</v>
      </c>
      <c r="P2024" s="6" t="s">
        <v>39</v>
      </c>
      <c r="Q2024" s="8" t="s">
        <v>40</v>
      </c>
      <c r="R2024" s="10" t="s">
        <v>12191</v>
      </c>
      <c r="S2024" s="11"/>
      <c r="T2024" s="6"/>
      <c r="U2024" s="15" t="str">
        <f>HYPERLINK("https://media.infra-m.ru/2234/2234401/cover/2234401.jpg", "Обложка")</f>
        <v>Обложка</v>
      </c>
      <c r="V2024" s="8" t="s">
        <v>396</v>
      </c>
      <c r="W2024" s="6" t="s">
        <v>2115</v>
      </c>
      <c r="X2024" s="6"/>
      <c r="Y2024" s="6"/>
      <c r="Z2024" s="6"/>
      <c r="AA2024" s="6" t="s">
        <v>420</v>
      </c>
      <c r="AB2024" s="8" t="s">
        <v>6493</v>
      </c>
      <c r="AC2024" s="27">
        <v>9785160216799</v>
      </c>
    </row>
    <row r="2025" spans="1:29" s="4" customFormat="1" ht="42" customHeight="1" x14ac:dyDescent="0.2">
      <c r="A2025" s="5">
        <v>0</v>
      </c>
      <c r="B2025" s="6" t="s">
        <v>12192</v>
      </c>
      <c r="C2025" s="13">
        <v>984</v>
      </c>
      <c r="D2025" s="8" t="s">
        <v>12193</v>
      </c>
      <c r="E2025" s="8" t="s">
        <v>12194</v>
      </c>
      <c r="F2025" s="8" t="s">
        <v>12195</v>
      </c>
      <c r="G2025" s="6" t="s">
        <v>33</v>
      </c>
      <c r="H2025" s="6" t="s">
        <v>34</v>
      </c>
      <c r="I2025" s="8" t="s">
        <v>457</v>
      </c>
      <c r="J2025" s="9">
        <v>1</v>
      </c>
      <c r="K2025" s="9">
        <v>166</v>
      </c>
      <c r="L2025" s="9">
        <v>2024</v>
      </c>
      <c r="M2025" s="8" t="s">
        <v>12196</v>
      </c>
      <c r="N2025" s="8" t="s">
        <v>37</v>
      </c>
      <c r="O2025" s="8" t="s">
        <v>233</v>
      </c>
      <c r="P2025" s="6" t="s">
        <v>39</v>
      </c>
      <c r="Q2025" s="8" t="s">
        <v>40</v>
      </c>
      <c r="R2025" s="10" t="s">
        <v>3008</v>
      </c>
      <c r="S2025" s="11"/>
      <c r="T2025" s="6"/>
      <c r="U2025" s="15" t="str">
        <f>HYPERLINK("https://media.infra-m.ru/2065/2065515/cover/2065515.jpg", "Обложка")</f>
        <v>Обложка</v>
      </c>
      <c r="V2025" s="8" t="s">
        <v>247</v>
      </c>
      <c r="W2025" s="6"/>
      <c r="X2025" s="6"/>
      <c r="Y2025" s="6"/>
      <c r="Z2025" s="6"/>
      <c r="AA2025" s="6" t="s">
        <v>157</v>
      </c>
      <c r="AB2025" s="8"/>
      <c r="AC2025" s="27">
        <v>9785160180342</v>
      </c>
    </row>
    <row r="2026" spans="1:29" s="4" customFormat="1" ht="44.1" customHeight="1" x14ac:dyDescent="0.2">
      <c r="A2026" s="5">
        <v>0</v>
      </c>
      <c r="B2026" s="6" t="s">
        <v>12197</v>
      </c>
      <c r="C2026" s="7">
        <v>1420.8</v>
      </c>
      <c r="D2026" s="8" t="s">
        <v>12198</v>
      </c>
      <c r="E2026" s="8" t="s">
        <v>12199</v>
      </c>
      <c r="F2026" s="8" t="s">
        <v>12200</v>
      </c>
      <c r="G2026" s="6" t="s">
        <v>60</v>
      </c>
      <c r="H2026" s="6" t="s">
        <v>34</v>
      </c>
      <c r="I2026" s="8" t="s">
        <v>35</v>
      </c>
      <c r="J2026" s="9">
        <v>1</v>
      </c>
      <c r="K2026" s="9">
        <v>251</v>
      </c>
      <c r="L2026" s="9">
        <v>2024</v>
      </c>
      <c r="M2026" s="8" t="s">
        <v>12201</v>
      </c>
      <c r="N2026" s="8" t="s">
        <v>37</v>
      </c>
      <c r="O2026" s="8" t="s">
        <v>136</v>
      </c>
      <c r="P2026" s="6" t="s">
        <v>39</v>
      </c>
      <c r="Q2026" s="8" t="s">
        <v>40</v>
      </c>
      <c r="R2026" s="10" t="s">
        <v>12202</v>
      </c>
      <c r="S2026" s="11"/>
      <c r="T2026" s="6"/>
      <c r="U2026" s="15" t="str">
        <f>HYPERLINK("https://media.infra-m.ru/2137/2137808/cover/2137808.jpg", "Обложка")</f>
        <v>Обложка</v>
      </c>
      <c r="V2026" s="8" t="s">
        <v>12203</v>
      </c>
      <c r="W2026" s="6"/>
      <c r="X2026" s="6"/>
      <c r="Y2026" s="6"/>
      <c r="Z2026" s="6"/>
      <c r="AA2026" s="6" t="s">
        <v>86</v>
      </c>
      <c r="AB2026" s="8"/>
      <c r="AC2026" s="27">
        <v>9785160132761</v>
      </c>
    </row>
    <row r="2027" spans="1:29" s="4" customFormat="1" ht="51.9" customHeight="1" x14ac:dyDescent="0.2">
      <c r="A2027" s="5">
        <v>0</v>
      </c>
      <c r="B2027" s="6" t="s">
        <v>12204</v>
      </c>
      <c r="C2027" s="7">
        <v>1668</v>
      </c>
      <c r="D2027" s="8" t="s">
        <v>12205</v>
      </c>
      <c r="E2027" s="8" t="s">
        <v>12206</v>
      </c>
      <c r="F2027" s="8" t="s">
        <v>12207</v>
      </c>
      <c r="G2027" s="6" t="s">
        <v>60</v>
      </c>
      <c r="H2027" s="6" t="s">
        <v>34</v>
      </c>
      <c r="I2027" s="8" t="s">
        <v>35</v>
      </c>
      <c r="J2027" s="9">
        <v>1</v>
      </c>
      <c r="K2027" s="9">
        <v>254</v>
      </c>
      <c r="L2027" s="9">
        <v>2025</v>
      </c>
      <c r="M2027" s="8" t="s">
        <v>12208</v>
      </c>
      <c r="N2027" s="8" t="s">
        <v>37</v>
      </c>
      <c r="O2027" s="8" t="s">
        <v>233</v>
      </c>
      <c r="P2027" s="6" t="s">
        <v>39</v>
      </c>
      <c r="Q2027" s="8" t="s">
        <v>40</v>
      </c>
      <c r="R2027" s="10" t="s">
        <v>12209</v>
      </c>
      <c r="S2027" s="11"/>
      <c r="T2027" s="6"/>
      <c r="U2027" s="15" t="str">
        <f>HYPERLINK("https://media.infra-m.ru/2188/2188422/cover/2188422.jpg", "Обложка")</f>
        <v>Обложка</v>
      </c>
      <c r="V2027" s="8" t="s">
        <v>12210</v>
      </c>
      <c r="W2027" s="6"/>
      <c r="X2027" s="6"/>
      <c r="Y2027" s="6"/>
      <c r="Z2027" s="6"/>
      <c r="AA2027" s="6" t="s">
        <v>68</v>
      </c>
      <c r="AB2027" s="8" t="s">
        <v>2922</v>
      </c>
      <c r="AC2027" s="27">
        <v>9785160207025</v>
      </c>
    </row>
    <row r="2028" spans="1:29" s="4" customFormat="1" ht="51.9" customHeight="1" x14ac:dyDescent="0.2">
      <c r="A2028" s="5">
        <v>0</v>
      </c>
      <c r="B2028" s="6" t="s">
        <v>12211</v>
      </c>
      <c r="C2028" s="7">
        <v>1588.8</v>
      </c>
      <c r="D2028" s="8" t="s">
        <v>12212</v>
      </c>
      <c r="E2028" s="8" t="s">
        <v>12213</v>
      </c>
      <c r="F2028" s="8" t="s">
        <v>12214</v>
      </c>
      <c r="G2028" s="6" t="s">
        <v>118</v>
      </c>
      <c r="H2028" s="6" t="s">
        <v>134</v>
      </c>
      <c r="I2028" s="8"/>
      <c r="J2028" s="9">
        <v>1</v>
      </c>
      <c r="K2028" s="9">
        <v>264</v>
      </c>
      <c r="L2028" s="9">
        <v>2025</v>
      </c>
      <c r="M2028" s="8" t="s">
        <v>12215</v>
      </c>
      <c r="N2028" s="8" t="s">
        <v>37</v>
      </c>
      <c r="O2028" s="8" t="s">
        <v>136</v>
      </c>
      <c r="P2028" s="6" t="s">
        <v>39</v>
      </c>
      <c r="Q2028" s="8" t="s">
        <v>40</v>
      </c>
      <c r="R2028" s="10" t="s">
        <v>12216</v>
      </c>
      <c r="S2028" s="11"/>
      <c r="T2028" s="6"/>
      <c r="U2028" s="15" t="str">
        <f>HYPERLINK("https://media.infra-m.ru/2180/2180480/cover/2180480.jpg", "Обложка")</f>
        <v>Обложка</v>
      </c>
      <c r="V2028" s="8" t="s">
        <v>1069</v>
      </c>
      <c r="W2028" s="6"/>
      <c r="X2028" s="6"/>
      <c r="Y2028" s="6"/>
      <c r="Z2028" s="6"/>
      <c r="AA2028" s="6" t="s">
        <v>1256</v>
      </c>
      <c r="AB2028" s="8"/>
      <c r="AC2028" s="27">
        <v>9785001560920</v>
      </c>
    </row>
    <row r="2029" spans="1:29" s="4" customFormat="1" ht="44.1" customHeight="1" x14ac:dyDescent="0.2">
      <c r="A2029" s="5">
        <v>0</v>
      </c>
      <c r="B2029" s="6" t="s">
        <v>12217</v>
      </c>
      <c r="C2029" s="7">
        <v>1324.8</v>
      </c>
      <c r="D2029" s="8" t="s">
        <v>12218</v>
      </c>
      <c r="E2029" s="8" t="s">
        <v>12219</v>
      </c>
      <c r="F2029" s="8" t="s">
        <v>12220</v>
      </c>
      <c r="G2029" s="6" t="s">
        <v>33</v>
      </c>
      <c r="H2029" s="6" t="s">
        <v>1644</v>
      </c>
      <c r="I2029" s="8"/>
      <c r="J2029" s="9">
        <v>1</v>
      </c>
      <c r="K2029" s="9">
        <v>200</v>
      </c>
      <c r="L2029" s="9">
        <v>2026</v>
      </c>
      <c r="M2029" s="8" t="s">
        <v>12221</v>
      </c>
      <c r="N2029" s="8" t="s">
        <v>37</v>
      </c>
      <c r="O2029" s="8" t="s">
        <v>83</v>
      </c>
      <c r="P2029" s="6" t="s">
        <v>39</v>
      </c>
      <c r="Q2029" s="8" t="s">
        <v>40</v>
      </c>
      <c r="R2029" s="10" t="s">
        <v>9147</v>
      </c>
      <c r="S2029" s="11"/>
      <c r="T2029" s="6"/>
      <c r="U2029" s="15" t="str">
        <f>HYPERLINK("https://media.infra-m.ru/2215/2215495/cover/2215495.jpg", "Обложка")</f>
        <v>Обложка</v>
      </c>
      <c r="V2029" s="8" t="s">
        <v>396</v>
      </c>
      <c r="W2029" s="6"/>
      <c r="X2029" s="6"/>
      <c r="Y2029" s="6"/>
      <c r="Z2029" s="6"/>
      <c r="AA2029" s="6" t="s">
        <v>43</v>
      </c>
      <c r="AB2029" s="8"/>
      <c r="AC2029" s="27">
        <v>9785977602488</v>
      </c>
    </row>
    <row r="2030" spans="1:29" s="4" customFormat="1" ht="51.9" customHeight="1" x14ac:dyDescent="0.2">
      <c r="A2030" s="5">
        <v>0</v>
      </c>
      <c r="B2030" s="6" t="s">
        <v>12222</v>
      </c>
      <c r="C2030" s="7">
        <v>1996.8</v>
      </c>
      <c r="D2030" s="8" t="s">
        <v>12223</v>
      </c>
      <c r="E2030" s="8" t="s">
        <v>12224</v>
      </c>
      <c r="F2030" s="8" t="s">
        <v>12225</v>
      </c>
      <c r="G2030" s="6" t="s">
        <v>118</v>
      </c>
      <c r="H2030" s="6" t="s">
        <v>34</v>
      </c>
      <c r="I2030" s="8" t="s">
        <v>504</v>
      </c>
      <c r="J2030" s="9">
        <v>1</v>
      </c>
      <c r="K2030" s="9">
        <v>302</v>
      </c>
      <c r="L2030" s="9">
        <v>2026</v>
      </c>
      <c r="M2030" s="8" t="s">
        <v>12226</v>
      </c>
      <c r="N2030" s="8" t="s">
        <v>243</v>
      </c>
      <c r="O2030" s="8" t="s">
        <v>1100</v>
      </c>
      <c r="P2030" s="6" t="s">
        <v>51</v>
      </c>
      <c r="Q2030" s="8" t="s">
        <v>500</v>
      </c>
      <c r="R2030" s="10" t="s">
        <v>12227</v>
      </c>
      <c r="S2030" s="11" t="s">
        <v>12228</v>
      </c>
      <c r="T2030" s="6" t="s">
        <v>97</v>
      </c>
      <c r="U2030" s="15" t="str">
        <f>HYPERLINK("https://media.infra-m.ru/2246/2246647/cover/2246647.jpg", "Обложка")</f>
        <v>Обложка</v>
      </c>
      <c r="V2030" s="8" t="s">
        <v>1030</v>
      </c>
      <c r="W2030" s="6"/>
      <c r="X2030" s="6"/>
      <c r="Y2030" s="6"/>
      <c r="Z2030" s="6"/>
      <c r="AA2030" s="6" t="s">
        <v>248</v>
      </c>
      <c r="AB2030" s="8"/>
      <c r="AC2030" s="27">
        <v>9785160064697</v>
      </c>
    </row>
    <row r="2031" spans="1:29" s="4" customFormat="1" ht="51.9" customHeight="1" x14ac:dyDescent="0.2">
      <c r="A2031" s="5">
        <v>0</v>
      </c>
      <c r="B2031" s="6" t="s">
        <v>12229</v>
      </c>
      <c r="C2031" s="7">
        <v>1072.8</v>
      </c>
      <c r="D2031" s="8" t="s">
        <v>12230</v>
      </c>
      <c r="E2031" s="8" t="s">
        <v>12231</v>
      </c>
      <c r="F2031" s="8" t="s">
        <v>12232</v>
      </c>
      <c r="G2031" s="6" t="s">
        <v>33</v>
      </c>
      <c r="H2031" s="6" t="s">
        <v>34</v>
      </c>
      <c r="I2031" s="8" t="s">
        <v>35</v>
      </c>
      <c r="J2031" s="9">
        <v>1</v>
      </c>
      <c r="K2031" s="9">
        <v>162</v>
      </c>
      <c r="L2031" s="9">
        <v>2026</v>
      </c>
      <c r="M2031" s="8" t="s">
        <v>12233</v>
      </c>
      <c r="N2031" s="8" t="s">
        <v>37</v>
      </c>
      <c r="O2031" s="8" t="s">
        <v>280</v>
      </c>
      <c r="P2031" s="6" t="s">
        <v>39</v>
      </c>
      <c r="Q2031" s="8" t="s">
        <v>40</v>
      </c>
      <c r="R2031" s="10" t="s">
        <v>12234</v>
      </c>
      <c r="S2031" s="11"/>
      <c r="T2031" s="6"/>
      <c r="U2031" s="15" t="str">
        <f>HYPERLINK("https://media.infra-m.ru/2253/2253918/cover/2253918.jpg", "Обложка")</f>
        <v>Обложка</v>
      </c>
      <c r="V2031" s="8" t="s">
        <v>12235</v>
      </c>
      <c r="W2031" s="6"/>
      <c r="X2031" s="6"/>
      <c r="Y2031" s="6"/>
      <c r="Z2031" s="6"/>
      <c r="AA2031" s="6" t="s">
        <v>148</v>
      </c>
      <c r="AB2031" s="8"/>
      <c r="AC2031" s="27">
        <v>9785160163048</v>
      </c>
    </row>
    <row r="2032" spans="1:29" s="4" customFormat="1" ht="51.9" customHeight="1" x14ac:dyDescent="0.2">
      <c r="A2032" s="5">
        <v>0</v>
      </c>
      <c r="B2032" s="6" t="s">
        <v>12236</v>
      </c>
      <c r="C2032" s="7">
        <v>1804.8</v>
      </c>
      <c r="D2032" s="8" t="s">
        <v>12237</v>
      </c>
      <c r="E2032" s="8" t="s">
        <v>12238</v>
      </c>
      <c r="F2032" s="8" t="s">
        <v>12239</v>
      </c>
      <c r="G2032" s="6" t="s">
        <v>60</v>
      </c>
      <c r="H2032" s="6" t="s">
        <v>34</v>
      </c>
      <c r="I2032" s="8" t="s">
        <v>304</v>
      </c>
      <c r="J2032" s="9">
        <v>1</v>
      </c>
      <c r="K2032" s="9">
        <v>273</v>
      </c>
      <c r="L2032" s="9">
        <v>2026</v>
      </c>
      <c r="M2032" s="8" t="s">
        <v>12240</v>
      </c>
      <c r="N2032" s="8" t="s">
        <v>243</v>
      </c>
      <c r="O2032" s="8" t="s">
        <v>244</v>
      </c>
      <c r="P2032" s="6" t="s">
        <v>51</v>
      </c>
      <c r="Q2032" s="8" t="s">
        <v>52</v>
      </c>
      <c r="R2032" s="10" t="s">
        <v>12241</v>
      </c>
      <c r="S2032" s="11"/>
      <c r="T2032" s="6"/>
      <c r="U2032" s="15" t="str">
        <f>HYPERLINK("https://media.infra-m.ru/2236/2236522/cover/2236522.jpg", "Обложка")</f>
        <v>Обложка</v>
      </c>
      <c r="V2032" s="8" t="s">
        <v>247</v>
      </c>
      <c r="W2032" s="6"/>
      <c r="X2032" s="6"/>
      <c r="Y2032" s="6"/>
      <c r="Z2032" s="6"/>
      <c r="AA2032" s="6" t="s">
        <v>76</v>
      </c>
      <c r="AB2032" s="8" t="s">
        <v>1785</v>
      </c>
      <c r="AC2032" s="27">
        <v>9785160181035</v>
      </c>
    </row>
    <row r="2033" spans="1:29" s="4" customFormat="1" ht="51.9" customHeight="1" x14ac:dyDescent="0.2">
      <c r="A2033" s="5">
        <v>0</v>
      </c>
      <c r="B2033" s="6" t="s">
        <v>12242</v>
      </c>
      <c r="C2033" s="13">
        <v>785.9</v>
      </c>
      <c r="D2033" s="8" t="s">
        <v>12243</v>
      </c>
      <c r="E2033" s="8" t="s">
        <v>12244</v>
      </c>
      <c r="F2033" s="8" t="s">
        <v>12245</v>
      </c>
      <c r="G2033" s="6" t="s">
        <v>60</v>
      </c>
      <c r="H2033" s="6" t="s">
        <v>313</v>
      </c>
      <c r="I2033" s="8" t="s">
        <v>253</v>
      </c>
      <c r="J2033" s="9">
        <v>1</v>
      </c>
      <c r="K2033" s="9">
        <v>171</v>
      </c>
      <c r="L2033" s="9">
        <v>2022</v>
      </c>
      <c r="M2033" s="8" t="s">
        <v>12246</v>
      </c>
      <c r="N2033" s="8" t="s">
        <v>37</v>
      </c>
      <c r="O2033" s="8" t="s">
        <v>499</v>
      </c>
      <c r="P2033" s="6" t="s">
        <v>51</v>
      </c>
      <c r="Q2033" s="8" t="s">
        <v>52</v>
      </c>
      <c r="R2033" s="10" t="s">
        <v>12247</v>
      </c>
      <c r="S2033" s="11" t="s">
        <v>12248</v>
      </c>
      <c r="T2033" s="6"/>
      <c r="U2033" s="15" t="str">
        <f>HYPERLINK("https://media.infra-m.ru/1856/1856787/cover/1856787.jpg", "Обложка")</f>
        <v>Обложка</v>
      </c>
      <c r="V2033" s="8" t="s">
        <v>5117</v>
      </c>
      <c r="W2033" s="6"/>
      <c r="X2033" s="6"/>
      <c r="Y2033" s="6"/>
      <c r="Z2033" s="6"/>
      <c r="AA2033" s="6" t="s">
        <v>779</v>
      </c>
      <c r="AB2033" s="8"/>
      <c r="AC2033" s="27">
        <v>9785369014851</v>
      </c>
    </row>
    <row r="2034" spans="1:29" s="4" customFormat="1" ht="51.9" customHeight="1" x14ac:dyDescent="0.2">
      <c r="A2034" s="5">
        <v>0</v>
      </c>
      <c r="B2034" s="6" t="s">
        <v>12249</v>
      </c>
      <c r="C2034" s="7">
        <v>1080</v>
      </c>
      <c r="D2034" s="8" t="s">
        <v>12250</v>
      </c>
      <c r="E2034" s="8" t="s">
        <v>12251</v>
      </c>
      <c r="F2034" s="8" t="s">
        <v>12252</v>
      </c>
      <c r="G2034" s="6" t="s">
        <v>118</v>
      </c>
      <c r="H2034" s="6" t="s">
        <v>313</v>
      </c>
      <c r="I2034" s="8"/>
      <c r="J2034" s="9">
        <v>1</v>
      </c>
      <c r="K2034" s="9">
        <v>187</v>
      </c>
      <c r="L2034" s="9">
        <v>2023</v>
      </c>
      <c r="M2034" s="8" t="s">
        <v>12253</v>
      </c>
      <c r="N2034" s="8" t="s">
        <v>37</v>
      </c>
      <c r="O2034" s="8" t="s">
        <v>499</v>
      </c>
      <c r="P2034" s="6" t="s">
        <v>51</v>
      </c>
      <c r="Q2034" s="8" t="s">
        <v>65</v>
      </c>
      <c r="R2034" s="10" t="s">
        <v>12254</v>
      </c>
      <c r="S2034" s="11"/>
      <c r="T2034" s="6"/>
      <c r="U2034" s="15" t="str">
        <f>HYPERLINK("https://media.infra-m.ru/2125/2125000/cover/2125000.jpg", "Обложка")</f>
        <v>Обложка</v>
      </c>
      <c r="V2034" s="8"/>
      <c r="W2034" s="6"/>
      <c r="X2034" s="6"/>
      <c r="Y2034" s="6"/>
      <c r="Z2034" s="6"/>
      <c r="AA2034" s="6" t="s">
        <v>86</v>
      </c>
      <c r="AB2034" s="8"/>
      <c r="AC2034" s="27">
        <v>9785369017562</v>
      </c>
    </row>
    <row r="2035" spans="1:29" s="4" customFormat="1" ht="51.9" customHeight="1" x14ac:dyDescent="0.2">
      <c r="A2035" s="5">
        <v>0</v>
      </c>
      <c r="B2035" s="6" t="s">
        <v>12255</v>
      </c>
      <c r="C2035" s="7">
        <v>2640</v>
      </c>
      <c r="D2035" s="8" t="s">
        <v>12256</v>
      </c>
      <c r="E2035" s="8" t="s">
        <v>12257</v>
      </c>
      <c r="F2035" s="8" t="s">
        <v>12258</v>
      </c>
      <c r="G2035" s="6" t="s">
        <v>60</v>
      </c>
      <c r="H2035" s="6" t="s">
        <v>34</v>
      </c>
      <c r="I2035" s="8" t="s">
        <v>253</v>
      </c>
      <c r="J2035" s="14">
        <v>0</v>
      </c>
      <c r="K2035" s="9">
        <v>373</v>
      </c>
      <c r="L2035" s="9">
        <v>2027</v>
      </c>
      <c r="M2035" s="8" t="s">
        <v>12259</v>
      </c>
      <c r="N2035" s="8" t="s">
        <v>37</v>
      </c>
      <c r="O2035" s="8" t="s">
        <v>499</v>
      </c>
      <c r="P2035" s="6" t="s">
        <v>51</v>
      </c>
      <c r="Q2035" s="8" t="s">
        <v>500</v>
      </c>
      <c r="R2035" s="10" t="s">
        <v>12260</v>
      </c>
      <c r="S2035" s="11"/>
      <c r="T2035" s="6"/>
      <c r="U2035" s="15" t="str">
        <f>HYPERLINK("https://media.infra-m.ru/2238/2238045/cover/2238045.jpg", "Обложка")</f>
        <v>Обложка</v>
      </c>
      <c r="V2035" s="8" t="s">
        <v>631</v>
      </c>
      <c r="W2035" s="6"/>
      <c r="X2035" s="6"/>
      <c r="Y2035" s="6"/>
      <c r="Z2035" s="6"/>
      <c r="AA2035" s="6" t="s">
        <v>187</v>
      </c>
      <c r="AB2035" s="8" t="s">
        <v>308</v>
      </c>
      <c r="AC2035" s="27">
        <v>9785160217802</v>
      </c>
    </row>
    <row r="2036" spans="1:29" s="4" customFormat="1" ht="51.9" customHeight="1" x14ac:dyDescent="0.2">
      <c r="A2036" s="5">
        <v>0</v>
      </c>
      <c r="B2036" s="6" t="s">
        <v>12261</v>
      </c>
      <c r="C2036" s="7">
        <v>1228.8</v>
      </c>
      <c r="D2036" s="8" t="s">
        <v>12262</v>
      </c>
      <c r="E2036" s="8" t="s">
        <v>12263</v>
      </c>
      <c r="F2036" s="8" t="s">
        <v>12264</v>
      </c>
      <c r="G2036" s="6" t="s">
        <v>60</v>
      </c>
      <c r="H2036" s="6" t="s">
        <v>34</v>
      </c>
      <c r="I2036" s="8" t="s">
        <v>271</v>
      </c>
      <c r="J2036" s="9">
        <v>1</v>
      </c>
      <c r="K2036" s="9">
        <v>222</v>
      </c>
      <c r="L2036" s="9">
        <v>2023</v>
      </c>
      <c r="M2036" s="8" t="s">
        <v>12265</v>
      </c>
      <c r="N2036" s="8" t="s">
        <v>243</v>
      </c>
      <c r="O2036" s="8" t="s">
        <v>244</v>
      </c>
      <c r="P2036" s="6" t="s">
        <v>51</v>
      </c>
      <c r="Q2036" s="8" t="s">
        <v>52</v>
      </c>
      <c r="R2036" s="10" t="s">
        <v>12266</v>
      </c>
      <c r="S2036" s="11" t="s">
        <v>12267</v>
      </c>
      <c r="T2036" s="6"/>
      <c r="U2036" s="15" t="str">
        <f>HYPERLINK("https://media.infra-m.ru/2051/2051473/cover/2051473.jpg", "Обложка")</f>
        <v>Обложка</v>
      </c>
      <c r="V2036" s="8" t="s">
        <v>247</v>
      </c>
      <c r="W2036" s="6"/>
      <c r="X2036" s="6"/>
      <c r="Y2036" s="6"/>
      <c r="Z2036" s="6"/>
      <c r="AA2036" s="6" t="s">
        <v>430</v>
      </c>
      <c r="AB2036" s="8"/>
      <c r="AC2036" s="27">
        <v>9785160165110</v>
      </c>
    </row>
    <row r="2037" spans="1:29" s="4" customFormat="1" ht="51.9" customHeight="1" x14ac:dyDescent="0.2">
      <c r="A2037" s="5">
        <v>0</v>
      </c>
      <c r="B2037" s="6" t="s">
        <v>12268</v>
      </c>
      <c r="C2037" s="7">
        <v>3180</v>
      </c>
      <c r="D2037" s="8" t="s">
        <v>12269</v>
      </c>
      <c r="E2037" s="8" t="s">
        <v>12270</v>
      </c>
      <c r="F2037" s="8" t="s">
        <v>3683</v>
      </c>
      <c r="G2037" s="6" t="s">
        <v>60</v>
      </c>
      <c r="H2037" s="6" t="s">
        <v>34</v>
      </c>
      <c r="I2037" s="8"/>
      <c r="J2037" s="9">
        <v>1</v>
      </c>
      <c r="K2037" s="9">
        <v>440</v>
      </c>
      <c r="L2037" s="9">
        <v>2026</v>
      </c>
      <c r="M2037" s="8" t="s">
        <v>12271</v>
      </c>
      <c r="N2037" s="8" t="s">
        <v>37</v>
      </c>
      <c r="O2037" s="8" t="s">
        <v>233</v>
      </c>
      <c r="P2037" s="6" t="s">
        <v>51</v>
      </c>
      <c r="Q2037" s="8" t="s">
        <v>65</v>
      </c>
      <c r="R2037" s="10" t="s">
        <v>12272</v>
      </c>
      <c r="S2037" s="11"/>
      <c r="T2037" s="6"/>
      <c r="U2037" s="15" t="str">
        <f>HYPERLINK("https://media.infra-m.ru/2260/2260495/cover/2260495.jpg", "Обложка")</f>
        <v>Обложка</v>
      </c>
      <c r="V2037" s="8" t="s">
        <v>3686</v>
      </c>
      <c r="W2037" s="6" t="s">
        <v>649</v>
      </c>
      <c r="X2037" s="6"/>
      <c r="Y2037" s="6"/>
      <c r="Z2037" s="6"/>
      <c r="AA2037" s="6" t="s">
        <v>420</v>
      </c>
      <c r="AB2037" s="8"/>
      <c r="AC2037" s="27">
        <v>9785160222721</v>
      </c>
    </row>
    <row r="2038" spans="1:29" s="4" customFormat="1" ht="51.9" customHeight="1" x14ac:dyDescent="0.2">
      <c r="A2038" s="5">
        <v>0</v>
      </c>
      <c r="B2038" s="6" t="s">
        <v>12273</v>
      </c>
      <c r="C2038" s="13">
        <v>672</v>
      </c>
      <c r="D2038" s="8" t="s">
        <v>12274</v>
      </c>
      <c r="E2038" s="8" t="s">
        <v>12275</v>
      </c>
      <c r="F2038" s="8" t="s">
        <v>4452</v>
      </c>
      <c r="G2038" s="6" t="s">
        <v>33</v>
      </c>
      <c r="H2038" s="6" t="s">
        <v>1644</v>
      </c>
      <c r="I2038" s="8"/>
      <c r="J2038" s="9">
        <v>1</v>
      </c>
      <c r="K2038" s="9">
        <v>124</v>
      </c>
      <c r="L2038" s="9">
        <v>2023</v>
      </c>
      <c r="M2038" s="8" t="s">
        <v>12276</v>
      </c>
      <c r="N2038" s="8" t="s">
        <v>37</v>
      </c>
      <c r="O2038" s="8" t="s">
        <v>233</v>
      </c>
      <c r="P2038" s="6" t="s">
        <v>39</v>
      </c>
      <c r="Q2038" s="8" t="s">
        <v>40</v>
      </c>
      <c r="R2038" s="10" t="s">
        <v>12277</v>
      </c>
      <c r="S2038" s="11"/>
      <c r="T2038" s="6"/>
      <c r="U2038" s="15" t="str">
        <f>HYPERLINK("https://media.infra-m.ru/1912/1912396/cover/1912396.jpg", "Обложка")</f>
        <v>Обложка</v>
      </c>
      <c r="V2038" s="8" t="s">
        <v>67</v>
      </c>
      <c r="W2038" s="6"/>
      <c r="X2038" s="6"/>
      <c r="Y2038" s="6"/>
      <c r="Z2038" s="6"/>
      <c r="AA2038" s="6" t="s">
        <v>86</v>
      </c>
      <c r="AB2038" s="8"/>
      <c r="AC2038" s="27">
        <v>9785977604765</v>
      </c>
    </row>
    <row r="2039" spans="1:29" s="4" customFormat="1" ht="51.9" customHeight="1" x14ac:dyDescent="0.2">
      <c r="A2039" s="5">
        <v>0</v>
      </c>
      <c r="B2039" s="6" t="s">
        <v>12278</v>
      </c>
      <c r="C2039" s="7">
        <v>3900</v>
      </c>
      <c r="D2039" s="8" t="s">
        <v>12279</v>
      </c>
      <c r="E2039" s="8" t="s">
        <v>12280</v>
      </c>
      <c r="F2039" s="8" t="s">
        <v>12281</v>
      </c>
      <c r="G2039" s="6" t="s">
        <v>60</v>
      </c>
      <c r="H2039" s="6" t="s">
        <v>34</v>
      </c>
      <c r="I2039" s="8"/>
      <c r="J2039" s="9">
        <v>1</v>
      </c>
      <c r="K2039" s="9">
        <v>624</v>
      </c>
      <c r="L2039" s="9">
        <v>2026</v>
      </c>
      <c r="M2039" s="8" t="s">
        <v>12282</v>
      </c>
      <c r="N2039" s="8" t="s">
        <v>37</v>
      </c>
      <c r="O2039" s="8" t="s">
        <v>136</v>
      </c>
      <c r="P2039" s="6" t="s">
        <v>39</v>
      </c>
      <c r="Q2039" s="8" t="s">
        <v>183</v>
      </c>
      <c r="R2039" s="10" t="s">
        <v>12283</v>
      </c>
      <c r="S2039" s="11"/>
      <c r="T2039" s="6" t="s">
        <v>97</v>
      </c>
      <c r="U2039" s="15" t="str">
        <f>HYPERLINK("https://media.infra-m.ru/2223/2223793/cover/2223793.jpg", "Обложка")</f>
        <v>Обложка</v>
      </c>
      <c r="V2039" s="8" t="s">
        <v>1647</v>
      </c>
      <c r="W2039" s="6"/>
      <c r="X2039" s="6"/>
      <c r="Y2039" s="6"/>
      <c r="Z2039" s="6"/>
      <c r="AA2039" s="6" t="s">
        <v>430</v>
      </c>
      <c r="AB2039" s="8"/>
      <c r="AC2039" s="27">
        <v>9785160164595</v>
      </c>
    </row>
    <row r="2040" spans="1:29" s="4" customFormat="1" ht="51.9" customHeight="1" x14ac:dyDescent="0.2">
      <c r="A2040" s="5">
        <v>0</v>
      </c>
      <c r="B2040" s="6" t="s">
        <v>12284</v>
      </c>
      <c r="C2040" s="7">
        <v>1060.8</v>
      </c>
      <c r="D2040" s="8" t="s">
        <v>12285</v>
      </c>
      <c r="E2040" s="8" t="s">
        <v>12286</v>
      </c>
      <c r="F2040" s="8" t="s">
        <v>12287</v>
      </c>
      <c r="G2040" s="6" t="s">
        <v>33</v>
      </c>
      <c r="H2040" s="6" t="s">
        <v>34</v>
      </c>
      <c r="I2040" s="8" t="s">
        <v>35</v>
      </c>
      <c r="J2040" s="9">
        <v>1</v>
      </c>
      <c r="K2040" s="9">
        <v>160</v>
      </c>
      <c r="L2040" s="9">
        <v>2026</v>
      </c>
      <c r="M2040" s="8" t="s">
        <v>12288</v>
      </c>
      <c r="N2040" s="8" t="s">
        <v>63</v>
      </c>
      <c r="O2040" s="8" t="s">
        <v>126</v>
      </c>
      <c r="P2040" s="6" t="s">
        <v>39</v>
      </c>
      <c r="Q2040" s="8" t="s">
        <v>40</v>
      </c>
      <c r="R2040" s="10" t="s">
        <v>12289</v>
      </c>
      <c r="S2040" s="11"/>
      <c r="T2040" s="6"/>
      <c r="U2040" s="15" t="str">
        <f>HYPERLINK("https://media.infra-m.ru/2249/2249270/cover/2249270.jpg", "Обложка")</f>
        <v>Обложка</v>
      </c>
      <c r="V2040" s="8" t="s">
        <v>546</v>
      </c>
      <c r="W2040" s="6"/>
      <c r="X2040" s="6"/>
      <c r="Y2040" s="6"/>
      <c r="Z2040" s="6"/>
      <c r="AA2040" s="6" t="s">
        <v>274</v>
      </c>
      <c r="AB2040" s="8"/>
      <c r="AC2040" s="27">
        <v>9785160109046</v>
      </c>
    </row>
    <row r="2041" spans="1:29" s="4" customFormat="1" ht="51.9" customHeight="1" x14ac:dyDescent="0.2">
      <c r="A2041" s="5">
        <v>0</v>
      </c>
      <c r="B2041" s="6" t="s">
        <v>12290</v>
      </c>
      <c r="C2041" s="7">
        <v>3696</v>
      </c>
      <c r="D2041" s="8" t="s">
        <v>12291</v>
      </c>
      <c r="E2041" s="8" t="s">
        <v>12292</v>
      </c>
      <c r="F2041" s="8" t="s">
        <v>12293</v>
      </c>
      <c r="G2041" s="6" t="s">
        <v>60</v>
      </c>
      <c r="H2041" s="6" t="s">
        <v>34</v>
      </c>
      <c r="I2041" s="8" t="s">
        <v>253</v>
      </c>
      <c r="J2041" s="9">
        <v>1</v>
      </c>
      <c r="K2041" s="9">
        <v>530</v>
      </c>
      <c r="L2041" s="9">
        <v>2026</v>
      </c>
      <c r="M2041" s="8" t="s">
        <v>12294</v>
      </c>
      <c r="N2041" s="8" t="s">
        <v>243</v>
      </c>
      <c r="O2041" s="8" t="s">
        <v>244</v>
      </c>
      <c r="P2041" s="6" t="s">
        <v>306</v>
      </c>
      <c r="Q2041" s="8" t="s">
        <v>500</v>
      </c>
      <c r="R2041" s="10" t="s">
        <v>12295</v>
      </c>
      <c r="S2041" s="11" t="s">
        <v>12296</v>
      </c>
      <c r="T2041" s="6" t="s">
        <v>97</v>
      </c>
      <c r="U2041" s="15" t="str">
        <f>HYPERLINK("https://media.infra-m.ru/2246/2246664/cover/2246664.jpg", "Обложка")</f>
        <v>Обложка</v>
      </c>
      <c r="V2041" s="8" t="s">
        <v>4943</v>
      </c>
      <c r="W2041" s="6"/>
      <c r="X2041" s="6"/>
      <c r="Y2041" s="6"/>
      <c r="Z2041" s="6"/>
      <c r="AA2041" s="6" t="s">
        <v>430</v>
      </c>
      <c r="AB2041" s="8"/>
      <c r="AC2041" s="27">
        <v>9785160208800</v>
      </c>
    </row>
    <row r="2042" spans="1:29" s="4" customFormat="1" ht="42" customHeight="1" x14ac:dyDescent="0.2">
      <c r="A2042" s="5">
        <v>0</v>
      </c>
      <c r="B2042" s="6" t="s">
        <v>12297</v>
      </c>
      <c r="C2042" s="13">
        <v>588</v>
      </c>
      <c r="D2042" s="8" t="s">
        <v>12298</v>
      </c>
      <c r="E2042" s="8" t="s">
        <v>12299</v>
      </c>
      <c r="F2042" s="8" t="s">
        <v>12300</v>
      </c>
      <c r="G2042" s="6" t="s">
        <v>33</v>
      </c>
      <c r="H2042" s="6" t="s">
        <v>34</v>
      </c>
      <c r="I2042" s="8" t="s">
        <v>1248</v>
      </c>
      <c r="J2042" s="9">
        <v>1</v>
      </c>
      <c r="K2042" s="9">
        <v>66</v>
      </c>
      <c r="L2042" s="9">
        <v>2026</v>
      </c>
      <c r="M2042" s="8" t="s">
        <v>12301</v>
      </c>
      <c r="N2042" s="8" t="s">
        <v>243</v>
      </c>
      <c r="O2042" s="8" t="s">
        <v>244</v>
      </c>
      <c r="P2042" s="6" t="s">
        <v>51</v>
      </c>
      <c r="Q2042" s="8" t="s">
        <v>500</v>
      </c>
      <c r="R2042" s="10" t="s">
        <v>12302</v>
      </c>
      <c r="S2042" s="11"/>
      <c r="T2042" s="6"/>
      <c r="U2042" s="15" t="str">
        <f>HYPERLINK("https://media.infra-m.ru/2222/2222590/cover/2222590.jpg", "Обложка")</f>
        <v>Обложка</v>
      </c>
      <c r="V2042" s="8" t="s">
        <v>1083</v>
      </c>
      <c r="W2042" s="6" t="s">
        <v>342</v>
      </c>
      <c r="X2042" s="6"/>
      <c r="Y2042" s="6"/>
      <c r="Z2042" s="6"/>
      <c r="AA2042" s="6" t="s">
        <v>187</v>
      </c>
      <c r="AB2042" s="8"/>
      <c r="AC2042" s="27">
        <v>9785160213309</v>
      </c>
    </row>
    <row r="2043" spans="1:29" s="4" customFormat="1" ht="51.9" customHeight="1" x14ac:dyDescent="0.2">
      <c r="A2043" s="5">
        <v>0</v>
      </c>
      <c r="B2043" s="6" t="s">
        <v>12303</v>
      </c>
      <c r="C2043" s="7">
        <v>1128</v>
      </c>
      <c r="D2043" s="8" t="s">
        <v>12304</v>
      </c>
      <c r="E2043" s="8" t="s">
        <v>12305</v>
      </c>
      <c r="F2043" s="8" t="s">
        <v>12306</v>
      </c>
      <c r="G2043" s="6" t="s">
        <v>60</v>
      </c>
      <c r="H2043" s="6" t="s">
        <v>34</v>
      </c>
      <c r="I2043" s="8" t="s">
        <v>457</v>
      </c>
      <c r="J2043" s="9">
        <v>1</v>
      </c>
      <c r="K2043" s="9">
        <v>138</v>
      </c>
      <c r="L2043" s="9">
        <v>2026</v>
      </c>
      <c r="M2043" s="8" t="s">
        <v>12307</v>
      </c>
      <c r="N2043" s="8" t="s">
        <v>243</v>
      </c>
      <c r="O2043" s="8" t="s">
        <v>244</v>
      </c>
      <c r="P2043" s="6" t="s">
        <v>39</v>
      </c>
      <c r="Q2043" s="8" t="s">
        <v>40</v>
      </c>
      <c r="R2043" s="10" t="s">
        <v>12308</v>
      </c>
      <c r="S2043" s="11"/>
      <c r="T2043" s="6"/>
      <c r="U2043" s="15" t="str">
        <f>HYPERLINK("https://media.infra-m.ru/2228/2228557/cover/2228557.jpg", "Обложка")</f>
        <v>Обложка</v>
      </c>
      <c r="V2043" s="8" t="s">
        <v>247</v>
      </c>
      <c r="W2043" s="6" t="s">
        <v>528</v>
      </c>
      <c r="X2043" s="6"/>
      <c r="Y2043" s="6"/>
      <c r="Z2043" s="6"/>
      <c r="AA2043" s="6" t="s">
        <v>187</v>
      </c>
      <c r="AB2043" s="8" t="s">
        <v>6493</v>
      </c>
      <c r="AC2043" s="27">
        <v>9785160215181</v>
      </c>
    </row>
    <row r="2044" spans="1:29" s="4" customFormat="1" ht="51.9" customHeight="1" x14ac:dyDescent="0.2">
      <c r="A2044" s="5">
        <v>0</v>
      </c>
      <c r="B2044" s="6" t="s">
        <v>12309</v>
      </c>
      <c r="C2044" s="7">
        <v>1948.8</v>
      </c>
      <c r="D2044" s="8" t="s">
        <v>12310</v>
      </c>
      <c r="E2044" s="8" t="s">
        <v>12311</v>
      </c>
      <c r="F2044" s="8" t="s">
        <v>12312</v>
      </c>
      <c r="G2044" s="6" t="s">
        <v>118</v>
      </c>
      <c r="H2044" s="6" t="s">
        <v>820</v>
      </c>
      <c r="I2044" s="8" t="s">
        <v>1904</v>
      </c>
      <c r="J2044" s="9">
        <v>1</v>
      </c>
      <c r="K2044" s="9">
        <v>280</v>
      </c>
      <c r="L2044" s="9">
        <v>2026</v>
      </c>
      <c r="M2044" s="8" t="s">
        <v>12313</v>
      </c>
      <c r="N2044" s="8" t="s">
        <v>243</v>
      </c>
      <c r="O2044" s="8" t="s">
        <v>329</v>
      </c>
      <c r="P2044" s="6" t="s">
        <v>306</v>
      </c>
      <c r="Q2044" s="8" t="s">
        <v>52</v>
      </c>
      <c r="R2044" s="10" t="s">
        <v>12314</v>
      </c>
      <c r="S2044" s="11" t="s">
        <v>12315</v>
      </c>
      <c r="T2044" s="6"/>
      <c r="U2044" s="15" t="str">
        <f>HYPERLINK("https://media.infra-m.ru/2262/2262635/cover/2262635.jpg", "Обложка")</f>
        <v>Обложка</v>
      </c>
      <c r="V2044" s="8" t="s">
        <v>831</v>
      </c>
      <c r="W2044" s="6"/>
      <c r="X2044" s="6"/>
      <c r="Y2044" s="6"/>
      <c r="Z2044" s="6"/>
      <c r="AA2044" s="6" t="s">
        <v>779</v>
      </c>
      <c r="AB2044" s="8"/>
      <c r="AC2044" s="27">
        <v>9785906818669</v>
      </c>
    </row>
    <row r="2045" spans="1:29" s="4" customFormat="1" ht="51.9" customHeight="1" x14ac:dyDescent="0.2">
      <c r="A2045" s="5">
        <v>0</v>
      </c>
      <c r="B2045" s="6" t="s">
        <v>12316</v>
      </c>
      <c r="C2045" s="7">
        <v>1368</v>
      </c>
      <c r="D2045" s="8" t="s">
        <v>12317</v>
      </c>
      <c r="E2045" s="8" t="s">
        <v>12318</v>
      </c>
      <c r="F2045" s="8" t="s">
        <v>6029</v>
      </c>
      <c r="G2045" s="6" t="s">
        <v>118</v>
      </c>
      <c r="H2045" s="6" t="s">
        <v>34</v>
      </c>
      <c r="I2045" s="8" t="s">
        <v>263</v>
      </c>
      <c r="J2045" s="9">
        <v>1</v>
      </c>
      <c r="K2045" s="9">
        <v>197</v>
      </c>
      <c r="L2045" s="9">
        <v>2027</v>
      </c>
      <c r="M2045" s="8" t="s">
        <v>12319</v>
      </c>
      <c r="N2045" s="8" t="s">
        <v>243</v>
      </c>
      <c r="O2045" s="8" t="s">
        <v>964</v>
      </c>
      <c r="P2045" s="6" t="s">
        <v>306</v>
      </c>
      <c r="Q2045" s="8" t="s">
        <v>265</v>
      </c>
      <c r="R2045" s="10" t="s">
        <v>12320</v>
      </c>
      <c r="S2045" s="11" t="s">
        <v>12321</v>
      </c>
      <c r="T2045" s="6"/>
      <c r="U2045" s="15" t="str">
        <f>HYPERLINK("https://media.infra-m.ru/2269/2269783/cover/2269783.jpg", "Обложка")</f>
        <v>Обложка</v>
      </c>
      <c r="V2045" s="8"/>
      <c r="W2045" s="6"/>
      <c r="X2045" s="6"/>
      <c r="Y2045" s="6"/>
      <c r="Z2045" s="6" t="s">
        <v>267</v>
      </c>
      <c r="AA2045" s="6" t="s">
        <v>1303</v>
      </c>
      <c r="AB2045" s="8"/>
      <c r="AC2045" s="27">
        <v>9785160181622</v>
      </c>
    </row>
    <row r="2046" spans="1:29" s="4" customFormat="1" ht="51.9" customHeight="1" x14ac:dyDescent="0.2">
      <c r="A2046" s="5">
        <v>0</v>
      </c>
      <c r="B2046" s="6" t="s">
        <v>12322</v>
      </c>
      <c r="C2046" s="7">
        <v>1296</v>
      </c>
      <c r="D2046" s="8" t="s">
        <v>12323</v>
      </c>
      <c r="E2046" s="8" t="s">
        <v>12318</v>
      </c>
      <c r="F2046" s="8" t="s">
        <v>6029</v>
      </c>
      <c r="G2046" s="6" t="s">
        <v>118</v>
      </c>
      <c r="H2046" s="6" t="s">
        <v>34</v>
      </c>
      <c r="I2046" s="8" t="s">
        <v>253</v>
      </c>
      <c r="J2046" s="9">
        <v>1</v>
      </c>
      <c r="K2046" s="9">
        <v>197</v>
      </c>
      <c r="L2046" s="9">
        <v>2026</v>
      </c>
      <c r="M2046" s="8" t="s">
        <v>12324</v>
      </c>
      <c r="N2046" s="8" t="s">
        <v>243</v>
      </c>
      <c r="O2046" s="8" t="s">
        <v>964</v>
      </c>
      <c r="P2046" s="6" t="s">
        <v>306</v>
      </c>
      <c r="Q2046" s="8" t="s">
        <v>52</v>
      </c>
      <c r="R2046" s="10" t="s">
        <v>12325</v>
      </c>
      <c r="S2046" s="11" t="s">
        <v>12326</v>
      </c>
      <c r="T2046" s="6"/>
      <c r="U2046" s="15" t="str">
        <f>HYPERLINK("https://media.infra-m.ru/2217/2217548/cover/2217548.jpg", "Обложка")</f>
        <v>Обложка</v>
      </c>
      <c r="V2046" s="8"/>
      <c r="W2046" s="6"/>
      <c r="X2046" s="6"/>
      <c r="Y2046" s="6"/>
      <c r="Z2046" s="6"/>
      <c r="AA2046" s="6" t="s">
        <v>1303</v>
      </c>
      <c r="AB2046" s="8"/>
      <c r="AC2046" s="27">
        <v>9785160196152</v>
      </c>
    </row>
    <row r="2047" spans="1:29" s="4" customFormat="1" ht="51.9" customHeight="1" x14ac:dyDescent="0.2">
      <c r="A2047" s="5">
        <v>0</v>
      </c>
      <c r="B2047" s="6" t="s">
        <v>12327</v>
      </c>
      <c r="C2047" s="13">
        <v>924</v>
      </c>
      <c r="D2047" s="8" t="s">
        <v>12328</v>
      </c>
      <c r="E2047" s="8" t="s">
        <v>12329</v>
      </c>
      <c r="F2047" s="8" t="s">
        <v>6029</v>
      </c>
      <c r="G2047" s="6" t="s">
        <v>118</v>
      </c>
      <c r="H2047" s="6" t="s">
        <v>34</v>
      </c>
      <c r="I2047" s="8" t="s">
        <v>271</v>
      </c>
      <c r="J2047" s="9">
        <v>1</v>
      </c>
      <c r="K2047" s="9">
        <v>176</v>
      </c>
      <c r="L2047" s="9">
        <v>2022</v>
      </c>
      <c r="M2047" s="8" t="s">
        <v>12330</v>
      </c>
      <c r="N2047" s="8" t="s">
        <v>243</v>
      </c>
      <c r="O2047" s="8" t="s">
        <v>964</v>
      </c>
      <c r="P2047" s="6" t="s">
        <v>306</v>
      </c>
      <c r="Q2047" s="8" t="s">
        <v>52</v>
      </c>
      <c r="R2047" s="10" t="s">
        <v>12325</v>
      </c>
      <c r="S2047" s="11" t="s">
        <v>12326</v>
      </c>
      <c r="T2047" s="6"/>
      <c r="U2047" s="15" t="str">
        <f>HYPERLINK("https://media.infra-m.ru/1860/1860214/cover/1860214.jpg", "Обложка")</f>
        <v>Обложка</v>
      </c>
      <c r="V2047" s="8"/>
      <c r="W2047" s="6"/>
      <c r="X2047" s="6"/>
      <c r="Y2047" s="6"/>
      <c r="Z2047" s="6"/>
      <c r="AA2047" s="6" t="s">
        <v>430</v>
      </c>
      <c r="AB2047" s="8"/>
      <c r="AC2047" s="27">
        <v>9785160161433</v>
      </c>
    </row>
    <row r="2048" spans="1:29" s="4" customFormat="1" ht="51.9" customHeight="1" x14ac:dyDescent="0.2">
      <c r="A2048" s="5">
        <v>0</v>
      </c>
      <c r="B2048" s="6" t="s">
        <v>12331</v>
      </c>
      <c r="C2048" s="7">
        <v>3556.8</v>
      </c>
      <c r="D2048" s="8" t="s">
        <v>12332</v>
      </c>
      <c r="E2048" s="8" t="s">
        <v>12333</v>
      </c>
      <c r="F2048" s="8" t="s">
        <v>12293</v>
      </c>
      <c r="G2048" s="6" t="s">
        <v>118</v>
      </c>
      <c r="H2048" s="6" t="s">
        <v>34</v>
      </c>
      <c r="I2048" s="8" t="s">
        <v>504</v>
      </c>
      <c r="J2048" s="9">
        <v>1</v>
      </c>
      <c r="K2048" s="9">
        <v>511</v>
      </c>
      <c r="L2048" s="9">
        <v>2027</v>
      </c>
      <c r="M2048" s="8" t="s">
        <v>12334</v>
      </c>
      <c r="N2048" s="8" t="s">
        <v>243</v>
      </c>
      <c r="O2048" s="8" t="s">
        <v>244</v>
      </c>
      <c r="P2048" s="6" t="s">
        <v>306</v>
      </c>
      <c r="Q2048" s="8" t="s">
        <v>500</v>
      </c>
      <c r="R2048" s="10" t="s">
        <v>12335</v>
      </c>
      <c r="S2048" s="11" t="s">
        <v>12336</v>
      </c>
      <c r="T2048" s="6" t="s">
        <v>97</v>
      </c>
      <c r="U2048" s="15" t="str">
        <f>HYPERLINK("https://media.infra-m.ru/2265/2265513/cover/2265513.jpg", "Обложка")</f>
        <v>Обложка</v>
      </c>
      <c r="V2048" s="8" t="s">
        <v>4943</v>
      </c>
      <c r="W2048" s="6"/>
      <c r="X2048" s="6"/>
      <c r="Y2048" s="6"/>
      <c r="Z2048" s="6"/>
      <c r="AA2048" s="6" t="s">
        <v>115</v>
      </c>
      <c r="AB2048" s="8" t="s">
        <v>1317</v>
      </c>
      <c r="AC2048" s="27">
        <v>9785160148847</v>
      </c>
    </row>
    <row r="2049" spans="1:29" s="4" customFormat="1" ht="51.9" customHeight="1" x14ac:dyDescent="0.2">
      <c r="A2049" s="5">
        <v>0</v>
      </c>
      <c r="B2049" s="6" t="s">
        <v>12337</v>
      </c>
      <c r="C2049" s="7">
        <v>1108.8</v>
      </c>
      <c r="D2049" s="8" t="s">
        <v>12338</v>
      </c>
      <c r="E2049" s="8" t="s">
        <v>12339</v>
      </c>
      <c r="F2049" s="8" t="s">
        <v>12340</v>
      </c>
      <c r="G2049" s="6" t="s">
        <v>60</v>
      </c>
      <c r="H2049" s="6" t="s">
        <v>34</v>
      </c>
      <c r="I2049" s="8" t="s">
        <v>504</v>
      </c>
      <c r="J2049" s="9">
        <v>1</v>
      </c>
      <c r="K2049" s="9">
        <v>160</v>
      </c>
      <c r="L2049" s="9">
        <v>2027</v>
      </c>
      <c r="M2049" s="8" t="s">
        <v>12341</v>
      </c>
      <c r="N2049" s="8" t="s">
        <v>243</v>
      </c>
      <c r="O2049" s="8" t="s">
        <v>758</v>
      </c>
      <c r="P2049" s="6" t="s">
        <v>51</v>
      </c>
      <c r="Q2049" s="8" t="s">
        <v>500</v>
      </c>
      <c r="R2049" s="10" t="s">
        <v>12342</v>
      </c>
      <c r="S2049" s="11" t="s">
        <v>12343</v>
      </c>
      <c r="T2049" s="6"/>
      <c r="U2049" s="15" t="str">
        <f>HYPERLINK("https://media.infra-m.ru/2248/2248532/cover/2248532.jpg", "Обложка")</f>
        <v>Обложка</v>
      </c>
      <c r="V2049" s="8"/>
      <c r="W2049" s="6"/>
      <c r="X2049" s="6"/>
      <c r="Y2049" s="6"/>
      <c r="Z2049" s="6"/>
      <c r="AA2049" s="6" t="s">
        <v>430</v>
      </c>
      <c r="AB2049" s="8"/>
      <c r="AC2049" s="27">
        <v>9785160163956</v>
      </c>
    </row>
    <row r="2050" spans="1:29" s="4" customFormat="1" ht="51.9" customHeight="1" x14ac:dyDescent="0.2">
      <c r="A2050" s="5">
        <v>0</v>
      </c>
      <c r="B2050" s="6" t="s">
        <v>12344</v>
      </c>
      <c r="C2050" s="13">
        <v>952.8</v>
      </c>
      <c r="D2050" s="8" t="s">
        <v>12345</v>
      </c>
      <c r="E2050" s="8" t="s">
        <v>12346</v>
      </c>
      <c r="F2050" s="8" t="s">
        <v>12347</v>
      </c>
      <c r="G2050" s="6" t="s">
        <v>60</v>
      </c>
      <c r="H2050" s="6" t="s">
        <v>1042</v>
      </c>
      <c r="I2050" s="8" t="s">
        <v>253</v>
      </c>
      <c r="J2050" s="9">
        <v>1</v>
      </c>
      <c r="K2050" s="9">
        <v>160</v>
      </c>
      <c r="L2050" s="9">
        <v>2025</v>
      </c>
      <c r="M2050" s="8" t="s">
        <v>12348</v>
      </c>
      <c r="N2050" s="8" t="s">
        <v>243</v>
      </c>
      <c r="O2050" s="8" t="s">
        <v>244</v>
      </c>
      <c r="P2050" s="6" t="s">
        <v>51</v>
      </c>
      <c r="Q2050" s="8" t="s">
        <v>52</v>
      </c>
      <c r="R2050" s="10" t="s">
        <v>12349</v>
      </c>
      <c r="S2050" s="11" t="s">
        <v>12350</v>
      </c>
      <c r="T2050" s="6"/>
      <c r="U2050" s="15" t="str">
        <f>HYPERLINK("https://media.infra-m.ru/2186/2186210/cover/2186210.jpg", "Обложка")</f>
        <v>Обложка</v>
      </c>
      <c r="V2050" s="8" t="s">
        <v>12351</v>
      </c>
      <c r="W2050" s="6"/>
      <c r="X2050" s="6"/>
      <c r="Y2050" s="6"/>
      <c r="Z2050" s="6"/>
      <c r="AA2050" s="6" t="s">
        <v>43</v>
      </c>
      <c r="AB2050" s="8"/>
      <c r="AC2050" s="27">
        <v>9785819904961</v>
      </c>
    </row>
    <row r="2051" spans="1:29" s="4" customFormat="1" ht="51.9" customHeight="1" x14ac:dyDescent="0.2">
      <c r="A2051" s="5">
        <v>0</v>
      </c>
      <c r="B2051" s="6" t="s">
        <v>12352</v>
      </c>
      <c r="C2051" s="7">
        <v>3826.8</v>
      </c>
      <c r="D2051" s="8" t="s">
        <v>12353</v>
      </c>
      <c r="E2051" s="8" t="s">
        <v>12354</v>
      </c>
      <c r="F2051" s="8" t="s">
        <v>12355</v>
      </c>
      <c r="G2051" s="6" t="s">
        <v>60</v>
      </c>
      <c r="H2051" s="6" t="s">
        <v>34</v>
      </c>
      <c r="I2051" s="8" t="s">
        <v>1501</v>
      </c>
      <c r="J2051" s="9">
        <v>1</v>
      </c>
      <c r="K2051" s="9">
        <v>544</v>
      </c>
      <c r="L2051" s="9">
        <v>2026</v>
      </c>
      <c r="M2051" s="8" t="s">
        <v>12356</v>
      </c>
      <c r="N2051" s="8" t="s">
        <v>37</v>
      </c>
      <c r="O2051" s="8" t="s">
        <v>280</v>
      </c>
      <c r="P2051" s="6" t="s">
        <v>51</v>
      </c>
      <c r="Q2051" s="8" t="s">
        <v>40</v>
      </c>
      <c r="R2051" s="10" t="s">
        <v>12357</v>
      </c>
      <c r="S2051" s="11" t="s">
        <v>12358</v>
      </c>
      <c r="T2051" s="6"/>
      <c r="U2051" s="15" t="str">
        <f>HYPERLINK("https://media.infra-m.ru/2222/2222981/cover/2222981.jpg", "Обложка")</f>
        <v>Обложка</v>
      </c>
      <c r="V2051" s="8" t="s">
        <v>4448</v>
      </c>
      <c r="W2051" s="6"/>
      <c r="X2051" s="6"/>
      <c r="Y2051" s="6"/>
      <c r="Z2051" s="6"/>
      <c r="AA2051" s="6" t="s">
        <v>129</v>
      </c>
      <c r="AB2051" s="8"/>
      <c r="AC2051" s="27">
        <v>9785160048246</v>
      </c>
    </row>
    <row r="2052" spans="1:29" s="4" customFormat="1" ht="51.9" customHeight="1" x14ac:dyDescent="0.2">
      <c r="A2052" s="5">
        <v>0</v>
      </c>
      <c r="B2052" s="6" t="s">
        <v>12359</v>
      </c>
      <c r="C2052" s="7">
        <v>1672.8</v>
      </c>
      <c r="D2052" s="8" t="s">
        <v>12360</v>
      </c>
      <c r="E2052" s="8" t="s">
        <v>12361</v>
      </c>
      <c r="F2052" s="8" t="s">
        <v>12362</v>
      </c>
      <c r="G2052" s="6" t="s">
        <v>60</v>
      </c>
      <c r="H2052" s="6" t="s">
        <v>820</v>
      </c>
      <c r="I2052" s="8" t="s">
        <v>271</v>
      </c>
      <c r="J2052" s="9">
        <v>1</v>
      </c>
      <c r="K2052" s="9">
        <v>240</v>
      </c>
      <c r="L2052" s="9">
        <v>2026</v>
      </c>
      <c r="M2052" s="8" t="s">
        <v>12363</v>
      </c>
      <c r="N2052" s="8" t="s">
        <v>243</v>
      </c>
      <c r="O2052" s="8" t="s">
        <v>1100</v>
      </c>
      <c r="P2052" s="6" t="s">
        <v>51</v>
      </c>
      <c r="Q2052" s="8" t="s">
        <v>52</v>
      </c>
      <c r="R2052" s="10" t="s">
        <v>2505</v>
      </c>
      <c r="S2052" s="11" t="s">
        <v>12364</v>
      </c>
      <c r="T2052" s="6"/>
      <c r="U2052" s="15" t="str">
        <f>HYPERLINK("https://media.infra-m.ru/2257/2257158/cover/2257158.jpg", "Обложка")</f>
        <v>Обложка</v>
      </c>
      <c r="V2052" s="8" t="s">
        <v>1030</v>
      </c>
      <c r="W2052" s="6"/>
      <c r="X2052" s="6"/>
      <c r="Y2052" s="6"/>
      <c r="Z2052" s="6"/>
      <c r="AA2052" s="6" t="s">
        <v>779</v>
      </c>
      <c r="AB2052" s="8"/>
      <c r="AC2052" s="27">
        <v>9785905554827</v>
      </c>
    </row>
    <row r="2053" spans="1:29" s="4" customFormat="1" ht="42" customHeight="1" x14ac:dyDescent="0.2">
      <c r="A2053" s="5">
        <v>0</v>
      </c>
      <c r="B2053" s="6" t="s">
        <v>12365</v>
      </c>
      <c r="C2053" s="7">
        <v>1680</v>
      </c>
      <c r="D2053" s="8" t="s">
        <v>12366</v>
      </c>
      <c r="E2053" s="8" t="s">
        <v>12367</v>
      </c>
      <c r="F2053" s="8" t="s">
        <v>12368</v>
      </c>
      <c r="G2053" s="6" t="s">
        <v>33</v>
      </c>
      <c r="H2053" s="6" t="s">
        <v>34</v>
      </c>
      <c r="I2053" s="8" t="s">
        <v>35</v>
      </c>
      <c r="J2053" s="9">
        <v>1</v>
      </c>
      <c r="K2053" s="9">
        <v>304</v>
      </c>
      <c r="L2053" s="9">
        <v>2024</v>
      </c>
      <c r="M2053" s="8" t="s">
        <v>12369</v>
      </c>
      <c r="N2053" s="8" t="s">
        <v>243</v>
      </c>
      <c r="O2053" s="8" t="s">
        <v>758</v>
      </c>
      <c r="P2053" s="6" t="s">
        <v>39</v>
      </c>
      <c r="Q2053" s="8" t="s">
        <v>40</v>
      </c>
      <c r="R2053" s="10" t="s">
        <v>12370</v>
      </c>
      <c r="S2053" s="11"/>
      <c r="T2053" s="6"/>
      <c r="U2053" s="15" t="str">
        <f>HYPERLINK("https://media.infra-m.ru/2106/2106743/cover/2106743.jpg", "Обложка")</f>
        <v>Обложка</v>
      </c>
      <c r="V2053" s="8" t="s">
        <v>7920</v>
      </c>
      <c r="W2053" s="6"/>
      <c r="X2053" s="6"/>
      <c r="Y2053" s="6"/>
      <c r="Z2053" s="6"/>
      <c r="AA2053" s="6" t="s">
        <v>779</v>
      </c>
      <c r="AB2053" s="8"/>
      <c r="AC2053" s="27">
        <v>9785160106076</v>
      </c>
    </row>
    <row r="2054" spans="1:29" s="4" customFormat="1" ht="51.9" customHeight="1" x14ac:dyDescent="0.2">
      <c r="A2054" s="5">
        <v>0</v>
      </c>
      <c r="B2054" s="6" t="s">
        <v>12371</v>
      </c>
      <c r="C2054" s="7">
        <v>2500.8000000000002</v>
      </c>
      <c r="D2054" s="8" t="s">
        <v>12372</v>
      </c>
      <c r="E2054" s="8" t="s">
        <v>12373</v>
      </c>
      <c r="F2054" s="8" t="s">
        <v>12374</v>
      </c>
      <c r="G2054" s="6" t="s">
        <v>60</v>
      </c>
      <c r="H2054" s="6" t="s">
        <v>48</v>
      </c>
      <c r="I2054" s="8"/>
      <c r="J2054" s="9">
        <v>1</v>
      </c>
      <c r="K2054" s="9">
        <v>400</v>
      </c>
      <c r="L2054" s="9">
        <v>2026</v>
      </c>
      <c r="M2054" s="8" t="s">
        <v>12375</v>
      </c>
      <c r="N2054" s="8" t="s">
        <v>93</v>
      </c>
      <c r="O2054" s="8" t="s">
        <v>94</v>
      </c>
      <c r="P2054" s="6" t="s">
        <v>306</v>
      </c>
      <c r="Q2054" s="8" t="s">
        <v>65</v>
      </c>
      <c r="R2054" s="10" t="s">
        <v>11661</v>
      </c>
      <c r="S2054" s="11"/>
      <c r="T2054" s="6"/>
      <c r="U2054" s="15" t="str">
        <f>HYPERLINK("https://media.infra-m.ru/2215/2215345/cover/2215345.jpg", "Обложка")</f>
        <v>Обложка</v>
      </c>
      <c r="V2054" s="8" t="s">
        <v>54</v>
      </c>
      <c r="W2054" s="6"/>
      <c r="X2054" s="6"/>
      <c r="Y2054" s="6"/>
      <c r="Z2054" s="6"/>
      <c r="AA2054" s="6" t="s">
        <v>129</v>
      </c>
      <c r="AB2054" s="8"/>
      <c r="AC2054" s="27">
        <v>9785911345006</v>
      </c>
    </row>
    <row r="2055" spans="1:29" s="4" customFormat="1" ht="51.9" customHeight="1" x14ac:dyDescent="0.2">
      <c r="A2055" s="5">
        <v>0</v>
      </c>
      <c r="B2055" s="6" t="s">
        <v>12376</v>
      </c>
      <c r="C2055" s="7">
        <v>2500.8000000000002</v>
      </c>
      <c r="D2055" s="8" t="s">
        <v>12377</v>
      </c>
      <c r="E2055" s="8" t="s">
        <v>12373</v>
      </c>
      <c r="F2055" s="8" t="s">
        <v>12378</v>
      </c>
      <c r="G2055" s="6" t="s">
        <v>60</v>
      </c>
      <c r="H2055" s="6" t="s">
        <v>48</v>
      </c>
      <c r="I2055" s="8" t="s">
        <v>263</v>
      </c>
      <c r="J2055" s="9">
        <v>1</v>
      </c>
      <c r="K2055" s="9">
        <v>400</v>
      </c>
      <c r="L2055" s="9">
        <v>2026</v>
      </c>
      <c r="M2055" s="8" t="s">
        <v>12379</v>
      </c>
      <c r="N2055" s="8" t="s">
        <v>93</v>
      </c>
      <c r="O2055" s="8" t="s">
        <v>94</v>
      </c>
      <c r="P2055" s="6" t="s">
        <v>306</v>
      </c>
      <c r="Q2055" s="8" t="s">
        <v>265</v>
      </c>
      <c r="R2055" s="10" t="s">
        <v>12380</v>
      </c>
      <c r="S2055" s="11" t="s">
        <v>12381</v>
      </c>
      <c r="T2055" s="6"/>
      <c r="U2055" s="15" t="str">
        <f>HYPERLINK("https://media.infra-m.ru/2210/2210344/cover/2210344.jpg", "Обложка")</f>
        <v>Обложка</v>
      </c>
      <c r="V2055" s="8" t="s">
        <v>54</v>
      </c>
      <c r="W2055" s="6"/>
      <c r="X2055" s="6"/>
      <c r="Y2055" s="6"/>
      <c r="Z2055" s="6" t="s">
        <v>882</v>
      </c>
      <c r="AA2055" s="6" t="s">
        <v>115</v>
      </c>
      <c r="AB2055" s="8"/>
      <c r="AC2055" s="27">
        <v>9785000915431</v>
      </c>
    </row>
    <row r="2056" spans="1:29" s="4" customFormat="1" ht="51.9" customHeight="1" x14ac:dyDescent="0.2">
      <c r="A2056" s="5">
        <v>0</v>
      </c>
      <c r="B2056" s="6" t="s">
        <v>12382</v>
      </c>
      <c r="C2056" s="7">
        <v>1476</v>
      </c>
      <c r="D2056" s="8" t="s">
        <v>12383</v>
      </c>
      <c r="E2056" s="8" t="s">
        <v>12384</v>
      </c>
      <c r="F2056" s="8" t="s">
        <v>12385</v>
      </c>
      <c r="G2056" s="6" t="s">
        <v>118</v>
      </c>
      <c r="H2056" s="6" t="s">
        <v>34</v>
      </c>
      <c r="I2056" s="8" t="s">
        <v>253</v>
      </c>
      <c r="J2056" s="9">
        <v>1</v>
      </c>
      <c r="K2056" s="9">
        <v>223</v>
      </c>
      <c r="L2056" s="9">
        <v>2026</v>
      </c>
      <c r="M2056" s="8" t="s">
        <v>12386</v>
      </c>
      <c r="N2056" s="8" t="s">
        <v>37</v>
      </c>
      <c r="O2056" s="8" t="s">
        <v>233</v>
      </c>
      <c r="P2056" s="6" t="s">
        <v>51</v>
      </c>
      <c r="Q2056" s="8" t="s">
        <v>52</v>
      </c>
      <c r="R2056" s="10" t="s">
        <v>12387</v>
      </c>
      <c r="S2056" s="11" t="s">
        <v>12388</v>
      </c>
      <c r="T2056" s="6" t="s">
        <v>97</v>
      </c>
      <c r="U2056" s="15" t="str">
        <f>HYPERLINK("https://media.infra-m.ru/2225/2225681/cover/2225681.jpg", "Обложка")</f>
        <v>Обложка</v>
      </c>
      <c r="V2056" s="8" t="s">
        <v>12389</v>
      </c>
      <c r="W2056" s="6"/>
      <c r="X2056" s="6"/>
      <c r="Y2056" s="6"/>
      <c r="Z2056" s="6"/>
      <c r="AA2056" s="6" t="s">
        <v>896</v>
      </c>
      <c r="AB2056" s="8"/>
      <c r="AC2056" s="27">
        <v>9785160196299</v>
      </c>
    </row>
    <row r="2057" spans="1:29" s="4" customFormat="1" ht="51.9" customHeight="1" x14ac:dyDescent="0.2">
      <c r="A2057" s="5">
        <v>0</v>
      </c>
      <c r="B2057" s="6" t="s">
        <v>12390</v>
      </c>
      <c r="C2057" s="7">
        <v>1080</v>
      </c>
      <c r="D2057" s="8" t="s">
        <v>12391</v>
      </c>
      <c r="E2057" s="8" t="s">
        <v>12392</v>
      </c>
      <c r="F2057" s="8" t="s">
        <v>12393</v>
      </c>
      <c r="G2057" s="6" t="s">
        <v>118</v>
      </c>
      <c r="H2057" s="6" t="s">
        <v>34</v>
      </c>
      <c r="I2057" s="8" t="s">
        <v>504</v>
      </c>
      <c r="J2057" s="9">
        <v>1</v>
      </c>
      <c r="K2057" s="9">
        <v>194</v>
      </c>
      <c r="L2057" s="9">
        <v>2023</v>
      </c>
      <c r="M2057" s="8" t="s">
        <v>12394</v>
      </c>
      <c r="N2057" s="8" t="s">
        <v>63</v>
      </c>
      <c r="O2057" s="8" t="s">
        <v>64</v>
      </c>
      <c r="P2057" s="6" t="s">
        <v>51</v>
      </c>
      <c r="Q2057" s="8" t="s">
        <v>500</v>
      </c>
      <c r="R2057" s="10" t="s">
        <v>12395</v>
      </c>
      <c r="S2057" s="11" t="s">
        <v>12396</v>
      </c>
      <c r="T2057" s="6"/>
      <c r="U2057" s="15" t="str">
        <f>HYPERLINK("https://media.infra-m.ru/2004/2004403/cover/2004403.jpg", "Обложка")</f>
        <v>Обложка</v>
      </c>
      <c r="V2057" s="8" t="s">
        <v>1425</v>
      </c>
      <c r="W2057" s="6"/>
      <c r="X2057" s="6"/>
      <c r="Y2057" s="6"/>
      <c r="Z2057" s="6"/>
      <c r="AA2057" s="6" t="s">
        <v>430</v>
      </c>
      <c r="AB2057" s="8"/>
      <c r="AC2057" s="27">
        <v>9785160160719</v>
      </c>
    </row>
    <row r="2058" spans="1:29" s="4" customFormat="1" ht="42" customHeight="1" x14ac:dyDescent="0.2">
      <c r="A2058" s="5">
        <v>0</v>
      </c>
      <c r="B2058" s="6" t="s">
        <v>12397</v>
      </c>
      <c r="C2058" s="7">
        <v>1240.8</v>
      </c>
      <c r="D2058" s="8" t="s">
        <v>12398</v>
      </c>
      <c r="E2058" s="8" t="s">
        <v>12399</v>
      </c>
      <c r="F2058" s="8" t="s">
        <v>12400</v>
      </c>
      <c r="G2058" s="6" t="s">
        <v>33</v>
      </c>
      <c r="H2058" s="6" t="s">
        <v>34</v>
      </c>
      <c r="I2058" s="8" t="s">
        <v>35</v>
      </c>
      <c r="J2058" s="9">
        <v>1</v>
      </c>
      <c r="K2058" s="9">
        <v>188</v>
      </c>
      <c r="L2058" s="9">
        <v>2026</v>
      </c>
      <c r="M2058" s="8" t="s">
        <v>12401</v>
      </c>
      <c r="N2058" s="8" t="s">
        <v>243</v>
      </c>
      <c r="O2058" s="8" t="s">
        <v>244</v>
      </c>
      <c r="P2058" s="6" t="s">
        <v>39</v>
      </c>
      <c r="Q2058" s="8" t="s">
        <v>40</v>
      </c>
      <c r="R2058" s="10" t="s">
        <v>12402</v>
      </c>
      <c r="S2058" s="11"/>
      <c r="T2058" s="6"/>
      <c r="U2058" s="15" t="str">
        <f>HYPERLINK("https://media.infra-m.ru/2233/2233682/cover/2233682.jpg", "Обложка")</f>
        <v>Обложка</v>
      </c>
      <c r="V2058" s="8" t="s">
        <v>644</v>
      </c>
      <c r="W2058" s="6"/>
      <c r="X2058" s="6"/>
      <c r="Y2058" s="6"/>
      <c r="Z2058" s="6"/>
      <c r="AA2058" s="6" t="s">
        <v>274</v>
      </c>
      <c r="AB2058" s="8"/>
      <c r="AC2058" s="27">
        <v>9785160199146</v>
      </c>
    </row>
    <row r="2059" spans="1:29" s="4" customFormat="1" ht="42" customHeight="1" x14ac:dyDescent="0.2">
      <c r="A2059" s="5">
        <v>0</v>
      </c>
      <c r="B2059" s="6" t="s">
        <v>12403</v>
      </c>
      <c r="C2059" s="7">
        <v>1060.8</v>
      </c>
      <c r="D2059" s="8" t="s">
        <v>12404</v>
      </c>
      <c r="E2059" s="8" t="s">
        <v>12399</v>
      </c>
      <c r="F2059" s="8" t="s">
        <v>12400</v>
      </c>
      <c r="G2059" s="6" t="s">
        <v>118</v>
      </c>
      <c r="H2059" s="6" t="s">
        <v>34</v>
      </c>
      <c r="I2059" s="8" t="s">
        <v>35</v>
      </c>
      <c r="J2059" s="9">
        <v>1</v>
      </c>
      <c r="K2059" s="9">
        <v>188</v>
      </c>
      <c r="L2059" s="9">
        <v>2024</v>
      </c>
      <c r="M2059" s="8" t="s">
        <v>12405</v>
      </c>
      <c r="N2059" s="8" t="s">
        <v>243</v>
      </c>
      <c r="O2059" s="8" t="s">
        <v>244</v>
      </c>
      <c r="P2059" s="6" t="s">
        <v>39</v>
      </c>
      <c r="Q2059" s="8" t="s">
        <v>40</v>
      </c>
      <c r="R2059" s="10" t="s">
        <v>12402</v>
      </c>
      <c r="S2059" s="11"/>
      <c r="T2059" s="6"/>
      <c r="U2059" s="15" t="str">
        <f>HYPERLINK("https://media.infra-m.ru/2106/2106196/cover/2106196.jpg", "Обложка")</f>
        <v>Обложка</v>
      </c>
      <c r="V2059" s="8" t="s">
        <v>644</v>
      </c>
      <c r="W2059" s="6"/>
      <c r="X2059" s="6"/>
      <c r="Y2059" s="6"/>
      <c r="Z2059" s="6"/>
      <c r="AA2059" s="6" t="s">
        <v>274</v>
      </c>
      <c r="AB2059" s="8"/>
      <c r="AC2059" s="27">
        <v>9785160114767</v>
      </c>
    </row>
    <row r="2060" spans="1:29" s="4" customFormat="1" ht="42" customHeight="1" x14ac:dyDescent="0.2">
      <c r="A2060" s="5">
        <v>0</v>
      </c>
      <c r="B2060" s="6" t="s">
        <v>12406</v>
      </c>
      <c r="C2060" s="7">
        <v>1056</v>
      </c>
      <c r="D2060" s="8" t="s">
        <v>12407</v>
      </c>
      <c r="E2060" s="8" t="s">
        <v>12408</v>
      </c>
      <c r="F2060" s="8" t="s">
        <v>12409</v>
      </c>
      <c r="G2060" s="6" t="s">
        <v>60</v>
      </c>
      <c r="H2060" s="6" t="s">
        <v>34</v>
      </c>
      <c r="I2060" s="8" t="s">
        <v>1248</v>
      </c>
      <c r="J2060" s="9">
        <v>1</v>
      </c>
      <c r="K2060" s="9">
        <v>184</v>
      </c>
      <c r="L2060" s="9">
        <v>2024</v>
      </c>
      <c r="M2060" s="8" t="s">
        <v>12410</v>
      </c>
      <c r="N2060" s="8" t="s">
        <v>63</v>
      </c>
      <c r="O2060" s="8" t="s">
        <v>64</v>
      </c>
      <c r="P2060" s="6" t="s">
        <v>51</v>
      </c>
      <c r="Q2060" s="8" t="s">
        <v>65</v>
      </c>
      <c r="R2060" s="10" t="s">
        <v>12411</v>
      </c>
      <c r="S2060" s="11"/>
      <c r="T2060" s="6"/>
      <c r="U2060" s="15" t="str">
        <f>HYPERLINK("https://media.infra-m.ru/2130/2130509/cover/2130509.jpg", "Обложка")</f>
        <v>Обложка</v>
      </c>
      <c r="V2060" s="8" t="s">
        <v>1083</v>
      </c>
      <c r="W2060" s="6"/>
      <c r="X2060" s="6"/>
      <c r="Y2060" s="6"/>
      <c r="Z2060" s="6"/>
      <c r="AA2060" s="6" t="s">
        <v>76</v>
      </c>
      <c r="AB2060" s="8"/>
      <c r="AC2060" s="27">
        <v>9785160195964</v>
      </c>
    </row>
    <row r="2061" spans="1:29" s="4" customFormat="1" ht="51.9" customHeight="1" x14ac:dyDescent="0.2">
      <c r="A2061" s="5">
        <v>0</v>
      </c>
      <c r="B2061" s="6" t="s">
        <v>12412</v>
      </c>
      <c r="C2061" s="7">
        <v>1860</v>
      </c>
      <c r="D2061" s="8" t="s">
        <v>12413</v>
      </c>
      <c r="E2061" s="8" t="s">
        <v>12414</v>
      </c>
      <c r="F2061" s="8" t="s">
        <v>12415</v>
      </c>
      <c r="G2061" s="6" t="s">
        <v>33</v>
      </c>
      <c r="H2061" s="6" t="s">
        <v>313</v>
      </c>
      <c r="I2061" s="8" t="s">
        <v>12416</v>
      </c>
      <c r="J2061" s="9">
        <v>1</v>
      </c>
      <c r="K2061" s="9">
        <v>264</v>
      </c>
      <c r="L2061" s="9">
        <v>2026</v>
      </c>
      <c r="M2061" s="8" t="s">
        <v>12417</v>
      </c>
      <c r="N2061" s="8" t="s">
        <v>63</v>
      </c>
      <c r="O2061" s="8" t="s">
        <v>154</v>
      </c>
      <c r="P2061" s="6" t="s">
        <v>748</v>
      </c>
      <c r="Q2061" s="8" t="s">
        <v>40</v>
      </c>
      <c r="R2061" s="10" t="s">
        <v>12418</v>
      </c>
      <c r="S2061" s="11"/>
      <c r="T2061" s="6"/>
      <c r="U2061" s="15" t="str">
        <f>HYPERLINK("https://media.infra-m.ru/2252/2252525/cover/2252525.jpg", "Обложка")</f>
        <v>Обложка</v>
      </c>
      <c r="V2061" s="8" t="s">
        <v>12419</v>
      </c>
      <c r="W2061" s="6"/>
      <c r="X2061" s="6"/>
      <c r="Y2061" s="6"/>
      <c r="Z2061" s="6"/>
      <c r="AA2061" s="6" t="s">
        <v>43</v>
      </c>
      <c r="AB2061" s="8"/>
      <c r="AC2061" s="27">
        <v>9785369010006</v>
      </c>
    </row>
    <row r="2062" spans="1:29" s="4" customFormat="1" ht="51.9" customHeight="1" x14ac:dyDescent="0.2">
      <c r="A2062" s="5">
        <v>0</v>
      </c>
      <c r="B2062" s="6" t="s">
        <v>12420</v>
      </c>
      <c r="C2062" s="7">
        <v>1364.4</v>
      </c>
      <c r="D2062" s="8" t="s">
        <v>12421</v>
      </c>
      <c r="E2062" s="8" t="s">
        <v>12422</v>
      </c>
      <c r="F2062" s="8" t="s">
        <v>1882</v>
      </c>
      <c r="G2062" s="6" t="s">
        <v>60</v>
      </c>
      <c r="H2062" s="6" t="s">
        <v>34</v>
      </c>
      <c r="I2062" s="8" t="s">
        <v>263</v>
      </c>
      <c r="J2062" s="9">
        <v>1</v>
      </c>
      <c r="K2062" s="9">
        <v>174</v>
      </c>
      <c r="L2062" s="9">
        <v>2023</v>
      </c>
      <c r="M2062" s="8" t="s">
        <v>12423</v>
      </c>
      <c r="N2062" s="8" t="s">
        <v>243</v>
      </c>
      <c r="O2062" s="8" t="s">
        <v>244</v>
      </c>
      <c r="P2062" s="6" t="s">
        <v>51</v>
      </c>
      <c r="Q2062" s="8" t="s">
        <v>265</v>
      </c>
      <c r="R2062" s="10" t="s">
        <v>403</v>
      </c>
      <c r="S2062" s="11" t="s">
        <v>12424</v>
      </c>
      <c r="T2062" s="6"/>
      <c r="U2062" s="15" t="str">
        <f>HYPERLINK("https://media.infra-m.ru/2186/2186213/cover/2186213.jpg", "Обложка")</f>
        <v>Обложка</v>
      </c>
      <c r="V2062" s="8" t="s">
        <v>1206</v>
      </c>
      <c r="W2062" s="6"/>
      <c r="X2062" s="6"/>
      <c r="Y2062" s="6"/>
      <c r="Z2062" s="6" t="s">
        <v>267</v>
      </c>
      <c r="AA2062" s="6" t="s">
        <v>896</v>
      </c>
      <c r="AB2062" s="8"/>
      <c r="AC2062" s="27">
        <v>9785160171173</v>
      </c>
    </row>
    <row r="2063" spans="1:29" s="4" customFormat="1" ht="51.9" customHeight="1" x14ac:dyDescent="0.2">
      <c r="A2063" s="5">
        <v>0</v>
      </c>
      <c r="B2063" s="6" t="s">
        <v>12425</v>
      </c>
      <c r="C2063" s="7">
        <v>1430.4</v>
      </c>
      <c r="D2063" s="8" t="s">
        <v>12426</v>
      </c>
      <c r="E2063" s="8" t="s">
        <v>12422</v>
      </c>
      <c r="F2063" s="8" t="s">
        <v>1882</v>
      </c>
      <c r="G2063" s="6" t="s">
        <v>118</v>
      </c>
      <c r="H2063" s="6" t="s">
        <v>34</v>
      </c>
      <c r="I2063" s="8" t="s">
        <v>253</v>
      </c>
      <c r="J2063" s="9">
        <v>1</v>
      </c>
      <c r="K2063" s="9">
        <v>174</v>
      </c>
      <c r="L2063" s="9">
        <v>2026</v>
      </c>
      <c r="M2063" s="8" t="s">
        <v>12427</v>
      </c>
      <c r="N2063" s="8" t="s">
        <v>243</v>
      </c>
      <c r="O2063" s="8" t="s">
        <v>244</v>
      </c>
      <c r="P2063" s="6" t="s">
        <v>51</v>
      </c>
      <c r="Q2063" s="8" t="s">
        <v>52</v>
      </c>
      <c r="R2063" s="10" t="s">
        <v>12428</v>
      </c>
      <c r="S2063" s="11" t="s">
        <v>12429</v>
      </c>
      <c r="T2063" s="6"/>
      <c r="U2063" s="15" t="str">
        <f>HYPERLINK("https://media.infra-m.ru/2222/2222318/cover/2222318.jpg", "Обложка")</f>
        <v>Обложка</v>
      </c>
      <c r="V2063" s="8" t="s">
        <v>1206</v>
      </c>
      <c r="W2063" s="6"/>
      <c r="X2063" s="6"/>
      <c r="Y2063" s="6"/>
      <c r="Z2063" s="6"/>
      <c r="AA2063" s="6" t="s">
        <v>896</v>
      </c>
      <c r="AB2063" s="8"/>
      <c r="AC2063" s="27">
        <v>9785160198347</v>
      </c>
    </row>
    <row r="2064" spans="1:29" s="4" customFormat="1" ht="51.9" customHeight="1" x14ac:dyDescent="0.2">
      <c r="A2064" s="5">
        <v>0</v>
      </c>
      <c r="B2064" s="6" t="s">
        <v>12430</v>
      </c>
      <c r="C2064" s="13">
        <v>924</v>
      </c>
      <c r="D2064" s="8" t="s">
        <v>12431</v>
      </c>
      <c r="E2064" s="8" t="s">
        <v>12432</v>
      </c>
      <c r="F2064" s="8" t="s">
        <v>1882</v>
      </c>
      <c r="G2064" s="6" t="s">
        <v>118</v>
      </c>
      <c r="H2064" s="6" t="s">
        <v>48</v>
      </c>
      <c r="I2064" s="8" t="s">
        <v>271</v>
      </c>
      <c r="J2064" s="9">
        <v>1</v>
      </c>
      <c r="K2064" s="9">
        <v>184</v>
      </c>
      <c r="L2064" s="9">
        <v>2019</v>
      </c>
      <c r="M2064" s="8" t="s">
        <v>12433</v>
      </c>
      <c r="N2064" s="8" t="s">
        <v>243</v>
      </c>
      <c r="O2064" s="8" t="s">
        <v>244</v>
      </c>
      <c r="P2064" s="6" t="s">
        <v>51</v>
      </c>
      <c r="Q2064" s="8" t="s">
        <v>52</v>
      </c>
      <c r="R2064" s="10" t="s">
        <v>12428</v>
      </c>
      <c r="S2064" s="11" t="s">
        <v>12434</v>
      </c>
      <c r="T2064" s="6"/>
      <c r="U2064" s="15" t="str">
        <f>HYPERLINK("https://media.infra-m.ru/0995/0995496/cover/995496.jpg", "Обложка")</f>
        <v>Обложка</v>
      </c>
      <c r="V2064" s="8" t="s">
        <v>1206</v>
      </c>
      <c r="W2064" s="6"/>
      <c r="X2064" s="6"/>
      <c r="Y2064" s="6"/>
      <c r="Z2064" s="6"/>
      <c r="AA2064" s="6" t="s">
        <v>274</v>
      </c>
      <c r="AB2064" s="8"/>
      <c r="AC2064" s="27">
        <v>9785000914489</v>
      </c>
    </row>
    <row r="2065" spans="1:29" s="4" customFormat="1" ht="44.1" customHeight="1" x14ac:dyDescent="0.2">
      <c r="A2065" s="5">
        <v>0</v>
      </c>
      <c r="B2065" s="6" t="s">
        <v>12435</v>
      </c>
      <c r="C2065" s="7">
        <v>1444.8</v>
      </c>
      <c r="D2065" s="8" t="s">
        <v>12436</v>
      </c>
      <c r="E2065" s="8" t="s">
        <v>12437</v>
      </c>
      <c r="F2065" s="8" t="s">
        <v>12438</v>
      </c>
      <c r="G2065" s="6" t="s">
        <v>33</v>
      </c>
      <c r="H2065" s="6" t="s">
        <v>34</v>
      </c>
      <c r="I2065" s="8" t="s">
        <v>35</v>
      </c>
      <c r="J2065" s="9">
        <v>1</v>
      </c>
      <c r="K2065" s="9">
        <v>207</v>
      </c>
      <c r="L2065" s="9">
        <v>2025</v>
      </c>
      <c r="M2065" s="8" t="s">
        <v>12439</v>
      </c>
      <c r="N2065" s="8" t="s">
        <v>37</v>
      </c>
      <c r="O2065" s="8" t="s">
        <v>136</v>
      </c>
      <c r="P2065" s="6" t="s">
        <v>39</v>
      </c>
      <c r="Q2065" s="8" t="s">
        <v>40</v>
      </c>
      <c r="R2065" s="10" t="s">
        <v>12440</v>
      </c>
      <c r="S2065" s="11"/>
      <c r="T2065" s="6"/>
      <c r="U2065" s="15" t="str">
        <f>HYPERLINK("https://media.infra-m.ru/2257/2257451/cover/2257451.jpg", "Обложка")</f>
        <v>Обложка</v>
      </c>
      <c r="V2065" s="8" t="s">
        <v>1231</v>
      </c>
      <c r="W2065" s="6"/>
      <c r="X2065" s="6"/>
      <c r="Y2065" s="6"/>
      <c r="Z2065" s="6"/>
      <c r="AA2065" s="6" t="s">
        <v>148</v>
      </c>
      <c r="AB2065" s="8"/>
      <c r="AC2065" s="27">
        <v>9785160174907</v>
      </c>
    </row>
    <row r="2066" spans="1:29" s="4" customFormat="1" ht="44.1" customHeight="1" x14ac:dyDescent="0.2">
      <c r="A2066" s="5">
        <v>0</v>
      </c>
      <c r="B2066" s="6" t="s">
        <v>12441</v>
      </c>
      <c r="C2066" s="7">
        <v>2472</v>
      </c>
      <c r="D2066" s="8" t="s">
        <v>12442</v>
      </c>
      <c r="E2066" s="8" t="s">
        <v>12443</v>
      </c>
      <c r="F2066" s="8" t="s">
        <v>12444</v>
      </c>
      <c r="G2066" s="6" t="s">
        <v>60</v>
      </c>
      <c r="H2066" s="6" t="s">
        <v>34</v>
      </c>
      <c r="I2066" s="8" t="s">
        <v>35</v>
      </c>
      <c r="J2066" s="9">
        <v>1</v>
      </c>
      <c r="K2066" s="9">
        <v>367</v>
      </c>
      <c r="L2066" s="9">
        <v>2026</v>
      </c>
      <c r="M2066" s="8" t="s">
        <v>12445</v>
      </c>
      <c r="N2066" s="8" t="s">
        <v>37</v>
      </c>
      <c r="O2066" s="8" t="s">
        <v>136</v>
      </c>
      <c r="P2066" s="6" t="s">
        <v>39</v>
      </c>
      <c r="Q2066" s="8" t="s">
        <v>40</v>
      </c>
      <c r="R2066" s="10" t="s">
        <v>12446</v>
      </c>
      <c r="S2066" s="11"/>
      <c r="T2066" s="6"/>
      <c r="U2066" s="15" t="str">
        <f>HYPERLINK("https://media.infra-m.ru/2217/2217163/cover/2217163.jpg", "Обложка")</f>
        <v>Обложка</v>
      </c>
      <c r="V2066" s="8" t="s">
        <v>6147</v>
      </c>
      <c r="W2066" s="6" t="s">
        <v>1382</v>
      </c>
      <c r="X2066" s="6"/>
      <c r="Y2066" s="6"/>
      <c r="Z2066" s="6"/>
      <c r="AA2066" s="6" t="s">
        <v>187</v>
      </c>
      <c r="AB2066" s="8" t="s">
        <v>308</v>
      </c>
      <c r="AC2066" s="27">
        <v>9785160212180</v>
      </c>
    </row>
    <row r="2067" spans="1:29" s="4" customFormat="1" ht="51.9" customHeight="1" x14ac:dyDescent="0.2">
      <c r="A2067" s="5">
        <v>0</v>
      </c>
      <c r="B2067" s="6" t="s">
        <v>12447</v>
      </c>
      <c r="C2067" s="7">
        <v>1228.8</v>
      </c>
      <c r="D2067" s="8" t="s">
        <v>12448</v>
      </c>
      <c r="E2067" s="8" t="s">
        <v>12449</v>
      </c>
      <c r="F2067" s="8" t="s">
        <v>12450</v>
      </c>
      <c r="G2067" s="6" t="s">
        <v>33</v>
      </c>
      <c r="H2067" s="6" t="s">
        <v>241</v>
      </c>
      <c r="I2067" s="8"/>
      <c r="J2067" s="9">
        <v>1</v>
      </c>
      <c r="K2067" s="9">
        <v>175</v>
      </c>
      <c r="L2067" s="9">
        <v>2027</v>
      </c>
      <c r="M2067" s="8" t="s">
        <v>12451</v>
      </c>
      <c r="N2067" s="8" t="s">
        <v>63</v>
      </c>
      <c r="O2067" s="8" t="s">
        <v>64</v>
      </c>
      <c r="P2067" s="6" t="s">
        <v>51</v>
      </c>
      <c r="Q2067" s="8" t="s">
        <v>52</v>
      </c>
      <c r="R2067" s="10" t="s">
        <v>12452</v>
      </c>
      <c r="S2067" s="11" t="s">
        <v>12453</v>
      </c>
      <c r="T2067" s="6"/>
      <c r="U2067" s="15" t="str">
        <f>HYPERLINK("https://media.infra-m.ru/2273/2273027/cover/2273027.jpg", "Обложка")</f>
        <v>Обложка</v>
      </c>
      <c r="V2067" s="8" t="s">
        <v>6025</v>
      </c>
      <c r="W2067" s="6"/>
      <c r="X2067" s="6"/>
      <c r="Y2067" s="6"/>
      <c r="Z2067" s="6"/>
      <c r="AA2067" s="6" t="s">
        <v>248</v>
      </c>
      <c r="AB2067" s="8"/>
      <c r="AC2067" s="27">
        <v>9785955803265</v>
      </c>
    </row>
    <row r="2068" spans="1:29" s="4" customFormat="1" ht="51.9" customHeight="1" x14ac:dyDescent="0.2">
      <c r="A2068" s="5">
        <v>0</v>
      </c>
      <c r="B2068" s="6" t="s">
        <v>12454</v>
      </c>
      <c r="C2068" s="13">
        <v>792</v>
      </c>
      <c r="D2068" s="8" t="s">
        <v>12455</v>
      </c>
      <c r="E2068" s="8" t="s">
        <v>12456</v>
      </c>
      <c r="F2068" s="8" t="s">
        <v>12457</v>
      </c>
      <c r="G2068" s="6" t="s">
        <v>33</v>
      </c>
      <c r="H2068" s="6" t="s">
        <v>34</v>
      </c>
      <c r="I2068" s="8" t="s">
        <v>35</v>
      </c>
      <c r="J2068" s="9">
        <v>1</v>
      </c>
      <c r="K2068" s="9">
        <v>174</v>
      </c>
      <c r="L2068" s="9">
        <v>2022</v>
      </c>
      <c r="M2068" s="8" t="s">
        <v>12458</v>
      </c>
      <c r="N2068" s="8" t="s">
        <v>63</v>
      </c>
      <c r="O2068" s="8" t="s">
        <v>64</v>
      </c>
      <c r="P2068" s="6" t="s">
        <v>39</v>
      </c>
      <c r="Q2068" s="8" t="s">
        <v>40</v>
      </c>
      <c r="R2068" s="10" t="s">
        <v>12459</v>
      </c>
      <c r="S2068" s="11"/>
      <c r="T2068" s="6"/>
      <c r="U2068" s="15" t="str">
        <f>HYPERLINK("https://media.infra-m.ru/1735/1735161/cover/1735161.jpg", "Обложка")</f>
        <v>Обложка</v>
      </c>
      <c r="V2068" s="8" t="s">
        <v>546</v>
      </c>
      <c r="W2068" s="6"/>
      <c r="X2068" s="6"/>
      <c r="Y2068" s="6"/>
      <c r="Z2068" s="6"/>
      <c r="AA2068" s="6" t="s">
        <v>86</v>
      </c>
      <c r="AB2068" s="8"/>
      <c r="AC2068" s="27">
        <v>9785160138404</v>
      </c>
    </row>
    <row r="2069" spans="1:29" s="4" customFormat="1" ht="44.1" customHeight="1" x14ac:dyDescent="0.2">
      <c r="A2069" s="5">
        <v>0</v>
      </c>
      <c r="B2069" s="6" t="s">
        <v>12460</v>
      </c>
      <c r="C2069" s="13">
        <v>880.8</v>
      </c>
      <c r="D2069" s="8" t="s">
        <v>12461</v>
      </c>
      <c r="E2069" s="8" t="s">
        <v>12462</v>
      </c>
      <c r="F2069" s="8" t="s">
        <v>12463</v>
      </c>
      <c r="G2069" s="6" t="s">
        <v>33</v>
      </c>
      <c r="H2069" s="6" t="s">
        <v>34</v>
      </c>
      <c r="I2069" s="8" t="s">
        <v>35</v>
      </c>
      <c r="J2069" s="9">
        <v>1</v>
      </c>
      <c r="K2069" s="9">
        <v>126</v>
      </c>
      <c r="L2069" s="9">
        <v>2027</v>
      </c>
      <c r="M2069" s="8" t="s">
        <v>12464</v>
      </c>
      <c r="N2069" s="8" t="s">
        <v>243</v>
      </c>
      <c r="O2069" s="8" t="s">
        <v>385</v>
      </c>
      <c r="P2069" s="6" t="s">
        <v>39</v>
      </c>
      <c r="Q2069" s="8" t="s">
        <v>40</v>
      </c>
      <c r="R2069" s="10" t="s">
        <v>12465</v>
      </c>
      <c r="S2069" s="11"/>
      <c r="T2069" s="6"/>
      <c r="U2069" s="15" t="str">
        <f>HYPERLINK("https://media.infra-m.ru/2251/2251167/cover/2251167.jpg", "Обложка")</f>
        <v>Обложка</v>
      </c>
      <c r="V2069" s="8" t="s">
        <v>10412</v>
      </c>
      <c r="W2069" s="6"/>
      <c r="X2069" s="6"/>
      <c r="Y2069" s="6"/>
      <c r="Z2069" s="6"/>
      <c r="AA2069" s="6" t="s">
        <v>55</v>
      </c>
      <c r="AB2069" s="8"/>
      <c r="AC2069" s="27">
        <v>9785160065403</v>
      </c>
    </row>
    <row r="2070" spans="1:29" s="4" customFormat="1" ht="51.9" customHeight="1" x14ac:dyDescent="0.2">
      <c r="A2070" s="5">
        <v>0</v>
      </c>
      <c r="B2070" s="6" t="s">
        <v>12466</v>
      </c>
      <c r="C2070" s="7">
        <v>2902.8</v>
      </c>
      <c r="D2070" s="8" t="s">
        <v>12467</v>
      </c>
      <c r="E2070" s="8" t="s">
        <v>12468</v>
      </c>
      <c r="F2070" s="8" t="s">
        <v>12469</v>
      </c>
      <c r="G2070" s="6" t="s">
        <v>60</v>
      </c>
      <c r="H2070" s="6" t="s">
        <v>34</v>
      </c>
      <c r="I2070" s="8" t="s">
        <v>375</v>
      </c>
      <c r="J2070" s="9">
        <v>1</v>
      </c>
      <c r="K2070" s="9">
        <v>414</v>
      </c>
      <c r="L2070" s="9">
        <v>2027</v>
      </c>
      <c r="M2070" s="8" t="s">
        <v>12470</v>
      </c>
      <c r="N2070" s="8" t="s">
        <v>243</v>
      </c>
      <c r="O2070" s="8" t="s">
        <v>385</v>
      </c>
      <c r="P2070" s="6" t="s">
        <v>51</v>
      </c>
      <c r="Q2070" s="8" t="s">
        <v>65</v>
      </c>
      <c r="R2070" s="10" t="s">
        <v>12471</v>
      </c>
      <c r="S2070" s="11"/>
      <c r="T2070" s="6"/>
      <c r="U2070" s="15" t="str">
        <f>HYPERLINK("https://media.infra-m.ru/2257/2257126/cover/2257126.jpg", "Обложка")</f>
        <v>Обложка</v>
      </c>
      <c r="V2070" s="8" t="s">
        <v>379</v>
      </c>
      <c r="W2070" s="6"/>
      <c r="X2070" s="6"/>
      <c r="Y2070" s="6"/>
      <c r="Z2070" s="6"/>
      <c r="AA2070" s="6" t="s">
        <v>68</v>
      </c>
      <c r="AB2070" s="8" t="s">
        <v>12472</v>
      </c>
      <c r="AC2070" s="27">
        <v>9785160208671</v>
      </c>
    </row>
    <row r="2071" spans="1:29" s="4" customFormat="1" ht="51.9" customHeight="1" x14ac:dyDescent="0.2">
      <c r="A2071" s="5">
        <v>0</v>
      </c>
      <c r="B2071" s="6" t="s">
        <v>12473</v>
      </c>
      <c r="C2071" s="7">
        <v>1984.8</v>
      </c>
      <c r="D2071" s="8" t="s">
        <v>12474</v>
      </c>
      <c r="E2071" s="8" t="s">
        <v>12475</v>
      </c>
      <c r="F2071" s="8" t="s">
        <v>12476</v>
      </c>
      <c r="G2071" s="6" t="s">
        <v>60</v>
      </c>
      <c r="H2071" s="6" t="s">
        <v>34</v>
      </c>
      <c r="I2071" s="8" t="s">
        <v>263</v>
      </c>
      <c r="J2071" s="9">
        <v>1</v>
      </c>
      <c r="K2071" s="9">
        <v>352</v>
      </c>
      <c r="L2071" s="9">
        <v>2024</v>
      </c>
      <c r="M2071" s="8" t="s">
        <v>12477</v>
      </c>
      <c r="N2071" s="8" t="s">
        <v>243</v>
      </c>
      <c r="O2071" s="8" t="s">
        <v>385</v>
      </c>
      <c r="P2071" s="6" t="s">
        <v>51</v>
      </c>
      <c r="Q2071" s="8" t="s">
        <v>265</v>
      </c>
      <c r="R2071" s="10" t="s">
        <v>12478</v>
      </c>
      <c r="S2071" s="11" t="s">
        <v>12479</v>
      </c>
      <c r="T2071" s="6" t="s">
        <v>97</v>
      </c>
      <c r="U2071" s="15" t="str">
        <f>HYPERLINK("https://media.infra-m.ru/2157/2157276/cover/2157276.jpg", "Обложка")</f>
        <v>Обложка</v>
      </c>
      <c r="V2071" s="8" t="s">
        <v>9889</v>
      </c>
      <c r="W2071" s="6"/>
      <c r="X2071" s="6"/>
      <c r="Y2071" s="6"/>
      <c r="Z2071" s="6" t="s">
        <v>3911</v>
      </c>
      <c r="AA2071" s="6" t="s">
        <v>86</v>
      </c>
      <c r="AB2071" s="8"/>
      <c r="AC2071" s="27">
        <v>9785160139234</v>
      </c>
    </row>
    <row r="2072" spans="1:29" s="4" customFormat="1" ht="51.9" customHeight="1" x14ac:dyDescent="0.2">
      <c r="A2072" s="5">
        <v>0</v>
      </c>
      <c r="B2072" s="6" t="s">
        <v>12480</v>
      </c>
      <c r="C2072" s="7">
        <v>2104.8000000000002</v>
      </c>
      <c r="D2072" s="8" t="s">
        <v>12481</v>
      </c>
      <c r="E2072" s="8" t="s">
        <v>12482</v>
      </c>
      <c r="F2072" s="8" t="s">
        <v>12483</v>
      </c>
      <c r="G2072" s="6" t="s">
        <v>60</v>
      </c>
      <c r="H2072" s="6" t="s">
        <v>34</v>
      </c>
      <c r="I2072" s="8" t="s">
        <v>9885</v>
      </c>
      <c r="J2072" s="9">
        <v>1</v>
      </c>
      <c r="K2072" s="9">
        <v>352</v>
      </c>
      <c r="L2072" s="9">
        <v>2025</v>
      </c>
      <c r="M2072" s="8" t="s">
        <v>12484</v>
      </c>
      <c r="N2072" s="8" t="s">
        <v>243</v>
      </c>
      <c r="O2072" s="8" t="s">
        <v>385</v>
      </c>
      <c r="P2072" s="6" t="s">
        <v>51</v>
      </c>
      <c r="Q2072" s="8" t="s">
        <v>377</v>
      </c>
      <c r="R2072" s="10" t="s">
        <v>12485</v>
      </c>
      <c r="S2072" s="11"/>
      <c r="T2072" s="6" t="s">
        <v>97</v>
      </c>
      <c r="U2072" s="15" t="str">
        <f>HYPERLINK("https://media.infra-m.ru/2170/2170647/cover/2170647.jpg", "Обложка")</f>
        <v>Обложка</v>
      </c>
      <c r="V2072" s="8" t="s">
        <v>9889</v>
      </c>
      <c r="W2072" s="6"/>
      <c r="X2072" s="6"/>
      <c r="Y2072" s="6"/>
      <c r="Z2072" s="6"/>
      <c r="AA2072" s="6" t="s">
        <v>248</v>
      </c>
      <c r="AB2072" s="8"/>
      <c r="AC2072" s="27">
        <v>9785160097022</v>
      </c>
    </row>
    <row r="2073" spans="1:29" s="4" customFormat="1" ht="51.9" customHeight="1" x14ac:dyDescent="0.2">
      <c r="A2073" s="5">
        <v>0</v>
      </c>
      <c r="B2073" s="6" t="s">
        <v>12486</v>
      </c>
      <c r="C2073" s="7">
        <v>4680</v>
      </c>
      <c r="D2073" s="8" t="s">
        <v>12487</v>
      </c>
      <c r="E2073" s="8" t="s">
        <v>12488</v>
      </c>
      <c r="F2073" s="8" t="s">
        <v>12489</v>
      </c>
      <c r="G2073" s="6" t="s">
        <v>60</v>
      </c>
      <c r="H2073" s="6" t="s">
        <v>34</v>
      </c>
      <c r="I2073" s="8" t="s">
        <v>253</v>
      </c>
      <c r="J2073" s="9">
        <v>1</v>
      </c>
      <c r="K2073" s="9">
        <v>954</v>
      </c>
      <c r="L2073" s="9">
        <v>2026</v>
      </c>
      <c r="M2073" s="8" t="s">
        <v>12490</v>
      </c>
      <c r="N2073" s="8" t="s">
        <v>243</v>
      </c>
      <c r="O2073" s="8" t="s">
        <v>1100</v>
      </c>
      <c r="P2073" s="6" t="s">
        <v>306</v>
      </c>
      <c r="Q2073" s="8" t="s">
        <v>377</v>
      </c>
      <c r="R2073" s="10" t="s">
        <v>2505</v>
      </c>
      <c r="S2073" s="11" t="s">
        <v>12491</v>
      </c>
      <c r="T2073" s="6" t="s">
        <v>97</v>
      </c>
      <c r="U2073" s="15" t="str">
        <f>HYPERLINK("https://media.infra-m.ru/2244/2244313/cover/2244313.jpg", "Обложка")</f>
        <v>Обложка</v>
      </c>
      <c r="V2073" s="8" t="s">
        <v>2522</v>
      </c>
      <c r="W2073" s="6"/>
      <c r="X2073" s="6"/>
      <c r="Y2073" s="6"/>
      <c r="Z2073" s="6"/>
      <c r="AA2073" s="6" t="s">
        <v>360</v>
      </c>
      <c r="AB2073" s="8"/>
      <c r="AC2073" s="27">
        <v>9785160209289</v>
      </c>
    </row>
    <row r="2074" spans="1:29" s="4" customFormat="1" ht="51.9" customHeight="1" x14ac:dyDescent="0.2">
      <c r="A2074" s="5">
        <v>0</v>
      </c>
      <c r="B2074" s="6" t="s">
        <v>12492</v>
      </c>
      <c r="C2074" s="7">
        <v>1728</v>
      </c>
      <c r="D2074" s="8" t="s">
        <v>12493</v>
      </c>
      <c r="E2074" s="8" t="s">
        <v>12494</v>
      </c>
      <c r="F2074" s="8" t="s">
        <v>12495</v>
      </c>
      <c r="G2074" s="6" t="s">
        <v>118</v>
      </c>
      <c r="H2074" s="6" t="s">
        <v>34</v>
      </c>
      <c r="I2074" s="8" t="s">
        <v>253</v>
      </c>
      <c r="J2074" s="9">
        <v>1</v>
      </c>
      <c r="K2074" s="9">
        <v>310</v>
      </c>
      <c r="L2074" s="9">
        <v>2024</v>
      </c>
      <c r="M2074" s="8" t="s">
        <v>12496</v>
      </c>
      <c r="N2074" s="8" t="s">
        <v>37</v>
      </c>
      <c r="O2074" s="8" t="s">
        <v>233</v>
      </c>
      <c r="P2074" s="6" t="s">
        <v>51</v>
      </c>
      <c r="Q2074" s="8" t="s">
        <v>52</v>
      </c>
      <c r="R2074" s="10" t="s">
        <v>12497</v>
      </c>
      <c r="S2074" s="11" t="s">
        <v>12498</v>
      </c>
      <c r="T2074" s="6"/>
      <c r="U2074" s="15" t="str">
        <f>HYPERLINK("https://media.infra-m.ru/2125/2125844/cover/2125844.jpg", "Обложка")</f>
        <v>Обложка</v>
      </c>
      <c r="V2074" s="8" t="s">
        <v>5117</v>
      </c>
      <c r="W2074" s="6"/>
      <c r="X2074" s="6"/>
      <c r="Y2074" s="6"/>
      <c r="Z2074" s="6"/>
      <c r="AA2074" s="6" t="s">
        <v>43</v>
      </c>
      <c r="AB2074" s="8"/>
      <c r="AC2074" s="27">
        <v>9785160195865</v>
      </c>
    </row>
    <row r="2075" spans="1:29" s="4" customFormat="1" ht="51.9" customHeight="1" x14ac:dyDescent="0.2">
      <c r="A2075" s="5">
        <v>0</v>
      </c>
      <c r="B2075" s="6" t="s">
        <v>12499</v>
      </c>
      <c r="C2075" s="7">
        <v>2536.8000000000002</v>
      </c>
      <c r="D2075" s="8" t="s">
        <v>12500</v>
      </c>
      <c r="E2075" s="8" t="s">
        <v>12501</v>
      </c>
      <c r="F2075" s="8" t="s">
        <v>12502</v>
      </c>
      <c r="G2075" s="6" t="s">
        <v>118</v>
      </c>
      <c r="H2075" s="6" t="s">
        <v>34</v>
      </c>
      <c r="I2075" s="8" t="s">
        <v>271</v>
      </c>
      <c r="J2075" s="9">
        <v>1</v>
      </c>
      <c r="K2075" s="9">
        <v>460</v>
      </c>
      <c r="L2075" s="9">
        <v>2023</v>
      </c>
      <c r="M2075" s="8" t="s">
        <v>12503</v>
      </c>
      <c r="N2075" s="8" t="s">
        <v>243</v>
      </c>
      <c r="O2075" s="8" t="s">
        <v>244</v>
      </c>
      <c r="P2075" s="6" t="s">
        <v>306</v>
      </c>
      <c r="Q2075" s="8" t="s">
        <v>52</v>
      </c>
      <c r="R2075" s="10" t="s">
        <v>12504</v>
      </c>
      <c r="S2075" s="11" t="s">
        <v>12505</v>
      </c>
      <c r="T2075" s="6" t="s">
        <v>97</v>
      </c>
      <c r="U2075" s="15" t="str">
        <f>HYPERLINK("https://media.infra-m.ru/2051/2051474/cover/2051474.jpg", "Обложка")</f>
        <v>Обложка</v>
      </c>
      <c r="V2075" s="8" t="s">
        <v>546</v>
      </c>
      <c r="W2075" s="6"/>
      <c r="X2075" s="6"/>
      <c r="Y2075" s="6"/>
      <c r="Z2075" s="6"/>
      <c r="AA2075" s="6" t="s">
        <v>874</v>
      </c>
      <c r="AB2075" s="8"/>
      <c r="AC2075" s="27">
        <v>9785160091525</v>
      </c>
    </row>
    <row r="2076" spans="1:29" s="4" customFormat="1" ht="51.9" customHeight="1" x14ac:dyDescent="0.2">
      <c r="A2076" s="5">
        <v>0</v>
      </c>
      <c r="B2076" s="6" t="s">
        <v>12506</v>
      </c>
      <c r="C2076" s="7">
        <v>2956.8</v>
      </c>
      <c r="D2076" s="8" t="s">
        <v>12507</v>
      </c>
      <c r="E2076" s="8" t="s">
        <v>12508</v>
      </c>
      <c r="F2076" s="8" t="s">
        <v>12509</v>
      </c>
      <c r="G2076" s="6" t="s">
        <v>60</v>
      </c>
      <c r="H2076" s="6" t="s">
        <v>1042</v>
      </c>
      <c r="I2076" s="8" t="s">
        <v>253</v>
      </c>
      <c r="J2076" s="9">
        <v>1</v>
      </c>
      <c r="K2076" s="9">
        <v>448</v>
      </c>
      <c r="L2076" s="9">
        <v>2026</v>
      </c>
      <c r="M2076" s="8" t="s">
        <v>12510</v>
      </c>
      <c r="N2076" s="8" t="s">
        <v>243</v>
      </c>
      <c r="O2076" s="8" t="s">
        <v>244</v>
      </c>
      <c r="P2076" s="6" t="s">
        <v>306</v>
      </c>
      <c r="Q2076" s="8" t="s">
        <v>52</v>
      </c>
      <c r="R2076" s="10" t="s">
        <v>12511</v>
      </c>
      <c r="S2076" s="11" t="s">
        <v>12512</v>
      </c>
      <c r="T2076" s="6"/>
      <c r="U2076" s="15" t="str">
        <f>HYPERLINK("https://media.infra-m.ru/2238/2238290/cover/2238290.jpg", "Обложка")</f>
        <v>Обложка</v>
      </c>
      <c r="V2076" s="8" t="s">
        <v>761</v>
      </c>
      <c r="W2076" s="6"/>
      <c r="X2076" s="6"/>
      <c r="Y2076" s="6"/>
      <c r="Z2076" s="6"/>
      <c r="AA2076" s="6" t="s">
        <v>949</v>
      </c>
      <c r="AB2076" s="8"/>
      <c r="AC2076" s="27">
        <v>9785819902745</v>
      </c>
    </row>
    <row r="2077" spans="1:29" s="4" customFormat="1" ht="51.9" customHeight="1" x14ac:dyDescent="0.2">
      <c r="A2077" s="5">
        <v>0</v>
      </c>
      <c r="B2077" s="6" t="s">
        <v>12513</v>
      </c>
      <c r="C2077" s="13">
        <v>952.8</v>
      </c>
      <c r="D2077" s="8" t="s">
        <v>12514</v>
      </c>
      <c r="E2077" s="8" t="s">
        <v>12515</v>
      </c>
      <c r="F2077" s="8" t="s">
        <v>12516</v>
      </c>
      <c r="G2077" s="6" t="s">
        <v>118</v>
      </c>
      <c r="H2077" s="6" t="s">
        <v>313</v>
      </c>
      <c r="I2077" s="8" t="s">
        <v>401</v>
      </c>
      <c r="J2077" s="9">
        <v>1</v>
      </c>
      <c r="K2077" s="9">
        <v>124</v>
      </c>
      <c r="L2077" s="9">
        <v>2026</v>
      </c>
      <c r="M2077" s="8" t="s">
        <v>12517</v>
      </c>
      <c r="N2077" s="8" t="s">
        <v>243</v>
      </c>
      <c r="O2077" s="8" t="s">
        <v>244</v>
      </c>
      <c r="P2077" s="6" t="s">
        <v>51</v>
      </c>
      <c r="Q2077" s="8" t="s">
        <v>265</v>
      </c>
      <c r="R2077" s="10" t="s">
        <v>12518</v>
      </c>
      <c r="S2077" s="11" t="s">
        <v>12519</v>
      </c>
      <c r="T2077" s="6"/>
      <c r="U2077" s="15" t="str">
        <f>HYPERLINK("https://media.infra-m.ru/2239/2239968/cover/2239968.jpg", "Обложка")</f>
        <v>Обложка</v>
      </c>
      <c r="V2077" s="8" t="s">
        <v>12520</v>
      </c>
      <c r="W2077" s="6"/>
      <c r="X2077" s="6" t="s">
        <v>24</v>
      </c>
      <c r="Y2077" s="6"/>
      <c r="Z2077" s="6"/>
      <c r="AA2077" s="6" t="s">
        <v>248</v>
      </c>
      <c r="AB2077" s="8"/>
      <c r="AC2077" s="27">
        <v>9785369013083</v>
      </c>
    </row>
    <row r="2078" spans="1:29" s="4" customFormat="1" ht="51.9" customHeight="1" x14ac:dyDescent="0.2">
      <c r="A2078" s="5">
        <v>0</v>
      </c>
      <c r="B2078" s="6" t="s">
        <v>12521</v>
      </c>
      <c r="C2078" s="7">
        <v>1540.8</v>
      </c>
      <c r="D2078" s="8" t="s">
        <v>12522</v>
      </c>
      <c r="E2078" s="8" t="s">
        <v>12523</v>
      </c>
      <c r="F2078" s="8" t="s">
        <v>9040</v>
      </c>
      <c r="G2078" s="6" t="s">
        <v>118</v>
      </c>
      <c r="H2078" s="6" t="s">
        <v>34</v>
      </c>
      <c r="I2078" s="8" t="s">
        <v>263</v>
      </c>
      <c r="J2078" s="9">
        <v>1</v>
      </c>
      <c r="K2078" s="9">
        <v>247</v>
      </c>
      <c r="L2078" s="9">
        <v>2026</v>
      </c>
      <c r="M2078" s="8" t="s">
        <v>12524</v>
      </c>
      <c r="N2078" s="8" t="s">
        <v>243</v>
      </c>
      <c r="O2078" s="8" t="s">
        <v>244</v>
      </c>
      <c r="P2078" s="6" t="s">
        <v>51</v>
      </c>
      <c r="Q2078" s="8" t="s">
        <v>265</v>
      </c>
      <c r="R2078" s="10" t="s">
        <v>12525</v>
      </c>
      <c r="S2078" s="11" t="s">
        <v>12526</v>
      </c>
      <c r="T2078" s="6"/>
      <c r="U2078" s="15" t="str">
        <f>HYPERLINK("https://media.infra-m.ru/2213/2213143/cover/2213143.jpg", "Обложка")</f>
        <v>Обложка</v>
      </c>
      <c r="V2078" s="8"/>
      <c r="W2078" s="6"/>
      <c r="X2078" s="6"/>
      <c r="Y2078" s="6"/>
      <c r="Z2078" s="6"/>
      <c r="AA2078" s="6" t="s">
        <v>148</v>
      </c>
      <c r="AB2078" s="8"/>
      <c r="AC2078" s="27">
        <v>9785160146478</v>
      </c>
    </row>
    <row r="2079" spans="1:29" s="4" customFormat="1" ht="51.9" customHeight="1" x14ac:dyDescent="0.2">
      <c r="A2079" s="5">
        <v>0</v>
      </c>
      <c r="B2079" s="6" t="s">
        <v>12527</v>
      </c>
      <c r="C2079" s="7">
        <v>1296</v>
      </c>
      <c r="D2079" s="8" t="s">
        <v>12528</v>
      </c>
      <c r="E2079" s="8" t="s">
        <v>12529</v>
      </c>
      <c r="F2079" s="8" t="s">
        <v>12530</v>
      </c>
      <c r="G2079" s="6" t="s">
        <v>118</v>
      </c>
      <c r="H2079" s="6" t="s">
        <v>34</v>
      </c>
      <c r="I2079" s="8" t="s">
        <v>253</v>
      </c>
      <c r="J2079" s="9">
        <v>1</v>
      </c>
      <c r="K2079" s="9">
        <v>196</v>
      </c>
      <c r="L2079" s="9">
        <v>2026</v>
      </c>
      <c r="M2079" s="8" t="s">
        <v>12531</v>
      </c>
      <c r="N2079" s="8" t="s">
        <v>243</v>
      </c>
      <c r="O2079" s="8" t="s">
        <v>244</v>
      </c>
      <c r="P2079" s="6" t="s">
        <v>51</v>
      </c>
      <c r="Q2079" s="8" t="s">
        <v>52</v>
      </c>
      <c r="R2079" s="10" t="s">
        <v>12532</v>
      </c>
      <c r="S2079" s="11" t="s">
        <v>12533</v>
      </c>
      <c r="T2079" s="6" t="s">
        <v>97</v>
      </c>
      <c r="U2079" s="15" t="str">
        <f>HYPERLINK("https://media.infra-m.ru/2249/2249505/cover/2249505.jpg", "Обложка")</f>
        <v>Обложка</v>
      </c>
      <c r="V2079" s="8" t="s">
        <v>761</v>
      </c>
      <c r="W2079" s="6"/>
      <c r="X2079" s="6"/>
      <c r="Y2079" s="6"/>
      <c r="Z2079" s="6"/>
      <c r="AA2079" s="6" t="s">
        <v>274</v>
      </c>
      <c r="AB2079" s="8"/>
      <c r="AC2079" s="27">
        <v>9785160220598</v>
      </c>
    </row>
    <row r="2080" spans="1:29" s="4" customFormat="1" ht="51.9" customHeight="1" x14ac:dyDescent="0.2">
      <c r="A2080" s="5">
        <v>0</v>
      </c>
      <c r="B2080" s="6" t="s">
        <v>12534</v>
      </c>
      <c r="C2080" s="7">
        <v>3384</v>
      </c>
      <c r="D2080" s="8" t="s">
        <v>12535</v>
      </c>
      <c r="E2080" s="8" t="s">
        <v>12536</v>
      </c>
      <c r="F2080" s="8" t="s">
        <v>6029</v>
      </c>
      <c r="G2080" s="6" t="s">
        <v>60</v>
      </c>
      <c r="H2080" s="6" t="s">
        <v>1042</v>
      </c>
      <c r="I2080" s="8" t="s">
        <v>253</v>
      </c>
      <c r="J2080" s="9">
        <v>1</v>
      </c>
      <c r="K2080" s="9">
        <v>542</v>
      </c>
      <c r="L2080" s="9">
        <v>2025</v>
      </c>
      <c r="M2080" s="8" t="s">
        <v>12537</v>
      </c>
      <c r="N2080" s="8" t="s">
        <v>243</v>
      </c>
      <c r="O2080" s="8" t="s">
        <v>244</v>
      </c>
      <c r="P2080" s="6" t="s">
        <v>306</v>
      </c>
      <c r="Q2080" s="8" t="s">
        <v>52</v>
      </c>
      <c r="R2080" s="10" t="s">
        <v>12538</v>
      </c>
      <c r="S2080" s="11" t="s">
        <v>12539</v>
      </c>
      <c r="T2080" s="6"/>
      <c r="U2080" s="15" t="str">
        <f>HYPERLINK("https://media.infra-m.ru/2205/2205134/cover/2205134.jpg", "Обложка")</f>
        <v>Обложка</v>
      </c>
      <c r="V2080" s="8"/>
      <c r="W2080" s="6"/>
      <c r="X2080" s="6"/>
      <c r="Y2080" s="6"/>
      <c r="Z2080" s="6" t="s">
        <v>632</v>
      </c>
      <c r="AA2080" s="6" t="s">
        <v>99</v>
      </c>
      <c r="AB2080" s="8"/>
      <c r="AC2080" s="27">
        <v>9785819909683</v>
      </c>
    </row>
    <row r="2081" spans="1:29" s="4" customFormat="1" ht="51.9" customHeight="1" x14ac:dyDescent="0.2">
      <c r="A2081" s="5">
        <v>0</v>
      </c>
      <c r="B2081" s="6" t="s">
        <v>12540</v>
      </c>
      <c r="C2081" s="7">
        <v>3576</v>
      </c>
      <c r="D2081" s="8" t="s">
        <v>12541</v>
      </c>
      <c r="E2081" s="8" t="s">
        <v>12536</v>
      </c>
      <c r="F2081" s="8" t="s">
        <v>6029</v>
      </c>
      <c r="G2081" s="6" t="s">
        <v>60</v>
      </c>
      <c r="H2081" s="6" t="s">
        <v>34</v>
      </c>
      <c r="I2081" s="8" t="s">
        <v>263</v>
      </c>
      <c r="J2081" s="9">
        <v>1</v>
      </c>
      <c r="K2081" s="9">
        <v>542</v>
      </c>
      <c r="L2081" s="9">
        <v>2026</v>
      </c>
      <c r="M2081" s="8" t="s">
        <v>12542</v>
      </c>
      <c r="N2081" s="8" t="s">
        <v>243</v>
      </c>
      <c r="O2081" s="8" t="s">
        <v>244</v>
      </c>
      <c r="P2081" s="6" t="s">
        <v>306</v>
      </c>
      <c r="Q2081" s="8" t="s">
        <v>265</v>
      </c>
      <c r="R2081" s="10" t="s">
        <v>12543</v>
      </c>
      <c r="S2081" s="11" t="s">
        <v>12544</v>
      </c>
      <c r="T2081" s="6"/>
      <c r="U2081" s="15" t="str">
        <f>HYPERLINK("https://media.infra-m.ru/2232/2232356/cover/2232356.jpg", "Обложка")</f>
        <v>Обложка</v>
      </c>
      <c r="V2081" s="8"/>
      <c r="W2081" s="6"/>
      <c r="X2081" s="6" t="s">
        <v>24</v>
      </c>
      <c r="Y2081" s="6"/>
      <c r="Z2081" s="6"/>
      <c r="AA2081" s="6" t="s">
        <v>129</v>
      </c>
      <c r="AB2081" s="8"/>
      <c r="AC2081" s="27">
        <v>9785160216119</v>
      </c>
    </row>
    <row r="2082" spans="1:29" s="4" customFormat="1" ht="42" customHeight="1" x14ac:dyDescent="0.2">
      <c r="A2082" s="5">
        <v>0</v>
      </c>
      <c r="B2082" s="6" t="s">
        <v>12545</v>
      </c>
      <c r="C2082" s="7">
        <v>1685.9</v>
      </c>
      <c r="D2082" s="8" t="s">
        <v>12546</v>
      </c>
      <c r="E2082" s="8" t="s">
        <v>12547</v>
      </c>
      <c r="F2082" s="8" t="s">
        <v>12548</v>
      </c>
      <c r="G2082" s="6" t="s">
        <v>60</v>
      </c>
      <c r="H2082" s="6" t="s">
        <v>1042</v>
      </c>
      <c r="I2082" s="8" t="s">
        <v>253</v>
      </c>
      <c r="J2082" s="9">
        <v>1</v>
      </c>
      <c r="K2082" s="9">
        <v>480</v>
      </c>
      <c r="L2082" s="9">
        <v>2018</v>
      </c>
      <c r="M2082" s="8" t="s">
        <v>12549</v>
      </c>
      <c r="N2082" s="8" t="s">
        <v>243</v>
      </c>
      <c r="O2082" s="8" t="s">
        <v>244</v>
      </c>
      <c r="P2082" s="6" t="s">
        <v>51</v>
      </c>
      <c r="Q2082" s="8" t="s">
        <v>52</v>
      </c>
      <c r="R2082" s="10" t="s">
        <v>6146</v>
      </c>
      <c r="S2082" s="11"/>
      <c r="T2082" s="6"/>
      <c r="U2082" s="15" t="str">
        <f>HYPERLINK("https://media.infra-m.ru/0914/0914260/cover/914260.jpg", "Обложка")</f>
        <v>Обложка</v>
      </c>
      <c r="V2082" s="8" t="s">
        <v>3428</v>
      </c>
      <c r="W2082" s="6"/>
      <c r="X2082" s="6"/>
      <c r="Y2082" s="6"/>
      <c r="Z2082" s="6"/>
      <c r="AA2082" s="6" t="s">
        <v>129</v>
      </c>
      <c r="AB2082" s="8"/>
      <c r="AC2082" s="27">
        <v>9785819904480</v>
      </c>
    </row>
    <row r="2083" spans="1:29" s="4" customFormat="1" ht="42" customHeight="1" x14ac:dyDescent="0.2">
      <c r="A2083" s="5">
        <v>0</v>
      </c>
      <c r="B2083" s="6" t="s">
        <v>12550</v>
      </c>
      <c r="C2083" s="7">
        <v>2040</v>
      </c>
      <c r="D2083" s="8" t="s">
        <v>12551</v>
      </c>
      <c r="E2083" s="8" t="s">
        <v>12552</v>
      </c>
      <c r="F2083" s="8" t="s">
        <v>12553</v>
      </c>
      <c r="G2083" s="6" t="s">
        <v>60</v>
      </c>
      <c r="H2083" s="6" t="s">
        <v>34</v>
      </c>
      <c r="I2083" s="8" t="s">
        <v>263</v>
      </c>
      <c r="J2083" s="9">
        <v>1</v>
      </c>
      <c r="K2083" s="9">
        <v>363</v>
      </c>
      <c r="L2083" s="9">
        <v>2023</v>
      </c>
      <c r="M2083" s="8" t="s">
        <v>12554</v>
      </c>
      <c r="N2083" s="8" t="s">
        <v>243</v>
      </c>
      <c r="O2083" s="8" t="s">
        <v>244</v>
      </c>
      <c r="P2083" s="6" t="s">
        <v>51</v>
      </c>
      <c r="Q2083" s="8" t="s">
        <v>265</v>
      </c>
      <c r="R2083" s="10" t="s">
        <v>12555</v>
      </c>
      <c r="S2083" s="11"/>
      <c r="T2083" s="6"/>
      <c r="U2083" s="15" t="str">
        <f>HYPERLINK("https://media.infra-m.ru/1867/1867576/cover/1867576.jpg", "Обложка")</f>
        <v>Обложка</v>
      </c>
      <c r="V2083" s="8" t="s">
        <v>12556</v>
      </c>
      <c r="W2083" s="6"/>
      <c r="X2083" s="6"/>
      <c r="Y2083" s="6"/>
      <c r="Z2083" s="6"/>
      <c r="AA2083" s="6" t="s">
        <v>157</v>
      </c>
      <c r="AB2083" s="8"/>
      <c r="AC2083" s="27">
        <v>9785160176826</v>
      </c>
    </row>
    <row r="2084" spans="1:29" s="4" customFormat="1" ht="51.9" customHeight="1" x14ac:dyDescent="0.2">
      <c r="A2084" s="5">
        <v>0</v>
      </c>
      <c r="B2084" s="6" t="s">
        <v>12557</v>
      </c>
      <c r="C2084" s="7">
        <v>3448.8</v>
      </c>
      <c r="D2084" s="8" t="s">
        <v>12558</v>
      </c>
      <c r="E2084" s="8" t="s">
        <v>12547</v>
      </c>
      <c r="F2084" s="8" t="s">
        <v>12559</v>
      </c>
      <c r="G2084" s="6" t="s">
        <v>60</v>
      </c>
      <c r="H2084" s="6" t="s">
        <v>34</v>
      </c>
      <c r="I2084" s="8" t="s">
        <v>271</v>
      </c>
      <c r="J2084" s="9">
        <v>1</v>
      </c>
      <c r="K2084" s="9">
        <v>522</v>
      </c>
      <c r="L2084" s="9">
        <v>2026</v>
      </c>
      <c r="M2084" s="8" t="s">
        <v>12560</v>
      </c>
      <c r="N2084" s="8" t="s">
        <v>243</v>
      </c>
      <c r="O2084" s="8" t="s">
        <v>244</v>
      </c>
      <c r="P2084" s="6" t="s">
        <v>306</v>
      </c>
      <c r="Q2084" s="8" t="s">
        <v>52</v>
      </c>
      <c r="R2084" s="10" t="s">
        <v>6146</v>
      </c>
      <c r="S2084" s="11" t="s">
        <v>12561</v>
      </c>
      <c r="T2084" s="6"/>
      <c r="U2084" s="15" t="str">
        <f>HYPERLINK("https://media.infra-m.ru/2227/2227847/cover/2227847.jpg", "Обложка")</f>
        <v>Обложка</v>
      </c>
      <c r="V2084" s="8" t="s">
        <v>2446</v>
      </c>
      <c r="W2084" s="6"/>
      <c r="X2084" s="6"/>
      <c r="Y2084" s="6"/>
      <c r="Z2084" s="6"/>
      <c r="AA2084" s="6" t="s">
        <v>430</v>
      </c>
      <c r="AB2084" s="8"/>
      <c r="AC2084" s="27">
        <v>9785160159249</v>
      </c>
    </row>
    <row r="2085" spans="1:29" s="4" customFormat="1" ht="51.9" customHeight="1" x14ac:dyDescent="0.2">
      <c r="A2085" s="5">
        <v>0</v>
      </c>
      <c r="B2085" s="6" t="s">
        <v>12562</v>
      </c>
      <c r="C2085" s="7">
        <v>3124.8</v>
      </c>
      <c r="D2085" s="8" t="s">
        <v>12563</v>
      </c>
      <c r="E2085" s="8" t="s">
        <v>12564</v>
      </c>
      <c r="F2085" s="8" t="s">
        <v>1882</v>
      </c>
      <c r="G2085" s="6" t="s">
        <v>60</v>
      </c>
      <c r="H2085" s="6" t="s">
        <v>34</v>
      </c>
      <c r="I2085" s="8" t="s">
        <v>263</v>
      </c>
      <c r="J2085" s="9">
        <v>1</v>
      </c>
      <c r="K2085" s="9">
        <v>566</v>
      </c>
      <c r="L2085" s="9">
        <v>2024</v>
      </c>
      <c r="M2085" s="8" t="s">
        <v>12565</v>
      </c>
      <c r="N2085" s="8" t="s">
        <v>243</v>
      </c>
      <c r="O2085" s="8" t="s">
        <v>244</v>
      </c>
      <c r="P2085" s="6" t="s">
        <v>306</v>
      </c>
      <c r="Q2085" s="8" t="s">
        <v>265</v>
      </c>
      <c r="R2085" s="10" t="s">
        <v>12566</v>
      </c>
      <c r="S2085" s="11" t="s">
        <v>12567</v>
      </c>
      <c r="T2085" s="6"/>
      <c r="U2085" s="15" t="str">
        <f>HYPERLINK("https://media.infra-m.ru/2113/2113868/cover/2113868.jpg", "Обложка")</f>
        <v>Обложка</v>
      </c>
      <c r="V2085" s="8" t="s">
        <v>1206</v>
      </c>
      <c r="W2085" s="6"/>
      <c r="X2085" s="6"/>
      <c r="Y2085" s="6"/>
      <c r="Z2085" s="6" t="s">
        <v>882</v>
      </c>
      <c r="AA2085" s="6" t="s">
        <v>258</v>
      </c>
      <c r="AB2085" s="8"/>
      <c r="AC2085" s="27">
        <v>9785160165752</v>
      </c>
    </row>
    <row r="2086" spans="1:29" s="4" customFormat="1" ht="51.9" customHeight="1" x14ac:dyDescent="0.2">
      <c r="A2086" s="5">
        <v>0</v>
      </c>
      <c r="B2086" s="6" t="s">
        <v>12568</v>
      </c>
      <c r="C2086" s="7">
        <v>3936</v>
      </c>
      <c r="D2086" s="8" t="s">
        <v>12569</v>
      </c>
      <c r="E2086" s="8" t="s">
        <v>12564</v>
      </c>
      <c r="F2086" s="8" t="s">
        <v>1882</v>
      </c>
      <c r="G2086" s="6" t="s">
        <v>60</v>
      </c>
      <c r="H2086" s="6" t="s">
        <v>34</v>
      </c>
      <c r="I2086" s="8" t="s">
        <v>253</v>
      </c>
      <c r="J2086" s="9">
        <v>1</v>
      </c>
      <c r="K2086" s="9">
        <v>566</v>
      </c>
      <c r="L2086" s="9">
        <v>2027</v>
      </c>
      <c r="M2086" s="8" t="s">
        <v>12570</v>
      </c>
      <c r="N2086" s="8" t="s">
        <v>243</v>
      </c>
      <c r="O2086" s="8" t="s">
        <v>244</v>
      </c>
      <c r="P2086" s="6" t="s">
        <v>306</v>
      </c>
      <c r="Q2086" s="8" t="s">
        <v>65</v>
      </c>
      <c r="R2086" s="10" t="s">
        <v>12571</v>
      </c>
      <c r="S2086" s="11" t="s">
        <v>12572</v>
      </c>
      <c r="T2086" s="6"/>
      <c r="U2086" s="15" t="str">
        <f>HYPERLINK("https://media.infra-m.ru/2246/2246057/cover/2246057.jpg", "Обложка")</f>
        <v>Обложка</v>
      </c>
      <c r="V2086" s="8" t="s">
        <v>1206</v>
      </c>
      <c r="W2086" s="6"/>
      <c r="X2086" s="6" t="s">
        <v>24</v>
      </c>
      <c r="Y2086" s="6"/>
      <c r="Z2086" s="6"/>
      <c r="AA2086" s="6" t="s">
        <v>258</v>
      </c>
      <c r="AB2086" s="8"/>
      <c r="AC2086" s="27">
        <v>9785160186924</v>
      </c>
    </row>
    <row r="2087" spans="1:29" s="4" customFormat="1" ht="51.9" customHeight="1" x14ac:dyDescent="0.2">
      <c r="A2087" s="5">
        <v>0</v>
      </c>
      <c r="B2087" s="6" t="s">
        <v>12573</v>
      </c>
      <c r="C2087" s="7">
        <v>1781.9</v>
      </c>
      <c r="D2087" s="8" t="s">
        <v>12574</v>
      </c>
      <c r="E2087" s="8" t="s">
        <v>12547</v>
      </c>
      <c r="F2087" s="8" t="s">
        <v>1882</v>
      </c>
      <c r="G2087" s="6" t="s">
        <v>118</v>
      </c>
      <c r="H2087" s="6" t="s">
        <v>48</v>
      </c>
      <c r="I2087" s="8" t="s">
        <v>271</v>
      </c>
      <c r="J2087" s="9">
        <v>1</v>
      </c>
      <c r="K2087" s="9">
        <v>463</v>
      </c>
      <c r="L2087" s="9">
        <v>2018</v>
      </c>
      <c r="M2087" s="8" t="s">
        <v>12575</v>
      </c>
      <c r="N2087" s="8" t="s">
        <v>243</v>
      </c>
      <c r="O2087" s="8" t="s">
        <v>244</v>
      </c>
      <c r="P2087" s="6" t="s">
        <v>306</v>
      </c>
      <c r="Q2087" s="8" t="s">
        <v>52</v>
      </c>
      <c r="R2087" s="10" t="s">
        <v>12571</v>
      </c>
      <c r="S2087" s="11" t="s">
        <v>12576</v>
      </c>
      <c r="T2087" s="6"/>
      <c r="U2087" s="15" t="str">
        <f>HYPERLINK("https://media.infra-m.ru/1010/1010143/cover/1010143.jpg", "Обложка")</f>
        <v>Обложка</v>
      </c>
      <c r="V2087" s="8" t="s">
        <v>1206</v>
      </c>
      <c r="W2087" s="6"/>
      <c r="X2087" s="6" t="s">
        <v>24</v>
      </c>
      <c r="Y2087" s="6"/>
      <c r="Z2087" s="6"/>
      <c r="AA2087" s="6" t="s">
        <v>248</v>
      </c>
      <c r="AB2087" s="8"/>
      <c r="AC2087" s="27">
        <v>9785000916995</v>
      </c>
    </row>
    <row r="2088" spans="1:29" s="4" customFormat="1" ht="51.9" customHeight="1" x14ac:dyDescent="0.2">
      <c r="A2088" s="5">
        <v>0</v>
      </c>
      <c r="B2088" s="6" t="s">
        <v>12577</v>
      </c>
      <c r="C2088" s="7">
        <v>2556</v>
      </c>
      <c r="D2088" s="8" t="s">
        <v>12578</v>
      </c>
      <c r="E2088" s="8" t="s">
        <v>12564</v>
      </c>
      <c r="F2088" s="8" t="s">
        <v>12579</v>
      </c>
      <c r="G2088" s="6" t="s">
        <v>60</v>
      </c>
      <c r="H2088" s="6" t="s">
        <v>34</v>
      </c>
      <c r="I2088" s="8" t="s">
        <v>253</v>
      </c>
      <c r="J2088" s="9">
        <v>1</v>
      </c>
      <c r="K2088" s="9">
        <v>453</v>
      </c>
      <c r="L2088" s="9">
        <v>2024</v>
      </c>
      <c r="M2088" s="8" t="s">
        <v>12580</v>
      </c>
      <c r="N2088" s="8" t="s">
        <v>243</v>
      </c>
      <c r="O2088" s="8" t="s">
        <v>244</v>
      </c>
      <c r="P2088" s="6" t="s">
        <v>51</v>
      </c>
      <c r="Q2088" s="8" t="s">
        <v>52</v>
      </c>
      <c r="R2088" s="10" t="s">
        <v>6146</v>
      </c>
      <c r="S2088" s="11" t="s">
        <v>12581</v>
      </c>
      <c r="T2088" s="6"/>
      <c r="U2088" s="15" t="str">
        <f>HYPERLINK("https://media.infra-m.ru/2151/2151384/cover/2151384.jpg", "Обложка")</f>
        <v>Обложка</v>
      </c>
      <c r="V2088" s="8" t="s">
        <v>3428</v>
      </c>
      <c r="W2088" s="6"/>
      <c r="X2088" s="6"/>
      <c r="Y2088" s="6"/>
      <c r="Z2088" s="6"/>
      <c r="AA2088" s="6" t="s">
        <v>896</v>
      </c>
      <c r="AB2088" s="8"/>
      <c r="AC2088" s="27">
        <v>9785160200118</v>
      </c>
    </row>
    <row r="2089" spans="1:29" s="4" customFormat="1" ht="51.9" customHeight="1" x14ac:dyDescent="0.2">
      <c r="A2089" s="5">
        <v>0</v>
      </c>
      <c r="B2089" s="6" t="s">
        <v>12582</v>
      </c>
      <c r="C2089" s="7">
        <v>2212.8000000000002</v>
      </c>
      <c r="D2089" s="8" t="s">
        <v>12583</v>
      </c>
      <c r="E2089" s="8" t="s">
        <v>12584</v>
      </c>
      <c r="F2089" s="8" t="s">
        <v>1580</v>
      </c>
      <c r="G2089" s="6" t="s">
        <v>118</v>
      </c>
      <c r="H2089" s="6" t="s">
        <v>313</v>
      </c>
      <c r="I2089" s="8" t="s">
        <v>253</v>
      </c>
      <c r="J2089" s="9">
        <v>1</v>
      </c>
      <c r="K2089" s="9">
        <v>336</v>
      </c>
      <c r="L2089" s="9">
        <v>2025</v>
      </c>
      <c r="M2089" s="8" t="s">
        <v>12585</v>
      </c>
      <c r="N2089" s="8" t="s">
        <v>243</v>
      </c>
      <c r="O2089" s="8" t="s">
        <v>244</v>
      </c>
      <c r="P2089" s="6" t="s">
        <v>51</v>
      </c>
      <c r="Q2089" s="8" t="s">
        <v>52</v>
      </c>
      <c r="R2089" s="10" t="s">
        <v>12586</v>
      </c>
      <c r="S2089" s="11" t="s">
        <v>12587</v>
      </c>
      <c r="T2089" s="6"/>
      <c r="U2089" s="15" t="str">
        <f>HYPERLINK("https://media.infra-m.ru/2206/2206546/cover/2206546.jpg", "Обложка")</f>
        <v>Обложка</v>
      </c>
      <c r="V2089" s="8" t="s">
        <v>644</v>
      </c>
      <c r="W2089" s="6"/>
      <c r="X2089" s="6"/>
      <c r="Y2089" s="6"/>
      <c r="Z2089" s="6"/>
      <c r="AA2089" s="6" t="s">
        <v>3736</v>
      </c>
      <c r="AB2089" s="8"/>
      <c r="AC2089" s="27">
        <v>9785369017616</v>
      </c>
    </row>
    <row r="2090" spans="1:29" s="4" customFormat="1" ht="44.1" customHeight="1" x14ac:dyDescent="0.2">
      <c r="A2090" s="5">
        <v>0</v>
      </c>
      <c r="B2090" s="6" t="s">
        <v>12588</v>
      </c>
      <c r="C2090" s="7">
        <v>1188</v>
      </c>
      <c r="D2090" s="8" t="s">
        <v>12589</v>
      </c>
      <c r="E2090" s="8" t="s">
        <v>12590</v>
      </c>
      <c r="F2090" s="8" t="s">
        <v>12591</v>
      </c>
      <c r="G2090" s="6" t="s">
        <v>33</v>
      </c>
      <c r="H2090" s="6" t="s">
        <v>34</v>
      </c>
      <c r="I2090" s="8" t="s">
        <v>35</v>
      </c>
      <c r="J2090" s="9">
        <v>1</v>
      </c>
      <c r="K2090" s="9">
        <v>180</v>
      </c>
      <c r="L2090" s="9">
        <v>2026</v>
      </c>
      <c r="M2090" s="8" t="s">
        <v>12592</v>
      </c>
      <c r="N2090" s="8" t="s">
        <v>243</v>
      </c>
      <c r="O2090" s="8" t="s">
        <v>244</v>
      </c>
      <c r="P2090" s="6" t="s">
        <v>39</v>
      </c>
      <c r="Q2090" s="8" t="s">
        <v>40</v>
      </c>
      <c r="R2090" s="10" t="s">
        <v>12593</v>
      </c>
      <c r="S2090" s="11"/>
      <c r="T2090" s="6"/>
      <c r="U2090" s="15" t="str">
        <f>HYPERLINK("https://media.infra-m.ru/2238/2238628/cover/2238628.jpg", "Обложка")</f>
        <v>Обложка</v>
      </c>
      <c r="V2090" s="8" t="s">
        <v>12594</v>
      </c>
      <c r="W2090" s="6"/>
      <c r="X2090" s="6"/>
      <c r="Y2090" s="6"/>
      <c r="Z2090" s="6"/>
      <c r="AA2090" s="6" t="s">
        <v>1256</v>
      </c>
      <c r="AB2090" s="8"/>
      <c r="AC2090" s="27">
        <v>9785160151496</v>
      </c>
    </row>
    <row r="2091" spans="1:29" s="4" customFormat="1" ht="51.9" customHeight="1" x14ac:dyDescent="0.2">
      <c r="A2091" s="5">
        <v>0</v>
      </c>
      <c r="B2091" s="6" t="s">
        <v>12595</v>
      </c>
      <c r="C2091" s="7">
        <v>2752.8</v>
      </c>
      <c r="D2091" s="8" t="s">
        <v>12596</v>
      </c>
      <c r="E2091" s="8" t="s">
        <v>12597</v>
      </c>
      <c r="F2091" s="8" t="s">
        <v>12598</v>
      </c>
      <c r="G2091" s="6" t="s">
        <v>60</v>
      </c>
      <c r="H2091" s="6" t="s">
        <v>1042</v>
      </c>
      <c r="I2091" s="8" t="s">
        <v>263</v>
      </c>
      <c r="J2091" s="9">
        <v>1</v>
      </c>
      <c r="K2091" s="9">
        <v>416</v>
      </c>
      <c r="L2091" s="9">
        <v>2026</v>
      </c>
      <c r="M2091" s="8" t="s">
        <v>12599</v>
      </c>
      <c r="N2091" s="8" t="s">
        <v>243</v>
      </c>
      <c r="O2091" s="8" t="s">
        <v>244</v>
      </c>
      <c r="P2091" s="6" t="s">
        <v>51</v>
      </c>
      <c r="Q2091" s="8" t="s">
        <v>265</v>
      </c>
      <c r="R2091" s="10" t="s">
        <v>12600</v>
      </c>
      <c r="S2091" s="11" t="s">
        <v>12601</v>
      </c>
      <c r="T2091" s="6"/>
      <c r="U2091" s="15" t="str">
        <f>HYPERLINK("https://media.infra-m.ru/2230/2230614/cover/2230614.jpg", "Обложка")</f>
        <v>Обложка</v>
      </c>
      <c r="V2091" s="8" t="s">
        <v>3428</v>
      </c>
      <c r="W2091" s="6"/>
      <c r="X2091" s="6" t="s">
        <v>24</v>
      </c>
      <c r="Y2091" s="6"/>
      <c r="Z2091" s="6"/>
      <c r="AA2091" s="6" t="s">
        <v>1047</v>
      </c>
      <c r="AB2091" s="8"/>
      <c r="AC2091" s="27">
        <v>9785819907542</v>
      </c>
    </row>
    <row r="2092" spans="1:29" s="4" customFormat="1" ht="51.9" customHeight="1" x14ac:dyDescent="0.2">
      <c r="A2092" s="5">
        <v>0</v>
      </c>
      <c r="B2092" s="6" t="s">
        <v>12602</v>
      </c>
      <c r="C2092" s="13">
        <v>820.8</v>
      </c>
      <c r="D2092" s="8" t="s">
        <v>12603</v>
      </c>
      <c r="E2092" s="8" t="s">
        <v>12604</v>
      </c>
      <c r="F2092" s="8" t="s">
        <v>12605</v>
      </c>
      <c r="G2092" s="6" t="s">
        <v>33</v>
      </c>
      <c r="H2092" s="6" t="s">
        <v>34</v>
      </c>
      <c r="I2092" s="8" t="s">
        <v>5350</v>
      </c>
      <c r="J2092" s="9">
        <v>1</v>
      </c>
      <c r="K2092" s="9">
        <v>118</v>
      </c>
      <c r="L2092" s="9">
        <v>2027</v>
      </c>
      <c r="M2092" s="8" t="s">
        <v>12606</v>
      </c>
      <c r="N2092" s="8" t="s">
        <v>243</v>
      </c>
      <c r="O2092" s="8" t="s">
        <v>244</v>
      </c>
      <c r="P2092" s="6" t="s">
        <v>51</v>
      </c>
      <c r="Q2092" s="8" t="s">
        <v>377</v>
      </c>
      <c r="R2092" s="10" t="s">
        <v>3904</v>
      </c>
      <c r="S2092" s="11" t="s">
        <v>12607</v>
      </c>
      <c r="T2092" s="6" t="s">
        <v>97</v>
      </c>
      <c r="U2092" s="15" t="str">
        <f>HYPERLINK("https://media.infra-m.ru/2262/2262626/cover/2262626.jpg", "Обложка")</f>
        <v>Обложка</v>
      </c>
      <c r="V2092" s="8" t="s">
        <v>761</v>
      </c>
      <c r="W2092" s="6"/>
      <c r="X2092" s="6"/>
      <c r="Y2092" s="6"/>
      <c r="Z2092" s="6" t="s">
        <v>429</v>
      </c>
      <c r="AA2092" s="6" t="s">
        <v>430</v>
      </c>
      <c r="AB2092" s="8"/>
      <c r="AC2092" s="27">
        <v>9785160165363</v>
      </c>
    </row>
    <row r="2093" spans="1:29" s="4" customFormat="1" ht="51.9" customHeight="1" x14ac:dyDescent="0.2">
      <c r="A2093" s="5">
        <v>0</v>
      </c>
      <c r="B2093" s="6" t="s">
        <v>12608</v>
      </c>
      <c r="C2093" s="13">
        <v>815.9</v>
      </c>
      <c r="D2093" s="8" t="s">
        <v>12609</v>
      </c>
      <c r="E2093" s="8" t="s">
        <v>12610</v>
      </c>
      <c r="F2093" s="8" t="s">
        <v>1580</v>
      </c>
      <c r="G2093" s="6" t="s">
        <v>60</v>
      </c>
      <c r="H2093" s="6" t="s">
        <v>313</v>
      </c>
      <c r="I2093" s="8" t="s">
        <v>253</v>
      </c>
      <c r="J2093" s="9">
        <v>20</v>
      </c>
      <c r="K2093" s="9">
        <v>322</v>
      </c>
      <c r="L2093" s="9">
        <v>2017</v>
      </c>
      <c r="M2093" s="8" t="s">
        <v>12611</v>
      </c>
      <c r="N2093" s="8" t="s">
        <v>243</v>
      </c>
      <c r="O2093" s="8" t="s">
        <v>244</v>
      </c>
      <c r="P2093" s="6" t="s">
        <v>51</v>
      </c>
      <c r="Q2093" s="8" t="s">
        <v>52</v>
      </c>
      <c r="R2093" s="10" t="s">
        <v>12586</v>
      </c>
      <c r="S2093" s="11" t="s">
        <v>12587</v>
      </c>
      <c r="T2093" s="6"/>
      <c r="U2093" s="15" t="str">
        <f>HYPERLINK("https://media.infra-m.ru/0763/0763644/cover/763644.jpg", "Обложка")</f>
        <v>Обложка</v>
      </c>
      <c r="V2093" s="8" t="s">
        <v>644</v>
      </c>
      <c r="W2093" s="6"/>
      <c r="X2093" s="6"/>
      <c r="Y2093" s="6"/>
      <c r="Z2093" s="6"/>
      <c r="AA2093" s="6" t="s">
        <v>3800</v>
      </c>
      <c r="AB2093" s="8"/>
      <c r="AC2093" s="27">
        <v>9785369014509</v>
      </c>
    </row>
    <row r="2094" spans="1:29" s="4" customFormat="1" ht="51.9" customHeight="1" x14ac:dyDescent="0.2">
      <c r="A2094" s="5">
        <v>0</v>
      </c>
      <c r="B2094" s="6" t="s">
        <v>12612</v>
      </c>
      <c r="C2094" s="13">
        <v>820.8</v>
      </c>
      <c r="D2094" s="8" t="s">
        <v>12613</v>
      </c>
      <c r="E2094" s="8" t="s">
        <v>12604</v>
      </c>
      <c r="F2094" s="8" t="s">
        <v>12614</v>
      </c>
      <c r="G2094" s="6" t="s">
        <v>33</v>
      </c>
      <c r="H2094" s="6" t="s">
        <v>34</v>
      </c>
      <c r="I2094" s="8" t="s">
        <v>271</v>
      </c>
      <c r="J2094" s="9">
        <v>1</v>
      </c>
      <c r="K2094" s="9">
        <v>118</v>
      </c>
      <c r="L2094" s="9">
        <v>2027</v>
      </c>
      <c r="M2094" s="8" t="s">
        <v>12615</v>
      </c>
      <c r="N2094" s="8" t="s">
        <v>243</v>
      </c>
      <c r="O2094" s="8" t="s">
        <v>244</v>
      </c>
      <c r="P2094" s="6" t="s">
        <v>51</v>
      </c>
      <c r="Q2094" s="8" t="s">
        <v>52</v>
      </c>
      <c r="R2094" s="10" t="s">
        <v>12616</v>
      </c>
      <c r="S2094" s="11" t="s">
        <v>12617</v>
      </c>
      <c r="T2094" s="6" t="s">
        <v>97</v>
      </c>
      <c r="U2094" s="15" t="str">
        <f>HYPERLINK("https://media.infra-m.ru/2262/2262625/cover/2262625.jpg", "Обложка")</f>
        <v>Обложка</v>
      </c>
      <c r="V2094" s="8" t="s">
        <v>761</v>
      </c>
      <c r="W2094" s="6"/>
      <c r="X2094" s="6"/>
      <c r="Y2094" s="6"/>
      <c r="Z2094" s="6"/>
      <c r="AA2094" s="6" t="s">
        <v>779</v>
      </c>
      <c r="AB2094" s="8"/>
      <c r="AC2094" s="27">
        <v>9785160109619</v>
      </c>
    </row>
    <row r="2095" spans="1:29" s="4" customFormat="1" ht="51.9" customHeight="1" x14ac:dyDescent="0.2">
      <c r="A2095" s="5">
        <v>0</v>
      </c>
      <c r="B2095" s="6" t="s">
        <v>12618</v>
      </c>
      <c r="C2095" s="7">
        <v>2544</v>
      </c>
      <c r="D2095" s="8" t="s">
        <v>12619</v>
      </c>
      <c r="E2095" s="8" t="s">
        <v>12620</v>
      </c>
      <c r="F2095" s="8" t="s">
        <v>1580</v>
      </c>
      <c r="G2095" s="6" t="s">
        <v>60</v>
      </c>
      <c r="H2095" s="6" t="s">
        <v>313</v>
      </c>
      <c r="I2095" s="8" t="s">
        <v>253</v>
      </c>
      <c r="J2095" s="9">
        <v>1</v>
      </c>
      <c r="K2095" s="9">
        <v>384</v>
      </c>
      <c r="L2095" s="9">
        <v>2026</v>
      </c>
      <c r="M2095" s="8" t="s">
        <v>12621</v>
      </c>
      <c r="N2095" s="8" t="s">
        <v>243</v>
      </c>
      <c r="O2095" s="8" t="s">
        <v>244</v>
      </c>
      <c r="P2095" s="6" t="s">
        <v>51</v>
      </c>
      <c r="Q2095" s="8" t="s">
        <v>52</v>
      </c>
      <c r="R2095" s="10" t="s">
        <v>12586</v>
      </c>
      <c r="S2095" s="11" t="s">
        <v>12587</v>
      </c>
      <c r="T2095" s="6"/>
      <c r="U2095" s="15" t="str">
        <f>HYPERLINK("https://media.infra-m.ru/2233/2233509/cover/2233509.jpg", "Обложка")</f>
        <v>Обложка</v>
      </c>
      <c r="V2095" s="8" t="s">
        <v>644</v>
      </c>
      <c r="W2095" s="6" t="s">
        <v>528</v>
      </c>
      <c r="X2095" s="6"/>
      <c r="Y2095" s="6"/>
      <c r="Z2095" s="6"/>
      <c r="AA2095" s="6" t="s">
        <v>6893</v>
      </c>
      <c r="AB2095" s="8"/>
      <c r="AC2095" s="27">
        <v>9785369020050</v>
      </c>
    </row>
    <row r="2096" spans="1:29" s="4" customFormat="1" ht="51.9" customHeight="1" x14ac:dyDescent="0.2">
      <c r="A2096" s="5">
        <v>0</v>
      </c>
      <c r="B2096" s="6" t="s">
        <v>12622</v>
      </c>
      <c r="C2096" s="13">
        <v>780</v>
      </c>
      <c r="D2096" s="8" t="s">
        <v>12623</v>
      </c>
      <c r="E2096" s="8" t="s">
        <v>12624</v>
      </c>
      <c r="F2096" s="8" t="s">
        <v>12625</v>
      </c>
      <c r="G2096" s="6" t="s">
        <v>33</v>
      </c>
      <c r="H2096" s="6" t="s">
        <v>48</v>
      </c>
      <c r="I2096" s="8" t="s">
        <v>271</v>
      </c>
      <c r="J2096" s="9">
        <v>1</v>
      </c>
      <c r="K2096" s="9">
        <v>239</v>
      </c>
      <c r="L2096" s="9">
        <v>2017</v>
      </c>
      <c r="M2096" s="8" t="s">
        <v>12626</v>
      </c>
      <c r="N2096" s="8" t="s">
        <v>243</v>
      </c>
      <c r="O2096" s="8" t="s">
        <v>244</v>
      </c>
      <c r="P2096" s="6" t="s">
        <v>51</v>
      </c>
      <c r="Q2096" s="8" t="s">
        <v>52</v>
      </c>
      <c r="R2096" s="10" t="s">
        <v>12627</v>
      </c>
      <c r="S2096" s="11" t="s">
        <v>12628</v>
      </c>
      <c r="T2096" s="6"/>
      <c r="U2096" s="15" t="str">
        <f>HYPERLINK("https://media.infra-m.ru/0612/0612572/cover/612572.jpg", "Обложка")</f>
        <v>Обложка</v>
      </c>
      <c r="V2096" s="8" t="s">
        <v>445</v>
      </c>
      <c r="W2096" s="6"/>
      <c r="X2096" s="6"/>
      <c r="Y2096" s="6"/>
      <c r="Z2096" s="6"/>
      <c r="AA2096" s="6" t="s">
        <v>874</v>
      </c>
      <c r="AB2096" s="8"/>
      <c r="AC2096" s="27">
        <v>9785000910078</v>
      </c>
    </row>
    <row r="2097" spans="1:29" s="4" customFormat="1" ht="51.9" customHeight="1" x14ac:dyDescent="0.2">
      <c r="A2097" s="5">
        <v>0</v>
      </c>
      <c r="B2097" s="6" t="s">
        <v>12629</v>
      </c>
      <c r="C2097" s="7">
        <v>1320</v>
      </c>
      <c r="D2097" s="8" t="s">
        <v>12630</v>
      </c>
      <c r="E2097" s="8" t="s">
        <v>12631</v>
      </c>
      <c r="F2097" s="8" t="s">
        <v>12632</v>
      </c>
      <c r="G2097" s="6" t="s">
        <v>118</v>
      </c>
      <c r="H2097" s="6" t="s">
        <v>313</v>
      </c>
      <c r="I2097" s="8" t="s">
        <v>253</v>
      </c>
      <c r="J2097" s="9">
        <v>1</v>
      </c>
      <c r="K2097" s="9">
        <v>236</v>
      </c>
      <c r="L2097" s="9">
        <v>2024</v>
      </c>
      <c r="M2097" s="8" t="s">
        <v>12633</v>
      </c>
      <c r="N2097" s="8" t="s">
        <v>243</v>
      </c>
      <c r="O2097" s="8" t="s">
        <v>244</v>
      </c>
      <c r="P2097" s="6" t="s">
        <v>51</v>
      </c>
      <c r="Q2097" s="8" t="s">
        <v>65</v>
      </c>
      <c r="R2097" s="10" t="s">
        <v>12634</v>
      </c>
      <c r="S2097" s="11"/>
      <c r="T2097" s="6"/>
      <c r="U2097" s="15" t="str">
        <f>HYPERLINK("https://media.infra-m.ru/2140/2140687/cover/2140687.jpg", "Обложка")</f>
        <v>Обложка</v>
      </c>
      <c r="V2097" s="8" t="s">
        <v>644</v>
      </c>
      <c r="W2097" s="6"/>
      <c r="X2097" s="6"/>
      <c r="Y2097" s="6"/>
      <c r="Z2097" s="6"/>
      <c r="AA2097" s="6" t="s">
        <v>115</v>
      </c>
      <c r="AB2097" s="8"/>
      <c r="AC2097" s="27">
        <v>9785369017883</v>
      </c>
    </row>
    <row r="2098" spans="1:29" s="4" customFormat="1" ht="51.9" customHeight="1" x14ac:dyDescent="0.2">
      <c r="A2098" s="5">
        <v>0</v>
      </c>
      <c r="B2098" s="6" t="s">
        <v>12635</v>
      </c>
      <c r="C2098" s="7">
        <v>3004.8</v>
      </c>
      <c r="D2098" s="8" t="s">
        <v>12636</v>
      </c>
      <c r="E2098" s="8" t="s">
        <v>12637</v>
      </c>
      <c r="F2098" s="8" t="s">
        <v>12638</v>
      </c>
      <c r="G2098" s="6" t="s">
        <v>118</v>
      </c>
      <c r="H2098" s="6" t="s">
        <v>48</v>
      </c>
      <c r="I2098" s="8" t="s">
        <v>263</v>
      </c>
      <c r="J2098" s="9">
        <v>1</v>
      </c>
      <c r="K2098" s="9">
        <v>432</v>
      </c>
      <c r="L2098" s="9">
        <v>2027</v>
      </c>
      <c r="M2098" s="8" t="s">
        <v>12639</v>
      </c>
      <c r="N2098" s="8" t="s">
        <v>243</v>
      </c>
      <c r="O2098" s="8" t="s">
        <v>244</v>
      </c>
      <c r="P2098" s="6" t="s">
        <v>51</v>
      </c>
      <c r="Q2098" s="8" t="s">
        <v>265</v>
      </c>
      <c r="R2098" s="10" t="s">
        <v>12640</v>
      </c>
      <c r="S2098" s="11" t="s">
        <v>12641</v>
      </c>
      <c r="T2098" s="6"/>
      <c r="U2098" s="15" t="str">
        <f>HYPERLINK("https://media.infra-m.ru/2271/2271624/cover/2271624.jpg", "Обложка")</f>
        <v>Обложка</v>
      </c>
      <c r="V2098" s="8" t="s">
        <v>445</v>
      </c>
      <c r="W2098" s="6"/>
      <c r="X2098" s="6"/>
      <c r="Y2098" s="6"/>
      <c r="Z2098" s="6"/>
      <c r="AA2098" s="6" t="s">
        <v>12642</v>
      </c>
      <c r="AB2098" s="8"/>
      <c r="AC2098" s="27">
        <v>9785000914731</v>
      </c>
    </row>
    <row r="2099" spans="1:29" s="4" customFormat="1" ht="42" customHeight="1" x14ac:dyDescent="0.2">
      <c r="A2099" s="5">
        <v>0</v>
      </c>
      <c r="B2099" s="6" t="s">
        <v>12643</v>
      </c>
      <c r="C2099" s="7">
        <v>1397.9</v>
      </c>
      <c r="D2099" s="8" t="s">
        <v>12644</v>
      </c>
      <c r="E2099" s="8" t="s">
        <v>12645</v>
      </c>
      <c r="F2099" s="8" t="s">
        <v>12646</v>
      </c>
      <c r="G2099" s="6" t="s">
        <v>33</v>
      </c>
      <c r="H2099" s="6" t="s">
        <v>313</v>
      </c>
      <c r="I2099" s="8" t="s">
        <v>4459</v>
      </c>
      <c r="J2099" s="9">
        <v>1</v>
      </c>
      <c r="K2099" s="9">
        <v>333</v>
      </c>
      <c r="L2099" s="9">
        <v>2020</v>
      </c>
      <c r="M2099" s="8" t="s">
        <v>12647</v>
      </c>
      <c r="N2099" s="8" t="s">
        <v>243</v>
      </c>
      <c r="O2099" s="8" t="s">
        <v>244</v>
      </c>
      <c r="P2099" s="6" t="s">
        <v>39</v>
      </c>
      <c r="Q2099" s="8" t="s">
        <v>40</v>
      </c>
      <c r="R2099" s="10" t="s">
        <v>12648</v>
      </c>
      <c r="S2099" s="11"/>
      <c r="T2099" s="6"/>
      <c r="U2099" s="15" t="str">
        <f>HYPERLINK("https://media.infra-m.ru/1084/1084326/cover/1084326.jpg", "Обложка")</f>
        <v>Обложка</v>
      </c>
      <c r="V2099" s="8" t="s">
        <v>12649</v>
      </c>
      <c r="W2099" s="6"/>
      <c r="X2099" s="6"/>
      <c r="Y2099" s="6"/>
      <c r="Z2099" s="6"/>
      <c r="AA2099" s="6" t="s">
        <v>55</v>
      </c>
      <c r="AB2099" s="8"/>
      <c r="AC2099" s="27">
        <v>9785369012017</v>
      </c>
    </row>
    <row r="2100" spans="1:29" s="4" customFormat="1" ht="51.9" customHeight="1" x14ac:dyDescent="0.2">
      <c r="A2100" s="5">
        <v>0</v>
      </c>
      <c r="B2100" s="6" t="s">
        <v>12650</v>
      </c>
      <c r="C2100" s="7">
        <v>2008.8</v>
      </c>
      <c r="D2100" s="8" t="s">
        <v>12651</v>
      </c>
      <c r="E2100" s="8" t="s">
        <v>12652</v>
      </c>
      <c r="F2100" s="8" t="s">
        <v>12653</v>
      </c>
      <c r="G2100" s="6" t="s">
        <v>60</v>
      </c>
      <c r="H2100" s="6" t="s">
        <v>241</v>
      </c>
      <c r="I2100" s="8"/>
      <c r="J2100" s="9">
        <v>1</v>
      </c>
      <c r="K2100" s="9">
        <v>304</v>
      </c>
      <c r="L2100" s="9">
        <v>2026</v>
      </c>
      <c r="M2100" s="8" t="s">
        <v>12654</v>
      </c>
      <c r="N2100" s="8" t="s">
        <v>243</v>
      </c>
      <c r="O2100" s="8" t="s">
        <v>244</v>
      </c>
      <c r="P2100" s="6" t="s">
        <v>51</v>
      </c>
      <c r="Q2100" s="8" t="s">
        <v>52</v>
      </c>
      <c r="R2100" s="10" t="s">
        <v>12655</v>
      </c>
      <c r="S2100" s="11" t="s">
        <v>12656</v>
      </c>
      <c r="T2100" s="6" t="s">
        <v>97</v>
      </c>
      <c r="U2100" s="15" t="str">
        <f>HYPERLINK("https://media.infra-m.ru/2244/2244306/cover/2244306.jpg", "Обложка")</f>
        <v>Обложка</v>
      </c>
      <c r="V2100" s="8" t="s">
        <v>227</v>
      </c>
      <c r="W2100" s="6"/>
      <c r="X2100" s="6"/>
      <c r="Y2100" s="6"/>
      <c r="Z2100" s="6"/>
      <c r="AA2100" s="6" t="s">
        <v>859</v>
      </c>
      <c r="AB2100" s="8"/>
      <c r="AC2100" s="27">
        <v>9785955803296</v>
      </c>
    </row>
    <row r="2101" spans="1:29" s="4" customFormat="1" ht="51.9" customHeight="1" x14ac:dyDescent="0.2">
      <c r="A2101" s="5">
        <v>0</v>
      </c>
      <c r="B2101" s="6" t="s">
        <v>12657</v>
      </c>
      <c r="C2101" s="7">
        <v>1228.8</v>
      </c>
      <c r="D2101" s="8" t="s">
        <v>12658</v>
      </c>
      <c r="E2101" s="8" t="s">
        <v>12659</v>
      </c>
      <c r="F2101" s="8" t="s">
        <v>12660</v>
      </c>
      <c r="G2101" s="6" t="s">
        <v>60</v>
      </c>
      <c r="H2101" s="6" t="s">
        <v>34</v>
      </c>
      <c r="I2101" s="8" t="s">
        <v>7198</v>
      </c>
      <c r="J2101" s="9">
        <v>1</v>
      </c>
      <c r="K2101" s="9">
        <v>186</v>
      </c>
      <c r="L2101" s="9">
        <v>2027</v>
      </c>
      <c r="M2101" s="8" t="s">
        <v>12661</v>
      </c>
      <c r="N2101" s="8" t="s">
        <v>37</v>
      </c>
      <c r="O2101" s="8" t="s">
        <v>280</v>
      </c>
      <c r="P2101" s="6" t="s">
        <v>51</v>
      </c>
      <c r="Q2101" s="8" t="s">
        <v>52</v>
      </c>
      <c r="R2101" s="10" t="s">
        <v>12662</v>
      </c>
      <c r="S2101" s="11" t="s">
        <v>12663</v>
      </c>
      <c r="T2101" s="6"/>
      <c r="U2101" s="15" t="str">
        <f>HYPERLINK("https://media.infra-m.ru/2257/2257127/cover/2257127.jpg", "Обложка")</f>
        <v>Обложка</v>
      </c>
      <c r="V2101" s="8" t="s">
        <v>1083</v>
      </c>
      <c r="W2101" s="6"/>
      <c r="X2101" s="6"/>
      <c r="Y2101" s="6"/>
      <c r="Z2101" s="6"/>
      <c r="AA2101" s="6" t="s">
        <v>86</v>
      </c>
      <c r="AB2101" s="8"/>
      <c r="AC2101" s="27">
        <v>9785160134338</v>
      </c>
    </row>
    <row r="2102" spans="1:29" s="4" customFormat="1" ht="51.9" customHeight="1" x14ac:dyDescent="0.2">
      <c r="A2102" s="5">
        <v>0</v>
      </c>
      <c r="B2102" s="6" t="s">
        <v>12664</v>
      </c>
      <c r="C2102" s="13">
        <v>948</v>
      </c>
      <c r="D2102" s="8" t="s">
        <v>12665</v>
      </c>
      <c r="E2102" s="8" t="s">
        <v>12666</v>
      </c>
      <c r="F2102" s="8" t="s">
        <v>12667</v>
      </c>
      <c r="G2102" s="6" t="s">
        <v>33</v>
      </c>
      <c r="H2102" s="6" t="s">
        <v>34</v>
      </c>
      <c r="I2102" s="8" t="s">
        <v>253</v>
      </c>
      <c r="J2102" s="9">
        <v>1</v>
      </c>
      <c r="K2102" s="9">
        <v>145</v>
      </c>
      <c r="L2102" s="9">
        <v>2026</v>
      </c>
      <c r="M2102" s="8" t="s">
        <v>12668</v>
      </c>
      <c r="N2102" s="8" t="s">
        <v>37</v>
      </c>
      <c r="O2102" s="8" t="s">
        <v>280</v>
      </c>
      <c r="P2102" s="6" t="s">
        <v>51</v>
      </c>
      <c r="Q2102" s="8" t="s">
        <v>52</v>
      </c>
      <c r="R2102" s="10" t="s">
        <v>12669</v>
      </c>
      <c r="S2102" s="11" t="s">
        <v>12670</v>
      </c>
      <c r="T2102" s="6"/>
      <c r="U2102" s="15" t="str">
        <f>HYPERLINK("https://media.infra-m.ru/2213/2213664/cover/2213664.jpg", "Обложка")</f>
        <v>Обложка</v>
      </c>
      <c r="V2102" s="8" t="s">
        <v>4038</v>
      </c>
      <c r="W2102" s="6"/>
      <c r="X2102" s="6"/>
      <c r="Y2102" s="6"/>
      <c r="Z2102" s="6"/>
      <c r="AA2102" s="6" t="s">
        <v>2230</v>
      </c>
      <c r="AB2102" s="8"/>
      <c r="AC2102" s="27">
        <v>9785160211237</v>
      </c>
    </row>
    <row r="2103" spans="1:29" s="4" customFormat="1" ht="51.9" customHeight="1" x14ac:dyDescent="0.2">
      <c r="A2103" s="5">
        <v>0</v>
      </c>
      <c r="B2103" s="6" t="s">
        <v>12671</v>
      </c>
      <c r="C2103" s="13">
        <v>624</v>
      </c>
      <c r="D2103" s="8" t="s">
        <v>12672</v>
      </c>
      <c r="E2103" s="8" t="s">
        <v>12673</v>
      </c>
      <c r="F2103" s="8" t="s">
        <v>12674</v>
      </c>
      <c r="G2103" s="6" t="s">
        <v>33</v>
      </c>
      <c r="H2103" s="6" t="s">
        <v>241</v>
      </c>
      <c r="I2103" s="8"/>
      <c r="J2103" s="9">
        <v>1</v>
      </c>
      <c r="K2103" s="9">
        <v>137</v>
      </c>
      <c r="L2103" s="9">
        <v>2020</v>
      </c>
      <c r="M2103" s="8" t="s">
        <v>12675</v>
      </c>
      <c r="N2103" s="8" t="s">
        <v>37</v>
      </c>
      <c r="O2103" s="8" t="s">
        <v>280</v>
      </c>
      <c r="P2103" s="6" t="s">
        <v>51</v>
      </c>
      <c r="Q2103" s="8" t="s">
        <v>52</v>
      </c>
      <c r="R2103" s="10" t="s">
        <v>12669</v>
      </c>
      <c r="S2103" s="11" t="s">
        <v>12676</v>
      </c>
      <c r="T2103" s="6"/>
      <c r="U2103" s="15" t="str">
        <f>HYPERLINK("https://media.infra-m.ru/1245/1245075/cover/1245075.jpg", "Обложка")</f>
        <v>Обложка</v>
      </c>
      <c r="V2103" s="8" t="s">
        <v>4038</v>
      </c>
      <c r="W2103" s="6"/>
      <c r="X2103" s="6"/>
      <c r="Y2103" s="6"/>
      <c r="Z2103" s="6"/>
      <c r="AA2103" s="6" t="s">
        <v>874</v>
      </c>
      <c r="AB2103" s="8"/>
      <c r="AC2103" s="27">
        <v>9785955804057</v>
      </c>
    </row>
    <row r="2104" spans="1:29" s="4" customFormat="1" ht="51.9" customHeight="1" x14ac:dyDescent="0.2">
      <c r="A2104" s="5">
        <v>0</v>
      </c>
      <c r="B2104" s="6" t="s">
        <v>12677</v>
      </c>
      <c r="C2104" s="7">
        <v>2140.8000000000002</v>
      </c>
      <c r="D2104" s="8" t="s">
        <v>12678</v>
      </c>
      <c r="E2104" s="8" t="s">
        <v>12679</v>
      </c>
      <c r="F2104" s="8" t="s">
        <v>12680</v>
      </c>
      <c r="G2104" s="6" t="s">
        <v>60</v>
      </c>
      <c r="H2104" s="6" t="s">
        <v>34</v>
      </c>
      <c r="I2104" s="8" t="s">
        <v>1248</v>
      </c>
      <c r="J2104" s="9">
        <v>1</v>
      </c>
      <c r="K2104" s="9">
        <v>249</v>
      </c>
      <c r="L2104" s="9">
        <v>2026</v>
      </c>
      <c r="M2104" s="8" t="s">
        <v>12681</v>
      </c>
      <c r="N2104" s="8" t="s">
        <v>37</v>
      </c>
      <c r="O2104" s="8" t="s">
        <v>233</v>
      </c>
      <c r="P2104" s="6" t="s">
        <v>306</v>
      </c>
      <c r="Q2104" s="8" t="s">
        <v>65</v>
      </c>
      <c r="R2104" s="10" t="s">
        <v>12682</v>
      </c>
      <c r="S2104" s="11" t="s">
        <v>12683</v>
      </c>
      <c r="T2104" s="6"/>
      <c r="U2104" s="15" t="str">
        <f>HYPERLINK("https://media.infra-m.ru/2243/2243404/cover/2243404.jpg", "Обложка")</f>
        <v>Обложка</v>
      </c>
      <c r="V2104" s="8" t="s">
        <v>1083</v>
      </c>
      <c r="W2104" s="6"/>
      <c r="X2104" s="6"/>
      <c r="Y2104" s="6"/>
      <c r="Z2104" s="6"/>
      <c r="AA2104" s="6" t="s">
        <v>76</v>
      </c>
      <c r="AB2104" s="8"/>
      <c r="AC2104" s="27">
        <v>9785160195148</v>
      </c>
    </row>
    <row r="2105" spans="1:29" s="4" customFormat="1" ht="51.9" customHeight="1" x14ac:dyDescent="0.2">
      <c r="A2105" s="5">
        <v>0</v>
      </c>
      <c r="B2105" s="6" t="s">
        <v>12684</v>
      </c>
      <c r="C2105" s="7">
        <v>2436</v>
      </c>
      <c r="D2105" s="8" t="s">
        <v>12685</v>
      </c>
      <c r="E2105" s="8" t="s">
        <v>12686</v>
      </c>
      <c r="F2105" s="8" t="s">
        <v>12687</v>
      </c>
      <c r="G2105" s="6" t="s">
        <v>118</v>
      </c>
      <c r="H2105" s="6" t="s">
        <v>34</v>
      </c>
      <c r="I2105" s="8" t="s">
        <v>253</v>
      </c>
      <c r="J2105" s="9">
        <v>1</v>
      </c>
      <c r="K2105" s="9">
        <v>369</v>
      </c>
      <c r="L2105" s="9">
        <v>2026</v>
      </c>
      <c r="M2105" s="8" t="s">
        <v>12688</v>
      </c>
      <c r="N2105" s="8" t="s">
        <v>37</v>
      </c>
      <c r="O2105" s="8" t="s">
        <v>83</v>
      </c>
      <c r="P2105" s="6" t="s">
        <v>51</v>
      </c>
      <c r="Q2105" s="8" t="s">
        <v>500</v>
      </c>
      <c r="R2105" s="10" t="s">
        <v>12689</v>
      </c>
      <c r="S2105" s="11" t="s">
        <v>12690</v>
      </c>
      <c r="T2105" s="6"/>
      <c r="U2105" s="15" t="str">
        <f>HYPERLINK("https://media.infra-m.ru/2256/2256424/cover/2256424.jpg", "Обложка")</f>
        <v>Обложка</v>
      </c>
      <c r="V2105" s="8" t="s">
        <v>12691</v>
      </c>
      <c r="W2105" s="6"/>
      <c r="X2105" s="6"/>
      <c r="Y2105" s="6"/>
      <c r="Z2105" s="6"/>
      <c r="AA2105" s="6" t="s">
        <v>2240</v>
      </c>
      <c r="AB2105" s="8"/>
      <c r="AC2105" s="27">
        <v>9785160207384</v>
      </c>
    </row>
    <row r="2106" spans="1:29" s="4" customFormat="1" ht="51.9" customHeight="1" x14ac:dyDescent="0.2">
      <c r="A2106" s="5">
        <v>0</v>
      </c>
      <c r="B2106" s="6" t="s">
        <v>12692</v>
      </c>
      <c r="C2106" s="7">
        <v>1884</v>
      </c>
      <c r="D2106" s="8" t="s">
        <v>12693</v>
      </c>
      <c r="E2106" s="8" t="s">
        <v>12694</v>
      </c>
      <c r="F2106" s="8" t="s">
        <v>12695</v>
      </c>
      <c r="G2106" s="6" t="s">
        <v>118</v>
      </c>
      <c r="H2106" s="6" t="s">
        <v>34</v>
      </c>
      <c r="I2106" s="8" t="s">
        <v>253</v>
      </c>
      <c r="J2106" s="9">
        <v>1</v>
      </c>
      <c r="K2106" s="9">
        <v>267</v>
      </c>
      <c r="L2106" s="9">
        <v>2026</v>
      </c>
      <c r="M2106" s="8" t="s">
        <v>12696</v>
      </c>
      <c r="N2106" s="8" t="s">
        <v>37</v>
      </c>
      <c r="O2106" s="8" t="s">
        <v>136</v>
      </c>
      <c r="P2106" s="6" t="s">
        <v>51</v>
      </c>
      <c r="Q2106" s="8" t="s">
        <v>65</v>
      </c>
      <c r="R2106" s="10" t="s">
        <v>12697</v>
      </c>
      <c r="S2106" s="11" t="s">
        <v>12698</v>
      </c>
      <c r="T2106" s="6"/>
      <c r="U2106" s="15" t="str">
        <f>HYPERLINK("https://media.infra-m.ru/2232/2232560/cover/2232560.jpg", "Обложка")</f>
        <v>Обложка</v>
      </c>
      <c r="V2106" s="8" t="s">
        <v>761</v>
      </c>
      <c r="W2106" s="6"/>
      <c r="X2106" s="6"/>
      <c r="Y2106" s="6"/>
      <c r="Z2106" s="6"/>
      <c r="AA2106" s="6" t="s">
        <v>68</v>
      </c>
      <c r="AB2106" s="8"/>
      <c r="AC2106" s="27">
        <v>9785160204291</v>
      </c>
    </row>
    <row r="2107" spans="1:29" s="4" customFormat="1" ht="51.9" customHeight="1" x14ac:dyDescent="0.2">
      <c r="A2107" s="5">
        <v>0</v>
      </c>
      <c r="B2107" s="6" t="s">
        <v>12699</v>
      </c>
      <c r="C2107" s="13">
        <v>768</v>
      </c>
      <c r="D2107" s="8" t="s">
        <v>12700</v>
      </c>
      <c r="E2107" s="8" t="s">
        <v>12701</v>
      </c>
      <c r="F2107" s="8" t="s">
        <v>12687</v>
      </c>
      <c r="G2107" s="6" t="s">
        <v>118</v>
      </c>
      <c r="H2107" s="6" t="s">
        <v>241</v>
      </c>
      <c r="I2107" s="8" t="s">
        <v>241</v>
      </c>
      <c r="J2107" s="9">
        <v>1</v>
      </c>
      <c r="K2107" s="9">
        <v>200</v>
      </c>
      <c r="L2107" s="9">
        <v>2018</v>
      </c>
      <c r="M2107" s="8" t="s">
        <v>12702</v>
      </c>
      <c r="N2107" s="8" t="s">
        <v>37</v>
      </c>
      <c r="O2107" s="8" t="s">
        <v>83</v>
      </c>
      <c r="P2107" s="6" t="s">
        <v>51</v>
      </c>
      <c r="Q2107" s="8" t="s">
        <v>52</v>
      </c>
      <c r="R2107" s="10" t="s">
        <v>12689</v>
      </c>
      <c r="S2107" s="11" t="s">
        <v>12703</v>
      </c>
      <c r="T2107" s="6"/>
      <c r="U2107" s="15" t="str">
        <f>HYPERLINK("https://media.infra-m.ru/0980/0980401/cover/980401.jpg", "Обложка")</f>
        <v>Обложка</v>
      </c>
      <c r="V2107" s="8" t="s">
        <v>12691</v>
      </c>
      <c r="W2107" s="6"/>
      <c r="X2107" s="6"/>
      <c r="Y2107" s="6"/>
      <c r="Z2107" s="6"/>
      <c r="AA2107" s="6" t="s">
        <v>43</v>
      </c>
      <c r="AB2107" s="8"/>
      <c r="AC2107" s="27">
        <v>9785955802695</v>
      </c>
    </row>
    <row r="2108" spans="1:29" s="4" customFormat="1" ht="51.9" customHeight="1" x14ac:dyDescent="0.2">
      <c r="A2108" s="5">
        <v>0</v>
      </c>
      <c r="B2108" s="6" t="s">
        <v>12704</v>
      </c>
      <c r="C2108" s="7">
        <v>2520</v>
      </c>
      <c r="D2108" s="8" t="s">
        <v>12705</v>
      </c>
      <c r="E2108" s="8" t="s">
        <v>12706</v>
      </c>
      <c r="F2108" s="8" t="s">
        <v>12707</v>
      </c>
      <c r="G2108" s="6" t="s">
        <v>118</v>
      </c>
      <c r="H2108" s="6" t="s">
        <v>34</v>
      </c>
      <c r="I2108" s="8" t="s">
        <v>253</v>
      </c>
      <c r="J2108" s="9">
        <v>1</v>
      </c>
      <c r="K2108" s="9">
        <v>384</v>
      </c>
      <c r="L2108" s="9">
        <v>2026</v>
      </c>
      <c r="M2108" s="8" t="s">
        <v>12708</v>
      </c>
      <c r="N2108" s="8" t="s">
        <v>37</v>
      </c>
      <c r="O2108" s="8" t="s">
        <v>38</v>
      </c>
      <c r="P2108" s="6" t="s">
        <v>51</v>
      </c>
      <c r="Q2108" s="8" t="s">
        <v>52</v>
      </c>
      <c r="R2108" s="10" t="s">
        <v>41</v>
      </c>
      <c r="S2108" s="11" t="s">
        <v>12709</v>
      </c>
      <c r="T2108" s="6"/>
      <c r="U2108" s="15" t="str">
        <f>HYPERLINK("https://media.infra-m.ru/2249/2249372/cover/2249372.jpg", "Обложка")</f>
        <v>Обложка</v>
      </c>
      <c r="V2108" s="8" t="s">
        <v>12710</v>
      </c>
      <c r="W2108" s="6"/>
      <c r="X2108" s="6"/>
      <c r="Y2108" s="6"/>
      <c r="Z2108" s="6"/>
      <c r="AA2108" s="6" t="s">
        <v>1256</v>
      </c>
      <c r="AB2108" s="8"/>
      <c r="AC2108" s="27">
        <v>9785160193618</v>
      </c>
    </row>
    <row r="2109" spans="1:29" s="4" customFormat="1" ht="51.9" customHeight="1" x14ac:dyDescent="0.2">
      <c r="A2109" s="5">
        <v>0</v>
      </c>
      <c r="B2109" s="6" t="s">
        <v>12711</v>
      </c>
      <c r="C2109" s="7">
        <v>3112.8</v>
      </c>
      <c r="D2109" s="8" t="s">
        <v>12712</v>
      </c>
      <c r="E2109" s="8" t="s">
        <v>12713</v>
      </c>
      <c r="F2109" s="8" t="s">
        <v>12714</v>
      </c>
      <c r="G2109" s="6" t="s">
        <v>118</v>
      </c>
      <c r="H2109" s="6" t="s">
        <v>134</v>
      </c>
      <c r="I2109" s="8"/>
      <c r="J2109" s="9">
        <v>1</v>
      </c>
      <c r="K2109" s="9">
        <v>448</v>
      </c>
      <c r="L2109" s="9">
        <v>2027</v>
      </c>
      <c r="M2109" s="8" t="s">
        <v>12715</v>
      </c>
      <c r="N2109" s="8" t="s">
        <v>37</v>
      </c>
      <c r="O2109" s="8" t="s">
        <v>136</v>
      </c>
      <c r="P2109" s="6" t="s">
        <v>306</v>
      </c>
      <c r="Q2109" s="8" t="s">
        <v>65</v>
      </c>
      <c r="R2109" s="10" t="s">
        <v>1275</v>
      </c>
      <c r="S2109" s="11"/>
      <c r="T2109" s="6"/>
      <c r="U2109" s="15" t="str">
        <f>HYPERLINK("https://media.infra-m.ru/2233/2233625/cover/2233625.jpg", "Обложка")</f>
        <v>Обложка</v>
      </c>
      <c r="V2109" s="8" t="s">
        <v>1339</v>
      </c>
      <c r="W2109" s="6"/>
      <c r="X2109" s="6"/>
      <c r="Y2109" s="6"/>
      <c r="Z2109" s="6"/>
      <c r="AA2109" s="6" t="s">
        <v>76</v>
      </c>
      <c r="AB2109" s="8"/>
      <c r="AC2109" s="27">
        <v>9785001563662</v>
      </c>
    </row>
    <row r="2110" spans="1:29" s="4" customFormat="1" ht="42" customHeight="1" x14ac:dyDescent="0.2">
      <c r="A2110" s="5">
        <v>0</v>
      </c>
      <c r="B2110" s="6" t="s">
        <v>12716</v>
      </c>
      <c r="C2110" s="7">
        <v>1934.4</v>
      </c>
      <c r="D2110" s="8" t="s">
        <v>12717</v>
      </c>
      <c r="E2110" s="8" t="s">
        <v>12718</v>
      </c>
      <c r="F2110" s="8" t="s">
        <v>12719</v>
      </c>
      <c r="G2110" s="6" t="s">
        <v>60</v>
      </c>
      <c r="H2110" s="6" t="s">
        <v>34</v>
      </c>
      <c r="I2110" s="8" t="s">
        <v>304</v>
      </c>
      <c r="J2110" s="9">
        <v>1</v>
      </c>
      <c r="K2110" s="9">
        <v>267</v>
      </c>
      <c r="L2110" s="9">
        <v>2024</v>
      </c>
      <c r="M2110" s="8" t="s">
        <v>12720</v>
      </c>
      <c r="N2110" s="8" t="s">
        <v>243</v>
      </c>
      <c r="O2110" s="8" t="s">
        <v>244</v>
      </c>
      <c r="P2110" s="6" t="s">
        <v>51</v>
      </c>
      <c r="Q2110" s="8" t="s">
        <v>65</v>
      </c>
      <c r="R2110" s="10" t="s">
        <v>12721</v>
      </c>
      <c r="S2110" s="11"/>
      <c r="T2110" s="6"/>
      <c r="U2110" s="15" t="str">
        <f>HYPERLINK("https://media.infra-m.ru/2084/2084342/cover/2084342.jpg", "Обложка")</f>
        <v>Обложка</v>
      </c>
      <c r="V2110" s="8" t="s">
        <v>761</v>
      </c>
      <c r="W2110" s="6"/>
      <c r="X2110" s="6"/>
      <c r="Y2110" s="6"/>
      <c r="Z2110" s="6"/>
      <c r="AA2110" s="6" t="s">
        <v>76</v>
      </c>
      <c r="AB2110" s="8"/>
      <c r="AC2110" s="27">
        <v>9785160190501</v>
      </c>
    </row>
    <row r="2111" spans="1:29" s="4" customFormat="1" ht="44.1" customHeight="1" x14ac:dyDescent="0.2">
      <c r="A2111" s="5">
        <v>0</v>
      </c>
      <c r="B2111" s="6" t="s">
        <v>12722</v>
      </c>
      <c r="C2111" s="13">
        <v>672</v>
      </c>
      <c r="D2111" s="8" t="s">
        <v>12723</v>
      </c>
      <c r="E2111" s="8" t="s">
        <v>12724</v>
      </c>
      <c r="F2111" s="8" t="s">
        <v>12725</v>
      </c>
      <c r="G2111" s="6" t="s">
        <v>33</v>
      </c>
      <c r="H2111" s="6" t="s">
        <v>34</v>
      </c>
      <c r="I2111" s="8" t="s">
        <v>35</v>
      </c>
      <c r="J2111" s="9">
        <v>1</v>
      </c>
      <c r="K2111" s="9">
        <v>120</v>
      </c>
      <c r="L2111" s="9">
        <v>2024</v>
      </c>
      <c r="M2111" s="8" t="s">
        <v>12726</v>
      </c>
      <c r="N2111" s="8" t="s">
        <v>243</v>
      </c>
      <c r="O2111" s="8" t="s">
        <v>933</v>
      </c>
      <c r="P2111" s="6" t="s">
        <v>39</v>
      </c>
      <c r="Q2111" s="8" t="s">
        <v>40</v>
      </c>
      <c r="R2111" s="10" t="s">
        <v>395</v>
      </c>
      <c r="S2111" s="11"/>
      <c r="T2111" s="6"/>
      <c r="U2111" s="15" t="str">
        <f>HYPERLINK("https://media.infra-m.ru/2105/2105343/cover/2105343.jpg", "Обложка")</f>
        <v>Обложка</v>
      </c>
      <c r="V2111" s="8" t="s">
        <v>2446</v>
      </c>
      <c r="W2111" s="6"/>
      <c r="X2111" s="6"/>
      <c r="Y2111" s="6"/>
      <c r="Z2111" s="6"/>
      <c r="AA2111" s="6" t="s">
        <v>99</v>
      </c>
      <c r="AB2111" s="8"/>
      <c r="AC2111" s="27">
        <v>9785160130224</v>
      </c>
    </row>
    <row r="2112" spans="1:29" s="4" customFormat="1" ht="42" customHeight="1" x14ac:dyDescent="0.2">
      <c r="A2112" s="5">
        <v>0</v>
      </c>
      <c r="B2112" s="6" t="s">
        <v>12727</v>
      </c>
      <c r="C2112" s="13">
        <v>780</v>
      </c>
      <c r="D2112" s="8" t="s">
        <v>12728</v>
      </c>
      <c r="E2112" s="8" t="s">
        <v>12729</v>
      </c>
      <c r="F2112" s="8" t="s">
        <v>5091</v>
      </c>
      <c r="G2112" s="6" t="s">
        <v>33</v>
      </c>
      <c r="H2112" s="6" t="s">
        <v>34</v>
      </c>
      <c r="I2112" s="8" t="s">
        <v>35</v>
      </c>
      <c r="J2112" s="9">
        <v>1</v>
      </c>
      <c r="K2112" s="9">
        <v>162</v>
      </c>
      <c r="L2112" s="9">
        <v>2020</v>
      </c>
      <c r="M2112" s="8" t="s">
        <v>12730</v>
      </c>
      <c r="N2112" s="8" t="s">
        <v>37</v>
      </c>
      <c r="O2112" s="8" t="s">
        <v>233</v>
      </c>
      <c r="P2112" s="6" t="s">
        <v>39</v>
      </c>
      <c r="Q2112" s="8" t="s">
        <v>40</v>
      </c>
      <c r="R2112" s="10" t="s">
        <v>12731</v>
      </c>
      <c r="S2112" s="11"/>
      <c r="T2112" s="6"/>
      <c r="U2112" s="15" t="str">
        <f>HYPERLINK("https://media.infra-m.ru/1080/1080408/cover/1080408.jpg", "Обложка")</f>
        <v>Обложка</v>
      </c>
      <c r="V2112" s="8" t="s">
        <v>831</v>
      </c>
      <c r="W2112" s="6"/>
      <c r="X2112" s="6"/>
      <c r="Y2112" s="6"/>
      <c r="Z2112" s="6"/>
      <c r="AA2112" s="6" t="s">
        <v>1256</v>
      </c>
      <c r="AB2112" s="8" t="s">
        <v>2231</v>
      </c>
      <c r="AC2112" s="27">
        <v>9785160160801</v>
      </c>
    </row>
    <row r="2113" spans="1:29" s="4" customFormat="1" ht="51.9" customHeight="1" x14ac:dyDescent="0.2">
      <c r="A2113" s="5">
        <v>0</v>
      </c>
      <c r="B2113" s="6" t="s">
        <v>12732</v>
      </c>
      <c r="C2113" s="7">
        <v>1444.8</v>
      </c>
      <c r="D2113" s="8" t="s">
        <v>12733</v>
      </c>
      <c r="E2113" s="8" t="s">
        <v>12734</v>
      </c>
      <c r="F2113" s="8" t="s">
        <v>12735</v>
      </c>
      <c r="G2113" s="6" t="s">
        <v>118</v>
      </c>
      <c r="H2113" s="6" t="s">
        <v>34</v>
      </c>
      <c r="I2113" s="8" t="s">
        <v>253</v>
      </c>
      <c r="J2113" s="9">
        <v>1</v>
      </c>
      <c r="K2113" s="9">
        <v>232</v>
      </c>
      <c r="L2113" s="9">
        <v>2026</v>
      </c>
      <c r="M2113" s="8" t="s">
        <v>12736</v>
      </c>
      <c r="N2113" s="8" t="s">
        <v>93</v>
      </c>
      <c r="O2113" s="8" t="s">
        <v>94</v>
      </c>
      <c r="P2113" s="6" t="s">
        <v>306</v>
      </c>
      <c r="Q2113" s="8" t="s">
        <v>52</v>
      </c>
      <c r="R2113" s="10" t="s">
        <v>12737</v>
      </c>
      <c r="S2113" s="11" t="s">
        <v>12738</v>
      </c>
      <c r="T2113" s="6"/>
      <c r="U2113" s="15" t="str">
        <f>HYPERLINK("https://media.infra-m.ru/2216/2216829/cover/2216829.jpg", "Обложка")</f>
        <v>Обложка</v>
      </c>
      <c r="V2113" s="8" t="s">
        <v>7175</v>
      </c>
      <c r="W2113" s="6"/>
      <c r="X2113" s="6"/>
      <c r="Y2113" s="6"/>
      <c r="Z2113" s="6"/>
      <c r="AA2113" s="6" t="s">
        <v>218</v>
      </c>
      <c r="AB2113" s="8"/>
      <c r="AC2113" s="27">
        <v>9785160192673</v>
      </c>
    </row>
    <row r="2114" spans="1:29" s="4" customFormat="1" ht="51.9" customHeight="1" x14ac:dyDescent="0.2">
      <c r="A2114" s="5">
        <v>0</v>
      </c>
      <c r="B2114" s="6" t="s">
        <v>12739</v>
      </c>
      <c r="C2114" s="7">
        <v>1488</v>
      </c>
      <c r="D2114" s="8" t="s">
        <v>12740</v>
      </c>
      <c r="E2114" s="8" t="s">
        <v>12734</v>
      </c>
      <c r="F2114" s="8" t="s">
        <v>12735</v>
      </c>
      <c r="G2114" s="6" t="s">
        <v>118</v>
      </c>
      <c r="H2114" s="6" t="s">
        <v>34</v>
      </c>
      <c r="I2114" s="8" t="s">
        <v>263</v>
      </c>
      <c r="J2114" s="9">
        <v>1</v>
      </c>
      <c r="K2114" s="9">
        <v>232</v>
      </c>
      <c r="L2114" s="9">
        <v>2026</v>
      </c>
      <c r="M2114" s="8" t="s">
        <v>12741</v>
      </c>
      <c r="N2114" s="8" t="s">
        <v>93</v>
      </c>
      <c r="O2114" s="8" t="s">
        <v>94</v>
      </c>
      <c r="P2114" s="6" t="s">
        <v>306</v>
      </c>
      <c r="Q2114" s="8" t="s">
        <v>265</v>
      </c>
      <c r="R2114" s="10" t="s">
        <v>12742</v>
      </c>
      <c r="S2114" s="11" t="s">
        <v>12743</v>
      </c>
      <c r="T2114" s="6"/>
      <c r="U2114" s="15" t="str">
        <f>HYPERLINK("https://media.infra-m.ru/2223/2223142/cover/2223142.jpg", "Обложка")</f>
        <v>Обложка</v>
      </c>
      <c r="V2114" s="8" t="s">
        <v>7175</v>
      </c>
      <c r="W2114" s="6"/>
      <c r="X2114" s="6"/>
      <c r="Y2114" s="6"/>
      <c r="Z2114" s="6" t="s">
        <v>267</v>
      </c>
      <c r="AA2114" s="6" t="s">
        <v>258</v>
      </c>
      <c r="AB2114" s="8"/>
      <c r="AC2114" s="27">
        <v>9785160164250</v>
      </c>
    </row>
    <row r="2115" spans="1:29" s="4" customFormat="1" ht="51.9" customHeight="1" x14ac:dyDescent="0.2">
      <c r="A2115" s="5">
        <v>0</v>
      </c>
      <c r="B2115" s="6" t="s">
        <v>12744</v>
      </c>
      <c r="C2115" s="7">
        <v>3292.8</v>
      </c>
      <c r="D2115" s="8" t="s">
        <v>12745</v>
      </c>
      <c r="E2115" s="8" t="s">
        <v>12746</v>
      </c>
      <c r="F2115" s="8" t="s">
        <v>12747</v>
      </c>
      <c r="G2115" s="6" t="s">
        <v>60</v>
      </c>
      <c r="H2115" s="6" t="s">
        <v>34</v>
      </c>
      <c r="I2115" s="8" t="s">
        <v>253</v>
      </c>
      <c r="J2115" s="9">
        <v>1</v>
      </c>
      <c r="K2115" s="9">
        <v>549</v>
      </c>
      <c r="L2115" s="9">
        <v>2025</v>
      </c>
      <c r="M2115" s="8" t="s">
        <v>12748</v>
      </c>
      <c r="N2115" s="8" t="s">
        <v>243</v>
      </c>
      <c r="O2115" s="8" t="s">
        <v>244</v>
      </c>
      <c r="P2115" s="6" t="s">
        <v>306</v>
      </c>
      <c r="Q2115" s="8" t="s">
        <v>52</v>
      </c>
      <c r="R2115" s="10" t="s">
        <v>5962</v>
      </c>
      <c r="S2115" s="11" t="s">
        <v>2487</v>
      </c>
      <c r="T2115" s="6"/>
      <c r="U2115" s="15" t="str">
        <f>HYPERLINK("https://media.infra-m.ru/2216/2216010/cover/2216010.jpg", "Обложка")</f>
        <v>Обложка</v>
      </c>
      <c r="V2115" s="8" t="s">
        <v>12749</v>
      </c>
      <c r="W2115" s="6"/>
      <c r="X2115" s="6"/>
      <c r="Y2115" s="6"/>
      <c r="Z2115" s="6"/>
      <c r="AA2115" s="6" t="s">
        <v>86</v>
      </c>
      <c r="AB2115" s="8"/>
      <c r="AC2115" s="27">
        <v>9785160198484</v>
      </c>
    </row>
    <row r="2116" spans="1:29" s="4" customFormat="1" ht="42" customHeight="1" x14ac:dyDescent="0.2">
      <c r="A2116" s="5">
        <v>0</v>
      </c>
      <c r="B2116" s="6" t="s">
        <v>12750</v>
      </c>
      <c r="C2116" s="13">
        <v>684</v>
      </c>
      <c r="D2116" s="8" t="s">
        <v>12751</v>
      </c>
      <c r="E2116" s="8" t="s">
        <v>12752</v>
      </c>
      <c r="F2116" s="8" t="s">
        <v>12753</v>
      </c>
      <c r="G2116" s="6" t="s">
        <v>33</v>
      </c>
      <c r="H2116" s="6" t="s">
        <v>34</v>
      </c>
      <c r="I2116" s="8" t="s">
        <v>253</v>
      </c>
      <c r="J2116" s="9">
        <v>1</v>
      </c>
      <c r="K2116" s="9">
        <v>124</v>
      </c>
      <c r="L2116" s="9">
        <v>2024</v>
      </c>
      <c r="M2116" s="8" t="s">
        <v>12754</v>
      </c>
      <c r="N2116" s="8" t="s">
        <v>93</v>
      </c>
      <c r="O2116" s="8" t="s">
        <v>94</v>
      </c>
      <c r="P2116" s="6" t="s">
        <v>105</v>
      </c>
      <c r="Q2116" s="8" t="s">
        <v>52</v>
      </c>
      <c r="R2116" s="10" t="s">
        <v>12755</v>
      </c>
      <c r="S2116" s="11"/>
      <c r="T2116" s="6" t="s">
        <v>97</v>
      </c>
      <c r="U2116" s="15" t="str">
        <f>HYPERLINK("https://media.infra-m.ru/2103/2103731/cover/2103731.jpg", "Обложка")</f>
        <v>Обложка</v>
      </c>
      <c r="V2116" s="8" t="s">
        <v>1768</v>
      </c>
      <c r="W2116" s="6"/>
      <c r="X2116" s="6"/>
      <c r="Y2116" s="6"/>
      <c r="Z2116" s="6"/>
      <c r="AA2116" s="6" t="s">
        <v>248</v>
      </c>
      <c r="AB2116" s="8"/>
      <c r="AC2116" s="27">
        <v>9785160098593</v>
      </c>
    </row>
    <row r="2117" spans="1:29" s="4" customFormat="1" ht="42" customHeight="1" x14ac:dyDescent="0.2">
      <c r="A2117" s="5">
        <v>0</v>
      </c>
      <c r="B2117" s="6" t="s">
        <v>12756</v>
      </c>
      <c r="C2117" s="7">
        <v>1308</v>
      </c>
      <c r="D2117" s="8" t="s">
        <v>12757</v>
      </c>
      <c r="E2117" s="8" t="s">
        <v>12758</v>
      </c>
      <c r="F2117" s="8" t="s">
        <v>7452</v>
      </c>
      <c r="G2117" s="6" t="s">
        <v>118</v>
      </c>
      <c r="H2117" s="6" t="s">
        <v>34</v>
      </c>
      <c r="I2117" s="8" t="s">
        <v>35</v>
      </c>
      <c r="J2117" s="9">
        <v>1</v>
      </c>
      <c r="K2117" s="9">
        <v>243</v>
      </c>
      <c r="L2117" s="9">
        <v>2023</v>
      </c>
      <c r="M2117" s="8" t="s">
        <v>12759</v>
      </c>
      <c r="N2117" s="8" t="s">
        <v>585</v>
      </c>
      <c r="O2117" s="8" t="s">
        <v>775</v>
      </c>
      <c r="P2117" s="6" t="s">
        <v>39</v>
      </c>
      <c r="Q2117" s="8" t="s">
        <v>40</v>
      </c>
      <c r="R2117" s="10" t="s">
        <v>12760</v>
      </c>
      <c r="S2117" s="11"/>
      <c r="T2117" s="6"/>
      <c r="U2117" s="15" t="str">
        <f>HYPERLINK("https://media.infra-m.ru/1928/1928403/cover/1928403.jpg", "Обложка")</f>
        <v>Обложка</v>
      </c>
      <c r="V2117" s="8" t="s">
        <v>7455</v>
      </c>
      <c r="W2117" s="6"/>
      <c r="X2117" s="6"/>
      <c r="Y2117" s="6"/>
      <c r="Z2117" s="6"/>
      <c r="AA2117" s="6" t="s">
        <v>115</v>
      </c>
      <c r="AB2117" s="8"/>
      <c r="AC2117" s="27">
        <v>9785160151380</v>
      </c>
    </row>
    <row r="2118" spans="1:29" s="4" customFormat="1" ht="44.1" customHeight="1" x14ac:dyDescent="0.2">
      <c r="A2118" s="5">
        <v>0</v>
      </c>
      <c r="B2118" s="6" t="s">
        <v>12761</v>
      </c>
      <c r="C2118" s="7">
        <v>1020</v>
      </c>
      <c r="D2118" s="8" t="s">
        <v>12762</v>
      </c>
      <c r="E2118" s="8" t="s">
        <v>12763</v>
      </c>
      <c r="F2118" s="8" t="s">
        <v>12764</v>
      </c>
      <c r="G2118" s="6" t="s">
        <v>118</v>
      </c>
      <c r="H2118" s="6" t="s">
        <v>34</v>
      </c>
      <c r="I2118" s="8" t="s">
        <v>35</v>
      </c>
      <c r="J2118" s="9">
        <v>1</v>
      </c>
      <c r="K2118" s="9">
        <v>199</v>
      </c>
      <c r="L2118" s="9">
        <v>2022</v>
      </c>
      <c r="M2118" s="8" t="s">
        <v>12765</v>
      </c>
      <c r="N2118" s="8" t="s">
        <v>37</v>
      </c>
      <c r="O2118" s="8" t="s">
        <v>207</v>
      </c>
      <c r="P2118" s="6" t="s">
        <v>39</v>
      </c>
      <c r="Q2118" s="8" t="s">
        <v>40</v>
      </c>
      <c r="R2118" s="10" t="s">
        <v>12766</v>
      </c>
      <c r="S2118" s="11"/>
      <c r="T2118" s="6"/>
      <c r="U2118" s="15" t="str">
        <f>HYPERLINK("https://media.infra-m.ru/1815/1815963/cover/1815963.jpg", "Обложка")</f>
        <v>Обложка</v>
      </c>
      <c r="V2118" s="8" t="s">
        <v>12767</v>
      </c>
      <c r="W2118" s="6"/>
      <c r="X2118" s="6"/>
      <c r="Y2118" s="6"/>
      <c r="Z2118" s="6"/>
      <c r="AA2118" s="6" t="s">
        <v>86</v>
      </c>
      <c r="AB2118" s="8"/>
      <c r="AC2118" s="27">
        <v>9785160134758</v>
      </c>
    </row>
    <row r="2119" spans="1:29" s="4" customFormat="1" ht="51.9" customHeight="1" x14ac:dyDescent="0.2">
      <c r="A2119" s="5">
        <v>0</v>
      </c>
      <c r="B2119" s="6" t="s">
        <v>12768</v>
      </c>
      <c r="C2119" s="7">
        <v>2520</v>
      </c>
      <c r="D2119" s="8" t="s">
        <v>12769</v>
      </c>
      <c r="E2119" s="8" t="s">
        <v>12770</v>
      </c>
      <c r="F2119" s="8" t="s">
        <v>12771</v>
      </c>
      <c r="G2119" s="6" t="s">
        <v>118</v>
      </c>
      <c r="H2119" s="6" t="s">
        <v>34</v>
      </c>
      <c r="I2119" s="8" t="s">
        <v>263</v>
      </c>
      <c r="J2119" s="9">
        <v>1</v>
      </c>
      <c r="K2119" s="9">
        <v>383</v>
      </c>
      <c r="L2119" s="9">
        <v>2026</v>
      </c>
      <c r="M2119" s="8" t="s">
        <v>12772</v>
      </c>
      <c r="N2119" s="8" t="s">
        <v>37</v>
      </c>
      <c r="O2119" s="8" t="s">
        <v>499</v>
      </c>
      <c r="P2119" s="6" t="s">
        <v>306</v>
      </c>
      <c r="Q2119" s="8" t="s">
        <v>265</v>
      </c>
      <c r="R2119" s="10" t="s">
        <v>4160</v>
      </c>
      <c r="S2119" s="11" t="s">
        <v>12773</v>
      </c>
      <c r="T2119" s="6"/>
      <c r="U2119" s="15" t="str">
        <f>HYPERLINK("https://media.infra-m.ru/2237/2237135/cover/2237135.jpg", "Обложка")</f>
        <v>Обложка</v>
      </c>
      <c r="V2119" s="8" t="s">
        <v>1192</v>
      </c>
      <c r="W2119" s="6"/>
      <c r="X2119" s="6"/>
      <c r="Y2119" s="6"/>
      <c r="Z2119" s="6" t="s">
        <v>267</v>
      </c>
      <c r="AA2119" s="6" t="s">
        <v>86</v>
      </c>
      <c r="AB2119" s="8"/>
      <c r="AC2119" s="27">
        <v>9785160139319</v>
      </c>
    </row>
    <row r="2120" spans="1:29" s="4" customFormat="1" ht="51.9" customHeight="1" x14ac:dyDescent="0.2">
      <c r="A2120" s="5">
        <v>0</v>
      </c>
      <c r="B2120" s="6" t="s">
        <v>12774</v>
      </c>
      <c r="C2120" s="7">
        <v>2524.8000000000002</v>
      </c>
      <c r="D2120" s="8" t="s">
        <v>12775</v>
      </c>
      <c r="E2120" s="8" t="s">
        <v>12770</v>
      </c>
      <c r="F2120" s="8" t="s">
        <v>12776</v>
      </c>
      <c r="G2120" s="6" t="s">
        <v>118</v>
      </c>
      <c r="H2120" s="6" t="s">
        <v>34</v>
      </c>
      <c r="I2120" s="8" t="s">
        <v>271</v>
      </c>
      <c r="J2120" s="9">
        <v>1</v>
      </c>
      <c r="K2120" s="9">
        <v>383</v>
      </c>
      <c r="L2120" s="9">
        <v>2026</v>
      </c>
      <c r="M2120" s="8" t="s">
        <v>12777</v>
      </c>
      <c r="N2120" s="8" t="s">
        <v>37</v>
      </c>
      <c r="O2120" s="8" t="s">
        <v>499</v>
      </c>
      <c r="P2120" s="6" t="s">
        <v>306</v>
      </c>
      <c r="Q2120" s="8" t="s">
        <v>52</v>
      </c>
      <c r="R2120" s="10" t="s">
        <v>12778</v>
      </c>
      <c r="S2120" s="11" t="s">
        <v>12779</v>
      </c>
      <c r="T2120" s="6"/>
      <c r="U2120" s="15" t="str">
        <f>HYPERLINK("https://media.infra-m.ru/2232/2232129/cover/2232129.jpg", "Обложка")</f>
        <v>Обложка</v>
      </c>
      <c r="V2120" s="8" t="s">
        <v>1192</v>
      </c>
      <c r="W2120" s="6"/>
      <c r="X2120" s="6"/>
      <c r="Y2120" s="6"/>
      <c r="Z2120" s="6"/>
      <c r="AA2120" s="6" t="s">
        <v>43</v>
      </c>
      <c r="AB2120" s="8"/>
      <c r="AC2120" s="27">
        <v>9785160113241</v>
      </c>
    </row>
    <row r="2121" spans="1:29" s="4" customFormat="1" ht="51.9" customHeight="1" x14ac:dyDescent="0.2">
      <c r="A2121" s="5">
        <v>0</v>
      </c>
      <c r="B2121" s="6" t="s">
        <v>12780</v>
      </c>
      <c r="C2121" s="7">
        <v>1380</v>
      </c>
      <c r="D2121" s="8" t="s">
        <v>12781</v>
      </c>
      <c r="E2121" s="8" t="s">
        <v>12782</v>
      </c>
      <c r="F2121" s="8" t="s">
        <v>12783</v>
      </c>
      <c r="G2121" s="6" t="s">
        <v>60</v>
      </c>
      <c r="H2121" s="6" t="s">
        <v>34</v>
      </c>
      <c r="I2121" s="8" t="s">
        <v>35</v>
      </c>
      <c r="J2121" s="9">
        <v>1</v>
      </c>
      <c r="K2121" s="9">
        <v>192</v>
      </c>
      <c r="L2121" s="9">
        <v>2027</v>
      </c>
      <c r="M2121" s="8" t="s">
        <v>12784</v>
      </c>
      <c r="N2121" s="8" t="s">
        <v>37</v>
      </c>
      <c r="O2121" s="8" t="s">
        <v>136</v>
      </c>
      <c r="P2121" s="6" t="s">
        <v>39</v>
      </c>
      <c r="Q2121" s="8" t="s">
        <v>40</v>
      </c>
      <c r="R2121" s="10" t="s">
        <v>1230</v>
      </c>
      <c r="S2121" s="11"/>
      <c r="T2121" s="6"/>
      <c r="U2121" s="15" t="str">
        <f>HYPERLINK("https://media.infra-m.ru/2236/2236179/cover/2236179.jpg", "Обложка")</f>
        <v>Обложка</v>
      </c>
      <c r="V2121" s="8" t="s">
        <v>12785</v>
      </c>
      <c r="W2121" s="6" t="s">
        <v>2115</v>
      </c>
      <c r="X2121" s="6"/>
      <c r="Y2121" s="6"/>
      <c r="Z2121" s="6"/>
      <c r="AA2121" s="6" t="s">
        <v>420</v>
      </c>
      <c r="AB2121" s="8" t="s">
        <v>308</v>
      </c>
      <c r="AC2121" s="27">
        <v>9785160217109</v>
      </c>
    </row>
    <row r="2122" spans="1:29" s="4" customFormat="1" ht="44.1" customHeight="1" x14ac:dyDescent="0.2">
      <c r="A2122" s="5">
        <v>0</v>
      </c>
      <c r="B2122" s="6" t="s">
        <v>12786</v>
      </c>
      <c r="C2122" s="7">
        <v>1224</v>
      </c>
      <c r="D2122" s="8" t="s">
        <v>12787</v>
      </c>
      <c r="E2122" s="8" t="s">
        <v>12788</v>
      </c>
      <c r="F2122" s="8" t="s">
        <v>12789</v>
      </c>
      <c r="G2122" s="6" t="s">
        <v>118</v>
      </c>
      <c r="H2122" s="6" t="s">
        <v>34</v>
      </c>
      <c r="I2122" s="8" t="s">
        <v>253</v>
      </c>
      <c r="J2122" s="9">
        <v>1</v>
      </c>
      <c r="K2122" s="9">
        <v>191</v>
      </c>
      <c r="L2122" s="9">
        <v>2025</v>
      </c>
      <c r="M2122" s="8" t="s">
        <v>12790</v>
      </c>
      <c r="N2122" s="8" t="s">
        <v>243</v>
      </c>
      <c r="O2122" s="8" t="s">
        <v>244</v>
      </c>
      <c r="P2122" s="6" t="s">
        <v>306</v>
      </c>
      <c r="Q2122" s="8" t="s">
        <v>65</v>
      </c>
      <c r="R2122" s="10" t="s">
        <v>12791</v>
      </c>
      <c r="S2122" s="11"/>
      <c r="T2122" s="6"/>
      <c r="U2122" s="15" t="str">
        <f>HYPERLINK("https://media.infra-m.ru/2178/2178286/cover/2178286.jpg", "Обложка")</f>
        <v>Обложка</v>
      </c>
      <c r="V2122" s="8" t="s">
        <v>4473</v>
      </c>
      <c r="W2122" s="6"/>
      <c r="X2122" s="6"/>
      <c r="Y2122" s="6"/>
      <c r="Z2122" s="6"/>
      <c r="AA2122" s="6" t="s">
        <v>76</v>
      </c>
      <c r="AB2122" s="8"/>
      <c r="AC2122" s="27">
        <v>9785160183787</v>
      </c>
    </row>
    <row r="2123" spans="1:29" s="4" customFormat="1" ht="51.9" customHeight="1" x14ac:dyDescent="0.2">
      <c r="A2123" s="5">
        <v>0</v>
      </c>
      <c r="B2123" s="6" t="s">
        <v>12792</v>
      </c>
      <c r="C2123" s="7">
        <v>1312.8</v>
      </c>
      <c r="D2123" s="8" t="s">
        <v>12793</v>
      </c>
      <c r="E2123" s="8" t="s">
        <v>12794</v>
      </c>
      <c r="F2123" s="8" t="s">
        <v>12795</v>
      </c>
      <c r="G2123" s="6" t="s">
        <v>60</v>
      </c>
      <c r="H2123" s="6" t="s">
        <v>34</v>
      </c>
      <c r="I2123" s="8" t="s">
        <v>271</v>
      </c>
      <c r="J2123" s="9">
        <v>1</v>
      </c>
      <c r="K2123" s="9">
        <v>234</v>
      </c>
      <c r="L2123" s="9">
        <v>2024</v>
      </c>
      <c r="M2123" s="8" t="s">
        <v>12796</v>
      </c>
      <c r="N2123" s="8" t="s">
        <v>243</v>
      </c>
      <c r="O2123" s="8" t="s">
        <v>244</v>
      </c>
      <c r="P2123" s="6" t="s">
        <v>51</v>
      </c>
      <c r="Q2123" s="8" t="s">
        <v>52</v>
      </c>
      <c r="R2123" s="10" t="s">
        <v>12797</v>
      </c>
      <c r="S2123" s="11" t="s">
        <v>7306</v>
      </c>
      <c r="T2123" s="6"/>
      <c r="U2123" s="15" t="str">
        <f>HYPERLINK("https://media.infra-m.ru/2144/2144049/cover/2144049.jpg", "Обложка")</f>
        <v>Обложка</v>
      </c>
      <c r="V2123" s="8" t="s">
        <v>247</v>
      </c>
      <c r="W2123" s="6"/>
      <c r="X2123" s="6"/>
      <c r="Y2123" s="6"/>
      <c r="Z2123" s="6"/>
      <c r="AA2123" s="6" t="s">
        <v>561</v>
      </c>
      <c r="AB2123" s="8"/>
      <c r="AC2123" s="27">
        <v>9785160035116</v>
      </c>
    </row>
    <row r="2124" spans="1:29" s="4" customFormat="1" ht="51.9" customHeight="1" x14ac:dyDescent="0.2">
      <c r="A2124" s="5">
        <v>0</v>
      </c>
      <c r="B2124" s="6" t="s">
        <v>12798</v>
      </c>
      <c r="C2124" s="7">
        <v>2644.8</v>
      </c>
      <c r="D2124" s="8" t="s">
        <v>12799</v>
      </c>
      <c r="E2124" s="8" t="s">
        <v>12800</v>
      </c>
      <c r="F2124" s="8" t="s">
        <v>3982</v>
      </c>
      <c r="G2124" s="6" t="s">
        <v>118</v>
      </c>
      <c r="H2124" s="6" t="s">
        <v>48</v>
      </c>
      <c r="I2124" s="8" t="s">
        <v>263</v>
      </c>
      <c r="J2124" s="9">
        <v>1</v>
      </c>
      <c r="K2124" s="9">
        <v>400</v>
      </c>
      <c r="L2124" s="9">
        <v>2026</v>
      </c>
      <c r="M2124" s="8" t="s">
        <v>12801</v>
      </c>
      <c r="N2124" s="8" t="s">
        <v>243</v>
      </c>
      <c r="O2124" s="8" t="s">
        <v>244</v>
      </c>
      <c r="P2124" s="6" t="s">
        <v>51</v>
      </c>
      <c r="Q2124" s="8" t="s">
        <v>265</v>
      </c>
      <c r="R2124" s="10" t="s">
        <v>12802</v>
      </c>
      <c r="S2124" s="11" t="s">
        <v>3897</v>
      </c>
      <c r="T2124" s="6"/>
      <c r="U2124" s="15" t="str">
        <f>HYPERLINK("https://media.infra-m.ru/2209/2209244/cover/2209244.jpg", "Обложка")</f>
        <v>Обложка</v>
      </c>
      <c r="V2124" s="8" t="s">
        <v>3413</v>
      </c>
      <c r="W2124" s="6"/>
      <c r="X2124" s="6" t="s">
        <v>24</v>
      </c>
      <c r="Y2124" s="6"/>
      <c r="Z2124" s="6" t="s">
        <v>882</v>
      </c>
      <c r="AA2124" s="6" t="s">
        <v>115</v>
      </c>
      <c r="AB2124" s="8"/>
      <c r="AC2124" s="27">
        <v>9785000915929</v>
      </c>
    </row>
    <row r="2125" spans="1:29" s="4" customFormat="1" ht="51.9" customHeight="1" x14ac:dyDescent="0.2">
      <c r="A2125" s="5">
        <v>0</v>
      </c>
      <c r="B2125" s="6" t="s">
        <v>12803</v>
      </c>
      <c r="C2125" s="7">
        <v>1980</v>
      </c>
      <c r="D2125" s="8" t="s">
        <v>12804</v>
      </c>
      <c r="E2125" s="8" t="s">
        <v>12805</v>
      </c>
      <c r="F2125" s="8" t="s">
        <v>12806</v>
      </c>
      <c r="G2125" s="6" t="s">
        <v>118</v>
      </c>
      <c r="H2125" s="6" t="s">
        <v>34</v>
      </c>
      <c r="I2125" s="8" t="s">
        <v>263</v>
      </c>
      <c r="J2125" s="9">
        <v>1</v>
      </c>
      <c r="K2125" s="9">
        <v>284</v>
      </c>
      <c r="L2125" s="9">
        <v>2026</v>
      </c>
      <c r="M2125" s="8" t="s">
        <v>12807</v>
      </c>
      <c r="N2125" s="8" t="s">
        <v>243</v>
      </c>
      <c r="O2125" s="8" t="s">
        <v>933</v>
      </c>
      <c r="P2125" s="6" t="s">
        <v>51</v>
      </c>
      <c r="Q2125" s="8" t="s">
        <v>265</v>
      </c>
      <c r="R2125" s="10" t="s">
        <v>12808</v>
      </c>
      <c r="S2125" s="11" t="s">
        <v>12809</v>
      </c>
      <c r="T2125" s="6"/>
      <c r="U2125" s="15" t="str">
        <f>HYPERLINK("https://media.infra-m.ru/2260/2260853/cover/2260853.jpg", "Обложка")</f>
        <v>Обложка</v>
      </c>
      <c r="V2125" s="8" t="s">
        <v>761</v>
      </c>
      <c r="W2125" s="6"/>
      <c r="X2125" s="6"/>
      <c r="Y2125" s="6"/>
      <c r="Z2125" s="6" t="s">
        <v>267</v>
      </c>
      <c r="AA2125" s="6" t="s">
        <v>1256</v>
      </c>
      <c r="AB2125" s="8"/>
      <c r="AC2125" s="27">
        <v>9785160156620</v>
      </c>
    </row>
    <row r="2126" spans="1:29" s="4" customFormat="1" ht="51.9" customHeight="1" x14ac:dyDescent="0.2">
      <c r="A2126" s="5">
        <v>0</v>
      </c>
      <c r="B2126" s="6" t="s">
        <v>12810</v>
      </c>
      <c r="C2126" s="7">
        <v>1572</v>
      </c>
      <c r="D2126" s="8" t="s">
        <v>12811</v>
      </c>
      <c r="E2126" s="8" t="s">
        <v>12805</v>
      </c>
      <c r="F2126" s="8" t="s">
        <v>12806</v>
      </c>
      <c r="G2126" s="6" t="s">
        <v>118</v>
      </c>
      <c r="H2126" s="6" t="s">
        <v>34</v>
      </c>
      <c r="I2126" s="8" t="s">
        <v>271</v>
      </c>
      <c r="J2126" s="9">
        <v>1</v>
      </c>
      <c r="K2126" s="9">
        <v>284</v>
      </c>
      <c r="L2126" s="9">
        <v>2023</v>
      </c>
      <c r="M2126" s="8" t="s">
        <v>12812</v>
      </c>
      <c r="N2126" s="8" t="s">
        <v>243</v>
      </c>
      <c r="O2126" s="8" t="s">
        <v>933</v>
      </c>
      <c r="P2126" s="6" t="s">
        <v>51</v>
      </c>
      <c r="Q2126" s="8" t="s">
        <v>52</v>
      </c>
      <c r="R2126" s="10" t="s">
        <v>12813</v>
      </c>
      <c r="S2126" s="11" t="s">
        <v>12814</v>
      </c>
      <c r="T2126" s="6"/>
      <c r="U2126" s="15" t="str">
        <f>HYPERLINK("https://media.infra-m.ru/2127/2127023/cover/2127023.jpg", "Обложка")</f>
        <v>Обложка</v>
      </c>
      <c r="V2126" s="8" t="s">
        <v>761</v>
      </c>
      <c r="W2126" s="6"/>
      <c r="X2126" s="6"/>
      <c r="Y2126" s="6"/>
      <c r="Z2126" s="6"/>
      <c r="AA2126" s="6" t="s">
        <v>86</v>
      </c>
      <c r="AB2126" s="8"/>
      <c r="AC2126" s="27">
        <v>9785160135823</v>
      </c>
    </row>
    <row r="2127" spans="1:29" s="4" customFormat="1" ht="51.9" customHeight="1" x14ac:dyDescent="0.2">
      <c r="A2127" s="5">
        <v>0</v>
      </c>
      <c r="B2127" s="6" t="s">
        <v>12815</v>
      </c>
      <c r="C2127" s="7">
        <v>1212</v>
      </c>
      <c r="D2127" s="8" t="s">
        <v>12816</v>
      </c>
      <c r="E2127" s="8" t="s">
        <v>12794</v>
      </c>
      <c r="F2127" s="8" t="s">
        <v>12817</v>
      </c>
      <c r="G2127" s="6" t="s">
        <v>118</v>
      </c>
      <c r="H2127" s="6" t="s">
        <v>34</v>
      </c>
      <c r="I2127" s="8" t="s">
        <v>253</v>
      </c>
      <c r="J2127" s="9">
        <v>1</v>
      </c>
      <c r="K2127" s="9">
        <v>218</v>
      </c>
      <c r="L2127" s="9">
        <v>2024</v>
      </c>
      <c r="M2127" s="8" t="s">
        <v>12818</v>
      </c>
      <c r="N2127" s="8" t="s">
        <v>243</v>
      </c>
      <c r="O2127" s="8" t="s">
        <v>244</v>
      </c>
      <c r="P2127" s="6" t="s">
        <v>51</v>
      </c>
      <c r="Q2127" s="8" t="s">
        <v>52</v>
      </c>
      <c r="R2127" s="10" t="s">
        <v>12819</v>
      </c>
      <c r="S2127" s="11" t="s">
        <v>12820</v>
      </c>
      <c r="T2127" s="6"/>
      <c r="U2127" s="15" t="str">
        <f>HYPERLINK("https://media.infra-m.ru/2108/2108502/cover/2108502.jpg", "Обложка")</f>
        <v>Обложка</v>
      </c>
      <c r="V2127" s="8" t="s">
        <v>12821</v>
      </c>
      <c r="W2127" s="6"/>
      <c r="X2127" s="6"/>
      <c r="Y2127" s="6"/>
      <c r="Z2127" s="6"/>
      <c r="AA2127" s="6" t="s">
        <v>43</v>
      </c>
      <c r="AB2127" s="8"/>
      <c r="AC2127" s="27">
        <v>9785160193212</v>
      </c>
    </row>
    <row r="2128" spans="1:29" s="4" customFormat="1" ht="51.9" customHeight="1" x14ac:dyDescent="0.2">
      <c r="A2128" s="5">
        <v>0</v>
      </c>
      <c r="B2128" s="6" t="s">
        <v>12822</v>
      </c>
      <c r="C2128" s="7">
        <v>4008</v>
      </c>
      <c r="D2128" s="8" t="s">
        <v>12823</v>
      </c>
      <c r="E2128" s="8" t="s">
        <v>12824</v>
      </c>
      <c r="F2128" s="8" t="s">
        <v>12825</v>
      </c>
      <c r="G2128" s="6" t="s">
        <v>60</v>
      </c>
      <c r="H2128" s="6" t="s">
        <v>34</v>
      </c>
      <c r="I2128" s="8" t="s">
        <v>263</v>
      </c>
      <c r="J2128" s="9">
        <v>1</v>
      </c>
      <c r="K2128" s="9">
        <v>576</v>
      </c>
      <c r="L2128" s="9">
        <v>2026</v>
      </c>
      <c r="M2128" s="8" t="s">
        <v>12826</v>
      </c>
      <c r="N2128" s="8" t="s">
        <v>243</v>
      </c>
      <c r="O2128" s="8" t="s">
        <v>244</v>
      </c>
      <c r="P2128" s="6" t="s">
        <v>306</v>
      </c>
      <c r="Q2128" s="8" t="s">
        <v>265</v>
      </c>
      <c r="R2128" s="10" t="s">
        <v>12827</v>
      </c>
      <c r="S2128" s="11" t="s">
        <v>12828</v>
      </c>
      <c r="T2128" s="6"/>
      <c r="U2128" s="15" t="str">
        <f>HYPERLINK("https://media.infra-m.ru/2261/2261159/cover/2261159.jpg", "Обложка")</f>
        <v>Обложка</v>
      </c>
      <c r="V2128" s="8" t="s">
        <v>831</v>
      </c>
      <c r="W2128" s="6"/>
      <c r="X2128" s="6"/>
      <c r="Y2128" s="6"/>
      <c r="Z2128" s="6"/>
      <c r="AA2128" s="6" t="s">
        <v>1256</v>
      </c>
      <c r="AB2128" s="8"/>
      <c r="AC2128" s="27">
        <v>9785160159195</v>
      </c>
    </row>
    <row r="2129" spans="1:29" s="4" customFormat="1" ht="51.9" customHeight="1" x14ac:dyDescent="0.2">
      <c r="A2129" s="5">
        <v>0</v>
      </c>
      <c r="B2129" s="6" t="s">
        <v>12829</v>
      </c>
      <c r="C2129" s="7">
        <v>2472</v>
      </c>
      <c r="D2129" s="8" t="s">
        <v>12830</v>
      </c>
      <c r="E2129" s="8" t="s">
        <v>12831</v>
      </c>
      <c r="F2129" s="8" t="s">
        <v>12825</v>
      </c>
      <c r="G2129" s="6" t="s">
        <v>60</v>
      </c>
      <c r="H2129" s="6" t="s">
        <v>34</v>
      </c>
      <c r="I2129" s="8" t="s">
        <v>263</v>
      </c>
      <c r="J2129" s="9">
        <v>1</v>
      </c>
      <c r="K2129" s="9">
        <v>439</v>
      </c>
      <c r="L2129" s="9">
        <v>2024</v>
      </c>
      <c r="M2129" s="8" t="s">
        <v>12832</v>
      </c>
      <c r="N2129" s="8" t="s">
        <v>243</v>
      </c>
      <c r="O2129" s="8" t="s">
        <v>244</v>
      </c>
      <c r="P2129" s="6" t="s">
        <v>306</v>
      </c>
      <c r="Q2129" s="8" t="s">
        <v>265</v>
      </c>
      <c r="R2129" s="10" t="s">
        <v>12833</v>
      </c>
      <c r="S2129" s="11" t="s">
        <v>12834</v>
      </c>
      <c r="T2129" s="6"/>
      <c r="U2129" s="15" t="str">
        <f>HYPERLINK("https://media.infra-m.ru/2136/2136721/cover/2136721.jpg", "Обложка")</f>
        <v>Обложка</v>
      </c>
      <c r="V2129" s="8" t="s">
        <v>831</v>
      </c>
      <c r="W2129" s="6"/>
      <c r="X2129" s="6"/>
      <c r="Y2129" s="6"/>
      <c r="Z2129" s="6"/>
      <c r="AA2129" s="6" t="s">
        <v>1256</v>
      </c>
      <c r="AB2129" s="8"/>
      <c r="AC2129" s="27">
        <v>9785160149851</v>
      </c>
    </row>
    <row r="2130" spans="1:29" s="4" customFormat="1" ht="51.9" customHeight="1" x14ac:dyDescent="0.2">
      <c r="A2130" s="5">
        <v>0</v>
      </c>
      <c r="B2130" s="6" t="s">
        <v>12835</v>
      </c>
      <c r="C2130" s="7">
        <v>3100.8</v>
      </c>
      <c r="D2130" s="8" t="s">
        <v>12836</v>
      </c>
      <c r="E2130" s="8" t="s">
        <v>12837</v>
      </c>
      <c r="F2130" s="8" t="s">
        <v>12838</v>
      </c>
      <c r="G2130" s="6" t="s">
        <v>118</v>
      </c>
      <c r="H2130" s="6" t="s">
        <v>34</v>
      </c>
      <c r="I2130" s="8" t="s">
        <v>263</v>
      </c>
      <c r="J2130" s="9">
        <v>1</v>
      </c>
      <c r="K2130" s="9">
        <v>551</v>
      </c>
      <c r="L2130" s="9">
        <v>2024</v>
      </c>
      <c r="M2130" s="8" t="s">
        <v>12839</v>
      </c>
      <c r="N2130" s="8" t="s">
        <v>243</v>
      </c>
      <c r="O2130" s="8" t="s">
        <v>244</v>
      </c>
      <c r="P2130" s="6" t="s">
        <v>306</v>
      </c>
      <c r="Q2130" s="8" t="s">
        <v>265</v>
      </c>
      <c r="R2130" s="10" t="s">
        <v>12840</v>
      </c>
      <c r="S2130" s="11" t="s">
        <v>12828</v>
      </c>
      <c r="T2130" s="6"/>
      <c r="U2130" s="15" t="str">
        <f>HYPERLINK("https://media.infra-m.ru/2152/2152132/cover/2152132.jpg", "Обложка")</f>
        <v>Обложка</v>
      </c>
      <c r="V2130" s="8" t="s">
        <v>831</v>
      </c>
      <c r="W2130" s="6"/>
      <c r="X2130" s="6"/>
      <c r="Y2130" s="6"/>
      <c r="Z2130" s="6"/>
      <c r="AA2130" s="6" t="s">
        <v>1256</v>
      </c>
      <c r="AB2130" s="8" t="s">
        <v>3581</v>
      </c>
      <c r="AC2130" s="27">
        <v>9785160155449</v>
      </c>
    </row>
    <row r="2131" spans="1:29" s="4" customFormat="1" ht="51.9" customHeight="1" x14ac:dyDescent="0.2">
      <c r="A2131" s="5">
        <v>0</v>
      </c>
      <c r="B2131" s="6" t="s">
        <v>12841</v>
      </c>
      <c r="C2131" s="7">
        <v>2644.8</v>
      </c>
      <c r="D2131" s="8" t="s">
        <v>12842</v>
      </c>
      <c r="E2131" s="8" t="s">
        <v>12800</v>
      </c>
      <c r="F2131" s="8" t="s">
        <v>12843</v>
      </c>
      <c r="G2131" s="6" t="s">
        <v>118</v>
      </c>
      <c r="H2131" s="6" t="s">
        <v>48</v>
      </c>
      <c r="I2131" s="8" t="s">
        <v>253</v>
      </c>
      <c r="J2131" s="9">
        <v>1</v>
      </c>
      <c r="K2131" s="9">
        <v>400</v>
      </c>
      <c r="L2131" s="9">
        <v>2026</v>
      </c>
      <c r="M2131" s="8" t="s">
        <v>12844</v>
      </c>
      <c r="N2131" s="8" t="s">
        <v>243</v>
      </c>
      <c r="O2131" s="8" t="s">
        <v>244</v>
      </c>
      <c r="P2131" s="6" t="s">
        <v>51</v>
      </c>
      <c r="Q2131" s="8" t="s">
        <v>65</v>
      </c>
      <c r="R2131" s="10" t="s">
        <v>12845</v>
      </c>
      <c r="S2131" s="11" t="s">
        <v>12846</v>
      </c>
      <c r="T2131" s="6"/>
      <c r="U2131" s="15" t="str">
        <f>HYPERLINK("https://media.infra-m.ru/2242/2242291/cover/2242291.jpg", "Обложка")</f>
        <v>Обложка</v>
      </c>
      <c r="V2131" s="8" t="s">
        <v>3413</v>
      </c>
      <c r="W2131" s="6"/>
      <c r="X2131" s="6"/>
      <c r="Y2131" s="6"/>
      <c r="Z2131" s="6"/>
      <c r="AA2131" s="6" t="s">
        <v>248</v>
      </c>
      <c r="AB2131" s="8"/>
      <c r="AC2131" s="27">
        <v>9785000917763</v>
      </c>
    </row>
    <row r="2132" spans="1:29" s="4" customFormat="1" ht="51.9" customHeight="1" x14ac:dyDescent="0.2">
      <c r="A2132" s="5">
        <v>0</v>
      </c>
      <c r="B2132" s="6" t="s">
        <v>12847</v>
      </c>
      <c r="C2132" s="7">
        <v>1788</v>
      </c>
      <c r="D2132" s="8" t="s">
        <v>12848</v>
      </c>
      <c r="E2132" s="8" t="s">
        <v>12849</v>
      </c>
      <c r="F2132" s="8" t="s">
        <v>12850</v>
      </c>
      <c r="G2132" s="6" t="s">
        <v>118</v>
      </c>
      <c r="H2132" s="6" t="s">
        <v>34</v>
      </c>
      <c r="I2132" s="8" t="s">
        <v>263</v>
      </c>
      <c r="J2132" s="9">
        <v>1</v>
      </c>
      <c r="K2132" s="9">
        <v>330</v>
      </c>
      <c r="L2132" s="9">
        <v>2023</v>
      </c>
      <c r="M2132" s="8" t="s">
        <v>12851</v>
      </c>
      <c r="N2132" s="8" t="s">
        <v>243</v>
      </c>
      <c r="O2132" s="8" t="s">
        <v>244</v>
      </c>
      <c r="P2132" s="6" t="s">
        <v>51</v>
      </c>
      <c r="Q2132" s="8" t="s">
        <v>265</v>
      </c>
      <c r="R2132" s="10" t="s">
        <v>12852</v>
      </c>
      <c r="S2132" s="11" t="s">
        <v>12853</v>
      </c>
      <c r="T2132" s="6"/>
      <c r="U2132" s="15" t="str">
        <f>HYPERLINK("https://media.infra-m.ru/1964/1964965/cover/1964965.jpg", "Обложка")</f>
        <v>Обложка</v>
      </c>
      <c r="V2132" s="8" t="s">
        <v>396</v>
      </c>
      <c r="W2132" s="6"/>
      <c r="X2132" s="6"/>
      <c r="Y2132" s="6"/>
      <c r="Z2132" s="6" t="s">
        <v>267</v>
      </c>
      <c r="AA2132" s="6" t="s">
        <v>2240</v>
      </c>
      <c r="AB2132" s="8"/>
      <c r="AC2132" s="27">
        <v>9785160147291</v>
      </c>
    </row>
    <row r="2133" spans="1:29" s="4" customFormat="1" ht="51.9" customHeight="1" x14ac:dyDescent="0.2">
      <c r="A2133" s="5">
        <v>0</v>
      </c>
      <c r="B2133" s="6" t="s">
        <v>12854</v>
      </c>
      <c r="C2133" s="7">
        <v>1816.8</v>
      </c>
      <c r="D2133" s="8" t="s">
        <v>12855</v>
      </c>
      <c r="E2133" s="8" t="s">
        <v>12849</v>
      </c>
      <c r="F2133" s="8" t="s">
        <v>12850</v>
      </c>
      <c r="G2133" s="6" t="s">
        <v>118</v>
      </c>
      <c r="H2133" s="6" t="s">
        <v>34</v>
      </c>
      <c r="I2133" s="8" t="s">
        <v>271</v>
      </c>
      <c r="J2133" s="9">
        <v>1</v>
      </c>
      <c r="K2133" s="9">
        <v>330</v>
      </c>
      <c r="L2133" s="9">
        <v>2024</v>
      </c>
      <c r="M2133" s="8" t="s">
        <v>12856</v>
      </c>
      <c r="N2133" s="8" t="s">
        <v>243</v>
      </c>
      <c r="O2133" s="8" t="s">
        <v>244</v>
      </c>
      <c r="P2133" s="6" t="s">
        <v>51</v>
      </c>
      <c r="Q2133" s="8" t="s">
        <v>52</v>
      </c>
      <c r="R2133" s="10" t="s">
        <v>12857</v>
      </c>
      <c r="S2133" s="11" t="s">
        <v>12858</v>
      </c>
      <c r="T2133" s="6"/>
      <c r="U2133" s="15" t="str">
        <f>HYPERLINK("https://media.infra-m.ru/2084/2084528/cover/2084528.jpg", "Обложка")</f>
        <v>Обложка</v>
      </c>
      <c r="V2133" s="8" t="s">
        <v>396</v>
      </c>
      <c r="W2133" s="6"/>
      <c r="X2133" s="6"/>
      <c r="Y2133" s="6"/>
      <c r="Z2133" s="6"/>
      <c r="AA2133" s="6" t="s">
        <v>623</v>
      </c>
      <c r="AB2133" s="8"/>
      <c r="AC2133" s="27">
        <v>9785160122748</v>
      </c>
    </row>
    <row r="2134" spans="1:29" s="4" customFormat="1" ht="51.9" customHeight="1" x14ac:dyDescent="0.2">
      <c r="A2134" s="5">
        <v>0</v>
      </c>
      <c r="B2134" s="6" t="s">
        <v>12859</v>
      </c>
      <c r="C2134" s="7">
        <v>2428.8000000000002</v>
      </c>
      <c r="D2134" s="8" t="s">
        <v>12860</v>
      </c>
      <c r="E2134" s="8" t="s">
        <v>12861</v>
      </c>
      <c r="F2134" s="8" t="s">
        <v>12843</v>
      </c>
      <c r="G2134" s="6" t="s">
        <v>60</v>
      </c>
      <c r="H2134" s="6" t="s">
        <v>48</v>
      </c>
      <c r="I2134" s="8" t="s">
        <v>253</v>
      </c>
      <c r="J2134" s="9">
        <v>1</v>
      </c>
      <c r="K2134" s="9">
        <v>448</v>
      </c>
      <c r="L2134" s="9">
        <v>2024</v>
      </c>
      <c r="M2134" s="8" t="s">
        <v>12862</v>
      </c>
      <c r="N2134" s="8" t="s">
        <v>243</v>
      </c>
      <c r="O2134" s="8" t="s">
        <v>244</v>
      </c>
      <c r="P2134" s="6" t="s">
        <v>51</v>
      </c>
      <c r="Q2134" s="8" t="s">
        <v>52</v>
      </c>
      <c r="R2134" s="10" t="s">
        <v>12863</v>
      </c>
      <c r="S2134" s="11" t="s">
        <v>12864</v>
      </c>
      <c r="T2134" s="6"/>
      <c r="U2134" s="15" t="str">
        <f>HYPERLINK("https://media.infra-m.ru/2056/2056640/cover/2056640.jpg", "Обложка")</f>
        <v>Обложка</v>
      </c>
      <c r="V2134" s="8" t="s">
        <v>3413</v>
      </c>
      <c r="W2134" s="6"/>
      <c r="X2134" s="6"/>
      <c r="Y2134" s="6"/>
      <c r="Z2134" s="6"/>
      <c r="AA2134" s="6" t="s">
        <v>859</v>
      </c>
      <c r="AB2134" s="8"/>
      <c r="AC2134" s="27">
        <v>9785911348335</v>
      </c>
    </row>
    <row r="2135" spans="1:29" s="4" customFormat="1" ht="42" customHeight="1" x14ac:dyDescent="0.2">
      <c r="A2135" s="5">
        <v>0</v>
      </c>
      <c r="B2135" s="6" t="s">
        <v>12865</v>
      </c>
      <c r="C2135" s="7">
        <v>2676</v>
      </c>
      <c r="D2135" s="8" t="s">
        <v>12866</v>
      </c>
      <c r="E2135" s="8" t="s">
        <v>12861</v>
      </c>
      <c r="F2135" s="8" t="s">
        <v>3982</v>
      </c>
      <c r="G2135" s="6" t="s">
        <v>60</v>
      </c>
      <c r="H2135" s="6" t="s">
        <v>48</v>
      </c>
      <c r="I2135" s="8" t="s">
        <v>263</v>
      </c>
      <c r="J2135" s="9">
        <v>1</v>
      </c>
      <c r="K2135" s="9">
        <v>445</v>
      </c>
      <c r="L2135" s="9">
        <v>2025</v>
      </c>
      <c r="M2135" s="8" t="s">
        <v>12867</v>
      </c>
      <c r="N2135" s="8" t="s">
        <v>243</v>
      </c>
      <c r="O2135" s="8" t="s">
        <v>244</v>
      </c>
      <c r="P2135" s="6" t="s">
        <v>51</v>
      </c>
      <c r="Q2135" s="8" t="s">
        <v>265</v>
      </c>
      <c r="R2135" s="10" t="s">
        <v>12868</v>
      </c>
      <c r="S2135" s="11"/>
      <c r="T2135" s="6"/>
      <c r="U2135" s="15" t="str">
        <f>HYPERLINK("https://media.infra-m.ru/0967/0967464/cover/967464.jpg", "Обложка")</f>
        <v>Обложка</v>
      </c>
      <c r="V2135" s="8" t="s">
        <v>3413</v>
      </c>
      <c r="W2135" s="6"/>
      <c r="X2135" s="6"/>
      <c r="Y2135" s="6"/>
      <c r="Z2135" s="6" t="s">
        <v>267</v>
      </c>
      <c r="AA2135" s="6" t="s">
        <v>917</v>
      </c>
      <c r="AB2135" s="8"/>
      <c r="AC2135" s="27">
        <v>9785000915943</v>
      </c>
    </row>
    <row r="2136" spans="1:29" s="4" customFormat="1" ht="44.1" customHeight="1" x14ac:dyDescent="0.2">
      <c r="A2136" s="5">
        <v>0</v>
      </c>
      <c r="B2136" s="6" t="s">
        <v>12869</v>
      </c>
      <c r="C2136" s="7">
        <v>1320</v>
      </c>
      <c r="D2136" s="8" t="s">
        <v>12870</v>
      </c>
      <c r="E2136" s="8" t="s">
        <v>12871</v>
      </c>
      <c r="F2136" s="8" t="s">
        <v>12872</v>
      </c>
      <c r="G2136" s="6" t="s">
        <v>60</v>
      </c>
      <c r="H2136" s="6" t="s">
        <v>34</v>
      </c>
      <c r="I2136" s="8" t="s">
        <v>253</v>
      </c>
      <c r="J2136" s="9">
        <v>1</v>
      </c>
      <c r="K2136" s="9">
        <v>192</v>
      </c>
      <c r="L2136" s="9">
        <v>2025</v>
      </c>
      <c r="M2136" s="8" t="s">
        <v>12873</v>
      </c>
      <c r="N2136" s="8" t="s">
        <v>243</v>
      </c>
      <c r="O2136" s="8" t="s">
        <v>244</v>
      </c>
      <c r="P2136" s="6" t="s">
        <v>306</v>
      </c>
      <c r="Q2136" s="8" t="s">
        <v>52</v>
      </c>
      <c r="R2136" s="10" t="s">
        <v>12874</v>
      </c>
      <c r="S2136" s="11"/>
      <c r="T2136" s="6"/>
      <c r="U2136" s="15" t="str">
        <f>HYPERLINK("https://media.infra-m.ru/2186/2186397/cover/2186397.jpg", "Обложка")</f>
        <v>Обложка</v>
      </c>
      <c r="V2136" s="8" t="s">
        <v>396</v>
      </c>
      <c r="W2136" s="6"/>
      <c r="X2136" s="6"/>
      <c r="Y2136" s="6"/>
      <c r="Z2136" s="6"/>
      <c r="AA2136" s="6" t="s">
        <v>68</v>
      </c>
      <c r="AB2136" s="8"/>
      <c r="AC2136" s="27">
        <v>9785160206257</v>
      </c>
    </row>
    <row r="2137" spans="1:29" s="4" customFormat="1" ht="44.1" customHeight="1" x14ac:dyDescent="0.2">
      <c r="A2137" s="5">
        <v>0</v>
      </c>
      <c r="B2137" s="6" t="s">
        <v>12875</v>
      </c>
      <c r="C2137" s="13">
        <v>720</v>
      </c>
      <c r="D2137" s="8" t="s">
        <v>12876</v>
      </c>
      <c r="E2137" s="8" t="s">
        <v>12877</v>
      </c>
      <c r="F2137" s="8" t="s">
        <v>12878</v>
      </c>
      <c r="G2137" s="6" t="s">
        <v>33</v>
      </c>
      <c r="H2137" s="6" t="s">
        <v>34</v>
      </c>
      <c r="I2137" s="8" t="s">
        <v>35</v>
      </c>
      <c r="J2137" s="9">
        <v>1</v>
      </c>
      <c r="K2137" s="9">
        <v>132</v>
      </c>
      <c r="L2137" s="9">
        <v>2023</v>
      </c>
      <c r="M2137" s="8" t="s">
        <v>12879</v>
      </c>
      <c r="N2137" s="8" t="s">
        <v>585</v>
      </c>
      <c r="O2137" s="8" t="s">
        <v>667</v>
      </c>
      <c r="P2137" s="6" t="s">
        <v>39</v>
      </c>
      <c r="Q2137" s="8" t="s">
        <v>40</v>
      </c>
      <c r="R2137" s="10" t="s">
        <v>12880</v>
      </c>
      <c r="S2137" s="11"/>
      <c r="T2137" s="6"/>
      <c r="U2137" s="15" t="str">
        <f>HYPERLINK("https://media.infra-m.ru/1937/1937955/cover/1937955.jpg", "Обложка")</f>
        <v>Обложка</v>
      </c>
      <c r="V2137" s="8" t="s">
        <v>12235</v>
      </c>
      <c r="W2137" s="6"/>
      <c r="X2137" s="6"/>
      <c r="Y2137" s="6"/>
      <c r="Z2137" s="6"/>
      <c r="AA2137" s="6" t="s">
        <v>86</v>
      </c>
      <c r="AB2137" s="8"/>
      <c r="AC2137" s="27">
        <v>9785160132518</v>
      </c>
    </row>
    <row r="2138" spans="1:29" s="4" customFormat="1" ht="51.9" customHeight="1" x14ac:dyDescent="0.2">
      <c r="A2138" s="5">
        <v>0</v>
      </c>
      <c r="B2138" s="6" t="s">
        <v>12881</v>
      </c>
      <c r="C2138" s="7">
        <v>2212.8000000000002</v>
      </c>
      <c r="D2138" s="8" t="s">
        <v>12882</v>
      </c>
      <c r="E2138" s="8" t="s">
        <v>12883</v>
      </c>
      <c r="F2138" s="8" t="s">
        <v>12548</v>
      </c>
      <c r="G2138" s="6" t="s">
        <v>118</v>
      </c>
      <c r="H2138" s="6" t="s">
        <v>1042</v>
      </c>
      <c r="I2138" s="8" t="s">
        <v>253</v>
      </c>
      <c r="J2138" s="9">
        <v>1</v>
      </c>
      <c r="K2138" s="9">
        <v>335</v>
      </c>
      <c r="L2138" s="9">
        <v>2026</v>
      </c>
      <c r="M2138" s="8" t="s">
        <v>12884</v>
      </c>
      <c r="N2138" s="8" t="s">
        <v>243</v>
      </c>
      <c r="O2138" s="8" t="s">
        <v>244</v>
      </c>
      <c r="P2138" s="6" t="s">
        <v>51</v>
      </c>
      <c r="Q2138" s="8" t="s">
        <v>52</v>
      </c>
      <c r="R2138" s="10" t="s">
        <v>12885</v>
      </c>
      <c r="S2138" s="11" t="s">
        <v>12886</v>
      </c>
      <c r="T2138" s="6"/>
      <c r="U2138" s="15" t="str">
        <f>HYPERLINK("https://media.infra-m.ru/2238/2238365/cover/2238365.jpg", "Обложка")</f>
        <v>Обложка</v>
      </c>
      <c r="V2138" s="8" t="s">
        <v>3428</v>
      </c>
      <c r="W2138" s="6"/>
      <c r="X2138" s="6"/>
      <c r="Y2138" s="6"/>
      <c r="Z2138" s="6"/>
      <c r="AA2138" s="6" t="s">
        <v>1015</v>
      </c>
      <c r="AB2138" s="8"/>
      <c r="AC2138" s="27">
        <v>9785819908846</v>
      </c>
    </row>
    <row r="2139" spans="1:29" s="4" customFormat="1" ht="51.9" customHeight="1" x14ac:dyDescent="0.2">
      <c r="A2139" s="5">
        <v>0</v>
      </c>
      <c r="B2139" s="6" t="s">
        <v>12887</v>
      </c>
      <c r="C2139" s="7">
        <v>2572.8000000000002</v>
      </c>
      <c r="D2139" s="8" t="s">
        <v>12888</v>
      </c>
      <c r="E2139" s="8" t="s">
        <v>12889</v>
      </c>
      <c r="F2139" s="8" t="s">
        <v>11322</v>
      </c>
      <c r="G2139" s="6" t="s">
        <v>118</v>
      </c>
      <c r="H2139" s="6" t="s">
        <v>34</v>
      </c>
      <c r="I2139" s="8" t="s">
        <v>271</v>
      </c>
      <c r="J2139" s="9">
        <v>1</v>
      </c>
      <c r="K2139" s="9">
        <v>369</v>
      </c>
      <c r="L2139" s="9">
        <v>2027</v>
      </c>
      <c r="M2139" s="8" t="s">
        <v>12890</v>
      </c>
      <c r="N2139" s="8" t="s">
        <v>243</v>
      </c>
      <c r="O2139" s="8" t="s">
        <v>244</v>
      </c>
      <c r="P2139" s="6" t="s">
        <v>51</v>
      </c>
      <c r="Q2139" s="8" t="s">
        <v>52</v>
      </c>
      <c r="R2139" s="10" t="s">
        <v>12891</v>
      </c>
      <c r="S2139" s="11" t="s">
        <v>12892</v>
      </c>
      <c r="T2139" s="6" t="s">
        <v>97</v>
      </c>
      <c r="U2139" s="15" t="str">
        <f>HYPERLINK("https://media.infra-m.ru/2267/2267458/cover/2267458.jpg", "Обложка")</f>
        <v>Обложка</v>
      </c>
      <c r="V2139" s="8" t="s">
        <v>11325</v>
      </c>
      <c r="W2139" s="6"/>
      <c r="X2139" s="6"/>
      <c r="Y2139" s="6"/>
      <c r="Z2139" s="6"/>
      <c r="AA2139" s="6" t="s">
        <v>258</v>
      </c>
      <c r="AB2139" s="8"/>
      <c r="AC2139" s="27">
        <v>9785160161877</v>
      </c>
    </row>
    <row r="2140" spans="1:29" s="4" customFormat="1" ht="51.9" customHeight="1" x14ac:dyDescent="0.2">
      <c r="A2140" s="5">
        <v>0</v>
      </c>
      <c r="B2140" s="6" t="s">
        <v>12893</v>
      </c>
      <c r="C2140" s="13">
        <v>977.9</v>
      </c>
      <c r="D2140" s="8" t="s">
        <v>12894</v>
      </c>
      <c r="E2140" s="8" t="s">
        <v>12895</v>
      </c>
      <c r="F2140" s="8" t="s">
        <v>12896</v>
      </c>
      <c r="G2140" s="6" t="s">
        <v>60</v>
      </c>
      <c r="H2140" s="6" t="s">
        <v>34</v>
      </c>
      <c r="I2140" s="8" t="s">
        <v>271</v>
      </c>
      <c r="J2140" s="9">
        <v>12</v>
      </c>
      <c r="K2140" s="9">
        <v>238</v>
      </c>
      <c r="L2140" s="9">
        <v>2020</v>
      </c>
      <c r="M2140" s="8" t="s">
        <v>12897</v>
      </c>
      <c r="N2140" s="8" t="s">
        <v>243</v>
      </c>
      <c r="O2140" s="8" t="s">
        <v>244</v>
      </c>
      <c r="P2140" s="6" t="s">
        <v>51</v>
      </c>
      <c r="Q2140" s="8" t="s">
        <v>52</v>
      </c>
      <c r="R2140" s="10" t="s">
        <v>12891</v>
      </c>
      <c r="S2140" s="11" t="s">
        <v>12898</v>
      </c>
      <c r="T2140" s="6" t="s">
        <v>97</v>
      </c>
      <c r="U2140" s="15" t="str">
        <f>HYPERLINK("https://media.infra-m.ru/1064/1064628/cover/1064628.jpg", "Обложка")</f>
        <v>Обложка</v>
      </c>
      <c r="V2140" s="8" t="s">
        <v>11325</v>
      </c>
      <c r="W2140" s="6"/>
      <c r="X2140" s="6"/>
      <c r="Y2140" s="6"/>
      <c r="Z2140" s="6"/>
      <c r="AA2140" s="6" t="s">
        <v>1015</v>
      </c>
      <c r="AB2140" s="8"/>
      <c r="AC2140" s="27">
        <v>9785160041001</v>
      </c>
    </row>
    <row r="2141" spans="1:29" s="4" customFormat="1" ht="51.9" customHeight="1" x14ac:dyDescent="0.2">
      <c r="A2141" s="5">
        <v>0</v>
      </c>
      <c r="B2141" s="6" t="s">
        <v>12899</v>
      </c>
      <c r="C2141" s="7">
        <v>1660.8</v>
      </c>
      <c r="D2141" s="8" t="s">
        <v>12900</v>
      </c>
      <c r="E2141" s="8" t="s">
        <v>12901</v>
      </c>
      <c r="F2141" s="8" t="s">
        <v>12902</v>
      </c>
      <c r="G2141" s="6" t="s">
        <v>60</v>
      </c>
      <c r="H2141" s="6" t="s">
        <v>241</v>
      </c>
      <c r="I2141" s="8"/>
      <c r="J2141" s="9">
        <v>1</v>
      </c>
      <c r="K2141" s="9">
        <v>301</v>
      </c>
      <c r="L2141" s="9">
        <v>2023</v>
      </c>
      <c r="M2141" s="8" t="s">
        <v>12903</v>
      </c>
      <c r="N2141" s="8" t="s">
        <v>243</v>
      </c>
      <c r="O2141" s="8" t="s">
        <v>244</v>
      </c>
      <c r="P2141" s="6" t="s">
        <v>51</v>
      </c>
      <c r="Q2141" s="8" t="s">
        <v>52</v>
      </c>
      <c r="R2141" s="10" t="s">
        <v>1503</v>
      </c>
      <c r="S2141" s="11" t="s">
        <v>12904</v>
      </c>
      <c r="T2141" s="6"/>
      <c r="U2141" s="15" t="str">
        <f>HYPERLINK("https://media.infra-m.ru/1981/1981670/cover/1981670.jpg", "Обложка")</f>
        <v>Обложка</v>
      </c>
      <c r="V2141" s="8" t="s">
        <v>1030</v>
      </c>
      <c r="W2141" s="6"/>
      <c r="X2141" s="6"/>
      <c r="Y2141" s="6"/>
      <c r="Z2141" s="6"/>
      <c r="AA2141" s="6" t="s">
        <v>718</v>
      </c>
      <c r="AB2141" s="8"/>
      <c r="AC2141" s="27">
        <v>9785955803159</v>
      </c>
    </row>
    <row r="2142" spans="1:29" s="4" customFormat="1" ht="51.9" customHeight="1" x14ac:dyDescent="0.2">
      <c r="A2142" s="5">
        <v>0</v>
      </c>
      <c r="B2142" s="6" t="s">
        <v>12905</v>
      </c>
      <c r="C2142" s="7">
        <v>2272.8000000000002</v>
      </c>
      <c r="D2142" s="8" t="s">
        <v>12906</v>
      </c>
      <c r="E2142" s="8" t="s">
        <v>12907</v>
      </c>
      <c r="F2142" s="8" t="s">
        <v>12908</v>
      </c>
      <c r="G2142" s="6" t="s">
        <v>60</v>
      </c>
      <c r="H2142" s="6" t="s">
        <v>34</v>
      </c>
      <c r="I2142" s="8" t="s">
        <v>2025</v>
      </c>
      <c r="J2142" s="9">
        <v>1</v>
      </c>
      <c r="K2142" s="9">
        <v>344</v>
      </c>
      <c r="L2142" s="9">
        <v>2026</v>
      </c>
      <c r="M2142" s="8" t="s">
        <v>12909</v>
      </c>
      <c r="N2142" s="8" t="s">
        <v>37</v>
      </c>
      <c r="O2142" s="8" t="s">
        <v>83</v>
      </c>
      <c r="P2142" s="6" t="s">
        <v>306</v>
      </c>
      <c r="Q2142" s="8" t="s">
        <v>52</v>
      </c>
      <c r="R2142" s="10" t="s">
        <v>4211</v>
      </c>
      <c r="S2142" s="11" t="s">
        <v>12910</v>
      </c>
      <c r="T2142" s="6"/>
      <c r="U2142" s="15" t="str">
        <f>HYPERLINK("https://media.infra-m.ru/2239/2239143/cover/2239143.jpg", "Обложка")</f>
        <v>Обложка</v>
      </c>
      <c r="V2142" s="8" t="s">
        <v>247</v>
      </c>
      <c r="W2142" s="6"/>
      <c r="X2142" s="6"/>
      <c r="Y2142" s="6"/>
      <c r="Z2142" s="6"/>
      <c r="AA2142" s="6" t="s">
        <v>430</v>
      </c>
      <c r="AB2142" s="8"/>
      <c r="AC2142" s="27">
        <v>9785160169590</v>
      </c>
    </row>
    <row r="2143" spans="1:29" s="4" customFormat="1" ht="44.1" customHeight="1" x14ac:dyDescent="0.2">
      <c r="A2143" s="5">
        <v>0</v>
      </c>
      <c r="B2143" s="6" t="s">
        <v>12911</v>
      </c>
      <c r="C2143" s="7">
        <v>1980</v>
      </c>
      <c r="D2143" s="8" t="s">
        <v>12912</v>
      </c>
      <c r="E2143" s="8" t="s">
        <v>12913</v>
      </c>
      <c r="F2143" s="8" t="s">
        <v>12914</v>
      </c>
      <c r="G2143" s="6" t="s">
        <v>60</v>
      </c>
      <c r="H2143" s="6" t="s">
        <v>34</v>
      </c>
      <c r="I2143" s="8" t="s">
        <v>263</v>
      </c>
      <c r="J2143" s="9">
        <v>1</v>
      </c>
      <c r="K2143" s="9">
        <v>326</v>
      </c>
      <c r="L2143" s="9">
        <v>2025</v>
      </c>
      <c r="M2143" s="8" t="s">
        <v>12915</v>
      </c>
      <c r="N2143" s="8" t="s">
        <v>243</v>
      </c>
      <c r="O2143" s="8" t="s">
        <v>244</v>
      </c>
      <c r="P2143" s="6" t="s">
        <v>51</v>
      </c>
      <c r="Q2143" s="8" t="s">
        <v>265</v>
      </c>
      <c r="R2143" s="10" t="s">
        <v>12916</v>
      </c>
      <c r="S2143" s="11"/>
      <c r="T2143" s="6" t="s">
        <v>97</v>
      </c>
      <c r="U2143" s="15" t="str">
        <f>HYPERLINK("https://media.infra-m.ru/2110/2110964/cover/2110964.jpg", "Обложка")</f>
        <v>Обложка</v>
      </c>
      <c r="V2143" s="8" t="s">
        <v>12917</v>
      </c>
      <c r="W2143" s="6"/>
      <c r="X2143" s="6"/>
      <c r="Y2143" s="6"/>
      <c r="Z2143" s="6"/>
      <c r="AA2143" s="6" t="s">
        <v>68</v>
      </c>
      <c r="AB2143" s="8" t="s">
        <v>2691</v>
      </c>
      <c r="AC2143" s="27">
        <v>9785160193564</v>
      </c>
    </row>
    <row r="2144" spans="1:29" s="4" customFormat="1" ht="51.9" customHeight="1" x14ac:dyDescent="0.2">
      <c r="A2144" s="5">
        <v>0</v>
      </c>
      <c r="B2144" s="6" t="s">
        <v>12918</v>
      </c>
      <c r="C2144" s="7">
        <v>1648.8</v>
      </c>
      <c r="D2144" s="8" t="s">
        <v>12919</v>
      </c>
      <c r="E2144" s="8" t="s">
        <v>12920</v>
      </c>
      <c r="F2144" s="8" t="s">
        <v>12921</v>
      </c>
      <c r="G2144" s="6" t="s">
        <v>60</v>
      </c>
      <c r="H2144" s="6" t="s">
        <v>34</v>
      </c>
      <c r="I2144" s="8" t="s">
        <v>2025</v>
      </c>
      <c r="J2144" s="9">
        <v>1</v>
      </c>
      <c r="K2144" s="9">
        <v>250</v>
      </c>
      <c r="L2144" s="9">
        <v>2026</v>
      </c>
      <c r="M2144" s="8" t="s">
        <v>12922</v>
      </c>
      <c r="N2144" s="8" t="s">
        <v>243</v>
      </c>
      <c r="O2144" s="8" t="s">
        <v>244</v>
      </c>
      <c r="P2144" s="6" t="s">
        <v>306</v>
      </c>
      <c r="Q2144" s="8" t="s">
        <v>52</v>
      </c>
      <c r="R2144" s="10" t="s">
        <v>12923</v>
      </c>
      <c r="S2144" s="11" t="s">
        <v>12924</v>
      </c>
      <c r="T2144" s="6"/>
      <c r="U2144" s="15" t="str">
        <f>HYPERLINK("https://media.infra-m.ru/2214/2214939/cover/2214939.jpg", "Обложка")</f>
        <v>Обложка</v>
      </c>
      <c r="V2144" s="8" t="s">
        <v>247</v>
      </c>
      <c r="W2144" s="6"/>
      <c r="X2144" s="6" t="s">
        <v>24</v>
      </c>
      <c r="Y2144" s="6"/>
      <c r="Z2144" s="6"/>
      <c r="AA2144" s="6" t="s">
        <v>1256</v>
      </c>
      <c r="AB2144" s="8"/>
      <c r="AC2144" s="27">
        <v>9785160153995</v>
      </c>
    </row>
    <row r="2145" spans="1:29" s="4" customFormat="1" ht="51.9" customHeight="1" x14ac:dyDescent="0.2">
      <c r="A2145" s="5">
        <v>0</v>
      </c>
      <c r="B2145" s="6" t="s">
        <v>12925</v>
      </c>
      <c r="C2145" s="7">
        <v>1648.8</v>
      </c>
      <c r="D2145" s="8" t="s">
        <v>12926</v>
      </c>
      <c r="E2145" s="8" t="s">
        <v>12920</v>
      </c>
      <c r="F2145" s="8" t="s">
        <v>12921</v>
      </c>
      <c r="G2145" s="6" t="s">
        <v>60</v>
      </c>
      <c r="H2145" s="6" t="s">
        <v>34</v>
      </c>
      <c r="I2145" s="8" t="s">
        <v>5350</v>
      </c>
      <c r="J2145" s="9">
        <v>1</v>
      </c>
      <c r="K2145" s="9">
        <v>250</v>
      </c>
      <c r="L2145" s="9">
        <v>2026</v>
      </c>
      <c r="M2145" s="8" t="s">
        <v>12927</v>
      </c>
      <c r="N2145" s="8" t="s">
        <v>243</v>
      </c>
      <c r="O2145" s="8" t="s">
        <v>244</v>
      </c>
      <c r="P2145" s="6" t="s">
        <v>306</v>
      </c>
      <c r="Q2145" s="8" t="s">
        <v>377</v>
      </c>
      <c r="R2145" s="10" t="s">
        <v>426</v>
      </c>
      <c r="S2145" s="11" t="s">
        <v>12928</v>
      </c>
      <c r="T2145" s="6"/>
      <c r="U2145" s="15" t="str">
        <f>HYPERLINK("https://media.infra-m.ru/2225/2225012/cover/2225012.jpg", "Обложка")</f>
        <v>Обложка</v>
      </c>
      <c r="V2145" s="8" t="s">
        <v>247</v>
      </c>
      <c r="W2145" s="6"/>
      <c r="X2145" s="6"/>
      <c r="Y2145" s="6"/>
      <c r="Z2145" s="6" t="s">
        <v>429</v>
      </c>
      <c r="AA2145" s="6" t="s">
        <v>148</v>
      </c>
      <c r="AB2145" s="8"/>
      <c r="AC2145" s="27">
        <v>9785160165455</v>
      </c>
    </row>
    <row r="2146" spans="1:29" s="4" customFormat="1" ht="51.9" customHeight="1" x14ac:dyDescent="0.2">
      <c r="A2146" s="5">
        <v>0</v>
      </c>
      <c r="B2146" s="6" t="s">
        <v>12929</v>
      </c>
      <c r="C2146" s="7">
        <v>2416.8000000000002</v>
      </c>
      <c r="D2146" s="8" t="s">
        <v>12930</v>
      </c>
      <c r="E2146" s="8" t="s">
        <v>12920</v>
      </c>
      <c r="F2146" s="8" t="s">
        <v>12579</v>
      </c>
      <c r="G2146" s="6" t="s">
        <v>118</v>
      </c>
      <c r="H2146" s="6" t="s">
        <v>1042</v>
      </c>
      <c r="I2146" s="8" t="s">
        <v>263</v>
      </c>
      <c r="J2146" s="9">
        <v>1</v>
      </c>
      <c r="K2146" s="9">
        <v>367</v>
      </c>
      <c r="L2146" s="9">
        <v>2026</v>
      </c>
      <c r="M2146" s="8" t="s">
        <v>12931</v>
      </c>
      <c r="N2146" s="8" t="s">
        <v>243</v>
      </c>
      <c r="O2146" s="8" t="s">
        <v>244</v>
      </c>
      <c r="P2146" s="6" t="s">
        <v>51</v>
      </c>
      <c r="Q2146" s="8" t="s">
        <v>265</v>
      </c>
      <c r="R2146" s="10" t="s">
        <v>12932</v>
      </c>
      <c r="S2146" s="11" t="s">
        <v>1899</v>
      </c>
      <c r="T2146" s="6"/>
      <c r="U2146" s="15" t="str">
        <f>HYPERLINK("https://media.infra-m.ru/2250/2250345/cover/2250345.jpg", "Обложка")</f>
        <v>Обложка</v>
      </c>
      <c r="V2146" s="8" t="s">
        <v>3428</v>
      </c>
      <c r="W2146" s="6"/>
      <c r="X2146" s="6" t="s">
        <v>24</v>
      </c>
      <c r="Y2146" s="6"/>
      <c r="Z2146" s="6"/>
      <c r="AA2146" s="6" t="s">
        <v>1047</v>
      </c>
      <c r="AB2146" s="8"/>
      <c r="AC2146" s="27">
        <v>9785819907528</v>
      </c>
    </row>
    <row r="2147" spans="1:29" s="4" customFormat="1" ht="42" customHeight="1" x14ac:dyDescent="0.2">
      <c r="A2147" s="5">
        <v>0</v>
      </c>
      <c r="B2147" s="6" t="s">
        <v>12933</v>
      </c>
      <c r="C2147" s="7">
        <v>1224</v>
      </c>
      <c r="D2147" s="8" t="s">
        <v>12934</v>
      </c>
      <c r="E2147" s="8" t="s">
        <v>12920</v>
      </c>
      <c r="F2147" s="8" t="s">
        <v>3971</v>
      </c>
      <c r="G2147" s="6" t="s">
        <v>60</v>
      </c>
      <c r="H2147" s="6" t="s">
        <v>34</v>
      </c>
      <c r="I2147" s="8" t="s">
        <v>263</v>
      </c>
      <c r="J2147" s="9">
        <v>1</v>
      </c>
      <c r="K2147" s="9">
        <v>186</v>
      </c>
      <c r="L2147" s="9">
        <v>2025</v>
      </c>
      <c r="M2147" s="8" t="s">
        <v>12935</v>
      </c>
      <c r="N2147" s="8" t="s">
        <v>243</v>
      </c>
      <c r="O2147" s="8" t="s">
        <v>244</v>
      </c>
      <c r="P2147" s="6" t="s">
        <v>51</v>
      </c>
      <c r="Q2147" s="8" t="s">
        <v>265</v>
      </c>
      <c r="R2147" s="10" t="s">
        <v>3777</v>
      </c>
      <c r="S2147" s="11"/>
      <c r="T2147" s="6"/>
      <c r="U2147" s="15" t="str">
        <f>HYPERLINK("https://media.infra-m.ru/1171/1171935/cover/1171935.jpg", "Обложка")</f>
        <v>Обложка</v>
      </c>
      <c r="V2147" s="8" t="s">
        <v>54</v>
      </c>
      <c r="W2147" s="6"/>
      <c r="X2147" s="6"/>
      <c r="Y2147" s="6"/>
      <c r="Z2147" s="6"/>
      <c r="AA2147" s="6" t="s">
        <v>68</v>
      </c>
      <c r="AB2147" s="8"/>
      <c r="AC2147" s="27">
        <v>9785160165059</v>
      </c>
    </row>
    <row r="2148" spans="1:29" s="4" customFormat="1" ht="51.9" customHeight="1" x14ac:dyDescent="0.2">
      <c r="A2148" s="5">
        <v>0</v>
      </c>
      <c r="B2148" s="6" t="s">
        <v>12936</v>
      </c>
      <c r="C2148" s="7">
        <v>1920</v>
      </c>
      <c r="D2148" s="8" t="s">
        <v>12937</v>
      </c>
      <c r="E2148" s="8" t="s">
        <v>12920</v>
      </c>
      <c r="F2148" s="8" t="s">
        <v>12938</v>
      </c>
      <c r="G2148" s="6" t="s">
        <v>118</v>
      </c>
      <c r="H2148" s="6" t="s">
        <v>34</v>
      </c>
      <c r="I2148" s="8" t="s">
        <v>263</v>
      </c>
      <c r="J2148" s="9">
        <v>1</v>
      </c>
      <c r="K2148" s="9">
        <v>277</v>
      </c>
      <c r="L2148" s="9">
        <v>2027</v>
      </c>
      <c r="M2148" s="8" t="s">
        <v>12939</v>
      </c>
      <c r="N2148" s="8" t="s">
        <v>243</v>
      </c>
      <c r="O2148" s="8" t="s">
        <v>244</v>
      </c>
      <c r="P2148" s="6" t="s">
        <v>51</v>
      </c>
      <c r="Q2148" s="8" t="s">
        <v>265</v>
      </c>
      <c r="R2148" s="10" t="s">
        <v>12940</v>
      </c>
      <c r="S2148" s="11" t="s">
        <v>12941</v>
      </c>
      <c r="T2148" s="6"/>
      <c r="U2148" s="15" t="str">
        <f>HYPERLINK("https://media.infra-m.ru/2262/2262705/cover/2262705.jpg", "Обложка")</f>
        <v>Обложка</v>
      </c>
      <c r="V2148" s="8" t="s">
        <v>12942</v>
      </c>
      <c r="W2148" s="6"/>
      <c r="X2148" s="6" t="s">
        <v>24</v>
      </c>
      <c r="Y2148" s="6"/>
      <c r="Z2148" s="6"/>
      <c r="AA2148" s="6" t="s">
        <v>148</v>
      </c>
      <c r="AB2148" s="8"/>
      <c r="AC2148" s="27">
        <v>9785160162782</v>
      </c>
    </row>
    <row r="2149" spans="1:29" s="4" customFormat="1" ht="42" customHeight="1" x14ac:dyDescent="0.2">
      <c r="A2149" s="5">
        <v>0</v>
      </c>
      <c r="B2149" s="6" t="s">
        <v>12943</v>
      </c>
      <c r="C2149" s="13">
        <v>916.8</v>
      </c>
      <c r="D2149" s="8" t="s">
        <v>12944</v>
      </c>
      <c r="E2149" s="8" t="s">
        <v>12945</v>
      </c>
      <c r="F2149" s="8" t="s">
        <v>12946</v>
      </c>
      <c r="G2149" s="6" t="s">
        <v>118</v>
      </c>
      <c r="H2149" s="6" t="s">
        <v>1644</v>
      </c>
      <c r="I2149" s="8"/>
      <c r="J2149" s="9">
        <v>1</v>
      </c>
      <c r="K2149" s="9">
        <v>152</v>
      </c>
      <c r="L2149" s="9">
        <v>2024</v>
      </c>
      <c r="M2149" s="8" t="s">
        <v>12947</v>
      </c>
      <c r="N2149" s="8" t="s">
        <v>37</v>
      </c>
      <c r="O2149" s="8" t="s">
        <v>280</v>
      </c>
      <c r="P2149" s="6" t="s">
        <v>39</v>
      </c>
      <c r="Q2149" s="8" t="s">
        <v>40</v>
      </c>
      <c r="R2149" s="10" t="s">
        <v>12948</v>
      </c>
      <c r="S2149" s="11"/>
      <c r="T2149" s="6"/>
      <c r="U2149" s="15" t="str">
        <f>HYPERLINK("https://media.infra-m.ru/2162/2162464/cover/2162464.jpg", "Обложка")</f>
        <v>Обложка</v>
      </c>
      <c r="V2149" s="8" t="s">
        <v>247</v>
      </c>
      <c r="W2149" s="6"/>
      <c r="X2149" s="6"/>
      <c r="Y2149" s="6"/>
      <c r="Z2149" s="6"/>
      <c r="AA2149" s="6" t="s">
        <v>430</v>
      </c>
      <c r="AB2149" s="8"/>
      <c r="AC2149" s="27">
        <v>9785977605199</v>
      </c>
    </row>
    <row r="2150" spans="1:29" s="4" customFormat="1" ht="51.9" customHeight="1" x14ac:dyDescent="0.2">
      <c r="A2150" s="5">
        <v>0</v>
      </c>
      <c r="B2150" s="6" t="s">
        <v>12949</v>
      </c>
      <c r="C2150" s="7">
        <v>1428</v>
      </c>
      <c r="D2150" s="8" t="s">
        <v>12950</v>
      </c>
      <c r="E2150" s="8" t="s">
        <v>12951</v>
      </c>
      <c r="F2150" s="8" t="s">
        <v>12952</v>
      </c>
      <c r="G2150" s="6" t="s">
        <v>60</v>
      </c>
      <c r="H2150" s="6" t="s">
        <v>34</v>
      </c>
      <c r="I2150" s="8" t="s">
        <v>253</v>
      </c>
      <c r="J2150" s="9">
        <v>1</v>
      </c>
      <c r="K2150" s="9">
        <v>204</v>
      </c>
      <c r="L2150" s="9">
        <v>2026</v>
      </c>
      <c r="M2150" s="8" t="s">
        <v>12953</v>
      </c>
      <c r="N2150" s="8" t="s">
        <v>243</v>
      </c>
      <c r="O2150" s="8" t="s">
        <v>244</v>
      </c>
      <c r="P2150" s="6" t="s">
        <v>51</v>
      </c>
      <c r="Q2150" s="8" t="s">
        <v>65</v>
      </c>
      <c r="R2150" s="10" t="s">
        <v>1275</v>
      </c>
      <c r="S2150" s="11"/>
      <c r="T2150" s="6"/>
      <c r="U2150" s="15" t="str">
        <f>HYPERLINK("https://media.infra-m.ru/2211/2211638/cover/2211638.jpg", "Обложка")</f>
        <v>Обложка</v>
      </c>
      <c r="V2150" s="8" t="s">
        <v>512</v>
      </c>
      <c r="W2150" s="6" t="s">
        <v>2941</v>
      </c>
      <c r="X2150" s="6"/>
      <c r="Y2150" s="6"/>
      <c r="Z2150" s="6"/>
      <c r="AA2150" s="6" t="s">
        <v>187</v>
      </c>
      <c r="AB2150" s="8" t="s">
        <v>308</v>
      </c>
      <c r="AC2150" s="27">
        <v>9785160210414</v>
      </c>
    </row>
    <row r="2151" spans="1:29" s="4" customFormat="1" ht="44.1" customHeight="1" x14ac:dyDescent="0.2">
      <c r="A2151" s="5">
        <v>0</v>
      </c>
      <c r="B2151" s="6" t="s">
        <v>12954</v>
      </c>
      <c r="C2151" s="7">
        <v>2872.8</v>
      </c>
      <c r="D2151" s="8" t="s">
        <v>12955</v>
      </c>
      <c r="E2151" s="8" t="s">
        <v>12956</v>
      </c>
      <c r="F2151" s="8" t="s">
        <v>12957</v>
      </c>
      <c r="G2151" s="6" t="s">
        <v>60</v>
      </c>
      <c r="H2151" s="6" t="s">
        <v>134</v>
      </c>
      <c r="I2151" s="8"/>
      <c r="J2151" s="9">
        <v>1</v>
      </c>
      <c r="K2151" s="9">
        <v>436</v>
      </c>
      <c r="L2151" s="9">
        <v>2026</v>
      </c>
      <c r="M2151" s="8" t="s">
        <v>12958</v>
      </c>
      <c r="N2151" s="8" t="s">
        <v>37</v>
      </c>
      <c r="O2151" s="8" t="s">
        <v>136</v>
      </c>
      <c r="P2151" s="6" t="s">
        <v>306</v>
      </c>
      <c r="Q2151" s="8" t="s">
        <v>65</v>
      </c>
      <c r="R2151" s="10" t="s">
        <v>12959</v>
      </c>
      <c r="S2151" s="11"/>
      <c r="T2151" s="6"/>
      <c r="U2151" s="15" t="str">
        <f>HYPERLINK("https://media.infra-m.ru/2240/2240525/cover/2240525.jpg", "Обложка")</f>
        <v>Обложка</v>
      </c>
      <c r="V2151" s="8" t="s">
        <v>1339</v>
      </c>
      <c r="W2151" s="6"/>
      <c r="X2151" s="6"/>
      <c r="Y2151" s="6"/>
      <c r="Z2151" s="6"/>
      <c r="AA2151" s="6" t="s">
        <v>68</v>
      </c>
      <c r="AB2151" s="8"/>
      <c r="AC2151" s="27">
        <v>9785001564256</v>
      </c>
    </row>
    <row r="2152" spans="1:29" s="4" customFormat="1" ht="42" customHeight="1" x14ac:dyDescent="0.2">
      <c r="A2152" s="5">
        <v>0</v>
      </c>
      <c r="B2152" s="6" t="s">
        <v>12960</v>
      </c>
      <c r="C2152" s="7">
        <v>4636.8</v>
      </c>
      <c r="D2152" s="8" t="s">
        <v>12961</v>
      </c>
      <c r="E2152" s="8" t="s">
        <v>12956</v>
      </c>
      <c r="F2152" s="8" t="s">
        <v>12957</v>
      </c>
      <c r="G2152" s="6" t="s">
        <v>60</v>
      </c>
      <c r="H2152" s="6" t="s">
        <v>134</v>
      </c>
      <c r="I2152" s="8" t="s">
        <v>263</v>
      </c>
      <c r="J2152" s="9">
        <v>1</v>
      </c>
      <c r="K2152" s="9">
        <v>436</v>
      </c>
      <c r="L2152" s="9">
        <v>2026</v>
      </c>
      <c r="M2152" s="8" t="s">
        <v>12962</v>
      </c>
      <c r="N2152" s="8" t="s">
        <v>37</v>
      </c>
      <c r="O2152" s="8" t="s">
        <v>136</v>
      </c>
      <c r="P2152" s="6" t="s">
        <v>306</v>
      </c>
      <c r="Q2152" s="8" t="s">
        <v>265</v>
      </c>
      <c r="R2152" s="10" t="s">
        <v>479</v>
      </c>
      <c r="S2152" s="11"/>
      <c r="T2152" s="6"/>
      <c r="U2152" s="15" t="str">
        <f>HYPERLINK("https://media.infra-m.ru/2244/2244358/cover/2244358.jpg", "Обложка")</f>
        <v>Обложка</v>
      </c>
      <c r="V2152" s="8" t="s">
        <v>1339</v>
      </c>
      <c r="W2152" s="6"/>
      <c r="X2152" s="6"/>
      <c r="Y2152" s="6"/>
      <c r="Z2152" s="6"/>
      <c r="AA2152" s="6" t="s">
        <v>68</v>
      </c>
      <c r="AB2152" s="8"/>
      <c r="AC2152" s="27">
        <v>9785001564157</v>
      </c>
    </row>
    <row r="2153" spans="1:29" s="4" customFormat="1" ht="51.9" customHeight="1" x14ac:dyDescent="0.2">
      <c r="A2153" s="5">
        <v>0</v>
      </c>
      <c r="B2153" s="6" t="s">
        <v>12963</v>
      </c>
      <c r="C2153" s="7">
        <v>1901.9</v>
      </c>
      <c r="D2153" s="8" t="s">
        <v>12964</v>
      </c>
      <c r="E2153" s="8" t="s">
        <v>12965</v>
      </c>
      <c r="F2153" s="8" t="s">
        <v>12966</v>
      </c>
      <c r="G2153" s="6" t="s">
        <v>118</v>
      </c>
      <c r="H2153" s="6" t="s">
        <v>1042</v>
      </c>
      <c r="I2153" s="8" t="s">
        <v>263</v>
      </c>
      <c r="J2153" s="9">
        <v>1</v>
      </c>
      <c r="K2153" s="9">
        <v>352</v>
      </c>
      <c r="L2153" s="9">
        <v>2023</v>
      </c>
      <c r="M2153" s="8" t="s">
        <v>12967</v>
      </c>
      <c r="N2153" s="8" t="s">
        <v>243</v>
      </c>
      <c r="O2153" s="8" t="s">
        <v>244</v>
      </c>
      <c r="P2153" s="6" t="s">
        <v>51</v>
      </c>
      <c r="Q2153" s="8" t="s">
        <v>265</v>
      </c>
      <c r="R2153" s="10" t="s">
        <v>12968</v>
      </c>
      <c r="S2153" s="11" t="s">
        <v>12969</v>
      </c>
      <c r="T2153" s="6"/>
      <c r="U2153" s="15" t="str">
        <f>HYPERLINK("https://media.infra-m.ru/1998/1998745/cover/1998745.jpg", "Обложка")</f>
        <v>Обложка</v>
      </c>
      <c r="V2153" s="8" t="s">
        <v>3428</v>
      </c>
      <c r="W2153" s="6"/>
      <c r="X2153" s="6"/>
      <c r="Y2153" s="6"/>
      <c r="Z2153" s="6" t="s">
        <v>267</v>
      </c>
      <c r="AA2153" s="6" t="s">
        <v>1256</v>
      </c>
      <c r="AB2153" s="8"/>
      <c r="AC2153" s="27">
        <v>9785819908990</v>
      </c>
    </row>
    <row r="2154" spans="1:29" s="4" customFormat="1" ht="42" customHeight="1" x14ac:dyDescent="0.2">
      <c r="A2154" s="5">
        <v>0</v>
      </c>
      <c r="B2154" s="6" t="s">
        <v>12970</v>
      </c>
      <c r="C2154" s="7">
        <v>1524</v>
      </c>
      <c r="D2154" s="8" t="s">
        <v>12971</v>
      </c>
      <c r="E2154" s="8" t="s">
        <v>12965</v>
      </c>
      <c r="F2154" s="8" t="s">
        <v>3971</v>
      </c>
      <c r="G2154" s="6" t="s">
        <v>60</v>
      </c>
      <c r="H2154" s="6" t="s">
        <v>34</v>
      </c>
      <c r="I2154" s="8" t="s">
        <v>263</v>
      </c>
      <c r="J2154" s="9">
        <v>1</v>
      </c>
      <c r="K2154" s="9">
        <v>234</v>
      </c>
      <c r="L2154" s="9">
        <v>2025</v>
      </c>
      <c r="M2154" s="8" t="s">
        <v>12972</v>
      </c>
      <c r="N2154" s="8" t="s">
        <v>243</v>
      </c>
      <c r="O2154" s="8" t="s">
        <v>244</v>
      </c>
      <c r="P2154" s="6" t="s">
        <v>306</v>
      </c>
      <c r="Q2154" s="8" t="s">
        <v>265</v>
      </c>
      <c r="R2154" s="10" t="s">
        <v>12973</v>
      </c>
      <c r="S2154" s="11"/>
      <c r="T2154" s="6"/>
      <c r="U2154" s="15" t="str">
        <f>HYPERLINK("https://media.infra-m.ru/1171/1171960/cover/1171960.jpg", "Обложка")</f>
        <v>Обложка</v>
      </c>
      <c r="V2154" s="8" t="s">
        <v>54</v>
      </c>
      <c r="W2154" s="6"/>
      <c r="X2154" s="6"/>
      <c r="Y2154" s="6"/>
      <c r="Z2154" s="6"/>
      <c r="AA2154" s="6" t="s">
        <v>68</v>
      </c>
      <c r="AB2154" s="8"/>
      <c r="AC2154" s="27">
        <v>9785160165073</v>
      </c>
    </row>
    <row r="2155" spans="1:29" s="4" customFormat="1" ht="51.9" customHeight="1" x14ac:dyDescent="0.2">
      <c r="A2155" s="5">
        <v>0</v>
      </c>
      <c r="B2155" s="6" t="s">
        <v>12974</v>
      </c>
      <c r="C2155" s="7">
        <v>2464.8000000000002</v>
      </c>
      <c r="D2155" s="8" t="s">
        <v>12975</v>
      </c>
      <c r="E2155" s="8" t="s">
        <v>12965</v>
      </c>
      <c r="F2155" s="8" t="s">
        <v>12579</v>
      </c>
      <c r="G2155" s="6" t="s">
        <v>118</v>
      </c>
      <c r="H2155" s="6" t="s">
        <v>1042</v>
      </c>
      <c r="I2155" s="8" t="s">
        <v>271</v>
      </c>
      <c r="J2155" s="9">
        <v>1</v>
      </c>
      <c r="K2155" s="9">
        <v>352</v>
      </c>
      <c r="L2155" s="9">
        <v>2027</v>
      </c>
      <c r="M2155" s="8" t="s">
        <v>12976</v>
      </c>
      <c r="N2155" s="8" t="s">
        <v>243</v>
      </c>
      <c r="O2155" s="8" t="s">
        <v>244</v>
      </c>
      <c r="P2155" s="6" t="s">
        <v>51</v>
      </c>
      <c r="Q2155" s="8" t="s">
        <v>52</v>
      </c>
      <c r="R2155" s="10" t="s">
        <v>12977</v>
      </c>
      <c r="S2155" s="11" t="s">
        <v>12978</v>
      </c>
      <c r="T2155" s="6"/>
      <c r="U2155" s="15" t="str">
        <f>HYPERLINK("https://media.infra-m.ru/2271/2271622/cover/2271622.jpg", "Обложка")</f>
        <v>Обложка</v>
      </c>
      <c r="V2155" s="8" t="s">
        <v>3428</v>
      </c>
      <c r="W2155" s="6"/>
      <c r="X2155" s="6"/>
      <c r="Y2155" s="6"/>
      <c r="Z2155" s="6"/>
      <c r="AA2155" s="6" t="s">
        <v>561</v>
      </c>
      <c r="AB2155" s="8"/>
      <c r="AC2155" s="27">
        <v>9785819909270</v>
      </c>
    </row>
    <row r="2156" spans="1:29" s="4" customFormat="1" ht="51.9" customHeight="1" x14ac:dyDescent="0.2">
      <c r="A2156" s="5">
        <v>0</v>
      </c>
      <c r="B2156" s="6" t="s">
        <v>12979</v>
      </c>
      <c r="C2156" s="7">
        <v>2560.8000000000002</v>
      </c>
      <c r="D2156" s="8" t="s">
        <v>12980</v>
      </c>
      <c r="E2156" s="8" t="s">
        <v>12981</v>
      </c>
      <c r="F2156" s="8" t="s">
        <v>12982</v>
      </c>
      <c r="G2156" s="6" t="s">
        <v>118</v>
      </c>
      <c r="H2156" s="6" t="s">
        <v>1042</v>
      </c>
      <c r="I2156" s="8" t="s">
        <v>271</v>
      </c>
      <c r="J2156" s="9">
        <v>1</v>
      </c>
      <c r="K2156" s="9">
        <v>368</v>
      </c>
      <c r="L2156" s="9">
        <v>2027</v>
      </c>
      <c r="M2156" s="8" t="s">
        <v>12983</v>
      </c>
      <c r="N2156" s="8" t="s">
        <v>243</v>
      </c>
      <c r="O2156" s="8" t="s">
        <v>244</v>
      </c>
      <c r="P2156" s="6" t="s">
        <v>306</v>
      </c>
      <c r="Q2156" s="8" t="s">
        <v>52</v>
      </c>
      <c r="R2156" s="10" t="s">
        <v>12984</v>
      </c>
      <c r="S2156" s="11" t="s">
        <v>12985</v>
      </c>
      <c r="T2156" s="6"/>
      <c r="U2156" s="15" t="str">
        <f>HYPERLINK("https://media.infra-m.ru/2267/2267699/cover/2267699.jpg", "Обложка")</f>
        <v>Обложка</v>
      </c>
      <c r="V2156" s="8" t="s">
        <v>396</v>
      </c>
      <c r="W2156" s="6"/>
      <c r="X2156" s="6"/>
      <c r="Y2156" s="6"/>
      <c r="Z2156" s="6"/>
      <c r="AA2156" s="6" t="s">
        <v>718</v>
      </c>
      <c r="AB2156" s="8"/>
      <c r="AC2156" s="27">
        <v>9785819907825</v>
      </c>
    </row>
    <row r="2157" spans="1:29" s="4" customFormat="1" ht="51.9" customHeight="1" x14ac:dyDescent="0.2">
      <c r="A2157" s="5">
        <v>0</v>
      </c>
      <c r="B2157" s="6" t="s">
        <v>12986</v>
      </c>
      <c r="C2157" s="7">
        <v>1860</v>
      </c>
      <c r="D2157" s="8" t="s">
        <v>12987</v>
      </c>
      <c r="E2157" s="8" t="s">
        <v>12988</v>
      </c>
      <c r="F2157" s="8" t="s">
        <v>12989</v>
      </c>
      <c r="G2157" s="6" t="s">
        <v>33</v>
      </c>
      <c r="H2157" s="6" t="s">
        <v>313</v>
      </c>
      <c r="I2157" s="8" t="s">
        <v>253</v>
      </c>
      <c r="J2157" s="9">
        <v>1</v>
      </c>
      <c r="K2157" s="9">
        <v>344</v>
      </c>
      <c r="L2157" s="9">
        <v>2020</v>
      </c>
      <c r="M2157" s="8" t="s">
        <v>12990</v>
      </c>
      <c r="N2157" s="8" t="s">
        <v>243</v>
      </c>
      <c r="O2157" s="8" t="s">
        <v>244</v>
      </c>
      <c r="P2157" s="6" t="s">
        <v>51</v>
      </c>
      <c r="Q2157" s="8" t="s">
        <v>52</v>
      </c>
      <c r="R2157" s="10" t="s">
        <v>12845</v>
      </c>
      <c r="S2157" s="11" t="s">
        <v>12991</v>
      </c>
      <c r="T2157" s="6"/>
      <c r="U2157" s="15" t="str">
        <f>HYPERLINK("https://media.infra-m.ru/1960/1960155/cover/1960155.jpg", "Обложка")</f>
        <v>Обложка</v>
      </c>
      <c r="V2157" s="8" t="s">
        <v>12649</v>
      </c>
      <c r="W2157" s="6"/>
      <c r="X2157" s="6"/>
      <c r="Y2157" s="6"/>
      <c r="Z2157" s="6"/>
      <c r="AA2157" s="6" t="s">
        <v>248</v>
      </c>
      <c r="AB2157" s="8"/>
      <c r="AC2157" s="27">
        <v>9785369011836</v>
      </c>
    </row>
    <row r="2158" spans="1:29" s="4" customFormat="1" ht="51.9" customHeight="1" x14ac:dyDescent="0.2">
      <c r="A2158" s="5">
        <v>0</v>
      </c>
      <c r="B2158" s="6" t="s">
        <v>12992</v>
      </c>
      <c r="C2158" s="7">
        <v>1404</v>
      </c>
      <c r="D2158" s="8" t="s">
        <v>12993</v>
      </c>
      <c r="E2158" s="8" t="s">
        <v>12988</v>
      </c>
      <c r="F2158" s="8" t="s">
        <v>12989</v>
      </c>
      <c r="G2158" s="6" t="s">
        <v>60</v>
      </c>
      <c r="H2158" s="6" t="s">
        <v>313</v>
      </c>
      <c r="I2158" s="8" t="s">
        <v>401</v>
      </c>
      <c r="J2158" s="9">
        <v>1</v>
      </c>
      <c r="K2158" s="9">
        <v>344</v>
      </c>
      <c r="L2158" s="9">
        <v>2020</v>
      </c>
      <c r="M2158" s="8" t="s">
        <v>12994</v>
      </c>
      <c r="N2158" s="8" t="s">
        <v>243</v>
      </c>
      <c r="O2158" s="8" t="s">
        <v>244</v>
      </c>
      <c r="P2158" s="6" t="s">
        <v>51</v>
      </c>
      <c r="Q2158" s="8" t="s">
        <v>265</v>
      </c>
      <c r="R2158" s="10" t="s">
        <v>12995</v>
      </c>
      <c r="S2158" s="11"/>
      <c r="T2158" s="6" t="s">
        <v>97</v>
      </c>
      <c r="U2158" s="15" t="str">
        <f>HYPERLINK("https://media.infra-m.ru/1043/1043097/cover/1043097.jpg", "Обложка")</f>
        <v>Обложка</v>
      </c>
      <c r="V2158" s="8" t="s">
        <v>12649</v>
      </c>
      <c r="W2158" s="6"/>
      <c r="X2158" s="6"/>
      <c r="Y2158" s="6"/>
      <c r="Z2158" s="6" t="s">
        <v>267</v>
      </c>
      <c r="AA2158" s="6" t="s">
        <v>1256</v>
      </c>
      <c r="AB2158" s="8"/>
      <c r="AC2158" s="27">
        <v>9785369018231</v>
      </c>
    </row>
    <row r="2159" spans="1:29" s="4" customFormat="1" ht="42" customHeight="1" x14ac:dyDescent="0.2">
      <c r="A2159" s="5">
        <v>0</v>
      </c>
      <c r="B2159" s="6" t="s">
        <v>12996</v>
      </c>
      <c r="C2159" s="7">
        <v>1956</v>
      </c>
      <c r="D2159" s="8" t="s">
        <v>12997</v>
      </c>
      <c r="E2159" s="8" t="s">
        <v>12998</v>
      </c>
      <c r="F2159" s="8" t="s">
        <v>12999</v>
      </c>
      <c r="G2159" s="6" t="s">
        <v>60</v>
      </c>
      <c r="H2159" s="6" t="s">
        <v>34</v>
      </c>
      <c r="I2159" s="8" t="s">
        <v>263</v>
      </c>
      <c r="J2159" s="9">
        <v>1</v>
      </c>
      <c r="K2159" s="9">
        <v>293</v>
      </c>
      <c r="L2159" s="9">
        <v>2025</v>
      </c>
      <c r="M2159" s="8" t="s">
        <v>13000</v>
      </c>
      <c r="N2159" s="8" t="s">
        <v>243</v>
      </c>
      <c r="O2159" s="8" t="s">
        <v>244</v>
      </c>
      <c r="P2159" s="6" t="s">
        <v>51</v>
      </c>
      <c r="Q2159" s="8" t="s">
        <v>265</v>
      </c>
      <c r="R2159" s="10" t="s">
        <v>12827</v>
      </c>
      <c r="S2159" s="11"/>
      <c r="T2159" s="6"/>
      <c r="U2159" s="15" t="str">
        <f>HYPERLINK("https://media.infra-m.ru/2132/2132109/cover/2132109.jpg", "Обложка")</f>
        <v>Обложка</v>
      </c>
      <c r="V2159" s="8" t="s">
        <v>13001</v>
      </c>
      <c r="W2159" s="6"/>
      <c r="X2159" s="6"/>
      <c r="Y2159" s="6"/>
      <c r="Z2159" s="6"/>
      <c r="AA2159" s="6" t="s">
        <v>68</v>
      </c>
      <c r="AB2159" s="8" t="s">
        <v>944</v>
      </c>
      <c r="AC2159" s="27">
        <v>9785160196466</v>
      </c>
    </row>
    <row r="2160" spans="1:29" s="4" customFormat="1" ht="42" customHeight="1" x14ac:dyDescent="0.2">
      <c r="A2160" s="5">
        <v>0</v>
      </c>
      <c r="B2160" s="6" t="s">
        <v>13002</v>
      </c>
      <c r="C2160" s="7">
        <v>1104</v>
      </c>
      <c r="D2160" s="8" t="s">
        <v>13003</v>
      </c>
      <c r="E2160" s="8" t="s">
        <v>13004</v>
      </c>
      <c r="F2160" s="8" t="s">
        <v>13005</v>
      </c>
      <c r="G2160" s="6" t="s">
        <v>60</v>
      </c>
      <c r="H2160" s="6" t="s">
        <v>34</v>
      </c>
      <c r="I2160" s="8" t="s">
        <v>35</v>
      </c>
      <c r="J2160" s="9">
        <v>1</v>
      </c>
      <c r="K2160" s="9">
        <v>268</v>
      </c>
      <c r="L2160" s="9">
        <v>2019</v>
      </c>
      <c r="M2160" s="8" t="s">
        <v>13006</v>
      </c>
      <c r="N2160" s="8" t="s">
        <v>37</v>
      </c>
      <c r="O2160" s="8" t="s">
        <v>280</v>
      </c>
      <c r="P2160" s="6" t="s">
        <v>39</v>
      </c>
      <c r="Q2160" s="8" t="s">
        <v>40</v>
      </c>
      <c r="R2160" s="10" t="s">
        <v>656</v>
      </c>
      <c r="S2160" s="11"/>
      <c r="T2160" s="6"/>
      <c r="U2160" s="15" t="str">
        <f>HYPERLINK("https://media.infra-m.ru/1002/1002821/cover/1002821.jpg", "Обложка")</f>
        <v>Обложка</v>
      </c>
      <c r="V2160" s="8" t="s">
        <v>546</v>
      </c>
      <c r="W2160" s="6"/>
      <c r="X2160" s="6"/>
      <c r="Y2160" s="6"/>
      <c r="Z2160" s="6"/>
      <c r="AA2160" s="6" t="s">
        <v>115</v>
      </c>
      <c r="AB2160" s="8"/>
      <c r="AC2160" s="27">
        <v>9785160147536</v>
      </c>
    </row>
    <row r="2161" spans="1:29" s="4" customFormat="1" ht="51.9" customHeight="1" x14ac:dyDescent="0.2">
      <c r="A2161" s="5">
        <v>0</v>
      </c>
      <c r="B2161" s="6" t="s">
        <v>13007</v>
      </c>
      <c r="C2161" s="7">
        <v>1596</v>
      </c>
      <c r="D2161" s="8" t="s">
        <v>13008</v>
      </c>
      <c r="E2161" s="8" t="s">
        <v>13009</v>
      </c>
      <c r="F2161" s="8" t="s">
        <v>13010</v>
      </c>
      <c r="G2161" s="6" t="s">
        <v>33</v>
      </c>
      <c r="H2161" s="6" t="s">
        <v>313</v>
      </c>
      <c r="I2161" s="8" t="s">
        <v>35</v>
      </c>
      <c r="J2161" s="9">
        <v>1</v>
      </c>
      <c r="K2161" s="9">
        <v>228</v>
      </c>
      <c r="L2161" s="9">
        <v>2026</v>
      </c>
      <c r="M2161" s="8" t="s">
        <v>13011</v>
      </c>
      <c r="N2161" s="8" t="s">
        <v>37</v>
      </c>
      <c r="O2161" s="8" t="s">
        <v>499</v>
      </c>
      <c r="P2161" s="6" t="s">
        <v>39</v>
      </c>
      <c r="Q2161" s="8" t="s">
        <v>40</v>
      </c>
      <c r="R2161" s="10" t="s">
        <v>13012</v>
      </c>
      <c r="S2161" s="11"/>
      <c r="T2161" s="6"/>
      <c r="U2161" s="15" t="str">
        <f>HYPERLINK("https://media.infra-m.ru/2253/2253330/cover/2253330.jpg", "Обложка")</f>
        <v>Обложка</v>
      </c>
      <c r="V2161" s="8"/>
      <c r="W2161" s="6"/>
      <c r="X2161" s="6"/>
      <c r="Y2161" s="6"/>
      <c r="Z2161" s="6"/>
      <c r="AA2161" s="6" t="s">
        <v>274</v>
      </c>
      <c r="AB2161" s="8"/>
      <c r="AC2161" s="27">
        <v>9785369013953</v>
      </c>
    </row>
    <row r="2162" spans="1:29" s="4" customFormat="1" ht="42" customHeight="1" x14ac:dyDescent="0.2">
      <c r="A2162" s="5">
        <v>0</v>
      </c>
      <c r="B2162" s="6" t="s">
        <v>13013</v>
      </c>
      <c r="C2162" s="7">
        <v>1204.8</v>
      </c>
      <c r="D2162" s="8" t="s">
        <v>13014</v>
      </c>
      <c r="E2162" s="8" t="s">
        <v>13015</v>
      </c>
      <c r="F2162" s="8" t="s">
        <v>1960</v>
      </c>
      <c r="G2162" s="6" t="s">
        <v>33</v>
      </c>
      <c r="H2162" s="6" t="s">
        <v>34</v>
      </c>
      <c r="I2162" s="8" t="s">
        <v>35</v>
      </c>
      <c r="J2162" s="9">
        <v>1</v>
      </c>
      <c r="K2162" s="9">
        <v>219</v>
      </c>
      <c r="L2162" s="9">
        <v>2024</v>
      </c>
      <c r="M2162" s="8" t="s">
        <v>13016</v>
      </c>
      <c r="N2162" s="8" t="s">
        <v>63</v>
      </c>
      <c r="O2162" s="8" t="s">
        <v>126</v>
      </c>
      <c r="P2162" s="6" t="s">
        <v>39</v>
      </c>
      <c r="Q2162" s="8" t="s">
        <v>40</v>
      </c>
      <c r="R2162" s="10" t="s">
        <v>10423</v>
      </c>
      <c r="S2162" s="11"/>
      <c r="T2162" s="6"/>
      <c r="U2162" s="15" t="str">
        <f>HYPERLINK("https://media.infra-m.ru/2108/2108511/cover/2108511.jpg", "Обложка")</f>
        <v>Обложка</v>
      </c>
      <c r="V2162" s="8" t="s">
        <v>227</v>
      </c>
      <c r="W2162" s="6"/>
      <c r="X2162" s="6"/>
      <c r="Y2162" s="6"/>
      <c r="Z2162" s="6"/>
      <c r="AA2162" s="6" t="s">
        <v>148</v>
      </c>
      <c r="AB2162" s="8"/>
      <c r="AC2162" s="27">
        <v>9785160177410</v>
      </c>
    </row>
    <row r="2163" spans="1:29" s="4" customFormat="1" ht="51.9" customHeight="1" x14ac:dyDescent="0.2">
      <c r="A2163" s="5">
        <v>0</v>
      </c>
      <c r="B2163" s="6" t="s">
        <v>13017</v>
      </c>
      <c r="C2163" s="13">
        <v>317.89999999999998</v>
      </c>
      <c r="D2163" s="8" t="s">
        <v>13018</v>
      </c>
      <c r="E2163" s="8" t="s">
        <v>13019</v>
      </c>
      <c r="F2163" s="8" t="s">
        <v>13020</v>
      </c>
      <c r="G2163" s="6" t="s">
        <v>33</v>
      </c>
      <c r="H2163" s="6" t="s">
        <v>48</v>
      </c>
      <c r="I2163" s="8" t="s">
        <v>271</v>
      </c>
      <c r="J2163" s="9">
        <v>1</v>
      </c>
      <c r="K2163" s="9">
        <v>88</v>
      </c>
      <c r="L2163" s="9">
        <v>2019</v>
      </c>
      <c r="M2163" s="8" t="s">
        <v>13021</v>
      </c>
      <c r="N2163" s="8" t="s">
        <v>585</v>
      </c>
      <c r="O2163" s="8" t="s">
        <v>775</v>
      </c>
      <c r="P2163" s="6" t="s">
        <v>51</v>
      </c>
      <c r="Q2163" s="8" t="s">
        <v>52</v>
      </c>
      <c r="R2163" s="10" t="s">
        <v>13022</v>
      </c>
      <c r="S2163" s="11"/>
      <c r="T2163" s="6"/>
      <c r="U2163" s="15" t="str">
        <f>HYPERLINK("https://media.infra-m.ru/1002/1002753/cover/1002753.jpg", "Обложка")</f>
        <v>Обложка</v>
      </c>
      <c r="V2163" s="8" t="s">
        <v>13023</v>
      </c>
      <c r="W2163" s="6"/>
      <c r="X2163" s="6"/>
      <c r="Y2163" s="6"/>
      <c r="Z2163" s="6"/>
      <c r="AA2163" s="6" t="s">
        <v>55</v>
      </c>
      <c r="AB2163" s="8"/>
      <c r="AC2163" s="27">
        <v>9785911346904</v>
      </c>
    </row>
    <row r="2164" spans="1:29" s="4" customFormat="1" ht="51.9" customHeight="1" x14ac:dyDescent="0.2">
      <c r="A2164" s="5">
        <v>0</v>
      </c>
      <c r="B2164" s="6" t="s">
        <v>13024</v>
      </c>
      <c r="C2164" s="13">
        <v>796.8</v>
      </c>
      <c r="D2164" s="8" t="s">
        <v>13025</v>
      </c>
      <c r="E2164" s="8" t="s">
        <v>13026</v>
      </c>
      <c r="F2164" s="8" t="s">
        <v>13027</v>
      </c>
      <c r="G2164" s="6" t="s">
        <v>33</v>
      </c>
      <c r="H2164" s="6" t="s">
        <v>48</v>
      </c>
      <c r="I2164" s="8" t="s">
        <v>271</v>
      </c>
      <c r="J2164" s="9">
        <v>1</v>
      </c>
      <c r="K2164" s="9">
        <v>127</v>
      </c>
      <c r="L2164" s="9">
        <v>2025</v>
      </c>
      <c r="M2164" s="8" t="s">
        <v>13028</v>
      </c>
      <c r="N2164" s="8" t="s">
        <v>585</v>
      </c>
      <c r="O2164" s="8" t="s">
        <v>775</v>
      </c>
      <c r="P2164" s="6" t="s">
        <v>51</v>
      </c>
      <c r="Q2164" s="8" t="s">
        <v>52</v>
      </c>
      <c r="R2164" s="10" t="s">
        <v>13022</v>
      </c>
      <c r="S2164" s="11" t="s">
        <v>13029</v>
      </c>
      <c r="T2164" s="6"/>
      <c r="U2164" s="15" t="str">
        <f>HYPERLINK("https://media.infra-m.ru/2196/2196911/cover/2196911.jpg", "Обложка")</f>
        <v>Обложка</v>
      </c>
      <c r="V2164" s="8" t="s">
        <v>13023</v>
      </c>
      <c r="W2164" s="6"/>
      <c r="X2164" s="6"/>
      <c r="Y2164" s="6"/>
      <c r="Z2164" s="6"/>
      <c r="AA2164" s="6" t="s">
        <v>258</v>
      </c>
      <c r="AB2164" s="8"/>
      <c r="AC2164" s="27">
        <v>9785000916735</v>
      </c>
    </row>
    <row r="2165" spans="1:29" s="4" customFormat="1" ht="51.9" customHeight="1" x14ac:dyDescent="0.2">
      <c r="A2165" s="5">
        <v>0</v>
      </c>
      <c r="B2165" s="6" t="s">
        <v>13030</v>
      </c>
      <c r="C2165" s="7">
        <v>1025.9000000000001</v>
      </c>
      <c r="D2165" s="8" t="s">
        <v>13031</v>
      </c>
      <c r="E2165" s="8" t="s">
        <v>13032</v>
      </c>
      <c r="F2165" s="8" t="s">
        <v>13033</v>
      </c>
      <c r="G2165" s="6" t="s">
        <v>60</v>
      </c>
      <c r="H2165" s="6" t="s">
        <v>34</v>
      </c>
      <c r="I2165" s="8" t="s">
        <v>271</v>
      </c>
      <c r="J2165" s="9">
        <v>1</v>
      </c>
      <c r="K2165" s="9">
        <v>189</v>
      </c>
      <c r="L2165" s="9">
        <v>2023</v>
      </c>
      <c r="M2165" s="8" t="s">
        <v>13034</v>
      </c>
      <c r="N2165" s="8" t="s">
        <v>37</v>
      </c>
      <c r="O2165" s="8" t="s">
        <v>233</v>
      </c>
      <c r="P2165" s="6" t="s">
        <v>51</v>
      </c>
      <c r="Q2165" s="8" t="s">
        <v>52</v>
      </c>
      <c r="R2165" s="10" t="s">
        <v>13035</v>
      </c>
      <c r="S2165" s="11" t="s">
        <v>13036</v>
      </c>
      <c r="T2165" s="6" t="s">
        <v>97</v>
      </c>
      <c r="U2165" s="15" t="str">
        <f>HYPERLINK("https://media.infra-m.ru/1981/1981671/cover/1981671.jpg", "Обложка")</f>
        <v>Обложка</v>
      </c>
      <c r="V2165" s="8" t="s">
        <v>3196</v>
      </c>
      <c r="W2165" s="6"/>
      <c r="X2165" s="6"/>
      <c r="Y2165" s="6"/>
      <c r="Z2165" s="6"/>
      <c r="AA2165" s="6" t="s">
        <v>248</v>
      </c>
      <c r="AB2165" s="8"/>
      <c r="AC2165" s="27">
        <v>9785160068237</v>
      </c>
    </row>
    <row r="2166" spans="1:29" s="4" customFormat="1" ht="51.9" customHeight="1" x14ac:dyDescent="0.2">
      <c r="A2166" s="5">
        <v>0</v>
      </c>
      <c r="B2166" s="6" t="s">
        <v>13037</v>
      </c>
      <c r="C2166" s="7">
        <v>1156.8</v>
      </c>
      <c r="D2166" s="8" t="s">
        <v>13038</v>
      </c>
      <c r="E2166" s="8" t="s">
        <v>13039</v>
      </c>
      <c r="F2166" s="8" t="s">
        <v>13040</v>
      </c>
      <c r="G2166" s="6" t="s">
        <v>60</v>
      </c>
      <c r="H2166" s="6" t="s">
        <v>34</v>
      </c>
      <c r="I2166" s="8" t="s">
        <v>271</v>
      </c>
      <c r="J2166" s="9">
        <v>1</v>
      </c>
      <c r="K2166" s="9">
        <v>176</v>
      </c>
      <c r="L2166" s="9">
        <v>2026</v>
      </c>
      <c r="M2166" s="8" t="s">
        <v>13041</v>
      </c>
      <c r="N2166" s="8" t="s">
        <v>37</v>
      </c>
      <c r="O2166" s="8" t="s">
        <v>233</v>
      </c>
      <c r="P2166" s="6" t="s">
        <v>51</v>
      </c>
      <c r="Q2166" s="8" t="s">
        <v>52</v>
      </c>
      <c r="R2166" s="10" t="s">
        <v>13042</v>
      </c>
      <c r="S2166" s="11" t="s">
        <v>13043</v>
      </c>
      <c r="T2166" s="6"/>
      <c r="U2166" s="15" t="str">
        <f>HYPERLINK("https://media.infra-m.ru/2242/2242887/cover/2242887.jpg", "Обложка")</f>
        <v>Обложка</v>
      </c>
      <c r="V2166" s="8" t="s">
        <v>3196</v>
      </c>
      <c r="W2166" s="6"/>
      <c r="X2166" s="6"/>
      <c r="Y2166" s="6"/>
      <c r="Z2166" s="6"/>
      <c r="AA2166" s="6" t="s">
        <v>55</v>
      </c>
      <c r="AB2166" s="8"/>
      <c r="AC2166" s="27">
        <v>9785160062839</v>
      </c>
    </row>
    <row r="2167" spans="1:29" s="4" customFormat="1" ht="42" customHeight="1" x14ac:dyDescent="0.2">
      <c r="A2167" s="5">
        <v>0</v>
      </c>
      <c r="B2167" s="6" t="s">
        <v>13044</v>
      </c>
      <c r="C2167" s="7">
        <v>3268.8</v>
      </c>
      <c r="D2167" s="8" t="s">
        <v>13045</v>
      </c>
      <c r="E2167" s="8" t="s">
        <v>13046</v>
      </c>
      <c r="F2167" s="8" t="s">
        <v>13047</v>
      </c>
      <c r="G2167" s="6" t="s">
        <v>60</v>
      </c>
      <c r="H2167" s="6" t="s">
        <v>134</v>
      </c>
      <c r="I2167" s="8"/>
      <c r="J2167" s="9">
        <v>1</v>
      </c>
      <c r="K2167" s="9">
        <v>496</v>
      </c>
      <c r="L2167" s="9">
        <v>2026</v>
      </c>
      <c r="M2167" s="8" t="s">
        <v>13048</v>
      </c>
      <c r="N2167" s="8" t="s">
        <v>37</v>
      </c>
      <c r="O2167" s="8" t="s">
        <v>136</v>
      </c>
      <c r="P2167" s="6" t="s">
        <v>51</v>
      </c>
      <c r="Q2167" s="8" t="s">
        <v>52</v>
      </c>
      <c r="R2167" s="10" t="s">
        <v>1255</v>
      </c>
      <c r="S2167" s="11"/>
      <c r="T2167" s="6"/>
      <c r="U2167" s="15" t="str">
        <f>HYPERLINK("https://media.infra-m.ru/2226/2226224/cover/2226224.jpg", "Обложка")</f>
        <v>Обложка</v>
      </c>
      <c r="V2167" s="8" t="s">
        <v>1184</v>
      </c>
      <c r="W2167" s="6"/>
      <c r="X2167" s="6"/>
      <c r="Y2167" s="6"/>
      <c r="Z2167" s="6"/>
      <c r="AA2167" s="6" t="s">
        <v>430</v>
      </c>
      <c r="AB2167" s="8"/>
      <c r="AC2167" s="27">
        <v>9785001561705</v>
      </c>
    </row>
    <row r="2168" spans="1:29" s="4" customFormat="1" ht="42" customHeight="1" x14ac:dyDescent="0.2">
      <c r="A2168" s="5">
        <v>0</v>
      </c>
      <c r="B2168" s="6" t="s">
        <v>13049</v>
      </c>
      <c r="C2168" s="7">
        <v>1500</v>
      </c>
      <c r="D2168" s="8" t="s">
        <v>13050</v>
      </c>
      <c r="E2168" s="8" t="s">
        <v>13051</v>
      </c>
      <c r="F2168" s="8" t="s">
        <v>13052</v>
      </c>
      <c r="G2168" s="6" t="s">
        <v>60</v>
      </c>
      <c r="H2168" s="6" t="s">
        <v>34</v>
      </c>
      <c r="I2168" s="8" t="s">
        <v>35</v>
      </c>
      <c r="J2168" s="9">
        <v>1</v>
      </c>
      <c r="K2168" s="9">
        <v>216</v>
      </c>
      <c r="L2168" s="9">
        <v>2026</v>
      </c>
      <c r="M2168" s="8" t="s">
        <v>13053</v>
      </c>
      <c r="N2168" s="8" t="s">
        <v>37</v>
      </c>
      <c r="O2168" s="8" t="s">
        <v>136</v>
      </c>
      <c r="P2168" s="6" t="s">
        <v>39</v>
      </c>
      <c r="Q2168" s="8" t="s">
        <v>40</v>
      </c>
      <c r="R2168" s="10" t="s">
        <v>1667</v>
      </c>
      <c r="S2168" s="11"/>
      <c r="T2168" s="6"/>
      <c r="U2168" s="15" t="str">
        <f>HYPERLINK("https://media.infra-m.ru/2214/2214913/cover/2214913.jpg", "Обложка")</f>
        <v>Обложка</v>
      </c>
      <c r="V2168" s="8" t="s">
        <v>6224</v>
      </c>
      <c r="W2168" s="6" t="s">
        <v>186</v>
      </c>
      <c r="X2168" s="6"/>
      <c r="Y2168" s="6"/>
      <c r="Z2168" s="6"/>
      <c r="AA2168" s="6" t="s">
        <v>187</v>
      </c>
      <c r="AB2168" s="8" t="s">
        <v>308</v>
      </c>
      <c r="AC2168" s="27">
        <v>9785160211244</v>
      </c>
    </row>
    <row r="2169" spans="1:29" s="4" customFormat="1" ht="42" customHeight="1" x14ac:dyDescent="0.2">
      <c r="A2169" s="5">
        <v>0</v>
      </c>
      <c r="B2169" s="6" t="s">
        <v>13054</v>
      </c>
      <c r="C2169" s="13">
        <v>708</v>
      </c>
      <c r="D2169" s="8" t="s">
        <v>13055</v>
      </c>
      <c r="E2169" s="8" t="s">
        <v>13056</v>
      </c>
      <c r="F2169" s="8" t="s">
        <v>13057</v>
      </c>
      <c r="G2169" s="6" t="s">
        <v>33</v>
      </c>
      <c r="H2169" s="6" t="s">
        <v>313</v>
      </c>
      <c r="I2169" s="8" t="s">
        <v>4459</v>
      </c>
      <c r="J2169" s="9">
        <v>1</v>
      </c>
      <c r="K2169" s="9">
        <v>99</v>
      </c>
      <c r="L2169" s="9">
        <v>2026</v>
      </c>
      <c r="M2169" s="8" t="s">
        <v>13058</v>
      </c>
      <c r="N2169" s="8" t="s">
        <v>243</v>
      </c>
      <c r="O2169" s="8" t="s">
        <v>244</v>
      </c>
      <c r="P2169" s="6" t="s">
        <v>1481</v>
      </c>
      <c r="Q2169" s="8" t="s">
        <v>65</v>
      </c>
      <c r="R2169" s="10" t="s">
        <v>10318</v>
      </c>
      <c r="S2169" s="11"/>
      <c r="T2169" s="6"/>
      <c r="U2169" s="15" t="str">
        <f>HYPERLINK("https://media.infra-m.ru/2221/2221713/cover/2221713.jpg", "Обложка")</f>
        <v>Обложка</v>
      </c>
      <c r="V2169" s="8" t="s">
        <v>13059</v>
      </c>
      <c r="W2169" s="6"/>
      <c r="X2169" s="6"/>
      <c r="Y2169" s="6"/>
      <c r="Z2169" s="6"/>
      <c r="AA2169" s="6" t="s">
        <v>68</v>
      </c>
      <c r="AB2169" s="8"/>
      <c r="AC2169" s="27">
        <v>9785369019689</v>
      </c>
    </row>
    <row r="2170" spans="1:29" s="4" customFormat="1" ht="42" customHeight="1" x14ac:dyDescent="0.2">
      <c r="A2170" s="5">
        <v>0</v>
      </c>
      <c r="B2170" s="6" t="s">
        <v>13060</v>
      </c>
      <c r="C2170" s="7">
        <v>1392</v>
      </c>
      <c r="D2170" s="8" t="s">
        <v>13061</v>
      </c>
      <c r="E2170" s="8" t="s">
        <v>13062</v>
      </c>
      <c r="F2170" s="8" t="s">
        <v>7831</v>
      </c>
      <c r="G2170" s="6" t="s">
        <v>33</v>
      </c>
      <c r="H2170" s="6" t="s">
        <v>34</v>
      </c>
      <c r="I2170" s="8" t="s">
        <v>35</v>
      </c>
      <c r="J2170" s="9">
        <v>1</v>
      </c>
      <c r="K2170" s="9">
        <v>199</v>
      </c>
      <c r="L2170" s="9">
        <v>2026</v>
      </c>
      <c r="M2170" s="8" t="s">
        <v>13063</v>
      </c>
      <c r="N2170" s="8" t="s">
        <v>243</v>
      </c>
      <c r="O2170" s="8" t="s">
        <v>244</v>
      </c>
      <c r="P2170" s="6" t="s">
        <v>39</v>
      </c>
      <c r="Q2170" s="8" t="s">
        <v>40</v>
      </c>
      <c r="R2170" s="10" t="s">
        <v>13064</v>
      </c>
      <c r="S2170" s="11"/>
      <c r="T2170" s="6"/>
      <c r="U2170" s="15" t="str">
        <f>HYPERLINK("https://media.infra-m.ru/2222/2222853/cover/2222853.jpg", "Обложка")</f>
        <v>Обложка</v>
      </c>
      <c r="V2170" s="8" t="s">
        <v>445</v>
      </c>
      <c r="W2170" s="6" t="s">
        <v>186</v>
      </c>
      <c r="X2170" s="6"/>
      <c r="Y2170" s="6"/>
      <c r="Z2170" s="6"/>
      <c r="AA2170" s="6" t="s">
        <v>187</v>
      </c>
      <c r="AB2170" s="8" t="s">
        <v>308</v>
      </c>
      <c r="AC2170" s="27">
        <v>9785160213668</v>
      </c>
    </row>
    <row r="2171" spans="1:29" s="4" customFormat="1" ht="42" customHeight="1" x14ac:dyDescent="0.2">
      <c r="A2171" s="5">
        <v>0</v>
      </c>
      <c r="B2171" s="6" t="s">
        <v>13065</v>
      </c>
      <c r="C2171" s="7">
        <v>1116</v>
      </c>
      <c r="D2171" s="8" t="s">
        <v>13066</v>
      </c>
      <c r="E2171" s="8" t="s">
        <v>13067</v>
      </c>
      <c r="F2171" s="8" t="s">
        <v>13068</v>
      </c>
      <c r="G2171" s="6" t="s">
        <v>60</v>
      </c>
      <c r="H2171" s="6" t="s">
        <v>34</v>
      </c>
      <c r="I2171" s="8"/>
      <c r="J2171" s="9">
        <v>1</v>
      </c>
      <c r="K2171" s="9">
        <v>240</v>
      </c>
      <c r="L2171" s="9">
        <v>2026</v>
      </c>
      <c r="M2171" s="8" t="s">
        <v>13069</v>
      </c>
      <c r="N2171" s="8" t="s">
        <v>243</v>
      </c>
      <c r="O2171" s="8" t="s">
        <v>244</v>
      </c>
      <c r="P2171" s="6" t="s">
        <v>234</v>
      </c>
      <c r="Q2171" s="8"/>
      <c r="R2171" s="10"/>
      <c r="S2171" s="11"/>
      <c r="T2171" s="6"/>
      <c r="U2171" s="15" t="str">
        <f>HYPERLINK("https://media.infra-m.ru/2258/2258191/cover/2258191.jpg", "Обложка")</f>
        <v>Обложка</v>
      </c>
      <c r="V2171" s="8"/>
      <c r="W2171" s="6" t="s">
        <v>9380</v>
      </c>
      <c r="X2171" s="6"/>
      <c r="Y2171" s="6"/>
      <c r="Z2171" s="6"/>
      <c r="AA2171" s="6" t="s">
        <v>187</v>
      </c>
      <c r="AB2171" s="8"/>
      <c r="AC2171" s="27">
        <v>9785160219868</v>
      </c>
    </row>
    <row r="2172" spans="1:29" s="4" customFormat="1" ht="42" customHeight="1" x14ac:dyDescent="0.2">
      <c r="A2172" s="5">
        <v>0</v>
      </c>
      <c r="B2172" s="6" t="s">
        <v>13070</v>
      </c>
      <c r="C2172" s="7">
        <v>1968</v>
      </c>
      <c r="D2172" s="8" t="s">
        <v>13071</v>
      </c>
      <c r="E2172" s="8" t="s">
        <v>13072</v>
      </c>
      <c r="F2172" s="8" t="s">
        <v>13073</v>
      </c>
      <c r="G2172" s="6" t="s">
        <v>33</v>
      </c>
      <c r="H2172" s="6" t="s">
        <v>34</v>
      </c>
      <c r="I2172" s="8" t="s">
        <v>35</v>
      </c>
      <c r="J2172" s="9">
        <v>1</v>
      </c>
      <c r="K2172" s="9">
        <v>282</v>
      </c>
      <c r="L2172" s="9">
        <v>2026</v>
      </c>
      <c r="M2172" s="8" t="s">
        <v>13074</v>
      </c>
      <c r="N2172" s="8" t="s">
        <v>37</v>
      </c>
      <c r="O2172" s="8" t="s">
        <v>136</v>
      </c>
      <c r="P2172" s="6" t="s">
        <v>39</v>
      </c>
      <c r="Q2172" s="8" t="s">
        <v>40</v>
      </c>
      <c r="R2172" s="10" t="s">
        <v>8485</v>
      </c>
      <c r="S2172" s="11"/>
      <c r="T2172" s="6"/>
      <c r="U2172" s="15" t="str">
        <f>HYPERLINK("https://media.infra-m.ru/2261/2261236/cover/2261236.jpg", "Обложка")</f>
        <v>Обложка</v>
      </c>
      <c r="V2172" s="8" t="s">
        <v>3413</v>
      </c>
      <c r="W2172" s="6"/>
      <c r="X2172" s="6"/>
      <c r="Y2172" s="6"/>
      <c r="Z2172" s="6"/>
      <c r="AA2172" s="6" t="s">
        <v>430</v>
      </c>
      <c r="AB2172" s="8"/>
      <c r="AC2172" s="27">
        <v>9785160158907</v>
      </c>
    </row>
    <row r="2173" spans="1:29" s="4" customFormat="1" ht="51.9" customHeight="1" x14ac:dyDescent="0.2">
      <c r="A2173" s="5">
        <v>0</v>
      </c>
      <c r="B2173" s="6" t="s">
        <v>13075</v>
      </c>
      <c r="C2173" s="7">
        <v>1576.8</v>
      </c>
      <c r="D2173" s="8" t="s">
        <v>13076</v>
      </c>
      <c r="E2173" s="8" t="s">
        <v>13077</v>
      </c>
      <c r="F2173" s="8" t="s">
        <v>9040</v>
      </c>
      <c r="G2173" s="6" t="s">
        <v>118</v>
      </c>
      <c r="H2173" s="6" t="s">
        <v>34</v>
      </c>
      <c r="I2173" s="8" t="s">
        <v>263</v>
      </c>
      <c r="J2173" s="9">
        <v>1</v>
      </c>
      <c r="K2173" s="9">
        <v>227</v>
      </c>
      <c r="L2173" s="9">
        <v>2026</v>
      </c>
      <c r="M2173" s="8" t="s">
        <v>13078</v>
      </c>
      <c r="N2173" s="8" t="s">
        <v>37</v>
      </c>
      <c r="O2173" s="8" t="s">
        <v>499</v>
      </c>
      <c r="P2173" s="6" t="s">
        <v>51</v>
      </c>
      <c r="Q2173" s="8" t="s">
        <v>265</v>
      </c>
      <c r="R2173" s="10" t="s">
        <v>13079</v>
      </c>
      <c r="S2173" s="11" t="s">
        <v>13080</v>
      </c>
      <c r="T2173" s="6"/>
      <c r="U2173" s="15" t="str">
        <f>HYPERLINK("https://media.infra-m.ru/2255/2255436/cover/2255436.jpg", "Обложка")</f>
        <v>Обложка</v>
      </c>
      <c r="V2173" s="8"/>
      <c r="W2173" s="6"/>
      <c r="X2173" s="6"/>
      <c r="Y2173" s="6"/>
      <c r="Z2173" s="6"/>
      <c r="AA2173" s="6" t="s">
        <v>148</v>
      </c>
      <c r="AB2173" s="8"/>
      <c r="AC2173" s="27">
        <v>9785160150802</v>
      </c>
    </row>
    <row r="2174" spans="1:29" s="4" customFormat="1" ht="42" customHeight="1" x14ac:dyDescent="0.2">
      <c r="A2174" s="5">
        <v>0</v>
      </c>
      <c r="B2174" s="6" t="s">
        <v>13081</v>
      </c>
      <c r="C2174" s="7">
        <v>1504.8</v>
      </c>
      <c r="D2174" s="8" t="s">
        <v>13082</v>
      </c>
      <c r="E2174" s="8" t="s">
        <v>13083</v>
      </c>
      <c r="F2174" s="8" t="s">
        <v>13084</v>
      </c>
      <c r="G2174" s="6" t="s">
        <v>118</v>
      </c>
      <c r="H2174" s="6" t="s">
        <v>134</v>
      </c>
      <c r="I2174" s="8"/>
      <c r="J2174" s="9">
        <v>1</v>
      </c>
      <c r="K2174" s="9">
        <v>240</v>
      </c>
      <c r="L2174" s="9">
        <v>2025</v>
      </c>
      <c r="M2174" s="8" t="s">
        <v>13085</v>
      </c>
      <c r="N2174" s="8" t="s">
        <v>63</v>
      </c>
      <c r="O2174" s="8" t="s">
        <v>126</v>
      </c>
      <c r="P2174" s="6" t="s">
        <v>39</v>
      </c>
      <c r="Q2174" s="8" t="s">
        <v>40</v>
      </c>
      <c r="R2174" s="10" t="s">
        <v>13086</v>
      </c>
      <c r="S2174" s="11"/>
      <c r="T2174" s="6"/>
      <c r="U2174" s="15" t="str">
        <f>HYPERLINK("https://media.infra-m.ru/2192/2192552/cover/2192552.jpg", "Обложка")</f>
        <v>Обложка</v>
      </c>
      <c r="V2174" s="8" t="s">
        <v>1184</v>
      </c>
      <c r="W2174" s="6"/>
      <c r="X2174" s="6"/>
      <c r="Y2174" s="6"/>
      <c r="Z2174" s="6"/>
      <c r="AA2174" s="6" t="s">
        <v>99</v>
      </c>
      <c r="AB2174" s="8"/>
      <c r="AC2174" s="27">
        <v>9785917688022</v>
      </c>
    </row>
    <row r="2175" spans="1:29" s="4" customFormat="1" ht="51.9" customHeight="1" x14ac:dyDescent="0.2">
      <c r="A2175" s="5">
        <v>0</v>
      </c>
      <c r="B2175" s="6" t="s">
        <v>13087</v>
      </c>
      <c r="C2175" s="7">
        <v>2988</v>
      </c>
      <c r="D2175" s="8" t="s">
        <v>13088</v>
      </c>
      <c r="E2175" s="8" t="s">
        <v>13089</v>
      </c>
      <c r="F2175" s="8" t="s">
        <v>8631</v>
      </c>
      <c r="G2175" s="6" t="s">
        <v>60</v>
      </c>
      <c r="H2175" s="6" t="s">
        <v>34</v>
      </c>
      <c r="I2175" s="8" t="s">
        <v>253</v>
      </c>
      <c r="J2175" s="9">
        <v>1</v>
      </c>
      <c r="K2175" s="9">
        <v>429</v>
      </c>
      <c r="L2175" s="9">
        <v>2027</v>
      </c>
      <c r="M2175" s="8" t="s">
        <v>13090</v>
      </c>
      <c r="N2175" s="8" t="s">
        <v>63</v>
      </c>
      <c r="O2175" s="8" t="s">
        <v>181</v>
      </c>
      <c r="P2175" s="6" t="s">
        <v>51</v>
      </c>
      <c r="Q2175" s="8" t="s">
        <v>52</v>
      </c>
      <c r="R2175" s="10" t="s">
        <v>13091</v>
      </c>
      <c r="S2175" s="11" t="s">
        <v>13092</v>
      </c>
      <c r="T2175" s="6"/>
      <c r="U2175" s="15" t="str">
        <f>HYPERLINK("https://media.infra-m.ru/2269/2269605/cover/2269605.jpg", "Обложка")</f>
        <v>Обложка</v>
      </c>
      <c r="V2175" s="8" t="s">
        <v>7509</v>
      </c>
      <c r="W2175" s="6"/>
      <c r="X2175" s="6"/>
      <c r="Y2175" s="6"/>
      <c r="Z2175" s="6"/>
      <c r="AA2175" s="6" t="s">
        <v>148</v>
      </c>
      <c r="AB2175" s="8"/>
      <c r="AC2175" s="27">
        <v>9785160201931</v>
      </c>
    </row>
    <row r="2176" spans="1:29" s="4" customFormat="1" ht="51.9" customHeight="1" x14ac:dyDescent="0.2">
      <c r="A2176" s="5">
        <v>0</v>
      </c>
      <c r="B2176" s="6" t="s">
        <v>13093</v>
      </c>
      <c r="C2176" s="7">
        <v>1480.8</v>
      </c>
      <c r="D2176" s="8" t="s">
        <v>13094</v>
      </c>
      <c r="E2176" s="8" t="s">
        <v>13095</v>
      </c>
      <c r="F2176" s="8" t="s">
        <v>13096</v>
      </c>
      <c r="G2176" s="6" t="s">
        <v>33</v>
      </c>
      <c r="H2176" s="6" t="s">
        <v>313</v>
      </c>
      <c r="I2176" s="8" t="s">
        <v>9095</v>
      </c>
      <c r="J2176" s="9">
        <v>1</v>
      </c>
      <c r="K2176" s="9">
        <v>248</v>
      </c>
      <c r="L2176" s="9">
        <v>2024</v>
      </c>
      <c r="M2176" s="8" t="s">
        <v>13097</v>
      </c>
      <c r="N2176" s="8" t="s">
        <v>37</v>
      </c>
      <c r="O2176" s="8" t="s">
        <v>280</v>
      </c>
      <c r="P2176" s="6" t="s">
        <v>51</v>
      </c>
      <c r="Q2176" s="8" t="s">
        <v>749</v>
      </c>
      <c r="R2176" s="10" t="s">
        <v>13098</v>
      </c>
      <c r="S2176" s="11"/>
      <c r="T2176" s="6"/>
      <c r="U2176" s="15" t="str">
        <f>HYPERLINK("https://media.infra-m.ru/2158/2158313/cover/2158313.jpg", "Обложка")</f>
        <v>Обложка</v>
      </c>
      <c r="V2176" s="8" t="s">
        <v>657</v>
      </c>
      <c r="W2176" s="6"/>
      <c r="X2176" s="6"/>
      <c r="Y2176" s="6"/>
      <c r="Z2176" s="6"/>
      <c r="AA2176" s="6" t="s">
        <v>2311</v>
      </c>
      <c r="AB2176" s="8"/>
      <c r="AC2176" s="27">
        <v>9785369015438</v>
      </c>
    </row>
    <row r="2177" spans="1:29" s="4" customFormat="1" ht="51.9" customHeight="1" x14ac:dyDescent="0.2">
      <c r="A2177" s="5">
        <v>0</v>
      </c>
      <c r="B2177" s="6" t="s">
        <v>13099</v>
      </c>
      <c r="C2177" s="7">
        <v>1164</v>
      </c>
      <c r="D2177" s="8" t="s">
        <v>13100</v>
      </c>
      <c r="E2177" s="8" t="s">
        <v>13101</v>
      </c>
      <c r="F2177" s="8" t="s">
        <v>13102</v>
      </c>
      <c r="G2177" s="6" t="s">
        <v>118</v>
      </c>
      <c r="H2177" s="6" t="s">
        <v>34</v>
      </c>
      <c r="I2177" s="8" t="s">
        <v>457</v>
      </c>
      <c r="J2177" s="9">
        <v>1</v>
      </c>
      <c r="K2177" s="9">
        <v>184</v>
      </c>
      <c r="L2177" s="9">
        <v>2025</v>
      </c>
      <c r="M2177" s="8" t="s">
        <v>13103</v>
      </c>
      <c r="N2177" s="8" t="s">
        <v>37</v>
      </c>
      <c r="O2177" s="8" t="s">
        <v>233</v>
      </c>
      <c r="P2177" s="6" t="s">
        <v>39</v>
      </c>
      <c r="Q2177" s="8" t="s">
        <v>40</v>
      </c>
      <c r="R2177" s="10" t="s">
        <v>13104</v>
      </c>
      <c r="S2177" s="11"/>
      <c r="T2177" s="6"/>
      <c r="U2177" s="15" t="str">
        <f>HYPERLINK("https://media.infra-m.ru/2200/2200729/cover/2200729.jpg", "Обложка")</f>
        <v>Обложка</v>
      </c>
      <c r="V2177" s="8" t="s">
        <v>247</v>
      </c>
      <c r="W2177" s="6"/>
      <c r="X2177" s="6"/>
      <c r="Y2177" s="6"/>
      <c r="Z2177" s="6"/>
      <c r="AA2177" s="6" t="s">
        <v>76</v>
      </c>
      <c r="AB2177" s="8"/>
      <c r="AC2177" s="27">
        <v>9785160184708</v>
      </c>
    </row>
    <row r="2178" spans="1:29" s="4" customFormat="1" ht="42" customHeight="1" x14ac:dyDescent="0.2">
      <c r="A2178" s="5">
        <v>0</v>
      </c>
      <c r="B2178" s="6" t="s">
        <v>13105</v>
      </c>
      <c r="C2178" s="7">
        <v>2752.8</v>
      </c>
      <c r="D2178" s="8" t="s">
        <v>13106</v>
      </c>
      <c r="E2178" s="8" t="s">
        <v>13107</v>
      </c>
      <c r="F2178" s="8" t="s">
        <v>13108</v>
      </c>
      <c r="G2178" s="6" t="s">
        <v>60</v>
      </c>
      <c r="H2178" s="6" t="s">
        <v>1644</v>
      </c>
      <c r="I2178" s="8"/>
      <c r="J2178" s="9">
        <v>1</v>
      </c>
      <c r="K2178" s="9">
        <v>576</v>
      </c>
      <c r="L2178" s="9">
        <v>2024</v>
      </c>
      <c r="M2178" s="8" t="s">
        <v>13109</v>
      </c>
      <c r="N2178" s="8" t="s">
        <v>37</v>
      </c>
      <c r="O2178" s="8" t="s">
        <v>38</v>
      </c>
      <c r="P2178" s="6" t="s">
        <v>182</v>
      </c>
      <c r="Q2178" s="8" t="s">
        <v>40</v>
      </c>
      <c r="R2178" s="10" t="s">
        <v>13110</v>
      </c>
      <c r="S2178" s="11"/>
      <c r="T2178" s="6"/>
      <c r="U2178" s="15" t="str">
        <f>HYPERLINK("https://media.infra-m.ru/2148/2148498/cover/2148498.jpg", "Обложка")</f>
        <v>Обложка</v>
      </c>
      <c r="V2178" s="8" t="s">
        <v>247</v>
      </c>
      <c r="W2178" s="6"/>
      <c r="X2178" s="6"/>
      <c r="Y2178" s="6"/>
      <c r="Z2178" s="6"/>
      <c r="AA2178" s="6" t="s">
        <v>2338</v>
      </c>
      <c r="AB2178" s="8"/>
      <c r="AC2178" s="27">
        <v>9785977602143</v>
      </c>
    </row>
    <row r="2179" spans="1:29" s="4" customFormat="1" ht="51.9" customHeight="1" x14ac:dyDescent="0.2">
      <c r="A2179" s="5">
        <v>0</v>
      </c>
      <c r="B2179" s="6" t="s">
        <v>13111</v>
      </c>
      <c r="C2179" s="7">
        <v>1452</v>
      </c>
      <c r="D2179" s="8" t="s">
        <v>13112</v>
      </c>
      <c r="E2179" s="8" t="s">
        <v>13113</v>
      </c>
      <c r="F2179" s="8" t="s">
        <v>6312</v>
      </c>
      <c r="G2179" s="6" t="s">
        <v>33</v>
      </c>
      <c r="H2179" s="6" t="s">
        <v>34</v>
      </c>
      <c r="I2179" s="8" t="s">
        <v>35</v>
      </c>
      <c r="J2179" s="9">
        <v>1</v>
      </c>
      <c r="K2179" s="9">
        <v>219</v>
      </c>
      <c r="L2179" s="9">
        <v>2026</v>
      </c>
      <c r="M2179" s="8" t="s">
        <v>13114</v>
      </c>
      <c r="N2179" s="8" t="s">
        <v>37</v>
      </c>
      <c r="O2179" s="8" t="s">
        <v>233</v>
      </c>
      <c r="P2179" s="6" t="s">
        <v>39</v>
      </c>
      <c r="Q2179" s="8" t="s">
        <v>40</v>
      </c>
      <c r="R2179" s="10" t="s">
        <v>13115</v>
      </c>
      <c r="S2179" s="11"/>
      <c r="T2179" s="6"/>
      <c r="U2179" s="15" t="str">
        <f>HYPERLINK("https://media.infra-m.ru/2238/2238314/cover/2238314.jpg", "Обложка")</f>
        <v>Обложка</v>
      </c>
      <c r="V2179" s="8" t="s">
        <v>6314</v>
      </c>
      <c r="W2179" s="6"/>
      <c r="X2179" s="6"/>
      <c r="Y2179" s="6"/>
      <c r="Z2179" s="6"/>
      <c r="AA2179" s="6" t="s">
        <v>430</v>
      </c>
      <c r="AB2179" s="8"/>
      <c r="AC2179" s="27">
        <v>9785160165646</v>
      </c>
    </row>
    <row r="2180" spans="1:29" s="4" customFormat="1" ht="42" customHeight="1" x14ac:dyDescent="0.2">
      <c r="A2180" s="5">
        <v>0</v>
      </c>
      <c r="B2180" s="6" t="s">
        <v>13116</v>
      </c>
      <c r="C2180" s="7">
        <v>1464</v>
      </c>
      <c r="D2180" s="8" t="s">
        <v>13117</v>
      </c>
      <c r="E2180" s="8" t="s">
        <v>13118</v>
      </c>
      <c r="F2180" s="8" t="s">
        <v>6312</v>
      </c>
      <c r="G2180" s="6" t="s">
        <v>33</v>
      </c>
      <c r="H2180" s="6" t="s">
        <v>34</v>
      </c>
      <c r="I2180" s="8" t="s">
        <v>35</v>
      </c>
      <c r="J2180" s="9">
        <v>1</v>
      </c>
      <c r="K2180" s="9">
        <v>221</v>
      </c>
      <c r="L2180" s="9">
        <v>2026</v>
      </c>
      <c r="M2180" s="8" t="s">
        <v>13119</v>
      </c>
      <c r="N2180" s="8" t="s">
        <v>37</v>
      </c>
      <c r="O2180" s="8" t="s">
        <v>233</v>
      </c>
      <c r="P2180" s="6" t="s">
        <v>39</v>
      </c>
      <c r="Q2180" s="8" t="s">
        <v>40</v>
      </c>
      <c r="R2180" s="10" t="s">
        <v>13120</v>
      </c>
      <c r="S2180" s="11"/>
      <c r="T2180" s="6"/>
      <c r="U2180" s="15" t="str">
        <f>HYPERLINK("https://media.infra-m.ru/2239/2239152/cover/2239152.jpg", "Обложка")</f>
        <v>Обложка</v>
      </c>
      <c r="V2180" s="8" t="s">
        <v>6314</v>
      </c>
      <c r="W2180" s="6"/>
      <c r="X2180" s="6"/>
      <c r="Y2180" s="6"/>
      <c r="Z2180" s="6"/>
      <c r="AA2180" s="6" t="s">
        <v>148</v>
      </c>
      <c r="AB2180" s="8"/>
      <c r="AC2180" s="27">
        <v>9785160172408</v>
      </c>
    </row>
    <row r="2181" spans="1:29" s="4" customFormat="1" ht="42" customHeight="1" x14ac:dyDescent="0.2">
      <c r="A2181" s="5">
        <v>0</v>
      </c>
      <c r="B2181" s="6" t="s">
        <v>13121</v>
      </c>
      <c r="C2181" s="7">
        <v>1392</v>
      </c>
      <c r="D2181" s="8" t="s">
        <v>13122</v>
      </c>
      <c r="E2181" s="8" t="s">
        <v>13123</v>
      </c>
      <c r="F2181" s="8" t="s">
        <v>6312</v>
      </c>
      <c r="G2181" s="6" t="s">
        <v>118</v>
      </c>
      <c r="H2181" s="6" t="s">
        <v>34</v>
      </c>
      <c r="I2181" s="8" t="s">
        <v>35</v>
      </c>
      <c r="J2181" s="9">
        <v>1</v>
      </c>
      <c r="K2181" s="9">
        <v>218</v>
      </c>
      <c r="L2181" s="9">
        <v>2025</v>
      </c>
      <c r="M2181" s="8" t="s">
        <v>13124</v>
      </c>
      <c r="N2181" s="8" t="s">
        <v>63</v>
      </c>
      <c r="O2181" s="8" t="s">
        <v>9718</v>
      </c>
      <c r="P2181" s="6" t="s">
        <v>39</v>
      </c>
      <c r="Q2181" s="8" t="s">
        <v>40</v>
      </c>
      <c r="R2181" s="10" t="s">
        <v>13125</v>
      </c>
      <c r="S2181" s="11"/>
      <c r="T2181" s="6"/>
      <c r="U2181" s="15" t="str">
        <f>HYPERLINK("https://media.infra-m.ru/2210/2210891/cover/2210891.jpg", "Обложка")</f>
        <v>Обложка</v>
      </c>
      <c r="V2181" s="8" t="s">
        <v>6314</v>
      </c>
      <c r="W2181" s="6"/>
      <c r="X2181" s="6"/>
      <c r="Y2181" s="6"/>
      <c r="Z2181" s="6"/>
      <c r="AA2181" s="6" t="s">
        <v>157</v>
      </c>
      <c r="AB2181" s="8"/>
      <c r="AC2181" s="27">
        <v>9785160181967</v>
      </c>
    </row>
    <row r="2182" spans="1:29" s="4" customFormat="1" ht="51.9" customHeight="1" x14ac:dyDescent="0.2">
      <c r="A2182" s="5">
        <v>0</v>
      </c>
      <c r="B2182" s="6" t="s">
        <v>13126</v>
      </c>
      <c r="C2182" s="13">
        <v>876</v>
      </c>
      <c r="D2182" s="8" t="s">
        <v>13127</v>
      </c>
      <c r="E2182" s="8" t="s">
        <v>13128</v>
      </c>
      <c r="F2182" s="8" t="s">
        <v>7692</v>
      </c>
      <c r="G2182" s="6" t="s">
        <v>33</v>
      </c>
      <c r="H2182" s="6" t="s">
        <v>34</v>
      </c>
      <c r="I2182" s="8"/>
      <c r="J2182" s="9">
        <v>1</v>
      </c>
      <c r="K2182" s="9">
        <v>110</v>
      </c>
      <c r="L2182" s="9">
        <v>2026</v>
      </c>
      <c r="M2182" s="8" t="s">
        <v>13129</v>
      </c>
      <c r="N2182" s="8" t="s">
        <v>37</v>
      </c>
      <c r="O2182" s="8" t="s">
        <v>83</v>
      </c>
      <c r="P2182" s="6" t="s">
        <v>39</v>
      </c>
      <c r="Q2182" s="8" t="s">
        <v>40</v>
      </c>
      <c r="R2182" s="10" t="s">
        <v>13130</v>
      </c>
      <c r="S2182" s="11"/>
      <c r="T2182" s="6"/>
      <c r="U2182" s="15" t="str">
        <f>HYPERLINK("https://media.infra-m.ru/2242/2242904/cover/2242904.jpg", "Обложка")</f>
        <v>Обложка</v>
      </c>
      <c r="V2182" s="8" t="s">
        <v>512</v>
      </c>
      <c r="W2182" s="6"/>
      <c r="X2182" s="6"/>
      <c r="Y2182" s="6"/>
      <c r="Z2182" s="6"/>
      <c r="AA2182" s="6" t="s">
        <v>404</v>
      </c>
      <c r="AB2182" s="8"/>
      <c r="AC2182" s="27">
        <v>9785160198408</v>
      </c>
    </row>
    <row r="2183" spans="1:29" s="4" customFormat="1" ht="42" customHeight="1" x14ac:dyDescent="0.2">
      <c r="A2183" s="5">
        <v>0</v>
      </c>
      <c r="B2183" s="6" t="s">
        <v>13131</v>
      </c>
      <c r="C2183" s="7">
        <v>1516.8</v>
      </c>
      <c r="D2183" s="8" t="s">
        <v>13132</v>
      </c>
      <c r="E2183" s="8" t="s">
        <v>13133</v>
      </c>
      <c r="F2183" s="8" t="s">
        <v>13134</v>
      </c>
      <c r="G2183" s="6" t="s">
        <v>118</v>
      </c>
      <c r="H2183" s="6" t="s">
        <v>313</v>
      </c>
      <c r="I2183" s="8" t="s">
        <v>253</v>
      </c>
      <c r="J2183" s="9">
        <v>1</v>
      </c>
      <c r="K2183" s="9">
        <v>218</v>
      </c>
      <c r="L2183" s="9">
        <v>2027</v>
      </c>
      <c r="M2183" s="8" t="s">
        <v>13135</v>
      </c>
      <c r="N2183" s="8" t="s">
        <v>63</v>
      </c>
      <c r="O2183" s="8" t="s">
        <v>64</v>
      </c>
      <c r="P2183" s="6" t="s">
        <v>51</v>
      </c>
      <c r="Q2183" s="8" t="s">
        <v>52</v>
      </c>
      <c r="R2183" s="10" t="s">
        <v>2558</v>
      </c>
      <c r="S2183" s="11"/>
      <c r="T2183" s="6"/>
      <c r="U2183" s="15" t="str">
        <f>HYPERLINK("https://media.infra-m.ru/2261/2261668/cover/2261668.jpg", "Обложка")</f>
        <v>Обложка</v>
      </c>
      <c r="V2183" s="8" t="s">
        <v>8067</v>
      </c>
      <c r="W2183" s="6"/>
      <c r="X2183" s="6"/>
      <c r="Y2183" s="6"/>
      <c r="Z2183" s="6"/>
      <c r="AA2183" s="6" t="s">
        <v>86</v>
      </c>
      <c r="AB2183" s="8"/>
      <c r="AC2183" s="27">
        <v>9785369017760</v>
      </c>
    </row>
    <row r="2184" spans="1:29" s="4" customFormat="1" ht="51.9" customHeight="1" x14ac:dyDescent="0.2">
      <c r="A2184" s="5">
        <v>0</v>
      </c>
      <c r="B2184" s="6" t="s">
        <v>13136</v>
      </c>
      <c r="C2184" s="7">
        <v>1440</v>
      </c>
      <c r="D2184" s="8" t="s">
        <v>13137</v>
      </c>
      <c r="E2184" s="8" t="s">
        <v>13138</v>
      </c>
      <c r="F2184" s="8" t="s">
        <v>13139</v>
      </c>
      <c r="G2184" s="6" t="s">
        <v>118</v>
      </c>
      <c r="H2184" s="6" t="s">
        <v>313</v>
      </c>
      <c r="I2184" s="8" t="s">
        <v>392</v>
      </c>
      <c r="J2184" s="9">
        <v>1</v>
      </c>
      <c r="K2184" s="9">
        <v>242</v>
      </c>
      <c r="L2184" s="9">
        <v>2025</v>
      </c>
      <c r="M2184" s="8" t="s">
        <v>13140</v>
      </c>
      <c r="N2184" s="8" t="s">
        <v>63</v>
      </c>
      <c r="O2184" s="8" t="s">
        <v>64</v>
      </c>
      <c r="P2184" s="6" t="s">
        <v>51</v>
      </c>
      <c r="Q2184" s="8" t="s">
        <v>52</v>
      </c>
      <c r="R2184" s="10" t="s">
        <v>13141</v>
      </c>
      <c r="S2184" s="11"/>
      <c r="T2184" s="6"/>
      <c r="U2184" s="15" t="str">
        <f>HYPERLINK("https://media.infra-m.ru/2183/2183660/cover/2183660.jpg", "Обложка")</f>
        <v>Обложка</v>
      </c>
      <c r="V2184" s="8" t="s">
        <v>1425</v>
      </c>
      <c r="W2184" s="6"/>
      <c r="X2184" s="6"/>
      <c r="Y2184" s="6"/>
      <c r="Z2184" s="6"/>
      <c r="AA2184" s="6" t="s">
        <v>99</v>
      </c>
      <c r="AB2184" s="8"/>
      <c r="AC2184" s="27">
        <v>9785369016466</v>
      </c>
    </row>
    <row r="2185" spans="1:29" s="4" customFormat="1" ht="51.9" customHeight="1" x14ac:dyDescent="0.2">
      <c r="A2185" s="5">
        <v>0</v>
      </c>
      <c r="B2185" s="6" t="s">
        <v>13142</v>
      </c>
      <c r="C2185" s="7">
        <v>2616</v>
      </c>
      <c r="D2185" s="8" t="s">
        <v>13143</v>
      </c>
      <c r="E2185" s="8" t="s">
        <v>13144</v>
      </c>
      <c r="F2185" s="8" t="s">
        <v>1253</v>
      </c>
      <c r="G2185" s="6" t="s">
        <v>60</v>
      </c>
      <c r="H2185" s="6" t="s">
        <v>134</v>
      </c>
      <c r="I2185" s="8"/>
      <c r="J2185" s="9">
        <v>1</v>
      </c>
      <c r="K2185" s="9">
        <v>376</v>
      </c>
      <c r="L2185" s="9">
        <v>2027</v>
      </c>
      <c r="M2185" s="8" t="s">
        <v>13145</v>
      </c>
      <c r="N2185" s="8" t="s">
        <v>37</v>
      </c>
      <c r="O2185" s="8" t="s">
        <v>136</v>
      </c>
      <c r="P2185" s="6" t="s">
        <v>39</v>
      </c>
      <c r="Q2185" s="8" t="s">
        <v>40</v>
      </c>
      <c r="R2185" s="10" t="s">
        <v>13146</v>
      </c>
      <c r="S2185" s="11"/>
      <c r="T2185" s="6"/>
      <c r="U2185" s="15" t="str">
        <f>HYPERLINK("https://media.infra-m.ru/2264/2264807/cover/2264807.jpg", "Обложка")</f>
        <v>Обложка</v>
      </c>
      <c r="V2185" s="8" t="s">
        <v>1184</v>
      </c>
      <c r="W2185" s="6"/>
      <c r="X2185" s="6"/>
      <c r="Y2185" s="6"/>
      <c r="Z2185" s="6"/>
      <c r="AA2185" s="6" t="s">
        <v>157</v>
      </c>
      <c r="AB2185" s="8"/>
      <c r="AC2185" s="27">
        <v>9785001562986</v>
      </c>
    </row>
    <row r="2186" spans="1:29" s="4" customFormat="1" ht="42" customHeight="1" x14ac:dyDescent="0.2">
      <c r="A2186" s="5">
        <v>0</v>
      </c>
      <c r="B2186" s="6" t="s">
        <v>13147</v>
      </c>
      <c r="C2186" s="13">
        <v>732</v>
      </c>
      <c r="D2186" s="8" t="s">
        <v>13148</v>
      </c>
      <c r="E2186" s="8" t="s">
        <v>13149</v>
      </c>
      <c r="F2186" s="8" t="s">
        <v>13150</v>
      </c>
      <c r="G2186" s="6" t="s">
        <v>33</v>
      </c>
      <c r="H2186" s="6" t="s">
        <v>313</v>
      </c>
      <c r="I2186" s="8" t="s">
        <v>4459</v>
      </c>
      <c r="J2186" s="9">
        <v>1</v>
      </c>
      <c r="K2186" s="9">
        <v>106</v>
      </c>
      <c r="L2186" s="9">
        <v>2026</v>
      </c>
      <c r="M2186" s="8" t="s">
        <v>13151</v>
      </c>
      <c r="N2186" s="8" t="s">
        <v>243</v>
      </c>
      <c r="O2186" s="8" t="s">
        <v>244</v>
      </c>
      <c r="P2186" s="6" t="s">
        <v>105</v>
      </c>
      <c r="Q2186" s="8" t="s">
        <v>40</v>
      </c>
      <c r="R2186" s="10" t="s">
        <v>10318</v>
      </c>
      <c r="S2186" s="11"/>
      <c r="T2186" s="6"/>
      <c r="U2186" s="15" t="str">
        <f>HYPERLINK("https://media.infra-m.ru/2218/2218762/cover/2218762.jpg", "Обложка")</f>
        <v>Обложка</v>
      </c>
      <c r="V2186" s="8" t="s">
        <v>13059</v>
      </c>
      <c r="W2186" s="6" t="s">
        <v>2565</v>
      </c>
      <c r="X2186" s="6"/>
      <c r="Y2186" s="6"/>
      <c r="Z2186" s="6"/>
      <c r="AA2186" s="6" t="s">
        <v>187</v>
      </c>
      <c r="AB2186" s="8"/>
      <c r="AC2186" s="27">
        <v>9785369019955</v>
      </c>
    </row>
    <row r="2187" spans="1:29" s="4" customFormat="1" ht="51.9" customHeight="1" x14ac:dyDescent="0.2">
      <c r="A2187" s="5">
        <v>0</v>
      </c>
      <c r="B2187" s="6" t="s">
        <v>13152</v>
      </c>
      <c r="C2187" s="7">
        <v>1948.8</v>
      </c>
      <c r="D2187" s="8" t="s">
        <v>13153</v>
      </c>
      <c r="E2187" s="8" t="s">
        <v>13154</v>
      </c>
      <c r="F2187" s="8" t="s">
        <v>1802</v>
      </c>
      <c r="G2187" s="6" t="s">
        <v>118</v>
      </c>
      <c r="H2187" s="6" t="s">
        <v>34</v>
      </c>
      <c r="I2187" s="8" t="s">
        <v>35</v>
      </c>
      <c r="J2187" s="9">
        <v>1</v>
      </c>
      <c r="K2187" s="9">
        <v>280</v>
      </c>
      <c r="L2187" s="9">
        <v>2026</v>
      </c>
      <c r="M2187" s="8" t="s">
        <v>13155</v>
      </c>
      <c r="N2187" s="8" t="s">
        <v>37</v>
      </c>
      <c r="O2187" s="8" t="s">
        <v>136</v>
      </c>
      <c r="P2187" s="6" t="s">
        <v>39</v>
      </c>
      <c r="Q2187" s="8" t="s">
        <v>40</v>
      </c>
      <c r="R2187" s="10" t="s">
        <v>13156</v>
      </c>
      <c r="S2187" s="11"/>
      <c r="T2187" s="6"/>
      <c r="U2187" s="15" t="str">
        <f>HYPERLINK("https://media.infra-m.ru/2258/2258197/cover/2258197.jpg", "Обложка")</f>
        <v>Обложка</v>
      </c>
      <c r="V2187" s="8" t="s">
        <v>1805</v>
      </c>
      <c r="W2187" s="6"/>
      <c r="X2187" s="6"/>
      <c r="Y2187" s="6"/>
      <c r="Z2187" s="6"/>
      <c r="AA2187" s="6" t="s">
        <v>157</v>
      </c>
      <c r="AB2187" s="8"/>
      <c r="AC2187" s="27">
        <v>9785160181813</v>
      </c>
    </row>
    <row r="2188" spans="1:29" s="4" customFormat="1" ht="42" customHeight="1" x14ac:dyDescent="0.2">
      <c r="A2188" s="5">
        <v>0</v>
      </c>
      <c r="B2188" s="6" t="s">
        <v>13157</v>
      </c>
      <c r="C2188" s="13">
        <v>796.8</v>
      </c>
      <c r="D2188" s="8" t="s">
        <v>13158</v>
      </c>
      <c r="E2188" s="8" t="s">
        <v>13159</v>
      </c>
      <c r="F2188" s="8" t="s">
        <v>13160</v>
      </c>
      <c r="G2188" s="6" t="s">
        <v>60</v>
      </c>
      <c r="H2188" s="6" t="s">
        <v>820</v>
      </c>
      <c r="I2188" s="8"/>
      <c r="J2188" s="9">
        <v>1</v>
      </c>
      <c r="K2188" s="9">
        <v>120</v>
      </c>
      <c r="L2188" s="9">
        <v>2026</v>
      </c>
      <c r="M2188" s="8" t="s">
        <v>13161</v>
      </c>
      <c r="N2188" s="8" t="s">
        <v>243</v>
      </c>
      <c r="O2188" s="8" t="s">
        <v>758</v>
      </c>
      <c r="P2188" s="6" t="s">
        <v>51</v>
      </c>
      <c r="Q2188" s="8" t="s">
        <v>65</v>
      </c>
      <c r="R2188" s="10" t="s">
        <v>7911</v>
      </c>
      <c r="S2188" s="11"/>
      <c r="T2188" s="6"/>
      <c r="U2188" s="15" t="str">
        <f>HYPERLINK("https://media.infra-m.ru/2242/2242429/cover/2242429.jpg", "Обложка")</f>
        <v>Обложка</v>
      </c>
      <c r="V2188" s="8"/>
      <c r="W2188" s="6"/>
      <c r="X2188" s="6"/>
      <c r="Y2188" s="6"/>
      <c r="Z2188" s="6"/>
      <c r="AA2188" s="6" t="s">
        <v>86</v>
      </c>
      <c r="AB2188" s="8"/>
      <c r="AC2188" s="27">
        <v>9785906923844</v>
      </c>
    </row>
    <row r="2189" spans="1:29" s="4" customFormat="1" ht="51.9" customHeight="1" x14ac:dyDescent="0.2">
      <c r="A2189" s="5">
        <v>0</v>
      </c>
      <c r="B2189" s="6" t="s">
        <v>13162</v>
      </c>
      <c r="C2189" s="7">
        <v>1780.8</v>
      </c>
      <c r="D2189" s="8" t="s">
        <v>13163</v>
      </c>
      <c r="E2189" s="8" t="s">
        <v>13164</v>
      </c>
      <c r="F2189" s="8" t="s">
        <v>8890</v>
      </c>
      <c r="G2189" s="6" t="s">
        <v>118</v>
      </c>
      <c r="H2189" s="6" t="s">
        <v>34</v>
      </c>
      <c r="I2189" s="8" t="s">
        <v>253</v>
      </c>
      <c r="J2189" s="9">
        <v>1</v>
      </c>
      <c r="K2189" s="9">
        <v>296</v>
      </c>
      <c r="L2189" s="9">
        <v>2024</v>
      </c>
      <c r="M2189" s="8" t="s">
        <v>13165</v>
      </c>
      <c r="N2189" s="8" t="s">
        <v>243</v>
      </c>
      <c r="O2189" s="8" t="s">
        <v>964</v>
      </c>
      <c r="P2189" s="6" t="s">
        <v>306</v>
      </c>
      <c r="Q2189" s="8" t="s">
        <v>52</v>
      </c>
      <c r="R2189" s="10" t="s">
        <v>13166</v>
      </c>
      <c r="S2189" s="11" t="s">
        <v>13167</v>
      </c>
      <c r="T2189" s="6"/>
      <c r="U2189" s="15" t="str">
        <f>HYPERLINK("https://media.infra-m.ru/2143/2143376/cover/2143376.jpg", "Обложка")</f>
        <v>Обложка</v>
      </c>
      <c r="V2189" s="8" t="s">
        <v>831</v>
      </c>
      <c r="W2189" s="6"/>
      <c r="X2189" s="6"/>
      <c r="Y2189" s="6"/>
      <c r="Z2189" s="6"/>
      <c r="AA2189" s="6" t="s">
        <v>99</v>
      </c>
      <c r="AB2189" s="8"/>
      <c r="AC2189" s="27">
        <v>9785160184326</v>
      </c>
    </row>
    <row r="2190" spans="1:29" s="4" customFormat="1" ht="51.9" customHeight="1" x14ac:dyDescent="0.2">
      <c r="A2190" s="5">
        <v>0</v>
      </c>
      <c r="B2190" s="6" t="s">
        <v>13168</v>
      </c>
      <c r="C2190" s="7">
        <v>1956</v>
      </c>
      <c r="D2190" s="8" t="s">
        <v>13169</v>
      </c>
      <c r="E2190" s="8" t="s">
        <v>13164</v>
      </c>
      <c r="F2190" s="8" t="s">
        <v>8890</v>
      </c>
      <c r="G2190" s="6" t="s">
        <v>118</v>
      </c>
      <c r="H2190" s="6" t="s">
        <v>34</v>
      </c>
      <c r="I2190" s="8" t="s">
        <v>263</v>
      </c>
      <c r="J2190" s="9">
        <v>1</v>
      </c>
      <c r="K2190" s="9">
        <v>296</v>
      </c>
      <c r="L2190" s="9">
        <v>2026</v>
      </c>
      <c r="M2190" s="8" t="s">
        <v>13170</v>
      </c>
      <c r="N2190" s="8" t="s">
        <v>243</v>
      </c>
      <c r="O2190" s="8" t="s">
        <v>964</v>
      </c>
      <c r="P2190" s="6" t="s">
        <v>306</v>
      </c>
      <c r="Q2190" s="8" t="s">
        <v>265</v>
      </c>
      <c r="R2190" s="10" t="s">
        <v>13171</v>
      </c>
      <c r="S2190" s="11" t="s">
        <v>971</v>
      </c>
      <c r="T2190" s="6"/>
      <c r="U2190" s="15" t="str">
        <f>HYPERLINK("https://media.infra-m.ru/2244/2244005/cover/2244005.jpg", "Обложка")</f>
        <v>Обложка</v>
      </c>
      <c r="V2190" s="8" t="s">
        <v>831</v>
      </c>
      <c r="W2190" s="6"/>
      <c r="X2190" s="6"/>
      <c r="Y2190" s="6"/>
      <c r="Z2190" s="6" t="s">
        <v>267</v>
      </c>
      <c r="AA2190" s="6" t="s">
        <v>86</v>
      </c>
      <c r="AB2190" s="8"/>
      <c r="AC2190" s="27">
        <v>9785160139425</v>
      </c>
    </row>
    <row r="2191" spans="1:29" s="4" customFormat="1" ht="51.9" customHeight="1" x14ac:dyDescent="0.2">
      <c r="A2191" s="5">
        <v>0</v>
      </c>
      <c r="B2191" s="6" t="s">
        <v>13172</v>
      </c>
      <c r="C2191" s="7">
        <v>1464</v>
      </c>
      <c r="D2191" s="8" t="s">
        <v>13173</v>
      </c>
      <c r="E2191" s="8" t="s">
        <v>13174</v>
      </c>
      <c r="F2191" s="8" t="s">
        <v>8890</v>
      </c>
      <c r="G2191" s="6" t="s">
        <v>118</v>
      </c>
      <c r="H2191" s="6" t="s">
        <v>48</v>
      </c>
      <c r="I2191" s="8" t="s">
        <v>263</v>
      </c>
      <c r="J2191" s="9">
        <v>1</v>
      </c>
      <c r="K2191" s="9">
        <v>224</v>
      </c>
      <c r="L2191" s="9">
        <v>2025</v>
      </c>
      <c r="M2191" s="8" t="s">
        <v>13175</v>
      </c>
      <c r="N2191" s="8" t="s">
        <v>243</v>
      </c>
      <c r="O2191" s="8" t="s">
        <v>964</v>
      </c>
      <c r="P2191" s="6" t="s">
        <v>51</v>
      </c>
      <c r="Q2191" s="8" t="s">
        <v>265</v>
      </c>
      <c r="R2191" s="10" t="s">
        <v>13176</v>
      </c>
      <c r="S2191" s="11" t="s">
        <v>9469</v>
      </c>
      <c r="T2191" s="6"/>
      <c r="U2191" s="15" t="str">
        <f>HYPERLINK("https://media.infra-m.ru/2125/2125850/cover/2125850.jpg", "Обложка")</f>
        <v>Обложка</v>
      </c>
      <c r="V2191" s="8" t="s">
        <v>831</v>
      </c>
      <c r="W2191" s="6"/>
      <c r="X2191" s="6"/>
      <c r="Y2191" s="6"/>
      <c r="Z2191" s="6" t="s">
        <v>267</v>
      </c>
      <c r="AA2191" s="6" t="s">
        <v>404</v>
      </c>
      <c r="AB2191" s="8"/>
      <c r="AC2191" s="27">
        <v>9785000915479</v>
      </c>
    </row>
    <row r="2192" spans="1:29" s="4" customFormat="1" ht="51.9" customHeight="1" x14ac:dyDescent="0.2">
      <c r="A2192" s="5">
        <v>0</v>
      </c>
      <c r="B2192" s="6" t="s">
        <v>13177</v>
      </c>
      <c r="C2192" s="7">
        <v>1348.8</v>
      </c>
      <c r="D2192" s="8" t="s">
        <v>13178</v>
      </c>
      <c r="E2192" s="8" t="s">
        <v>13179</v>
      </c>
      <c r="F2192" s="8" t="s">
        <v>13180</v>
      </c>
      <c r="G2192" s="6" t="s">
        <v>60</v>
      </c>
      <c r="H2192" s="6" t="s">
        <v>48</v>
      </c>
      <c r="I2192" s="8" t="s">
        <v>253</v>
      </c>
      <c r="J2192" s="9">
        <v>1</v>
      </c>
      <c r="K2192" s="9">
        <v>224</v>
      </c>
      <c r="L2192" s="9">
        <v>2025</v>
      </c>
      <c r="M2192" s="8" t="s">
        <v>13181</v>
      </c>
      <c r="N2192" s="8" t="s">
        <v>243</v>
      </c>
      <c r="O2192" s="8" t="s">
        <v>964</v>
      </c>
      <c r="P2192" s="6" t="s">
        <v>51</v>
      </c>
      <c r="Q2192" s="8" t="s">
        <v>52</v>
      </c>
      <c r="R2192" s="10" t="s">
        <v>13182</v>
      </c>
      <c r="S2192" s="11" t="s">
        <v>13183</v>
      </c>
      <c r="T2192" s="6"/>
      <c r="U2192" s="15" t="str">
        <f>HYPERLINK("https://media.infra-m.ru/2187/2187295/cover/2187295.jpg", "Обложка")</f>
        <v>Обложка</v>
      </c>
      <c r="V2192" s="8" t="s">
        <v>831</v>
      </c>
      <c r="W2192" s="6"/>
      <c r="X2192" s="6"/>
      <c r="Y2192" s="6"/>
      <c r="Z2192" s="6"/>
      <c r="AA2192" s="6" t="s">
        <v>99</v>
      </c>
      <c r="AB2192" s="8"/>
      <c r="AC2192" s="27">
        <v>9785911349578</v>
      </c>
    </row>
    <row r="2193" spans="1:29" s="4" customFormat="1" ht="51.9" customHeight="1" x14ac:dyDescent="0.2">
      <c r="A2193" s="5">
        <v>0</v>
      </c>
      <c r="B2193" s="6" t="s">
        <v>13184</v>
      </c>
      <c r="C2193" s="7">
        <v>1692</v>
      </c>
      <c r="D2193" s="8" t="s">
        <v>13185</v>
      </c>
      <c r="E2193" s="8" t="s">
        <v>13186</v>
      </c>
      <c r="F2193" s="8" t="s">
        <v>13187</v>
      </c>
      <c r="G2193" s="6" t="s">
        <v>33</v>
      </c>
      <c r="H2193" s="6" t="s">
        <v>34</v>
      </c>
      <c r="I2193" s="8" t="s">
        <v>35</v>
      </c>
      <c r="J2193" s="9">
        <v>1</v>
      </c>
      <c r="K2193" s="9">
        <v>256</v>
      </c>
      <c r="L2193" s="9">
        <v>2026</v>
      </c>
      <c r="M2193" s="8" t="s">
        <v>13188</v>
      </c>
      <c r="N2193" s="8" t="s">
        <v>243</v>
      </c>
      <c r="O2193" s="8" t="s">
        <v>964</v>
      </c>
      <c r="P2193" s="6" t="s">
        <v>39</v>
      </c>
      <c r="Q2193" s="8" t="s">
        <v>40</v>
      </c>
      <c r="R2193" s="10" t="s">
        <v>13189</v>
      </c>
      <c r="S2193" s="11"/>
      <c r="T2193" s="6"/>
      <c r="U2193" s="15" t="str">
        <f>HYPERLINK("https://media.infra-m.ru/2231/2231761/cover/2231761.jpg", "Обложка")</f>
        <v>Обложка</v>
      </c>
      <c r="V2193" s="8" t="s">
        <v>831</v>
      </c>
      <c r="W2193" s="6"/>
      <c r="X2193" s="6"/>
      <c r="Y2193" s="6"/>
      <c r="Z2193" s="6"/>
      <c r="AA2193" s="6" t="s">
        <v>274</v>
      </c>
      <c r="AB2193" s="8"/>
      <c r="AC2193" s="27">
        <v>9785160166674</v>
      </c>
    </row>
    <row r="2194" spans="1:29" s="4" customFormat="1" ht="51.9" customHeight="1" x14ac:dyDescent="0.2">
      <c r="A2194" s="5">
        <v>0</v>
      </c>
      <c r="B2194" s="6" t="s">
        <v>13190</v>
      </c>
      <c r="C2194" s="7">
        <v>1049.9000000000001</v>
      </c>
      <c r="D2194" s="8" t="s">
        <v>13191</v>
      </c>
      <c r="E2194" s="8" t="s">
        <v>13186</v>
      </c>
      <c r="F2194" s="8" t="s">
        <v>13187</v>
      </c>
      <c r="G2194" s="6" t="s">
        <v>60</v>
      </c>
      <c r="H2194" s="6" t="s">
        <v>34</v>
      </c>
      <c r="I2194" s="8" t="s">
        <v>35</v>
      </c>
      <c r="J2194" s="9">
        <v>1</v>
      </c>
      <c r="K2194" s="9">
        <v>256</v>
      </c>
      <c r="L2194" s="9">
        <v>2019</v>
      </c>
      <c r="M2194" s="8" t="s">
        <v>13192</v>
      </c>
      <c r="N2194" s="8" t="s">
        <v>243</v>
      </c>
      <c r="O2194" s="8" t="s">
        <v>964</v>
      </c>
      <c r="P2194" s="6" t="s">
        <v>39</v>
      </c>
      <c r="Q2194" s="8" t="s">
        <v>40</v>
      </c>
      <c r="R2194" s="10" t="s">
        <v>13189</v>
      </c>
      <c r="S2194" s="11"/>
      <c r="T2194" s="6"/>
      <c r="U2194" s="15" t="str">
        <f>HYPERLINK("https://media.infra-m.ru/1013/1013449/cover/1013449.jpg", "Обложка")</f>
        <v>Обложка</v>
      </c>
      <c r="V2194" s="8" t="s">
        <v>831</v>
      </c>
      <c r="W2194" s="6"/>
      <c r="X2194" s="6"/>
      <c r="Y2194" s="6"/>
      <c r="Z2194" s="6"/>
      <c r="AA2194" s="6" t="s">
        <v>274</v>
      </c>
      <c r="AB2194" s="8"/>
      <c r="AC2194" s="27">
        <v>9785160115092</v>
      </c>
    </row>
    <row r="2195" spans="1:29" s="4" customFormat="1" ht="42" customHeight="1" x14ac:dyDescent="0.2">
      <c r="A2195" s="5">
        <v>0</v>
      </c>
      <c r="B2195" s="6" t="s">
        <v>13193</v>
      </c>
      <c r="C2195" s="7">
        <v>1068</v>
      </c>
      <c r="D2195" s="8" t="s">
        <v>13194</v>
      </c>
      <c r="E2195" s="8" t="s">
        <v>13195</v>
      </c>
      <c r="F2195" s="8" t="s">
        <v>13196</v>
      </c>
      <c r="G2195" s="6" t="s">
        <v>60</v>
      </c>
      <c r="H2195" s="6" t="s">
        <v>34</v>
      </c>
      <c r="I2195" s="8" t="s">
        <v>1248</v>
      </c>
      <c r="J2195" s="9">
        <v>1</v>
      </c>
      <c r="K2195" s="9">
        <v>131</v>
      </c>
      <c r="L2195" s="9">
        <v>2026</v>
      </c>
      <c r="M2195" s="8" t="s">
        <v>13197</v>
      </c>
      <c r="N2195" s="8" t="s">
        <v>243</v>
      </c>
      <c r="O2195" s="8" t="s">
        <v>758</v>
      </c>
      <c r="P2195" s="6" t="s">
        <v>51</v>
      </c>
      <c r="Q2195" s="8" t="s">
        <v>500</v>
      </c>
      <c r="R2195" s="10" t="s">
        <v>13198</v>
      </c>
      <c r="S2195" s="11"/>
      <c r="T2195" s="6"/>
      <c r="U2195" s="15" t="str">
        <f>HYPERLINK("https://media.infra-m.ru/2223/2223536/cover/2223536.jpg", "Обложка")</f>
        <v>Обложка</v>
      </c>
      <c r="V2195" s="8" t="s">
        <v>1083</v>
      </c>
      <c r="W2195" s="6" t="s">
        <v>186</v>
      </c>
      <c r="X2195" s="6"/>
      <c r="Y2195" s="6"/>
      <c r="Z2195" s="6"/>
      <c r="AA2195" s="6" t="s">
        <v>187</v>
      </c>
      <c r="AB2195" s="8"/>
      <c r="AC2195" s="27">
        <v>9785160213873</v>
      </c>
    </row>
    <row r="2196" spans="1:29" s="4" customFormat="1" ht="44.1" customHeight="1" x14ac:dyDescent="0.2">
      <c r="A2196" s="5">
        <v>0</v>
      </c>
      <c r="B2196" s="6" t="s">
        <v>13199</v>
      </c>
      <c r="C2196" s="13">
        <v>912</v>
      </c>
      <c r="D2196" s="8" t="s">
        <v>13200</v>
      </c>
      <c r="E2196" s="8" t="s">
        <v>13201</v>
      </c>
      <c r="F2196" s="8" t="s">
        <v>13202</v>
      </c>
      <c r="G2196" s="6" t="s">
        <v>33</v>
      </c>
      <c r="H2196" s="6" t="s">
        <v>34</v>
      </c>
      <c r="I2196" s="8" t="s">
        <v>35</v>
      </c>
      <c r="J2196" s="9">
        <v>1</v>
      </c>
      <c r="K2196" s="9">
        <v>200</v>
      </c>
      <c r="L2196" s="9">
        <v>2022</v>
      </c>
      <c r="M2196" s="8" t="s">
        <v>13203</v>
      </c>
      <c r="N2196" s="8" t="s">
        <v>37</v>
      </c>
      <c r="O2196" s="8" t="s">
        <v>280</v>
      </c>
      <c r="P2196" s="6" t="s">
        <v>39</v>
      </c>
      <c r="Q2196" s="8" t="s">
        <v>40</v>
      </c>
      <c r="R2196" s="10" t="s">
        <v>2053</v>
      </c>
      <c r="S2196" s="11"/>
      <c r="T2196" s="6"/>
      <c r="U2196" s="15" t="str">
        <f>HYPERLINK("https://media.infra-m.ru/1735/1735164/cover/1735164.jpg", "Обложка")</f>
        <v>Обложка</v>
      </c>
      <c r="V2196" s="8" t="s">
        <v>644</v>
      </c>
      <c r="W2196" s="6"/>
      <c r="X2196" s="6"/>
      <c r="Y2196" s="6"/>
      <c r="Z2196" s="6"/>
      <c r="AA2196" s="6" t="s">
        <v>1015</v>
      </c>
      <c r="AB2196" s="8"/>
      <c r="AC2196" s="27">
        <v>9785160041469</v>
      </c>
    </row>
    <row r="2197" spans="1:29" s="4" customFormat="1" ht="51.9" customHeight="1" x14ac:dyDescent="0.2">
      <c r="A2197" s="5">
        <v>0</v>
      </c>
      <c r="B2197" s="6" t="s">
        <v>13204</v>
      </c>
      <c r="C2197" s="7">
        <v>1944</v>
      </c>
      <c r="D2197" s="8" t="s">
        <v>13205</v>
      </c>
      <c r="E2197" s="8" t="s">
        <v>13206</v>
      </c>
      <c r="F2197" s="8" t="s">
        <v>13207</v>
      </c>
      <c r="G2197" s="6" t="s">
        <v>60</v>
      </c>
      <c r="H2197" s="6" t="s">
        <v>34</v>
      </c>
      <c r="I2197" s="8" t="s">
        <v>35</v>
      </c>
      <c r="J2197" s="9">
        <v>1</v>
      </c>
      <c r="K2197" s="9">
        <v>297</v>
      </c>
      <c r="L2197" s="9">
        <v>2026</v>
      </c>
      <c r="M2197" s="8" t="s">
        <v>13208</v>
      </c>
      <c r="N2197" s="8" t="s">
        <v>585</v>
      </c>
      <c r="O2197" s="8" t="s">
        <v>667</v>
      </c>
      <c r="P2197" s="6" t="s">
        <v>39</v>
      </c>
      <c r="Q2197" s="8" t="s">
        <v>40</v>
      </c>
      <c r="R2197" s="10" t="s">
        <v>13209</v>
      </c>
      <c r="S2197" s="11"/>
      <c r="T2197" s="6"/>
      <c r="U2197" s="15" t="str">
        <f>HYPERLINK("https://media.infra-m.ru/2216/2216485/cover/2216485.jpg", "Обложка")</f>
        <v>Обложка</v>
      </c>
      <c r="V2197" s="8" t="s">
        <v>761</v>
      </c>
      <c r="W2197" s="6"/>
      <c r="X2197" s="6"/>
      <c r="Y2197" s="6"/>
      <c r="Z2197" s="6"/>
      <c r="AA2197" s="6" t="s">
        <v>187</v>
      </c>
      <c r="AB2197" s="8" t="s">
        <v>11878</v>
      </c>
      <c r="AC2197" s="27">
        <v>9785160211718</v>
      </c>
    </row>
    <row r="2198" spans="1:29" s="4" customFormat="1" ht="42" customHeight="1" x14ac:dyDescent="0.2">
      <c r="A2198" s="5">
        <v>0</v>
      </c>
      <c r="B2198" s="6" t="s">
        <v>13210</v>
      </c>
      <c r="C2198" s="13">
        <v>876</v>
      </c>
      <c r="D2198" s="8" t="s">
        <v>13211</v>
      </c>
      <c r="E2198" s="8" t="s">
        <v>13212</v>
      </c>
      <c r="F2198" s="8" t="s">
        <v>13213</v>
      </c>
      <c r="G2198" s="6" t="s">
        <v>33</v>
      </c>
      <c r="H2198" s="6" t="s">
        <v>34</v>
      </c>
      <c r="I2198" s="8" t="s">
        <v>35</v>
      </c>
      <c r="J2198" s="9">
        <v>1</v>
      </c>
      <c r="K2198" s="9">
        <v>195</v>
      </c>
      <c r="L2198" s="9">
        <v>2021</v>
      </c>
      <c r="M2198" s="8" t="s">
        <v>13214</v>
      </c>
      <c r="N2198" s="8" t="s">
        <v>243</v>
      </c>
      <c r="O2198" s="8" t="s">
        <v>798</v>
      </c>
      <c r="P2198" s="6" t="s">
        <v>39</v>
      </c>
      <c r="Q2198" s="8" t="s">
        <v>40</v>
      </c>
      <c r="R2198" s="10" t="s">
        <v>13215</v>
      </c>
      <c r="S2198" s="11"/>
      <c r="T2198" s="6"/>
      <c r="U2198" s="15" t="str">
        <f>HYPERLINK("https://media.infra-m.ru/1074/1074097/cover/1074097.jpg", "Обложка")</f>
        <v>Обложка</v>
      </c>
      <c r="V2198" s="8" t="s">
        <v>13216</v>
      </c>
      <c r="W2198" s="6"/>
      <c r="X2198" s="6"/>
      <c r="Y2198" s="6"/>
      <c r="Z2198" s="6"/>
      <c r="AA2198" s="6" t="s">
        <v>258</v>
      </c>
      <c r="AB2198" s="8"/>
      <c r="AC2198" s="27">
        <v>9785160159904</v>
      </c>
    </row>
    <row r="2199" spans="1:29" s="4" customFormat="1" ht="51.9" customHeight="1" x14ac:dyDescent="0.2">
      <c r="A2199" s="5">
        <v>0</v>
      </c>
      <c r="B2199" s="6" t="s">
        <v>13217</v>
      </c>
      <c r="C2199" s="7">
        <v>1312.8</v>
      </c>
      <c r="D2199" s="8" t="s">
        <v>13218</v>
      </c>
      <c r="E2199" s="8" t="s">
        <v>13219</v>
      </c>
      <c r="F2199" s="8" t="s">
        <v>13220</v>
      </c>
      <c r="G2199" s="6" t="s">
        <v>60</v>
      </c>
      <c r="H2199" s="6" t="s">
        <v>313</v>
      </c>
      <c r="I2199" s="8" t="s">
        <v>253</v>
      </c>
      <c r="J2199" s="9">
        <v>1</v>
      </c>
      <c r="K2199" s="9">
        <v>238</v>
      </c>
      <c r="L2199" s="9">
        <v>2024</v>
      </c>
      <c r="M2199" s="8" t="s">
        <v>13221</v>
      </c>
      <c r="N2199" s="8" t="s">
        <v>37</v>
      </c>
      <c r="O2199" s="8" t="s">
        <v>280</v>
      </c>
      <c r="P2199" s="6" t="s">
        <v>51</v>
      </c>
      <c r="Q2199" s="8" t="s">
        <v>52</v>
      </c>
      <c r="R2199" s="10" t="s">
        <v>13222</v>
      </c>
      <c r="S2199" s="11" t="s">
        <v>13223</v>
      </c>
      <c r="T2199" s="6"/>
      <c r="U2199" s="15" t="str">
        <f>HYPERLINK("https://media.infra-m.ru/1851/1851534/cover/1851534.jpg", "Обложка")</f>
        <v>Обложка</v>
      </c>
      <c r="V2199" s="8" t="s">
        <v>2398</v>
      </c>
      <c r="W2199" s="6"/>
      <c r="X2199" s="6"/>
      <c r="Y2199" s="6"/>
      <c r="Z2199" s="6"/>
      <c r="AA2199" s="6" t="s">
        <v>859</v>
      </c>
      <c r="AB2199" s="8"/>
      <c r="AC2199" s="27">
        <v>9785369013304</v>
      </c>
    </row>
    <row r="2200" spans="1:29" s="4" customFormat="1" ht="51.9" customHeight="1" x14ac:dyDescent="0.2">
      <c r="A2200" s="5">
        <v>0</v>
      </c>
      <c r="B2200" s="6" t="s">
        <v>13224</v>
      </c>
      <c r="C2200" s="7">
        <v>2056.8000000000002</v>
      </c>
      <c r="D2200" s="8" t="s">
        <v>13225</v>
      </c>
      <c r="E2200" s="8" t="s">
        <v>13226</v>
      </c>
      <c r="F2200" s="8" t="s">
        <v>13227</v>
      </c>
      <c r="G2200" s="6" t="s">
        <v>118</v>
      </c>
      <c r="H2200" s="6" t="s">
        <v>34</v>
      </c>
      <c r="I2200" s="8" t="s">
        <v>271</v>
      </c>
      <c r="J2200" s="9">
        <v>1</v>
      </c>
      <c r="K2200" s="9">
        <v>342</v>
      </c>
      <c r="L2200" s="9">
        <v>2025</v>
      </c>
      <c r="M2200" s="8" t="s">
        <v>13228</v>
      </c>
      <c r="N2200" s="8" t="s">
        <v>37</v>
      </c>
      <c r="O2200" s="8" t="s">
        <v>233</v>
      </c>
      <c r="P2200" s="6" t="s">
        <v>51</v>
      </c>
      <c r="Q2200" s="8" t="s">
        <v>52</v>
      </c>
      <c r="R2200" s="10" t="s">
        <v>8386</v>
      </c>
      <c r="S2200" s="11" t="s">
        <v>13229</v>
      </c>
      <c r="T2200" s="6"/>
      <c r="U2200" s="15" t="str">
        <f>HYPERLINK("https://media.infra-m.ru/2188/2188202/cover/2188202.jpg", "Обложка")</f>
        <v>Обложка</v>
      </c>
      <c r="V2200" s="8" t="s">
        <v>657</v>
      </c>
      <c r="W2200" s="6"/>
      <c r="X2200" s="6"/>
      <c r="Y2200" s="6"/>
      <c r="Z2200" s="6"/>
      <c r="AA2200" s="6" t="s">
        <v>3189</v>
      </c>
      <c r="AB2200" s="8"/>
      <c r="AC2200" s="27">
        <v>9785160164632</v>
      </c>
    </row>
    <row r="2201" spans="1:29" s="4" customFormat="1" ht="51.9" customHeight="1" x14ac:dyDescent="0.2">
      <c r="A2201" s="5">
        <v>0</v>
      </c>
      <c r="B2201" s="6" t="s">
        <v>13230</v>
      </c>
      <c r="C2201" s="13">
        <v>833.9</v>
      </c>
      <c r="D2201" s="8" t="s">
        <v>13231</v>
      </c>
      <c r="E2201" s="8" t="s">
        <v>13232</v>
      </c>
      <c r="F2201" s="8" t="s">
        <v>13227</v>
      </c>
      <c r="G2201" s="6" t="s">
        <v>60</v>
      </c>
      <c r="H2201" s="6" t="s">
        <v>34</v>
      </c>
      <c r="I2201" s="8" t="s">
        <v>271</v>
      </c>
      <c r="J2201" s="9">
        <v>20</v>
      </c>
      <c r="K2201" s="9">
        <v>216</v>
      </c>
      <c r="L2201" s="9">
        <v>2019</v>
      </c>
      <c r="M2201" s="8" t="s">
        <v>13233</v>
      </c>
      <c r="N2201" s="8" t="s">
        <v>37</v>
      </c>
      <c r="O2201" s="8" t="s">
        <v>233</v>
      </c>
      <c r="P2201" s="6" t="s">
        <v>51</v>
      </c>
      <c r="Q2201" s="8" t="s">
        <v>52</v>
      </c>
      <c r="R2201" s="10" t="s">
        <v>8386</v>
      </c>
      <c r="S2201" s="11" t="s">
        <v>13234</v>
      </c>
      <c r="T2201" s="6"/>
      <c r="U2201" s="15" t="str">
        <f>HYPERLINK("https://media.infra-m.ru/0991/0991851/cover/991851.jpg", "Обложка")</f>
        <v>Обложка</v>
      </c>
      <c r="V2201" s="8" t="s">
        <v>657</v>
      </c>
      <c r="W2201" s="6"/>
      <c r="X2201" s="6"/>
      <c r="Y2201" s="6"/>
      <c r="Z2201" s="6"/>
      <c r="AA2201" s="6" t="s">
        <v>3391</v>
      </c>
      <c r="AB2201" s="8"/>
      <c r="AC2201" s="27">
        <v>9785160041995</v>
      </c>
    </row>
    <row r="2202" spans="1:29" s="4" customFormat="1" ht="42" customHeight="1" x14ac:dyDescent="0.2">
      <c r="A2202" s="5">
        <v>0</v>
      </c>
      <c r="B2202" s="6" t="s">
        <v>13235</v>
      </c>
      <c r="C2202" s="7">
        <v>2016</v>
      </c>
      <c r="D2202" s="8" t="s">
        <v>13236</v>
      </c>
      <c r="E2202" s="8" t="s">
        <v>13237</v>
      </c>
      <c r="F2202" s="8" t="s">
        <v>13238</v>
      </c>
      <c r="G2202" s="6" t="s">
        <v>60</v>
      </c>
      <c r="H2202" s="6" t="s">
        <v>34</v>
      </c>
      <c r="I2202" s="8" t="s">
        <v>304</v>
      </c>
      <c r="J2202" s="9">
        <v>1</v>
      </c>
      <c r="K2202" s="9">
        <v>344</v>
      </c>
      <c r="L2202" s="9">
        <v>2023</v>
      </c>
      <c r="M2202" s="8" t="s">
        <v>13239</v>
      </c>
      <c r="N2202" s="8" t="s">
        <v>585</v>
      </c>
      <c r="O2202" s="8" t="s">
        <v>667</v>
      </c>
      <c r="P2202" s="6" t="s">
        <v>51</v>
      </c>
      <c r="Q2202" s="8" t="s">
        <v>52</v>
      </c>
      <c r="R2202" s="10" t="s">
        <v>1646</v>
      </c>
      <c r="S2202" s="11"/>
      <c r="T2202" s="6"/>
      <c r="U2202" s="15" t="str">
        <f>HYPERLINK("https://media.infra-m.ru/1882/1882574/cover/1882574.jpg", "Обложка")</f>
        <v>Обложка</v>
      </c>
      <c r="V2202" s="8" t="s">
        <v>247</v>
      </c>
      <c r="W2202" s="6"/>
      <c r="X2202" s="6"/>
      <c r="Y2202" s="6"/>
      <c r="Z2202" s="6"/>
      <c r="AA2202" s="6" t="s">
        <v>157</v>
      </c>
      <c r="AB2202" s="8"/>
      <c r="AC2202" s="27">
        <v>9785160178288</v>
      </c>
    </row>
    <row r="2203" spans="1:29" s="4" customFormat="1" ht="51.9" customHeight="1" x14ac:dyDescent="0.2">
      <c r="A2203" s="5">
        <v>0</v>
      </c>
      <c r="B2203" s="6" t="s">
        <v>13240</v>
      </c>
      <c r="C2203" s="7">
        <v>1528.8</v>
      </c>
      <c r="D2203" s="8" t="s">
        <v>13241</v>
      </c>
      <c r="E2203" s="8" t="s">
        <v>13242</v>
      </c>
      <c r="F2203" s="8" t="s">
        <v>13243</v>
      </c>
      <c r="G2203" s="6" t="s">
        <v>60</v>
      </c>
      <c r="H2203" s="6" t="s">
        <v>820</v>
      </c>
      <c r="I2203" s="8"/>
      <c r="J2203" s="9">
        <v>1</v>
      </c>
      <c r="K2203" s="9">
        <v>256</v>
      </c>
      <c r="L2203" s="9">
        <v>2025</v>
      </c>
      <c r="M2203" s="8" t="s">
        <v>13244</v>
      </c>
      <c r="N2203" s="8" t="s">
        <v>37</v>
      </c>
      <c r="O2203" s="8" t="s">
        <v>280</v>
      </c>
      <c r="P2203" s="6" t="s">
        <v>51</v>
      </c>
      <c r="Q2203" s="8" t="s">
        <v>500</v>
      </c>
      <c r="R2203" s="10" t="s">
        <v>13245</v>
      </c>
      <c r="S2203" s="11" t="s">
        <v>13246</v>
      </c>
      <c r="T2203" s="6"/>
      <c r="U2203" s="15" t="str">
        <f>HYPERLINK("https://media.infra-m.ru/2094/2094355/cover/2094355.jpg", "Обложка")</f>
        <v>Обложка</v>
      </c>
      <c r="V2203" s="8" t="s">
        <v>3428</v>
      </c>
      <c r="W2203" s="6"/>
      <c r="X2203" s="6"/>
      <c r="Y2203" s="6"/>
      <c r="Z2203" s="6"/>
      <c r="AA2203" s="6" t="s">
        <v>55</v>
      </c>
      <c r="AB2203" s="8"/>
      <c r="AC2203" s="27">
        <v>9785905554254</v>
      </c>
    </row>
    <row r="2204" spans="1:29" s="4" customFormat="1" ht="51.9" customHeight="1" x14ac:dyDescent="0.2">
      <c r="A2204" s="5">
        <v>0</v>
      </c>
      <c r="B2204" s="6" t="s">
        <v>13247</v>
      </c>
      <c r="C2204" s="7">
        <v>1960.8</v>
      </c>
      <c r="D2204" s="8" t="s">
        <v>13248</v>
      </c>
      <c r="E2204" s="8" t="s">
        <v>13249</v>
      </c>
      <c r="F2204" s="8" t="s">
        <v>13250</v>
      </c>
      <c r="G2204" s="6" t="s">
        <v>60</v>
      </c>
      <c r="H2204" s="6" t="s">
        <v>34</v>
      </c>
      <c r="I2204" s="8" t="s">
        <v>253</v>
      </c>
      <c r="J2204" s="9">
        <v>1</v>
      </c>
      <c r="K2204" s="9">
        <v>282</v>
      </c>
      <c r="L2204" s="9">
        <v>2026</v>
      </c>
      <c r="M2204" s="8" t="s">
        <v>13251</v>
      </c>
      <c r="N2204" s="8" t="s">
        <v>37</v>
      </c>
      <c r="O2204" s="8" t="s">
        <v>233</v>
      </c>
      <c r="P2204" s="6" t="s">
        <v>306</v>
      </c>
      <c r="Q2204" s="8" t="s">
        <v>52</v>
      </c>
      <c r="R2204" s="10" t="s">
        <v>13252</v>
      </c>
      <c r="S2204" s="11"/>
      <c r="T2204" s="6"/>
      <c r="U2204" s="15" t="str">
        <f>HYPERLINK("https://media.infra-m.ru/2255/2255177/cover/2255177.jpg", "Обложка")</f>
        <v>Обложка</v>
      </c>
      <c r="V2204" s="8" t="s">
        <v>13253</v>
      </c>
      <c r="W2204" s="6"/>
      <c r="X2204" s="6"/>
      <c r="Y2204" s="6"/>
      <c r="Z2204" s="6"/>
      <c r="AA2204" s="6" t="s">
        <v>76</v>
      </c>
      <c r="AB2204" s="8"/>
      <c r="AC2204" s="27">
        <v>9785160182919</v>
      </c>
    </row>
    <row r="2205" spans="1:29" s="4" customFormat="1" ht="44.1" customHeight="1" x14ac:dyDescent="0.2">
      <c r="A2205" s="5">
        <v>0</v>
      </c>
      <c r="B2205" s="6" t="s">
        <v>13254</v>
      </c>
      <c r="C2205" s="7">
        <v>1480.8</v>
      </c>
      <c r="D2205" s="8" t="s">
        <v>13255</v>
      </c>
      <c r="E2205" s="8" t="s">
        <v>13256</v>
      </c>
      <c r="F2205" s="8" t="s">
        <v>13257</v>
      </c>
      <c r="G2205" s="6" t="s">
        <v>33</v>
      </c>
      <c r="H2205" s="6" t="s">
        <v>34</v>
      </c>
      <c r="I2205" s="8" t="s">
        <v>35</v>
      </c>
      <c r="J2205" s="9">
        <v>1</v>
      </c>
      <c r="K2205" s="9">
        <v>247</v>
      </c>
      <c r="L2205" s="9">
        <v>2025</v>
      </c>
      <c r="M2205" s="8" t="s">
        <v>13258</v>
      </c>
      <c r="N2205" s="8" t="s">
        <v>243</v>
      </c>
      <c r="O2205" s="8" t="s">
        <v>933</v>
      </c>
      <c r="P2205" s="6" t="s">
        <v>39</v>
      </c>
      <c r="Q2205" s="8" t="s">
        <v>40</v>
      </c>
      <c r="R2205" s="10" t="s">
        <v>13259</v>
      </c>
      <c r="S2205" s="11"/>
      <c r="T2205" s="6"/>
      <c r="U2205" s="15" t="str">
        <f>HYPERLINK("https://media.infra-m.ru/2179/2179730/cover/2179730.jpg", "Обложка")</f>
        <v>Обложка</v>
      </c>
      <c r="V2205" s="8" t="s">
        <v>217</v>
      </c>
      <c r="W2205" s="6"/>
      <c r="X2205" s="6"/>
      <c r="Y2205" s="6"/>
      <c r="Z2205" s="6"/>
      <c r="AA2205" s="6" t="s">
        <v>1256</v>
      </c>
      <c r="AB2205" s="8"/>
      <c r="AC2205" s="27">
        <v>9785160162881</v>
      </c>
    </row>
    <row r="2206" spans="1:29" s="4" customFormat="1" ht="51.9" customHeight="1" x14ac:dyDescent="0.2">
      <c r="A2206" s="5">
        <v>0</v>
      </c>
      <c r="B2206" s="6" t="s">
        <v>13260</v>
      </c>
      <c r="C2206" s="7">
        <v>2153.9</v>
      </c>
      <c r="D2206" s="8" t="s">
        <v>13261</v>
      </c>
      <c r="E2206" s="8" t="s">
        <v>13262</v>
      </c>
      <c r="F2206" s="8" t="s">
        <v>13263</v>
      </c>
      <c r="G2206" s="6" t="s">
        <v>60</v>
      </c>
      <c r="H2206" s="6" t="s">
        <v>1644</v>
      </c>
      <c r="I2206" s="8"/>
      <c r="J2206" s="9">
        <v>1</v>
      </c>
      <c r="K2206" s="9">
        <v>399</v>
      </c>
      <c r="L2206" s="9">
        <v>2023</v>
      </c>
      <c r="M2206" s="8" t="s">
        <v>13264</v>
      </c>
      <c r="N2206" s="8" t="s">
        <v>93</v>
      </c>
      <c r="O2206" s="8" t="s">
        <v>94</v>
      </c>
      <c r="P2206" s="6" t="s">
        <v>39</v>
      </c>
      <c r="Q2206" s="8" t="s">
        <v>40</v>
      </c>
      <c r="R2206" s="10" t="s">
        <v>13265</v>
      </c>
      <c r="S2206" s="11"/>
      <c r="T2206" s="6"/>
      <c r="U2206" s="15" t="str">
        <f>HYPERLINK("https://media.infra-m.ru/1895/1895704/cover/1895704.jpg", "Обложка")</f>
        <v>Обложка</v>
      </c>
      <c r="V2206" s="8" t="s">
        <v>13266</v>
      </c>
      <c r="W2206" s="6"/>
      <c r="X2206" s="6"/>
      <c r="Y2206" s="6"/>
      <c r="Z2206" s="6"/>
      <c r="AA2206" s="6" t="s">
        <v>561</v>
      </c>
      <c r="AB2206" s="8"/>
      <c r="AC2206" s="27">
        <v>9785977601207</v>
      </c>
    </row>
    <row r="2207" spans="1:29" s="4" customFormat="1" ht="51.9" customHeight="1" x14ac:dyDescent="0.2">
      <c r="A2207" s="5">
        <v>0</v>
      </c>
      <c r="B2207" s="6" t="s">
        <v>13267</v>
      </c>
      <c r="C2207" s="7">
        <v>1336.8</v>
      </c>
      <c r="D2207" s="8" t="s">
        <v>13268</v>
      </c>
      <c r="E2207" s="8" t="s">
        <v>13269</v>
      </c>
      <c r="F2207" s="8" t="s">
        <v>13270</v>
      </c>
      <c r="G2207" s="6" t="s">
        <v>33</v>
      </c>
      <c r="H2207" s="6" t="s">
        <v>34</v>
      </c>
      <c r="I2207" s="8" t="s">
        <v>35</v>
      </c>
      <c r="J2207" s="9">
        <v>1</v>
      </c>
      <c r="K2207" s="9">
        <v>193</v>
      </c>
      <c r="L2207" s="9">
        <v>2026</v>
      </c>
      <c r="M2207" s="8" t="s">
        <v>13271</v>
      </c>
      <c r="N2207" s="8" t="s">
        <v>93</v>
      </c>
      <c r="O2207" s="8" t="s">
        <v>94</v>
      </c>
      <c r="P2207" s="6" t="s">
        <v>39</v>
      </c>
      <c r="Q2207" s="8" t="s">
        <v>40</v>
      </c>
      <c r="R2207" s="10" t="s">
        <v>7055</v>
      </c>
      <c r="S2207" s="11"/>
      <c r="T2207" s="6"/>
      <c r="U2207" s="15" t="str">
        <f>HYPERLINK("https://media.infra-m.ru/2168/2168123/cover/2168123.jpg", "Обложка")</f>
        <v>Обложка</v>
      </c>
      <c r="V2207" s="8" t="s">
        <v>8054</v>
      </c>
      <c r="W2207" s="6"/>
      <c r="X2207" s="6"/>
      <c r="Y2207" s="6"/>
      <c r="Z2207" s="6"/>
      <c r="AA2207" s="6" t="s">
        <v>1256</v>
      </c>
      <c r="AB2207" s="8"/>
      <c r="AC2207" s="27">
        <v>9785160161969</v>
      </c>
    </row>
    <row r="2208" spans="1:29" s="4" customFormat="1" ht="42" customHeight="1" x14ac:dyDescent="0.2">
      <c r="A2208" s="5">
        <v>0</v>
      </c>
      <c r="B2208" s="6" t="s">
        <v>13272</v>
      </c>
      <c r="C2208" s="13">
        <v>960</v>
      </c>
      <c r="D2208" s="8" t="s">
        <v>13273</v>
      </c>
      <c r="E2208" s="8" t="s">
        <v>13274</v>
      </c>
      <c r="F2208" s="8" t="s">
        <v>13275</v>
      </c>
      <c r="G2208" s="6" t="s">
        <v>33</v>
      </c>
      <c r="H2208" s="6" t="s">
        <v>34</v>
      </c>
      <c r="I2208" s="8" t="s">
        <v>253</v>
      </c>
      <c r="J2208" s="9">
        <v>1</v>
      </c>
      <c r="K2208" s="9">
        <v>144</v>
      </c>
      <c r="L2208" s="9">
        <v>2026</v>
      </c>
      <c r="M2208" s="8" t="s">
        <v>13276</v>
      </c>
      <c r="N2208" s="8" t="s">
        <v>63</v>
      </c>
      <c r="O2208" s="8" t="s">
        <v>126</v>
      </c>
      <c r="P2208" s="6" t="s">
        <v>1293</v>
      </c>
      <c r="Q2208" s="8" t="s">
        <v>52</v>
      </c>
      <c r="R2208" s="10" t="s">
        <v>13277</v>
      </c>
      <c r="S2208" s="11"/>
      <c r="T2208" s="6"/>
      <c r="U2208" s="15" t="str">
        <f>HYPERLINK("https://media.infra-m.ru/2232/2232554/cover/2232554.jpg", "Обложка")</f>
        <v>Обложка</v>
      </c>
      <c r="V2208" s="8" t="s">
        <v>4943</v>
      </c>
      <c r="W2208" s="6"/>
      <c r="X2208" s="6"/>
      <c r="Y2208" s="6"/>
      <c r="Z2208" s="6"/>
      <c r="AA2208" s="6" t="s">
        <v>148</v>
      </c>
      <c r="AB2208" s="8"/>
      <c r="AC2208" s="27">
        <v>9785160176918</v>
      </c>
    </row>
    <row r="2209" spans="1:29" s="4" customFormat="1" ht="51.9" customHeight="1" x14ac:dyDescent="0.2">
      <c r="A2209" s="5">
        <v>0</v>
      </c>
      <c r="B2209" s="6" t="s">
        <v>13278</v>
      </c>
      <c r="C2209" s="7">
        <v>1080</v>
      </c>
      <c r="D2209" s="8" t="s">
        <v>13279</v>
      </c>
      <c r="E2209" s="8" t="s">
        <v>13280</v>
      </c>
      <c r="F2209" s="8" t="s">
        <v>13281</v>
      </c>
      <c r="G2209" s="6" t="s">
        <v>33</v>
      </c>
      <c r="H2209" s="6" t="s">
        <v>34</v>
      </c>
      <c r="I2209" s="8" t="s">
        <v>35</v>
      </c>
      <c r="J2209" s="9">
        <v>1</v>
      </c>
      <c r="K2209" s="9">
        <v>194</v>
      </c>
      <c r="L2209" s="9">
        <v>2024</v>
      </c>
      <c r="M2209" s="8" t="s">
        <v>13282</v>
      </c>
      <c r="N2209" s="8" t="s">
        <v>37</v>
      </c>
      <c r="O2209" s="8" t="s">
        <v>38</v>
      </c>
      <c r="P2209" s="6" t="s">
        <v>39</v>
      </c>
      <c r="Q2209" s="8" t="s">
        <v>40</v>
      </c>
      <c r="R2209" s="10" t="s">
        <v>13283</v>
      </c>
      <c r="S2209" s="11"/>
      <c r="T2209" s="6" t="s">
        <v>97</v>
      </c>
      <c r="U2209" s="15" t="str">
        <f>HYPERLINK("https://media.infra-m.ru/2086/2086809/cover/2086809.jpg", "Обложка")</f>
        <v>Обложка</v>
      </c>
      <c r="V2209" s="8" t="s">
        <v>3998</v>
      </c>
      <c r="W2209" s="6"/>
      <c r="X2209" s="6"/>
      <c r="Y2209" s="6"/>
      <c r="Z2209" s="6"/>
      <c r="AA2209" s="6" t="s">
        <v>1256</v>
      </c>
      <c r="AB2209" s="8"/>
      <c r="AC2209" s="27">
        <v>9785160150857</v>
      </c>
    </row>
    <row r="2210" spans="1:29" s="4" customFormat="1" ht="42" customHeight="1" x14ac:dyDescent="0.2">
      <c r="A2210" s="5">
        <v>0</v>
      </c>
      <c r="B2210" s="6" t="s">
        <v>13284</v>
      </c>
      <c r="C2210" s="13">
        <v>936</v>
      </c>
      <c r="D2210" s="8" t="s">
        <v>13285</v>
      </c>
      <c r="E2210" s="8" t="s">
        <v>13286</v>
      </c>
      <c r="F2210" s="8" t="s">
        <v>13287</v>
      </c>
      <c r="G2210" s="6" t="s">
        <v>33</v>
      </c>
      <c r="H2210" s="6" t="s">
        <v>34</v>
      </c>
      <c r="I2210" s="8" t="s">
        <v>35</v>
      </c>
      <c r="J2210" s="9">
        <v>1</v>
      </c>
      <c r="K2210" s="9">
        <v>156</v>
      </c>
      <c r="L2210" s="9">
        <v>2025</v>
      </c>
      <c r="M2210" s="8" t="s">
        <v>13288</v>
      </c>
      <c r="N2210" s="8" t="s">
        <v>37</v>
      </c>
      <c r="O2210" s="8" t="s">
        <v>38</v>
      </c>
      <c r="P2210" s="6" t="s">
        <v>39</v>
      </c>
      <c r="Q2210" s="8" t="s">
        <v>40</v>
      </c>
      <c r="R2210" s="10" t="s">
        <v>13289</v>
      </c>
      <c r="S2210" s="11"/>
      <c r="T2210" s="6"/>
      <c r="U2210" s="15" t="str">
        <f>HYPERLINK("https://media.infra-m.ru/2163/2163908/cover/2163908.jpg", "Обложка")</f>
        <v>Обложка</v>
      </c>
      <c r="V2210" s="8" t="s">
        <v>7455</v>
      </c>
      <c r="W2210" s="6"/>
      <c r="X2210" s="6"/>
      <c r="Y2210" s="6"/>
      <c r="Z2210" s="6"/>
      <c r="AA2210" s="6" t="s">
        <v>86</v>
      </c>
      <c r="AB2210" s="8"/>
      <c r="AC2210" s="27">
        <v>9785160132822</v>
      </c>
    </row>
    <row r="2211" spans="1:29" s="4" customFormat="1" ht="42" customHeight="1" x14ac:dyDescent="0.2">
      <c r="A2211" s="5">
        <v>0</v>
      </c>
      <c r="B2211" s="6" t="s">
        <v>13290</v>
      </c>
      <c r="C2211" s="7">
        <v>1392</v>
      </c>
      <c r="D2211" s="8" t="s">
        <v>13291</v>
      </c>
      <c r="E2211" s="8" t="s">
        <v>13292</v>
      </c>
      <c r="F2211" s="8" t="s">
        <v>13293</v>
      </c>
      <c r="G2211" s="6" t="s">
        <v>60</v>
      </c>
      <c r="H2211" s="6" t="s">
        <v>34</v>
      </c>
      <c r="I2211" s="8" t="s">
        <v>35</v>
      </c>
      <c r="J2211" s="9">
        <v>1</v>
      </c>
      <c r="K2211" s="9">
        <v>189</v>
      </c>
      <c r="L2211" s="9">
        <v>2026</v>
      </c>
      <c r="M2211" s="8" t="s">
        <v>13294</v>
      </c>
      <c r="N2211" s="8" t="s">
        <v>37</v>
      </c>
      <c r="O2211" s="8" t="s">
        <v>136</v>
      </c>
      <c r="P2211" s="6" t="s">
        <v>39</v>
      </c>
      <c r="Q2211" s="8" t="s">
        <v>40</v>
      </c>
      <c r="R2211" s="10" t="s">
        <v>13295</v>
      </c>
      <c r="S2211" s="11"/>
      <c r="T2211" s="6"/>
      <c r="U2211" s="15" t="str">
        <f>HYPERLINK("https://media.infra-m.ru/2242/2242166/cover/2242166.jpg", "Обложка")</f>
        <v>Обложка</v>
      </c>
      <c r="V2211" s="8" t="s">
        <v>138</v>
      </c>
      <c r="W2211" s="6" t="s">
        <v>649</v>
      </c>
      <c r="X2211" s="6"/>
      <c r="Y2211" s="6"/>
      <c r="Z2211" s="6"/>
      <c r="AA2211" s="6" t="s">
        <v>187</v>
      </c>
      <c r="AB2211" s="8"/>
      <c r="AC2211" s="27">
        <v>9785160219080</v>
      </c>
    </row>
    <row r="2212" spans="1:29" s="4" customFormat="1" ht="42" customHeight="1" x14ac:dyDescent="0.2">
      <c r="A2212" s="5">
        <v>0</v>
      </c>
      <c r="B2212" s="6" t="s">
        <v>13296</v>
      </c>
      <c r="C2212" s="7">
        <v>1452</v>
      </c>
      <c r="D2212" s="8" t="s">
        <v>13297</v>
      </c>
      <c r="E2212" s="8" t="s">
        <v>13298</v>
      </c>
      <c r="F2212" s="8" t="s">
        <v>13299</v>
      </c>
      <c r="G2212" s="6" t="s">
        <v>60</v>
      </c>
      <c r="H2212" s="6" t="s">
        <v>34</v>
      </c>
      <c r="I2212" s="8" t="s">
        <v>253</v>
      </c>
      <c r="J2212" s="9">
        <v>1</v>
      </c>
      <c r="K2212" s="9">
        <v>238</v>
      </c>
      <c r="L2212" s="9">
        <v>2024</v>
      </c>
      <c r="M2212" s="8" t="s">
        <v>13300</v>
      </c>
      <c r="N2212" s="8" t="s">
        <v>37</v>
      </c>
      <c r="O2212" s="8" t="s">
        <v>38</v>
      </c>
      <c r="P2212" s="6" t="s">
        <v>51</v>
      </c>
      <c r="Q2212" s="8" t="s">
        <v>52</v>
      </c>
      <c r="R2212" s="10" t="s">
        <v>13301</v>
      </c>
      <c r="S2212" s="11"/>
      <c r="T2212" s="6"/>
      <c r="U2212" s="15" t="str">
        <f>HYPERLINK("https://media.infra-m.ru/1876/1876528/cover/1876528.jpg", "Обложка")</f>
        <v>Обложка</v>
      </c>
      <c r="V2212" s="8" t="s">
        <v>6135</v>
      </c>
      <c r="W2212" s="6"/>
      <c r="X2212" s="6"/>
      <c r="Y2212" s="6"/>
      <c r="Z2212" s="6"/>
      <c r="AA2212" s="6" t="s">
        <v>76</v>
      </c>
      <c r="AB2212" s="8"/>
      <c r="AC2212" s="27">
        <v>9785160177977</v>
      </c>
    </row>
    <row r="2213" spans="1:29" s="4" customFormat="1" ht="42" customHeight="1" x14ac:dyDescent="0.2">
      <c r="A2213" s="5">
        <v>0</v>
      </c>
      <c r="B2213" s="6" t="s">
        <v>13302</v>
      </c>
      <c r="C2213" s="7">
        <v>1504.8</v>
      </c>
      <c r="D2213" s="8" t="s">
        <v>13303</v>
      </c>
      <c r="E2213" s="8" t="s">
        <v>13304</v>
      </c>
      <c r="F2213" s="8" t="s">
        <v>13305</v>
      </c>
      <c r="G2213" s="6" t="s">
        <v>118</v>
      </c>
      <c r="H2213" s="6" t="s">
        <v>313</v>
      </c>
      <c r="I2213" s="8" t="s">
        <v>253</v>
      </c>
      <c r="J2213" s="9">
        <v>1</v>
      </c>
      <c r="K2213" s="9">
        <v>216</v>
      </c>
      <c r="L2213" s="9">
        <v>2027</v>
      </c>
      <c r="M2213" s="8" t="s">
        <v>13306</v>
      </c>
      <c r="N2213" s="8" t="s">
        <v>63</v>
      </c>
      <c r="O2213" s="8" t="s">
        <v>64</v>
      </c>
      <c r="P2213" s="6" t="s">
        <v>51</v>
      </c>
      <c r="Q2213" s="8" t="s">
        <v>52</v>
      </c>
      <c r="R2213" s="10" t="s">
        <v>13307</v>
      </c>
      <c r="S2213" s="11"/>
      <c r="T2213" s="6"/>
      <c r="U2213" s="15" t="str">
        <f>HYPERLINK("https://media.infra-m.ru/2265/2265757/cover/2265757.jpg", "Обложка")</f>
        <v>Обложка</v>
      </c>
      <c r="V2213" s="8" t="s">
        <v>1425</v>
      </c>
      <c r="W2213" s="6"/>
      <c r="X2213" s="6"/>
      <c r="Y2213" s="6"/>
      <c r="Z2213" s="6"/>
      <c r="AA2213" s="6" t="s">
        <v>2240</v>
      </c>
      <c r="AB2213" s="8"/>
      <c r="AC2213" s="27">
        <v>9785369017609</v>
      </c>
    </row>
    <row r="2214" spans="1:29" s="4" customFormat="1" ht="42" customHeight="1" x14ac:dyDescent="0.2">
      <c r="A2214" s="5">
        <v>0</v>
      </c>
      <c r="B2214" s="6" t="s">
        <v>13308</v>
      </c>
      <c r="C2214" s="13">
        <v>767.9</v>
      </c>
      <c r="D2214" s="8" t="s">
        <v>13309</v>
      </c>
      <c r="E2214" s="8" t="s">
        <v>13310</v>
      </c>
      <c r="F2214" s="8" t="s">
        <v>13311</v>
      </c>
      <c r="G2214" s="6" t="s">
        <v>60</v>
      </c>
      <c r="H2214" s="6" t="s">
        <v>313</v>
      </c>
      <c r="I2214" s="8" t="s">
        <v>392</v>
      </c>
      <c r="J2214" s="9">
        <v>1</v>
      </c>
      <c r="K2214" s="9">
        <v>216</v>
      </c>
      <c r="L2214" s="9">
        <v>2017</v>
      </c>
      <c r="M2214" s="8" t="s">
        <v>13312</v>
      </c>
      <c r="N2214" s="8" t="s">
        <v>63</v>
      </c>
      <c r="O2214" s="8" t="s">
        <v>64</v>
      </c>
      <c r="P2214" s="6" t="s">
        <v>51</v>
      </c>
      <c r="Q2214" s="8" t="s">
        <v>52</v>
      </c>
      <c r="R2214" s="10" t="s">
        <v>13307</v>
      </c>
      <c r="S2214" s="11"/>
      <c r="T2214" s="6"/>
      <c r="U2214" s="15" t="str">
        <f>HYPERLINK("https://media.infra-m.ru/0892/0892482/cover/892482.jpg", "Обложка")</f>
        <v>Обложка</v>
      </c>
      <c r="V2214" s="8" t="s">
        <v>1425</v>
      </c>
      <c r="W2214" s="6"/>
      <c r="X2214" s="6"/>
      <c r="Y2214" s="6"/>
      <c r="Z2214" s="6"/>
      <c r="AA2214" s="6" t="s">
        <v>99</v>
      </c>
      <c r="AB2214" s="8"/>
      <c r="AC2214" s="27">
        <v>9785369016886</v>
      </c>
    </row>
    <row r="2215" spans="1:29" s="4" customFormat="1" ht="42" customHeight="1" x14ac:dyDescent="0.2">
      <c r="A2215" s="5">
        <v>0</v>
      </c>
      <c r="B2215" s="6" t="s">
        <v>13313</v>
      </c>
      <c r="C2215" s="7">
        <v>1536</v>
      </c>
      <c r="D2215" s="8" t="s">
        <v>13314</v>
      </c>
      <c r="E2215" s="8" t="s">
        <v>13315</v>
      </c>
      <c r="F2215" s="8" t="s">
        <v>13316</v>
      </c>
      <c r="G2215" s="6" t="s">
        <v>118</v>
      </c>
      <c r="H2215" s="6" t="s">
        <v>34</v>
      </c>
      <c r="I2215" s="8" t="s">
        <v>35</v>
      </c>
      <c r="J2215" s="9">
        <v>1</v>
      </c>
      <c r="K2215" s="9">
        <v>376</v>
      </c>
      <c r="L2215" s="9">
        <v>2020</v>
      </c>
      <c r="M2215" s="8" t="s">
        <v>13317</v>
      </c>
      <c r="N2215" s="8" t="s">
        <v>37</v>
      </c>
      <c r="O2215" s="8" t="s">
        <v>83</v>
      </c>
      <c r="P2215" s="6" t="s">
        <v>39</v>
      </c>
      <c r="Q2215" s="8" t="s">
        <v>40</v>
      </c>
      <c r="R2215" s="10" t="s">
        <v>13318</v>
      </c>
      <c r="S2215" s="11"/>
      <c r="T2215" s="6"/>
      <c r="U2215" s="15" t="str">
        <f>HYPERLINK("https://media.infra-m.ru/1039/1039934/cover/1039934.jpg", "Обложка")</f>
        <v>Обложка</v>
      </c>
      <c r="V2215" s="8" t="s">
        <v>3087</v>
      </c>
      <c r="W2215" s="6"/>
      <c r="X2215" s="6"/>
      <c r="Y2215" s="6"/>
      <c r="Z2215" s="6"/>
      <c r="AA2215" s="6" t="s">
        <v>115</v>
      </c>
      <c r="AB2215" s="8"/>
      <c r="AC2215" s="27">
        <v>9785160137667</v>
      </c>
    </row>
    <row r="2216" spans="1:29" s="4" customFormat="1" ht="51.9" customHeight="1" x14ac:dyDescent="0.2">
      <c r="A2216" s="5">
        <v>0</v>
      </c>
      <c r="B2216" s="6" t="s">
        <v>13319</v>
      </c>
      <c r="C2216" s="7">
        <v>2220</v>
      </c>
      <c r="D2216" s="8" t="s">
        <v>13320</v>
      </c>
      <c r="E2216" s="8" t="s">
        <v>13321</v>
      </c>
      <c r="F2216" s="8" t="s">
        <v>13322</v>
      </c>
      <c r="G2216" s="6" t="s">
        <v>118</v>
      </c>
      <c r="H2216" s="6" t="s">
        <v>34</v>
      </c>
      <c r="I2216" s="8" t="s">
        <v>253</v>
      </c>
      <c r="J2216" s="9">
        <v>1</v>
      </c>
      <c r="K2216" s="9">
        <v>336</v>
      </c>
      <c r="L2216" s="9">
        <v>2026</v>
      </c>
      <c r="M2216" s="8" t="s">
        <v>13323</v>
      </c>
      <c r="N2216" s="8" t="s">
        <v>37</v>
      </c>
      <c r="O2216" s="8" t="s">
        <v>83</v>
      </c>
      <c r="P2216" s="6" t="s">
        <v>306</v>
      </c>
      <c r="Q2216" s="8" t="s">
        <v>500</v>
      </c>
      <c r="R2216" s="10" t="s">
        <v>6480</v>
      </c>
      <c r="S2216" s="11" t="s">
        <v>13324</v>
      </c>
      <c r="T2216" s="6"/>
      <c r="U2216" s="15" t="str">
        <f>HYPERLINK("https://media.infra-m.ru/2239/2239863/cover/2239863.jpg", "Обложка")</f>
        <v>Обложка</v>
      </c>
      <c r="V2216" s="8" t="s">
        <v>6700</v>
      </c>
      <c r="W2216" s="6"/>
      <c r="X2216" s="6"/>
      <c r="Y2216" s="6"/>
      <c r="Z2216" s="6"/>
      <c r="AA2216" s="6" t="s">
        <v>157</v>
      </c>
      <c r="AB2216" s="8"/>
      <c r="AC2216" s="27">
        <v>9785160218632</v>
      </c>
    </row>
    <row r="2217" spans="1:29" s="4" customFormat="1" ht="51.9" customHeight="1" x14ac:dyDescent="0.2">
      <c r="A2217" s="5">
        <v>0</v>
      </c>
      <c r="B2217" s="6" t="s">
        <v>13325</v>
      </c>
      <c r="C2217" s="7">
        <v>1132.8</v>
      </c>
      <c r="D2217" s="8" t="s">
        <v>13326</v>
      </c>
      <c r="E2217" s="8" t="s">
        <v>13327</v>
      </c>
      <c r="F2217" s="8" t="s">
        <v>10552</v>
      </c>
      <c r="G2217" s="6" t="s">
        <v>33</v>
      </c>
      <c r="H2217" s="6" t="s">
        <v>34</v>
      </c>
      <c r="I2217" s="8" t="s">
        <v>271</v>
      </c>
      <c r="J2217" s="9">
        <v>1</v>
      </c>
      <c r="K2217" s="9">
        <v>181</v>
      </c>
      <c r="L2217" s="9">
        <v>2025</v>
      </c>
      <c r="M2217" s="8" t="s">
        <v>13328</v>
      </c>
      <c r="N2217" s="8" t="s">
        <v>37</v>
      </c>
      <c r="O2217" s="8" t="s">
        <v>83</v>
      </c>
      <c r="P2217" s="6" t="s">
        <v>51</v>
      </c>
      <c r="Q2217" s="8" t="s">
        <v>52</v>
      </c>
      <c r="R2217" s="10" t="s">
        <v>13329</v>
      </c>
      <c r="S2217" s="11" t="s">
        <v>13330</v>
      </c>
      <c r="T2217" s="6"/>
      <c r="U2217" s="15" t="str">
        <f>HYPERLINK("https://media.infra-m.ru/2196/2196896/cover/2196896.jpg", "Обложка")</f>
        <v>Обложка</v>
      </c>
      <c r="V2217" s="8" t="s">
        <v>3087</v>
      </c>
      <c r="W2217" s="6"/>
      <c r="X2217" s="6"/>
      <c r="Y2217" s="6"/>
      <c r="Z2217" s="6"/>
      <c r="AA2217" s="6" t="s">
        <v>779</v>
      </c>
      <c r="AB2217" s="8"/>
      <c r="AC2217" s="27">
        <v>9785160106526</v>
      </c>
    </row>
    <row r="2218" spans="1:29" s="4" customFormat="1" ht="42" customHeight="1" x14ac:dyDescent="0.2">
      <c r="A2218" s="5">
        <v>0</v>
      </c>
      <c r="B2218" s="6" t="s">
        <v>13331</v>
      </c>
      <c r="C2218" s="7">
        <v>1296</v>
      </c>
      <c r="D2218" s="8" t="s">
        <v>13332</v>
      </c>
      <c r="E2218" s="8" t="s">
        <v>13333</v>
      </c>
      <c r="F2218" s="8" t="s">
        <v>3261</v>
      </c>
      <c r="G2218" s="6" t="s">
        <v>118</v>
      </c>
      <c r="H2218" s="6" t="s">
        <v>34</v>
      </c>
      <c r="I2218" s="8" t="s">
        <v>35</v>
      </c>
      <c r="J2218" s="9">
        <v>1</v>
      </c>
      <c r="K2218" s="9">
        <v>195</v>
      </c>
      <c r="L2218" s="9">
        <v>2026</v>
      </c>
      <c r="M2218" s="8" t="s">
        <v>13334</v>
      </c>
      <c r="N2218" s="8" t="s">
        <v>37</v>
      </c>
      <c r="O2218" s="8" t="s">
        <v>38</v>
      </c>
      <c r="P2218" s="6" t="s">
        <v>39</v>
      </c>
      <c r="Q2218" s="8" t="s">
        <v>40</v>
      </c>
      <c r="R2218" s="10" t="s">
        <v>13335</v>
      </c>
      <c r="S2218" s="11"/>
      <c r="T2218" s="6"/>
      <c r="U2218" s="15" t="str">
        <f>HYPERLINK("https://media.infra-m.ru/2232/2232547/cover/2232547.jpg", "Обложка")</f>
        <v>Обложка</v>
      </c>
      <c r="V2218" s="8" t="s">
        <v>3264</v>
      </c>
      <c r="W2218" s="6"/>
      <c r="X2218" s="6"/>
      <c r="Y2218" s="6"/>
      <c r="Z2218" s="6"/>
      <c r="AA2218" s="6" t="s">
        <v>86</v>
      </c>
      <c r="AB2218" s="8"/>
      <c r="AC2218" s="27">
        <v>9785160128894</v>
      </c>
    </row>
    <row r="2219" spans="1:29" s="4" customFormat="1" ht="42" customHeight="1" x14ac:dyDescent="0.2">
      <c r="A2219" s="5">
        <v>0</v>
      </c>
      <c r="B2219" s="6" t="s">
        <v>13336</v>
      </c>
      <c r="C2219" s="7">
        <v>1572</v>
      </c>
      <c r="D2219" s="8" t="s">
        <v>13337</v>
      </c>
      <c r="E2219" s="8" t="s">
        <v>13338</v>
      </c>
      <c r="F2219" s="8" t="s">
        <v>13339</v>
      </c>
      <c r="G2219" s="6" t="s">
        <v>33</v>
      </c>
      <c r="H2219" s="6" t="s">
        <v>34</v>
      </c>
      <c r="I2219" s="8" t="s">
        <v>35</v>
      </c>
      <c r="J2219" s="9">
        <v>1</v>
      </c>
      <c r="K2219" s="9">
        <v>291</v>
      </c>
      <c r="L2219" s="9">
        <v>2023</v>
      </c>
      <c r="M2219" s="8" t="s">
        <v>13340</v>
      </c>
      <c r="N2219" s="8" t="s">
        <v>37</v>
      </c>
      <c r="O2219" s="8" t="s">
        <v>38</v>
      </c>
      <c r="P2219" s="6" t="s">
        <v>39</v>
      </c>
      <c r="Q2219" s="8" t="s">
        <v>40</v>
      </c>
      <c r="R2219" s="10" t="s">
        <v>13341</v>
      </c>
      <c r="S2219" s="11"/>
      <c r="T2219" s="6"/>
      <c r="U2219" s="15" t="str">
        <f>HYPERLINK("https://media.infra-m.ru/1867/1867632/cover/1867632.jpg", "Обложка")</f>
        <v>Обложка</v>
      </c>
      <c r="V2219" s="8" t="s">
        <v>10951</v>
      </c>
      <c r="W2219" s="6"/>
      <c r="X2219" s="6"/>
      <c r="Y2219" s="6"/>
      <c r="Z2219" s="6"/>
      <c r="AA2219" s="6" t="s">
        <v>157</v>
      </c>
      <c r="AB2219" s="8"/>
      <c r="AC2219" s="27">
        <v>9785160176864</v>
      </c>
    </row>
    <row r="2220" spans="1:29" s="4" customFormat="1" ht="42" customHeight="1" x14ac:dyDescent="0.2">
      <c r="A2220" s="5">
        <v>0</v>
      </c>
      <c r="B2220" s="6" t="s">
        <v>13342</v>
      </c>
      <c r="C2220" s="7">
        <v>1068</v>
      </c>
      <c r="D2220" s="8" t="s">
        <v>13343</v>
      </c>
      <c r="E2220" s="8" t="s">
        <v>13344</v>
      </c>
      <c r="F2220" s="8" t="s">
        <v>13345</v>
      </c>
      <c r="G2220" s="6" t="s">
        <v>118</v>
      </c>
      <c r="H2220" s="6" t="s">
        <v>34</v>
      </c>
      <c r="I2220" s="8" t="s">
        <v>253</v>
      </c>
      <c r="J2220" s="9">
        <v>1</v>
      </c>
      <c r="K2220" s="9">
        <v>155</v>
      </c>
      <c r="L2220" s="9">
        <v>2026</v>
      </c>
      <c r="M2220" s="8" t="s">
        <v>13346</v>
      </c>
      <c r="N2220" s="8" t="s">
        <v>37</v>
      </c>
      <c r="O2220" s="8" t="s">
        <v>50</v>
      </c>
      <c r="P2220" s="6" t="s">
        <v>51</v>
      </c>
      <c r="Q2220" s="8" t="s">
        <v>52</v>
      </c>
      <c r="R2220" s="10" t="s">
        <v>3370</v>
      </c>
      <c r="S2220" s="11"/>
      <c r="T2220" s="6"/>
      <c r="U2220" s="15" t="str">
        <f>HYPERLINK("https://media.infra-m.ru/2219/2219006/cover/2219006.jpg", "Обложка")</f>
        <v>Обложка</v>
      </c>
      <c r="V2220" s="8" t="s">
        <v>13347</v>
      </c>
      <c r="W2220" s="6"/>
      <c r="X2220" s="6"/>
      <c r="Y2220" s="6"/>
      <c r="Z2220" s="6"/>
      <c r="AA2220" s="6" t="s">
        <v>76</v>
      </c>
      <c r="AB2220" s="8"/>
      <c r="AC2220" s="27">
        <v>9785160198644</v>
      </c>
    </row>
    <row r="2221" spans="1:29" s="4" customFormat="1" ht="42" customHeight="1" x14ac:dyDescent="0.2">
      <c r="A2221" s="5">
        <v>0</v>
      </c>
      <c r="B2221" s="6" t="s">
        <v>13348</v>
      </c>
      <c r="C2221" s="7">
        <v>2148</v>
      </c>
      <c r="D2221" s="8" t="s">
        <v>13349</v>
      </c>
      <c r="E2221" s="8" t="s">
        <v>13350</v>
      </c>
      <c r="F2221" s="8" t="s">
        <v>3261</v>
      </c>
      <c r="G2221" s="6" t="s">
        <v>60</v>
      </c>
      <c r="H2221" s="6" t="s">
        <v>34</v>
      </c>
      <c r="I2221" s="8" t="s">
        <v>253</v>
      </c>
      <c r="J2221" s="9">
        <v>1</v>
      </c>
      <c r="K2221" s="9">
        <v>342</v>
      </c>
      <c r="L2221" s="9">
        <v>2025</v>
      </c>
      <c r="M2221" s="8" t="s">
        <v>13351</v>
      </c>
      <c r="N2221" s="8" t="s">
        <v>37</v>
      </c>
      <c r="O2221" s="8" t="s">
        <v>50</v>
      </c>
      <c r="P2221" s="6" t="s">
        <v>306</v>
      </c>
      <c r="Q2221" s="8" t="s">
        <v>65</v>
      </c>
      <c r="R2221" s="10" t="s">
        <v>13352</v>
      </c>
      <c r="S2221" s="11"/>
      <c r="T2221" s="6"/>
      <c r="U2221" s="15" t="str">
        <f>HYPERLINK("https://media.infra-m.ru/2084/2084006/cover/2084006.jpg", "Обложка")</f>
        <v>Обложка</v>
      </c>
      <c r="V2221" s="8" t="s">
        <v>3264</v>
      </c>
      <c r="W2221" s="6"/>
      <c r="X2221" s="6"/>
      <c r="Y2221" s="6"/>
      <c r="Z2221" s="6"/>
      <c r="AA2221" s="6" t="s">
        <v>68</v>
      </c>
      <c r="AB2221" s="8" t="s">
        <v>7677</v>
      </c>
      <c r="AC2221" s="27">
        <v>9785160190433</v>
      </c>
    </row>
    <row r="2222" spans="1:29" s="4" customFormat="1" ht="42" customHeight="1" x14ac:dyDescent="0.2">
      <c r="A2222" s="5">
        <v>0</v>
      </c>
      <c r="B2222" s="6" t="s">
        <v>13353</v>
      </c>
      <c r="C2222" s="7">
        <v>2224.8000000000002</v>
      </c>
      <c r="D2222" s="8" t="s">
        <v>13354</v>
      </c>
      <c r="E2222" s="8" t="s">
        <v>13355</v>
      </c>
      <c r="F2222" s="8" t="s">
        <v>13356</v>
      </c>
      <c r="G2222" s="6" t="s">
        <v>118</v>
      </c>
      <c r="H2222" s="6" t="s">
        <v>48</v>
      </c>
      <c r="I2222" s="8"/>
      <c r="J2222" s="9">
        <v>1</v>
      </c>
      <c r="K2222" s="9">
        <v>319</v>
      </c>
      <c r="L2222" s="9">
        <v>2026</v>
      </c>
      <c r="M2222" s="8" t="s">
        <v>13357</v>
      </c>
      <c r="N2222" s="8" t="s">
        <v>37</v>
      </c>
      <c r="O2222" s="8" t="s">
        <v>38</v>
      </c>
      <c r="P2222" s="6" t="s">
        <v>51</v>
      </c>
      <c r="Q2222" s="8" t="s">
        <v>52</v>
      </c>
      <c r="R2222" s="10" t="s">
        <v>4408</v>
      </c>
      <c r="S2222" s="11"/>
      <c r="T2222" s="6"/>
      <c r="U2222" s="15" t="str">
        <f>HYPERLINK("https://media.infra-m.ru/2258/2258700/cover/2258700.jpg", "Обложка")</f>
        <v>Обложка</v>
      </c>
      <c r="V2222" s="8" t="s">
        <v>1805</v>
      </c>
      <c r="W2222" s="6"/>
      <c r="X2222" s="6"/>
      <c r="Y2222" s="6"/>
      <c r="Z2222" s="6"/>
      <c r="AA2222" s="6" t="s">
        <v>623</v>
      </c>
      <c r="AB2222" s="8"/>
      <c r="AC2222" s="27">
        <v>9785911348502</v>
      </c>
    </row>
    <row r="2223" spans="1:29" s="4" customFormat="1" ht="51.9" customHeight="1" x14ac:dyDescent="0.2">
      <c r="A2223" s="5">
        <v>0</v>
      </c>
      <c r="B2223" s="6" t="s">
        <v>13358</v>
      </c>
      <c r="C2223" s="13">
        <v>461.9</v>
      </c>
      <c r="D2223" s="8" t="s">
        <v>13359</v>
      </c>
      <c r="E2223" s="8" t="s">
        <v>13360</v>
      </c>
      <c r="F2223" s="8" t="s">
        <v>13361</v>
      </c>
      <c r="G2223" s="6" t="s">
        <v>33</v>
      </c>
      <c r="H2223" s="6" t="s">
        <v>34</v>
      </c>
      <c r="I2223" s="8" t="s">
        <v>35</v>
      </c>
      <c r="J2223" s="9">
        <v>1</v>
      </c>
      <c r="K2223" s="9">
        <v>110</v>
      </c>
      <c r="L2223" s="9">
        <v>2020</v>
      </c>
      <c r="M2223" s="8" t="s">
        <v>13362</v>
      </c>
      <c r="N2223" s="8" t="s">
        <v>93</v>
      </c>
      <c r="O2223" s="8" t="s">
        <v>94</v>
      </c>
      <c r="P2223" s="6" t="s">
        <v>39</v>
      </c>
      <c r="Q2223" s="8" t="s">
        <v>40</v>
      </c>
      <c r="R2223" s="10" t="s">
        <v>13363</v>
      </c>
      <c r="S2223" s="11"/>
      <c r="T2223" s="6"/>
      <c r="U2223" s="15" t="str">
        <f>HYPERLINK("https://media.infra-m.ru/1047/1047112/cover/1047112.jpg", "Обложка")</f>
        <v>Обложка</v>
      </c>
      <c r="V2223" s="8" t="s">
        <v>9240</v>
      </c>
      <c r="W2223" s="6"/>
      <c r="X2223" s="6"/>
      <c r="Y2223" s="6"/>
      <c r="Z2223" s="6"/>
      <c r="AA2223" s="6" t="s">
        <v>99</v>
      </c>
      <c r="AB2223" s="8"/>
      <c r="AC2223" s="27">
        <v>9785160127521</v>
      </c>
    </row>
    <row r="2224" spans="1:29" s="4" customFormat="1" ht="42" customHeight="1" x14ac:dyDescent="0.2">
      <c r="A2224" s="5">
        <v>0</v>
      </c>
      <c r="B2224" s="6" t="s">
        <v>13364</v>
      </c>
      <c r="C2224" s="7">
        <v>1716</v>
      </c>
      <c r="D2224" s="8" t="s">
        <v>13365</v>
      </c>
      <c r="E2224" s="8" t="s">
        <v>13366</v>
      </c>
      <c r="F2224" s="8" t="s">
        <v>13367</v>
      </c>
      <c r="G2224" s="6" t="s">
        <v>118</v>
      </c>
      <c r="H2224" s="6" t="s">
        <v>313</v>
      </c>
      <c r="I2224" s="8" t="s">
        <v>253</v>
      </c>
      <c r="J2224" s="9">
        <v>1</v>
      </c>
      <c r="K2224" s="9">
        <v>259</v>
      </c>
      <c r="L2224" s="9">
        <v>2026</v>
      </c>
      <c r="M2224" s="8" t="s">
        <v>13368</v>
      </c>
      <c r="N2224" s="8" t="s">
        <v>37</v>
      </c>
      <c r="O2224" s="8" t="s">
        <v>499</v>
      </c>
      <c r="P2224" s="6" t="s">
        <v>51</v>
      </c>
      <c r="Q2224" s="8" t="s">
        <v>52</v>
      </c>
      <c r="R2224" s="10" t="s">
        <v>13369</v>
      </c>
      <c r="S2224" s="11"/>
      <c r="T2224" s="6"/>
      <c r="U2224" s="15" t="str">
        <f>HYPERLINK("https://media.infra-m.ru/2238/2238363/cover/2238363.jpg", "Обложка")</f>
        <v>Обложка</v>
      </c>
      <c r="V2224" s="8" t="s">
        <v>13370</v>
      </c>
      <c r="W2224" s="6"/>
      <c r="X2224" s="6"/>
      <c r="Y2224" s="6"/>
      <c r="Z2224" s="6"/>
      <c r="AA2224" s="6" t="s">
        <v>779</v>
      </c>
      <c r="AB2224" s="8"/>
      <c r="AC2224" s="27">
        <v>9785369014967</v>
      </c>
    </row>
    <row r="2225" spans="1:29" s="4" customFormat="1" ht="42" customHeight="1" x14ac:dyDescent="0.2">
      <c r="A2225" s="5">
        <v>0</v>
      </c>
      <c r="B2225" s="6" t="s">
        <v>13371</v>
      </c>
      <c r="C2225" s="7">
        <v>4264.8</v>
      </c>
      <c r="D2225" s="8" t="s">
        <v>13372</v>
      </c>
      <c r="E2225" s="8" t="s">
        <v>13373</v>
      </c>
      <c r="F2225" s="8" t="s">
        <v>13374</v>
      </c>
      <c r="G2225" s="6" t="s">
        <v>60</v>
      </c>
      <c r="H2225" s="6" t="s">
        <v>34</v>
      </c>
      <c r="I2225" s="8" t="s">
        <v>35</v>
      </c>
      <c r="J2225" s="9">
        <v>1</v>
      </c>
      <c r="K2225" s="9">
        <v>612</v>
      </c>
      <c r="L2225" s="9">
        <v>2026</v>
      </c>
      <c r="M2225" s="8" t="s">
        <v>13375</v>
      </c>
      <c r="N2225" s="8" t="s">
        <v>93</v>
      </c>
      <c r="O2225" s="8" t="s">
        <v>94</v>
      </c>
      <c r="P2225" s="6" t="s">
        <v>39</v>
      </c>
      <c r="Q2225" s="8" t="s">
        <v>40</v>
      </c>
      <c r="R2225" s="10" t="s">
        <v>9352</v>
      </c>
      <c r="S2225" s="11"/>
      <c r="T2225" s="6"/>
      <c r="U2225" s="15" t="str">
        <f>HYPERLINK("https://media.infra-m.ru/2262/2262018/cover/2262018.jpg", "Обложка")</f>
        <v>Обложка</v>
      </c>
      <c r="V2225" s="8" t="s">
        <v>631</v>
      </c>
      <c r="W2225" s="6"/>
      <c r="X2225" s="6"/>
      <c r="Y2225" s="6"/>
      <c r="Z2225" s="6"/>
      <c r="AA2225" s="6" t="s">
        <v>148</v>
      </c>
      <c r="AB2225" s="8"/>
      <c r="AC2225" s="27">
        <v>9785160175089</v>
      </c>
    </row>
    <row r="2226" spans="1:29" s="4" customFormat="1" ht="42" customHeight="1" x14ac:dyDescent="0.2">
      <c r="A2226" s="5">
        <v>0</v>
      </c>
      <c r="B2226" s="6" t="s">
        <v>13376</v>
      </c>
      <c r="C2226" s="7">
        <v>1432.8</v>
      </c>
      <c r="D2226" s="8" t="s">
        <v>13377</v>
      </c>
      <c r="E2226" s="8" t="s">
        <v>13378</v>
      </c>
      <c r="F2226" s="8" t="s">
        <v>3467</v>
      </c>
      <c r="G2226" s="6" t="s">
        <v>118</v>
      </c>
      <c r="H2226" s="6" t="s">
        <v>34</v>
      </c>
      <c r="I2226" s="8" t="s">
        <v>253</v>
      </c>
      <c r="J2226" s="9">
        <v>1</v>
      </c>
      <c r="K2226" s="9">
        <v>206</v>
      </c>
      <c r="L2226" s="9">
        <v>2027</v>
      </c>
      <c r="M2226" s="8" t="s">
        <v>13379</v>
      </c>
      <c r="N2226" s="8" t="s">
        <v>63</v>
      </c>
      <c r="O2226" s="8" t="s">
        <v>181</v>
      </c>
      <c r="P2226" s="6" t="s">
        <v>306</v>
      </c>
      <c r="Q2226" s="8" t="s">
        <v>52</v>
      </c>
      <c r="R2226" s="10" t="s">
        <v>3510</v>
      </c>
      <c r="S2226" s="11"/>
      <c r="T2226" s="6"/>
      <c r="U2226" s="15" t="str">
        <f>HYPERLINK("https://media.infra-m.ru/2255/2255090/cover/2255090.jpg", "Обложка")</f>
        <v>Обложка</v>
      </c>
      <c r="V2226" s="8" t="s">
        <v>2602</v>
      </c>
      <c r="W2226" s="6"/>
      <c r="X2226" s="6"/>
      <c r="Y2226" s="6"/>
      <c r="Z2226" s="6"/>
      <c r="AA2226" s="6" t="s">
        <v>76</v>
      </c>
      <c r="AB2226" s="8" t="s">
        <v>467</v>
      </c>
      <c r="AC2226" s="27">
        <v>9785160169637</v>
      </c>
    </row>
    <row r="2227" spans="1:29" s="4" customFormat="1" ht="51.9" customHeight="1" x14ac:dyDescent="0.2">
      <c r="A2227" s="5">
        <v>0</v>
      </c>
      <c r="B2227" s="6" t="s">
        <v>13380</v>
      </c>
      <c r="C2227" s="7">
        <v>2424</v>
      </c>
      <c r="D2227" s="8" t="s">
        <v>13381</v>
      </c>
      <c r="E2227" s="8" t="s">
        <v>13382</v>
      </c>
      <c r="F2227" s="8" t="s">
        <v>13383</v>
      </c>
      <c r="G2227" s="6" t="s">
        <v>118</v>
      </c>
      <c r="H2227" s="6" t="s">
        <v>34</v>
      </c>
      <c r="I2227" s="8" t="s">
        <v>263</v>
      </c>
      <c r="J2227" s="9">
        <v>1</v>
      </c>
      <c r="K2227" s="9">
        <v>367</v>
      </c>
      <c r="L2227" s="9">
        <v>2026</v>
      </c>
      <c r="M2227" s="8" t="s">
        <v>13384</v>
      </c>
      <c r="N2227" s="8" t="s">
        <v>63</v>
      </c>
      <c r="O2227" s="8" t="s">
        <v>181</v>
      </c>
      <c r="P2227" s="6" t="s">
        <v>51</v>
      </c>
      <c r="Q2227" s="8" t="s">
        <v>265</v>
      </c>
      <c r="R2227" s="10" t="s">
        <v>13385</v>
      </c>
      <c r="S2227" s="11" t="s">
        <v>13386</v>
      </c>
      <c r="T2227" s="6"/>
      <c r="U2227" s="15" t="str">
        <f>HYPERLINK("https://media.infra-m.ru/2231/2231248/cover/2231248.jpg", "Обложка")</f>
        <v>Обложка</v>
      </c>
      <c r="V2227" s="8" t="s">
        <v>13387</v>
      </c>
      <c r="W2227" s="6"/>
      <c r="X2227" s="6"/>
      <c r="Y2227" s="6"/>
      <c r="Z2227" s="6"/>
      <c r="AA2227" s="6" t="s">
        <v>4554</v>
      </c>
      <c r="AB2227" s="8"/>
      <c r="AC2227" s="27">
        <v>9785160063294</v>
      </c>
    </row>
    <row r="2228" spans="1:29" s="4" customFormat="1" ht="51.9" customHeight="1" x14ac:dyDescent="0.2">
      <c r="A2228" s="5">
        <v>0</v>
      </c>
      <c r="B2228" s="6" t="s">
        <v>13388</v>
      </c>
      <c r="C2228" s="7">
        <v>1068</v>
      </c>
      <c r="D2228" s="8" t="s">
        <v>13389</v>
      </c>
      <c r="E2228" s="8" t="s">
        <v>13390</v>
      </c>
      <c r="F2228" s="8" t="s">
        <v>13391</v>
      </c>
      <c r="G2228" s="6" t="s">
        <v>118</v>
      </c>
      <c r="H2228" s="6" t="s">
        <v>34</v>
      </c>
      <c r="I2228" s="8" t="s">
        <v>253</v>
      </c>
      <c r="J2228" s="9">
        <v>1</v>
      </c>
      <c r="K2228" s="9">
        <v>161</v>
      </c>
      <c r="L2228" s="9">
        <v>2026</v>
      </c>
      <c r="M2228" s="8" t="s">
        <v>13392</v>
      </c>
      <c r="N2228" s="8" t="s">
        <v>37</v>
      </c>
      <c r="O2228" s="8" t="s">
        <v>233</v>
      </c>
      <c r="P2228" s="6" t="s">
        <v>51</v>
      </c>
      <c r="Q2228" s="8" t="s">
        <v>52</v>
      </c>
      <c r="R2228" s="10" t="s">
        <v>4058</v>
      </c>
      <c r="S2228" s="11" t="s">
        <v>13393</v>
      </c>
      <c r="T2228" s="6" t="s">
        <v>97</v>
      </c>
      <c r="U2228" s="15" t="str">
        <f>HYPERLINK("https://media.infra-m.ru/2230/2230310/cover/2230310.jpg", "Обложка")</f>
        <v>Обложка</v>
      </c>
      <c r="V2228" s="8" t="s">
        <v>1994</v>
      </c>
      <c r="W2228" s="6"/>
      <c r="X2228" s="6"/>
      <c r="Y2228" s="6"/>
      <c r="Z2228" s="6"/>
      <c r="AA2228" s="6" t="s">
        <v>55</v>
      </c>
      <c r="AB2228" s="8"/>
      <c r="AC2228" s="27">
        <v>9785160220604</v>
      </c>
    </row>
    <row r="2229" spans="1:29" s="4" customFormat="1" ht="51.9" customHeight="1" x14ac:dyDescent="0.2">
      <c r="A2229" s="5">
        <v>0</v>
      </c>
      <c r="B2229" s="6" t="s">
        <v>13394</v>
      </c>
      <c r="C2229" s="7">
        <v>1776</v>
      </c>
      <c r="D2229" s="8" t="s">
        <v>13395</v>
      </c>
      <c r="E2229" s="8" t="s">
        <v>13396</v>
      </c>
      <c r="F2229" s="8" t="s">
        <v>13397</v>
      </c>
      <c r="G2229" s="6" t="s">
        <v>33</v>
      </c>
      <c r="H2229" s="6" t="s">
        <v>34</v>
      </c>
      <c r="I2229" s="8" t="s">
        <v>35</v>
      </c>
      <c r="J2229" s="9">
        <v>1</v>
      </c>
      <c r="K2229" s="9">
        <v>295</v>
      </c>
      <c r="L2229" s="9">
        <v>2024</v>
      </c>
      <c r="M2229" s="8" t="s">
        <v>13398</v>
      </c>
      <c r="N2229" s="8" t="s">
        <v>37</v>
      </c>
      <c r="O2229" s="8" t="s">
        <v>136</v>
      </c>
      <c r="P2229" s="6" t="s">
        <v>39</v>
      </c>
      <c r="Q2229" s="8" t="s">
        <v>40</v>
      </c>
      <c r="R2229" s="10" t="s">
        <v>13399</v>
      </c>
      <c r="S2229" s="11"/>
      <c r="T2229" s="6"/>
      <c r="U2229" s="15" t="str">
        <f>HYPERLINK("https://media.infra-m.ru/2141/2141112/cover/2141112.jpg", "Обложка")</f>
        <v>Обложка</v>
      </c>
      <c r="V2229" s="8" t="s">
        <v>13400</v>
      </c>
      <c r="W2229" s="6"/>
      <c r="X2229" s="6"/>
      <c r="Y2229" s="6"/>
      <c r="Z2229" s="6"/>
      <c r="AA2229" s="6" t="s">
        <v>76</v>
      </c>
      <c r="AB2229" s="8" t="s">
        <v>2922</v>
      </c>
      <c r="AC2229" s="27">
        <v>9785160198590</v>
      </c>
    </row>
    <row r="2230" spans="1:29" s="4" customFormat="1" ht="51.9" customHeight="1" x14ac:dyDescent="0.2">
      <c r="A2230" s="5">
        <v>0</v>
      </c>
      <c r="B2230" s="6" t="s">
        <v>13401</v>
      </c>
      <c r="C2230" s="7">
        <v>1444.8</v>
      </c>
      <c r="D2230" s="8" t="s">
        <v>13402</v>
      </c>
      <c r="E2230" s="8" t="s">
        <v>13403</v>
      </c>
      <c r="F2230" s="8" t="s">
        <v>13404</v>
      </c>
      <c r="G2230" s="6" t="s">
        <v>118</v>
      </c>
      <c r="H2230" s="6" t="s">
        <v>34</v>
      </c>
      <c r="I2230" s="8" t="s">
        <v>2772</v>
      </c>
      <c r="J2230" s="9">
        <v>1</v>
      </c>
      <c r="K2230" s="9">
        <v>218</v>
      </c>
      <c r="L2230" s="9">
        <v>2026</v>
      </c>
      <c r="M2230" s="8" t="s">
        <v>13405</v>
      </c>
      <c r="N2230" s="8" t="s">
        <v>37</v>
      </c>
      <c r="O2230" s="8" t="s">
        <v>280</v>
      </c>
      <c r="P2230" s="6" t="s">
        <v>51</v>
      </c>
      <c r="Q2230" s="8" t="s">
        <v>52</v>
      </c>
      <c r="R2230" s="10" t="s">
        <v>13406</v>
      </c>
      <c r="S2230" s="11" t="s">
        <v>13407</v>
      </c>
      <c r="T2230" s="6"/>
      <c r="U2230" s="15" t="str">
        <f>HYPERLINK("https://media.infra-m.ru/2249/2249162/cover/2249162.jpg", "Обложка")</f>
        <v>Обложка</v>
      </c>
      <c r="V2230" s="8" t="s">
        <v>414</v>
      </c>
      <c r="W2230" s="6"/>
      <c r="X2230" s="6"/>
      <c r="Y2230" s="6"/>
      <c r="Z2230" s="6"/>
      <c r="AA2230" s="6" t="s">
        <v>1256</v>
      </c>
      <c r="AB2230" s="8"/>
      <c r="AC2230" s="27">
        <v>9785160155623</v>
      </c>
    </row>
    <row r="2231" spans="1:29" s="4" customFormat="1" ht="51.9" customHeight="1" x14ac:dyDescent="0.2">
      <c r="A2231" s="5">
        <v>0</v>
      </c>
      <c r="B2231" s="6" t="s">
        <v>13408</v>
      </c>
      <c r="C2231" s="7">
        <v>1068</v>
      </c>
      <c r="D2231" s="8" t="s">
        <v>13409</v>
      </c>
      <c r="E2231" s="8" t="s">
        <v>13410</v>
      </c>
      <c r="F2231" s="8" t="s">
        <v>13293</v>
      </c>
      <c r="G2231" s="6" t="s">
        <v>33</v>
      </c>
      <c r="H2231" s="6" t="s">
        <v>34</v>
      </c>
      <c r="I2231" s="8" t="s">
        <v>253</v>
      </c>
      <c r="J2231" s="9">
        <v>1</v>
      </c>
      <c r="K2231" s="9">
        <v>160</v>
      </c>
      <c r="L2231" s="9">
        <v>2026</v>
      </c>
      <c r="M2231" s="8" t="s">
        <v>13411</v>
      </c>
      <c r="N2231" s="8" t="s">
        <v>37</v>
      </c>
      <c r="O2231" s="8" t="s">
        <v>136</v>
      </c>
      <c r="P2231" s="6" t="s">
        <v>51</v>
      </c>
      <c r="Q2231" s="8" t="s">
        <v>52</v>
      </c>
      <c r="R2231" s="10" t="s">
        <v>1068</v>
      </c>
      <c r="S2231" s="11" t="s">
        <v>13412</v>
      </c>
      <c r="T2231" s="6"/>
      <c r="U2231" s="15" t="str">
        <f>HYPERLINK("https://media.infra-m.ru/2235/2235147/cover/2235147.jpg", "Обложка")</f>
        <v>Обложка</v>
      </c>
      <c r="V2231" s="8" t="s">
        <v>138</v>
      </c>
      <c r="W2231" s="6"/>
      <c r="X2231" s="6"/>
      <c r="Y2231" s="6"/>
      <c r="Z2231" s="6"/>
      <c r="AA2231" s="6" t="s">
        <v>623</v>
      </c>
      <c r="AB2231" s="8"/>
      <c r="AC2231" s="27">
        <v>9785160184647</v>
      </c>
    </row>
    <row r="2232" spans="1:29" s="4" customFormat="1" ht="51.9" customHeight="1" x14ac:dyDescent="0.2">
      <c r="A2232" s="5">
        <v>0</v>
      </c>
      <c r="B2232" s="6" t="s">
        <v>13413</v>
      </c>
      <c r="C2232" s="7">
        <v>3004.8</v>
      </c>
      <c r="D2232" s="8" t="s">
        <v>13414</v>
      </c>
      <c r="E2232" s="8" t="s">
        <v>13415</v>
      </c>
      <c r="F2232" s="8" t="s">
        <v>13416</v>
      </c>
      <c r="G2232" s="6" t="s">
        <v>60</v>
      </c>
      <c r="H2232" s="6" t="s">
        <v>313</v>
      </c>
      <c r="I2232" s="8" t="s">
        <v>253</v>
      </c>
      <c r="J2232" s="9">
        <v>1</v>
      </c>
      <c r="K2232" s="9">
        <v>502</v>
      </c>
      <c r="L2232" s="9">
        <v>2025</v>
      </c>
      <c r="M2232" s="8" t="s">
        <v>13417</v>
      </c>
      <c r="N2232" s="8" t="s">
        <v>37</v>
      </c>
      <c r="O2232" s="8" t="s">
        <v>136</v>
      </c>
      <c r="P2232" s="6" t="s">
        <v>51</v>
      </c>
      <c r="Q2232" s="8" t="s">
        <v>52</v>
      </c>
      <c r="R2232" s="10" t="s">
        <v>1275</v>
      </c>
      <c r="S2232" s="11" t="s">
        <v>13418</v>
      </c>
      <c r="T2232" s="6"/>
      <c r="U2232" s="15" t="str">
        <f>HYPERLINK("https://media.infra-m.ru/2179/2179368/cover/2179368.jpg", "Обложка")</f>
        <v>Обложка</v>
      </c>
      <c r="V2232" s="8" t="s">
        <v>156</v>
      </c>
      <c r="W2232" s="6"/>
      <c r="X2232" s="6"/>
      <c r="Y2232" s="6"/>
      <c r="Z2232" s="6"/>
      <c r="AA2232" s="6" t="s">
        <v>248</v>
      </c>
      <c r="AB2232" s="8"/>
      <c r="AC2232" s="27">
        <v>9785369012789</v>
      </c>
    </row>
    <row r="2233" spans="1:29" s="4" customFormat="1" ht="51.9" customHeight="1" x14ac:dyDescent="0.2">
      <c r="A2233" s="5">
        <v>0</v>
      </c>
      <c r="B2233" s="6" t="s">
        <v>13419</v>
      </c>
      <c r="C2233" s="7">
        <v>2208</v>
      </c>
      <c r="D2233" s="8" t="s">
        <v>13420</v>
      </c>
      <c r="E2233" s="8" t="s">
        <v>13415</v>
      </c>
      <c r="F2233" s="8" t="s">
        <v>13421</v>
      </c>
      <c r="G2233" s="6" t="s">
        <v>33</v>
      </c>
      <c r="H2233" s="6" t="s">
        <v>1779</v>
      </c>
      <c r="I2233" s="8"/>
      <c r="J2233" s="9">
        <v>1</v>
      </c>
      <c r="K2233" s="9">
        <v>320</v>
      </c>
      <c r="L2233" s="9">
        <v>2026</v>
      </c>
      <c r="M2233" s="8" t="s">
        <v>13422</v>
      </c>
      <c r="N2233" s="8" t="s">
        <v>37</v>
      </c>
      <c r="O2233" s="8" t="s">
        <v>136</v>
      </c>
      <c r="P2233" s="6" t="s">
        <v>105</v>
      </c>
      <c r="Q2233" s="8" t="s">
        <v>52</v>
      </c>
      <c r="R2233" s="10" t="s">
        <v>1275</v>
      </c>
      <c r="S2233" s="11" t="s">
        <v>13423</v>
      </c>
      <c r="T2233" s="6"/>
      <c r="U2233" s="15" t="str">
        <f>HYPERLINK("https://media.infra-m.ru/2233/2233673/cover/2233673.jpg", "Обложка")</f>
        <v>Обложка</v>
      </c>
      <c r="V2233" s="8" t="s">
        <v>6114</v>
      </c>
      <c r="W2233" s="6"/>
      <c r="X2233" s="6"/>
      <c r="Y2233" s="6"/>
      <c r="Z2233" s="6"/>
      <c r="AA2233" s="6" t="s">
        <v>13424</v>
      </c>
      <c r="AB2233" s="8"/>
      <c r="AC2233" s="27">
        <v>9785917682372</v>
      </c>
    </row>
    <row r="2234" spans="1:29" s="4" customFormat="1" ht="51.9" customHeight="1" x14ac:dyDescent="0.2">
      <c r="A2234" s="5">
        <v>0</v>
      </c>
      <c r="B2234" s="6" t="s">
        <v>13425</v>
      </c>
      <c r="C2234" s="7">
        <v>3300</v>
      </c>
      <c r="D2234" s="8" t="s">
        <v>13426</v>
      </c>
      <c r="E2234" s="8" t="s">
        <v>13427</v>
      </c>
      <c r="F2234" s="8" t="s">
        <v>13428</v>
      </c>
      <c r="G2234" s="6" t="s">
        <v>60</v>
      </c>
      <c r="H2234" s="6" t="s">
        <v>134</v>
      </c>
      <c r="I2234" s="8"/>
      <c r="J2234" s="9">
        <v>1</v>
      </c>
      <c r="K2234" s="9">
        <v>816</v>
      </c>
      <c r="L2234" s="9">
        <v>2025</v>
      </c>
      <c r="M2234" s="8" t="s">
        <v>13429</v>
      </c>
      <c r="N2234" s="8" t="s">
        <v>37</v>
      </c>
      <c r="O2234" s="8" t="s">
        <v>136</v>
      </c>
      <c r="P2234" s="6" t="s">
        <v>306</v>
      </c>
      <c r="Q2234" s="8" t="s">
        <v>52</v>
      </c>
      <c r="R2234" s="10" t="s">
        <v>1275</v>
      </c>
      <c r="S2234" s="11"/>
      <c r="T2234" s="6"/>
      <c r="U2234" s="15" t="str">
        <f>HYPERLINK("https://media.infra-m.ru/2184/2184379/cover/2184379.jpg", "Обложка")</f>
        <v>Обложка</v>
      </c>
      <c r="V2234" s="8" t="s">
        <v>2466</v>
      </c>
      <c r="W2234" s="6"/>
      <c r="X2234" s="6"/>
      <c r="Y2234" s="6"/>
      <c r="Z2234" s="6"/>
      <c r="AA2234" s="6" t="s">
        <v>13430</v>
      </c>
      <c r="AB2234" s="8"/>
      <c r="AC2234" s="27">
        <v>9785917687025</v>
      </c>
    </row>
    <row r="2235" spans="1:29" s="4" customFormat="1" ht="51.9" customHeight="1" x14ac:dyDescent="0.2">
      <c r="A2235" s="5">
        <v>0</v>
      </c>
      <c r="B2235" s="6" t="s">
        <v>13431</v>
      </c>
      <c r="C2235" s="7">
        <v>2148</v>
      </c>
      <c r="D2235" s="8" t="s">
        <v>13432</v>
      </c>
      <c r="E2235" s="8" t="s">
        <v>13415</v>
      </c>
      <c r="F2235" s="8" t="s">
        <v>13421</v>
      </c>
      <c r="G2235" s="6" t="s">
        <v>118</v>
      </c>
      <c r="H2235" s="6" t="s">
        <v>1779</v>
      </c>
      <c r="I2235" s="8"/>
      <c r="J2235" s="9">
        <v>1</v>
      </c>
      <c r="K2235" s="9">
        <v>320</v>
      </c>
      <c r="L2235" s="9">
        <v>2026</v>
      </c>
      <c r="M2235" s="8" t="s">
        <v>13422</v>
      </c>
      <c r="N2235" s="8" t="s">
        <v>37</v>
      </c>
      <c r="O2235" s="8" t="s">
        <v>136</v>
      </c>
      <c r="P2235" s="6" t="s">
        <v>105</v>
      </c>
      <c r="Q2235" s="8" t="s">
        <v>52</v>
      </c>
      <c r="R2235" s="10" t="s">
        <v>1275</v>
      </c>
      <c r="S2235" s="11" t="s">
        <v>13423</v>
      </c>
      <c r="T2235" s="6"/>
      <c r="U2235" s="15" t="str">
        <f>HYPERLINK("https://media.infra-m.ru/2221/2221553/cover/2221553.jpg", "Обложка")</f>
        <v>Обложка</v>
      </c>
      <c r="V2235" s="8" t="s">
        <v>6114</v>
      </c>
      <c r="W2235" s="6"/>
      <c r="X2235" s="6"/>
      <c r="Y2235" s="6"/>
      <c r="Z2235" s="6"/>
      <c r="AA2235" s="6" t="s">
        <v>13424</v>
      </c>
      <c r="AB2235" s="8"/>
      <c r="AC2235" s="27">
        <v>9785917682372</v>
      </c>
    </row>
    <row r="2236" spans="1:29" s="4" customFormat="1" ht="51.9" customHeight="1" x14ac:dyDescent="0.2">
      <c r="A2236" s="5">
        <v>0</v>
      </c>
      <c r="B2236" s="6" t="s">
        <v>13433</v>
      </c>
      <c r="C2236" s="7">
        <v>2092.8000000000002</v>
      </c>
      <c r="D2236" s="8" t="s">
        <v>13434</v>
      </c>
      <c r="E2236" s="8" t="s">
        <v>13415</v>
      </c>
      <c r="F2236" s="8" t="s">
        <v>7151</v>
      </c>
      <c r="G2236" s="6" t="s">
        <v>60</v>
      </c>
      <c r="H2236" s="6" t="s">
        <v>313</v>
      </c>
      <c r="I2236" s="8" t="s">
        <v>271</v>
      </c>
      <c r="J2236" s="9">
        <v>1</v>
      </c>
      <c r="K2236" s="9">
        <v>344</v>
      </c>
      <c r="L2236" s="9">
        <v>2025</v>
      </c>
      <c r="M2236" s="8" t="s">
        <v>13435</v>
      </c>
      <c r="N2236" s="8" t="s">
        <v>37</v>
      </c>
      <c r="O2236" s="8" t="s">
        <v>136</v>
      </c>
      <c r="P2236" s="6" t="s">
        <v>51</v>
      </c>
      <c r="Q2236" s="8" t="s">
        <v>52</v>
      </c>
      <c r="R2236" s="10" t="s">
        <v>1068</v>
      </c>
      <c r="S2236" s="11" t="s">
        <v>13436</v>
      </c>
      <c r="T2236" s="6"/>
      <c r="U2236" s="15" t="str">
        <f>HYPERLINK("https://media.infra-m.ru/2167/2167255/cover/2167255.jpg", "Обложка")</f>
        <v>Обложка</v>
      </c>
      <c r="V2236" s="8" t="s">
        <v>6224</v>
      </c>
      <c r="W2236" s="6"/>
      <c r="X2236" s="6"/>
      <c r="Y2236" s="6"/>
      <c r="Z2236" s="6"/>
      <c r="AA2236" s="6" t="s">
        <v>43</v>
      </c>
      <c r="AB2236" s="8"/>
      <c r="AC2236" s="27">
        <v>9785369009147</v>
      </c>
    </row>
    <row r="2237" spans="1:29" s="4" customFormat="1" ht="51.9" customHeight="1" x14ac:dyDescent="0.2">
      <c r="A2237" s="5">
        <v>0</v>
      </c>
      <c r="B2237" s="6" t="s">
        <v>13437</v>
      </c>
      <c r="C2237" s="7">
        <v>2393.9</v>
      </c>
      <c r="D2237" s="8" t="s">
        <v>13438</v>
      </c>
      <c r="E2237" s="8" t="s">
        <v>13415</v>
      </c>
      <c r="F2237" s="8" t="s">
        <v>7151</v>
      </c>
      <c r="G2237" s="6" t="s">
        <v>60</v>
      </c>
      <c r="H2237" s="6" t="s">
        <v>1779</v>
      </c>
      <c r="I2237" s="8"/>
      <c r="J2237" s="9">
        <v>1</v>
      </c>
      <c r="K2237" s="9">
        <v>496</v>
      </c>
      <c r="L2237" s="9">
        <v>2024</v>
      </c>
      <c r="M2237" s="8" t="s">
        <v>13439</v>
      </c>
      <c r="N2237" s="8" t="s">
        <v>37</v>
      </c>
      <c r="O2237" s="8" t="s">
        <v>136</v>
      </c>
      <c r="P2237" s="6" t="s">
        <v>13440</v>
      </c>
      <c r="Q2237" s="8" t="s">
        <v>52</v>
      </c>
      <c r="R2237" s="10" t="s">
        <v>484</v>
      </c>
      <c r="S2237" s="11"/>
      <c r="T2237" s="6"/>
      <c r="U2237" s="15" t="str">
        <f>HYPERLINK("https://media.infra-m.ru/1876/1876360/cover/1876360.jpg", "Обложка")</f>
        <v>Обложка</v>
      </c>
      <c r="V2237" s="8" t="s">
        <v>6224</v>
      </c>
      <c r="W2237" s="6"/>
      <c r="X2237" s="6"/>
      <c r="Y2237" s="6"/>
      <c r="Z2237" s="6"/>
      <c r="AA2237" s="6" t="s">
        <v>561</v>
      </c>
      <c r="AB2237" s="8"/>
      <c r="AC2237" s="27">
        <v>9785468002896</v>
      </c>
    </row>
    <row r="2238" spans="1:29" s="4" customFormat="1" ht="51.9" customHeight="1" x14ac:dyDescent="0.2">
      <c r="A2238" s="5">
        <v>0</v>
      </c>
      <c r="B2238" s="6" t="s">
        <v>13441</v>
      </c>
      <c r="C2238" s="7">
        <v>2112</v>
      </c>
      <c r="D2238" s="8" t="s">
        <v>13442</v>
      </c>
      <c r="E2238" s="8" t="s">
        <v>13443</v>
      </c>
      <c r="F2238" s="8" t="s">
        <v>13444</v>
      </c>
      <c r="G2238" s="6" t="s">
        <v>118</v>
      </c>
      <c r="H2238" s="6" t="s">
        <v>134</v>
      </c>
      <c r="I2238" s="8"/>
      <c r="J2238" s="9">
        <v>1</v>
      </c>
      <c r="K2238" s="9">
        <v>320</v>
      </c>
      <c r="L2238" s="9">
        <v>2026</v>
      </c>
      <c r="M2238" s="8" t="s">
        <v>13445</v>
      </c>
      <c r="N2238" s="8" t="s">
        <v>37</v>
      </c>
      <c r="O2238" s="8" t="s">
        <v>136</v>
      </c>
      <c r="P2238" s="6" t="s">
        <v>51</v>
      </c>
      <c r="Q2238" s="8" t="s">
        <v>52</v>
      </c>
      <c r="R2238" s="10" t="s">
        <v>1068</v>
      </c>
      <c r="S2238" s="11"/>
      <c r="T2238" s="6"/>
      <c r="U2238" s="15" t="str">
        <f>HYPERLINK("https://media.infra-m.ru/2227/2227048/cover/2227048.jpg", "Обложка")</f>
        <v>Обложка</v>
      </c>
      <c r="V2238" s="8" t="s">
        <v>2466</v>
      </c>
      <c r="W2238" s="6"/>
      <c r="X2238" s="6"/>
      <c r="Y2238" s="6"/>
      <c r="Z2238" s="6"/>
      <c r="AA2238" s="6" t="s">
        <v>274</v>
      </c>
      <c r="AB2238" s="8"/>
      <c r="AC2238" s="27">
        <v>9785917685588</v>
      </c>
    </row>
    <row r="2239" spans="1:29" s="4" customFormat="1" ht="51.9" customHeight="1" x14ac:dyDescent="0.2">
      <c r="A2239" s="5">
        <v>0</v>
      </c>
      <c r="B2239" s="6" t="s">
        <v>13446</v>
      </c>
      <c r="C2239" s="7">
        <v>4020</v>
      </c>
      <c r="D2239" s="8" t="s">
        <v>13447</v>
      </c>
      <c r="E2239" s="8" t="s">
        <v>13448</v>
      </c>
      <c r="F2239" s="8" t="s">
        <v>13449</v>
      </c>
      <c r="G2239" s="6" t="s">
        <v>60</v>
      </c>
      <c r="H2239" s="6" t="s">
        <v>134</v>
      </c>
      <c r="I2239" s="8"/>
      <c r="J2239" s="9">
        <v>1</v>
      </c>
      <c r="K2239" s="9">
        <v>720</v>
      </c>
      <c r="L2239" s="9">
        <v>2026</v>
      </c>
      <c r="M2239" s="8" t="s">
        <v>13450</v>
      </c>
      <c r="N2239" s="8" t="s">
        <v>37</v>
      </c>
      <c r="O2239" s="8" t="s">
        <v>136</v>
      </c>
      <c r="P2239" s="6" t="s">
        <v>306</v>
      </c>
      <c r="Q2239" s="8" t="s">
        <v>52</v>
      </c>
      <c r="R2239" s="10" t="s">
        <v>1275</v>
      </c>
      <c r="S2239" s="11" t="s">
        <v>7158</v>
      </c>
      <c r="T2239" s="6"/>
      <c r="U2239" s="15" t="str">
        <f>HYPERLINK("https://media.infra-m.ru/2247/2247806/cover/2247806.jpg", "Обложка")</f>
        <v>Обложка</v>
      </c>
      <c r="V2239" s="8" t="s">
        <v>2466</v>
      </c>
      <c r="W2239" s="6"/>
      <c r="X2239" s="6"/>
      <c r="Y2239" s="6"/>
      <c r="Z2239" s="6"/>
      <c r="AA2239" s="6" t="s">
        <v>13451</v>
      </c>
      <c r="AB2239" s="8"/>
      <c r="AC2239" s="27">
        <v>9785917683546</v>
      </c>
    </row>
    <row r="2240" spans="1:29" s="4" customFormat="1" ht="51.9" customHeight="1" x14ac:dyDescent="0.2">
      <c r="A2240" s="5">
        <v>0</v>
      </c>
      <c r="B2240" s="6" t="s">
        <v>13452</v>
      </c>
      <c r="C2240" s="7">
        <v>3216</v>
      </c>
      <c r="D2240" s="8" t="s">
        <v>13453</v>
      </c>
      <c r="E2240" s="8" t="s">
        <v>13415</v>
      </c>
      <c r="F2240" s="8" t="s">
        <v>13454</v>
      </c>
      <c r="G2240" s="6" t="s">
        <v>60</v>
      </c>
      <c r="H2240" s="6" t="s">
        <v>34</v>
      </c>
      <c r="I2240" s="8" t="s">
        <v>253</v>
      </c>
      <c r="J2240" s="9">
        <v>1</v>
      </c>
      <c r="K2240" s="9">
        <v>536</v>
      </c>
      <c r="L2240" s="9">
        <v>2025</v>
      </c>
      <c r="M2240" s="8" t="s">
        <v>13455</v>
      </c>
      <c r="N2240" s="8" t="s">
        <v>37</v>
      </c>
      <c r="O2240" s="8" t="s">
        <v>136</v>
      </c>
      <c r="P2240" s="6" t="s">
        <v>306</v>
      </c>
      <c r="Q2240" s="8" t="s">
        <v>65</v>
      </c>
      <c r="R2240" s="10" t="s">
        <v>1275</v>
      </c>
      <c r="S2240" s="11"/>
      <c r="T2240" s="6" t="s">
        <v>97</v>
      </c>
      <c r="U2240" s="15" t="str">
        <f>HYPERLINK("https://media.infra-m.ru/2111/2111838/cover/2111838.jpg", "Обложка")</f>
        <v>Обложка</v>
      </c>
      <c r="V2240" s="8" t="s">
        <v>13456</v>
      </c>
      <c r="W2240" s="6"/>
      <c r="X2240" s="6"/>
      <c r="Y2240" s="6"/>
      <c r="Z2240" s="6"/>
      <c r="AA2240" s="6" t="s">
        <v>68</v>
      </c>
      <c r="AB2240" s="8"/>
      <c r="AC2240" s="27">
        <v>9785160193663</v>
      </c>
    </row>
    <row r="2241" spans="1:29" s="4" customFormat="1" ht="51.9" customHeight="1" x14ac:dyDescent="0.2">
      <c r="A2241" s="5">
        <v>0</v>
      </c>
      <c r="B2241" s="6" t="s">
        <v>13457</v>
      </c>
      <c r="C2241" s="7">
        <v>1924.8</v>
      </c>
      <c r="D2241" s="8" t="s">
        <v>13458</v>
      </c>
      <c r="E2241" s="8" t="s">
        <v>13459</v>
      </c>
      <c r="F2241" s="8" t="s">
        <v>13460</v>
      </c>
      <c r="G2241" s="6" t="s">
        <v>118</v>
      </c>
      <c r="H2241" s="6" t="s">
        <v>34</v>
      </c>
      <c r="I2241" s="8" t="s">
        <v>253</v>
      </c>
      <c r="J2241" s="9">
        <v>1</v>
      </c>
      <c r="K2241" s="9">
        <v>292</v>
      </c>
      <c r="L2241" s="9">
        <v>2026</v>
      </c>
      <c r="M2241" s="8" t="s">
        <v>13461</v>
      </c>
      <c r="N2241" s="8" t="s">
        <v>37</v>
      </c>
      <c r="O2241" s="8" t="s">
        <v>136</v>
      </c>
      <c r="P2241" s="6" t="s">
        <v>8714</v>
      </c>
      <c r="Q2241" s="8" t="s">
        <v>52</v>
      </c>
      <c r="R2241" s="10" t="s">
        <v>1275</v>
      </c>
      <c r="S2241" s="11"/>
      <c r="T2241" s="6"/>
      <c r="U2241" s="15" t="str">
        <f>HYPERLINK("https://media.infra-m.ru/2228/2228948/cover/2228948.jpg", "Обложка")</f>
        <v>Обложка</v>
      </c>
      <c r="V2241" s="8" t="s">
        <v>1277</v>
      </c>
      <c r="W2241" s="6"/>
      <c r="X2241" s="6"/>
      <c r="Y2241" s="6"/>
      <c r="Z2241" s="6"/>
      <c r="AA2241" s="6" t="s">
        <v>430</v>
      </c>
      <c r="AB2241" s="8"/>
      <c r="AC2241" s="27">
        <v>9785160165578</v>
      </c>
    </row>
    <row r="2242" spans="1:29" s="4" customFormat="1" ht="51.9" customHeight="1" x14ac:dyDescent="0.2">
      <c r="A2242" s="5">
        <v>0</v>
      </c>
      <c r="B2242" s="6" t="s">
        <v>13462</v>
      </c>
      <c r="C2242" s="7">
        <v>2220</v>
      </c>
      <c r="D2242" s="8" t="s">
        <v>13463</v>
      </c>
      <c r="E2242" s="8" t="s">
        <v>13464</v>
      </c>
      <c r="F2242" s="8" t="s">
        <v>13465</v>
      </c>
      <c r="G2242" s="6" t="s">
        <v>118</v>
      </c>
      <c r="H2242" s="6" t="s">
        <v>34</v>
      </c>
      <c r="I2242" s="8" t="s">
        <v>253</v>
      </c>
      <c r="J2242" s="9">
        <v>1</v>
      </c>
      <c r="K2242" s="9">
        <v>336</v>
      </c>
      <c r="L2242" s="9">
        <v>2026</v>
      </c>
      <c r="M2242" s="8" t="s">
        <v>13466</v>
      </c>
      <c r="N2242" s="8" t="s">
        <v>37</v>
      </c>
      <c r="O2242" s="8" t="s">
        <v>136</v>
      </c>
      <c r="P2242" s="6" t="s">
        <v>8714</v>
      </c>
      <c r="Q2242" s="8" t="s">
        <v>52</v>
      </c>
      <c r="R2242" s="10" t="s">
        <v>676</v>
      </c>
      <c r="S2242" s="11"/>
      <c r="T2242" s="6"/>
      <c r="U2242" s="15" t="str">
        <f>HYPERLINK("https://media.infra-m.ru/2247/2247895/cover/2247895.jpg", "Обложка")</f>
        <v>Обложка</v>
      </c>
      <c r="V2242" s="8" t="s">
        <v>1277</v>
      </c>
      <c r="W2242" s="6"/>
      <c r="X2242" s="6"/>
      <c r="Y2242" s="6"/>
      <c r="Z2242" s="6"/>
      <c r="AA2242" s="6" t="s">
        <v>430</v>
      </c>
      <c r="AB2242" s="8"/>
      <c r="AC2242" s="27">
        <v>9785160165592</v>
      </c>
    </row>
    <row r="2243" spans="1:29" s="4" customFormat="1" ht="51.9" customHeight="1" x14ac:dyDescent="0.2">
      <c r="A2243" s="5">
        <v>0</v>
      </c>
      <c r="B2243" s="6" t="s">
        <v>13467</v>
      </c>
      <c r="C2243" s="7">
        <v>2088</v>
      </c>
      <c r="D2243" s="8" t="s">
        <v>13468</v>
      </c>
      <c r="E2243" s="8" t="s">
        <v>13469</v>
      </c>
      <c r="F2243" s="8" t="s">
        <v>13460</v>
      </c>
      <c r="G2243" s="6" t="s">
        <v>118</v>
      </c>
      <c r="H2243" s="6" t="s">
        <v>34</v>
      </c>
      <c r="I2243" s="8" t="s">
        <v>253</v>
      </c>
      <c r="J2243" s="9">
        <v>1</v>
      </c>
      <c r="K2243" s="9">
        <v>315</v>
      </c>
      <c r="L2243" s="9">
        <v>2026</v>
      </c>
      <c r="M2243" s="8" t="s">
        <v>13470</v>
      </c>
      <c r="N2243" s="8" t="s">
        <v>37</v>
      </c>
      <c r="O2243" s="8" t="s">
        <v>136</v>
      </c>
      <c r="P2243" s="6" t="s">
        <v>8714</v>
      </c>
      <c r="Q2243" s="8" t="s">
        <v>52</v>
      </c>
      <c r="R2243" s="10" t="s">
        <v>676</v>
      </c>
      <c r="S2243" s="11"/>
      <c r="T2243" s="6"/>
      <c r="U2243" s="15" t="str">
        <f>HYPERLINK("https://media.infra-m.ru/2247/2247894/cover/2247894.jpg", "Обложка")</f>
        <v>Обложка</v>
      </c>
      <c r="V2243" s="8" t="s">
        <v>1277</v>
      </c>
      <c r="W2243" s="6"/>
      <c r="X2243" s="6"/>
      <c r="Y2243" s="6"/>
      <c r="Z2243" s="6"/>
      <c r="AA2243" s="6" t="s">
        <v>430</v>
      </c>
      <c r="AB2243" s="8"/>
      <c r="AC2243" s="27">
        <v>9785160165608</v>
      </c>
    </row>
    <row r="2244" spans="1:29" s="4" customFormat="1" ht="42" customHeight="1" x14ac:dyDescent="0.2">
      <c r="A2244" s="5">
        <v>0</v>
      </c>
      <c r="B2244" s="6" t="s">
        <v>13471</v>
      </c>
      <c r="C2244" s="13">
        <v>591.6</v>
      </c>
      <c r="D2244" s="8" t="s">
        <v>13472</v>
      </c>
      <c r="E2244" s="8" t="s">
        <v>13473</v>
      </c>
      <c r="F2244" s="8" t="s">
        <v>13474</v>
      </c>
      <c r="G2244" s="6" t="s">
        <v>33</v>
      </c>
      <c r="H2244" s="6" t="s">
        <v>313</v>
      </c>
      <c r="I2244" s="8" t="s">
        <v>13475</v>
      </c>
      <c r="J2244" s="9">
        <v>1</v>
      </c>
      <c r="K2244" s="9">
        <v>125</v>
      </c>
      <c r="L2244" s="9">
        <v>2026</v>
      </c>
      <c r="M2244" s="8" t="s">
        <v>13476</v>
      </c>
      <c r="N2244" s="8" t="s">
        <v>37</v>
      </c>
      <c r="O2244" s="8" t="s">
        <v>38</v>
      </c>
      <c r="P2244" s="6" t="s">
        <v>51</v>
      </c>
      <c r="Q2244" s="8" t="s">
        <v>52</v>
      </c>
      <c r="R2244" s="10" t="s">
        <v>8386</v>
      </c>
      <c r="S2244" s="11"/>
      <c r="T2244" s="6"/>
      <c r="U2244" s="15" t="str">
        <f>HYPERLINK("https://media.infra-m.ru/2218/2218406/cover/2218406.jpg", "Обложка")</f>
        <v>Обложка</v>
      </c>
      <c r="V2244" s="8"/>
      <c r="W2244" s="6"/>
      <c r="X2244" s="6"/>
      <c r="Y2244" s="6"/>
      <c r="Z2244" s="6"/>
      <c r="AA2244" s="6" t="s">
        <v>1047</v>
      </c>
      <c r="AB2244" s="8"/>
      <c r="AC2244" s="27">
        <v>9785369002568</v>
      </c>
    </row>
    <row r="2245" spans="1:29" s="4" customFormat="1" ht="51.9" customHeight="1" x14ac:dyDescent="0.2">
      <c r="A2245" s="5">
        <v>0</v>
      </c>
      <c r="B2245" s="6" t="s">
        <v>13477</v>
      </c>
      <c r="C2245" s="7">
        <v>1836</v>
      </c>
      <c r="D2245" s="8" t="s">
        <v>13478</v>
      </c>
      <c r="E2245" s="8" t="s">
        <v>13473</v>
      </c>
      <c r="F2245" s="8" t="s">
        <v>13479</v>
      </c>
      <c r="G2245" s="6" t="s">
        <v>118</v>
      </c>
      <c r="H2245" s="6" t="s">
        <v>34</v>
      </c>
      <c r="I2245" s="8" t="s">
        <v>253</v>
      </c>
      <c r="J2245" s="9">
        <v>1</v>
      </c>
      <c r="K2245" s="9">
        <v>322</v>
      </c>
      <c r="L2245" s="9">
        <v>2023</v>
      </c>
      <c r="M2245" s="8" t="s">
        <v>13480</v>
      </c>
      <c r="N2245" s="8" t="s">
        <v>37</v>
      </c>
      <c r="O2245" s="8" t="s">
        <v>280</v>
      </c>
      <c r="P2245" s="6" t="s">
        <v>306</v>
      </c>
      <c r="Q2245" s="8" t="s">
        <v>52</v>
      </c>
      <c r="R2245" s="10" t="s">
        <v>13481</v>
      </c>
      <c r="S2245" s="11"/>
      <c r="T2245" s="6"/>
      <c r="U2245" s="15" t="str">
        <f>HYPERLINK("https://media.infra-m.ru/2126/2126213/cover/2126213.jpg", "Обложка")</f>
        <v>Обложка</v>
      </c>
      <c r="V2245" s="8"/>
      <c r="W2245" s="6"/>
      <c r="X2245" s="6"/>
      <c r="Y2245" s="6"/>
      <c r="Z2245" s="6"/>
      <c r="AA2245" s="6" t="s">
        <v>157</v>
      </c>
      <c r="AB2245" s="8" t="s">
        <v>13482</v>
      </c>
      <c r="AC2245" s="27">
        <v>9785160172040</v>
      </c>
    </row>
    <row r="2246" spans="1:29" s="4" customFormat="1" ht="51.9" customHeight="1" x14ac:dyDescent="0.2">
      <c r="A2246" s="5">
        <v>0</v>
      </c>
      <c r="B2246" s="6" t="s">
        <v>13483</v>
      </c>
      <c r="C2246" s="7">
        <v>3720</v>
      </c>
      <c r="D2246" s="8" t="s">
        <v>13484</v>
      </c>
      <c r="E2246" s="8" t="s">
        <v>13485</v>
      </c>
      <c r="F2246" s="8" t="s">
        <v>13486</v>
      </c>
      <c r="G2246" s="6" t="s">
        <v>60</v>
      </c>
      <c r="H2246" s="6" t="s">
        <v>134</v>
      </c>
      <c r="I2246" s="8"/>
      <c r="J2246" s="9">
        <v>1</v>
      </c>
      <c r="K2246" s="9">
        <v>800</v>
      </c>
      <c r="L2246" s="9">
        <v>2026</v>
      </c>
      <c r="M2246" s="8" t="s">
        <v>13487</v>
      </c>
      <c r="N2246" s="8" t="s">
        <v>37</v>
      </c>
      <c r="O2246" s="8" t="s">
        <v>136</v>
      </c>
      <c r="P2246" s="6" t="s">
        <v>306</v>
      </c>
      <c r="Q2246" s="8" t="s">
        <v>52</v>
      </c>
      <c r="R2246" s="10" t="s">
        <v>3311</v>
      </c>
      <c r="S2246" s="11" t="s">
        <v>13488</v>
      </c>
      <c r="T2246" s="6"/>
      <c r="U2246" s="15" t="str">
        <f>HYPERLINK("https://media.infra-m.ru/2230/2230936/cover/2230936.jpg", "Обложка")</f>
        <v>Обложка</v>
      </c>
      <c r="V2246" s="8" t="s">
        <v>1184</v>
      </c>
      <c r="W2246" s="6"/>
      <c r="X2246" s="6" t="s">
        <v>24</v>
      </c>
      <c r="Y2246" s="6"/>
      <c r="Z2246" s="6"/>
      <c r="AA2246" s="6" t="s">
        <v>13489</v>
      </c>
      <c r="AB2246" s="8"/>
      <c r="AC2246" s="27">
        <v>9785917683782</v>
      </c>
    </row>
    <row r="2247" spans="1:29" s="4" customFormat="1" ht="51.9" customHeight="1" x14ac:dyDescent="0.2">
      <c r="A2247" s="5">
        <v>0</v>
      </c>
      <c r="B2247" s="6" t="s">
        <v>13490</v>
      </c>
      <c r="C2247" s="7">
        <v>3088.8</v>
      </c>
      <c r="D2247" s="8" t="s">
        <v>13491</v>
      </c>
      <c r="E2247" s="8" t="s">
        <v>13459</v>
      </c>
      <c r="F2247" s="8" t="s">
        <v>13492</v>
      </c>
      <c r="G2247" s="6" t="s">
        <v>60</v>
      </c>
      <c r="H2247" s="6" t="s">
        <v>134</v>
      </c>
      <c r="I2247" s="8"/>
      <c r="J2247" s="9">
        <v>1</v>
      </c>
      <c r="K2247" s="9">
        <v>448</v>
      </c>
      <c r="L2247" s="9">
        <v>2026</v>
      </c>
      <c r="M2247" s="8" t="s">
        <v>13493</v>
      </c>
      <c r="N2247" s="8" t="s">
        <v>37</v>
      </c>
      <c r="O2247" s="8" t="s">
        <v>136</v>
      </c>
      <c r="P2247" s="6" t="s">
        <v>306</v>
      </c>
      <c r="Q2247" s="8" t="s">
        <v>52</v>
      </c>
      <c r="R2247" s="10" t="s">
        <v>1275</v>
      </c>
      <c r="S2247" s="11"/>
      <c r="T2247" s="6"/>
      <c r="U2247" s="15" t="str">
        <f>HYPERLINK("https://media.infra-m.ru/2247/2247362/cover/2247362.jpg", "Обложка")</f>
        <v>Обложка</v>
      </c>
      <c r="V2247" s="8" t="s">
        <v>13494</v>
      </c>
      <c r="W2247" s="6"/>
      <c r="X2247" s="6"/>
      <c r="Y2247" s="6"/>
      <c r="Z2247" s="6"/>
      <c r="AA2247" s="6" t="s">
        <v>55</v>
      </c>
      <c r="AB2247" s="8"/>
      <c r="AC2247" s="27">
        <v>9785917684284</v>
      </c>
    </row>
    <row r="2248" spans="1:29" s="4" customFormat="1" ht="51.9" customHeight="1" x14ac:dyDescent="0.2">
      <c r="A2248" s="5">
        <v>0</v>
      </c>
      <c r="B2248" s="6" t="s">
        <v>13495</v>
      </c>
      <c r="C2248" s="7">
        <v>2632.8</v>
      </c>
      <c r="D2248" s="8" t="s">
        <v>13496</v>
      </c>
      <c r="E2248" s="8" t="s">
        <v>13497</v>
      </c>
      <c r="F2248" s="8" t="s">
        <v>13498</v>
      </c>
      <c r="G2248" s="6" t="s">
        <v>60</v>
      </c>
      <c r="H2248" s="6" t="s">
        <v>134</v>
      </c>
      <c r="I2248" s="8"/>
      <c r="J2248" s="9">
        <v>1</v>
      </c>
      <c r="K2248" s="9">
        <v>400</v>
      </c>
      <c r="L2248" s="9">
        <v>2026</v>
      </c>
      <c r="M2248" s="8" t="s">
        <v>13499</v>
      </c>
      <c r="N2248" s="8" t="s">
        <v>37</v>
      </c>
      <c r="O2248" s="8" t="s">
        <v>136</v>
      </c>
      <c r="P2248" s="6" t="s">
        <v>306</v>
      </c>
      <c r="Q2248" s="8" t="s">
        <v>52</v>
      </c>
      <c r="R2248" s="10" t="s">
        <v>484</v>
      </c>
      <c r="S2248" s="11" t="s">
        <v>13500</v>
      </c>
      <c r="T2248" s="6"/>
      <c r="U2248" s="15" t="str">
        <f>HYPERLINK("https://media.infra-m.ru/2247/2247364/cover/2247364.jpg", "Обложка")</f>
        <v>Обложка</v>
      </c>
      <c r="V2248" s="8" t="s">
        <v>6114</v>
      </c>
      <c r="W2248" s="6"/>
      <c r="X2248" s="6"/>
      <c r="Y2248" s="6"/>
      <c r="Z2248" s="6"/>
      <c r="AA2248" s="6" t="s">
        <v>55</v>
      </c>
      <c r="AB2248" s="8"/>
      <c r="AC2248" s="27">
        <v>9785917684291</v>
      </c>
    </row>
    <row r="2249" spans="1:29" s="4" customFormat="1" ht="51.9" customHeight="1" x14ac:dyDescent="0.2">
      <c r="A2249" s="5">
        <v>0</v>
      </c>
      <c r="B2249" s="6" t="s">
        <v>13501</v>
      </c>
      <c r="C2249" s="7">
        <v>2056.8000000000002</v>
      </c>
      <c r="D2249" s="8" t="s">
        <v>13502</v>
      </c>
      <c r="E2249" s="8" t="s">
        <v>13497</v>
      </c>
      <c r="F2249" s="8" t="s">
        <v>13367</v>
      </c>
      <c r="G2249" s="6" t="s">
        <v>118</v>
      </c>
      <c r="H2249" s="6" t="s">
        <v>313</v>
      </c>
      <c r="I2249" s="8" t="s">
        <v>253</v>
      </c>
      <c r="J2249" s="9">
        <v>1</v>
      </c>
      <c r="K2249" s="9">
        <v>310</v>
      </c>
      <c r="L2249" s="9">
        <v>2026</v>
      </c>
      <c r="M2249" s="8" t="s">
        <v>13503</v>
      </c>
      <c r="N2249" s="8" t="s">
        <v>37</v>
      </c>
      <c r="O2249" s="8" t="s">
        <v>136</v>
      </c>
      <c r="P2249" s="6" t="s">
        <v>51</v>
      </c>
      <c r="Q2249" s="8" t="s">
        <v>65</v>
      </c>
      <c r="R2249" s="10" t="s">
        <v>1068</v>
      </c>
      <c r="S2249" s="11"/>
      <c r="T2249" s="6"/>
      <c r="U2249" s="15" t="str">
        <f>HYPERLINK("https://media.infra-m.ru/2231/2231975/cover/2231975.jpg", "Обложка")</f>
        <v>Обложка</v>
      </c>
      <c r="V2249" s="8" t="s">
        <v>13370</v>
      </c>
      <c r="W2249" s="6"/>
      <c r="X2249" s="6"/>
      <c r="Y2249" s="6"/>
      <c r="Z2249" s="6"/>
      <c r="AA2249" s="6" t="s">
        <v>99</v>
      </c>
      <c r="AB2249" s="8"/>
      <c r="AC2249" s="27">
        <v>9785369016503</v>
      </c>
    </row>
    <row r="2250" spans="1:29" s="4" customFormat="1" ht="44.1" customHeight="1" x14ac:dyDescent="0.2">
      <c r="A2250" s="5">
        <v>0</v>
      </c>
      <c r="B2250" s="6" t="s">
        <v>13504</v>
      </c>
      <c r="C2250" s="7">
        <v>2880</v>
      </c>
      <c r="D2250" s="8" t="s">
        <v>13505</v>
      </c>
      <c r="E2250" s="8" t="s">
        <v>13459</v>
      </c>
      <c r="F2250" s="8" t="s">
        <v>8222</v>
      </c>
      <c r="G2250" s="6" t="s">
        <v>60</v>
      </c>
      <c r="H2250" s="6" t="s">
        <v>134</v>
      </c>
      <c r="I2250" s="8"/>
      <c r="J2250" s="9">
        <v>1</v>
      </c>
      <c r="K2250" s="9">
        <v>464</v>
      </c>
      <c r="L2250" s="9">
        <v>2026</v>
      </c>
      <c r="M2250" s="8" t="s">
        <v>13506</v>
      </c>
      <c r="N2250" s="8" t="s">
        <v>37</v>
      </c>
      <c r="O2250" s="8" t="s">
        <v>136</v>
      </c>
      <c r="P2250" s="6" t="s">
        <v>306</v>
      </c>
      <c r="Q2250" s="8" t="s">
        <v>65</v>
      </c>
      <c r="R2250" s="10" t="s">
        <v>13507</v>
      </c>
      <c r="S2250" s="11"/>
      <c r="T2250" s="6"/>
      <c r="U2250" s="15" t="str">
        <f>HYPERLINK("https://media.infra-m.ru/2218/2218399/cover/2218399.jpg", "Обложка")</f>
        <v>Обложка</v>
      </c>
      <c r="V2250" s="8" t="s">
        <v>1184</v>
      </c>
      <c r="W2250" s="6"/>
      <c r="X2250" s="6"/>
      <c r="Y2250" s="6"/>
      <c r="Z2250" s="6"/>
      <c r="AA2250" s="6" t="s">
        <v>1256</v>
      </c>
      <c r="AB2250" s="8"/>
      <c r="AC2250" s="27">
        <v>9785001560760</v>
      </c>
    </row>
    <row r="2251" spans="1:29" s="4" customFormat="1" ht="44.1" customHeight="1" x14ac:dyDescent="0.2">
      <c r="A2251" s="5">
        <v>0</v>
      </c>
      <c r="B2251" s="6" t="s">
        <v>13508</v>
      </c>
      <c r="C2251" s="7">
        <v>1896</v>
      </c>
      <c r="D2251" s="8" t="s">
        <v>13509</v>
      </c>
      <c r="E2251" s="8" t="s">
        <v>13510</v>
      </c>
      <c r="F2251" s="8" t="s">
        <v>13511</v>
      </c>
      <c r="G2251" s="6" t="s">
        <v>118</v>
      </c>
      <c r="H2251" s="6" t="s">
        <v>34</v>
      </c>
      <c r="I2251" s="8" t="s">
        <v>253</v>
      </c>
      <c r="J2251" s="9">
        <v>1</v>
      </c>
      <c r="K2251" s="9">
        <v>287</v>
      </c>
      <c r="L2251" s="9">
        <v>2026</v>
      </c>
      <c r="M2251" s="8" t="s">
        <v>13512</v>
      </c>
      <c r="N2251" s="8" t="s">
        <v>37</v>
      </c>
      <c r="O2251" s="8" t="s">
        <v>38</v>
      </c>
      <c r="P2251" s="6" t="s">
        <v>8714</v>
      </c>
      <c r="Q2251" s="8" t="s">
        <v>65</v>
      </c>
      <c r="R2251" s="10" t="s">
        <v>13513</v>
      </c>
      <c r="S2251" s="11"/>
      <c r="T2251" s="6" t="s">
        <v>97</v>
      </c>
      <c r="U2251" s="15" t="str">
        <f>HYPERLINK("https://media.infra-m.ru/2227/2227181/cover/2227181.jpg", "Обложка")</f>
        <v>Обложка</v>
      </c>
      <c r="V2251" s="8" t="s">
        <v>13514</v>
      </c>
      <c r="W2251" s="6"/>
      <c r="X2251" s="6"/>
      <c r="Y2251" s="6"/>
      <c r="Z2251" s="6"/>
      <c r="AA2251" s="6" t="s">
        <v>68</v>
      </c>
      <c r="AB2251" s="8"/>
      <c r="AC2251" s="27">
        <v>9785160198699</v>
      </c>
    </row>
    <row r="2252" spans="1:29" s="4" customFormat="1" ht="42" customHeight="1" x14ac:dyDescent="0.2">
      <c r="A2252" s="5">
        <v>0</v>
      </c>
      <c r="B2252" s="6" t="s">
        <v>13515</v>
      </c>
      <c r="C2252" s="7">
        <v>3196.8</v>
      </c>
      <c r="D2252" s="8" t="s">
        <v>13516</v>
      </c>
      <c r="E2252" s="8" t="s">
        <v>13517</v>
      </c>
      <c r="F2252" s="8" t="s">
        <v>13518</v>
      </c>
      <c r="G2252" s="6" t="s">
        <v>60</v>
      </c>
      <c r="H2252" s="6" t="s">
        <v>34</v>
      </c>
      <c r="I2252" s="8" t="s">
        <v>253</v>
      </c>
      <c r="J2252" s="9">
        <v>1</v>
      </c>
      <c r="K2252" s="9">
        <v>485</v>
      </c>
      <c r="L2252" s="9">
        <v>2026</v>
      </c>
      <c r="M2252" s="8" t="s">
        <v>13519</v>
      </c>
      <c r="N2252" s="8" t="s">
        <v>37</v>
      </c>
      <c r="O2252" s="8" t="s">
        <v>38</v>
      </c>
      <c r="P2252" s="6" t="s">
        <v>51</v>
      </c>
      <c r="Q2252" s="8" t="s">
        <v>65</v>
      </c>
      <c r="R2252" s="10" t="s">
        <v>13520</v>
      </c>
      <c r="S2252" s="11"/>
      <c r="T2252" s="6"/>
      <c r="U2252" s="15" t="str">
        <f>HYPERLINK("https://media.infra-m.ru/2255/2255174/cover/2255174.jpg", "Обложка")</f>
        <v>Обложка</v>
      </c>
      <c r="V2252" s="8" t="s">
        <v>13514</v>
      </c>
      <c r="W2252" s="6"/>
      <c r="X2252" s="6"/>
      <c r="Y2252" s="6"/>
      <c r="Z2252" s="6"/>
      <c r="AA2252" s="6" t="s">
        <v>76</v>
      </c>
      <c r="AB2252" s="8" t="s">
        <v>12037</v>
      </c>
      <c r="AC2252" s="27">
        <v>9785160197982</v>
      </c>
    </row>
    <row r="2253" spans="1:29" s="4" customFormat="1" ht="51.9" customHeight="1" x14ac:dyDescent="0.2">
      <c r="A2253" s="5">
        <v>0</v>
      </c>
      <c r="B2253" s="6" t="s">
        <v>13521</v>
      </c>
      <c r="C2253" s="7">
        <v>1324.8</v>
      </c>
      <c r="D2253" s="8" t="s">
        <v>13522</v>
      </c>
      <c r="E2253" s="8" t="s">
        <v>13523</v>
      </c>
      <c r="F2253" s="8" t="s">
        <v>13524</v>
      </c>
      <c r="G2253" s="6" t="s">
        <v>60</v>
      </c>
      <c r="H2253" s="6" t="s">
        <v>34</v>
      </c>
      <c r="I2253" s="8" t="s">
        <v>35</v>
      </c>
      <c r="J2253" s="9">
        <v>1</v>
      </c>
      <c r="K2253" s="9">
        <v>576</v>
      </c>
      <c r="L2253" s="9">
        <v>2026</v>
      </c>
      <c r="M2253" s="8" t="s">
        <v>13525</v>
      </c>
      <c r="N2253" s="8" t="s">
        <v>37</v>
      </c>
      <c r="O2253" s="8" t="s">
        <v>136</v>
      </c>
      <c r="P2253" s="6" t="s">
        <v>39</v>
      </c>
      <c r="Q2253" s="8" t="s">
        <v>40</v>
      </c>
      <c r="R2253" s="10" t="s">
        <v>1230</v>
      </c>
      <c r="S2253" s="11"/>
      <c r="T2253" s="6"/>
      <c r="U2253" s="15" t="str">
        <f>HYPERLINK("https://media.infra-m.ru/2229/2229295/cover/2229295.jpg", "Обложка")</f>
        <v>Обложка</v>
      </c>
      <c r="V2253" s="8" t="s">
        <v>9937</v>
      </c>
      <c r="W2253" s="6"/>
      <c r="X2253" s="6"/>
      <c r="Y2253" s="6"/>
      <c r="Z2253" s="6"/>
      <c r="AA2253" s="6" t="s">
        <v>779</v>
      </c>
      <c r="AB2253" s="8"/>
      <c r="AC2253" s="27">
        <v>9785160121529</v>
      </c>
    </row>
    <row r="2254" spans="1:29" s="4" customFormat="1" ht="51.9" customHeight="1" x14ac:dyDescent="0.2">
      <c r="A2254" s="5">
        <v>0</v>
      </c>
      <c r="B2254" s="6" t="s">
        <v>13526</v>
      </c>
      <c r="C2254" s="13">
        <v>977.9</v>
      </c>
      <c r="D2254" s="8" t="s">
        <v>13527</v>
      </c>
      <c r="E2254" s="8" t="s">
        <v>13528</v>
      </c>
      <c r="F2254" s="8" t="s">
        <v>4721</v>
      </c>
      <c r="G2254" s="6" t="s">
        <v>60</v>
      </c>
      <c r="H2254" s="6" t="s">
        <v>34</v>
      </c>
      <c r="I2254" s="8" t="s">
        <v>327</v>
      </c>
      <c r="J2254" s="9">
        <v>1</v>
      </c>
      <c r="K2254" s="9">
        <v>175</v>
      </c>
      <c r="L2254" s="9">
        <v>2023</v>
      </c>
      <c r="M2254" s="8" t="s">
        <v>13529</v>
      </c>
      <c r="N2254" s="8" t="s">
        <v>63</v>
      </c>
      <c r="O2254" s="8" t="s">
        <v>126</v>
      </c>
      <c r="P2254" s="6" t="s">
        <v>51</v>
      </c>
      <c r="Q2254" s="8" t="s">
        <v>52</v>
      </c>
      <c r="R2254" s="10" t="s">
        <v>13530</v>
      </c>
      <c r="S2254" s="11" t="s">
        <v>13531</v>
      </c>
      <c r="T2254" s="6"/>
      <c r="U2254" s="15" t="str">
        <f>HYPERLINK("https://media.infra-m.ru/1959/1959263/cover/1959263.jpg", "Обложка")</f>
        <v>Обложка</v>
      </c>
      <c r="V2254" s="8" t="s">
        <v>911</v>
      </c>
      <c r="W2254" s="6"/>
      <c r="X2254" s="6"/>
      <c r="Y2254" s="6"/>
      <c r="Z2254" s="6"/>
      <c r="AA2254" s="6" t="s">
        <v>1256</v>
      </c>
      <c r="AB2254" s="8"/>
      <c r="AC2254" s="27">
        <v>9785160151427</v>
      </c>
    </row>
    <row r="2255" spans="1:29" s="4" customFormat="1" ht="51.9" customHeight="1" x14ac:dyDescent="0.2">
      <c r="A2255" s="5">
        <v>0</v>
      </c>
      <c r="B2255" s="6" t="s">
        <v>13532</v>
      </c>
      <c r="C2255" s="7">
        <v>1236</v>
      </c>
      <c r="D2255" s="8" t="s">
        <v>13533</v>
      </c>
      <c r="E2255" s="8" t="s">
        <v>13534</v>
      </c>
      <c r="F2255" s="8" t="s">
        <v>13535</v>
      </c>
      <c r="G2255" s="6" t="s">
        <v>118</v>
      </c>
      <c r="H2255" s="6" t="s">
        <v>313</v>
      </c>
      <c r="I2255" s="8" t="s">
        <v>253</v>
      </c>
      <c r="J2255" s="9">
        <v>1</v>
      </c>
      <c r="K2255" s="9">
        <v>284</v>
      </c>
      <c r="L2255" s="9">
        <v>2021</v>
      </c>
      <c r="M2255" s="8" t="s">
        <v>13536</v>
      </c>
      <c r="N2255" s="8" t="s">
        <v>243</v>
      </c>
      <c r="O2255" s="8" t="s">
        <v>244</v>
      </c>
      <c r="P2255" s="6" t="s">
        <v>51</v>
      </c>
      <c r="Q2255" s="8" t="s">
        <v>52</v>
      </c>
      <c r="R2255" s="10" t="s">
        <v>13537</v>
      </c>
      <c r="S2255" s="11"/>
      <c r="T2255" s="6"/>
      <c r="U2255" s="15" t="str">
        <f>HYPERLINK("https://media.infra-m.ru/1215/1215133/cover/1215133.jpg", "Обложка")</f>
        <v>Обложка</v>
      </c>
      <c r="V2255" s="8" t="s">
        <v>644</v>
      </c>
      <c r="W2255" s="6"/>
      <c r="X2255" s="6"/>
      <c r="Y2255" s="6"/>
      <c r="Z2255" s="6"/>
      <c r="AA2255" s="6" t="s">
        <v>55</v>
      </c>
      <c r="AB2255" s="8" t="s">
        <v>493</v>
      </c>
      <c r="AC2255" s="27">
        <v>9785369018446</v>
      </c>
    </row>
    <row r="2256" spans="1:29" s="4" customFormat="1" ht="51.9" customHeight="1" x14ac:dyDescent="0.2">
      <c r="A2256" s="5">
        <v>0</v>
      </c>
      <c r="B2256" s="6" t="s">
        <v>13538</v>
      </c>
      <c r="C2256" s="13">
        <v>917.9</v>
      </c>
      <c r="D2256" s="8" t="s">
        <v>13539</v>
      </c>
      <c r="E2256" s="8" t="s">
        <v>13534</v>
      </c>
      <c r="F2256" s="8" t="s">
        <v>13535</v>
      </c>
      <c r="G2256" s="6" t="s">
        <v>33</v>
      </c>
      <c r="H2256" s="6" t="s">
        <v>313</v>
      </c>
      <c r="I2256" s="8" t="s">
        <v>253</v>
      </c>
      <c r="J2256" s="9">
        <v>1</v>
      </c>
      <c r="K2256" s="9">
        <v>283</v>
      </c>
      <c r="L2256" s="9">
        <v>2018</v>
      </c>
      <c r="M2256" s="8" t="s">
        <v>13540</v>
      </c>
      <c r="N2256" s="8" t="s">
        <v>243</v>
      </c>
      <c r="O2256" s="8" t="s">
        <v>244</v>
      </c>
      <c r="P2256" s="6" t="s">
        <v>51</v>
      </c>
      <c r="Q2256" s="8" t="s">
        <v>52</v>
      </c>
      <c r="R2256" s="10" t="s">
        <v>13537</v>
      </c>
      <c r="S2256" s="11"/>
      <c r="T2256" s="6"/>
      <c r="U2256" s="15" t="str">
        <f>HYPERLINK("https://media.infra-m.ru/0959/0959913/cover/959913.jpg", "Обложка")</f>
        <v>Обложка</v>
      </c>
      <c r="V2256" s="8" t="s">
        <v>644</v>
      </c>
      <c r="W2256" s="6"/>
      <c r="X2256" s="6"/>
      <c r="Y2256" s="6"/>
      <c r="Z2256" s="6"/>
      <c r="AA2256" s="6" t="s">
        <v>55</v>
      </c>
      <c r="AB2256" s="8" t="s">
        <v>493</v>
      </c>
      <c r="AC2256" s="27">
        <v>9785369012147</v>
      </c>
    </row>
    <row r="2257" spans="1:29" s="4" customFormat="1" ht="42" customHeight="1" x14ac:dyDescent="0.2">
      <c r="A2257" s="5">
        <v>0</v>
      </c>
      <c r="B2257" s="6" t="s">
        <v>13541</v>
      </c>
      <c r="C2257" s="7">
        <v>1620</v>
      </c>
      <c r="D2257" s="8" t="s">
        <v>13542</v>
      </c>
      <c r="E2257" s="8" t="s">
        <v>13543</v>
      </c>
      <c r="F2257" s="8" t="s">
        <v>13544</v>
      </c>
      <c r="G2257" s="6" t="s">
        <v>60</v>
      </c>
      <c r="H2257" s="6" t="s">
        <v>34</v>
      </c>
      <c r="I2257" s="8" t="s">
        <v>253</v>
      </c>
      <c r="J2257" s="9">
        <v>1</v>
      </c>
      <c r="K2257" s="9">
        <v>235</v>
      </c>
      <c r="L2257" s="9">
        <v>2026</v>
      </c>
      <c r="M2257" s="8" t="s">
        <v>13545</v>
      </c>
      <c r="N2257" s="8" t="s">
        <v>585</v>
      </c>
      <c r="O2257" s="8" t="s">
        <v>2472</v>
      </c>
      <c r="P2257" s="6" t="s">
        <v>51</v>
      </c>
      <c r="Q2257" s="8" t="s">
        <v>1349</v>
      </c>
      <c r="R2257" s="10" t="s">
        <v>13546</v>
      </c>
      <c r="S2257" s="11"/>
      <c r="T2257" s="6"/>
      <c r="U2257" s="15" t="str">
        <f>HYPERLINK("https://media.infra-m.ru/2214/2214962/cover/2214962.jpg", "Обложка")</f>
        <v>Обложка</v>
      </c>
      <c r="V2257" s="8" t="s">
        <v>6059</v>
      </c>
      <c r="W2257" s="6" t="s">
        <v>186</v>
      </c>
      <c r="X2257" s="6"/>
      <c r="Y2257" s="6"/>
      <c r="Z2257" s="6"/>
      <c r="AA2257" s="6" t="s">
        <v>187</v>
      </c>
      <c r="AB2257" s="8" t="s">
        <v>2634</v>
      </c>
      <c r="AC2257" s="27">
        <v>9785160211312</v>
      </c>
    </row>
    <row r="2258" spans="1:29" s="4" customFormat="1" ht="51.9" customHeight="1" x14ac:dyDescent="0.2">
      <c r="A2258" s="5">
        <v>0</v>
      </c>
      <c r="B2258" s="6" t="s">
        <v>13547</v>
      </c>
      <c r="C2258" s="7">
        <v>1756.8</v>
      </c>
      <c r="D2258" s="8" t="s">
        <v>13548</v>
      </c>
      <c r="E2258" s="8" t="s">
        <v>13549</v>
      </c>
      <c r="F2258" s="8" t="s">
        <v>13550</v>
      </c>
      <c r="G2258" s="6" t="s">
        <v>60</v>
      </c>
      <c r="H2258" s="6" t="s">
        <v>34</v>
      </c>
      <c r="I2258" s="8" t="s">
        <v>504</v>
      </c>
      <c r="J2258" s="9">
        <v>1</v>
      </c>
      <c r="K2258" s="9">
        <v>323</v>
      </c>
      <c r="L2258" s="9">
        <v>2023</v>
      </c>
      <c r="M2258" s="8" t="s">
        <v>13551</v>
      </c>
      <c r="N2258" s="8" t="s">
        <v>37</v>
      </c>
      <c r="O2258" s="8" t="s">
        <v>280</v>
      </c>
      <c r="P2258" s="6" t="s">
        <v>306</v>
      </c>
      <c r="Q2258" s="8" t="s">
        <v>500</v>
      </c>
      <c r="R2258" s="10" t="s">
        <v>8386</v>
      </c>
      <c r="S2258" s="11" t="s">
        <v>13552</v>
      </c>
      <c r="T2258" s="6"/>
      <c r="U2258" s="15" t="str">
        <f>HYPERLINK("https://media.infra-m.ru/2023/2023203/cover/2023203.jpg", "Обложка")</f>
        <v>Обложка</v>
      </c>
      <c r="V2258" s="8" t="s">
        <v>657</v>
      </c>
      <c r="W2258" s="6"/>
      <c r="X2258" s="6"/>
      <c r="Y2258" s="6"/>
      <c r="Z2258" s="6"/>
      <c r="AA2258" s="6" t="s">
        <v>115</v>
      </c>
      <c r="AB2258" s="8"/>
      <c r="AC2258" s="27">
        <v>9785160144382</v>
      </c>
    </row>
    <row r="2259" spans="1:29" s="4" customFormat="1" ht="51.9" customHeight="1" x14ac:dyDescent="0.2">
      <c r="A2259" s="5">
        <v>0</v>
      </c>
      <c r="B2259" s="6" t="s">
        <v>13553</v>
      </c>
      <c r="C2259" s="7">
        <v>1396.8</v>
      </c>
      <c r="D2259" s="8" t="s">
        <v>13554</v>
      </c>
      <c r="E2259" s="8" t="s">
        <v>13555</v>
      </c>
      <c r="F2259" s="8" t="s">
        <v>13556</v>
      </c>
      <c r="G2259" s="6" t="s">
        <v>118</v>
      </c>
      <c r="H2259" s="6" t="s">
        <v>34</v>
      </c>
      <c r="I2259" s="8" t="s">
        <v>504</v>
      </c>
      <c r="J2259" s="9">
        <v>1</v>
      </c>
      <c r="K2259" s="9">
        <v>212</v>
      </c>
      <c r="L2259" s="9">
        <v>2026</v>
      </c>
      <c r="M2259" s="8" t="s">
        <v>13557</v>
      </c>
      <c r="N2259" s="8" t="s">
        <v>37</v>
      </c>
      <c r="O2259" s="8" t="s">
        <v>233</v>
      </c>
      <c r="P2259" s="6" t="s">
        <v>51</v>
      </c>
      <c r="Q2259" s="8" t="s">
        <v>500</v>
      </c>
      <c r="R2259" s="10" t="s">
        <v>4087</v>
      </c>
      <c r="S2259" s="11" t="s">
        <v>13558</v>
      </c>
      <c r="T2259" s="6"/>
      <c r="U2259" s="15" t="str">
        <f>HYPERLINK("https://media.infra-m.ru/2239/2239159/cover/2239159.jpg", "Обложка")</f>
        <v>Обложка</v>
      </c>
      <c r="V2259" s="8" t="s">
        <v>5964</v>
      </c>
      <c r="W2259" s="6"/>
      <c r="X2259" s="6"/>
      <c r="Y2259" s="6"/>
      <c r="Z2259" s="6"/>
      <c r="AA2259" s="6" t="s">
        <v>623</v>
      </c>
      <c r="AB2259" s="8"/>
      <c r="AC2259" s="27">
        <v>9785160126197</v>
      </c>
    </row>
    <row r="2260" spans="1:29" s="4" customFormat="1" ht="51.9" customHeight="1" x14ac:dyDescent="0.2">
      <c r="A2260" s="5">
        <v>0</v>
      </c>
      <c r="B2260" s="6" t="s">
        <v>13559</v>
      </c>
      <c r="C2260" s="13">
        <v>809.9</v>
      </c>
      <c r="D2260" s="8" t="s">
        <v>13560</v>
      </c>
      <c r="E2260" s="8" t="s">
        <v>13561</v>
      </c>
      <c r="F2260" s="8" t="s">
        <v>13556</v>
      </c>
      <c r="G2260" s="6" t="s">
        <v>60</v>
      </c>
      <c r="H2260" s="6" t="s">
        <v>34</v>
      </c>
      <c r="I2260" s="8" t="s">
        <v>271</v>
      </c>
      <c r="J2260" s="9">
        <v>20</v>
      </c>
      <c r="K2260" s="9">
        <v>231</v>
      </c>
      <c r="L2260" s="9">
        <v>2017</v>
      </c>
      <c r="M2260" s="8" t="s">
        <v>13562</v>
      </c>
      <c r="N2260" s="8" t="s">
        <v>37</v>
      </c>
      <c r="O2260" s="8" t="s">
        <v>233</v>
      </c>
      <c r="P2260" s="6" t="s">
        <v>51</v>
      </c>
      <c r="Q2260" s="8" t="s">
        <v>52</v>
      </c>
      <c r="R2260" s="10" t="s">
        <v>4087</v>
      </c>
      <c r="S2260" s="11" t="s">
        <v>13563</v>
      </c>
      <c r="T2260" s="6"/>
      <c r="U2260" s="15" t="str">
        <f>HYPERLINK("https://media.infra-m.ru/0762/0762314/cover/762314.jpg", "Обложка")</f>
        <v>Обложка</v>
      </c>
      <c r="V2260" s="8" t="s">
        <v>5964</v>
      </c>
      <c r="W2260" s="6"/>
      <c r="X2260" s="6"/>
      <c r="Y2260" s="6"/>
      <c r="Z2260" s="6"/>
      <c r="AA2260" s="6" t="s">
        <v>129</v>
      </c>
      <c r="AB2260" s="8"/>
      <c r="AC2260" s="27">
        <v>9785160042435</v>
      </c>
    </row>
    <row r="2261" spans="1:29" s="4" customFormat="1" ht="51.9" customHeight="1" x14ac:dyDescent="0.2">
      <c r="A2261" s="5">
        <v>0</v>
      </c>
      <c r="B2261" s="6" t="s">
        <v>13564</v>
      </c>
      <c r="C2261" s="7">
        <v>3276</v>
      </c>
      <c r="D2261" s="8" t="s">
        <v>13565</v>
      </c>
      <c r="E2261" s="8" t="s">
        <v>13566</v>
      </c>
      <c r="F2261" s="8" t="s">
        <v>13567</v>
      </c>
      <c r="G2261" s="6" t="s">
        <v>60</v>
      </c>
      <c r="H2261" s="6" t="s">
        <v>134</v>
      </c>
      <c r="I2261" s="8"/>
      <c r="J2261" s="9">
        <v>1</v>
      </c>
      <c r="K2261" s="9">
        <v>496</v>
      </c>
      <c r="L2261" s="9">
        <v>2026</v>
      </c>
      <c r="M2261" s="8" t="s">
        <v>13568</v>
      </c>
      <c r="N2261" s="8" t="s">
        <v>37</v>
      </c>
      <c r="O2261" s="8" t="s">
        <v>136</v>
      </c>
      <c r="P2261" s="6" t="s">
        <v>306</v>
      </c>
      <c r="Q2261" s="8" t="s">
        <v>500</v>
      </c>
      <c r="R2261" s="10" t="s">
        <v>1275</v>
      </c>
      <c r="S2261" s="11"/>
      <c r="T2261" s="6"/>
      <c r="U2261" s="15" t="str">
        <f>HYPERLINK("https://media.infra-m.ru/2239/2239082/cover/2239082.jpg", "Обложка")</f>
        <v>Обложка</v>
      </c>
      <c r="V2261" s="8" t="s">
        <v>138</v>
      </c>
      <c r="W2261" s="6"/>
      <c r="X2261" s="6"/>
      <c r="Y2261" s="6"/>
      <c r="Z2261" s="6"/>
      <c r="AA2261" s="6" t="s">
        <v>779</v>
      </c>
      <c r="AB2261" s="8"/>
      <c r="AC2261" s="27">
        <v>9785917686806</v>
      </c>
    </row>
    <row r="2262" spans="1:29" s="4" customFormat="1" ht="51.9" customHeight="1" x14ac:dyDescent="0.2">
      <c r="A2262" s="5">
        <v>0</v>
      </c>
      <c r="B2262" s="6" t="s">
        <v>13569</v>
      </c>
      <c r="C2262" s="7">
        <v>1632</v>
      </c>
      <c r="D2262" s="8" t="s">
        <v>13570</v>
      </c>
      <c r="E2262" s="8" t="s">
        <v>13566</v>
      </c>
      <c r="F2262" s="8" t="s">
        <v>13571</v>
      </c>
      <c r="G2262" s="6" t="s">
        <v>60</v>
      </c>
      <c r="H2262" s="6" t="s">
        <v>134</v>
      </c>
      <c r="I2262" s="8"/>
      <c r="J2262" s="9">
        <v>1</v>
      </c>
      <c r="K2262" s="9">
        <v>464</v>
      </c>
      <c r="L2262" s="9">
        <v>2018</v>
      </c>
      <c r="M2262" s="8" t="s">
        <v>13572</v>
      </c>
      <c r="N2262" s="8" t="s">
        <v>37</v>
      </c>
      <c r="O2262" s="8" t="s">
        <v>136</v>
      </c>
      <c r="P2262" s="6" t="s">
        <v>306</v>
      </c>
      <c r="Q2262" s="8" t="s">
        <v>500</v>
      </c>
      <c r="R2262" s="10" t="s">
        <v>1275</v>
      </c>
      <c r="S2262" s="11"/>
      <c r="T2262" s="6"/>
      <c r="U2262" s="15" t="str">
        <f>HYPERLINK("https://media.infra-m.ru/0945/0945566/cover/945566.jpg", "Обложка")</f>
        <v>Обложка</v>
      </c>
      <c r="V2262" s="8" t="s">
        <v>6114</v>
      </c>
      <c r="W2262" s="6"/>
      <c r="X2262" s="6"/>
      <c r="Y2262" s="6"/>
      <c r="Z2262" s="6"/>
      <c r="AA2262" s="6" t="s">
        <v>43</v>
      </c>
      <c r="AB2262" s="8"/>
      <c r="AC2262" s="27">
        <v>9785917682990</v>
      </c>
    </row>
    <row r="2263" spans="1:29" s="4" customFormat="1" ht="42" customHeight="1" x14ac:dyDescent="0.2">
      <c r="A2263" s="5">
        <v>0</v>
      </c>
      <c r="B2263" s="6" t="s">
        <v>13573</v>
      </c>
      <c r="C2263" s="7">
        <v>2604</v>
      </c>
      <c r="D2263" s="8" t="s">
        <v>13574</v>
      </c>
      <c r="E2263" s="8" t="s">
        <v>13566</v>
      </c>
      <c r="F2263" s="8" t="s">
        <v>7414</v>
      </c>
      <c r="G2263" s="6" t="s">
        <v>60</v>
      </c>
      <c r="H2263" s="6" t="s">
        <v>313</v>
      </c>
      <c r="I2263" s="8" t="s">
        <v>253</v>
      </c>
      <c r="J2263" s="9">
        <v>1</v>
      </c>
      <c r="K2263" s="9">
        <v>425</v>
      </c>
      <c r="L2263" s="9">
        <v>2025</v>
      </c>
      <c r="M2263" s="8" t="s">
        <v>13575</v>
      </c>
      <c r="N2263" s="8" t="s">
        <v>37</v>
      </c>
      <c r="O2263" s="8" t="s">
        <v>136</v>
      </c>
      <c r="P2263" s="6" t="s">
        <v>306</v>
      </c>
      <c r="Q2263" s="8" t="s">
        <v>65</v>
      </c>
      <c r="R2263" s="10" t="s">
        <v>1625</v>
      </c>
      <c r="S2263" s="11"/>
      <c r="T2263" s="6"/>
      <c r="U2263" s="15" t="str">
        <f>HYPERLINK("https://media.infra-m.ru/2187/2187363/cover/2187363.jpg", "Обложка")</f>
        <v>Обложка</v>
      </c>
      <c r="V2263" s="8" t="s">
        <v>3595</v>
      </c>
      <c r="W2263" s="6"/>
      <c r="X2263" s="6"/>
      <c r="Y2263" s="6"/>
      <c r="Z2263" s="6"/>
      <c r="AA2263" s="6" t="s">
        <v>68</v>
      </c>
      <c r="AB2263" s="8"/>
      <c r="AC2263" s="27">
        <v>9785369019788</v>
      </c>
    </row>
    <row r="2264" spans="1:29" s="4" customFormat="1" ht="51.9" customHeight="1" x14ac:dyDescent="0.2">
      <c r="A2264" s="5">
        <v>0</v>
      </c>
      <c r="B2264" s="6" t="s">
        <v>13576</v>
      </c>
      <c r="C2264" s="7">
        <v>1968</v>
      </c>
      <c r="D2264" s="8" t="s">
        <v>13577</v>
      </c>
      <c r="E2264" s="8" t="s">
        <v>13566</v>
      </c>
      <c r="F2264" s="8" t="s">
        <v>13578</v>
      </c>
      <c r="G2264" s="6" t="s">
        <v>118</v>
      </c>
      <c r="H2264" s="6" t="s">
        <v>34</v>
      </c>
      <c r="I2264" s="8" t="s">
        <v>253</v>
      </c>
      <c r="J2264" s="9">
        <v>1</v>
      </c>
      <c r="K2264" s="9">
        <v>283</v>
      </c>
      <c r="L2264" s="9">
        <v>2027</v>
      </c>
      <c r="M2264" s="8" t="s">
        <v>13579</v>
      </c>
      <c r="N2264" s="8" t="s">
        <v>37</v>
      </c>
      <c r="O2264" s="8" t="s">
        <v>136</v>
      </c>
      <c r="P2264" s="6" t="s">
        <v>306</v>
      </c>
      <c r="Q2264" s="8" t="s">
        <v>500</v>
      </c>
      <c r="R2264" s="10" t="s">
        <v>1275</v>
      </c>
      <c r="S2264" s="11" t="s">
        <v>13580</v>
      </c>
      <c r="T2264" s="6"/>
      <c r="U2264" s="15" t="str">
        <f>HYPERLINK("https://media.infra-m.ru/2221/2221475/cover/2221475.jpg", "Обложка")</f>
        <v>Обложка</v>
      </c>
      <c r="V2264" s="8" t="s">
        <v>13581</v>
      </c>
      <c r="W2264" s="6"/>
      <c r="X2264" s="6"/>
      <c r="Y2264" s="6"/>
      <c r="Z2264" s="6"/>
      <c r="AA2264" s="6" t="s">
        <v>86</v>
      </c>
      <c r="AB2264" s="8"/>
      <c r="AC2264" s="27">
        <v>9785160224404</v>
      </c>
    </row>
    <row r="2265" spans="1:29" s="4" customFormat="1" ht="42" customHeight="1" x14ac:dyDescent="0.2">
      <c r="A2265" s="5">
        <v>0</v>
      </c>
      <c r="B2265" s="6" t="s">
        <v>13582</v>
      </c>
      <c r="C2265" s="7">
        <v>3588</v>
      </c>
      <c r="D2265" s="8" t="s">
        <v>13583</v>
      </c>
      <c r="E2265" s="8" t="s">
        <v>13566</v>
      </c>
      <c r="F2265" s="8" t="s">
        <v>13584</v>
      </c>
      <c r="G2265" s="6" t="s">
        <v>60</v>
      </c>
      <c r="H2265" s="6" t="s">
        <v>313</v>
      </c>
      <c r="I2265" s="8" t="s">
        <v>253</v>
      </c>
      <c r="J2265" s="9">
        <v>1</v>
      </c>
      <c r="K2265" s="9">
        <v>583</v>
      </c>
      <c r="L2265" s="9">
        <v>2026</v>
      </c>
      <c r="M2265" s="8" t="s">
        <v>13585</v>
      </c>
      <c r="N2265" s="8" t="s">
        <v>37</v>
      </c>
      <c r="O2265" s="8" t="s">
        <v>136</v>
      </c>
      <c r="P2265" s="6" t="s">
        <v>306</v>
      </c>
      <c r="Q2265" s="8" t="s">
        <v>500</v>
      </c>
      <c r="R2265" s="10" t="s">
        <v>1625</v>
      </c>
      <c r="S2265" s="11"/>
      <c r="T2265" s="6"/>
      <c r="U2265" s="15" t="str">
        <f>HYPERLINK("https://media.infra-m.ru/2216/2216824/cover/2216824.jpg", "Обложка")</f>
        <v>Обложка</v>
      </c>
      <c r="V2265" s="8" t="s">
        <v>1994</v>
      </c>
      <c r="W2265" s="6"/>
      <c r="X2265" s="6"/>
      <c r="Y2265" s="6"/>
      <c r="Z2265" s="6"/>
      <c r="AA2265" s="6" t="s">
        <v>148</v>
      </c>
      <c r="AB2265" s="8"/>
      <c r="AC2265" s="27">
        <v>9785369018880</v>
      </c>
    </row>
    <row r="2266" spans="1:29" s="4" customFormat="1" ht="51.9" customHeight="1" x14ac:dyDescent="0.2">
      <c r="A2266" s="5">
        <v>0</v>
      </c>
      <c r="B2266" s="6" t="s">
        <v>13586</v>
      </c>
      <c r="C2266" s="7">
        <v>3384</v>
      </c>
      <c r="D2266" s="8" t="s">
        <v>13587</v>
      </c>
      <c r="E2266" s="8" t="s">
        <v>13588</v>
      </c>
      <c r="F2266" s="8" t="s">
        <v>13589</v>
      </c>
      <c r="G2266" s="6" t="s">
        <v>60</v>
      </c>
      <c r="H2266" s="6" t="s">
        <v>134</v>
      </c>
      <c r="I2266" s="8"/>
      <c r="J2266" s="9">
        <v>1</v>
      </c>
      <c r="K2266" s="9">
        <v>512</v>
      </c>
      <c r="L2266" s="9">
        <v>2026</v>
      </c>
      <c r="M2266" s="8" t="s">
        <v>13590</v>
      </c>
      <c r="N2266" s="8" t="s">
        <v>37</v>
      </c>
      <c r="O2266" s="8" t="s">
        <v>136</v>
      </c>
      <c r="P2266" s="6" t="s">
        <v>306</v>
      </c>
      <c r="Q2266" s="8" t="s">
        <v>500</v>
      </c>
      <c r="R2266" s="10" t="s">
        <v>1275</v>
      </c>
      <c r="S2266" s="11"/>
      <c r="T2266" s="6"/>
      <c r="U2266" s="15" t="str">
        <f>HYPERLINK("https://media.infra-m.ru/2218/2218403/cover/2218403.jpg", "Обложка")</f>
        <v>Обложка</v>
      </c>
      <c r="V2266" s="8" t="s">
        <v>6114</v>
      </c>
      <c r="W2266" s="6"/>
      <c r="X2266" s="6"/>
      <c r="Y2266" s="6"/>
      <c r="Z2266" s="6"/>
      <c r="AA2266" s="6" t="s">
        <v>2240</v>
      </c>
      <c r="AB2266" s="8"/>
      <c r="AC2266" s="27">
        <v>9785917689586</v>
      </c>
    </row>
    <row r="2267" spans="1:29" s="4" customFormat="1" ht="51.9" customHeight="1" x14ac:dyDescent="0.2">
      <c r="A2267" s="5">
        <v>0</v>
      </c>
      <c r="B2267" s="6" t="s">
        <v>13591</v>
      </c>
      <c r="C2267" s="13">
        <v>900</v>
      </c>
      <c r="D2267" s="8" t="s">
        <v>13592</v>
      </c>
      <c r="E2267" s="8" t="s">
        <v>13566</v>
      </c>
      <c r="F2267" s="8" t="s">
        <v>13593</v>
      </c>
      <c r="G2267" s="6" t="s">
        <v>118</v>
      </c>
      <c r="H2267" s="6" t="s">
        <v>134</v>
      </c>
      <c r="I2267" s="8"/>
      <c r="J2267" s="9">
        <v>1</v>
      </c>
      <c r="K2267" s="9">
        <v>128</v>
      </c>
      <c r="L2267" s="9">
        <v>2026</v>
      </c>
      <c r="M2267" s="8" t="s">
        <v>13594</v>
      </c>
      <c r="N2267" s="8" t="s">
        <v>37</v>
      </c>
      <c r="O2267" s="8" t="s">
        <v>136</v>
      </c>
      <c r="P2267" s="6" t="s">
        <v>51</v>
      </c>
      <c r="Q2267" s="8" t="s">
        <v>500</v>
      </c>
      <c r="R2267" s="10" t="s">
        <v>1275</v>
      </c>
      <c r="S2267" s="11"/>
      <c r="T2267" s="6"/>
      <c r="U2267" s="15" t="str">
        <f>HYPERLINK("https://media.infra-m.ru/2261/2261162/cover/2261162.jpg", "Обложка")</f>
        <v>Обложка</v>
      </c>
      <c r="V2267" s="8" t="s">
        <v>1184</v>
      </c>
      <c r="W2267" s="6"/>
      <c r="X2267" s="6"/>
      <c r="Y2267" s="6"/>
      <c r="Z2267" s="6"/>
      <c r="AA2267" s="6" t="s">
        <v>86</v>
      </c>
      <c r="AB2267" s="8"/>
      <c r="AC2267" s="27">
        <v>9785917688954</v>
      </c>
    </row>
    <row r="2268" spans="1:29" s="4" customFormat="1" ht="51.9" customHeight="1" x14ac:dyDescent="0.2">
      <c r="A2268" s="5">
        <v>0</v>
      </c>
      <c r="B2268" s="6" t="s">
        <v>13595</v>
      </c>
      <c r="C2268" s="7">
        <v>2532</v>
      </c>
      <c r="D2268" s="8" t="s">
        <v>13596</v>
      </c>
      <c r="E2268" s="8" t="s">
        <v>13597</v>
      </c>
      <c r="F2268" s="8" t="s">
        <v>13598</v>
      </c>
      <c r="G2268" s="6" t="s">
        <v>118</v>
      </c>
      <c r="H2268" s="6" t="s">
        <v>34</v>
      </c>
      <c r="I2268" s="8" t="s">
        <v>253</v>
      </c>
      <c r="J2268" s="9">
        <v>1</v>
      </c>
      <c r="K2268" s="9">
        <v>394</v>
      </c>
      <c r="L2268" s="9">
        <v>2026</v>
      </c>
      <c r="M2268" s="8" t="s">
        <v>13599</v>
      </c>
      <c r="N2268" s="8" t="s">
        <v>37</v>
      </c>
      <c r="O2268" s="8" t="s">
        <v>83</v>
      </c>
      <c r="P2268" s="6" t="s">
        <v>306</v>
      </c>
      <c r="Q2268" s="8" t="s">
        <v>52</v>
      </c>
      <c r="R2268" s="10" t="s">
        <v>13600</v>
      </c>
      <c r="S2268" s="11" t="s">
        <v>13601</v>
      </c>
      <c r="T2268" s="6"/>
      <c r="U2268" s="15" t="str">
        <f>HYPERLINK("https://media.infra-m.ru/2221/2221549/cover/2221549.jpg", "Обложка")</f>
        <v>Обложка</v>
      </c>
      <c r="V2268" s="8" t="s">
        <v>1599</v>
      </c>
      <c r="W2268" s="6"/>
      <c r="X2268" s="6"/>
      <c r="Y2268" s="6"/>
      <c r="Z2268" s="6"/>
      <c r="AA2268" s="6" t="s">
        <v>148</v>
      </c>
      <c r="AB2268" s="8"/>
      <c r="AC2268" s="27">
        <v>9785160213170</v>
      </c>
    </row>
    <row r="2269" spans="1:29" s="4" customFormat="1" ht="42" customHeight="1" x14ac:dyDescent="0.2">
      <c r="A2269" s="5">
        <v>0</v>
      </c>
      <c r="B2269" s="6" t="s">
        <v>13602</v>
      </c>
      <c r="C2269" s="7">
        <v>2064</v>
      </c>
      <c r="D2269" s="8" t="s">
        <v>13603</v>
      </c>
      <c r="E2269" s="8" t="s">
        <v>13604</v>
      </c>
      <c r="F2269" s="8" t="s">
        <v>13605</v>
      </c>
      <c r="G2269" s="6" t="s">
        <v>118</v>
      </c>
      <c r="H2269" s="6" t="s">
        <v>134</v>
      </c>
      <c r="I2269" s="8"/>
      <c r="J2269" s="9">
        <v>1</v>
      </c>
      <c r="K2269" s="9">
        <v>296</v>
      </c>
      <c r="L2269" s="9">
        <v>2027</v>
      </c>
      <c r="M2269" s="8" t="s">
        <v>13606</v>
      </c>
      <c r="N2269" s="8" t="s">
        <v>37</v>
      </c>
      <c r="O2269" s="8" t="s">
        <v>136</v>
      </c>
      <c r="P2269" s="6" t="s">
        <v>306</v>
      </c>
      <c r="Q2269" s="8" t="s">
        <v>1349</v>
      </c>
      <c r="R2269" s="10" t="s">
        <v>13607</v>
      </c>
      <c r="S2269" s="11"/>
      <c r="T2269" s="6"/>
      <c r="U2269" s="15" t="str">
        <f>HYPERLINK("https://media.infra-m.ru/2266/2266085/cover/2266085.jpg", "Обложка")</f>
        <v>Обложка</v>
      </c>
      <c r="V2269" s="8" t="s">
        <v>1184</v>
      </c>
      <c r="W2269" s="6"/>
      <c r="X2269" s="6"/>
      <c r="Y2269" s="6"/>
      <c r="Z2269" s="6"/>
      <c r="AA2269" s="6" t="s">
        <v>1256</v>
      </c>
      <c r="AB2269" s="8"/>
      <c r="AC2269" s="27">
        <v>9785001560302</v>
      </c>
    </row>
    <row r="2270" spans="1:29" s="4" customFormat="1" ht="51.9" customHeight="1" x14ac:dyDescent="0.2">
      <c r="A2270" s="5">
        <v>0</v>
      </c>
      <c r="B2270" s="6" t="s">
        <v>13608</v>
      </c>
      <c r="C2270" s="7">
        <v>1392</v>
      </c>
      <c r="D2270" s="8" t="s">
        <v>13609</v>
      </c>
      <c r="E2270" s="8" t="s">
        <v>13604</v>
      </c>
      <c r="F2270" s="8" t="s">
        <v>13610</v>
      </c>
      <c r="G2270" s="6" t="s">
        <v>33</v>
      </c>
      <c r="H2270" s="6" t="s">
        <v>313</v>
      </c>
      <c r="I2270" s="8" t="s">
        <v>392</v>
      </c>
      <c r="J2270" s="9">
        <v>1</v>
      </c>
      <c r="K2270" s="9">
        <v>206</v>
      </c>
      <c r="L2270" s="9">
        <v>2026</v>
      </c>
      <c r="M2270" s="8" t="s">
        <v>13611</v>
      </c>
      <c r="N2270" s="8" t="s">
        <v>63</v>
      </c>
      <c r="O2270" s="8" t="s">
        <v>126</v>
      </c>
      <c r="P2270" s="6" t="s">
        <v>51</v>
      </c>
      <c r="Q2270" s="8" t="s">
        <v>500</v>
      </c>
      <c r="R2270" s="10" t="s">
        <v>13612</v>
      </c>
      <c r="S2270" s="11" t="s">
        <v>13613</v>
      </c>
      <c r="T2270" s="6"/>
      <c r="U2270" s="15" t="str">
        <f>HYPERLINK("https://media.infra-m.ru/2231/2231456/cover/2231456.jpg", "Обложка")</f>
        <v>Обложка</v>
      </c>
      <c r="V2270" s="8" t="s">
        <v>1030</v>
      </c>
      <c r="W2270" s="6"/>
      <c r="X2270" s="6"/>
      <c r="Y2270" s="6"/>
      <c r="Z2270" s="6"/>
      <c r="AA2270" s="6" t="s">
        <v>99</v>
      </c>
      <c r="AB2270" s="8"/>
      <c r="AC2270" s="27">
        <v>9785369015933</v>
      </c>
    </row>
    <row r="2271" spans="1:29" s="4" customFormat="1" ht="51.9" customHeight="1" x14ac:dyDescent="0.2">
      <c r="A2271" s="5">
        <v>0</v>
      </c>
      <c r="B2271" s="6" t="s">
        <v>13614</v>
      </c>
      <c r="C2271" s="7">
        <v>1788</v>
      </c>
      <c r="D2271" s="8" t="s">
        <v>13615</v>
      </c>
      <c r="E2271" s="8" t="s">
        <v>13604</v>
      </c>
      <c r="F2271" s="8" t="s">
        <v>13616</v>
      </c>
      <c r="G2271" s="6" t="s">
        <v>60</v>
      </c>
      <c r="H2271" s="6" t="s">
        <v>34</v>
      </c>
      <c r="I2271" s="8" t="s">
        <v>9737</v>
      </c>
      <c r="J2271" s="9">
        <v>1</v>
      </c>
      <c r="K2271" s="9">
        <v>301</v>
      </c>
      <c r="L2271" s="9">
        <v>2024</v>
      </c>
      <c r="M2271" s="8" t="s">
        <v>13617</v>
      </c>
      <c r="N2271" s="8" t="s">
        <v>63</v>
      </c>
      <c r="O2271" s="8" t="s">
        <v>126</v>
      </c>
      <c r="P2271" s="6" t="s">
        <v>51</v>
      </c>
      <c r="Q2271" s="8" t="s">
        <v>1349</v>
      </c>
      <c r="R2271" s="10" t="s">
        <v>13618</v>
      </c>
      <c r="S2271" s="11"/>
      <c r="T2271" s="6"/>
      <c r="U2271" s="15" t="str">
        <f>HYPERLINK("https://media.infra-m.ru/1899/1899107/cover/1899107.jpg", "Обложка")</f>
        <v>Обложка</v>
      </c>
      <c r="V2271" s="8" t="s">
        <v>588</v>
      </c>
      <c r="W2271" s="6"/>
      <c r="X2271" s="6"/>
      <c r="Y2271" s="6"/>
      <c r="Z2271" s="6"/>
      <c r="AA2271" s="6" t="s">
        <v>76</v>
      </c>
      <c r="AB2271" s="8"/>
      <c r="AC2271" s="27">
        <v>9785160179520</v>
      </c>
    </row>
    <row r="2272" spans="1:29" s="4" customFormat="1" ht="42" customHeight="1" x14ac:dyDescent="0.2">
      <c r="A2272" s="5">
        <v>0</v>
      </c>
      <c r="B2272" s="6" t="s">
        <v>13619</v>
      </c>
      <c r="C2272" s="7">
        <v>1696.8</v>
      </c>
      <c r="D2272" s="8" t="s">
        <v>13620</v>
      </c>
      <c r="E2272" s="8" t="s">
        <v>13604</v>
      </c>
      <c r="F2272" s="8" t="s">
        <v>13621</v>
      </c>
      <c r="G2272" s="6" t="s">
        <v>60</v>
      </c>
      <c r="H2272" s="6" t="s">
        <v>313</v>
      </c>
      <c r="I2272" s="8" t="s">
        <v>253</v>
      </c>
      <c r="J2272" s="9">
        <v>1</v>
      </c>
      <c r="K2272" s="9">
        <v>256</v>
      </c>
      <c r="L2272" s="9">
        <v>2026</v>
      </c>
      <c r="M2272" s="8" t="s">
        <v>13622</v>
      </c>
      <c r="N2272" s="8" t="s">
        <v>63</v>
      </c>
      <c r="O2272" s="8" t="s">
        <v>126</v>
      </c>
      <c r="P2272" s="6" t="s">
        <v>51</v>
      </c>
      <c r="Q2272" s="8" t="s">
        <v>65</v>
      </c>
      <c r="R2272" s="10" t="s">
        <v>13623</v>
      </c>
      <c r="S2272" s="11"/>
      <c r="T2272" s="6"/>
      <c r="U2272" s="15" t="str">
        <f>HYPERLINK("https://media.infra-m.ru/2232/2232567/cover/2232567.jpg", "Обложка")</f>
        <v>Обложка</v>
      </c>
      <c r="V2272" s="8" t="s">
        <v>13624</v>
      </c>
      <c r="W2272" s="6"/>
      <c r="X2272" s="6"/>
      <c r="Y2272" s="6"/>
      <c r="Z2272" s="6"/>
      <c r="AA2272" s="6" t="s">
        <v>55</v>
      </c>
      <c r="AB2272" s="8"/>
      <c r="AC2272" s="27">
        <v>9785369011140</v>
      </c>
    </row>
    <row r="2273" spans="1:29" s="4" customFormat="1" ht="42" customHeight="1" x14ac:dyDescent="0.2">
      <c r="A2273" s="5">
        <v>0</v>
      </c>
      <c r="B2273" s="6" t="s">
        <v>13625</v>
      </c>
      <c r="C2273" s="13">
        <v>976.8</v>
      </c>
      <c r="D2273" s="8" t="s">
        <v>13626</v>
      </c>
      <c r="E2273" s="8" t="s">
        <v>13604</v>
      </c>
      <c r="F2273" s="8" t="s">
        <v>6099</v>
      </c>
      <c r="G2273" s="6" t="s">
        <v>33</v>
      </c>
      <c r="H2273" s="6" t="s">
        <v>313</v>
      </c>
      <c r="I2273" s="8" t="s">
        <v>392</v>
      </c>
      <c r="J2273" s="9">
        <v>1</v>
      </c>
      <c r="K2273" s="9">
        <v>148</v>
      </c>
      <c r="L2273" s="9">
        <v>2026</v>
      </c>
      <c r="M2273" s="8" t="s">
        <v>13627</v>
      </c>
      <c r="N2273" s="8" t="s">
        <v>63</v>
      </c>
      <c r="O2273" s="8" t="s">
        <v>126</v>
      </c>
      <c r="P2273" s="6" t="s">
        <v>51</v>
      </c>
      <c r="Q2273" s="8" t="s">
        <v>52</v>
      </c>
      <c r="R2273" s="10" t="s">
        <v>10243</v>
      </c>
      <c r="S2273" s="11"/>
      <c r="T2273" s="6"/>
      <c r="U2273" s="15" t="str">
        <f>HYPERLINK("https://media.infra-m.ru/2224/2224178/cover/2224178.jpg", "Обложка")</f>
        <v>Обложка</v>
      </c>
      <c r="V2273" s="8" t="s">
        <v>2020</v>
      </c>
      <c r="W2273" s="6"/>
      <c r="X2273" s="6"/>
      <c r="Y2273" s="6"/>
      <c r="Z2273" s="6"/>
      <c r="AA2273" s="6" t="s">
        <v>779</v>
      </c>
      <c r="AB2273" s="8"/>
      <c r="AC2273" s="27">
        <v>9785369015476</v>
      </c>
    </row>
    <row r="2274" spans="1:29" s="4" customFormat="1" ht="51.9" customHeight="1" x14ac:dyDescent="0.2">
      <c r="A2274" s="5">
        <v>0</v>
      </c>
      <c r="B2274" s="6" t="s">
        <v>13628</v>
      </c>
      <c r="C2274" s="7">
        <v>1788</v>
      </c>
      <c r="D2274" s="8" t="s">
        <v>13629</v>
      </c>
      <c r="E2274" s="8" t="s">
        <v>13630</v>
      </c>
      <c r="F2274" s="8" t="s">
        <v>13631</v>
      </c>
      <c r="G2274" s="6" t="s">
        <v>118</v>
      </c>
      <c r="H2274" s="6" t="s">
        <v>241</v>
      </c>
      <c r="I2274" s="8" t="s">
        <v>13632</v>
      </c>
      <c r="J2274" s="9">
        <v>1</v>
      </c>
      <c r="K2274" s="9">
        <v>323</v>
      </c>
      <c r="L2274" s="9">
        <v>2024</v>
      </c>
      <c r="M2274" s="8" t="s">
        <v>13633</v>
      </c>
      <c r="N2274" s="8" t="s">
        <v>63</v>
      </c>
      <c r="O2274" s="8" t="s">
        <v>126</v>
      </c>
      <c r="P2274" s="6" t="s">
        <v>51</v>
      </c>
      <c r="Q2274" s="8" t="s">
        <v>500</v>
      </c>
      <c r="R2274" s="10" t="s">
        <v>13634</v>
      </c>
      <c r="S2274" s="11"/>
      <c r="T2274" s="6"/>
      <c r="U2274" s="15" t="str">
        <f>HYPERLINK("https://media.infra-m.ru/2091/2091930/cover/2091930.jpg", "Обложка")</f>
        <v>Обложка</v>
      </c>
      <c r="V2274" s="8" t="s">
        <v>247</v>
      </c>
      <c r="W2274" s="6"/>
      <c r="X2274" s="6"/>
      <c r="Y2274" s="6"/>
      <c r="Z2274" s="6"/>
      <c r="AA2274" s="6" t="s">
        <v>623</v>
      </c>
      <c r="AB2274" s="8"/>
      <c r="AC2274" s="27">
        <v>9785955805344</v>
      </c>
    </row>
    <row r="2275" spans="1:29" s="4" customFormat="1" ht="51.9" customHeight="1" x14ac:dyDescent="0.2">
      <c r="A2275" s="5">
        <v>0</v>
      </c>
      <c r="B2275" s="6" t="s">
        <v>13635</v>
      </c>
      <c r="C2275" s="13">
        <v>880.8</v>
      </c>
      <c r="D2275" s="8" t="s">
        <v>13636</v>
      </c>
      <c r="E2275" s="8" t="s">
        <v>13604</v>
      </c>
      <c r="F2275" s="8" t="s">
        <v>13637</v>
      </c>
      <c r="G2275" s="6" t="s">
        <v>33</v>
      </c>
      <c r="H2275" s="6" t="s">
        <v>313</v>
      </c>
      <c r="I2275" s="8" t="s">
        <v>253</v>
      </c>
      <c r="J2275" s="9">
        <v>1</v>
      </c>
      <c r="K2275" s="9">
        <v>141</v>
      </c>
      <c r="L2275" s="9">
        <v>2025</v>
      </c>
      <c r="M2275" s="8" t="s">
        <v>13638</v>
      </c>
      <c r="N2275" s="8" t="s">
        <v>37</v>
      </c>
      <c r="O2275" s="8" t="s">
        <v>38</v>
      </c>
      <c r="P2275" s="6" t="s">
        <v>51</v>
      </c>
      <c r="Q2275" s="8" t="s">
        <v>1349</v>
      </c>
      <c r="R2275" s="10" t="s">
        <v>13639</v>
      </c>
      <c r="S2275" s="11"/>
      <c r="T2275" s="6"/>
      <c r="U2275" s="15" t="str">
        <f>HYPERLINK("https://media.infra-m.ru/2212/2212044/cover/2212044.jpg", "Обложка")</f>
        <v>Обложка</v>
      </c>
      <c r="V2275" s="8" t="s">
        <v>9514</v>
      </c>
      <c r="W2275" s="6"/>
      <c r="X2275" s="6"/>
      <c r="Y2275" s="6"/>
      <c r="Z2275" s="6"/>
      <c r="AA2275" s="6" t="s">
        <v>1047</v>
      </c>
      <c r="AB2275" s="8"/>
      <c r="AC2275" s="27">
        <v>9785369003299</v>
      </c>
    </row>
    <row r="2276" spans="1:29" s="4" customFormat="1" ht="42" customHeight="1" x14ac:dyDescent="0.2">
      <c r="A2276" s="5">
        <v>0</v>
      </c>
      <c r="B2276" s="6" t="s">
        <v>13640</v>
      </c>
      <c r="C2276" s="7">
        <v>1896</v>
      </c>
      <c r="D2276" s="8" t="s">
        <v>13641</v>
      </c>
      <c r="E2276" s="8" t="s">
        <v>13642</v>
      </c>
      <c r="F2276" s="8" t="s">
        <v>13643</v>
      </c>
      <c r="G2276" s="6" t="s">
        <v>118</v>
      </c>
      <c r="H2276" s="6" t="s">
        <v>34</v>
      </c>
      <c r="I2276" s="8"/>
      <c r="J2276" s="9">
        <v>1</v>
      </c>
      <c r="K2276" s="9">
        <v>272</v>
      </c>
      <c r="L2276" s="9">
        <v>2027</v>
      </c>
      <c r="M2276" s="8" t="s">
        <v>13644</v>
      </c>
      <c r="N2276" s="8" t="s">
        <v>37</v>
      </c>
      <c r="O2276" s="8" t="s">
        <v>233</v>
      </c>
      <c r="P2276" s="6" t="s">
        <v>51</v>
      </c>
      <c r="Q2276" s="8" t="s">
        <v>52</v>
      </c>
      <c r="R2276" s="10" t="s">
        <v>13125</v>
      </c>
      <c r="S2276" s="11"/>
      <c r="T2276" s="6"/>
      <c r="U2276" s="15" t="str">
        <f>HYPERLINK("https://media.infra-m.ru/2266/2266129/cover/2266129.jpg", "Обложка")</f>
        <v>Обложка</v>
      </c>
      <c r="V2276" s="8" t="s">
        <v>4448</v>
      </c>
      <c r="W2276" s="6"/>
      <c r="X2276" s="6"/>
      <c r="Y2276" s="6"/>
      <c r="Z2276" s="6"/>
      <c r="AA2276" s="6" t="s">
        <v>1047</v>
      </c>
      <c r="AB2276" s="8"/>
      <c r="AC2276" s="27">
        <v>9785160224268</v>
      </c>
    </row>
    <row r="2277" spans="1:29" s="4" customFormat="1" ht="51.9" customHeight="1" x14ac:dyDescent="0.2">
      <c r="A2277" s="5">
        <v>0</v>
      </c>
      <c r="B2277" s="6" t="s">
        <v>13645</v>
      </c>
      <c r="C2277" s="7">
        <v>1012.8</v>
      </c>
      <c r="D2277" s="8" t="s">
        <v>13646</v>
      </c>
      <c r="E2277" s="8" t="s">
        <v>13647</v>
      </c>
      <c r="F2277" s="8" t="s">
        <v>13648</v>
      </c>
      <c r="G2277" s="6" t="s">
        <v>33</v>
      </c>
      <c r="H2277" s="6" t="s">
        <v>34</v>
      </c>
      <c r="I2277" s="8" t="s">
        <v>35</v>
      </c>
      <c r="J2277" s="9">
        <v>1</v>
      </c>
      <c r="K2277" s="9">
        <v>176</v>
      </c>
      <c r="L2277" s="9">
        <v>2024</v>
      </c>
      <c r="M2277" s="8" t="s">
        <v>13649</v>
      </c>
      <c r="N2277" s="8" t="s">
        <v>63</v>
      </c>
      <c r="O2277" s="8" t="s">
        <v>9718</v>
      </c>
      <c r="P2277" s="6" t="s">
        <v>39</v>
      </c>
      <c r="Q2277" s="8" t="s">
        <v>40</v>
      </c>
      <c r="R2277" s="10" t="s">
        <v>13650</v>
      </c>
      <c r="S2277" s="11"/>
      <c r="T2277" s="6"/>
      <c r="U2277" s="15" t="str">
        <f>HYPERLINK("https://media.infra-m.ru/2108/2108472/cover/2108472.jpg", "Обложка")</f>
        <v>Обложка</v>
      </c>
      <c r="V2277" s="8" t="s">
        <v>2389</v>
      </c>
      <c r="W2277" s="6"/>
      <c r="X2277" s="6"/>
      <c r="Y2277" s="6"/>
      <c r="Z2277" s="6"/>
      <c r="AA2277" s="6" t="s">
        <v>148</v>
      </c>
      <c r="AB2277" s="8"/>
      <c r="AC2277" s="27">
        <v>9785160176901</v>
      </c>
    </row>
    <row r="2278" spans="1:29" s="4" customFormat="1" ht="51.9" customHeight="1" x14ac:dyDescent="0.2">
      <c r="A2278" s="5">
        <v>0</v>
      </c>
      <c r="B2278" s="6" t="s">
        <v>13651</v>
      </c>
      <c r="C2278" s="7">
        <v>2630.4</v>
      </c>
      <c r="D2278" s="8" t="s">
        <v>13652</v>
      </c>
      <c r="E2278" s="8" t="s">
        <v>13653</v>
      </c>
      <c r="F2278" s="8" t="s">
        <v>13654</v>
      </c>
      <c r="G2278" s="6" t="s">
        <v>118</v>
      </c>
      <c r="H2278" s="6" t="s">
        <v>34</v>
      </c>
      <c r="I2278" s="8" t="s">
        <v>253</v>
      </c>
      <c r="J2278" s="9">
        <v>1</v>
      </c>
      <c r="K2278" s="9">
        <v>231</v>
      </c>
      <c r="L2278" s="9">
        <v>2026</v>
      </c>
      <c r="M2278" s="8" t="s">
        <v>13655</v>
      </c>
      <c r="N2278" s="8" t="s">
        <v>243</v>
      </c>
      <c r="O2278" s="8" t="s">
        <v>758</v>
      </c>
      <c r="P2278" s="6" t="s">
        <v>51</v>
      </c>
      <c r="Q2278" s="8" t="s">
        <v>65</v>
      </c>
      <c r="R2278" s="10" t="s">
        <v>13656</v>
      </c>
      <c r="S2278" s="11" t="s">
        <v>13657</v>
      </c>
      <c r="T2278" s="6"/>
      <c r="U2278" s="15" t="str">
        <f>HYPERLINK("https://media.infra-m.ru/2238/2238392/cover/2238392.jpg", "Обложка")</f>
        <v>Обложка</v>
      </c>
      <c r="V2278" s="8" t="s">
        <v>13658</v>
      </c>
      <c r="W2278" s="6"/>
      <c r="X2278" s="6"/>
      <c r="Y2278" s="6"/>
      <c r="Z2278" s="6"/>
      <c r="AA2278" s="6" t="s">
        <v>1256</v>
      </c>
      <c r="AB2278" s="8"/>
      <c r="AC2278" s="27">
        <v>9785160185903</v>
      </c>
    </row>
    <row r="2279" spans="1:29" s="4" customFormat="1" ht="51.9" customHeight="1" x14ac:dyDescent="0.2">
      <c r="A2279" s="5">
        <v>0</v>
      </c>
      <c r="B2279" s="6" t="s">
        <v>13659</v>
      </c>
      <c r="C2279" s="7">
        <v>2390.4</v>
      </c>
      <c r="D2279" s="8" t="s">
        <v>13660</v>
      </c>
      <c r="E2279" s="8" t="s">
        <v>13653</v>
      </c>
      <c r="F2279" s="8" t="s">
        <v>13654</v>
      </c>
      <c r="G2279" s="6" t="s">
        <v>118</v>
      </c>
      <c r="H2279" s="6" t="s">
        <v>34</v>
      </c>
      <c r="I2279" s="8" t="s">
        <v>263</v>
      </c>
      <c r="J2279" s="9">
        <v>1</v>
      </c>
      <c r="K2279" s="9">
        <v>231</v>
      </c>
      <c r="L2279" s="9">
        <v>2026</v>
      </c>
      <c r="M2279" s="8" t="s">
        <v>13661</v>
      </c>
      <c r="N2279" s="8" t="s">
        <v>243</v>
      </c>
      <c r="O2279" s="8" t="s">
        <v>758</v>
      </c>
      <c r="P2279" s="6" t="s">
        <v>51</v>
      </c>
      <c r="Q2279" s="8" t="s">
        <v>265</v>
      </c>
      <c r="R2279" s="10" t="s">
        <v>10620</v>
      </c>
      <c r="S2279" s="11" t="s">
        <v>13662</v>
      </c>
      <c r="T2279" s="6"/>
      <c r="U2279" s="15" t="str">
        <f>HYPERLINK("https://media.infra-m.ru/2192/2192489/cover/2192489.jpg", "Обложка")</f>
        <v>Обложка</v>
      </c>
      <c r="V2279" s="8" t="s">
        <v>13658</v>
      </c>
      <c r="W2279" s="6"/>
      <c r="X2279" s="6"/>
      <c r="Y2279" s="6"/>
      <c r="Z2279" s="6" t="s">
        <v>882</v>
      </c>
      <c r="AA2279" s="6" t="s">
        <v>430</v>
      </c>
      <c r="AB2279" s="8"/>
      <c r="AC2279" s="27">
        <v>9785160168036</v>
      </c>
    </row>
    <row r="2280" spans="1:29" s="4" customFormat="1" ht="42" customHeight="1" x14ac:dyDescent="0.2">
      <c r="A2280" s="5">
        <v>0</v>
      </c>
      <c r="B2280" s="6" t="s">
        <v>13663</v>
      </c>
      <c r="C2280" s="7">
        <v>2558.4</v>
      </c>
      <c r="D2280" s="8" t="s">
        <v>13664</v>
      </c>
      <c r="E2280" s="8" t="s">
        <v>13653</v>
      </c>
      <c r="F2280" s="8" t="s">
        <v>13654</v>
      </c>
      <c r="G2280" s="6" t="s">
        <v>118</v>
      </c>
      <c r="H2280" s="6" t="s">
        <v>34</v>
      </c>
      <c r="I2280" s="8" t="s">
        <v>179</v>
      </c>
      <c r="J2280" s="9">
        <v>1</v>
      </c>
      <c r="K2280" s="9">
        <v>231</v>
      </c>
      <c r="L2280" s="9">
        <v>2026</v>
      </c>
      <c r="M2280" s="8" t="s">
        <v>13665</v>
      </c>
      <c r="N2280" s="8" t="s">
        <v>243</v>
      </c>
      <c r="O2280" s="8" t="s">
        <v>758</v>
      </c>
      <c r="P2280" s="6" t="s">
        <v>8120</v>
      </c>
      <c r="Q2280" s="8" t="s">
        <v>65</v>
      </c>
      <c r="R2280" s="10" t="s">
        <v>13656</v>
      </c>
      <c r="S2280" s="11"/>
      <c r="T2280" s="6"/>
      <c r="U2280" s="15" t="str">
        <f>HYPERLINK("https://media.infra-m.ru/2230/2230148/cover/2230148.jpg", "Обложка")</f>
        <v>Обложка</v>
      </c>
      <c r="V2280" s="8" t="s">
        <v>13658</v>
      </c>
      <c r="W2280" s="6" t="s">
        <v>186</v>
      </c>
      <c r="X2280" s="6"/>
      <c r="Y2280" s="6"/>
      <c r="Z2280" s="6"/>
      <c r="AA2280" s="6" t="s">
        <v>187</v>
      </c>
      <c r="AB2280" s="8"/>
      <c r="AC2280" s="27">
        <v>9785160215495</v>
      </c>
    </row>
    <row r="2281" spans="1:29" s="4" customFormat="1" ht="51.9" customHeight="1" x14ac:dyDescent="0.2">
      <c r="A2281" s="5">
        <v>0</v>
      </c>
      <c r="B2281" s="6" t="s">
        <v>13666</v>
      </c>
      <c r="C2281" s="7">
        <v>1440</v>
      </c>
      <c r="D2281" s="8" t="s">
        <v>13667</v>
      </c>
      <c r="E2281" s="8" t="s">
        <v>13668</v>
      </c>
      <c r="F2281" s="8" t="s">
        <v>13669</v>
      </c>
      <c r="G2281" s="6" t="s">
        <v>118</v>
      </c>
      <c r="H2281" s="6" t="s">
        <v>34</v>
      </c>
      <c r="I2281" s="8" t="s">
        <v>263</v>
      </c>
      <c r="J2281" s="9">
        <v>1</v>
      </c>
      <c r="K2281" s="9">
        <v>217</v>
      </c>
      <c r="L2281" s="9">
        <v>2026</v>
      </c>
      <c r="M2281" s="8" t="s">
        <v>13670</v>
      </c>
      <c r="N2281" s="8" t="s">
        <v>63</v>
      </c>
      <c r="O2281" s="8" t="s">
        <v>181</v>
      </c>
      <c r="P2281" s="6" t="s">
        <v>51</v>
      </c>
      <c r="Q2281" s="8" t="s">
        <v>265</v>
      </c>
      <c r="R2281" s="10" t="s">
        <v>13671</v>
      </c>
      <c r="S2281" s="11"/>
      <c r="T2281" s="6"/>
      <c r="U2281" s="15" t="str">
        <f>HYPERLINK("https://media.infra-m.ru/2254/2254332/cover/2254332.jpg", "Обложка")</f>
        <v>Обложка</v>
      </c>
      <c r="V2281" s="8" t="s">
        <v>227</v>
      </c>
      <c r="W2281" s="6"/>
      <c r="X2281" s="6"/>
      <c r="Y2281" s="6"/>
      <c r="Z2281" s="6"/>
      <c r="AA2281" s="6" t="s">
        <v>76</v>
      </c>
      <c r="AB2281" s="8"/>
      <c r="AC2281" s="27">
        <v>9785160165660</v>
      </c>
    </row>
    <row r="2282" spans="1:29" s="4" customFormat="1" ht="51.9" customHeight="1" x14ac:dyDescent="0.2">
      <c r="A2282" s="5">
        <v>0</v>
      </c>
      <c r="B2282" s="6" t="s">
        <v>13672</v>
      </c>
      <c r="C2282" s="13">
        <v>972</v>
      </c>
      <c r="D2282" s="8" t="s">
        <v>13673</v>
      </c>
      <c r="E2282" s="8" t="s">
        <v>13674</v>
      </c>
      <c r="F2282" s="8" t="s">
        <v>13675</v>
      </c>
      <c r="G2282" s="6" t="s">
        <v>60</v>
      </c>
      <c r="H2282" s="6" t="s">
        <v>34</v>
      </c>
      <c r="I2282" s="8" t="s">
        <v>35</v>
      </c>
      <c r="J2282" s="9">
        <v>1</v>
      </c>
      <c r="K2282" s="9">
        <v>212</v>
      </c>
      <c r="L2282" s="9">
        <v>2022</v>
      </c>
      <c r="M2282" s="8" t="s">
        <v>13676</v>
      </c>
      <c r="N2282" s="8" t="s">
        <v>37</v>
      </c>
      <c r="O2282" s="8" t="s">
        <v>233</v>
      </c>
      <c r="P2282" s="6" t="s">
        <v>39</v>
      </c>
      <c r="Q2282" s="8" t="s">
        <v>40</v>
      </c>
      <c r="R2282" s="10" t="s">
        <v>13677</v>
      </c>
      <c r="S2282" s="11"/>
      <c r="T2282" s="6"/>
      <c r="U2282" s="15" t="str">
        <f>HYPERLINK("https://media.infra-m.ru/1703/1703180/cover/1703180.jpg", "Обложка")</f>
        <v>Обложка</v>
      </c>
      <c r="V2282" s="8"/>
      <c r="W2282" s="6"/>
      <c r="X2282" s="6"/>
      <c r="Y2282" s="6"/>
      <c r="Z2282" s="6"/>
      <c r="AA2282" s="6" t="s">
        <v>148</v>
      </c>
      <c r="AB2282" s="8"/>
      <c r="AC2282" s="27">
        <v>9785160170909</v>
      </c>
    </row>
    <row r="2283" spans="1:29" s="4" customFormat="1" ht="44.1" customHeight="1" x14ac:dyDescent="0.2">
      <c r="A2283" s="5">
        <v>0</v>
      </c>
      <c r="B2283" s="6" t="s">
        <v>13678</v>
      </c>
      <c r="C2283" s="7">
        <v>2224.8000000000002</v>
      </c>
      <c r="D2283" s="8" t="s">
        <v>13679</v>
      </c>
      <c r="E2283" s="8" t="s">
        <v>13680</v>
      </c>
      <c r="F2283" s="8" t="s">
        <v>13299</v>
      </c>
      <c r="G2283" s="6" t="s">
        <v>118</v>
      </c>
      <c r="H2283" s="6" t="s">
        <v>34</v>
      </c>
      <c r="I2283" s="8" t="s">
        <v>179</v>
      </c>
      <c r="J2283" s="9">
        <v>1</v>
      </c>
      <c r="K2283" s="9">
        <v>320</v>
      </c>
      <c r="L2283" s="9">
        <v>2027</v>
      </c>
      <c r="M2283" s="8" t="s">
        <v>13681</v>
      </c>
      <c r="N2283" s="8" t="s">
        <v>37</v>
      </c>
      <c r="O2283" s="8" t="s">
        <v>50</v>
      </c>
      <c r="P2283" s="6" t="s">
        <v>182</v>
      </c>
      <c r="Q2283" s="8" t="s">
        <v>65</v>
      </c>
      <c r="R2283" s="10" t="s">
        <v>13682</v>
      </c>
      <c r="S2283" s="11"/>
      <c r="T2283" s="6"/>
      <c r="U2283" s="15" t="str">
        <f>HYPERLINK("https://media.infra-m.ru/2269/2269508/cover/2269508.jpg", "Обложка")</f>
        <v>Обложка</v>
      </c>
      <c r="V2283" s="8" t="s">
        <v>6135</v>
      </c>
      <c r="W2283" s="6"/>
      <c r="X2283" s="6"/>
      <c r="Y2283" s="6"/>
      <c r="Z2283" s="6"/>
      <c r="AA2283" s="6" t="s">
        <v>68</v>
      </c>
      <c r="AB2283" s="8"/>
      <c r="AC2283" s="27">
        <v>9785160204819</v>
      </c>
    </row>
    <row r="2284" spans="1:29" s="4" customFormat="1" ht="42" customHeight="1" x14ac:dyDescent="0.2">
      <c r="A2284" s="5">
        <v>0</v>
      </c>
      <c r="B2284" s="6" t="s">
        <v>13683</v>
      </c>
      <c r="C2284" s="7">
        <v>2400</v>
      </c>
      <c r="D2284" s="8" t="s">
        <v>13684</v>
      </c>
      <c r="E2284" s="8" t="s">
        <v>13680</v>
      </c>
      <c r="F2284" s="8" t="s">
        <v>13685</v>
      </c>
      <c r="G2284" s="6" t="s">
        <v>118</v>
      </c>
      <c r="H2284" s="6" t="s">
        <v>34</v>
      </c>
      <c r="I2284" s="8" t="s">
        <v>253</v>
      </c>
      <c r="J2284" s="9">
        <v>1</v>
      </c>
      <c r="K2284" s="9">
        <v>320</v>
      </c>
      <c r="L2284" s="9">
        <v>2026</v>
      </c>
      <c r="M2284" s="8" t="s">
        <v>13686</v>
      </c>
      <c r="N2284" s="8" t="s">
        <v>37</v>
      </c>
      <c r="O2284" s="8" t="s">
        <v>50</v>
      </c>
      <c r="P2284" s="6" t="s">
        <v>51</v>
      </c>
      <c r="Q2284" s="8" t="s">
        <v>52</v>
      </c>
      <c r="R2284" s="10" t="s">
        <v>13687</v>
      </c>
      <c r="S2284" s="11"/>
      <c r="T2284" s="6"/>
      <c r="U2284" s="15" t="str">
        <f>HYPERLINK("https://media.infra-m.ru/2218/2218833/cover/2218833.jpg", "Обложка")</f>
        <v>Обложка</v>
      </c>
      <c r="V2284" s="8" t="s">
        <v>6135</v>
      </c>
      <c r="W2284" s="6"/>
      <c r="X2284" s="6"/>
      <c r="Y2284" s="6"/>
      <c r="Z2284" s="6"/>
      <c r="AA2284" s="6" t="s">
        <v>248</v>
      </c>
      <c r="AB2284" s="8"/>
      <c r="AC2284" s="27">
        <v>9785160212562</v>
      </c>
    </row>
    <row r="2285" spans="1:29" s="4" customFormat="1" ht="51.9" customHeight="1" x14ac:dyDescent="0.2">
      <c r="A2285" s="5">
        <v>0</v>
      </c>
      <c r="B2285" s="6" t="s">
        <v>13688</v>
      </c>
      <c r="C2285" s="7">
        <v>2112</v>
      </c>
      <c r="D2285" s="8" t="s">
        <v>13689</v>
      </c>
      <c r="E2285" s="8" t="s">
        <v>13680</v>
      </c>
      <c r="F2285" s="8" t="s">
        <v>13299</v>
      </c>
      <c r="G2285" s="6" t="s">
        <v>118</v>
      </c>
      <c r="H2285" s="6" t="s">
        <v>34</v>
      </c>
      <c r="I2285" s="8" t="s">
        <v>263</v>
      </c>
      <c r="J2285" s="9">
        <v>1</v>
      </c>
      <c r="K2285" s="9">
        <v>320</v>
      </c>
      <c r="L2285" s="9">
        <v>2026</v>
      </c>
      <c r="M2285" s="8" t="s">
        <v>13690</v>
      </c>
      <c r="N2285" s="8" t="s">
        <v>37</v>
      </c>
      <c r="O2285" s="8" t="s">
        <v>50</v>
      </c>
      <c r="P2285" s="6" t="s">
        <v>51</v>
      </c>
      <c r="Q2285" s="8" t="s">
        <v>265</v>
      </c>
      <c r="R2285" s="10" t="s">
        <v>13691</v>
      </c>
      <c r="S2285" s="11" t="s">
        <v>13692</v>
      </c>
      <c r="T2285" s="6"/>
      <c r="U2285" s="15" t="str">
        <f>HYPERLINK("https://media.infra-m.ru/2226/2226520/cover/2226520.jpg", "Обложка")</f>
        <v>Обложка</v>
      </c>
      <c r="V2285" s="8" t="s">
        <v>6135</v>
      </c>
      <c r="W2285" s="6"/>
      <c r="X2285" s="6"/>
      <c r="Y2285" s="6"/>
      <c r="Z2285" s="6" t="s">
        <v>267</v>
      </c>
      <c r="AA2285" s="6" t="s">
        <v>115</v>
      </c>
      <c r="AB2285" s="8"/>
      <c r="AC2285" s="27">
        <v>9785160139449</v>
      </c>
    </row>
    <row r="2286" spans="1:29" s="4" customFormat="1" ht="51.9" customHeight="1" x14ac:dyDescent="0.2">
      <c r="A2286" s="5">
        <v>0</v>
      </c>
      <c r="B2286" s="6" t="s">
        <v>13693</v>
      </c>
      <c r="C2286" s="7">
        <v>1980</v>
      </c>
      <c r="D2286" s="8" t="s">
        <v>13694</v>
      </c>
      <c r="E2286" s="8" t="s">
        <v>13695</v>
      </c>
      <c r="F2286" s="8" t="s">
        <v>13696</v>
      </c>
      <c r="G2286" s="6" t="s">
        <v>118</v>
      </c>
      <c r="H2286" s="6" t="s">
        <v>34</v>
      </c>
      <c r="I2286" s="8" t="s">
        <v>504</v>
      </c>
      <c r="J2286" s="9">
        <v>1</v>
      </c>
      <c r="K2286" s="9">
        <v>357</v>
      </c>
      <c r="L2286" s="9">
        <v>2023</v>
      </c>
      <c r="M2286" s="8" t="s">
        <v>13697</v>
      </c>
      <c r="N2286" s="8" t="s">
        <v>243</v>
      </c>
      <c r="O2286" s="8" t="s">
        <v>1100</v>
      </c>
      <c r="P2286" s="6" t="s">
        <v>306</v>
      </c>
      <c r="Q2286" s="8" t="s">
        <v>500</v>
      </c>
      <c r="R2286" s="10" t="s">
        <v>13698</v>
      </c>
      <c r="S2286" s="11" t="s">
        <v>13699</v>
      </c>
      <c r="T2286" s="6"/>
      <c r="U2286" s="15" t="str">
        <f>HYPERLINK("https://media.infra-m.ru/1856/1856949/cover/1856949.jpg", "Обложка")</f>
        <v>Обложка</v>
      </c>
      <c r="V2286" s="8" t="s">
        <v>13700</v>
      </c>
      <c r="W2286" s="6"/>
      <c r="X2286" s="6"/>
      <c r="Y2286" s="6"/>
      <c r="Z2286" s="6"/>
      <c r="AA2286" s="6" t="s">
        <v>99</v>
      </c>
      <c r="AB2286" s="8"/>
      <c r="AC2286" s="27">
        <v>9785160122809</v>
      </c>
    </row>
    <row r="2287" spans="1:29" s="4" customFormat="1" ht="42" customHeight="1" x14ac:dyDescent="0.2">
      <c r="A2287" s="5">
        <v>0</v>
      </c>
      <c r="B2287" s="6" t="s">
        <v>13701</v>
      </c>
      <c r="C2287" s="7">
        <v>1896</v>
      </c>
      <c r="D2287" s="8" t="s">
        <v>13702</v>
      </c>
      <c r="E2287" s="8" t="s">
        <v>13703</v>
      </c>
      <c r="F2287" s="8" t="s">
        <v>13704</v>
      </c>
      <c r="G2287" s="6" t="s">
        <v>118</v>
      </c>
      <c r="H2287" s="6" t="s">
        <v>34</v>
      </c>
      <c r="I2287" s="8" t="s">
        <v>253</v>
      </c>
      <c r="J2287" s="9">
        <v>1</v>
      </c>
      <c r="K2287" s="9">
        <v>272</v>
      </c>
      <c r="L2287" s="9">
        <v>2027</v>
      </c>
      <c r="M2287" s="8" t="s">
        <v>13705</v>
      </c>
      <c r="N2287" s="8" t="s">
        <v>37</v>
      </c>
      <c r="O2287" s="8" t="s">
        <v>83</v>
      </c>
      <c r="P2287" s="6" t="s">
        <v>51</v>
      </c>
      <c r="Q2287" s="8" t="s">
        <v>52</v>
      </c>
      <c r="R2287" s="10" t="s">
        <v>13706</v>
      </c>
      <c r="S2287" s="11"/>
      <c r="T2287" s="6"/>
      <c r="U2287" s="15" t="str">
        <f>HYPERLINK("https://media.infra-m.ru/2263/2263559/cover/2263559.jpg", "Обложка")</f>
        <v>Обложка</v>
      </c>
      <c r="V2287" s="8" t="s">
        <v>1599</v>
      </c>
      <c r="W2287" s="6"/>
      <c r="X2287" s="6"/>
      <c r="Y2287" s="6"/>
      <c r="Z2287" s="6"/>
      <c r="AA2287" s="6" t="s">
        <v>274</v>
      </c>
      <c r="AB2287" s="8"/>
      <c r="AC2287" s="27">
        <v>9785160223698</v>
      </c>
    </row>
    <row r="2288" spans="1:29" s="4" customFormat="1" ht="51.9" customHeight="1" x14ac:dyDescent="0.2">
      <c r="A2288" s="5">
        <v>0</v>
      </c>
      <c r="B2288" s="6" t="s">
        <v>13707</v>
      </c>
      <c r="C2288" s="7">
        <v>2460</v>
      </c>
      <c r="D2288" s="8" t="s">
        <v>13708</v>
      </c>
      <c r="E2288" s="8" t="s">
        <v>13709</v>
      </c>
      <c r="F2288" s="8" t="s">
        <v>13710</v>
      </c>
      <c r="G2288" s="6" t="s">
        <v>118</v>
      </c>
      <c r="H2288" s="6" t="s">
        <v>34</v>
      </c>
      <c r="I2288" s="8" t="s">
        <v>253</v>
      </c>
      <c r="J2288" s="9">
        <v>1</v>
      </c>
      <c r="K2288" s="9">
        <v>352</v>
      </c>
      <c r="L2288" s="9">
        <v>2027</v>
      </c>
      <c r="M2288" s="8" t="s">
        <v>13711</v>
      </c>
      <c r="N2288" s="8" t="s">
        <v>37</v>
      </c>
      <c r="O2288" s="8" t="s">
        <v>83</v>
      </c>
      <c r="P2288" s="6" t="s">
        <v>51</v>
      </c>
      <c r="Q2288" s="8" t="s">
        <v>52</v>
      </c>
      <c r="R2288" s="10" t="s">
        <v>13712</v>
      </c>
      <c r="S2288" s="11" t="s">
        <v>13713</v>
      </c>
      <c r="T2288" s="6"/>
      <c r="U2288" s="15" t="str">
        <f>HYPERLINK("https://media.infra-m.ru/2263/2263558/cover/2263558.jpg", "Обложка")</f>
        <v>Обложка</v>
      </c>
      <c r="V2288" s="8" t="s">
        <v>1599</v>
      </c>
      <c r="W2288" s="6"/>
      <c r="X2288" s="6"/>
      <c r="Y2288" s="6"/>
      <c r="Z2288" s="6"/>
      <c r="AA2288" s="6" t="s">
        <v>274</v>
      </c>
      <c r="AB2288" s="8"/>
      <c r="AC2288" s="27">
        <v>9785160223681</v>
      </c>
    </row>
    <row r="2289" spans="1:29" s="4" customFormat="1" ht="51.9" customHeight="1" x14ac:dyDescent="0.2">
      <c r="A2289" s="5">
        <v>0</v>
      </c>
      <c r="B2289" s="6" t="s">
        <v>13714</v>
      </c>
      <c r="C2289" s="7">
        <v>1492.8</v>
      </c>
      <c r="D2289" s="8" t="s">
        <v>13715</v>
      </c>
      <c r="E2289" s="8" t="s">
        <v>13716</v>
      </c>
      <c r="F2289" s="8" t="s">
        <v>13717</v>
      </c>
      <c r="G2289" s="6" t="s">
        <v>60</v>
      </c>
      <c r="H2289" s="6" t="s">
        <v>34</v>
      </c>
      <c r="I2289" s="8" t="s">
        <v>271</v>
      </c>
      <c r="J2289" s="9">
        <v>1</v>
      </c>
      <c r="K2289" s="9">
        <v>240</v>
      </c>
      <c r="L2289" s="9">
        <v>2025</v>
      </c>
      <c r="M2289" s="8" t="s">
        <v>13718</v>
      </c>
      <c r="N2289" s="8" t="s">
        <v>37</v>
      </c>
      <c r="O2289" s="8" t="s">
        <v>280</v>
      </c>
      <c r="P2289" s="6" t="s">
        <v>51</v>
      </c>
      <c r="Q2289" s="8" t="s">
        <v>52</v>
      </c>
      <c r="R2289" s="10" t="s">
        <v>13719</v>
      </c>
      <c r="S2289" s="11" t="s">
        <v>13720</v>
      </c>
      <c r="T2289" s="6"/>
      <c r="U2289" s="15" t="str">
        <f>HYPERLINK("https://media.infra-m.ru/2196/2196868/cover/2196868.jpg", "Обложка")</f>
        <v>Обложка</v>
      </c>
      <c r="V2289" s="8" t="s">
        <v>1505</v>
      </c>
      <c r="W2289" s="6"/>
      <c r="X2289" s="6"/>
      <c r="Y2289" s="6"/>
      <c r="Z2289" s="6"/>
      <c r="AA2289" s="6" t="s">
        <v>1015</v>
      </c>
      <c r="AB2289" s="8"/>
      <c r="AC2289" s="27">
        <v>9785160038032</v>
      </c>
    </row>
    <row r="2290" spans="1:29" s="4" customFormat="1" ht="51.9" customHeight="1" x14ac:dyDescent="0.2">
      <c r="A2290" s="5">
        <v>0</v>
      </c>
      <c r="B2290" s="6" t="s">
        <v>13721</v>
      </c>
      <c r="C2290" s="7">
        <v>1996.8</v>
      </c>
      <c r="D2290" s="8" t="s">
        <v>13722</v>
      </c>
      <c r="E2290" s="8" t="s">
        <v>13723</v>
      </c>
      <c r="F2290" s="8" t="s">
        <v>13724</v>
      </c>
      <c r="G2290" s="6" t="s">
        <v>118</v>
      </c>
      <c r="H2290" s="6" t="s">
        <v>313</v>
      </c>
      <c r="I2290" s="8" t="s">
        <v>253</v>
      </c>
      <c r="J2290" s="9">
        <v>1</v>
      </c>
      <c r="K2290" s="9">
        <v>320</v>
      </c>
      <c r="L2290" s="9">
        <v>2026</v>
      </c>
      <c r="M2290" s="8" t="s">
        <v>13725</v>
      </c>
      <c r="N2290" s="8" t="s">
        <v>37</v>
      </c>
      <c r="O2290" s="8" t="s">
        <v>50</v>
      </c>
      <c r="P2290" s="6" t="s">
        <v>51</v>
      </c>
      <c r="Q2290" s="8" t="s">
        <v>52</v>
      </c>
      <c r="R2290" s="10" t="s">
        <v>13726</v>
      </c>
      <c r="S2290" s="11" t="s">
        <v>13727</v>
      </c>
      <c r="T2290" s="6"/>
      <c r="U2290" s="15" t="str">
        <f>HYPERLINK("https://media.infra-m.ru/2218/2218884/cover/2218884.jpg", "Обложка")</f>
        <v>Обложка</v>
      </c>
      <c r="V2290" s="8" t="s">
        <v>1425</v>
      </c>
      <c r="W2290" s="6"/>
      <c r="X2290" s="6"/>
      <c r="Y2290" s="6"/>
      <c r="Z2290" s="6"/>
      <c r="AA2290" s="6" t="s">
        <v>13728</v>
      </c>
      <c r="AB2290" s="8"/>
      <c r="AC2290" s="27">
        <v>9785369014592</v>
      </c>
    </row>
    <row r="2291" spans="1:29" s="4" customFormat="1" ht="44.1" customHeight="1" x14ac:dyDescent="0.2">
      <c r="A2291" s="5">
        <v>0</v>
      </c>
      <c r="B2291" s="6" t="s">
        <v>13729</v>
      </c>
      <c r="C2291" s="7">
        <v>1728</v>
      </c>
      <c r="D2291" s="8" t="s">
        <v>13730</v>
      </c>
      <c r="E2291" s="8" t="s">
        <v>13731</v>
      </c>
      <c r="F2291" s="8" t="s">
        <v>13724</v>
      </c>
      <c r="G2291" s="6" t="s">
        <v>118</v>
      </c>
      <c r="H2291" s="6" t="s">
        <v>313</v>
      </c>
      <c r="I2291" s="8" t="s">
        <v>401</v>
      </c>
      <c r="J2291" s="9">
        <v>1</v>
      </c>
      <c r="K2291" s="9">
        <v>320</v>
      </c>
      <c r="L2291" s="9">
        <v>2023</v>
      </c>
      <c r="M2291" s="8" t="s">
        <v>13732</v>
      </c>
      <c r="N2291" s="8" t="s">
        <v>37</v>
      </c>
      <c r="O2291" s="8" t="s">
        <v>50</v>
      </c>
      <c r="P2291" s="6" t="s">
        <v>51</v>
      </c>
      <c r="Q2291" s="8" t="s">
        <v>265</v>
      </c>
      <c r="R2291" s="10" t="s">
        <v>13733</v>
      </c>
      <c r="S2291" s="11"/>
      <c r="T2291" s="6"/>
      <c r="U2291" s="15" t="str">
        <f>HYPERLINK("https://media.infra-m.ru/1891/1891929/cover/1891929.jpg", "Обложка")</f>
        <v>Обложка</v>
      </c>
      <c r="V2291" s="8" t="s">
        <v>1425</v>
      </c>
      <c r="W2291" s="6"/>
      <c r="X2291" s="6"/>
      <c r="Y2291" s="6"/>
      <c r="Z2291" s="6"/>
      <c r="AA2291" s="6" t="s">
        <v>115</v>
      </c>
      <c r="AB2291" s="8"/>
      <c r="AC2291" s="27">
        <v>9785369017692</v>
      </c>
    </row>
    <row r="2292" spans="1:29" s="4" customFormat="1" ht="42" customHeight="1" x14ac:dyDescent="0.2">
      <c r="A2292" s="5">
        <v>0</v>
      </c>
      <c r="B2292" s="6" t="s">
        <v>13734</v>
      </c>
      <c r="C2292" s="7">
        <v>1396.8</v>
      </c>
      <c r="D2292" s="8" t="s">
        <v>13735</v>
      </c>
      <c r="E2292" s="8" t="s">
        <v>13736</v>
      </c>
      <c r="F2292" s="8" t="s">
        <v>13737</v>
      </c>
      <c r="G2292" s="6" t="s">
        <v>33</v>
      </c>
      <c r="H2292" s="6" t="s">
        <v>1644</v>
      </c>
      <c r="I2292" s="8"/>
      <c r="J2292" s="9">
        <v>1</v>
      </c>
      <c r="K2292" s="9">
        <v>248</v>
      </c>
      <c r="L2292" s="9">
        <v>2024</v>
      </c>
      <c r="M2292" s="8" t="s">
        <v>13738</v>
      </c>
      <c r="N2292" s="8" t="s">
        <v>37</v>
      </c>
      <c r="O2292" s="8" t="s">
        <v>233</v>
      </c>
      <c r="P2292" s="6" t="s">
        <v>51</v>
      </c>
      <c r="Q2292" s="8" t="s">
        <v>52</v>
      </c>
      <c r="R2292" s="10" t="s">
        <v>3008</v>
      </c>
      <c r="S2292" s="11"/>
      <c r="T2292" s="6"/>
      <c r="U2292" s="15" t="str">
        <f>HYPERLINK("https://media.infra-m.ru/2155/2155752/cover/2155752.jpg", "Обложка")</f>
        <v>Обложка</v>
      </c>
      <c r="V2292" s="8" t="s">
        <v>247</v>
      </c>
      <c r="W2292" s="6"/>
      <c r="X2292" s="6"/>
      <c r="Y2292" s="6"/>
      <c r="Z2292" s="6"/>
      <c r="AA2292" s="6" t="s">
        <v>43</v>
      </c>
      <c r="AB2292" s="8"/>
      <c r="AC2292" s="27">
        <v>9785977602563</v>
      </c>
    </row>
    <row r="2293" spans="1:29" s="4" customFormat="1" ht="51.9" customHeight="1" x14ac:dyDescent="0.2">
      <c r="A2293" s="5">
        <v>0</v>
      </c>
      <c r="B2293" s="6" t="s">
        <v>13739</v>
      </c>
      <c r="C2293" s="7">
        <v>3360</v>
      </c>
      <c r="D2293" s="8" t="s">
        <v>13740</v>
      </c>
      <c r="E2293" s="8" t="s">
        <v>13741</v>
      </c>
      <c r="F2293" s="8" t="s">
        <v>13742</v>
      </c>
      <c r="G2293" s="6" t="s">
        <v>60</v>
      </c>
      <c r="H2293" s="6" t="s">
        <v>34</v>
      </c>
      <c r="I2293" s="8" t="s">
        <v>253</v>
      </c>
      <c r="J2293" s="9">
        <v>1</v>
      </c>
      <c r="K2293" s="9">
        <v>539</v>
      </c>
      <c r="L2293" s="9">
        <v>2026</v>
      </c>
      <c r="M2293" s="8" t="s">
        <v>13743</v>
      </c>
      <c r="N2293" s="8" t="s">
        <v>63</v>
      </c>
      <c r="O2293" s="8" t="s">
        <v>154</v>
      </c>
      <c r="P2293" s="6" t="s">
        <v>306</v>
      </c>
      <c r="Q2293" s="8" t="s">
        <v>377</v>
      </c>
      <c r="R2293" s="10" t="s">
        <v>13744</v>
      </c>
      <c r="S2293" s="11" t="s">
        <v>13745</v>
      </c>
      <c r="T2293" s="6"/>
      <c r="U2293" s="15" t="str">
        <f>HYPERLINK("https://media.infra-m.ru/2216/2216672/cover/2216672.jpg", "Обложка")</f>
        <v>Обложка</v>
      </c>
      <c r="V2293" s="8" t="s">
        <v>227</v>
      </c>
      <c r="W2293" s="6"/>
      <c r="X2293" s="6"/>
      <c r="Y2293" s="6"/>
      <c r="Z2293" s="6"/>
      <c r="AA2293" s="6" t="s">
        <v>86</v>
      </c>
      <c r="AB2293" s="8"/>
      <c r="AC2293" s="27">
        <v>9785160212142</v>
      </c>
    </row>
    <row r="2294" spans="1:29" s="4" customFormat="1" ht="42" customHeight="1" x14ac:dyDescent="0.2">
      <c r="A2294" s="5">
        <v>0</v>
      </c>
      <c r="B2294" s="6" t="s">
        <v>13746</v>
      </c>
      <c r="C2294" s="7">
        <v>1560</v>
      </c>
      <c r="D2294" s="8" t="s">
        <v>13747</v>
      </c>
      <c r="E2294" s="8" t="s">
        <v>13748</v>
      </c>
      <c r="F2294" s="8" t="s">
        <v>5702</v>
      </c>
      <c r="G2294" s="6" t="s">
        <v>60</v>
      </c>
      <c r="H2294" s="6" t="s">
        <v>34</v>
      </c>
      <c r="I2294" s="8" t="s">
        <v>253</v>
      </c>
      <c r="J2294" s="9">
        <v>1</v>
      </c>
      <c r="K2294" s="9">
        <v>263</v>
      </c>
      <c r="L2294" s="9">
        <v>2024</v>
      </c>
      <c r="M2294" s="8" t="s">
        <v>13749</v>
      </c>
      <c r="N2294" s="8" t="s">
        <v>63</v>
      </c>
      <c r="O2294" s="8" t="s">
        <v>64</v>
      </c>
      <c r="P2294" s="6" t="s">
        <v>51</v>
      </c>
      <c r="Q2294" s="8" t="s">
        <v>52</v>
      </c>
      <c r="R2294" s="10" t="s">
        <v>10991</v>
      </c>
      <c r="S2294" s="11"/>
      <c r="T2294" s="6"/>
      <c r="U2294" s="15" t="str">
        <f>HYPERLINK("https://media.infra-m.ru/1898/1898403/cover/1898403.jpg", "Обложка")</f>
        <v>Обложка</v>
      </c>
      <c r="V2294" s="8" t="s">
        <v>1357</v>
      </c>
      <c r="W2294" s="6"/>
      <c r="X2294" s="6"/>
      <c r="Y2294" s="6"/>
      <c r="Z2294" s="6"/>
      <c r="AA2294" s="6" t="s">
        <v>76</v>
      </c>
      <c r="AB2294" s="8"/>
      <c r="AC2294" s="27">
        <v>9785160179407</v>
      </c>
    </row>
    <row r="2295" spans="1:29" s="4" customFormat="1" ht="44.1" customHeight="1" x14ac:dyDescent="0.2">
      <c r="A2295" s="5">
        <v>0</v>
      </c>
      <c r="B2295" s="6" t="s">
        <v>13750</v>
      </c>
      <c r="C2295" s="7">
        <v>2512.8000000000002</v>
      </c>
      <c r="D2295" s="8" t="s">
        <v>13751</v>
      </c>
      <c r="E2295" s="8" t="s">
        <v>13752</v>
      </c>
      <c r="F2295" s="8" t="s">
        <v>8347</v>
      </c>
      <c r="G2295" s="6" t="s">
        <v>60</v>
      </c>
      <c r="H2295" s="6" t="s">
        <v>34</v>
      </c>
      <c r="I2295" s="8" t="s">
        <v>35</v>
      </c>
      <c r="J2295" s="9">
        <v>1</v>
      </c>
      <c r="K2295" s="9">
        <v>380</v>
      </c>
      <c r="L2295" s="9">
        <v>2026</v>
      </c>
      <c r="M2295" s="8" t="s">
        <v>13753</v>
      </c>
      <c r="N2295" s="8" t="s">
        <v>93</v>
      </c>
      <c r="O2295" s="8" t="s">
        <v>94</v>
      </c>
      <c r="P2295" s="6" t="s">
        <v>39</v>
      </c>
      <c r="Q2295" s="8" t="s">
        <v>40</v>
      </c>
      <c r="R2295" s="10" t="s">
        <v>10318</v>
      </c>
      <c r="S2295" s="11"/>
      <c r="T2295" s="6"/>
      <c r="U2295" s="15" t="str">
        <f>HYPERLINK("https://media.infra-m.ru/2222/2222311/cover/2222311.jpg", "Обложка")</f>
        <v>Обложка</v>
      </c>
      <c r="V2295" s="8" t="s">
        <v>3243</v>
      </c>
      <c r="W2295" s="6"/>
      <c r="X2295" s="6"/>
      <c r="Y2295" s="6"/>
      <c r="Z2295" s="6"/>
      <c r="AA2295" s="6" t="s">
        <v>1256</v>
      </c>
      <c r="AB2295" s="8"/>
      <c r="AC2295" s="27">
        <v>9785160154077</v>
      </c>
    </row>
    <row r="2296" spans="1:29" s="4" customFormat="1" ht="51.9" customHeight="1" x14ac:dyDescent="0.2">
      <c r="A2296" s="5">
        <v>0</v>
      </c>
      <c r="B2296" s="6" t="s">
        <v>13754</v>
      </c>
      <c r="C2296" s="7">
        <v>1848</v>
      </c>
      <c r="D2296" s="8" t="s">
        <v>13755</v>
      </c>
      <c r="E2296" s="8" t="s">
        <v>13756</v>
      </c>
      <c r="F2296" s="8" t="s">
        <v>13757</v>
      </c>
      <c r="G2296" s="6" t="s">
        <v>118</v>
      </c>
      <c r="H2296" s="6" t="s">
        <v>34</v>
      </c>
      <c r="I2296" s="8" t="s">
        <v>457</v>
      </c>
      <c r="J2296" s="9">
        <v>1</v>
      </c>
      <c r="K2296" s="9">
        <v>264</v>
      </c>
      <c r="L2296" s="9">
        <v>2027</v>
      </c>
      <c r="M2296" s="8" t="s">
        <v>13758</v>
      </c>
      <c r="N2296" s="8" t="s">
        <v>93</v>
      </c>
      <c r="O2296" s="8" t="s">
        <v>94</v>
      </c>
      <c r="P2296" s="6" t="s">
        <v>39</v>
      </c>
      <c r="Q2296" s="8" t="s">
        <v>40</v>
      </c>
      <c r="R2296" s="10" t="s">
        <v>13759</v>
      </c>
      <c r="S2296" s="11"/>
      <c r="T2296" s="6"/>
      <c r="U2296" s="15" t="str">
        <f>HYPERLINK("https://media.infra-m.ru/2261/2261739/cover/2261739.jpg", "Обложка")</f>
        <v>Обложка</v>
      </c>
      <c r="V2296" s="8" t="s">
        <v>3243</v>
      </c>
      <c r="W2296" s="6"/>
      <c r="X2296" s="6"/>
      <c r="Y2296" s="6"/>
      <c r="Z2296" s="6"/>
      <c r="AA2296" s="6" t="s">
        <v>99</v>
      </c>
      <c r="AB2296" s="8"/>
      <c r="AC2296" s="27">
        <v>9785160126494</v>
      </c>
    </row>
    <row r="2297" spans="1:29" s="4" customFormat="1" ht="42" customHeight="1" x14ac:dyDescent="0.2">
      <c r="A2297" s="5">
        <v>0</v>
      </c>
      <c r="B2297" s="6" t="s">
        <v>13760</v>
      </c>
      <c r="C2297" s="7">
        <v>1524</v>
      </c>
      <c r="D2297" s="8" t="s">
        <v>13761</v>
      </c>
      <c r="E2297" s="8" t="s">
        <v>13762</v>
      </c>
      <c r="F2297" s="8" t="s">
        <v>13763</v>
      </c>
      <c r="G2297" s="6" t="s">
        <v>118</v>
      </c>
      <c r="H2297" s="6" t="s">
        <v>34</v>
      </c>
      <c r="I2297" s="8" t="s">
        <v>457</v>
      </c>
      <c r="J2297" s="9">
        <v>1</v>
      </c>
      <c r="K2297" s="9">
        <v>243</v>
      </c>
      <c r="L2297" s="9">
        <v>2026</v>
      </c>
      <c r="M2297" s="8" t="s">
        <v>13764</v>
      </c>
      <c r="N2297" s="8" t="s">
        <v>93</v>
      </c>
      <c r="O2297" s="8" t="s">
        <v>94</v>
      </c>
      <c r="P2297" s="6" t="s">
        <v>39</v>
      </c>
      <c r="Q2297" s="8" t="s">
        <v>40</v>
      </c>
      <c r="R2297" s="10" t="s">
        <v>594</v>
      </c>
      <c r="S2297" s="11"/>
      <c r="T2297" s="6"/>
      <c r="U2297" s="15" t="str">
        <f>HYPERLINK("https://media.infra-m.ru/2184/2184528/cover/2184528.jpg", "Обложка")</f>
        <v>Обложка</v>
      </c>
      <c r="V2297" s="8" t="s">
        <v>3243</v>
      </c>
      <c r="W2297" s="6"/>
      <c r="X2297" s="6"/>
      <c r="Y2297" s="6"/>
      <c r="Z2297" s="6"/>
      <c r="AA2297" s="6" t="s">
        <v>86</v>
      </c>
      <c r="AB2297" s="8"/>
      <c r="AC2297" s="27">
        <v>9785160131795</v>
      </c>
    </row>
    <row r="2298" spans="1:29" s="4" customFormat="1" ht="51.9" customHeight="1" x14ac:dyDescent="0.2">
      <c r="A2298" s="5">
        <v>0</v>
      </c>
      <c r="B2298" s="6" t="s">
        <v>13765</v>
      </c>
      <c r="C2298" s="7">
        <v>1404</v>
      </c>
      <c r="D2298" s="8" t="s">
        <v>13766</v>
      </c>
      <c r="E2298" s="8" t="s">
        <v>13767</v>
      </c>
      <c r="F2298" s="8" t="s">
        <v>13768</v>
      </c>
      <c r="G2298" s="6" t="s">
        <v>118</v>
      </c>
      <c r="H2298" s="6" t="s">
        <v>34</v>
      </c>
      <c r="I2298" s="8" t="s">
        <v>253</v>
      </c>
      <c r="J2298" s="9">
        <v>1</v>
      </c>
      <c r="K2298" s="9">
        <v>247</v>
      </c>
      <c r="L2298" s="9">
        <v>2024</v>
      </c>
      <c r="M2298" s="8" t="s">
        <v>13769</v>
      </c>
      <c r="N2298" s="8" t="s">
        <v>37</v>
      </c>
      <c r="O2298" s="8" t="s">
        <v>83</v>
      </c>
      <c r="P2298" s="6" t="s">
        <v>51</v>
      </c>
      <c r="Q2298" s="8" t="s">
        <v>65</v>
      </c>
      <c r="R2298" s="10" t="s">
        <v>13770</v>
      </c>
      <c r="S2298" s="11" t="s">
        <v>13771</v>
      </c>
      <c r="T2298" s="6"/>
      <c r="U2298" s="15" t="str">
        <f>HYPERLINK("https://media.infra-m.ru/2080/2080294/cover/2080294.jpg", "Обложка")</f>
        <v>Обложка</v>
      </c>
      <c r="V2298" s="8" t="s">
        <v>6700</v>
      </c>
      <c r="W2298" s="6"/>
      <c r="X2298" s="6"/>
      <c r="Y2298" s="6"/>
      <c r="Z2298" s="6"/>
      <c r="AA2298" s="6" t="s">
        <v>1256</v>
      </c>
      <c r="AB2298" s="8"/>
      <c r="AC2298" s="27">
        <v>9785160189475</v>
      </c>
    </row>
    <row r="2299" spans="1:29" s="4" customFormat="1" ht="51.9" customHeight="1" x14ac:dyDescent="0.2">
      <c r="A2299" s="5">
        <v>0</v>
      </c>
      <c r="B2299" s="6" t="s">
        <v>13772</v>
      </c>
      <c r="C2299" s="7">
        <v>4456.8</v>
      </c>
      <c r="D2299" s="8" t="s">
        <v>13773</v>
      </c>
      <c r="E2299" s="8" t="s">
        <v>13774</v>
      </c>
      <c r="F2299" s="8" t="s">
        <v>13775</v>
      </c>
      <c r="G2299" s="6" t="s">
        <v>60</v>
      </c>
      <c r="H2299" s="6" t="s">
        <v>134</v>
      </c>
      <c r="I2299" s="8"/>
      <c r="J2299" s="9">
        <v>1</v>
      </c>
      <c r="K2299" s="9">
        <v>640</v>
      </c>
      <c r="L2299" s="9">
        <v>2027</v>
      </c>
      <c r="M2299" s="8" t="s">
        <v>13776</v>
      </c>
      <c r="N2299" s="8" t="s">
        <v>37</v>
      </c>
      <c r="O2299" s="8" t="s">
        <v>136</v>
      </c>
      <c r="P2299" s="6" t="s">
        <v>51</v>
      </c>
      <c r="Q2299" s="8" t="s">
        <v>52</v>
      </c>
      <c r="R2299" s="10" t="s">
        <v>1068</v>
      </c>
      <c r="S2299" s="11" t="s">
        <v>13777</v>
      </c>
      <c r="T2299" s="6"/>
      <c r="U2299" s="15" t="str">
        <f>HYPERLINK("https://media.infra-m.ru/2266/2266362/cover/2266362.jpg", "Обложка")</f>
        <v>Обложка</v>
      </c>
      <c r="V2299" s="8" t="s">
        <v>2466</v>
      </c>
      <c r="W2299" s="6"/>
      <c r="X2299" s="6"/>
      <c r="Y2299" s="6"/>
      <c r="Z2299" s="6"/>
      <c r="AA2299" s="6" t="s">
        <v>779</v>
      </c>
      <c r="AB2299" s="8"/>
      <c r="AC2299" s="27">
        <v>9785917686998</v>
      </c>
    </row>
    <row r="2300" spans="1:29" s="4" customFormat="1" ht="51.9" customHeight="1" x14ac:dyDescent="0.2">
      <c r="A2300" s="5">
        <v>0</v>
      </c>
      <c r="B2300" s="6" t="s">
        <v>13778</v>
      </c>
      <c r="C2300" s="7">
        <v>4072.8</v>
      </c>
      <c r="D2300" s="8" t="s">
        <v>13779</v>
      </c>
      <c r="E2300" s="8" t="s">
        <v>13780</v>
      </c>
      <c r="F2300" s="8" t="s">
        <v>13781</v>
      </c>
      <c r="G2300" s="6" t="s">
        <v>60</v>
      </c>
      <c r="H2300" s="6" t="s">
        <v>134</v>
      </c>
      <c r="I2300" s="8"/>
      <c r="J2300" s="9">
        <v>1</v>
      </c>
      <c r="K2300" s="9">
        <v>736</v>
      </c>
      <c r="L2300" s="9">
        <v>2026</v>
      </c>
      <c r="M2300" s="8" t="s">
        <v>13782</v>
      </c>
      <c r="N2300" s="8" t="s">
        <v>37</v>
      </c>
      <c r="O2300" s="8" t="s">
        <v>136</v>
      </c>
      <c r="P2300" s="6" t="s">
        <v>51</v>
      </c>
      <c r="Q2300" s="8" t="s">
        <v>52</v>
      </c>
      <c r="R2300" s="10" t="s">
        <v>1068</v>
      </c>
      <c r="S2300" s="11"/>
      <c r="T2300" s="6"/>
      <c r="U2300" s="15" t="str">
        <f>HYPERLINK("https://media.infra-m.ru/2243/2243065/cover/2243065.jpg", "Обложка")</f>
        <v>Обложка</v>
      </c>
      <c r="V2300" s="8" t="s">
        <v>2466</v>
      </c>
      <c r="W2300" s="6"/>
      <c r="X2300" s="6"/>
      <c r="Y2300" s="6"/>
      <c r="Z2300" s="6"/>
      <c r="AA2300" s="6" t="s">
        <v>99</v>
      </c>
      <c r="AB2300" s="8"/>
      <c r="AC2300" s="27">
        <v>9785917688244</v>
      </c>
    </row>
    <row r="2301" spans="1:29" s="4" customFormat="1" ht="42" customHeight="1" x14ac:dyDescent="0.2">
      <c r="A2301" s="5">
        <v>0</v>
      </c>
      <c r="B2301" s="6" t="s">
        <v>13783</v>
      </c>
      <c r="C2301" s="7">
        <v>4644</v>
      </c>
      <c r="D2301" s="8" t="s">
        <v>13784</v>
      </c>
      <c r="E2301" s="8" t="s">
        <v>13785</v>
      </c>
      <c r="F2301" s="8" t="s">
        <v>13786</v>
      </c>
      <c r="G2301" s="6" t="s">
        <v>60</v>
      </c>
      <c r="H2301" s="6" t="s">
        <v>34</v>
      </c>
      <c r="I2301" s="8" t="s">
        <v>1835</v>
      </c>
      <c r="J2301" s="9">
        <v>1</v>
      </c>
      <c r="K2301" s="9">
        <v>676</v>
      </c>
      <c r="L2301" s="9">
        <v>2026</v>
      </c>
      <c r="M2301" s="8" t="s">
        <v>13787</v>
      </c>
      <c r="N2301" s="8" t="s">
        <v>37</v>
      </c>
      <c r="O2301" s="8" t="s">
        <v>83</v>
      </c>
      <c r="P2301" s="6" t="s">
        <v>4686</v>
      </c>
      <c r="Q2301" s="8" t="s">
        <v>40</v>
      </c>
      <c r="R2301" s="10" t="s">
        <v>13788</v>
      </c>
      <c r="S2301" s="11"/>
      <c r="T2301" s="6"/>
      <c r="U2301" s="15" t="str">
        <f>HYPERLINK("https://media.infra-m.ru/2254/2254483/cover/2254483.jpg", "Обложка")</f>
        <v>Обложка</v>
      </c>
      <c r="V2301" s="8"/>
      <c r="W2301" s="6"/>
      <c r="X2301" s="6"/>
      <c r="Y2301" s="6"/>
      <c r="Z2301" s="6"/>
      <c r="AA2301" s="6" t="s">
        <v>76</v>
      </c>
      <c r="AB2301" s="8"/>
      <c r="AC2301" s="27">
        <v>9785160146560</v>
      </c>
    </row>
    <row r="2302" spans="1:29" s="4" customFormat="1" ht="51.9" customHeight="1" x14ac:dyDescent="0.2">
      <c r="A2302" s="5">
        <v>0</v>
      </c>
      <c r="B2302" s="6" t="s">
        <v>13789</v>
      </c>
      <c r="C2302" s="13">
        <v>996</v>
      </c>
      <c r="D2302" s="8" t="s">
        <v>13790</v>
      </c>
      <c r="E2302" s="8" t="s">
        <v>13791</v>
      </c>
      <c r="F2302" s="8" t="s">
        <v>13293</v>
      </c>
      <c r="G2302" s="6" t="s">
        <v>33</v>
      </c>
      <c r="H2302" s="6" t="s">
        <v>34</v>
      </c>
      <c r="I2302" s="8" t="s">
        <v>263</v>
      </c>
      <c r="J2302" s="9">
        <v>1</v>
      </c>
      <c r="K2302" s="9">
        <v>143</v>
      </c>
      <c r="L2302" s="9">
        <v>2026</v>
      </c>
      <c r="M2302" s="8" t="s">
        <v>13792</v>
      </c>
      <c r="N2302" s="8" t="s">
        <v>37</v>
      </c>
      <c r="O2302" s="8" t="s">
        <v>136</v>
      </c>
      <c r="P2302" s="6" t="s">
        <v>51</v>
      </c>
      <c r="Q2302" s="8" t="s">
        <v>265</v>
      </c>
      <c r="R2302" s="10" t="s">
        <v>13793</v>
      </c>
      <c r="S2302" s="11" t="s">
        <v>13794</v>
      </c>
      <c r="T2302" s="6"/>
      <c r="U2302" s="15" t="str">
        <f>HYPERLINK("https://media.infra-m.ru/2261/2261218/cover/2261218.jpg", "Обложка")</f>
        <v>Обложка</v>
      </c>
      <c r="V2302" s="8" t="s">
        <v>138</v>
      </c>
      <c r="W2302" s="6"/>
      <c r="X2302" s="6"/>
      <c r="Y2302" s="6"/>
      <c r="Z2302" s="6"/>
      <c r="AA2302" s="6" t="s">
        <v>99</v>
      </c>
      <c r="AB2302" s="8"/>
      <c r="AC2302" s="27">
        <v>9785160124346</v>
      </c>
    </row>
    <row r="2303" spans="1:29" s="4" customFormat="1" ht="51.9" customHeight="1" x14ac:dyDescent="0.2">
      <c r="A2303" s="5">
        <v>0</v>
      </c>
      <c r="B2303" s="6" t="s">
        <v>13795</v>
      </c>
      <c r="C2303" s="7">
        <v>2980.8</v>
      </c>
      <c r="D2303" s="8" t="s">
        <v>13796</v>
      </c>
      <c r="E2303" s="8" t="s">
        <v>13797</v>
      </c>
      <c r="F2303" s="8" t="s">
        <v>13798</v>
      </c>
      <c r="G2303" s="6" t="s">
        <v>60</v>
      </c>
      <c r="H2303" s="6" t="s">
        <v>34</v>
      </c>
      <c r="I2303" s="8" t="s">
        <v>253</v>
      </c>
      <c r="J2303" s="9">
        <v>1</v>
      </c>
      <c r="K2303" s="9">
        <v>429</v>
      </c>
      <c r="L2303" s="9">
        <v>2027</v>
      </c>
      <c r="M2303" s="8" t="s">
        <v>13799</v>
      </c>
      <c r="N2303" s="8" t="s">
        <v>37</v>
      </c>
      <c r="O2303" s="8" t="s">
        <v>136</v>
      </c>
      <c r="P2303" s="6" t="s">
        <v>51</v>
      </c>
      <c r="Q2303" s="8" t="s">
        <v>52</v>
      </c>
      <c r="R2303" s="10" t="s">
        <v>1068</v>
      </c>
      <c r="S2303" s="11" t="s">
        <v>13800</v>
      </c>
      <c r="T2303" s="6"/>
      <c r="U2303" s="15" t="str">
        <f>HYPERLINK("https://media.infra-m.ru/2220/2220706/cover/2220706.jpg", "Обложка")</f>
        <v>Обложка</v>
      </c>
      <c r="V2303" s="8" t="s">
        <v>138</v>
      </c>
      <c r="W2303" s="6"/>
      <c r="X2303" s="6"/>
      <c r="Y2303" s="6"/>
      <c r="Z2303" s="6"/>
      <c r="AA2303" s="6" t="s">
        <v>2240</v>
      </c>
      <c r="AB2303" s="8"/>
      <c r="AC2303" s="27">
        <v>9785160192017</v>
      </c>
    </row>
    <row r="2304" spans="1:29" s="4" customFormat="1" ht="42" customHeight="1" x14ac:dyDescent="0.2">
      <c r="A2304" s="5">
        <v>0</v>
      </c>
      <c r="B2304" s="6" t="s">
        <v>13801</v>
      </c>
      <c r="C2304" s="7">
        <v>2988</v>
      </c>
      <c r="D2304" s="8" t="s">
        <v>13802</v>
      </c>
      <c r="E2304" s="8" t="s">
        <v>13797</v>
      </c>
      <c r="F2304" s="8" t="s">
        <v>13798</v>
      </c>
      <c r="G2304" s="6" t="s">
        <v>60</v>
      </c>
      <c r="H2304" s="6" t="s">
        <v>34</v>
      </c>
      <c r="I2304" s="8" t="s">
        <v>263</v>
      </c>
      <c r="J2304" s="9">
        <v>1</v>
      </c>
      <c r="K2304" s="9">
        <v>429</v>
      </c>
      <c r="L2304" s="9">
        <v>2027</v>
      </c>
      <c r="M2304" s="8" t="s">
        <v>13803</v>
      </c>
      <c r="N2304" s="8" t="s">
        <v>37</v>
      </c>
      <c r="O2304" s="8" t="s">
        <v>136</v>
      </c>
      <c r="P2304" s="6" t="s">
        <v>51</v>
      </c>
      <c r="Q2304" s="8" t="s">
        <v>265</v>
      </c>
      <c r="R2304" s="10" t="s">
        <v>479</v>
      </c>
      <c r="S2304" s="11"/>
      <c r="T2304" s="6"/>
      <c r="U2304" s="15" t="str">
        <f>HYPERLINK("https://media.infra-m.ru/2262/2262833/cover/2262833.jpg", "Обложка")</f>
        <v>Обложка</v>
      </c>
      <c r="V2304" s="8" t="s">
        <v>138</v>
      </c>
      <c r="W2304" s="6" t="s">
        <v>2115</v>
      </c>
      <c r="X2304" s="6"/>
      <c r="Y2304" s="6"/>
      <c r="Z2304" s="6" t="s">
        <v>267</v>
      </c>
      <c r="AA2304" s="6" t="s">
        <v>13804</v>
      </c>
      <c r="AB2304" s="8"/>
      <c r="AC2304" s="27">
        <v>9785160223513</v>
      </c>
    </row>
    <row r="2305" spans="1:29" s="4" customFormat="1" ht="51.9" customHeight="1" x14ac:dyDescent="0.2">
      <c r="A2305" s="5">
        <v>0</v>
      </c>
      <c r="B2305" s="6" t="s">
        <v>13805</v>
      </c>
      <c r="C2305" s="7">
        <v>1848</v>
      </c>
      <c r="D2305" s="8" t="s">
        <v>13806</v>
      </c>
      <c r="E2305" s="8" t="s">
        <v>13807</v>
      </c>
      <c r="F2305" s="8" t="s">
        <v>13798</v>
      </c>
      <c r="G2305" s="6" t="s">
        <v>60</v>
      </c>
      <c r="H2305" s="6" t="s">
        <v>34</v>
      </c>
      <c r="I2305" s="8" t="s">
        <v>263</v>
      </c>
      <c r="J2305" s="9">
        <v>1</v>
      </c>
      <c r="K2305" s="9">
        <v>429</v>
      </c>
      <c r="L2305" s="9">
        <v>2021</v>
      </c>
      <c r="M2305" s="8" t="s">
        <v>13808</v>
      </c>
      <c r="N2305" s="8" t="s">
        <v>37</v>
      </c>
      <c r="O2305" s="8" t="s">
        <v>136</v>
      </c>
      <c r="P2305" s="6" t="s">
        <v>51</v>
      </c>
      <c r="Q2305" s="8" t="s">
        <v>265</v>
      </c>
      <c r="R2305" s="10" t="s">
        <v>479</v>
      </c>
      <c r="S2305" s="11" t="s">
        <v>13809</v>
      </c>
      <c r="T2305" s="6"/>
      <c r="U2305" s="15" t="str">
        <f>HYPERLINK("https://media.infra-m.ru/0961/0961439/cover/961439.jpg", "Обложка")</f>
        <v>Обложка</v>
      </c>
      <c r="V2305" s="8" t="s">
        <v>138</v>
      </c>
      <c r="W2305" s="6"/>
      <c r="X2305" s="6"/>
      <c r="Y2305" s="6"/>
      <c r="Z2305" s="6" t="s">
        <v>267</v>
      </c>
      <c r="AA2305" s="6" t="s">
        <v>430</v>
      </c>
      <c r="AB2305" s="8"/>
      <c r="AC2305" s="27">
        <v>9785160139456</v>
      </c>
    </row>
    <row r="2306" spans="1:29" s="4" customFormat="1" ht="51.9" customHeight="1" x14ac:dyDescent="0.2">
      <c r="A2306" s="5">
        <v>0</v>
      </c>
      <c r="B2306" s="6" t="s">
        <v>13810</v>
      </c>
      <c r="C2306" s="7">
        <v>1637.9</v>
      </c>
      <c r="D2306" s="8" t="s">
        <v>13811</v>
      </c>
      <c r="E2306" s="8" t="s">
        <v>13807</v>
      </c>
      <c r="F2306" s="8" t="s">
        <v>13798</v>
      </c>
      <c r="G2306" s="6" t="s">
        <v>60</v>
      </c>
      <c r="H2306" s="6" t="s">
        <v>34</v>
      </c>
      <c r="I2306" s="8" t="s">
        <v>271</v>
      </c>
      <c r="J2306" s="9">
        <v>1</v>
      </c>
      <c r="K2306" s="9">
        <v>428</v>
      </c>
      <c r="L2306" s="9">
        <v>2019</v>
      </c>
      <c r="M2306" s="8" t="s">
        <v>13812</v>
      </c>
      <c r="N2306" s="8" t="s">
        <v>37</v>
      </c>
      <c r="O2306" s="8" t="s">
        <v>136</v>
      </c>
      <c r="P2306" s="6" t="s">
        <v>51</v>
      </c>
      <c r="Q2306" s="8" t="s">
        <v>52</v>
      </c>
      <c r="R2306" s="10" t="s">
        <v>1068</v>
      </c>
      <c r="S2306" s="11" t="s">
        <v>13813</v>
      </c>
      <c r="T2306" s="6"/>
      <c r="U2306" s="15" t="str">
        <f>HYPERLINK("https://media.infra-m.ru/1014/1014718/cover/1014718.jpg", "Обложка")</f>
        <v>Обложка</v>
      </c>
      <c r="V2306" s="8" t="s">
        <v>138</v>
      </c>
      <c r="W2306" s="6"/>
      <c r="X2306" s="6"/>
      <c r="Y2306" s="6"/>
      <c r="Z2306" s="6"/>
      <c r="AA2306" s="6" t="s">
        <v>779</v>
      </c>
      <c r="AB2306" s="8"/>
      <c r="AC2306" s="27">
        <v>9785160117010</v>
      </c>
    </row>
    <row r="2307" spans="1:29" s="4" customFormat="1" ht="51.9" customHeight="1" x14ac:dyDescent="0.2">
      <c r="A2307" s="5">
        <v>0</v>
      </c>
      <c r="B2307" s="6" t="s">
        <v>13814</v>
      </c>
      <c r="C2307" s="7">
        <v>1164</v>
      </c>
      <c r="D2307" s="8" t="s">
        <v>13815</v>
      </c>
      <c r="E2307" s="8" t="s">
        <v>13816</v>
      </c>
      <c r="F2307" s="8" t="s">
        <v>13817</v>
      </c>
      <c r="G2307" s="6" t="s">
        <v>118</v>
      </c>
      <c r="H2307" s="6" t="s">
        <v>34</v>
      </c>
      <c r="I2307" s="8" t="s">
        <v>253</v>
      </c>
      <c r="J2307" s="9">
        <v>1</v>
      </c>
      <c r="K2307" s="9">
        <v>176</v>
      </c>
      <c r="L2307" s="9">
        <v>2026</v>
      </c>
      <c r="M2307" s="8" t="s">
        <v>13818</v>
      </c>
      <c r="N2307" s="8" t="s">
        <v>93</v>
      </c>
      <c r="O2307" s="8" t="s">
        <v>94</v>
      </c>
      <c r="P2307" s="6" t="s">
        <v>51</v>
      </c>
      <c r="Q2307" s="8" t="s">
        <v>52</v>
      </c>
      <c r="R2307" s="10" t="s">
        <v>13759</v>
      </c>
      <c r="S2307" s="11" t="s">
        <v>13819</v>
      </c>
      <c r="T2307" s="6"/>
      <c r="U2307" s="15" t="str">
        <f>HYPERLINK("https://media.infra-m.ru/2239/2239422/cover/2239422.jpg", "Обложка")</f>
        <v>Обложка</v>
      </c>
      <c r="V2307" s="8" t="s">
        <v>164</v>
      </c>
      <c r="W2307" s="6"/>
      <c r="X2307" s="6"/>
      <c r="Y2307" s="6"/>
      <c r="Z2307" s="6"/>
      <c r="AA2307" s="6" t="s">
        <v>55</v>
      </c>
      <c r="AB2307" s="8"/>
      <c r="AC2307" s="27">
        <v>9785160190686</v>
      </c>
    </row>
    <row r="2308" spans="1:29" s="4" customFormat="1" ht="42" customHeight="1" x14ac:dyDescent="0.2">
      <c r="A2308" s="5">
        <v>0</v>
      </c>
      <c r="B2308" s="6" t="s">
        <v>13820</v>
      </c>
      <c r="C2308" s="7">
        <v>1356</v>
      </c>
      <c r="D2308" s="8" t="s">
        <v>13821</v>
      </c>
      <c r="E2308" s="8" t="s">
        <v>13822</v>
      </c>
      <c r="F2308" s="8" t="s">
        <v>13823</v>
      </c>
      <c r="G2308" s="6" t="s">
        <v>118</v>
      </c>
      <c r="H2308" s="6" t="s">
        <v>34</v>
      </c>
      <c r="I2308" s="8" t="s">
        <v>253</v>
      </c>
      <c r="J2308" s="9">
        <v>1</v>
      </c>
      <c r="K2308" s="9">
        <v>205</v>
      </c>
      <c r="L2308" s="9">
        <v>2026</v>
      </c>
      <c r="M2308" s="8" t="s">
        <v>13824</v>
      </c>
      <c r="N2308" s="8" t="s">
        <v>93</v>
      </c>
      <c r="O2308" s="8" t="s">
        <v>94</v>
      </c>
      <c r="P2308" s="6" t="s">
        <v>51</v>
      </c>
      <c r="Q2308" s="8" t="s">
        <v>52</v>
      </c>
      <c r="R2308" s="10" t="s">
        <v>9352</v>
      </c>
      <c r="S2308" s="11"/>
      <c r="T2308" s="6"/>
      <c r="U2308" s="15" t="str">
        <f>HYPERLINK("https://media.infra-m.ru/2219/2219007/cover/2219007.jpg", "Обложка")</f>
        <v>Обложка</v>
      </c>
      <c r="V2308" s="8" t="s">
        <v>13825</v>
      </c>
      <c r="W2308" s="6"/>
      <c r="X2308" s="6"/>
      <c r="Y2308" s="6"/>
      <c r="Z2308" s="6"/>
      <c r="AA2308" s="6" t="s">
        <v>76</v>
      </c>
      <c r="AB2308" s="8"/>
      <c r="AC2308" s="27">
        <v>9785160173702</v>
      </c>
    </row>
    <row r="2309" spans="1:29" s="4" customFormat="1" ht="51.9" customHeight="1" x14ac:dyDescent="0.2">
      <c r="A2309" s="5">
        <v>0</v>
      </c>
      <c r="B2309" s="6" t="s">
        <v>13826</v>
      </c>
      <c r="C2309" s="7">
        <v>2848.8</v>
      </c>
      <c r="D2309" s="8" t="s">
        <v>13827</v>
      </c>
      <c r="E2309" s="8" t="s">
        <v>13828</v>
      </c>
      <c r="F2309" s="8" t="s">
        <v>13829</v>
      </c>
      <c r="G2309" s="6" t="s">
        <v>60</v>
      </c>
      <c r="H2309" s="6" t="s">
        <v>134</v>
      </c>
      <c r="I2309" s="8"/>
      <c r="J2309" s="9">
        <v>1</v>
      </c>
      <c r="K2309" s="9">
        <v>432</v>
      </c>
      <c r="L2309" s="9">
        <v>2026</v>
      </c>
      <c r="M2309" s="8" t="s">
        <v>13830</v>
      </c>
      <c r="N2309" s="8" t="s">
        <v>37</v>
      </c>
      <c r="O2309" s="8" t="s">
        <v>136</v>
      </c>
      <c r="P2309" s="6" t="s">
        <v>306</v>
      </c>
      <c r="Q2309" s="8" t="s">
        <v>52</v>
      </c>
      <c r="R2309" s="10" t="s">
        <v>13831</v>
      </c>
      <c r="S2309" s="11"/>
      <c r="T2309" s="6" t="s">
        <v>97</v>
      </c>
      <c r="U2309" s="15" t="str">
        <f>HYPERLINK("https://media.infra-m.ru/2215/2215969/cover/2215969.jpg", "Обложка")</f>
        <v>Обложка</v>
      </c>
      <c r="V2309" s="8" t="s">
        <v>1184</v>
      </c>
      <c r="W2309" s="6"/>
      <c r="X2309" s="6"/>
      <c r="Y2309" s="6"/>
      <c r="Z2309" s="6"/>
      <c r="AA2309" s="6" t="s">
        <v>3721</v>
      </c>
      <c r="AB2309" s="8"/>
      <c r="AC2309" s="27">
        <v>9785917683829</v>
      </c>
    </row>
    <row r="2310" spans="1:29" s="4" customFormat="1" ht="51.9" customHeight="1" x14ac:dyDescent="0.2">
      <c r="A2310" s="5">
        <v>0</v>
      </c>
      <c r="B2310" s="6" t="s">
        <v>13832</v>
      </c>
      <c r="C2310" s="7">
        <v>2200.8000000000002</v>
      </c>
      <c r="D2310" s="8" t="s">
        <v>13833</v>
      </c>
      <c r="E2310" s="8" t="s">
        <v>13834</v>
      </c>
      <c r="F2310" s="8" t="s">
        <v>13835</v>
      </c>
      <c r="G2310" s="6" t="s">
        <v>21</v>
      </c>
      <c r="H2310" s="6" t="s">
        <v>1779</v>
      </c>
      <c r="I2310" s="8" t="s">
        <v>8663</v>
      </c>
      <c r="J2310" s="9">
        <v>1</v>
      </c>
      <c r="K2310" s="9">
        <v>352</v>
      </c>
      <c r="L2310" s="9">
        <v>2026</v>
      </c>
      <c r="M2310" s="8" t="s">
        <v>13836</v>
      </c>
      <c r="N2310" s="8" t="s">
        <v>37</v>
      </c>
      <c r="O2310" s="8" t="s">
        <v>136</v>
      </c>
      <c r="P2310" s="6" t="s">
        <v>3310</v>
      </c>
      <c r="Q2310" s="8" t="s">
        <v>65</v>
      </c>
      <c r="R2310" s="10" t="s">
        <v>4109</v>
      </c>
      <c r="S2310" s="11"/>
      <c r="T2310" s="6"/>
      <c r="U2310" s="15" t="str">
        <f>HYPERLINK("https://media.infra-m.ru/2220/2220093/cover/2220093.jpg", "Обложка")</f>
        <v>Обложка</v>
      </c>
      <c r="V2310" s="8" t="s">
        <v>1069</v>
      </c>
      <c r="W2310" s="6"/>
      <c r="X2310" s="6"/>
      <c r="Y2310" s="6"/>
      <c r="Z2310" s="6"/>
      <c r="AA2310" s="6" t="s">
        <v>12057</v>
      </c>
      <c r="AB2310" s="8"/>
      <c r="AC2310" s="27">
        <v>9785891234420</v>
      </c>
    </row>
    <row r="2311" spans="1:29" s="4" customFormat="1" ht="51.9" customHeight="1" x14ac:dyDescent="0.2">
      <c r="A2311" s="5">
        <v>0</v>
      </c>
      <c r="B2311" s="6" t="s">
        <v>13837</v>
      </c>
      <c r="C2311" s="13">
        <v>856.8</v>
      </c>
      <c r="D2311" s="8" t="s">
        <v>13838</v>
      </c>
      <c r="E2311" s="8" t="s">
        <v>13839</v>
      </c>
      <c r="F2311" s="8" t="s">
        <v>13840</v>
      </c>
      <c r="G2311" s="6" t="s">
        <v>33</v>
      </c>
      <c r="H2311" s="6" t="s">
        <v>1042</v>
      </c>
      <c r="I2311" s="8"/>
      <c r="J2311" s="9">
        <v>1</v>
      </c>
      <c r="K2311" s="9">
        <v>128</v>
      </c>
      <c r="L2311" s="9">
        <v>2026</v>
      </c>
      <c r="M2311" s="8" t="s">
        <v>13841</v>
      </c>
      <c r="N2311" s="8" t="s">
        <v>37</v>
      </c>
      <c r="O2311" s="8" t="s">
        <v>136</v>
      </c>
      <c r="P2311" s="6" t="s">
        <v>51</v>
      </c>
      <c r="Q2311" s="8" t="s">
        <v>52</v>
      </c>
      <c r="R2311" s="10" t="s">
        <v>1068</v>
      </c>
      <c r="S2311" s="11"/>
      <c r="T2311" s="6"/>
      <c r="U2311" s="15" t="str">
        <f>HYPERLINK("https://media.infra-m.ru/2224/2224181/cover/2224181.jpg", "Обложка")</f>
        <v>Обложка</v>
      </c>
      <c r="V2311" s="8" t="s">
        <v>10325</v>
      </c>
      <c r="W2311" s="6"/>
      <c r="X2311" s="6"/>
      <c r="Y2311" s="6"/>
      <c r="Z2311" s="6"/>
      <c r="AA2311" s="6" t="s">
        <v>274</v>
      </c>
      <c r="AB2311" s="8"/>
      <c r="AC2311" s="27">
        <v>9785819906101</v>
      </c>
    </row>
    <row r="2312" spans="1:29" s="4" customFormat="1" ht="51.9" customHeight="1" x14ac:dyDescent="0.2">
      <c r="A2312" s="5">
        <v>0</v>
      </c>
      <c r="B2312" s="6" t="s">
        <v>13842</v>
      </c>
      <c r="C2312" s="7">
        <v>1193.9000000000001</v>
      </c>
      <c r="D2312" s="8" t="s">
        <v>13843</v>
      </c>
      <c r="E2312" s="8" t="s">
        <v>13844</v>
      </c>
      <c r="F2312" s="8" t="s">
        <v>11144</v>
      </c>
      <c r="G2312" s="6" t="s">
        <v>60</v>
      </c>
      <c r="H2312" s="6" t="s">
        <v>1779</v>
      </c>
      <c r="I2312" s="8"/>
      <c r="J2312" s="9">
        <v>12</v>
      </c>
      <c r="K2312" s="9">
        <v>592</v>
      </c>
      <c r="L2312" s="9">
        <v>2017</v>
      </c>
      <c r="M2312" s="8" t="s">
        <v>13845</v>
      </c>
      <c r="N2312" s="8" t="s">
        <v>37</v>
      </c>
      <c r="O2312" s="8" t="s">
        <v>136</v>
      </c>
      <c r="P2312" s="6" t="s">
        <v>51</v>
      </c>
      <c r="Q2312" s="8" t="s">
        <v>52</v>
      </c>
      <c r="R2312" s="10" t="s">
        <v>4109</v>
      </c>
      <c r="S2312" s="11"/>
      <c r="T2312" s="6"/>
      <c r="U2312" s="15" t="str">
        <f>HYPERLINK("https://media.infra-m.ru/0754/0754466/cover/754466.jpg", "Обложка")</f>
        <v>Обложка</v>
      </c>
      <c r="V2312" s="8" t="s">
        <v>1083</v>
      </c>
      <c r="W2312" s="6"/>
      <c r="X2312" s="6"/>
      <c r="Y2312" s="6"/>
      <c r="Z2312" s="6"/>
      <c r="AA2312" s="6" t="s">
        <v>6033</v>
      </c>
      <c r="AB2312" s="8"/>
      <c r="AC2312" s="27">
        <v>9785468000953</v>
      </c>
    </row>
    <row r="2313" spans="1:29" s="4" customFormat="1" ht="51.9" customHeight="1" x14ac:dyDescent="0.2">
      <c r="A2313" s="5">
        <v>0</v>
      </c>
      <c r="B2313" s="6" t="s">
        <v>13846</v>
      </c>
      <c r="C2313" s="13">
        <v>700.8</v>
      </c>
      <c r="D2313" s="8" t="s">
        <v>13847</v>
      </c>
      <c r="E2313" s="8" t="s">
        <v>13839</v>
      </c>
      <c r="F2313" s="8" t="s">
        <v>13840</v>
      </c>
      <c r="G2313" s="6" t="s">
        <v>33</v>
      </c>
      <c r="H2313" s="6" t="s">
        <v>1042</v>
      </c>
      <c r="I2313" s="8" t="s">
        <v>263</v>
      </c>
      <c r="J2313" s="9">
        <v>1</v>
      </c>
      <c r="K2313" s="9">
        <v>128</v>
      </c>
      <c r="L2313" s="9">
        <v>2023</v>
      </c>
      <c r="M2313" s="8" t="s">
        <v>13848</v>
      </c>
      <c r="N2313" s="8" t="s">
        <v>37</v>
      </c>
      <c r="O2313" s="8" t="s">
        <v>136</v>
      </c>
      <c r="P2313" s="6" t="s">
        <v>51</v>
      </c>
      <c r="Q2313" s="8" t="s">
        <v>265</v>
      </c>
      <c r="R2313" s="10" t="s">
        <v>479</v>
      </c>
      <c r="S2313" s="11" t="s">
        <v>13809</v>
      </c>
      <c r="T2313" s="6"/>
      <c r="U2313" s="15" t="str">
        <f>HYPERLINK("https://media.infra-m.ru/2021/2021421/cover/2021421.jpg", "Обложка")</f>
        <v>Обложка</v>
      </c>
      <c r="V2313" s="8" t="s">
        <v>10325</v>
      </c>
      <c r="W2313" s="6"/>
      <c r="X2313" s="6"/>
      <c r="Y2313" s="6"/>
      <c r="Z2313" s="6" t="s">
        <v>267</v>
      </c>
      <c r="AA2313" s="6" t="s">
        <v>430</v>
      </c>
      <c r="AB2313" s="8"/>
      <c r="AC2313" s="27">
        <v>9785819908549</v>
      </c>
    </row>
    <row r="2314" spans="1:29" s="4" customFormat="1" ht="51.9" customHeight="1" x14ac:dyDescent="0.2">
      <c r="A2314" s="5">
        <v>0</v>
      </c>
      <c r="B2314" s="6" t="s">
        <v>13849</v>
      </c>
      <c r="C2314" s="7">
        <v>2333.9</v>
      </c>
      <c r="D2314" s="8" t="s">
        <v>13850</v>
      </c>
      <c r="E2314" s="8" t="s">
        <v>13851</v>
      </c>
      <c r="F2314" s="8" t="s">
        <v>6063</v>
      </c>
      <c r="G2314" s="6" t="s">
        <v>118</v>
      </c>
      <c r="H2314" s="6" t="s">
        <v>134</v>
      </c>
      <c r="I2314" s="8"/>
      <c r="J2314" s="9">
        <v>1</v>
      </c>
      <c r="K2314" s="9">
        <v>688</v>
      </c>
      <c r="L2314" s="9">
        <v>2022</v>
      </c>
      <c r="M2314" s="8" t="s">
        <v>13852</v>
      </c>
      <c r="N2314" s="8" t="s">
        <v>37</v>
      </c>
      <c r="O2314" s="8" t="s">
        <v>136</v>
      </c>
      <c r="P2314" s="6" t="s">
        <v>51</v>
      </c>
      <c r="Q2314" s="8" t="s">
        <v>52</v>
      </c>
      <c r="R2314" s="10" t="s">
        <v>4109</v>
      </c>
      <c r="S2314" s="11"/>
      <c r="T2314" s="6"/>
      <c r="U2314" s="15" t="str">
        <f>HYPERLINK("https://media.infra-m.ru/1818/1818643/cover/1818643.jpg", "Обложка")</f>
        <v>Обложка</v>
      </c>
      <c r="V2314" s="8" t="s">
        <v>1083</v>
      </c>
      <c r="W2314" s="6"/>
      <c r="X2314" s="6"/>
      <c r="Y2314" s="6"/>
      <c r="Z2314" s="6"/>
      <c r="AA2314" s="6" t="s">
        <v>1031</v>
      </c>
      <c r="AB2314" s="8"/>
      <c r="AC2314" s="27">
        <v>9785917688312</v>
      </c>
    </row>
    <row r="2315" spans="1:29" s="4" customFormat="1" ht="51.9" customHeight="1" x14ac:dyDescent="0.2">
      <c r="A2315" s="5">
        <v>0</v>
      </c>
      <c r="B2315" s="6" t="s">
        <v>13853</v>
      </c>
      <c r="C2315" s="7">
        <v>3960</v>
      </c>
      <c r="D2315" s="8" t="s">
        <v>13854</v>
      </c>
      <c r="E2315" s="8" t="s">
        <v>13855</v>
      </c>
      <c r="F2315" s="8" t="s">
        <v>6063</v>
      </c>
      <c r="G2315" s="6" t="s">
        <v>118</v>
      </c>
      <c r="H2315" s="6" t="s">
        <v>134</v>
      </c>
      <c r="I2315" s="8"/>
      <c r="J2315" s="9">
        <v>1</v>
      </c>
      <c r="K2315" s="9">
        <v>792</v>
      </c>
      <c r="L2315" s="9">
        <v>2024</v>
      </c>
      <c r="M2315" s="8" t="s">
        <v>13856</v>
      </c>
      <c r="N2315" s="8" t="s">
        <v>37</v>
      </c>
      <c r="O2315" s="8" t="s">
        <v>136</v>
      </c>
      <c r="P2315" s="6" t="s">
        <v>51</v>
      </c>
      <c r="Q2315" s="8" t="s">
        <v>52</v>
      </c>
      <c r="R2315" s="10" t="s">
        <v>4109</v>
      </c>
      <c r="S2315" s="11"/>
      <c r="T2315" s="6"/>
      <c r="U2315" s="15" t="str">
        <f>HYPERLINK("https://media.infra-m.ru/2163/2163867/cover/2163867.jpg", "Обложка")</f>
        <v>Обложка</v>
      </c>
      <c r="V2315" s="8" t="s">
        <v>1083</v>
      </c>
      <c r="W2315" s="6"/>
      <c r="X2315" s="6"/>
      <c r="Y2315" s="6"/>
      <c r="Z2315" s="6"/>
      <c r="AA2315" s="6" t="s">
        <v>8987</v>
      </c>
      <c r="AB2315" s="8"/>
      <c r="AC2315" s="27">
        <v>9785001563655</v>
      </c>
    </row>
    <row r="2316" spans="1:29" s="4" customFormat="1" ht="42" customHeight="1" x14ac:dyDescent="0.2">
      <c r="A2316" s="5">
        <v>0</v>
      </c>
      <c r="B2316" s="6" t="s">
        <v>13857</v>
      </c>
      <c r="C2316" s="7">
        <v>3180</v>
      </c>
      <c r="D2316" s="8" t="s">
        <v>13858</v>
      </c>
      <c r="E2316" s="8" t="s">
        <v>13834</v>
      </c>
      <c r="F2316" s="8" t="s">
        <v>13859</v>
      </c>
      <c r="G2316" s="6" t="s">
        <v>60</v>
      </c>
      <c r="H2316" s="6" t="s">
        <v>34</v>
      </c>
      <c r="I2316" s="8" t="s">
        <v>253</v>
      </c>
      <c r="J2316" s="9">
        <v>1</v>
      </c>
      <c r="K2316" s="9">
        <v>482</v>
      </c>
      <c r="L2316" s="9">
        <v>2026</v>
      </c>
      <c r="M2316" s="8" t="s">
        <v>13860</v>
      </c>
      <c r="N2316" s="8" t="s">
        <v>37</v>
      </c>
      <c r="O2316" s="8" t="s">
        <v>136</v>
      </c>
      <c r="P2316" s="6" t="s">
        <v>306</v>
      </c>
      <c r="Q2316" s="8" t="s">
        <v>500</v>
      </c>
      <c r="R2316" s="10" t="s">
        <v>1667</v>
      </c>
      <c r="S2316" s="11"/>
      <c r="T2316" s="6" t="s">
        <v>97</v>
      </c>
      <c r="U2316" s="15" t="str">
        <f>HYPERLINK("https://media.infra-m.ru/2255/2255718/cover/2255718.jpg", "Обложка")</f>
        <v>Обложка</v>
      </c>
      <c r="V2316" s="8" t="s">
        <v>657</v>
      </c>
      <c r="W2316" s="6"/>
      <c r="X2316" s="6"/>
      <c r="Y2316" s="6"/>
      <c r="Z2316" s="6"/>
      <c r="AA2316" s="6" t="s">
        <v>157</v>
      </c>
      <c r="AB2316" s="8"/>
      <c r="AC2316" s="27">
        <v>9785160221618</v>
      </c>
    </row>
    <row r="2317" spans="1:29" s="4" customFormat="1" ht="51.9" customHeight="1" x14ac:dyDescent="0.2">
      <c r="A2317" s="5">
        <v>0</v>
      </c>
      <c r="B2317" s="6" t="s">
        <v>13861</v>
      </c>
      <c r="C2317" s="7">
        <v>3052.8</v>
      </c>
      <c r="D2317" s="8" t="s">
        <v>13862</v>
      </c>
      <c r="E2317" s="8" t="s">
        <v>13863</v>
      </c>
      <c r="F2317" s="8" t="s">
        <v>7156</v>
      </c>
      <c r="G2317" s="6" t="s">
        <v>118</v>
      </c>
      <c r="H2317" s="6" t="s">
        <v>134</v>
      </c>
      <c r="I2317" s="8"/>
      <c r="J2317" s="9">
        <v>1</v>
      </c>
      <c r="K2317" s="9">
        <v>736</v>
      </c>
      <c r="L2317" s="9">
        <v>2025</v>
      </c>
      <c r="M2317" s="8" t="s">
        <v>13864</v>
      </c>
      <c r="N2317" s="8" t="s">
        <v>37</v>
      </c>
      <c r="O2317" s="8" t="s">
        <v>136</v>
      </c>
      <c r="P2317" s="6" t="s">
        <v>306</v>
      </c>
      <c r="Q2317" s="8" t="s">
        <v>52</v>
      </c>
      <c r="R2317" s="10" t="s">
        <v>11179</v>
      </c>
      <c r="S2317" s="11"/>
      <c r="T2317" s="6"/>
      <c r="U2317" s="15" t="str">
        <f>HYPERLINK("https://media.infra-m.ru/2186/2186869/cover/2186869.jpg", "Обложка")</f>
        <v>Обложка</v>
      </c>
      <c r="V2317" s="8" t="s">
        <v>1069</v>
      </c>
      <c r="W2317" s="6"/>
      <c r="X2317" s="6"/>
      <c r="Y2317" s="6"/>
      <c r="Z2317" s="6"/>
      <c r="AA2317" s="6" t="s">
        <v>13865</v>
      </c>
      <c r="AB2317" s="8"/>
      <c r="AC2317" s="27">
        <v>9785917680378</v>
      </c>
    </row>
    <row r="2318" spans="1:29" s="4" customFormat="1" ht="51.9" customHeight="1" x14ac:dyDescent="0.2">
      <c r="A2318" s="5">
        <v>0</v>
      </c>
      <c r="B2318" s="6" t="s">
        <v>13866</v>
      </c>
      <c r="C2318" s="7">
        <v>4224</v>
      </c>
      <c r="D2318" s="8" t="s">
        <v>13867</v>
      </c>
      <c r="E2318" s="8" t="s">
        <v>13834</v>
      </c>
      <c r="F2318" s="8" t="s">
        <v>7372</v>
      </c>
      <c r="G2318" s="6" t="s">
        <v>60</v>
      </c>
      <c r="H2318" s="6" t="s">
        <v>134</v>
      </c>
      <c r="I2318" s="8"/>
      <c r="J2318" s="9">
        <v>1</v>
      </c>
      <c r="K2318" s="9">
        <v>704</v>
      </c>
      <c r="L2318" s="9">
        <v>2025</v>
      </c>
      <c r="M2318" s="8" t="s">
        <v>13868</v>
      </c>
      <c r="N2318" s="8" t="s">
        <v>37</v>
      </c>
      <c r="O2318" s="8" t="s">
        <v>136</v>
      </c>
      <c r="P2318" s="6" t="s">
        <v>306</v>
      </c>
      <c r="Q2318" s="8" t="s">
        <v>52</v>
      </c>
      <c r="R2318" s="10" t="s">
        <v>4109</v>
      </c>
      <c r="S2318" s="11"/>
      <c r="T2318" s="6"/>
      <c r="U2318" s="15" t="str">
        <f>HYPERLINK("https://media.infra-m.ru/2205/2205965/cover/2205965.jpg", "Обложка")</f>
        <v>Обложка</v>
      </c>
      <c r="V2318" s="8" t="s">
        <v>1069</v>
      </c>
      <c r="W2318" s="6"/>
      <c r="X2318" s="6"/>
      <c r="Y2318" s="6"/>
      <c r="Z2318" s="6"/>
      <c r="AA2318" s="6" t="s">
        <v>4554</v>
      </c>
      <c r="AB2318" s="8"/>
      <c r="AC2318" s="27">
        <v>9785917682624</v>
      </c>
    </row>
    <row r="2319" spans="1:29" s="4" customFormat="1" ht="51.9" customHeight="1" x14ac:dyDescent="0.2">
      <c r="A2319" s="5">
        <v>0</v>
      </c>
      <c r="B2319" s="6" t="s">
        <v>13869</v>
      </c>
      <c r="C2319" s="7">
        <v>3136.8</v>
      </c>
      <c r="D2319" s="8" t="s">
        <v>13870</v>
      </c>
      <c r="E2319" s="8" t="s">
        <v>13834</v>
      </c>
      <c r="F2319" s="8" t="s">
        <v>7414</v>
      </c>
      <c r="G2319" s="6" t="s">
        <v>60</v>
      </c>
      <c r="H2319" s="6" t="s">
        <v>313</v>
      </c>
      <c r="I2319" s="8" t="s">
        <v>392</v>
      </c>
      <c r="J2319" s="9">
        <v>1</v>
      </c>
      <c r="K2319" s="9">
        <v>451</v>
      </c>
      <c r="L2319" s="9">
        <v>2026</v>
      </c>
      <c r="M2319" s="8" t="s">
        <v>13871</v>
      </c>
      <c r="N2319" s="8" t="s">
        <v>37</v>
      </c>
      <c r="O2319" s="8" t="s">
        <v>136</v>
      </c>
      <c r="P2319" s="6" t="s">
        <v>306</v>
      </c>
      <c r="Q2319" s="8" t="s">
        <v>65</v>
      </c>
      <c r="R2319" s="10" t="s">
        <v>4109</v>
      </c>
      <c r="S2319" s="11"/>
      <c r="T2319" s="6"/>
      <c r="U2319" s="15" t="str">
        <f>HYPERLINK("https://media.infra-m.ru/2257/2257306/cover/2257306.jpg", "Обложка")</f>
        <v>Обложка</v>
      </c>
      <c r="V2319" s="8" t="s">
        <v>3595</v>
      </c>
      <c r="W2319" s="6"/>
      <c r="X2319" s="6"/>
      <c r="Y2319" s="6"/>
      <c r="Z2319" s="6"/>
      <c r="AA2319" s="6" t="s">
        <v>148</v>
      </c>
      <c r="AB2319" s="8"/>
      <c r="AC2319" s="27">
        <v>9785369019108</v>
      </c>
    </row>
    <row r="2320" spans="1:29" s="4" customFormat="1" ht="51.9" customHeight="1" x14ac:dyDescent="0.2">
      <c r="A2320" s="5">
        <v>0</v>
      </c>
      <c r="B2320" s="6" t="s">
        <v>13872</v>
      </c>
      <c r="C2320" s="7">
        <v>2572.8000000000002</v>
      </c>
      <c r="D2320" s="8" t="s">
        <v>13873</v>
      </c>
      <c r="E2320" s="8" t="s">
        <v>13863</v>
      </c>
      <c r="F2320" s="8" t="s">
        <v>13874</v>
      </c>
      <c r="G2320" s="6" t="s">
        <v>60</v>
      </c>
      <c r="H2320" s="6" t="s">
        <v>134</v>
      </c>
      <c r="I2320" s="8"/>
      <c r="J2320" s="9">
        <v>1</v>
      </c>
      <c r="K2320" s="9">
        <v>800</v>
      </c>
      <c r="L2320" s="9">
        <v>2025</v>
      </c>
      <c r="M2320" s="8" t="s">
        <v>13875</v>
      </c>
      <c r="N2320" s="8" t="s">
        <v>37</v>
      </c>
      <c r="O2320" s="8" t="s">
        <v>136</v>
      </c>
      <c r="P2320" s="6" t="s">
        <v>306</v>
      </c>
      <c r="Q2320" s="8" t="s">
        <v>52</v>
      </c>
      <c r="R2320" s="10" t="s">
        <v>11179</v>
      </c>
      <c r="S2320" s="11"/>
      <c r="T2320" s="6"/>
      <c r="U2320" s="15" t="str">
        <f>HYPERLINK("https://media.infra-m.ru/2159/2159887/cover/2159887.jpg", "Обложка")</f>
        <v>Обложка</v>
      </c>
      <c r="V2320" s="8" t="s">
        <v>138</v>
      </c>
      <c r="W2320" s="6"/>
      <c r="X2320" s="6"/>
      <c r="Y2320" s="6"/>
      <c r="Z2320" s="6"/>
      <c r="AA2320" s="6" t="s">
        <v>3800</v>
      </c>
      <c r="AB2320" s="8"/>
      <c r="AC2320" s="27">
        <v>9785917687254</v>
      </c>
    </row>
    <row r="2321" spans="1:29" s="4" customFormat="1" ht="51.9" customHeight="1" x14ac:dyDescent="0.2">
      <c r="A2321" s="5">
        <v>0</v>
      </c>
      <c r="B2321" s="6" t="s">
        <v>13876</v>
      </c>
      <c r="C2321" s="7">
        <v>3592.8</v>
      </c>
      <c r="D2321" s="8" t="s">
        <v>13877</v>
      </c>
      <c r="E2321" s="8" t="s">
        <v>13878</v>
      </c>
      <c r="F2321" s="8" t="s">
        <v>13879</v>
      </c>
      <c r="G2321" s="6" t="s">
        <v>60</v>
      </c>
      <c r="H2321" s="6" t="s">
        <v>134</v>
      </c>
      <c r="I2321" s="8"/>
      <c r="J2321" s="9">
        <v>1</v>
      </c>
      <c r="K2321" s="9">
        <v>672</v>
      </c>
      <c r="L2321" s="9">
        <v>2026</v>
      </c>
      <c r="M2321" s="8" t="s">
        <v>13880</v>
      </c>
      <c r="N2321" s="8" t="s">
        <v>37</v>
      </c>
      <c r="O2321" s="8" t="s">
        <v>136</v>
      </c>
      <c r="P2321" s="6" t="s">
        <v>306</v>
      </c>
      <c r="Q2321" s="8" t="s">
        <v>52</v>
      </c>
      <c r="R2321" s="10" t="s">
        <v>13881</v>
      </c>
      <c r="S2321" s="11" t="s">
        <v>13882</v>
      </c>
      <c r="T2321" s="6"/>
      <c r="U2321" s="15" t="str">
        <f>HYPERLINK("https://media.infra-m.ru/2239/2239862/cover/2239862.jpg", "Обложка")</f>
        <v>Обложка</v>
      </c>
      <c r="V2321" s="8" t="s">
        <v>546</v>
      </c>
      <c r="W2321" s="6"/>
      <c r="X2321" s="6"/>
      <c r="Y2321" s="6"/>
      <c r="Z2321" s="6"/>
      <c r="AA2321" s="6" t="s">
        <v>1037</v>
      </c>
      <c r="AB2321" s="8"/>
      <c r="AC2321" s="27">
        <v>9785917683607</v>
      </c>
    </row>
    <row r="2322" spans="1:29" s="4" customFormat="1" ht="42" customHeight="1" x14ac:dyDescent="0.2">
      <c r="A2322" s="5">
        <v>0</v>
      </c>
      <c r="B2322" s="6" t="s">
        <v>13883</v>
      </c>
      <c r="C2322" s="7">
        <v>1608</v>
      </c>
      <c r="D2322" s="8" t="s">
        <v>13884</v>
      </c>
      <c r="E2322" s="8" t="s">
        <v>13885</v>
      </c>
      <c r="F2322" s="8" t="s">
        <v>13886</v>
      </c>
      <c r="G2322" s="6" t="s">
        <v>60</v>
      </c>
      <c r="H2322" s="6" t="s">
        <v>34</v>
      </c>
      <c r="I2322" s="8" t="s">
        <v>304</v>
      </c>
      <c r="J2322" s="9">
        <v>1</v>
      </c>
      <c r="K2322" s="9">
        <v>222</v>
      </c>
      <c r="L2322" s="9">
        <v>2027</v>
      </c>
      <c r="M2322" s="8" t="s">
        <v>13887</v>
      </c>
      <c r="N2322" s="8" t="s">
        <v>37</v>
      </c>
      <c r="O2322" s="8" t="s">
        <v>136</v>
      </c>
      <c r="P2322" s="6" t="s">
        <v>306</v>
      </c>
      <c r="Q2322" s="8" t="s">
        <v>52</v>
      </c>
      <c r="R2322" s="10" t="s">
        <v>13888</v>
      </c>
      <c r="S2322" s="11"/>
      <c r="T2322" s="6"/>
      <c r="U2322" s="15" t="str">
        <f>HYPERLINK("https://media.infra-m.ru/2243/2243172/cover/2243172.jpg", "Обложка")</f>
        <v>Обложка</v>
      </c>
      <c r="V2322" s="8" t="s">
        <v>247</v>
      </c>
      <c r="W2322" s="6" t="s">
        <v>649</v>
      </c>
      <c r="X2322" s="6"/>
      <c r="Y2322" s="6"/>
      <c r="Z2322" s="6"/>
      <c r="AA2322" s="6" t="s">
        <v>420</v>
      </c>
      <c r="AB2322" s="8"/>
      <c r="AC2322" s="27">
        <v>9785160219301</v>
      </c>
    </row>
    <row r="2323" spans="1:29" s="4" customFormat="1" ht="42" customHeight="1" x14ac:dyDescent="0.2">
      <c r="A2323" s="5">
        <v>0</v>
      </c>
      <c r="B2323" s="6" t="s">
        <v>13889</v>
      </c>
      <c r="C2323" s="7">
        <v>4356</v>
      </c>
      <c r="D2323" s="8" t="s">
        <v>13890</v>
      </c>
      <c r="E2323" s="8" t="s">
        <v>13885</v>
      </c>
      <c r="F2323" s="8" t="s">
        <v>3255</v>
      </c>
      <c r="G2323" s="6" t="s">
        <v>60</v>
      </c>
      <c r="H2323" s="6" t="s">
        <v>34</v>
      </c>
      <c r="I2323" s="8" t="s">
        <v>253</v>
      </c>
      <c r="J2323" s="9">
        <v>1</v>
      </c>
      <c r="K2323" s="9">
        <v>725</v>
      </c>
      <c r="L2323" s="9">
        <v>2025</v>
      </c>
      <c r="M2323" s="8" t="s">
        <v>13891</v>
      </c>
      <c r="N2323" s="8" t="s">
        <v>37</v>
      </c>
      <c r="O2323" s="8" t="s">
        <v>83</v>
      </c>
      <c r="P2323" s="6" t="s">
        <v>306</v>
      </c>
      <c r="Q2323" s="8" t="s">
        <v>52</v>
      </c>
      <c r="R2323" s="10" t="s">
        <v>13892</v>
      </c>
      <c r="S2323" s="11"/>
      <c r="T2323" s="6"/>
      <c r="U2323" s="15" t="str">
        <f>HYPERLINK("https://media.infra-m.ru/1242/1242224/cover/1242224.jpg", "Обложка")</f>
        <v>Обложка</v>
      </c>
      <c r="V2323" s="8" t="s">
        <v>3109</v>
      </c>
      <c r="W2323" s="6"/>
      <c r="X2323" s="6"/>
      <c r="Y2323" s="6"/>
      <c r="Z2323" s="6"/>
      <c r="AA2323" s="6" t="s">
        <v>68</v>
      </c>
      <c r="AB2323" s="8"/>
      <c r="AC2323" s="27">
        <v>9785160168210</v>
      </c>
    </row>
    <row r="2324" spans="1:29" s="4" customFormat="1" ht="51.9" customHeight="1" x14ac:dyDescent="0.2">
      <c r="A2324" s="5">
        <v>0</v>
      </c>
      <c r="B2324" s="6" t="s">
        <v>13893</v>
      </c>
      <c r="C2324" s="7">
        <v>3004.8</v>
      </c>
      <c r="D2324" s="8" t="s">
        <v>13894</v>
      </c>
      <c r="E2324" s="8" t="s">
        <v>13885</v>
      </c>
      <c r="F2324" s="8" t="s">
        <v>13895</v>
      </c>
      <c r="G2324" s="6" t="s">
        <v>60</v>
      </c>
      <c r="H2324" s="6" t="s">
        <v>134</v>
      </c>
      <c r="I2324" s="8"/>
      <c r="J2324" s="9">
        <v>1</v>
      </c>
      <c r="K2324" s="9">
        <v>432</v>
      </c>
      <c r="L2324" s="9">
        <v>2027</v>
      </c>
      <c r="M2324" s="8" t="s">
        <v>13896</v>
      </c>
      <c r="N2324" s="8" t="s">
        <v>37</v>
      </c>
      <c r="O2324" s="8" t="s">
        <v>83</v>
      </c>
      <c r="P2324" s="6" t="s">
        <v>51</v>
      </c>
      <c r="Q2324" s="8" t="s">
        <v>52</v>
      </c>
      <c r="R2324" s="10" t="s">
        <v>13897</v>
      </c>
      <c r="S2324" s="11"/>
      <c r="T2324" s="6"/>
      <c r="U2324" s="15" t="str">
        <f>HYPERLINK("https://media.infra-m.ru/2222/2222252/cover/2222252.jpg", "Обложка")</f>
        <v>Обложка</v>
      </c>
      <c r="V2324" s="8" t="s">
        <v>1339</v>
      </c>
      <c r="W2324" s="6"/>
      <c r="X2324" s="6"/>
      <c r="Y2324" s="6"/>
      <c r="Z2324" s="6"/>
      <c r="AA2324" s="6" t="s">
        <v>55</v>
      </c>
      <c r="AB2324" s="8"/>
      <c r="AC2324" s="27">
        <v>9785917683423</v>
      </c>
    </row>
    <row r="2325" spans="1:29" s="4" customFormat="1" ht="44.1" customHeight="1" x14ac:dyDescent="0.2">
      <c r="A2325" s="5">
        <v>0</v>
      </c>
      <c r="B2325" s="6" t="s">
        <v>13898</v>
      </c>
      <c r="C2325" s="7">
        <v>1672.8</v>
      </c>
      <c r="D2325" s="8" t="s">
        <v>13899</v>
      </c>
      <c r="E2325" s="8" t="s">
        <v>13900</v>
      </c>
      <c r="F2325" s="8" t="s">
        <v>13901</v>
      </c>
      <c r="G2325" s="6" t="s">
        <v>60</v>
      </c>
      <c r="H2325" s="6" t="s">
        <v>48</v>
      </c>
      <c r="I2325" s="8"/>
      <c r="J2325" s="9">
        <v>1</v>
      </c>
      <c r="K2325" s="9">
        <v>240</v>
      </c>
      <c r="L2325" s="9">
        <v>2026</v>
      </c>
      <c r="M2325" s="8" t="s">
        <v>13902</v>
      </c>
      <c r="N2325" s="8" t="s">
        <v>37</v>
      </c>
      <c r="O2325" s="8" t="s">
        <v>50</v>
      </c>
      <c r="P2325" s="6" t="s">
        <v>7441</v>
      </c>
      <c r="Q2325" s="8" t="s">
        <v>52</v>
      </c>
      <c r="R2325" s="10" t="s">
        <v>13903</v>
      </c>
      <c r="S2325" s="11"/>
      <c r="T2325" s="6"/>
      <c r="U2325" s="15" t="str">
        <f>HYPERLINK("https://media.infra-m.ru/2254/2254039/cover/2254039.jpg", "Обложка")</f>
        <v>Обложка</v>
      </c>
      <c r="V2325" s="8" t="s">
        <v>9227</v>
      </c>
      <c r="W2325" s="6"/>
      <c r="X2325" s="6"/>
      <c r="Y2325" s="6"/>
      <c r="Z2325" s="6"/>
      <c r="AA2325" s="6" t="s">
        <v>129</v>
      </c>
      <c r="AB2325" s="8"/>
      <c r="AC2325" s="27">
        <v>9785911345280</v>
      </c>
    </row>
    <row r="2326" spans="1:29" s="4" customFormat="1" ht="42" customHeight="1" x14ac:dyDescent="0.2">
      <c r="A2326" s="5">
        <v>0</v>
      </c>
      <c r="B2326" s="6" t="s">
        <v>13904</v>
      </c>
      <c r="C2326" s="7">
        <v>1188</v>
      </c>
      <c r="D2326" s="8" t="s">
        <v>13905</v>
      </c>
      <c r="E2326" s="8" t="s">
        <v>13906</v>
      </c>
      <c r="F2326" s="8" t="s">
        <v>9391</v>
      </c>
      <c r="G2326" s="6" t="s">
        <v>60</v>
      </c>
      <c r="H2326" s="6" t="s">
        <v>34</v>
      </c>
      <c r="I2326" s="8" t="s">
        <v>288</v>
      </c>
      <c r="J2326" s="9">
        <v>1</v>
      </c>
      <c r="K2326" s="9">
        <v>159</v>
      </c>
      <c r="L2326" s="9">
        <v>2026</v>
      </c>
      <c r="M2326" s="8" t="s">
        <v>13907</v>
      </c>
      <c r="N2326" s="8" t="s">
        <v>37</v>
      </c>
      <c r="O2326" s="8" t="s">
        <v>290</v>
      </c>
      <c r="P2326" s="6" t="s">
        <v>51</v>
      </c>
      <c r="Q2326" s="8" t="s">
        <v>65</v>
      </c>
      <c r="R2326" s="10" t="s">
        <v>7107</v>
      </c>
      <c r="S2326" s="11"/>
      <c r="T2326" s="6"/>
      <c r="U2326" s="15" t="str">
        <f>HYPERLINK("https://media.infra-m.ru/2198/2198520/cover/2198520.jpg", "Обложка")</f>
        <v>Обложка</v>
      </c>
      <c r="V2326" s="8" t="s">
        <v>292</v>
      </c>
      <c r="W2326" s="6" t="s">
        <v>342</v>
      </c>
      <c r="X2326" s="6"/>
      <c r="Y2326" s="6"/>
      <c r="Z2326" s="6"/>
      <c r="AA2326" s="6" t="s">
        <v>68</v>
      </c>
      <c r="AB2326" s="8" t="s">
        <v>2634</v>
      </c>
      <c r="AC2326" s="27">
        <v>9785160208428</v>
      </c>
    </row>
    <row r="2327" spans="1:29" s="4" customFormat="1" ht="42" customHeight="1" x14ac:dyDescent="0.2">
      <c r="A2327" s="5">
        <v>0</v>
      </c>
      <c r="B2327" s="6" t="s">
        <v>13908</v>
      </c>
      <c r="C2327" s="7">
        <v>2728.8</v>
      </c>
      <c r="D2327" s="8" t="s">
        <v>13909</v>
      </c>
      <c r="E2327" s="8" t="s">
        <v>13910</v>
      </c>
      <c r="F2327" s="8" t="s">
        <v>13911</v>
      </c>
      <c r="G2327" s="6" t="s">
        <v>60</v>
      </c>
      <c r="H2327" s="6" t="s">
        <v>34</v>
      </c>
      <c r="I2327" s="8" t="s">
        <v>35</v>
      </c>
      <c r="J2327" s="9">
        <v>1</v>
      </c>
      <c r="K2327" s="9">
        <v>392</v>
      </c>
      <c r="L2327" s="9">
        <v>2027</v>
      </c>
      <c r="M2327" s="8" t="s">
        <v>13912</v>
      </c>
      <c r="N2327" s="8" t="s">
        <v>243</v>
      </c>
      <c r="O2327" s="8" t="s">
        <v>933</v>
      </c>
      <c r="P2327" s="6" t="s">
        <v>39</v>
      </c>
      <c r="Q2327" s="8" t="s">
        <v>40</v>
      </c>
      <c r="R2327" s="10" t="s">
        <v>13913</v>
      </c>
      <c r="S2327" s="11"/>
      <c r="T2327" s="6"/>
      <c r="U2327" s="15" t="str">
        <f>HYPERLINK("https://media.infra-m.ru/2263/2263908/cover/2263908.jpg", "Обложка")</f>
        <v>Обложка</v>
      </c>
      <c r="V2327" s="8" t="s">
        <v>217</v>
      </c>
      <c r="W2327" s="6"/>
      <c r="X2327" s="6"/>
      <c r="Y2327" s="6"/>
      <c r="Z2327" s="6"/>
      <c r="AA2327" s="6" t="s">
        <v>148</v>
      </c>
      <c r="AB2327" s="8"/>
      <c r="AC2327" s="27">
        <v>9785160175294</v>
      </c>
    </row>
    <row r="2328" spans="1:29" s="4" customFormat="1" ht="51.9" customHeight="1" x14ac:dyDescent="0.2">
      <c r="A2328" s="5">
        <v>0</v>
      </c>
      <c r="B2328" s="6" t="s">
        <v>13914</v>
      </c>
      <c r="C2328" s="7">
        <v>1060.8</v>
      </c>
      <c r="D2328" s="8" t="s">
        <v>13915</v>
      </c>
      <c r="E2328" s="8" t="s">
        <v>13916</v>
      </c>
      <c r="F2328" s="8" t="s">
        <v>5091</v>
      </c>
      <c r="G2328" s="6" t="s">
        <v>118</v>
      </c>
      <c r="H2328" s="6" t="s">
        <v>34</v>
      </c>
      <c r="I2328" s="8" t="s">
        <v>504</v>
      </c>
      <c r="J2328" s="9">
        <v>1</v>
      </c>
      <c r="K2328" s="9">
        <v>170</v>
      </c>
      <c r="L2328" s="9">
        <v>2025</v>
      </c>
      <c r="M2328" s="8" t="s">
        <v>13917</v>
      </c>
      <c r="N2328" s="8" t="s">
        <v>37</v>
      </c>
      <c r="O2328" s="8" t="s">
        <v>233</v>
      </c>
      <c r="P2328" s="6" t="s">
        <v>51</v>
      </c>
      <c r="Q2328" s="8" t="s">
        <v>500</v>
      </c>
      <c r="R2328" s="10" t="s">
        <v>2033</v>
      </c>
      <c r="S2328" s="11" t="s">
        <v>13918</v>
      </c>
      <c r="T2328" s="6"/>
      <c r="U2328" s="15" t="str">
        <f>HYPERLINK("https://media.infra-m.ru/2196/2196096/cover/2196096.jpg", "Обложка")</f>
        <v>Обложка</v>
      </c>
      <c r="V2328" s="8" t="s">
        <v>831</v>
      </c>
      <c r="W2328" s="6"/>
      <c r="X2328" s="6"/>
      <c r="Y2328" s="6"/>
      <c r="Z2328" s="6"/>
      <c r="AA2328" s="6" t="s">
        <v>86</v>
      </c>
      <c r="AB2328" s="8"/>
      <c r="AC2328" s="27">
        <v>9785160134932</v>
      </c>
    </row>
    <row r="2329" spans="1:29" s="4" customFormat="1" ht="51.9" customHeight="1" x14ac:dyDescent="0.2">
      <c r="A2329" s="5">
        <v>0</v>
      </c>
      <c r="B2329" s="6" t="s">
        <v>13919</v>
      </c>
      <c r="C2329" s="7">
        <v>1512</v>
      </c>
      <c r="D2329" s="8" t="s">
        <v>13920</v>
      </c>
      <c r="E2329" s="8" t="s">
        <v>13921</v>
      </c>
      <c r="F2329" s="8" t="s">
        <v>13922</v>
      </c>
      <c r="G2329" s="6" t="s">
        <v>60</v>
      </c>
      <c r="H2329" s="6" t="s">
        <v>34</v>
      </c>
      <c r="I2329" s="8" t="s">
        <v>1248</v>
      </c>
      <c r="J2329" s="9">
        <v>1</v>
      </c>
      <c r="K2329" s="9">
        <v>250</v>
      </c>
      <c r="L2329" s="9">
        <v>2025</v>
      </c>
      <c r="M2329" s="8" t="s">
        <v>13923</v>
      </c>
      <c r="N2329" s="8" t="s">
        <v>243</v>
      </c>
      <c r="O2329" s="8" t="s">
        <v>964</v>
      </c>
      <c r="P2329" s="6" t="s">
        <v>51</v>
      </c>
      <c r="Q2329" s="8" t="s">
        <v>65</v>
      </c>
      <c r="R2329" s="10" t="s">
        <v>13924</v>
      </c>
      <c r="S2329" s="11"/>
      <c r="T2329" s="6"/>
      <c r="U2329" s="15" t="str">
        <f>HYPERLINK("https://media.infra-m.ru/2162/2162074/cover/2162074.jpg", "Обложка")</f>
        <v>Обложка</v>
      </c>
      <c r="V2329" s="8" t="s">
        <v>1083</v>
      </c>
      <c r="W2329" s="6"/>
      <c r="X2329" s="6"/>
      <c r="Y2329" s="6"/>
      <c r="Z2329" s="6"/>
      <c r="AA2329" s="6" t="s">
        <v>68</v>
      </c>
      <c r="AB2329" s="8"/>
      <c r="AC2329" s="27">
        <v>9785160201771</v>
      </c>
    </row>
    <row r="2330" spans="1:29" s="4" customFormat="1" ht="51.9" customHeight="1" x14ac:dyDescent="0.2">
      <c r="A2330" s="5">
        <v>0</v>
      </c>
      <c r="B2330" s="6" t="s">
        <v>13925</v>
      </c>
      <c r="C2330" s="7">
        <v>2484</v>
      </c>
      <c r="D2330" s="8" t="s">
        <v>13926</v>
      </c>
      <c r="E2330" s="8" t="s">
        <v>13927</v>
      </c>
      <c r="F2330" s="8" t="s">
        <v>13928</v>
      </c>
      <c r="G2330" s="6" t="s">
        <v>118</v>
      </c>
      <c r="H2330" s="6" t="s">
        <v>313</v>
      </c>
      <c r="I2330" s="8" t="s">
        <v>253</v>
      </c>
      <c r="J2330" s="9">
        <v>1</v>
      </c>
      <c r="K2330" s="9">
        <v>375</v>
      </c>
      <c r="L2330" s="9">
        <v>2026</v>
      </c>
      <c r="M2330" s="8" t="s">
        <v>13929</v>
      </c>
      <c r="N2330" s="8" t="s">
        <v>63</v>
      </c>
      <c r="O2330" s="8" t="s">
        <v>9718</v>
      </c>
      <c r="P2330" s="6" t="s">
        <v>306</v>
      </c>
      <c r="Q2330" s="8" t="s">
        <v>52</v>
      </c>
      <c r="R2330" s="10" t="s">
        <v>13930</v>
      </c>
      <c r="S2330" s="11"/>
      <c r="T2330" s="6" t="s">
        <v>97</v>
      </c>
      <c r="U2330" s="15" t="str">
        <f>HYPERLINK("https://media.infra-m.ru/2252/2252414/cover/2252414.jpg", "Обложка")</f>
        <v>Обложка</v>
      </c>
      <c r="V2330" s="8" t="s">
        <v>2095</v>
      </c>
      <c r="W2330" s="6"/>
      <c r="X2330" s="6"/>
      <c r="Y2330" s="6"/>
      <c r="Z2330" s="6"/>
      <c r="AA2330" s="6" t="s">
        <v>779</v>
      </c>
      <c r="AB2330" s="8"/>
      <c r="AC2330" s="27">
        <v>9785369015865</v>
      </c>
    </row>
    <row r="2331" spans="1:29" s="4" customFormat="1" ht="51.9" customHeight="1" x14ac:dyDescent="0.2">
      <c r="A2331" s="5">
        <v>0</v>
      </c>
      <c r="B2331" s="6" t="s">
        <v>13931</v>
      </c>
      <c r="C2331" s="7">
        <v>1152</v>
      </c>
      <c r="D2331" s="8" t="s">
        <v>13932</v>
      </c>
      <c r="E2331" s="8" t="s">
        <v>13933</v>
      </c>
      <c r="F2331" s="8" t="s">
        <v>4721</v>
      </c>
      <c r="G2331" s="6" t="s">
        <v>118</v>
      </c>
      <c r="H2331" s="6" t="s">
        <v>34</v>
      </c>
      <c r="I2331" s="8" t="s">
        <v>179</v>
      </c>
      <c r="J2331" s="9">
        <v>1</v>
      </c>
      <c r="K2331" s="9">
        <v>175</v>
      </c>
      <c r="L2331" s="9">
        <v>2026</v>
      </c>
      <c r="M2331" s="8" t="s">
        <v>13934</v>
      </c>
      <c r="N2331" s="8" t="s">
        <v>63</v>
      </c>
      <c r="O2331" s="8" t="s">
        <v>9718</v>
      </c>
      <c r="P2331" s="6" t="s">
        <v>182</v>
      </c>
      <c r="Q2331" s="8" t="s">
        <v>65</v>
      </c>
      <c r="R2331" s="10" t="s">
        <v>13935</v>
      </c>
      <c r="S2331" s="11"/>
      <c r="T2331" s="6"/>
      <c r="U2331" s="15" t="str">
        <f>HYPERLINK("https://media.infra-m.ru/2249/2249334/cover/2249334.jpg", "Обложка")</f>
        <v>Обложка</v>
      </c>
      <c r="V2331" s="8" t="s">
        <v>911</v>
      </c>
      <c r="W2331" s="6"/>
      <c r="X2331" s="6"/>
      <c r="Y2331" s="6"/>
      <c r="Z2331" s="6"/>
      <c r="AA2331" s="6" t="s">
        <v>68</v>
      </c>
      <c r="AB2331" s="8" t="s">
        <v>4718</v>
      </c>
      <c r="AC2331" s="27">
        <v>9785160204956</v>
      </c>
    </row>
    <row r="2332" spans="1:29" s="4" customFormat="1" ht="51.9" customHeight="1" x14ac:dyDescent="0.2">
      <c r="A2332" s="5">
        <v>0</v>
      </c>
      <c r="B2332" s="6" t="s">
        <v>13936</v>
      </c>
      <c r="C2332" s="7">
        <v>1240.8</v>
      </c>
      <c r="D2332" s="8" t="s">
        <v>13937</v>
      </c>
      <c r="E2332" s="8" t="s">
        <v>13933</v>
      </c>
      <c r="F2332" s="8" t="s">
        <v>4721</v>
      </c>
      <c r="G2332" s="6" t="s">
        <v>60</v>
      </c>
      <c r="H2332" s="6" t="s">
        <v>34</v>
      </c>
      <c r="I2332" s="8" t="s">
        <v>253</v>
      </c>
      <c r="J2332" s="9">
        <v>1</v>
      </c>
      <c r="K2332" s="9">
        <v>188</v>
      </c>
      <c r="L2332" s="9">
        <v>2026</v>
      </c>
      <c r="M2332" s="8" t="s">
        <v>13938</v>
      </c>
      <c r="N2332" s="8" t="s">
        <v>63</v>
      </c>
      <c r="O2332" s="8" t="s">
        <v>9718</v>
      </c>
      <c r="P2332" s="6" t="s">
        <v>51</v>
      </c>
      <c r="Q2332" s="8" t="s">
        <v>52</v>
      </c>
      <c r="R2332" s="10" t="s">
        <v>13939</v>
      </c>
      <c r="S2332" s="11"/>
      <c r="T2332" s="6"/>
      <c r="U2332" s="15" t="str">
        <f>HYPERLINK("https://media.infra-m.ru/2246/2246054/cover/2246054.jpg", "Обложка")</f>
        <v>Обложка</v>
      </c>
      <c r="V2332" s="8" t="s">
        <v>911</v>
      </c>
      <c r="W2332" s="6"/>
      <c r="X2332" s="6"/>
      <c r="Y2332" s="6"/>
      <c r="Z2332" s="6"/>
      <c r="AA2332" s="6" t="s">
        <v>68</v>
      </c>
      <c r="AB2332" s="8"/>
      <c r="AC2332" s="27">
        <v>9785160201351</v>
      </c>
    </row>
    <row r="2333" spans="1:29" s="4" customFormat="1" ht="51.9" customHeight="1" x14ac:dyDescent="0.2">
      <c r="A2333" s="5">
        <v>0</v>
      </c>
      <c r="B2333" s="6" t="s">
        <v>13940</v>
      </c>
      <c r="C2333" s="7">
        <v>3168</v>
      </c>
      <c r="D2333" s="8" t="s">
        <v>13941</v>
      </c>
      <c r="E2333" s="8" t="s">
        <v>13942</v>
      </c>
      <c r="F2333" s="8" t="s">
        <v>13943</v>
      </c>
      <c r="G2333" s="6" t="s">
        <v>60</v>
      </c>
      <c r="H2333" s="6" t="s">
        <v>34</v>
      </c>
      <c r="I2333" s="8" t="s">
        <v>179</v>
      </c>
      <c r="J2333" s="9">
        <v>1</v>
      </c>
      <c r="K2333" s="9">
        <v>470</v>
      </c>
      <c r="L2333" s="9">
        <v>2026</v>
      </c>
      <c r="M2333" s="8" t="s">
        <v>13944</v>
      </c>
      <c r="N2333" s="8" t="s">
        <v>63</v>
      </c>
      <c r="O2333" s="8" t="s">
        <v>9718</v>
      </c>
      <c r="P2333" s="6" t="s">
        <v>182</v>
      </c>
      <c r="Q2333" s="8" t="s">
        <v>13945</v>
      </c>
      <c r="R2333" s="10" t="s">
        <v>13946</v>
      </c>
      <c r="S2333" s="11" t="s">
        <v>13947</v>
      </c>
      <c r="T2333" s="6" t="s">
        <v>97</v>
      </c>
      <c r="U2333" s="15" t="str">
        <f>HYPERLINK("https://media.infra-m.ru/2230/2230139/cover/2230139.jpg", "Обложка")</f>
        <v>Обложка</v>
      </c>
      <c r="V2333" s="8" t="s">
        <v>809</v>
      </c>
      <c r="W2333" s="6" t="s">
        <v>186</v>
      </c>
      <c r="X2333" s="6"/>
      <c r="Y2333" s="6"/>
      <c r="Z2333" s="6"/>
      <c r="AA2333" s="6" t="s">
        <v>187</v>
      </c>
      <c r="AB2333" s="8"/>
      <c r="AC2333" s="27">
        <v>9785160215396</v>
      </c>
    </row>
    <row r="2334" spans="1:29" s="4" customFormat="1" ht="51.9" customHeight="1" x14ac:dyDescent="0.2">
      <c r="A2334" s="5">
        <v>0</v>
      </c>
      <c r="B2334" s="6" t="s">
        <v>13948</v>
      </c>
      <c r="C2334" s="7">
        <v>3172.8</v>
      </c>
      <c r="D2334" s="8" t="s">
        <v>13949</v>
      </c>
      <c r="E2334" s="8" t="s">
        <v>13942</v>
      </c>
      <c r="F2334" s="8" t="s">
        <v>13943</v>
      </c>
      <c r="G2334" s="6" t="s">
        <v>60</v>
      </c>
      <c r="H2334" s="6" t="s">
        <v>241</v>
      </c>
      <c r="I2334" s="8" t="s">
        <v>253</v>
      </c>
      <c r="J2334" s="9">
        <v>1</v>
      </c>
      <c r="K2334" s="9">
        <v>480</v>
      </c>
      <c r="L2334" s="9">
        <v>2026</v>
      </c>
      <c r="M2334" s="8" t="s">
        <v>13950</v>
      </c>
      <c r="N2334" s="8" t="s">
        <v>63</v>
      </c>
      <c r="O2334" s="8" t="s">
        <v>9718</v>
      </c>
      <c r="P2334" s="6" t="s">
        <v>306</v>
      </c>
      <c r="Q2334" s="8" t="s">
        <v>52</v>
      </c>
      <c r="R2334" s="10" t="s">
        <v>13951</v>
      </c>
      <c r="S2334" s="11" t="s">
        <v>13947</v>
      </c>
      <c r="T2334" s="6" t="s">
        <v>97</v>
      </c>
      <c r="U2334" s="15" t="str">
        <f>HYPERLINK("https://media.infra-m.ru/2227/2227065/cover/2227065.jpg", "Обложка")</f>
        <v>Обложка</v>
      </c>
      <c r="V2334" s="8" t="s">
        <v>809</v>
      </c>
      <c r="W2334" s="6"/>
      <c r="X2334" s="6"/>
      <c r="Y2334" s="6"/>
      <c r="Z2334" s="6"/>
      <c r="AA2334" s="6" t="s">
        <v>86</v>
      </c>
      <c r="AB2334" s="8"/>
      <c r="AC2334" s="27">
        <v>9785955805320</v>
      </c>
    </row>
    <row r="2335" spans="1:29" s="4" customFormat="1" ht="51.9" customHeight="1" x14ac:dyDescent="0.2">
      <c r="A2335" s="5">
        <v>0</v>
      </c>
      <c r="B2335" s="6" t="s">
        <v>13952</v>
      </c>
      <c r="C2335" s="7">
        <v>1156.8</v>
      </c>
      <c r="D2335" s="8" t="s">
        <v>13953</v>
      </c>
      <c r="E2335" s="8" t="s">
        <v>13942</v>
      </c>
      <c r="F2335" s="8" t="s">
        <v>13954</v>
      </c>
      <c r="G2335" s="6" t="s">
        <v>60</v>
      </c>
      <c r="H2335" s="6" t="s">
        <v>313</v>
      </c>
      <c r="I2335" s="8" t="s">
        <v>65</v>
      </c>
      <c r="J2335" s="9">
        <v>1</v>
      </c>
      <c r="K2335" s="9">
        <v>175</v>
      </c>
      <c r="L2335" s="9">
        <v>2026</v>
      </c>
      <c r="M2335" s="8" t="s">
        <v>13955</v>
      </c>
      <c r="N2335" s="8" t="s">
        <v>63</v>
      </c>
      <c r="O2335" s="8" t="s">
        <v>9718</v>
      </c>
      <c r="P2335" s="6" t="s">
        <v>51</v>
      </c>
      <c r="Q2335" s="8" t="s">
        <v>265</v>
      </c>
      <c r="R2335" s="10" t="s">
        <v>13956</v>
      </c>
      <c r="S2335" s="11" t="s">
        <v>13957</v>
      </c>
      <c r="T2335" s="6"/>
      <c r="U2335" s="15" t="str">
        <f>HYPERLINK("https://media.infra-m.ru/2242/2242284/cover/2242284.jpg", "Обложка")</f>
        <v>Обложка</v>
      </c>
      <c r="V2335" s="8" t="s">
        <v>13958</v>
      </c>
      <c r="W2335" s="6"/>
      <c r="X2335" s="6"/>
      <c r="Y2335" s="6"/>
      <c r="Z2335" s="6"/>
      <c r="AA2335" s="6" t="s">
        <v>129</v>
      </c>
      <c r="AB2335" s="8"/>
      <c r="AC2335" s="27">
        <v>9785369005705</v>
      </c>
    </row>
    <row r="2336" spans="1:29" s="4" customFormat="1" ht="42" customHeight="1" x14ac:dyDescent="0.2">
      <c r="A2336" s="5">
        <v>0</v>
      </c>
      <c r="B2336" s="6" t="s">
        <v>13959</v>
      </c>
      <c r="C2336" s="7">
        <v>2020.8</v>
      </c>
      <c r="D2336" s="8" t="s">
        <v>13960</v>
      </c>
      <c r="E2336" s="8" t="s">
        <v>13961</v>
      </c>
      <c r="F2336" s="8" t="s">
        <v>13962</v>
      </c>
      <c r="G2336" s="6" t="s">
        <v>60</v>
      </c>
      <c r="H2336" s="6" t="s">
        <v>34</v>
      </c>
      <c r="I2336" s="8" t="s">
        <v>271</v>
      </c>
      <c r="J2336" s="9">
        <v>1</v>
      </c>
      <c r="K2336" s="9">
        <v>336</v>
      </c>
      <c r="L2336" s="9">
        <v>2025</v>
      </c>
      <c r="M2336" s="8" t="s">
        <v>13963</v>
      </c>
      <c r="N2336" s="8" t="s">
        <v>37</v>
      </c>
      <c r="O2336" s="8" t="s">
        <v>50</v>
      </c>
      <c r="P2336" s="6" t="s">
        <v>51</v>
      </c>
      <c r="Q2336" s="8" t="s">
        <v>52</v>
      </c>
      <c r="R2336" s="10" t="s">
        <v>4408</v>
      </c>
      <c r="S2336" s="11"/>
      <c r="T2336" s="6"/>
      <c r="U2336" s="15" t="str">
        <f>HYPERLINK("https://media.infra-m.ru/2166/2166400/cover/2166400.jpg", "Обложка")</f>
        <v>Обложка</v>
      </c>
      <c r="V2336" s="8" t="s">
        <v>3177</v>
      </c>
      <c r="W2336" s="6"/>
      <c r="X2336" s="6"/>
      <c r="Y2336" s="6"/>
      <c r="Z2336" s="6"/>
      <c r="AA2336" s="6" t="s">
        <v>274</v>
      </c>
      <c r="AB2336" s="8"/>
      <c r="AC2336" s="27">
        <v>9785160102160</v>
      </c>
    </row>
    <row r="2337" spans="1:29" s="4" customFormat="1" ht="42" customHeight="1" x14ac:dyDescent="0.2">
      <c r="A2337" s="5">
        <v>0</v>
      </c>
      <c r="B2337" s="6" t="s">
        <v>13964</v>
      </c>
      <c r="C2337" s="7">
        <v>1312.8</v>
      </c>
      <c r="D2337" s="8" t="s">
        <v>13965</v>
      </c>
      <c r="E2337" s="8" t="s">
        <v>13966</v>
      </c>
      <c r="F2337" s="8" t="s">
        <v>13967</v>
      </c>
      <c r="G2337" s="6" t="s">
        <v>118</v>
      </c>
      <c r="H2337" s="6" t="s">
        <v>34</v>
      </c>
      <c r="I2337" s="8" t="s">
        <v>35</v>
      </c>
      <c r="J2337" s="9">
        <v>1</v>
      </c>
      <c r="K2337" s="9">
        <v>232</v>
      </c>
      <c r="L2337" s="9">
        <v>2024</v>
      </c>
      <c r="M2337" s="8" t="s">
        <v>13968</v>
      </c>
      <c r="N2337" s="8" t="s">
        <v>37</v>
      </c>
      <c r="O2337" s="8" t="s">
        <v>233</v>
      </c>
      <c r="P2337" s="6" t="s">
        <v>39</v>
      </c>
      <c r="Q2337" s="8" t="s">
        <v>40</v>
      </c>
      <c r="R2337" s="10" t="s">
        <v>13969</v>
      </c>
      <c r="S2337" s="11"/>
      <c r="T2337" s="6"/>
      <c r="U2337" s="15" t="str">
        <f>HYPERLINK("https://media.infra-m.ru/2144/2144093/cover/2144093.jpg", "Обложка")</f>
        <v>Обложка</v>
      </c>
      <c r="V2337" s="8" t="s">
        <v>13970</v>
      </c>
      <c r="W2337" s="6"/>
      <c r="X2337" s="6"/>
      <c r="Y2337" s="6"/>
      <c r="Z2337" s="6"/>
      <c r="AA2337" s="6" t="s">
        <v>779</v>
      </c>
      <c r="AB2337" s="8"/>
      <c r="AC2337" s="27">
        <v>9785160119915</v>
      </c>
    </row>
    <row r="2338" spans="1:29" s="4" customFormat="1" ht="42" customHeight="1" x14ac:dyDescent="0.2">
      <c r="A2338" s="5">
        <v>0</v>
      </c>
      <c r="B2338" s="6" t="s">
        <v>13971</v>
      </c>
      <c r="C2338" s="7">
        <v>1968</v>
      </c>
      <c r="D2338" s="8" t="s">
        <v>13972</v>
      </c>
      <c r="E2338" s="8" t="s">
        <v>13973</v>
      </c>
      <c r="F2338" s="8" t="s">
        <v>13974</v>
      </c>
      <c r="G2338" s="6" t="s">
        <v>118</v>
      </c>
      <c r="H2338" s="6" t="s">
        <v>313</v>
      </c>
      <c r="I2338" s="8" t="s">
        <v>253</v>
      </c>
      <c r="J2338" s="9">
        <v>1</v>
      </c>
      <c r="K2338" s="9">
        <v>313</v>
      </c>
      <c r="L2338" s="9">
        <v>2025</v>
      </c>
      <c r="M2338" s="8" t="s">
        <v>13975</v>
      </c>
      <c r="N2338" s="8" t="s">
        <v>37</v>
      </c>
      <c r="O2338" s="8" t="s">
        <v>38</v>
      </c>
      <c r="P2338" s="6" t="s">
        <v>51</v>
      </c>
      <c r="Q2338" s="8" t="s">
        <v>52</v>
      </c>
      <c r="R2338" s="10" t="s">
        <v>13976</v>
      </c>
      <c r="S2338" s="11"/>
      <c r="T2338" s="6"/>
      <c r="U2338" s="15" t="str">
        <f>HYPERLINK("https://media.infra-m.ru/2211/2211115/cover/2211115.jpg", "Обложка")</f>
        <v>Обложка</v>
      </c>
      <c r="V2338" s="8" t="s">
        <v>13977</v>
      </c>
      <c r="W2338" s="6"/>
      <c r="X2338" s="6"/>
      <c r="Y2338" s="6"/>
      <c r="Z2338" s="6"/>
      <c r="AA2338" s="6" t="s">
        <v>129</v>
      </c>
      <c r="AB2338" s="8"/>
      <c r="AC2338" s="27">
        <v>9785369007532</v>
      </c>
    </row>
    <row r="2339" spans="1:29" s="4" customFormat="1" ht="42" customHeight="1" x14ac:dyDescent="0.2">
      <c r="A2339" s="5">
        <v>0</v>
      </c>
      <c r="B2339" s="6" t="s">
        <v>13978</v>
      </c>
      <c r="C2339" s="7">
        <v>3264</v>
      </c>
      <c r="D2339" s="8" t="s">
        <v>13979</v>
      </c>
      <c r="E2339" s="8" t="s">
        <v>13980</v>
      </c>
      <c r="F2339" s="8" t="s">
        <v>13981</v>
      </c>
      <c r="G2339" s="6" t="s">
        <v>60</v>
      </c>
      <c r="H2339" s="6" t="s">
        <v>34</v>
      </c>
      <c r="I2339" s="8" t="s">
        <v>304</v>
      </c>
      <c r="J2339" s="9">
        <v>1</v>
      </c>
      <c r="K2339" s="9">
        <v>493</v>
      </c>
      <c r="L2339" s="9">
        <v>2026</v>
      </c>
      <c r="M2339" s="8" t="s">
        <v>13982</v>
      </c>
      <c r="N2339" s="8" t="s">
        <v>37</v>
      </c>
      <c r="O2339" s="8" t="s">
        <v>38</v>
      </c>
      <c r="P2339" s="6" t="s">
        <v>51</v>
      </c>
      <c r="Q2339" s="8" t="s">
        <v>52</v>
      </c>
      <c r="R2339" s="10" t="s">
        <v>13520</v>
      </c>
      <c r="S2339" s="11"/>
      <c r="T2339" s="6"/>
      <c r="U2339" s="15" t="str">
        <f>HYPERLINK("https://media.infra-m.ru/2249/2249503/cover/2249503.jpg", "Обложка")</f>
        <v>Обложка</v>
      </c>
      <c r="V2339" s="8" t="s">
        <v>6224</v>
      </c>
      <c r="W2339" s="6"/>
      <c r="X2339" s="6"/>
      <c r="Y2339" s="6"/>
      <c r="Z2339" s="6"/>
      <c r="AA2339" s="6" t="s">
        <v>76</v>
      </c>
      <c r="AB2339" s="8"/>
      <c r="AC2339" s="27">
        <v>9785160177120</v>
      </c>
    </row>
    <row r="2340" spans="1:29" s="4" customFormat="1" ht="42" customHeight="1" x14ac:dyDescent="0.2">
      <c r="A2340" s="5">
        <v>0</v>
      </c>
      <c r="B2340" s="6" t="s">
        <v>13983</v>
      </c>
      <c r="C2340" s="7">
        <v>1828.8</v>
      </c>
      <c r="D2340" s="8" t="s">
        <v>13984</v>
      </c>
      <c r="E2340" s="8" t="s">
        <v>13985</v>
      </c>
      <c r="F2340" s="8" t="s">
        <v>13986</v>
      </c>
      <c r="G2340" s="6" t="s">
        <v>60</v>
      </c>
      <c r="H2340" s="6" t="s">
        <v>34</v>
      </c>
      <c r="I2340" s="8" t="s">
        <v>2171</v>
      </c>
      <c r="J2340" s="9">
        <v>1</v>
      </c>
      <c r="K2340" s="9">
        <v>264</v>
      </c>
      <c r="L2340" s="9">
        <v>2026</v>
      </c>
      <c r="M2340" s="8" t="s">
        <v>13987</v>
      </c>
      <c r="N2340" s="8" t="s">
        <v>37</v>
      </c>
      <c r="O2340" s="8" t="s">
        <v>38</v>
      </c>
      <c r="P2340" s="6" t="s">
        <v>51</v>
      </c>
      <c r="Q2340" s="8" t="s">
        <v>65</v>
      </c>
      <c r="R2340" s="10" t="s">
        <v>13988</v>
      </c>
      <c r="S2340" s="11"/>
      <c r="T2340" s="6"/>
      <c r="U2340" s="15" t="str">
        <f>HYPERLINK("https://media.infra-m.ru/2243/2243247/cover/2243247.jpg", "Обложка")</f>
        <v>Обложка</v>
      </c>
      <c r="V2340" s="8" t="s">
        <v>2175</v>
      </c>
      <c r="W2340" s="6"/>
      <c r="X2340" s="6"/>
      <c r="Y2340" s="6"/>
      <c r="Z2340" s="6"/>
      <c r="AA2340" s="6" t="s">
        <v>68</v>
      </c>
      <c r="AB2340" s="8"/>
      <c r="AC2340" s="27">
        <v>9785160179780</v>
      </c>
    </row>
    <row r="2341" spans="1:29" s="4" customFormat="1" ht="51.9" customHeight="1" x14ac:dyDescent="0.2">
      <c r="A2341" s="5">
        <v>0</v>
      </c>
      <c r="B2341" s="6" t="s">
        <v>13989</v>
      </c>
      <c r="C2341" s="7">
        <v>4072.8</v>
      </c>
      <c r="D2341" s="8" t="s">
        <v>13990</v>
      </c>
      <c r="E2341" s="8" t="s">
        <v>13991</v>
      </c>
      <c r="F2341" s="8" t="s">
        <v>13992</v>
      </c>
      <c r="G2341" s="6" t="s">
        <v>60</v>
      </c>
      <c r="H2341" s="6" t="s">
        <v>34</v>
      </c>
      <c r="I2341" s="8" t="s">
        <v>271</v>
      </c>
      <c r="J2341" s="9">
        <v>1</v>
      </c>
      <c r="K2341" s="9">
        <v>648</v>
      </c>
      <c r="L2341" s="9">
        <v>2026</v>
      </c>
      <c r="M2341" s="8" t="s">
        <v>13993</v>
      </c>
      <c r="N2341" s="8" t="s">
        <v>37</v>
      </c>
      <c r="O2341" s="8" t="s">
        <v>38</v>
      </c>
      <c r="P2341" s="6" t="s">
        <v>306</v>
      </c>
      <c r="Q2341" s="8" t="s">
        <v>52</v>
      </c>
      <c r="R2341" s="10" t="s">
        <v>13994</v>
      </c>
      <c r="S2341" s="11" t="s">
        <v>13995</v>
      </c>
      <c r="T2341" s="6"/>
      <c r="U2341" s="15" t="str">
        <f>HYPERLINK("https://media.infra-m.ru/2243/2243202/cover/2243202.jpg", "Обложка")</f>
        <v>Обложка</v>
      </c>
      <c r="V2341" s="8" t="s">
        <v>54</v>
      </c>
      <c r="W2341" s="6"/>
      <c r="X2341" s="6"/>
      <c r="Y2341" s="6"/>
      <c r="Z2341" s="6"/>
      <c r="AA2341" s="6" t="s">
        <v>99</v>
      </c>
      <c r="AB2341" s="8"/>
      <c r="AC2341" s="27">
        <v>9785160128740</v>
      </c>
    </row>
    <row r="2342" spans="1:29" s="4" customFormat="1" ht="51.9" customHeight="1" x14ac:dyDescent="0.2">
      <c r="A2342" s="5">
        <v>0</v>
      </c>
      <c r="B2342" s="6" t="s">
        <v>13996</v>
      </c>
      <c r="C2342" s="7">
        <v>3180</v>
      </c>
      <c r="D2342" s="8" t="s">
        <v>13997</v>
      </c>
      <c r="E2342" s="8" t="s">
        <v>13998</v>
      </c>
      <c r="F2342" s="8" t="s">
        <v>13999</v>
      </c>
      <c r="G2342" s="6" t="s">
        <v>60</v>
      </c>
      <c r="H2342" s="6" t="s">
        <v>34</v>
      </c>
      <c r="I2342" s="8" t="s">
        <v>14000</v>
      </c>
      <c r="J2342" s="9">
        <v>1</v>
      </c>
      <c r="K2342" s="9">
        <v>456</v>
      </c>
      <c r="L2342" s="9">
        <v>2026</v>
      </c>
      <c r="M2342" s="8" t="s">
        <v>14001</v>
      </c>
      <c r="N2342" s="8" t="s">
        <v>37</v>
      </c>
      <c r="O2342" s="8" t="s">
        <v>38</v>
      </c>
      <c r="P2342" s="6" t="s">
        <v>51</v>
      </c>
      <c r="Q2342" s="8" t="s">
        <v>52</v>
      </c>
      <c r="R2342" s="10" t="s">
        <v>14002</v>
      </c>
      <c r="S2342" s="11" t="s">
        <v>14003</v>
      </c>
      <c r="T2342" s="6"/>
      <c r="U2342" s="15" t="str">
        <f>HYPERLINK("https://media.infra-m.ru/2260/2260386/cover/2260386.jpg", "Обложка")</f>
        <v>Обложка</v>
      </c>
      <c r="V2342" s="8" t="s">
        <v>414</v>
      </c>
      <c r="W2342" s="6"/>
      <c r="X2342" s="6"/>
      <c r="Y2342" s="6"/>
      <c r="Z2342" s="6"/>
      <c r="AA2342" s="6" t="s">
        <v>1256</v>
      </c>
      <c r="AB2342" s="8" t="s">
        <v>467</v>
      </c>
      <c r="AC2342" s="27">
        <v>9785160222776</v>
      </c>
    </row>
    <row r="2343" spans="1:29" s="4" customFormat="1" ht="51.9" customHeight="1" x14ac:dyDescent="0.2">
      <c r="A2343" s="5">
        <v>0</v>
      </c>
      <c r="B2343" s="6" t="s">
        <v>14004</v>
      </c>
      <c r="C2343" s="7">
        <v>2224.8000000000002</v>
      </c>
      <c r="D2343" s="8" t="s">
        <v>14005</v>
      </c>
      <c r="E2343" s="8" t="s">
        <v>14006</v>
      </c>
      <c r="F2343" s="8" t="s">
        <v>13999</v>
      </c>
      <c r="G2343" s="6" t="s">
        <v>118</v>
      </c>
      <c r="H2343" s="6" t="s">
        <v>241</v>
      </c>
      <c r="I2343" s="8" t="s">
        <v>14007</v>
      </c>
      <c r="J2343" s="9">
        <v>1</v>
      </c>
      <c r="K2343" s="9">
        <v>356</v>
      </c>
      <c r="L2343" s="9">
        <v>2026</v>
      </c>
      <c r="M2343" s="8" t="s">
        <v>14008</v>
      </c>
      <c r="N2343" s="8" t="s">
        <v>37</v>
      </c>
      <c r="O2343" s="8" t="s">
        <v>38</v>
      </c>
      <c r="P2343" s="6" t="s">
        <v>51</v>
      </c>
      <c r="Q2343" s="8" t="s">
        <v>52</v>
      </c>
      <c r="R2343" s="10" t="s">
        <v>13976</v>
      </c>
      <c r="S2343" s="11" t="s">
        <v>14009</v>
      </c>
      <c r="T2343" s="6"/>
      <c r="U2343" s="15" t="str">
        <f>HYPERLINK("https://media.infra-m.ru/2218/2218878/cover/2218878.jpg", "Обложка")</f>
        <v>Обложка</v>
      </c>
      <c r="V2343" s="8" t="s">
        <v>414</v>
      </c>
      <c r="W2343" s="6"/>
      <c r="X2343" s="6"/>
      <c r="Y2343" s="6"/>
      <c r="Z2343" s="6"/>
      <c r="AA2343" s="6" t="s">
        <v>86</v>
      </c>
      <c r="AB2343" s="8"/>
      <c r="AC2343" s="27">
        <v>9785955806013</v>
      </c>
    </row>
    <row r="2344" spans="1:29" s="4" customFormat="1" ht="51.9" customHeight="1" x14ac:dyDescent="0.2">
      <c r="A2344" s="5">
        <v>0</v>
      </c>
      <c r="B2344" s="6" t="s">
        <v>14010</v>
      </c>
      <c r="C2344" s="7">
        <v>3648</v>
      </c>
      <c r="D2344" s="8" t="s">
        <v>14011</v>
      </c>
      <c r="E2344" s="8" t="s">
        <v>14012</v>
      </c>
      <c r="F2344" s="8" t="s">
        <v>14013</v>
      </c>
      <c r="G2344" s="6" t="s">
        <v>60</v>
      </c>
      <c r="H2344" s="6" t="s">
        <v>34</v>
      </c>
      <c r="I2344" s="8" t="s">
        <v>253</v>
      </c>
      <c r="J2344" s="9">
        <v>1</v>
      </c>
      <c r="K2344" s="9">
        <v>584</v>
      </c>
      <c r="L2344" s="9">
        <v>2026</v>
      </c>
      <c r="M2344" s="8" t="s">
        <v>14014</v>
      </c>
      <c r="N2344" s="8" t="s">
        <v>37</v>
      </c>
      <c r="O2344" s="8" t="s">
        <v>38</v>
      </c>
      <c r="P2344" s="6" t="s">
        <v>306</v>
      </c>
      <c r="Q2344" s="8" t="s">
        <v>65</v>
      </c>
      <c r="R2344" s="10" t="s">
        <v>13520</v>
      </c>
      <c r="S2344" s="11" t="s">
        <v>14015</v>
      </c>
      <c r="T2344" s="6" t="s">
        <v>97</v>
      </c>
      <c r="U2344" s="15" t="str">
        <f>HYPERLINK("https://media.infra-m.ru/2223/2223200/cover/2223200.jpg", "Обложка")</f>
        <v>Обложка</v>
      </c>
      <c r="V2344" s="8" t="s">
        <v>396</v>
      </c>
      <c r="W2344" s="6"/>
      <c r="X2344" s="6"/>
      <c r="Y2344" s="6"/>
      <c r="Z2344" s="6"/>
      <c r="AA2344" s="6" t="s">
        <v>896</v>
      </c>
      <c r="AB2344" s="8"/>
      <c r="AC2344" s="27">
        <v>9785160186566</v>
      </c>
    </row>
    <row r="2345" spans="1:29" s="4" customFormat="1" ht="51.9" customHeight="1" x14ac:dyDescent="0.2">
      <c r="A2345" s="5">
        <v>0</v>
      </c>
      <c r="B2345" s="6" t="s">
        <v>14016</v>
      </c>
      <c r="C2345" s="7">
        <v>3376.8</v>
      </c>
      <c r="D2345" s="8" t="s">
        <v>14017</v>
      </c>
      <c r="E2345" s="8" t="s">
        <v>14018</v>
      </c>
      <c r="F2345" s="8" t="s">
        <v>14019</v>
      </c>
      <c r="G2345" s="6" t="s">
        <v>60</v>
      </c>
      <c r="H2345" s="6" t="s">
        <v>134</v>
      </c>
      <c r="I2345" s="8"/>
      <c r="J2345" s="9">
        <v>1</v>
      </c>
      <c r="K2345" s="9">
        <v>512</v>
      </c>
      <c r="L2345" s="9">
        <v>2026</v>
      </c>
      <c r="M2345" s="8" t="s">
        <v>14020</v>
      </c>
      <c r="N2345" s="8" t="s">
        <v>37</v>
      </c>
      <c r="O2345" s="8" t="s">
        <v>38</v>
      </c>
      <c r="P2345" s="6" t="s">
        <v>306</v>
      </c>
      <c r="Q2345" s="8" t="s">
        <v>52</v>
      </c>
      <c r="R2345" s="10" t="s">
        <v>14021</v>
      </c>
      <c r="S2345" s="11"/>
      <c r="T2345" s="6"/>
      <c r="U2345" s="15" t="str">
        <f>HYPERLINK("https://media.infra-m.ru/2221/2221346/cover/2221346.jpg", "Обложка")</f>
        <v>Обложка</v>
      </c>
      <c r="V2345" s="8" t="s">
        <v>396</v>
      </c>
      <c r="W2345" s="6"/>
      <c r="X2345" s="6"/>
      <c r="Y2345" s="6"/>
      <c r="Z2345" s="6"/>
      <c r="AA2345" s="6" t="s">
        <v>14022</v>
      </c>
      <c r="AB2345" s="8"/>
      <c r="AC2345" s="27">
        <v>9785917689302</v>
      </c>
    </row>
    <row r="2346" spans="1:29" s="4" customFormat="1" ht="51.9" customHeight="1" x14ac:dyDescent="0.2">
      <c r="A2346" s="5">
        <v>0</v>
      </c>
      <c r="B2346" s="6" t="s">
        <v>14023</v>
      </c>
      <c r="C2346" s="7">
        <v>2064</v>
      </c>
      <c r="D2346" s="8" t="s">
        <v>14024</v>
      </c>
      <c r="E2346" s="8" t="s">
        <v>14025</v>
      </c>
      <c r="F2346" s="8" t="s">
        <v>14026</v>
      </c>
      <c r="G2346" s="6" t="s">
        <v>118</v>
      </c>
      <c r="H2346" s="6" t="s">
        <v>34</v>
      </c>
      <c r="I2346" s="8" t="s">
        <v>304</v>
      </c>
      <c r="J2346" s="9">
        <v>1</v>
      </c>
      <c r="K2346" s="9">
        <v>296</v>
      </c>
      <c r="L2346" s="9">
        <v>2027</v>
      </c>
      <c r="M2346" s="8" t="s">
        <v>14027</v>
      </c>
      <c r="N2346" s="8" t="s">
        <v>37</v>
      </c>
      <c r="O2346" s="8" t="s">
        <v>38</v>
      </c>
      <c r="P2346" s="6" t="s">
        <v>1481</v>
      </c>
      <c r="Q2346" s="8" t="s">
        <v>52</v>
      </c>
      <c r="R2346" s="10" t="s">
        <v>13520</v>
      </c>
      <c r="S2346" s="11" t="s">
        <v>14028</v>
      </c>
      <c r="T2346" s="6"/>
      <c r="U2346" s="15" t="str">
        <f>HYPERLINK("https://media.infra-m.ru/2242/2242395/cover/2242395.jpg", "Обложка")</f>
        <v>Обложка</v>
      </c>
      <c r="V2346" s="8" t="s">
        <v>247</v>
      </c>
      <c r="W2346" s="6"/>
      <c r="X2346" s="6"/>
      <c r="Y2346" s="6"/>
      <c r="Z2346" s="6"/>
      <c r="AA2346" s="6" t="s">
        <v>1015</v>
      </c>
      <c r="AB2346" s="8"/>
      <c r="AC2346" s="27">
        <v>9785160219127</v>
      </c>
    </row>
    <row r="2347" spans="1:29" s="4" customFormat="1" ht="51.9" customHeight="1" x14ac:dyDescent="0.2">
      <c r="A2347" s="5">
        <v>0</v>
      </c>
      <c r="B2347" s="6" t="s">
        <v>14029</v>
      </c>
      <c r="C2347" s="7">
        <v>2152.8000000000002</v>
      </c>
      <c r="D2347" s="8" t="s">
        <v>14030</v>
      </c>
      <c r="E2347" s="8" t="s">
        <v>14031</v>
      </c>
      <c r="F2347" s="8" t="s">
        <v>3261</v>
      </c>
      <c r="G2347" s="6" t="s">
        <v>118</v>
      </c>
      <c r="H2347" s="6" t="s">
        <v>34</v>
      </c>
      <c r="I2347" s="8" t="s">
        <v>179</v>
      </c>
      <c r="J2347" s="9">
        <v>1</v>
      </c>
      <c r="K2347" s="9">
        <v>333</v>
      </c>
      <c r="L2347" s="9">
        <v>2026</v>
      </c>
      <c r="M2347" s="8" t="s">
        <v>14032</v>
      </c>
      <c r="N2347" s="8" t="s">
        <v>37</v>
      </c>
      <c r="O2347" s="8" t="s">
        <v>38</v>
      </c>
      <c r="P2347" s="6" t="s">
        <v>182</v>
      </c>
      <c r="Q2347" s="8"/>
      <c r="R2347" s="10" t="s">
        <v>14033</v>
      </c>
      <c r="S2347" s="11"/>
      <c r="T2347" s="6"/>
      <c r="U2347" s="15" t="str">
        <f>HYPERLINK("https://media.infra-m.ru/2221/2221990/cover/2221990.jpg", "Обложка")</f>
        <v>Обложка</v>
      </c>
      <c r="V2347" s="8" t="s">
        <v>3264</v>
      </c>
      <c r="W2347" s="6"/>
      <c r="X2347" s="6"/>
      <c r="Y2347" s="6"/>
      <c r="Z2347" s="6"/>
      <c r="AA2347" s="6" t="s">
        <v>68</v>
      </c>
      <c r="AB2347" s="8"/>
      <c r="AC2347" s="27">
        <v>9785160204925</v>
      </c>
    </row>
    <row r="2348" spans="1:29" s="4" customFormat="1" ht="44.1" customHeight="1" x14ac:dyDescent="0.2">
      <c r="A2348" s="5">
        <v>0</v>
      </c>
      <c r="B2348" s="6" t="s">
        <v>14034</v>
      </c>
      <c r="C2348" s="7">
        <v>2412</v>
      </c>
      <c r="D2348" s="8" t="s">
        <v>14035</v>
      </c>
      <c r="E2348" s="8" t="s">
        <v>14031</v>
      </c>
      <c r="F2348" s="8" t="s">
        <v>3261</v>
      </c>
      <c r="G2348" s="6" t="s">
        <v>118</v>
      </c>
      <c r="H2348" s="6" t="s">
        <v>34</v>
      </c>
      <c r="I2348" s="8" t="s">
        <v>253</v>
      </c>
      <c r="J2348" s="9">
        <v>1</v>
      </c>
      <c r="K2348" s="9">
        <v>346</v>
      </c>
      <c r="L2348" s="9">
        <v>2026</v>
      </c>
      <c r="M2348" s="8" t="s">
        <v>14036</v>
      </c>
      <c r="N2348" s="8" t="s">
        <v>37</v>
      </c>
      <c r="O2348" s="8" t="s">
        <v>38</v>
      </c>
      <c r="P2348" s="6" t="s">
        <v>306</v>
      </c>
      <c r="Q2348" s="8" t="s">
        <v>65</v>
      </c>
      <c r="R2348" s="10" t="s">
        <v>3236</v>
      </c>
      <c r="S2348" s="11"/>
      <c r="T2348" s="6"/>
      <c r="U2348" s="15" t="str">
        <f>HYPERLINK("https://media.infra-m.ru/2258/2258674/cover/2258674.jpg", "Обложка")</f>
        <v>Обложка</v>
      </c>
      <c r="V2348" s="8" t="s">
        <v>3264</v>
      </c>
      <c r="W2348" s="6"/>
      <c r="X2348" s="6"/>
      <c r="Y2348" s="6"/>
      <c r="Z2348" s="6"/>
      <c r="AA2348" s="6" t="s">
        <v>68</v>
      </c>
      <c r="AB2348" s="8"/>
      <c r="AC2348" s="27">
        <v>9785160172026</v>
      </c>
    </row>
    <row r="2349" spans="1:29" s="4" customFormat="1" ht="42" customHeight="1" x14ac:dyDescent="0.2">
      <c r="A2349" s="5">
        <v>0</v>
      </c>
      <c r="B2349" s="6" t="s">
        <v>14037</v>
      </c>
      <c r="C2349" s="7">
        <v>2112</v>
      </c>
      <c r="D2349" s="8" t="s">
        <v>14038</v>
      </c>
      <c r="E2349" s="8" t="s">
        <v>14039</v>
      </c>
      <c r="F2349" s="8" t="s">
        <v>863</v>
      </c>
      <c r="G2349" s="6" t="s">
        <v>118</v>
      </c>
      <c r="H2349" s="6" t="s">
        <v>34</v>
      </c>
      <c r="I2349" s="8" t="s">
        <v>179</v>
      </c>
      <c r="J2349" s="9">
        <v>1</v>
      </c>
      <c r="K2349" s="9">
        <v>316</v>
      </c>
      <c r="L2349" s="9">
        <v>2026</v>
      </c>
      <c r="M2349" s="8" t="s">
        <v>14040</v>
      </c>
      <c r="N2349" s="8" t="s">
        <v>37</v>
      </c>
      <c r="O2349" s="8" t="s">
        <v>38</v>
      </c>
      <c r="P2349" s="6" t="s">
        <v>182</v>
      </c>
      <c r="Q2349" s="8" t="s">
        <v>65</v>
      </c>
      <c r="R2349" s="10" t="s">
        <v>3051</v>
      </c>
      <c r="S2349" s="11"/>
      <c r="T2349" s="6"/>
      <c r="U2349" s="15" t="str">
        <f>HYPERLINK("https://media.infra-m.ru/2230/2230144/cover/2230144.jpg", "Обложка")</f>
        <v>Обложка</v>
      </c>
      <c r="V2349" s="8" t="s">
        <v>247</v>
      </c>
      <c r="W2349" s="6" t="s">
        <v>528</v>
      </c>
      <c r="X2349" s="6"/>
      <c r="Y2349" s="6"/>
      <c r="Z2349" s="6"/>
      <c r="AA2349" s="6" t="s">
        <v>187</v>
      </c>
      <c r="AB2349" s="8"/>
      <c r="AC2349" s="27">
        <v>9785160215457</v>
      </c>
    </row>
    <row r="2350" spans="1:29" s="4" customFormat="1" ht="51.9" customHeight="1" x14ac:dyDescent="0.2">
      <c r="A2350" s="5">
        <v>0</v>
      </c>
      <c r="B2350" s="6" t="s">
        <v>14041</v>
      </c>
      <c r="C2350" s="7">
        <v>2064</v>
      </c>
      <c r="D2350" s="8" t="s">
        <v>14042</v>
      </c>
      <c r="E2350" s="8" t="s">
        <v>14039</v>
      </c>
      <c r="F2350" s="8" t="s">
        <v>870</v>
      </c>
      <c r="G2350" s="6" t="s">
        <v>118</v>
      </c>
      <c r="H2350" s="6" t="s">
        <v>48</v>
      </c>
      <c r="I2350" s="8" t="s">
        <v>253</v>
      </c>
      <c r="J2350" s="9">
        <v>1</v>
      </c>
      <c r="K2350" s="9">
        <v>320</v>
      </c>
      <c r="L2350" s="9">
        <v>2025</v>
      </c>
      <c r="M2350" s="8" t="s">
        <v>14043</v>
      </c>
      <c r="N2350" s="8" t="s">
        <v>37</v>
      </c>
      <c r="O2350" s="8" t="s">
        <v>38</v>
      </c>
      <c r="P2350" s="6" t="s">
        <v>51</v>
      </c>
      <c r="Q2350" s="8" t="s">
        <v>52</v>
      </c>
      <c r="R2350" s="10" t="s">
        <v>2711</v>
      </c>
      <c r="S2350" s="11" t="s">
        <v>14044</v>
      </c>
      <c r="T2350" s="6"/>
      <c r="U2350" s="15" t="str">
        <f>HYPERLINK("https://media.infra-m.ru/2202/2202590/cover/2202590.jpg", "Обложка")</f>
        <v>Обложка</v>
      </c>
      <c r="V2350" s="8" t="s">
        <v>247</v>
      </c>
      <c r="W2350" s="6"/>
      <c r="X2350" s="6"/>
      <c r="Y2350" s="6"/>
      <c r="Z2350" s="6"/>
      <c r="AA2350" s="6" t="s">
        <v>129</v>
      </c>
      <c r="AB2350" s="8"/>
      <c r="AC2350" s="27">
        <v>9785000917602</v>
      </c>
    </row>
    <row r="2351" spans="1:29" s="4" customFormat="1" ht="51.9" customHeight="1" x14ac:dyDescent="0.2">
      <c r="A2351" s="5">
        <v>0</v>
      </c>
      <c r="B2351" s="6" t="s">
        <v>14045</v>
      </c>
      <c r="C2351" s="7">
        <v>1924.8</v>
      </c>
      <c r="D2351" s="8" t="s">
        <v>14046</v>
      </c>
      <c r="E2351" s="8" t="s">
        <v>14039</v>
      </c>
      <c r="F2351" s="8" t="s">
        <v>863</v>
      </c>
      <c r="G2351" s="6" t="s">
        <v>60</v>
      </c>
      <c r="H2351" s="6" t="s">
        <v>48</v>
      </c>
      <c r="I2351" s="8" t="s">
        <v>263</v>
      </c>
      <c r="J2351" s="9">
        <v>1</v>
      </c>
      <c r="K2351" s="9">
        <v>320</v>
      </c>
      <c r="L2351" s="9">
        <v>2025</v>
      </c>
      <c r="M2351" s="8" t="s">
        <v>14047</v>
      </c>
      <c r="N2351" s="8" t="s">
        <v>37</v>
      </c>
      <c r="O2351" s="8" t="s">
        <v>38</v>
      </c>
      <c r="P2351" s="6" t="s">
        <v>51</v>
      </c>
      <c r="Q2351" s="8" t="s">
        <v>265</v>
      </c>
      <c r="R2351" s="10" t="s">
        <v>4160</v>
      </c>
      <c r="S2351" s="11" t="s">
        <v>14048</v>
      </c>
      <c r="T2351" s="6"/>
      <c r="U2351" s="15" t="str">
        <f>HYPERLINK("https://media.infra-m.ru/2179/2179293/cover/2179293.jpg", "Обложка")</f>
        <v>Обложка</v>
      </c>
      <c r="V2351" s="8" t="s">
        <v>247</v>
      </c>
      <c r="W2351" s="6"/>
      <c r="X2351" s="6"/>
      <c r="Y2351" s="6"/>
      <c r="Z2351" s="6" t="s">
        <v>267</v>
      </c>
      <c r="AA2351" s="6" t="s">
        <v>1256</v>
      </c>
      <c r="AB2351" s="8"/>
      <c r="AC2351" s="27">
        <v>9785000915486</v>
      </c>
    </row>
    <row r="2352" spans="1:29" s="4" customFormat="1" ht="51.9" customHeight="1" x14ac:dyDescent="0.2">
      <c r="A2352" s="5">
        <v>0</v>
      </c>
      <c r="B2352" s="6" t="s">
        <v>14049</v>
      </c>
      <c r="C2352" s="7">
        <v>2700</v>
      </c>
      <c r="D2352" s="8" t="s">
        <v>14050</v>
      </c>
      <c r="E2352" s="8" t="s">
        <v>14051</v>
      </c>
      <c r="F2352" s="8" t="s">
        <v>14052</v>
      </c>
      <c r="G2352" s="6" t="s">
        <v>60</v>
      </c>
      <c r="H2352" s="6" t="s">
        <v>34</v>
      </c>
      <c r="I2352" s="8" t="s">
        <v>263</v>
      </c>
      <c r="J2352" s="9">
        <v>1</v>
      </c>
      <c r="K2352" s="9">
        <v>432</v>
      </c>
      <c r="L2352" s="9">
        <v>2026</v>
      </c>
      <c r="M2352" s="8" t="s">
        <v>14053</v>
      </c>
      <c r="N2352" s="8" t="s">
        <v>37</v>
      </c>
      <c r="O2352" s="8" t="s">
        <v>50</v>
      </c>
      <c r="P2352" s="6" t="s">
        <v>51</v>
      </c>
      <c r="Q2352" s="8" t="s">
        <v>265</v>
      </c>
      <c r="R2352" s="10" t="s">
        <v>14054</v>
      </c>
      <c r="S2352" s="11" t="s">
        <v>14055</v>
      </c>
      <c r="T2352" s="6"/>
      <c r="U2352" s="15" t="str">
        <f>HYPERLINK("https://media.infra-m.ru/2217/2217048/cover/2217048.jpg", "Обложка")</f>
        <v>Обложка</v>
      </c>
      <c r="V2352" s="8" t="s">
        <v>2616</v>
      </c>
      <c r="W2352" s="6"/>
      <c r="X2352" s="6" t="s">
        <v>24</v>
      </c>
      <c r="Y2352" s="6"/>
      <c r="Z2352" s="6" t="s">
        <v>267</v>
      </c>
      <c r="AA2352" s="6" t="s">
        <v>11574</v>
      </c>
      <c r="AB2352" s="8"/>
      <c r="AC2352" s="27">
        <v>9785160139487</v>
      </c>
    </row>
    <row r="2353" spans="1:29" s="4" customFormat="1" ht="42" customHeight="1" x14ac:dyDescent="0.2">
      <c r="A2353" s="5">
        <v>0</v>
      </c>
      <c r="B2353" s="6" t="s">
        <v>14056</v>
      </c>
      <c r="C2353" s="7">
        <v>3600</v>
      </c>
      <c r="D2353" s="8" t="s">
        <v>14057</v>
      </c>
      <c r="E2353" s="8" t="s">
        <v>14058</v>
      </c>
      <c r="F2353" s="8" t="s">
        <v>14059</v>
      </c>
      <c r="G2353" s="6" t="s">
        <v>60</v>
      </c>
      <c r="H2353" s="6" t="s">
        <v>34</v>
      </c>
      <c r="I2353" s="8" t="s">
        <v>179</v>
      </c>
      <c r="J2353" s="9">
        <v>1</v>
      </c>
      <c r="K2353" s="9">
        <v>542</v>
      </c>
      <c r="L2353" s="9">
        <v>2026</v>
      </c>
      <c r="M2353" s="8" t="s">
        <v>14060</v>
      </c>
      <c r="N2353" s="8" t="s">
        <v>63</v>
      </c>
      <c r="O2353" s="8" t="s">
        <v>64</v>
      </c>
      <c r="P2353" s="6" t="s">
        <v>182</v>
      </c>
      <c r="Q2353" s="8" t="s">
        <v>65</v>
      </c>
      <c r="R2353" s="10" t="s">
        <v>10991</v>
      </c>
      <c r="S2353" s="11"/>
      <c r="T2353" s="6"/>
      <c r="U2353" s="15" t="str">
        <f>HYPERLINK("https://media.infra-m.ru/2230/2230141/cover/2230141.jpg", "Обложка")</f>
        <v>Обложка</v>
      </c>
      <c r="V2353" s="8" t="s">
        <v>3693</v>
      </c>
      <c r="W2353" s="6" t="s">
        <v>528</v>
      </c>
      <c r="X2353" s="6"/>
      <c r="Y2353" s="6"/>
      <c r="Z2353" s="6"/>
      <c r="AA2353" s="6" t="s">
        <v>187</v>
      </c>
      <c r="AB2353" s="8"/>
      <c r="AC2353" s="27">
        <v>9785160215402</v>
      </c>
    </row>
    <row r="2354" spans="1:29" s="4" customFormat="1" ht="51.9" customHeight="1" x14ac:dyDescent="0.2">
      <c r="A2354" s="5">
        <v>0</v>
      </c>
      <c r="B2354" s="6" t="s">
        <v>14061</v>
      </c>
      <c r="C2354" s="7">
        <v>3592.8</v>
      </c>
      <c r="D2354" s="8" t="s">
        <v>14062</v>
      </c>
      <c r="E2354" s="8" t="s">
        <v>14058</v>
      </c>
      <c r="F2354" s="8" t="s">
        <v>14059</v>
      </c>
      <c r="G2354" s="6" t="s">
        <v>60</v>
      </c>
      <c r="H2354" s="6" t="s">
        <v>34</v>
      </c>
      <c r="I2354" s="8" t="s">
        <v>253</v>
      </c>
      <c r="J2354" s="9">
        <v>1</v>
      </c>
      <c r="K2354" s="9">
        <v>544</v>
      </c>
      <c r="L2354" s="9">
        <v>2026</v>
      </c>
      <c r="M2354" s="8" t="s">
        <v>14063</v>
      </c>
      <c r="N2354" s="8" t="s">
        <v>63</v>
      </c>
      <c r="O2354" s="8" t="s">
        <v>64</v>
      </c>
      <c r="P2354" s="6" t="s">
        <v>306</v>
      </c>
      <c r="Q2354" s="8" t="s">
        <v>65</v>
      </c>
      <c r="R2354" s="10" t="s">
        <v>14064</v>
      </c>
      <c r="S2354" s="11"/>
      <c r="T2354" s="6" t="s">
        <v>97</v>
      </c>
      <c r="U2354" s="15" t="str">
        <f>HYPERLINK("https://media.infra-m.ru/2219/2219012/cover/2219012.jpg", "Обложка")</f>
        <v>Обложка</v>
      </c>
      <c r="V2354" s="8" t="s">
        <v>3693</v>
      </c>
      <c r="W2354" s="6"/>
      <c r="X2354" s="6"/>
      <c r="Y2354" s="6"/>
      <c r="Z2354" s="6"/>
      <c r="AA2354" s="6" t="s">
        <v>76</v>
      </c>
      <c r="AB2354" s="8" t="s">
        <v>7677</v>
      </c>
      <c r="AC2354" s="27">
        <v>9785160190617</v>
      </c>
    </row>
    <row r="2355" spans="1:29" s="4" customFormat="1" ht="42" customHeight="1" x14ac:dyDescent="0.2">
      <c r="A2355" s="5">
        <v>0</v>
      </c>
      <c r="B2355" s="6" t="s">
        <v>14065</v>
      </c>
      <c r="C2355" s="7">
        <v>2748</v>
      </c>
      <c r="D2355" s="8" t="s">
        <v>14066</v>
      </c>
      <c r="E2355" s="8" t="s">
        <v>14067</v>
      </c>
      <c r="F2355" s="8" t="s">
        <v>14068</v>
      </c>
      <c r="G2355" s="6" t="s">
        <v>60</v>
      </c>
      <c r="H2355" s="6" t="s">
        <v>34</v>
      </c>
      <c r="I2355" s="8" t="s">
        <v>253</v>
      </c>
      <c r="J2355" s="9">
        <v>1</v>
      </c>
      <c r="K2355" s="9">
        <v>410</v>
      </c>
      <c r="L2355" s="9">
        <v>2026</v>
      </c>
      <c r="M2355" s="8" t="s">
        <v>14069</v>
      </c>
      <c r="N2355" s="8" t="s">
        <v>63</v>
      </c>
      <c r="O2355" s="8" t="s">
        <v>64</v>
      </c>
      <c r="P2355" s="6" t="s">
        <v>306</v>
      </c>
      <c r="Q2355" s="8" t="s">
        <v>52</v>
      </c>
      <c r="R2355" s="10" t="s">
        <v>14070</v>
      </c>
      <c r="S2355" s="11"/>
      <c r="T2355" s="6"/>
      <c r="U2355" s="15" t="str">
        <f>HYPERLINK("https://media.infra-m.ru/2232/2232543/cover/2232543.jpg", "Обложка")</f>
        <v>Обложка</v>
      </c>
      <c r="V2355" s="8" t="s">
        <v>546</v>
      </c>
      <c r="W2355" s="6"/>
      <c r="X2355" s="6"/>
      <c r="Y2355" s="6"/>
      <c r="Z2355" s="6"/>
      <c r="AA2355" s="6" t="s">
        <v>76</v>
      </c>
      <c r="AB2355" s="8"/>
      <c r="AC2355" s="27">
        <v>9785160180458</v>
      </c>
    </row>
    <row r="2356" spans="1:29" s="4" customFormat="1" ht="51.9" customHeight="1" x14ac:dyDescent="0.2">
      <c r="A2356" s="5">
        <v>0</v>
      </c>
      <c r="B2356" s="6" t="s">
        <v>14071</v>
      </c>
      <c r="C2356" s="7">
        <v>1984.8</v>
      </c>
      <c r="D2356" s="8" t="s">
        <v>14072</v>
      </c>
      <c r="E2356" s="8" t="s">
        <v>14073</v>
      </c>
      <c r="F2356" s="8" t="s">
        <v>14074</v>
      </c>
      <c r="G2356" s="6" t="s">
        <v>118</v>
      </c>
      <c r="H2356" s="6" t="s">
        <v>34</v>
      </c>
      <c r="I2356" s="8" t="s">
        <v>253</v>
      </c>
      <c r="J2356" s="9">
        <v>1</v>
      </c>
      <c r="K2356" s="9">
        <v>300</v>
      </c>
      <c r="L2356" s="9">
        <v>2026</v>
      </c>
      <c r="M2356" s="8" t="s">
        <v>14075</v>
      </c>
      <c r="N2356" s="8" t="s">
        <v>63</v>
      </c>
      <c r="O2356" s="8" t="s">
        <v>64</v>
      </c>
      <c r="P2356" s="6" t="s">
        <v>306</v>
      </c>
      <c r="Q2356" s="8" t="s">
        <v>65</v>
      </c>
      <c r="R2356" s="10" t="s">
        <v>14076</v>
      </c>
      <c r="S2356" s="11" t="s">
        <v>14077</v>
      </c>
      <c r="T2356" s="6"/>
      <c r="U2356" s="15" t="str">
        <f>HYPERLINK("https://media.infra-m.ru/2227/2227076/cover/2227076.jpg", "Обложка")</f>
        <v>Обложка</v>
      </c>
      <c r="V2356" s="8" t="s">
        <v>546</v>
      </c>
      <c r="W2356" s="6"/>
      <c r="X2356" s="6"/>
      <c r="Y2356" s="6"/>
      <c r="Z2356" s="6"/>
      <c r="AA2356" s="6" t="s">
        <v>430</v>
      </c>
      <c r="AB2356" s="8"/>
      <c r="AC2356" s="27">
        <v>9785160158051</v>
      </c>
    </row>
    <row r="2357" spans="1:29" s="4" customFormat="1" ht="51.9" customHeight="1" x14ac:dyDescent="0.2">
      <c r="A2357" s="5">
        <v>0</v>
      </c>
      <c r="B2357" s="6" t="s">
        <v>14078</v>
      </c>
      <c r="C2357" s="7">
        <v>3384</v>
      </c>
      <c r="D2357" s="8" t="s">
        <v>14079</v>
      </c>
      <c r="E2357" s="8" t="s">
        <v>14080</v>
      </c>
      <c r="F2357" s="8" t="s">
        <v>14081</v>
      </c>
      <c r="G2357" s="6" t="s">
        <v>60</v>
      </c>
      <c r="H2357" s="6" t="s">
        <v>34</v>
      </c>
      <c r="I2357" s="8" t="s">
        <v>179</v>
      </c>
      <c r="J2357" s="9">
        <v>1</v>
      </c>
      <c r="K2357" s="9">
        <v>512</v>
      </c>
      <c r="L2357" s="9">
        <v>2026</v>
      </c>
      <c r="M2357" s="8" t="s">
        <v>14082</v>
      </c>
      <c r="N2357" s="8" t="s">
        <v>37</v>
      </c>
      <c r="O2357" s="8" t="s">
        <v>50</v>
      </c>
      <c r="P2357" s="6" t="s">
        <v>182</v>
      </c>
      <c r="Q2357" s="8" t="s">
        <v>65</v>
      </c>
      <c r="R2357" s="10" t="s">
        <v>14083</v>
      </c>
      <c r="S2357" s="11"/>
      <c r="T2357" s="6"/>
      <c r="U2357" s="15" t="str">
        <f>HYPERLINK("https://media.infra-m.ru/2230/2230145/cover/2230145.jpg", "Обложка")</f>
        <v>Обложка</v>
      </c>
      <c r="V2357" s="8" t="s">
        <v>4389</v>
      </c>
      <c r="W2357" s="6" t="s">
        <v>186</v>
      </c>
      <c r="X2357" s="6"/>
      <c r="Y2357" s="6"/>
      <c r="Z2357" s="6"/>
      <c r="AA2357" s="6" t="s">
        <v>650</v>
      </c>
      <c r="AB2357" s="8"/>
      <c r="AC2357" s="27">
        <v>9785160215464</v>
      </c>
    </row>
    <row r="2358" spans="1:29" s="4" customFormat="1" ht="51.9" customHeight="1" x14ac:dyDescent="0.2">
      <c r="A2358" s="5">
        <v>0</v>
      </c>
      <c r="B2358" s="6" t="s">
        <v>14084</v>
      </c>
      <c r="C2358" s="7">
        <v>3376.8</v>
      </c>
      <c r="D2358" s="8" t="s">
        <v>14085</v>
      </c>
      <c r="E2358" s="8" t="s">
        <v>14080</v>
      </c>
      <c r="F2358" s="8" t="s">
        <v>14081</v>
      </c>
      <c r="G2358" s="6" t="s">
        <v>60</v>
      </c>
      <c r="H2358" s="6" t="s">
        <v>48</v>
      </c>
      <c r="I2358" s="8" t="s">
        <v>253</v>
      </c>
      <c r="J2358" s="9">
        <v>1</v>
      </c>
      <c r="K2358" s="9">
        <v>512</v>
      </c>
      <c r="L2358" s="9">
        <v>2026</v>
      </c>
      <c r="M2358" s="8" t="s">
        <v>14086</v>
      </c>
      <c r="N2358" s="8" t="s">
        <v>37</v>
      </c>
      <c r="O2358" s="8" t="s">
        <v>50</v>
      </c>
      <c r="P2358" s="6" t="s">
        <v>51</v>
      </c>
      <c r="Q2358" s="8" t="s">
        <v>52</v>
      </c>
      <c r="R2358" s="10" t="s">
        <v>14087</v>
      </c>
      <c r="S2358" s="11" t="s">
        <v>14088</v>
      </c>
      <c r="T2358" s="6"/>
      <c r="U2358" s="15" t="str">
        <f>HYPERLINK("https://media.infra-m.ru/2249/2249342/cover/2249342.jpg", "Обложка")</f>
        <v>Обложка</v>
      </c>
      <c r="V2358" s="8" t="s">
        <v>4389</v>
      </c>
      <c r="W2358" s="6"/>
      <c r="X2358" s="6"/>
      <c r="Y2358" s="6"/>
      <c r="Z2358" s="6"/>
      <c r="AA2358" s="6" t="s">
        <v>874</v>
      </c>
      <c r="AB2358" s="8"/>
      <c r="AC2358" s="27">
        <v>9785000918098</v>
      </c>
    </row>
    <row r="2359" spans="1:29" s="4" customFormat="1" ht="51.9" customHeight="1" x14ac:dyDescent="0.2">
      <c r="A2359" s="5">
        <v>0</v>
      </c>
      <c r="B2359" s="6" t="s">
        <v>14089</v>
      </c>
      <c r="C2359" s="7">
        <v>2400</v>
      </c>
      <c r="D2359" s="8" t="s">
        <v>14090</v>
      </c>
      <c r="E2359" s="8" t="s">
        <v>14091</v>
      </c>
      <c r="F2359" s="8" t="s">
        <v>14092</v>
      </c>
      <c r="G2359" s="6" t="s">
        <v>60</v>
      </c>
      <c r="H2359" s="6" t="s">
        <v>34</v>
      </c>
      <c r="I2359" s="8" t="s">
        <v>179</v>
      </c>
      <c r="J2359" s="9">
        <v>1</v>
      </c>
      <c r="K2359" s="9">
        <v>362</v>
      </c>
      <c r="L2359" s="9">
        <v>2026</v>
      </c>
      <c r="M2359" s="8" t="s">
        <v>14093</v>
      </c>
      <c r="N2359" s="8" t="s">
        <v>63</v>
      </c>
      <c r="O2359" s="8" t="s">
        <v>64</v>
      </c>
      <c r="P2359" s="6" t="s">
        <v>182</v>
      </c>
      <c r="Q2359" s="8" t="s">
        <v>40</v>
      </c>
      <c r="R2359" s="10" t="s">
        <v>14094</v>
      </c>
      <c r="S2359" s="11"/>
      <c r="T2359" s="6"/>
      <c r="U2359" s="15" t="str">
        <f>HYPERLINK("https://media.infra-m.ru/2230/2230142/cover/2230142.jpg", "Обложка")</f>
        <v>Обложка</v>
      </c>
      <c r="V2359" s="8" t="s">
        <v>11135</v>
      </c>
      <c r="W2359" s="6" t="s">
        <v>186</v>
      </c>
      <c r="X2359" s="6"/>
      <c r="Y2359" s="6"/>
      <c r="Z2359" s="6"/>
      <c r="AA2359" s="6" t="s">
        <v>187</v>
      </c>
      <c r="AB2359" s="8" t="s">
        <v>14095</v>
      </c>
      <c r="AC2359" s="27">
        <v>9785160215426</v>
      </c>
    </row>
    <row r="2360" spans="1:29" s="4" customFormat="1" ht="42" customHeight="1" x14ac:dyDescent="0.2">
      <c r="A2360" s="5">
        <v>0</v>
      </c>
      <c r="B2360" s="6" t="s">
        <v>14096</v>
      </c>
      <c r="C2360" s="7">
        <v>2388</v>
      </c>
      <c r="D2360" s="8" t="s">
        <v>14097</v>
      </c>
      <c r="E2360" s="8" t="s">
        <v>14098</v>
      </c>
      <c r="F2360" s="8" t="s">
        <v>14092</v>
      </c>
      <c r="G2360" s="6" t="s">
        <v>118</v>
      </c>
      <c r="H2360" s="6" t="s">
        <v>34</v>
      </c>
      <c r="I2360" s="8" t="s">
        <v>35</v>
      </c>
      <c r="J2360" s="9">
        <v>1</v>
      </c>
      <c r="K2360" s="9">
        <v>362</v>
      </c>
      <c r="L2360" s="9">
        <v>2026</v>
      </c>
      <c r="M2360" s="8" t="s">
        <v>14099</v>
      </c>
      <c r="N2360" s="8" t="s">
        <v>63</v>
      </c>
      <c r="O2360" s="8" t="s">
        <v>64</v>
      </c>
      <c r="P2360" s="6" t="s">
        <v>39</v>
      </c>
      <c r="Q2360" s="8" t="s">
        <v>40</v>
      </c>
      <c r="R2360" s="10" t="s">
        <v>14094</v>
      </c>
      <c r="S2360" s="11"/>
      <c r="T2360" s="6"/>
      <c r="U2360" s="15" t="str">
        <f>HYPERLINK("https://media.infra-m.ru/2253/2253766/cover/2253766.jpg", "Обложка")</f>
        <v>Обложка</v>
      </c>
      <c r="V2360" s="8" t="s">
        <v>11135</v>
      </c>
      <c r="W2360" s="6"/>
      <c r="X2360" s="6"/>
      <c r="Y2360" s="6"/>
      <c r="Z2360" s="6"/>
      <c r="AA2360" s="6" t="s">
        <v>68</v>
      </c>
      <c r="AB2360" s="8"/>
      <c r="AC2360" s="27">
        <v>9785160188782</v>
      </c>
    </row>
    <row r="2361" spans="1:29" s="4" customFormat="1" ht="51.9" customHeight="1" x14ac:dyDescent="0.2">
      <c r="A2361" s="5">
        <v>0</v>
      </c>
      <c r="B2361" s="6" t="s">
        <v>14100</v>
      </c>
      <c r="C2361" s="7">
        <v>2860.8</v>
      </c>
      <c r="D2361" s="8" t="s">
        <v>14101</v>
      </c>
      <c r="E2361" s="8" t="s">
        <v>14051</v>
      </c>
      <c r="F2361" s="8" t="s">
        <v>14102</v>
      </c>
      <c r="G2361" s="6" t="s">
        <v>60</v>
      </c>
      <c r="H2361" s="6" t="s">
        <v>34</v>
      </c>
      <c r="I2361" s="8" t="s">
        <v>271</v>
      </c>
      <c r="J2361" s="9">
        <v>1</v>
      </c>
      <c r="K2361" s="9">
        <v>432</v>
      </c>
      <c r="L2361" s="9">
        <v>2026</v>
      </c>
      <c r="M2361" s="8" t="s">
        <v>14103</v>
      </c>
      <c r="N2361" s="8" t="s">
        <v>37</v>
      </c>
      <c r="O2361" s="8" t="s">
        <v>50</v>
      </c>
      <c r="P2361" s="6" t="s">
        <v>51</v>
      </c>
      <c r="Q2361" s="8" t="s">
        <v>52</v>
      </c>
      <c r="R2361" s="10" t="s">
        <v>14104</v>
      </c>
      <c r="S2361" s="11" t="s">
        <v>14105</v>
      </c>
      <c r="T2361" s="6"/>
      <c r="U2361" s="15" t="str">
        <f>HYPERLINK("https://media.infra-m.ru/2236/2236177/cover/2236177.jpg", "Обложка")</f>
        <v>Обложка</v>
      </c>
      <c r="V2361" s="8" t="s">
        <v>2616</v>
      </c>
      <c r="W2361" s="6"/>
      <c r="X2361" s="6"/>
      <c r="Y2361" s="6"/>
      <c r="Z2361" s="6"/>
      <c r="AA2361" s="6" t="s">
        <v>14106</v>
      </c>
      <c r="AB2361" s="8"/>
      <c r="AC2361" s="27">
        <v>9785160060606</v>
      </c>
    </row>
    <row r="2362" spans="1:29" s="4" customFormat="1" ht="51.9" customHeight="1" x14ac:dyDescent="0.2">
      <c r="A2362" s="5">
        <v>0</v>
      </c>
      <c r="B2362" s="6" t="s">
        <v>14107</v>
      </c>
      <c r="C2362" s="7">
        <v>2088</v>
      </c>
      <c r="D2362" s="8" t="s">
        <v>14108</v>
      </c>
      <c r="E2362" s="8" t="s">
        <v>14109</v>
      </c>
      <c r="F2362" s="8" t="s">
        <v>14110</v>
      </c>
      <c r="G2362" s="6" t="s">
        <v>118</v>
      </c>
      <c r="H2362" s="6" t="s">
        <v>34</v>
      </c>
      <c r="I2362" s="8" t="s">
        <v>253</v>
      </c>
      <c r="J2362" s="9">
        <v>1</v>
      </c>
      <c r="K2362" s="9">
        <v>316</v>
      </c>
      <c r="L2362" s="9">
        <v>2026</v>
      </c>
      <c r="M2362" s="8" t="s">
        <v>14111</v>
      </c>
      <c r="N2362" s="8" t="s">
        <v>37</v>
      </c>
      <c r="O2362" s="8" t="s">
        <v>50</v>
      </c>
      <c r="P2362" s="6" t="s">
        <v>51</v>
      </c>
      <c r="Q2362" s="8" t="s">
        <v>52</v>
      </c>
      <c r="R2362" s="10" t="s">
        <v>14112</v>
      </c>
      <c r="S2362" s="11" t="s">
        <v>14113</v>
      </c>
      <c r="T2362" s="6" t="s">
        <v>97</v>
      </c>
      <c r="U2362" s="15" t="str">
        <f>HYPERLINK("https://media.infra-m.ru/2250/2250946/cover/2250946.jpg", "Обложка")</f>
        <v>Обложка</v>
      </c>
      <c r="V2362" s="8" t="s">
        <v>4389</v>
      </c>
      <c r="W2362" s="6"/>
      <c r="X2362" s="6"/>
      <c r="Y2362" s="6"/>
      <c r="Z2362" s="6"/>
      <c r="AA2362" s="6" t="s">
        <v>779</v>
      </c>
      <c r="AB2362" s="8"/>
      <c r="AC2362" s="27">
        <v>9785160205878</v>
      </c>
    </row>
    <row r="2363" spans="1:29" s="4" customFormat="1" ht="51.9" customHeight="1" x14ac:dyDescent="0.2">
      <c r="A2363" s="5">
        <v>0</v>
      </c>
      <c r="B2363" s="6" t="s">
        <v>14114</v>
      </c>
      <c r="C2363" s="7">
        <v>3600</v>
      </c>
      <c r="D2363" s="8" t="s">
        <v>14115</v>
      </c>
      <c r="E2363" s="8" t="s">
        <v>14116</v>
      </c>
      <c r="F2363" s="8" t="s">
        <v>14117</v>
      </c>
      <c r="G2363" s="6" t="s">
        <v>60</v>
      </c>
      <c r="H2363" s="6" t="s">
        <v>34</v>
      </c>
      <c r="I2363" s="8" t="s">
        <v>179</v>
      </c>
      <c r="J2363" s="9">
        <v>1</v>
      </c>
      <c r="K2363" s="9">
        <v>517</v>
      </c>
      <c r="L2363" s="9">
        <v>2026</v>
      </c>
      <c r="M2363" s="8" t="s">
        <v>14118</v>
      </c>
      <c r="N2363" s="8" t="s">
        <v>63</v>
      </c>
      <c r="O2363" s="8" t="s">
        <v>64</v>
      </c>
      <c r="P2363" s="6" t="s">
        <v>182</v>
      </c>
      <c r="Q2363" s="8" t="s">
        <v>65</v>
      </c>
      <c r="R2363" s="10" t="s">
        <v>14119</v>
      </c>
      <c r="S2363" s="11" t="s">
        <v>14120</v>
      </c>
      <c r="T2363" s="6" t="s">
        <v>97</v>
      </c>
      <c r="U2363" s="15" t="str">
        <f>HYPERLINK("https://media.infra-m.ru/2230/2230143/cover/2230143.jpg", "Обложка")</f>
        <v>Обложка</v>
      </c>
      <c r="V2363" s="8" t="s">
        <v>54</v>
      </c>
      <c r="W2363" s="6" t="s">
        <v>186</v>
      </c>
      <c r="X2363" s="6"/>
      <c r="Y2363" s="6"/>
      <c r="Z2363" s="6"/>
      <c r="AA2363" s="6" t="s">
        <v>3772</v>
      </c>
      <c r="AB2363" s="8"/>
      <c r="AC2363" s="27">
        <v>9785160215433</v>
      </c>
    </row>
    <row r="2364" spans="1:29" s="4" customFormat="1" ht="42" customHeight="1" x14ac:dyDescent="0.2">
      <c r="A2364" s="5">
        <v>0</v>
      </c>
      <c r="B2364" s="6" t="s">
        <v>14121</v>
      </c>
      <c r="C2364" s="7">
        <v>2201.9</v>
      </c>
      <c r="D2364" s="8" t="s">
        <v>14122</v>
      </c>
      <c r="E2364" s="8" t="s">
        <v>14058</v>
      </c>
      <c r="F2364" s="8" t="s">
        <v>14123</v>
      </c>
      <c r="G2364" s="6" t="s">
        <v>60</v>
      </c>
      <c r="H2364" s="6" t="s">
        <v>34</v>
      </c>
      <c r="I2364" s="8" t="s">
        <v>271</v>
      </c>
      <c r="J2364" s="9">
        <v>1</v>
      </c>
      <c r="K2364" s="9">
        <v>540</v>
      </c>
      <c r="L2364" s="9">
        <v>2021</v>
      </c>
      <c r="M2364" s="8" t="s">
        <v>14124</v>
      </c>
      <c r="N2364" s="8" t="s">
        <v>63</v>
      </c>
      <c r="O2364" s="8" t="s">
        <v>64</v>
      </c>
      <c r="P2364" s="6" t="s">
        <v>306</v>
      </c>
      <c r="Q2364" s="8" t="s">
        <v>52</v>
      </c>
      <c r="R2364" s="10" t="s">
        <v>2558</v>
      </c>
      <c r="S2364" s="11"/>
      <c r="T2364" s="6" t="s">
        <v>97</v>
      </c>
      <c r="U2364" s="15" t="str">
        <f>HYPERLINK("https://media.infra-m.ru/1132/1132142/cover/1132142.jpg", "Обложка")</f>
        <v>Обложка</v>
      </c>
      <c r="V2364" s="8" t="s">
        <v>54</v>
      </c>
      <c r="W2364" s="6"/>
      <c r="X2364" s="6"/>
      <c r="Y2364" s="6"/>
      <c r="Z2364" s="6"/>
      <c r="AA2364" s="6" t="s">
        <v>55</v>
      </c>
      <c r="AB2364" s="8"/>
      <c r="AC2364" s="27">
        <v>9785160056357</v>
      </c>
    </row>
    <row r="2365" spans="1:29" s="4" customFormat="1" ht="51.9" customHeight="1" x14ac:dyDescent="0.2">
      <c r="A2365" s="5">
        <v>0</v>
      </c>
      <c r="B2365" s="6" t="s">
        <v>14125</v>
      </c>
      <c r="C2365" s="7">
        <v>2489.9</v>
      </c>
      <c r="D2365" s="8" t="s">
        <v>14126</v>
      </c>
      <c r="E2365" s="8" t="s">
        <v>14127</v>
      </c>
      <c r="F2365" s="8" t="s">
        <v>14117</v>
      </c>
      <c r="G2365" s="6" t="s">
        <v>118</v>
      </c>
      <c r="H2365" s="6" t="s">
        <v>34</v>
      </c>
      <c r="I2365" s="8" t="s">
        <v>271</v>
      </c>
      <c r="J2365" s="9">
        <v>1</v>
      </c>
      <c r="K2365" s="9">
        <v>547</v>
      </c>
      <c r="L2365" s="9">
        <v>2022</v>
      </c>
      <c r="M2365" s="8" t="s">
        <v>14128</v>
      </c>
      <c r="N2365" s="8" t="s">
        <v>63</v>
      </c>
      <c r="O2365" s="8" t="s">
        <v>64</v>
      </c>
      <c r="P2365" s="6" t="s">
        <v>306</v>
      </c>
      <c r="Q2365" s="8" t="s">
        <v>52</v>
      </c>
      <c r="R2365" s="10" t="s">
        <v>2558</v>
      </c>
      <c r="S2365" s="11" t="s">
        <v>14129</v>
      </c>
      <c r="T2365" s="6" t="s">
        <v>97</v>
      </c>
      <c r="U2365" s="15" t="str">
        <f>HYPERLINK("https://media.infra-m.ru/1789/1789409/cover/1789409.jpg", "Обложка")</f>
        <v>Обложка</v>
      </c>
      <c r="V2365" s="8" t="s">
        <v>54</v>
      </c>
      <c r="W2365" s="6"/>
      <c r="X2365" s="6"/>
      <c r="Y2365" s="6"/>
      <c r="Z2365" s="6"/>
      <c r="AA2365" s="6" t="s">
        <v>258</v>
      </c>
      <c r="AB2365" s="8"/>
      <c r="AC2365" s="27">
        <v>9785160164083</v>
      </c>
    </row>
    <row r="2366" spans="1:29" s="4" customFormat="1" ht="51.9" customHeight="1" x14ac:dyDescent="0.2">
      <c r="A2366" s="5">
        <v>0</v>
      </c>
      <c r="B2366" s="6" t="s">
        <v>14130</v>
      </c>
      <c r="C2366" s="7">
        <v>3612</v>
      </c>
      <c r="D2366" s="8" t="s">
        <v>14131</v>
      </c>
      <c r="E2366" s="8" t="s">
        <v>14116</v>
      </c>
      <c r="F2366" s="8" t="s">
        <v>14117</v>
      </c>
      <c r="G2366" s="6" t="s">
        <v>60</v>
      </c>
      <c r="H2366" s="6" t="s">
        <v>34</v>
      </c>
      <c r="I2366" s="8" t="s">
        <v>253</v>
      </c>
      <c r="J2366" s="9">
        <v>1</v>
      </c>
      <c r="K2366" s="9">
        <v>547</v>
      </c>
      <c r="L2366" s="9">
        <v>2026</v>
      </c>
      <c r="M2366" s="8" t="s">
        <v>14132</v>
      </c>
      <c r="N2366" s="8" t="s">
        <v>63</v>
      </c>
      <c r="O2366" s="8" t="s">
        <v>64</v>
      </c>
      <c r="P2366" s="6" t="s">
        <v>306</v>
      </c>
      <c r="Q2366" s="8" t="s">
        <v>65</v>
      </c>
      <c r="R2366" s="10" t="s">
        <v>2558</v>
      </c>
      <c r="S2366" s="11" t="s">
        <v>14120</v>
      </c>
      <c r="T2366" s="6" t="s">
        <v>97</v>
      </c>
      <c r="U2366" s="15" t="str">
        <f>HYPERLINK("https://media.infra-m.ru/2256/2256908/cover/2256908.jpg", "Обложка")</f>
        <v>Обложка</v>
      </c>
      <c r="V2366" s="8" t="s">
        <v>54</v>
      </c>
      <c r="W2366" s="6"/>
      <c r="X2366" s="6"/>
      <c r="Y2366" s="6"/>
      <c r="Z2366" s="6"/>
      <c r="AA2366" s="6" t="s">
        <v>4023</v>
      </c>
      <c r="AB2366" s="8"/>
      <c r="AC2366" s="27">
        <v>9785160186399</v>
      </c>
    </row>
    <row r="2367" spans="1:29" s="4" customFormat="1" ht="51.9" customHeight="1" x14ac:dyDescent="0.2">
      <c r="A2367" s="5">
        <v>0</v>
      </c>
      <c r="B2367" s="6" t="s">
        <v>14133</v>
      </c>
      <c r="C2367" s="7">
        <v>3348</v>
      </c>
      <c r="D2367" s="8" t="s">
        <v>14134</v>
      </c>
      <c r="E2367" s="8" t="s">
        <v>14080</v>
      </c>
      <c r="F2367" s="8" t="s">
        <v>14081</v>
      </c>
      <c r="G2367" s="6" t="s">
        <v>60</v>
      </c>
      <c r="H2367" s="6" t="s">
        <v>34</v>
      </c>
      <c r="I2367" s="8" t="s">
        <v>263</v>
      </c>
      <c r="J2367" s="9">
        <v>1</v>
      </c>
      <c r="K2367" s="9">
        <v>512</v>
      </c>
      <c r="L2367" s="9">
        <v>2026</v>
      </c>
      <c r="M2367" s="8" t="s">
        <v>14135</v>
      </c>
      <c r="N2367" s="8" t="s">
        <v>37</v>
      </c>
      <c r="O2367" s="8" t="s">
        <v>50</v>
      </c>
      <c r="P2367" s="6" t="s">
        <v>51</v>
      </c>
      <c r="Q2367" s="8" t="s">
        <v>265</v>
      </c>
      <c r="R2367" s="10" t="s">
        <v>14136</v>
      </c>
      <c r="S2367" s="11" t="s">
        <v>14088</v>
      </c>
      <c r="T2367" s="6"/>
      <c r="U2367" s="15" t="str">
        <f>HYPERLINK("https://media.infra-m.ru/2224/2224051/cover/2224051.jpg", "Обложка")</f>
        <v>Обложка</v>
      </c>
      <c r="V2367" s="8" t="s">
        <v>4389</v>
      </c>
      <c r="W2367" s="6"/>
      <c r="X2367" s="6"/>
      <c r="Y2367" s="6"/>
      <c r="Z2367" s="6" t="s">
        <v>267</v>
      </c>
      <c r="AA2367" s="6" t="s">
        <v>2240</v>
      </c>
      <c r="AB2367" s="8"/>
      <c r="AC2367" s="27">
        <v>9785160214313</v>
      </c>
    </row>
    <row r="2368" spans="1:29" s="4" customFormat="1" ht="51.9" customHeight="1" x14ac:dyDescent="0.2">
      <c r="A2368" s="5">
        <v>0</v>
      </c>
      <c r="B2368" s="6" t="s">
        <v>14137</v>
      </c>
      <c r="C2368" s="7">
        <v>3532.8</v>
      </c>
      <c r="D2368" s="8" t="s">
        <v>14138</v>
      </c>
      <c r="E2368" s="8" t="s">
        <v>14139</v>
      </c>
      <c r="F2368" s="8" t="s">
        <v>14140</v>
      </c>
      <c r="G2368" s="6" t="s">
        <v>60</v>
      </c>
      <c r="H2368" s="6" t="s">
        <v>34</v>
      </c>
      <c r="I2368" s="8" t="s">
        <v>271</v>
      </c>
      <c r="J2368" s="9">
        <v>1</v>
      </c>
      <c r="K2368" s="9">
        <v>640</v>
      </c>
      <c r="L2368" s="9">
        <v>2024</v>
      </c>
      <c r="M2368" s="8" t="s">
        <v>14141</v>
      </c>
      <c r="N2368" s="8" t="s">
        <v>63</v>
      </c>
      <c r="O2368" s="8" t="s">
        <v>126</v>
      </c>
      <c r="P2368" s="6" t="s">
        <v>306</v>
      </c>
      <c r="Q2368" s="8" t="s">
        <v>52</v>
      </c>
      <c r="R2368" s="10" t="s">
        <v>9551</v>
      </c>
      <c r="S2368" s="11" t="s">
        <v>14142</v>
      </c>
      <c r="T2368" s="6"/>
      <c r="U2368" s="15" t="str">
        <f>HYPERLINK("https://media.infra-m.ru/2084/2084542/cover/2084542.jpg", "Обложка")</f>
        <v>Обложка</v>
      </c>
      <c r="V2368" s="8" t="s">
        <v>3087</v>
      </c>
      <c r="W2368" s="6"/>
      <c r="X2368" s="6"/>
      <c r="Y2368" s="6"/>
      <c r="Z2368" s="6"/>
      <c r="AA2368" s="6" t="s">
        <v>3721</v>
      </c>
      <c r="AB2368" s="8"/>
      <c r="AC2368" s="27">
        <v>9785160069234</v>
      </c>
    </row>
    <row r="2369" spans="1:29" s="4" customFormat="1" ht="51.9" customHeight="1" x14ac:dyDescent="0.2">
      <c r="A2369" s="5">
        <v>0</v>
      </c>
      <c r="B2369" s="6" t="s">
        <v>14143</v>
      </c>
      <c r="C2369" s="7">
        <v>1584</v>
      </c>
      <c r="D2369" s="8" t="s">
        <v>14144</v>
      </c>
      <c r="E2369" s="8" t="s">
        <v>14145</v>
      </c>
      <c r="F2369" s="8" t="s">
        <v>14146</v>
      </c>
      <c r="G2369" s="6" t="s">
        <v>33</v>
      </c>
      <c r="H2369" s="6" t="s">
        <v>34</v>
      </c>
      <c r="I2369" s="8" t="s">
        <v>35</v>
      </c>
      <c r="J2369" s="9">
        <v>1</v>
      </c>
      <c r="K2369" s="9">
        <v>263</v>
      </c>
      <c r="L2369" s="9">
        <v>2024</v>
      </c>
      <c r="M2369" s="8" t="s">
        <v>14147</v>
      </c>
      <c r="N2369" s="8" t="s">
        <v>37</v>
      </c>
      <c r="O2369" s="8" t="s">
        <v>233</v>
      </c>
      <c r="P2369" s="6" t="s">
        <v>39</v>
      </c>
      <c r="Q2369" s="8" t="s">
        <v>40</v>
      </c>
      <c r="R2369" s="10" t="s">
        <v>767</v>
      </c>
      <c r="S2369" s="11"/>
      <c r="T2369" s="6"/>
      <c r="U2369" s="15" t="str">
        <f>HYPERLINK("https://media.infra-m.ru/2156/2156914/cover/2156914.jpg", "Обложка")</f>
        <v>Обложка</v>
      </c>
      <c r="V2369" s="8" t="s">
        <v>5244</v>
      </c>
      <c r="W2369" s="6"/>
      <c r="X2369" s="6"/>
      <c r="Y2369" s="6"/>
      <c r="Z2369" s="6"/>
      <c r="AA2369" s="6" t="s">
        <v>55</v>
      </c>
      <c r="AB2369" s="8"/>
      <c r="AC2369" s="27">
        <v>9785160097961</v>
      </c>
    </row>
    <row r="2370" spans="1:29" s="4" customFormat="1" ht="51.9" customHeight="1" x14ac:dyDescent="0.2">
      <c r="A2370" s="5">
        <v>0</v>
      </c>
      <c r="B2370" s="6" t="s">
        <v>14148</v>
      </c>
      <c r="C2370" s="7">
        <v>1116</v>
      </c>
      <c r="D2370" s="8" t="s">
        <v>14149</v>
      </c>
      <c r="E2370" s="8" t="s">
        <v>14150</v>
      </c>
      <c r="F2370" s="8" t="s">
        <v>14151</v>
      </c>
      <c r="G2370" s="6" t="s">
        <v>118</v>
      </c>
      <c r="H2370" s="6" t="s">
        <v>34</v>
      </c>
      <c r="I2370" s="8" t="s">
        <v>253</v>
      </c>
      <c r="J2370" s="9">
        <v>1</v>
      </c>
      <c r="K2370" s="9">
        <v>169</v>
      </c>
      <c r="L2370" s="9">
        <v>2026</v>
      </c>
      <c r="M2370" s="8" t="s">
        <v>14152</v>
      </c>
      <c r="N2370" s="8" t="s">
        <v>37</v>
      </c>
      <c r="O2370" s="8" t="s">
        <v>38</v>
      </c>
      <c r="P2370" s="6" t="s">
        <v>51</v>
      </c>
      <c r="Q2370" s="8" t="s">
        <v>500</v>
      </c>
      <c r="R2370" s="10" t="s">
        <v>9758</v>
      </c>
      <c r="S2370" s="11"/>
      <c r="T2370" s="6" t="s">
        <v>97</v>
      </c>
      <c r="U2370" s="15" t="str">
        <f>HYPERLINK("https://media.infra-m.ru/2243/2243448/cover/2243448.jpg", "Обложка")</f>
        <v>Обложка</v>
      </c>
      <c r="V2370" s="8" t="s">
        <v>2239</v>
      </c>
      <c r="W2370" s="6"/>
      <c r="X2370" s="6"/>
      <c r="Y2370" s="6"/>
      <c r="Z2370" s="6"/>
      <c r="AA2370" s="6" t="s">
        <v>248</v>
      </c>
      <c r="AB2370" s="8"/>
      <c r="AC2370" s="27">
        <v>9785160208978</v>
      </c>
    </row>
    <row r="2371" spans="1:29" s="4" customFormat="1" ht="51.9" customHeight="1" x14ac:dyDescent="0.2">
      <c r="A2371" s="5">
        <v>0</v>
      </c>
      <c r="B2371" s="6" t="s">
        <v>14153</v>
      </c>
      <c r="C2371" s="7">
        <v>1828.8</v>
      </c>
      <c r="D2371" s="8" t="s">
        <v>14154</v>
      </c>
      <c r="E2371" s="8" t="s">
        <v>14155</v>
      </c>
      <c r="F2371" s="8" t="s">
        <v>14156</v>
      </c>
      <c r="G2371" s="6" t="s">
        <v>118</v>
      </c>
      <c r="H2371" s="6" t="s">
        <v>34</v>
      </c>
      <c r="I2371" s="8" t="s">
        <v>263</v>
      </c>
      <c r="J2371" s="9">
        <v>1</v>
      </c>
      <c r="K2371" s="9">
        <v>337</v>
      </c>
      <c r="L2371" s="9">
        <v>2023</v>
      </c>
      <c r="M2371" s="8" t="s">
        <v>14157</v>
      </c>
      <c r="N2371" s="8" t="s">
        <v>37</v>
      </c>
      <c r="O2371" s="8" t="s">
        <v>499</v>
      </c>
      <c r="P2371" s="6" t="s">
        <v>51</v>
      </c>
      <c r="Q2371" s="8" t="s">
        <v>265</v>
      </c>
      <c r="R2371" s="10" t="s">
        <v>14158</v>
      </c>
      <c r="S2371" s="11" t="s">
        <v>14159</v>
      </c>
      <c r="T2371" s="6"/>
      <c r="U2371" s="15" t="str">
        <f>HYPERLINK("https://media.infra-m.ru/2021/2021423/cover/2021423.jpg", "Обложка")</f>
        <v>Обложка</v>
      </c>
      <c r="V2371" s="8" t="s">
        <v>6700</v>
      </c>
      <c r="W2371" s="6"/>
      <c r="X2371" s="6"/>
      <c r="Y2371" s="6"/>
      <c r="Z2371" s="6" t="s">
        <v>267</v>
      </c>
      <c r="AA2371" s="6" t="s">
        <v>404</v>
      </c>
      <c r="AB2371" s="8"/>
      <c r="AC2371" s="27">
        <v>9785160139500</v>
      </c>
    </row>
    <row r="2372" spans="1:29" s="4" customFormat="1" ht="51.9" customHeight="1" x14ac:dyDescent="0.2">
      <c r="A2372" s="5">
        <v>0</v>
      </c>
      <c r="B2372" s="6" t="s">
        <v>14160</v>
      </c>
      <c r="C2372" s="7">
        <v>1864.8</v>
      </c>
      <c r="D2372" s="8" t="s">
        <v>14161</v>
      </c>
      <c r="E2372" s="8" t="s">
        <v>14155</v>
      </c>
      <c r="F2372" s="8" t="s">
        <v>14156</v>
      </c>
      <c r="G2372" s="6" t="s">
        <v>118</v>
      </c>
      <c r="H2372" s="6" t="s">
        <v>34</v>
      </c>
      <c r="I2372" s="8" t="s">
        <v>271</v>
      </c>
      <c r="J2372" s="9">
        <v>1</v>
      </c>
      <c r="K2372" s="9">
        <v>337</v>
      </c>
      <c r="L2372" s="9">
        <v>2024</v>
      </c>
      <c r="M2372" s="8" t="s">
        <v>14162</v>
      </c>
      <c r="N2372" s="8" t="s">
        <v>37</v>
      </c>
      <c r="O2372" s="8" t="s">
        <v>499</v>
      </c>
      <c r="P2372" s="6" t="s">
        <v>51</v>
      </c>
      <c r="Q2372" s="8" t="s">
        <v>52</v>
      </c>
      <c r="R2372" s="10" t="s">
        <v>14163</v>
      </c>
      <c r="S2372" s="11" t="s">
        <v>14164</v>
      </c>
      <c r="T2372" s="6"/>
      <c r="U2372" s="15" t="str">
        <f>HYPERLINK("https://media.infra-m.ru/2006/2006029/cover/2006029.jpg", "Обложка")</f>
        <v>Обложка</v>
      </c>
      <c r="V2372" s="8" t="s">
        <v>6700</v>
      </c>
      <c r="W2372" s="6"/>
      <c r="X2372" s="6"/>
      <c r="Y2372" s="6"/>
      <c r="Z2372" s="6"/>
      <c r="AA2372" s="6" t="s">
        <v>623</v>
      </c>
      <c r="AB2372" s="8" t="s">
        <v>493</v>
      </c>
      <c r="AC2372" s="27">
        <v>9785160128450</v>
      </c>
    </row>
    <row r="2373" spans="1:29" s="4" customFormat="1" ht="42" customHeight="1" x14ac:dyDescent="0.2">
      <c r="A2373" s="5">
        <v>0</v>
      </c>
      <c r="B2373" s="6" t="s">
        <v>14165</v>
      </c>
      <c r="C2373" s="7">
        <v>1900.8</v>
      </c>
      <c r="D2373" s="8" t="s">
        <v>14166</v>
      </c>
      <c r="E2373" s="8" t="s">
        <v>14167</v>
      </c>
      <c r="F2373" s="8" t="s">
        <v>14019</v>
      </c>
      <c r="G2373" s="6" t="s">
        <v>118</v>
      </c>
      <c r="H2373" s="6" t="s">
        <v>134</v>
      </c>
      <c r="I2373" s="8"/>
      <c r="J2373" s="9">
        <v>1</v>
      </c>
      <c r="K2373" s="9">
        <v>304</v>
      </c>
      <c r="L2373" s="9">
        <v>2026</v>
      </c>
      <c r="M2373" s="8" t="s">
        <v>14168</v>
      </c>
      <c r="N2373" s="8" t="s">
        <v>37</v>
      </c>
      <c r="O2373" s="8" t="s">
        <v>38</v>
      </c>
      <c r="P2373" s="6" t="s">
        <v>306</v>
      </c>
      <c r="Q2373" s="8" t="s">
        <v>52</v>
      </c>
      <c r="R2373" s="10" t="s">
        <v>13976</v>
      </c>
      <c r="S2373" s="11"/>
      <c r="T2373" s="6"/>
      <c r="U2373" s="15" t="str">
        <f>HYPERLINK("https://media.infra-m.ru/2219/2219184/cover/2219184.jpg", "Обложка")</f>
        <v>Обложка</v>
      </c>
      <c r="V2373" s="8" t="s">
        <v>396</v>
      </c>
      <c r="W2373" s="6"/>
      <c r="X2373" s="6"/>
      <c r="Y2373" s="6"/>
      <c r="Z2373" s="6"/>
      <c r="AA2373" s="6" t="s">
        <v>99</v>
      </c>
      <c r="AB2373" s="8"/>
      <c r="AC2373" s="27">
        <v>9785917688497</v>
      </c>
    </row>
    <row r="2374" spans="1:29" s="4" customFormat="1" ht="42" customHeight="1" x14ac:dyDescent="0.2">
      <c r="A2374" s="5">
        <v>0</v>
      </c>
      <c r="B2374" s="6" t="s">
        <v>14169</v>
      </c>
      <c r="C2374" s="7">
        <v>2392.8000000000002</v>
      </c>
      <c r="D2374" s="8" t="s">
        <v>14170</v>
      </c>
      <c r="E2374" s="8" t="s">
        <v>14171</v>
      </c>
      <c r="F2374" s="8" t="s">
        <v>14172</v>
      </c>
      <c r="G2374" s="6" t="s">
        <v>60</v>
      </c>
      <c r="H2374" s="6" t="s">
        <v>134</v>
      </c>
      <c r="I2374" s="8"/>
      <c r="J2374" s="9">
        <v>1</v>
      </c>
      <c r="K2374" s="9">
        <v>720</v>
      </c>
      <c r="L2374" s="9">
        <v>2024</v>
      </c>
      <c r="M2374" s="8"/>
      <c r="N2374" s="8" t="s">
        <v>37</v>
      </c>
      <c r="O2374" s="8" t="s">
        <v>38</v>
      </c>
      <c r="P2374" s="6" t="s">
        <v>51</v>
      </c>
      <c r="Q2374" s="8" t="s">
        <v>52</v>
      </c>
      <c r="R2374" s="10" t="s">
        <v>13976</v>
      </c>
      <c r="S2374" s="11"/>
      <c r="T2374" s="6"/>
      <c r="U2374" s="15" t="str">
        <f>HYPERLINK("https://media.infra-m.ru/2151/2151404/cover/2151404.jpg", "Обложка")</f>
        <v>Обложка</v>
      </c>
      <c r="V2374" s="8" t="s">
        <v>396</v>
      </c>
      <c r="W2374" s="6"/>
      <c r="X2374" s="6"/>
      <c r="Y2374" s="6"/>
      <c r="Z2374" s="6"/>
      <c r="AA2374" s="6" t="s">
        <v>6584</v>
      </c>
      <c r="AB2374" s="8"/>
      <c r="AC2374" s="27"/>
    </row>
    <row r="2375" spans="1:29" s="4" customFormat="1" ht="51.9" customHeight="1" x14ac:dyDescent="0.2">
      <c r="A2375" s="5">
        <v>0</v>
      </c>
      <c r="B2375" s="6" t="s">
        <v>14173</v>
      </c>
      <c r="C2375" s="7">
        <v>2386.8000000000002</v>
      </c>
      <c r="D2375" s="8" t="s">
        <v>14174</v>
      </c>
      <c r="E2375" s="8" t="s">
        <v>14175</v>
      </c>
      <c r="F2375" s="8" t="s">
        <v>14176</v>
      </c>
      <c r="G2375" s="6" t="s">
        <v>60</v>
      </c>
      <c r="H2375" s="6" t="s">
        <v>34</v>
      </c>
      <c r="I2375" s="8" t="s">
        <v>35</v>
      </c>
      <c r="J2375" s="9">
        <v>1</v>
      </c>
      <c r="K2375" s="9">
        <v>370</v>
      </c>
      <c r="L2375" s="9">
        <v>2025</v>
      </c>
      <c r="M2375" s="8" t="s">
        <v>14177</v>
      </c>
      <c r="N2375" s="8" t="s">
        <v>585</v>
      </c>
      <c r="O2375" s="8" t="s">
        <v>775</v>
      </c>
      <c r="P2375" s="6" t="s">
        <v>39</v>
      </c>
      <c r="Q2375" s="8" t="s">
        <v>40</v>
      </c>
      <c r="R2375" s="10" t="s">
        <v>14178</v>
      </c>
      <c r="S2375" s="11"/>
      <c r="T2375" s="6"/>
      <c r="U2375" s="15" t="str">
        <f>HYPERLINK("https://media.infra-m.ru/2133/2133675/cover/2133675.jpg", "Обложка")</f>
        <v>Обложка</v>
      </c>
      <c r="V2375" s="8" t="s">
        <v>10951</v>
      </c>
      <c r="W2375" s="6"/>
      <c r="X2375" s="6"/>
      <c r="Y2375" s="6"/>
      <c r="Z2375" s="6"/>
      <c r="AA2375" s="6" t="s">
        <v>68</v>
      </c>
      <c r="AB2375" s="8"/>
      <c r="AC2375" s="27">
        <v>9785160196787</v>
      </c>
    </row>
    <row r="2376" spans="1:29" s="4" customFormat="1" ht="51.9" customHeight="1" x14ac:dyDescent="0.2">
      <c r="A2376" s="5">
        <v>0</v>
      </c>
      <c r="B2376" s="6" t="s">
        <v>14179</v>
      </c>
      <c r="C2376" s="7">
        <v>1164</v>
      </c>
      <c r="D2376" s="8" t="s">
        <v>14180</v>
      </c>
      <c r="E2376" s="8" t="s">
        <v>14181</v>
      </c>
      <c r="F2376" s="8" t="s">
        <v>14182</v>
      </c>
      <c r="G2376" s="6" t="s">
        <v>118</v>
      </c>
      <c r="H2376" s="6" t="s">
        <v>34</v>
      </c>
      <c r="I2376" s="8" t="s">
        <v>304</v>
      </c>
      <c r="J2376" s="9">
        <v>1</v>
      </c>
      <c r="K2376" s="9">
        <v>166</v>
      </c>
      <c r="L2376" s="9">
        <v>2027</v>
      </c>
      <c r="M2376" s="8" t="s">
        <v>14183</v>
      </c>
      <c r="N2376" s="8" t="s">
        <v>63</v>
      </c>
      <c r="O2376" s="8" t="s">
        <v>126</v>
      </c>
      <c r="P2376" s="6" t="s">
        <v>51</v>
      </c>
      <c r="Q2376" s="8" t="s">
        <v>52</v>
      </c>
      <c r="R2376" s="10" t="s">
        <v>14184</v>
      </c>
      <c r="S2376" s="11"/>
      <c r="T2376" s="6"/>
      <c r="U2376" s="15" t="str">
        <f>HYPERLINK("https://media.infra-m.ru/2262/2262266/cover/2262266.jpg", "Обложка")</f>
        <v>Обложка</v>
      </c>
      <c r="V2376" s="8" t="s">
        <v>247</v>
      </c>
      <c r="W2376" s="6"/>
      <c r="X2376" s="6"/>
      <c r="Y2376" s="6"/>
      <c r="Z2376" s="6"/>
      <c r="AA2376" s="6" t="s">
        <v>129</v>
      </c>
      <c r="AB2376" s="8"/>
      <c r="AC2376" s="27">
        <v>9785160223391</v>
      </c>
    </row>
    <row r="2377" spans="1:29" s="4" customFormat="1" ht="51.9" customHeight="1" x14ac:dyDescent="0.2">
      <c r="A2377" s="5">
        <v>0</v>
      </c>
      <c r="B2377" s="6" t="s">
        <v>14185</v>
      </c>
      <c r="C2377" s="7">
        <v>1468.8</v>
      </c>
      <c r="D2377" s="8" t="s">
        <v>14186</v>
      </c>
      <c r="E2377" s="8" t="s">
        <v>14187</v>
      </c>
      <c r="F2377" s="8" t="s">
        <v>10235</v>
      </c>
      <c r="G2377" s="6" t="s">
        <v>60</v>
      </c>
      <c r="H2377" s="6" t="s">
        <v>34</v>
      </c>
      <c r="I2377" s="8" t="s">
        <v>271</v>
      </c>
      <c r="J2377" s="9">
        <v>1</v>
      </c>
      <c r="K2377" s="9">
        <v>269</v>
      </c>
      <c r="L2377" s="9">
        <v>2023</v>
      </c>
      <c r="M2377" s="8" t="s">
        <v>14188</v>
      </c>
      <c r="N2377" s="8" t="s">
        <v>37</v>
      </c>
      <c r="O2377" s="8" t="s">
        <v>83</v>
      </c>
      <c r="P2377" s="6" t="s">
        <v>51</v>
      </c>
      <c r="Q2377" s="8" t="s">
        <v>52</v>
      </c>
      <c r="R2377" s="10" t="s">
        <v>6011</v>
      </c>
      <c r="S2377" s="11" t="s">
        <v>14189</v>
      </c>
      <c r="T2377" s="6" t="s">
        <v>97</v>
      </c>
      <c r="U2377" s="15" t="str">
        <f>HYPERLINK("https://media.infra-m.ru/2021/2021448/cover/2021448.jpg", "Обложка")</f>
        <v>Обложка</v>
      </c>
      <c r="V2377" s="8" t="s">
        <v>10238</v>
      </c>
      <c r="W2377" s="6"/>
      <c r="X2377" s="6"/>
      <c r="Y2377" s="6"/>
      <c r="Z2377" s="6"/>
      <c r="AA2377" s="6" t="s">
        <v>1256</v>
      </c>
      <c r="AB2377" s="8"/>
      <c r="AC2377" s="27">
        <v>9785160145402</v>
      </c>
    </row>
    <row r="2378" spans="1:29" s="4" customFormat="1" ht="42" customHeight="1" x14ac:dyDescent="0.2">
      <c r="A2378" s="5">
        <v>0</v>
      </c>
      <c r="B2378" s="6" t="s">
        <v>14190</v>
      </c>
      <c r="C2378" s="7">
        <v>1668</v>
      </c>
      <c r="D2378" s="8" t="s">
        <v>14191</v>
      </c>
      <c r="E2378" s="8" t="s">
        <v>14187</v>
      </c>
      <c r="F2378" s="8" t="s">
        <v>10235</v>
      </c>
      <c r="G2378" s="6" t="s">
        <v>60</v>
      </c>
      <c r="H2378" s="6" t="s">
        <v>34</v>
      </c>
      <c r="I2378" s="8" t="s">
        <v>263</v>
      </c>
      <c r="J2378" s="9">
        <v>1</v>
      </c>
      <c r="K2378" s="9">
        <v>269</v>
      </c>
      <c r="L2378" s="9">
        <v>2025</v>
      </c>
      <c r="M2378" s="8" t="s">
        <v>14192</v>
      </c>
      <c r="N2378" s="8" t="s">
        <v>37</v>
      </c>
      <c r="O2378" s="8" t="s">
        <v>83</v>
      </c>
      <c r="P2378" s="6" t="s">
        <v>51</v>
      </c>
      <c r="Q2378" s="8" t="s">
        <v>265</v>
      </c>
      <c r="R2378" s="10" t="s">
        <v>14193</v>
      </c>
      <c r="S2378" s="11"/>
      <c r="T2378" s="6"/>
      <c r="U2378" s="15" t="str">
        <f>HYPERLINK("https://media.infra-m.ru/2169/2169150/cover/2169150.jpg", "Обложка")</f>
        <v>Обложка</v>
      </c>
      <c r="V2378" s="8" t="s">
        <v>10238</v>
      </c>
      <c r="W2378" s="6"/>
      <c r="X2378" s="6"/>
      <c r="Y2378" s="6"/>
      <c r="Z2378" s="6" t="s">
        <v>267</v>
      </c>
      <c r="AA2378" s="6" t="s">
        <v>68</v>
      </c>
      <c r="AB2378" s="8"/>
      <c r="AC2378" s="27">
        <v>9785160203041</v>
      </c>
    </row>
    <row r="2379" spans="1:29" s="4" customFormat="1" ht="42" customHeight="1" x14ac:dyDescent="0.2">
      <c r="A2379" s="5">
        <v>0</v>
      </c>
      <c r="B2379" s="6" t="s">
        <v>14194</v>
      </c>
      <c r="C2379" s="7">
        <v>1096.8</v>
      </c>
      <c r="D2379" s="8" t="s">
        <v>14195</v>
      </c>
      <c r="E2379" s="8" t="s">
        <v>14187</v>
      </c>
      <c r="F2379" s="8" t="s">
        <v>13367</v>
      </c>
      <c r="G2379" s="6" t="s">
        <v>60</v>
      </c>
      <c r="H2379" s="6" t="s">
        <v>313</v>
      </c>
      <c r="I2379" s="8" t="s">
        <v>253</v>
      </c>
      <c r="J2379" s="9">
        <v>1</v>
      </c>
      <c r="K2379" s="9">
        <v>176</v>
      </c>
      <c r="L2379" s="9">
        <v>2025</v>
      </c>
      <c r="M2379" s="8" t="s">
        <v>14196</v>
      </c>
      <c r="N2379" s="8" t="s">
        <v>37</v>
      </c>
      <c r="O2379" s="8" t="s">
        <v>83</v>
      </c>
      <c r="P2379" s="6" t="s">
        <v>51</v>
      </c>
      <c r="Q2379" s="8" t="s">
        <v>52</v>
      </c>
      <c r="R2379" s="10" t="s">
        <v>6011</v>
      </c>
      <c r="S2379" s="11"/>
      <c r="T2379" s="6"/>
      <c r="U2379" s="15" t="str">
        <f>HYPERLINK("https://media.infra-m.ru/2197/2197252/cover/2197252.jpg", "Обложка")</f>
        <v>Обложка</v>
      </c>
      <c r="V2379" s="8"/>
      <c r="W2379" s="6"/>
      <c r="X2379" s="6"/>
      <c r="Y2379" s="6"/>
      <c r="Z2379" s="6"/>
      <c r="AA2379" s="6" t="s">
        <v>779</v>
      </c>
      <c r="AB2379" s="8"/>
      <c r="AC2379" s="27">
        <v>9785369015100</v>
      </c>
    </row>
    <row r="2380" spans="1:29" s="4" customFormat="1" ht="51.9" customHeight="1" x14ac:dyDescent="0.2">
      <c r="A2380" s="5">
        <v>0</v>
      </c>
      <c r="B2380" s="6" t="s">
        <v>14197</v>
      </c>
      <c r="C2380" s="7">
        <v>2896.8</v>
      </c>
      <c r="D2380" s="8" t="s">
        <v>14198</v>
      </c>
      <c r="E2380" s="8" t="s">
        <v>14199</v>
      </c>
      <c r="F2380" s="8" t="s">
        <v>14200</v>
      </c>
      <c r="G2380" s="6" t="s">
        <v>60</v>
      </c>
      <c r="H2380" s="6" t="s">
        <v>34</v>
      </c>
      <c r="I2380" s="8" t="s">
        <v>271</v>
      </c>
      <c r="J2380" s="9">
        <v>1</v>
      </c>
      <c r="K2380" s="9">
        <v>464</v>
      </c>
      <c r="L2380" s="9">
        <v>2026</v>
      </c>
      <c r="M2380" s="8" t="s">
        <v>14201</v>
      </c>
      <c r="N2380" s="8" t="s">
        <v>37</v>
      </c>
      <c r="O2380" s="8" t="s">
        <v>83</v>
      </c>
      <c r="P2380" s="6" t="s">
        <v>306</v>
      </c>
      <c r="Q2380" s="8" t="s">
        <v>52</v>
      </c>
      <c r="R2380" s="10" t="s">
        <v>14202</v>
      </c>
      <c r="S2380" s="11" t="s">
        <v>14203</v>
      </c>
      <c r="T2380" s="6"/>
      <c r="U2380" s="15" t="str">
        <f>HYPERLINK("https://media.infra-m.ru/2214/2214885/cover/2214885.jpg", "Обложка")</f>
        <v>Обложка</v>
      </c>
      <c r="V2380" s="8" t="s">
        <v>2544</v>
      </c>
      <c r="W2380" s="6"/>
      <c r="X2380" s="6"/>
      <c r="Y2380" s="6"/>
      <c r="Z2380" s="6"/>
      <c r="AA2380" s="6" t="s">
        <v>718</v>
      </c>
      <c r="AB2380" s="8"/>
      <c r="AC2380" s="27">
        <v>9785160051246</v>
      </c>
    </row>
    <row r="2381" spans="1:29" s="4" customFormat="1" ht="44.1" customHeight="1" x14ac:dyDescent="0.2">
      <c r="A2381" s="5">
        <v>0</v>
      </c>
      <c r="B2381" s="6" t="s">
        <v>14204</v>
      </c>
      <c r="C2381" s="7">
        <v>3112.8</v>
      </c>
      <c r="D2381" s="8" t="s">
        <v>14205</v>
      </c>
      <c r="E2381" s="8" t="s">
        <v>14206</v>
      </c>
      <c r="F2381" s="8" t="s">
        <v>14207</v>
      </c>
      <c r="G2381" s="6" t="s">
        <v>60</v>
      </c>
      <c r="H2381" s="6" t="s">
        <v>134</v>
      </c>
      <c r="I2381" s="8"/>
      <c r="J2381" s="9">
        <v>1</v>
      </c>
      <c r="K2381" s="9">
        <v>1104</v>
      </c>
      <c r="L2381" s="9">
        <v>2024</v>
      </c>
      <c r="M2381" s="8" t="s">
        <v>14208</v>
      </c>
      <c r="N2381" s="8" t="s">
        <v>37</v>
      </c>
      <c r="O2381" s="8" t="s">
        <v>83</v>
      </c>
      <c r="P2381" s="6" t="s">
        <v>306</v>
      </c>
      <c r="Q2381" s="8" t="s">
        <v>52</v>
      </c>
      <c r="R2381" s="10" t="s">
        <v>2214</v>
      </c>
      <c r="S2381" s="11"/>
      <c r="T2381" s="6"/>
      <c r="U2381" s="15" t="str">
        <f>HYPERLINK("https://media.infra-m.ru/2133/2133781/cover/2133781.jpg", "Обложка")</f>
        <v>Обложка</v>
      </c>
      <c r="V2381" s="8" t="s">
        <v>3087</v>
      </c>
      <c r="W2381" s="6"/>
      <c r="X2381" s="6"/>
      <c r="Y2381" s="6"/>
      <c r="Z2381" s="6"/>
      <c r="AA2381" s="6" t="s">
        <v>561</v>
      </c>
      <c r="AB2381" s="8"/>
      <c r="AC2381" s="27">
        <v>9785917680071</v>
      </c>
    </row>
    <row r="2382" spans="1:29" s="4" customFormat="1" ht="51.9" customHeight="1" x14ac:dyDescent="0.2">
      <c r="A2382" s="5">
        <v>0</v>
      </c>
      <c r="B2382" s="6" t="s">
        <v>14209</v>
      </c>
      <c r="C2382" s="7">
        <v>1768.8</v>
      </c>
      <c r="D2382" s="8" t="s">
        <v>14210</v>
      </c>
      <c r="E2382" s="8" t="s">
        <v>14206</v>
      </c>
      <c r="F2382" s="8" t="s">
        <v>10552</v>
      </c>
      <c r="G2382" s="6" t="s">
        <v>60</v>
      </c>
      <c r="H2382" s="6" t="s">
        <v>34</v>
      </c>
      <c r="I2382" s="8" t="s">
        <v>271</v>
      </c>
      <c r="J2382" s="9">
        <v>1</v>
      </c>
      <c r="K2382" s="9">
        <v>284</v>
      </c>
      <c r="L2382" s="9">
        <v>2025</v>
      </c>
      <c r="M2382" s="8" t="s">
        <v>14211</v>
      </c>
      <c r="N2382" s="8" t="s">
        <v>37</v>
      </c>
      <c r="O2382" s="8" t="s">
        <v>83</v>
      </c>
      <c r="P2382" s="6" t="s">
        <v>51</v>
      </c>
      <c r="Q2382" s="8" t="s">
        <v>52</v>
      </c>
      <c r="R2382" s="10" t="s">
        <v>14212</v>
      </c>
      <c r="S2382" s="11" t="s">
        <v>6953</v>
      </c>
      <c r="T2382" s="6" t="s">
        <v>97</v>
      </c>
      <c r="U2382" s="15" t="str">
        <f>HYPERLINK("https://media.infra-m.ru/2196/2196094/cover/2196094.jpg", "Обложка")</f>
        <v>Обложка</v>
      </c>
      <c r="V2382" s="8" t="s">
        <v>3087</v>
      </c>
      <c r="W2382" s="6"/>
      <c r="X2382" s="6"/>
      <c r="Y2382" s="6"/>
      <c r="Z2382" s="6"/>
      <c r="AA2382" s="6" t="s">
        <v>779</v>
      </c>
      <c r="AB2382" s="8"/>
      <c r="AC2382" s="27">
        <v>9785160106991</v>
      </c>
    </row>
    <row r="2383" spans="1:29" s="4" customFormat="1" ht="42" customHeight="1" x14ac:dyDescent="0.2">
      <c r="A2383" s="5">
        <v>0</v>
      </c>
      <c r="B2383" s="6" t="s">
        <v>14213</v>
      </c>
      <c r="C2383" s="7">
        <v>1876.8</v>
      </c>
      <c r="D2383" s="8" t="s">
        <v>14214</v>
      </c>
      <c r="E2383" s="8" t="s">
        <v>14215</v>
      </c>
      <c r="F2383" s="8" t="s">
        <v>14216</v>
      </c>
      <c r="G2383" s="6" t="s">
        <v>60</v>
      </c>
      <c r="H2383" s="6" t="s">
        <v>34</v>
      </c>
      <c r="I2383" s="8"/>
      <c r="J2383" s="9">
        <v>1</v>
      </c>
      <c r="K2383" s="9">
        <v>269</v>
      </c>
      <c r="L2383" s="9">
        <v>2027</v>
      </c>
      <c r="M2383" s="8" t="s">
        <v>14217</v>
      </c>
      <c r="N2383" s="8" t="s">
        <v>37</v>
      </c>
      <c r="O2383" s="8" t="s">
        <v>38</v>
      </c>
      <c r="P2383" s="6" t="s">
        <v>51</v>
      </c>
      <c r="Q2383" s="8" t="s">
        <v>52</v>
      </c>
      <c r="R2383" s="10" t="s">
        <v>4408</v>
      </c>
      <c r="S2383" s="11"/>
      <c r="T2383" s="6" t="s">
        <v>97</v>
      </c>
      <c r="U2383" s="15" t="str">
        <f>HYPERLINK("https://media.infra-m.ru/2264/2264771/cover/2264771.jpg", "Обложка")</f>
        <v>Обложка</v>
      </c>
      <c r="V2383" s="8" t="s">
        <v>14218</v>
      </c>
      <c r="W2383" s="6"/>
      <c r="X2383" s="6"/>
      <c r="Y2383" s="6"/>
      <c r="Z2383" s="6"/>
      <c r="AA2383" s="6" t="s">
        <v>274</v>
      </c>
      <c r="AB2383" s="8"/>
      <c r="AC2383" s="27">
        <v>9785160090788</v>
      </c>
    </row>
    <row r="2384" spans="1:29" s="4" customFormat="1" ht="42" customHeight="1" x14ac:dyDescent="0.2">
      <c r="A2384" s="5">
        <v>0</v>
      </c>
      <c r="B2384" s="6" t="s">
        <v>14219</v>
      </c>
      <c r="C2384" s="7">
        <v>2592</v>
      </c>
      <c r="D2384" s="8" t="s">
        <v>14220</v>
      </c>
      <c r="E2384" s="8" t="s">
        <v>14221</v>
      </c>
      <c r="F2384" s="8" t="s">
        <v>14222</v>
      </c>
      <c r="G2384" s="6" t="s">
        <v>118</v>
      </c>
      <c r="H2384" s="6" t="s">
        <v>34</v>
      </c>
      <c r="I2384" s="8" t="s">
        <v>35</v>
      </c>
      <c r="J2384" s="9">
        <v>1</v>
      </c>
      <c r="K2384" s="9">
        <v>393</v>
      </c>
      <c r="L2384" s="9">
        <v>2026</v>
      </c>
      <c r="M2384" s="8" t="s">
        <v>14223</v>
      </c>
      <c r="N2384" s="8" t="s">
        <v>37</v>
      </c>
      <c r="O2384" s="8" t="s">
        <v>136</v>
      </c>
      <c r="P2384" s="6" t="s">
        <v>39</v>
      </c>
      <c r="Q2384" s="8" t="s">
        <v>40</v>
      </c>
      <c r="R2384" s="10" t="s">
        <v>1625</v>
      </c>
      <c r="S2384" s="11"/>
      <c r="T2384" s="6"/>
      <c r="U2384" s="15" t="str">
        <f>HYPERLINK("https://media.infra-m.ru/2232/2232015/cover/2232015.jpg", "Обложка")</f>
        <v>Обложка</v>
      </c>
      <c r="V2384" s="8" t="s">
        <v>11240</v>
      </c>
      <c r="W2384" s="6"/>
      <c r="X2384" s="6"/>
      <c r="Y2384" s="6"/>
      <c r="Z2384" s="6"/>
      <c r="AA2384" s="6" t="s">
        <v>68</v>
      </c>
      <c r="AB2384" s="8" t="s">
        <v>12037</v>
      </c>
      <c r="AC2384" s="27">
        <v>9785160197845</v>
      </c>
    </row>
    <row r="2385" spans="1:29" s="4" customFormat="1" ht="51.9" customHeight="1" x14ac:dyDescent="0.2">
      <c r="A2385" s="5">
        <v>0</v>
      </c>
      <c r="B2385" s="6" t="s">
        <v>14224</v>
      </c>
      <c r="C2385" s="7">
        <v>4200</v>
      </c>
      <c r="D2385" s="8" t="s">
        <v>14225</v>
      </c>
      <c r="E2385" s="8" t="s">
        <v>14226</v>
      </c>
      <c r="F2385" s="8" t="s">
        <v>14227</v>
      </c>
      <c r="G2385" s="6" t="s">
        <v>60</v>
      </c>
      <c r="H2385" s="6" t="s">
        <v>134</v>
      </c>
      <c r="I2385" s="8"/>
      <c r="J2385" s="9">
        <v>1</v>
      </c>
      <c r="K2385" s="9">
        <v>640</v>
      </c>
      <c r="L2385" s="9">
        <v>2026</v>
      </c>
      <c r="M2385" s="8" t="s">
        <v>14228</v>
      </c>
      <c r="N2385" s="8" t="s">
        <v>37</v>
      </c>
      <c r="O2385" s="8" t="s">
        <v>136</v>
      </c>
      <c r="P2385" s="6" t="s">
        <v>39</v>
      </c>
      <c r="Q2385" s="8" t="s">
        <v>40</v>
      </c>
      <c r="R2385" s="10" t="s">
        <v>14229</v>
      </c>
      <c r="S2385" s="11"/>
      <c r="T2385" s="6"/>
      <c r="U2385" s="15" t="str">
        <f>HYPERLINK("https://media.infra-m.ru/2218/2218405/cover/2218405.jpg", "Обложка")</f>
        <v>Обложка</v>
      </c>
      <c r="V2385" s="8" t="s">
        <v>1928</v>
      </c>
      <c r="W2385" s="6"/>
      <c r="X2385" s="6" t="s">
        <v>24</v>
      </c>
      <c r="Y2385" s="6"/>
      <c r="Z2385" s="6"/>
      <c r="AA2385" s="6" t="s">
        <v>779</v>
      </c>
      <c r="AB2385" s="8"/>
      <c r="AC2385" s="27">
        <v>9785917686882</v>
      </c>
    </row>
    <row r="2386" spans="1:29" s="4" customFormat="1" ht="44.1" customHeight="1" x14ac:dyDescent="0.2">
      <c r="A2386" s="5">
        <v>0</v>
      </c>
      <c r="B2386" s="6" t="s">
        <v>14230</v>
      </c>
      <c r="C2386" s="7">
        <v>2977.2</v>
      </c>
      <c r="D2386" s="8" t="s">
        <v>14231</v>
      </c>
      <c r="E2386" s="8" t="s">
        <v>14232</v>
      </c>
      <c r="F2386" s="8" t="s">
        <v>14233</v>
      </c>
      <c r="G2386" s="6" t="s">
        <v>60</v>
      </c>
      <c r="H2386" s="6" t="s">
        <v>134</v>
      </c>
      <c r="I2386" s="8"/>
      <c r="J2386" s="9">
        <v>1</v>
      </c>
      <c r="K2386" s="9">
        <v>672</v>
      </c>
      <c r="L2386" s="9">
        <v>2026</v>
      </c>
      <c r="M2386" s="8" t="s">
        <v>14234</v>
      </c>
      <c r="N2386" s="8" t="s">
        <v>37</v>
      </c>
      <c r="O2386" s="8" t="s">
        <v>136</v>
      </c>
      <c r="P2386" s="6" t="s">
        <v>39</v>
      </c>
      <c r="Q2386" s="8" t="s">
        <v>40</v>
      </c>
      <c r="R2386" s="10" t="s">
        <v>14235</v>
      </c>
      <c r="S2386" s="11"/>
      <c r="T2386" s="6"/>
      <c r="U2386" s="15" t="str">
        <f>HYPERLINK("https://media.infra-m.ru/2224/2224595/cover/2224595.jpg", "Обложка")</f>
        <v>Обложка</v>
      </c>
      <c r="V2386" s="8" t="s">
        <v>657</v>
      </c>
      <c r="W2386" s="6"/>
      <c r="X2386" s="6"/>
      <c r="Y2386" s="6"/>
      <c r="Z2386" s="6"/>
      <c r="AA2386" s="6" t="s">
        <v>115</v>
      </c>
      <c r="AB2386" s="8"/>
      <c r="AC2386" s="27">
        <v>9785917687346</v>
      </c>
    </row>
    <row r="2387" spans="1:29" s="4" customFormat="1" ht="44.1" customHeight="1" x14ac:dyDescent="0.2">
      <c r="A2387" s="5">
        <v>0</v>
      </c>
      <c r="B2387" s="6" t="s">
        <v>14236</v>
      </c>
      <c r="C2387" s="7">
        <v>2376</v>
      </c>
      <c r="D2387" s="8" t="s">
        <v>14237</v>
      </c>
      <c r="E2387" s="8" t="s">
        <v>14238</v>
      </c>
      <c r="F2387" s="8" t="s">
        <v>14239</v>
      </c>
      <c r="G2387" s="6" t="s">
        <v>118</v>
      </c>
      <c r="H2387" s="6" t="s">
        <v>134</v>
      </c>
      <c r="I2387" s="8"/>
      <c r="J2387" s="9">
        <v>1</v>
      </c>
      <c r="K2387" s="9">
        <v>448</v>
      </c>
      <c r="L2387" s="9">
        <v>2026</v>
      </c>
      <c r="M2387" s="8" t="s">
        <v>14240</v>
      </c>
      <c r="N2387" s="8" t="s">
        <v>37</v>
      </c>
      <c r="O2387" s="8" t="s">
        <v>136</v>
      </c>
      <c r="P2387" s="6" t="s">
        <v>39</v>
      </c>
      <c r="Q2387" s="8" t="s">
        <v>40</v>
      </c>
      <c r="R2387" s="10" t="s">
        <v>14241</v>
      </c>
      <c r="S2387" s="11"/>
      <c r="T2387" s="6"/>
      <c r="U2387" s="15" t="str">
        <f>HYPERLINK("https://media.infra-m.ru/2228/2228843/cover/2228843.jpg", "Обложка")</f>
        <v>Обложка</v>
      </c>
      <c r="V2387" s="8" t="s">
        <v>6114</v>
      </c>
      <c r="W2387" s="6"/>
      <c r="X2387" s="6"/>
      <c r="Y2387" s="6"/>
      <c r="Z2387" s="6"/>
      <c r="AA2387" s="6" t="s">
        <v>157</v>
      </c>
      <c r="AB2387" s="8"/>
      <c r="AC2387" s="27">
        <v>9785001562689</v>
      </c>
    </row>
    <row r="2388" spans="1:29" s="4" customFormat="1" ht="42" customHeight="1" x14ac:dyDescent="0.2">
      <c r="A2388" s="5">
        <v>0</v>
      </c>
      <c r="B2388" s="6" t="s">
        <v>14242</v>
      </c>
      <c r="C2388" s="7">
        <v>3774</v>
      </c>
      <c r="D2388" s="8" t="s">
        <v>14243</v>
      </c>
      <c r="E2388" s="8" t="s">
        <v>14244</v>
      </c>
      <c r="F2388" s="8" t="s">
        <v>13589</v>
      </c>
      <c r="G2388" s="6" t="s">
        <v>60</v>
      </c>
      <c r="H2388" s="6" t="s">
        <v>134</v>
      </c>
      <c r="I2388" s="8"/>
      <c r="J2388" s="9">
        <v>1</v>
      </c>
      <c r="K2388" s="9">
        <v>688</v>
      </c>
      <c r="L2388" s="9">
        <v>2026</v>
      </c>
      <c r="M2388" s="8" t="s">
        <v>14245</v>
      </c>
      <c r="N2388" s="8" t="s">
        <v>37</v>
      </c>
      <c r="O2388" s="8" t="s">
        <v>136</v>
      </c>
      <c r="P2388" s="6" t="s">
        <v>39</v>
      </c>
      <c r="Q2388" s="8" t="s">
        <v>40</v>
      </c>
      <c r="R2388" s="10" t="s">
        <v>1625</v>
      </c>
      <c r="S2388" s="11"/>
      <c r="T2388" s="6"/>
      <c r="U2388" s="15" t="str">
        <f>HYPERLINK("https://media.infra-m.ru/2249/2249511/cover/2249511.jpg", "Обложка")</f>
        <v>Обложка</v>
      </c>
      <c r="V2388" s="8" t="s">
        <v>6114</v>
      </c>
      <c r="W2388" s="6"/>
      <c r="X2388" s="6"/>
      <c r="Y2388" s="6"/>
      <c r="Z2388" s="6"/>
      <c r="AA2388" s="6" t="s">
        <v>99</v>
      </c>
      <c r="AB2388" s="8"/>
      <c r="AC2388" s="27">
        <v>9785917688565</v>
      </c>
    </row>
    <row r="2389" spans="1:29" s="4" customFormat="1" ht="42" customHeight="1" x14ac:dyDescent="0.2">
      <c r="A2389" s="5">
        <v>0</v>
      </c>
      <c r="B2389" s="6" t="s">
        <v>14246</v>
      </c>
      <c r="C2389" s="7">
        <v>3000</v>
      </c>
      <c r="D2389" s="8" t="s">
        <v>14247</v>
      </c>
      <c r="E2389" s="8" t="s">
        <v>14248</v>
      </c>
      <c r="F2389" s="8" t="s">
        <v>6770</v>
      </c>
      <c r="G2389" s="6" t="s">
        <v>118</v>
      </c>
      <c r="H2389" s="6" t="s">
        <v>134</v>
      </c>
      <c r="I2389" s="8"/>
      <c r="J2389" s="9">
        <v>1</v>
      </c>
      <c r="K2389" s="9">
        <v>672</v>
      </c>
      <c r="L2389" s="9">
        <v>2024</v>
      </c>
      <c r="M2389" s="8" t="s">
        <v>14249</v>
      </c>
      <c r="N2389" s="8" t="s">
        <v>37</v>
      </c>
      <c r="O2389" s="8" t="s">
        <v>136</v>
      </c>
      <c r="P2389" s="6" t="s">
        <v>39</v>
      </c>
      <c r="Q2389" s="8" t="s">
        <v>40</v>
      </c>
      <c r="R2389" s="10" t="s">
        <v>1625</v>
      </c>
      <c r="S2389" s="11"/>
      <c r="T2389" s="6"/>
      <c r="U2389" s="15" t="str">
        <f>HYPERLINK("https://media.infra-m.ru/2150/2150941/cover/2150941.jpg", "Обложка")</f>
        <v>Обложка</v>
      </c>
      <c r="V2389" s="8"/>
      <c r="W2389" s="6"/>
      <c r="X2389" s="6"/>
      <c r="Y2389" s="6"/>
      <c r="Z2389" s="6"/>
      <c r="AA2389" s="6" t="s">
        <v>115</v>
      </c>
      <c r="AB2389" s="8"/>
      <c r="AC2389" s="27">
        <v>9785917689722</v>
      </c>
    </row>
    <row r="2390" spans="1:29" s="4" customFormat="1" ht="42" customHeight="1" x14ac:dyDescent="0.2">
      <c r="A2390" s="5">
        <v>0</v>
      </c>
      <c r="B2390" s="6" t="s">
        <v>14250</v>
      </c>
      <c r="C2390" s="7">
        <v>3415.2</v>
      </c>
      <c r="D2390" s="8" t="s">
        <v>14251</v>
      </c>
      <c r="E2390" s="8" t="s">
        <v>14252</v>
      </c>
      <c r="F2390" s="8" t="s">
        <v>13589</v>
      </c>
      <c r="G2390" s="6" t="s">
        <v>60</v>
      </c>
      <c r="H2390" s="6" t="s">
        <v>134</v>
      </c>
      <c r="I2390" s="8"/>
      <c r="J2390" s="9">
        <v>1</v>
      </c>
      <c r="K2390" s="9">
        <v>664</v>
      </c>
      <c r="L2390" s="9">
        <v>2024</v>
      </c>
      <c r="M2390" s="8" t="s">
        <v>14253</v>
      </c>
      <c r="N2390" s="8" t="s">
        <v>37</v>
      </c>
      <c r="O2390" s="8" t="s">
        <v>136</v>
      </c>
      <c r="P2390" s="6" t="s">
        <v>39</v>
      </c>
      <c r="Q2390" s="8" t="s">
        <v>40</v>
      </c>
      <c r="R2390" s="10" t="s">
        <v>8485</v>
      </c>
      <c r="S2390" s="11"/>
      <c r="T2390" s="6"/>
      <c r="U2390" s="15" t="str">
        <f>HYPERLINK("https://media.infra-m.ru/2270/2270981/cover/2270981.jpg", "Обложка")</f>
        <v>Обложка</v>
      </c>
      <c r="V2390" s="8" t="s">
        <v>6114</v>
      </c>
      <c r="W2390" s="6"/>
      <c r="X2390" s="6"/>
      <c r="Y2390" s="6"/>
      <c r="Z2390" s="6"/>
      <c r="AA2390" s="6" t="s">
        <v>1256</v>
      </c>
      <c r="AB2390" s="8"/>
      <c r="AC2390" s="27">
        <v>9785001560869</v>
      </c>
    </row>
    <row r="2391" spans="1:29" s="4" customFormat="1" ht="51.9" customHeight="1" x14ac:dyDescent="0.2">
      <c r="A2391" s="5">
        <v>0</v>
      </c>
      <c r="B2391" s="6" t="s">
        <v>14254</v>
      </c>
      <c r="C2391" s="7">
        <v>2809.2</v>
      </c>
      <c r="D2391" s="8" t="s">
        <v>14255</v>
      </c>
      <c r="E2391" s="8" t="s">
        <v>14256</v>
      </c>
      <c r="F2391" s="8" t="s">
        <v>14257</v>
      </c>
      <c r="G2391" s="6" t="s">
        <v>60</v>
      </c>
      <c r="H2391" s="6" t="s">
        <v>134</v>
      </c>
      <c r="I2391" s="8"/>
      <c r="J2391" s="9">
        <v>1</v>
      </c>
      <c r="K2391" s="9">
        <v>688</v>
      </c>
      <c r="L2391" s="9">
        <v>2025</v>
      </c>
      <c r="M2391" s="8" t="s">
        <v>14258</v>
      </c>
      <c r="N2391" s="8" t="s">
        <v>37</v>
      </c>
      <c r="O2391" s="8" t="s">
        <v>136</v>
      </c>
      <c r="P2391" s="6" t="s">
        <v>39</v>
      </c>
      <c r="Q2391" s="8" t="s">
        <v>40</v>
      </c>
      <c r="R2391" s="10" t="s">
        <v>14259</v>
      </c>
      <c r="S2391" s="11"/>
      <c r="T2391" s="6"/>
      <c r="U2391" s="15" t="str">
        <f>HYPERLINK("https://media.infra-m.ru/2204/2204351/cover/2204351.jpg", "Обложка")</f>
        <v>Обложка</v>
      </c>
      <c r="V2391" s="8" t="s">
        <v>6114</v>
      </c>
      <c r="W2391" s="6"/>
      <c r="X2391" s="6"/>
      <c r="Y2391" s="6"/>
      <c r="Z2391" s="6"/>
      <c r="AA2391" s="6" t="s">
        <v>430</v>
      </c>
      <c r="AB2391" s="8"/>
      <c r="AC2391" s="27">
        <v>9785001561620</v>
      </c>
    </row>
    <row r="2392" spans="1:29" s="4" customFormat="1" ht="42" customHeight="1" x14ac:dyDescent="0.2">
      <c r="A2392" s="5">
        <v>0</v>
      </c>
      <c r="B2392" s="6" t="s">
        <v>14260</v>
      </c>
      <c r="C2392" s="7">
        <v>3720</v>
      </c>
      <c r="D2392" s="8" t="s">
        <v>14261</v>
      </c>
      <c r="E2392" s="8" t="s">
        <v>14262</v>
      </c>
      <c r="F2392" s="8" t="s">
        <v>14263</v>
      </c>
      <c r="G2392" s="6" t="s">
        <v>60</v>
      </c>
      <c r="H2392" s="6" t="s">
        <v>134</v>
      </c>
      <c r="I2392" s="8"/>
      <c r="J2392" s="9">
        <v>1</v>
      </c>
      <c r="K2392" s="9">
        <v>632</v>
      </c>
      <c r="L2392" s="9">
        <v>2025</v>
      </c>
      <c r="M2392" s="8" t="s">
        <v>14264</v>
      </c>
      <c r="N2392" s="8" t="s">
        <v>37</v>
      </c>
      <c r="O2392" s="8" t="s">
        <v>136</v>
      </c>
      <c r="P2392" s="6" t="s">
        <v>39</v>
      </c>
      <c r="Q2392" s="8" t="s">
        <v>40</v>
      </c>
      <c r="R2392" s="10" t="s">
        <v>1804</v>
      </c>
      <c r="S2392" s="11"/>
      <c r="T2392" s="6"/>
      <c r="U2392" s="15" t="str">
        <f>HYPERLINK("https://media.infra-m.ru/2198/2198715/cover/2198715.jpg", "Обложка")</f>
        <v>Обложка</v>
      </c>
      <c r="V2392" s="8"/>
      <c r="W2392" s="6"/>
      <c r="X2392" s="6"/>
      <c r="Y2392" s="6"/>
      <c r="Z2392" s="6"/>
      <c r="AA2392" s="6" t="s">
        <v>148</v>
      </c>
      <c r="AB2392" s="8"/>
      <c r="AC2392" s="27">
        <v>9785001562580</v>
      </c>
    </row>
    <row r="2393" spans="1:29" s="4" customFormat="1" ht="44.1" customHeight="1" x14ac:dyDescent="0.2">
      <c r="A2393" s="5">
        <v>0</v>
      </c>
      <c r="B2393" s="6" t="s">
        <v>14265</v>
      </c>
      <c r="C2393" s="7">
        <v>2989.2</v>
      </c>
      <c r="D2393" s="8" t="s">
        <v>14266</v>
      </c>
      <c r="E2393" s="8" t="s">
        <v>14267</v>
      </c>
      <c r="F2393" s="8" t="s">
        <v>14268</v>
      </c>
      <c r="G2393" s="6" t="s">
        <v>60</v>
      </c>
      <c r="H2393" s="6" t="s">
        <v>134</v>
      </c>
      <c r="I2393" s="8"/>
      <c r="J2393" s="9">
        <v>1</v>
      </c>
      <c r="K2393" s="9">
        <v>696</v>
      </c>
      <c r="L2393" s="9">
        <v>2026</v>
      </c>
      <c r="M2393" s="8" t="s">
        <v>14269</v>
      </c>
      <c r="N2393" s="8" t="s">
        <v>37</v>
      </c>
      <c r="O2393" s="8" t="s">
        <v>136</v>
      </c>
      <c r="P2393" s="6" t="s">
        <v>39</v>
      </c>
      <c r="Q2393" s="8"/>
      <c r="R2393" s="10" t="s">
        <v>14270</v>
      </c>
      <c r="S2393" s="11"/>
      <c r="T2393" s="6"/>
      <c r="U2393" s="15" t="str">
        <f>HYPERLINK("https://media.infra-m.ru/2228/2228844/cover/2228844.jpg", "Обложка")</f>
        <v>Обложка</v>
      </c>
      <c r="V2393" s="8"/>
      <c r="W2393" s="6"/>
      <c r="X2393" s="6"/>
      <c r="Y2393" s="6"/>
      <c r="Z2393" s="6"/>
      <c r="AA2393" s="6" t="s">
        <v>1256</v>
      </c>
      <c r="AB2393" s="8"/>
      <c r="AC2393" s="27">
        <v>9785001560463</v>
      </c>
    </row>
    <row r="2394" spans="1:29" s="4" customFormat="1" ht="42" customHeight="1" x14ac:dyDescent="0.2">
      <c r="A2394" s="5">
        <v>0</v>
      </c>
      <c r="B2394" s="6" t="s">
        <v>14271</v>
      </c>
      <c r="C2394" s="7">
        <v>2016</v>
      </c>
      <c r="D2394" s="8" t="s">
        <v>14272</v>
      </c>
      <c r="E2394" s="8" t="s">
        <v>14273</v>
      </c>
      <c r="F2394" s="8" t="s">
        <v>6221</v>
      </c>
      <c r="G2394" s="6" t="s">
        <v>60</v>
      </c>
      <c r="H2394" s="6" t="s">
        <v>313</v>
      </c>
      <c r="I2394" s="8" t="s">
        <v>392</v>
      </c>
      <c r="J2394" s="9">
        <v>1</v>
      </c>
      <c r="K2394" s="9">
        <v>296</v>
      </c>
      <c r="L2394" s="9">
        <v>2026</v>
      </c>
      <c r="M2394" s="8" t="s">
        <v>14274</v>
      </c>
      <c r="N2394" s="8" t="s">
        <v>37</v>
      </c>
      <c r="O2394" s="8" t="s">
        <v>38</v>
      </c>
      <c r="P2394" s="6" t="s">
        <v>51</v>
      </c>
      <c r="Q2394" s="8" t="s">
        <v>65</v>
      </c>
      <c r="R2394" s="10" t="s">
        <v>14275</v>
      </c>
      <c r="S2394" s="11"/>
      <c r="T2394" s="6"/>
      <c r="U2394" s="15" t="str">
        <f>HYPERLINK("https://media.infra-m.ru/2239/2239038/cover/2239038.jpg", "Обложка")</f>
        <v>Обложка</v>
      </c>
      <c r="V2394" s="8" t="s">
        <v>6224</v>
      </c>
      <c r="W2394" s="6" t="s">
        <v>528</v>
      </c>
      <c r="X2394" s="6"/>
      <c r="Y2394" s="6"/>
      <c r="Z2394" s="6"/>
      <c r="AA2394" s="6" t="s">
        <v>187</v>
      </c>
      <c r="AB2394" s="8"/>
      <c r="AC2394" s="27">
        <v>9785369020036</v>
      </c>
    </row>
    <row r="2395" spans="1:29" s="4" customFormat="1" ht="42" customHeight="1" x14ac:dyDescent="0.2">
      <c r="A2395" s="5">
        <v>0</v>
      </c>
      <c r="B2395" s="6" t="s">
        <v>14276</v>
      </c>
      <c r="C2395" s="7">
        <v>1872</v>
      </c>
      <c r="D2395" s="8" t="s">
        <v>14277</v>
      </c>
      <c r="E2395" s="8" t="s">
        <v>14278</v>
      </c>
      <c r="F2395" s="8" t="s">
        <v>14279</v>
      </c>
      <c r="G2395" s="6" t="s">
        <v>60</v>
      </c>
      <c r="H2395" s="6" t="s">
        <v>34</v>
      </c>
      <c r="I2395" s="8" t="s">
        <v>3119</v>
      </c>
      <c r="J2395" s="9">
        <v>1</v>
      </c>
      <c r="K2395" s="9">
        <v>287</v>
      </c>
      <c r="L2395" s="9">
        <v>2025</v>
      </c>
      <c r="M2395" s="8" t="s">
        <v>14280</v>
      </c>
      <c r="N2395" s="8" t="s">
        <v>37</v>
      </c>
      <c r="O2395" s="8" t="s">
        <v>233</v>
      </c>
      <c r="P2395" s="6" t="s">
        <v>306</v>
      </c>
      <c r="Q2395" s="8" t="s">
        <v>65</v>
      </c>
      <c r="R2395" s="10" t="s">
        <v>2750</v>
      </c>
      <c r="S2395" s="11"/>
      <c r="T2395" s="6"/>
      <c r="U2395" s="15" t="str">
        <f>HYPERLINK("https://media.infra-m.ru/2163/2163286/cover/2163286.jpg", "Обложка")</f>
        <v>Обложка</v>
      </c>
      <c r="V2395" s="8" t="s">
        <v>396</v>
      </c>
      <c r="W2395" s="6"/>
      <c r="X2395" s="6"/>
      <c r="Y2395" s="6"/>
      <c r="Z2395" s="6"/>
      <c r="AA2395" s="6" t="s">
        <v>68</v>
      </c>
      <c r="AB2395" s="8"/>
      <c r="AC2395" s="27">
        <v>9785160202211</v>
      </c>
    </row>
    <row r="2396" spans="1:29" s="4" customFormat="1" ht="51.9" customHeight="1" x14ac:dyDescent="0.2">
      <c r="A2396" s="5">
        <v>0</v>
      </c>
      <c r="B2396" s="6" t="s">
        <v>14281</v>
      </c>
      <c r="C2396" s="7">
        <v>1936.8</v>
      </c>
      <c r="D2396" s="8" t="s">
        <v>14282</v>
      </c>
      <c r="E2396" s="8" t="s">
        <v>14283</v>
      </c>
      <c r="F2396" s="8" t="s">
        <v>3563</v>
      </c>
      <c r="G2396" s="6" t="s">
        <v>118</v>
      </c>
      <c r="H2396" s="6" t="s">
        <v>34</v>
      </c>
      <c r="I2396" s="8" t="s">
        <v>271</v>
      </c>
      <c r="J2396" s="9">
        <v>1</v>
      </c>
      <c r="K2396" s="9">
        <v>351</v>
      </c>
      <c r="L2396" s="9">
        <v>2024</v>
      </c>
      <c r="M2396" s="8" t="s">
        <v>14284</v>
      </c>
      <c r="N2396" s="8" t="s">
        <v>37</v>
      </c>
      <c r="O2396" s="8" t="s">
        <v>499</v>
      </c>
      <c r="P2396" s="6" t="s">
        <v>51</v>
      </c>
      <c r="Q2396" s="8" t="s">
        <v>52</v>
      </c>
      <c r="R2396" s="10" t="s">
        <v>14285</v>
      </c>
      <c r="S2396" s="11" t="s">
        <v>14286</v>
      </c>
      <c r="T2396" s="6"/>
      <c r="U2396" s="15" t="str">
        <f>HYPERLINK("https://media.infra-m.ru/2054/2054981/cover/2054981.jpg", "Обложка")</f>
        <v>Обложка</v>
      </c>
      <c r="V2396" s="8" t="s">
        <v>227</v>
      </c>
      <c r="W2396" s="6"/>
      <c r="X2396" s="6"/>
      <c r="Y2396" s="6"/>
      <c r="Z2396" s="6"/>
      <c r="AA2396" s="6" t="s">
        <v>949</v>
      </c>
      <c r="AB2396" s="8"/>
      <c r="AC2396" s="27">
        <v>9785160168999</v>
      </c>
    </row>
    <row r="2397" spans="1:29" s="4" customFormat="1" ht="51.9" customHeight="1" x14ac:dyDescent="0.2">
      <c r="A2397" s="5">
        <v>0</v>
      </c>
      <c r="B2397" s="6" t="s">
        <v>14287</v>
      </c>
      <c r="C2397" s="7">
        <v>1980</v>
      </c>
      <c r="D2397" s="8" t="s">
        <v>14288</v>
      </c>
      <c r="E2397" s="8" t="s">
        <v>14283</v>
      </c>
      <c r="F2397" s="8" t="s">
        <v>3569</v>
      </c>
      <c r="G2397" s="6" t="s">
        <v>118</v>
      </c>
      <c r="H2397" s="6" t="s">
        <v>34</v>
      </c>
      <c r="I2397" s="8" t="s">
        <v>263</v>
      </c>
      <c r="J2397" s="9">
        <v>1</v>
      </c>
      <c r="K2397" s="9">
        <v>351</v>
      </c>
      <c r="L2397" s="9">
        <v>2024</v>
      </c>
      <c r="M2397" s="8" t="s">
        <v>14289</v>
      </c>
      <c r="N2397" s="8" t="s">
        <v>37</v>
      </c>
      <c r="O2397" s="8" t="s">
        <v>499</v>
      </c>
      <c r="P2397" s="6" t="s">
        <v>51</v>
      </c>
      <c r="Q2397" s="8" t="s">
        <v>265</v>
      </c>
      <c r="R2397" s="10" t="s">
        <v>14290</v>
      </c>
      <c r="S2397" s="11" t="s">
        <v>14291</v>
      </c>
      <c r="T2397" s="6"/>
      <c r="U2397" s="15" t="str">
        <f>HYPERLINK("https://media.infra-m.ru/2131/2131818/cover/2131818.jpg", "Обложка")</f>
        <v>Обложка</v>
      </c>
      <c r="V2397" s="8" t="s">
        <v>227</v>
      </c>
      <c r="W2397" s="6"/>
      <c r="X2397" s="6"/>
      <c r="Y2397" s="6"/>
      <c r="Z2397" s="6" t="s">
        <v>267</v>
      </c>
      <c r="AA2397" s="6" t="s">
        <v>430</v>
      </c>
      <c r="AB2397" s="8"/>
      <c r="AC2397" s="27">
        <v>9785160169002</v>
      </c>
    </row>
    <row r="2398" spans="1:29" s="4" customFormat="1" ht="51.9" customHeight="1" x14ac:dyDescent="0.2">
      <c r="A2398" s="5">
        <v>0</v>
      </c>
      <c r="B2398" s="6" t="s">
        <v>14292</v>
      </c>
      <c r="C2398" s="7">
        <v>1020</v>
      </c>
      <c r="D2398" s="8" t="s">
        <v>14293</v>
      </c>
      <c r="E2398" s="8" t="s">
        <v>14294</v>
      </c>
      <c r="F2398" s="8" t="s">
        <v>14295</v>
      </c>
      <c r="G2398" s="6" t="s">
        <v>118</v>
      </c>
      <c r="H2398" s="6" t="s">
        <v>34</v>
      </c>
      <c r="I2398" s="8" t="s">
        <v>263</v>
      </c>
      <c r="J2398" s="9">
        <v>1</v>
      </c>
      <c r="K2398" s="9">
        <v>190</v>
      </c>
      <c r="L2398" s="9">
        <v>2023</v>
      </c>
      <c r="M2398" s="8" t="s">
        <v>14296</v>
      </c>
      <c r="N2398" s="8" t="s">
        <v>37</v>
      </c>
      <c r="O2398" s="8" t="s">
        <v>499</v>
      </c>
      <c r="P2398" s="6" t="s">
        <v>51</v>
      </c>
      <c r="Q2398" s="8" t="s">
        <v>265</v>
      </c>
      <c r="R2398" s="10" t="s">
        <v>4160</v>
      </c>
      <c r="S2398" s="11" t="s">
        <v>14297</v>
      </c>
      <c r="T2398" s="6"/>
      <c r="U2398" s="15" t="str">
        <f>HYPERLINK("https://media.infra-m.ru/1891/1891925/cover/1891925.jpg", "Обложка")</f>
        <v>Обложка</v>
      </c>
      <c r="V2398" s="8" t="s">
        <v>6700</v>
      </c>
      <c r="W2398" s="6"/>
      <c r="X2398" s="6"/>
      <c r="Y2398" s="6"/>
      <c r="Z2398" s="6" t="s">
        <v>267</v>
      </c>
      <c r="AA2398" s="6" t="s">
        <v>115</v>
      </c>
      <c r="AB2398" s="8"/>
      <c r="AC2398" s="27">
        <v>9785160139524</v>
      </c>
    </row>
    <row r="2399" spans="1:29" s="4" customFormat="1" ht="51.9" customHeight="1" x14ac:dyDescent="0.2">
      <c r="A2399" s="5">
        <v>0</v>
      </c>
      <c r="B2399" s="6" t="s">
        <v>14298</v>
      </c>
      <c r="C2399" s="7">
        <v>1188</v>
      </c>
      <c r="D2399" s="8" t="s">
        <v>14299</v>
      </c>
      <c r="E2399" s="8" t="s">
        <v>14294</v>
      </c>
      <c r="F2399" s="8" t="s">
        <v>14295</v>
      </c>
      <c r="G2399" s="6" t="s">
        <v>118</v>
      </c>
      <c r="H2399" s="6" t="s">
        <v>34</v>
      </c>
      <c r="I2399" s="8" t="s">
        <v>253</v>
      </c>
      <c r="J2399" s="9">
        <v>1</v>
      </c>
      <c r="K2399" s="9">
        <v>190</v>
      </c>
      <c r="L2399" s="9">
        <v>2025</v>
      </c>
      <c r="M2399" s="8" t="s">
        <v>14300</v>
      </c>
      <c r="N2399" s="8" t="s">
        <v>37</v>
      </c>
      <c r="O2399" s="8" t="s">
        <v>499</v>
      </c>
      <c r="P2399" s="6" t="s">
        <v>51</v>
      </c>
      <c r="Q2399" s="8" t="s">
        <v>52</v>
      </c>
      <c r="R2399" s="10" t="s">
        <v>14301</v>
      </c>
      <c r="S2399" s="11" t="s">
        <v>14302</v>
      </c>
      <c r="T2399" s="6"/>
      <c r="U2399" s="15" t="str">
        <f>HYPERLINK("https://media.infra-m.ru/2188/2188268/cover/2188268.jpg", "Обложка")</f>
        <v>Обложка</v>
      </c>
      <c r="V2399" s="8" t="s">
        <v>6700</v>
      </c>
      <c r="W2399" s="6"/>
      <c r="X2399" s="6"/>
      <c r="Y2399" s="6"/>
      <c r="Z2399" s="6"/>
      <c r="AA2399" s="6" t="s">
        <v>99</v>
      </c>
      <c r="AB2399" s="8"/>
      <c r="AC2399" s="27">
        <v>9785160206899</v>
      </c>
    </row>
    <row r="2400" spans="1:29" s="4" customFormat="1" ht="51.9" customHeight="1" x14ac:dyDescent="0.2">
      <c r="A2400" s="5">
        <v>0</v>
      </c>
      <c r="B2400" s="6" t="s">
        <v>14303</v>
      </c>
      <c r="C2400" s="13">
        <v>696</v>
      </c>
      <c r="D2400" s="8" t="s">
        <v>14304</v>
      </c>
      <c r="E2400" s="8" t="s">
        <v>14305</v>
      </c>
      <c r="F2400" s="8" t="s">
        <v>14306</v>
      </c>
      <c r="G2400" s="6" t="s">
        <v>33</v>
      </c>
      <c r="H2400" s="6" t="s">
        <v>313</v>
      </c>
      <c r="I2400" s="8" t="s">
        <v>253</v>
      </c>
      <c r="J2400" s="9">
        <v>1</v>
      </c>
      <c r="K2400" s="9">
        <v>100</v>
      </c>
      <c r="L2400" s="9">
        <v>2026</v>
      </c>
      <c r="M2400" s="8" t="s">
        <v>14307</v>
      </c>
      <c r="N2400" s="8" t="s">
        <v>37</v>
      </c>
      <c r="O2400" s="8" t="s">
        <v>280</v>
      </c>
      <c r="P2400" s="6" t="s">
        <v>51</v>
      </c>
      <c r="Q2400" s="8" t="s">
        <v>52</v>
      </c>
      <c r="R2400" s="10" t="s">
        <v>14308</v>
      </c>
      <c r="S2400" s="11" t="s">
        <v>14309</v>
      </c>
      <c r="T2400" s="6" t="s">
        <v>97</v>
      </c>
      <c r="U2400" s="15" t="str">
        <f>HYPERLINK("https://media.infra-m.ru/2259/2259967/cover/2259967.jpg", "Обложка")</f>
        <v>Обложка</v>
      </c>
      <c r="V2400" s="8" t="s">
        <v>14310</v>
      </c>
      <c r="W2400" s="6"/>
      <c r="X2400" s="6"/>
      <c r="Y2400" s="6"/>
      <c r="Z2400" s="6"/>
      <c r="AA2400" s="6" t="s">
        <v>99</v>
      </c>
      <c r="AB2400" s="8"/>
      <c r="AC2400" s="27">
        <v>9785369015582</v>
      </c>
    </row>
    <row r="2401" spans="1:29" s="4" customFormat="1" ht="42" customHeight="1" x14ac:dyDescent="0.2">
      <c r="A2401" s="5">
        <v>0</v>
      </c>
      <c r="B2401" s="6" t="s">
        <v>14311</v>
      </c>
      <c r="C2401" s="7">
        <v>2268</v>
      </c>
      <c r="D2401" s="8" t="s">
        <v>14312</v>
      </c>
      <c r="E2401" s="8" t="s">
        <v>14313</v>
      </c>
      <c r="F2401" s="8" t="s">
        <v>14314</v>
      </c>
      <c r="G2401" s="6" t="s">
        <v>60</v>
      </c>
      <c r="H2401" s="6" t="s">
        <v>34</v>
      </c>
      <c r="I2401" s="8" t="s">
        <v>35</v>
      </c>
      <c r="J2401" s="9">
        <v>1</v>
      </c>
      <c r="K2401" s="9">
        <v>333</v>
      </c>
      <c r="L2401" s="9">
        <v>2026</v>
      </c>
      <c r="M2401" s="8" t="s">
        <v>14315</v>
      </c>
      <c r="N2401" s="8" t="s">
        <v>37</v>
      </c>
      <c r="O2401" s="8" t="s">
        <v>38</v>
      </c>
      <c r="P2401" s="6" t="s">
        <v>39</v>
      </c>
      <c r="Q2401" s="8" t="s">
        <v>40</v>
      </c>
      <c r="R2401" s="10" t="s">
        <v>14316</v>
      </c>
      <c r="S2401" s="11"/>
      <c r="T2401" s="6"/>
      <c r="U2401" s="15" t="str">
        <f>HYPERLINK("https://media.infra-m.ru/2209/2209355/cover/2209355.jpg", "Обложка")</f>
        <v>Обложка</v>
      </c>
      <c r="V2401" s="8" t="s">
        <v>8243</v>
      </c>
      <c r="W2401" s="6" t="s">
        <v>351</v>
      </c>
      <c r="X2401" s="6"/>
      <c r="Y2401" s="6"/>
      <c r="Z2401" s="6"/>
      <c r="AA2401" s="6" t="s">
        <v>187</v>
      </c>
      <c r="AB2401" s="8"/>
      <c r="AC2401" s="27">
        <v>9785160209951</v>
      </c>
    </row>
    <row r="2402" spans="1:29" s="4" customFormat="1" ht="51.9" customHeight="1" x14ac:dyDescent="0.2">
      <c r="A2402" s="5">
        <v>0</v>
      </c>
      <c r="B2402" s="6" t="s">
        <v>14317</v>
      </c>
      <c r="C2402" s="7">
        <v>2008.8</v>
      </c>
      <c r="D2402" s="8" t="s">
        <v>14318</v>
      </c>
      <c r="E2402" s="8" t="s">
        <v>14319</v>
      </c>
      <c r="F2402" s="8" t="s">
        <v>14320</v>
      </c>
      <c r="G2402" s="6" t="s">
        <v>60</v>
      </c>
      <c r="H2402" s="6" t="s">
        <v>241</v>
      </c>
      <c r="I2402" s="8"/>
      <c r="J2402" s="9">
        <v>1</v>
      </c>
      <c r="K2402" s="9">
        <v>304</v>
      </c>
      <c r="L2402" s="9">
        <v>2026</v>
      </c>
      <c r="M2402" s="8" t="s">
        <v>14321</v>
      </c>
      <c r="N2402" s="8" t="s">
        <v>63</v>
      </c>
      <c r="O2402" s="8" t="s">
        <v>126</v>
      </c>
      <c r="P2402" s="6" t="s">
        <v>51</v>
      </c>
      <c r="Q2402" s="8" t="s">
        <v>52</v>
      </c>
      <c r="R2402" s="10" t="s">
        <v>13530</v>
      </c>
      <c r="S2402" s="11" t="s">
        <v>14322</v>
      </c>
      <c r="T2402" s="6"/>
      <c r="U2402" s="15" t="str">
        <f>HYPERLINK("https://media.infra-m.ru/2233/2233573/cover/2233573.jpg", "Обложка")</f>
        <v>Обложка</v>
      </c>
      <c r="V2402" s="8" t="s">
        <v>10985</v>
      </c>
      <c r="W2402" s="6"/>
      <c r="X2402" s="6"/>
      <c r="Y2402" s="6"/>
      <c r="Z2402" s="6"/>
      <c r="AA2402" s="6" t="s">
        <v>129</v>
      </c>
      <c r="AB2402" s="8"/>
      <c r="AC2402" s="27">
        <v>9785955802015</v>
      </c>
    </row>
    <row r="2403" spans="1:29" s="4" customFormat="1" ht="44.1" customHeight="1" x14ac:dyDescent="0.2">
      <c r="A2403" s="5">
        <v>0</v>
      </c>
      <c r="B2403" s="6" t="s">
        <v>14323</v>
      </c>
      <c r="C2403" s="7">
        <v>1360.8</v>
      </c>
      <c r="D2403" s="8" t="s">
        <v>14324</v>
      </c>
      <c r="E2403" s="8" t="s">
        <v>14325</v>
      </c>
      <c r="F2403" s="8" t="s">
        <v>14326</v>
      </c>
      <c r="G2403" s="6" t="s">
        <v>60</v>
      </c>
      <c r="H2403" s="6" t="s">
        <v>34</v>
      </c>
      <c r="I2403" s="8" t="s">
        <v>504</v>
      </c>
      <c r="J2403" s="9">
        <v>1</v>
      </c>
      <c r="K2403" s="9">
        <v>217</v>
      </c>
      <c r="L2403" s="9">
        <v>2025</v>
      </c>
      <c r="M2403" s="8" t="s">
        <v>14327</v>
      </c>
      <c r="N2403" s="8" t="s">
        <v>63</v>
      </c>
      <c r="O2403" s="8" t="s">
        <v>126</v>
      </c>
      <c r="P2403" s="6" t="s">
        <v>51</v>
      </c>
      <c r="Q2403" s="8" t="s">
        <v>500</v>
      </c>
      <c r="R2403" s="10" t="s">
        <v>14328</v>
      </c>
      <c r="S2403" s="11"/>
      <c r="T2403" s="6"/>
      <c r="U2403" s="15" t="str">
        <f>HYPERLINK("https://media.infra-m.ru/2190/2190402/cover/2190402.jpg", "Обложка")</f>
        <v>Обложка</v>
      </c>
      <c r="V2403" s="8" t="s">
        <v>3087</v>
      </c>
      <c r="W2403" s="6"/>
      <c r="X2403" s="6"/>
      <c r="Y2403" s="6"/>
      <c r="Z2403" s="6"/>
      <c r="AA2403" s="6" t="s">
        <v>248</v>
      </c>
      <c r="AB2403" s="8"/>
      <c r="AC2403" s="27">
        <v>9785160065335</v>
      </c>
    </row>
    <row r="2404" spans="1:29" s="4" customFormat="1" ht="51.9" customHeight="1" x14ac:dyDescent="0.2">
      <c r="A2404" s="5">
        <v>0</v>
      </c>
      <c r="B2404" s="6" t="s">
        <v>14329</v>
      </c>
      <c r="C2404" s="7">
        <v>2332.8000000000002</v>
      </c>
      <c r="D2404" s="8" t="s">
        <v>14330</v>
      </c>
      <c r="E2404" s="8" t="s">
        <v>14331</v>
      </c>
      <c r="F2404" s="8" t="s">
        <v>14332</v>
      </c>
      <c r="G2404" s="6" t="s">
        <v>60</v>
      </c>
      <c r="H2404" s="6" t="s">
        <v>5605</v>
      </c>
      <c r="I2404" s="8" t="s">
        <v>253</v>
      </c>
      <c r="J2404" s="9">
        <v>1</v>
      </c>
      <c r="K2404" s="9">
        <v>336</v>
      </c>
      <c r="L2404" s="9">
        <v>2027</v>
      </c>
      <c r="M2404" s="8" t="s">
        <v>14333</v>
      </c>
      <c r="N2404" s="8" t="s">
        <v>63</v>
      </c>
      <c r="O2404" s="8" t="s">
        <v>126</v>
      </c>
      <c r="P2404" s="6" t="s">
        <v>306</v>
      </c>
      <c r="Q2404" s="8" t="s">
        <v>52</v>
      </c>
      <c r="R2404" s="10" t="s">
        <v>13530</v>
      </c>
      <c r="S2404" s="11"/>
      <c r="T2404" s="6"/>
      <c r="U2404" s="15" t="str">
        <f>HYPERLINK("https://media.infra-m.ru/2205/2205351/cover/2205351.jpg", "Обложка")</f>
        <v>Обложка</v>
      </c>
      <c r="V2404" s="8" t="s">
        <v>546</v>
      </c>
      <c r="W2404" s="6"/>
      <c r="X2404" s="6"/>
      <c r="Y2404" s="6"/>
      <c r="Z2404" s="6"/>
      <c r="AA2404" s="6" t="s">
        <v>43</v>
      </c>
      <c r="AB2404" s="8"/>
      <c r="AC2404" s="27">
        <v>9785160049298</v>
      </c>
    </row>
    <row r="2405" spans="1:29" s="4" customFormat="1" ht="51.9" customHeight="1" x14ac:dyDescent="0.2">
      <c r="A2405" s="5">
        <v>0</v>
      </c>
      <c r="B2405" s="6" t="s">
        <v>14334</v>
      </c>
      <c r="C2405" s="7">
        <v>2152.8000000000002</v>
      </c>
      <c r="D2405" s="8" t="s">
        <v>14335</v>
      </c>
      <c r="E2405" s="8" t="s">
        <v>14336</v>
      </c>
      <c r="F2405" s="8" t="s">
        <v>4590</v>
      </c>
      <c r="G2405" s="6" t="s">
        <v>60</v>
      </c>
      <c r="H2405" s="6" t="s">
        <v>34</v>
      </c>
      <c r="I2405" s="8" t="s">
        <v>271</v>
      </c>
      <c r="J2405" s="9">
        <v>1</v>
      </c>
      <c r="K2405" s="9">
        <v>379</v>
      </c>
      <c r="L2405" s="9">
        <v>2024</v>
      </c>
      <c r="M2405" s="8" t="s">
        <v>14337</v>
      </c>
      <c r="N2405" s="8" t="s">
        <v>63</v>
      </c>
      <c r="O2405" s="8" t="s">
        <v>126</v>
      </c>
      <c r="P2405" s="6" t="s">
        <v>51</v>
      </c>
      <c r="Q2405" s="8" t="s">
        <v>52</v>
      </c>
      <c r="R2405" s="10" t="s">
        <v>6101</v>
      </c>
      <c r="S2405" s="11" t="s">
        <v>14338</v>
      </c>
      <c r="T2405" s="6"/>
      <c r="U2405" s="15" t="str">
        <f>HYPERLINK("https://media.infra-m.ru/2122/2122062/cover/2122062.jpg", "Обложка")</f>
        <v>Обложка</v>
      </c>
      <c r="V2405" s="8" t="s">
        <v>3413</v>
      </c>
      <c r="W2405" s="6"/>
      <c r="X2405" s="6"/>
      <c r="Y2405" s="6"/>
      <c r="Z2405" s="6"/>
      <c r="AA2405" s="6" t="s">
        <v>1375</v>
      </c>
      <c r="AB2405" s="8"/>
      <c r="AC2405" s="27">
        <v>9785160133935</v>
      </c>
    </row>
    <row r="2406" spans="1:29" s="4" customFormat="1" ht="51.9" customHeight="1" x14ac:dyDescent="0.2">
      <c r="A2406" s="5">
        <v>0</v>
      </c>
      <c r="B2406" s="6" t="s">
        <v>14339</v>
      </c>
      <c r="C2406" s="7">
        <v>1680</v>
      </c>
      <c r="D2406" s="8" t="s">
        <v>14340</v>
      </c>
      <c r="E2406" s="8" t="s">
        <v>14341</v>
      </c>
      <c r="F2406" s="8" t="s">
        <v>14342</v>
      </c>
      <c r="G2406" s="6" t="s">
        <v>118</v>
      </c>
      <c r="H2406" s="6" t="s">
        <v>34</v>
      </c>
      <c r="I2406" s="8" t="s">
        <v>271</v>
      </c>
      <c r="J2406" s="9">
        <v>1</v>
      </c>
      <c r="K2406" s="9">
        <v>311</v>
      </c>
      <c r="L2406" s="9">
        <v>2023</v>
      </c>
      <c r="M2406" s="8" t="s">
        <v>14343</v>
      </c>
      <c r="N2406" s="8" t="s">
        <v>37</v>
      </c>
      <c r="O2406" s="8" t="s">
        <v>233</v>
      </c>
      <c r="P2406" s="6" t="s">
        <v>51</v>
      </c>
      <c r="Q2406" s="8" t="s">
        <v>52</v>
      </c>
      <c r="R2406" s="10" t="s">
        <v>3008</v>
      </c>
      <c r="S2406" s="11" t="s">
        <v>14344</v>
      </c>
      <c r="T2406" s="6" t="s">
        <v>97</v>
      </c>
      <c r="U2406" s="15" t="str">
        <f>HYPERLINK("https://media.infra-m.ru/1978/1978080/cover/1978080.jpg", "Обложка")</f>
        <v>Обложка</v>
      </c>
      <c r="V2406" s="8" t="s">
        <v>6114</v>
      </c>
      <c r="W2406" s="6"/>
      <c r="X2406" s="6"/>
      <c r="Y2406" s="6"/>
      <c r="Z2406" s="6"/>
      <c r="AA2406" s="6" t="s">
        <v>874</v>
      </c>
      <c r="AB2406" s="8"/>
      <c r="AC2406" s="27">
        <v>9785160095554</v>
      </c>
    </row>
    <row r="2407" spans="1:29" s="4" customFormat="1" ht="51.9" customHeight="1" x14ac:dyDescent="0.2">
      <c r="A2407" s="5">
        <v>0</v>
      </c>
      <c r="B2407" s="6" t="s">
        <v>14345</v>
      </c>
      <c r="C2407" s="7">
        <v>2896.8</v>
      </c>
      <c r="D2407" s="8" t="s">
        <v>14346</v>
      </c>
      <c r="E2407" s="8" t="s">
        <v>14347</v>
      </c>
      <c r="F2407" s="8" t="s">
        <v>14348</v>
      </c>
      <c r="G2407" s="6" t="s">
        <v>60</v>
      </c>
      <c r="H2407" s="6" t="s">
        <v>5605</v>
      </c>
      <c r="I2407" s="8" t="s">
        <v>253</v>
      </c>
      <c r="J2407" s="9">
        <v>1</v>
      </c>
      <c r="K2407" s="9">
        <v>416</v>
      </c>
      <c r="L2407" s="9">
        <v>2027</v>
      </c>
      <c r="M2407" s="8" t="s">
        <v>14349</v>
      </c>
      <c r="N2407" s="8" t="s">
        <v>37</v>
      </c>
      <c r="O2407" s="8" t="s">
        <v>233</v>
      </c>
      <c r="P2407" s="6" t="s">
        <v>306</v>
      </c>
      <c r="Q2407" s="8" t="s">
        <v>52</v>
      </c>
      <c r="R2407" s="10" t="s">
        <v>14350</v>
      </c>
      <c r="S2407" s="11" t="s">
        <v>768</v>
      </c>
      <c r="T2407" s="6"/>
      <c r="U2407" s="15" t="str">
        <f>HYPERLINK("https://media.infra-m.ru/2255/2255462/cover/2255462.jpg", "Обложка")</f>
        <v>Обложка</v>
      </c>
      <c r="V2407" s="8" t="s">
        <v>396</v>
      </c>
      <c r="W2407" s="6"/>
      <c r="X2407" s="6"/>
      <c r="Y2407" s="6"/>
      <c r="Z2407" s="6"/>
      <c r="AA2407" s="6" t="s">
        <v>14351</v>
      </c>
      <c r="AB2407" s="8"/>
      <c r="AC2407" s="27">
        <v>9785160034898</v>
      </c>
    </row>
    <row r="2408" spans="1:29" s="4" customFormat="1" ht="51.9" customHeight="1" x14ac:dyDescent="0.2">
      <c r="A2408" s="5">
        <v>0</v>
      </c>
      <c r="B2408" s="6" t="s">
        <v>14352</v>
      </c>
      <c r="C2408" s="13">
        <v>976.8</v>
      </c>
      <c r="D2408" s="8" t="s">
        <v>14353</v>
      </c>
      <c r="E2408" s="8" t="s">
        <v>14354</v>
      </c>
      <c r="F2408" s="8" t="s">
        <v>12041</v>
      </c>
      <c r="G2408" s="6" t="s">
        <v>33</v>
      </c>
      <c r="H2408" s="6" t="s">
        <v>1644</v>
      </c>
      <c r="I2408" s="8"/>
      <c r="J2408" s="9">
        <v>1</v>
      </c>
      <c r="K2408" s="9">
        <v>176</v>
      </c>
      <c r="L2408" s="9">
        <v>2024</v>
      </c>
      <c r="M2408" s="8" t="s">
        <v>14355</v>
      </c>
      <c r="N2408" s="8" t="s">
        <v>37</v>
      </c>
      <c r="O2408" s="8" t="s">
        <v>233</v>
      </c>
      <c r="P2408" s="6" t="s">
        <v>51</v>
      </c>
      <c r="Q2408" s="8" t="s">
        <v>52</v>
      </c>
      <c r="R2408" s="10" t="s">
        <v>370</v>
      </c>
      <c r="S2408" s="11" t="s">
        <v>14356</v>
      </c>
      <c r="T2408" s="6"/>
      <c r="U2408" s="15" t="str">
        <f>HYPERLINK("https://media.infra-m.ru/2056/2056621/cover/2056621.jpg", "Обложка")</f>
        <v>Обложка</v>
      </c>
      <c r="V2408" s="8" t="s">
        <v>227</v>
      </c>
      <c r="W2408" s="6"/>
      <c r="X2408" s="6"/>
      <c r="Y2408" s="6"/>
      <c r="Z2408" s="6"/>
      <c r="AA2408" s="6" t="s">
        <v>1506</v>
      </c>
      <c r="AB2408" s="8"/>
      <c r="AC2408" s="27">
        <v>9785977600057</v>
      </c>
    </row>
    <row r="2409" spans="1:29" s="4" customFormat="1" ht="51.9" customHeight="1" x14ac:dyDescent="0.2">
      <c r="A2409" s="5">
        <v>0</v>
      </c>
      <c r="B2409" s="6" t="s">
        <v>14357</v>
      </c>
      <c r="C2409" s="7">
        <v>2704.8</v>
      </c>
      <c r="D2409" s="8" t="s">
        <v>14358</v>
      </c>
      <c r="E2409" s="8" t="s">
        <v>14359</v>
      </c>
      <c r="F2409" s="8" t="s">
        <v>14360</v>
      </c>
      <c r="G2409" s="6" t="s">
        <v>60</v>
      </c>
      <c r="H2409" s="6" t="s">
        <v>1644</v>
      </c>
      <c r="I2409" s="8"/>
      <c r="J2409" s="9">
        <v>1</v>
      </c>
      <c r="K2409" s="9">
        <v>480</v>
      </c>
      <c r="L2409" s="9">
        <v>2024</v>
      </c>
      <c r="M2409" s="8" t="s">
        <v>14361</v>
      </c>
      <c r="N2409" s="8" t="s">
        <v>37</v>
      </c>
      <c r="O2409" s="8" t="s">
        <v>233</v>
      </c>
      <c r="P2409" s="6" t="s">
        <v>306</v>
      </c>
      <c r="Q2409" s="8" t="s">
        <v>52</v>
      </c>
      <c r="R2409" s="10" t="s">
        <v>3008</v>
      </c>
      <c r="S2409" s="11" t="s">
        <v>14362</v>
      </c>
      <c r="T2409" s="6"/>
      <c r="U2409" s="15" t="str">
        <f>HYPERLINK("https://media.infra-m.ru/2137/2137052/cover/2137052.jpg", "Обложка")</f>
        <v>Обложка</v>
      </c>
      <c r="V2409" s="8" t="s">
        <v>4448</v>
      </c>
      <c r="W2409" s="6"/>
      <c r="X2409" s="6"/>
      <c r="Y2409" s="6"/>
      <c r="Z2409" s="6"/>
      <c r="AA2409" s="6" t="s">
        <v>6033</v>
      </c>
      <c r="AB2409" s="8"/>
      <c r="AC2409" s="27">
        <v>9785977600019</v>
      </c>
    </row>
    <row r="2410" spans="1:29" s="4" customFormat="1" ht="51.9" customHeight="1" x14ac:dyDescent="0.2">
      <c r="A2410" s="5">
        <v>0</v>
      </c>
      <c r="B2410" s="6" t="s">
        <v>14363</v>
      </c>
      <c r="C2410" s="7">
        <v>1680</v>
      </c>
      <c r="D2410" s="8" t="s">
        <v>14364</v>
      </c>
      <c r="E2410" s="8" t="s">
        <v>14365</v>
      </c>
      <c r="F2410" s="8" t="s">
        <v>14366</v>
      </c>
      <c r="G2410" s="6" t="s">
        <v>60</v>
      </c>
      <c r="H2410" s="6" t="s">
        <v>34</v>
      </c>
      <c r="I2410" s="8" t="s">
        <v>271</v>
      </c>
      <c r="J2410" s="9">
        <v>1</v>
      </c>
      <c r="K2410" s="9">
        <v>480</v>
      </c>
      <c r="L2410" s="9">
        <v>2018</v>
      </c>
      <c r="M2410" s="8" t="s">
        <v>14367</v>
      </c>
      <c r="N2410" s="8" t="s">
        <v>37</v>
      </c>
      <c r="O2410" s="8" t="s">
        <v>233</v>
      </c>
      <c r="P2410" s="6" t="s">
        <v>306</v>
      </c>
      <c r="Q2410" s="8" t="s">
        <v>52</v>
      </c>
      <c r="R2410" s="10" t="s">
        <v>715</v>
      </c>
      <c r="S2410" s="11" t="s">
        <v>14368</v>
      </c>
      <c r="T2410" s="6"/>
      <c r="U2410" s="12"/>
      <c r="V2410" s="8" t="s">
        <v>247</v>
      </c>
      <c r="W2410" s="6"/>
      <c r="X2410" s="6"/>
      <c r="Y2410" s="6"/>
      <c r="Z2410" s="6"/>
      <c r="AA2410" s="6" t="s">
        <v>14369</v>
      </c>
      <c r="AB2410" s="8"/>
      <c r="AC2410" s="27">
        <v>9785160035598</v>
      </c>
    </row>
    <row r="2411" spans="1:29" s="4" customFormat="1" ht="51.9" customHeight="1" x14ac:dyDescent="0.2">
      <c r="A2411" s="5">
        <v>0</v>
      </c>
      <c r="B2411" s="6" t="s">
        <v>14370</v>
      </c>
      <c r="C2411" s="7">
        <v>2964</v>
      </c>
      <c r="D2411" s="8" t="s">
        <v>14371</v>
      </c>
      <c r="E2411" s="8" t="s">
        <v>14372</v>
      </c>
      <c r="F2411" s="8" t="s">
        <v>14366</v>
      </c>
      <c r="G2411" s="6" t="s">
        <v>60</v>
      </c>
      <c r="H2411" s="6" t="s">
        <v>34</v>
      </c>
      <c r="I2411" s="8" t="s">
        <v>253</v>
      </c>
      <c r="J2411" s="9">
        <v>1</v>
      </c>
      <c r="K2411" s="9">
        <v>475</v>
      </c>
      <c r="L2411" s="9">
        <v>2026</v>
      </c>
      <c r="M2411" s="8" t="s">
        <v>14373</v>
      </c>
      <c r="N2411" s="8" t="s">
        <v>37</v>
      </c>
      <c r="O2411" s="8" t="s">
        <v>233</v>
      </c>
      <c r="P2411" s="6" t="s">
        <v>306</v>
      </c>
      <c r="Q2411" s="8" t="s">
        <v>52</v>
      </c>
      <c r="R2411" s="10" t="s">
        <v>715</v>
      </c>
      <c r="S2411" s="11" t="s">
        <v>14374</v>
      </c>
      <c r="T2411" s="6" t="s">
        <v>97</v>
      </c>
      <c r="U2411" s="15" t="str">
        <f>HYPERLINK("https://media.infra-m.ru/2221/2221544/cover/2221544.jpg", "Обложка")</f>
        <v>Обложка</v>
      </c>
      <c r="V2411" s="8" t="s">
        <v>247</v>
      </c>
      <c r="W2411" s="6"/>
      <c r="X2411" s="6"/>
      <c r="Y2411" s="6"/>
      <c r="Z2411" s="6"/>
      <c r="AA2411" s="6" t="s">
        <v>8551</v>
      </c>
      <c r="AB2411" s="8"/>
      <c r="AC2411" s="27">
        <v>9785160213217</v>
      </c>
    </row>
    <row r="2412" spans="1:29" s="4" customFormat="1" ht="51.9" customHeight="1" x14ac:dyDescent="0.2">
      <c r="A2412" s="5">
        <v>0</v>
      </c>
      <c r="B2412" s="6" t="s">
        <v>14375</v>
      </c>
      <c r="C2412" s="7">
        <v>1625.9</v>
      </c>
      <c r="D2412" s="8" t="s">
        <v>14376</v>
      </c>
      <c r="E2412" s="8" t="s">
        <v>14377</v>
      </c>
      <c r="F2412" s="8" t="s">
        <v>12041</v>
      </c>
      <c r="G2412" s="6" t="s">
        <v>60</v>
      </c>
      <c r="H2412" s="6" t="s">
        <v>1644</v>
      </c>
      <c r="I2412" s="8"/>
      <c r="J2412" s="9">
        <v>1</v>
      </c>
      <c r="K2412" s="9">
        <v>304</v>
      </c>
      <c r="L2412" s="9">
        <v>2023</v>
      </c>
      <c r="M2412" s="8" t="s">
        <v>14378</v>
      </c>
      <c r="N2412" s="8" t="s">
        <v>37</v>
      </c>
      <c r="O2412" s="8" t="s">
        <v>233</v>
      </c>
      <c r="P2412" s="6" t="s">
        <v>51</v>
      </c>
      <c r="Q2412" s="8" t="s">
        <v>52</v>
      </c>
      <c r="R2412" s="10" t="s">
        <v>6383</v>
      </c>
      <c r="S2412" s="11"/>
      <c r="T2412" s="6"/>
      <c r="U2412" s="15" t="str">
        <f>HYPERLINK("https://media.infra-m.ru/1899/1899917/cover/1899917.jpg", "Обложка")</f>
        <v>Обложка</v>
      </c>
      <c r="V2412" s="8" t="s">
        <v>227</v>
      </c>
      <c r="W2412" s="6"/>
      <c r="X2412" s="6"/>
      <c r="Y2412" s="6"/>
      <c r="Z2412" s="6"/>
      <c r="AA2412" s="6" t="s">
        <v>561</v>
      </c>
      <c r="AB2412" s="8"/>
      <c r="AC2412" s="27">
        <v>9785977601252</v>
      </c>
    </row>
    <row r="2413" spans="1:29" s="4" customFormat="1" ht="51.9" customHeight="1" x14ac:dyDescent="0.2">
      <c r="A2413" s="5">
        <v>0</v>
      </c>
      <c r="B2413" s="6" t="s">
        <v>14379</v>
      </c>
      <c r="C2413" s="7">
        <v>3364.8</v>
      </c>
      <c r="D2413" s="8" t="s">
        <v>14380</v>
      </c>
      <c r="E2413" s="8" t="s">
        <v>14359</v>
      </c>
      <c r="F2413" s="8" t="s">
        <v>14381</v>
      </c>
      <c r="G2413" s="6" t="s">
        <v>60</v>
      </c>
      <c r="H2413" s="6" t="s">
        <v>34</v>
      </c>
      <c r="I2413" s="8" t="s">
        <v>253</v>
      </c>
      <c r="J2413" s="9">
        <v>1</v>
      </c>
      <c r="K2413" s="9">
        <v>596</v>
      </c>
      <c r="L2413" s="9">
        <v>2026</v>
      </c>
      <c r="M2413" s="8" t="s">
        <v>14382</v>
      </c>
      <c r="N2413" s="8" t="s">
        <v>37</v>
      </c>
      <c r="O2413" s="8" t="s">
        <v>233</v>
      </c>
      <c r="P2413" s="6" t="s">
        <v>51</v>
      </c>
      <c r="Q2413" s="8" t="s">
        <v>52</v>
      </c>
      <c r="R2413" s="10" t="s">
        <v>5290</v>
      </c>
      <c r="S2413" s="11" t="s">
        <v>14383</v>
      </c>
      <c r="T2413" s="6"/>
      <c r="U2413" s="15" t="str">
        <f>HYPERLINK("https://media.infra-m.ru/2222/2222236/cover/2222236.jpg", "Обложка")</f>
        <v>Обложка</v>
      </c>
      <c r="V2413" s="8" t="s">
        <v>761</v>
      </c>
      <c r="W2413" s="6"/>
      <c r="X2413" s="6"/>
      <c r="Y2413" s="6"/>
      <c r="Z2413" s="6"/>
      <c r="AA2413" s="6" t="s">
        <v>1303</v>
      </c>
      <c r="AB2413" s="8"/>
      <c r="AC2413" s="27">
        <v>9785160189529</v>
      </c>
    </row>
    <row r="2414" spans="1:29" s="4" customFormat="1" ht="51.9" customHeight="1" x14ac:dyDescent="0.2">
      <c r="A2414" s="5">
        <v>0</v>
      </c>
      <c r="B2414" s="6" t="s">
        <v>14384</v>
      </c>
      <c r="C2414" s="7">
        <v>2873.9</v>
      </c>
      <c r="D2414" s="8" t="s">
        <v>14385</v>
      </c>
      <c r="E2414" s="8" t="s">
        <v>14377</v>
      </c>
      <c r="F2414" s="8" t="s">
        <v>14381</v>
      </c>
      <c r="G2414" s="6" t="s">
        <v>60</v>
      </c>
      <c r="H2414" s="6" t="s">
        <v>34</v>
      </c>
      <c r="I2414" s="8" t="s">
        <v>271</v>
      </c>
      <c r="J2414" s="9">
        <v>1</v>
      </c>
      <c r="K2414" s="9">
        <v>578</v>
      </c>
      <c r="L2414" s="9">
        <v>2021</v>
      </c>
      <c r="M2414" s="8" t="s">
        <v>14386</v>
      </c>
      <c r="N2414" s="8" t="s">
        <v>37</v>
      </c>
      <c r="O2414" s="8" t="s">
        <v>233</v>
      </c>
      <c r="P2414" s="6" t="s">
        <v>51</v>
      </c>
      <c r="Q2414" s="8" t="s">
        <v>52</v>
      </c>
      <c r="R2414" s="10" t="s">
        <v>5290</v>
      </c>
      <c r="S2414" s="11" t="s">
        <v>14387</v>
      </c>
      <c r="T2414" s="6"/>
      <c r="U2414" s="15" t="str">
        <f>HYPERLINK("https://media.infra-m.ru/1555/1555032/cover/1555032.jpg", "Обложка")</f>
        <v>Обложка</v>
      </c>
      <c r="V2414" s="8" t="s">
        <v>761</v>
      </c>
      <c r="W2414" s="6"/>
      <c r="X2414" s="6"/>
      <c r="Y2414" s="6"/>
      <c r="Z2414" s="6"/>
      <c r="AA2414" s="6" t="s">
        <v>1256</v>
      </c>
      <c r="AB2414" s="8"/>
      <c r="AC2414" s="27">
        <v>9785160144047</v>
      </c>
    </row>
    <row r="2415" spans="1:29" s="4" customFormat="1" ht="51.9" customHeight="1" x14ac:dyDescent="0.2">
      <c r="A2415" s="5">
        <v>0</v>
      </c>
      <c r="B2415" s="6" t="s">
        <v>14388</v>
      </c>
      <c r="C2415" s="7">
        <v>1792.8</v>
      </c>
      <c r="D2415" s="8" t="s">
        <v>14389</v>
      </c>
      <c r="E2415" s="8" t="s">
        <v>14377</v>
      </c>
      <c r="F2415" s="8" t="s">
        <v>14390</v>
      </c>
      <c r="G2415" s="6" t="s">
        <v>118</v>
      </c>
      <c r="H2415" s="6" t="s">
        <v>34</v>
      </c>
      <c r="I2415" s="8" t="s">
        <v>253</v>
      </c>
      <c r="J2415" s="9">
        <v>1</v>
      </c>
      <c r="K2415" s="9">
        <v>271</v>
      </c>
      <c r="L2415" s="9">
        <v>2026</v>
      </c>
      <c r="M2415" s="8" t="s">
        <v>14391</v>
      </c>
      <c r="N2415" s="8" t="s">
        <v>37</v>
      </c>
      <c r="O2415" s="8" t="s">
        <v>233</v>
      </c>
      <c r="P2415" s="6" t="s">
        <v>51</v>
      </c>
      <c r="Q2415" s="8" t="s">
        <v>65</v>
      </c>
      <c r="R2415" s="10" t="s">
        <v>5912</v>
      </c>
      <c r="S2415" s="11" t="s">
        <v>14392</v>
      </c>
      <c r="T2415" s="6"/>
      <c r="U2415" s="15" t="str">
        <f>HYPERLINK("https://media.infra-m.ru/2239/2239435/cover/2239435.jpg", "Обложка")</f>
        <v>Обложка</v>
      </c>
      <c r="V2415" s="8" t="s">
        <v>2055</v>
      </c>
      <c r="W2415" s="6"/>
      <c r="X2415" s="6"/>
      <c r="Y2415" s="6"/>
      <c r="Z2415" s="6"/>
      <c r="AA2415" s="6" t="s">
        <v>4554</v>
      </c>
      <c r="AB2415" s="8"/>
      <c r="AC2415" s="27">
        <v>9785160186610</v>
      </c>
    </row>
    <row r="2416" spans="1:29" s="4" customFormat="1" ht="51.9" customHeight="1" x14ac:dyDescent="0.2">
      <c r="A2416" s="5">
        <v>0</v>
      </c>
      <c r="B2416" s="6" t="s">
        <v>14393</v>
      </c>
      <c r="C2416" s="7">
        <v>4032</v>
      </c>
      <c r="D2416" s="8" t="s">
        <v>14394</v>
      </c>
      <c r="E2416" s="8" t="s">
        <v>14395</v>
      </c>
      <c r="F2416" s="8" t="s">
        <v>12287</v>
      </c>
      <c r="G2416" s="6" t="s">
        <v>60</v>
      </c>
      <c r="H2416" s="6" t="s">
        <v>34</v>
      </c>
      <c r="I2416" s="8" t="s">
        <v>253</v>
      </c>
      <c r="J2416" s="9">
        <v>1</v>
      </c>
      <c r="K2416" s="9">
        <v>692</v>
      </c>
      <c r="L2416" s="9">
        <v>2025</v>
      </c>
      <c r="M2416" s="8" t="s">
        <v>14396</v>
      </c>
      <c r="N2416" s="8" t="s">
        <v>63</v>
      </c>
      <c r="O2416" s="8" t="s">
        <v>126</v>
      </c>
      <c r="P2416" s="6" t="s">
        <v>306</v>
      </c>
      <c r="Q2416" s="8" t="s">
        <v>500</v>
      </c>
      <c r="R2416" s="10" t="s">
        <v>14397</v>
      </c>
      <c r="S2416" s="11" t="s">
        <v>14398</v>
      </c>
      <c r="T2416" s="6"/>
      <c r="U2416" s="15" t="str">
        <f>HYPERLINK("https://media.infra-m.ru/2188/2188344/cover/2188344.jpg", "Обложка")</f>
        <v>Обложка</v>
      </c>
      <c r="V2416" s="8" t="s">
        <v>546</v>
      </c>
      <c r="W2416" s="6"/>
      <c r="X2416" s="6"/>
      <c r="Y2416" s="6"/>
      <c r="Z2416" s="6"/>
      <c r="AA2416" s="6" t="s">
        <v>148</v>
      </c>
      <c r="AB2416" s="8"/>
      <c r="AC2416" s="27">
        <v>9785160207087</v>
      </c>
    </row>
    <row r="2417" spans="1:29" s="4" customFormat="1" ht="42" customHeight="1" x14ac:dyDescent="0.2">
      <c r="A2417" s="5">
        <v>0</v>
      </c>
      <c r="B2417" s="6" t="s">
        <v>14399</v>
      </c>
      <c r="C2417" s="7">
        <v>1824</v>
      </c>
      <c r="D2417" s="8" t="s">
        <v>14400</v>
      </c>
      <c r="E2417" s="8" t="s">
        <v>14401</v>
      </c>
      <c r="F2417" s="8" t="s">
        <v>14402</v>
      </c>
      <c r="G2417" s="6" t="s">
        <v>118</v>
      </c>
      <c r="H2417" s="6" t="s">
        <v>313</v>
      </c>
      <c r="I2417" s="8" t="s">
        <v>253</v>
      </c>
      <c r="J2417" s="9">
        <v>1</v>
      </c>
      <c r="K2417" s="9">
        <v>276</v>
      </c>
      <c r="L2417" s="9">
        <v>2026</v>
      </c>
      <c r="M2417" s="8" t="s">
        <v>14403</v>
      </c>
      <c r="N2417" s="8" t="s">
        <v>37</v>
      </c>
      <c r="O2417" s="8" t="s">
        <v>38</v>
      </c>
      <c r="P2417" s="6" t="s">
        <v>306</v>
      </c>
      <c r="Q2417" s="8" t="s">
        <v>52</v>
      </c>
      <c r="R2417" s="10" t="s">
        <v>14404</v>
      </c>
      <c r="S2417" s="11"/>
      <c r="T2417" s="6"/>
      <c r="U2417" s="15" t="str">
        <f>HYPERLINK("https://media.infra-m.ru/2231/2231458/cover/2231458.jpg", "Обложка")</f>
        <v>Обложка</v>
      </c>
      <c r="V2417" s="8" t="s">
        <v>1030</v>
      </c>
      <c r="W2417" s="6"/>
      <c r="X2417" s="6"/>
      <c r="Y2417" s="6"/>
      <c r="Z2417" s="6"/>
      <c r="AA2417" s="6" t="s">
        <v>1256</v>
      </c>
      <c r="AB2417" s="8"/>
      <c r="AC2417" s="27">
        <v>9785369018286</v>
      </c>
    </row>
    <row r="2418" spans="1:29" s="4" customFormat="1" ht="42" customHeight="1" x14ac:dyDescent="0.2">
      <c r="A2418" s="5">
        <v>0</v>
      </c>
      <c r="B2418" s="6" t="s">
        <v>14405</v>
      </c>
      <c r="C2418" s="7">
        <v>1824</v>
      </c>
      <c r="D2418" s="8" t="s">
        <v>14406</v>
      </c>
      <c r="E2418" s="8" t="s">
        <v>14407</v>
      </c>
      <c r="F2418" s="8" t="s">
        <v>14402</v>
      </c>
      <c r="G2418" s="6" t="s">
        <v>118</v>
      </c>
      <c r="H2418" s="6" t="s">
        <v>313</v>
      </c>
      <c r="I2418" s="8" t="s">
        <v>401</v>
      </c>
      <c r="J2418" s="9">
        <v>1</v>
      </c>
      <c r="K2418" s="9">
        <v>276</v>
      </c>
      <c r="L2418" s="9">
        <v>2026</v>
      </c>
      <c r="M2418" s="8" t="s">
        <v>14408</v>
      </c>
      <c r="N2418" s="8" t="s">
        <v>37</v>
      </c>
      <c r="O2418" s="8" t="s">
        <v>38</v>
      </c>
      <c r="P2418" s="6" t="s">
        <v>306</v>
      </c>
      <c r="Q2418" s="8" t="s">
        <v>265</v>
      </c>
      <c r="R2418" s="10" t="s">
        <v>14409</v>
      </c>
      <c r="S2418" s="11"/>
      <c r="T2418" s="6"/>
      <c r="U2418" s="15" t="str">
        <f>HYPERLINK("https://media.infra-m.ru/2231/2231462/cover/2231462.jpg", "Обложка")</f>
        <v>Обложка</v>
      </c>
      <c r="V2418" s="8" t="s">
        <v>1030</v>
      </c>
      <c r="W2418" s="6"/>
      <c r="X2418" s="6" t="s">
        <v>24</v>
      </c>
      <c r="Y2418" s="6"/>
      <c r="Z2418" s="6" t="s">
        <v>267</v>
      </c>
      <c r="AA2418" s="6" t="s">
        <v>1256</v>
      </c>
      <c r="AB2418" s="8"/>
      <c r="AC2418" s="27">
        <v>9785369018330</v>
      </c>
    </row>
    <row r="2419" spans="1:29" s="4" customFormat="1" ht="51.9" customHeight="1" x14ac:dyDescent="0.2">
      <c r="A2419" s="5">
        <v>0</v>
      </c>
      <c r="B2419" s="6" t="s">
        <v>14410</v>
      </c>
      <c r="C2419" s="7">
        <v>3628.8</v>
      </c>
      <c r="D2419" s="8" t="s">
        <v>14411</v>
      </c>
      <c r="E2419" s="8" t="s">
        <v>14412</v>
      </c>
      <c r="F2419" s="8" t="s">
        <v>14413</v>
      </c>
      <c r="G2419" s="6" t="s">
        <v>118</v>
      </c>
      <c r="H2419" s="6" t="s">
        <v>34</v>
      </c>
      <c r="I2419" s="8" t="s">
        <v>263</v>
      </c>
      <c r="J2419" s="9">
        <v>1</v>
      </c>
      <c r="K2419" s="9">
        <v>550</v>
      </c>
      <c r="L2419" s="9">
        <v>2026</v>
      </c>
      <c r="M2419" s="8" t="s">
        <v>14414</v>
      </c>
      <c r="N2419" s="8" t="s">
        <v>37</v>
      </c>
      <c r="O2419" s="8" t="s">
        <v>38</v>
      </c>
      <c r="P2419" s="6" t="s">
        <v>51</v>
      </c>
      <c r="Q2419" s="8" t="s">
        <v>265</v>
      </c>
      <c r="R2419" s="10" t="s">
        <v>14415</v>
      </c>
      <c r="S2419" s="11" t="s">
        <v>14416</v>
      </c>
      <c r="T2419" s="6"/>
      <c r="U2419" s="15" t="str">
        <f>HYPERLINK("https://media.infra-m.ru/2235/2235815/cover/2235815.jpg", "Обложка")</f>
        <v>Обложка</v>
      </c>
      <c r="V2419" s="8" t="s">
        <v>5801</v>
      </c>
      <c r="W2419" s="6"/>
      <c r="X2419" s="6" t="s">
        <v>24</v>
      </c>
      <c r="Y2419" s="6"/>
      <c r="Z2419" s="6"/>
      <c r="AA2419" s="6" t="s">
        <v>258</v>
      </c>
      <c r="AB2419" s="8"/>
      <c r="AC2419" s="27">
        <v>9785160162003</v>
      </c>
    </row>
    <row r="2420" spans="1:29" s="4" customFormat="1" ht="51.9" customHeight="1" x14ac:dyDescent="0.2">
      <c r="A2420" s="5">
        <v>0</v>
      </c>
      <c r="B2420" s="6" t="s">
        <v>14417</v>
      </c>
      <c r="C2420" s="7">
        <v>3652.8</v>
      </c>
      <c r="D2420" s="8" t="s">
        <v>14418</v>
      </c>
      <c r="E2420" s="8" t="s">
        <v>14407</v>
      </c>
      <c r="F2420" s="8" t="s">
        <v>14419</v>
      </c>
      <c r="G2420" s="6" t="s">
        <v>118</v>
      </c>
      <c r="H2420" s="6" t="s">
        <v>34</v>
      </c>
      <c r="I2420" s="8" t="s">
        <v>263</v>
      </c>
      <c r="J2420" s="9">
        <v>1</v>
      </c>
      <c r="K2420" s="9">
        <v>649</v>
      </c>
      <c r="L2420" s="9">
        <v>2025</v>
      </c>
      <c r="M2420" s="8" t="s">
        <v>14420</v>
      </c>
      <c r="N2420" s="8" t="s">
        <v>37</v>
      </c>
      <c r="O2420" s="8" t="s">
        <v>38</v>
      </c>
      <c r="P2420" s="6" t="s">
        <v>51</v>
      </c>
      <c r="Q2420" s="8" t="s">
        <v>265</v>
      </c>
      <c r="R2420" s="10" t="s">
        <v>14421</v>
      </c>
      <c r="S2420" s="11" t="s">
        <v>14422</v>
      </c>
      <c r="T2420" s="6"/>
      <c r="U2420" s="15" t="str">
        <f>HYPERLINK("https://media.infra-m.ru/2206/2206789/cover/2206789.jpg", "Обложка")</f>
        <v>Обложка</v>
      </c>
      <c r="V2420" s="8" t="s">
        <v>14423</v>
      </c>
      <c r="W2420" s="6"/>
      <c r="X2420" s="6" t="s">
        <v>24</v>
      </c>
      <c r="Y2420" s="6"/>
      <c r="Z2420" s="6"/>
      <c r="AA2420" s="6" t="s">
        <v>430</v>
      </c>
      <c r="AB2420" s="8" t="s">
        <v>3596</v>
      </c>
      <c r="AC2420" s="27">
        <v>9785160146522</v>
      </c>
    </row>
    <row r="2421" spans="1:29" s="4" customFormat="1" ht="51.9" customHeight="1" x14ac:dyDescent="0.2">
      <c r="A2421" s="5">
        <v>0</v>
      </c>
      <c r="B2421" s="6" t="s">
        <v>14424</v>
      </c>
      <c r="C2421" s="7">
        <v>2148</v>
      </c>
      <c r="D2421" s="8" t="s">
        <v>14425</v>
      </c>
      <c r="E2421" s="8" t="s">
        <v>14407</v>
      </c>
      <c r="F2421" s="8" t="s">
        <v>14426</v>
      </c>
      <c r="G2421" s="6" t="s">
        <v>118</v>
      </c>
      <c r="H2421" s="6" t="s">
        <v>34</v>
      </c>
      <c r="I2421" s="8" t="s">
        <v>263</v>
      </c>
      <c r="J2421" s="9">
        <v>1</v>
      </c>
      <c r="K2421" s="9">
        <v>528</v>
      </c>
      <c r="L2421" s="9">
        <v>2020</v>
      </c>
      <c r="M2421" s="8" t="s">
        <v>14427</v>
      </c>
      <c r="N2421" s="8" t="s">
        <v>37</v>
      </c>
      <c r="O2421" s="8" t="s">
        <v>38</v>
      </c>
      <c r="P2421" s="6" t="s">
        <v>51</v>
      </c>
      <c r="Q2421" s="8" t="s">
        <v>265</v>
      </c>
      <c r="R2421" s="10" t="s">
        <v>14415</v>
      </c>
      <c r="S2421" s="11" t="s">
        <v>14428</v>
      </c>
      <c r="T2421" s="6"/>
      <c r="U2421" s="15" t="str">
        <f>HYPERLINK("https://media.infra-m.ru/1060/1060624/cover/1060624.jpg", "Обложка")</f>
        <v>Обложка</v>
      </c>
      <c r="V2421" s="8" t="s">
        <v>2095</v>
      </c>
      <c r="W2421" s="6"/>
      <c r="X2421" s="6" t="s">
        <v>24</v>
      </c>
      <c r="Y2421" s="6"/>
      <c r="Z2421" s="6"/>
      <c r="AA2421" s="6" t="s">
        <v>43</v>
      </c>
      <c r="AB2421" s="8"/>
      <c r="AC2421" s="27">
        <v>9785160045078</v>
      </c>
    </row>
    <row r="2422" spans="1:29" s="4" customFormat="1" ht="42" customHeight="1" x14ac:dyDescent="0.2">
      <c r="A2422" s="5">
        <v>0</v>
      </c>
      <c r="B2422" s="6" t="s">
        <v>14429</v>
      </c>
      <c r="C2422" s="7">
        <v>1548</v>
      </c>
      <c r="D2422" s="8" t="s">
        <v>14430</v>
      </c>
      <c r="E2422" s="8" t="s">
        <v>14407</v>
      </c>
      <c r="F2422" s="8" t="s">
        <v>13367</v>
      </c>
      <c r="G2422" s="6" t="s">
        <v>118</v>
      </c>
      <c r="H2422" s="6" t="s">
        <v>313</v>
      </c>
      <c r="I2422" s="8" t="s">
        <v>253</v>
      </c>
      <c r="J2422" s="9">
        <v>1</v>
      </c>
      <c r="K2422" s="9">
        <v>248</v>
      </c>
      <c r="L2422" s="9">
        <v>2025</v>
      </c>
      <c r="M2422" s="8" t="s">
        <v>14431</v>
      </c>
      <c r="N2422" s="8" t="s">
        <v>37</v>
      </c>
      <c r="O2422" s="8" t="s">
        <v>38</v>
      </c>
      <c r="P2422" s="6" t="s">
        <v>51</v>
      </c>
      <c r="Q2422" s="8" t="s">
        <v>52</v>
      </c>
      <c r="R2422" s="10" t="s">
        <v>13520</v>
      </c>
      <c r="S2422" s="11"/>
      <c r="T2422" s="6"/>
      <c r="U2422" s="15" t="str">
        <f>HYPERLINK("https://media.infra-m.ru/2164/2164141/cover/2164141.jpg", "Обложка")</f>
        <v>Обложка</v>
      </c>
      <c r="V2422" s="8"/>
      <c r="W2422" s="6"/>
      <c r="X2422" s="6"/>
      <c r="Y2422" s="6"/>
      <c r="Z2422" s="6"/>
      <c r="AA2422" s="6" t="s">
        <v>99</v>
      </c>
      <c r="AB2422" s="8"/>
      <c r="AC2422" s="27">
        <v>9785369016909</v>
      </c>
    </row>
    <row r="2423" spans="1:29" s="4" customFormat="1" ht="42" customHeight="1" x14ac:dyDescent="0.2">
      <c r="A2423" s="5">
        <v>0</v>
      </c>
      <c r="B2423" s="6" t="s">
        <v>14432</v>
      </c>
      <c r="C2423" s="7">
        <v>2376</v>
      </c>
      <c r="D2423" s="8" t="s">
        <v>14433</v>
      </c>
      <c r="E2423" s="8" t="s">
        <v>14434</v>
      </c>
      <c r="F2423" s="8" t="s">
        <v>14435</v>
      </c>
      <c r="G2423" s="6" t="s">
        <v>118</v>
      </c>
      <c r="H2423" s="6" t="s">
        <v>34</v>
      </c>
      <c r="I2423" s="8" t="s">
        <v>35</v>
      </c>
      <c r="J2423" s="9">
        <v>1</v>
      </c>
      <c r="K2423" s="9">
        <v>380</v>
      </c>
      <c r="L2423" s="9">
        <v>2026</v>
      </c>
      <c r="M2423" s="8" t="s">
        <v>14436</v>
      </c>
      <c r="N2423" s="8" t="s">
        <v>37</v>
      </c>
      <c r="O2423" s="8" t="s">
        <v>136</v>
      </c>
      <c r="P2423" s="6" t="s">
        <v>39</v>
      </c>
      <c r="Q2423" s="8" t="s">
        <v>40</v>
      </c>
      <c r="R2423" s="10" t="s">
        <v>14437</v>
      </c>
      <c r="S2423" s="11"/>
      <c r="T2423" s="6"/>
      <c r="U2423" s="15" t="str">
        <f>HYPERLINK("https://media.infra-m.ru/2216/2216832/cover/2216832.jpg", "Обложка")</f>
        <v>Обложка</v>
      </c>
      <c r="V2423" s="8" t="s">
        <v>5609</v>
      </c>
      <c r="W2423" s="6"/>
      <c r="X2423" s="6"/>
      <c r="Y2423" s="6"/>
      <c r="Z2423" s="6"/>
      <c r="AA2423" s="6" t="s">
        <v>157</v>
      </c>
      <c r="AB2423" s="8" t="s">
        <v>4899</v>
      </c>
      <c r="AC2423" s="27">
        <v>9785160179353</v>
      </c>
    </row>
    <row r="2424" spans="1:29" s="4" customFormat="1" ht="51.9" customHeight="1" x14ac:dyDescent="0.2">
      <c r="A2424" s="5">
        <v>0</v>
      </c>
      <c r="B2424" s="6" t="s">
        <v>14438</v>
      </c>
      <c r="C2424" s="7">
        <v>2460</v>
      </c>
      <c r="D2424" s="8" t="s">
        <v>14439</v>
      </c>
      <c r="E2424" s="8" t="s">
        <v>14440</v>
      </c>
      <c r="F2424" s="8" t="s">
        <v>14441</v>
      </c>
      <c r="G2424" s="6" t="s">
        <v>118</v>
      </c>
      <c r="H2424" s="6" t="s">
        <v>34</v>
      </c>
      <c r="I2424" s="8" t="s">
        <v>35</v>
      </c>
      <c r="J2424" s="9">
        <v>1</v>
      </c>
      <c r="K2424" s="9">
        <v>452</v>
      </c>
      <c r="L2424" s="9">
        <v>2023</v>
      </c>
      <c r="M2424" s="8" t="s">
        <v>14442</v>
      </c>
      <c r="N2424" s="8" t="s">
        <v>37</v>
      </c>
      <c r="O2424" s="8" t="s">
        <v>136</v>
      </c>
      <c r="P2424" s="6" t="s">
        <v>39</v>
      </c>
      <c r="Q2424" s="8" t="s">
        <v>40</v>
      </c>
      <c r="R2424" s="10" t="s">
        <v>14443</v>
      </c>
      <c r="S2424" s="11"/>
      <c r="T2424" s="6"/>
      <c r="U2424" s="15" t="str">
        <f>HYPERLINK("https://media.infra-m.ru/1904/1904566/cover/1904566.jpg", "Обложка")</f>
        <v>Обложка</v>
      </c>
      <c r="V2424" s="8" t="s">
        <v>14444</v>
      </c>
      <c r="W2424" s="6"/>
      <c r="X2424" s="6"/>
      <c r="Y2424" s="6"/>
      <c r="Z2424" s="6"/>
      <c r="AA2424" s="6" t="s">
        <v>148</v>
      </c>
      <c r="AB2424" s="8"/>
      <c r="AC2424" s="27">
        <v>9785160174679</v>
      </c>
    </row>
    <row r="2425" spans="1:29" s="4" customFormat="1" ht="42" customHeight="1" x14ac:dyDescent="0.2">
      <c r="A2425" s="5">
        <v>0</v>
      </c>
      <c r="B2425" s="6" t="s">
        <v>14445</v>
      </c>
      <c r="C2425" s="7">
        <v>1596</v>
      </c>
      <c r="D2425" s="8" t="s">
        <v>14446</v>
      </c>
      <c r="E2425" s="8" t="s">
        <v>14447</v>
      </c>
      <c r="F2425" s="8" t="s">
        <v>3261</v>
      </c>
      <c r="G2425" s="6" t="s">
        <v>118</v>
      </c>
      <c r="H2425" s="6" t="s">
        <v>34</v>
      </c>
      <c r="I2425" s="8" t="s">
        <v>35</v>
      </c>
      <c r="J2425" s="9">
        <v>1</v>
      </c>
      <c r="K2425" s="9">
        <v>341</v>
      </c>
      <c r="L2425" s="9">
        <v>2022</v>
      </c>
      <c r="M2425" s="8" t="s">
        <v>14448</v>
      </c>
      <c r="N2425" s="8" t="s">
        <v>37</v>
      </c>
      <c r="O2425" s="8" t="s">
        <v>83</v>
      </c>
      <c r="P2425" s="6" t="s">
        <v>39</v>
      </c>
      <c r="Q2425" s="8" t="s">
        <v>40</v>
      </c>
      <c r="R2425" s="10" t="s">
        <v>1976</v>
      </c>
      <c r="S2425" s="11"/>
      <c r="T2425" s="6"/>
      <c r="U2425" s="15" t="str">
        <f>HYPERLINK("https://media.infra-m.ru/1832/1832157/cover/1832157.jpg", "Обложка")</f>
        <v>Обложка</v>
      </c>
      <c r="V2425" s="8" t="s">
        <v>3264</v>
      </c>
      <c r="W2425" s="6"/>
      <c r="X2425" s="6"/>
      <c r="Y2425" s="6"/>
      <c r="Z2425" s="6"/>
      <c r="AA2425" s="6" t="s">
        <v>1256</v>
      </c>
      <c r="AB2425" s="8"/>
      <c r="AC2425" s="27">
        <v>9785160145198</v>
      </c>
    </row>
    <row r="2426" spans="1:29" s="4" customFormat="1" ht="51.9" customHeight="1" x14ac:dyDescent="0.2">
      <c r="A2426" s="5">
        <v>0</v>
      </c>
      <c r="B2426" s="6" t="s">
        <v>14449</v>
      </c>
      <c r="C2426" s="7">
        <v>3232.8</v>
      </c>
      <c r="D2426" s="8" t="s">
        <v>14450</v>
      </c>
      <c r="E2426" s="8" t="s">
        <v>14451</v>
      </c>
      <c r="F2426" s="8" t="s">
        <v>14452</v>
      </c>
      <c r="G2426" s="6" t="s">
        <v>60</v>
      </c>
      <c r="H2426" s="6" t="s">
        <v>1779</v>
      </c>
      <c r="I2426" s="8"/>
      <c r="J2426" s="9">
        <v>1</v>
      </c>
      <c r="K2426" s="9">
        <v>672</v>
      </c>
      <c r="L2426" s="9">
        <v>2026</v>
      </c>
      <c r="M2426" s="8"/>
      <c r="N2426" s="8" t="s">
        <v>37</v>
      </c>
      <c r="O2426" s="8" t="s">
        <v>136</v>
      </c>
      <c r="P2426" s="6" t="s">
        <v>51</v>
      </c>
      <c r="Q2426" s="8" t="s">
        <v>52</v>
      </c>
      <c r="R2426" s="10" t="s">
        <v>14453</v>
      </c>
      <c r="S2426" s="11" t="s">
        <v>14454</v>
      </c>
      <c r="T2426" s="6"/>
      <c r="U2426" s="15" t="str">
        <f>HYPERLINK("https://media.infra-m.ru/2237/2237713/cover/2237713.jpg", "Обложка")</f>
        <v>Обложка</v>
      </c>
      <c r="V2426" s="8" t="s">
        <v>2466</v>
      </c>
      <c r="W2426" s="6"/>
      <c r="X2426" s="6"/>
      <c r="Y2426" s="6"/>
      <c r="Z2426" s="6"/>
      <c r="AA2426" s="6" t="s">
        <v>859</v>
      </c>
      <c r="AB2426" s="8"/>
      <c r="AC2426" s="27"/>
    </row>
    <row r="2427" spans="1:29" s="4" customFormat="1" ht="51.9" customHeight="1" x14ac:dyDescent="0.2">
      <c r="A2427" s="5">
        <v>0</v>
      </c>
      <c r="B2427" s="6" t="s">
        <v>14455</v>
      </c>
      <c r="C2427" s="7">
        <v>2272.8000000000002</v>
      </c>
      <c r="D2427" s="8" t="s">
        <v>14456</v>
      </c>
      <c r="E2427" s="8" t="s">
        <v>14457</v>
      </c>
      <c r="F2427" s="8" t="s">
        <v>14458</v>
      </c>
      <c r="G2427" s="6" t="s">
        <v>118</v>
      </c>
      <c r="H2427" s="6" t="s">
        <v>34</v>
      </c>
      <c r="I2427" s="8" t="s">
        <v>1074</v>
      </c>
      <c r="J2427" s="9">
        <v>1</v>
      </c>
      <c r="K2427" s="9">
        <v>344</v>
      </c>
      <c r="L2427" s="9">
        <v>2026</v>
      </c>
      <c r="M2427" s="8" t="s">
        <v>14459</v>
      </c>
      <c r="N2427" s="8" t="s">
        <v>37</v>
      </c>
      <c r="O2427" s="8" t="s">
        <v>136</v>
      </c>
      <c r="P2427" s="6" t="s">
        <v>39</v>
      </c>
      <c r="Q2427" s="8" t="s">
        <v>40</v>
      </c>
      <c r="R2427" s="10" t="s">
        <v>14460</v>
      </c>
      <c r="S2427" s="11"/>
      <c r="T2427" s="6"/>
      <c r="U2427" s="15" t="str">
        <f>HYPERLINK("https://media.infra-m.ru/2231/2231195/cover/2231195.jpg", "Обложка")</f>
        <v>Обложка</v>
      </c>
      <c r="V2427" s="8" t="s">
        <v>1184</v>
      </c>
      <c r="W2427" s="6"/>
      <c r="X2427" s="6"/>
      <c r="Y2427" s="6"/>
      <c r="Z2427" s="6"/>
      <c r="AA2427" s="6" t="s">
        <v>157</v>
      </c>
      <c r="AB2427" s="8"/>
      <c r="AC2427" s="27">
        <v>9785160181417</v>
      </c>
    </row>
    <row r="2428" spans="1:29" s="4" customFormat="1" ht="51.9" customHeight="1" x14ac:dyDescent="0.2">
      <c r="A2428" s="5">
        <v>0</v>
      </c>
      <c r="B2428" s="6" t="s">
        <v>14461</v>
      </c>
      <c r="C2428" s="7">
        <v>2632.8</v>
      </c>
      <c r="D2428" s="8" t="s">
        <v>14462</v>
      </c>
      <c r="E2428" s="8" t="s">
        <v>14463</v>
      </c>
      <c r="F2428" s="8" t="s">
        <v>14464</v>
      </c>
      <c r="G2428" s="6" t="s">
        <v>60</v>
      </c>
      <c r="H2428" s="6" t="s">
        <v>48</v>
      </c>
      <c r="I2428" s="8" t="s">
        <v>401</v>
      </c>
      <c r="J2428" s="9">
        <v>1</v>
      </c>
      <c r="K2428" s="9">
        <v>400</v>
      </c>
      <c r="L2428" s="9">
        <v>2026</v>
      </c>
      <c r="M2428" s="8" t="s">
        <v>14465</v>
      </c>
      <c r="N2428" s="8" t="s">
        <v>243</v>
      </c>
      <c r="O2428" s="8" t="s">
        <v>758</v>
      </c>
      <c r="P2428" s="6" t="s">
        <v>51</v>
      </c>
      <c r="Q2428" s="8" t="s">
        <v>265</v>
      </c>
      <c r="R2428" s="10" t="s">
        <v>14466</v>
      </c>
      <c r="S2428" s="11" t="s">
        <v>560</v>
      </c>
      <c r="T2428" s="6"/>
      <c r="U2428" s="15" t="str">
        <f>HYPERLINK("https://media.infra-m.ru/2224/2224183/cover/2224183.jpg", "Обложка")</f>
        <v>Обложка</v>
      </c>
      <c r="V2428" s="8" t="s">
        <v>9155</v>
      </c>
      <c r="W2428" s="6"/>
      <c r="X2428" s="6" t="s">
        <v>24</v>
      </c>
      <c r="Y2428" s="6"/>
      <c r="Z2428" s="6"/>
      <c r="AA2428" s="6" t="s">
        <v>43</v>
      </c>
      <c r="AB2428" s="8"/>
      <c r="AC2428" s="27">
        <v>9785911344368</v>
      </c>
    </row>
    <row r="2429" spans="1:29" s="4" customFormat="1" ht="51.9" customHeight="1" x14ac:dyDescent="0.2">
      <c r="A2429" s="5">
        <v>0</v>
      </c>
      <c r="B2429" s="6" t="s">
        <v>14467</v>
      </c>
      <c r="C2429" s="7">
        <v>1792.8</v>
      </c>
      <c r="D2429" s="8" t="s">
        <v>14468</v>
      </c>
      <c r="E2429" s="8" t="s">
        <v>14469</v>
      </c>
      <c r="F2429" s="8" t="s">
        <v>14470</v>
      </c>
      <c r="G2429" s="6" t="s">
        <v>118</v>
      </c>
      <c r="H2429" s="6" t="s">
        <v>34</v>
      </c>
      <c r="I2429" s="8" t="s">
        <v>253</v>
      </c>
      <c r="J2429" s="9">
        <v>1</v>
      </c>
      <c r="K2429" s="9">
        <v>287</v>
      </c>
      <c r="L2429" s="9">
        <v>2026</v>
      </c>
      <c r="M2429" s="8" t="s">
        <v>14471</v>
      </c>
      <c r="N2429" s="8" t="s">
        <v>37</v>
      </c>
      <c r="O2429" s="8" t="s">
        <v>38</v>
      </c>
      <c r="P2429" s="6" t="s">
        <v>51</v>
      </c>
      <c r="Q2429" s="8" t="s">
        <v>65</v>
      </c>
      <c r="R2429" s="10" t="s">
        <v>14472</v>
      </c>
      <c r="S2429" s="11" t="s">
        <v>14473</v>
      </c>
      <c r="T2429" s="6"/>
      <c r="U2429" s="15" t="str">
        <f>HYPERLINK("https://media.infra-m.ru/2218/2218859/cover/2218859.jpg", "Обложка")</f>
        <v>Обложка</v>
      </c>
      <c r="V2429" s="8" t="s">
        <v>2616</v>
      </c>
      <c r="W2429" s="6"/>
      <c r="X2429" s="6"/>
      <c r="Y2429" s="6"/>
      <c r="Z2429" s="6"/>
      <c r="AA2429" s="6" t="s">
        <v>43</v>
      </c>
      <c r="AB2429" s="8"/>
      <c r="AC2429" s="27">
        <v>9785160186665</v>
      </c>
    </row>
    <row r="2430" spans="1:29" s="4" customFormat="1" ht="51.9" customHeight="1" x14ac:dyDescent="0.2">
      <c r="A2430" s="5">
        <v>0</v>
      </c>
      <c r="B2430" s="6" t="s">
        <v>14474</v>
      </c>
      <c r="C2430" s="7">
        <v>1116</v>
      </c>
      <c r="D2430" s="8" t="s">
        <v>14475</v>
      </c>
      <c r="E2430" s="8" t="s">
        <v>14476</v>
      </c>
      <c r="F2430" s="8" t="s">
        <v>14477</v>
      </c>
      <c r="G2430" s="6" t="s">
        <v>33</v>
      </c>
      <c r="H2430" s="6" t="s">
        <v>34</v>
      </c>
      <c r="I2430" s="8" t="s">
        <v>91</v>
      </c>
      <c r="J2430" s="9">
        <v>1</v>
      </c>
      <c r="K2430" s="9">
        <v>169</v>
      </c>
      <c r="L2430" s="9">
        <v>2026</v>
      </c>
      <c r="M2430" s="8" t="s">
        <v>14478</v>
      </c>
      <c r="N2430" s="8" t="s">
        <v>93</v>
      </c>
      <c r="O2430" s="8" t="s">
        <v>14479</v>
      </c>
      <c r="P2430" s="6" t="s">
        <v>105</v>
      </c>
      <c r="Q2430" s="8" t="s">
        <v>52</v>
      </c>
      <c r="R2430" s="10" t="s">
        <v>14480</v>
      </c>
      <c r="S2430" s="11" t="s">
        <v>14481</v>
      </c>
      <c r="T2430" s="6"/>
      <c r="U2430" s="15" t="str">
        <f>HYPERLINK("https://media.infra-m.ru/2224/2224108/cover/2224108.jpg", "Обложка")</f>
        <v>Обложка</v>
      </c>
      <c r="V2430" s="8" t="s">
        <v>704</v>
      </c>
      <c r="W2430" s="6"/>
      <c r="X2430" s="6"/>
      <c r="Y2430" s="6"/>
      <c r="Z2430" s="6"/>
      <c r="AA2430" s="6" t="s">
        <v>99</v>
      </c>
      <c r="AB2430" s="8"/>
      <c r="AC2430" s="27">
        <v>9785160123059</v>
      </c>
    </row>
    <row r="2431" spans="1:29" s="4" customFormat="1" ht="51.9" customHeight="1" x14ac:dyDescent="0.2">
      <c r="A2431" s="5">
        <v>0</v>
      </c>
      <c r="B2431" s="6" t="s">
        <v>14482</v>
      </c>
      <c r="C2431" s="7">
        <v>1356</v>
      </c>
      <c r="D2431" s="8" t="s">
        <v>14483</v>
      </c>
      <c r="E2431" s="8" t="s">
        <v>14484</v>
      </c>
      <c r="F2431" s="8" t="s">
        <v>14485</v>
      </c>
      <c r="G2431" s="6" t="s">
        <v>118</v>
      </c>
      <c r="H2431" s="6" t="s">
        <v>34</v>
      </c>
      <c r="I2431" s="8" t="s">
        <v>253</v>
      </c>
      <c r="J2431" s="9">
        <v>1</v>
      </c>
      <c r="K2431" s="9">
        <v>195</v>
      </c>
      <c r="L2431" s="9">
        <v>2026</v>
      </c>
      <c r="M2431" s="8" t="s">
        <v>14486</v>
      </c>
      <c r="N2431" s="8" t="s">
        <v>37</v>
      </c>
      <c r="O2431" s="8" t="s">
        <v>136</v>
      </c>
      <c r="P2431" s="6" t="s">
        <v>51</v>
      </c>
      <c r="Q2431" s="8" t="s">
        <v>52</v>
      </c>
      <c r="R2431" s="10" t="s">
        <v>1275</v>
      </c>
      <c r="S2431" s="11" t="s">
        <v>14487</v>
      </c>
      <c r="T2431" s="6" t="s">
        <v>97</v>
      </c>
      <c r="U2431" s="15" t="str">
        <f>HYPERLINK("https://media.infra-m.ru/2261/2261163/cover/2261163.jpg", "Обложка")</f>
        <v>Обложка</v>
      </c>
      <c r="V2431" s="8" t="s">
        <v>1069</v>
      </c>
      <c r="W2431" s="6"/>
      <c r="X2431" s="6"/>
      <c r="Y2431" s="6"/>
      <c r="Z2431" s="6"/>
      <c r="AA2431" s="6" t="s">
        <v>1256</v>
      </c>
      <c r="AB2431" s="8"/>
      <c r="AC2431" s="27">
        <v>9785160223018</v>
      </c>
    </row>
    <row r="2432" spans="1:29" s="4" customFormat="1" ht="51.9" customHeight="1" x14ac:dyDescent="0.2">
      <c r="A2432" s="5">
        <v>0</v>
      </c>
      <c r="B2432" s="6" t="s">
        <v>14488</v>
      </c>
      <c r="C2432" s="7">
        <v>1012.8</v>
      </c>
      <c r="D2432" s="8" t="s">
        <v>14489</v>
      </c>
      <c r="E2432" s="8" t="s">
        <v>14490</v>
      </c>
      <c r="F2432" s="8" t="s">
        <v>14081</v>
      </c>
      <c r="G2432" s="6" t="s">
        <v>33</v>
      </c>
      <c r="H2432" s="6" t="s">
        <v>48</v>
      </c>
      <c r="I2432" s="8"/>
      <c r="J2432" s="9">
        <v>1</v>
      </c>
      <c r="K2432" s="9">
        <v>128</v>
      </c>
      <c r="L2432" s="9">
        <v>2026</v>
      </c>
      <c r="M2432" s="8" t="s">
        <v>14491</v>
      </c>
      <c r="N2432" s="8" t="s">
        <v>63</v>
      </c>
      <c r="O2432" s="8" t="s">
        <v>9718</v>
      </c>
      <c r="P2432" s="6" t="s">
        <v>51</v>
      </c>
      <c r="Q2432" s="8" t="s">
        <v>52</v>
      </c>
      <c r="R2432" s="10" t="s">
        <v>14492</v>
      </c>
      <c r="S2432" s="11"/>
      <c r="T2432" s="6"/>
      <c r="U2432" s="15" t="str">
        <f>HYPERLINK("https://media.infra-m.ru/2217/2217136/cover/2217136.jpg", "Обложка")</f>
        <v>Обложка</v>
      </c>
      <c r="V2432" s="8" t="s">
        <v>4389</v>
      </c>
      <c r="W2432" s="6"/>
      <c r="X2432" s="6"/>
      <c r="Y2432" s="6"/>
      <c r="Z2432" s="6"/>
      <c r="AA2432" s="6" t="s">
        <v>274</v>
      </c>
      <c r="AB2432" s="8"/>
      <c r="AC2432" s="27">
        <v>9785911349257</v>
      </c>
    </row>
    <row r="2433" spans="1:29" s="4" customFormat="1" ht="51.9" customHeight="1" x14ac:dyDescent="0.2">
      <c r="A2433" s="5">
        <v>0</v>
      </c>
      <c r="B2433" s="6" t="s">
        <v>14493</v>
      </c>
      <c r="C2433" s="7">
        <v>1836</v>
      </c>
      <c r="D2433" s="8" t="s">
        <v>14494</v>
      </c>
      <c r="E2433" s="8" t="s">
        <v>14495</v>
      </c>
      <c r="F2433" s="8" t="s">
        <v>14496</v>
      </c>
      <c r="G2433" s="6" t="s">
        <v>118</v>
      </c>
      <c r="H2433" s="6" t="s">
        <v>34</v>
      </c>
      <c r="I2433" s="8" t="s">
        <v>2159</v>
      </c>
      <c r="J2433" s="9">
        <v>1</v>
      </c>
      <c r="K2433" s="9">
        <v>279</v>
      </c>
      <c r="L2433" s="9">
        <v>2026</v>
      </c>
      <c r="M2433" s="8" t="s">
        <v>14497</v>
      </c>
      <c r="N2433" s="8" t="s">
        <v>37</v>
      </c>
      <c r="O2433" s="8" t="s">
        <v>233</v>
      </c>
      <c r="P2433" s="6" t="s">
        <v>39</v>
      </c>
      <c r="Q2433" s="8" t="s">
        <v>40</v>
      </c>
      <c r="R2433" s="10" t="s">
        <v>14498</v>
      </c>
      <c r="S2433" s="11"/>
      <c r="T2433" s="6"/>
      <c r="U2433" s="15" t="str">
        <f>HYPERLINK("https://media.infra-m.ru/2224/2224458/cover/2224458.jpg", "Обложка")</f>
        <v>Обложка</v>
      </c>
      <c r="V2433" s="8" t="s">
        <v>657</v>
      </c>
      <c r="W2433" s="6"/>
      <c r="X2433" s="6"/>
      <c r="Y2433" s="6"/>
      <c r="Z2433" s="6"/>
      <c r="AA2433" s="6" t="s">
        <v>157</v>
      </c>
      <c r="AB2433" s="8" t="s">
        <v>670</v>
      </c>
      <c r="AC2433" s="27">
        <v>9785160190464</v>
      </c>
    </row>
    <row r="2434" spans="1:29" s="4" customFormat="1" ht="42" customHeight="1" x14ac:dyDescent="0.2">
      <c r="A2434" s="5">
        <v>0</v>
      </c>
      <c r="B2434" s="6" t="s">
        <v>14499</v>
      </c>
      <c r="C2434" s="7">
        <v>1848</v>
      </c>
      <c r="D2434" s="8" t="s">
        <v>14500</v>
      </c>
      <c r="E2434" s="8" t="s">
        <v>14501</v>
      </c>
      <c r="F2434" s="8" t="s">
        <v>12695</v>
      </c>
      <c r="G2434" s="6" t="s">
        <v>118</v>
      </c>
      <c r="H2434" s="6" t="s">
        <v>34</v>
      </c>
      <c r="I2434" s="8" t="s">
        <v>35</v>
      </c>
      <c r="J2434" s="9">
        <v>1</v>
      </c>
      <c r="K2434" s="9">
        <v>297</v>
      </c>
      <c r="L2434" s="9">
        <v>2025</v>
      </c>
      <c r="M2434" s="8" t="s">
        <v>14502</v>
      </c>
      <c r="N2434" s="8" t="s">
        <v>37</v>
      </c>
      <c r="O2434" s="8" t="s">
        <v>38</v>
      </c>
      <c r="P2434" s="6" t="s">
        <v>39</v>
      </c>
      <c r="Q2434" s="8" t="s">
        <v>40</v>
      </c>
      <c r="R2434" s="10" t="s">
        <v>14503</v>
      </c>
      <c r="S2434" s="11"/>
      <c r="T2434" s="6"/>
      <c r="U2434" s="15" t="str">
        <f>HYPERLINK("https://media.infra-m.ru/2212/2212222/cover/2212222.jpg", "Обложка")</f>
        <v>Обложка</v>
      </c>
      <c r="V2434" s="8" t="s">
        <v>761</v>
      </c>
      <c r="W2434" s="6"/>
      <c r="X2434" s="6"/>
      <c r="Y2434" s="6"/>
      <c r="Z2434" s="6"/>
      <c r="AA2434" s="6" t="s">
        <v>148</v>
      </c>
      <c r="AB2434" s="8"/>
      <c r="AC2434" s="27">
        <v>9785160168982</v>
      </c>
    </row>
    <row r="2435" spans="1:29" s="4" customFormat="1" ht="51.9" customHeight="1" x14ac:dyDescent="0.2">
      <c r="A2435" s="5">
        <v>0</v>
      </c>
      <c r="B2435" s="6" t="s">
        <v>14504</v>
      </c>
      <c r="C2435" s="7">
        <v>1156.8</v>
      </c>
      <c r="D2435" s="8" t="s">
        <v>14505</v>
      </c>
      <c r="E2435" s="8" t="s">
        <v>14506</v>
      </c>
      <c r="F2435" s="8" t="s">
        <v>12695</v>
      </c>
      <c r="G2435" s="6" t="s">
        <v>33</v>
      </c>
      <c r="H2435" s="6" t="s">
        <v>34</v>
      </c>
      <c r="I2435" s="8" t="s">
        <v>35</v>
      </c>
      <c r="J2435" s="9">
        <v>1</v>
      </c>
      <c r="K2435" s="9">
        <v>175</v>
      </c>
      <c r="L2435" s="9">
        <v>2026</v>
      </c>
      <c r="M2435" s="8" t="s">
        <v>14507</v>
      </c>
      <c r="N2435" s="8" t="s">
        <v>37</v>
      </c>
      <c r="O2435" s="8" t="s">
        <v>83</v>
      </c>
      <c r="P2435" s="6" t="s">
        <v>39</v>
      </c>
      <c r="Q2435" s="8" t="s">
        <v>40</v>
      </c>
      <c r="R2435" s="10" t="s">
        <v>14508</v>
      </c>
      <c r="S2435" s="11"/>
      <c r="T2435" s="6"/>
      <c r="U2435" s="15" t="str">
        <f>HYPERLINK("https://media.infra-m.ru/2249/2249513/cover/2249513.jpg", "Обложка")</f>
        <v>Обложка</v>
      </c>
      <c r="V2435" s="8" t="s">
        <v>761</v>
      </c>
      <c r="W2435" s="6"/>
      <c r="X2435" s="6"/>
      <c r="Y2435" s="6"/>
      <c r="Z2435" s="6"/>
      <c r="AA2435" s="6" t="s">
        <v>430</v>
      </c>
      <c r="AB2435" s="8"/>
      <c r="AC2435" s="27">
        <v>9785160167206</v>
      </c>
    </row>
    <row r="2436" spans="1:29" s="4" customFormat="1" ht="51.9" customHeight="1" x14ac:dyDescent="0.2">
      <c r="A2436" s="5">
        <v>0</v>
      </c>
      <c r="B2436" s="6" t="s">
        <v>14509</v>
      </c>
      <c r="C2436" s="7">
        <v>1524</v>
      </c>
      <c r="D2436" s="8" t="s">
        <v>14510</v>
      </c>
      <c r="E2436" s="8" t="s">
        <v>14511</v>
      </c>
      <c r="F2436" s="8" t="s">
        <v>14512</v>
      </c>
      <c r="G2436" s="6" t="s">
        <v>118</v>
      </c>
      <c r="H2436" s="6" t="s">
        <v>48</v>
      </c>
      <c r="I2436" s="8" t="s">
        <v>263</v>
      </c>
      <c r="J2436" s="9">
        <v>1</v>
      </c>
      <c r="K2436" s="9">
        <v>280</v>
      </c>
      <c r="L2436" s="9">
        <v>2023</v>
      </c>
      <c r="M2436" s="8" t="s">
        <v>14513</v>
      </c>
      <c r="N2436" s="8" t="s">
        <v>585</v>
      </c>
      <c r="O2436" s="8" t="s">
        <v>775</v>
      </c>
      <c r="P2436" s="6" t="s">
        <v>306</v>
      </c>
      <c r="Q2436" s="8" t="s">
        <v>265</v>
      </c>
      <c r="R2436" s="10" t="s">
        <v>14514</v>
      </c>
      <c r="S2436" s="11" t="s">
        <v>14515</v>
      </c>
      <c r="T2436" s="6"/>
      <c r="U2436" s="15" t="str">
        <f>HYPERLINK("https://media.infra-m.ru/1971/1971052/cover/1971052.jpg", "Обложка")</f>
        <v>Обложка</v>
      </c>
      <c r="V2436" s="8" t="s">
        <v>2602</v>
      </c>
      <c r="W2436" s="6"/>
      <c r="X2436" s="6" t="s">
        <v>24</v>
      </c>
      <c r="Y2436" s="6"/>
      <c r="Z2436" s="6" t="s">
        <v>267</v>
      </c>
      <c r="AA2436" s="6" t="s">
        <v>2240</v>
      </c>
      <c r="AB2436" s="8"/>
      <c r="AC2436" s="27">
        <v>9785000915769</v>
      </c>
    </row>
    <row r="2437" spans="1:29" s="4" customFormat="1" ht="51.9" customHeight="1" x14ac:dyDescent="0.2">
      <c r="A2437" s="5">
        <v>0</v>
      </c>
      <c r="B2437" s="6" t="s">
        <v>14516</v>
      </c>
      <c r="C2437" s="7">
        <v>1073.9000000000001</v>
      </c>
      <c r="D2437" s="8" t="s">
        <v>14517</v>
      </c>
      <c r="E2437" s="8" t="s">
        <v>14511</v>
      </c>
      <c r="F2437" s="8" t="s">
        <v>14518</v>
      </c>
      <c r="G2437" s="6" t="s">
        <v>33</v>
      </c>
      <c r="H2437" s="6" t="s">
        <v>48</v>
      </c>
      <c r="I2437" s="8" t="s">
        <v>271</v>
      </c>
      <c r="J2437" s="9">
        <v>1</v>
      </c>
      <c r="K2437" s="9">
        <v>280</v>
      </c>
      <c r="L2437" s="9">
        <v>2019</v>
      </c>
      <c r="M2437" s="8" t="s">
        <v>14519</v>
      </c>
      <c r="N2437" s="8" t="s">
        <v>37</v>
      </c>
      <c r="O2437" s="8" t="s">
        <v>136</v>
      </c>
      <c r="P2437" s="6" t="s">
        <v>306</v>
      </c>
      <c r="Q2437" s="8" t="s">
        <v>52</v>
      </c>
      <c r="R2437" s="10" t="s">
        <v>14520</v>
      </c>
      <c r="S2437" s="11" t="s">
        <v>14521</v>
      </c>
      <c r="T2437" s="6"/>
      <c r="U2437" s="15" t="str">
        <f>HYPERLINK("https://media.infra-m.ru/0999/0999744/cover/999744.jpg", "Обложка")</f>
        <v>Обложка</v>
      </c>
      <c r="V2437" s="8" t="s">
        <v>2602</v>
      </c>
      <c r="W2437" s="6"/>
      <c r="X2437" s="6"/>
      <c r="Y2437" s="6"/>
      <c r="Z2437" s="6"/>
      <c r="AA2437" s="6" t="s">
        <v>360</v>
      </c>
      <c r="AB2437" s="8"/>
      <c r="AC2437" s="27">
        <v>9785000911655</v>
      </c>
    </row>
    <row r="2438" spans="1:29" s="4" customFormat="1" ht="51.9" customHeight="1" x14ac:dyDescent="0.2">
      <c r="A2438" s="5">
        <v>0</v>
      </c>
      <c r="B2438" s="6" t="s">
        <v>14522</v>
      </c>
      <c r="C2438" s="7">
        <v>1200</v>
      </c>
      <c r="D2438" s="8" t="s">
        <v>14523</v>
      </c>
      <c r="E2438" s="8" t="s">
        <v>14511</v>
      </c>
      <c r="F2438" s="8" t="s">
        <v>14518</v>
      </c>
      <c r="G2438" s="6" t="s">
        <v>118</v>
      </c>
      <c r="H2438" s="6" t="s">
        <v>48</v>
      </c>
      <c r="I2438" s="8" t="s">
        <v>271</v>
      </c>
      <c r="J2438" s="9">
        <v>1</v>
      </c>
      <c r="K2438" s="9">
        <v>279</v>
      </c>
      <c r="L2438" s="9">
        <v>2021</v>
      </c>
      <c r="M2438" s="8" t="s">
        <v>14524</v>
      </c>
      <c r="N2438" s="8" t="s">
        <v>37</v>
      </c>
      <c r="O2438" s="8" t="s">
        <v>136</v>
      </c>
      <c r="P2438" s="6" t="s">
        <v>306</v>
      </c>
      <c r="Q2438" s="8" t="s">
        <v>52</v>
      </c>
      <c r="R2438" s="10" t="s">
        <v>14520</v>
      </c>
      <c r="S2438" s="11" t="s">
        <v>14521</v>
      </c>
      <c r="T2438" s="6"/>
      <c r="U2438" s="15" t="str">
        <f>HYPERLINK("https://media.infra-m.ru/1234/1234132/cover/1234132.jpg", "Обложка")</f>
        <v>Обложка</v>
      </c>
      <c r="V2438" s="8" t="s">
        <v>2602</v>
      </c>
      <c r="W2438" s="6"/>
      <c r="X2438" s="6"/>
      <c r="Y2438" s="6"/>
      <c r="Z2438" s="6"/>
      <c r="AA2438" s="6" t="s">
        <v>360</v>
      </c>
      <c r="AB2438" s="8"/>
      <c r="AC2438" s="27">
        <v>9785000914601</v>
      </c>
    </row>
    <row r="2439" spans="1:29" s="4" customFormat="1" ht="51.9" customHeight="1" x14ac:dyDescent="0.2">
      <c r="A2439" s="5">
        <v>0</v>
      </c>
      <c r="B2439" s="6" t="s">
        <v>14525</v>
      </c>
      <c r="C2439" s="7">
        <v>3000</v>
      </c>
      <c r="D2439" s="8" t="s">
        <v>14526</v>
      </c>
      <c r="E2439" s="8" t="s">
        <v>14527</v>
      </c>
      <c r="F2439" s="8" t="s">
        <v>14528</v>
      </c>
      <c r="G2439" s="6" t="s">
        <v>60</v>
      </c>
      <c r="H2439" s="6" t="s">
        <v>34</v>
      </c>
      <c r="I2439" s="8" t="s">
        <v>253</v>
      </c>
      <c r="J2439" s="9">
        <v>1</v>
      </c>
      <c r="K2439" s="9">
        <v>559</v>
      </c>
      <c r="L2439" s="9">
        <v>2023</v>
      </c>
      <c r="M2439" s="8" t="s">
        <v>14529</v>
      </c>
      <c r="N2439" s="8" t="s">
        <v>37</v>
      </c>
      <c r="O2439" s="8" t="s">
        <v>280</v>
      </c>
      <c r="P2439" s="6" t="s">
        <v>51</v>
      </c>
      <c r="Q2439" s="8" t="s">
        <v>52</v>
      </c>
      <c r="R2439" s="10" t="s">
        <v>14530</v>
      </c>
      <c r="S2439" s="11" t="s">
        <v>14531</v>
      </c>
      <c r="T2439" s="6" t="s">
        <v>97</v>
      </c>
      <c r="U2439" s="15" t="str">
        <f>HYPERLINK("https://media.infra-m.ru/2039/2039129/cover/2039129.jpg", "Обложка")</f>
        <v>Обложка</v>
      </c>
      <c r="V2439" s="8" t="s">
        <v>396</v>
      </c>
      <c r="W2439" s="6"/>
      <c r="X2439" s="6"/>
      <c r="Y2439" s="6"/>
      <c r="Z2439" s="6"/>
      <c r="AA2439" s="6" t="s">
        <v>623</v>
      </c>
      <c r="AB2439" s="8"/>
      <c r="AC2439" s="27">
        <v>9785160187273</v>
      </c>
    </row>
    <row r="2440" spans="1:29" s="4" customFormat="1" ht="42" customHeight="1" x14ac:dyDescent="0.2">
      <c r="A2440" s="5">
        <v>0</v>
      </c>
      <c r="B2440" s="6" t="s">
        <v>14532</v>
      </c>
      <c r="C2440" s="7">
        <v>2208</v>
      </c>
      <c r="D2440" s="8" t="s">
        <v>14533</v>
      </c>
      <c r="E2440" s="8" t="s">
        <v>14534</v>
      </c>
      <c r="F2440" s="8" t="s">
        <v>3261</v>
      </c>
      <c r="G2440" s="6" t="s">
        <v>60</v>
      </c>
      <c r="H2440" s="6" t="s">
        <v>34</v>
      </c>
      <c r="I2440" s="8" t="s">
        <v>253</v>
      </c>
      <c r="J2440" s="9">
        <v>1</v>
      </c>
      <c r="K2440" s="9">
        <v>354</v>
      </c>
      <c r="L2440" s="9">
        <v>2025</v>
      </c>
      <c r="M2440" s="8" t="s">
        <v>14535</v>
      </c>
      <c r="N2440" s="8" t="s">
        <v>37</v>
      </c>
      <c r="O2440" s="8" t="s">
        <v>280</v>
      </c>
      <c r="P2440" s="6" t="s">
        <v>306</v>
      </c>
      <c r="Q2440" s="8" t="s">
        <v>52</v>
      </c>
      <c r="R2440" s="10" t="s">
        <v>14536</v>
      </c>
      <c r="S2440" s="11"/>
      <c r="T2440" s="6" t="s">
        <v>97</v>
      </c>
      <c r="U2440" s="15" t="str">
        <f>HYPERLINK("https://media.infra-m.ru/1815/1815935/cover/1815935.jpg", "Обложка")</f>
        <v>Обложка</v>
      </c>
      <c r="V2440" s="8" t="s">
        <v>3264</v>
      </c>
      <c r="W2440" s="6"/>
      <c r="X2440" s="6"/>
      <c r="Y2440" s="6"/>
      <c r="Z2440" s="6"/>
      <c r="AA2440" s="6" t="s">
        <v>68</v>
      </c>
      <c r="AB2440" s="8"/>
      <c r="AC2440" s="27">
        <v>9785160171333</v>
      </c>
    </row>
    <row r="2441" spans="1:29" s="4" customFormat="1" ht="51.9" customHeight="1" x14ac:dyDescent="0.2">
      <c r="A2441" s="5">
        <v>0</v>
      </c>
      <c r="B2441" s="6" t="s">
        <v>14537</v>
      </c>
      <c r="C2441" s="7">
        <v>1188</v>
      </c>
      <c r="D2441" s="8" t="s">
        <v>14538</v>
      </c>
      <c r="E2441" s="8" t="s">
        <v>14534</v>
      </c>
      <c r="F2441" s="8" t="s">
        <v>14539</v>
      </c>
      <c r="G2441" s="6" t="s">
        <v>60</v>
      </c>
      <c r="H2441" s="6" t="s">
        <v>34</v>
      </c>
      <c r="I2441" s="8" t="s">
        <v>253</v>
      </c>
      <c r="J2441" s="9">
        <v>1</v>
      </c>
      <c r="K2441" s="9">
        <v>210</v>
      </c>
      <c r="L2441" s="9">
        <v>2023</v>
      </c>
      <c r="M2441" s="8" t="s">
        <v>14540</v>
      </c>
      <c r="N2441" s="8" t="s">
        <v>37</v>
      </c>
      <c r="O2441" s="8" t="s">
        <v>280</v>
      </c>
      <c r="P2441" s="6" t="s">
        <v>51</v>
      </c>
      <c r="Q2441" s="8" t="s">
        <v>52</v>
      </c>
      <c r="R2441" s="10" t="s">
        <v>14541</v>
      </c>
      <c r="S2441" s="11"/>
      <c r="T2441" s="6"/>
      <c r="U2441" s="15" t="str">
        <f>HYPERLINK("https://media.infra-m.ru/1907/1907618/cover/1907618.jpg", "Обложка")</f>
        <v>Обложка</v>
      </c>
      <c r="V2441" s="8" t="s">
        <v>5271</v>
      </c>
      <c r="W2441" s="6"/>
      <c r="X2441" s="6"/>
      <c r="Y2441" s="6"/>
      <c r="Z2441" s="6"/>
      <c r="AA2441" s="6" t="s">
        <v>157</v>
      </c>
      <c r="AB2441" s="8"/>
      <c r="AC2441" s="27">
        <v>9785160180519</v>
      </c>
    </row>
    <row r="2442" spans="1:29" s="4" customFormat="1" ht="42" customHeight="1" x14ac:dyDescent="0.2">
      <c r="A2442" s="5">
        <v>0</v>
      </c>
      <c r="B2442" s="6" t="s">
        <v>14542</v>
      </c>
      <c r="C2442" s="7">
        <v>1044</v>
      </c>
      <c r="D2442" s="8" t="s">
        <v>14543</v>
      </c>
      <c r="E2442" s="8" t="s">
        <v>14544</v>
      </c>
      <c r="F2442" s="8" t="s">
        <v>14545</v>
      </c>
      <c r="G2442" s="6" t="s">
        <v>33</v>
      </c>
      <c r="H2442" s="6" t="s">
        <v>34</v>
      </c>
      <c r="I2442" s="8" t="s">
        <v>35</v>
      </c>
      <c r="J2442" s="9">
        <v>1</v>
      </c>
      <c r="K2442" s="9">
        <v>167</v>
      </c>
      <c r="L2442" s="9">
        <v>2026</v>
      </c>
      <c r="M2442" s="8" t="s">
        <v>14546</v>
      </c>
      <c r="N2442" s="8" t="s">
        <v>37</v>
      </c>
      <c r="O2442" s="8" t="s">
        <v>280</v>
      </c>
      <c r="P2442" s="6" t="s">
        <v>39</v>
      </c>
      <c r="Q2442" s="8" t="s">
        <v>40</v>
      </c>
      <c r="R2442" s="10" t="s">
        <v>14547</v>
      </c>
      <c r="S2442" s="11"/>
      <c r="T2442" s="6"/>
      <c r="U2442" s="15" t="str">
        <f>HYPERLINK("https://media.infra-m.ru/2216/2216003/cover/2216003.jpg", "Обложка")</f>
        <v>Обложка</v>
      </c>
      <c r="V2442" s="8" t="s">
        <v>2446</v>
      </c>
      <c r="W2442" s="6"/>
      <c r="X2442" s="6"/>
      <c r="Y2442" s="6"/>
      <c r="Z2442" s="6"/>
      <c r="AA2442" s="6" t="s">
        <v>779</v>
      </c>
      <c r="AB2442" s="8"/>
      <c r="AC2442" s="27">
        <v>9785160108919</v>
      </c>
    </row>
    <row r="2443" spans="1:29" s="4" customFormat="1" ht="42" customHeight="1" x14ac:dyDescent="0.2">
      <c r="A2443" s="5">
        <v>0</v>
      </c>
      <c r="B2443" s="6" t="s">
        <v>14548</v>
      </c>
      <c r="C2443" s="7">
        <v>1908</v>
      </c>
      <c r="D2443" s="8" t="s">
        <v>14549</v>
      </c>
      <c r="E2443" s="8" t="s">
        <v>14550</v>
      </c>
      <c r="F2443" s="8" t="s">
        <v>14551</v>
      </c>
      <c r="G2443" s="6" t="s">
        <v>60</v>
      </c>
      <c r="H2443" s="6" t="s">
        <v>34</v>
      </c>
      <c r="I2443" s="8"/>
      <c r="J2443" s="9">
        <v>1</v>
      </c>
      <c r="K2443" s="9">
        <v>269</v>
      </c>
      <c r="L2443" s="9">
        <v>2022</v>
      </c>
      <c r="M2443" s="8" t="s">
        <v>14552</v>
      </c>
      <c r="N2443" s="8" t="s">
        <v>37</v>
      </c>
      <c r="O2443" s="8" t="s">
        <v>233</v>
      </c>
      <c r="P2443" s="6" t="s">
        <v>39</v>
      </c>
      <c r="Q2443" s="8" t="s">
        <v>40</v>
      </c>
      <c r="R2443" s="10" t="s">
        <v>4875</v>
      </c>
      <c r="S2443" s="11"/>
      <c r="T2443" s="6"/>
      <c r="U2443" s="15" t="str">
        <f>HYPERLINK("https://media.infra-m.ru/1903/1903322/cover/1903322.jpg", "Обложка")</f>
        <v>Обложка</v>
      </c>
      <c r="V2443" s="8"/>
      <c r="W2443" s="6"/>
      <c r="X2443" s="6"/>
      <c r="Y2443" s="6"/>
      <c r="Z2443" s="6"/>
      <c r="AA2443" s="6" t="s">
        <v>148</v>
      </c>
      <c r="AB2443" s="8"/>
      <c r="AC2443" s="27">
        <v>9785160176574</v>
      </c>
    </row>
    <row r="2444" spans="1:29" s="4" customFormat="1" ht="51.9" customHeight="1" x14ac:dyDescent="0.2">
      <c r="A2444" s="5">
        <v>0</v>
      </c>
      <c r="B2444" s="6" t="s">
        <v>14553</v>
      </c>
      <c r="C2444" s="13">
        <v>828</v>
      </c>
      <c r="D2444" s="8" t="s">
        <v>14554</v>
      </c>
      <c r="E2444" s="8" t="s">
        <v>14555</v>
      </c>
      <c r="F2444" s="8" t="s">
        <v>14556</v>
      </c>
      <c r="G2444" s="6" t="s">
        <v>118</v>
      </c>
      <c r="H2444" s="6" t="s">
        <v>34</v>
      </c>
      <c r="I2444" s="8" t="s">
        <v>253</v>
      </c>
      <c r="J2444" s="9">
        <v>1</v>
      </c>
      <c r="K2444" s="9">
        <v>137</v>
      </c>
      <c r="L2444" s="9">
        <v>2024</v>
      </c>
      <c r="M2444" s="8" t="s">
        <v>14557</v>
      </c>
      <c r="N2444" s="8" t="s">
        <v>37</v>
      </c>
      <c r="O2444" s="8" t="s">
        <v>280</v>
      </c>
      <c r="P2444" s="6" t="s">
        <v>51</v>
      </c>
      <c r="Q2444" s="8" t="s">
        <v>52</v>
      </c>
      <c r="R2444" s="10" t="s">
        <v>14536</v>
      </c>
      <c r="S2444" s="11" t="s">
        <v>14558</v>
      </c>
      <c r="T2444" s="6"/>
      <c r="U2444" s="15" t="str">
        <f>HYPERLINK("https://media.infra-m.ru/2157/2157678/cover/2157678.jpg", "Обложка")</f>
        <v>Обложка</v>
      </c>
      <c r="V2444" s="8" t="s">
        <v>1505</v>
      </c>
      <c r="W2444" s="6"/>
      <c r="X2444" s="6"/>
      <c r="Y2444" s="6"/>
      <c r="Z2444" s="6"/>
      <c r="AA2444" s="6" t="s">
        <v>1256</v>
      </c>
      <c r="AB2444" s="8"/>
      <c r="AC2444" s="27">
        <v>9785160200989</v>
      </c>
    </row>
    <row r="2445" spans="1:29" s="4" customFormat="1" ht="51.9" customHeight="1" x14ac:dyDescent="0.2">
      <c r="A2445" s="5">
        <v>0</v>
      </c>
      <c r="B2445" s="6" t="s">
        <v>14559</v>
      </c>
      <c r="C2445" s="7">
        <v>1972.8</v>
      </c>
      <c r="D2445" s="8" t="s">
        <v>14560</v>
      </c>
      <c r="E2445" s="8" t="s">
        <v>14561</v>
      </c>
      <c r="F2445" s="8" t="s">
        <v>14562</v>
      </c>
      <c r="G2445" s="6" t="s">
        <v>118</v>
      </c>
      <c r="H2445" s="6" t="s">
        <v>34</v>
      </c>
      <c r="I2445" s="8" t="s">
        <v>504</v>
      </c>
      <c r="J2445" s="9">
        <v>1</v>
      </c>
      <c r="K2445" s="9">
        <v>358</v>
      </c>
      <c r="L2445" s="9">
        <v>2023</v>
      </c>
      <c r="M2445" s="8" t="s">
        <v>14563</v>
      </c>
      <c r="N2445" s="8" t="s">
        <v>37</v>
      </c>
      <c r="O2445" s="8" t="s">
        <v>280</v>
      </c>
      <c r="P2445" s="6" t="s">
        <v>306</v>
      </c>
      <c r="Q2445" s="8" t="s">
        <v>500</v>
      </c>
      <c r="R2445" s="10" t="s">
        <v>1824</v>
      </c>
      <c r="S2445" s="11" t="s">
        <v>14564</v>
      </c>
      <c r="T2445" s="6"/>
      <c r="U2445" s="15" t="str">
        <f>HYPERLINK("https://media.infra-m.ru/2110/2110486/cover/2110486.jpg", "Обложка")</f>
        <v>Обложка</v>
      </c>
      <c r="V2445" s="8" t="s">
        <v>13059</v>
      </c>
      <c r="W2445" s="6"/>
      <c r="X2445" s="6"/>
      <c r="Y2445" s="6"/>
      <c r="Z2445" s="6"/>
      <c r="AA2445" s="6" t="s">
        <v>86</v>
      </c>
      <c r="AB2445" s="8"/>
      <c r="AC2445" s="27">
        <v>9785160129532</v>
      </c>
    </row>
    <row r="2446" spans="1:29" s="4" customFormat="1" ht="51.9" customHeight="1" x14ac:dyDescent="0.2">
      <c r="A2446" s="5">
        <v>0</v>
      </c>
      <c r="B2446" s="6" t="s">
        <v>14565</v>
      </c>
      <c r="C2446" s="7">
        <v>1428</v>
      </c>
      <c r="D2446" s="8" t="s">
        <v>14566</v>
      </c>
      <c r="E2446" s="8" t="s">
        <v>14567</v>
      </c>
      <c r="F2446" s="8" t="s">
        <v>14568</v>
      </c>
      <c r="G2446" s="6" t="s">
        <v>60</v>
      </c>
      <c r="H2446" s="6" t="s">
        <v>34</v>
      </c>
      <c r="I2446" s="8" t="s">
        <v>253</v>
      </c>
      <c r="J2446" s="9">
        <v>1</v>
      </c>
      <c r="K2446" s="9">
        <v>231</v>
      </c>
      <c r="L2446" s="9">
        <v>2025</v>
      </c>
      <c r="M2446" s="8" t="s">
        <v>14569</v>
      </c>
      <c r="N2446" s="8" t="s">
        <v>37</v>
      </c>
      <c r="O2446" s="8" t="s">
        <v>280</v>
      </c>
      <c r="P2446" s="6" t="s">
        <v>51</v>
      </c>
      <c r="Q2446" s="8" t="s">
        <v>65</v>
      </c>
      <c r="R2446" s="10" t="s">
        <v>14570</v>
      </c>
      <c r="S2446" s="11"/>
      <c r="T2446" s="6"/>
      <c r="U2446" s="15" t="str">
        <f>HYPERLINK("https://media.infra-m.ru/1995/1995399/cover/1995399.jpg", "Обложка")</f>
        <v>Обложка</v>
      </c>
      <c r="V2446" s="8" t="s">
        <v>14571</v>
      </c>
      <c r="W2446" s="6"/>
      <c r="X2446" s="6"/>
      <c r="Y2446" s="6"/>
      <c r="Z2446" s="6"/>
      <c r="AA2446" s="6" t="s">
        <v>68</v>
      </c>
      <c r="AB2446" s="8"/>
      <c r="AC2446" s="27">
        <v>9785160183992</v>
      </c>
    </row>
    <row r="2447" spans="1:29" s="4" customFormat="1" ht="42" customHeight="1" x14ac:dyDescent="0.2">
      <c r="A2447" s="5">
        <v>0</v>
      </c>
      <c r="B2447" s="6" t="s">
        <v>14572</v>
      </c>
      <c r="C2447" s="13">
        <v>834</v>
      </c>
      <c r="D2447" s="8" t="s">
        <v>14573</v>
      </c>
      <c r="E2447" s="8" t="s">
        <v>14574</v>
      </c>
      <c r="F2447" s="8" t="s">
        <v>14575</v>
      </c>
      <c r="G2447" s="6" t="s">
        <v>33</v>
      </c>
      <c r="H2447" s="6" t="s">
        <v>134</v>
      </c>
      <c r="I2447" s="8"/>
      <c r="J2447" s="9">
        <v>1</v>
      </c>
      <c r="K2447" s="9">
        <v>68</v>
      </c>
      <c r="L2447" s="9">
        <v>2025</v>
      </c>
      <c r="M2447" s="8" t="s">
        <v>14576</v>
      </c>
      <c r="N2447" s="8" t="s">
        <v>37</v>
      </c>
      <c r="O2447" s="8" t="s">
        <v>136</v>
      </c>
      <c r="P2447" s="6" t="s">
        <v>39</v>
      </c>
      <c r="Q2447" s="8" t="s">
        <v>65</v>
      </c>
      <c r="R2447" s="10" t="s">
        <v>14577</v>
      </c>
      <c r="S2447" s="11"/>
      <c r="T2447" s="6"/>
      <c r="U2447" s="15" t="str">
        <f>HYPERLINK("https://media.infra-m.ru/2198/2198725/cover/2198725.jpg", "Обложка")</f>
        <v>Обложка</v>
      </c>
      <c r="V2447" s="8" t="s">
        <v>67</v>
      </c>
      <c r="W2447" s="6"/>
      <c r="X2447" s="6"/>
      <c r="Y2447" s="6"/>
      <c r="Z2447" s="6"/>
      <c r="AA2447" s="6" t="s">
        <v>68</v>
      </c>
      <c r="AB2447" s="8"/>
      <c r="AC2447" s="27">
        <v>9785001564232</v>
      </c>
    </row>
    <row r="2448" spans="1:29" s="4" customFormat="1" ht="51.9" customHeight="1" x14ac:dyDescent="0.2">
      <c r="A2448" s="5">
        <v>0</v>
      </c>
      <c r="B2448" s="6" t="s">
        <v>14578</v>
      </c>
      <c r="C2448" s="7">
        <v>3120</v>
      </c>
      <c r="D2448" s="8" t="s">
        <v>14579</v>
      </c>
      <c r="E2448" s="8" t="s">
        <v>14580</v>
      </c>
      <c r="F2448" s="8" t="s">
        <v>14581</v>
      </c>
      <c r="G2448" s="6" t="s">
        <v>60</v>
      </c>
      <c r="H2448" s="6" t="s">
        <v>1644</v>
      </c>
      <c r="I2448" s="8"/>
      <c r="J2448" s="9">
        <v>1</v>
      </c>
      <c r="K2448" s="9">
        <v>648</v>
      </c>
      <c r="L2448" s="9">
        <v>2024</v>
      </c>
      <c r="M2448" s="8" t="s">
        <v>14582</v>
      </c>
      <c r="N2448" s="8" t="s">
        <v>37</v>
      </c>
      <c r="O2448" s="8" t="s">
        <v>233</v>
      </c>
      <c r="P2448" s="6" t="s">
        <v>306</v>
      </c>
      <c r="Q2448" s="8" t="s">
        <v>65</v>
      </c>
      <c r="R2448" s="10" t="s">
        <v>14583</v>
      </c>
      <c r="S2448" s="11"/>
      <c r="T2448" s="6"/>
      <c r="U2448" s="15" t="str">
        <f>HYPERLINK("https://media.infra-m.ru/2146/2146342/cover/2146342.jpg", "Обложка")</f>
        <v>Обложка</v>
      </c>
      <c r="V2448" s="8"/>
      <c r="W2448" s="6"/>
      <c r="X2448" s="6"/>
      <c r="Y2448" s="6"/>
      <c r="Z2448" s="6"/>
      <c r="AA2448" s="6" t="s">
        <v>157</v>
      </c>
      <c r="AB2448" s="8"/>
      <c r="AC2448" s="27">
        <v>9785977605526</v>
      </c>
    </row>
    <row r="2449" spans="1:29" s="4" customFormat="1" ht="51.9" customHeight="1" x14ac:dyDescent="0.2">
      <c r="A2449" s="5">
        <v>0</v>
      </c>
      <c r="B2449" s="6" t="s">
        <v>14584</v>
      </c>
      <c r="C2449" s="7">
        <v>1416</v>
      </c>
      <c r="D2449" s="8" t="s">
        <v>14585</v>
      </c>
      <c r="E2449" s="8" t="s">
        <v>14586</v>
      </c>
      <c r="F2449" s="8" t="s">
        <v>9977</v>
      </c>
      <c r="G2449" s="6" t="s">
        <v>118</v>
      </c>
      <c r="H2449" s="6" t="s">
        <v>34</v>
      </c>
      <c r="I2449" s="8" t="s">
        <v>3538</v>
      </c>
      <c r="J2449" s="9">
        <v>1</v>
      </c>
      <c r="K2449" s="9">
        <v>318</v>
      </c>
      <c r="L2449" s="9">
        <v>2021</v>
      </c>
      <c r="M2449" s="8" t="s">
        <v>14587</v>
      </c>
      <c r="N2449" s="8" t="s">
        <v>585</v>
      </c>
      <c r="O2449" s="8" t="s">
        <v>586</v>
      </c>
      <c r="P2449" s="6" t="s">
        <v>234</v>
      </c>
      <c r="Q2449" s="8" t="s">
        <v>1349</v>
      </c>
      <c r="R2449" s="10" t="s">
        <v>14588</v>
      </c>
      <c r="S2449" s="11" t="s">
        <v>14589</v>
      </c>
      <c r="T2449" s="6"/>
      <c r="U2449" s="15" t="str">
        <f>HYPERLINK("https://media.infra-m.ru/1601/1601510/cover/1601510.jpg", "Обложка")</f>
        <v>Обложка</v>
      </c>
      <c r="V2449" s="8" t="s">
        <v>3196</v>
      </c>
      <c r="W2449" s="6"/>
      <c r="X2449" s="6"/>
      <c r="Y2449" s="6"/>
      <c r="Z2449" s="6"/>
      <c r="AA2449" s="6" t="s">
        <v>5169</v>
      </c>
      <c r="AB2449" s="8"/>
      <c r="AC2449" s="27">
        <v>9785160111056</v>
      </c>
    </row>
    <row r="2450" spans="1:29" s="4" customFormat="1" ht="51.9" customHeight="1" x14ac:dyDescent="0.2">
      <c r="A2450" s="5">
        <v>0</v>
      </c>
      <c r="B2450" s="6" t="s">
        <v>14590</v>
      </c>
      <c r="C2450" s="7">
        <v>1624.8</v>
      </c>
      <c r="D2450" s="8" t="s">
        <v>14591</v>
      </c>
      <c r="E2450" s="8" t="s">
        <v>14592</v>
      </c>
      <c r="F2450" s="8" t="s">
        <v>661</v>
      </c>
      <c r="G2450" s="6" t="s">
        <v>118</v>
      </c>
      <c r="H2450" s="6" t="s">
        <v>34</v>
      </c>
      <c r="I2450" s="8" t="s">
        <v>3538</v>
      </c>
      <c r="J2450" s="9">
        <v>1</v>
      </c>
      <c r="K2450" s="9">
        <v>245</v>
      </c>
      <c r="L2450" s="9">
        <v>2026</v>
      </c>
      <c r="M2450" s="8" t="s">
        <v>14593</v>
      </c>
      <c r="N2450" s="8" t="s">
        <v>585</v>
      </c>
      <c r="O2450" s="8" t="s">
        <v>586</v>
      </c>
      <c r="P2450" s="6" t="s">
        <v>234</v>
      </c>
      <c r="Q2450" s="8" t="s">
        <v>1349</v>
      </c>
      <c r="R2450" s="10" t="s">
        <v>14588</v>
      </c>
      <c r="S2450" s="11" t="s">
        <v>14589</v>
      </c>
      <c r="T2450" s="6"/>
      <c r="U2450" s="15" t="str">
        <f>HYPERLINK("https://media.infra-m.ru/2231/2231247/cover/2231247.jpg", "Обложка")</f>
        <v>Обложка</v>
      </c>
      <c r="V2450" s="8" t="s">
        <v>3196</v>
      </c>
      <c r="W2450" s="6"/>
      <c r="X2450" s="6"/>
      <c r="Y2450" s="6"/>
      <c r="Z2450" s="6"/>
      <c r="AA2450" s="6" t="s">
        <v>14594</v>
      </c>
      <c r="AB2450" s="8"/>
      <c r="AC2450" s="27">
        <v>9785160171432</v>
      </c>
    </row>
    <row r="2451" spans="1:29" s="4" customFormat="1" ht="44.1" customHeight="1" x14ac:dyDescent="0.2">
      <c r="A2451" s="5">
        <v>0</v>
      </c>
      <c r="B2451" s="6" t="s">
        <v>14595</v>
      </c>
      <c r="C2451" s="7">
        <v>1788</v>
      </c>
      <c r="D2451" s="8" t="s">
        <v>14596</v>
      </c>
      <c r="E2451" s="8" t="s">
        <v>14597</v>
      </c>
      <c r="F2451" s="8" t="s">
        <v>14598</v>
      </c>
      <c r="G2451" s="6" t="s">
        <v>118</v>
      </c>
      <c r="H2451" s="6" t="s">
        <v>34</v>
      </c>
      <c r="I2451" s="8" t="s">
        <v>253</v>
      </c>
      <c r="J2451" s="9">
        <v>1</v>
      </c>
      <c r="K2451" s="9">
        <v>264</v>
      </c>
      <c r="L2451" s="9">
        <v>2026</v>
      </c>
      <c r="M2451" s="8" t="s">
        <v>14599</v>
      </c>
      <c r="N2451" s="8" t="s">
        <v>93</v>
      </c>
      <c r="O2451" s="8" t="s">
        <v>94</v>
      </c>
      <c r="P2451" s="6" t="s">
        <v>51</v>
      </c>
      <c r="Q2451" s="8" t="s">
        <v>65</v>
      </c>
      <c r="R2451" s="10" t="s">
        <v>14600</v>
      </c>
      <c r="S2451" s="11"/>
      <c r="T2451" s="6"/>
      <c r="U2451" s="15" t="str">
        <f>HYPERLINK("https://media.infra-m.ru/2243/2243393/cover/2243393.jpg", "Обложка")</f>
        <v>Обложка</v>
      </c>
      <c r="V2451" s="8" t="s">
        <v>14601</v>
      </c>
      <c r="W2451" s="6"/>
      <c r="X2451" s="6"/>
      <c r="Y2451" s="6"/>
      <c r="Z2451" s="6"/>
      <c r="AA2451" s="6" t="s">
        <v>68</v>
      </c>
      <c r="AB2451" s="8" t="s">
        <v>2922</v>
      </c>
      <c r="AC2451" s="27">
        <v>9785160204772</v>
      </c>
    </row>
    <row r="2452" spans="1:29" s="4" customFormat="1" ht="51.9" customHeight="1" x14ac:dyDescent="0.2">
      <c r="A2452" s="5">
        <v>0</v>
      </c>
      <c r="B2452" s="6" t="s">
        <v>14602</v>
      </c>
      <c r="C2452" s="7">
        <v>3204</v>
      </c>
      <c r="D2452" s="8" t="s">
        <v>14603</v>
      </c>
      <c r="E2452" s="8" t="s">
        <v>14604</v>
      </c>
      <c r="F2452" s="8" t="s">
        <v>14598</v>
      </c>
      <c r="G2452" s="6" t="s">
        <v>60</v>
      </c>
      <c r="H2452" s="6" t="s">
        <v>34</v>
      </c>
      <c r="I2452" s="8" t="s">
        <v>253</v>
      </c>
      <c r="J2452" s="9">
        <v>1</v>
      </c>
      <c r="K2452" s="9">
        <v>484</v>
      </c>
      <c r="L2452" s="9">
        <v>2026</v>
      </c>
      <c r="M2452" s="8" t="s">
        <v>14605</v>
      </c>
      <c r="N2452" s="8" t="s">
        <v>93</v>
      </c>
      <c r="O2452" s="8" t="s">
        <v>7500</v>
      </c>
      <c r="P2452" s="6" t="s">
        <v>51</v>
      </c>
      <c r="Q2452" s="8" t="s">
        <v>52</v>
      </c>
      <c r="R2452" s="10" t="s">
        <v>9352</v>
      </c>
      <c r="S2452" s="11" t="s">
        <v>14606</v>
      </c>
      <c r="T2452" s="6" t="s">
        <v>97</v>
      </c>
      <c r="U2452" s="15" t="str">
        <f>HYPERLINK("https://media.infra-m.ru/2236/2236119/cover/2236119.jpg", "Обложка")</f>
        <v>Обложка</v>
      </c>
      <c r="V2452" s="8" t="s">
        <v>14601</v>
      </c>
      <c r="W2452" s="6"/>
      <c r="X2452" s="6"/>
      <c r="Y2452" s="6"/>
      <c r="Z2452" s="6"/>
      <c r="AA2452" s="6" t="s">
        <v>779</v>
      </c>
      <c r="AB2452" s="8"/>
      <c r="AC2452" s="27">
        <v>9785160191737</v>
      </c>
    </row>
    <row r="2453" spans="1:29" s="4" customFormat="1" ht="42" customHeight="1" x14ac:dyDescent="0.2">
      <c r="A2453" s="5">
        <v>0</v>
      </c>
      <c r="B2453" s="6" t="s">
        <v>14607</v>
      </c>
      <c r="C2453" s="13">
        <v>496.8</v>
      </c>
      <c r="D2453" s="8" t="s">
        <v>14608</v>
      </c>
      <c r="E2453" s="8" t="s">
        <v>14609</v>
      </c>
      <c r="F2453" s="8" t="s">
        <v>11099</v>
      </c>
      <c r="G2453" s="6" t="s">
        <v>33</v>
      </c>
      <c r="H2453" s="6" t="s">
        <v>34</v>
      </c>
      <c r="I2453" s="8"/>
      <c r="J2453" s="9">
        <v>1</v>
      </c>
      <c r="K2453" s="9">
        <v>63</v>
      </c>
      <c r="L2453" s="9">
        <v>2027</v>
      </c>
      <c r="M2453" s="8" t="s">
        <v>14610</v>
      </c>
      <c r="N2453" s="8" t="s">
        <v>93</v>
      </c>
      <c r="O2453" s="8" t="s">
        <v>10306</v>
      </c>
      <c r="P2453" s="6" t="s">
        <v>51</v>
      </c>
      <c r="Q2453" s="8" t="s">
        <v>1891</v>
      </c>
      <c r="R2453" s="10" t="s">
        <v>10307</v>
      </c>
      <c r="S2453" s="11"/>
      <c r="T2453" s="6"/>
      <c r="U2453" s="15" t="str">
        <f>HYPERLINK("https://media.infra-m.ru/2272/2272315/cover/2272315.jpg", "Обложка")</f>
        <v>Обложка</v>
      </c>
      <c r="V2453" s="8" t="s">
        <v>34</v>
      </c>
      <c r="W2453" s="6"/>
      <c r="X2453" s="6"/>
      <c r="Y2453" s="6"/>
      <c r="Z2453" s="6"/>
      <c r="AA2453" s="6" t="s">
        <v>68</v>
      </c>
      <c r="AB2453" s="8"/>
      <c r="AC2453" s="27">
        <v>9785160166834</v>
      </c>
    </row>
    <row r="2454" spans="1:29" s="4" customFormat="1" ht="51.9" customHeight="1" x14ac:dyDescent="0.2">
      <c r="A2454" s="5">
        <v>0</v>
      </c>
      <c r="B2454" s="6" t="s">
        <v>14611</v>
      </c>
      <c r="C2454" s="13">
        <v>960</v>
      </c>
      <c r="D2454" s="8" t="s">
        <v>14612</v>
      </c>
      <c r="E2454" s="8" t="s">
        <v>14613</v>
      </c>
      <c r="F2454" s="8" t="s">
        <v>14614</v>
      </c>
      <c r="G2454" s="6" t="s">
        <v>33</v>
      </c>
      <c r="H2454" s="6" t="s">
        <v>34</v>
      </c>
      <c r="I2454" s="8" t="s">
        <v>253</v>
      </c>
      <c r="J2454" s="9">
        <v>1</v>
      </c>
      <c r="K2454" s="9">
        <v>112</v>
      </c>
      <c r="L2454" s="9">
        <v>2026</v>
      </c>
      <c r="M2454" s="8" t="s">
        <v>14615</v>
      </c>
      <c r="N2454" s="8" t="s">
        <v>93</v>
      </c>
      <c r="O2454" s="8" t="s">
        <v>94</v>
      </c>
      <c r="P2454" s="6" t="s">
        <v>51</v>
      </c>
      <c r="Q2454" s="8" t="s">
        <v>52</v>
      </c>
      <c r="R2454" s="10" t="s">
        <v>14616</v>
      </c>
      <c r="S2454" s="11" t="s">
        <v>14617</v>
      </c>
      <c r="T2454" s="6"/>
      <c r="U2454" s="15" t="str">
        <f>HYPERLINK("https://media.infra-m.ru/2219/2219010/cover/2219010.jpg", "Обложка")</f>
        <v>Обложка</v>
      </c>
      <c r="V2454" s="8" t="s">
        <v>247</v>
      </c>
      <c r="W2454" s="6"/>
      <c r="X2454" s="6"/>
      <c r="Y2454" s="6"/>
      <c r="Z2454" s="6"/>
      <c r="AA2454" s="6" t="s">
        <v>43</v>
      </c>
      <c r="AB2454" s="8"/>
      <c r="AC2454" s="27">
        <v>9785161122792</v>
      </c>
    </row>
    <row r="2455" spans="1:29" s="4" customFormat="1" ht="51.9" customHeight="1" x14ac:dyDescent="0.2">
      <c r="A2455" s="5">
        <v>0</v>
      </c>
      <c r="B2455" s="6" t="s">
        <v>14618</v>
      </c>
      <c r="C2455" s="13">
        <v>940.8</v>
      </c>
      <c r="D2455" s="8" t="s">
        <v>14619</v>
      </c>
      <c r="E2455" s="8" t="s">
        <v>14620</v>
      </c>
      <c r="F2455" s="8" t="s">
        <v>14621</v>
      </c>
      <c r="G2455" s="6" t="s">
        <v>118</v>
      </c>
      <c r="H2455" s="6" t="s">
        <v>34</v>
      </c>
      <c r="I2455" s="8" t="s">
        <v>271</v>
      </c>
      <c r="J2455" s="9">
        <v>1</v>
      </c>
      <c r="K2455" s="9">
        <v>142</v>
      </c>
      <c r="L2455" s="9">
        <v>2026</v>
      </c>
      <c r="M2455" s="8" t="s">
        <v>14622</v>
      </c>
      <c r="N2455" s="8" t="s">
        <v>93</v>
      </c>
      <c r="O2455" s="8" t="s">
        <v>94</v>
      </c>
      <c r="P2455" s="6" t="s">
        <v>51</v>
      </c>
      <c r="Q2455" s="8" t="s">
        <v>52</v>
      </c>
      <c r="R2455" s="10" t="s">
        <v>14623</v>
      </c>
      <c r="S2455" s="11" t="s">
        <v>14624</v>
      </c>
      <c r="T2455" s="6"/>
      <c r="U2455" s="15" t="str">
        <f>HYPERLINK("https://media.infra-m.ru/2219/2219013/cover/2219013.jpg", "Обложка")</f>
        <v>Обложка</v>
      </c>
      <c r="V2455" s="8"/>
      <c r="W2455" s="6"/>
      <c r="X2455" s="6"/>
      <c r="Y2455" s="6"/>
      <c r="Z2455" s="6"/>
      <c r="AA2455" s="6" t="s">
        <v>896</v>
      </c>
      <c r="AB2455" s="8"/>
      <c r="AC2455" s="27">
        <v>9785160167817</v>
      </c>
    </row>
    <row r="2456" spans="1:29" s="4" customFormat="1" ht="44.1" customHeight="1" x14ac:dyDescent="0.2">
      <c r="A2456" s="5">
        <v>0</v>
      </c>
      <c r="B2456" s="6" t="s">
        <v>14625</v>
      </c>
      <c r="C2456" s="13">
        <v>233.9</v>
      </c>
      <c r="D2456" s="8" t="s">
        <v>14626</v>
      </c>
      <c r="E2456" s="8" t="s">
        <v>14627</v>
      </c>
      <c r="F2456" s="8" t="s">
        <v>14628</v>
      </c>
      <c r="G2456" s="6" t="s">
        <v>33</v>
      </c>
      <c r="H2456" s="6" t="s">
        <v>48</v>
      </c>
      <c r="I2456" s="8"/>
      <c r="J2456" s="9">
        <v>1</v>
      </c>
      <c r="K2456" s="9">
        <v>56</v>
      </c>
      <c r="L2456" s="9">
        <v>2020</v>
      </c>
      <c r="M2456" s="8" t="s">
        <v>14629</v>
      </c>
      <c r="N2456" s="8" t="s">
        <v>585</v>
      </c>
      <c r="O2456" s="8" t="s">
        <v>586</v>
      </c>
      <c r="P2456" s="6" t="s">
        <v>51</v>
      </c>
      <c r="Q2456" s="8" t="s">
        <v>52</v>
      </c>
      <c r="R2456" s="10" t="s">
        <v>14623</v>
      </c>
      <c r="S2456" s="11"/>
      <c r="T2456" s="6"/>
      <c r="U2456" s="15" t="str">
        <f>HYPERLINK("https://media.infra-m.ru/1081/1081935/cover/1081935.jpg", "Обложка")</f>
        <v>Обложка</v>
      </c>
      <c r="V2456" s="8" t="s">
        <v>5964</v>
      </c>
      <c r="W2456" s="6"/>
      <c r="X2456" s="6"/>
      <c r="Y2456" s="6"/>
      <c r="Z2456" s="6"/>
      <c r="AA2456" s="6" t="s">
        <v>274</v>
      </c>
      <c r="AB2456" s="8"/>
      <c r="AC2456" s="27">
        <v>9785000910931</v>
      </c>
    </row>
    <row r="2457" spans="1:29" s="4" customFormat="1" ht="42" customHeight="1" x14ac:dyDescent="0.2">
      <c r="A2457" s="5">
        <v>0</v>
      </c>
      <c r="B2457" s="6" t="s">
        <v>14630</v>
      </c>
      <c r="C2457" s="13">
        <v>660</v>
      </c>
      <c r="D2457" s="8" t="s">
        <v>14631</v>
      </c>
      <c r="E2457" s="8" t="s">
        <v>14632</v>
      </c>
      <c r="F2457" s="8" t="s">
        <v>14633</v>
      </c>
      <c r="G2457" s="6" t="s">
        <v>60</v>
      </c>
      <c r="H2457" s="6" t="s">
        <v>34</v>
      </c>
      <c r="I2457" s="8"/>
      <c r="J2457" s="9">
        <v>1</v>
      </c>
      <c r="K2457" s="9">
        <v>527</v>
      </c>
      <c r="L2457" s="9">
        <v>2023</v>
      </c>
      <c r="M2457" s="8" t="s">
        <v>14634</v>
      </c>
      <c r="N2457" s="8" t="s">
        <v>37</v>
      </c>
      <c r="O2457" s="8" t="s">
        <v>499</v>
      </c>
      <c r="P2457" s="6" t="s">
        <v>10093</v>
      </c>
      <c r="Q2457" s="8" t="s">
        <v>183</v>
      </c>
      <c r="R2457" s="10"/>
      <c r="S2457" s="11"/>
      <c r="T2457" s="6"/>
      <c r="U2457" s="15" t="str">
        <f>HYPERLINK("https://media.infra-m.ru/2118/2118105/cover/2118105.jpg", "Обложка")</f>
        <v>Обложка</v>
      </c>
      <c r="V2457" s="8" t="s">
        <v>227</v>
      </c>
      <c r="W2457" s="6"/>
      <c r="X2457" s="6"/>
      <c r="Y2457" s="6"/>
      <c r="Z2457" s="6"/>
      <c r="AA2457" s="6" t="s">
        <v>157</v>
      </c>
      <c r="AB2457" s="8"/>
      <c r="AC2457" s="27">
        <v>9785160186900</v>
      </c>
    </row>
    <row r="2458" spans="1:29" s="4" customFormat="1" ht="42" customHeight="1" x14ac:dyDescent="0.2">
      <c r="A2458" s="5">
        <v>0</v>
      </c>
      <c r="B2458" s="6" t="s">
        <v>14635</v>
      </c>
      <c r="C2458" s="7">
        <v>1104</v>
      </c>
      <c r="D2458" s="8" t="s">
        <v>14636</v>
      </c>
      <c r="E2458" s="8" t="s">
        <v>14637</v>
      </c>
      <c r="F2458" s="8" t="s">
        <v>14638</v>
      </c>
      <c r="G2458" s="6" t="s">
        <v>118</v>
      </c>
      <c r="H2458" s="6" t="s">
        <v>34</v>
      </c>
      <c r="I2458" s="8" t="s">
        <v>253</v>
      </c>
      <c r="J2458" s="9">
        <v>1</v>
      </c>
      <c r="K2458" s="9">
        <v>156</v>
      </c>
      <c r="L2458" s="9">
        <v>2026</v>
      </c>
      <c r="M2458" s="8" t="s">
        <v>14639</v>
      </c>
      <c r="N2458" s="8" t="s">
        <v>243</v>
      </c>
      <c r="O2458" s="8" t="s">
        <v>798</v>
      </c>
      <c r="P2458" s="6" t="s">
        <v>105</v>
      </c>
      <c r="Q2458" s="8" t="s">
        <v>52</v>
      </c>
      <c r="R2458" s="10" t="s">
        <v>6735</v>
      </c>
      <c r="S2458" s="11"/>
      <c r="T2458" s="6"/>
      <c r="U2458" s="15" t="str">
        <f>HYPERLINK("https://media.infra-m.ru/2230/2230659/cover/2230659.jpg", "Обложка")</f>
        <v>Обложка</v>
      </c>
      <c r="V2458" s="8" t="s">
        <v>14640</v>
      </c>
      <c r="W2458" s="6"/>
      <c r="X2458" s="6"/>
      <c r="Y2458" s="6"/>
      <c r="Z2458" s="6"/>
      <c r="AA2458" s="6" t="s">
        <v>274</v>
      </c>
      <c r="AB2458" s="8"/>
      <c r="AC2458" s="27">
        <v>9785160103105</v>
      </c>
    </row>
    <row r="2459" spans="1:29" s="4" customFormat="1" ht="51.9" customHeight="1" x14ac:dyDescent="0.2">
      <c r="A2459" s="5">
        <v>0</v>
      </c>
      <c r="B2459" s="6" t="s">
        <v>14641</v>
      </c>
      <c r="C2459" s="13">
        <v>653.9</v>
      </c>
      <c r="D2459" s="8" t="s">
        <v>14642</v>
      </c>
      <c r="E2459" s="8" t="s">
        <v>14643</v>
      </c>
      <c r="F2459" s="8" t="s">
        <v>14644</v>
      </c>
      <c r="G2459" s="6" t="s">
        <v>33</v>
      </c>
      <c r="H2459" s="6" t="s">
        <v>820</v>
      </c>
      <c r="I2459" s="8" t="s">
        <v>271</v>
      </c>
      <c r="J2459" s="9">
        <v>1</v>
      </c>
      <c r="K2459" s="9">
        <v>146</v>
      </c>
      <c r="L2459" s="9">
        <v>2020</v>
      </c>
      <c r="M2459" s="8" t="s">
        <v>14645</v>
      </c>
      <c r="N2459" s="8" t="s">
        <v>243</v>
      </c>
      <c r="O2459" s="8" t="s">
        <v>1100</v>
      </c>
      <c r="P2459" s="6" t="s">
        <v>51</v>
      </c>
      <c r="Q2459" s="8" t="s">
        <v>52</v>
      </c>
      <c r="R2459" s="10" t="s">
        <v>2479</v>
      </c>
      <c r="S2459" s="11" t="s">
        <v>6203</v>
      </c>
      <c r="T2459" s="6"/>
      <c r="U2459" s="15" t="str">
        <f>HYPERLINK("https://media.infra-m.ru/1066/1066717/cover/1066717.jpg", "Обложка")</f>
        <v>Обложка</v>
      </c>
      <c r="V2459" s="8" t="s">
        <v>14646</v>
      </c>
      <c r="W2459" s="6"/>
      <c r="X2459" s="6"/>
      <c r="Y2459" s="6"/>
      <c r="Z2459" s="6"/>
      <c r="AA2459" s="6" t="s">
        <v>779</v>
      </c>
      <c r="AB2459" s="8"/>
      <c r="AC2459" s="27">
        <v>9785906818225</v>
      </c>
    </row>
    <row r="2460" spans="1:29" s="4" customFormat="1" ht="51.9" customHeight="1" x14ac:dyDescent="0.2">
      <c r="A2460" s="5">
        <v>0</v>
      </c>
      <c r="B2460" s="6" t="s">
        <v>14647</v>
      </c>
      <c r="C2460" s="7">
        <v>1174.8</v>
      </c>
      <c r="D2460" s="8" t="s">
        <v>14648</v>
      </c>
      <c r="E2460" s="8" t="s">
        <v>14649</v>
      </c>
      <c r="F2460" s="8" t="s">
        <v>14650</v>
      </c>
      <c r="G2460" s="6" t="s">
        <v>33</v>
      </c>
      <c r="H2460" s="6" t="s">
        <v>34</v>
      </c>
      <c r="I2460" s="8" t="s">
        <v>263</v>
      </c>
      <c r="J2460" s="9">
        <v>1</v>
      </c>
      <c r="K2460" s="9">
        <v>112</v>
      </c>
      <c r="L2460" s="9">
        <v>2026</v>
      </c>
      <c r="M2460" s="8" t="s">
        <v>14651</v>
      </c>
      <c r="N2460" s="8" t="s">
        <v>243</v>
      </c>
      <c r="O2460" s="8" t="s">
        <v>1100</v>
      </c>
      <c r="P2460" s="6" t="s">
        <v>51</v>
      </c>
      <c r="Q2460" s="8" t="s">
        <v>265</v>
      </c>
      <c r="R2460" s="10" t="s">
        <v>14652</v>
      </c>
      <c r="S2460" s="11" t="s">
        <v>1139</v>
      </c>
      <c r="T2460" s="6"/>
      <c r="U2460" s="15" t="str">
        <f>HYPERLINK("https://media.infra-m.ru/2249/2249343/cover/2249343.jpg", "Обложка")</f>
        <v>Обложка</v>
      </c>
      <c r="V2460" s="8" t="s">
        <v>1030</v>
      </c>
      <c r="W2460" s="6"/>
      <c r="X2460" s="6"/>
      <c r="Y2460" s="6"/>
      <c r="Z2460" s="6" t="s">
        <v>882</v>
      </c>
      <c r="AA2460" s="6" t="s">
        <v>115</v>
      </c>
      <c r="AB2460" s="8"/>
      <c r="AC2460" s="27">
        <v>9785160139531</v>
      </c>
    </row>
    <row r="2461" spans="1:29" s="4" customFormat="1" ht="51.9" customHeight="1" x14ac:dyDescent="0.2">
      <c r="A2461" s="5">
        <v>0</v>
      </c>
      <c r="B2461" s="6" t="s">
        <v>14653</v>
      </c>
      <c r="C2461" s="13">
        <v>904.8</v>
      </c>
      <c r="D2461" s="8" t="s">
        <v>14654</v>
      </c>
      <c r="E2461" s="8" t="s">
        <v>14649</v>
      </c>
      <c r="F2461" s="8" t="s">
        <v>14655</v>
      </c>
      <c r="G2461" s="6" t="s">
        <v>33</v>
      </c>
      <c r="H2461" s="6" t="s">
        <v>34</v>
      </c>
      <c r="I2461" s="8" t="s">
        <v>253</v>
      </c>
      <c r="J2461" s="9">
        <v>1</v>
      </c>
      <c r="K2461" s="9">
        <v>113</v>
      </c>
      <c r="L2461" s="9">
        <v>2026</v>
      </c>
      <c r="M2461" s="8" t="s">
        <v>14656</v>
      </c>
      <c r="N2461" s="8" t="s">
        <v>243</v>
      </c>
      <c r="O2461" s="8" t="s">
        <v>1100</v>
      </c>
      <c r="P2461" s="6" t="s">
        <v>51</v>
      </c>
      <c r="Q2461" s="8" t="s">
        <v>65</v>
      </c>
      <c r="R2461" s="10" t="s">
        <v>5837</v>
      </c>
      <c r="S2461" s="11" t="s">
        <v>14657</v>
      </c>
      <c r="T2461" s="6"/>
      <c r="U2461" s="15" t="str">
        <f>HYPERLINK("https://media.infra-m.ru/2244/2244310/cover/2244310.jpg", "Обложка")</f>
        <v>Обложка</v>
      </c>
      <c r="V2461" s="8" t="s">
        <v>1030</v>
      </c>
      <c r="W2461" s="6"/>
      <c r="X2461" s="6"/>
      <c r="Y2461" s="6"/>
      <c r="Z2461" s="6"/>
      <c r="AA2461" s="6" t="s">
        <v>274</v>
      </c>
      <c r="AB2461" s="8"/>
      <c r="AC2461" s="27">
        <v>9785160190242</v>
      </c>
    </row>
    <row r="2462" spans="1:29" s="4" customFormat="1" ht="44.1" customHeight="1" x14ac:dyDescent="0.2">
      <c r="A2462" s="5">
        <v>0</v>
      </c>
      <c r="B2462" s="6" t="s">
        <v>14658</v>
      </c>
      <c r="C2462" s="13">
        <v>652.79999999999995</v>
      </c>
      <c r="D2462" s="8" t="s">
        <v>14659</v>
      </c>
      <c r="E2462" s="8" t="s">
        <v>14660</v>
      </c>
      <c r="F2462" s="8" t="s">
        <v>14661</v>
      </c>
      <c r="G2462" s="6" t="s">
        <v>33</v>
      </c>
      <c r="H2462" s="6" t="s">
        <v>134</v>
      </c>
      <c r="I2462" s="8"/>
      <c r="J2462" s="9">
        <v>1</v>
      </c>
      <c r="K2462" s="9">
        <v>96</v>
      </c>
      <c r="L2462" s="9">
        <v>2025</v>
      </c>
      <c r="M2462" s="8" t="s">
        <v>14662</v>
      </c>
      <c r="N2462" s="8" t="s">
        <v>37</v>
      </c>
      <c r="O2462" s="8" t="s">
        <v>136</v>
      </c>
      <c r="P2462" s="6" t="s">
        <v>39</v>
      </c>
      <c r="Q2462" s="8" t="s">
        <v>40</v>
      </c>
      <c r="R2462" s="10" t="s">
        <v>14663</v>
      </c>
      <c r="S2462" s="11"/>
      <c r="T2462" s="6"/>
      <c r="U2462" s="15" t="str">
        <f>HYPERLINK("https://media.infra-m.ru/2208/2208444/cover/2208444.jpg", "Обложка")</f>
        <v>Обложка</v>
      </c>
      <c r="V2462" s="8" t="s">
        <v>1069</v>
      </c>
      <c r="W2462" s="6"/>
      <c r="X2462" s="6"/>
      <c r="Y2462" s="6"/>
      <c r="Z2462" s="6"/>
      <c r="AA2462" s="6" t="s">
        <v>1256</v>
      </c>
      <c r="AB2462" s="8"/>
      <c r="AC2462" s="27">
        <v>9785001560203</v>
      </c>
    </row>
    <row r="2463" spans="1:29" s="4" customFormat="1" ht="51.9" customHeight="1" x14ac:dyDescent="0.2">
      <c r="A2463" s="5">
        <v>0</v>
      </c>
      <c r="B2463" s="6" t="s">
        <v>14664</v>
      </c>
      <c r="C2463" s="7">
        <v>1420.8</v>
      </c>
      <c r="D2463" s="8" t="s">
        <v>14665</v>
      </c>
      <c r="E2463" s="8" t="s">
        <v>14666</v>
      </c>
      <c r="F2463" s="8" t="s">
        <v>7459</v>
      </c>
      <c r="G2463" s="6" t="s">
        <v>118</v>
      </c>
      <c r="H2463" s="6" t="s">
        <v>34</v>
      </c>
      <c r="I2463" s="8" t="s">
        <v>271</v>
      </c>
      <c r="J2463" s="9">
        <v>1</v>
      </c>
      <c r="K2463" s="9">
        <v>215</v>
      </c>
      <c r="L2463" s="9">
        <v>2026</v>
      </c>
      <c r="M2463" s="8" t="s">
        <v>14667</v>
      </c>
      <c r="N2463" s="8" t="s">
        <v>585</v>
      </c>
      <c r="O2463" s="8" t="s">
        <v>775</v>
      </c>
      <c r="P2463" s="6" t="s">
        <v>51</v>
      </c>
      <c r="Q2463" s="8" t="s">
        <v>52</v>
      </c>
      <c r="R2463" s="10" t="s">
        <v>14668</v>
      </c>
      <c r="S2463" s="11" t="s">
        <v>14669</v>
      </c>
      <c r="T2463" s="6"/>
      <c r="U2463" s="15" t="str">
        <f>HYPERLINK("https://media.infra-m.ru/2230/2230635/cover/2230635.jpg", "Обложка")</f>
        <v>Обложка</v>
      </c>
      <c r="V2463" s="8" t="s">
        <v>2602</v>
      </c>
      <c r="W2463" s="6"/>
      <c r="X2463" s="6"/>
      <c r="Y2463" s="6"/>
      <c r="Z2463" s="6"/>
      <c r="AA2463" s="6" t="s">
        <v>1117</v>
      </c>
      <c r="AB2463" s="8"/>
      <c r="AC2463" s="27">
        <v>9785160152899</v>
      </c>
    </row>
    <row r="2464" spans="1:29" s="4" customFormat="1" ht="51.9" customHeight="1" x14ac:dyDescent="0.2">
      <c r="A2464" s="5">
        <v>0</v>
      </c>
      <c r="B2464" s="6" t="s">
        <v>14670</v>
      </c>
      <c r="C2464" s="7">
        <v>1404</v>
      </c>
      <c r="D2464" s="8" t="s">
        <v>14671</v>
      </c>
      <c r="E2464" s="8" t="s">
        <v>14666</v>
      </c>
      <c r="F2464" s="8" t="s">
        <v>7459</v>
      </c>
      <c r="G2464" s="6" t="s">
        <v>118</v>
      </c>
      <c r="H2464" s="6" t="s">
        <v>34</v>
      </c>
      <c r="I2464" s="8" t="s">
        <v>263</v>
      </c>
      <c r="J2464" s="9">
        <v>1</v>
      </c>
      <c r="K2464" s="9">
        <v>215</v>
      </c>
      <c r="L2464" s="9">
        <v>2026</v>
      </c>
      <c r="M2464" s="8" t="s">
        <v>14672</v>
      </c>
      <c r="N2464" s="8" t="s">
        <v>585</v>
      </c>
      <c r="O2464" s="8" t="s">
        <v>775</v>
      </c>
      <c r="P2464" s="6" t="s">
        <v>51</v>
      </c>
      <c r="Q2464" s="8" t="s">
        <v>265</v>
      </c>
      <c r="R2464" s="10" t="s">
        <v>14673</v>
      </c>
      <c r="S2464" s="11" t="s">
        <v>14674</v>
      </c>
      <c r="T2464" s="6"/>
      <c r="U2464" s="15" t="str">
        <f>HYPERLINK("https://media.infra-m.ru/2220/2220932/cover/2220932.jpg", "Обложка")</f>
        <v>Обложка</v>
      </c>
      <c r="V2464" s="8" t="s">
        <v>2602</v>
      </c>
      <c r="W2464" s="6"/>
      <c r="X2464" s="6" t="s">
        <v>24</v>
      </c>
      <c r="Y2464" s="6"/>
      <c r="Z2464" s="6" t="s">
        <v>267</v>
      </c>
      <c r="AA2464" s="6" t="s">
        <v>2230</v>
      </c>
      <c r="AB2464" s="8"/>
      <c r="AC2464" s="27">
        <v>9785160164601</v>
      </c>
    </row>
    <row r="2465" spans="1:29" s="4" customFormat="1" ht="42" customHeight="1" x14ac:dyDescent="0.2">
      <c r="A2465" s="5">
        <v>0</v>
      </c>
      <c r="B2465" s="6" t="s">
        <v>14675</v>
      </c>
      <c r="C2465" s="7">
        <v>1548</v>
      </c>
      <c r="D2465" s="8" t="s">
        <v>14676</v>
      </c>
      <c r="E2465" s="8" t="s">
        <v>14677</v>
      </c>
      <c r="F2465" s="8" t="s">
        <v>14678</v>
      </c>
      <c r="G2465" s="6" t="s">
        <v>118</v>
      </c>
      <c r="H2465" s="6" t="s">
        <v>34</v>
      </c>
      <c r="I2465" s="8" t="s">
        <v>253</v>
      </c>
      <c r="J2465" s="9">
        <v>1</v>
      </c>
      <c r="K2465" s="9">
        <v>229</v>
      </c>
      <c r="L2465" s="9">
        <v>2025</v>
      </c>
      <c r="M2465" s="8" t="s">
        <v>14679</v>
      </c>
      <c r="N2465" s="8" t="s">
        <v>585</v>
      </c>
      <c r="O2465" s="8" t="s">
        <v>775</v>
      </c>
      <c r="P2465" s="6" t="s">
        <v>51</v>
      </c>
      <c r="Q2465" s="8" t="s">
        <v>65</v>
      </c>
      <c r="R2465" s="10" t="s">
        <v>14680</v>
      </c>
      <c r="S2465" s="11"/>
      <c r="T2465" s="6"/>
      <c r="U2465" s="15" t="str">
        <f>HYPERLINK("https://media.infra-m.ru/2202/2202489/cover/2202489.jpg", "Обложка")</f>
        <v>Обложка</v>
      </c>
      <c r="V2465" s="8" t="s">
        <v>1599</v>
      </c>
      <c r="W2465" s="6"/>
      <c r="X2465" s="6"/>
      <c r="Y2465" s="6"/>
      <c r="Z2465" s="6"/>
      <c r="AA2465" s="6" t="s">
        <v>896</v>
      </c>
      <c r="AB2465" s="8"/>
      <c r="AC2465" s="27">
        <v>9785160208947</v>
      </c>
    </row>
    <row r="2466" spans="1:29" s="4" customFormat="1" ht="51.9" customHeight="1" x14ac:dyDescent="0.2">
      <c r="A2466" s="5">
        <v>0</v>
      </c>
      <c r="B2466" s="6" t="s">
        <v>14681</v>
      </c>
      <c r="C2466" s="7">
        <v>1200</v>
      </c>
      <c r="D2466" s="8" t="s">
        <v>14682</v>
      </c>
      <c r="E2466" s="8" t="s">
        <v>14683</v>
      </c>
      <c r="F2466" s="8" t="s">
        <v>14684</v>
      </c>
      <c r="G2466" s="6" t="s">
        <v>118</v>
      </c>
      <c r="H2466" s="6" t="s">
        <v>34</v>
      </c>
      <c r="I2466" s="8" t="s">
        <v>253</v>
      </c>
      <c r="J2466" s="9">
        <v>1</v>
      </c>
      <c r="K2466" s="9">
        <v>173</v>
      </c>
      <c r="L2466" s="9">
        <v>2026</v>
      </c>
      <c r="M2466" s="8" t="s">
        <v>14685</v>
      </c>
      <c r="N2466" s="8" t="s">
        <v>243</v>
      </c>
      <c r="O2466" s="8" t="s">
        <v>1100</v>
      </c>
      <c r="P2466" s="6" t="s">
        <v>51</v>
      </c>
      <c r="Q2466" s="8" t="s">
        <v>52</v>
      </c>
      <c r="R2466" s="10" t="s">
        <v>14686</v>
      </c>
      <c r="S2466" s="11" t="s">
        <v>14687</v>
      </c>
      <c r="T2466" s="6"/>
      <c r="U2466" s="15" t="str">
        <f>HYPERLINK("https://media.infra-m.ru/2228/2228950/cover/2228950.jpg", "Обложка")</f>
        <v>Обложка</v>
      </c>
      <c r="V2466" s="8" t="s">
        <v>14688</v>
      </c>
      <c r="W2466" s="6"/>
      <c r="X2466" s="6"/>
      <c r="Y2466" s="6"/>
      <c r="Z2466" s="6"/>
      <c r="AA2466" s="6" t="s">
        <v>1256</v>
      </c>
      <c r="AB2466" s="8"/>
      <c r="AC2466" s="27">
        <v>9785160209821</v>
      </c>
    </row>
    <row r="2467" spans="1:29" s="4" customFormat="1" ht="51.9" customHeight="1" x14ac:dyDescent="0.2">
      <c r="A2467" s="5">
        <v>0</v>
      </c>
      <c r="B2467" s="6" t="s">
        <v>14689</v>
      </c>
      <c r="C2467" s="7">
        <v>1300.8</v>
      </c>
      <c r="D2467" s="8" t="s">
        <v>14690</v>
      </c>
      <c r="E2467" s="8" t="s">
        <v>14691</v>
      </c>
      <c r="F2467" s="8" t="s">
        <v>14692</v>
      </c>
      <c r="G2467" s="6" t="s">
        <v>60</v>
      </c>
      <c r="H2467" s="6" t="s">
        <v>34</v>
      </c>
      <c r="I2467" s="8" t="s">
        <v>271</v>
      </c>
      <c r="J2467" s="9">
        <v>1</v>
      </c>
      <c r="K2467" s="9">
        <v>237</v>
      </c>
      <c r="L2467" s="9">
        <v>2023</v>
      </c>
      <c r="M2467" s="8" t="s">
        <v>14693</v>
      </c>
      <c r="N2467" s="8" t="s">
        <v>37</v>
      </c>
      <c r="O2467" s="8" t="s">
        <v>280</v>
      </c>
      <c r="P2467" s="6" t="s">
        <v>51</v>
      </c>
      <c r="Q2467" s="8" t="s">
        <v>52</v>
      </c>
      <c r="R2467" s="10" t="s">
        <v>370</v>
      </c>
      <c r="S2467" s="11"/>
      <c r="T2467" s="6"/>
      <c r="U2467" s="15" t="str">
        <f>HYPERLINK("https://media.infra-m.ru/1971/1971835/cover/1971835.jpg", "Обложка")</f>
        <v>Обложка</v>
      </c>
      <c r="V2467" s="8" t="s">
        <v>3196</v>
      </c>
      <c r="W2467" s="6"/>
      <c r="X2467" s="6"/>
      <c r="Y2467" s="6"/>
      <c r="Z2467" s="6"/>
      <c r="AA2467" s="6" t="s">
        <v>2311</v>
      </c>
      <c r="AB2467" s="8"/>
      <c r="AC2467" s="27">
        <v>9785160094526</v>
      </c>
    </row>
    <row r="2468" spans="1:29" s="4" customFormat="1" ht="51.9" customHeight="1" x14ac:dyDescent="0.2">
      <c r="A2468" s="5">
        <v>0</v>
      </c>
      <c r="B2468" s="6" t="s">
        <v>14694</v>
      </c>
      <c r="C2468" s="7">
        <v>1360.8</v>
      </c>
      <c r="D2468" s="8" t="s">
        <v>14695</v>
      </c>
      <c r="E2468" s="8" t="s">
        <v>14696</v>
      </c>
      <c r="F2468" s="8" t="s">
        <v>14697</v>
      </c>
      <c r="G2468" s="6" t="s">
        <v>60</v>
      </c>
      <c r="H2468" s="6" t="s">
        <v>34</v>
      </c>
      <c r="I2468" s="8" t="s">
        <v>271</v>
      </c>
      <c r="J2468" s="9">
        <v>1</v>
      </c>
      <c r="K2468" s="9">
        <v>196</v>
      </c>
      <c r="L2468" s="9">
        <v>2025</v>
      </c>
      <c r="M2468" s="8" t="s">
        <v>14698</v>
      </c>
      <c r="N2468" s="8" t="s">
        <v>37</v>
      </c>
      <c r="O2468" s="8" t="s">
        <v>280</v>
      </c>
      <c r="P2468" s="6" t="s">
        <v>51</v>
      </c>
      <c r="Q2468" s="8" t="s">
        <v>52</v>
      </c>
      <c r="R2468" s="10" t="s">
        <v>370</v>
      </c>
      <c r="S2468" s="11" t="s">
        <v>14699</v>
      </c>
      <c r="T2468" s="6"/>
      <c r="U2468" s="15" t="str">
        <f>HYPERLINK("https://media.infra-m.ru/2194/2194359/cover/2194359.jpg", "Обложка")</f>
        <v>Обложка</v>
      </c>
      <c r="V2468" s="8" t="s">
        <v>3196</v>
      </c>
      <c r="W2468" s="6"/>
      <c r="X2468" s="6"/>
      <c r="Y2468" s="6"/>
      <c r="Z2468" s="6"/>
      <c r="AA2468" s="6" t="s">
        <v>5639</v>
      </c>
      <c r="AB2468" s="8"/>
      <c r="AC2468" s="27">
        <v>9785160179438</v>
      </c>
    </row>
    <row r="2469" spans="1:29" s="4" customFormat="1" ht="42" customHeight="1" x14ac:dyDescent="0.2">
      <c r="A2469" s="5">
        <v>0</v>
      </c>
      <c r="B2469" s="6" t="s">
        <v>14700</v>
      </c>
      <c r="C2469" s="7">
        <v>1356</v>
      </c>
      <c r="D2469" s="8" t="s">
        <v>14701</v>
      </c>
      <c r="E2469" s="8" t="s">
        <v>14702</v>
      </c>
      <c r="F2469" s="8" t="s">
        <v>7631</v>
      </c>
      <c r="G2469" s="6" t="s">
        <v>33</v>
      </c>
      <c r="H2469" s="6" t="s">
        <v>34</v>
      </c>
      <c r="I2469" s="8" t="s">
        <v>35</v>
      </c>
      <c r="J2469" s="9">
        <v>1</v>
      </c>
      <c r="K2469" s="9">
        <v>175</v>
      </c>
      <c r="L2469" s="9">
        <v>2026</v>
      </c>
      <c r="M2469" s="8" t="s">
        <v>14703</v>
      </c>
      <c r="N2469" s="8" t="s">
        <v>585</v>
      </c>
      <c r="O2469" s="8" t="s">
        <v>667</v>
      </c>
      <c r="P2469" s="6" t="s">
        <v>39</v>
      </c>
      <c r="Q2469" s="8" t="s">
        <v>65</v>
      </c>
      <c r="R2469" s="10" t="s">
        <v>14704</v>
      </c>
      <c r="S2469" s="11"/>
      <c r="T2469" s="6"/>
      <c r="U2469" s="15" t="str">
        <f>HYPERLINK("https://media.infra-m.ru/2254/2254559/cover/2254559.jpg", "Обложка")</f>
        <v>Обложка</v>
      </c>
      <c r="V2469" s="8" t="s">
        <v>98</v>
      </c>
      <c r="W2469" s="6"/>
      <c r="X2469" s="6"/>
      <c r="Y2469" s="6"/>
      <c r="Z2469" s="6"/>
      <c r="AA2469" s="6" t="s">
        <v>99</v>
      </c>
      <c r="AB2469" s="8"/>
      <c r="AC2469" s="27">
        <v>9785160159782</v>
      </c>
    </row>
    <row r="2470" spans="1:29" s="4" customFormat="1" ht="51.9" customHeight="1" x14ac:dyDescent="0.2">
      <c r="A2470" s="5">
        <v>0</v>
      </c>
      <c r="B2470" s="6" t="s">
        <v>14705</v>
      </c>
      <c r="C2470" s="7">
        <v>1121.9000000000001</v>
      </c>
      <c r="D2470" s="8" t="s">
        <v>14706</v>
      </c>
      <c r="E2470" s="8" t="s">
        <v>14707</v>
      </c>
      <c r="F2470" s="8" t="s">
        <v>14708</v>
      </c>
      <c r="G2470" s="6" t="s">
        <v>33</v>
      </c>
      <c r="H2470" s="6" t="s">
        <v>134</v>
      </c>
      <c r="I2470" s="8"/>
      <c r="J2470" s="9">
        <v>1</v>
      </c>
      <c r="K2470" s="9">
        <v>208</v>
      </c>
      <c r="L2470" s="9">
        <v>2023</v>
      </c>
      <c r="M2470" s="8" t="s">
        <v>14709</v>
      </c>
      <c r="N2470" s="8" t="s">
        <v>37</v>
      </c>
      <c r="O2470" s="8" t="s">
        <v>280</v>
      </c>
      <c r="P2470" s="6" t="s">
        <v>51</v>
      </c>
      <c r="Q2470" s="8" t="s">
        <v>52</v>
      </c>
      <c r="R2470" s="10" t="s">
        <v>14710</v>
      </c>
      <c r="S2470" s="11" t="s">
        <v>14711</v>
      </c>
      <c r="T2470" s="6"/>
      <c r="U2470" s="15" t="str">
        <f>HYPERLINK("https://media.infra-m.ru/1876/1876495/cover/1876495.jpg", "Обложка")</f>
        <v>Обложка</v>
      </c>
      <c r="V2470" s="8" t="s">
        <v>396</v>
      </c>
      <c r="W2470" s="6"/>
      <c r="X2470" s="6"/>
      <c r="Y2470" s="6"/>
      <c r="Z2470" s="6"/>
      <c r="AA2470" s="6" t="s">
        <v>55</v>
      </c>
      <c r="AB2470" s="8"/>
      <c r="AC2470" s="27">
        <v>9785917684246</v>
      </c>
    </row>
    <row r="2471" spans="1:29" s="4" customFormat="1" ht="42" customHeight="1" x14ac:dyDescent="0.2">
      <c r="A2471" s="5">
        <v>0</v>
      </c>
      <c r="B2471" s="6" t="s">
        <v>14712</v>
      </c>
      <c r="C2471" s="7">
        <v>1240.8</v>
      </c>
      <c r="D2471" s="8" t="s">
        <v>14713</v>
      </c>
      <c r="E2471" s="8" t="s">
        <v>14714</v>
      </c>
      <c r="F2471" s="8" t="s">
        <v>14715</v>
      </c>
      <c r="G2471" s="6" t="s">
        <v>33</v>
      </c>
      <c r="H2471" s="6" t="s">
        <v>34</v>
      </c>
      <c r="I2471" s="8" t="s">
        <v>457</v>
      </c>
      <c r="J2471" s="9">
        <v>1</v>
      </c>
      <c r="K2471" s="9">
        <v>198</v>
      </c>
      <c r="L2471" s="9">
        <v>2025</v>
      </c>
      <c r="M2471" s="8" t="s">
        <v>14716</v>
      </c>
      <c r="N2471" s="8" t="s">
        <v>37</v>
      </c>
      <c r="O2471" s="8" t="s">
        <v>233</v>
      </c>
      <c r="P2471" s="6" t="s">
        <v>39</v>
      </c>
      <c r="Q2471" s="8" t="s">
        <v>40</v>
      </c>
      <c r="R2471" s="10" t="s">
        <v>12731</v>
      </c>
      <c r="S2471" s="11"/>
      <c r="T2471" s="6"/>
      <c r="U2471" s="15" t="str">
        <f>HYPERLINK("https://media.infra-m.ru/2197/2197812/cover/2197812.jpg", "Обложка")</f>
        <v>Обложка</v>
      </c>
      <c r="V2471" s="8" t="s">
        <v>247</v>
      </c>
      <c r="W2471" s="6"/>
      <c r="X2471" s="6"/>
      <c r="Y2471" s="6"/>
      <c r="Z2471" s="6"/>
      <c r="AA2471" s="6" t="s">
        <v>1256</v>
      </c>
      <c r="AB2471" s="8"/>
      <c r="AC2471" s="27">
        <v>9785160150918</v>
      </c>
    </row>
    <row r="2472" spans="1:29" s="4" customFormat="1" ht="51.9" customHeight="1" x14ac:dyDescent="0.2">
      <c r="A2472" s="5">
        <v>0</v>
      </c>
      <c r="B2472" s="6" t="s">
        <v>14717</v>
      </c>
      <c r="C2472" s="7">
        <v>1536</v>
      </c>
      <c r="D2472" s="8" t="s">
        <v>14718</v>
      </c>
      <c r="E2472" s="8" t="s">
        <v>14719</v>
      </c>
      <c r="F2472" s="8" t="s">
        <v>3345</v>
      </c>
      <c r="G2472" s="6" t="s">
        <v>118</v>
      </c>
      <c r="H2472" s="6" t="s">
        <v>134</v>
      </c>
      <c r="I2472" s="8"/>
      <c r="J2472" s="9">
        <v>1</v>
      </c>
      <c r="K2472" s="9">
        <v>232</v>
      </c>
      <c r="L2472" s="9">
        <v>2026</v>
      </c>
      <c r="M2472" s="8" t="s">
        <v>14720</v>
      </c>
      <c r="N2472" s="8" t="s">
        <v>37</v>
      </c>
      <c r="O2472" s="8" t="s">
        <v>136</v>
      </c>
      <c r="P2472" s="6" t="s">
        <v>39</v>
      </c>
      <c r="Q2472" s="8" t="s">
        <v>40</v>
      </c>
      <c r="R2472" s="10" t="s">
        <v>14721</v>
      </c>
      <c r="S2472" s="11"/>
      <c r="T2472" s="6"/>
      <c r="U2472" s="15" t="str">
        <f>HYPERLINK("https://media.infra-m.ru/2237/2237717/cover/2237717.jpg", "Обложка")</f>
        <v>Обложка</v>
      </c>
      <c r="V2472" s="8" t="s">
        <v>546</v>
      </c>
      <c r="W2472" s="6"/>
      <c r="X2472" s="6"/>
      <c r="Y2472" s="6"/>
      <c r="Z2472" s="6"/>
      <c r="AA2472" s="6" t="s">
        <v>430</v>
      </c>
      <c r="AB2472" s="8" t="s">
        <v>14722</v>
      </c>
      <c r="AC2472" s="27">
        <v>9785001561781</v>
      </c>
    </row>
    <row r="2473" spans="1:29" s="4" customFormat="1" ht="42" customHeight="1" x14ac:dyDescent="0.2">
      <c r="A2473" s="5">
        <v>0</v>
      </c>
      <c r="B2473" s="6" t="s">
        <v>14723</v>
      </c>
      <c r="C2473" s="7">
        <v>1980</v>
      </c>
      <c r="D2473" s="8" t="s">
        <v>14724</v>
      </c>
      <c r="E2473" s="8" t="s">
        <v>14725</v>
      </c>
      <c r="F2473" s="8" t="s">
        <v>14726</v>
      </c>
      <c r="G2473" s="6" t="s">
        <v>60</v>
      </c>
      <c r="H2473" s="6" t="s">
        <v>313</v>
      </c>
      <c r="I2473" s="8" t="s">
        <v>10560</v>
      </c>
      <c r="J2473" s="9">
        <v>1</v>
      </c>
      <c r="K2473" s="9">
        <v>481</v>
      </c>
      <c r="L2473" s="9">
        <v>2020</v>
      </c>
      <c r="M2473" s="8" t="s">
        <v>14727</v>
      </c>
      <c r="N2473" s="8" t="s">
        <v>37</v>
      </c>
      <c r="O2473" s="8" t="s">
        <v>136</v>
      </c>
      <c r="P2473" s="6" t="s">
        <v>39</v>
      </c>
      <c r="Q2473" s="8" t="s">
        <v>40</v>
      </c>
      <c r="R2473" s="10" t="s">
        <v>1631</v>
      </c>
      <c r="S2473" s="11"/>
      <c r="T2473" s="6"/>
      <c r="U2473" s="15" t="str">
        <f>HYPERLINK("https://media.infra-m.ru/1073/1073563/cover/1073563.jpg", "Обложка")</f>
        <v>Обложка</v>
      </c>
      <c r="V2473" s="8" t="s">
        <v>1949</v>
      </c>
      <c r="W2473" s="6"/>
      <c r="X2473" s="6"/>
      <c r="Y2473" s="6"/>
      <c r="Z2473" s="6"/>
      <c r="AA2473" s="6" t="s">
        <v>8551</v>
      </c>
      <c r="AB2473" s="8"/>
      <c r="AC2473" s="27">
        <v>9785369018491</v>
      </c>
    </row>
    <row r="2474" spans="1:29" s="4" customFormat="1" ht="42" customHeight="1" x14ac:dyDescent="0.2">
      <c r="A2474" s="5">
        <v>0</v>
      </c>
      <c r="B2474" s="6" t="s">
        <v>14728</v>
      </c>
      <c r="C2474" s="7">
        <v>1764</v>
      </c>
      <c r="D2474" s="8" t="s">
        <v>14729</v>
      </c>
      <c r="E2474" s="8" t="s">
        <v>14730</v>
      </c>
      <c r="F2474" s="8" t="s">
        <v>14726</v>
      </c>
      <c r="G2474" s="6" t="s">
        <v>60</v>
      </c>
      <c r="H2474" s="6" t="s">
        <v>313</v>
      </c>
      <c r="I2474" s="8" t="s">
        <v>10560</v>
      </c>
      <c r="J2474" s="9">
        <v>1</v>
      </c>
      <c r="K2474" s="9">
        <v>431</v>
      </c>
      <c r="L2474" s="9">
        <v>2019</v>
      </c>
      <c r="M2474" s="8" t="s">
        <v>14731</v>
      </c>
      <c r="N2474" s="8" t="s">
        <v>37</v>
      </c>
      <c r="O2474" s="8" t="s">
        <v>136</v>
      </c>
      <c r="P2474" s="6" t="s">
        <v>39</v>
      </c>
      <c r="Q2474" s="8" t="s">
        <v>40</v>
      </c>
      <c r="R2474" s="10" t="s">
        <v>1631</v>
      </c>
      <c r="S2474" s="11"/>
      <c r="T2474" s="6"/>
      <c r="U2474" s="15" t="str">
        <f>HYPERLINK("https://media.infra-m.ru/1026/1026015/cover/1026015.jpg", "Обложка")</f>
        <v>Обложка</v>
      </c>
      <c r="V2474" s="8" t="s">
        <v>1949</v>
      </c>
      <c r="W2474" s="6"/>
      <c r="X2474" s="6"/>
      <c r="Y2474" s="6"/>
      <c r="Z2474" s="6"/>
      <c r="AA2474" s="6" t="s">
        <v>2259</v>
      </c>
      <c r="AB2474" s="8"/>
      <c r="AC2474" s="27">
        <v>9785369017951</v>
      </c>
    </row>
    <row r="2475" spans="1:29" s="4" customFormat="1" ht="42" customHeight="1" x14ac:dyDescent="0.2">
      <c r="A2475" s="5">
        <v>0</v>
      </c>
      <c r="B2475" s="6" t="s">
        <v>14732</v>
      </c>
      <c r="C2475" s="7">
        <v>2580</v>
      </c>
      <c r="D2475" s="8" t="s">
        <v>14733</v>
      </c>
      <c r="E2475" s="8" t="s">
        <v>14734</v>
      </c>
      <c r="F2475" s="8" t="s">
        <v>14726</v>
      </c>
      <c r="G2475" s="6" t="s">
        <v>118</v>
      </c>
      <c r="H2475" s="6" t="s">
        <v>313</v>
      </c>
      <c r="I2475" s="8" t="s">
        <v>10560</v>
      </c>
      <c r="J2475" s="9">
        <v>1</v>
      </c>
      <c r="K2475" s="9">
        <v>481</v>
      </c>
      <c r="L2475" s="9">
        <v>2023</v>
      </c>
      <c r="M2475" s="8" t="s">
        <v>14735</v>
      </c>
      <c r="N2475" s="8" t="s">
        <v>37</v>
      </c>
      <c r="O2475" s="8" t="s">
        <v>136</v>
      </c>
      <c r="P2475" s="6" t="s">
        <v>39</v>
      </c>
      <c r="Q2475" s="8" t="s">
        <v>40</v>
      </c>
      <c r="R2475" s="10" t="s">
        <v>1631</v>
      </c>
      <c r="S2475" s="11"/>
      <c r="T2475" s="6"/>
      <c r="U2475" s="15" t="str">
        <f>HYPERLINK("https://media.infra-m.ru/1906/1906110/cover/1906110.jpg", "Обложка")</f>
        <v>Обложка</v>
      </c>
      <c r="V2475" s="8" t="s">
        <v>1949</v>
      </c>
      <c r="W2475" s="6"/>
      <c r="X2475" s="6"/>
      <c r="Y2475" s="6"/>
      <c r="Z2475" s="6"/>
      <c r="AA2475" s="6" t="s">
        <v>14736</v>
      </c>
      <c r="AB2475" s="8"/>
      <c r="AC2475" s="27">
        <v>9785369018750</v>
      </c>
    </row>
    <row r="2476" spans="1:29" s="4" customFormat="1" ht="42" customHeight="1" x14ac:dyDescent="0.2">
      <c r="A2476" s="5">
        <v>0</v>
      </c>
      <c r="B2476" s="6" t="s">
        <v>14737</v>
      </c>
      <c r="C2476" s="7">
        <v>2688</v>
      </c>
      <c r="D2476" s="8" t="s">
        <v>14738</v>
      </c>
      <c r="E2476" s="8" t="s">
        <v>14739</v>
      </c>
      <c r="F2476" s="8" t="s">
        <v>14726</v>
      </c>
      <c r="G2476" s="6" t="s">
        <v>118</v>
      </c>
      <c r="H2476" s="6" t="s">
        <v>313</v>
      </c>
      <c r="I2476" s="8" t="s">
        <v>10560</v>
      </c>
      <c r="J2476" s="9">
        <v>1</v>
      </c>
      <c r="K2476" s="9">
        <v>486</v>
      </c>
      <c r="L2476" s="9">
        <v>2024</v>
      </c>
      <c r="M2476" s="8" t="s">
        <v>14740</v>
      </c>
      <c r="N2476" s="8" t="s">
        <v>37</v>
      </c>
      <c r="O2476" s="8" t="s">
        <v>136</v>
      </c>
      <c r="P2476" s="6" t="s">
        <v>39</v>
      </c>
      <c r="Q2476" s="8" t="s">
        <v>40</v>
      </c>
      <c r="R2476" s="10" t="s">
        <v>1631</v>
      </c>
      <c r="S2476" s="11"/>
      <c r="T2476" s="6"/>
      <c r="U2476" s="15" t="str">
        <f>HYPERLINK("https://media.infra-m.ru/2124/2124789/cover/2124789.jpg", "Обложка")</f>
        <v>Обложка</v>
      </c>
      <c r="V2476" s="8" t="s">
        <v>1949</v>
      </c>
      <c r="W2476" s="6"/>
      <c r="X2476" s="6"/>
      <c r="Y2476" s="6"/>
      <c r="Z2476" s="6"/>
      <c r="AA2476" s="6" t="s">
        <v>14741</v>
      </c>
      <c r="AB2476" s="8"/>
      <c r="AC2476" s="27">
        <v>9785369019498</v>
      </c>
    </row>
    <row r="2477" spans="1:29" s="4" customFormat="1" ht="42" customHeight="1" x14ac:dyDescent="0.2">
      <c r="A2477" s="5">
        <v>0</v>
      </c>
      <c r="B2477" s="6" t="s">
        <v>14742</v>
      </c>
      <c r="C2477" s="7">
        <v>3300</v>
      </c>
      <c r="D2477" s="8" t="s">
        <v>14743</v>
      </c>
      <c r="E2477" s="8" t="s">
        <v>14744</v>
      </c>
      <c r="F2477" s="8" t="s">
        <v>14726</v>
      </c>
      <c r="G2477" s="6" t="s">
        <v>60</v>
      </c>
      <c r="H2477" s="6" t="s">
        <v>313</v>
      </c>
      <c r="I2477" s="8" t="s">
        <v>10560</v>
      </c>
      <c r="J2477" s="9">
        <v>1</v>
      </c>
      <c r="K2477" s="9">
        <v>500</v>
      </c>
      <c r="L2477" s="9">
        <v>2026</v>
      </c>
      <c r="M2477" s="8" t="s">
        <v>14745</v>
      </c>
      <c r="N2477" s="8" t="s">
        <v>37</v>
      </c>
      <c r="O2477" s="8" t="s">
        <v>136</v>
      </c>
      <c r="P2477" s="6" t="s">
        <v>39</v>
      </c>
      <c r="Q2477" s="8" t="s">
        <v>40</v>
      </c>
      <c r="R2477" s="10" t="s">
        <v>1631</v>
      </c>
      <c r="S2477" s="11"/>
      <c r="T2477" s="6"/>
      <c r="U2477" s="15" t="str">
        <f>HYPERLINK("https://media.infra-m.ru/2215/2215111/cover/2215111.jpg", "Обложка")</f>
        <v>Обложка</v>
      </c>
      <c r="V2477" s="8" t="s">
        <v>1949</v>
      </c>
      <c r="W2477" s="6" t="s">
        <v>299</v>
      </c>
      <c r="X2477" s="6"/>
      <c r="Y2477" s="6"/>
      <c r="Z2477" s="6"/>
      <c r="AA2477" s="6" t="s">
        <v>14746</v>
      </c>
      <c r="AB2477" s="8"/>
      <c r="AC2477" s="27">
        <v>9785369030028</v>
      </c>
    </row>
    <row r="2478" spans="1:29" s="4" customFormat="1" ht="42" customHeight="1" x14ac:dyDescent="0.2">
      <c r="A2478" s="5">
        <v>0</v>
      </c>
      <c r="B2478" s="6" t="s">
        <v>14747</v>
      </c>
      <c r="C2478" s="13">
        <v>580.79999999999995</v>
      </c>
      <c r="D2478" s="8" t="s">
        <v>14748</v>
      </c>
      <c r="E2478" s="8" t="s">
        <v>14749</v>
      </c>
      <c r="F2478" s="8" t="s">
        <v>14750</v>
      </c>
      <c r="G2478" s="6" t="s">
        <v>33</v>
      </c>
      <c r="H2478" s="6" t="s">
        <v>313</v>
      </c>
      <c r="I2478" s="8" t="s">
        <v>253</v>
      </c>
      <c r="J2478" s="9">
        <v>1</v>
      </c>
      <c r="K2478" s="9">
        <v>72</v>
      </c>
      <c r="L2478" s="9">
        <v>2026</v>
      </c>
      <c r="M2478" s="8" t="s">
        <v>14751</v>
      </c>
      <c r="N2478" s="8" t="s">
        <v>37</v>
      </c>
      <c r="O2478" s="8" t="s">
        <v>136</v>
      </c>
      <c r="P2478" s="6" t="s">
        <v>51</v>
      </c>
      <c r="Q2478" s="8" t="s">
        <v>52</v>
      </c>
      <c r="R2478" s="10" t="s">
        <v>14752</v>
      </c>
      <c r="S2478" s="11"/>
      <c r="T2478" s="6"/>
      <c r="U2478" s="15" t="str">
        <f>HYPERLINK("https://media.infra-m.ru/2218/2218409/cover/2218409.jpg", "Обложка")</f>
        <v>Обложка</v>
      </c>
      <c r="V2478" s="8" t="s">
        <v>396</v>
      </c>
      <c r="W2478" s="6"/>
      <c r="X2478" s="6"/>
      <c r="Y2478" s="6"/>
      <c r="Z2478" s="6"/>
      <c r="AA2478" s="6" t="s">
        <v>148</v>
      </c>
      <c r="AB2478" s="8"/>
      <c r="AC2478" s="27">
        <v>9785369018958</v>
      </c>
    </row>
    <row r="2479" spans="1:29" s="4" customFormat="1" ht="51.9" customHeight="1" x14ac:dyDescent="0.2">
      <c r="A2479" s="5">
        <v>0</v>
      </c>
      <c r="B2479" s="6" t="s">
        <v>14753</v>
      </c>
      <c r="C2479" s="7">
        <v>1596</v>
      </c>
      <c r="D2479" s="8" t="s">
        <v>14754</v>
      </c>
      <c r="E2479" s="8" t="s">
        <v>14755</v>
      </c>
      <c r="F2479" s="8" t="s">
        <v>14756</v>
      </c>
      <c r="G2479" s="6" t="s">
        <v>33</v>
      </c>
      <c r="H2479" s="6" t="s">
        <v>34</v>
      </c>
      <c r="I2479" s="8" t="s">
        <v>35</v>
      </c>
      <c r="J2479" s="9">
        <v>1</v>
      </c>
      <c r="K2479" s="9">
        <v>287</v>
      </c>
      <c r="L2479" s="9">
        <v>2024</v>
      </c>
      <c r="M2479" s="8" t="s">
        <v>14757</v>
      </c>
      <c r="N2479" s="8" t="s">
        <v>37</v>
      </c>
      <c r="O2479" s="8" t="s">
        <v>136</v>
      </c>
      <c r="P2479" s="6" t="s">
        <v>39</v>
      </c>
      <c r="Q2479" s="8" t="s">
        <v>40</v>
      </c>
      <c r="R2479" s="10" t="s">
        <v>676</v>
      </c>
      <c r="S2479" s="11"/>
      <c r="T2479" s="6" t="s">
        <v>97</v>
      </c>
      <c r="U2479" s="15" t="str">
        <f>HYPERLINK("https://media.infra-m.ru/2115/2115733/cover/2115733.jpg", "Обложка")</f>
        <v>Обложка</v>
      </c>
      <c r="V2479" s="8" t="s">
        <v>6114</v>
      </c>
      <c r="W2479" s="6"/>
      <c r="X2479" s="6"/>
      <c r="Y2479" s="6"/>
      <c r="Z2479" s="6"/>
      <c r="AA2479" s="6" t="s">
        <v>55</v>
      </c>
      <c r="AB2479" s="8"/>
      <c r="AC2479" s="27">
        <v>9785160090597</v>
      </c>
    </row>
    <row r="2480" spans="1:29" s="4" customFormat="1" ht="51.9" customHeight="1" x14ac:dyDescent="0.2">
      <c r="A2480" s="5">
        <v>0</v>
      </c>
      <c r="B2480" s="6" t="s">
        <v>14758</v>
      </c>
      <c r="C2480" s="13">
        <v>852</v>
      </c>
      <c r="D2480" s="8" t="s">
        <v>14759</v>
      </c>
      <c r="E2480" s="8" t="s">
        <v>14760</v>
      </c>
      <c r="F2480" s="8" t="s">
        <v>14761</v>
      </c>
      <c r="G2480" s="6" t="s">
        <v>33</v>
      </c>
      <c r="H2480" s="6" t="s">
        <v>34</v>
      </c>
      <c r="I2480" s="8" t="s">
        <v>253</v>
      </c>
      <c r="J2480" s="9">
        <v>1</v>
      </c>
      <c r="K2480" s="9">
        <v>131</v>
      </c>
      <c r="L2480" s="9">
        <v>2025</v>
      </c>
      <c r="M2480" s="8" t="s">
        <v>14762</v>
      </c>
      <c r="N2480" s="8" t="s">
        <v>37</v>
      </c>
      <c r="O2480" s="8" t="s">
        <v>136</v>
      </c>
      <c r="P2480" s="6" t="s">
        <v>3141</v>
      </c>
      <c r="Q2480" s="8" t="s">
        <v>1660</v>
      </c>
      <c r="R2480" s="10" t="s">
        <v>14763</v>
      </c>
      <c r="S2480" s="11" t="s">
        <v>13412</v>
      </c>
      <c r="T2480" s="6"/>
      <c r="U2480" s="15" t="str">
        <f>HYPERLINK("https://media.infra-m.ru/2167/2167251/cover/2167251.jpg", "Обложка")</f>
        <v>Обложка</v>
      </c>
      <c r="V2480" s="8" t="s">
        <v>12917</v>
      </c>
      <c r="W2480" s="6"/>
      <c r="X2480" s="6"/>
      <c r="Y2480" s="6"/>
      <c r="Z2480" s="6"/>
      <c r="AA2480" s="6" t="s">
        <v>99</v>
      </c>
      <c r="AB2480" s="8"/>
      <c r="AC2480" s="27">
        <v>9785160126012</v>
      </c>
    </row>
    <row r="2481" spans="1:29" s="4" customFormat="1" ht="42" customHeight="1" x14ac:dyDescent="0.2">
      <c r="A2481" s="5">
        <v>0</v>
      </c>
      <c r="B2481" s="6" t="s">
        <v>14764</v>
      </c>
      <c r="C2481" s="7">
        <v>1636.8</v>
      </c>
      <c r="D2481" s="8" t="s">
        <v>14765</v>
      </c>
      <c r="E2481" s="8" t="s">
        <v>14766</v>
      </c>
      <c r="F2481" s="8" t="s">
        <v>14767</v>
      </c>
      <c r="G2481" s="6" t="s">
        <v>60</v>
      </c>
      <c r="H2481" s="6" t="s">
        <v>34</v>
      </c>
      <c r="I2481" s="8" t="s">
        <v>1081</v>
      </c>
      <c r="J2481" s="9">
        <v>1</v>
      </c>
      <c r="K2481" s="9">
        <v>248</v>
      </c>
      <c r="L2481" s="9">
        <v>2027</v>
      </c>
      <c r="M2481" s="8" t="s">
        <v>14768</v>
      </c>
      <c r="N2481" s="8" t="s">
        <v>37</v>
      </c>
      <c r="O2481" s="8" t="s">
        <v>233</v>
      </c>
      <c r="P2481" s="6" t="s">
        <v>39</v>
      </c>
      <c r="Q2481" s="8" t="s">
        <v>40</v>
      </c>
      <c r="R2481" s="10" t="s">
        <v>3832</v>
      </c>
      <c r="S2481" s="11"/>
      <c r="T2481" s="6"/>
      <c r="U2481" s="15" t="str">
        <f>HYPERLINK("https://media.infra-m.ru/2257/2257135/cover/2257135.jpg", "Обложка")</f>
        <v>Обложка</v>
      </c>
      <c r="V2481" s="8" t="s">
        <v>1083</v>
      </c>
      <c r="W2481" s="6"/>
      <c r="X2481" s="6"/>
      <c r="Y2481" s="6"/>
      <c r="Z2481" s="6"/>
      <c r="AA2481" s="6" t="s">
        <v>404</v>
      </c>
      <c r="AB2481" s="8"/>
      <c r="AC2481" s="27">
        <v>9785160134161</v>
      </c>
    </row>
    <row r="2482" spans="1:29" s="4" customFormat="1" ht="42" customHeight="1" x14ac:dyDescent="0.2">
      <c r="A2482" s="5">
        <v>0</v>
      </c>
      <c r="B2482" s="6" t="s">
        <v>14769</v>
      </c>
      <c r="C2482" s="7">
        <v>2146.8000000000002</v>
      </c>
      <c r="D2482" s="8" t="s">
        <v>14770</v>
      </c>
      <c r="E2482" s="8" t="s">
        <v>14771</v>
      </c>
      <c r="F2482" s="8" t="s">
        <v>14772</v>
      </c>
      <c r="G2482" s="6" t="s">
        <v>33</v>
      </c>
      <c r="H2482" s="6" t="s">
        <v>34</v>
      </c>
      <c r="I2482" s="8"/>
      <c r="J2482" s="9">
        <v>1</v>
      </c>
      <c r="K2482" s="9">
        <v>148</v>
      </c>
      <c r="L2482" s="9">
        <v>2026</v>
      </c>
      <c r="M2482" s="8" t="s">
        <v>14773</v>
      </c>
      <c r="N2482" s="8" t="s">
        <v>37</v>
      </c>
      <c r="O2482" s="8" t="s">
        <v>50</v>
      </c>
      <c r="P2482" s="6" t="s">
        <v>234</v>
      </c>
      <c r="Q2482" s="8" t="s">
        <v>40</v>
      </c>
      <c r="R2482" s="10" t="s">
        <v>4382</v>
      </c>
      <c r="S2482" s="11"/>
      <c r="T2482" s="6"/>
      <c r="U2482" s="15" t="str">
        <f>HYPERLINK("https://media.infra-m.ru/2232/2232292/cover/2232292.jpg", "Обложка")</f>
        <v>Обложка</v>
      </c>
      <c r="V2482" s="8"/>
      <c r="W2482" s="6"/>
      <c r="X2482" s="6"/>
      <c r="Y2482" s="6"/>
      <c r="Z2482" s="6"/>
      <c r="AA2482" s="6" t="s">
        <v>430</v>
      </c>
      <c r="AB2482" s="8"/>
      <c r="AC2482" s="27">
        <v>9785160167787</v>
      </c>
    </row>
    <row r="2483" spans="1:29" s="4" customFormat="1" ht="42" customHeight="1" x14ac:dyDescent="0.2">
      <c r="A2483" s="5">
        <v>0</v>
      </c>
      <c r="B2483" s="6" t="s">
        <v>14774</v>
      </c>
      <c r="C2483" s="13">
        <v>509.9</v>
      </c>
      <c r="D2483" s="8" t="s">
        <v>14775</v>
      </c>
      <c r="E2483" s="8" t="s">
        <v>14776</v>
      </c>
      <c r="F2483" s="8" t="s">
        <v>14777</v>
      </c>
      <c r="G2483" s="6" t="s">
        <v>33</v>
      </c>
      <c r="H2483" s="6" t="s">
        <v>241</v>
      </c>
      <c r="I2483" s="8"/>
      <c r="J2483" s="9">
        <v>1</v>
      </c>
      <c r="K2483" s="9">
        <v>126</v>
      </c>
      <c r="L2483" s="9">
        <v>2019</v>
      </c>
      <c r="M2483" s="8" t="s">
        <v>14778</v>
      </c>
      <c r="N2483" s="8" t="s">
        <v>37</v>
      </c>
      <c r="O2483" s="8" t="s">
        <v>499</v>
      </c>
      <c r="P2483" s="6" t="s">
        <v>51</v>
      </c>
      <c r="Q2483" s="8" t="s">
        <v>52</v>
      </c>
      <c r="R2483" s="10" t="s">
        <v>14779</v>
      </c>
      <c r="S2483" s="11"/>
      <c r="T2483" s="6"/>
      <c r="U2483" s="15" t="str">
        <f>HYPERLINK("https://media.infra-m.ru/1048/1048490/cover/1048490.jpg", "Обложка")</f>
        <v>Обложка</v>
      </c>
      <c r="V2483" s="8" t="s">
        <v>14780</v>
      </c>
      <c r="W2483" s="6"/>
      <c r="X2483" s="6"/>
      <c r="Y2483" s="6"/>
      <c r="Z2483" s="6"/>
      <c r="AA2483" s="6" t="s">
        <v>274</v>
      </c>
      <c r="AB2483" s="8"/>
      <c r="AC2483" s="27">
        <v>9785955804248</v>
      </c>
    </row>
    <row r="2484" spans="1:29" s="4" customFormat="1" ht="51.9" customHeight="1" x14ac:dyDescent="0.2">
      <c r="A2484" s="5">
        <v>0</v>
      </c>
      <c r="B2484" s="6" t="s">
        <v>14781</v>
      </c>
      <c r="C2484" s="7">
        <v>1068</v>
      </c>
      <c r="D2484" s="8" t="s">
        <v>14782</v>
      </c>
      <c r="E2484" s="8" t="s">
        <v>14783</v>
      </c>
      <c r="F2484" s="8" t="s">
        <v>14784</v>
      </c>
      <c r="G2484" s="6" t="s">
        <v>118</v>
      </c>
      <c r="H2484" s="6" t="s">
        <v>34</v>
      </c>
      <c r="I2484" s="8" t="s">
        <v>253</v>
      </c>
      <c r="J2484" s="9">
        <v>1</v>
      </c>
      <c r="K2484" s="9">
        <v>155</v>
      </c>
      <c r="L2484" s="9">
        <v>2026</v>
      </c>
      <c r="M2484" s="8" t="s">
        <v>14785</v>
      </c>
      <c r="N2484" s="8" t="s">
        <v>37</v>
      </c>
      <c r="O2484" s="8" t="s">
        <v>499</v>
      </c>
      <c r="P2484" s="6" t="s">
        <v>51</v>
      </c>
      <c r="Q2484" s="8" t="s">
        <v>52</v>
      </c>
      <c r="R2484" s="10" t="s">
        <v>14779</v>
      </c>
      <c r="S2484" s="11" t="s">
        <v>14786</v>
      </c>
      <c r="T2484" s="6"/>
      <c r="U2484" s="15" t="str">
        <f>HYPERLINK("https://media.infra-m.ru/2218/2218621/cover/2218621.jpg", "Обложка")</f>
        <v>Обложка</v>
      </c>
      <c r="V2484" s="8" t="s">
        <v>14780</v>
      </c>
      <c r="W2484" s="6"/>
      <c r="X2484" s="6"/>
      <c r="Y2484" s="6"/>
      <c r="Z2484" s="6"/>
      <c r="AA2484" s="6" t="s">
        <v>404</v>
      </c>
      <c r="AB2484" s="8"/>
      <c r="AC2484" s="27">
        <v>9785160212418</v>
      </c>
    </row>
    <row r="2485" spans="1:29" s="4" customFormat="1" ht="51.9" customHeight="1" x14ac:dyDescent="0.2">
      <c r="A2485" s="5">
        <v>0</v>
      </c>
      <c r="B2485" s="6" t="s">
        <v>14787</v>
      </c>
      <c r="C2485" s="7">
        <v>1144.8</v>
      </c>
      <c r="D2485" s="8" t="s">
        <v>14788</v>
      </c>
      <c r="E2485" s="8" t="s">
        <v>14789</v>
      </c>
      <c r="F2485" s="8" t="s">
        <v>14790</v>
      </c>
      <c r="G2485" s="6" t="s">
        <v>60</v>
      </c>
      <c r="H2485" s="6" t="s">
        <v>134</v>
      </c>
      <c r="I2485" s="8"/>
      <c r="J2485" s="9">
        <v>1</v>
      </c>
      <c r="K2485" s="9">
        <v>184</v>
      </c>
      <c r="L2485" s="9">
        <v>2025</v>
      </c>
      <c r="M2485" s="8" t="s">
        <v>14791</v>
      </c>
      <c r="N2485" s="8" t="s">
        <v>37</v>
      </c>
      <c r="O2485" s="8" t="s">
        <v>8119</v>
      </c>
      <c r="P2485" s="6" t="s">
        <v>39</v>
      </c>
      <c r="Q2485" s="8" t="s">
        <v>40</v>
      </c>
      <c r="R2485" s="10" t="s">
        <v>14792</v>
      </c>
      <c r="S2485" s="11"/>
      <c r="T2485" s="6"/>
      <c r="U2485" s="15" t="str">
        <f>HYPERLINK("https://media.infra-m.ru/2193/2193227/cover/2193227.jpg", "Обложка")</f>
        <v>Обложка</v>
      </c>
      <c r="V2485" s="8" t="s">
        <v>9937</v>
      </c>
      <c r="W2485" s="6"/>
      <c r="X2485" s="6"/>
      <c r="Y2485" s="6"/>
      <c r="Z2485" s="6"/>
      <c r="AA2485" s="6" t="s">
        <v>148</v>
      </c>
      <c r="AB2485" s="8"/>
      <c r="AC2485" s="27">
        <v>9785001562450</v>
      </c>
    </row>
    <row r="2486" spans="1:29" s="4" customFormat="1" ht="51.9" customHeight="1" x14ac:dyDescent="0.2">
      <c r="A2486" s="5">
        <v>0</v>
      </c>
      <c r="B2486" s="6" t="s">
        <v>14793</v>
      </c>
      <c r="C2486" s="7">
        <v>1529.9</v>
      </c>
      <c r="D2486" s="8" t="s">
        <v>14794</v>
      </c>
      <c r="E2486" s="8" t="s">
        <v>14795</v>
      </c>
      <c r="F2486" s="8" t="s">
        <v>14796</v>
      </c>
      <c r="G2486" s="6" t="s">
        <v>60</v>
      </c>
      <c r="H2486" s="6" t="s">
        <v>34</v>
      </c>
      <c r="I2486" s="8" t="s">
        <v>271</v>
      </c>
      <c r="J2486" s="9">
        <v>1</v>
      </c>
      <c r="K2486" s="9">
        <v>283</v>
      </c>
      <c r="L2486" s="9">
        <v>2023</v>
      </c>
      <c r="M2486" s="8" t="s">
        <v>14797</v>
      </c>
      <c r="N2486" s="8" t="s">
        <v>243</v>
      </c>
      <c r="O2486" s="8" t="s">
        <v>758</v>
      </c>
      <c r="P2486" s="6" t="s">
        <v>51</v>
      </c>
      <c r="Q2486" s="8" t="s">
        <v>52</v>
      </c>
      <c r="R2486" s="10" t="s">
        <v>965</v>
      </c>
      <c r="S2486" s="11" t="s">
        <v>14798</v>
      </c>
      <c r="T2486" s="6" t="s">
        <v>97</v>
      </c>
      <c r="U2486" s="15" t="str">
        <f>HYPERLINK("https://media.infra-m.ru/2006/2006864/cover/2006864.jpg", "Обложка")</f>
        <v>Обложка</v>
      </c>
      <c r="V2486" s="8" t="s">
        <v>546</v>
      </c>
      <c r="W2486" s="6"/>
      <c r="X2486" s="6"/>
      <c r="Y2486" s="6"/>
      <c r="Z2486" s="6"/>
      <c r="AA2486" s="6" t="s">
        <v>1256</v>
      </c>
      <c r="AB2486" s="8" t="s">
        <v>1317</v>
      </c>
      <c r="AC2486" s="27">
        <v>9785160145280</v>
      </c>
    </row>
    <row r="2487" spans="1:29" s="4" customFormat="1" ht="51.9" customHeight="1" x14ac:dyDescent="0.2">
      <c r="A2487" s="5">
        <v>0</v>
      </c>
      <c r="B2487" s="6" t="s">
        <v>14799</v>
      </c>
      <c r="C2487" s="7">
        <v>2392.8000000000002</v>
      </c>
      <c r="D2487" s="8" t="s">
        <v>14800</v>
      </c>
      <c r="E2487" s="8" t="s">
        <v>14801</v>
      </c>
      <c r="F2487" s="8" t="s">
        <v>9569</v>
      </c>
      <c r="G2487" s="6" t="s">
        <v>60</v>
      </c>
      <c r="H2487" s="6" t="s">
        <v>48</v>
      </c>
      <c r="I2487" s="8" t="s">
        <v>271</v>
      </c>
      <c r="J2487" s="9">
        <v>1</v>
      </c>
      <c r="K2487" s="9">
        <v>384</v>
      </c>
      <c r="L2487" s="9">
        <v>2025</v>
      </c>
      <c r="M2487" s="8" t="s">
        <v>14802</v>
      </c>
      <c r="N2487" s="8" t="s">
        <v>243</v>
      </c>
      <c r="O2487" s="8" t="s">
        <v>758</v>
      </c>
      <c r="P2487" s="6" t="s">
        <v>51</v>
      </c>
      <c r="Q2487" s="8" t="s">
        <v>52</v>
      </c>
      <c r="R2487" s="10" t="s">
        <v>14803</v>
      </c>
      <c r="S2487" s="11"/>
      <c r="T2487" s="6"/>
      <c r="U2487" s="15" t="str">
        <f>HYPERLINK("https://media.infra-m.ru/2196/2196889/cover/2196889.jpg", "Обложка")</f>
        <v>Обложка</v>
      </c>
      <c r="V2487" s="8" t="s">
        <v>9565</v>
      </c>
      <c r="W2487" s="6"/>
      <c r="X2487" s="6"/>
      <c r="Y2487" s="6"/>
      <c r="Z2487" s="6"/>
      <c r="AA2487" s="6" t="s">
        <v>1123</v>
      </c>
      <c r="AB2487" s="8"/>
      <c r="AC2487" s="27">
        <v>9785911349516</v>
      </c>
    </row>
    <row r="2488" spans="1:29" s="4" customFormat="1" ht="51.9" customHeight="1" x14ac:dyDescent="0.2">
      <c r="A2488" s="5">
        <v>0</v>
      </c>
      <c r="B2488" s="6" t="s">
        <v>14804</v>
      </c>
      <c r="C2488" s="7">
        <v>2988</v>
      </c>
      <c r="D2488" s="8" t="s">
        <v>14805</v>
      </c>
      <c r="E2488" s="8" t="s">
        <v>14806</v>
      </c>
      <c r="F2488" s="8" t="s">
        <v>14796</v>
      </c>
      <c r="G2488" s="6" t="s">
        <v>60</v>
      </c>
      <c r="H2488" s="6" t="s">
        <v>34</v>
      </c>
      <c r="I2488" s="8" t="s">
        <v>253</v>
      </c>
      <c r="J2488" s="9">
        <v>1</v>
      </c>
      <c r="K2488" s="9">
        <v>387</v>
      </c>
      <c r="L2488" s="9">
        <v>2026</v>
      </c>
      <c r="M2488" s="8" t="s">
        <v>14807</v>
      </c>
      <c r="N2488" s="8" t="s">
        <v>243</v>
      </c>
      <c r="O2488" s="8" t="s">
        <v>758</v>
      </c>
      <c r="P2488" s="6" t="s">
        <v>51</v>
      </c>
      <c r="Q2488" s="8" t="s">
        <v>52</v>
      </c>
      <c r="R2488" s="10" t="s">
        <v>14808</v>
      </c>
      <c r="S2488" s="11" t="s">
        <v>14809</v>
      </c>
      <c r="T2488" s="6"/>
      <c r="U2488" s="15" t="str">
        <f>HYPERLINK("https://media.infra-m.ru/2174/2174702/cover/2174702.jpg", "Обложка")</f>
        <v>Обложка</v>
      </c>
      <c r="V2488" s="8" t="s">
        <v>546</v>
      </c>
      <c r="W2488" s="6" t="s">
        <v>547</v>
      </c>
      <c r="X2488" s="6"/>
      <c r="Y2488" s="6"/>
      <c r="Z2488" s="6"/>
      <c r="AA2488" s="6" t="s">
        <v>187</v>
      </c>
      <c r="AB2488" s="8"/>
      <c r="AC2488" s="27">
        <v>9785160204444</v>
      </c>
    </row>
    <row r="2489" spans="1:29" s="4" customFormat="1" ht="42" customHeight="1" x14ac:dyDescent="0.2">
      <c r="A2489" s="5">
        <v>0</v>
      </c>
      <c r="B2489" s="6" t="s">
        <v>14810</v>
      </c>
      <c r="C2489" s="7">
        <v>1288.8</v>
      </c>
      <c r="D2489" s="8" t="s">
        <v>14811</v>
      </c>
      <c r="E2489" s="8" t="s">
        <v>14812</v>
      </c>
      <c r="F2489" s="8" t="s">
        <v>14813</v>
      </c>
      <c r="G2489" s="6" t="s">
        <v>33</v>
      </c>
      <c r="H2489" s="6" t="s">
        <v>34</v>
      </c>
      <c r="I2489" s="8" t="s">
        <v>35</v>
      </c>
      <c r="J2489" s="9">
        <v>1</v>
      </c>
      <c r="K2489" s="9">
        <v>185</v>
      </c>
      <c r="L2489" s="9">
        <v>2026</v>
      </c>
      <c r="M2489" s="8" t="s">
        <v>14814</v>
      </c>
      <c r="N2489" s="8" t="s">
        <v>63</v>
      </c>
      <c r="O2489" s="8" t="s">
        <v>181</v>
      </c>
      <c r="P2489" s="6" t="s">
        <v>39</v>
      </c>
      <c r="Q2489" s="8" t="s">
        <v>40</v>
      </c>
      <c r="R2489" s="10" t="s">
        <v>14815</v>
      </c>
      <c r="S2489" s="11"/>
      <c r="T2489" s="6"/>
      <c r="U2489" s="15" t="str">
        <f>HYPERLINK("https://media.infra-m.ru/2211/2211987/cover/2211987.jpg", "Обложка")</f>
        <v>Обложка</v>
      </c>
      <c r="V2489" s="8" t="s">
        <v>14816</v>
      </c>
      <c r="W2489" s="6"/>
      <c r="X2489" s="6"/>
      <c r="Y2489" s="6"/>
      <c r="Z2489" s="6"/>
      <c r="AA2489" s="6" t="s">
        <v>86</v>
      </c>
      <c r="AB2489" s="8"/>
      <c r="AC2489" s="27">
        <v>9785160167480</v>
      </c>
    </row>
    <row r="2490" spans="1:29" s="4" customFormat="1" ht="42" customHeight="1" x14ac:dyDescent="0.2">
      <c r="A2490" s="5">
        <v>0</v>
      </c>
      <c r="B2490" s="6" t="s">
        <v>14817</v>
      </c>
      <c r="C2490" s="13">
        <v>780</v>
      </c>
      <c r="D2490" s="8" t="s">
        <v>14818</v>
      </c>
      <c r="E2490" s="8" t="s">
        <v>14812</v>
      </c>
      <c r="F2490" s="8" t="s">
        <v>14813</v>
      </c>
      <c r="G2490" s="6" t="s">
        <v>118</v>
      </c>
      <c r="H2490" s="6" t="s">
        <v>34</v>
      </c>
      <c r="I2490" s="8" t="s">
        <v>35</v>
      </c>
      <c r="J2490" s="9">
        <v>1</v>
      </c>
      <c r="K2490" s="9">
        <v>185</v>
      </c>
      <c r="L2490" s="9">
        <v>2020</v>
      </c>
      <c r="M2490" s="8" t="s">
        <v>14819</v>
      </c>
      <c r="N2490" s="8" t="s">
        <v>63</v>
      </c>
      <c r="O2490" s="8" t="s">
        <v>181</v>
      </c>
      <c r="P2490" s="6" t="s">
        <v>39</v>
      </c>
      <c r="Q2490" s="8" t="s">
        <v>40</v>
      </c>
      <c r="R2490" s="10" t="s">
        <v>14815</v>
      </c>
      <c r="S2490" s="11"/>
      <c r="T2490" s="6"/>
      <c r="U2490" s="15" t="str">
        <f>HYPERLINK("https://media.infra-m.ru/1069/1069183/cover/1069183.jpg", "Обложка")</f>
        <v>Обложка</v>
      </c>
      <c r="V2490" s="8" t="s">
        <v>14816</v>
      </c>
      <c r="W2490" s="6"/>
      <c r="X2490" s="6"/>
      <c r="Y2490" s="6"/>
      <c r="Z2490" s="6"/>
      <c r="AA2490" s="6" t="s">
        <v>86</v>
      </c>
      <c r="AB2490" s="8"/>
      <c r="AC2490" s="27">
        <v>9785160128665</v>
      </c>
    </row>
    <row r="2491" spans="1:29" s="4" customFormat="1" ht="44.1" customHeight="1" x14ac:dyDescent="0.2">
      <c r="A2491" s="5">
        <v>0</v>
      </c>
      <c r="B2491" s="6" t="s">
        <v>14820</v>
      </c>
      <c r="C2491" s="7">
        <v>1440</v>
      </c>
      <c r="D2491" s="8" t="s">
        <v>14821</v>
      </c>
      <c r="E2491" s="8" t="s">
        <v>14822</v>
      </c>
      <c r="F2491" s="8" t="s">
        <v>14823</v>
      </c>
      <c r="G2491" s="6" t="s">
        <v>118</v>
      </c>
      <c r="H2491" s="6" t="s">
        <v>34</v>
      </c>
      <c r="I2491" s="8" t="s">
        <v>35</v>
      </c>
      <c r="J2491" s="9">
        <v>1</v>
      </c>
      <c r="K2491" s="9">
        <v>352</v>
      </c>
      <c r="L2491" s="9">
        <v>2019</v>
      </c>
      <c r="M2491" s="8" t="s">
        <v>14824</v>
      </c>
      <c r="N2491" s="8" t="s">
        <v>37</v>
      </c>
      <c r="O2491" s="8" t="s">
        <v>233</v>
      </c>
      <c r="P2491" s="6" t="s">
        <v>39</v>
      </c>
      <c r="Q2491" s="8" t="s">
        <v>40</v>
      </c>
      <c r="R2491" s="10" t="s">
        <v>6648</v>
      </c>
      <c r="S2491" s="11"/>
      <c r="T2491" s="6" t="s">
        <v>97</v>
      </c>
      <c r="U2491" s="15" t="str">
        <f>HYPERLINK("https://media.infra-m.ru/1019/1019211/cover/1019211.jpg", "Обложка")</f>
        <v>Обложка</v>
      </c>
      <c r="V2491" s="8" t="s">
        <v>14825</v>
      </c>
      <c r="W2491" s="6"/>
      <c r="X2491" s="6"/>
      <c r="Y2491" s="6"/>
      <c r="Z2491" s="6"/>
      <c r="AA2491" s="6" t="s">
        <v>86</v>
      </c>
      <c r="AB2491" s="8"/>
      <c r="AC2491" s="27">
        <v>9785160131313</v>
      </c>
    </row>
    <row r="2492" spans="1:29" s="4" customFormat="1" ht="44.1" customHeight="1" x14ac:dyDescent="0.2">
      <c r="A2492" s="5">
        <v>0</v>
      </c>
      <c r="B2492" s="6" t="s">
        <v>14826</v>
      </c>
      <c r="C2492" s="7">
        <v>1944</v>
      </c>
      <c r="D2492" s="8" t="s">
        <v>14827</v>
      </c>
      <c r="E2492" s="8" t="s">
        <v>14822</v>
      </c>
      <c r="F2492" s="8" t="s">
        <v>14823</v>
      </c>
      <c r="G2492" s="6" t="s">
        <v>33</v>
      </c>
      <c r="H2492" s="6" t="s">
        <v>34</v>
      </c>
      <c r="I2492" s="8" t="s">
        <v>35</v>
      </c>
      <c r="J2492" s="9">
        <v>1</v>
      </c>
      <c r="K2492" s="9">
        <v>352</v>
      </c>
      <c r="L2492" s="9">
        <v>2024</v>
      </c>
      <c r="M2492" s="8" t="s">
        <v>14828</v>
      </c>
      <c r="N2492" s="8" t="s">
        <v>37</v>
      </c>
      <c r="O2492" s="8" t="s">
        <v>233</v>
      </c>
      <c r="P2492" s="6" t="s">
        <v>39</v>
      </c>
      <c r="Q2492" s="8" t="s">
        <v>40</v>
      </c>
      <c r="R2492" s="10" t="s">
        <v>6648</v>
      </c>
      <c r="S2492" s="11"/>
      <c r="T2492" s="6" t="s">
        <v>97</v>
      </c>
      <c r="U2492" s="15" t="str">
        <f>HYPERLINK("https://media.infra-m.ru/2085/2085109/cover/2085109.jpg", "Обложка")</f>
        <v>Обложка</v>
      </c>
      <c r="V2492" s="8" t="s">
        <v>14825</v>
      </c>
      <c r="W2492" s="6"/>
      <c r="X2492" s="6"/>
      <c r="Y2492" s="6"/>
      <c r="Z2492" s="6"/>
      <c r="AA2492" s="6" t="s">
        <v>86</v>
      </c>
      <c r="AB2492" s="8"/>
      <c r="AC2492" s="27">
        <v>9785160174648</v>
      </c>
    </row>
    <row r="2493" spans="1:29" s="4" customFormat="1" ht="51.9" customHeight="1" x14ac:dyDescent="0.2">
      <c r="A2493" s="5">
        <v>0</v>
      </c>
      <c r="B2493" s="6" t="s">
        <v>14829</v>
      </c>
      <c r="C2493" s="7">
        <v>1348.8</v>
      </c>
      <c r="D2493" s="8" t="s">
        <v>14830</v>
      </c>
      <c r="E2493" s="8" t="s">
        <v>14831</v>
      </c>
      <c r="F2493" s="8" t="s">
        <v>9328</v>
      </c>
      <c r="G2493" s="6" t="s">
        <v>60</v>
      </c>
      <c r="H2493" s="6" t="s">
        <v>34</v>
      </c>
      <c r="I2493" s="8" t="s">
        <v>271</v>
      </c>
      <c r="J2493" s="9">
        <v>1</v>
      </c>
      <c r="K2493" s="9">
        <v>205</v>
      </c>
      <c r="L2493" s="9">
        <v>2026</v>
      </c>
      <c r="M2493" s="8" t="s">
        <v>14832</v>
      </c>
      <c r="N2493" s="8" t="s">
        <v>93</v>
      </c>
      <c r="O2493" s="8" t="s">
        <v>94</v>
      </c>
      <c r="P2493" s="6" t="s">
        <v>51</v>
      </c>
      <c r="Q2493" s="8" t="s">
        <v>52</v>
      </c>
      <c r="R2493" s="10" t="s">
        <v>10179</v>
      </c>
      <c r="S2493" s="11" t="s">
        <v>14833</v>
      </c>
      <c r="T2493" s="6"/>
      <c r="U2493" s="15" t="str">
        <f>HYPERLINK("https://media.infra-m.ru/2254/2254562/cover/2254562.jpg", "Обложка")</f>
        <v>Обложка</v>
      </c>
      <c r="V2493" s="8" t="s">
        <v>2222</v>
      </c>
      <c r="W2493" s="6"/>
      <c r="X2493" s="6"/>
      <c r="Y2493" s="6"/>
      <c r="Z2493" s="6"/>
      <c r="AA2493" s="6" t="s">
        <v>148</v>
      </c>
      <c r="AB2493" s="8"/>
      <c r="AC2493" s="27">
        <v>9785160171906</v>
      </c>
    </row>
    <row r="2494" spans="1:29" s="4" customFormat="1" ht="51.9" customHeight="1" x14ac:dyDescent="0.2">
      <c r="A2494" s="5">
        <v>0</v>
      </c>
      <c r="B2494" s="6" t="s">
        <v>14834</v>
      </c>
      <c r="C2494" s="7">
        <v>2856</v>
      </c>
      <c r="D2494" s="8" t="s">
        <v>14835</v>
      </c>
      <c r="E2494" s="8" t="s">
        <v>14836</v>
      </c>
      <c r="F2494" s="8" t="s">
        <v>10311</v>
      </c>
      <c r="G2494" s="6" t="s">
        <v>60</v>
      </c>
      <c r="H2494" s="6" t="s">
        <v>134</v>
      </c>
      <c r="I2494" s="8"/>
      <c r="J2494" s="9">
        <v>1</v>
      </c>
      <c r="K2494" s="9">
        <v>408</v>
      </c>
      <c r="L2494" s="9">
        <v>2027</v>
      </c>
      <c r="M2494" s="8" t="s">
        <v>14837</v>
      </c>
      <c r="N2494" s="8" t="s">
        <v>37</v>
      </c>
      <c r="O2494" s="8" t="s">
        <v>136</v>
      </c>
      <c r="P2494" s="6" t="s">
        <v>39</v>
      </c>
      <c r="Q2494" s="8" t="s">
        <v>40</v>
      </c>
      <c r="R2494" s="10" t="s">
        <v>8620</v>
      </c>
      <c r="S2494" s="11"/>
      <c r="T2494" s="6"/>
      <c r="U2494" s="15" t="str">
        <f>HYPERLINK("https://media.infra-m.ru/2266/2266082/cover/2266082.jpg", "Обложка")</f>
        <v>Обложка</v>
      </c>
      <c r="V2494" s="8" t="s">
        <v>227</v>
      </c>
      <c r="W2494" s="6"/>
      <c r="X2494" s="6"/>
      <c r="Y2494" s="6"/>
      <c r="Z2494" s="6"/>
      <c r="AA2494" s="6" t="s">
        <v>430</v>
      </c>
      <c r="AB2494" s="8"/>
      <c r="AC2494" s="27">
        <v>9785001561064</v>
      </c>
    </row>
    <row r="2495" spans="1:29" s="4" customFormat="1" ht="51.9" customHeight="1" x14ac:dyDescent="0.2">
      <c r="A2495" s="5">
        <v>0</v>
      </c>
      <c r="B2495" s="6" t="s">
        <v>14838</v>
      </c>
      <c r="C2495" s="7">
        <v>1140</v>
      </c>
      <c r="D2495" s="8" t="s">
        <v>14839</v>
      </c>
      <c r="E2495" s="8" t="s">
        <v>14840</v>
      </c>
      <c r="F2495" s="8" t="s">
        <v>14841</v>
      </c>
      <c r="G2495" s="6" t="s">
        <v>118</v>
      </c>
      <c r="H2495" s="6" t="s">
        <v>34</v>
      </c>
      <c r="I2495" s="8" t="s">
        <v>2171</v>
      </c>
      <c r="J2495" s="9">
        <v>1</v>
      </c>
      <c r="K2495" s="9">
        <v>108</v>
      </c>
      <c r="L2495" s="9">
        <v>2026</v>
      </c>
      <c r="M2495" s="8" t="s">
        <v>14842</v>
      </c>
      <c r="N2495" s="8" t="s">
        <v>243</v>
      </c>
      <c r="O2495" s="8" t="s">
        <v>964</v>
      </c>
      <c r="P2495" s="6" t="s">
        <v>51</v>
      </c>
      <c r="Q2495" s="8" t="s">
        <v>65</v>
      </c>
      <c r="R2495" s="10" t="s">
        <v>14843</v>
      </c>
      <c r="S2495" s="11" t="s">
        <v>14844</v>
      </c>
      <c r="T2495" s="6"/>
      <c r="U2495" s="15" t="str">
        <f>HYPERLINK("https://media.infra-m.ru/2231/2231207/cover/2231207.jpg", "Обложка")</f>
        <v>Обложка</v>
      </c>
      <c r="V2495" s="8" t="s">
        <v>2175</v>
      </c>
      <c r="W2495" s="6"/>
      <c r="X2495" s="6" t="s">
        <v>24</v>
      </c>
      <c r="Y2495" s="6"/>
      <c r="Z2495" s="6"/>
      <c r="AA2495" s="6" t="s">
        <v>1256</v>
      </c>
      <c r="AB2495" s="8"/>
      <c r="AC2495" s="27">
        <v>9785160160078</v>
      </c>
    </row>
    <row r="2496" spans="1:29" s="4" customFormat="1" ht="42" customHeight="1" x14ac:dyDescent="0.2">
      <c r="A2496" s="5">
        <v>0</v>
      </c>
      <c r="B2496" s="6" t="s">
        <v>14845</v>
      </c>
      <c r="C2496" s="7">
        <v>1596</v>
      </c>
      <c r="D2496" s="8" t="s">
        <v>14846</v>
      </c>
      <c r="E2496" s="8" t="s">
        <v>14847</v>
      </c>
      <c r="F2496" s="8" t="s">
        <v>14848</v>
      </c>
      <c r="G2496" s="6" t="s">
        <v>118</v>
      </c>
      <c r="H2496" s="6" t="s">
        <v>34</v>
      </c>
      <c r="I2496" s="8" t="s">
        <v>35</v>
      </c>
      <c r="J2496" s="9">
        <v>1</v>
      </c>
      <c r="K2496" s="9">
        <v>242</v>
      </c>
      <c r="L2496" s="9">
        <v>2026</v>
      </c>
      <c r="M2496" s="8" t="s">
        <v>14849</v>
      </c>
      <c r="N2496" s="8" t="s">
        <v>63</v>
      </c>
      <c r="O2496" s="8" t="s">
        <v>181</v>
      </c>
      <c r="P2496" s="6" t="s">
        <v>39</v>
      </c>
      <c r="Q2496" s="8" t="s">
        <v>40</v>
      </c>
      <c r="R2496" s="10" t="s">
        <v>14850</v>
      </c>
      <c r="S2496" s="11"/>
      <c r="T2496" s="6"/>
      <c r="U2496" s="15" t="str">
        <f>HYPERLINK("https://media.infra-m.ru/2116/2116805/cover/2116805.jpg", "Обложка")</f>
        <v>Обложка</v>
      </c>
      <c r="V2496" s="8" t="s">
        <v>14851</v>
      </c>
      <c r="W2496" s="6"/>
      <c r="X2496" s="6"/>
      <c r="Y2496" s="6"/>
      <c r="Z2496" s="6"/>
      <c r="AA2496" s="6" t="s">
        <v>274</v>
      </c>
      <c r="AB2496" s="8"/>
      <c r="AC2496" s="27">
        <v>9785160117515</v>
      </c>
    </row>
    <row r="2497" spans="1:29" s="4" customFormat="1" ht="51.9" customHeight="1" x14ac:dyDescent="0.2">
      <c r="A2497" s="5">
        <v>0</v>
      </c>
      <c r="B2497" s="6" t="s">
        <v>14852</v>
      </c>
      <c r="C2497" s="7">
        <v>1404</v>
      </c>
      <c r="D2497" s="8" t="s">
        <v>14853</v>
      </c>
      <c r="E2497" s="8" t="s">
        <v>14854</v>
      </c>
      <c r="F2497" s="8" t="s">
        <v>14855</v>
      </c>
      <c r="G2497" s="6" t="s">
        <v>118</v>
      </c>
      <c r="H2497" s="6" t="s">
        <v>34</v>
      </c>
      <c r="I2497" s="8" t="s">
        <v>504</v>
      </c>
      <c r="J2497" s="9">
        <v>1</v>
      </c>
      <c r="K2497" s="9">
        <v>259</v>
      </c>
      <c r="L2497" s="9">
        <v>2020</v>
      </c>
      <c r="M2497" s="8" t="s">
        <v>14856</v>
      </c>
      <c r="N2497" s="8" t="s">
        <v>63</v>
      </c>
      <c r="O2497" s="8" t="s">
        <v>126</v>
      </c>
      <c r="P2497" s="6" t="s">
        <v>51</v>
      </c>
      <c r="Q2497" s="8" t="s">
        <v>500</v>
      </c>
      <c r="R2497" s="10" t="s">
        <v>10423</v>
      </c>
      <c r="S2497" s="11" t="s">
        <v>14857</v>
      </c>
      <c r="T2497" s="6"/>
      <c r="U2497" s="15" t="str">
        <f>HYPERLINK("https://media.infra-m.ru/1947/1947365/cover/1947365.jpg", "Обложка")</f>
        <v>Обложка</v>
      </c>
      <c r="V2497" s="8" t="s">
        <v>2398</v>
      </c>
      <c r="W2497" s="6"/>
      <c r="X2497" s="6"/>
      <c r="Y2497" s="6"/>
      <c r="Z2497" s="6"/>
      <c r="AA2497" s="6" t="s">
        <v>1256</v>
      </c>
      <c r="AB2497" s="8"/>
      <c r="AC2497" s="27">
        <v>9785160151359</v>
      </c>
    </row>
    <row r="2498" spans="1:29" s="4" customFormat="1" ht="42" customHeight="1" x14ac:dyDescent="0.2">
      <c r="A2498" s="5">
        <v>0</v>
      </c>
      <c r="B2498" s="6" t="s">
        <v>14858</v>
      </c>
      <c r="C2498" s="7">
        <v>1668</v>
      </c>
      <c r="D2498" s="8" t="s">
        <v>14859</v>
      </c>
      <c r="E2498" s="8" t="s">
        <v>14860</v>
      </c>
      <c r="F2498" s="8" t="s">
        <v>14861</v>
      </c>
      <c r="G2498" s="6" t="s">
        <v>60</v>
      </c>
      <c r="H2498" s="6" t="s">
        <v>34</v>
      </c>
      <c r="I2498" s="8" t="s">
        <v>2159</v>
      </c>
      <c r="J2498" s="9">
        <v>1</v>
      </c>
      <c r="K2498" s="9">
        <v>202</v>
      </c>
      <c r="L2498" s="9">
        <v>2025</v>
      </c>
      <c r="M2498" s="8" t="s">
        <v>14862</v>
      </c>
      <c r="N2498" s="8" t="s">
        <v>37</v>
      </c>
      <c r="O2498" s="8" t="s">
        <v>499</v>
      </c>
      <c r="P2498" s="6" t="s">
        <v>39</v>
      </c>
      <c r="Q2498" s="8" t="s">
        <v>40</v>
      </c>
      <c r="R2498" s="10" t="s">
        <v>3832</v>
      </c>
      <c r="S2498" s="11"/>
      <c r="T2498" s="6"/>
      <c r="U2498" s="15" t="str">
        <f>HYPERLINK("https://media.infra-m.ru/2186/2186588/cover/2186588.jpg", "Обложка")</f>
        <v>Обложка</v>
      </c>
      <c r="V2498" s="8" t="s">
        <v>445</v>
      </c>
      <c r="W2498" s="6"/>
      <c r="X2498" s="6"/>
      <c r="Y2498" s="6"/>
      <c r="Z2498" s="6"/>
      <c r="AA2498" s="6" t="s">
        <v>68</v>
      </c>
      <c r="AB2498" s="8"/>
      <c r="AC2498" s="27">
        <v>9785160206295</v>
      </c>
    </row>
    <row r="2499" spans="1:29" s="4" customFormat="1" ht="42" customHeight="1" x14ac:dyDescent="0.2">
      <c r="A2499" s="5">
        <v>0</v>
      </c>
      <c r="B2499" s="6" t="s">
        <v>14863</v>
      </c>
      <c r="C2499" s="7">
        <v>1836</v>
      </c>
      <c r="D2499" s="8" t="s">
        <v>14864</v>
      </c>
      <c r="E2499" s="8" t="s">
        <v>14865</v>
      </c>
      <c r="F2499" s="8" t="s">
        <v>14866</v>
      </c>
      <c r="G2499" s="6" t="s">
        <v>60</v>
      </c>
      <c r="H2499" s="6" t="s">
        <v>34</v>
      </c>
      <c r="I2499" s="8" t="s">
        <v>35</v>
      </c>
      <c r="J2499" s="9">
        <v>1</v>
      </c>
      <c r="K2499" s="9">
        <v>287</v>
      </c>
      <c r="L2499" s="9">
        <v>2025</v>
      </c>
      <c r="M2499" s="8" t="s">
        <v>14867</v>
      </c>
      <c r="N2499" s="8" t="s">
        <v>37</v>
      </c>
      <c r="O2499" s="8" t="s">
        <v>499</v>
      </c>
      <c r="P2499" s="6" t="s">
        <v>39</v>
      </c>
      <c r="Q2499" s="8" t="s">
        <v>40</v>
      </c>
      <c r="R2499" s="10" t="s">
        <v>357</v>
      </c>
      <c r="S2499" s="11"/>
      <c r="T2499" s="6"/>
      <c r="U2499" s="15" t="str">
        <f>HYPERLINK("https://media.infra-m.ru/2172/2172769/cover/2172769.jpg", "Обложка")</f>
        <v>Обложка</v>
      </c>
      <c r="V2499" s="8" t="s">
        <v>2047</v>
      </c>
      <c r="W2499" s="6"/>
      <c r="X2499" s="6"/>
      <c r="Y2499" s="6"/>
      <c r="Z2499" s="6"/>
      <c r="AA2499" s="6" t="s">
        <v>917</v>
      </c>
      <c r="AB2499" s="8" t="s">
        <v>3833</v>
      </c>
      <c r="AC2499" s="27">
        <v>9785160204185</v>
      </c>
    </row>
    <row r="2500" spans="1:29" s="4" customFormat="1" ht="44.1" customHeight="1" x14ac:dyDescent="0.2">
      <c r="A2500" s="5">
        <v>0</v>
      </c>
      <c r="B2500" s="6" t="s">
        <v>14868</v>
      </c>
      <c r="C2500" s="13">
        <v>756</v>
      </c>
      <c r="D2500" s="8" t="s">
        <v>14869</v>
      </c>
      <c r="E2500" s="8" t="s">
        <v>14870</v>
      </c>
      <c r="F2500" s="8" t="s">
        <v>14871</v>
      </c>
      <c r="G2500" s="6" t="s">
        <v>118</v>
      </c>
      <c r="H2500" s="6" t="s">
        <v>34</v>
      </c>
      <c r="I2500" s="8" t="s">
        <v>119</v>
      </c>
      <c r="J2500" s="9">
        <v>1</v>
      </c>
      <c r="K2500" s="9">
        <v>135</v>
      </c>
      <c r="L2500" s="9">
        <v>2023</v>
      </c>
      <c r="M2500" s="8" t="s">
        <v>14872</v>
      </c>
      <c r="N2500" s="8" t="s">
        <v>585</v>
      </c>
      <c r="O2500" s="8" t="s">
        <v>775</v>
      </c>
      <c r="P2500" s="6" t="s">
        <v>39</v>
      </c>
      <c r="Q2500" s="8" t="s">
        <v>40</v>
      </c>
      <c r="R2500" s="10" t="s">
        <v>14873</v>
      </c>
      <c r="S2500" s="11"/>
      <c r="T2500" s="6"/>
      <c r="U2500" s="15" t="str">
        <f>HYPERLINK("https://media.infra-m.ru/2126/2126474/cover/2126474.jpg", "Обложка")</f>
        <v>Обложка</v>
      </c>
      <c r="V2500" s="8" t="s">
        <v>414</v>
      </c>
      <c r="W2500" s="6"/>
      <c r="X2500" s="6"/>
      <c r="Y2500" s="6"/>
      <c r="Z2500" s="6"/>
      <c r="AA2500" s="6" t="s">
        <v>115</v>
      </c>
      <c r="AB2500" s="8"/>
      <c r="AC2500" s="27">
        <v>9785160143941</v>
      </c>
    </row>
    <row r="2501" spans="1:29" s="4" customFormat="1" ht="51.9" customHeight="1" x14ac:dyDescent="0.2">
      <c r="A2501" s="5">
        <v>0</v>
      </c>
      <c r="B2501" s="6" t="s">
        <v>14874</v>
      </c>
      <c r="C2501" s="7">
        <v>1325.9</v>
      </c>
      <c r="D2501" s="8" t="s">
        <v>14875</v>
      </c>
      <c r="E2501" s="8" t="s">
        <v>14876</v>
      </c>
      <c r="F2501" s="8" t="s">
        <v>14877</v>
      </c>
      <c r="G2501" s="6" t="s">
        <v>60</v>
      </c>
      <c r="H2501" s="6" t="s">
        <v>34</v>
      </c>
      <c r="I2501" s="8" t="s">
        <v>271</v>
      </c>
      <c r="J2501" s="9">
        <v>1</v>
      </c>
      <c r="K2501" s="9">
        <v>324</v>
      </c>
      <c r="L2501" s="9">
        <v>2020</v>
      </c>
      <c r="M2501" s="8" t="s">
        <v>14878</v>
      </c>
      <c r="N2501" s="8" t="s">
        <v>585</v>
      </c>
      <c r="O2501" s="8" t="s">
        <v>775</v>
      </c>
      <c r="P2501" s="6" t="s">
        <v>306</v>
      </c>
      <c r="Q2501" s="8" t="s">
        <v>52</v>
      </c>
      <c r="R2501" s="10" t="s">
        <v>14879</v>
      </c>
      <c r="S2501" s="11" t="s">
        <v>14880</v>
      </c>
      <c r="T2501" s="6" t="s">
        <v>97</v>
      </c>
      <c r="U2501" s="15" t="str">
        <f>HYPERLINK("https://media.infra-m.ru/1052/1052193/cover/1052193.jpg", "Обложка")</f>
        <v>Обложка</v>
      </c>
      <c r="V2501" s="8" t="s">
        <v>14881</v>
      </c>
      <c r="W2501" s="6"/>
      <c r="X2501" s="6" t="s">
        <v>24</v>
      </c>
      <c r="Y2501" s="6"/>
      <c r="Z2501" s="6"/>
      <c r="AA2501" s="6" t="s">
        <v>3800</v>
      </c>
      <c r="AB2501" s="8"/>
      <c r="AC2501" s="27">
        <v>9785160116945</v>
      </c>
    </row>
    <row r="2502" spans="1:29" s="4" customFormat="1" ht="51.9" customHeight="1" x14ac:dyDescent="0.2">
      <c r="A2502" s="5">
        <v>0</v>
      </c>
      <c r="B2502" s="6" t="s">
        <v>14882</v>
      </c>
      <c r="C2502" s="7">
        <v>1752</v>
      </c>
      <c r="D2502" s="8" t="s">
        <v>14883</v>
      </c>
      <c r="E2502" s="8" t="s">
        <v>14876</v>
      </c>
      <c r="F2502" s="8" t="s">
        <v>14877</v>
      </c>
      <c r="G2502" s="6" t="s">
        <v>118</v>
      </c>
      <c r="H2502" s="6" t="s">
        <v>34</v>
      </c>
      <c r="I2502" s="8" t="s">
        <v>263</v>
      </c>
      <c r="J2502" s="9">
        <v>1</v>
      </c>
      <c r="K2502" s="9">
        <v>324</v>
      </c>
      <c r="L2502" s="9">
        <v>2023</v>
      </c>
      <c r="M2502" s="8" t="s">
        <v>14884</v>
      </c>
      <c r="N2502" s="8" t="s">
        <v>585</v>
      </c>
      <c r="O2502" s="8" t="s">
        <v>775</v>
      </c>
      <c r="P2502" s="6" t="s">
        <v>306</v>
      </c>
      <c r="Q2502" s="8" t="s">
        <v>265</v>
      </c>
      <c r="R2502" s="10" t="s">
        <v>14885</v>
      </c>
      <c r="S2502" s="11" t="s">
        <v>14886</v>
      </c>
      <c r="T2502" s="6" t="s">
        <v>97</v>
      </c>
      <c r="U2502" s="15" t="str">
        <f>HYPERLINK("https://media.infra-m.ru/1922/1922303/cover/1922303.jpg", "Обложка")</f>
        <v>Обложка</v>
      </c>
      <c r="V2502" s="8" t="s">
        <v>14881</v>
      </c>
      <c r="W2502" s="6"/>
      <c r="X2502" s="6"/>
      <c r="Y2502" s="6"/>
      <c r="Z2502" s="6" t="s">
        <v>267</v>
      </c>
      <c r="AA2502" s="6" t="s">
        <v>1031</v>
      </c>
      <c r="AB2502" s="8" t="s">
        <v>3581</v>
      </c>
      <c r="AC2502" s="27">
        <v>9785160139548</v>
      </c>
    </row>
    <row r="2503" spans="1:29" s="4" customFormat="1" ht="51.9" customHeight="1" x14ac:dyDescent="0.2">
      <c r="A2503" s="5">
        <v>0</v>
      </c>
      <c r="B2503" s="6" t="s">
        <v>14887</v>
      </c>
      <c r="C2503" s="7">
        <v>2140.8000000000002</v>
      </c>
      <c r="D2503" s="8" t="s">
        <v>14888</v>
      </c>
      <c r="E2503" s="8" t="s">
        <v>14889</v>
      </c>
      <c r="F2503" s="8" t="s">
        <v>14877</v>
      </c>
      <c r="G2503" s="6" t="s">
        <v>118</v>
      </c>
      <c r="H2503" s="6" t="s">
        <v>34</v>
      </c>
      <c r="I2503" s="8" t="s">
        <v>271</v>
      </c>
      <c r="J2503" s="9">
        <v>1</v>
      </c>
      <c r="K2503" s="9">
        <v>324</v>
      </c>
      <c r="L2503" s="9">
        <v>2026</v>
      </c>
      <c r="M2503" s="8" t="s">
        <v>14890</v>
      </c>
      <c r="N2503" s="8" t="s">
        <v>585</v>
      </c>
      <c r="O2503" s="8" t="s">
        <v>775</v>
      </c>
      <c r="P2503" s="6" t="s">
        <v>306</v>
      </c>
      <c r="Q2503" s="8" t="s">
        <v>52</v>
      </c>
      <c r="R2503" s="10" t="s">
        <v>14879</v>
      </c>
      <c r="S2503" s="11" t="s">
        <v>14880</v>
      </c>
      <c r="T2503" s="6"/>
      <c r="U2503" s="15" t="str">
        <f>HYPERLINK("https://media.infra-m.ru/2224/2224189/cover/2224189.jpg", "Обложка")</f>
        <v>Обложка</v>
      </c>
      <c r="V2503" s="8" t="s">
        <v>14881</v>
      </c>
      <c r="W2503" s="6"/>
      <c r="X2503" s="6" t="s">
        <v>24</v>
      </c>
      <c r="Y2503" s="6"/>
      <c r="Z2503" s="6"/>
      <c r="AA2503" s="6" t="s">
        <v>6898</v>
      </c>
      <c r="AB2503" s="8"/>
      <c r="AC2503" s="27">
        <v>9785160151946</v>
      </c>
    </row>
    <row r="2504" spans="1:29" s="4" customFormat="1" ht="44.1" customHeight="1" x14ac:dyDescent="0.2">
      <c r="A2504" s="5">
        <v>0</v>
      </c>
      <c r="B2504" s="6" t="s">
        <v>14891</v>
      </c>
      <c r="C2504" s="13">
        <v>948</v>
      </c>
      <c r="D2504" s="8" t="s">
        <v>14892</v>
      </c>
      <c r="E2504" s="8" t="s">
        <v>14893</v>
      </c>
      <c r="F2504" s="8" t="s">
        <v>14894</v>
      </c>
      <c r="G2504" s="6" t="s">
        <v>33</v>
      </c>
      <c r="H2504" s="6" t="s">
        <v>34</v>
      </c>
      <c r="I2504" s="8" t="s">
        <v>35</v>
      </c>
      <c r="J2504" s="9">
        <v>1</v>
      </c>
      <c r="K2504" s="9">
        <v>149</v>
      </c>
      <c r="L2504" s="9">
        <v>2025</v>
      </c>
      <c r="M2504" s="8" t="s">
        <v>14895</v>
      </c>
      <c r="N2504" s="8" t="s">
        <v>243</v>
      </c>
      <c r="O2504" s="8" t="s">
        <v>1100</v>
      </c>
      <c r="P2504" s="6" t="s">
        <v>39</v>
      </c>
      <c r="Q2504" s="8" t="s">
        <v>40</v>
      </c>
      <c r="R2504" s="10" t="s">
        <v>14896</v>
      </c>
      <c r="S2504" s="11"/>
      <c r="T2504" s="6"/>
      <c r="U2504" s="15" t="str">
        <f>HYPERLINK("https://media.infra-m.ru/2191/2191458/cover/2191458.jpg", "Обложка")</f>
        <v>Обложка</v>
      </c>
      <c r="V2504" s="8" t="s">
        <v>2522</v>
      </c>
      <c r="W2504" s="6"/>
      <c r="X2504" s="6"/>
      <c r="Y2504" s="6"/>
      <c r="Z2504" s="6"/>
      <c r="AA2504" s="6" t="s">
        <v>55</v>
      </c>
      <c r="AB2504" s="8"/>
      <c r="AC2504" s="27">
        <v>9785160090573</v>
      </c>
    </row>
    <row r="2505" spans="1:29" s="4" customFormat="1" ht="44.1" customHeight="1" x14ac:dyDescent="0.2">
      <c r="A2505" s="5">
        <v>0</v>
      </c>
      <c r="B2505" s="6" t="s">
        <v>14897</v>
      </c>
      <c r="C2505" s="13">
        <v>912</v>
      </c>
      <c r="D2505" s="8" t="s">
        <v>14898</v>
      </c>
      <c r="E2505" s="8" t="s">
        <v>14899</v>
      </c>
      <c r="F2505" s="8" t="s">
        <v>374</v>
      </c>
      <c r="G2505" s="6" t="s">
        <v>33</v>
      </c>
      <c r="H2505" s="6" t="s">
        <v>34</v>
      </c>
      <c r="I2505" s="8" t="s">
        <v>375</v>
      </c>
      <c r="J2505" s="9">
        <v>1</v>
      </c>
      <c r="K2505" s="9">
        <v>114</v>
      </c>
      <c r="L2505" s="9">
        <v>2026</v>
      </c>
      <c r="M2505" s="8" t="s">
        <v>14900</v>
      </c>
      <c r="N2505" s="8" t="s">
        <v>243</v>
      </c>
      <c r="O2505" s="8" t="s">
        <v>385</v>
      </c>
      <c r="P2505" s="6" t="s">
        <v>105</v>
      </c>
      <c r="Q2505" s="8" t="s">
        <v>65</v>
      </c>
      <c r="R2505" s="10" t="s">
        <v>14901</v>
      </c>
      <c r="S2505" s="11"/>
      <c r="T2505" s="6"/>
      <c r="U2505" s="15" t="str">
        <f>HYPERLINK("https://media.infra-m.ru/2226/2226026/cover/2226026.jpg", "Обложка")</f>
        <v>Обложка</v>
      </c>
      <c r="V2505" s="8" t="s">
        <v>379</v>
      </c>
      <c r="W2505" s="6"/>
      <c r="X2505" s="6"/>
      <c r="Y2505" s="6"/>
      <c r="Z2505" s="6"/>
      <c r="AA2505" s="6" t="s">
        <v>68</v>
      </c>
      <c r="AB2505" s="8"/>
      <c r="AC2505" s="27">
        <v>9785160203799</v>
      </c>
    </row>
    <row r="2506" spans="1:29" s="4" customFormat="1" ht="44.1" customHeight="1" x14ac:dyDescent="0.2">
      <c r="A2506" s="5">
        <v>0</v>
      </c>
      <c r="B2506" s="6" t="s">
        <v>14902</v>
      </c>
      <c r="C2506" s="7">
        <v>2916</v>
      </c>
      <c r="D2506" s="8" t="s">
        <v>14903</v>
      </c>
      <c r="E2506" s="8" t="s">
        <v>14904</v>
      </c>
      <c r="F2506" s="8" t="s">
        <v>14905</v>
      </c>
      <c r="G2506" s="6" t="s">
        <v>60</v>
      </c>
      <c r="H2506" s="6" t="s">
        <v>34</v>
      </c>
      <c r="I2506" s="8" t="s">
        <v>746</v>
      </c>
      <c r="J2506" s="9">
        <v>1</v>
      </c>
      <c r="K2506" s="9">
        <v>441</v>
      </c>
      <c r="L2506" s="9">
        <v>2026</v>
      </c>
      <c r="M2506" s="8" t="s">
        <v>14906</v>
      </c>
      <c r="N2506" s="8" t="s">
        <v>243</v>
      </c>
      <c r="O2506" s="8" t="s">
        <v>385</v>
      </c>
      <c r="P2506" s="6" t="s">
        <v>1293</v>
      </c>
      <c r="Q2506" s="8" t="s">
        <v>377</v>
      </c>
      <c r="R2506" s="10" t="s">
        <v>14907</v>
      </c>
      <c r="S2506" s="11"/>
      <c r="T2506" s="6" t="s">
        <v>97</v>
      </c>
      <c r="U2506" s="15" t="str">
        <f>HYPERLINK("https://media.infra-m.ru/2230/2230202/cover/2230202.jpg", "Обложка")</f>
        <v>Обложка</v>
      </c>
      <c r="V2506" s="8" t="s">
        <v>10380</v>
      </c>
      <c r="W2506" s="6"/>
      <c r="X2506" s="6"/>
      <c r="Y2506" s="6"/>
      <c r="Z2506" s="6"/>
      <c r="AA2506" s="6" t="s">
        <v>99</v>
      </c>
      <c r="AB2506" s="8" t="s">
        <v>493</v>
      </c>
      <c r="AC2506" s="27">
        <v>9785160124308</v>
      </c>
    </row>
    <row r="2507" spans="1:29" s="4" customFormat="1" ht="42" customHeight="1" x14ac:dyDescent="0.2">
      <c r="A2507" s="5">
        <v>0</v>
      </c>
      <c r="B2507" s="6" t="s">
        <v>14908</v>
      </c>
      <c r="C2507" s="7">
        <v>2772</v>
      </c>
      <c r="D2507" s="8" t="s">
        <v>14909</v>
      </c>
      <c r="E2507" s="8" t="s">
        <v>14910</v>
      </c>
      <c r="F2507" s="8" t="s">
        <v>14911</v>
      </c>
      <c r="G2507" s="6" t="s">
        <v>60</v>
      </c>
      <c r="H2507" s="6" t="s">
        <v>34</v>
      </c>
      <c r="I2507" s="8" t="s">
        <v>253</v>
      </c>
      <c r="J2507" s="9">
        <v>1</v>
      </c>
      <c r="K2507" s="9">
        <v>420</v>
      </c>
      <c r="L2507" s="9">
        <v>2026</v>
      </c>
      <c r="M2507" s="8" t="s">
        <v>14912</v>
      </c>
      <c r="N2507" s="8" t="s">
        <v>243</v>
      </c>
      <c r="O2507" s="8" t="s">
        <v>385</v>
      </c>
      <c r="P2507" s="6" t="s">
        <v>306</v>
      </c>
      <c r="Q2507" s="8" t="s">
        <v>377</v>
      </c>
      <c r="R2507" s="10" t="s">
        <v>378</v>
      </c>
      <c r="S2507" s="11"/>
      <c r="T2507" s="6" t="s">
        <v>97</v>
      </c>
      <c r="U2507" s="15" t="str">
        <f>HYPERLINK("https://media.infra-m.ru/2247/2247963/cover/2247963.jpg", "Обложка")</f>
        <v>Обложка</v>
      </c>
      <c r="V2507" s="8" t="s">
        <v>11307</v>
      </c>
      <c r="W2507" s="6"/>
      <c r="X2507" s="6"/>
      <c r="Y2507" s="6"/>
      <c r="Z2507" s="6"/>
      <c r="AA2507" s="6" t="s">
        <v>157</v>
      </c>
      <c r="AB2507" s="8"/>
      <c r="AC2507" s="27">
        <v>9785160205649</v>
      </c>
    </row>
    <row r="2508" spans="1:29" s="4" customFormat="1" ht="51.9" customHeight="1" x14ac:dyDescent="0.2">
      <c r="A2508" s="5">
        <v>0</v>
      </c>
      <c r="B2508" s="6" t="s">
        <v>14913</v>
      </c>
      <c r="C2508" s="7">
        <v>1668</v>
      </c>
      <c r="D2508" s="8" t="s">
        <v>14914</v>
      </c>
      <c r="E2508" s="8" t="s">
        <v>14915</v>
      </c>
      <c r="F2508" s="8" t="s">
        <v>14916</v>
      </c>
      <c r="G2508" s="6" t="s">
        <v>118</v>
      </c>
      <c r="H2508" s="6" t="s">
        <v>34</v>
      </c>
      <c r="I2508" s="8"/>
      <c r="J2508" s="9">
        <v>1</v>
      </c>
      <c r="K2508" s="9">
        <v>223</v>
      </c>
      <c r="L2508" s="9">
        <v>2026</v>
      </c>
      <c r="M2508" s="8" t="s">
        <v>14917</v>
      </c>
      <c r="N2508" s="8" t="s">
        <v>243</v>
      </c>
      <c r="O2508" s="8" t="s">
        <v>385</v>
      </c>
      <c r="P2508" s="6" t="s">
        <v>601</v>
      </c>
      <c r="Q2508" s="8" t="s">
        <v>377</v>
      </c>
      <c r="R2508" s="10" t="s">
        <v>8840</v>
      </c>
      <c r="S2508" s="11" t="s">
        <v>14918</v>
      </c>
      <c r="T2508" s="6"/>
      <c r="U2508" s="15" t="str">
        <f>HYPERLINK("https://media.infra-m.ru/2238/2238515/cover/2238515.jpg", "Обложка")</f>
        <v>Обложка</v>
      </c>
      <c r="V2508" s="8" t="s">
        <v>3329</v>
      </c>
      <c r="W2508" s="6"/>
      <c r="X2508" s="6"/>
      <c r="Y2508" s="6"/>
      <c r="Z2508" s="6"/>
      <c r="AA2508" s="6" t="s">
        <v>86</v>
      </c>
      <c r="AB2508" s="8"/>
      <c r="AC2508" s="27">
        <v>9785160218359</v>
      </c>
    </row>
    <row r="2509" spans="1:29" s="4" customFormat="1" ht="51.9" customHeight="1" x14ac:dyDescent="0.2">
      <c r="A2509" s="5">
        <v>0</v>
      </c>
      <c r="B2509" s="6" t="s">
        <v>14919</v>
      </c>
      <c r="C2509" s="7">
        <v>2848.8</v>
      </c>
      <c r="D2509" s="8" t="s">
        <v>14920</v>
      </c>
      <c r="E2509" s="8" t="s">
        <v>14921</v>
      </c>
      <c r="F2509" s="8" t="s">
        <v>14922</v>
      </c>
      <c r="G2509" s="6" t="s">
        <v>60</v>
      </c>
      <c r="H2509" s="6" t="s">
        <v>34</v>
      </c>
      <c r="I2509" s="8" t="s">
        <v>253</v>
      </c>
      <c r="J2509" s="9">
        <v>1</v>
      </c>
      <c r="K2509" s="9">
        <v>432</v>
      </c>
      <c r="L2509" s="9">
        <v>2027</v>
      </c>
      <c r="M2509" s="8" t="s">
        <v>14923</v>
      </c>
      <c r="N2509" s="8" t="s">
        <v>243</v>
      </c>
      <c r="O2509" s="8" t="s">
        <v>385</v>
      </c>
      <c r="P2509" s="6" t="s">
        <v>51</v>
      </c>
      <c r="Q2509" s="8" t="s">
        <v>52</v>
      </c>
      <c r="R2509" s="10" t="s">
        <v>14924</v>
      </c>
      <c r="S2509" s="11" t="s">
        <v>14925</v>
      </c>
      <c r="T2509" s="6"/>
      <c r="U2509" s="15" t="str">
        <f>HYPERLINK("https://media.infra-m.ru/2228/2228133/cover/2228133.jpg", "Обложка")</f>
        <v>Обложка</v>
      </c>
      <c r="V2509" s="8" t="s">
        <v>7082</v>
      </c>
      <c r="W2509" s="6"/>
      <c r="X2509" s="6"/>
      <c r="Y2509" s="6"/>
      <c r="Z2509" s="6"/>
      <c r="AA2509" s="6" t="s">
        <v>248</v>
      </c>
      <c r="AB2509" s="8"/>
      <c r="AC2509" s="27">
        <v>9785160065410</v>
      </c>
    </row>
    <row r="2510" spans="1:29" s="4" customFormat="1" ht="51.9" customHeight="1" x14ac:dyDescent="0.2">
      <c r="A2510" s="5">
        <v>0</v>
      </c>
      <c r="B2510" s="6" t="s">
        <v>14926</v>
      </c>
      <c r="C2510" s="7">
        <v>1648.8</v>
      </c>
      <c r="D2510" s="8" t="s">
        <v>14927</v>
      </c>
      <c r="E2510" s="8" t="s">
        <v>14928</v>
      </c>
      <c r="F2510" s="8" t="s">
        <v>14929</v>
      </c>
      <c r="G2510" s="6" t="s">
        <v>60</v>
      </c>
      <c r="H2510" s="6" t="s">
        <v>241</v>
      </c>
      <c r="I2510" s="8"/>
      <c r="J2510" s="9">
        <v>1</v>
      </c>
      <c r="K2510" s="9">
        <v>237</v>
      </c>
      <c r="L2510" s="9">
        <v>2027</v>
      </c>
      <c r="M2510" s="8" t="s">
        <v>14930</v>
      </c>
      <c r="N2510" s="8" t="s">
        <v>243</v>
      </c>
      <c r="O2510" s="8" t="s">
        <v>385</v>
      </c>
      <c r="P2510" s="6" t="s">
        <v>51</v>
      </c>
      <c r="Q2510" s="8" t="s">
        <v>377</v>
      </c>
      <c r="R2510" s="10" t="s">
        <v>14931</v>
      </c>
      <c r="S2510" s="11" t="s">
        <v>14932</v>
      </c>
      <c r="T2510" s="6"/>
      <c r="U2510" s="15" t="str">
        <f>HYPERLINK("https://media.infra-m.ru/2262/2262777/cover/2262777.jpg", "Обложка")</f>
        <v>Обложка</v>
      </c>
      <c r="V2510" s="8" t="s">
        <v>3329</v>
      </c>
      <c r="W2510" s="6"/>
      <c r="X2510" s="6"/>
      <c r="Y2510" s="6"/>
      <c r="Z2510" s="6"/>
      <c r="AA2510" s="6" t="s">
        <v>43</v>
      </c>
      <c r="AB2510" s="8"/>
      <c r="AC2510" s="27">
        <v>9785955802589</v>
      </c>
    </row>
    <row r="2511" spans="1:29" s="4" customFormat="1" ht="51.9" customHeight="1" x14ac:dyDescent="0.2">
      <c r="A2511" s="5">
        <v>0</v>
      </c>
      <c r="B2511" s="6" t="s">
        <v>14933</v>
      </c>
      <c r="C2511" s="7">
        <v>2184</v>
      </c>
      <c r="D2511" s="8" t="s">
        <v>14934</v>
      </c>
      <c r="E2511" s="8" t="s">
        <v>14935</v>
      </c>
      <c r="F2511" s="8" t="s">
        <v>14936</v>
      </c>
      <c r="G2511" s="6" t="s">
        <v>118</v>
      </c>
      <c r="H2511" s="6" t="s">
        <v>34</v>
      </c>
      <c r="I2511" s="8" t="s">
        <v>253</v>
      </c>
      <c r="J2511" s="9">
        <v>1</v>
      </c>
      <c r="K2511" s="9">
        <v>313</v>
      </c>
      <c r="L2511" s="9">
        <v>2027</v>
      </c>
      <c r="M2511" s="8" t="s">
        <v>14937</v>
      </c>
      <c r="N2511" s="8" t="s">
        <v>243</v>
      </c>
      <c r="O2511" s="8" t="s">
        <v>385</v>
      </c>
      <c r="P2511" s="6" t="s">
        <v>51</v>
      </c>
      <c r="Q2511" s="8" t="s">
        <v>377</v>
      </c>
      <c r="R2511" s="10" t="s">
        <v>3883</v>
      </c>
      <c r="S2511" s="11" t="s">
        <v>14938</v>
      </c>
      <c r="T2511" s="6"/>
      <c r="U2511" s="15" t="str">
        <f>HYPERLINK("https://media.infra-m.ru/2266/2266105/cover/2266105.jpg", "Обложка")</f>
        <v>Обложка</v>
      </c>
      <c r="V2511" s="8" t="s">
        <v>14939</v>
      </c>
      <c r="W2511" s="6"/>
      <c r="X2511" s="6"/>
      <c r="Y2511" s="6"/>
      <c r="Z2511" s="6"/>
      <c r="AA2511" s="6" t="s">
        <v>115</v>
      </c>
      <c r="AB2511" s="8"/>
      <c r="AC2511" s="27">
        <v>9785160224350</v>
      </c>
    </row>
    <row r="2512" spans="1:29" s="4" customFormat="1" ht="51.9" customHeight="1" x14ac:dyDescent="0.2">
      <c r="A2512" s="5">
        <v>0</v>
      </c>
      <c r="B2512" s="6" t="s">
        <v>14940</v>
      </c>
      <c r="C2512" s="7">
        <v>1896</v>
      </c>
      <c r="D2512" s="8" t="s">
        <v>14941</v>
      </c>
      <c r="E2512" s="8" t="s">
        <v>14942</v>
      </c>
      <c r="F2512" s="8" t="s">
        <v>14943</v>
      </c>
      <c r="G2512" s="6" t="s">
        <v>118</v>
      </c>
      <c r="H2512" s="6" t="s">
        <v>34</v>
      </c>
      <c r="I2512" s="8" t="s">
        <v>253</v>
      </c>
      <c r="J2512" s="9">
        <v>1</v>
      </c>
      <c r="K2512" s="9">
        <v>286</v>
      </c>
      <c r="L2512" s="9">
        <v>2026</v>
      </c>
      <c r="M2512" s="8" t="s">
        <v>14944</v>
      </c>
      <c r="N2512" s="8" t="s">
        <v>243</v>
      </c>
      <c r="O2512" s="8" t="s">
        <v>385</v>
      </c>
      <c r="P2512" s="6" t="s">
        <v>51</v>
      </c>
      <c r="Q2512" s="8" t="s">
        <v>377</v>
      </c>
      <c r="R2512" s="10" t="s">
        <v>14945</v>
      </c>
      <c r="S2512" s="11" t="s">
        <v>14938</v>
      </c>
      <c r="T2512" s="6"/>
      <c r="U2512" s="15" t="str">
        <f>HYPERLINK("https://media.infra-m.ru/2233/2233689/cover/2233689.jpg", "Обложка")</f>
        <v>Обложка</v>
      </c>
      <c r="V2512" s="8" t="s">
        <v>14939</v>
      </c>
      <c r="W2512" s="6"/>
      <c r="X2512" s="6"/>
      <c r="Y2512" s="6"/>
      <c r="Z2512" s="6"/>
      <c r="AA2512" s="6" t="s">
        <v>430</v>
      </c>
      <c r="AB2512" s="8"/>
      <c r="AC2512" s="27">
        <v>9785160221410</v>
      </c>
    </row>
    <row r="2513" spans="1:29" s="4" customFormat="1" ht="42" customHeight="1" x14ac:dyDescent="0.2">
      <c r="A2513" s="5">
        <v>0</v>
      </c>
      <c r="B2513" s="6" t="s">
        <v>14946</v>
      </c>
      <c r="C2513" s="7">
        <v>1072.8</v>
      </c>
      <c r="D2513" s="8" t="s">
        <v>14947</v>
      </c>
      <c r="E2513" s="8" t="s">
        <v>14948</v>
      </c>
      <c r="F2513" s="8" t="s">
        <v>8838</v>
      </c>
      <c r="G2513" s="6" t="s">
        <v>118</v>
      </c>
      <c r="H2513" s="6" t="s">
        <v>34</v>
      </c>
      <c r="I2513" s="8" t="s">
        <v>5350</v>
      </c>
      <c r="J2513" s="9">
        <v>1</v>
      </c>
      <c r="K2513" s="9">
        <v>162</v>
      </c>
      <c r="L2513" s="9">
        <v>2026</v>
      </c>
      <c r="M2513" s="8" t="s">
        <v>14949</v>
      </c>
      <c r="N2513" s="8" t="s">
        <v>243</v>
      </c>
      <c r="O2513" s="8" t="s">
        <v>385</v>
      </c>
      <c r="P2513" s="6" t="s">
        <v>51</v>
      </c>
      <c r="Q2513" s="8" t="s">
        <v>377</v>
      </c>
      <c r="R2513" s="10" t="s">
        <v>14950</v>
      </c>
      <c r="S2513" s="11"/>
      <c r="T2513" s="6"/>
      <c r="U2513" s="15" t="str">
        <f>HYPERLINK("https://media.infra-m.ru/2238/2238522/cover/2238522.jpg", "Обложка")</f>
        <v>Обложка</v>
      </c>
      <c r="V2513" s="8" t="s">
        <v>3329</v>
      </c>
      <c r="W2513" s="6"/>
      <c r="X2513" s="6"/>
      <c r="Y2513" s="6"/>
      <c r="Z2513" s="6"/>
      <c r="AA2513" s="6" t="s">
        <v>1256</v>
      </c>
      <c r="AB2513" s="8"/>
      <c r="AC2513" s="27">
        <v>9785160150246</v>
      </c>
    </row>
    <row r="2514" spans="1:29" s="4" customFormat="1" ht="51.9" customHeight="1" x14ac:dyDescent="0.2">
      <c r="A2514" s="5">
        <v>0</v>
      </c>
      <c r="B2514" s="6" t="s">
        <v>14951</v>
      </c>
      <c r="C2514" s="7">
        <v>4320</v>
      </c>
      <c r="D2514" s="8" t="s">
        <v>14952</v>
      </c>
      <c r="E2514" s="8" t="s">
        <v>14953</v>
      </c>
      <c r="F2514" s="8" t="s">
        <v>6770</v>
      </c>
      <c r="G2514" s="6" t="s">
        <v>60</v>
      </c>
      <c r="H2514" s="6" t="s">
        <v>34</v>
      </c>
      <c r="I2514" s="8"/>
      <c r="J2514" s="9">
        <v>1</v>
      </c>
      <c r="K2514" s="9">
        <v>716</v>
      </c>
      <c r="L2514" s="9">
        <v>2025</v>
      </c>
      <c r="M2514" s="8" t="s">
        <v>14954</v>
      </c>
      <c r="N2514" s="8" t="s">
        <v>37</v>
      </c>
      <c r="O2514" s="8" t="s">
        <v>136</v>
      </c>
      <c r="P2514" s="6" t="s">
        <v>14955</v>
      </c>
      <c r="Q2514" s="8" t="s">
        <v>40</v>
      </c>
      <c r="R2514" s="10" t="s">
        <v>14956</v>
      </c>
      <c r="S2514" s="11"/>
      <c r="T2514" s="6"/>
      <c r="U2514" s="15" t="str">
        <f>HYPERLINK("https://media.infra-m.ru/2065/2065306/cover/2065306.jpg", "Обложка")</f>
        <v>Обложка</v>
      </c>
      <c r="V2514" s="8"/>
      <c r="W2514" s="6" t="s">
        <v>1382</v>
      </c>
      <c r="X2514" s="6"/>
      <c r="Y2514" s="6"/>
      <c r="Z2514" s="6"/>
      <c r="AA2514" s="6" t="s">
        <v>68</v>
      </c>
      <c r="AB2514" s="8"/>
      <c r="AC2514" s="27">
        <v>9785160188201</v>
      </c>
    </row>
    <row r="2515" spans="1:29" s="4" customFormat="1" ht="51.9" customHeight="1" x14ac:dyDescent="0.2">
      <c r="A2515" s="5">
        <v>0</v>
      </c>
      <c r="B2515" s="6" t="s">
        <v>14957</v>
      </c>
      <c r="C2515" s="7">
        <v>1840.8</v>
      </c>
      <c r="D2515" s="8" t="s">
        <v>14958</v>
      </c>
      <c r="E2515" s="8" t="s">
        <v>14959</v>
      </c>
      <c r="F2515" s="8" t="s">
        <v>14960</v>
      </c>
      <c r="G2515" s="6" t="s">
        <v>118</v>
      </c>
      <c r="H2515" s="6" t="s">
        <v>34</v>
      </c>
      <c r="I2515" s="8" t="s">
        <v>271</v>
      </c>
      <c r="J2515" s="9">
        <v>1</v>
      </c>
      <c r="K2515" s="9">
        <v>306</v>
      </c>
      <c r="L2515" s="9">
        <v>2025</v>
      </c>
      <c r="M2515" s="8" t="s">
        <v>14961</v>
      </c>
      <c r="N2515" s="8" t="s">
        <v>585</v>
      </c>
      <c r="O2515" s="8" t="s">
        <v>667</v>
      </c>
      <c r="P2515" s="6" t="s">
        <v>51</v>
      </c>
      <c r="Q2515" s="8" t="s">
        <v>52</v>
      </c>
      <c r="R2515" s="10" t="s">
        <v>14962</v>
      </c>
      <c r="S2515" s="11" t="s">
        <v>14963</v>
      </c>
      <c r="T2515" s="6"/>
      <c r="U2515" s="15" t="str">
        <f>HYPERLINK("https://media.infra-m.ru/2179/2179731/cover/2179731.jpg", "Обложка")</f>
        <v>Обложка</v>
      </c>
      <c r="V2515" s="8" t="s">
        <v>6642</v>
      </c>
      <c r="W2515" s="6"/>
      <c r="X2515" s="6"/>
      <c r="Y2515" s="6"/>
      <c r="Z2515" s="6"/>
      <c r="AA2515" s="6" t="s">
        <v>1256</v>
      </c>
      <c r="AB2515" s="8"/>
      <c r="AC2515" s="27">
        <v>9785160146959</v>
      </c>
    </row>
    <row r="2516" spans="1:29" s="4" customFormat="1" ht="42" customHeight="1" x14ac:dyDescent="0.2">
      <c r="A2516" s="5">
        <v>0</v>
      </c>
      <c r="B2516" s="6" t="s">
        <v>14964</v>
      </c>
      <c r="C2516" s="13">
        <v>780</v>
      </c>
      <c r="D2516" s="8" t="s">
        <v>14965</v>
      </c>
      <c r="E2516" s="8" t="s">
        <v>14966</v>
      </c>
      <c r="F2516" s="8" t="s">
        <v>14967</v>
      </c>
      <c r="G2516" s="6" t="s">
        <v>118</v>
      </c>
      <c r="H2516" s="6" t="s">
        <v>34</v>
      </c>
      <c r="I2516" s="8" t="s">
        <v>35</v>
      </c>
      <c r="J2516" s="9">
        <v>1</v>
      </c>
      <c r="K2516" s="9">
        <v>166</v>
      </c>
      <c r="L2516" s="9">
        <v>2022</v>
      </c>
      <c r="M2516" s="8" t="s">
        <v>14968</v>
      </c>
      <c r="N2516" s="8" t="s">
        <v>63</v>
      </c>
      <c r="O2516" s="8" t="s">
        <v>64</v>
      </c>
      <c r="P2516" s="6" t="s">
        <v>39</v>
      </c>
      <c r="Q2516" s="8" t="s">
        <v>40</v>
      </c>
      <c r="R2516" s="10" t="s">
        <v>10991</v>
      </c>
      <c r="S2516" s="11"/>
      <c r="T2516" s="6"/>
      <c r="U2516" s="15" t="str">
        <f>HYPERLINK("https://media.infra-m.ru/1858/1858235/cover/1858235.jpg", "Обложка")</f>
        <v>Обложка</v>
      </c>
      <c r="V2516" s="8" t="s">
        <v>6135</v>
      </c>
      <c r="W2516" s="6"/>
      <c r="X2516" s="6"/>
      <c r="Y2516" s="6"/>
      <c r="Z2516" s="6"/>
      <c r="AA2516" s="6" t="s">
        <v>86</v>
      </c>
      <c r="AB2516" s="8" t="s">
        <v>493</v>
      </c>
      <c r="AC2516" s="27">
        <v>9785160134727</v>
      </c>
    </row>
    <row r="2517" spans="1:29" s="4" customFormat="1" ht="42" customHeight="1" x14ac:dyDescent="0.2">
      <c r="A2517" s="5">
        <v>0</v>
      </c>
      <c r="B2517" s="6" t="s">
        <v>14969</v>
      </c>
      <c r="C2517" s="13">
        <v>924</v>
      </c>
      <c r="D2517" s="8" t="s">
        <v>14970</v>
      </c>
      <c r="E2517" s="8" t="s">
        <v>14966</v>
      </c>
      <c r="F2517" s="8" t="s">
        <v>14967</v>
      </c>
      <c r="G2517" s="6" t="s">
        <v>33</v>
      </c>
      <c r="H2517" s="6" t="s">
        <v>34</v>
      </c>
      <c r="I2517" s="8" t="s">
        <v>35</v>
      </c>
      <c r="J2517" s="9">
        <v>1</v>
      </c>
      <c r="K2517" s="9">
        <v>166</v>
      </c>
      <c r="L2517" s="9">
        <v>2024</v>
      </c>
      <c r="M2517" s="8" t="s">
        <v>14971</v>
      </c>
      <c r="N2517" s="8" t="s">
        <v>63</v>
      </c>
      <c r="O2517" s="8" t="s">
        <v>64</v>
      </c>
      <c r="P2517" s="6" t="s">
        <v>39</v>
      </c>
      <c r="Q2517" s="8" t="s">
        <v>40</v>
      </c>
      <c r="R2517" s="10" t="s">
        <v>10991</v>
      </c>
      <c r="S2517" s="11"/>
      <c r="T2517" s="6"/>
      <c r="U2517" s="15" t="str">
        <f>HYPERLINK("https://media.infra-m.ru/2063/2063375/cover/2063375.jpg", "Обложка")</f>
        <v>Обложка</v>
      </c>
      <c r="V2517" s="8" t="s">
        <v>6135</v>
      </c>
      <c r="W2517" s="6"/>
      <c r="X2517" s="6"/>
      <c r="Y2517" s="6"/>
      <c r="Z2517" s="6"/>
      <c r="AA2517" s="6" t="s">
        <v>86</v>
      </c>
      <c r="AB2517" s="8" t="s">
        <v>493</v>
      </c>
      <c r="AC2517" s="27">
        <v>9785160189109</v>
      </c>
    </row>
    <row r="2518" spans="1:29" s="4" customFormat="1" ht="51.9" customHeight="1" x14ac:dyDescent="0.2">
      <c r="A2518" s="5">
        <v>0</v>
      </c>
      <c r="B2518" s="6" t="s">
        <v>14972</v>
      </c>
      <c r="C2518" s="7">
        <v>2616</v>
      </c>
      <c r="D2518" s="8" t="s">
        <v>14973</v>
      </c>
      <c r="E2518" s="8" t="s">
        <v>14974</v>
      </c>
      <c r="F2518" s="8" t="s">
        <v>14975</v>
      </c>
      <c r="G2518" s="6" t="s">
        <v>118</v>
      </c>
      <c r="H2518" s="6" t="s">
        <v>34</v>
      </c>
      <c r="I2518" s="8" t="s">
        <v>253</v>
      </c>
      <c r="J2518" s="9">
        <v>1</v>
      </c>
      <c r="K2518" s="9">
        <v>376</v>
      </c>
      <c r="L2518" s="9">
        <v>2026</v>
      </c>
      <c r="M2518" s="8" t="s">
        <v>14976</v>
      </c>
      <c r="N2518" s="8" t="s">
        <v>63</v>
      </c>
      <c r="O2518" s="8" t="s">
        <v>154</v>
      </c>
      <c r="P2518" s="6" t="s">
        <v>51</v>
      </c>
      <c r="Q2518" s="8" t="s">
        <v>52</v>
      </c>
      <c r="R2518" s="10" t="s">
        <v>14977</v>
      </c>
      <c r="S2518" s="11" t="s">
        <v>14978</v>
      </c>
      <c r="T2518" s="6"/>
      <c r="U2518" s="15" t="str">
        <f>HYPERLINK("https://media.infra-m.ru/2263/2263950/cover/2263950.jpg", "Обложка")</f>
        <v>Обложка</v>
      </c>
      <c r="V2518" s="8" t="s">
        <v>164</v>
      </c>
      <c r="W2518" s="6"/>
      <c r="X2518" s="6"/>
      <c r="Y2518" s="6"/>
      <c r="Z2518" s="6"/>
      <c r="AA2518" s="6" t="s">
        <v>769</v>
      </c>
      <c r="AB2518" s="8"/>
      <c r="AC2518" s="27">
        <v>9785160060309</v>
      </c>
    </row>
    <row r="2519" spans="1:29" s="4" customFormat="1" ht="51.9" customHeight="1" x14ac:dyDescent="0.2">
      <c r="A2519" s="5">
        <v>0</v>
      </c>
      <c r="B2519" s="6" t="s">
        <v>14979</v>
      </c>
      <c r="C2519" s="7">
        <v>1680</v>
      </c>
      <c r="D2519" s="8" t="s">
        <v>14980</v>
      </c>
      <c r="E2519" s="8" t="s">
        <v>14981</v>
      </c>
      <c r="F2519" s="8" t="s">
        <v>14982</v>
      </c>
      <c r="G2519" s="6" t="s">
        <v>118</v>
      </c>
      <c r="H2519" s="6" t="s">
        <v>1779</v>
      </c>
      <c r="I2519" s="8"/>
      <c r="J2519" s="9">
        <v>1</v>
      </c>
      <c r="K2519" s="9">
        <v>240</v>
      </c>
      <c r="L2519" s="9">
        <v>2026</v>
      </c>
      <c r="M2519" s="8" t="s">
        <v>14983</v>
      </c>
      <c r="N2519" s="8" t="s">
        <v>37</v>
      </c>
      <c r="O2519" s="8" t="s">
        <v>136</v>
      </c>
      <c r="P2519" s="6" t="s">
        <v>39</v>
      </c>
      <c r="Q2519" s="8" t="s">
        <v>40</v>
      </c>
      <c r="R2519" s="10" t="s">
        <v>8620</v>
      </c>
      <c r="S2519" s="11"/>
      <c r="T2519" s="6"/>
      <c r="U2519" s="15" t="str">
        <f>HYPERLINK("https://media.infra-m.ru/2259/2259991/cover/2259991.jpg", "Обложка")</f>
        <v>Обложка</v>
      </c>
      <c r="V2519" s="8" t="s">
        <v>2466</v>
      </c>
      <c r="W2519" s="6"/>
      <c r="X2519" s="6"/>
      <c r="Y2519" s="6"/>
      <c r="Z2519" s="6"/>
      <c r="AA2519" s="6" t="s">
        <v>1256</v>
      </c>
      <c r="AB2519" s="8"/>
      <c r="AC2519" s="27">
        <v>9785001560562</v>
      </c>
    </row>
    <row r="2520" spans="1:29" s="4" customFormat="1" ht="42" customHeight="1" x14ac:dyDescent="0.2">
      <c r="A2520" s="5">
        <v>0</v>
      </c>
      <c r="B2520" s="6" t="s">
        <v>14984</v>
      </c>
      <c r="C2520" s="7">
        <v>1584</v>
      </c>
      <c r="D2520" s="8" t="s">
        <v>14985</v>
      </c>
      <c r="E2520" s="8" t="s">
        <v>14986</v>
      </c>
      <c r="F2520" s="8" t="s">
        <v>10966</v>
      </c>
      <c r="G2520" s="6" t="s">
        <v>118</v>
      </c>
      <c r="H2520" s="6" t="s">
        <v>820</v>
      </c>
      <c r="I2520" s="8"/>
      <c r="J2520" s="9">
        <v>1</v>
      </c>
      <c r="K2520" s="9">
        <v>238</v>
      </c>
      <c r="L2520" s="9">
        <v>2026</v>
      </c>
      <c r="M2520" s="8" t="s">
        <v>14987</v>
      </c>
      <c r="N2520" s="8" t="s">
        <v>243</v>
      </c>
      <c r="O2520" s="8" t="s">
        <v>1100</v>
      </c>
      <c r="P2520" s="6" t="s">
        <v>306</v>
      </c>
      <c r="Q2520" s="8" t="s">
        <v>52</v>
      </c>
      <c r="R2520" s="10" t="s">
        <v>2505</v>
      </c>
      <c r="S2520" s="11"/>
      <c r="T2520" s="6"/>
      <c r="U2520" s="15" t="str">
        <f>HYPERLINK("https://media.infra-m.ru/2221/2221257/cover/2221257.jpg", "Обложка")</f>
        <v>Обложка</v>
      </c>
      <c r="V2520" s="8" t="s">
        <v>1915</v>
      </c>
      <c r="W2520" s="6"/>
      <c r="X2520" s="6"/>
      <c r="Y2520" s="6"/>
      <c r="Z2520" s="6"/>
      <c r="AA2520" s="6" t="s">
        <v>404</v>
      </c>
      <c r="AB2520" s="8"/>
      <c r="AC2520" s="27">
        <v>9785906923493</v>
      </c>
    </row>
    <row r="2521" spans="1:29" s="4" customFormat="1" ht="42" customHeight="1" x14ac:dyDescent="0.2">
      <c r="A2521" s="5">
        <v>0</v>
      </c>
      <c r="B2521" s="6" t="s">
        <v>14988</v>
      </c>
      <c r="C2521" s="7">
        <v>1132.8</v>
      </c>
      <c r="D2521" s="8" t="s">
        <v>14989</v>
      </c>
      <c r="E2521" s="8" t="s">
        <v>14990</v>
      </c>
      <c r="F2521" s="8" t="s">
        <v>14991</v>
      </c>
      <c r="G2521" s="6" t="s">
        <v>33</v>
      </c>
      <c r="H2521" s="6" t="s">
        <v>34</v>
      </c>
      <c r="I2521" s="8" t="s">
        <v>35</v>
      </c>
      <c r="J2521" s="9">
        <v>1</v>
      </c>
      <c r="K2521" s="9">
        <v>162</v>
      </c>
      <c r="L2521" s="9">
        <v>2027</v>
      </c>
      <c r="M2521" s="8" t="s">
        <v>14992</v>
      </c>
      <c r="N2521" s="8" t="s">
        <v>585</v>
      </c>
      <c r="O2521" s="8" t="s">
        <v>667</v>
      </c>
      <c r="P2521" s="6" t="s">
        <v>39</v>
      </c>
      <c r="Q2521" s="8" t="s">
        <v>40</v>
      </c>
      <c r="R2521" s="10" t="s">
        <v>14993</v>
      </c>
      <c r="S2521" s="11"/>
      <c r="T2521" s="6"/>
      <c r="U2521" s="15" t="str">
        <f>HYPERLINK("https://media.infra-m.ru/2238/2238629/cover/2238629.jpg", "Обложка")</f>
        <v>Обложка</v>
      </c>
      <c r="V2521" s="8" t="s">
        <v>2446</v>
      </c>
      <c r="W2521" s="6"/>
      <c r="X2521" s="6"/>
      <c r="Y2521" s="6"/>
      <c r="Z2521" s="6"/>
      <c r="AA2521" s="6" t="s">
        <v>148</v>
      </c>
      <c r="AB2521" s="8"/>
      <c r="AC2521" s="27">
        <v>9785160175157</v>
      </c>
    </row>
    <row r="2522" spans="1:29" s="4" customFormat="1" ht="51.9" customHeight="1" x14ac:dyDescent="0.2">
      <c r="A2522" s="5">
        <v>0</v>
      </c>
      <c r="B2522" s="6" t="s">
        <v>14994</v>
      </c>
      <c r="C2522" s="7">
        <v>2148</v>
      </c>
      <c r="D2522" s="8" t="s">
        <v>14995</v>
      </c>
      <c r="E2522" s="8" t="s">
        <v>14996</v>
      </c>
      <c r="F2522" s="8" t="s">
        <v>14997</v>
      </c>
      <c r="G2522" s="6" t="s">
        <v>60</v>
      </c>
      <c r="H2522" s="6" t="s">
        <v>34</v>
      </c>
      <c r="I2522" s="8" t="s">
        <v>457</v>
      </c>
      <c r="J2522" s="9">
        <v>1</v>
      </c>
      <c r="K2522" s="9">
        <v>293</v>
      </c>
      <c r="L2522" s="9">
        <v>2026</v>
      </c>
      <c r="M2522" s="8" t="s">
        <v>14998</v>
      </c>
      <c r="N2522" s="8" t="s">
        <v>37</v>
      </c>
      <c r="O2522" s="8" t="s">
        <v>280</v>
      </c>
      <c r="P2522" s="6" t="s">
        <v>39</v>
      </c>
      <c r="Q2522" s="8" t="s">
        <v>40</v>
      </c>
      <c r="R2522" s="10" t="s">
        <v>14999</v>
      </c>
      <c r="S2522" s="11"/>
      <c r="T2522" s="6"/>
      <c r="U2522" s="15" t="str">
        <f>HYPERLINK("https://media.infra-m.ru/2212/2212038/cover/2212038.jpg", "Обложка")</f>
        <v>Обложка</v>
      </c>
      <c r="V2522" s="8" t="s">
        <v>247</v>
      </c>
      <c r="W2522" s="6" t="s">
        <v>528</v>
      </c>
      <c r="X2522" s="6"/>
      <c r="Y2522" s="6"/>
      <c r="Z2522" s="6"/>
      <c r="AA2522" s="6" t="s">
        <v>187</v>
      </c>
      <c r="AB2522" s="8" t="s">
        <v>308</v>
      </c>
      <c r="AC2522" s="27">
        <v>9785160210575</v>
      </c>
    </row>
    <row r="2523" spans="1:29" s="4" customFormat="1" ht="51.9" customHeight="1" x14ac:dyDescent="0.2">
      <c r="A2523" s="5">
        <v>0</v>
      </c>
      <c r="B2523" s="6" t="s">
        <v>15000</v>
      </c>
      <c r="C2523" s="7">
        <v>1408.8</v>
      </c>
      <c r="D2523" s="8" t="s">
        <v>15001</v>
      </c>
      <c r="E2523" s="8" t="s">
        <v>15002</v>
      </c>
      <c r="F2523" s="8" t="s">
        <v>15003</v>
      </c>
      <c r="G2523" s="6" t="s">
        <v>118</v>
      </c>
      <c r="H2523" s="6" t="s">
        <v>34</v>
      </c>
      <c r="I2523" s="8" t="s">
        <v>271</v>
      </c>
      <c r="J2523" s="9">
        <v>1</v>
      </c>
      <c r="K2523" s="9">
        <v>255</v>
      </c>
      <c r="L2523" s="9">
        <v>2024</v>
      </c>
      <c r="M2523" s="8" t="s">
        <v>15004</v>
      </c>
      <c r="N2523" s="8" t="s">
        <v>37</v>
      </c>
      <c r="O2523" s="8" t="s">
        <v>38</v>
      </c>
      <c r="P2523" s="6" t="s">
        <v>51</v>
      </c>
      <c r="Q2523" s="8" t="s">
        <v>52</v>
      </c>
      <c r="R2523" s="10" t="s">
        <v>4408</v>
      </c>
      <c r="S2523" s="11" t="s">
        <v>15005</v>
      </c>
      <c r="T2523" s="6"/>
      <c r="U2523" s="15" t="str">
        <f>HYPERLINK("https://media.infra-m.ru/2102/2102177/cover/2102177.jpg", "Обложка")</f>
        <v>Обложка</v>
      </c>
      <c r="V2523" s="8" t="s">
        <v>3087</v>
      </c>
      <c r="W2523" s="6"/>
      <c r="X2523" s="6"/>
      <c r="Y2523" s="6"/>
      <c r="Z2523" s="6"/>
      <c r="AA2523" s="6" t="s">
        <v>248</v>
      </c>
      <c r="AB2523" s="8"/>
      <c r="AC2523" s="27">
        <v>9785160065861</v>
      </c>
    </row>
    <row r="2524" spans="1:29" s="4" customFormat="1" ht="42" customHeight="1" x14ac:dyDescent="0.2">
      <c r="A2524" s="5">
        <v>0</v>
      </c>
      <c r="B2524" s="6" t="s">
        <v>15006</v>
      </c>
      <c r="C2524" s="7">
        <v>1428</v>
      </c>
      <c r="D2524" s="8" t="s">
        <v>15007</v>
      </c>
      <c r="E2524" s="8" t="s">
        <v>15008</v>
      </c>
      <c r="F2524" s="8" t="s">
        <v>15009</v>
      </c>
      <c r="G2524" s="6" t="s">
        <v>60</v>
      </c>
      <c r="H2524" s="6" t="s">
        <v>34</v>
      </c>
      <c r="I2524" s="8" t="s">
        <v>304</v>
      </c>
      <c r="J2524" s="9">
        <v>1</v>
      </c>
      <c r="K2524" s="9">
        <v>213</v>
      </c>
      <c r="L2524" s="9">
        <v>2025</v>
      </c>
      <c r="M2524" s="8" t="s">
        <v>15010</v>
      </c>
      <c r="N2524" s="8" t="s">
        <v>37</v>
      </c>
      <c r="O2524" s="8" t="s">
        <v>233</v>
      </c>
      <c r="P2524" s="6" t="s">
        <v>51</v>
      </c>
      <c r="Q2524" s="8" t="s">
        <v>52</v>
      </c>
      <c r="R2524" s="10" t="s">
        <v>357</v>
      </c>
      <c r="S2524" s="11"/>
      <c r="T2524" s="6"/>
      <c r="U2524" s="15" t="str">
        <f>HYPERLINK("https://media.infra-m.ru/2189/2189083/cover/2189083.jpg", "Обложка")</f>
        <v>Обложка</v>
      </c>
      <c r="V2524" s="8" t="s">
        <v>247</v>
      </c>
      <c r="W2524" s="6"/>
      <c r="X2524" s="6"/>
      <c r="Y2524" s="6"/>
      <c r="Z2524" s="6"/>
      <c r="AA2524" s="6" t="s">
        <v>68</v>
      </c>
      <c r="AB2524" s="8"/>
      <c r="AC2524" s="27">
        <v>9785160207179</v>
      </c>
    </row>
    <row r="2525" spans="1:29" s="4" customFormat="1" ht="44.1" customHeight="1" x14ac:dyDescent="0.2">
      <c r="A2525" s="5">
        <v>0</v>
      </c>
      <c r="B2525" s="6" t="s">
        <v>15011</v>
      </c>
      <c r="C2525" s="7">
        <v>1428</v>
      </c>
      <c r="D2525" s="8" t="s">
        <v>15012</v>
      </c>
      <c r="E2525" s="8" t="s">
        <v>15013</v>
      </c>
      <c r="F2525" s="8" t="s">
        <v>15014</v>
      </c>
      <c r="G2525" s="6" t="s">
        <v>60</v>
      </c>
      <c r="H2525" s="6" t="s">
        <v>34</v>
      </c>
      <c r="I2525" s="8" t="s">
        <v>304</v>
      </c>
      <c r="J2525" s="9">
        <v>1</v>
      </c>
      <c r="K2525" s="9">
        <v>223</v>
      </c>
      <c r="L2525" s="9">
        <v>2025</v>
      </c>
      <c r="M2525" s="8" t="s">
        <v>15015</v>
      </c>
      <c r="N2525" s="8" t="s">
        <v>37</v>
      </c>
      <c r="O2525" s="8" t="s">
        <v>233</v>
      </c>
      <c r="P2525" s="6" t="s">
        <v>306</v>
      </c>
      <c r="Q2525" s="8" t="s">
        <v>52</v>
      </c>
      <c r="R2525" s="10" t="s">
        <v>15016</v>
      </c>
      <c r="S2525" s="11"/>
      <c r="T2525" s="6"/>
      <c r="U2525" s="15" t="str">
        <f>HYPERLINK("https://media.infra-m.ru/2180/2180073/cover/2180073.jpg", "Обложка")</f>
        <v>Обложка</v>
      </c>
      <c r="V2525" s="8" t="s">
        <v>247</v>
      </c>
      <c r="W2525" s="6"/>
      <c r="X2525" s="6"/>
      <c r="Y2525" s="6"/>
      <c r="Z2525" s="6"/>
      <c r="AA2525" s="6" t="s">
        <v>68</v>
      </c>
      <c r="AB2525" s="8"/>
      <c r="AC2525" s="27">
        <v>9785160205144</v>
      </c>
    </row>
    <row r="2526" spans="1:29" s="4" customFormat="1" ht="42" customHeight="1" x14ac:dyDescent="0.2">
      <c r="A2526" s="5">
        <v>0</v>
      </c>
      <c r="B2526" s="6" t="s">
        <v>15017</v>
      </c>
      <c r="C2526" s="13">
        <v>696</v>
      </c>
      <c r="D2526" s="8" t="s">
        <v>15018</v>
      </c>
      <c r="E2526" s="8" t="s">
        <v>15019</v>
      </c>
      <c r="F2526" s="8" t="s">
        <v>15020</v>
      </c>
      <c r="G2526" s="6" t="s">
        <v>33</v>
      </c>
      <c r="H2526" s="6" t="s">
        <v>134</v>
      </c>
      <c r="I2526" s="8"/>
      <c r="J2526" s="9">
        <v>1</v>
      </c>
      <c r="K2526" s="9">
        <v>100</v>
      </c>
      <c r="L2526" s="9">
        <v>2026</v>
      </c>
      <c r="M2526" s="8" t="s">
        <v>15021</v>
      </c>
      <c r="N2526" s="8" t="s">
        <v>37</v>
      </c>
      <c r="O2526" s="8" t="s">
        <v>136</v>
      </c>
      <c r="P2526" s="6" t="s">
        <v>39</v>
      </c>
      <c r="Q2526" s="8" t="s">
        <v>40</v>
      </c>
      <c r="R2526" s="10" t="s">
        <v>9577</v>
      </c>
      <c r="S2526" s="11"/>
      <c r="T2526" s="6"/>
      <c r="U2526" s="15" t="str">
        <f>HYPERLINK("https://media.infra-m.ru/2259/2259686/cover/2259686.jpg", "Обложка")</f>
        <v>Обложка</v>
      </c>
      <c r="V2526" s="8" t="s">
        <v>546</v>
      </c>
      <c r="W2526" s="6"/>
      <c r="X2526" s="6"/>
      <c r="Y2526" s="6"/>
      <c r="Z2526" s="6"/>
      <c r="AA2526" s="6" t="s">
        <v>86</v>
      </c>
      <c r="AB2526" s="8"/>
      <c r="AC2526" s="27">
        <v>9785917688619</v>
      </c>
    </row>
    <row r="2527" spans="1:29" s="4" customFormat="1" ht="44.1" customHeight="1" x14ac:dyDescent="0.2">
      <c r="A2527" s="5">
        <v>0</v>
      </c>
      <c r="B2527" s="6" t="s">
        <v>15022</v>
      </c>
      <c r="C2527" s="7">
        <v>1572</v>
      </c>
      <c r="D2527" s="8" t="s">
        <v>15023</v>
      </c>
      <c r="E2527" s="8" t="s">
        <v>15024</v>
      </c>
      <c r="F2527" s="8" t="s">
        <v>15025</v>
      </c>
      <c r="G2527" s="6" t="s">
        <v>33</v>
      </c>
      <c r="H2527" s="6" t="s">
        <v>34</v>
      </c>
      <c r="I2527" s="8" t="s">
        <v>35</v>
      </c>
      <c r="J2527" s="9">
        <v>1</v>
      </c>
      <c r="K2527" s="9">
        <v>292</v>
      </c>
      <c r="L2527" s="9">
        <v>2023</v>
      </c>
      <c r="M2527" s="8" t="s">
        <v>15026</v>
      </c>
      <c r="N2527" s="8" t="s">
        <v>37</v>
      </c>
      <c r="O2527" s="8" t="s">
        <v>38</v>
      </c>
      <c r="P2527" s="6" t="s">
        <v>39</v>
      </c>
      <c r="Q2527" s="8" t="s">
        <v>40</v>
      </c>
      <c r="R2527" s="10" t="s">
        <v>15027</v>
      </c>
      <c r="S2527" s="11"/>
      <c r="T2527" s="6"/>
      <c r="U2527" s="15" t="str">
        <f>HYPERLINK("https://media.infra-m.ru/1876/1876369/cover/1876369.jpg", "Обложка")</f>
        <v>Обложка</v>
      </c>
      <c r="V2527" s="8" t="s">
        <v>1357</v>
      </c>
      <c r="W2527" s="6"/>
      <c r="X2527" s="6"/>
      <c r="Y2527" s="6"/>
      <c r="Z2527" s="6"/>
      <c r="AA2527" s="6" t="s">
        <v>157</v>
      </c>
      <c r="AB2527" s="8"/>
      <c r="AC2527" s="27">
        <v>9785160177939</v>
      </c>
    </row>
    <row r="2528" spans="1:29" s="4" customFormat="1" ht="42" customHeight="1" x14ac:dyDescent="0.2">
      <c r="A2528" s="5">
        <v>0</v>
      </c>
      <c r="B2528" s="6" t="s">
        <v>15028</v>
      </c>
      <c r="C2528" s="7">
        <v>1200</v>
      </c>
      <c r="D2528" s="8" t="s">
        <v>15029</v>
      </c>
      <c r="E2528" s="8" t="s">
        <v>15030</v>
      </c>
      <c r="F2528" s="8" t="s">
        <v>4643</v>
      </c>
      <c r="G2528" s="6" t="s">
        <v>60</v>
      </c>
      <c r="H2528" s="6" t="s">
        <v>34</v>
      </c>
      <c r="I2528" s="8" t="s">
        <v>35</v>
      </c>
      <c r="J2528" s="9">
        <v>1</v>
      </c>
      <c r="K2528" s="9">
        <v>193</v>
      </c>
      <c r="L2528" s="9">
        <v>2024</v>
      </c>
      <c r="M2528" s="8" t="s">
        <v>15031</v>
      </c>
      <c r="N2528" s="8" t="s">
        <v>243</v>
      </c>
      <c r="O2528" s="8" t="s">
        <v>798</v>
      </c>
      <c r="P2528" s="6" t="s">
        <v>39</v>
      </c>
      <c r="Q2528" s="8" t="s">
        <v>40</v>
      </c>
      <c r="R2528" s="10" t="s">
        <v>15032</v>
      </c>
      <c r="S2528" s="11"/>
      <c r="T2528" s="6"/>
      <c r="U2528" s="15" t="str">
        <f>HYPERLINK("https://media.infra-m.ru/2100/2100003/cover/2100003.jpg", "Обложка")</f>
        <v>Обложка</v>
      </c>
      <c r="V2528" s="8" t="s">
        <v>761</v>
      </c>
      <c r="W2528" s="6"/>
      <c r="X2528" s="6"/>
      <c r="Y2528" s="6"/>
      <c r="Z2528" s="6"/>
      <c r="AA2528" s="6" t="s">
        <v>76</v>
      </c>
      <c r="AB2528" s="8"/>
      <c r="AC2528" s="27">
        <v>9785160192451</v>
      </c>
    </row>
    <row r="2529" spans="1:29" s="4" customFormat="1" ht="42" customHeight="1" x14ac:dyDescent="0.2">
      <c r="A2529" s="5">
        <v>0</v>
      </c>
      <c r="B2529" s="6" t="s">
        <v>15033</v>
      </c>
      <c r="C2529" s="7">
        <v>1836</v>
      </c>
      <c r="D2529" s="8" t="s">
        <v>15034</v>
      </c>
      <c r="E2529" s="8" t="s">
        <v>15035</v>
      </c>
      <c r="F2529" s="8" t="s">
        <v>15036</v>
      </c>
      <c r="G2529" s="6" t="s">
        <v>60</v>
      </c>
      <c r="H2529" s="6" t="s">
        <v>34</v>
      </c>
      <c r="I2529" s="8" t="s">
        <v>1074</v>
      </c>
      <c r="J2529" s="9">
        <v>1</v>
      </c>
      <c r="K2529" s="9">
        <v>524</v>
      </c>
      <c r="L2529" s="9">
        <v>2018</v>
      </c>
      <c r="M2529" s="8" t="s">
        <v>15037</v>
      </c>
      <c r="N2529" s="8" t="s">
        <v>37</v>
      </c>
      <c r="O2529" s="8" t="s">
        <v>136</v>
      </c>
      <c r="P2529" s="6" t="s">
        <v>3141</v>
      </c>
      <c r="Q2529" s="8" t="s">
        <v>40</v>
      </c>
      <c r="R2529" s="10"/>
      <c r="S2529" s="11"/>
      <c r="T2529" s="6"/>
      <c r="U2529" s="15" t="str">
        <f>HYPERLINK("https://media.infra-m.ru/0928/0928373/cover/928373.jpg", "Обложка")</f>
        <v>Обложка</v>
      </c>
      <c r="V2529" s="8" t="s">
        <v>15038</v>
      </c>
      <c r="W2529" s="6"/>
      <c r="X2529" s="6"/>
      <c r="Y2529" s="6"/>
      <c r="Z2529" s="6"/>
      <c r="AA2529" s="6" t="s">
        <v>360</v>
      </c>
      <c r="AB2529" s="8"/>
      <c r="AC2529" s="27">
        <v>9785160122625</v>
      </c>
    </row>
    <row r="2530" spans="1:29" s="4" customFormat="1" ht="51.9" customHeight="1" x14ac:dyDescent="0.2">
      <c r="A2530" s="5">
        <v>0</v>
      </c>
      <c r="B2530" s="6" t="s">
        <v>15039</v>
      </c>
      <c r="C2530" s="7">
        <v>2040</v>
      </c>
      <c r="D2530" s="8" t="s">
        <v>15040</v>
      </c>
      <c r="E2530" s="8" t="s">
        <v>15041</v>
      </c>
      <c r="F2530" s="8" t="s">
        <v>15042</v>
      </c>
      <c r="G2530" s="6" t="s">
        <v>118</v>
      </c>
      <c r="H2530" s="6" t="s">
        <v>34</v>
      </c>
      <c r="I2530" s="8" t="s">
        <v>1074</v>
      </c>
      <c r="J2530" s="9">
        <v>1</v>
      </c>
      <c r="K2530" s="9">
        <v>472</v>
      </c>
      <c r="L2530" s="9">
        <v>2021</v>
      </c>
      <c r="M2530" s="8" t="s">
        <v>15043</v>
      </c>
      <c r="N2530" s="8" t="s">
        <v>37</v>
      </c>
      <c r="O2530" s="8" t="s">
        <v>136</v>
      </c>
      <c r="P2530" s="6" t="s">
        <v>683</v>
      </c>
      <c r="Q2530" s="8" t="s">
        <v>65</v>
      </c>
      <c r="R2530" s="10" t="s">
        <v>676</v>
      </c>
      <c r="S2530" s="11"/>
      <c r="T2530" s="6"/>
      <c r="U2530" s="15" t="str">
        <f>HYPERLINK("https://media.infra-m.ru/1216/1216935/cover/1216935.jpg", "Обложка")</f>
        <v>Обложка</v>
      </c>
      <c r="V2530" s="8" t="s">
        <v>138</v>
      </c>
      <c r="W2530" s="6"/>
      <c r="X2530" s="6"/>
      <c r="Y2530" s="6"/>
      <c r="Z2530" s="6"/>
      <c r="AA2530" s="6" t="s">
        <v>1256</v>
      </c>
      <c r="AB2530" s="8"/>
      <c r="AC2530" s="27">
        <v>9785160160771</v>
      </c>
    </row>
    <row r="2531" spans="1:29" s="4" customFormat="1" ht="51.9" customHeight="1" x14ac:dyDescent="0.2">
      <c r="A2531" s="5">
        <v>0</v>
      </c>
      <c r="B2531" s="6" t="s">
        <v>15044</v>
      </c>
      <c r="C2531" s="7">
        <v>4196.3999999999996</v>
      </c>
      <c r="D2531" s="8" t="s">
        <v>15045</v>
      </c>
      <c r="E2531" s="8" t="s">
        <v>15046</v>
      </c>
      <c r="F2531" s="8" t="s">
        <v>15047</v>
      </c>
      <c r="G2531" s="6" t="s">
        <v>118</v>
      </c>
      <c r="H2531" s="6" t="s">
        <v>134</v>
      </c>
      <c r="I2531" s="8" t="s">
        <v>15048</v>
      </c>
      <c r="J2531" s="9">
        <v>1</v>
      </c>
      <c r="K2531" s="9">
        <v>928</v>
      </c>
      <c r="L2531" s="9">
        <v>2026</v>
      </c>
      <c r="M2531" s="8" t="s">
        <v>15049</v>
      </c>
      <c r="N2531" s="8" t="s">
        <v>37</v>
      </c>
      <c r="O2531" s="8" t="s">
        <v>136</v>
      </c>
      <c r="P2531" s="6" t="s">
        <v>683</v>
      </c>
      <c r="Q2531" s="8"/>
      <c r="R2531" s="10" t="s">
        <v>15050</v>
      </c>
      <c r="S2531" s="11"/>
      <c r="T2531" s="6"/>
      <c r="U2531" s="15" t="str">
        <f>HYPERLINK("https://media.infra-m.ru/2221/2221654/cover/2221654.jpg", "Обложка")</f>
        <v>Обложка</v>
      </c>
      <c r="V2531" s="8" t="s">
        <v>1277</v>
      </c>
      <c r="W2531" s="6"/>
      <c r="X2531" s="6" t="s">
        <v>24</v>
      </c>
      <c r="Y2531" s="6"/>
      <c r="Z2531" s="6"/>
      <c r="AA2531" s="6" t="s">
        <v>10095</v>
      </c>
      <c r="AB2531" s="8"/>
      <c r="AC2531" s="27">
        <v>9785001561354</v>
      </c>
    </row>
    <row r="2532" spans="1:29" s="4" customFormat="1" ht="51.9" customHeight="1" x14ac:dyDescent="0.2">
      <c r="A2532" s="5">
        <v>0</v>
      </c>
      <c r="B2532" s="6" t="s">
        <v>15051</v>
      </c>
      <c r="C2532" s="7">
        <v>1199.9000000000001</v>
      </c>
      <c r="D2532" s="8" t="s">
        <v>15052</v>
      </c>
      <c r="E2532" s="8" t="s">
        <v>15053</v>
      </c>
      <c r="F2532" s="8" t="s">
        <v>15054</v>
      </c>
      <c r="G2532" s="6" t="s">
        <v>60</v>
      </c>
      <c r="H2532" s="6" t="s">
        <v>134</v>
      </c>
      <c r="I2532" s="8"/>
      <c r="J2532" s="9">
        <v>4</v>
      </c>
      <c r="K2532" s="9">
        <v>816</v>
      </c>
      <c r="L2532" s="9">
        <v>2014</v>
      </c>
      <c r="M2532" s="8" t="s">
        <v>15055</v>
      </c>
      <c r="N2532" s="8" t="s">
        <v>37</v>
      </c>
      <c r="O2532" s="8" t="s">
        <v>136</v>
      </c>
      <c r="P2532" s="6" t="s">
        <v>683</v>
      </c>
      <c r="Q2532" s="8" t="s">
        <v>40</v>
      </c>
      <c r="R2532" s="10" t="s">
        <v>15050</v>
      </c>
      <c r="S2532" s="11"/>
      <c r="T2532" s="6"/>
      <c r="U2532" s="15" t="str">
        <f>HYPERLINK("https://media.infra-m.ru/0459/0459415/cover/459415.jpg", "Обложка")</f>
        <v>Обложка</v>
      </c>
      <c r="V2532" s="8" t="s">
        <v>15056</v>
      </c>
      <c r="W2532" s="6"/>
      <c r="X2532" s="6" t="s">
        <v>24</v>
      </c>
      <c r="Y2532" s="6"/>
      <c r="Z2532" s="6"/>
      <c r="AA2532" s="6" t="s">
        <v>15057</v>
      </c>
      <c r="AB2532" s="8"/>
      <c r="AC2532" s="27">
        <v>9785917684185</v>
      </c>
    </row>
    <row r="2533" spans="1:29" s="4" customFormat="1" ht="42" customHeight="1" x14ac:dyDescent="0.2">
      <c r="A2533" s="5">
        <v>0</v>
      </c>
      <c r="B2533" s="6" t="s">
        <v>15058</v>
      </c>
      <c r="C2533" s="7">
        <v>3360</v>
      </c>
      <c r="D2533" s="8" t="s">
        <v>15059</v>
      </c>
      <c r="E2533" s="8" t="s">
        <v>15060</v>
      </c>
      <c r="F2533" s="8" t="s">
        <v>10794</v>
      </c>
      <c r="G2533" s="6" t="s">
        <v>33</v>
      </c>
      <c r="H2533" s="6" t="s">
        <v>313</v>
      </c>
      <c r="I2533" s="8"/>
      <c r="J2533" s="9">
        <v>1</v>
      </c>
      <c r="K2533" s="9">
        <v>510</v>
      </c>
      <c r="L2533" s="9">
        <v>2025</v>
      </c>
      <c r="M2533" s="8" t="s">
        <v>15061</v>
      </c>
      <c r="N2533" s="8" t="s">
        <v>37</v>
      </c>
      <c r="O2533" s="8" t="s">
        <v>136</v>
      </c>
      <c r="P2533" s="6" t="s">
        <v>683</v>
      </c>
      <c r="Q2533" s="8" t="s">
        <v>40</v>
      </c>
      <c r="R2533" s="10" t="s">
        <v>15062</v>
      </c>
      <c r="S2533" s="11"/>
      <c r="T2533" s="6"/>
      <c r="U2533" s="15" t="str">
        <f>HYPERLINK("https://media.infra-m.ru/2235/2235151/cover/2235151.jpg", "Обложка")</f>
        <v>Обложка</v>
      </c>
      <c r="V2533" s="8" t="s">
        <v>7167</v>
      </c>
      <c r="W2533" s="6"/>
      <c r="X2533" s="6"/>
      <c r="Y2533" s="6"/>
      <c r="Z2533" s="6"/>
      <c r="AA2533" s="6" t="s">
        <v>8682</v>
      </c>
      <c r="AB2533" s="8"/>
      <c r="AC2533" s="27">
        <v>9785369019887</v>
      </c>
    </row>
    <row r="2534" spans="1:29" s="4" customFormat="1" ht="42" customHeight="1" x14ac:dyDescent="0.2">
      <c r="A2534" s="5">
        <v>0</v>
      </c>
      <c r="B2534" s="6" t="s">
        <v>15063</v>
      </c>
      <c r="C2534" s="7">
        <v>3720</v>
      </c>
      <c r="D2534" s="8" t="s">
        <v>15064</v>
      </c>
      <c r="E2534" s="8" t="s">
        <v>15065</v>
      </c>
      <c r="F2534" s="8" t="s">
        <v>10794</v>
      </c>
      <c r="G2534" s="6" t="s">
        <v>33</v>
      </c>
      <c r="H2534" s="6" t="s">
        <v>313</v>
      </c>
      <c r="I2534" s="8"/>
      <c r="J2534" s="9">
        <v>1</v>
      </c>
      <c r="K2534" s="9">
        <v>534</v>
      </c>
      <c r="L2534" s="9">
        <v>2026</v>
      </c>
      <c r="M2534" s="8" t="s">
        <v>15066</v>
      </c>
      <c r="N2534" s="8" t="s">
        <v>37</v>
      </c>
      <c r="O2534" s="8" t="s">
        <v>136</v>
      </c>
      <c r="P2534" s="6" t="s">
        <v>683</v>
      </c>
      <c r="Q2534" s="8" t="s">
        <v>40</v>
      </c>
      <c r="R2534" s="10" t="s">
        <v>15062</v>
      </c>
      <c r="S2534" s="11"/>
      <c r="T2534" s="6"/>
      <c r="U2534" s="15" t="str">
        <f>HYPERLINK("https://media.infra-m.ru/2244/2244449/cover/2244449.jpg", "Обложка")</f>
        <v>Обложка</v>
      </c>
      <c r="V2534" s="8" t="s">
        <v>7167</v>
      </c>
      <c r="W2534" s="6" t="s">
        <v>9380</v>
      </c>
      <c r="X2534" s="6"/>
      <c r="Y2534" s="6"/>
      <c r="Z2534" s="6"/>
      <c r="AA2534" s="6" t="s">
        <v>8682</v>
      </c>
      <c r="AB2534" s="8"/>
      <c r="AC2534" s="27">
        <v>9785369030035</v>
      </c>
    </row>
    <row r="2535" spans="1:29" s="4" customFormat="1" ht="42" customHeight="1" x14ac:dyDescent="0.2">
      <c r="A2535" s="5">
        <v>0</v>
      </c>
      <c r="B2535" s="6" t="s">
        <v>15067</v>
      </c>
      <c r="C2535" s="13">
        <v>635.9</v>
      </c>
      <c r="D2535" s="8" t="s">
        <v>15068</v>
      </c>
      <c r="E2535" s="8" t="s">
        <v>15069</v>
      </c>
      <c r="F2535" s="8" t="s">
        <v>15070</v>
      </c>
      <c r="G2535" s="6" t="s">
        <v>21</v>
      </c>
      <c r="H2535" s="6" t="s">
        <v>313</v>
      </c>
      <c r="I2535" s="8"/>
      <c r="J2535" s="9">
        <v>40</v>
      </c>
      <c r="K2535" s="9">
        <v>440</v>
      </c>
      <c r="L2535" s="9">
        <v>2014</v>
      </c>
      <c r="M2535" s="8" t="s">
        <v>15071</v>
      </c>
      <c r="N2535" s="8" t="s">
        <v>37</v>
      </c>
      <c r="O2535" s="8" t="s">
        <v>136</v>
      </c>
      <c r="P2535" s="6" t="s">
        <v>683</v>
      </c>
      <c r="Q2535" s="8" t="s">
        <v>40</v>
      </c>
      <c r="R2535" s="10" t="s">
        <v>15062</v>
      </c>
      <c r="S2535" s="11"/>
      <c r="T2535" s="6"/>
      <c r="U2535" s="15" t="str">
        <f>HYPERLINK("https://media.infra-m.ru/0423/0423658/cover/423658.jpg", "Обложка")</f>
        <v>Обложка</v>
      </c>
      <c r="V2535" s="8" t="s">
        <v>7167</v>
      </c>
      <c r="W2535" s="6"/>
      <c r="X2535" s="6"/>
      <c r="Y2535" s="6"/>
      <c r="Z2535" s="6"/>
      <c r="AA2535" s="6" t="s">
        <v>859</v>
      </c>
      <c r="AB2535" s="8"/>
      <c r="AC2535" s="27">
        <v>9785369012741</v>
      </c>
    </row>
    <row r="2536" spans="1:29" s="4" customFormat="1" ht="42" customHeight="1" x14ac:dyDescent="0.2">
      <c r="A2536" s="5">
        <v>0</v>
      </c>
      <c r="B2536" s="6" t="s">
        <v>15072</v>
      </c>
      <c r="C2536" s="7">
        <v>2748</v>
      </c>
      <c r="D2536" s="8" t="s">
        <v>15073</v>
      </c>
      <c r="E2536" s="8" t="s">
        <v>15074</v>
      </c>
      <c r="F2536" s="8" t="s">
        <v>10794</v>
      </c>
      <c r="G2536" s="6" t="s">
        <v>33</v>
      </c>
      <c r="H2536" s="6" t="s">
        <v>313</v>
      </c>
      <c r="I2536" s="8"/>
      <c r="J2536" s="9">
        <v>1</v>
      </c>
      <c r="K2536" s="9">
        <v>487</v>
      </c>
      <c r="L2536" s="9">
        <v>2024</v>
      </c>
      <c r="M2536" s="8" t="s">
        <v>15075</v>
      </c>
      <c r="N2536" s="8" t="s">
        <v>37</v>
      </c>
      <c r="O2536" s="8" t="s">
        <v>136</v>
      </c>
      <c r="P2536" s="6" t="s">
        <v>683</v>
      </c>
      <c r="Q2536" s="8" t="s">
        <v>40</v>
      </c>
      <c r="R2536" s="10" t="s">
        <v>15062</v>
      </c>
      <c r="S2536" s="11"/>
      <c r="T2536" s="6"/>
      <c r="U2536" s="15" t="str">
        <f>HYPERLINK("https://media.infra-m.ru/2125/2125556/cover/2125556.jpg", "Обложка")</f>
        <v>Обложка</v>
      </c>
      <c r="V2536" s="8" t="s">
        <v>7167</v>
      </c>
      <c r="W2536" s="6"/>
      <c r="X2536" s="6"/>
      <c r="Y2536" s="6"/>
      <c r="Z2536" s="6"/>
      <c r="AA2536" s="6" t="s">
        <v>10805</v>
      </c>
      <c r="AB2536" s="8"/>
      <c r="AC2536" s="27">
        <v>9785369019474</v>
      </c>
    </row>
    <row r="2537" spans="1:29" s="4" customFormat="1" ht="42" customHeight="1" x14ac:dyDescent="0.2">
      <c r="A2537" s="5">
        <v>0</v>
      </c>
      <c r="B2537" s="6" t="s">
        <v>15076</v>
      </c>
      <c r="C2537" s="7">
        <v>2256</v>
      </c>
      <c r="D2537" s="8" t="s">
        <v>15077</v>
      </c>
      <c r="E2537" s="8" t="s">
        <v>15078</v>
      </c>
      <c r="F2537" s="8" t="s">
        <v>10794</v>
      </c>
      <c r="G2537" s="6" t="s">
        <v>33</v>
      </c>
      <c r="H2537" s="6" t="s">
        <v>313</v>
      </c>
      <c r="I2537" s="8"/>
      <c r="J2537" s="9">
        <v>1</v>
      </c>
      <c r="K2537" s="9">
        <v>477</v>
      </c>
      <c r="L2537" s="9">
        <v>2023</v>
      </c>
      <c r="M2537" s="8" t="s">
        <v>15079</v>
      </c>
      <c r="N2537" s="8" t="s">
        <v>37</v>
      </c>
      <c r="O2537" s="8" t="s">
        <v>136</v>
      </c>
      <c r="P2537" s="6" t="s">
        <v>683</v>
      </c>
      <c r="Q2537" s="8" t="s">
        <v>40</v>
      </c>
      <c r="R2537" s="10" t="s">
        <v>15062</v>
      </c>
      <c r="S2537" s="11"/>
      <c r="T2537" s="6"/>
      <c r="U2537" s="15" t="str">
        <f>HYPERLINK("https://media.infra-m.ru/1964/1964162/cover/1964162.jpg", "Обложка")</f>
        <v>Обложка</v>
      </c>
      <c r="V2537" s="8" t="s">
        <v>7167</v>
      </c>
      <c r="W2537" s="6"/>
      <c r="X2537" s="6"/>
      <c r="Y2537" s="6"/>
      <c r="Z2537" s="6"/>
      <c r="AA2537" s="6" t="s">
        <v>3841</v>
      </c>
      <c r="AB2537" s="8"/>
      <c r="AC2537" s="27">
        <v>9785369018828</v>
      </c>
    </row>
    <row r="2538" spans="1:29" s="4" customFormat="1" ht="42" customHeight="1" x14ac:dyDescent="0.2">
      <c r="A2538" s="5">
        <v>0</v>
      </c>
      <c r="B2538" s="6" t="s">
        <v>15080</v>
      </c>
      <c r="C2538" s="7">
        <v>1560</v>
      </c>
      <c r="D2538" s="8" t="s">
        <v>15081</v>
      </c>
      <c r="E2538" s="8" t="s">
        <v>15082</v>
      </c>
      <c r="F2538" s="8" t="s">
        <v>10794</v>
      </c>
      <c r="G2538" s="6" t="s">
        <v>33</v>
      </c>
      <c r="H2538" s="6" t="s">
        <v>313</v>
      </c>
      <c r="I2538" s="8"/>
      <c r="J2538" s="9">
        <v>1</v>
      </c>
      <c r="K2538" s="9">
        <v>412</v>
      </c>
      <c r="L2538" s="9">
        <v>2019</v>
      </c>
      <c r="M2538" s="8" t="s">
        <v>15083</v>
      </c>
      <c r="N2538" s="8" t="s">
        <v>37</v>
      </c>
      <c r="O2538" s="8" t="s">
        <v>136</v>
      </c>
      <c r="P2538" s="6" t="s">
        <v>683</v>
      </c>
      <c r="Q2538" s="8" t="s">
        <v>40</v>
      </c>
      <c r="R2538" s="10" t="s">
        <v>15062</v>
      </c>
      <c r="S2538" s="11"/>
      <c r="T2538" s="6"/>
      <c r="U2538" s="15" t="str">
        <f>HYPERLINK("https://media.infra-m.ru/1013/1013425/cover/1013425.jpg", "Обложка")</f>
        <v>Обложка</v>
      </c>
      <c r="V2538" s="8" t="s">
        <v>7167</v>
      </c>
      <c r="W2538" s="6"/>
      <c r="X2538" s="6"/>
      <c r="Y2538" s="6"/>
      <c r="Z2538" s="6"/>
      <c r="AA2538" s="6" t="s">
        <v>2311</v>
      </c>
      <c r="AB2538" s="8"/>
      <c r="AC2538" s="27">
        <v>9785369016916</v>
      </c>
    </row>
    <row r="2539" spans="1:29" s="4" customFormat="1" ht="42" customHeight="1" x14ac:dyDescent="0.2">
      <c r="A2539" s="5">
        <v>0</v>
      </c>
      <c r="B2539" s="6" t="s">
        <v>15084</v>
      </c>
      <c r="C2539" s="13">
        <v>540</v>
      </c>
      <c r="D2539" s="8" t="s">
        <v>15085</v>
      </c>
      <c r="E2539" s="8" t="s">
        <v>15086</v>
      </c>
      <c r="F2539" s="8" t="s">
        <v>15087</v>
      </c>
      <c r="G2539" s="6" t="s">
        <v>33</v>
      </c>
      <c r="H2539" s="6" t="s">
        <v>313</v>
      </c>
      <c r="I2539" s="8"/>
      <c r="J2539" s="9">
        <v>1</v>
      </c>
      <c r="K2539" s="9">
        <v>230</v>
      </c>
      <c r="L2539" s="9">
        <v>2019</v>
      </c>
      <c r="M2539" s="8" t="s">
        <v>15088</v>
      </c>
      <c r="N2539" s="8" t="s">
        <v>37</v>
      </c>
      <c r="O2539" s="8" t="s">
        <v>136</v>
      </c>
      <c r="P2539" s="6" t="s">
        <v>51</v>
      </c>
      <c r="Q2539" s="8" t="s">
        <v>265</v>
      </c>
      <c r="R2539" s="10" t="s">
        <v>15089</v>
      </c>
      <c r="S2539" s="11"/>
      <c r="T2539" s="6"/>
      <c r="U2539" s="15" t="str">
        <f>HYPERLINK("https://media.infra-m.ru/1020/1020833/cover/1020833.jpg", "Обложка")</f>
        <v>Обложка</v>
      </c>
      <c r="V2539" s="8" t="s">
        <v>2095</v>
      </c>
      <c r="W2539" s="6"/>
      <c r="X2539" s="6"/>
      <c r="Y2539" s="6"/>
      <c r="Z2539" s="6"/>
      <c r="AA2539" s="6" t="s">
        <v>779</v>
      </c>
      <c r="AB2539" s="8"/>
      <c r="AC2539" s="27">
        <v>9785369015612</v>
      </c>
    </row>
    <row r="2540" spans="1:29" s="4" customFormat="1" ht="51.9" customHeight="1" x14ac:dyDescent="0.2">
      <c r="A2540" s="5">
        <v>0</v>
      </c>
      <c r="B2540" s="6" t="s">
        <v>15090</v>
      </c>
      <c r="C2540" s="7">
        <v>2868</v>
      </c>
      <c r="D2540" s="8" t="s">
        <v>15091</v>
      </c>
      <c r="E2540" s="8" t="s">
        <v>15092</v>
      </c>
      <c r="F2540" s="8" t="s">
        <v>15093</v>
      </c>
      <c r="G2540" s="6" t="s">
        <v>33</v>
      </c>
      <c r="H2540" s="6" t="s">
        <v>313</v>
      </c>
      <c r="I2540" s="8"/>
      <c r="J2540" s="9">
        <v>1</v>
      </c>
      <c r="K2540" s="9">
        <v>686</v>
      </c>
      <c r="L2540" s="9">
        <v>2022</v>
      </c>
      <c r="M2540" s="8" t="s">
        <v>15094</v>
      </c>
      <c r="N2540" s="8" t="s">
        <v>37</v>
      </c>
      <c r="O2540" s="8" t="s">
        <v>136</v>
      </c>
      <c r="P2540" s="6" t="s">
        <v>683</v>
      </c>
      <c r="Q2540" s="8" t="s">
        <v>40</v>
      </c>
      <c r="R2540" s="10" t="s">
        <v>15095</v>
      </c>
      <c r="S2540" s="11"/>
      <c r="T2540" s="6"/>
      <c r="U2540" s="15" t="str">
        <f>HYPERLINK("https://media.infra-m.ru/1839/1839926/cover/1839926.jpg", "Обложка")</f>
        <v>Обложка</v>
      </c>
      <c r="V2540" s="8" t="s">
        <v>1069</v>
      </c>
      <c r="W2540" s="6"/>
      <c r="X2540" s="6"/>
      <c r="Y2540" s="6"/>
      <c r="Z2540" s="6"/>
      <c r="AA2540" s="6" t="s">
        <v>15096</v>
      </c>
      <c r="AB2540" s="8"/>
      <c r="AC2540" s="27">
        <v>9785369019115</v>
      </c>
    </row>
    <row r="2541" spans="1:29" s="4" customFormat="1" ht="51.9" customHeight="1" x14ac:dyDescent="0.2">
      <c r="A2541" s="5">
        <v>0</v>
      </c>
      <c r="B2541" s="6" t="s">
        <v>15097</v>
      </c>
      <c r="C2541" s="7">
        <v>3588</v>
      </c>
      <c r="D2541" s="8" t="s">
        <v>15098</v>
      </c>
      <c r="E2541" s="8" t="s">
        <v>15099</v>
      </c>
      <c r="F2541" s="8" t="s">
        <v>15093</v>
      </c>
      <c r="G2541" s="6" t="s">
        <v>33</v>
      </c>
      <c r="H2541" s="6" t="s">
        <v>313</v>
      </c>
      <c r="I2541" s="8" t="s">
        <v>683</v>
      </c>
      <c r="J2541" s="9">
        <v>1</v>
      </c>
      <c r="K2541" s="9">
        <v>749</v>
      </c>
      <c r="L2541" s="9">
        <v>2023</v>
      </c>
      <c r="M2541" s="8" t="s">
        <v>15100</v>
      </c>
      <c r="N2541" s="8" t="s">
        <v>37</v>
      </c>
      <c r="O2541" s="8" t="s">
        <v>136</v>
      </c>
      <c r="P2541" s="6" t="s">
        <v>683</v>
      </c>
      <c r="Q2541" s="8" t="s">
        <v>40</v>
      </c>
      <c r="R2541" s="10" t="s">
        <v>15095</v>
      </c>
      <c r="S2541" s="11"/>
      <c r="T2541" s="6"/>
      <c r="U2541" s="15" t="str">
        <f>HYPERLINK("https://media.infra-m.ru/2117/2117550/cover/2117550.jpg", "Обложка")</f>
        <v>Обложка</v>
      </c>
      <c r="V2541" s="8" t="s">
        <v>1069</v>
      </c>
      <c r="W2541" s="6"/>
      <c r="X2541" s="6"/>
      <c r="Y2541" s="6"/>
      <c r="Z2541" s="6"/>
      <c r="AA2541" s="6" t="s">
        <v>15101</v>
      </c>
      <c r="AB2541" s="8"/>
      <c r="AC2541" s="27">
        <v>9785369019306</v>
      </c>
    </row>
    <row r="2542" spans="1:29" s="4" customFormat="1" ht="51.9" customHeight="1" x14ac:dyDescent="0.2">
      <c r="A2542" s="5">
        <v>0</v>
      </c>
      <c r="B2542" s="6" t="s">
        <v>15102</v>
      </c>
      <c r="C2542" s="7">
        <v>2376</v>
      </c>
      <c r="D2542" s="8" t="s">
        <v>15103</v>
      </c>
      <c r="E2542" s="8" t="s">
        <v>15104</v>
      </c>
      <c r="F2542" s="8" t="s">
        <v>15093</v>
      </c>
      <c r="G2542" s="6" t="s">
        <v>33</v>
      </c>
      <c r="H2542" s="6" t="s">
        <v>313</v>
      </c>
      <c r="I2542" s="8"/>
      <c r="J2542" s="9">
        <v>1</v>
      </c>
      <c r="K2542" s="9">
        <v>580</v>
      </c>
      <c r="L2542" s="9">
        <v>2020</v>
      </c>
      <c r="M2542" s="8" t="s">
        <v>15105</v>
      </c>
      <c r="N2542" s="8" t="s">
        <v>37</v>
      </c>
      <c r="O2542" s="8" t="s">
        <v>136</v>
      </c>
      <c r="P2542" s="6" t="s">
        <v>683</v>
      </c>
      <c r="Q2542" s="8" t="s">
        <v>40</v>
      </c>
      <c r="R2542" s="10" t="s">
        <v>15095</v>
      </c>
      <c r="S2542" s="11"/>
      <c r="T2542" s="6"/>
      <c r="U2542" s="15" t="str">
        <f>HYPERLINK("https://media.infra-m.ru/1216/1216925/cover/1216925.jpg", "Обложка")</f>
        <v>Обложка</v>
      </c>
      <c r="V2542" s="8" t="s">
        <v>1069</v>
      </c>
      <c r="W2542" s="6"/>
      <c r="X2542" s="6"/>
      <c r="Y2542" s="6"/>
      <c r="Z2542" s="6"/>
      <c r="AA2542" s="6" t="s">
        <v>15106</v>
      </c>
      <c r="AB2542" s="8"/>
      <c r="AC2542" s="27">
        <v>9785369018477</v>
      </c>
    </row>
    <row r="2543" spans="1:29" s="4" customFormat="1" ht="51.9" customHeight="1" x14ac:dyDescent="0.2">
      <c r="A2543" s="5">
        <v>0</v>
      </c>
      <c r="B2543" s="6" t="s">
        <v>15107</v>
      </c>
      <c r="C2543" s="7">
        <v>2508</v>
      </c>
      <c r="D2543" s="8" t="s">
        <v>15108</v>
      </c>
      <c r="E2543" s="8" t="s">
        <v>15109</v>
      </c>
      <c r="F2543" s="8" t="s">
        <v>15093</v>
      </c>
      <c r="G2543" s="6" t="s">
        <v>33</v>
      </c>
      <c r="H2543" s="6" t="s">
        <v>313</v>
      </c>
      <c r="I2543" s="8"/>
      <c r="J2543" s="9">
        <v>1</v>
      </c>
      <c r="K2543" s="9">
        <v>605</v>
      </c>
      <c r="L2543" s="9">
        <v>2021</v>
      </c>
      <c r="M2543" s="8" t="s">
        <v>15110</v>
      </c>
      <c r="N2543" s="8" t="s">
        <v>37</v>
      </c>
      <c r="O2543" s="8" t="s">
        <v>136</v>
      </c>
      <c r="P2543" s="6" t="s">
        <v>683</v>
      </c>
      <c r="Q2543" s="8" t="s">
        <v>40</v>
      </c>
      <c r="R2543" s="10" t="s">
        <v>15095</v>
      </c>
      <c r="S2543" s="11"/>
      <c r="T2543" s="6"/>
      <c r="U2543" s="15" t="str">
        <f>HYPERLINK("https://media.infra-m.ru/1248/1248077/cover/1248077.jpg", "Обложка")</f>
        <v>Обложка</v>
      </c>
      <c r="V2543" s="8" t="s">
        <v>1069</v>
      </c>
      <c r="W2543" s="6"/>
      <c r="X2543" s="6"/>
      <c r="Y2543" s="6"/>
      <c r="Z2543" s="6"/>
      <c r="AA2543" s="6" t="s">
        <v>9347</v>
      </c>
      <c r="AB2543" s="8"/>
      <c r="AC2543" s="27">
        <v>9785369018668</v>
      </c>
    </row>
    <row r="2544" spans="1:29" s="4" customFormat="1" ht="51.9" customHeight="1" x14ac:dyDescent="0.2">
      <c r="A2544" s="5">
        <v>0</v>
      </c>
      <c r="B2544" s="6" t="s">
        <v>15111</v>
      </c>
      <c r="C2544" s="7">
        <v>2028</v>
      </c>
      <c r="D2544" s="8" t="s">
        <v>15112</v>
      </c>
      <c r="E2544" s="8" t="s">
        <v>15113</v>
      </c>
      <c r="F2544" s="8" t="s">
        <v>15093</v>
      </c>
      <c r="G2544" s="6" t="s">
        <v>33</v>
      </c>
      <c r="H2544" s="6" t="s">
        <v>313</v>
      </c>
      <c r="I2544" s="8"/>
      <c r="J2544" s="9">
        <v>1</v>
      </c>
      <c r="K2544" s="9">
        <v>566</v>
      </c>
      <c r="L2544" s="9">
        <v>2019</v>
      </c>
      <c r="M2544" s="8" t="s">
        <v>15114</v>
      </c>
      <c r="N2544" s="8" t="s">
        <v>37</v>
      </c>
      <c r="O2544" s="8" t="s">
        <v>136</v>
      </c>
      <c r="P2544" s="6" t="s">
        <v>683</v>
      </c>
      <c r="Q2544" s="8" t="s">
        <v>40</v>
      </c>
      <c r="R2544" s="10" t="s">
        <v>15095</v>
      </c>
      <c r="S2544" s="11"/>
      <c r="T2544" s="6" t="s">
        <v>97</v>
      </c>
      <c r="U2544" s="15" t="str">
        <f>HYPERLINK("https://media.infra-m.ru/1077/1077363/cover/1077363.jpg", "Обложка")</f>
        <v>Обложка</v>
      </c>
      <c r="V2544" s="8" t="s">
        <v>1069</v>
      </c>
      <c r="W2544" s="6"/>
      <c r="X2544" s="6"/>
      <c r="Y2544" s="6"/>
      <c r="Z2544" s="6"/>
      <c r="AA2544" s="6" t="s">
        <v>15115</v>
      </c>
      <c r="AB2544" s="8"/>
      <c r="AC2544" s="27">
        <v>9785369017999</v>
      </c>
    </row>
    <row r="2545" spans="1:29" s="4" customFormat="1" ht="51.9" customHeight="1" x14ac:dyDescent="0.2">
      <c r="A2545" s="5">
        <v>0</v>
      </c>
      <c r="B2545" s="6" t="s">
        <v>15116</v>
      </c>
      <c r="C2545" s="7">
        <v>3828</v>
      </c>
      <c r="D2545" s="8" t="s">
        <v>15117</v>
      </c>
      <c r="E2545" s="8" t="s">
        <v>15118</v>
      </c>
      <c r="F2545" s="8" t="s">
        <v>15093</v>
      </c>
      <c r="G2545" s="6" t="s">
        <v>33</v>
      </c>
      <c r="H2545" s="6" t="s">
        <v>313</v>
      </c>
      <c r="I2545" s="8" t="s">
        <v>683</v>
      </c>
      <c r="J2545" s="9">
        <v>1</v>
      </c>
      <c r="K2545" s="9">
        <v>776</v>
      </c>
      <c r="L2545" s="9">
        <v>2024</v>
      </c>
      <c r="M2545" s="8" t="s">
        <v>15119</v>
      </c>
      <c r="N2545" s="8" t="s">
        <v>37</v>
      </c>
      <c r="O2545" s="8" t="s">
        <v>136</v>
      </c>
      <c r="P2545" s="6" t="s">
        <v>683</v>
      </c>
      <c r="Q2545" s="8" t="s">
        <v>40</v>
      </c>
      <c r="R2545" s="10" t="s">
        <v>15095</v>
      </c>
      <c r="S2545" s="11"/>
      <c r="T2545" s="6"/>
      <c r="U2545" s="15" t="str">
        <f>HYPERLINK("https://media.infra-m.ru/2165/2165054/cover/2165054.jpg", "Обложка")</f>
        <v>Обложка</v>
      </c>
      <c r="V2545" s="8" t="s">
        <v>1069</v>
      </c>
      <c r="W2545" s="6"/>
      <c r="X2545" s="6"/>
      <c r="Y2545" s="6"/>
      <c r="Z2545" s="6"/>
      <c r="AA2545" s="6" t="s">
        <v>15120</v>
      </c>
      <c r="AB2545" s="8"/>
      <c r="AC2545" s="27">
        <v>9785369019641</v>
      </c>
    </row>
    <row r="2546" spans="1:29" s="4" customFormat="1" ht="51.9" customHeight="1" x14ac:dyDescent="0.2">
      <c r="A2546" s="5">
        <v>0</v>
      </c>
      <c r="B2546" s="6" t="s">
        <v>15121</v>
      </c>
      <c r="C2546" s="7">
        <v>1140</v>
      </c>
      <c r="D2546" s="8" t="s">
        <v>15122</v>
      </c>
      <c r="E2546" s="8" t="s">
        <v>15123</v>
      </c>
      <c r="F2546" s="8" t="s">
        <v>15093</v>
      </c>
      <c r="G2546" s="6" t="s">
        <v>33</v>
      </c>
      <c r="H2546" s="6" t="s">
        <v>313</v>
      </c>
      <c r="I2546" s="8"/>
      <c r="J2546" s="9">
        <v>1</v>
      </c>
      <c r="K2546" s="9">
        <v>538</v>
      </c>
      <c r="L2546" s="9">
        <v>2017</v>
      </c>
      <c r="M2546" s="8" t="s">
        <v>15124</v>
      </c>
      <c r="N2546" s="8" t="s">
        <v>37</v>
      </c>
      <c r="O2546" s="8" t="s">
        <v>136</v>
      </c>
      <c r="P2546" s="6" t="s">
        <v>683</v>
      </c>
      <c r="Q2546" s="8" t="s">
        <v>40</v>
      </c>
      <c r="R2546" s="10" t="s">
        <v>15095</v>
      </c>
      <c r="S2546" s="11"/>
      <c r="T2546" s="6" t="s">
        <v>97</v>
      </c>
      <c r="U2546" s="15" t="str">
        <f>HYPERLINK("https://media.infra-m.ru/0951/0951721/cover/951721.jpg", "Обложка")</f>
        <v>Обложка</v>
      </c>
      <c r="V2546" s="8" t="s">
        <v>1069</v>
      </c>
      <c r="W2546" s="6"/>
      <c r="X2546" s="6"/>
      <c r="Y2546" s="6"/>
      <c r="Z2546" s="6"/>
      <c r="AA2546" s="6" t="s">
        <v>15125</v>
      </c>
      <c r="AB2546" s="8"/>
      <c r="AC2546" s="27">
        <v>9785369016336</v>
      </c>
    </row>
    <row r="2547" spans="1:29" s="4" customFormat="1" ht="51.9" customHeight="1" x14ac:dyDescent="0.2">
      <c r="A2547" s="5">
        <v>0</v>
      </c>
      <c r="B2547" s="6" t="s">
        <v>15126</v>
      </c>
      <c r="C2547" s="7">
        <v>1800</v>
      </c>
      <c r="D2547" s="8" t="s">
        <v>15127</v>
      </c>
      <c r="E2547" s="8" t="s">
        <v>15128</v>
      </c>
      <c r="F2547" s="8" t="s">
        <v>15093</v>
      </c>
      <c r="G2547" s="6" t="s">
        <v>33</v>
      </c>
      <c r="H2547" s="6" t="s">
        <v>313</v>
      </c>
      <c r="I2547" s="8"/>
      <c r="J2547" s="9">
        <v>1</v>
      </c>
      <c r="K2547" s="9">
        <v>556</v>
      </c>
      <c r="L2547" s="9">
        <v>2018</v>
      </c>
      <c r="M2547" s="8" t="s">
        <v>15129</v>
      </c>
      <c r="N2547" s="8" t="s">
        <v>37</v>
      </c>
      <c r="O2547" s="8" t="s">
        <v>136</v>
      </c>
      <c r="P2547" s="6" t="s">
        <v>683</v>
      </c>
      <c r="Q2547" s="8" t="s">
        <v>40</v>
      </c>
      <c r="R2547" s="10" t="s">
        <v>15095</v>
      </c>
      <c r="S2547" s="11"/>
      <c r="T2547" s="6" t="s">
        <v>97</v>
      </c>
      <c r="U2547" s="15" t="str">
        <f>HYPERLINK("https://media.infra-m.ru/0967/0967316/cover/967316.jpg", "Обложка")</f>
        <v>Обложка</v>
      </c>
      <c r="V2547" s="8" t="s">
        <v>1069</v>
      </c>
      <c r="W2547" s="6"/>
      <c r="X2547" s="6"/>
      <c r="Y2547" s="6"/>
      <c r="Z2547" s="6"/>
      <c r="AA2547" s="6" t="s">
        <v>15130</v>
      </c>
      <c r="AB2547" s="8"/>
      <c r="AC2547" s="27">
        <v>9785369017777</v>
      </c>
    </row>
    <row r="2548" spans="1:29" s="4" customFormat="1" ht="51.9" customHeight="1" x14ac:dyDescent="0.2">
      <c r="A2548" s="5">
        <v>0</v>
      </c>
      <c r="B2548" s="6" t="s">
        <v>15131</v>
      </c>
      <c r="C2548" s="13">
        <v>839.9</v>
      </c>
      <c r="D2548" s="8" t="s">
        <v>15132</v>
      </c>
      <c r="E2548" s="8" t="s">
        <v>15133</v>
      </c>
      <c r="F2548" s="8" t="s">
        <v>15047</v>
      </c>
      <c r="G2548" s="6" t="s">
        <v>60</v>
      </c>
      <c r="H2548" s="6" t="s">
        <v>134</v>
      </c>
      <c r="I2548" s="8" t="s">
        <v>15048</v>
      </c>
      <c r="J2548" s="9">
        <v>1</v>
      </c>
      <c r="K2548" s="9">
        <v>606</v>
      </c>
      <c r="L2548" s="9">
        <v>2014</v>
      </c>
      <c r="M2548" s="8" t="s">
        <v>15134</v>
      </c>
      <c r="N2548" s="8" t="s">
        <v>37</v>
      </c>
      <c r="O2548" s="8" t="s">
        <v>136</v>
      </c>
      <c r="P2548" s="6" t="s">
        <v>683</v>
      </c>
      <c r="Q2548" s="8" t="s">
        <v>40</v>
      </c>
      <c r="R2548" s="10" t="s">
        <v>15135</v>
      </c>
      <c r="S2548" s="11"/>
      <c r="T2548" s="6"/>
      <c r="U2548" s="15" t="str">
        <f>HYPERLINK("https://media.infra-m.ru/0462/0462621/cover/462621.jpg", "Обложка")</f>
        <v>Обложка</v>
      </c>
      <c r="V2548" s="8" t="s">
        <v>1277</v>
      </c>
      <c r="W2548" s="6"/>
      <c r="X2548" s="6" t="s">
        <v>24</v>
      </c>
      <c r="Y2548" s="6"/>
      <c r="Z2548" s="6"/>
      <c r="AA2548" s="6" t="s">
        <v>859</v>
      </c>
      <c r="AB2548" s="8"/>
      <c r="AC2548" s="27">
        <v>9785917685014</v>
      </c>
    </row>
    <row r="2549" spans="1:29" s="4" customFormat="1" ht="51.9" customHeight="1" x14ac:dyDescent="0.2">
      <c r="A2549" s="5">
        <v>0</v>
      </c>
      <c r="B2549" s="6" t="s">
        <v>15136</v>
      </c>
      <c r="C2549" s="7">
        <v>4068</v>
      </c>
      <c r="D2549" s="8" t="s">
        <v>15137</v>
      </c>
      <c r="E2549" s="8" t="s">
        <v>15138</v>
      </c>
      <c r="F2549" s="8" t="s">
        <v>15139</v>
      </c>
      <c r="G2549" s="6" t="s">
        <v>60</v>
      </c>
      <c r="H2549" s="6" t="s">
        <v>134</v>
      </c>
      <c r="I2549" s="8" t="s">
        <v>15048</v>
      </c>
      <c r="J2549" s="9">
        <v>1</v>
      </c>
      <c r="K2549" s="9">
        <v>760</v>
      </c>
      <c r="L2549" s="9">
        <v>2026</v>
      </c>
      <c r="M2549" s="8" t="s">
        <v>15140</v>
      </c>
      <c r="N2549" s="8" t="s">
        <v>37</v>
      </c>
      <c r="O2549" s="8" t="s">
        <v>136</v>
      </c>
      <c r="P2549" s="6" t="s">
        <v>683</v>
      </c>
      <c r="Q2549" s="8" t="s">
        <v>40</v>
      </c>
      <c r="R2549" s="10" t="s">
        <v>15135</v>
      </c>
      <c r="S2549" s="11"/>
      <c r="T2549" s="6"/>
      <c r="U2549" s="15" t="str">
        <f>HYPERLINK("https://media.infra-m.ru/2239/2239067/cover/2239067.jpg", "Обложка")</f>
        <v>Обложка</v>
      </c>
      <c r="V2549" s="8" t="s">
        <v>1277</v>
      </c>
      <c r="W2549" s="6"/>
      <c r="X2549" s="6" t="s">
        <v>24</v>
      </c>
      <c r="Y2549" s="6"/>
      <c r="Z2549" s="6"/>
      <c r="AA2549" s="6" t="s">
        <v>3189</v>
      </c>
      <c r="AB2549" s="8"/>
      <c r="AC2549" s="27">
        <v>9785001562412</v>
      </c>
    </row>
    <row r="2550" spans="1:29" s="4" customFormat="1" ht="42" customHeight="1" x14ac:dyDescent="0.2">
      <c r="A2550" s="5">
        <v>0</v>
      </c>
      <c r="B2550" s="6" t="s">
        <v>15141</v>
      </c>
      <c r="C2550" s="7">
        <v>3472.8</v>
      </c>
      <c r="D2550" s="8" t="s">
        <v>15142</v>
      </c>
      <c r="E2550" s="8" t="s">
        <v>15143</v>
      </c>
      <c r="F2550" s="8" t="s">
        <v>15144</v>
      </c>
      <c r="G2550" s="6" t="s">
        <v>118</v>
      </c>
      <c r="H2550" s="6" t="s">
        <v>134</v>
      </c>
      <c r="I2550" s="8" t="s">
        <v>15048</v>
      </c>
      <c r="J2550" s="9">
        <v>1</v>
      </c>
      <c r="K2550" s="9">
        <v>752</v>
      </c>
      <c r="L2550" s="9">
        <v>2024</v>
      </c>
      <c r="M2550" s="8" t="s">
        <v>15145</v>
      </c>
      <c r="N2550" s="8" t="s">
        <v>37</v>
      </c>
      <c r="O2550" s="8" t="s">
        <v>136</v>
      </c>
      <c r="P2550" s="6" t="s">
        <v>683</v>
      </c>
      <c r="Q2550" s="8" t="s">
        <v>40</v>
      </c>
      <c r="R2550" s="10" t="s">
        <v>1625</v>
      </c>
      <c r="S2550" s="11"/>
      <c r="T2550" s="6"/>
      <c r="U2550" s="15" t="str">
        <f>HYPERLINK("https://media.infra-m.ru/2063/2063442/cover/2063442.jpg", "Обложка")</f>
        <v>Обложка</v>
      </c>
      <c r="V2550" s="8" t="s">
        <v>1184</v>
      </c>
      <c r="W2550" s="6"/>
      <c r="X2550" s="6"/>
      <c r="Y2550" s="6"/>
      <c r="Z2550" s="6"/>
      <c r="AA2550" s="6" t="s">
        <v>2230</v>
      </c>
      <c r="AB2550" s="8"/>
      <c r="AC2550" s="27">
        <v>9785001561668</v>
      </c>
    </row>
    <row r="2551" spans="1:29" s="4" customFormat="1" ht="42" customHeight="1" x14ac:dyDescent="0.2">
      <c r="A2551" s="5">
        <v>0</v>
      </c>
      <c r="B2551" s="6" t="s">
        <v>15146</v>
      </c>
      <c r="C2551" s="7">
        <v>1079.9000000000001</v>
      </c>
      <c r="D2551" s="8" t="s">
        <v>15147</v>
      </c>
      <c r="E2551" s="8" t="s">
        <v>15148</v>
      </c>
      <c r="F2551" s="8" t="s">
        <v>15144</v>
      </c>
      <c r="G2551" s="6" t="s">
        <v>7062</v>
      </c>
      <c r="H2551" s="6" t="s">
        <v>134</v>
      </c>
      <c r="I2551" s="8" t="s">
        <v>15048</v>
      </c>
      <c r="J2551" s="9">
        <v>6</v>
      </c>
      <c r="K2551" s="9">
        <v>672</v>
      </c>
      <c r="L2551" s="9">
        <v>2015</v>
      </c>
      <c r="M2551" s="8" t="s">
        <v>15149</v>
      </c>
      <c r="N2551" s="8" t="s">
        <v>37</v>
      </c>
      <c r="O2551" s="8" t="s">
        <v>136</v>
      </c>
      <c r="P2551" s="6" t="s">
        <v>683</v>
      </c>
      <c r="Q2551" s="8" t="s">
        <v>40</v>
      </c>
      <c r="R2551" s="10" t="s">
        <v>1625</v>
      </c>
      <c r="S2551" s="11"/>
      <c r="T2551" s="6"/>
      <c r="U2551" s="15" t="str">
        <f>HYPERLINK("https://media.infra-m.ru/0513/0513636/cover/513636.jpg", "Обложка")</f>
        <v>Обложка</v>
      </c>
      <c r="V2551" s="8" t="s">
        <v>1184</v>
      </c>
      <c r="W2551" s="6"/>
      <c r="X2551" s="6"/>
      <c r="Y2551" s="6"/>
      <c r="Z2551" s="6"/>
      <c r="AA2551" s="6" t="s">
        <v>874</v>
      </c>
      <c r="AB2551" s="8"/>
      <c r="AC2551" s="27">
        <v>9785917686332</v>
      </c>
    </row>
    <row r="2552" spans="1:29" s="4" customFormat="1" ht="51.9" customHeight="1" x14ac:dyDescent="0.2">
      <c r="A2552" s="5">
        <v>0</v>
      </c>
      <c r="B2552" s="6" t="s">
        <v>15150</v>
      </c>
      <c r="C2552" s="7">
        <v>3036</v>
      </c>
      <c r="D2552" s="8" t="s">
        <v>15151</v>
      </c>
      <c r="E2552" s="8" t="s">
        <v>15152</v>
      </c>
      <c r="F2552" s="8" t="s">
        <v>15153</v>
      </c>
      <c r="G2552" s="6" t="s">
        <v>60</v>
      </c>
      <c r="H2552" s="6" t="s">
        <v>134</v>
      </c>
      <c r="I2552" s="8"/>
      <c r="J2552" s="9">
        <v>1</v>
      </c>
      <c r="K2552" s="9">
        <v>488</v>
      </c>
      <c r="L2552" s="9">
        <v>2026</v>
      </c>
      <c r="M2552" s="8" t="s">
        <v>15154</v>
      </c>
      <c r="N2552" s="8" t="s">
        <v>37</v>
      </c>
      <c r="O2552" s="8" t="s">
        <v>136</v>
      </c>
      <c r="P2552" s="6" t="s">
        <v>683</v>
      </c>
      <c r="Q2552" s="8" t="s">
        <v>40</v>
      </c>
      <c r="R2552" s="10" t="s">
        <v>15155</v>
      </c>
      <c r="S2552" s="11"/>
      <c r="T2552" s="6"/>
      <c r="U2552" s="15" t="str">
        <f>HYPERLINK("https://media.infra-m.ru/2220/2220830/cover/2220830.jpg", "Обложка")</f>
        <v>Обложка</v>
      </c>
      <c r="V2552" s="8" t="s">
        <v>9937</v>
      </c>
      <c r="W2552" s="6"/>
      <c r="X2552" s="6"/>
      <c r="Y2552" s="6"/>
      <c r="Z2552" s="6"/>
      <c r="AA2552" s="6" t="s">
        <v>148</v>
      </c>
      <c r="AB2552" s="8"/>
      <c r="AC2552" s="27">
        <v>9785001562139</v>
      </c>
    </row>
    <row r="2553" spans="1:29" s="4" customFormat="1" ht="51.9" customHeight="1" x14ac:dyDescent="0.2">
      <c r="A2553" s="5">
        <v>0</v>
      </c>
      <c r="B2553" s="6" t="s">
        <v>15156</v>
      </c>
      <c r="C2553" s="13">
        <v>492</v>
      </c>
      <c r="D2553" s="8" t="s">
        <v>15157</v>
      </c>
      <c r="E2553" s="8" t="s">
        <v>15158</v>
      </c>
      <c r="F2553" s="8" t="s">
        <v>15159</v>
      </c>
      <c r="G2553" s="6" t="s">
        <v>33</v>
      </c>
      <c r="H2553" s="6" t="s">
        <v>34</v>
      </c>
      <c r="I2553" s="8" t="s">
        <v>1074</v>
      </c>
      <c r="J2553" s="9">
        <v>1</v>
      </c>
      <c r="K2553" s="9">
        <v>120</v>
      </c>
      <c r="L2553" s="9">
        <v>2019</v>
      </c>
      <c r="M2553" s="8" t="s">
        <v>15160</v>
      </c>
      <c r="N2553" s="8" t="s">
        <v>37</v>
      </c>
      <c r="O2553" s="8" t="s">
        <v>136</v>
      </c>
      <c r="P2553" s="6" t="s">
        <v>683</v>
      </c>
      <c r="Q2553" s="8" t="s">
        <v>40</v>
      </c>
      <c r="R2553" s="10" t="s">
        <v>1625</v>
      </c>
      <c r="S2553" s="11"/>
      <c r="T2553" s="6"/>
      <c r="U2553" s="15" t="str">
        <f>HYPERLINK("https://media.infra-m.ru/1005/1005923/cover/1005923.jpg", "Обложка")</f>
        <v>Обложка</v>
      </c>
      <c r="V2553" s="8" t="s">
        <v>138</v>
      </c>
      <c r="W2553" s="6"/>
      <c r="X2553" s="6"/>
      <c r="Y2553" s="6"/>
      <c r="Z2553" s="6"/>
      <c r="AA2553" s="6" t="s">
        <v>99</v>
      </c>
      <c r="AB2553" s="8"/>
      <c r="AC2553" s="27">
        <v>9785160137018</v>
      </c>
    </row>
    <row r="2554" spans="1:29" s="4" customFormat="1" ht="42" customHeight="1" x14ac:dyDescent="0.2">
      <c r="A2554" s="5">
        <v>0</v>
      </c>
      <c r="B2554" s="6" t="s">
        <v>15161</v>
      </c>
      <c r="C2554" s="7">
        <v>1107.5999999999999</v>
      </c>
      <c r="D2554" s="8" t="s">
        <v>15162</v>
      </c>
      <c r="E2554" s="8" t="s">
        <v>15163</v>
      </c>
      <c r="F2554" s="8" t="s">
        <v>15087</v>
      </c>
      <c r="G2554" s="6" t="s">
        <v>33</v>
      </c>
      <c r="H2554" s="6" t="s">
        <v>313</v>
      </c>
      <c r="I2554" s="8"/>
      <c r="J2554" s="9">
        <v>1</v>
      </c>
      <c r="K2554" s="9">
        <v>254</v>
      </c>
      <c r="L2554" s="9">
        <v>2026</v>
      </c>
      <c r="M2554" s="8" t="s">
        <v>15164</v>
      </c>
      <c r="N2554" s="8" t="s">
        <v>37</v>
      </c>
      <c r="O2554" s="8" t="s">
        <v>136</v>
      </c>
      <c r="P2554" s="6" t="s">
        <v>51</v>
      </c>
      <c r="Q2554" s="8" t="s">
        <v>265</v>
      </c>
      <c r="R2554" s="10" t="s">
        <v>15089</v>
      </c>
      <c r="S2554" s="11"/>
      <c r="T2554" s="6"/>
      <c r="U2554" s="15" t="str">
        <f>HYPERLINK("https://media.infra-m.ru/2233/2233142/cover/2233142.jpg", "Обложка")</f>
        <v>Обложка</v>
      </c>
      <c r="V2554" s="8" t="s">
        <v>2095</v>
      </c>
      <c r="W2554" s="6"/>
      <c r="X2554" s="6"/>
      <c r="Y2554" s="6"/>
      <c r="Z2554" s="6"/>
      <c r="AA2554" s="6" t="s">
        <v>896</v>
      </c>
      <c r="AB2554" s="8"/>
      <c r="AC2554" s="27">
        <v>9785369018972</v>
      </c>
    </row>
    <row r="2555" spans="1:29" s="4" customFormat="1" ht="51.9" customHeight="1" x14ac:dyDescent="0.2">
      <c r="A2555" s="5">
        <v>0</v>
      </c>
      <c r="B2555" s="6" t="s">
        <v>15165</v>
      </c>
      <c r="C2555" s="7">
        <v>3072</v>
      </c>
      <c r="D2555" s="8" t="s">
        <v>15166</v>
      </c>
      <c r="E2555" s="8" t="s">
        <v>15167</v>
      </c>
      <c r="F2555" s="8" t="s">
        <v>15168</v>
      </c>
      <c r="G2555" s="6" t="s">
        <v>60</v>
      </c>
      <c r="H2555" s="6" t="s">
        <v>1644</v>
      </c>
      <c r="I2555" s="8"/>
      <c r="J2555" s="9">
        <v>1</v>
      </c>
      <c r="K2555" s="9">
        <v>512</v>
      </c>
      <c r="L2555" s="9">
        <v>2025</v>
      </c>
      <c r="M2555" s="8" t="s">
        <v>15169</v>
      </c>
      <c r="N2555" s="8" t="s">
        <v>37</v>
      </c>
      <c r="O2555" s="8" t="s">
        <v>136</v>
      </c>
      <c r="P2555" s="6" t="s">
        <v>39</v>
      </c>
      <c r="Q2555" s="8" t="s">
        <v>40</v>
      </c>
      <c r="R2555" s="10" t="s">
        <v>15170</v>
      </c>
      <c r="S2555" s="11"/>
      <c r="T2555" s="6"/>
      <c r="U2555" s="15" t="str">
        <f>HYPERLINK("https://media.infra-m.ru/1872/1872459/cover/1872459.jpg", "Обложка")</f>
        <v>Обложка</v>
      </c>
      <c r="V2555" s="8" t="s">
        <v>1647</v>
      </c>
      <c r="W2555" s="6"/>
      <c r="X2555" s="6"/>
      <c r="Y2555" s="6"/>
      <c r="Z2555" s="6"/>
      <c r="AA2555" s="6" t="s">
        <v>1015</v>
      </c>
      <c r="AB2555" s="8"/>
      <c r="AC2555" s="27">
        <v>9785977601696</v>
      </c>
    </row>
    <row r="2556" spans="1:29" s="4" customFormat="1" ht="51.9" customHeight="1" x14ac:dyDescent="0.2">
      <c r="A2556" s="5">
        <v>0</v>
      </c>
      <c r="B2556" s="6" t="s">
        <v>15171</v>
      </c>
      <c r="C2556" s="13">
        <v>492</v>
      </c>
      <c r="D2556" s="8" t="s">
        <v>15172</v>
      </c>
      <c r="E2556" s="8" t="s">
        <v>15173</v>
      </c>
      <c r="F2556" s="8" t="s">
        <v>15174</v>
      </c>
      <c r="G2556" s="6" t="s">
        <v>33</v>
      </c>
      <c r="H2556" s="6" t="s">
        <v>1042</v>
      </c>
      <c r="I2556" s="8" t="s">
        <v>263</v>
      </c>
      <c r="J2556" s="9">
        <v>1</v>
      </c>
      <c r="K2556" s="9">
        <v>96</v>
      </c>
      <c r="L2556" s="9">
        <v>2020</v>
      </c>
      <c r="M2556" s="8" t="s">
        <v>15175</v>
      </c>
      <c r="N2556" s="8" t="s">
        <v>37</v>
      </c>
      <c r="O2556" s="8" t="s">
        <v>499</v>
      </c>
      <c r="P2556" s="6" t="s">
        <v>51</v>
      </c>
      <c r="Q2556" s="8" t="s">
        <v>265</v>
      </c>
      <c r="R2556" s="10" t="s">
        <v>15176</v>
      </c>
      <c r="S2556" s="11" t="s">
        <v>15177</v>
      </c>
      <c r="T2556" s="6"/>
      <c r="U2556" s="15" t="str">
        <f>HYPERLINK("https://media.infra-m.ru/1128/1128281/cover/1128281.jpg", "Обложка")</f>
        <v>Обложка</v>
      </c>
      <c r="V2556" s="8" t="s">
        <v>15178</v>
      </c>
      <c r="W2556" s="6"/>
      <c r="X2556" s="6"/>
      <c r="Y2556" s="6"/>
      <c r="Z2556" s="6"/>
      <c r="AA2556" s="6" t="s">
        <v>248</v>
      </c>
      <c r="AB2556" s="8"/>
      <c r="AC2556" s="27">
        <v>9785819907511</v>
      </c>
    </row>
    <row r="2557" spans="1:29" s="4" customFormat="1" ht="51.9" customHeight="1" x14ac:dyDescent="0.2">
      <c r="A2557" s="5">
        <v>0</v>
      </c>
      <c r="B2557" s="6" t="s">
        <v>15179</v>
      </c>
      <c r="C2557" s="7">
        <v>1188</v>
      </c>
      <c r="D2557" s="8" t="s">
        <v>15180</v>
      </c>
      <c r="E2557" s="8" t="s">
        <v>15181</v>
      </c>
      <c r="F2557" s="8" t="s">
        <v>15182</v>
      </c>
      <c r="G2557" s="6" t="s">
        <v>118</v>
      </c>
      <c r="H2557" s="6" t="s">
        <v>34</v>
      </c>
      <c r="I2557" s="8" t="s">
        <v>263</v>
      </c>
      <c r="J2557" s="9">
        <v>1</v>
      </c>
      <c r="K2557" s="9">
        <v>209</v>
      </c>
      <c r="L2557" s="9">
        <v>2023</v>
      </c>
      <c r="M2557" s="8" t="s">
        <v>15183</v>
      </c>
      <c r="N2557" s="8" t="s">
        <v>37</v>
      </c>
      <c r="O2557" s="8" t="s">
        <v>499</v>
      </c>
      <c r="P2557" s="6" t="s">
        <v>51</v>
      </c>
      <c r="Q2557" s="8" t="s">
        <v>265</v>
      </c>
      <c r="R2557" s="10" t="s">
        <v>15176</v>
      </c>
      <c r="S2557" s="11" t="s">
        <v>15184</v>
      </c>
      <c r="T2557" s="6"/>
      <c r="U2557" s="15" t="str">
        <f>HYPERLINK("https://media.infra-m.ru/1200/1200567/cover/1200567.jpg", "Обложка")</f>
        <v>Обложка</v>
      </c>
      <c r="V2557" s="8" t="s">
        <v>15178</v>
      </c>
      <c r="W2557" s="6"/>
      <c r="X2557" s="6"/>
      <c r="Y2557" s="6"/>
      <c r="Z2557" s="6"/>
      <c r="AA2557" s="6" t="s">
        <v>1303</v>
      </c>
      <c r="AB2557" s="8"/>
      <c r="AC2557" s="27">
        <v>9785160166285</v>
      </c>
    </row>
    <row r="2558" spans="1:29" s="4" customFormat="1" ht="51.9" customHeight="1" x14ac:dyDescent="0.2">
      <c r="A2558" s="5">
        <v>0</v>
      </c>
      <c r="B2558" s="6" t="s">
        <v>15185</v>
      </c>
      <c r="C2558" s="13">
        <v>792</v>
      </c>
      <c r="D2558" s="8" t="s">
        <v>15186</v>
      </c>
      <c r="E2558" s="8" t="s">
        <v>15187</v>
      </c>
      <c r="F2558" s="8" t="s">
        <v>15188</v>
      </c>
      <c r="G2558" s="6" t="s">
        <v>33</v>
      </c>
      <c r="H2558" s="6" t="s">
        <v>34</v>
      </c>
      <c r="I2558" s="8" t="s">
        <v>253</v>
      </c>
      <c r="J2558" s="9">
        <v>1</v>
      </c>
      <c r="K2558" s="9">
        <v>143</v>
      </c>
      <c r="L2558" s="9">
        <v>2024</v>
      </c>
      <c r="M2558" s="8" t="s">
        <v>15189</v>
      </c>
      <c r="N2558" s="8" t="s">
        <v>37</v>
      </c>
      <c r="O2558" s="8" t="s">
        <v>233</v>
      </c>
      <c r="P2558" s="6" t="s">
        <v>51</v>
      </c>
      <c r="Q2558" s="8" t="s">
        <v>52</v>
      </c>
      <c r="R2558" s="10" t="s">
        <v>15190</v>
      </c>
      <c r="S2558" s="11" t="s">
        <v>15191</v>
      </c>
      <c r="T2558" s="6"/>
      <c r="U2558" s="15" t="str">
        <f>HYPERLINK("https://media.infra-m.ru/2082/2082729/cover/2082729.jpg", "Обложка")</f>
        <v>Обложка</v>
      </c>
      <c r="V2558" s="8" t="s">
        <v>227</v>
      </c>
      <c r="W2558" s="6"/>
      <c r="X2558" s="6"/>
      <c r="Y2558" s="6"/>
      <c r="Z2558" s="6"/>
      <c r="AA2558" s="6" t="s">
        <v>129</v>
      </c>
      <c r="AB2558" s="8"/>
      <c r="AC2558" s="27">
        <v>9785160191324</v>
      </c>
    </row>
    <row r="2559" spans="1:29" s="4" customFormat="1" ht="51.9" customHeight="1" x14ac:dyDescent="0.2">
      <c r="A2559" s="5">
        <v>0</v>
      </c>
      <c r="B2559" s="6" t="s">
        <v>15192</v>
      </c>
      <c r="C2559" s="13">
        <v>880.8</v>
      </c>
      <c r="D2559" s="8" t="s">
        <v>15193</v>
      </c>
      <c r="E2559" s="8" t="s">
        <v>15194</v>
      </c>
      <c r="F2559" s="8" t="s">
        <v>15195</v>
      </c>
      <c r="G2559" s="6" t="s">
        <v>33</v>
      </c>
      <c r="H2559" s="6" t="s">
        <v>1042</v>
      </c>
      <c r="I2559" s="8" t="s">
        <v>253</v>
      </c>
      <c r="J2559" s="9">
        <v>1</v>
      </c>
      <c r="K2559" s="9">
        <v>160</v>
      </c>
      <c r="L2559" s="9">
        <v>2024</v>
      </c>
      <c r="M2559" s="8" t="s">
        <v>15196</v>
      </c>
      <c r="N2559" s="8" t="s">
        <v>37</v>
      </c>
      <c r="O2559" s="8" t="s">
        <v>499</v>
      </c>
      <c r="P2559" s="6" t="s">
        <v>51</v>
      </c>
      <c r="Q2559" s="8" t="s">
        <v>52</v>
      </c>
      <c r="R2559" s="10" t="s">
        <v>15197</v>
      </c>
      <c r="S2559" s="11" t="s">
        <v>15198</v>
      </c>
      <c r="T2559" s="6"/>
      <c r="U2559" s="15" t="str">
        <f>HYPERLINK("https://media.infra-m.ru/2048/2048142/cover/2048142.jpg", "Обложка")</f>
        <v>Обложка</v>
      </c>
      <c r="V2559" s="8" t="s">
        <v>396</v>
      </c>
      <c r="W2559" s="6"/>
      <c r="X2559" s="6"/>
      <c r="Y2559" s="6"/>
      <c r="Z2559" s="6"/>
      <c r="AA2559" s="6" t="s">
        <v>55</v>
      </c>
      <c r="AB2559" s="8"/>
      <c r="AC2559" s="27">
        <v>9785819905555</v>
      </c>
    </row>
    <row r="2560" spans="1:29" s="4" customFormat="1" ht="51.9" customHeight="1" x14ac:dyDescent="0.2">
      <c r="A2560" s="5">
        <v>0</v>
      </c>
      <c r="B2560" s="6" t="s">
        <v>15199</v>
      </c>
      <c r="C2560" s="13">
        <v>880.8</v>
      </c>
      <c r="D2560" s="8" t="s">
        <v>15200</v>
      </c>
      <c r="E2560" s="8" t="s">
        <v>15194</v>
      </c>
      <c r="F2560" s="8" t="s">
        <v>15201</v>
      </c>
      <c r="G2560" s="6" t="s">
        <v>60</v>
      </c>
      <c r="H2560" s="6" t="s">
        <v>1042</v>
      </c>
      <c r="I2560" s="8" t="s">
        <v>263</v>
      </c>
      <c r="J2560" s="9">
        <v>1</v>
      </c>
      <c r="K2560" s="9">
        <v>160</v>
      </c>
      <c r="L2560" s="9">
        <v>2023</v>
      </c>
      <c r="M2560" s="8" t="s">
        <v>15202</v>
      </c>
      <c r="N2560" s="8" t="s">
        <v>37</v>
      </c>
      <c r="O2560" s="8" t="s">
        <v>499</v>
      </c>
      <c r="P2560" s="6" t="s">
        <v>51</v>
      </c>
      <c r="Q2560" s="8" t="s">
        <v>265</v>
      </c>
      <c r="R2560" s="10" t="s">
        <v>3571</v>
      </c>
      <c r="S2560" s="11" t="s">
        <v>15203</v>
      </c>
      <c r="T2560" s="6"/>
      <c r="U2560" s="15" t="str">
        <f>HYPERLINK("https://media.infra-m.ru/2021/2021469/cover/2021469.jpg", "Обложка")</f>
        <v>Обложка</v>
      </c>
      <c r="V2560" s="8" t="s">
        <v>396</v>
      </c>
      <c r="W2560" s="6"/>
      <c r="X2560" s="6"/>
      <c r="Y2560" s="6"/>
      <c r="Z2560" s="6" t="s">
        <v>267</v>
      </c>
      <c r="AA2560" s="6" t="s">
        <v>115</v>
      </c>
      <c r="AB2560" s="8"/>
      <c r="AC2560" s="27">
        <v>9785819908075</v>
      </c>
    </row>
    <row r="2561" spans="1:29" s="4" customFormat="1" ht="51.9" customHeight="1" x14ac:dyDescent="0.2">
      <c r="A2561" s="5">
        <v>0</v>
      </c>
      <c r="B2561" s="6" t="s">
        <v>15204</v>
      </c>
      <c r="C2561" s="7">
        <v>3340.8</v>
      </c>
      <c r="D2561" s="8" t="s">
        <v>15205</v>
      </c>
      <c r="E2561" s="8" t="s">
        <v>15206</v>
      </c>
      <c r="F2561" s="8" t="s">
        <v>15207</v>
      </c>
      <c r="G2561" s="6" t="s">
        <v>60</v>
      </c>
      <c r="H2561" s="6" t="s">
        <v>1644</v>
      </c>
      <c r="I2561" s="8"/>
      <c r="J2561" s="9">
        <v>1</v>
      </c>
      <c r="K2561" s="9">
        <v>480</v>
      </c>
      <c r="L2561" s="9">
        <v>2027</v>
      </c>
      <c r="M2561" s="8" t="s">
        <v>15208</v>
      </c>
      <c r="N2561" s="8" t="s">
        <v>37</v>
      </c>
      <c r="O2561" s="8" t="s">
        <v>499</v>
      </c>
      <c r="P2561" s="6" t="s">
        <v>51</v>
      </c>
      <c r="Q2561" s="8" t="s">
        <v>52</v>
      </c>
      <c r="R2561" s="10" t="s">
        <v>12891</v>
      </c>
      <c r="S2561" s="11" t="s">
        <v>15209</v>
      </c>
      <c r="T2561" s="6"/>
      <c r="U2561" s="15" t="str">
        <f>HYPERLINK("https://media.infra-m.ru/2263/2263555/cover/2263555.jpg", "Обложка")</f>
        <v>Обложка</v>
      </c>
      <c r="V2561" s="8" t="s">
        <v>3787</v>
      </c>
      <c r="W2561" s="6"/>
      <c r="X2561" s="6"/>
      <c r="Y2561" s="6"/>
      <c r="Z2561" s="6"/>
      <c r="AA2561" s="6" t="s">
        <v>129</v>
      </c>
      <c r="AB2561" s="8"/>
      <c r="AC2561" s="27">
        <v>9785977602068</v>
      </c>
    </row>
    <row r="2562" spans="1:29" s="4" customFormat="1" ht="51.9" customHeight="1" x14ac:dyDescent="0.2">
      <c r="A2562" s="5">
        <v>0</v>
      </c>
      <c r="B2562" s="6" t="s">
        <v>15210</v>
      </c>
      <c r="C2562" s="7">
        <v>2124</v>
      </c>
      <c r="D2562" s="8" t="s">
        <v>15211</v>
      </c>
      <c r="E2562" s="8" t="s">
        <v>15212</v>
      </c>
      <c r="F2562" s="8" t="s">
        <v>15213</v>
      </c>
      <c r="G2562" s="6" t="s">
        <v>118</v>
      </c>
      <c r="H2562" s="6" t="s">
        <v>1042</v>
      </c>
      <c r="I2562" s="8" t="s">
        <v>253</v>
      </c>
      <c r="J2562" s="9">
        <v>1</v>
      </c>
      <c r="K2562" s="9">
        <v>384</v>
      </c>
      <c r="L2562" s="9">
        <v>2024</v>
      </c>
      <c r="M2562" s="8" t="s">
        <v>15214</v>
      </c>
      <c r="N2562" s="8" t="s">
        <v>37</v>
      </c>
      <c r="O2562" s="8" t="s">
        <v>499</v>
      </c>
      <c r="P2562" s="6" t="s">
        <v>306</v>
      </c>
      <c r="Q2562" s="8" t="s">
        <v>52</v>
      </c>
      <c r="R2562" s="10" t="s">
        <v>15215</v>
      </c>
      <c r="S2562" s="11" t="s">
        <v>15216</v>
      </c>
      <c r="T2562" s="6"/>
      <c r="U2562" s="15" t="str">
        <f>HYPERLINK("https://media.infra-m.ru/2111/2111789/cover/2111789.jpg", "Обложка")</f>
        <v>Обложка</v>
      </c>
      <c r="V2562" s="8" t="s">
        <v>396</v>
      </c>
      <c r="W2562" s="6"/>
      <c r="X2562" s="6"/>
      <c r="Y2562" s="6"/>
      <c r="Z2562" s="6"/>
      <c r="AA2562" s="6" t="s">
        <v>43</v>
      </c>
      <c r="AB2562" s="8"/>
      <c r="AC2562" s="27">
        <v>9785819909393</v>
      </c>
    </row>
    <row r="2563" spans="1:29" s="4" customFormat="1" ht="51.9" customHeight="1" x14ac:dyDescent="0.2">
      <c r="A2563" s="5">
        <v>0</v>
      </c>
      <c r="B2563" s="6" t="s">
        <v>15217</v>
      </c>
      <c r="C2563" s="7">
        <v>1708.8</v>
      </c>
      <c r="D2563" s="8" t="s">
        <v>15218</v>
      </c>
      <c r="E2563" s="8" t="s">
        <v>15219</v>
      </c>
      <c r="F2563" s="8" t="s">
        <v>15220</v>
      </c>
      <c r="G2563" s="6" t="s">
        <v>118</v>
      </c>
      <c r="H2563" s="6" t="s">
        <v>34</v>
      </c>
      <c r="I2563" s="8" t="s">
        <v>271</v>
      </c>
      <c r="J2563" s="9">
        <v>1</v>
      </c>
      <c r="K2563" s="9">
        <v>259</v>
      </c>
      <c r="L2563" s="9">
        <v>2026</v>
      </c>
      <c r="M2563" s="8" t="s">
        <v>15221</v>
      </c>
      <c r="N2563" s="8" t="s">
        <v>37</v>
      </c>
      <c r="O2563" s="8" t="s">
        <v>280</v>
      </c>
      <c r="P2563" s="6" t="s">
        <v>51</v>
      </c>
      <c r="Q2563" s="8" t="s">
        <v>52</v>
      </c>
      <c r="R2563" s="10" t="s">
        <v>15222</v>
      </c>
      <c r="S2563" s="11" t="s">
        <v>15223</v>
      </c>
      <c r="T2563" s="6"/>
      <c r="U2563" s="15" t="str">
        <f>HYPERLINK("https://media.infra-m.ru/2243/2243106/cover/2243106.jpg", "Обложка")</f>
        <v>Обложка</v>
      </c>
      <c r="V2563" s="8" t="s">
        <v>247</v>
      </c>
      <c r="W2563" s="6"/>
      <c r="X2563" s="6"/>
      <c r="Y2563" s="6"/>
      <c r="Z2563" s="6"/>
      <c r="AA2563" s="6" t="s">
        <v>258</v>
      </c>
      <c r="AB2563" s="8"/>
      <c r="AC2563" s="27">
        <v>9785160158754</v>
      </c>
    </row>
    <row r="2564" spans="1:29" s="4" customFormat="1" ht="51.9" customHeight="1" x14ac:dyDescent="0.2">
      <c r="A2564" s="5">
        <v>0</v>
      </c>
      <c r="B2564" s="6" t="s">
        <v>15224</v>
      </c>
      <c r="C2564" s="7">
        <v>1032</v>
      </c>
      <c r="D2564" s="8" t="s">
        <v>15225</v>
      </c>
      <c r="E2564" s="8" t="s">
        <v>15226</v>
      </c>
      <c r="F2564" s="8" t="s">
        <v>15220</v>
      </c>
      <c r="G2564" s="6" t="s">
        <v>118</v>
      </c>
      <c r="H2564" s="6" t="s">
        <v>241</v>
      </c>
      <c r="I2564" s="8"/>
      <c r="J2564" s="9">
        <v>1</v>
      </c>
      <c r="K2564" s="9">
        <v>253</v>
      </c>
      <c r="L2564" s="9">
        <v>2020</v>
      </c>
      <c r="M2564" s="8" t="s">
        <v>15227</v>
      </c>
      <c r="N2564" s="8" t="s">
        <v>37</v>
      </c>
      <c r="O2564" s="8" t="s">
        <v>280</v>
      </c>
      <c r="P2564" s="6" t="s">
        <v>51</v>
      </c>
      <c r="Q2564" s="8" t="s">
        <v>52</v>
      </c>
      <c r="R2564" s="10" t="s">
        <v>15222</v>
      </c>
      <c r="S2564" s="11" t="s">
        <v>15228</v>
      </c>
      <c r="T2564" s="6"/>
      <c r="U2564" s="15" t="str">
        <f>HYPERLINK("https://media.infra-m.ru/1039/1039158/cover/1039158.jpg", "Обложка")</f>
        <v>Обложка</v>
      </c>
      <c r="V2564" s="8" t="s">
        <v>247</v>
      </c>
      <c r="W2564" s="6"/>
      <c r="X2564" s="6"/>
      <c r="Y2564" s="6"/>
      <c r="Z2564" s="6"/>
      <c r="AA2564" s="6" t="s">
        <v>248</v>
      </c>
      <c r="AB2564" s="8"/>
      <c r="AC2564" s="27">
        <v>9785955803036</v>
      </c>
    </row>
    <row r="2565" spans="1:29" s="4" customFormat="1" ht="51.9" customHeight="1" x14ac:dyDescent="0.2">
      <c r="A2565" s="5">
        <v>0</v>
      </c>
      <c r="B2565" s="6" t="s">
        <v>15229</v>
      </c>
      <c r="C2565" s="7">
        <v>1716</v>
      </c>
      <c r="D2565" s="8" t="s">
        <v>15230</v>
      </c>
      <c r="E2565" s="8" t="s">
        <v>15219</v>
      </c>
      <c r="F2565" s="8" t="s">
        <v>15220</v>
      </c>
      <c r="G2565" s="6" t="s">
        <v>118</v>
      </c>
      <c r="H2565" s="6" t="s">
        <v>34</v>
      </c>
      <c r="I2565" s="8" t="s">
        <v>263</v>
      </c>
      <c r="J2565" s="9">
        <v>1</v>
      </c>
      <c r="K2565" s="9">
        <v>259</v>
      </c>
      <c r="L2565" s="9">
        <v>2026</v>
      </c>
      <c r="M2565" s="8" t="s">
        <v>15231</v>
      </c>
      <c r="N2565" s="8" t="s">
        <v>37</v>
      </c>
      <c r="O2565" s="8" t="s">
        <v>280</v>
      </c>
      <c r="P2565" s="6" t="s">
        <v>51</v>
      </c>
      <c r="Q2565" s="8" t="s">
        <v>265</v>
      </c>
      <c r="R2565" s="10" t="s">
        <v>15232</v>
      </c>
      <c r="S2565" s="11" t="s">
        <v>15233</v>
      </c>
      <c r="T2565" s="6"/>
      <c r="U2565" s="15" t="str">
        <f>HYPERLINK("https://media.infra-m.ru/2256/2256963/cover/2256963.jpg", "Обложка")</f>
        <v>Обложка</v>
      </c>
      <c r="V2565" s="8" t="s">
        <v>247</v>
      </c>
      <c r="W2565" s="6"/>
      <c r="X2565" s="6"/>
      <c r="Y2565" s="6"/>
      <c r="Z2565" s="6" t="s">
        <v>267</v>
      </c>
      <c r="AA2565" s="6" t="s">
        <v>896</v>
      </c>
      <c r="AB2565" s="8"/>
      <c r="AC2565" s="27">
        <v>9785160158952</v>
      </c>
    </row>
    <row r="2566" spans="1:29" s="4" customFormat="1" ht="42" customHeight="1" x14ac:dyDescent="0.2">
      <c r="A2566" s="5">
        <v>0</v>
      </c>
      <c r="B2566" s="6" t="s">
        <v>15234</v>
      </c>
      <c r="C2566" s="7">
        <v>1673.9</v>
      </c>
      <c r="D2566" s="8" t="s">
        <v>15235</v>
      </c>
      <c r="E2566" s="8" t="s">
        <v>15236</v>
      </c>
      <c r="F2566" s="8" t="s">
        <v>15237</v>
      </c>
      <c r="G2566" s="6" t="s">
        <v>60</v>
      </c>
      <c r="H2566" s="6" t="s">
        <v>134</v>
      </c>
      <c r="I2566" s="8"/>
      <c r="J2566" s="9">
        <v>12</v>
      </c>
      <c r="K2566" s="9">
        <v>608</v>
      </c>
      <c r="L2566" s="9">
        <v>2017</v>
      </c>
      <c r="M2566" s="8" t="s">
        <v>15238</v>
      </c>
      <c r="N2566" s="8" t="s">
        <v>37</v>
      </c>
      <c r="O2566" s="8" t="s">
        <v>136</v>
      </c>
      <c r="P2566" s="6" t="s">
        <v>306</v>
      </c>
      <c r="Q2566" s="8" t="s">
        <v>52</v>
      </c>
      <c r="R2566" s="10" t="s">
        <v>1625</v>
      </c>
      <c r="S2566" s="11"/>
      <c r="T2566" s="6"/>
      <c r="U2566" s="15" t="str">
        <f>HYPERLINK("https://media.infra-m.ru/0557/0557338/cover/557338.jpg", "Обложка")</f>
        <v>Обложка</v>
      </c>
      <c r="V2566" s="8"/>
      <c r="W2566" s="6"/>
      <c r="X2566" s="6"/>
      <c r="Y2566" s="6"/>
      <c r="Z2566" s="6"/>
      <c r="AA2566" s="6" t="s">
        <v>446</v>
      </c>
      <c r="AB2566" s="8"/>
      <c r="AC2566" s="27">
        <v>9785917685687</v>
      </c>
    </row>
    <row r="2567" spans="1:29" s="4" customFormat="1" ht="51.9" customHeight="1" x14ac:dyDescent="0.2">
      <c r="A2567" s="5">
        <v>0</v>
      </c>
      <c r="B2567" s="6" t="s">
        <v>15239</v>
      </c>
      <c r="C2567" s="7">
        <v>2702.4</v>
      </c>
      <c r="D2567" s="8" t="s">
        <v>15240</v>
      </c>
      <c r="E2567" s="8" t="s">
        <v>15241</v>
      </c>
      <c r="F2567" s="8" t="s">
        <v>15242</v>
      </c>
      <c r="G2567" s="6" t="s">
        <v>60</v>
      </c>
      <c r="H2567" s="6" t="s">
        <v>134</v>
      </c>
      <c r="I2567" s="8"/>
      <c r="J2567" s="9">
        <v>1</v>
      </c>
      <c r="K2567" s="9">
        <v>356</v>
      </c>
      <c r="L2567" s="9">
        <v>2026</v>
      </c>
      <c r="M2567" s="8" t="s">
        <v>15243</v>
      </c>
      <c r="N2567" s="8" t="s">
        <v>37</v>
      </c>
      <c r="O2567" s="8" t="s">
        <v>136</v>
      </c>
      <c r="P2567" s="6" t="s">
        <v>39</v>
      </c>
      <c r="Q2567" s="8" t="s">
        <v>40</v>
      </c>
      <c r="R2567" s="10" t="s">
        <v>15244</v>
      </c>
      <c r="S2567" s="11"/>
      <c r="T2567" s="6"/>
      <c r="U2567" s="15" t="str">
        <f>HYPERLINK("https://media.infra-m.ru/2239/2239800/cover/2239800.jpg", "Обложка")</f>
        <v>Обложка</v>
      </c>
      <c r="V2567" s="8" t="s">
        <v>588</v>
      </c>
      <c r="W2567" s="6"/>
      <c r="X2567" s="6"/>
      <c r="Y2567" s="6"/>
      <c r="Z2567" s="6"/>
      <c r="AA2567" s="6" t="s">
        <v>187</v>
      </c>
      <c r="AB2567" s="8"/>
      <c r="AC2567" s="27">
        <v>9785001564676</v>
      </c>
    </row>
    <row r="2568" spans="1:29" s="4" customFormat="1" ht="44.1" customHeight="1" x14ac:dyDescent="0.2">
      <c r="A2568" s="5">
        <v>0</v>
      </c>
      <c r="B2568" s="6" t="s">
        <v>15245</v>
      </c>
      <c r="C2568" s="13">
        <v>936</v>
      </c>
      <c r="D2568" s="8" t="s">
        <v>15246</v>
      </c>
      <c r="E2568" s="8" t="s">
        <v>15247</v>
      </c>
      <c r="F2568" s="8" t="s">
        <v>15248</v>
      </c>
      <c r="G2568" s="6" t="s">
        <v>33</v>
      </c>
      <c r="H2568" s="6" t="s">
        <v>313</v>
      </c>
      <c r="I2568" s="8" t="s">
        <v>35</v>
      </c>
      <c r="J2568" s="9">
        <v>1</v>
      </c>
      <c r="K2568" s="9">
        <v>169</v>
      </c>
      <c r="L2568" s="9">
        <v>2023</v>
      </c>
      <c r="M2568" s="8" t="s">
        <v>15249</v>
      </c>
      <c r="N2568" s="8" t="s">
        <v>37</v>
      </c>
      <c r="O2568" s="8" t="s">
        <v>499</v>
      </c>
      <c r="P2568" s="6" t="s">
        <v>39</v>
      </c>
      <c r="Q2568" s="8" t="s">
        <v>749</v>
      </c>
      <c r="R2568" s="10" t="s">
        <v>15250</v>
      </c>
      <c r="S2568" s="11"/>
      <c r="T2568" s="6"/>
      <c r="U2568" s="15" t="str">
        <f>HYPERLINK("https://media.infra-m.ru/2043/2043284/cover/2043284.jpg", "Обложка")</f>
        <v>Обложка</v>
      </c>
      <c r="V2568" s="8" t="s">
        <v>1425</v>
      </c>
      <c r="W2568" s="6"/>
      <c r="X2568" s="6" t="s">
        <v>24</v>
      </c>
      <c r="Y2568" s="6"/>
      <c r="Z2568" s="6"/>
      <c r="AA2568" s="6" t="s">
        <v>360</v>
      </c>
      <c r="AB2568" s="8"/>
      <c r="AC2568" s="27">
        <v>9785369014615</v>
      </c>
    </row>
    <row r="2569" spans="1:29" s="4" customFormat="1" ht="51.9" customHeight="1" x14ac:dyDescent="0.2">
      <c r="A2569" s="5">
        <v>0</v>
      </c>
      <c r="B2569" s="6" t="s">
        <v>15251</v>
      </c>
      <c r="C2569" s="7">
        <v>1044</v>
      </c>
      <c r="D2569" s="8" t="s">
        <v>15252</v>
      </c>
      <c r="E2569" s="8" t="s">
        <v>15253</v>
      </c>
      <c r="F2569" s="8" t="s">
        <v>15254</v>
      </c>
      <c r="G2569" s="6" t="s">
        <v>33</v>
      </c>
      <c r="H2569" s="6" t="s">
        <v>241</v>
      </c>
      <c r="I2569" s="8"/>
      <c r="J2569" s="9">
        <v>1</v>
      </c>
      <c r="K2569" s="9">
        <v>176</v>
      </c>
      <c r="L2569" s="9">
        <v>2024</v>
      </c>
      <c r="M2569" s="8" t="s">
        <v>15255</v>
      </c>
      <c r="N2569" s="8" t="s">
        <v>37</v>
      </c>
      <c r="O2569" s="8" t="s">
        <v>280</v>
      </c>
      <c r="P2569" s="6" t="s">
        <v>51</v>
      </c>
      <c r="Q2569" s="8" t="s">
        <v>500</v>
      </c>
      <c r="R2569" s="10" t="s">
        <v>15256</v>
      </c>
      <c r="S2569" s="11"/>
      <c r="T2569" s="6"/>
      <c r="U2569" s="15" t="str">
        <f>HYPERLINK("https://media.infra-m.ru/2087/2087270/cover/2087270.jpg", "Обложка")</f>
        <v>Обложка</v>
      </c>
      <c r="V2569" s="8" t="s">
        <v>15257</v>
      </c>
      <c r="W2569" s="6"/>
      <c r="X2569" s="6"/>
      <c r="Y2569" s="6"/>
      <c r="Z2569" s="6"/>
      <c r="AA2569" s="6" t="s">
        <v>779</v>
      </c>
      <c r="AB2569" s="8"/>
      <c r="AC2569" s="27">
        <v>9785955804880</v>
      </c>
    </row>
    <row r="2570" spans="1:29" s="4" customFormat="1" ht="51.9" customHeight="1" x14ac:dyDescent="0.2">
      <c r="A2570" s="5">
        <v>0</v>
      </c>
      <c r="B2570" s="6" t="s">
        <v>15258</v>
      </c>
      <c r="C2570" s="7">
        <v>1636.8</v>
      </c>
      <c r="D2570" s="8" t="s">
        <v>15259</v>
      </c>
      <c r="E2570" s="8" t="s">
        <v>15260</v>
      </c>
      <c r="F2570" s="8" t="s">
        <v>15261</v>
      </c>
      <c r="G2570" s="6" t="s">
        <v>60</v>
      </c>
      <c r="H2570" s="6" t="s">
        <v>313</v>
      </c>
      <c r="I2570" s="8" t="s">
        <v>504</v>
      </c>
      <c r="J2570" s="9">
        <v>1</v>
      </c>
      <c r="K2570" s="9">
        <v>247</v>
      </c>
      <c r="L2570" s="9">
        <v>2026</v>
      </c>
      <c r="M2570" s="8" t="s">
        <v>15262</v>
      </c>
      <c r="N2570" s="8" t="s">
        <v>37</v>
      </c>
      <c r="O2570" s="8" t="s">
        <v>499</v>
      </c>
      <c r="P2570" s="6" t="s">
        <v>51</v>
      </c>
      <c r="Q2570" s="8" t="s">
        <v>500</v>
      </c>
      <c r="R2570" s="10" t="s">
        <v>15263</v>
      </c>
      <c r="S2570" s="11" t="s">
        <v>15264</v>
      </c>
      <c r="T2570" s="6"/>
      <c r="U2570" s="15" t="str">
        <f>HYPERLINK("https://media.infra-m.ru/2224/2224170/cover/2224170.jpg", "Обложка")</f>
        <v>Обложка</v>
      </c>
      <c r="V2570" s="8" t="s">
        <v>15265</v>
      </c>
      <c r="W2570" s="6"/>
      <c r="X2570" s="6"/>
      <c r="Y2570" s="6"/>
      <c r="Z2570" s="6"/>
      <c r="AA2570" s="6" t="s">
        <v>779</v>
      </c>
      <c r="AB2570" s="8"/>
      <c r="AC2570" s="27">
        <v>9785369015315</v>
      </c>
    </row>
    <row r="2571" spans="1:29" s="4" customFormat="1" ht="51.9" customHeight="1" x14ac:dyDescent="0.2">
      <c r="A2571" s="5">
        <v>0</v>
      </c>
      <c r="B2571" s="6" t="s">
        <v>15266</v>
      </c>
      <c r="C2571" s="7">
        <v>1764</v>
      </c>
      <c r="D2571" s="8" t="s">
        <v>15267</v>
      </c>
      <c r="E2571" s="8" t="s">
        <v>15268</v>
      </c>
      <c r="F2571" s="8" t="s">
        <v>15269</v>
      </c>
      <c r="G2571" s="6" t="s">
        <v>118</v>
      </c>
      <c r="H2571" s="6" t="s">
        <v>34</v>
      </c>
      <c r="I2571" s="8" t="s">
        <v>1248</v>
      </c>
      <c r="J2571" s="9">
        <v>1</v>
      </c>
      <c r="K2571" s="9">
        <v>268</v>
      </c>
      <c r="L2571" s="9">
        <v>2026</v>
      </c>
      <c r="M2571" s="8" t="s">
        <v>15270</v>
      </c>
      <c r="N2571" s="8" t="s">
        <v>37</v>
      </c>
      <c r="O2571" s="8" t="s">
        <v>50</v>
      </c>
      <c r="P2571" s="6" t="s">
        <v>51</v>
      </c>
      <c r="Q2571" s="8" t="s">
        <v>500</v>
      </c>
      <c r="R2571" s="10" t="s">
        <v>15271</v>
      </c>
      <c r="S2571" s="11" t="s">
        <v>15272</v>
      </c>
      <c r="T2571" s="6"/>
      <c r="U2571" s="15" t="str">
        <f>HYPERLINK("https://media.infra-m.ru/2219/2219015/cover/2219015.jpg", "Обложка")</f>
        <v>Обложка</v>
      </c>
      <c r="V2571" s="8" t="s">
        <v>1083</v>
      </c>
      <c r="W2571" s="6"/>
      <c r="X2571" s="6"/>
      <c r="Y2571" s="6"/>
      <c r="Z2571" s="6"/>
      <c r="AA2571" s="6" t="s">
        <v>86</v>
      </c>
      <c r="AB2571" s="8"/>
      <c r="AC2571" s="27">
        <v>9785160216164</v>
      </c>
    </row>
    <row r="2572" spans="1:29" s="4" customFormat="1" ht="51.9" customHeight="1" x14ac:dyDescent="0.2">
      <c r="A2572" s="5">
        <v>0</v>
      </c>
      <c r="B2572" s="6" t="s">
        <v>15273</v>
      </c>
      <c r="C2572" s="13">
        <v>816</v>
      </c>
      <c r="D2572" s="8" t="s">
        <v>15274</v>
      </c>
      <c r="E2572" s="8" t="s">
        <v>15275</v>
      </c>
      <c r="F2572" s="8" t="s">
        <v>14562</v>
      </c>
      <c r="G2572" s="6" t="s">
        <v>33</v>
      </c>
      <c r="H2572" s="6" t="s">
        <v>34</v>
      </c>
      <c r="I2572" s="8" t="s">
        <v>253</v>
      </c>
      <c r="J2572" s="9">
        <v>1</v>
      </c>
      <c r="K2572" s="9">
        <v>116</v>
      </c>
      <c r="L2572" s="9">
        <v>2027</v>
      </c>
      <c r="M2572" s="8" t="s">
        <v>15276</v>
      </c>
      <c r="N2572" s="8" t="s">
        <v>37</v>
      </c>
      <c r="O2572" s="8" t="s">
        <v>280</v>
      </c>
      <c r="P2572" s="6" t="s">
        <v>51</v>
      </c>
      <c r="Q2572" s="8" t="s">
        <v>65</v>
      </c>
      <c r="R2572" s="10" t="s">
        <v>15277</v>
      </c>
      <c r="S2572" s="11" t="s">
        <v>15278</v>
      </c>
      <c r="T2572" s="6"/>
      <c r="U2572" s="15" t="str">
        <f>HYPERLINK("https://media.infra-m.ru/2267/2267311/cover/2267311.jpg", "Обложка")</f>
        <v>Обложка</v>
      </c>
      <c r="V2572" s="8" t="s">
        <v>13059</v>
      </c>
      <c r="W2572" s="6"/>
      <c r="X2572" s="6"/>
      <c r="Y2572" s="6"/>
      <c r="Z2572" s="6"/>
      <c r="AA2572" s="6" t="s">
        <v>623</v>
      </c>
      <c r="AB2572" s="8"/>
      <c r="AC2572" s="27">
        <v>9785160188409</v>
      </c>
    </row>
    <row r="2573" spans="1:29" s="4" customFormat="1" ht="51.9" customHeight="1" x14ac:dyDescent="0.2">
      <c r="A2573" s="5">
        <v>0</v>
      </c>
      <c r="B2573" s="6" t="s">
        <v>15279</v>
      </c>
      <c r="C2573" s="7">
        <v>2428.8000000000002</v>
      </c>
      <c r="D2573" s="8" t="s">
        <v>15280</v>
      </c>
      <c r="E2573" s="8" t="s">
        <v>15281</v>
      </c>
      <c r="F2573" s="8" t="s">
        <v>14562</v>
      </c>
      <c r="G2573" s="6" t="s">
        <v>118</v>
      </c>
      <c r="H2573" s="6" t="s">
        <v>34</v>
      </c>
      <c r="I2573" s="8" t="s">
        <v>271</v>
      </c>
      <c r="J2573" s="9">
        <v>1</v>
      </c>
      <c r="K2573" s="9">
        <v>368</v>
      </c>
      <c r="L2573" s="9">
        <v>2026</v>
      </c>
      <c r="M2573" s="8" t="s">
        <v>15282</v>
      </c>
      <c r="N2573" s="8" t="s">
        <v>37</v>
      </c>
      <c r="O2573" s="8" t="s">
        <v>280</v>
      </c>
      <c r="P2573" s="6" t="s">
        <v>306</v>
      </c>
      <c r="Q2573" s="8" t="s">
        <v>52</v>
      </c>
      <c r="R2573" s="10" t="s">
        <v>11902</v>
      </c>
      <c r="S2573" s="11" t="s">
        <v>15283</v>
      </c>
      <c r="T2573" s="6"/>
      <c r="U2573" s="15" t="str">
        <f>HYPERLINK("https://media.infra-m.ru/2239/2239088/cover/2239088.jpg", "Обложка")</f>
        <v>Обложка</v>
      </c>
      <c r="V2573" s="8" t="s">
        <v>13059</v>
      </c>
      <c r="W2573" s="6"/>
      <c r="X2573" s="6"/>
      <c r="Y2573" s="6"/>
      <c r="Z2573" s="6"/>
      <c r="AA2573" s="6" t="s">
        <v>1256</v>
      </c>
      <c r="AB2573" s="8"/>
      <c r="AC2573" s="27">
        <v>9785160148861</v>
      </c>
    </row>
    <row r="2574" spans="1:29" s="4" customFormat="1" ht="51.9" customHeight="1" x14ac:dyDescent="0.2">
      <c r="A2574" s="5">
        <v>0</v>
      </c>
      <c r="B2574" s="6" t="s">
        <v>15284</v>
      </c>
      <c r="C2574" s="13">
        <v>264</v>
      </c>
      <c r="D2574" s="8" t="s">
        <v>15285</v>
      </c>
      <c r="E2574" s="8" t="s">
        <v>15286</v>
      </c>
      <c r="F2574" s="8" t="s">
        <v>14562</v>
      </c>
      <c r="G2574" s="6" t="s">
        <v>33</v>
      </c>
      <c r="H2574" s="6" t="s">
        <v>34</v>
      </c>
      <c r="I2574" s="8" t="s">
        <v>271</v>
      </c>
      <c r="J2574" s="9">
        <v>1</v>
      </c>
      <c r="K2574" s="9">
        <v>73</v>
      </c>
      <c r="L2574" s="9">
        <v>2017</v>
      </c>
      <c r="M2574" s="8" t="s">
        <v>15287</v>
      </c>
      <c r="N2574" s="8" t="s">
        <v>37</v>
      </c>
      <c r="O2574" s="8" t="s">
        <v>280</v>
      </c>
      <c r="P2574" s="6" t="s">
        <v>51</v>
      </c>
      <c r="Q2574" s="8" t="s">
        <v>52</v>
      </c>
      <c r="R2574" s="10" t="s">
        <v>15277</v>
      </c>
      <c r="S2574" s="11" t="s">
        <v>15288</v>
      </c>
      <c r="T2574" s="6"/>
      <c r="U2574" s="15" t="str">
        <f>HYPERLINK("https://media.infra-m.ru/0752/0752507/cover/752507.jpg", "Обложка")</f>
        <v>Обложка</v>
      </c>
      <c r="V2574" s="8" t="s">
        <v>13059</v>
      </c>
      <c r="W2574" s="6"/>
      <c r="X2574" s="6"/>
      <c r="Y2574" s="6"/>
      <c r="Z2574" s="6"/>
      <c r="AA2574" s="6" t="s">
        <v>779</v>
      </c>
      <c r="AB2574" s="8"/>
      <c r="AC2574" s="27">
        <v>9785160107240</v>
      </c>
    </row>
    <row r="2575" spans="1:29" s="4" customFormat="1" ht="51.9" customHeight="1" x14ac:dyDescent="0.2">
      <c r="A2575" s="5">
        <v>0</v>
      </c>
      <c r="B2575" s="6" t="s">
        <v>15289</v>
      </c>
      <c r="C2575" s="7">
        <v>1440</v>
      </c>
      <c r="D2575" s="8" t="s">
        <v>15290</v>
      </c>
      <c r="E2575" s="8" t="s">
        <v>15291</v>
      </c>
      <c r="F2575" s="8" t="s">
        <v>15292</v>
      </c>
      <c r="G2575" s="6" t="s">
        <v>15293</v>
      </c>
      <c r="H2575" s="6" t="s">
        <v>241</v>
      </c>
      <c r="I2575" s="8"/>
      <c r="J2575" s="9">
        <v>1</v>
      </c>
      <c r="K2575" s="9">
        <v>288</v>
      </c>
      <c r="L2575" s="9">
        <v>2018</v>
      </c>
      <c r="M2575" s="8" t="s">
        <v>15294</v>
      </c>
      <c r="N2575" s="8" t="s">
        <v>37</v>
      </c>
      <c r="O2575" s="8" t="s">
        <v>280</v>
      </c>
      <c r="P2575" s="6" t="s">
        <v>234</v>
      </c>
      <c r="Q2575" s="8" t="s">
        <v>40</v>
      </c>
      <c r="R2575" s="10" t="s">
        <v>15295</v>
      </c>
      <c r="S2575" s="11"/>
      <c r="T2575" s="6"/>
      <c r="U2575" s="12"/>
      <c r="V2575" s="8" t="s">
        <v>227</v>
      </c>
      <c r="W2575" s="6"/>
      <c r="X2575" s="6"/>
      <c r="Y2575" s="6"/>
      <c r="Z2575" s="6"/>
      <c r="AA2575" s="6" t="s">
        <v>1031</v>
      </c>
      <c r="AB2575" s="8"/>
      <c r="AC2575" s="27">
        <v>9785955806006</v>
      </c>
    </row>
    <row r="2576" spans="1:29" s="4" customFormat="1" ht="51.9" customHeight="1" x14ac:dyDescent="0.2">
      <c r="A2576" s="5">
        <v>0</v>
      </c>
      <c r="B2576" s="6" t="s">
        <v>15296</v>
      </c>
      <c r="C2576" s="7">
        <v>2450.4</v>
      </c>
      <c r="D2576" s="8" t="s">
        <v>15297</v>
      </c>
      <c r="E2576" s="8" t="s">
        <v>15298</v>
      </c>
      <c r="F2576" s="8" t="s">
        <v>15292</v>
      </c>
      <c r="G2576" s="6" t="s">
        <v>118</v>
      </c>
      <c r="H2576" s="6" t="s">
        <v>34</v>
      </c>
      <c r="I2576" s="8" t="s">
        <v>253</v>
      </c>
      <c r="J2576" s="9">
        <v>1</v>
      </c>
      <c r="K2576" s="9">
        <v>285</v>
      </c>
      <c r="L2576" s="9">
        <v>2026</v>
      </c>
      <c r="M2576" s="8" t="s">
        <v>15299</v>
      </c>
      <c r="N2576" s="8" t="s">
        <v>37</v>
      </c>
      <c r="O2576" s="8" t="s">
        <v>280</v>
      </c>
      <c r="P2576" s="6" t="s">
        <v>748</v>
      </c>
      <c r="Q2576" s="8" t="s">
        <v>52</v>
      </c>
      <c r="R2576" s="10" t="s">
        <v>15295</v>
      </c>
      <c r="S2576" s="11"/>
      <c r="T2576" s="6"/>
      <c r="U2576" s="15" t="str">
        <f>HYPERLINK("https://media.infra-m.ru/2227/2227301/cover/2227301.jpg", "Обложка")</f>
        <v>Обложка</v>
      </c>
      <c r="V2576" s="8" t="s">
        <v>227</v>
      </c>
      <c r="W2576" s="6"/>
      <c r="X2576" s="6"/>
      <c r="Y2576" s="6"/>
      <c r="Z2576" s="6"/>
      <c r="AA2576" s="6" t="s">
        <v>10095</v>
      </c>
      <c r="AB2576" s="8"/>
      <c r="AC2576" s="27">
        <v>9785160167220</v>
      </c>
    </row>
    <row r="2577" spans="1:29" s="4" customFormat="1" ht="51.9" customHeight="1" x14ac:dyDescent="0.2">
      <c r="A2577" s="5">
        <v>0</v>
      </c>
      <c r="B2577" s="6" t="s">
        <v>15300</v>
      </c>
      <c r="C2577" s="7">
        <v>2164.8000000000002</v>
      </c>
      <c r="D2577" s="8" t="s">
        <v>15301</v>
      </c>
      <c r="E2577" s="8" t="s">
        <v>15302</v>
      </c>
      <c r="F2577" s="8" t="s">
        <v>15303</v>
      </c>
      <c r="G2577" s="6" t="s">
        <v>118</v>
      </c>
      <c r="H2577" s="6" t="s">
        <v>34</v>
      </c>
      <c r="I2577" s="8" t="s">
        <v>271</v>
      </c>
      <c r="J2577" s="9">
        <v>1</v>
      </c>
      <c r="K2577" s="9">
        <v>312</v>
      </c>
      <c r="L2577" s="9">
        <v>2027</v>
      </c>
      <c r="M2577" s="8" t="s">
        <v>15304</v>
      </c>
      <c r="N2577" s="8" t="s">
        <v>243</v>
      </c>
      <c r="O2577" s="8" t="s">
        <v>758</v>
      </c>
      <c r="P2577" s="6" t="s">
        <v>51</v>
      </c>
      <c r="Q2577" s="8" t="s">
        <v>52</v>
      </c>
      <c r="R2577" s="10" t="s">
        <v>15305</v>
      </c>
      <c r="S2577" s="11" t="s">
        <v>15306</v>
      </c>
      <c r="T2577" s="6" t="s">
        <v>97</v>
      </c>
      <c r="U2577" s="15" t="str">
        <f>HYPERLINK("https://media.infra-m.ru/2248/2248534/cover/2248534.jpg", "Обложка")</f>
        <v>Обложка</v>
      </c>
      <c r="V2577" s="8" t="s">
        <v>2398</v>
      </c>
      <c r="W2577" s="6"/>
      <c r="X2577" s="6"/>
      <c r="Y2577" s="6"/>
      <c r="Z2577" s="6"/>
      <c r="AA2577" s="6" t="s">
        <v>99</v>
      </c>
      <c r="AB2577" s="8"/>
      <c r="AC2577" s="27">
        <v>9785160119823</v>
      </c>
    </row>
    <row r="2578" spans="1:29" s="4" customFormat="1" ht="51.9" customHeight="1" x14ac:dyDescent="0.2">
      <c r="A2578" s="5">
        <v>0</v>
      </c>
      <c r="B2578" s="6" t="s">
        <v>15307</v>
      </c>
      <c r="C2578" s="7">
        <v>4100.3999999999996</v>
      </c>
      <c r="D2578" s="8" t="s">
        <v>15308</v>
      </c>
      <c r="E2578" s="8" t="s">
        <v>15309</v>
      </c>
      <c r="F2578" s="8" t="s">
        <v>12598</v>
      </c>
      <c r="G2578" s="6" t="s">
        <v>60</v>
      </c>
      <c r="H2578" s="6" t="s">
        <v>34</v>
      </c>
      <c r="I2578" s="8" t="s">
        <v>253</v>
      </c>
      <c r="J2578" s="9">
        <v>1</v>
      </c>
      <c r="K2578" s="9">
        <v>592</v>
      </c>
      <c r="L2578" s="9">
        <v>2026</v>
      </c>
      <c r="M2578" s="8" t="s">
        <v>15310</v>
      </c>
      <c r="N2578" s="8" t="s">
        <v>243</v>
      </c>
      <c r="O2578" s="8" t="s">
        <v>244</v>
      </c>
      <c r="P2578" s="6" t="s">
        <v>51</v>
      </c>
      <c r="Q2578" s="8" t="s">
        <v>52</v>
      </c>
      <c r="R2578" s="10" t="s">
        <v>15311</v>
      </c>
      <c r="S2578" s="11" t="s">
        <v>15312</v>
      </c>
      <c r="T2578" s="6"/>
      <c r="U2578" s="15" t="str">
        <f>HYPERLINK("https://media.infra-m.ru/2261/2261229/cover/2261229.jpg", "Обложка")</f>
        <v>Обложка</v>
      </c>
      <c r="V2578" s="8" t="s">
        <v>3428</v>
      </c>
      <c r="W2578" s="6"/>
      <c r="X2578" s="6"/>
      <c r="Y2578" s="6"/>
      <c r="Z2578" s="6"/>
      <c r="AA2578" s="6" t="s">
        <v>1015</v>
      </c>
      <c r="AB2578" s="8"/>
      <c r="AC2578" s="27">
        <v>9785160222943</v>
      </c>
    </row>
    <row r="2579" spans="1:29" s="4" customFormat="1" ht="42" customHeight="1" x14ac:dyDescent="0.2">
      <c r="A2579" s="5">
        <v>0</v>
      </c>
      <c r="B2579" s="6" t="s">
        <v>15313</v>
      </c>
      <c r="C2579" s="7">
        <v>1120.8</v>
      </c>
      <c r="D2579" s="8" t="s">
        <v>15314</v>
      </c>
      <c r="E2579" s="8" t="s">
        <v>15315</v>
      </c>
      <c r="F2579" s="8" t="s">
        <v>15316</v>
      </c>
      <c r="G2579" s="6" t="s">
        <v>118</v>
      </c>
      <c r="H2579" s="6" t="s">
        <v>34</v>
      </c>
      <c r="I2579" s="8" t="s">
        <v>35</v>
      </c>
      <c r="J2579" s="9">
        <v>1</v>
      </c>
      <c r="K2579" s="9">
        <v>149</v>
      </c>
      <c r="L2579" s="9">
        <v>2026</v>
      </c>
      <c r="M2579" s="8" t="s">
        <v>15317</v>
      </c>
      <c r="N2579" s="8" t="s">
        <v>243</v>
      </c>
      <c r="O2579" s="8" t="s">
        <v>1100</v>
      </c>
      <c r="P2579" s="6" t="s">
        <v>39</v>
      </c>
      <c r="Q2579" s="8" t="s">
        <v>40</v>
      </c>
      <c r="R2579" s="10" t="s">
        <v>15318</v>
      </c>
      <c r="S2579" s="11"/>
      <c r="T2579" s="6"/>
      <c r="U2579" s="15" t="str">
        <f>HYPERLINK("https://media.infra-m.ru/2226/2226478/cover/2226478.jpg", "Обложка")</f>
        <v>Обложка</v>
      </c>
      <c r="V2579" s="8" t="s">
        <v>2522</v>
      </c>
      <c r="W2579" s="6"/>
      <c r="X2579" s="6"/>
      <c r="Y2579" s="6"/>
      <c r="Z2579" s="6"/>
      <c r="AA2579" s="6" t="s">
        <v>76</v>
      </c>
      <c r="AB2579" s="8"/>
      <c r="AC2579" s="27">
        <v>9785160200545</v>
      </c>
    </row>
    <row r="2580" spans="1:29" s="4" customFormat="1" ht="44.1" customHeight="1" x14ac:dyDescent="0.2">
      <c r="A2580" s="5">
        <v>0</v>
      </c>
      <c r="B2580" s="6" t="s">
        <v>15319</v>
      </c>
      <c r="C2580" s="7">
        <v>1140</v>
      </c>
      <c r="D2580" s="8" t="s">
        <v>15320</v>
      </c>
      <c r="E2580" s="8" t="s">
        <v>15321</v>
      </c>
      <c r="F2580" s="8" t="s">
        <v>15322</v>
      </c>
      <c r="G2580" s="6" t="s">
        <v>33</v>
      </c>
      <c r="H2580" s="6" t="s">
        <v>34</v>
      </c>
      <c r="I2580" s="8" t="s">
        <v>35</v>
      </c>
      <c r="J2580" s="9">
        <v>1</v>
      </c>
      <c r="K2580" s="9">
        <v>205</v>
      </c>
      <c r="L2580" s="9">
        <v>2023</v>
      </c>
      <c r="M2580" s="8" t="s">
        <v>15323</v>
      </c>
      <c r="N2580" s="8" t="s">
        <v>585</v>
      </c>
      <c r="O2580" s="8" t="s">
        <v>775</v>
      </c>
      <c r="P2580" s="6" t="s">
        <v>39</v>
      </c>
      <c r="Q2580" s="8" t="s">
        <v>40</v>
      </c>
      <c r="R2580" s="10" t="s">
        <v>15324</v>
      </c>
      <c r="S2580" s="11"/>
      <c r="T2580" s="6"/>
      <c r="U2580" s="15" t="str">
        <f>HYPERLINK("https://media.infra-m.ru/2126/2126819/cover/2126819.jpg", "Обложка")</f>
        <v>Обложка</v>
      </c>
      <c r="V2580" s="8" t="s">
        <v>15325</v>
      </c>
      <c r="W2580" s="6"/>
      <c r="X2580" s="6"/>
      <c r="Y2580" s="6"/>
      <c r="Z2580" s="6"/>
      <c r="AA2580" s="6" t="s">
        <v>115</v>
      </c>
      <c r="AB2580" s="8"/>
      <c r="AC2580" s="27">
        <v>9785160145624</v>
      </c>
    </row>
    <row r="2581" spans="1:29" s="4" customFormat="1" ht="42" customHeight="1" x14ac:dyDescent="0.2">
      <c r="A2581" s="5">
        <v>0</v>
      </c>
      <c r="B2581" s="6" t="s">
        <v>15326</v>
      </c>
      <c r="C2581" s="7">
        <v>2276.4</v>
      </c>
      <c r="D2581" s="8" t="s">
        <v>15327</v>
      </c>
      <c r="E2581" s="8" t="s">
        <v>15328</v>
      </c>
      <c r="F2581" s="8" t="s">
        <v>15329</v>
      </c>
      <c r="G2581" s="6" t="s">
        <v>60</v>
      </c>
      <c r="H2581" s="6" t="s">
        <v>34</v>
      </c>
      <c r="I2581" s="8" t="s">
        <v>35</v>
      </c>
      <c r="J2581" s="9">
        <v>1</v>
      </c>
      <c r="K2581" s="9">
        <v>251</v>
      </c>
      <c r="L2581" s="9">
        <v>2027</v>
      </c>
      <c r="M2581" s="8" t="s">
        <v>15330</v>
      </c>
      <c r="N2581" s="8" t="s">
        <v>243</v>
      </c>
      <c r="O2581" s="8" t="s">
        <v>385</v>
      </c>
      <c r="P2581" s="6" t="s">
        <v>39</v>
      </c>
      <c r="Q2581" s="8" t="s">
        <v>40</v>
      </c>
      <c r="R2581" s="10" t="s">
        <v>378</v>
      </c>
      <c r="S2581" s="11"/>
      <c r="T2581" s="6"/>
      <c r="U2581" s="15" t="str">
        <f>HYPERLINK("https://media.infra-m.ru/2267/2267461/cover/2267461.jpg", "Обложка")</f>
        <v>Обложка</v>
      </c>
      <c r="V2581" s="8"/>
      <c r="W2581" s="6"/>
      <c r="X2581" s="6"/>
      <c r="Y2581" s="6"/>
      <c r="Z2581" s="6"/>
      <c r="AA2581" s="6" t="s">
        <v>148</v>
      </c>
      <c r="AB2581" s="8"/>
      <c r="AC2581" s="27">
        <v>9785160170619</v>
      </c>
    </row>
    <row r="2582" spans="1:29" s="4" customFormat="1" ht="44.1" customHeight="1" x14ac:dyDescent="0.2">
      <c r="A2582" s="5">
        <v>0</v>
      </c>
      <c r="B2582" s="6" t="s">
        <v>15331</v>
      </c>
      <c r="C2582" s="7">
        <v>2160</v>
      </c>
      <c r="D2582" s="8" t="s">
        <v>15332</v>
      </c>
      <c r="E2582" s="8" t="s">
        <v>15333</v>
      </c>
      <c r="F2582" s="8" t="s">
        <v>15334</v>
      </c>
      <c r="G2582" s="6" t="s">
        <v>33</v>
      </c>
      <c r="H2582" s="6" t="s">
        <v>313</v>
      </c>
      <c r="I2582" s="8" t="s">
        <v>4459</v>
      </c>
      <c r="J2582" s="9">
        <v>1</v>
      </c>
      <c r="K2582" s="9">
        <v>111</v>
      </c>
      <c r="L2582" s="9">
        <v>2026</v>
      </c>
      <c r="M2582" s="8" t="s">
        <v>15335</v>
      </c>
      <c r="N2582" s="8" t="s">
        <v>243</v>
      </c>
      <c r="O2582" s="8" t="s">
        <v>385</v>
      </c>
      <c r="P2582" s="6" t="s">
        <v>51</v>
      </c>
      <c r="Q2582" s="8" t="s">
        <v>52</v>
      </c>
      <c r="R2582" s="10" t="s">
        <v>15336</v>
      </c>
      <c r="S2582" s="11"/>
      <c r="T2582" s="6"/>
      <c r="U2582" s="15" t="str">
        <f>HYPERLINK("https://media.infra-m.ru/2217/2217555/cover/2217555.jpg", "Обложка")</f>
        <v>Обложка</v>
      </c>
      <c r="V2582" s="8" t="s">
        <v>15337</v>
      </c>
      <c r="W2582" s="6"/>
      <c r="X2582" s="6"/>
      <c r="Y2582" s="6"/>
      <c r="Z2582" s="6"/>
      <c r="AA2582" s="6" t="s">
        <v>43</v>
      </c>
      <c r="AB2582" s="8"/>
      <c r="AC2582" s="27">
        <v>9785369009956</v>
      </c>
    </row>
    <row r="2583" spans="1:29" s="4" customFormat="1" ht="44.1" customHeight="1" x14ac:dyDescent="0.2">
      <c r="A2583" s="5">
        <v>0</v>
      </c>
      <c r="B2583" s="6" t="s">
        <v>15338</v>
      </c>
      <c r="C2583" s="7">
        <v>1644</v>
      </c>
      <c r="D2583" s="8" t="s">
        <v>15339</v>
      </c>
      <c r="E2583" s="8" t="s">
        <v>15340</v>
      </c>
      <c r="F2583" s="8" t="s">
        <v>15341</v>
      </c>
      <c r="G2583" s="6" t="s">
        <v>33</v>
      </c>
      <c r="H2583" s="6" t="s">
        <v>34</v>
      </c>
      <c r="I2583" s="8" t="s">
        <v>1081</v>
      </c>
      <c r="J2583" s="9">
        <v>1</v>
      </c>
      <c r="K2583" s="9">
        <v>248</v>
      </c>
      <c r="L2583" s="9">
        <v>2026</v>
      </c>
      <c r="M2583" s="8" t="s">
        <v>15342</v>
      </c>
      <c r="N2583" s="8" t="s">
        <v>93</v>
      </c>
      <c r="O2583" s="8" t="s">
        <v>94</v>
      </c>
      <c r="P2583" s="6" t="s">
        <v>39</v>
      </c>
      <c r="Q2583" s="8" t="s">
        <v>40</v>
      </c>
      <c r="R2583" s="10" t="s">
        <v>15343</v>
      </c>
      <c r="S2583" s="11"/>
      <c r="T2583" s="6"/>
      <c r="U2583" s="15" t="str">
        <f>HYPERLINK("https://media.infra-m.ru/2238/2238616/cover/2238616.jpg", "Обложка")</f>
        <v>Обложка</v>
      </c>
      <c r="V2583" s="8" t="s">
        <v>1083</v>
      </c>
      <c r="W2583" s="6"/>
      <c r="X2583" s="6"/>
      <c r="Y2583" s="6"/>
      <c r="Z2583" s="6"/>
      <c r="AA2583" s="6" t="s">
        <v>86</v>
      </c>
      <c r="AB2583" s="8"/>
      <c r="AC2583" s="27">
        <v>9785160189086</v>
      </c>
    </row>
    <row r="2584" spans="1:29" s="4" customFormat="1" ht="44.1" customHeight="1" x14ac:dyDescent="0.2">
      <c r="A2584" s="5">
        <v>0</v>
      </c>
      <c r="B2584" s="6" t="s">
        <v>15344</v>
      </c>
      <c r="C2584" s="7">
        <v>1368</v>
      </c>
      <c r="D2584" s="8" t="s">
        <v>15345</v>
      </c>
      <c r="E2584" s="8" t="s">
        <v>15340</v>
      </c>
      <c r="F2584" s="8" t="s">
        <v>15341</v>
      </c>
      <c r="G2584" s="6" t="s">
        <v>118</v>
      </c>
      <c r="H2584" s="6" t="s">
        <v>34</v>
      </c>
      <c r="I2584" s="8" t="s">
        <v>1081</v>
      </c>
      <c r="J2584" s="9">
        <v>1</v>
      </c>
      <c r="K2584" s="9">
        <v>248</v>
      </c>
      <c r="L2584" s="9">
        <v>2023</v>
      </c>
      <c r="M2584" s="8" t="s">
        <v>15346</v>
      </c>
      <c r="N2584" s="8" t="s">
        <v>93</v>
      </c>
      <c r="O2584" s="8" t="s">
        <v>94</v>
      </c>
      <c r="P2584" s="6" t="s">
        <v>39</v>
      </c>
      <c r="Q2584" s="8" t="s">
        <v>40</v>
      </c>
      <c r="R2584" s="10" t="s">
        <v>15343</v>
      </c>
      <c r="S2584" s="11"/>
      <c r="T2584" s="6"/>
      <c r="U2584" s="15" t="str">
        <f>HYPERLINK("https://media.infra-m.ru/1865/1865709/cover/1865709.jpg", "Обложка")</f>
        <v>Обложка</v>
      </c>
      <c r="V2584" s="8" t="s">
        <v>1083</v>
      </c>
      <c r="W2584" s="6"/>
      <c r="X2584" s="6"/>
      <c r="Y2584" s="6"/>
      <c r="Z2584" s="6"/>
      <c r="AA2584" s="6" t="s">
        <v>86</v>
      </c>
      <c r="AB2584" s="8"/>
      <c r="AC2584" s="27">
        <v>9785160181844</v>
      </c>
    </row>
    <row r="2585" spans="1:29" s="4" customFormat="1" ht="42" customHeight="1" x14ac:dyDescent="0.2">
      <c r="A2585" s="5">
        <v>0</v>
      </c>
      <c r="B2585" s="6" t="s">
        <v>15347</v>
      </c>
      <c r="C2585" s="7">
        <v>1216.8</v>
      </c>
      <c r="D2585" s="8" t="s">
        <v>15348</v>
      </c>
      <c r="E2585" s="8" t="s">
        <v>15349</v>
      </c>
      <c r="F2585" s="8" t="s">
        <v>15350</v>
      </c>
      <c r="G2585" s="6" t="s">
        <v>118</v>
      </c>
      <c r="H2585" s="6" t="s">
        <v>34</v>
      </c>
      <c r="I2585" s="8" t="s">
        <v>35</v>
      </c>
      <c r="J2585" s="9">
        <v>1</v>
      </c>
      <c r="K2585" s="9">
        <v>184</v>
      </c>
      <c r="L2585" s="9">
        <v>2026</v>
      </c>
      <c r="M2585" s="8" t="s">
        <v>15351</v>
      </c>
      <c r="N2585" s="8" t="s">
        <v>37</v>
      </c>
      <c r="O2585" s="8" t="s">
        <v>233</v>
      </c>
      <c r="P2585" s="6" t="s">
        <v>39</v>
      </c>
      <c r="Q2585" s="8" t="s">
        <v>40</v>
      </c>
      <c r="R2585" s="10" t="s">
        <v>5320</v>
      </c>
      <c r="S2585" s="11"/>
      <c r="T2585" s="6"/>
      <c r="U2585" s="15" t="str">
        <f>HYPERLINK("https://media.infra-m.ru/2244/2244328/cover/2244328.jpg", "Обложка")</f>
        <v>Обложка</v>
      </c>
      <c r="V2585" s="8" t="s">
        <v>2055</v>
      </c>
      <c r="W2585" s="6"/>
      <c r="X2585" s="6"/>
      <c r="Y2585" s="6"/>
      <c r="Z2585" s="6"/>
      <c r="AA2585" s="6" t="s">
        <v>1256</v>
      </c>
      <c r="AB2585" s="8"/>
      <c r="AC2585" s="27">
        <v>9785160159829</v>
      </c>
    </row>
    <row r="2586" spans="1:29" s="4" customFormat="1" ht="51.9" customHeight="1" x14ac:dyDescent="0.2">
      <c r="A2586" s="5">
        <v>0</v>
      </c>
      <c r="B2586" s="6" t="s">
        <v>15352</v>
      </c>
      <c r="C2586" s="7">
        <v>3168</v>
      </c>
      <c r="D2586" s="8" t="s">
        <v>15353</v>
      </c>
      <c r="E2586" s="8" t="s">
        <v>15354</v>
      </c>
      <c r="F2586" s="8" t="s">
        <v>2186</v>
      </c>
      <c r="G2586" s="6" t="s">
        <v>60</v>
      </c>
      <c r="H2586" s="6" t="s">
        <v>34</v>
      </c>
      <c r="I2586" s="8" t="s">
        <v>253</v>
      </c>
      <c r="J2586" s="9">
        <v>1</v>
      </c>
      <c r="K2586" s="9">
        <v>608</v>
      </c>
      <c r="L2586" s="9">
        <v>2025</v>
      </c>
      <c r="M2586" s="8" t="s">
        <v>15355</v>
      </c>
      <c r="N2586" s="8" t="s">
        <v>37</v>
      </c>
      <c r="O2586" s="8" t="s">
        <v>233</v>
      </c>
      <c r="P2586" s="6" t="s">
        <v>306</v>
      </c>
      <c r="Q2586" s="8" t="s">
        <v>65</v>
      </c>
      <c r="R2586" s="10" t="s">
        <v>370</v>
      </c>
      <c r="S2586" s="11" t="s">
        <v>15356</v>
      </c>
      <c r="T2586" s="6"/>
      <c r="U2586" s="15" t="str">
        <f>HYPERLINK("https://media.infra-m.ru/2184/2184922/cover/2184922.jpg", "Обложка")</f>
        <v>Обложка</v>
      </c>
      <c r="V2586" s="8" t="s">
        <v>227</v>
      </c>
      <c r="W2586" s="6"/>
      <c r="X2586" s="6"/>
      <c r="Y2586" s="6"/>
      <c r="Z2586" s="6"/>
      <c r="AA2586" s="6" t="s">
        <v>8675</v>
      </c>
      <c r="AB2586" s="8"/>
      <c r="AC2586" s="27">
        <v>9785160187525</v>
      </c>
    </row>
    <row r="2587" spans="1:29" s="4" customFormat="1" ht="51.9" customHeight="1" x14ac:dyDescent="0.2">
      <c r="A2587" s="5">
        <v>0</v>
      </c>
      <c r="B2587" s="6" t="s">
        <v>15357</v>
      </c>
      <c r="C2587" s="7">
        <v>3792</v>
      </c>
      <c r="D2587" s="8" t="s">
        <v>15358</v>
      </c>
      <c r="E2587" s="8" t="s">
        <v>15359</v>
      </c>
      <c r="F2587" s="8" t="s">
        <v>2179</v>
      </c>
      <c r="G2587" s="6" t="s">
        <v>60</v>
      </c>
      <c r="H2587" s="6" t="s">
        <v>34</v>
      </c>
      <c r="I2587" s="8" t="s">
        <v>253</v>
      </c>
      <c r="J2587" s="9">
        <v>1</v>
      </c>
      <c r="K2587" s="9">
        <v>541</v>
      </c>
      <c r="L2587" s="9">
        <v>2027</v>
      </c>
      <c r="M2587" s="8" t="s">
        <v>15360</v>
      </c>
      <c r="N2587" s="8" t="s">
        <v>37</v>
      </c>
      <c r="O2587" s="8" t="s">
        <v>233</v>
      </c>
      <c r="P2587" s="6" t="s">
        <v>306</v>
      </c>
      <c r="Q2587" s="8" t="s">
        <v>65</v>
      </c>
      <c r="R2587" s="10" t="s">
        <v>370</v>
      </c>
      <c r="S2587" s="11"/>
      <c r="T2587" s="6"/>
      <c r="U2587" s="15" t="str">
        <f>HYPERLINK("https://media.infra-m.ru/2228/2228706/cover/2228706.jpg", "Обложка")</f>
        <v>Обложка</v>
      </c>
      <c r="V2587" s="8" t="s">
        <v>227</v>
      </c>
      <c r="W2587" s="6" t="s">
        <v>2115</v>
      </c>
      <c r="X2587" s="6"/>
      <c r="Y2587" s="6"/>
      <c r="Z2587" s="6"/>
      <c r="AA2587" s="6" t="s">
        <v>15361</v>
      </c>
      <c r="AB2587" s="8"/>
      <c r="AC2587" s="27">
        <v>9785160215259</v>
      </c>
    </row>
    <row r="2588" spans="1:29" s="4" customFormat="1" ht="51.9" customHeight="1" x14ac:dyDescent="0.2">
      <c r="A2588" s="5">
        <v>0</v>
      </c>
      <c r="B2588" s="6" t="s">
        <v>15362</v>
      </c>
      <c r="C2588" s="7">
        <v>1732.8</v>
      </c>
      <c r="D2588" s="8" t="s">
        <v>15363</v>
      </c>
      <c r="E2588" s="8" t="s">
        <v>15364</v>
      </c>
      <c r="F2588" s="8" t="s">
        <v>15365</v>
      </c>
      <c r="G2588" s="6" t="s">
        <v>118</v>
      </c>
      <c r="H2588" s="6" t="s">
        <v>34</v>
      </c>
      <c r="I2588" s="8" t="s">
        <v>304</v>
      </c>
      <c r="J2588" s="9">
        <v>1</v>
      </c>
      <c r="K2588" s="9">
        <v>248</v>
      </c>
      <c r="L2588" s="9">
        <v>2026</v>
      </c>
      <c r="M2588" s="8" t="s">
        <v>15366</v>
      </c>
      <c r="N2588" s="8" t="s">
        <v>37</v>
      </c>
      <c r="O2588" s="8" t="s">
        <v>233</v>
      </c>
      <c r="P2588" s="6" t="s">
        <v>306</v>
      </c>
      <c r="Q2588" s="8" t="s">
        <v>65</v>
      </c>
      <c r="R2588" s="10" t="s">
        <v>15367</v>
      </c>
      <c r="S2588" s="11"/>
      <c r="T2588" s="6"/>
      <c r="U2588" s="15" t="str">
        <f>HYPERLINK("https://media.infra-m.ru/2255/2255148/cover/2255148.jpg", "Обложка")</f>
        <v>Обложка</v>
      </c>
      <c r="V2588" s="8" t="s">
        <v>247</v>
      </c>
      <c r="W2588" s="6"/>
      <c r="X2588" s="6"/>
      <c r="Y2588" s="6"/>
      <c r="Z2588" s="6"/>
      <c r="AA2588" s="6" t="s">
        <v>68</v>
      </c>
      <c r="AB2588" s="8"/>
      <c r="AC2588" s="27">
        <v>9785160187808</v>
      </c>
    </row>
    <row r="2589" spans="1:29" s="4" customFormat="1" ht="42" customHeight="1" x14ac:dyDescent="0.2">
      <c r="A2589" s="5">
        <v>0</v>
      </c>
      <c r="B2589" s="6" t="s">
        <v>15368</v>
      </c>
      <c r="C2589" s="7">
        <v>2196</v>
      </c>
      <c r="D2589" s="8" t="s">
        <v>15369</v>
      </c>
      <c r="E2589" s="8" t="s">
        <v>15370</v>
      </c>
      <c r="F2589" s="8" t="s">
        <v>3683</v>
      </c>
      <c r="G2589" s="6" t="s">
        <v>60</v>
      </c>
      <c r="H2589" s="6" t="s">
        <v>1644</v>
      </c>
      <c r="I2589" s="8"/>
      <c r="J2589" s="9">
        <v>1</v>
      </c>
      <c r="K2589" s="9">
        <v>392</v>
      </c>
      <c r="L2589" s="9">
        <v>2024</v>
      </c>
      <c r="M2589" s="8" t="s">
        <v>15371</v>
      </c>
      <c r="N2589" s="8" t="s">
        <v>37</v>
      </c>
      <c r="O2589" s="8" t="s">
        <v>233</v>
      </c>
      <c r="P2589" s="6" t="s">
        <v>51</v>
      </c>
      <c r="Q2589" s="8" t="s">
        <v>65</v>
      </c>
      <c r="R2589" s="10" t="s">
        <v>15372</v>
      </c>
      <c r="S2589" s="11"/>
      <c r="T2589" s="6"/>
      <c r="U2589" s="15" t="str">
        <f>HYPERLINK("https://media.infra-m.ru/2129/2129963/cover/2129963.jpg", "Обложка")</f>
        <v>Обложка</v>
      </c>
      <c r="V2589" s="8" t="s">
        <v>3686</v>
      </c>
      <c r="W2589" s="6"/>
      <c r="X2589" s="6"/>
      <c r="Y2589" s="6"/>
      <c r="Z2589" s="6"/>
      <c r="AA2589" s="6" t="s">
        <v>76</v>
      </c>
      <c r="AB2589" s="8"/>
      <c r="AC2589" s="27">
        <v>9785977605601</v>
      </c>
    </row>
    <row r="2590" spans="1:29" s="4" customFormat="1" ht="51.9" customHeight="1" x14ac:dyDescent="0.2">
      <c r="A2590" s="5">
        <v>0</v>
      </c>
      <c r="B2590" s="6" t="s">
        <v>15373</v>
      </c>
      <c r="C2590" s="7">
        <v>2220</v>
      </c>
      <c r="D2590" s="8" t="s">
        <v>15374</v>
      </c>
      <c r="E2590" s="8" t="s">
        <v>15375</v>
      </c>
      <c r="F2590" s="8" t="s">
        <v>7408</v>
      </c>
      <c r="G2590" s="6" t="s">
        <v>60</v>
      </c>
      <c r="H2590" s="6" t="s">
        <v>34</v>
      </c>
      <c r="I2590" s="8" t="s">
        <v>35</v>
      </c>
      <c r="J2590" s="9">
        <v>1</v>
      </c>
      <c r="K2590" s="9">
        <v>409</v>
      </c>
      <c r="L2590" s="9">
        <v>2022</v>
      </c>
      <c r="M2590" s="8" t="s">
        <v>15376</v>
      </c>
      <c r="N2590" s="8" t="s">
        <v>37</v>
      </c>
      <c r="O2590" s="8" t="s">
        <v>136</v>
      </c>
      <c r="P2590" s="6" t="s">
        <v>39</v>
      </c>
      <c r="Q2590" s="8" t="s">
        <v>40</v>
      </c>
      <c r="R2590" s="10" t="s">
        <v>15377</v>
      </c>
      <c r="S2590" s="11"/>
      <c r="T2590" s="6"/>
      <c r="U2590" s="15" t="str">
        <f>HYPERLINK("https://media.infra-m.ru/1867/1867634/cover/1867634.jpg", "Обложка")</f>
        <v>Обложка</v>
      </c>
      <c r="V2590" s="8" t="s">
        <v>3243</v>
      </c>
      <c r="W2590" s="6"/>
      <c r="X2590" s="6"/>
      <c r="Y2590" s="6"/>
      <c r="Z2590" s="6"/>
      <c r="AA2590" s="6" t="s">
        <v>148</v>
      </c>
      <c r="AB2590" s="8"/>
      <c r="AC2590" s="27">
        <v>9785160176871</v>
      </c>
    </row>
    <row r="2591" spans="1:29" s="4" customFormat="1" ht="42" customHeight="1" x14ac:dyDescent="0.2">
      <c r="A2591" s="5">
        <v>0</v>
      </c>
      <c r="B2591" s="6" t="s">
        <v>15378</v>
      </c>
      <c r="C2591" s="13">
        <v>888</v>
      </c>
      <c r="D2591" s="8" t="s">
        <v>15379</v>
      </c>
      <c r="E2591" s="8" t="s">
        <v>15380</v>
      </c>
      <c r="F2591" s="8" t="s">
        <v>3683</v>
      </c>
      <c r="G2591" s="6" t="s">
        <v>33</v>
      </c>
      <c r="H2591" s="6" t="s">
        <v>1644</v>
      </c>
      <c r="I2591" s="8" t="s">
        <v>4073</v>
      </c>
      <c r="J2591" s="9">
        <v>1</v>
      </c>
      <c r="K2591" s="9">
        <v>248</v>
      </c>
      <c r="L2591" s="9">
        <v>2019</v>
      </c>
      <c r="M2591" s="8" t="s">
        <v>15381</v>
      </c>
      <c r="N2591" s="8" t="s">
        <v>37</v>
      </c>
      <c r="O2591" s="8" t="s">
        <v>233</v>
      </c>
      <c r="P2591" s="6" t="s">
        <v>51</v>
      </c>
      <c r="Q2591" s="8" t="s">
        <v>500</v>
      </c>
      <c r="R2591" s="10" t="s">
        <v>1576</v>
      </c>
      <c r="S2591" s="11"/>
      <c r="T2591" s="6"/>
      <c r="U2591" s="15" t="str">
        <f>HYPERLINK("https://media.infra-m.ru/0989/0989779/cover/989779.jpg", "Обложка")</f>
        <v>Обложка</v>
      </c>
      <c r="V2591" s="8" t="s">
        <v>3686</v>
      </c>
      <c r="W2591" s="6"/>
      <c r="X2591" s="6"/>
      <c r="Y2591" s="6"/>
      <c r="Z2591" s="6"/>
      <c r="AA2591" s="6" t="s">
        <v>779</v>
      </c>
      <c r="AB2591" s="8"/>
      <c r="AC2591" s="27">
        <v>9785977604390</v>
      </c>
    </row>
    <row r="2592" spans="1:29" s="4" customFormat="1" ht="51.9" customHeight="1" x14ac:dyDescent="0.2">
      <c r="A2592" s="5">
        <v>0</v>
      </c>
      <c r="B2592" s="6" t="s">
        <v>15382</v>
      </c>
      <c r="C2592" s="7">
        <v>3072</v>
      </c>
      <c r="D2592" s="8" t="s">
        <v>15383</v>
      </c>
      <c r="E2592" s="8" t="s">
        <v>15384</v>
      </c>
      <c r="F2592" s="8" t="s">
        <v>15385</v>
      </c>
      <c r="G2592" s="6" t="s">
        <v>60</v>
      </c>
      <c r="H2592" s="6" t="s">
        <v>34</v>
      </c>
      <c r="I2592" s="8" t="s">
        <v>253</v>
      </c>
      <c r="J2592" s="9">
        <v>1</v>
      </c>
      <c r="K2592" s="9">
        <v>509</v>
      </c>
      <c r="L2592" s="9">
        <v>2024</v>
      </c>
      <c r="M2592" s="8" t="s">
        <v>15386</v>
      </c>
      <c r="N2592" s="8" t="s">
        <v>37</v>
      </c>
      <c r="O2592" s="8" t="s">
        <v>280</v>
      </c>
      <c r="P2592" s="6" t="s">
        <v>51</v>
      </c>
      <c r="Q2592" s="8" t="s">
        <v>65</v>
      </c>
      <c r="R2592" s="10" t="s">
        <v>15387</v>
      </c>
      <c r="S2592" s="11"/>
      <c r="T2592" s="6"/>
      <c r="U2592" s="15" t="str">
        <f>HYPERLINK("https://media.infra-m.ru/2135/2135817/cover/2135817.jpg", "Обложка")</f>
        <v>Обложка</v>
      </c>
      <c r="V2592" s="8" t="s">
        <v>12917</v>
      </c>
      <c r="W2592" s="6"/>
      <c r="X2592" s="6"/>
      <c r="Y2592" s="6"/>
      <c r="Z2592" s="6"/>
      <c r="AA2592" s="6" t="s">
        <v>106</v>
      </c>
      <c r="AB2592" s="8"/>
      <c r="AC2592" s="27">
        <v>9785160197449</v>
      </c>
    </row>
    <row r="2593" spans="1:29" s="4" customFormat="1" ht="51.9" customHeight="1" x14ac:dyDescent="0.2">
      <c r="A2593" s="5">
        <v>0</v>
      </c>
      <c r="B2593" s="6" t="s">
        <v>15388</v>
      </c>
      <c r="C2593" s="7">
        <v>1812</v>
      </c>
      <c r="D2593" s="8" t="s">
        <v>15389</v>
      </c>
      <c r="E2593" s="8" t="s">
        <v>15390</v>
      </c>
      <c r="F2593" s="8" t="s">
        <v>15391</v>
      </c>
      <c r="G2593" s="6" t="s">
        <v>118</v>
      </c>
      <c r="H2593" s="6" t="s">
        <v>48</v>
      </c>
      <c r="I2593" s="8" t="s">
        <v>271</v>
      </c>
      <c r="J2593" s="9">
        <v>1</v>
      </c>
      <c r="K2593" s="9">
        <v>336</v>
      </c>
      <c r="L2593" s="9">
        <v>2021</v>
      </c>
      <c r="M2593" s="8" t="s">
        <v>15392</v>
      </c>
      <c r="N2593" s="8" t="s">
        <v>37</v>
      </c>
      <c r="O2593" s="8" t="s">
        <v>233</v>
      </c>
      <c r="P2593" s="6" t="s">
        <v>51</v>
      </c>
      <c r="Q2593" s="8" t="s">
        <v>52</v>
      </c>
      <c r="R2593" s="10" t="s">
        <v>15387</v>
      </c>
      <c r="S2593" s="11" t="s">
        <v>15393</v>
      </c>
      <c r="T2593" s="6"/>
      <c r="U2593" s="15" t="str">
        <f>HYPERLINK("https://media.infra-m.ru/1950/1950288/cover/1950288.jpg", "Обложка")</f>
        <v>Обложка</v>
      </c>
      <c r="V2593" s="8" t="s">
        <v>12917</v>
      </c>
      <c r="W2593" s="6"/>
      <c r="X2593" s="6"/>
      <c r="Y2593" s="6"/>
      <c r="Z2593" s="6"/>
      <c r="AA2593" s="6" t="s">
        <v>779</v>
      </c>
      <c r="AB2593" s="8"/>
      <c r="AC2593" s="27">
        <v>9785000915813</v>
      </c>
    </row>
    <row r="2594" spans="1:29" s="4" customFormat="1" ht="51.9" customHeight="1" x14ac:dyDescent="0.2">
      <c r="A2594" s="5">
        <v>0</v>
      </c>
      <c r="B2594" s="6" t="s">
        <v>15394</v>
      </c>
      <c r="C2594" s="7">
        <v>1524</v>
      </c>
      <c r="D2594" s="8" t="s">
        <v>15395</v>
      </c>
      <c r="E2594" s="8" t="s">
        <v>15396</v>
      </c>
      <c r="F2594" s="8" t="s">
        <v>15391</v>
      </c>
      <c r="G2594" s="6" t="s">
        <v>118</v>
      </c>
      <c r="H2594" s="6" t="s">
        <v>34</v>
      </c>
      <c r="I2594" s="8" t="s">
        <v>271</v>
      </c>
      <c r="J2594" s="9">
        <v>1</v>
      </c>
      <c r="K2594" s="9">
        <v>352</v>
      </c>
      <c r="L2594" s="9">
        <v>2021</v>
      </c>
      <c r="M2594" s="8" t="s">
        <v>15397</v>
      </c>
      <c r="N2594" s="8" t="s">
        <v>37</v>
      </c>
      <c r="O2594" s="8" t="s">
        <v>233</v>
      </c>
      <c r="P2594" s="6" t="s">
        <v>51</v>
      </c>
      <c r="Q2594" s="8" t="s">
        <v>52</v>
      </c>
      <c r="R2594" s="10" t="s">
        <v>357</v>
      </c>
      <c r="S2594" s="11" t="s">
        <v>15398</v>
      </c>
      <c r="T2594" s="6"/>
      <c r="U2594" s="15" t="str">
        <f>HYPERLINK("https://media.infra-m.ru/1150/1150327/cover/1150327.jpg", "Обложка")</f>
        <v>Обложка</v>
      </c>
      <c r="V2594" s="8" t="s">
        <v>12917</v>
      </c>
      <c r="W2594" s="6"/>
      <c r="X2594" s="6"/>
      <c r="Y2594" s="6"/>
      <c r="Z2594" s="6"/>
      <c r="AA2594" s="6" t="s">
        <v>779</v>
      </c>
      <c r="AB2594" s="8"/>
      <c r="AC2594" s="27">
        <v>9785160164557</v>
      </c>
    </row>
    <row r="2595" spans="1:29" s="4" customFormat="1" ht="42" customHeight="1" x14ac:dyDescent="0.2">
      <c r="A2595" s="5">
        <v>0</v>
      </c>
      <c r="B2595" s="6" t="s">
        <v>15399</v>
      </c>
      <c r="C2595" s="7">
        <v>2736</v>
      </c>
      <c r="D2595" s="8" t="s">
        <v>15400</v>
      </c>
      <c r="E2595" s="8" t="s">
        <v>15401</v>
      </c>
      <c r="F2595" s="8" t="s">
        <v>15385</v>
      </c>
      <c r="G2595" s="6" t="s">
        <v>60</v>
      </c>
      <c r="H2595" s="6" t="s">
        <v>34</v>
      </c>
      <c r="I2595" s="8" t="s">
        <v>253</v>
      </c>
      <c r="J2595" s="9">
        <v>1</v>
      </c>
      <c r="K2595" s="9">
        <v>494</v>
      </c>
      <c r="L2595" s="9">
        <v>2024</v>
      </c>
      <c r="M2595" s="8" t="s">
        <v>15402</v>
      </c>
      <c r="N2595" s="8" t="s">
        <v>37</v>
      </c>
      <c r="O2595" s="8" t="s">
        <v>233</v>
      </c>
      <c r="P2595" s="6" t="s">
        <v>51</v>
      </c>
      <c r="Q2595" s="8" t="s">
        <v>52</v>
      </c>
      <c r="R2595" s="10" t="s">
        <v>357</v>
      </c>
      <c r="S2595" s="11"/>
      <c r="T2595" s="6"/>
      <c r="U2595" s="15" t="str">
        <f>HYPERLINK("https://media.infra-m.ru/1763/1763708/cover/1763708.jpg", "Обложка")</f>
        <v>Обложка</v>
      </c>
      <c r="V2595" s="8" t="s">
        <v>12917</v>
      </c>
      <c r="W2595" s="6"/>
      <c r="X2595" s="6"/>
      <c r="Y2595" s="6"/>
      <c r="Z2595" s="6"/>
      <c r="AA2595" s="6" t="s">
        <v>106</v>
      </c>
      <c r="AB2595" s="8"/>
      <c r="AC2595" s="27">
        <v>9785160171098</v>
      </c>
    </row>
    <row r="2596" spans="1:29" s="4" customFormat="1" ht="51.9" customHeight="1" x14ac:dyDescent="0.2">
      <c r="A2596" s="5">
        <v>0</v>
      </c>
      <c r="B2596" s="6" t="s">
        <v>15403</v>
      </c>
      <c r="C2596" s="7">
        <v>2056.8000000000002</v>
      </c>
      <c r="D2596" s="8" t="s">
        <v>15404</v>
      </c>
      <c r="E2596" s="8" t="s">
        <v>15405</v>
      </c>
      <c r="F2596" s="8" t="s">
        <v>15406</v>
      </c>
      <c r="G2596" s="6" t="s">
        <v>118</v>
      </c>
      <c r="H2596" s="6" t="s">
        <v>34</v>
      </c>
      <c r="I2596" s="8" t="s">
        <v>271</v>
      </c>
      <c r="J2596" s="9">
        <v>1</v>
      </c>
      <c r="K2596" s="9">
        <v>336</v>
      </c>
      <c r="L2596" s="9">
        <v>2025</v>
      </c>
      <c r="M2596" s="8" t="s">
        <v>15407</v>
      </c>
      <c r="N2596" s="8" t="s">
        <v>37</v>
      </c>
      <c r="O2596" s="8" t="s">
        <v>233</v>
      </c>
      <c r="P2596" s="6" t="s">
        <v>51</v>
      </c>
      <c r="Q2596" s="8" t="s">
        <v>52</v>
      </c>
      <c r="R2596" s="10" t="s">
        <v>2086</v>
      </c>
      <c r="S2596" s="11" t="s">
        <v>15408</v>
      </c>
      <c r="T2596" s="6" t="s">
        <v>97</v>
      </c>
      <c r="U2596" s="15" t="str">
        <f>HYPERLINK("https://media.infra-m.ru/2185/2185120/cover/2185120.jpg", "Обложка")</f>
        <v>Обложка</v>
      </c>
      <c r="V2596" s="8" t="s">
        <v>5964</v>
      </c>
      <c r="W2596" s="6"/>
      <c r="X2596" s="6"/>
      <c r="Y2596" s="6"/>
      <c r="Z2596" s="6"/>
      <c r="AA2596" s="6" t="s">
        <v>1007</v>
      </c>
      <c r="AB2596" s="8"/>
      <c r="AC2596" s="27">
        <v>9785160066172</v>
      </c>
    </row>
    <row r="2597" spans="1:29" s="4" customFormat="1" ht="51.9" customHeight="1" x14ac:dyDescent="0.2">
      <c r="A2597" s="5">
        <v>0</v>
      </c>
      <c r="B2597" s="6" t="s">
        <v>15409</v>
      </c>
      <c r="C2597" s="7">
        <v>1505.9</v>
      </c>
      <c r="D2597" s="8" t="s">
        <v>15410</v>
      </c>
      <c r="E2597" s="8" t="s">
        <v>15411</v>
      </c>
      <c r="F2597" s="8" t="s">
        <v>15412</v>
      </c>
      <c r="G2597" s="6" t="s">
        <v>33</v>
      </c>
      <c r="H2597" s="6" t="s">
        <v>48</v>
      </c>
      <c r="I2597" s="8" t="s">
        <v>271</v>
      </c>
      <c r="J2597" s="9">
        <v>1</v>
      </c>
      <c r="K2597" s="9">
        <v>368</v>
      </c>
      <c r="L2597" s="9">
        <v>2020</v>
      </c>
      <c r="M2597" s="8" t="s">
        <v>15413</v>
      </c>
      <c r="N2597" s="8" t="s">
        <v>37</v>
      </c>
      <c r="O2597" s="8" t="s">
        <v>233</v>
      </c>
      <c r="P2597" s="6" t="s">
        <v>51</v>
      </c>
      <c r="Q2597" s="8" t="s">
        <v>52</v>
      </c>
      <c r="R2597" s="10" t="s">
        <v>15414</v>
      </c>
      <c r="S2597" s="11" t="s">
        <v>15415</v>
      </c>
      <c r="T2597" s="6"/>
      <c r="U2597" s="15" t="str">
        <f>HYPERLINK("https://media.infra-m.ru/1088/1088342/cover/1088342.jpg", "Обложка")</f>
        <v>Обложка</v>
      </c>
      <c r="V2597" s="8" t="s">
        <v>247</v>
      </c>
      <c r="W2597" s="6"/>
      <c r="X2597" s="6"/>
      <c r="Y2597" s="6"/>
      <c r="Z2597" s="6"/>
      <c r="AA2597" s="6" t="s">
        <v>248</v>
      </c>
      <c r="AB2597" s="8"/>
      <c r="AC2597" s="27">
        <v>9785911348229</v>
      </c>
    </row>
    <row r="2598" spans="1:29" s="4" customFormat="1" ht="51.9" customHeight="1" x14ac:dyDescent="0.2">
      <c r="A2598" s="5">
        <v>0</v>
      </c>
      <c r="B2598" s="6" t="s">
        <v>15416</v>
      </c>
      <c r="C2598" s="7">
        <v>2296.8000000000002</v>
      </c>
      <c r="D2598" s="8" t="s">
        <v>15417</v>
      </c>
      <c r="E2598" s="8" t="s">
        <v>15418</v>
      </c>
      <c r="F2598" s="8" t="s">
        <v>15419</v>
      </c>
      <c r="G2598" s="6" t="s">
        <v>118</v>
      </c>
      <c r="H2598" s="6" t="s">
        <v>34</v>
      </c>
      <c r="I2598" s="8" t="s">
        <v>2025</v>
      </c>
      <c r="J2598" s="9">
        <v>1</v>
      </c>
      <c r="K2598" s="9">
        <v>368</v>
      </c>
      <c r="L2598" s="9">
        <v>2025</v>
      </c>
      <c r="M2598" s="8" t="s">
        <v>15420</v>
      </c>
      <c r="N2598" s="8" t="s">
        <v>37</v>
      </c>
      <c r="O2598" s="8" t="s">
        <v>233</v>
      </c>
      <c r="P2598" s="6" t="s">
        <v>51</v>
      </c>
      <c r="Q2598" s="8" t="s">
        <v>52</v>
      </c>
      <c r="R2598" s="10" t="s">
        <v>15414</v>
      </c>
      <c r="S2598" s="11" t="s">
        <v>15415</v>
      </c>
      <c r="T2598" s="6"/>
      <c r="U2598" s="15" t="str">
        <f>HYPERLINK("https://media.infra-m.ru/2165/2165166/cover/2165166.jpg", "Обложка")</f>
        <v>Обложка</v>
      </c>
      <c r="V2598" s="8" t="s">
        <v>247</v>
      </c>
      <c r="W2598" s="6"/>
      <c r="X2598" s="6"/>
      <c r="Y2598" s="6"/>
      <c r="Z2598" s="6"/>
      <c r="AA2598" s="6" t="s">
        <v>258</v>
      </c>
      <c r="AB2598" s="8"/>
      <c r="AC2598" s="27">
        <v>9785160163857</v>
      </c>
    </row>
    <row r="2599" spans="1:29" s="4" customFormat="1" ht="51.9" customHeight="1" x14ac:dyDescent="0.2">
      <c r="A2599" s="5">
        <v>0</v>
      </c>
      <c r="B2599" s="6" t="s">
        <v>15421</v>
      </c>
      <c r="C2599" s="7">
        <v>1536</v>
      </c>
      <c r="D2599" s="8" t="s">
        <v>15422</v>
      </c>
      <c r="E2599" s="8" t="s">
        <v>15418</v>
      </c>
      <c r="F2599" s="8" t="s">
        <v>15419</v>
      </c>
      <c r="G2599" s="6" t="s">
        <v>118</v>
      </c>
      <c r="H2599" s="6" t="s">
        <v>34</v>
      </c>
      <c r="I2599" s="8" t="s">
        <v>263</v>
      </c>
      <c r="J2599" s="9">
        <v>1</v>
      </c>
      <c r="K2599" s="9">
        <v>316</v>
      </c>
      <c r="L2599" s="9">
        <v>2021</v>
      </c>
      <c r="M2599" s="8" t="s">
        <v>15423</v>
      </c>
      <c r="N2599" s="8" t="s">
        <v>37</v>
      </c>
      <c r="O2599" s="8" t="s">
        <v>233</v>
      </c>
      <c r="P2599" s="6" t="s">
        <v>51</v>
      </c>
      <c r="Q2599" s="8" t="s">
        <v>265</v>
      </c>
      <c r="R2599" s="10" t="s">
        <v>2200</v>
      </c>
      <c r="S2599" s="11" t="s">
        <v>5413</v>
      </c>
      <c r="T2599" s="6"/>
      <c r="U2599" s="15" t="str">
        <f>HYPERLINK("https://media.infra-m.ru/1408/1408883/cover/1408883.jpg", "Обложка")</f>
        <v>Обложка</v>
      </c>
      <c r="V2599" s="8" t="s">
        <v>247</v>
      </c>
      <c r="W2599" s="6"/>
      <c r="X2599" s="6"/>
      <c r="Y2599" s="6"/>
      <c r="Z2599" s="6" t="s">
        <v>267</v>
      </c>
      <c r="AA2599" s="6" t="s">
        <v>258</v>
      </c>
      <c r="AB2599" s="8"/>
      <c r="AC2599" s="27">
        <v>9785160169620</v>
      </c>
    </row>
    <row r="2600" spans="1:29" s="4" customFormat="1" ht="51.9" customHeight="1" x14ac:dyDescent="0.2">
      <c r="A2600" s="5">
        <v>0</v>
      </c>
      <c r="B2600" s="6" t="s">
        <v>15424</v>
      </c>
      <c r="C2600" s="7">
        <v>1608</v>
      </c>
      <c r="D2600" s="8" t="s">
        <v>15425</v>
      </c>
      <c r="E2600" s="8" t="s">
        <v>15411</v>
      </c>
      <c r="F2600" s="8" t="s">
        <v>5183</v>
      </c>
      <c r="G2600" s="6" t="s">
        <v>118</v>
      </c>
      <c r="H2600" s="6" t="s">
        <v>34</v>
      </c>
      <c r="I2600" s="8" t="s">
        <v>263</v>
      </c>
      <c r="J2600" s="9">
        <v>1</v>
      </c>
      <c r="K2600" s="9">
        <v>352</v>
      </c>
      <c r="L2600" s="9">
        <v>2022</v>
      </c>
      <c r="M2600" s="8" t="s">
        <v>15426</v>
      </c>
      <c r="N2600" s="8" t="s">
        <v>37</v>
      </c>
      <c r="O2600" s="8" t="s">
        <v>233</v>
      </c>
      <c r="P2600" s="6" t="s">
        <v>51</v>
      </c>
      <c r="Q2600" s="8" t="s">
        <v>265</v>
      </c>
      <c r="R2600" s="10" t="s">
        <v>6627</v>
      </c>
      <c r="S2600" s="11" t="s">
        <v>15427</v>
      </c>
      <c r="T2600" s="6"/>
      <c r="U2600" s="15" t="str">
        <f>HYPERLINK("https://media.infra-m.ru/1864/1864058/cover/1864058.jpg", "Обложка")</f>
        <v>Обложка</v>
      </c>
      <c r="V2600" s="8" t="s">
        <v>247</v>
      </c>
      <c r="W2600" s="6"/>
      <c r="X2600" s="6"/>
      <c r="Y2600" s="6"/>
      <c r="Z2600" s="6" t="s">
        <v>267</v>
      </c>
      <c r="AA2600" s="6" t="s">
        <v>148</v>
      </c>
      <c r="AB2600" s="8"/>
      <c r="AC2600" s="27">
        <v>9785160176352</v>
      </c>
    </row>
    <row r="2601" spans="1:29" s="4" customFormat="1" ht="51.9" customHeight="1" x14ac:dyDescent="0.2">
      <c r="A2601" s="5">
        <v>0</v>
      </c>
      <c r="B2601" s="6" t="s">
        <v>15428</v>
      </c>
      <c r="C2601" s="7">
        <v>1936.8</v>
      </c>
      <c r="D2601" s="8" t="s">
        <v>15429</v>
      </c>
      <c r="E2601" s="8" t="s">
        <v>15411</v>
      </c>
      <c r="F2601" s="8" t="s">
        <v>5183</v>
      </c>
      <c r="G2601" s="6" t="s">
        <v>118</v>
      </c>
      <c r="H2601" s="6" t="s">
        <v>48</v>
      </c>
      <c r="I2601" s="8" t="s">
        <v>271</v>
      </c>
      <c r="J2601" s="9">
        <v>1</v>
      </c>
      <c r="K2601" s="9">
        <v>352</v>
      </c>
      <c r="L2601" s="9">
        <v>2024</v>
      </c>
      <c r="M2601" s="8" t="s">
        <v>15430</v>
      </c>
      <c r="N2601" s="8" t="s">
        <v>37</v>
      </c>
      <c r="O2601" s="8" t="s">
        <v>233</v>
      </c>
      <c r="P2601" s="6" t="s">
        <v>51</v>
      </c>
      <c r="Q2601" s="8" t="s">
        <v>52</v>
      </c>
      <c r="R2601" s="10" t="s">
        <v>15431</v>
      </c>
      <c r="S2601" s="11" t="s">
        <v>5186</v>
      </c>
      <c r="T2601" s="6"/>
      <c r="U2601" s="15" t="str">
        <f>HYPERLINK("https://media.infra-m.ru/2120/2120779/cover/2120779.jpg", "Обложка")</f>
        <v>Обложка</v>
      </c>
      <c r="V2601" s="8" t="s">
        <v>247</v>
      </c>
      <c r="W2601" s="6"/>
      <c r="X2601" s="6"/>
      <c r="Y2601" s="6"/>
      <c r="Z2601" s="6"/>
      <c r="AA2601" s="6" t="s">
        <v>779</v>
      </c>
      <c r="AB2601" s="8"/>
      <c r="AC2601" s="27">
        <v>9785000917367</v>
      </c>
    </row>
    <row r="2602" spans="1:29" s="4" customFormat="1" ht="51.9" customHeight="1" x14ac:dyDescent="0.2">
      <c r="A2602" s="5">
        <v>0</v>
      </c>
      <c r="B2602" s="6" t="s">
        <v>15432</v>
      </c>
      <c r="C2602" s="13">
        <v>792</v>
      </c>
      <c r="D2602" s="8" t="s">
        <v>15433</v>
      </c>
      <c r="E2602" s="8" t="s">
        <v>15434</v>
      </c>
      <c r="F2602" s="8" t="s">
        <v>15435</v>
      </c>
      <c r="G2602" s="6" t="s">
        <v>33</v>
      </c>
      <c r="H2602" s="6" t="s">
        <v>34</v>
      </c>
      <c r="I2602" s="8" t="s">
        <v>253</v>
      </c>
      <c r="J2602" s="9">
        <v>1</v>
      </c>
      <c r="K2602" s="9">
        <v>119</v>
      </c>
      <c r="L2602" s="9">
        <v>2026</v>
      </c>
      <c r="M2602" s="8" t="s">
        <v>15436</v>
      </c>
      <c r="N2602" s="8" t="s">
        <v>243</v>
      </c>
      <c r="O2602" s="8" t="s">
        <v>964</v>
      </c>
      <c r="P2602" s="6" t="s">
        <v>51</v>
      </c>
      <c r="Q2602" s="8" t="s">
        <v>377</v>
      </c>
      <c r="R2602" s="10" t="s">
        <v>15437</v>
      </c>
      <c r="S2602" s="11" t="s">
        <v>15438</v>
      </c>
      <c r="T2602" s="6"/>
      <c r="U2602" s="15" t="str">
        <f>HYPERLINK("https://media.infra-m.ru/2232/2232829/cover/2232829.jpg", "Обложка")</f>
        <v>Обложка</v>
      </c>
      <c r="V2602" s="8" t="s">
        <v>9592</v>
      </c>
      <c r="W2602" s="6"/>
      <c r="X2602" s="6"/>
      <c r="Y2602" s="6"/>
      <c r="Z2602" s="6"/>
      <c r="AA2602" s="6" t="s">
        <v>1256</v>
      </c>
      <c r="AB2602" s="8"/>
      <c r="AC2602" s="27">
        <v>9785160206882</v>
      </c>
    </row>
    <row r="2603" spans="1:29" s="4" customFormat="1" ht="51.9" customHeight="1" x14ac:dyDescent="0.2">
      <c r="A2603" s="5">
        <v>0</v>
      </c>
      <c r="B2603" s="6" t="s">
        <v>15439</v>
      </c>
      <c r="C2603" s="7">
        <v>2464.8000000000002</v>
      </c>
      <c r="D2603" s="8" t="s">
        <v>15440</v>
      </c>
      <c r="E2603" s="8" t="s">
        <v>15441</v>
      </c>
      <c r="F2603" s="8" t="s">
        <v>8631</v>
      </c>
      <c r="G2603" s="6" t="s">
        <v>60</v>
      </c>
      <c r="H2603" s="6" t="s">
        <v>48</v>
      </c>
      <c r="I2603" s="8" t="s">
        <v>271</v>
      </c>
      <c r="J2603" s="9">
        <v>8</v>
      </c>
      <c r="K2603" s="9">
        <v>304</v>
      </c>
      <c r="L2603" s="9">
        <v>2025</v>
      </c>
      <c r="M2603" s="8" t="s">
        <v>15442</v>
      </c>
      <c r="N2603" s="8" t="s">
        <v>63</v>
      </c>
      <c r="O2603" s="8" t="s">
        <v>181</v>
      </c>
      <c r="P2603" s="6" t="s">
        <v>51</v>
      </c>
      <c r="Q2603" s="8" t="s">
        <v>52</v>
      </c>
      <c r="R2603" s="10" t="s">
        <v>15443</v>
      </c>
      <c r="S2603" s="11"/>
      <c r="T2603" s="6"/>
      <c r="U2603" s="15" t="str">
        <f>HYPERLINK("https://media.infra-m.ru/2163/2163211/cover/2163211.jpg", "Обложка")</f>
        <v>Обложка</v>
      </c>
      <c r="V2603" s="8" t="s">
        <v>7509</v>
      </c>
      <c r="W2603" s="6"/>
      <c r="X2603" s="6"/>
      <c r="Y2603" s="6"/>
      <c r="Z2603" s="6"/>
      <c r="AA2603" s="6" t="s">
        <v>274</v>
      </c>
      <c r="AB2603" s="8"/>
      <c r="AC2603" s="27">
        <v>9785911349660</v>
      </c>
    </row>
    <row r="2604" spans="1:29" s="4" customFormat="1" ht="51.9" customHeight="1" x14ac:dyDescent="0.2">
      <c r="A2604" s="5">
        <v>0</v>
      </c>
      <c r="B2604" s="6" t="s">
        <v>15444</v>
      </c>
      <c r="C2604" s="7">
        <v>2606.4</v>
      </c>
      <c r="D2604" s="8" t="s">
        <v>15445</v>
      </c>
      <c r="E2604" s="8" t="s">
        <v>15441</v>
      </c>
      <c r="F2604" s="8" t="s">
        <v>8631</v>
      </c>
      <c r="G2604" s="6" t="s">
        <v>118</v>
      </c>
      <c r="H2604" s="6" t="s">
        <v>34</v>
      </c>
      <c r="I2604" s="8" t="s">
        <v>263</v>
      </c>
      <c r="J2604" s="9">
        <v>1</v>
      </c>
      <c r="K2604" s="9">
        <v>304</v>
      </c>
      <c r="L2604" s="9">
        <v>2026</v>
      </c>
      <c r="M2604" s="8" t="s">
        <v>15446</v>
      </c>
      <c r="N2604" s="8" t="s">
        <v>63</v>
      </c>
      <c r="O2604" s="8" t="s">
        <v>181</v>
      </c>
      <c r="P2604" s="6" t="s">
        <v>51</v>
      </c>
      <c r="Q2604" s="8" t="s">
        <v>265</v>
      </c>
      <c r="R2604" s="10" t="s">
        <v>15447</v>
      </c>
      <c r="S2604" s="11" t="s">
        <v>15448</v>
      </c>
      <c r="T2604" s="6"/>
      <c r="U2604" s="15" t="str">
        <f>HYPERLINK("https://media.infra-m.ru/2237/2237129/cover/2237129.jpg", "Обложка")</f>
        <v>Обложка</v>
      </c>
      <c r="V2604" s="8" t="s">
        <v>7509</v>
      </c>
      <c r="W2604" s="6"/>
      <c r="X2604" s="6"/>
      <c r="Y2604" s="6"/>
      <c r="Z2604" s="6" t="s">
        <v>267</v>
      </c>
      <c r="AA2604" s="6" t="s">
        <v>115</v>
      </c>
      <c r="AB2604" s="8"/>
      <c r="AC2604" s="27">
        <v>9785160217475</v>
      </c>
    </row>
    <row r="2605" spans="1:29" s="4" customFormat="1" ht="51.9" customHeight="1" x14ac:dyDescent="0.2">
      <c r="A2605" s="5">
        <v>0</v>
      </c>
      <c r="B2605" s="6" t="s">
        <v>15449</v>
      </c>
      <c r="C2605" s="7">
        <v>1176</v>
      </c>
      <c r="D2605" s="8" t="s">
        <v>15450</v>
      </c>
      <c r="E2605" s="8" t="s">
        <v>15451</v>
      </c>
      <c r="F2605" s="8" t="s">
        <v>13654</v>
      </c>
      <c r="G2605" s="6" t="s">
        <v>118</v>
      </c>
      <c r="H2605" s="6" t="s">
        <v>34</v>
      </c>
      <c r="I2605" s="8" t="s">
        <v>253</v>
      </c>
      <c r="J2605" s="9">
        <v>1</v>
      </c>
      <c r="K2605" s="9">
        <v>178</v>
      </c>
      <c r="L2605" s="9">
        <v>2026</v>
      </c>
      <c r="M2605" s="8" t="s">
        <v>15452</v>
      </c>
      <c r="N2605" s="8" t="s">
        <v>243</v>
      </c>
      <c r="O2605" s="8" t="s">
        <v>758</v>
      </c>
      <c r="P2605" s="6" t="s">
        <v>306</v>
      </c>
      <c r="Q2605" s="8" t="s">
        <v>52</v>
      </c>
      <c r="R2605" s="10" t="s">
        <v>15453</v>
      </c>
      <c r="S2605" s="11" t="s">
        <v>15454</v>
      </c>
      <c r="T2605" s="6"/>
      <c r="U2605" s="15" t="str">
        <f>HYPERLINK("https://media.infra-m.ru/2230/2230665/cover/2230665.jpg", "Обложка")</f>
        <v>Обложка</v>
      </c>
      <c r="V2605" s="8" t="s">
        <v>13658</v>
      </c>
      <c r="W2605" s="6"/>
      <c r="X2605" s="6"/>
      <c r="Y2605" s="6"/>
      <c r="Z2605" s="6"/>
      <c r="AA2605" s="6" t="s">
        <v>218</v>
      </c>
      <c r="AB2605" s="8"/>
      <c r="AC2605" s="27">
        <v>9785160202143</v>
      </c>
    </row>
    <row r="2606" spans="1:29" s="4" customFormat="1" ht="51.9" customHeight="1" x14ac:dyDescent="0.2">
      <c r="A2606" s="5">
        <v>0</v>
      </c>
      <c r="B2606" s="6" t="s">
        <v>15455</v>
      </c>
      <c r="C2606" s="7">
        <v>1200</v>
      </c>
      <c r="D2606" s="8" t="s">
        <v>15456</v>
      </c>
      <c r="E2606" s="8" t="s">
        <v>15451</v>
      </c>
      <c r="F2606" s="8" t="s">
        <v>13654</v>
      </c>
      <c r="G2606" s="6" t="s">
        <v>118</v>
      </c>
      <c r="H2606" s="6" t="s">
        <v>34</v>
      </c>
      <c r="I2606" s="8" t="s">
        <v>263</v>
      </c>
      <c r="J2606" s="9">
        <v>1</v>
      </c>
      <c r="K2606" s="9">
        <v>178</v>
      </c>
      <c r="L2606" s="9">
        <v>2026</v>
      </c>
      <c r="M2606" s="8" t="s">
        <v>15457</v>
      </c>
      <c r="N2606" s="8" t="s">
        <v>243</v>
      </c>
      <c r="O2606" s="8" t="s">
        <v>758</v>
      </c>
      <c r="P2606" s="6" t="s">
        <v>306</v>
      </c>
      <c r="Q2606" s="8" t="s">
        <v>265</v>
      </c>
      <c r="R2606" s="10" t="s">
        <v>15458</v>
      </c>
      <c r="S2606" s="11" t="s">
        <v>15459</v>
      </c>
      <c r="T2606" s="6"/>
      <c r="U2606" s="15" t="str">
        <f>HYPERLINK("https://media.infra-m.ru/2230/2230664/cover/2230664.jpg", "Обложка")</f>
        <v>Обложка</v>
      </c>
      <c r="V2606" s="8" t="s">
        <v>13658</v>
      </c>
      <c r="W2606" s="6"/>
      <c r="X2606" s="6"/>
      <c r="Y2606" s="6"/>
      <c r="Z2606" s="6" t="s">
        <v>267</v>
      </c>
      <c r="AA2606" s="6" t="s">
        <v>258</v>
      </c>
      <c r="AB2606" s="8"/>
      <c r="AC2606" s="27">
        <v>9785160168029</v>
      </c>
    </row>
    <row r="2607" spans="1:29" s="4" customFormat="1" ht="42" customHeight="1" x14ac:dyDescent="0.2">
      <c r="A2607" s="5">
        <v>0</v>
      </c>
      <c r="B2607" s="6" t="s">
        <v>15460</v>
      </c>
      <c r="C2607" s="13">
        <v>948</v>
      </c>
      <c r="D2607" s="8" t="s">
        <v>15461</v>
      </c>
      <c r="E2607" s="8" t="s">
        <v>15462</v>
      </c>
      <c r="F2607" s="8" t="s">
        <v>15463</v>
      </c>
      <c r="G2607" s="6" t="s">
        <v>60</v>
      </c>
      <c r="H2607" s="6" t="s">
        <v>34</v>
      </c>
      <c r="I2607" s="8" t="s">
        <v>1248</v>
      </c>
      <c r="J2607" s="9">
        <v>1</v>
      </c>
      <c r="K2607" s="9">
        <v>132</v>
      </c>
      <c r="L2607" s="9">
        <v>2025</v>
      </c>
      <c r="M2607" s="8" t="s">
        <v>15464</v>
      </c>
      <c r="N2607" s="8" t="s">
        <v>243</v>
      </c>
      <c r="O2607" s="8" t="s">
        <v>933</v>
      </c>
      <c r="P2607" s="6" t="s">
        <v>51</v>
      </c>
      <c r="Q2607" s="8" t="s">
        <v>65</v>
      </c>
      <c r="R2607" s="10" t="s">
        <v>15465</v>
      </c>
      <c r="S2607" s="11"/>
      <c r="T2607" s="6"/>
      <c r="U2607" s="15" t="str">
        <f>HYPERLINK("https://media.infra-m.ru/2162/2162072/cover/2162072.jpg", "Обложка")</f>
        <v>Обложка</v>
      </c>
      <c r="V2607" s="8" t="s">
        <v>1083</v>
      </c>
      <c r="W2607" s="6"/>
      <c r="X2607" s="6"/>
      <c r="Y2607" s="6"/>
      <c r="Z2607" s="6"/>
      <c r="AA2607" s="6" t="s">
        <v>68</v>
      </c>
      <c r="AB2607" s="8"/>
      <c r="AC2607" s="27">
        <v>9785160201757</v>
      </c>
    </row>
    <row r="2608" spans="1:29" s="4" customFormat="1" ht="51.9" customHeight="1" x14ac:dyDescent="0.2">
      <c r="A2608" s="5">
        <v>0</v>
      </c>
      <c r="B2608" s="6" t="s">
        <v>15466</v>
      </c>
      <c r="C2608" s="7">
        <v>2760</v>
      </c>
      <c r="D2608" s="8" t="s">
        <v>15467</v>
      </c>
      <c r="E2608" s="8" t="s">
        <v>15468</v>
      </c>
      <c r="F2608" s="8" t="s">
        <v>368</v>
      </c>
      <c r="G2608" s="6" t="s">
        <v>60</v>
      </c>
      <c r="H2608" s="6" t="s">
        <v>34</v>
      </c>
      <c r="I2608" s="8" t="s">
        <v>304</v>
      </c>
      <c r="J2608" s="9">
        <v>1</v>
      </c>
      <c r="K2608" s="9">
        <v>460</v>
      </c>
      <c r="L2608" s="9">
        <v>2024</v>
      </c>
      <c r="M2608" s="8" t="s">
        <v>15469</v>
      </c>
      <c r="N2608" s="8" t="s">
        <v>63</v>
      </c>
      <c r="O2608" s="8" t="s">
        <v>64</v>
      </c>
      <c r="P2608" s="6" t="s">
        <v>306</v>
      </c>
      <c r="Q2608" s="8" t="s">
        <v>65</v>
      </c>
      <c r="R2608" s="10" t="s">
        <v>12845</v>
      </c>
      <c r="S2608" s="11"/>
      <c r="T2608" s="6"/>
      <c r="U2608" s="15" t="str">
        <f>HYPERLINK("https://media.infra-m.ru/2160/2160769/cover/2160769.jpg", "Обложка")</f>
        <v>Обложка</v>
      </c>
      <c r="V2608" s="8" t="s">
        <v>247</v>
      </c>
      <c r="W2608" s="6"/>
      <c r="X2608" s="6"/>
      <c r="Y2608" s="6"/>
      <c r="Z2608" s="6"/>
      <c r="AA2608" s="6" t="s">
        <v>76</v>
      </c>
      <c r="AB2608" s="8"/>
      <c r="AC2608" s="27">
        <v>9785160187105</v>
      </c>
    </row>
    <row r="2609" spans="1:29" s="4" customFormat="1" ht="51.9" customHeight="1" x14ac:dyDescent="0.2">
      <c r="A2609" s="5">
        <v>0</v>
      </c>
      <c r="B2609" s="6" t="s">
        <v>15470</v>
      </c>
      <c r="C2609" s="7">
        <v>2788.8</v>
      </c>
      <c r="D2609" s="8" t="s">
        <v>15471</v>
      </c>
      <c r="E2609" s="8" t="s">
        <v>15472</v>
      </c>
      <c r="F2609" s="8" t="s">
        <v>15473</v>
      </c>
      <c r="G2609" s="6" t="s">
        <v>118</v>
      </c>
      <c r="H2609" s="6" t="s">
        <v>1042</v>
      </c>
      <c r="I2609" s="8" t="s">
        <v>263</v>
      </c>
      <c r="J2609" s="9">
        <v>1</v>
      </c>
      <c r="K2609" s="9">
        <v>400</v>
      </c>
      <c r="L2609" s="9">
        <v>2027</v>
      </c>
      <c r="M2609" s="8" t="s">
        <v>15474</v>
      </c>
      <c r="N2609" s="8" t="s">
        <v>243</v>
      </c>
      <c r="O2609" s="8" t="s">
        <v>244</v>
      </c>
      <c r="P2609" s="6" t="s">
        <v>51</v>
      </c>
      <c r="Q2609" s="8" t="s">
        <v>265</v>
      </c>
      <c r="R2609" s="10" t="s">
        <v>15475</v>
      </c>
      <c r="S2609" s="11" t="s">
        <v>15476</v>
      </c>
      <c r="T2609" s="6" t="s">
        <v>97</v>
      </c>
      <c r="U2609" s="15" t="str">
        <f>HYPERLINK("https://media.infra-m.ru/2271/2271495/cover/2271495.jpg", "Обложка")</f>
        <v>Обложка</v>
      </c>
      <c r="V2609" s="8" t="s">
        <v>15477</v>
      </c>
      <c r="W2609" s="6"/>
      <c r="X2609" s="6" t="s">
        <v>24</v>
      </c>
      <c r="Y2609" s="6"/>
      <c r="Z2609" s="6" t="s">
        <v>267</v>
      </c>
      <c r="AA2609" s="6" t="s">
        <v>86</v>
      </c>
      <c r="AB2609" s="8" t="s">
        <v>1418</v>
      </c>
      <c r="AC2609" s="27">
        <v>9785819907900</v>
      </c>
    </row>
    <row r="2610" spans="1:29" s="4" customFormat="1" ht="51.9" customHeight="1" x14ac:dyDescent="0.2">
      <c r="A2610" s="5">
        <v>0</v>
      </c>
      <c r="B2610" s="6" t="s">
        <v>15478</v>
      </c>
      <c r="C2610" s="7">
        <v>2496</v>
      </c>
      <c r="D2610" s="8" t="s">
        <v>15479</v>
      </c>
      <c r="E2610" s="8" t="s">
        <v>15472</v>
      </c>
      <c r="F2610" s="8" t="s">
        <v>15473</v>
      </c>
      <c r="G2610" s="6" t="s">
        <v>118</v>
      </c>
      <c r="H2610" s="6" t="s">
        <v>34</v>
      </c>
      <c r="I2610" s="8" t="s">
        <v>253</v>
      </c>
      <c r="J2610" s="9">
        <v>1</v>
      </c>
      <c r="K2610" s="9">
        <v>400</v>
      </c>
      <c r="L2610" s="9">
        <v>2026</v>
      </c>
      <c r="M2610" s="8" t="s">
        <v>15480</v>
      </c>
      <c r="N2610" s="8" t="s">
        <v>243</v>
      </c>
      <c r="O2610" s="8" t="s">
        <v>244</v>
      </c>
      <c r="P2610" s="6" t="s">
        <v>51</v>
      </c>
      <c r="Q2610" s="8" t="s">
        <v>52</v>
      </c>
      <c r="R2610" s="10" t="s">
        <v>15481</v>
      </c>
      <c r="S2610" s="11" t="s">
        <v>15482</v>
      </c>
      <c r="T2610" s="6" t="s">
        <v>97</v>
      </c>
      <c r="U2610" s="15" t="str">
        <f>HYPERLINK("https://media.infra-m.ru/2213/2213704/cover/2213704.jpg", "Обложка")</f>
        <v>Обложка</v>
      </c>
      <c r="V2610" s="8" t="s">
        <v>15477</v>
      </c>
      <c r="W2610" s="6"/>
      <c r="X2610" s="6"/>
      <c r="Y2610" s="6"/>
      <c r="Z2610" s="6"/>
      <c r="AA2610" s="6" t="s">
        <v>248</v>
      </c>
      <c r="AB2610" s="8"/>
      <c r="AC2610" s="27">
        <v>9785160210988</v>
      </c>
    </row>
    <row r="2611" spans="1:29" s="4" customFormat="1" ht="42" customHeight="1" x14ac:dyDescent="0.2">
      <c r="A2611" s="5">
        <v>0</v>
      </c>
      <c r="B2611" s="6" t="s">
        <v>15483</v>
      </c>
      <c r="C2611" s="7">
        <v>1920</v>
      </c>
      <c r="D2611" s="8" t="s">
        <v>15484</v>
      </c>
      <c r="E2611" s="8" t="s">
        <v>15485</v>
      </c>
      <c r="F2611" s="8" t="s">
        <v>9040</v>
      </c>
      <c r="G2611" s="6" t="s">
        <v>60</v>
      </c>
      <c r="H2611" s="6" t="s">
        <v>34</v>
      </c>
      <c r="I2611" s="8" t="s">
        <v>263</v>
      </c>
      <c r="J2611" s="9">
        <v>1</v>
      </c>
      <c r="K2611" s="9">
        <v>258</v>
      </c>
      <c r="L2611" s="9">
        <v>2026</v>
      </c>
      <c r="M2611" s="8" t="s">
        <v>15486</v>
      </c>
      <c r="N2611" s="8" t="s">
        <v>243</v>
      </c>
      <c r="O2611" s="8" t="s">
        <v>244</v>
      </c>
      <c r="P2611" s="6" t="s">
        <v>51</v>
      </c>
      <c r="Q2611" s="8" t="s">
        <v>265</v>
      </c>
      <c r="R2611" s="10" t="s">
        <v>15487</v>
      </c>
      <c r="S2611" s="11"/>
      <c r="T2611" s="6"/>
      <c r="U2611" s="15" t="str">
        <f>HYPERLINK("https://media.infra-m.ru/2180/2180075/cover/2180075.jpg", "Обложка")</f>
        <v>Обложка</v>
      </c>
      <c r="V2611" s="8" t="s">
        <v>227</v>
      </c>
      <c r="W2611" s="6" t="s">
        <v>342</v>
      </c>
      <c r="X2611" s="6"/>
      <c r="Y2611" s="6"/>
      <c r="Z2611" s="6"/>
      <c r="AA2611" s="6" t="s">
        <v>187</v>
      </c>
      <c r="AB2611" s="8"/>
      <c r="AC2611" s="27">
        <v>9785160205168</v>
      </c>
    </row>
    <row r="2612" spans="1:29" s="4" customFormat="1" ht="51.9" customHeight="1" x14ac:dyDescent="0.2">
      <c r="A2612" s="5">
        <v>0</v>
      </c>
      <c r="B2612" s="6" t="s">
        <v>15488</v>
      </c>
      <c r="C2612" s="7">
        <v>1409.9</v>
      </c>
      <c r="D2612" s="8" t="s">
        <v>15489</v>
      </c>
      <c r="E2612" s="8" t="s">
        <v>15490</v>
      </c>
      <c r="F2612" s="8" t="s">
        <v>15491</v>
      </c>
      <c r="G2612" s="6" t="s">
        <v>60</v>
      </c>
      <c r="H2612" s="6" t="s">
        <v>313</v>
      </c>
      <c r="I2612" s="8" t="s">
        <v>392</v>
      </c>
      <c r="J2612" s="9">
        <v>1</v>
      </c>
      <c r="K2612" s="9">
        <v>261</v>
      </c>
      <c r="L2612" s="9">
        <v>2023</v>
      </c>
      <c r="M2612" s="8" t="s">
        <v>15492</v>
      </c>
      <c r="N2612" s="8" t="s">
        <v>585</v>
      </c>
      <c r="O2612" s="8" t="s">
        <v>667</v>
      </c>
      <c r="P2612" s="6" t="s">
        <v>51</v>
      </c>
      <c r="Q2612" s="8" t="s">
        <v>52</v>
      </c>
      <c r="R2612" s="10" t="s">
        <v>15493</v>
      </c>
      <c r="S2612" s="11"/>
      <c r="T2612" s="6" t="s">
        <v>97</v>
      </c>
      <c r="U2612" s="15" t="str">
        <f>HYPERLINK("https://media.infra-m.ru/1062/1062008/cover/1062008.jpg", "Обложка")</f>
        <v>Обложка</v>
      </c>
      <c r="V2612" s="8" t="s">
        <v>761</v>
      </c>
      <c r="W2612" s="6"/>
      <c r="X2612" s="6"/>
      <c r="Y2612" s="6"/>
      <c r="Z2612" s="6"/>
      <c r="AA2612" s="6" t="s">
        <v>779</v>
      </c>
      <c r="AB2612" s="8"/>
      <c r="AC2612" s="27">
        <v>9785369014707</v>
      </c>
    </row>
    <row r="2613" spans="1:29" s="4" customFormat="1" ht="51.9" customHeight="1" x14ac:dyDescent="0.2">
      <c r="A2613" s="5">
        <v>0</v>
      </c>
      <c r="B2613" s="6" t="s">
        <v>15494</v>
      </c>
      <c r="C2613" s="7">
        <v>2692.8</v>
      </c>
      <c r="D2613" s="8" t="s">
        <v>15495</v>
      </c>
      <c r="E2613" s="8" t="s">
        <v>15496</v>
      </c>
      <c r="F2613" s="8" t="s">
        <v>15497</v>
      </c>
      <c r="G2613" s="6" t="s">
        <v>33</v>
      </c>
      <c r="H2613" s="6" t="s">
        <v>34</v>
      </c>
      <c r="I2613" s="8" t="s">
        <v>253</v>
      </c>
      <c r="J2613" s="9">
        <v>1</v>
      </c>
      <c r="K2613" s="9">
        <v>449</v>
      </c>
      <c r="L2613" s="9">
        <v>2025</v>
      </c>
      <c r="M2613" s="8" t="s">
        <v>15498</v>
      </c>
      <c r="N2613" s="8" t="s">
        <v>585</v>
      </c>
      <c r="O2613" s="8" t="s">
        <v>775</v>
      </c>
      <c r="P2613" s="6" t="s">
        <v>51</v>
      </c>
      <c r="Q2613" s="8" t="s">
        <v>65</v>
      </c>
      <c r="R2613" s="10" t="s">
        <v>15499</v>
      </c>
      <c r="S2613" s="11" t="s">
        <v>15500</v>
      </c>
      <c r="T2613" s="6"/>
      <c r="U2613" s="15" t="str">
        <f>HYPERLINK("https://media.infra-m.ru/2188/2188721/cover/2188721.jpg", "Обложка")</f>
        <v>Обложка</v>
      </c>
      <c r="V2613" s="8" t="s">
        <v>5951</v>
      </c>
      <c r="W2613" s="6"/>
      <c r="X2613" s="6"/>
      <c r="Y2613" s="6"/>
      <c r="Z2613" s="6"/>
      <c r="AA2613" s="6" t="s">
        <v>1015</v>
      </c>
      <c r="AB2613" s="8"/>
      <c r="AC2613" s="27">
        <v>9785160186153</v>
      </c>
    </row>
    <row r="2614" spans="1:29" s="4" customFormat="1" ht="51.9" customHeight="1" x14ac:dyDescent="0.2">
      <c r="A2614" s="5">
        <v>0</v>
      </c>
      <c r="B2614" s="6" t="s">
        <v>15501</v>
      </c>
      <c r="C2614" s="7">
        <v>2940</v>
      </c>
      <c r="D2614" s="8" t="s">
        <v>15502</v>
      </c>
      <c r="E2614" s="8" t="s">
        <v>15503</v>
      </c>
      <c r="F2614" s="8" t="s">
        <v>15504</v>
      </c>
      <c r="G2614" s="6" t="s">
        <v>60</v>
      </c>
      <c r="H2614" s="6" t="s">
        <v>34</v>
      </c>
      <c r="I2614" s="8" t="s">
        <v>253</v>
      </c>
      <c r="J2614" s="9">
        <v>1</v>
      </c>
      <c r="K2614" s="9">
        <v>470</v>
      </c>
      <c r="L2614" s="9">
        <v>2025</v>
      </c>
      <c r="M2614" s="8" t="s">
        <v>15505</v>
      </c>
      <c r="N2614" s="8" t="s">
        <v>243</v>
      </c>
      <c r="O2614" s="8" t="s">
        <v>385</v>
      </c>
      <c r="P2614" s="6" t="s">
        <v>51</v>
      </c>
      <c r="Q2614" s="8" t="s">
        <v>52</v>
      </c>
      <c r="R2614" s="10" t="s">
        <v>15506</v>
      </c>
      <c r="S2614" s="11" t="s">
        <v>15507</v>
      </c>
      <c r="T2614" s="6"/>
      <c r="U2614" s="15" t="str">
        <f>HYPERLINK("https://media.infra-m.ru/2210/2210893/cover/2210893.jpg", "Обложка")</f>
        <v>Обложка</v>
      </c>
      <c r="V2614" s="8" t="s">
        <v>15508</v>
      </c>
      <c r="W2614" s="6"/>
      <c r="X2614" s="6"/>
      <c r="Y2614" s="6"/>
      <c r="Z2614" s="6"/>
      <c r="AA2614" s="6" t="s">
        <v>7463</v>
      </c>
      <c r="AB2614" s="8"/>
      <c r="AC2614" s="27">
        <v>9785160210186</v>
      </c>
    </row>
    <row r="2615" spans="1:29" s="4" customFormat="1" ht="51.9" customHeight="1" x14ac:dyDescent="0.2">
      <c r="A2615" s="5">
        <v>0</v>
      </c>
      <c r="B2615" s="6" t="s">
        <v>15509</v>
      </c>
      <c r="C2615" s="13">
        <v>804</v>
      </c>
      <c r="D2615" s="8" t="s">
        <v>15510</v>
      </c>
      <c r="E2615" s="8" t="s">
        <v>15511</v>
      </c>
      <c r="F2615" s="8" t="s">
        <v>15512</v>
      </c>
      <c r="G2615" s="6" t="s">
        <v>118</v>
      </c>
      <c r="H2615" s="6" t="s">
        <v>34</v>
      </c>
      <c r="I2615" s="8" t="s">
        <v>504</v>
      </c>
      <c r="J2615" s="9">
        <v>1</v>
      </c>
      <c r="K2615" s="9">
        <v>128</v>
      </c>
      <c r="L2615" s="9">
        <v>2024</v>
      </c>
      <c r="M2615" s="8" t="s">
        <v>15513</v>
      </c>
      <c r="N2615" s="8" t="s">
        <v>243</v>
      </c>
      <c r="O2615" s="8" t="s">
        <v>244</v>
      </c>
      <c r="P2615" s="6" t="s">
        <v>51</v>
      </c>
      <c r="Q2615" s="8" t="s">
        <v>500</v>
      </c>
      <c r="R2615" s="10" t="s">
        <v>15514</v>
      </c>
      <c r="S2615" s="11" t="s">
        <v>15515</v>
      </c>
      <c r="T2615" s="6" t="s">
        <v>97</v>
      </c>
      <c r="U2615" s="15" t="str">
        <f>HYPERLINK("https://media.infra-m.ru/2145/2145135/cover/2145135.jpg", "Обложка")</f>
        <v>Обложка</v>
      </c>
      <c r="V2615" s="8" t="s">
        <v>761</v>
      </c>
      <c r="W2615" s="6"/>
      <c r="X2615" s="6"/>
      <c r="Y2615" s="6"/>
      <c r="Z2615" s="6"/>
      <c r="AA2615" s="6" t="s">
        <v>86</v>
      </c>
      <c r="AB2615" s="8"/>
      <c r="AC2615" s="27">
        <v>9785160142579</v>
      </c>
    </row>
    <row r="2616" spans="1:29" s="4" customFormat="1" ht="51.9" customHeight="1" x14ac:dyDescent="0.2">
      <c r="A2616" s="5">
        <v>0</v>
      </c>
      <c r="B2616" s="6" t="s">
        <v>15516</v>
      </c>
      <c r="C2616" s="7">
        <v>1016.4</v>
      </c>
      <c r="D2616" s="8" t="s">
        <v>15517</v>
      </c>
      <c r="E2616" s="8" t="s">
        <v>15518</v>
      </c>
      <c r="F2616" s="8" t="s">
        <v>15519</v>
      </c>
      <c r="G2616" s="6" t="s">
        <v>33</v>
      </c>
      <c r="H2616" s="6" t="s">
        <v>48</v>
      </c>
      <c r="I2616" s="8" t="s">
        <v>253</v>
      </c>
      <c r="J2616" s="9">
        <v>1</v>
      </c>
      <c r="K2616" s="9">
        <v>112</v>
      </c>
      <c r="L2616" s="9">
        <v>2027</v>
      </c>
      <c r="M2616" s="8" t="s">
        <v>15520</v>
      </c>
      <c r="N2616" s="8" t="s">
        <v>243</v>
      </c>
      <c r="O2616" s="8" t="s">
        <v>244</v>
      </c>
      <c r="P2616" s="6" t="s">
        <v>51</v>
      </c>
      <c r="Q2616" s="8" t="s">
        <v>52</v>
      </c>
      <c r="R2616" s="10" t="s">
        <v>15521</v>
      </c>
      <c r="S2616" s="11" t="s">
        <v>15522</v>
      </c>
      <c r="T2616" s="6"/>
      <c r="U2616" s="15" t="str">
        <f>HYPERLINK("https://media.infra-m.ru/2264/2264617/cover/2264617.jpg", "Обложка")</f>
        <v>Обложка</v>
      </c>
      <c r="V2616" s="8" t="s">
        <v>3898</v>
      </c>
      <c r="W2616" s="6"/>
      <c r="X2616" s="6"/>
      <c r="Y2616" s="6"/>
      <c r="Z2616" s="6"/>
      <c r="AA2616" s="6" t="s">
        <v>274</v>
      </c>
      <c r="AB2616" s="8"/>
      <c r="AC2616" s="27">
        <v>9785000918265</v>
      </c>
    </row>
    <row r="2617" spans="1:29" s="4" customFormat="1" ht="51.9" customHeight="1" x14ac:dyDescent="0.2">
      <c r="A2617" s="5">
        <v>0</v>
      </c>
      <c r="B2617" s="6" t="s">
        <v>15523</v>
      </c>
      <c r="C2617" s="7">
        <v>1744.8</v>
      </c>
      <c r="D2617" s="8" t="s">
        <v>15524</v>
      </c>
      <c r="E2617" s="8" t="s">
        <v>15525</v>
      </c>
      <c r="F2617" s="8" t="s">
        <v>15526</v>
      </c>
      <c r="G2617" s="6" t="s">
        <v>118</v>
      </c>
      <c r="H2617" s="6" t="s">
        <v>820</v>
      </c>
      <c r="I2617" s="8" t="s">
        <v>253</v>
      </c>
      <c r="J2617" s="9">
        <v>1</v>
      </c>
      <c r="K2617" s="9">
        <v>264</v>
      </c>
      <c r="L2617" s="9">
        <v>2026</v>
      </c>
      <c r="M2617" s="8" t="s">
        <v>15527</v>
      </c>
      <c r="N2617" s="8" t="s">
        <v>243</v>
      </c>
      <c r="O2617" s="8" t="s">
        <v>244</v>
      </c>
      <c r="P2617" s="6" t="s">
        <v>306</v>
      </c>
      <c r="Q2617" s="8" t="s">
        <v>52</v>
      </c>
      <c r="R2617" s="10" t="s">
        <v>15528</v>
      </c>
      <c r="S2617" s="11" t="s">
        <v>15529</v>
      </c>
      <c r="T2617" s="6"/>
      <c r="U2617" s="15" t="str">
        <f>HYPERLINK("https://media.infra-m.ru/2211/2211866/cover/2211866.jpg", "Обложка")</f>
        <v>Обложка</v>
      </c>
      <c r="V2617" s="8" t="s">
        <v>761</v>
      </c>
      <c r="W2617" s="6"/>
      <c r="X2617" s="6"/>
      <c r="Y2617" s="6"/>
      <c r="Z2617" s="6"/>
      <c r="AA2617" s="6" t="s">
        <v>99</v>
      </c>
      <c r="AB2617" s="8"/>
      <c r="AC2617" s="27">
        <v>9785906818799</v>
      </c>
    </row>
    <row r="2618" spans="1:29" s="4" customFormat="1" ht="51.9" customHeight="1" x14ac:dyDescent="0.2">
      <c r="A2618" s="5">
        <v>0</v>
      </c>
      <c r="B2618" s="6" t="s">
        <v>15530</v>
      </c>
      <c r="C2618" s="7">
        <v>1588.8</v>
      </c>
      <c r="D2618" s="8" t="s">
        <v>15531</v>
      </c>
      <c r="E2618" s="8" t="s">
        <v>15532</v>
      </c>
      <c r="F2618" s="8" t="s">
        <v>15533</v>
      </c>
      <c r="G2618" s="6" t="s">
        <v>60</v>
      </c>
      <c r="H2618" s="6" t="s">
        <v>34</v>
      </c>
      <c r="I2618" s="8" t="s">
        <v>271</v>
      </c>
      <c r="J2618" s="9">
        <v>1</v>
      </c>
      <c r="K2618" s="9">
        <v>240</v>
      </c>
      <c r="L2618" s="9">
        <v>2026</v>
      </c>
      <c r="M2618" s="8" t="s">
        <v>15534</v>
      </c>
      <c r="N2618" s="8" t="s">
        <v>243</v>
      </c>
      <c r="O2618" s="8" t="s">
        <v>244</v>
      </c>
      <c r="P2618" s="6" t="s">
        <v>51</v>
      </c>
      <c r="Q2618" s="8" t="s">
        <v>52</v>
      </c>
      <c r="R2618" s="10" t="s">
        <v>15535</v>
      </c>
      <c r="S2618" s="11" t="s">
        <v>15536</v>
      </c>
      <c r="T2618" s="6"/>
      <c r="U2618" s="15" t="str">
        <f>HYPERLINK("https://media.infra-m.ru/2243/2243212/cover/2243212.jpg", "Обложка")</f>
        <v>Обложка</v>
      </c>
      <c r="V2618" s="8" t="s">
        <v>1157</v>
      </c>
      <c r="W2618" s="6"/>
      <c r="X2618" s="6"/>
      <c r="Y2618" s="6"/>
      <c r="Z2618" s="6"/>
      <c r="AA2618" s="6" t="s">
        <v>274</v>
      </c>
      <c r="AB2618" s="8"/>
      <c r="AC2618" s="27">
        <v>9785160101910</v>
      </c>
    </row>
    <row r="2619" spans="1:29" s="4" customFormat="1" ht="42" customHeight="1" x14ac:dyDescent="0.2">
      <c r="A2619" s="5">
        <v>0</v>
      </c>
      <c r="B2619" s="6" t="s">
        <v>15537</v>
      </c>
      <c r="C2619" s="7">
        <v>1948.8</v>
      </c>
      <c r="D2619" s="8" t="s">
        <v>15538</v>
      </c>
      <c r="E2619" s="8" t="s">
        <v>15539</v>
      </c>
      <c r="F2619" s="8" t="s">
        <v>15540</v>
      </c>
      <c r="G2619" s="6" t="s">
        <v>60</v>
      </c>
      <c r="H2619" s="6" t="s">
        <v>34</v>
      </c>
      <c r="I2619" s="8" t="s">
        <v>253</v>
      </c>
      <c r="J2619" s="9">
        <v>1</v>
      </c>
      <c r="K2619" s="9">
        <v>295</v>
      </c>
      <c r="L2619" s="9">
        <v>2026</v>
      </c>
      <c r="M2619" s="8" t="s">
        <v>15541</v>
      </c>
      <c r="N2619" s="8" t="s">
        <v>585</v>
      </c>
      <c r="O2619" s="8" t="s">
        <v>667</v>
      </c>
      <c r="P2619" s="6" t="s">
        <v>51</v>
      </c>
      <c r="Q2619" s="8" t="s">
        <v>52</v>
      </c>
      <c r="R2619" s="10" t="s">
        <v>15542</v>
      </c>
      <c r="S2619" s="11"/>
      <c r="T2619" s="6"/>
      <c r="U2619" s="15" t="str">
        <f>HYPERLINK("https://media.infra-m.ru/2239/2239151/cover/2239151.jpg", "Обложка")</f>
        <v>Обложка</v>
      </c>
      <c r="V2619" s="8" t="s">
        <v>15543</v>
      </c>
      <c r="W2619" s="6"/>
      <c r="X2619" s="6"/>
      <c r="Y2619" s="6"/>
      <c r="Z2619" s="6"/>
      <c r="AA2619" s="6" t="s">
        <v>157</v>
      </c>
      <c r="AB2619" s="8"/>
      <c r="AC2619" s="27">
        <v>9785160181370</v>
      </c>
    </row>
    <row r="2620" spans="1:29" s="4" customFormat="1" ht="51.9" customHeight="1" x14ac:dyDescent="0.2">
      <c r="A2620" s="5">
        <v>0</v>
      </c>
      <c r="B2620" s="6" t="s">
        <v>15544</v>
      </c>
      <c r="C2620" s="7">
        <v>3168</v>
      </c>
      <c r="D2620" s="8" t="s">
        <v>15545</v>
      </c>
      <c r="E2620" s="8" t="s">
        <v>15546</v>
      </c>
      <c r="F2620" s="8" t="s">
        <v>15547</v>
      </c>
      <c r="G2620" s="6" t="s">
        <v>60</v>
      </c>
      <c r="H2620" s="6" t="s">
        <v>34</v>
      </c>
      <c r="I2620" s="8" t="s">
        <v>263</v>
      </c>
      <c r="J2620" s="9">
        <v>1</v>
      </c>
      <c r="K2620" s="9">
        <v>455</v>
      </c>
      <c r="L2620" s="9">
        <v>2027</v>
      </c>
      <c r="M2620" s="8" t="s">
        <v>15548</v>
      </c>
      <c r="N2620" s="8" t="s">
        <v>243</v>
      </c>
      <c r="O2620" s="8" t="s">
        <v>758</v>
      </c>
      <c r="P2620" s="6" t="s">
        <v>51</v>
      </c>
      <c r="Q2620" s="8" t="s">
        <v>265</v>
      </c>
      <c r="R2620" s="10" t="s">
        <v>15549</v>
      </c>
      <c r="S2620" s="11" t="s">
        <v>15550</v>
      </c>
      <c r="T2620" s="6" t="s">
        <v>97</v>
      </c>
      <c r="U2620" s="15" t="str">
        <f>HYPERLINK("https://media.infra-m.ru/2266/2266363/cover/2266363.jpg", "Обложка")</f>
        <v>Обложка</v>
      </c>
      <c r="V2620" s="8" t="s">
        <v>15551</v>
      </c>
      <c r="W2620" s="6"/>
      <c r="X2620" s="6"/>
      <c r="Y2620" s="6"/>
      <c r="Z2620" s="6"/>
      <c r="AA2620" s="6" t="s">
        <v>430</v>
      </c>
      <c r="AB2620" s="8"/>
      <c r="AC2620" s="27">
        <v>9785160157382</v>
      </c>
    </row>
    <row r="2621" spans="1:29" s="4" customFormat="1" ht="51.9" customHeight="1" x14ac:dyDescent="0.2">
      <c r="A2621" s="5">
        <v>0</v>
      </c>
      <c r="B2621" s="6" t="s">
        <v>15552</v>
      </c>
      <c r="C2621" s="7">
        <v>1320</v>
      </c>
      <c r="D2621" s="8" t="s">
        <v>15553</v>
      </c>
      <c r="E2621" s="8" t="s">
        <v>15554</v>
      </c>
      <c r="F2621" s="8" t="s">
        <v>15555</v>
      </c>
      <c r="G2621" s="6" t="s">
        <v>118</v>
      </c>
      <c r="H2621" s="6" t="s">
        <v>34</v>
      </c>
      <c r="I2621" s="8" t="s">
        <v>263</v>
      </c>
      <c r="J2621" s="9">
        <v>1</v>
      </c>
      <c r="K2621" s="9">
        <v>190</v>
      </c>
      <c r="L2621" s="9">
        <v>2026</v>
      </c>
      <c r="M2621" s="8" t="s">
        <v>15556</v>
      </c>
      <c r="N2621" s="8" t="s">
        <v>243</v>
      </c>
      <c r="O2621" s="8" t="s">
        <v>244</v>
      </c>
      <c r="P2621" s="6" t="s">
        <v>51</v>
      </c>
      <c r="Q2621" s="8" t="s">
        <v>265</v>
      </c>
      <c r="R2621" s="10" t="s">
        <v>15557</v>
      </c>
      <c r="S2621" s="11" t="s">
        <v>15558</v>
      </c>
      <c r="T2621" s="6"/>
      <c r="U2621" s="15" t="str">
        <f>HYPERLINK("https://media.infra-m.ru/2232/2232332/cover/2232332.jpg", "Обложка")</f>
        <v>Обложка</v>
      </c>
      <c r="V2621" s="8" t="s">
        <v>3337</v>
      </c>
      <c r="W2621" s="6"/>
      <c r="X2621" s="6"/>
      <c r="Y2621" s="6"/>
      <c r="Z2621" s="6"/>
      <c r="AA2621" s="6" t="s">
        <v>15559</v>
      </c>
      <c r="AB2621" s="8"/>
      <c r="AC2621" s="27">
        <v>9785160216096</v>
      </c>
    </row>
    <row r="2622" spans="1:29" s="4" customFormat="1" ht="51.9" customHeight="1" x14ac:dyDescent="0.2">
      <c r="A2622" s="5">
        <v>0</v>
      </c>
      <c r="B2622" s="6" t="s">
        <v>15560</v>
      </c>
      <c r="C2622" s="7">
        <v>2896.8</v>
      </c>
      <c r="D2622" s="8" t="s">
        <v>15561</v>
      </c>
      <c r="E2622" s="8" t="s">
        <v>15562</v>
      </c>
      <c r="F2622" s="8" t="s">
        <v>15563</v>
      </c>
      <c r="G2622" s="6" t="s">
        <v>60</v>
      </c>
      <c r="H2622" s="6" t="s">
        <v>48</v>
      </c>
      <c r="I2622" s="8" t="s">
        <v>263</v>
      </c>
      <c r="J2622" s="9">
        <v>1</v>
      </c>
      <c r="K2622" s="9">
        <v>464</v>
      </c>
      <c r="L2622" s="9">
        <v>2026</v>
      </c>
      <c r="M2622" s="8" t="s">
        <v>15564</v>
      </c>
      <c r="N2622" s="8" t="s">
        <v>243</v>
      </c>
      <c r="O2622" s="8" t="s">
        <v>244</v>
      </c>
      <c r="P2622" s="6" t="s">
        <v>51</v>
      </c>
      <c r="Q2622" s="8" t="s">
        <v>265</v>
      </c>
      <c r="R2622" s="10" t="s">
        <v>15565</v>
      </c>
      <c r="S2622" s="11" t="s">
        <v>15566</v>
      </c>
      <c r="T2622" s="6"/>
      <c r="U2622" s="15" t="str">
        <f>HYPERLINK("https://media.infra-m.ru/2216/2216058/cover/2216058.jpg", "Обложка")</f>
        <v>Обложка</v>
      </c>
      <c r="V2622" s="8" t="s">
        <v>3413</v>
      </c>
      <c r="W2622" s="6"/>
      <c r="X2622" s="6" t="s">
        <v>24</v>
      </c>
      <c r="Y2622" s="6"/>
      <c r="Z2622" s="6"/>
      <c r="AA2622" s="6" t="s">
        <v>2359</v>
      </c>
      <c r="AB2622" s="8"/>
      <c r="AC2622" s="27">
        <v>9785000914540</v>
      </c>
    </row>
    <row r="2623" spans="1:29" s="4" customFormat="1" ht="42" customHeight="1" x14ac:dyDescent="0.2">
      <c r="A2623" s="5">
        <v>0</v>
      </c>
      <c r="B2623" s="6" t="s">
        <v>15567</v>
      </c>
      <c r="C2623" s="7">
        <v>1560</v>
      </c>
      <c r="D2623" s="8" t="s">
        <v>15568</v>
      </c>
      <c r="E2623" s="8" t="s">
        <v>15569</v>
      </c>
      <c r="F2623" s="8" t="s">
        <v>15570</v>
      </c>
      <c r="G2623" s="6" t="s">
        <v>60</v>
      </c>
      <c r="H2623" s="6" t="s">
        <v>34</v>
      </c>
      <c r="I2623" s="8" t="s">
        <v>504</v>
      </c>
      <c r="J2623" s="9">
        <v>1</v>
      </c>
      <c r="K2623" s="9">
        <v>280</v>
      </c>
      <c r="L2623" s="9">
        <v>2023</v>
      </c>
      <c r="M2623" s="8" t="s">
        <v>15571</v>
      </c>
      <c r="N2623" s="8" t="s">
        <v>243</v>
      </c>
      <c r="O2623" s="8" t="s">
        <v>244</v>
      </c>
      <c r="P2623" s="6" t="s">
        <v>306</v>
      </c>
      <c r="Q2623" s="8" t="s">
        <v>500</v>
      </c>
      <c r="R2623" s="10" t="s">
        <v>1576</v>
      </c>
      <c r="S2623" s="11"/>
      <c r="T2623" s="6"/>
      <c r="U2623" s="15" t="str">
        <f>HYPERLINK("https://media.infra-m.ru/1860/1860651/cover/1860651.jpg", "Обложка")</f>
        <v>Обложка</v>
      </c>
      <c r="V2623" s="8" t="s">
        <v>1994</v>
      </c>
      <c r="W2623" s="6"/>
      <c r="X2623" s="6"/>
      <c r="Y2623" s="6"/>
      <c r="Z2623" s="6"/>
      <c r="AA2623" s="6" t="s">
        <v>157</v>
      </c>
      <c r="AB2623" s="8"/>
      <c r="AC2623" s="27">
        <v>9785160175393</v>
      </c>
    </row>
    <row r="2624" spans="1:29" s="4" customFormat="1" ht="42" customHeight="1" x14ac:dyDescent="0.2">
      <c r="A2624" s="5">
        <v>0</v>
      </c>
      <c r="B2624" s="6" t="s">
        <v>15572</v>
      </c>
      <c r="C2624" s="7">
        <v>1432.8</v>
      </c>
      <c r="D2624" s="8" t="s">
        <v>15573</v>
      </c>
      <c r="E2624" s="8" t="s">
        <v>15574</v>
      </c>
      <c r="F2624" s="8" t="s">
        <v>4386</v>
      </c>
      <c r="G2624" s="6" t="s">
        <v>33</v>
      </c>
      <c r="H2624" s="6" t="s">
        <v>48</v>
      </c>
      <c r="I2624" s="8"/>
      <c r="J2624" s="9">
        <v>1</v>
      </c>
      <c r="K2624" s="9">
        <v>176</v>
      </c>
      <c r="L2624" s="9">
        <v>2026</v>
      </c>
      <c r="M2624" s="8" t="s">
        <v>15575</v>
      </c>
      <c r="N2624" s="8" t="s">
        <v>243</v>
      </c>
      <c r="O2624" s="8" t="s">
        <v>244</v>
      </c>
      <c r="P2624" s="6" t="s">
        <v>51</v>
      </c>
      <c r="Q2624" s="8" t="s">
        <v>265</v>
      </c>
      <c r="R2624" s="10" t="s">
        <v>15576</v>
      </c>
      <c r="S2624" s="11"/>
      <c r="T2624" s="6"/>
      <c r="U2624" s="15" t="str">
        <f>HYPERLINK("https://media.infra-m.ru/2186/2186155/cover/2186155.jpg", "Обложка")</f>
        <v>Обложка</v>
      </c>
      <c r="V2624" s="8" t="s">
        <v>4389</v>
      </c>
      <c r="W2624" s="6"/>
      <c r="X2624" s="6"/>
      <c r="Y2624" s="6"/>
      <c r="Z2624" s="6"/>
      <c r="AA2624" s="6" t="s">
        <v>43</v>
      </c>
      <c r="AB2624" s="8"/>
      <c r="AC2624" s="27">
        <v>9785911346348</v>
      </c>
    </row>
    <row r="2625" spans="1:29" s="4" customFormat="1" ht="51.9" customHeight="1" x14ac:dyDescent="0.2">
      <c r="A2625" s="5">
        <v>0</v>
      </c>
      <c r="B2625" s="6" t="s">
        <v>15577</v>
      </c>
      <c r="C2625" s="7">
        <v>1536</v>
      </c>
      <c r="D2625" s="8" t="s">
        <v>15578</v>
      </c>
      <c r="E2625" s="8" t="s">
        <v>15579</v>
      </c>
      <c r="F2625" s="8" t="s">
        <v>15580</v>
      </c>
      <c r="G2625" s="6" t="s">
        <v>118</v>
      </c>
      <c r="H2625" s="6" t="s">
        <v>1042</v>
      </c>
      <c r="I2625" s="8" t="s">
        <v>253</v>
      </c>
      <c r="J2625" s="9">
        <v>1</v>
      </c>
      <c r="K2625" s="9">
        <v>336</v>
      </c>
      <c r="L2625" s="9">
        <v>2022</v>
      </c>
      <c r="M2625" s="8" t="s">
        <v>15581</v>
      </c>
      <c r="N2625" s="8" t="s">
        <v>243</v>
      </c>
      <c r="O2625" s="8" t="s">
        <v>244</v>
      </c>
      <c r="P2625" s="6" t="s">
        <v>51</v>
      </c>
      <c r="Q2625" s="8" t="s">
        <v>52</v>
      </c>
      <c r="R2625" s="10" t="s">
        <v>6146</v>
      </c>
      <c r="S2625" s="11" t="s">
        <v>15582</v>
      </c>
      <c r="T2625" s="6"/>
      <c r="U2625" s="15" t="str">
        <f>HYPERLINK("https://media.infra-m.ru/1832/1832412/cover/1832412.jpg", "Обложка")</f>
        <v>Обложка</v>
      </c>
      <c r="V2625" s="8" t="s">
        <v>1599</v>
      </c>
      <c r="W2625" s="6"/>
      <c r="X2625" s="6"/>
      <c r="Y2625" s="6"/>
      <c r="Z2625" s="6"/>
      <c r="AA2625" s="6" t="s">
        <v>1047</v>
      </c>
      <c r="AB2625" s="8"/>
      <c r="AC2625" s="27">
        <v>9785819909164</v>
      </c>
    </row>
    <row r="2626" spans="1:29" s="4" customFormat="1" ht="51.9" customHeight="1" x14ac:dyDescent="0.2">
      <c r="A2626" s="5">
        <v>0</v>
      </c>
      <c r="B2626" s="6" t="s">
        <v>15583</v>
      </c>
      <c r="C2626" s="13">
        <v>924</v>
      </c>
      <c r="D2626" s="8" t="s">
        <v>15584</v>
      </c>
      <c r="E2626" s="8" t="s">
        <v>15585</v>
      </c>
      <c r="F2626" s="8" t="s">
        <v>15586</v>
      </c>
      <c r="G2626" s="6" t="s">
        <v>33</v>
      </c>
      <c r="H2626" s="6" t="s">
        <v>34</v>
      </c>
      <c r="I2626" s="8"/>
      <c r="J2626" s="9">
        <v>1</v>
      </c>
      <c r="K2626" s="9">
        <v>136</v>
      </c>
      <c r="L2626" s="9">
        <v>2026</v>
      </c>
      <c r="M2626" s="8" t="s">
        <v>15587</v>
      </c>
      <c r="N2626" s="8" t="s">
        <v>243</v>
      </c>
      <c r="O2626" s="8" t="s">
        <v>964</v>
      </c>
      <c r="P2626" s="6" t="s">
        <v>51</v>
      </c>
      <c r="Q2626" s="8" t="s">
        <v>52</v>
      </c>
      <c r="R2626" s="10" t="s">
        <v>15588</v>
      </c>
      <c r="S2626" s="11"/>
      <c r="T2626" s="6"/>
      <c r="U2626" s="15" t="str">
        <f>HYPERLINK("https://media.infra-m.ru/2218/2218008/cover/2218008.jpg", "Обложка")</f>
        <v>Обложка</v>
      </c>
      <c r="V2626" s="8" t="s">
        <v>217</v>
      </c>
      <c r="W2626" s="6"/>
      <c r="X2626" s="6"/>
      <c r="Y2626" s="6"/>
      <c r="Z2626" s="6"/>
      <c r="AA2626" s="6" t="s">
        <v>99</v>
      </c>
      <c r="AB2626" s="8"/>
      <c r="AC2626" s="27">
        <v>9785160213286</v>
      </c>
    </row>
    <row r="2627" spans="1:29" s="4" customFormat="1" ht="51.9" customHeight="1" x14ac:dyDescent="0.2">
      <c r="A2627" s="5">
        <v>0</v>
      </c>
      <c r="B2627" s="6" t="s">
        <v>15589</v>
      </c>
      <c r="C2627" s="13">
        <v>444</v>
      </c>
      <c r="D2627" s="8" t="s">
        <v>15590</v>
      </c>
      <c r="E2627" s="8" t="s">
        <v>15585</v>
      </c>
      <c r="F2627" s="8" t="s">
        <v>15591</v>
      </c>
      <c r="G2627" s="6" t="s">
        <v>33</v>
      </c>
      <c r="H2627" s="6" t="s">
        <v>241</v>
      </c>
      <c r="I2627" s="8" t="s">
        <v>263</v>
      </c>
      <c r="J2627" s="14">
        <v>0</v>
      </c>
      <c r="K2627" s="9">
        <v>136</v>
      </c>
      <c r="L2627" s="9">
        <v>2019</v>
      </c>
      <c r="M2627" s="8" t="s">
        <v>15592</v>
      </c>
      <c r="N2627" s="8" t="s">
        <v>243</v>
      </c>
      <c r="O2627" s="8" t="s">
        <v>964</v>
      </c>
      <c r="P2627" s="6" t="s">
        <v>51</v>
      </c>
      <c r="Q2627" s="8" t="s">
        <v>265</v>
      </c>
      <c r="R2627" s="10" t="s">
        <v>15593</v>
      </c>
      <c r="S2627" s="11"/>
      <c r="T2627" s="6"/>
      <c r="U2627" s="15" t="str">
        <f>HYPERLINK("https://media.infra-m.ru/0961/0961484/cover/961484.jpg", "Обложка")</f>
        <v>Обложка</v>
      </c>
      <c r="V2627" s="8" t="s">
        <v>217</v>
      </c>
      <c r="W2627" s="6"/>
      <c r="X2627" s="6"/>
      <c r="Y2627" s="6"/>
      <c r="Z2627" s="6" t="s">
        <v>267</v>
      </c>
      <c r="AA2627" s="6" t="s">
        <v>115</v>
      </c>
      <c r="AB2627" s="8"/>
      <c r="AC2627" s="27">
        <v>9785955806235</v>
      </c>
    </row>
    <row r="2628" spans="1:29" s="4" customFormat="1" ht="42" customHeight="1" x14ac:dyDescent="0.2">
      <c r="A2628" s="5">
        <v>0</v>
      </c>
      <c r="B2628" s="6" t="s">
        <v>15594</v>
      </c>
      <c r="C2628" s="7">
        <v>1504.8</v>
      </c>
      <c r="D2628" s="8" t="s">
        <v>15595</v>
      </c>
      <c r="E2628" s="8" t="s">
        <v>15596</v>
      </c>
      <c r="F2628" s="8" t="s">
        <v>15597</v>
      </c>
      <c r="G2628" s="6" t="s">
        <v>60</v>
      </c>
      <c r="H2628" s="6" t="s">
        <v>134</v>
      </c>
      <c r="I2628" s="8"/>
      <c r="J2628" s="9">
        <v>1</v>
      </c>
      <c r="K2628" s="9">
        <v>240</v>
      </c>
      <c r="L2628" s="9">
        <v>2025</v>
      </c>
      <c r="M2628" s="8" t="s">
        <v>15598</v>
      </c>
      <c r="N2628" s="8" t="s">
        <v>37</v>
      </c>
      <c r="O2628" s="8" t="s">
        <v>136</v>
      </c>
      <c r="P2628" s="6" t="s">
        <v>39</v>
      </c>
      <c r="Q2628" s="8" t="s">
        <v>40</v>
      </c>
      <c r="R2628" s="10" t="s">
        <v>684</v>
      </c>
      <c r="S2628" s="11"/>
      <c r="T2628" s="6"/>
      <c r="U2628" s="15" t="str">
        <f>HYPERLINK("https://media.infra-m.ru/2161/2161458/cover/2161458.jpg", "Обложка")</f>
        <v>Обложка</v>
      </c>
      <c r="V2628" s="8" t="s">
        <v>809</v>
      </c>
      <c r="W2628" s="6"/>
      <c r="X2628" s="6"/>
      <c r="Y2628" s="6"/>
      <c r="Z2628" s="6"/>
      <c r="AA2628" s="6" t="s">
        <v>129</v>
      </c>
      <c r="AB2628" s="8"/>
      <c r="AC2628" s="27">
        <v>9785917681771</v>
      </c>
    </row>
    <row r="2629" spans="1:29" s="4" customFormat="1" ht="42" customHeight="1" x14ac:dyDescent="0.2">
      <c r="A2629" s="5">
        <v>0</v>
      </c>
      <c r="B2629" s="6" t="s">
        <v>15599</v>
      </c>
      <c r="C2629" s="7">
        <v>2640</v>
      </c>
      <c r="D2629" s="8" t="s">
        <v>15600</v>
      </c>
      <c r="E2629" s="8" t="s">
        <v>15601</v>
      </c>
      <c r="F2629" s="8" t="s">
        <v>15602</v>
      </c>
      <c r="G2629" s="6" t="s">
        <v>60</v>
      </c>
      <c r="H2629" s="6" t="s">
        <v>34</v>
      </c>
      <c r="I2629" s="8" t="s">
        <v>4459</v>
      </c>
      <c r="J2629" s="9">
        <v>1</v>
      </c>
      <c r="K2629" s="9">
        <v>437</v>
      </c>
      <c r="L2629" s="9">
        <v>2025</v>
      </c>
      <c r="M2629" s="8" t="s">
        <v>15603</v>
      </c>
      <c r="N2629" s="8" t="s">
        <v>243</v>
      </c>
      <c r="O2629" s="8" t="s">
        <v>933</v>
      </c>
      <c r="P2629" s="6" t="s">
        <v>234</v>
      </c>
      <c r="Q2629" s="8" t="s">
        <v>40</v>
      </c>
      <c r="R2629" s="10" t="s">
        <v>15604</v>
      </c>
      <c r="S2629" s="11"/>
      <c r="T2629" s="6" t="s">
        <v>97</v>
      </c>
      <c r="U2629" s="15" t="str">
        <f>HYPERLINK("https://media.infra-m.ru/2161/2161305/cover/2161305.jpg", "Обложка")</f>
        <v>Обложка</v>
      </c>
      <c r="V2629" s="8" t="s">
        <v>15605</v>
      </c>
      <c r="W2629" s="6"/>
      <c r="X2629" s="6"/>
      <c r="Y2629" s="6"/>
      <c r="Z2629" s="6"/>
      <c r="AA2629" s="6" t="s">
        <v>917</v>
      </c>
      <c r="AB2629" s="8"/>
      <c r="AC2629" s="27">
        <v>9785160201474</v>
      </c>
    </row>
    <row r="2630" spans="1:29" s="4" customFormat="1" ht="42" customHeight="1" x14ac:dyDescent="0.2">
      <c r="A2630" s="5">
        <v>0</v>
      </c>
      <c r="B2630" s="6" t="s">
        <v>15606</v>
      </c>
      <c r="C2630" s="7">
        <v>1608</v>
      </c>
      <c r="D2630" s="8" t="s">
        <v>15607</v>
      </c>
      <c r="E2630" s="8" t="s">
        <v>15608</v>
      </c>
      <c r="F2630" s="8" t="s">
        <v>15602</v>
      </c>
      <c r="G2630" s="6" t="s">
        <v>33</v>
      </c>
      <c r="H2630" s="6" t="s">
        <v>34</v>
      </c>
      <c r="I2630" s="8" t="s">
        <v>4459</v>
      </c>
      <c r="J2630" s="9">
        <v>1</v>
      </c>
      <c r="K2630" s="9">
        <v>285</v>
      </c>
      <c r="L2630" s="9">
        <v>2024</v>
      </c>
      <c r="M2630" s="8" t="s">
        <v>15609</v>
      </c>
      <c r="N2630" s="8" t="s">
        <v>243</v>
      </c>
      <c r="O2630" s="8" t="s">
        <v>933</v>
      </c>
      <c r="P2630" s="6" t="s">
        <v>234</v>
      </c>
      <c r="Q2630" s="8" t="s">
        <v>40</v>
      </c>
      <c r="R2630" s="10" t="s">
        <v>15604</v>
      </c>
      <c r="S2630" s="11"/>
      <c r="T2630" s="6" t="s">
        <v>97</v>
      </c>
      <c r="U2630" s="15" t="str">
        <f>HYPERLINK("https://media.infra-m.ru/2136/2136566/cover/2136566.jpg", "Обложка")</f>
        <v>Обложка</v>
      </c>
      <c r="V2630" s="8" t="s">
        <v>15605</v>
      </c>
      <c r="W2630" s="6"/>
      <c r="X2630" s="6"/>
      <c r="Y2630" s="6"/>
      <c r="Z2630" s="6"/>
      <c r="AA2630" s="6" t="s">
        <v>779</v>
      </c>
      <c r="AB2630" s="8"/>
      <c r="AC2630" s="27">
        <v>9785160094373</v>
      </c>
    </row>
    <row r="2631" spans="1:29" s="4" customFormat="1" ht="33" customHeight="1" x14ac:dyDescent="0.2">
      <c r="A2631" s="5">
        <v>0</v>
      </c>
      <c r="B2631" s="6" t="s">
        <v>15610</v>
      </c>
      <c r="C2631" s="13">
        <v>287.89999999999998</v>
      </c>
      <c r="D2631" s="8" t="s">
        <v>15611</v>
      </c>
      <c r="E2631" s="8" t="s">
        <v>15612</v>
      </c>
      <c r="F2631" s="8" t="s">
        <v>15613</v>
      </c>
      <c r="G2631" s="6" t="s">
        <v>60</v>
      </c>
      <c r="H2631" s="6" t="s">
        <v>134</v>
      </c>
      <c r="I2631" s="8"/>
      <c r="J2631" s="9">
        <v>1</v>
      </c>
      <c r="K2631" s="9">
        <v>144</v>
      </c>
      <c r="L2631" s="9">
        <v>2017</v>
      </c>
      <c r="M2631" s="8" t="s">
        <v>15614</v>
      </c>
      <c r="N2631" s="8" t="s">
        <v>37</v>
      </c>
      <c r="O2631" s="8" t="s">
        <v>136</v>
      </c>
      <c r="P2631" s="6" t="s">
        <v>1837</v>
      </c>
      <c r="Q2631" s="8" t="s">
        <v>40</v>
      </c>
      <c r="R2631" s="10" t="s">
        <v>1625</v>
      </c>
      <c r="S2631" s="11"/>
      <c r="T2631" s="6"/>
      <c r="U2631" s="12"/>
      <c r="V2631" s="8" t="s">
        <v>9614</v>
      </c>
      <c r="W2631" s="6"/>
      <c r="X2631" s="6"/>
      <c r="Y2631" s="6"/>
      <c r="Z2631" s="6"/>
      <c r="AA2631" s="6" t="s">
        <v>99</v>
      </c>
      <c r="AB2631" s="8"/>
      <c r="AC2631" s="27">
        <v>9785917688756</v>
      </c>
    </row>
    <row r="2632" spans="1:29" s="4" customFormat="1" ht="42" customHeight="1" x14ac:dyDescent="0.2">
      <c r="A2632" s="5">
        <v>0</v>
      </c>
      <c r="B2632" s="6" t="s">
        <v>15615</v>
      </c>
      <c r="C2632" s="13">
        <v>876</v>
      </c>
      <c r="D2632" s="8" t="s">
        <v>15616</v>
      </c>
      <c r="E2632" s="8" t="s">
        <v>15612</v>
      </c>
      <c r="F2632" s="8" t="s">
        <v>15613</v>
      </c>
      <c r="G2632" s="6" t="s">
        <v>33</v>
      </c>
      <c r="H2632" s="6" t="s">
        <v>134</v>
      </c>
      <c r="I2632" s="8"/>
      <c r="J2632" s="9">
        <v>1</v>
      </c>
      <c r="K2632" s="9">
        <v>144</v>
      </c>
      <c r="L2632" s="9">
        <v>2024</v>
      </c>
      <c r="M2632" s="8" t="s">
        <v>15614</v>
      </c>
      <c r="N2632" s="8" t="s">
        <v>37</v>
      </c>
      <c r="O2632" s="8" t="s">
        <v>136</v>
      </c>
      <c r="P2632" s="6" t="s">
        <v>1837</v>
      </c>
      <c r="Q2632" s="8" t="s">
        <v>40</v>
      </c>
      <c r="R2632" s="10" t="s">
        <v>1625</v>
      </c>
      <c r="S2632" s="11"/>
      <c r="T2632" s="6"/>
      <c r="U2632" s="15" t="str">
        <f>HYPERLINK("https://media.infra-m.ru/1938/1938073/cover/1938073.jpg", "Обложка")</f>
        <v>Обложка</v>
      </c>
      <c r="V2632" s="8" t="s">
        <v>9614</v>
      </c>
      <c r="W2632" s="6"/>
      <c r="X2632" s="6"/>
      <c r="Y2632" s="6"/>
      <c r="Z2632" s="6"/>
      <c r="AA2632" s="6" t="s">
        <v>99</v>
      </c>
      <c r="AB2632" s="8"/>
      <c r="AC2632" s="27">
        <v>9785917688756</v>
      </c>
    </row>
    <row r="2633" spans="1:29" s="4" customFormat="1" ht="51.9" customHeight="1" x14ac:dyDescent="0.2">
      <c r="A2633" s="5">
        <v>0</v>
      </c>
      <c r="B2633" s="6" t="s">
        <v>15617</v>
      </c>
      <c r="C2633" s="7">
        <v>2248.8000000000002</v>
      </c>
      <c r="D2633" s="8" t="s">
        <v>15618</v>
      </c>
      <c r="E2633" s="8" t="s">
        <v>15619</v>
      </c>
      <c r="F2633" s="8" t="s">
        <v>6433</v>
      </c>
      <c r="G2633" s="6" t="s">
        <v>33</v>
      </c>
      <c r="H2633" s="6" t="s">
        <v>34</v>
      </c>
      <c r="I2633" s="8" t="s">
        <v>35</v>
      </c>
      <c r="J2633" s="9">
        <v>1</v>
      </c>
      <c r="K2633" s="9">
        <v>324</v>
      </c>
      <c r="L2633" s="9">
        <v>2026</v>
      </c>
      <c r="M2633" s="8" t="s">
        <v>15620</v>
      </c>
      <c r="N2633" s="8" t="s">
        <v>37</v>
      </c>
      <c r="O2633" s="8" t="s">
        <v>499</v>
      </c>
      <c r="P2633" s="6" t="s">
        <v>39</v>
      </c>
      <c r="Q2633" s="8" t="s">
        <v>40</v>
      </c>
      <c r="R2633" s="10" t="s">
        <v>15621</v>
      </c>
      <c r="S2633" s="11"/>
      <c r="T2633" s="6"/>
      <c r="U2633" s="15" t="str">
        <f>HYPERLINK("https://media.infra-m.ru/2261/2261246/cover/2261246.jpg", "Обложка")</f>
        <v>Обложка</v>
      </c>
      <c r="V2633" s="8" t="s">
        <v>6436</v>
      </c>
      <c r="W2633" s="6"/>
      <c r="X2633" s="6"/>
      <c r="Y2633" s="6"/>
      <c r="Z2633" s="6"/>
      <c r="AA2633" s="6" t="s">
        <v>1256</v>
      </c>
      <c r="AB2633" s="8"/>
      <c r="AC2633" s="27">
        <v>9785160159126</v>
      </c>
    </row>
    <row r="2634" spans="1:29" s="4" customFormat="1" ht="51.9" customHeight="1" x14ac:dyDescent="0.2">
      <c r="A2634" s="5">
        <v>0</v>
      </c>
      <c r="B2634" s="6" t="s">
        <v>15622</v>
      </c>
      <c r="C2634" s="7">
        <v>1572</v>
      </c>
      <c r="D2634" s="8" t="s">
        <v>15623</v>
      </c>
      <c r="E2634" s="8" t="s">
        <v>15624</v>
      </c>
      <c r="F2634" s="8" t="s">
        <v>15625</v>
      </c>
      <c r="G2634" s="6" t="s">
        <v>33</v>
      </c>
      <c r="H2634" s="6" t="s">
        <v>34</v>
      </c>
      <c r="I2634" s="8" t="s">
        <v>35</v>
      </c>
      <c r="J2634" s="9">
        <v>1</v>
      </c>
      <c r="K2634" s="9">
        <v>261</v>
      </c>
      <c r="L2634" s="9">
        <v>2025</v>
      </c>
      <c r="M2634" s="8" t="s">
        <v>15626</v>
      </c>
      <c r="N2634" s="8" t="s">
        <v>37</v>
      </c>
      <c r="O2634" s="8" t="s">
        <v>233</v>
      </c>
      <c r="P2634" s="6" t="s">
        <v>39</v>
      </c>
      <c r="Q2634" s="8" t="s">
        <v>40</v>
      </c>
      <c r="R2634" s="10" t="s">
        <v>15627</v>
      </c>
      <c r="S2634" s="11"/>
      <c r="T2634" s="6"/>
      <c r="U2634" s="15" t="str">
        <f>HYPERLINK("https://media.infra-m.ru/2172/2172574/cover/2172574.jpg", "Обложка")</f>
        <v>Обложка</v>
      </c>
      <c r="V2634" s="8" t="s">
        <v>3196</v>
      </c>
      <c r="W2634" s="6"/>
      <c r="X2634" s="6"/>
      <c r="Y2634" s="6"/>
      <c r="Z2634" s="6"/>
      <c r="AA2634" s="6" t="s">
        <v>55</v>
      </c>
      <c r="AB2634" s="8"/>
      <c r="AC2634" s="27">
        <v>9785160068244</v>
      </c>
    </row>
    <row r="2635" spans="1:29" s="4" customFormat="1" ht="51.9" customHeight="1" x14ac:dyDescent="0.2">
      <c r="A2635" s="5">
        <v>0</v>
      </c>
      <c r="B2635" s="6" t="s">
        <v>15628</v>
      </c>
      <c r="C2635" s="7">
        <v>1612.8</v>
      </c>
      <c r="D2635" s="8" t="s">
        <v>15629</v>
      </c>
      <c r="E2635" s="8" t="s">
        <v>15630</v>
      </c>
      <c r="F2635" s="8" t="s">
        <v>15631</v>
      </c>
      <c r="G2635" s="6" t="s">
        <v>118</v>
      </c>
      <c r="H2635" s="6" t="s">
        <v>34</v>
      </c>
      <c r="I2635" s="8" t="s">
        <v>35</v>
      </c>
      <c r="J2635" s="9">
        <v>1</v>
      </c>
      <c r="K2635" s="9">
        <v>292</v>
      </c>
      <c r="L2635" s="9">
        <v>2024</v>
      </c>
      <c r="M2635" s="8" t="s">
        <v>15632</v>
      </c>
      <c r="N2635" s="8" t="s">
        <v>37</v>
      </c>
      <c r="O2635" s="8" t="s">
        <v>280</v>
      </c>
      <c r="P2635" s="6" t="s">
        <v>39</v>
      </c>
      <c r="Q2635" s="8" t="s">
        <v>40</v>
      </c>
      <c r="R2635" s="10" t="s">
        <v>15633</v>
      </c>
      <c r="S2635" s="11"/>
      <c r="T2635" s="6"/>
      <c r="U2635" s="15" t="str">
        <f>HYPERLINK("https://media.infra-m.ru/2091/2091919/cover/2091919.jpg", "Обложка")</f>
        <v>Обложка</v>
      </c>
      <c r="V2635" s="8" t="s">
        <v>3196</v>
      </c>
      <c r="W2635" s="6"/>
      <c r="X2635" s="6"/>
      <c r="Y2635" s="6"/>
      <c r="Z2635" s="6"/>
      <c r="AA2635" s="6" t="s">
        <v>360</v>
      </c>
      <c r="AB2635" s="8"/>
      <c r="AC2635" s="27">
        <v>9785160117706</v>
      </c>
    </row>
    <row r="2636" spans="1:29" s="4" customFormat="1" ht="42" customHeight="1" x14ac:dyDescent="0.2">
      <c r="A2636" s="5">
        <v>0</v>
      </c>
      <c r="B2636" s="6" t="s">
        <v>15634</v>
      </c>
      <c r="C2636" s="7">
        <v>1308</v>
      </c>
      <c r="D2636" s="8" t="s">
        <v>15635</v>
      </c>
      <c r="E2636" s="8" t="s">
        <v>15636</v>
      </c>
      <c r="F2636" s="8" t="s">
        <v>15637</v>
      </c>
      <c r="G2636" s="6" t="s">
        <v>33</v>
      </c>
      <c r="H2636" s="6" t="s">
        <v>34</v>
      </c>
      <c r="I2636" s="8" t="s">
        <v>35</v>
      </c>
      <c r="J2636" s="9">
        <v>1</v>
      </c>
      <c r="K2636" s="9">
        <v>232</v>
      </c>
      <c r="L2636" s="9">
        <v>2024</v>
      </c>
      <c r="M2636" s="8" t="s">
        <v>15638</v>
      </c>
      <c r="N2636" s="8" t="s">
        <v>37</v>
      </c>
      <c r="O2636" s="8" t="s">
        <v>233</v>
      </c>
      <c r="P2636" s="6" t="s">
        <v>39</v>
      </c>
      <c r="Q2636" s="8" t="s">
        <v>40</v>
      </c>
      <c r="R2636" s="10" t="s">
        <v>3832</v>
      </c>
      <c r="S2636" s="11"/>
      <c r="T2636" s="6"/>
      <c r="U2636" s="15" t="str">
        <f>HYPERLINK("https://media.infra-m.ru/2151/2151393/cover/2151393.jpg", "Обложка")</f>
        <v>Обложка</v>
      </c>
      <c r="V2636" s="8" t="s">
        <v>15639</v>
      </c>
      <c r="W2636" s="6"/>
      <c r="X2636" s="6"/>
      <c r="Y2636" s="6"/>
      <c r="Z2636" s="6"/>
      <c r="AA2636" s="6" t="s">
        <v>115</v>
      </c>
      <c r="AB2636" s="8"/>
      <c r="AC2636" s="27">
        <v>9785160151489</v>
      </c>
    </row>
    <row r="2637" spans="1:29" s="4" customFormat="1" ht="51.9" customHeight="1" x14ac:dyDescent="0.2">
      <c r="A2637" s="5">
        <v>0</v>
      </c>
      <c r="B2637" s="6" t="s">
        <v>15640</v>
      </c>
      <c r="C2637" s="13">
        <v>928.8</v>
      </c>
      <c r="D2637" s="8" t="s">
        <v>15641</v>
      </c>
      <c r="E2637" s="8" t="s">
        <v>15642</v>
      </c>
      <c r="F2637" s="8" t="s">
        <v>15643</v>
      </c>
      <c r="G2637" s="6" t="s">
        <v>118</v>
      </c>
      <c r="H2637" s="6" t="s">
        <v>34</v>
      </c>
      <c r="I2637" s="8" t="s">
        <v>1753</v>
      </c>
      <c r="J2637" s="9">
        <v>1</v>
      </c>
      <c r="K2637" s="9">
        <v>147</v>
      </c>
      <c r="L2637" s="9">
        <v>2024</v>
      </c>
      <c r="M2637" s="8" t="s">
        <v>15644</v>
      </c>
      <c r="N2637" s="8" t="s">
        <v>37</v>
      </c>
      <c r="O2637" s="8" t="s">
        <v>280</v>
      </c>
      <c r="P2637" s="6" t="s">
        <v>51</v>
      </c>
      <c r="Q2637" s="8" t="s">
        <v>500</v>
      </c>
      <c r="R2637" s="10" t="s">
        <v>15645</v>
      </c>
      <c r="S2637" s="11" t="s">
        <v>15646</v>
      </c>
      <c r="T2637" s="6"/>
      <c r="U2637" s="15" t="str">
        <f>HYPERLINK("https://media.infra-m.ru/2144/2144112/cover/2144112.jpg", "Обложка")</f>
        <v>Обложка</v>
      </c>
      <c r="V2637" s="8" t="s">
        <v>247</v>
      </c>
      <c r="W2637" s="6"/>
      <c r="X2637" s="6"/>
      <c r="Y2637" s="6"/>
      <c r="Z2637" s="6"/>
      <c r="AA2637" s="6" t="s">
        <v>157</v>
      </c>
      <c r="AB2637" s="8"/>
      <c r="AC2637" s="27">
        <v>9785160178653</v>
      </c>
    </row>
    <row r="2638" spans="1:29" s="4" customFormat="1" ht="51.9" customHeight="1" x14ac:dyDescent="0.2">
      <c r="A2638" s="5">
        <v>0</v>
      </c>
      <c r="B2638" s="6" t="s">
        <v>15647</v>
      </c>
      <c r="C2638" s="7">
        <v>2476.8000000000002</v>
      </c>
      <c r="D2638" s="8" t="s">
        <v>15648</v>
      </c>
      <c r="E2638" s="8" t="s">
        <v>15649</v>
      </c>
      <c r="F2638" s="8" t="s">
        <v>15650</v>
      </c>
      <c r="G2638" s="6" t="s">
        <v>60</v>
      </c>
      <c r="H2638" s="6" t="s">
        <v>34</v>
      </c>
      <c r="I2638" s="8" t="s">
        <v>271</v>
      </c>
      <c r="J2638" s="9">
        <v>1</v>
      </c>
      <c r="K2638" s="9">
        <v>375</v>
      </c>
      <c r="L2638" s="9">
        <v>2026</v>
      </c>
      <c r="M2638" s="8" t="s">
        <v>15651</v>
      </c>
      <c r="N2638" s="8" t="s">
        <v>37</v>
      </c>
      <c r="O2638" s="8" t="s">
        <v>280</v>
      </c>
      <c r="P2638" s="6" t="s">
        <v>306</v>
      </c>
      <c r="Q2638" s="8" t="s">
        <v>52</v>
      </c>
      <c r="R2638" s="10" t="s">
        <v>15652</v>
      </c>
      <c r="S2638" s="11" t="s">
        <v>15653</v>
      </c>
      <c r="T2638" s="6"/>
      <c r="U2638" s="15" t="str">
        <f>HYPERLINK("https://media.infra-m.ru/2244/2244335/cover/2244335.jpg", "Обложка")</f>
        <v>Обложка</v>
      </c>
      <c r="V2638" s="8" t="s">
        <v>3177</v>
      </c>
      <c r="W2638" s="6"/>
      <c r="X2638" s="6"/>
      <c r="Y2638" s="6"/>
      <c r="Z2638" s="6"/>
      <c r="AA2638" s="6" t="s">
        <v>430</v>
      </c>
      <c r="AB2638" s="8"/>
      <c r="AC2638" s="27">
        <v>9785160174167</v>
      </c>
    </row>
    <row r="2639" spans="1:29" s="4" customFormat="1" ht="44.1" customHeight="1" x14ac:dyDescent="0.2">
      <c r="A2639" s="5">
        <v>0</v>
      </c>
      <c r="B2639" s="6" t="s">
        <v>15654</v>
      </c>
      <c r="C2639" s="7">
        <v>1576.8</v>
      </c>
      <c r="D2639" s="8" t="s">
        <v>15655</v>
      </c>
      <c r="E2639" s="8" t="s">
        <v>15656</v>
      </c>
      <c r="F2639" s="8" t="s">
        <v>15657</v>
      </c>
      <c r="G2639" s="6" t="s">
        <v>60</v>
      </c>
      <c r="H2639" s="6" t="s">
        <v>34</v>
      </c>
      <c r="I2639" s="8" t="s">
        <v>271</v>
      </c>
      <c r="J2639" s="9">
        <v>1</v>
      </c>
      <c r="K2639" s="9">
        <v>285</v>
      </c>
      <c r="L2639" s="9">
        <v>2024</v>
      </c>
      <c r="M2639" s="8" t="s">
        <v>15658</v>
      </c>
      <c r="N2639" s="8" t="s">
        <v>37</v>
      </c>
      <c r="O2639" s="8" t="s">
        <v>233</v>
      </c>
      <c r="P2639" s="6" t="s">
        <v>51</v>
      </c>
      <c r="Q2639" s="8" t="s">
        <v>52</v>
      </c>
      <c r="R2639" s="10" t="s">
        <v>15659</v>
      </c>
      <c r="S2639" s="11"/>
      <c r="T2639" s="6"/>
      <c r="U2639" s="15" t="str">
        <f>HYPERLINK("https://media.infra-m.ru/1906/1906792/cover/1906792.jpg", "Обложка")</f>
        <v>Обложка</v>
      </c>
      <c r="V2639" s="8" t="s">
        <v>904</v>
      </c>
      <c r="W2639" s="6"/>
      <c r="X2639" s="6"/>
      <c r="Y2639" s="6"/>
      <c r="Z2639" s="6"/>
      <c r="AA2639" s="6" t="s">
        <v>55</v>
      </c>
      <c r="AB2639" s="8"/>
      <c r="AC2639" s="27">
        <v>9785160067049</v>
      </c>
    </row>
    <row r="2640" spans="1:29" s="4" customFormat="1" ht="44.1" customHeight="1" x14ac:dyDescent="0.2">
      <c r="A2640" s="5">
        <v>0</v>
      </c>
      <c r="B2640" s="6" t="s">
        <v>15660</v>
      </c>
      <c r="C2640" s="13">
        <v>636</v>
      </c>
      <c r="D2640" s="8" t="s">
        <v>15661</v>
      </c>
      <c r="E2640" s="8" t="s">
        <v>15662</v>
      </c>
      <c r="F2640" s="8" t="s">
        <v>15663</v>
      </c>
      <c r="G2640" s="6" t="s">
        <v>33</v>
      </c>
      <c r="H2640" s="6" t="s">
        <v>34</v>
      </c>
      <c r="I2640" s="8" t="s">
        <v>35</v>
      </c>
      <c r="J2640" s="9">
        <v>1</v>
      </c>
      <c r="K2640" s="9">
        <v>104</v>
      </c>
      <c r="L2640" s="9">
        <v>2023</v>
      </c>
      <c r="M2640" s="8" t="s">
        <v>15664</v>
      </c>
      <c r="N2640" s="8" t="s">
        <v>37</v>
      </c>
      <c r="O2640" s="8" t="s">
        <v>233</v>
      </c>
      <c r="P2640" s="6" t="s">
        <v>39</v>
      </c>
      <c r="Q2640" s="8" t="s">
        <v>40</v>
      </c>
      <c r="R2640" s="10" t="s">
        <v>10470</v>
      </c>
      <c r="S2640" s="11"/>
      <c r="T2640" s="6"/>
      <c r="U2640" s="15" t="str">
        <f>HYPERLINK("https://media.infra-m.ru/1898/1898540/cover/1898540.jpg", "Обложка")</f>
        <v>Обложка</v>
      </c>
      <c r="V2640" s="8" t="s">
        <v>396</v>
      </c>
      <c r="W2640" s="6"/>
      <c r="X2640" s="6"/>
      <c r="Y2640" s="6"/>
      <c r="Z2640" s="6"/>
      <c r="AA2640" s="6" t="s">
        <v>274</v>
      </c>
      <c r="AB2640" s="8"/>
      <c r="AC2640" s="27">
        <v>9785160104782</v>
      </c>
    </row>
    <row r="2641" spans="1:29" s="4" customFormat="1" ht="44.1" customHeight="1" x14ac:dyDescent="0.2">
      <c r="A2641" s="5">
        <v>0</v>
      </c>
      <c r="B2641" s="6" t="s">
        <v>15665</v>
      </c>
      <c r="C2641" s="13">
        <v>948</v>
      </c>
      <c r="D2641" s="8" t="s">
        <v>15666</v>
      </c>
      <c r="E2641" s="8" t="s">
        <v>15667</v>
      </c>
      <c r="F2641" s="8" t="s">
        <v>15668</v>
      </c>
      <c r="G2641" s="6" t="s">
        <v>33</v>
      </c>
      <c r="H2641" s="6" t="s">
        <v>34</v>
      </c>
      <c r="I2641" s="8" t="s">
        <v>35</v>
      </c>
      <c r="J2641" s="9">
        <v>1</v>
      </c>
      <c r="K2641" s="9">
        <v>175</v>
      </c>
      <c r="L2641" s="9">
        <v>2022</v>
      </c>
      <c r="M2641" s="8" t="s">
        <v>15669</v>
      </c>
      <c r="N2641" s="8" t="s">
        <v>37</v>
      </c>
      <c r="O2641" s="8" t="s">
        <v>136</v>
      </c>
      <c r="P2641" s="6" t="s">
        <v>39</v>
      </c>
      <c r="Q2641" s="8" t="s">
        <v>40</v>
      </c>
      <c r="R2641" s="10" t="s">
        <v>15670</v>
      </c>
      <c r="S2641" s="11"/>
      <c r="T2641" s="6"/>
      <c r="U2641" s="15" t="str">
        <f>HYPERLINK("https://media.infra-m.ru/1860/1860937/cover/1860937.jpg", "Обложка")</f>
        <v>Обложка</v>
      </c>
      <c r="V2641" s="8"/>
      <c r="W2641" s="6"/>
      <c r="X2641" s="6"/>
      <c r="Y2641" s="6"/>
      <c r="Z2641" s="6"/>
      <c r="AA2641" s="6" t="s">
        <v>148</v>
      </c>
      <c r="AB2641" s="8"/>
      <c r="AC2641" s="27">
        <v>9785160175485</v>
      </c>
    </row>
    <row r="2642" spans="1:29" s="4" customFormat="1" ht="51.9" customHeight="1" x14ac:dyDescent="0.2">
      <c r="A2642" s="5">
        <v>0</v>
      </c>
      <c r="B2642" s="6" t="s">
        <v>15671</v>
      </c>
      <c r="C2642" s="7">
        <v>1372.8</v>
      </c>
      <c r="D2642" s="8" t="s">
        <v>15672</v>
      </c>
      <c r="E2642" s="8" t="s">
        <v>15673</v>
      </c>
      <c r="F2642" s="8" t="s">
        <v>14562</v>
      </c>
      <c r="G2642" s="6" t="s">
        <v>60</v>
      </c>
      <c r="H2642" s="6" t="s">
        <v>34</v>
      </c>
      <c r="I2642" s="8" t="s">
        <v>504</v>
      </c>
      <c r="J2642" s="9">
        <v>1</v>
      </c>
      <c r="K2642" s="9">
        <v>196</v>
      </c>
      <c r="L2642" s="9">
        <v>2026</v>
      </c>
      <c r="M2642" s="8" t="s">
        <v>15674</v>
      </c>
      <c r="N2642" s="8" t="s">
        <v>37</v>
      </c>
      <c r="O2642" s="8" t="s">
        <v>280</v>
      </c>
      <c r="P2642" s="6" t="s">
        <v>51</v>
      </c>
      <c r="Q2642" s="8" t="s">
        <v>500</v>
      </c>
      <c r="R2642" s="10" t="s">
        <v>15675</v>
      </c>
      <c r="S2642" s="11" t="s">
        <v>15676</v>
      </c>
      <c r="T2642" s="6"/>
      <c r="U2642" s="15" t="str">
        <f>HYPERLINK("https://media.infra-m.ru/2251/2251325/cover/2251325.jpg", "Обложка")</f>
        <v>Обложка</v>
      </c>
      <c r="V2642" s="8" t="s">
        <v>13059</v>
      </c>
      <c r="W2642" s="6"/>
      <c r="X2642" s="6"/>
      <c r="Y2642" s="6"/>
      <c r="Z2642" s="6"/>
      <c r="AA2642" s="6" t="s">
        <v>623</v>
      </c>
      <c r="AB2642" s="8"/>
      <c r="AC2642" s="27">
        <v>9785160127422</v>
      </c>
    </row>
    <row r="2643" spans="1:29" s="4" customFormat="1" ht="51.9" customHeight="1" x14ac:dyDescent="0.2">
      <c r="A2643" s="5">
        <v>0</v>
      </c>
      <c r="B2643" s="6" t="s">
        <v>15677</v>
      </c>
      <c r="C2643" s="13">
        <v>881.9</v>
      </c>
      <c r="D2643" s="8" t="s">
        <v>15678</v>
      </c>
      <c r="E2643" s="8" t="s">
        <v>15679</v>
      </c>
      <c r="F2643" s="8" t="s">
        <v>14562</v>
      </c>
      <c r="G2643" s="6" t="s">
        <v>60</v>
      </c>
      <c r="H2643" s="6" t="s">
        <v>34</v>
      </c>
      <c r="I2643" s="8" t="s">
        <v>504</v>
      </c>
      <c r="J2643" s="9">
        <v>1</v>
      </c>
      <c r="K2643" s="9">
        <v>163</v>
      </c>
      <c r="L2643" s="9">
        <v>2023</v>
      </c>
      <c r="M2643" s="8" t="s">
        <v>15680</v>
      </c>
      <c r="N2643" s="8" t="s">
        <v>37</v>
      </c>
      <c r="O2643" s="8" t="s">
        <v>280</v>
      </c>
      <c r="P2643" s="6" t="s">
        <v>51</v>
      </c>
      <c r="Q2643" s="8" t="s">
        <v>500</v>
      </c>
      <c r="R2643" s="10" t="s">
        <v>15675</v>
      </c>
      <c r="S2643" s="11" t="s">
        <v>15681</v>
      </c>
      <c r="T2643" s="6"/>
      <c r="U2643" s="15" t="str">
        <f>HYPERLINK("https://media.infra-m.ru/1911/1911805/cover/1911805.jpg", "Обложка")</f>
        <v>Обложка</v>
      </c>
      <c r="V2643" s="8" t="s">
        <v>13059</v>
      </c>
      <c r="W2643" s="6"/>
      <c r="X2643" s="6"/>
      <c r="Y2643" s="6"/>
      <c r="Z2643" s="6"/>
      <c r="AA2643" s="6" t="s">
        <v>779</v>
      </c>
      <c r="AB2643" s="8"/>
      <c r="AC2643" s="27">
        <v>9785160107257</v>
      </c>
    </row>
    <row r="2644" spans="1:29" s="4" customFormat="1" ht="42" customHeight="1" x14ac:dyDescent="0.2">
      <c r="A2644" s="5">
        <v>0</v>
      </c>
      <c r="B2644" s="6" t="s">
        <v>15682</v>
      </c>
      <c r="C2644" s="7">
        <v>1000.8</v>
      </c>
      <c r="D2644" s="8" t="s">
        <v>15683</v>
      </c>
      <c r="E2644" s="8" t="s">
        <v>15684</v>
      </c>
      <c r="F2644" s="8" t="s">
        <v>15685</v>
      </c>
      <c r="G2644" s="6" t="s">
        <v>33</v>
      </c>
      <c r="H2644" s="6" t="s">
        <v>313</v>
      </c>
      <c r="I2644" s="8" t="s">
        <v>35</v>
      </c>
      <c r="J2644" s="9">
        <v>1</v>
      </c>
      <c r="K2644" s="9">
        <v>168</v>
      </c>
      <c r="L2644" s="9">
        <v>2024</v>
      </c>
      <c r="M2644" s="8" t="s">
        <v>15686</v>
      </c>
      <c r="N2644" s="8" t="s">
        <v>37</v>
      </c>
      <c r="O2644" s="8" t="s">
        <v>38</v>
      </c>
      <c r="P2644" s="6" t="s">
        <v>39</v>
      </c>
      <c r="Q2644" s="8" t="s">
        <v>40</v>
      </c>
      <c r="R2644" s="10" t="s">
        <v>15687</v>
      </c>
      <c r="S2644" s="11"/>
      <c r="T2644" s="6"/>
      <c r="U2644" s="15" t="str">
        <f>HYPERLINK("https://media.infra-m.ru/2164/2164307/cover/2164307.jpg", "Обложка")</f>
        <v>Обложка</v>
      </c>
      <c r="V2644" s="8" t="s">
        <v>15688</v>
      </c>
      <c r="W2644" s="6"/>
      <c r="X2644" s="6"/>
      <c r="Y2644" s="6"/>
      <c r="Z2644" s="6"/>
      <c r="AA2644" s="6" t="s">
        <v>1303</v>
      </c>
      <c r="AB2644" s="8"/>
      <c r="AC2644" s="27">
        <v>9785369018026</v>
      </c>
    </row>
    <row r="2645" spans="1:29" s="4" customFormat="1" ht="42" customHeight="1" x14ac:dyDescent="0.2">
      <c r="A2645" s="5">
        <v>0</v>
      </c>
      <c r="B2645" s="6" t="s">
        <v>15689</v>
      </c>
      <c r="C2645" s="13">
        <v>828</v>
      </c>
      <c r="D2645" s="8" t="s">
        <v>15690</v>
      </c>
      <c r="E2645" s="8" t="s">
        <v>15691</v>
      </c>
      <c r="F2645" s="8" t="s">
        <v>15685</v>
      </c>
      <c r="G2645" s="6" t="s">
        <v>33</v>
      </c>
      <c r="H2645" s="6" t="s">
        <v>313</v>
      </c>
      <c r="I2645" s="8" t="s">
        <v>35</v>
      </c>
      <c r="J2645" s="9">
        <v>1</v>
      </c>
      <c r="K2645" s="9">
        <v>168</v>
      </c>
      <c r="L2645" s="9">
        <v>2021</v>
      </c>
      <c r="M2645" s="8" t="s">
        <v>15686</v>
      </c>
      <c r="N2645" s="8" t="s">
        <v>37</v>
      </c>
      <c r="O2645" s="8" t="s">
        <v>38</v>
      </c>
      <c r="P2645" s="6" t="s">
        <v>39</v>
      </c>
      <c r="Q2645" s="8" t="s">
        <v>40</v>
      </c>
      <c r="R2645" s="10" t="s">
        <v>15687</v>
      </c>
      <c r="S2645" s="11"/>
      <c r="T2645" s="6"/>
      <c r="U2645" s="15" t="str">
        <f>HYPERLINK("https://media.infra-m.ru/1177/1177513/cover/1177513.jpg", "Обложка")</f>
        <v>Обложка</v>
      </c>
      <c r="V2645" s="8" t="s">
        <v>15688</v>
      </c>
      <c r="W2645" s="6"/>
      <c r="X2645" s="6"/>
      <c r="Y2645" s="6"/>
      <c r="Z2645" s="6"/>
      <c r="AA2645" s="6" t="s">
        <v>115</v>
      </c>
      <c r="AB2645" s="8"/>
      <c r="AC2645" s="27">
        <v>9785369018026</v>
      </c>
    </row>
    <row r="2646" spans="1:29" s="4" customFormat="1" ht="42" customHeight="1" x14ac:dyDescent="0.2">
      <c r="A2646" s="5">
        <v>0</v>
      </c>
      <c r="B2646" s="6" t="s">
        <v>15692</v>
      </c>
      <c r="C2646" s="7">
        <v>1301.9000000000001</v>
      </c>
      <c r="D2646" s="8" t="s">
        <v>15693</v>
      </c>
      <c r="E2646" s="8" t="s">
        <v>15694</v>
      </c>
      <c r="F2646" s="8" t="s">
        <v>10934</v>
      </c>
      <c r="G2646" s="6" t="s">
        <v>33</v>
      </c>
      <c r="H2646" s="6" t="s">
        <v>134</v>
      </c>
      <c r="I2646" s="8"/>
      <c r="J2646" s="9">
        <v>1</v>
      </c>
      <c r="K2646" s="9">
        <v>240</v>
      </c>
      <c r="L2646" s="9">
        <v>2025</v>
      </c>
      <c r="M2646" s="8" t="s">
        <v>15695</v>
      </c>
      <c r="N2646" s="8" t="s">
        <v>37</v>
      </c>
      <c r="O2646" s="8" t="s">
        <v>136</v>
      </c>
      <c r="P2646" s="6" t="s">
        <v>39</v>
      </c>
      <c r="Q2646" s="8" t="s">
        <v>40</v>
      </c>
      <c r="R2646" s="10" t="s">
        <v>9920</v>
      </c>
      <c r="S2646" s="11"/>
      <c r="T2646" s="6"/>
      <c r="U2646" s="15" t="str">
        <f>HYPERLINK("https://media.infra-m.ru/1895/1895622/cover/1895622.jpg", "Обложка")</f>
        <v>Обложка</v>
      </c>
      <c r="V2646" s="8" t="s">
        <v>10938</v>
      </c>
      <c r="W2646" s="6"/>
      <c r="X2646" s="6"/>
      <c r="Y2646" s="6"/>
      <c r="Z2646" s="6"/>
      <c r="AA2646" s="6" t="s">
        <v>779</v>
      </c>
      <c r="AB2646" s="8"/>
      <c r="AC2646" s="27">
        <v>9785917686813</v>
      </c>
    </row>
    <row r="2647" spans="1:29" s="4" customFormat="1" ht="51.9" customHeight="1" x14ac:dyDescent="0.2">
      <c r="A2647" s="5">
        <v>0</v>
      </c>
      <c r="B2647" s="6" t="s">
        <v>15696</v>
      </c>
      <c r="C2647" s="7">
        <v>2212.8000000000002</v>
      </c>
      <c r="D2647" s="8" t="s">
        <v>15697</v>
      </c>
      <c r="E2647" s="8" t="s">
        <v>15698</v>
      </c>
      <c r="F2647" s="8" t="s">
        <v>15699</v>
      </c>
      <c r="G2647" s="6" t="s">
        <v>60</v>
      </c>
      <c r="H2647" s="6" t="s">
        <v>134</v>
      </c>
      <c r="I2647" s="8"/>
      <c r="J2647" s="9">
        <v>1</v>
      </c>
      <c r="K2647" s="9">
        <v>368</v>
      </c>
      <c r="L2647" s="9">
        <v>2026</v>
      </c>
      <c r="M2647" s="8" t="s">
        <v>15700</v>
      </c>
      <c r="N2647" s="8" t="s">
        <v>37</v>
      </c>
      <c r="O2647" s="8" t="s">
        <v>136</v>
      </c>
      <c r="P2647" s="6" t="s">
        <v>39</v>
      </c>
      <c r="Q2647" s="8" t="s">
        <v>40</v>
      </c>
      <c r="R2647" s="10" t="s">
        <v>15701</v>
      </c>
      <c r="S2647" s="11"/>
      <c r="T2647" s="6"/>
      <c r="U2647" s="15" t="str">
        <f>HYPERLINK("https://media.infra-m.ru/2206/2206563/cover/2206563.jpg", "Обложка")</f>
        <v>Обложка</v>
      </c>
      <c r="V2647" s="8" t="s">
        <v>1184</v>
      </c>
      <c r="W2647" s="6"/>
      <c r="X2647" s="6"/>
      <c r="Y2647" s="6"/>
      <c r="Z2647" s="6"/>
      <c r="AA2647" s="6" t="s">
        <v>157</v>
      </c>
      <c r="AB2647" s="8"/>
      <c r="AC2647" s="27">
        <v>9785001562818</v>
      </c>
    </row>
    <row r="2648" spans="1:29" s="4" customFormat="1" ht="42" customHeight="1" x14ac:dyDescent="0.2">
      <c r="A2648" s="5">
        <v>0</v>
      </c>
      <c r="B2648" s="6" t="s">
        <v>15702</v>
      </c>
      <c r="C2648" s="7">
        <v>1660.8</v>
      </c>
      <c r="D2648" s="8" t="s">
        <v>15703</v>
      </c>
      <c r="E2648" s="8" t="s">
        <v>15704</v>
      </c>
      <c r="F2648" s="8" t="s">
        <v>10001</v>
      </c>
      <c r="G2648" s="6" t="s">
        <v>118</v>
      </c>
      <c r="H2648" s="6" t="s">
        <v>34</v>
      </c>
      <c r="I2648" s="8" t="s">
        <v>1074</v>
      </c>
      <c r="J2648" s="9">
        <v>1</v>
      </c>
      <c r="K2648" s="9">
        <v>308</v>
      </c>
      <c r="L2648" s="9">
        <v>2023</v>
      </c>
      <c r="M2648" s="8" t="s">
        <v>15705</v>
      </c>
      <c r="N2648" s="8" t="s">
        <v>37</v>
      </c>
      <c r="O2648" s="8" t="s">
        <v>136</v>
      </c>
      <c r="P2648" s="6" t="s">
        <v>39</v>
      </c>
      <c r="Q2648" s="8" t="s">
        <v>40</v>
      </c>
      <c r="R2648" s="10" t="s">
        <v>6521</v>
      </c>
      <c r="S2648" s="11"/>
      <c r="T2648" s="6"/>
      <c r="U2648" s="15" t="str">
        <f>HYPERLINK("https://media.infra-m.ru/1223/1223502/cover/1223502.jpg", "Обложка")</f>
        <v>Обложка</v>
      </c>
      <c r="V2648" s="8" t="s">
        <v>138</v>
      </c>
      <c r="W2648" s="6"/>
      <c r="X2648" s="6"/>
      <c r="Y2648" s="6"/>
      <c r="Z2648" s="6"/>
      <c r="AA2648" s="6" t="s">
        <v>99</v>
      </c>
      <c r="AB2648" s="8"/>
      <c r="AC2648" s="27">
        <v>9785160120447</v>
      </c>
    </row>
    <row r="2649" spans="1:29" s="4" customFormat="1" ht="44.1" customHeight="1" x14ac:dyDescent="0.2">
      <c r="A2649" s="5">
        <v>0</v>
      </c>
      <c r="B2649" s="6" t="s">
        <v>15706</v>
      </c>
      <c r="C2649" s="7">
        <v>1792.8</v>
      </c>
      <c r="D2649" s="8" t="s">
        <v>15707</v>
      </c>
      <c r="E2649" s="8" t="s">
        <v>15708</v>
      </c>
      <c r="F2649" s="8" t="s">
        <v>6215</v>
      </c>
      <c r="G2649" s="6" t="s">
        <v>118</v>
      </c>
      <c r="H2649" s="6" t="s">
        <v>134</v>
      </c>
      <c r="I2649" s="8"/>
      <c r="J2649" s="9">
        <v>1</v>
      </c>
      <c r="K2649" s="9">
        <v>272</v>
      </c>
      <c r="L2649" s="9">
        <v>2026</v>
      </c>
      <c r="M2649" s="8" t="s">
        <v>15709</v>
      </c>
      <c r="N2649" s="8" t="s">
        <v>37</v>
      </c>
      <c r="O2649" s="8" t="s">
        <v>136</v>
      </c>
      <c r="P2649" s="6" t="s">
        <v>39</v>
      </c>
      <c r="Q2649" s="8" t="s">
        <v>40</v>
      </c>
      <c r="R2649" s="10" t="s">
        <v>6217</v>
      </c>
      <c r="S2649" s="11"/>
      <c r="T2649" s="6"/>
      <c r="U2649" s="15" t="str">
        <f>HYPERLINK("https://media.infra-m.ru/2221/2221651/cover/2221651.jpg", "Обложка")</f>
        <v>Обложка</v>
      </c>
      <c r="V2649" s="8" t="s">
        <v>1069</v>
      </c>
      <c r="W2649" s="6"/>
      <c r="X2649" s="6"/>
      <c r="Y2649" s="6"/>
      <c r="Z2649" s="6"/>
      <c r="AA2649" s="6" t="s">
        <v>55</v>
      </c>
      <c r="AB2649" s="8"/>
      <c r="AC2649" s="27">
        <v>9785917684390</v>
      </c>
    </row>
    <row r="2650" spans="1:29" s="4" customFormat="1" ht="44.1" customHeight="1" x14ac:dyDescent="0.2">
      <c r="A2650" s="5">
        <v>0</v>
      </c>
      <c r="B2650" s="6" t="s">
        <v>15710</v>
      </c>
      <c r="C2650" s="7">
        <v>3004.8</v>
      </c>
      <c r="D2650" s="8" t="s">
        <v>15711</v>
      </c>
      <c r="E2650" s="8" t="s">
        <v>15712</v>
      </c>
      <c r="F2650" s="8" t="s">
        <v>15713</v>
      </c>
      <c r="G2650" s="6" t="s">
        <v>60</v>
      </c>
      <c r="H2650" s="6" t="s">
        <v>134</v>
      </c>
      <c r="I2650" s="8"/>
      <c r="J2650" s="9">
        <v>1</v>
      </c>
      <c r="K2650" s="9">
        <v>672</v>
      </c>
      <c r="L2650" s="9">
        <v>2024</v>
      </c>
      <c r="M2650" s="8" t="s">
        <v>15714</v>
      </c>
      <c r="N2650" s="8" t="s">
        <v>37</v>
      </c>
      <c r="O2650" s="8" t="s">
        <v>136</v>
      </c>
      <c r="P2650" s="6" t="s">
        <v>39</v>
      </c>
      <c r="Q2650" s="8" t="s">
        <v>40</v>
      </c>
      <c r="R2650" s="10" t="s">
        <v>15715</v>
      </c>
      <c r="S2650" s="11"/>
      <c r="T2650" s="6"/>
      <c r="U2650" s="15" t="str">
        <f>HYPERLINK("https://media.infra-m.ru/2123/2123872/cover/2123872.jpg", "Обложка")</f>
        <v>Обложка</v>
      </c>
      <c r="V2650" s="8" t="s">
        <v>227</v>
      </c>
      <c r="W2650" s="6"/>
      <c r="X2650" s="6"/>
      <c r="Y2650" s="6"/>
      <c r="Z2650" s="6"/>
      <c r="AA2650" s="6" t="s">
        <v>115</v>
      </c>
      <c r="AB2650" s="8"/>
      <c r="AC2650" s="27">
        <v>9785001560296</v>
      </c>
    </row>
    <row r="2651" spans="1:29" s="4" customFormat="1" ht="44.1" customHeight="1" x14ac:dyDescent="0.2">
      <c r="A2651" s="5">
        <v>0</v>
      </c>
      <c r="B2651" s="6" t="s">
        <v>15716</v>
      </c>
      <c r="C2651" s="7">
        <v>2596.8000000000002</v>
      </c>
      <c r="D2651" s="8" t="s">
        <v>15717</v>
      </c>
      <c r="E2651" s="8" t="s">
        <v>15718</v>
      </c>
      <c r="F2651" s="8" t="s">
        <v>15719</v>
      </c>
      <c r="G2651" s="6" t="s">
        <v>118</v>
      </c>
      <c r="H2651" s="6" t="s">
        <v>134</v>
      </c>
      <c r="I2651" s="8"/>
      <c r="J2651" s="9">
        <v>1</v>
      </c>
      <c r="K2651" s="9">
        <v>432</v>
      </c>
      <c r="L2651" s="9">
        <v>2025</v>
      </c>
      <c r="M2651" s="8" t="s">
        <v>15720</v>
      </c>
      <c r="N2651" s="8" t="s">
        <v>37</v>
      </c>
      <c r="O2651" s="8" t="s">
        <v>136</v>
      </c>
      <c r="P2651" s="6" t="s">
        <v>306</v>
      </c>
      <c r="Q2651" s="8" t="s">
        <v>52</v>
      </c>
      <c r="R2651" s="10" t="s">
        <v>13507</v>
      </c>
      <c r="S2651" s="11"/>
      <c r="T2651" s="6"/>
      <c r="U2651" s="15" t="str">
        <f>HYPERLINK("https://media.infra-m.ru/2191/2191721/cover/2191721.jpg", "Обложка")</f>
        <v>Обложка</v>
      </c>
      <c r="V2651" s="8" t="s">
        <v>1184</v>
      </c>
      <c r="W2651" s="6"/>
      <c r="X2651" s="6"/>
      <c r="Y2651" s="6"/>
      <c r="Z2651" s="6"/>
      <c r="AA2651" s="6" t="s">
        <v>148</v>
      </c>
      <c r="AB2651" s="8"/>
      <c r="AC2651" s="27">
        <v>9785001561972</v>
      </c>
    </row>
    <row r="2652" spans="1:29" s="4" customFormat="1" ht="51.9" customHeight="1" x14ac:dyDescent="0.2">
      <c r="A2652" s="5">
        <v>0</v>
      </c>
      <c r="B2652" s="6" t="s">
        <v>15721</v>
      </c>
      <c r="C2652" s="7">
        <v>2910.6</v>
      </c>
      <c r="D2652" s="8" t="s">
        <v>15722</v>
      </c>
      <c r="E2652" s="8" t="s">
        <v>15723</v>
      </c>
      <c r="F2652" s="8" t="s">
        <v>15724</v>
      </c>
      <c r="G2652" s="6" t="s">
        <v>60</v>
      </c>
      <c r="H2652" s="6" t="s">
        <v>134</v>
      </c>
      <c r="I2652" s="8"/>
      <c r="J2652" s="9">
        <v>1</v>
      </c>
      <c r="K2652" s="9">
        <v>432</v>
      </c>
      <c r="L2652" s="9">
        <v>2026</v>
      </c>
      <c r="M2652" s="8" t="s">
        <v>15725</v>
      </c>
      <c r="N2652" s="8" t="s">
        <v>37</v>
      </c>
      <c r="O2652" s="8" t="s">
        <v>136</v>
      </c>
      <c r="P2652" s="6" t="s">
        <v>39</v>
      </c>
      <c r="Q2652" s="8" t="s">
        <v>183</v>
      </c>
      <c r="R2652" s="10" t="s">
        <v>8638</v>
      </c>
      <c r="S2652" s="11"/>
      <c r="T2652" s="6"/>
      <c r="U2652" s="15" t="str">
        <f>HYPERLINK("https://media.infra-m.ru/2242/2242701/cover/2242701.jpg", "Обложка")</f>
        <v>Обложка</v>
      </c>
      <c r="V2652" s="8" t="s">
        <v>138</v>
      </c>
      <c r="W2652" s="6"/>
      <c r="X2652" s="6"/>
      <c r="Y2652" s="6"/>
      <c r="Z2652" s="6"/>
      <c r="AA2652" s="6" t="s">
        <v>187</v>
      </c>
      <c r="AB2652" s="8"/>
      <c r="AC2652" s="27">
        <v>9785001564584</v>
      </c>
    </row>
    <row r="2653" spans="1:29" s="4" customFormat="1" ht="51.9" customHeight="1" x14ac:dyDescent="0.2">
      <c r="A2653" s="5">
        <v>0</v>
      </c>
      <c r="B2653" s="6" t="s">
        <v>15726</v>
      </c>
      <c r="C2653" s="7">
        <v>3540</v>
      </c>
      <c r="D2653" s="8" t="s">
        <v>15727</v>
      </c>
      <c r="E2653" s="8" t="s">
        <v>15728</v>
      </c>
      <c r="F2653" s="8" t="s">
        <v>8100</v>
      </c>
      <c r="G2653" s="6" t="s">
        <v>60</v>
      </c>
      <c r="H2653" s="6" t="s">
        <v>134</v>
      </c>
      <c r="I2653" s="8"/>
      <c r="J2653" s="9">
        <v>1</v>
      </c>
      <c r="K2653" s="9">
        <v>528</v>
      </c>
      <c r="L2653" s="9">
        <v>2026</v>
      </c>
      <c r="M2653" s="8" t="s">
        <v>15729</v>
      </c>
      <c r="N2653" s="8" t="s">
        <v>37</v>
      </c>
      <c r="O2653" s="8" t="s">
        <v>136</v>
      </c>
      <c r="P2653" s="6" t="s">
        <v>306</v>
      </c>
      <c r="Q2653" s="8" t="s">
        <v>52</v>
      </c>
      <c r="R2653" s="10" t="s">
        <v>1275</v>
      </c>
      <c r="S2653" s="11" t="s">
        <v>15730</v>
      </c>
      <c r="T2653" s="6"/>
      <c r="U2653" s="15" t="str">
        <f>HYPERLINK("https://media.infra-m.ru/2225/2225923/cover/2225923.jpg", "Обложка")</f>
        <v>Обложка</v>
      </c>
      <c r="V2653" s="8" t="s">
        <v>1069</v>
      </c>
      <c r="W2653" s="6"/>
      <c r="X2653" s="6"/>
      <c r="Y2653" s="6"/>
      <c r="Z2653" s="6"/>
      <c r="AA2653" s="6" t="s">
        <v>15115</v>
      </c>
      <c r="AB2653" s="8"/>
      <c r="AC2653" s="27">
        <v>9785917686400</v>
      </c>
    </row>
    <row r="2654" spans="1:29" s="4" customFormat="1" ht="51.9" customHeight="1" x14ac:dyDescent="0.2">
      <c r="A2654" s="5">
        <v>0</v>
      </c>
      <c r="B2654" s="6" t="s">
        <v>15731</v>
      </c>
      <c r="C2654" s="7">
        <v>3592.8</v>
      </c>
      <c r="D2654" s="8" t="s">
        <v>15732</v>
      </c>
      <c r="E2654" s="8" t="s">
        <v>15733</v>
      </c>
      <c r="F2654" s="8" t="s">
        <v>15734</v>
      </c>
      <c r="G2654" s="6" t="s">
        <v>60</v>
      </c>
      <c r="H2654" s="6" t="s">
        <v>134</v>
      </c>
      <c r="I2654" s="8"/>
      <c r="J2654" s="9">
        <v>1</v>
      </c>
      <c r="K2654" s="9">
        <v>560</v>
      </c>
      <c r="L2654" s="9">
        <v>2026</v>
      </c>
      <c r="M2654" s="8" t="s">
        <v>15735</v>
      </c>
      <c r="N2654" s="8" t="s">
        <v>37</v>
      </c>
      <c r="O2654" s="8" t="s">
        <v>136</v>
      </c>
      <c r="P2654" s="6" t="s">
        <v>51</v>
      </c>
      <c r="Q2654" s="8" t="s">
        <v>52</v>
      </c>
      <c r="R2654" s="10" t="s">
        <v>1068</v>
      </c>
      <c r="S2654" s="11" t="s">
        <v>10937</v>
      </c>
      <c r="T2654" s="6"/>
      <c r="U2654" s="15" t="str">
        <f>HYPERLINK("https://media.infra-m.ru/2246/2246674/cover/2246674.jpg", "Обложка")</f>
        <v>Обложка</v>
      </c>
      <c r="V2654" s="8" t="s">
        <v>2466</v>
      </c>
      <c r="W2654" s="6"/>
      <c r="X2654" s="6"/>
      <c r="Y2654" s="6"/>
      <c r="Z2654" s="6"/>
      <c r="AA2654" s="6" t="s">
        <v>1031</v>
      </c>
      <c r="AB2654" s="8"/>
      <c r="AC2654" s="27">
        <v>9785001563471</v>
      </c>
    </row>
    <row r="2655" spans="1:29" s="4" customFormat="1" ht="51.9" customHeight="1" x14ac:dyDescent="0.2">
      <c r="A2655" s="5">
        <v>0</v>
      </c>
      <c r="B2655" s="6" t="s">
        <v>15736</v>
      </c>
      <c r="C2655" s="13">
        <v>717.6</v>
      </c>
      <c r="D2655" s="8" t="s">
        <v>15737</v>
      </c>
      <c r="E2655" s="8" t="s">
        <v>15738</v>
      </c>
      <c r="F2655" s="8" t="s">
        <v>15739</v>
      </c>
      <c r="G2655" s="6" t="s">
        <v>33</v>
      </c>
      <c r="H2655" s="6" t="s">
        <v>313</v>
      </c>
      <c r="I2655" s="8" t="s">
        <v>15740</v>
      </c>
      <c r="J2655" s="9">
        <v>1</v>
      </c>
      <c r="K2655" s="9">
        <v>191</v>
      </c>
      <c r="L2655" s="9">
        <v>2024</v>
      </c>
      <c r="M2655" s="8" t="s">
        <v>15741</v>
      </c>
      <c r="N2655" s="8" t="s">
        <v>37</v>
      </c>
      <c r="O2655" s="8" t="s">
        <v>136</v>
      </c>
      <c r="P2655" s="6" t="s">
        <v>51</v>
      </c>
      <c r="Q2655" s="8" t="s">
        <v>52</v>
      </c>
      <c r="R2655" s="10" t="s">
        <v>15742</v>
      </c>
      <c r="S2655" s="11"/>
      <c r="T2655" s="6"/>
      <c r="U2655" s="15" t="str">
        <f>HYPERLINK("https://media.infra-m.ru/2136/2136873/cover/2136873.jpg", "Обложка")</f>
        <v>Обложка</v>
      </c>
      <c r="V2655" s="8"/>
      <c r="W2655" s="6"/>
      <c r="X2655" s="6"/>
      <c r="Y2655" s="6"/>
      <c r="Z2655" s="6"/>
      <c r="AA2655" s="6" t="s">
        <v>7307</v>
      </c>
      <c r="AB2655" s="8"/>
      <c r="AC2655" s="27">
        <v>9785369006443</v>
      </c>
    </row>
    <row r="2656" spans="1:29" s="4" customFormat="1" ht="51.9" customHeight="1" x14ac:dyDescent="0.2">
      <c r="A2656" s="5">
        <v>0</v>
      </c>
      <c r="B2656" s="6" t="s">
        <v>15743</v>
      </c>
      <c r="C2656" s="7">
        <v>1464</v>
      </c>
      <c r="D2656" s="8" t="s">
        <v>15744</v>
      </c>
      <c r="E2656" s="8" t="s">
        <v>15745</v>
      </c>
      <c r="F2656" s="8" t="s">
        <v>15746</v>
      </c>
      <c r="G2656" s="6" t="s">
        <v>118</v>
      </c>
      <c r="H2656" s="6" t="s">
        <v>134</v>
      </c>
      <c r="I2656" s="8"/>
      <c r="J2656" s="9">
        <v>1</v>
      </c>
      <c r="K2656" s="9">
        <v>216</v>
      </c>
      <c r="L2656" s="9">
        <v>2026</v>
      </c>
      <c r="M2656" s="8" t="s">
        <v>15747</v>
      </c>
      <c r="N2656" s="8" t="s">
        <v>37</v>
      </c>
      <c r="O2656" s="8" t="s">
        <v>136</v>
      </c>
      <c r="P2656" s="6" t="s">
        <v>394</v>
      </c>
      <c r="Q2656" s="8" t="s">
        <v>65</v>
      </c>
      <c r="R2656" s="10" t="s">
        <v>15748</v>
      </c>
      <c r="S2656" s="11"/>
      <c r="T2656" s="6"/>
      <c r="U2656" s="15" t="str">
        <f>HYPERLINK("https://media.infra-m.ru/2236/2236169/cover/2236169.jpg", "Обложка")</f>
        <v>Обложка</v>
      </c>
      <c r="V2656" s="8" t="s">
        <v>1184</v>
      </c>
      <c r="W2656" s="6"/>
      <c r="X2656" s="6"/>
      <c r="Y2656" s="6"/>
      <c r="Z2656" s="6"/>
      <c r="AA2656" s="6" t="s">
        <v>76</v>
      </c>
      <c r="AB2656" s="8"/>
      <c r="AC2656" s="27">
        <v>9785001563211</v>
      </c>
    </row>
    <row r="2657" spans="1:29" s="4" customFormat="1" ht="51.9" customHeight="1" x14ac:dyDescent="0.2">
      <c r="A2657" s="5">
        <v>0</v>
      </c>
      <c r="B2657" s="6" t="s">
        <v>15749</v>
      </c>
      <c r="C2657" s="7">
        <v>2393.9</v>
      </c>
      <c r="D2657" s="8" t="s">
        <v>15750</v>
      </c>
      <c r="E2657" s="8" t="s">
        <v>15751</v>
      </c>
      <c r="F2657" s="8" t="s">
        <v>15752</v>
      </c>
      <c r="G2657" s="6" t="s">
        <v>60</v>
      </c>
      <c r="H2657" s="6" t="s">
        <v>134</v>
      </c>
      <c r="I2657" s="8"/>
      <c r="J2657" s="9">
        <v>1</v>
      </c>
      <c r="K2657" s="9">
        <v>976</v>
      </c>
      <c r="L2657" s="9">
        <v>2020</v>
      </c>
      <c r="M2657" s="8" t="s">
        <v>15753</v>
      </c>
      <c r="N2657" s="8" t="s">
        <v>37</v>
      </c>
      <c r="O2657" s="8" t="s">
        <v>136</v>
      </c>
      <c r="P2657" s="6" t="s">
        <v>306</v>
      </c>
      <c r="Q2657" s="8" t="s">
        <v>52</v>
      </c>
      <c r="R2657" s="10" t="s">
        <v>1275</v>
      </c>
      <c r="S2657" s="11"/>
      <c r="T2657" s="6"/>
      <c r="U2657" s="15" t="str">
        <f>HYPERLINK("https://media.infra-m.ru/1089/1089869/cover/1089869.jpg", "Обложка")</f>
        <v>Обложка</v>
      </c>
      <c r="V2657" s="8" t="s">
        <v>1647</v>
      </c>
      <c r="W2657" s="6"/>
      <c r="X2657" s="6"/>
      <c r="Y2657" s="6"/>
      <c r="Z2657" s="6"/>
      <c r="AA2657" s="6" t="s">
        <v>15559</v>
      </c>
      <c r="AB2657" s="8"/>
      <c r="AC2657" s="27">
        <v>9785917687261</v>
      </c>
    </row>
    <row r="2658" spans="1:29" s="4" customFormat="1" ht="51.9" customHeight="1" x14ac:dyDescent="0.2">
      <c r="A2658" s="5">
        <v>0</v>
      </c>
      <c r="B2658" s="6" t="s">
        <v>15754</v>
      </c>
      <c r="C2658" s="7">
        <v>2248.8000000000002</v>
      </c>
      <c r="D2658" s="8" t="s">
        <v>15755</v>
      </c>
      <c r="E2658" s="8" t="s">
        <v>15745</v>
      </c>
      <c r="F2658" s="8" t="s">
        <v>15756</v>
      </c>
      <c r="G2658" s="6" t="s">
        <v>60</v>
      </c>
      <c r="H2658" s="6" t="s">
        <v>313</v>
      </c>
      <c r="I2658" s="8" t="s">
        <v>253</v>
      </c>
      <c r="J2658" s="9">
        <v>1</v>
      </c>
      <c r="K2658" s="9">
        <v>374</v>
      </c>
      <c r="L2658" s="9">
        <v>2025</v>
      </c>
      <c r="M2658" s="8" t="s">
        <v>15757</v>
      </c>
      <c r="N2658" s="8" t="s">
        <v>37</v>
      </c>
      <c r="O2658" s="8" t="s">
        <v>136</v>
      </c>
      <c r="P2658" s="6" t="s">
        <v>51</v>
      </c>
      <c r="Q2658" s="8" t="s">
        <v>52</v>
      </c>
      <c r="R2658" s="10" t="s">
        <v>13507</v>
      </c>
      <c r="S2658" s="11" t="s">
        <v>15758</v>
      </c>
      <c r="T2658" s="6"/>
      <c r="U2658" s="15" t="str">
        <f>HYPERLINK("https://media.infra-m.ru/2180/2180677/cover/2180677.jpg", "Обложка")</f>
        <v>Обложка</v>
      </c>
      <c r="V2658" s="8"/>
      <c r="W2658" s="6"/>
      <c r="X2658" s="6"/>
      <c r="Y2658" s="6"/>
      <c r="Z2658" s="6"/>
      <c r="AA2658" s="6" t="s">
        <v>55</v>
      </c>
      <c r="AB2658" s="8"/>
      <c r="AC2658" s="27">
        <v>9785369011720</v>
      </c>
    </row>
    <row r="2659" spans="1:29" s="4" customFormat="1" ht="51.9" customHeight="1" x14ac:dyDescent="0.2">
      <c r="A2659" s="5">
        <v>0</v>
      </c>
      <c r="B2659" s="6" t="s">
        <v>15759</v>
      </c>
      <c r="C2659" s="7">
        <v>5400</v>
      </c>
      <c r="D2659" s="8" t="s">
        <v>15760</v>
      </c>
      <c r="E2659" s="8" t="s">
        <v>15761</v>
      </c>
      <c r="F2659" s="8" t="s">
        <v>15752</v>
      </c>
      <c r="G2659" s="6" t="s">
        <v>60</v>
      </c>
      <c r="H2659" s="6" t="s">
        <v>134</v>
      </c>
      <c r="I2659" s="8"/>
      <c r="J2659" s="9">
        <v>1</v>
      </c>
      <c r="K2659" s="9">
        <v>864</v>
      </c>
      <c r="L2659" s="9">
        <v>2026</v>
      </c>
      <c r="M2659" s="8" t="s">
        <v>15762</v>
      </c>
      <c r="N2659" s="8" t="s">
        <v>37</v>
      </c>
      <c r="O2659" s="8" t="s">
        <v>136</v>
      </c>
      <c r="P2659" s="6" t="s">
        <v>306</v>
      </c>
      <c r="Q2659" s="8" t="s">
        <v>52</v>
      </c>
      <c r="R2659" s="10" t="s">
        <v>1275</v>
      </c>
      <c r="S2659" s="11"/>
      <c r="T2659" s="6"/>
      <c r="U2659" s="15" t="str">
        <f>HYPERLINK("https://media.infra-m.ru/2254/2254902/cover/2254902.jpg", "Обложка")</f>
        <v>Обложка</v>
      </c>
      <c r="V2659" s="8" t="s">
        <v>1647</v>
      </c>
      <c r="W2659" s="6"/>
      <c r="X2659" s="6"/>
      <c r="Y2659" s="6"/>
      <c r="Z2659" s="6"/>
      <c r="AA2659" s="6" t="s">
        <v>15763</v>
      </c>
      <c r="AB2659" s="8"/>
      <c r="AC2659" s="27">
        <v>9785001561828</v>
      </c>
    </row>
    <row r="2660" spans="1:29" s="4" customFormat="1" ht="51.9" customHeight="1" x14ac:dyDescent="0.2">
      <c r="A2660" s="5">
        <v>0</v>
      </c>
      <c r="B2660" s="6" t="s">
        <v>15764</v>
      </c>
      <c r="C2660" s="13">
        <v>521.9</v>
      </c>
      <c r="D2660" s="8" t="s">
        <v>15765</v>
      </c>
      <c r="E2660" s="8" t="s">
        <v>15745</v>
      </c>
      <c r="F2660" s="8" t="s">
        <v>15766</v>
      </c>
      <c r="G2660" s="6" t="s">
        <v>60</v>
      </c>
      <c r="H2660" s="6" t="s">
        <v>313</v>
      </c>
      <c r="I2660" s="8" t="s">
        <v>253</v>
      </c>
      <c r="J2660" s="9">
        <v>1</v>
      </c>
      <c r="K2660" s="9">
        <v>135</v>
      </c>
      <c r="L2660" s="9">
        <v>2019</v>
      </c>
      <c r="M2660" s="8" t="s">
        <v>15767</v>
      </c>
      <c r="N2660" s="8" t="s">
        <v>37</v>
      </c>
      <c r="O2660" s="8" t="s">
        <v>136</v>
      </c>
      <c r="P2660" s="6" t="s">
        <v>51</v>
      </c>
      <c r="Q2660" s="8" t="s">
        <v>52</v>
      </c>
      <c r="R2660" s="10" t="s">
        <v>1275</v>
      </c>
      <c r="S2660" s="11"/>
      <c r="T2660" s="6" t="s">
        <v>97</v>
      </c>
      <c r="U2660" s="15" t="str">
        <f>HYPERLINK("https://media.infra-m.ru/1015/1015158/cover/1015158.jpg", "Обложка")</f>
        <v>Обложка</v>
      </c>
      <c r="V2660" s="8" t="s">
        <v>15768</v>
      </c>
      <c r="W2660" s="6"/>
      <c r="X2660" s="6"/>
      <c r="Y2660" s="6"/>
      <c r="Z2660" s="6"/>
      <c r="AA2660" s="6" t="s">
        <v>274</v>
      </c>
      <c r="AB2660" s="8"/>
      <c r="AC2660" s="27">
        <v>9785369014028</v>
      </c>
    </row>
    <row r="2661" spans="1:29" s="4" customFormat="1" ht="51.9" customHeight="1" x14ac:dyDescent="0.2">
      <c r="A2661" s="5">
        <v>0</v>
      </c>
      <c r="B2661" s="6" t="s">
        <v>15769</v>
      </c>
      <c r="C2661" s="7">
        <v>4788</v>
      </c>
      <c r="D2661" s="8" t="s">
        <v>15770</v>
      </c>
      <c r="E2661" s="8" t="s">
        <v>15771</v>
      </c>
      <c r="F2661" s="8" t="s">
        <v>15772</v>
      </c>
      <c r="G2661" s="6" t="s">
        <v>60</v>
      </c>
      <c r="H2661" s="6" t="s">
        <v>134</v>
      </c>
      <c r="I2661" s="8"/>
      <c r="J2661" s="9">
        <v>1</v>
      </c>
      <c r="K2661" s="9">
        <v>936</v>
      </c>
      <c r="L2661" s="9">
        <v>2027</v>
      </c>
      <c r="M2661" s="8" t="s">
        <v>15773</v>
      </c>
      <c r="N2661" s="8" t="s">
        <v>37</v>
      </c>
      <c r="O2661" s="8" t="s">
        <v>136</v>
      </c>
      <c r="P2661" s="6" t="s">
        <v>51</v>
      </c>
      <c r="Q2661" s="8" t="s">
        <v>52</v>
      </c>
      <c r="R2661" s="10" t="s">
        <v>15774</v>
      </c>
      <c r="S2661" s="11" t="s">
        <v>15775</v>
      </c>
      <c r="T2661" s="6"/>
      <c r="U2661" s="15" t="str">
        <f>HYPERLINK("https://media.infra-m.ru/2270/2270996/cover/2270996.jpg", "Обложка")</f>
        <v>Обложка</v>
      </c>
      <c r="V2661" s="8" t="s">
        <v>2466</v>
      </c>
      <c r="W2661" s="6"/>
      <c r="X2661" s="6"/>
      <c r="Y2661" s="6"/>
      <c r="Z2661" s="6"/>
      <c r="AA2661" s="6" t="s">
        <v>15776</v>
      </c>
      <c r="AB2661" s="8"/>
      <c r="AC2661" s="27">
        <v>9785001561750</v>
      </c>
    </row>
    <row r="2662" spans="1:29" s="4" customFormat="1" ht="51.9" customHeight="1" x14ac:dyDescent="0.2">
      <c r="A2662" s="5">
        <v>0</v>
      </c>
      <c r="B2662" s="6" t="s">
        <v>15777</v>
      </c>
      <c r="C2662" s="7">
        <v>4320</v>
      </c>
      <c r="D2662" s="8" t="s">
        <v>15778</v>
      </c>
      <c r="E2662" s="8" t="s">
        <v>15779</v>
      </c>
      <c r="F2662" s="8" t="s">
        <v>15772</v>
      </c>
      <c r="G2662" s="6" t="s">
        <v>60</v>
      </c>
      <c r="H2662" s="6" t="s">
        <v>134</v>
      </c>
      <c r="I2662" s="8"/>
      <c r="J2662" s="9">
        <v>1</v>
      </c>
      <c r="K2662" s="9">
        <v>864</v>
      </c>
      <c r="L2662" s="9">
        <v>2026</v>
      </c>
      <c r="M2662" s="8" t="s">
        <v>15780</v>
      </c>
      <c r="N2662" s="8" t="s">
        <v>37</v>
      </c>
      <c r="O2662" s="8" t="s">
        <v>136</v>
      </c>
      <c r="P2662" s="6" t="s">
        <v>51</v>
      </c>
      <c r="Q2662" s="8" t="s">
        <v>52</v>
      </c>
      <c r="R2662" s="10" t="s">
        <v>15781</v>
      </c>
      <c r="S2662" s="11" t="s">
        <v>15782</v>
      </c>
      <c r="T2662" s="6"/>
      <c r="U2662" s="15" t="str">
        <f>HYPERLINK("https://media.infra-m.ru/2225/2225624/cover/2225624.jpg", "Обложка")</f>
        <v>Обложка</v>
      </c>
      <c r="V2662" s="8" t="s">
        <v>2466</v>
      </c>
      <c r="W2662" s="6"/>
      <c r="X2662" s="6"/>
      <c r="Y2662" s="6"/>
      <c r="Z2662" s="6"/>
      <c r="AA2662" s="6" t="s">
        <v>15776</v>
      </c>
      <c r="AB2662" s="8"/>
      <c r="AC2662" s="27">
        <v>9785001561651</v>
      </c>
    </row>
    <row r="2663" spans="1:29" s="4" customFormat="1" ht="51.9" customHeight="1" x14ac:dyDescent="0.2">
      <c r="A2663" s="5">
        <v>0</v>
      </c>
      <c r="B2663" s="6" t="s">
        <v>15783</v>
      </c>
      <c r="C2663" s="7">
        <v>1560</v>
      </c>
      <c r="D2663" s="8" t="s">
        <v>15784</v>
      </c>
      <c r="E2663" s="8" t="s">
        <v>15785</v>
      </c>
      <c r="F2663" s="8" t="s">
        <v>15786</v>
      </c>
      <c r="G2663" s="6" t="s">
        <v>60</v>
      </c>
      <c r="H2663" s="6" t="s">
        <v>134</v>
      </c>
      <c r="I2663" s="8"/>
      <c r="J2663" s="9">
        <v>6</v>
      </c>
      <c r="K2663" s="9">
        <v>864</v>
      </c>
      <c r="L2663" s="9">
        <v>2017</v>
      </c>
      <c r="M2663" s="8" t="s">
        <v>15787</v>
      </c>
      <c r="N2663" s="8" t="s">
        <v>37</v>
      </c>
      <c r="O2663" s="8" t="s">
        <v>136</v>
      </c>
      <c r="P2663" s="6" t="s">
        <v>51</v>
      </c>
      <c r="Q2663" s="8" t="s">
        <v>52</v>
      </c>
      <c r="R2663" s="10" t="s">
        <v>15781</v>
      </c>
      <c r="S2663" s="11" t="s">
        <v>15788</v>
      </c>
      <c r="T2663" s="6"/>
      <c r="U2663" s="15" t="str">
        <f>HYPERLINK("https://media.infra-m.ru/0761/0761228/cover/761228.jpg", "Обложка")</f>
        <v>Обложка</v>
      </c>
      <c r="V2663" s="8" t="s">
        <v>2466</v>
      </c>
      <c r="W2663" s="6"/>
      <c r="X2663" s="6"/>
      <c r="Y2663" s="6"/>
      <c r="Z2663" s="6"/>
      <c r="AA2663" s="6" t="s">
        <v>14106</v>
      </c>
      <c r="AB2663" s="8"/>
      <c r="AC2663" s="27">
        <v>9785917684840</v>
      </c>
    </row>
    <row r="2664" spans="1:29" s="4" customFormat="1" ht="51.9" customHeight="1" x14ac:dyDescent="0.2">
      <c r="A2664" s="5">
        <v>0</v>
      </c>
      <c r="B2664" s="6" t="s">
        <v>15789</v>
      </c>
      <c r="C2664" s="7">
        <v>2700</v>
      </c>
      <c r="D2664" s="8" t="s">
        <v>15790</v>
      </c>
      <c r="E2664" s="8" t="s">
        <v>15785</v>
      </c>
      <c r="F2664" s="8" t="s">
        <v>15786</v>
      </c>
      <c r="G2664" s="6" t="s">
        <v>118</v>
      </c>
      <c r="H2664" s="6" t="s">
        <v>134</v>
      </c>
      <c r="I2664" s="8"/>
      <c r="J2664" s="9">
        <v>1</v>
      </c>
      <c r="K2664" s="9">
        <v>864</v>
      </c>
      <c r="L2664" s="9">
        <v>2020</v>
      </c>
      <c r="M2664" s="8" t="s">
        <v>15791</v>
      </c>
      <c r="N2664" s="8" t="s">
        <v>37</v>
      </c>
      <c r="O2664" s="8" t="s">
        <v>136</v>
      </c>
      <c r="P2664" s="6" t="s">
        <v>51</v>
      </c>
      <c r="Q2664" s="8" t="s">
        <v>52</v>
      </c>
      <c r="R2664" s="10" t="s">
        <v>15781</v>
      </c>
      <c r="S2664" s="11" t="s">
        <v>15788</v>
      </c>
      <c r="T2664" s="6"/>
      <c r="U2664" s="15" t="str">
        <f>HYPERLINK("https://media.infra-m.ru/1079/1079425/cover/1079425.jpg", "Обложка")</f>
        <v>Обложка</v>
      </c>
      <c r="V2664" s="8" t="s">
        <v>2466</v>
      </c>
      <c r="W2664" s="6"/>
      <c r="X2664" s="6"/>
      <c r="Y2664" s="6"/>
      <c r="Z2664" s="6"/>
      <c r="AA2664" s="6" t="s">
        <v>3553</v>
      </c>
      <c r="AB2664" s="8"/>
      <c r="AC2664" s="27">
        <v>9785917689029</v>
      </c>
    </row>
    <row r="2665" spans="1:29" s="4" customFormat="1" ht="51.9" customHeight="1" x14ac:dyDescent="0.2">
      <c r="A2665" s="5">
        <v>0</v>
      </c>
      <c r="B2665" s="6" t="s">
        <v>15792</v>
      </c>
      <c r="C2665" s="7">
        <v>2172</v>
      </c>
      <c r="D2665" s="8" t="s">
        <v>15793</v>
      </c>
      <c r="E2665" s="8" t="s">
        <v>15794</v>
      </c>
      <c r="F2665" s="8" t="s">
        <v>15795</v>
      </c>
      <c r="G2665" s="6" t="s">
        <v>118</v>
      </c>
      <c r="H2665" s="6" t="s">
        <v>134</v>
      </c>
      <c r="I2665" s="8"/>
      <c r="J2665" s="9">
        <v>1</v>
      </c>
      <c r="K2665" s="9">
        <v>328</v>
      </c>
      <c r="L2665" s="9">
        <v>2026</v>
      </c>
      <c r="M2665" s="8" t="s">
        <v>15796</v>
      </c>
      <c r="N2665" s="8" t="s">
        <v>37</v>
      </c>
      <c r="O2665" s="8" t="s">
        <v>136</v>
      </c>
      <c r="P2665" s="6" t="s">
        <v>394</v>
      </c>
      <c r="Q2665" s="8" t="s">
        <v>65</v>
      </c>
      <c r="R2665" s="10" t="s">
        <v>15797</v>
      </c>
      <c r="S2665" s="11"/>
      <c r="T2665" s="6"/>
      <c r="U2665" s="15" t="str">
        <f>HYPERLINK("https://media.infra-m.ru/2236/2236168/cover/2236168.jpg", "Обложка")</f>
        <v>Обложка</v>
      </c>
      <c r="V2665" s="8" t="s">
        <v>1184</v>
      </c>
      <c r="W2665" s="6"/>
      <c r="X2665" s="6"/>
      <c r="Y2665" s="6"/>
      <c r="Z2665" s="6"/>
      <c r="AA2665" s="6" t="s">
        <v>76</v>
      </c>
      <c r="AB2665" s="8"/>
      <c r="AC2665" s="27">
        <v>9785001563617</v>
      </c>
    </row>
    <row r="2666" spans="1:29" s="4" customFormat="1" ht="51.9" customHeight="1" x14ac:dyDescent="0.2">
      <c r="A2666" s="5">
        <v>0</v>
      </c>
      <c r="B2666" s="6" t="s">
        <v>15798</v>
      </c>
      <c r="C2666" s="7">
        <v>2944.8</v>
      </c>
      <c r="D2666" s="8" t="s">
        <v>15799</v>
      </c>
      <c r="E2666" s="8" t="s">
        <v>15800</v>
      </c>
      <c r="F2666" s="8" t="s">
        <v>15801</v>
      </c>
      <c r="G2666" s="6" t="s">
        <v>60</v>
      </c>
      <c r="H2666" s="6" t="s">
        <v>134</v>
      </c>
      <c r="I2666" s="8"/>
      <c r="J2666" s="9">
        <v>1</v>
      </c>
      <c r="K2666" s="9">
        <v>424</v>
      </c>
      <c r="L2666" s="9">
        <v>2027</v>
      </c>
      <c r="M2666" s="8" t="s">
        <v>15802</v>
      </c>
      <c r="N2666" s="8" t="s">
        <v>37</v>
      </c>
      <c r="O2666" s="8" t="s">
        <v>136</v>
      </c>
      <c r="P2666" s="6" t="s">
        <v>306</v>
      </c>
      <c r="Q2666" s="8" t="s">
        <v>52</v>
      </c>
      <c r="R2666" s="10" t="s">
        <v>15803</v>
      </c>
      <c r="S2666" s="11" t="s">
        <v>15804</v>
      </c>
      <c r="T2666" s="6"/>
      <c r="U2666" s="15" t="str">
        <f>HYPERLINK("https://media.infra-m.ru/2263/2263916/cover/2263916.jpg", "Обложка")</f>
        <v>Обложка</v>
      </c>
      <c r="V2666" s="8" t="s">
        <v>13400</v>
      </c>
      <c r="W2666" s="6"/>
      <c r="X2666" s="6"/>
      <c r="Y2666" s="6"/>
      <c r="Z2666" s="6"/>
      <c r="AA2666" s="6" t="s">
        <v>258</v>
      </c>
      <c r="AB2666" s="8"/>
      <c r="AC2666" s="27">
        <v>9785001560623</v>
      </c>
    </row>
    <row r="2667" spans="1:29" s="4" customFormat="1" ht="51.9" customHeight="1" x14ac:dyDescent="0.2">
      <c r="A2667" s="5">
        <v>0</v>
      </c>
      <c r="B2667" s="6" t="s">
        <v>15805</v>
      </c>
      <c r="C2667" s="7">
        <v>2448</v>
      </c>
      <c r="D2667" s="8" t="s">
        <v>15806</v>
      </c>
      <c r="E2667" s="8" t="s">
        <v>15800</v>
      </c>
      <c r="F2667" s="8" t="s">
        <v>15807</v>
      </c>
      <c r="G2667" s="6" t="s">
        <v>60</v>
      </c>
      <c r="H2667" s="6" t="s">
        <v>313</v>
      </c>
      <c r="I2667" s="8" t="s">
        <v>253</v>
      </c>
      <c r="J2667" s="9">
        <v>1</v>
      </c>
      <c r="K2667" s="9">
        <v>443</v>
      </c>
      <c r="L2667" s="9">
        <v>2023</v>
      </c>
      <c r="M2667" s="8" t="s">
        <v>15808</v>
      </c>
      <c r="N2667" s="8" t="s">
        <v>37</v>
      </c>
      <c r="O2667" s="8" t="s">
        <v>136</v>
      </c>
      <c r="P2667" s="6" t="s">
        <v>306</v>
      </c>
      <c r="Q2667" s="8" t="s">
        <v>52</v>
      </c>
      <c r="R2667" s="10" t="s">
        <v>15809</v>
      </c>
      <c r="S2667" s="11"/>
      <c r="T2667" s="6" t="s">
        <v>97</v>
      </c>
      <c r="U2667" s="15" t="str">
        <f>HYPERLINK("https://media.infra-m.ru/2109/2109554/cover/2109554.jpg", "Обложка")</f>
        <v>Обложка</v>
      </c>
      <c r="V2667" s="8" t="s">
        <v>257</v>
      </c>
      <c r="W2667" s="6"/>
      <c r="X2667" s="6"/>
      <c r="Y2667" s="6"/>
      <c r="Z2667" s="6"/>
      <c r="AA2667" s="6" t="s">
        <v>1303</v>
      </c>
      <c r="AB2667" s="8"/>
      <c r="AC2667" s="27">
        <v>9785369019238</v>
      </c>
    </row>
    <row r="2668" spans="1:29" s="4" customFormat="1" ht="51.9" customHeight="1" x14ac:dyDescent="0.2">
      <c r="A2668" s="5">
        <v>0</v>
      </c>
      <c r="B2668" s="6" t="s">
        <v>15810</v>
      </c>
      <c r="C2668" s="7">
        <v>2700</v>
      </c>
      <c r="D2668" s="8" t="s">
        <v>15811</v>
      </c>
      <c r="E2668" s="8" t="s">
        <v>15800</v>
      </c>
      <c r="F2668" s="8" t="s">
        <v>15812</v>
      </c>
      <c r="G2668" s="6" t="s">
        <v>60</v>
      </c>
      <c r="H2668" s="6" t="s">
        <v>134</v>
      </c>
      <c r="I2668" s="8"/>
      <c r="J2668" s="9">
        <v>1</v>
      </c>
      <c r="K2668" s="9">
        <v>496</v>
      </c>
      <c r="L2668" s="9">
        <v>2024</v>
      </c>
      <c r="M2668" s="8" t="s">
        <v>15813</v>
      </c>
      <c r="N2668" s="8" t="s">
        <v>37</v>
      </c>
      <c r="O2668" s="8" t="s">
        <v>136</v>
      </c>
      <c r="P2668" s="6" t="s">
        <v>306</v>
      </c>
      <c r="Q2668" s="8" t="s">
        <v>52</v>
      </c>
      <c r="R2668" s="10" t="s">
        <v>15803</v>
      </c>
      <c r="S2668" s="11" t="s">
        <v>15814</v>
      </c>
      <c r="T2668" s="6"/>
      <c r="U2668" s="15" t="str">
        <f>HYPERLINK("https://media.infra-m.ru/2121/2121164/cover/2121164.jpg", "Обложка")</f>
        <v>Обложка</v>
      </c>
      <c r="V2668" s="8" t="s">
        <v>1277</v>
      </c>
      <c r="W2668" s="6"/>
      <c r="X2668" s="6"/>
      <c r="Y2668" s="6"/>
      <c r="Z2668" s="6"/>
      <c r="AA2668" s="6" t="s">
        <v>896</v>
      </c>
      <c r="AB2668" s="8"/>
      <c r="AC2668" s="27">
        <v>9785001561989</v>
      </c>
    </row>
    <row r="2669" spans="1:29" s="4" customFormat="1" ht="51.9" customHeight="1" x14ac:dyDescent="0.2">
      <c r="A2669" s="5">
        <v>0</v>
      </c>
      <c r="B2669" s="6" t="s">
        <v>15815</v>
      </c>
      <c r="C2669" s="7">
        <v>3300</v>
      </c>
      <c r="D2669" s="8" t="s">
        <v>15816</v>
      </c>
      <c r="E2669" s="8" t="s">
        <v>15817</v>
      </c>
      <c r="F2669" s="8" t="s">
        <v>15818</v>
      </c>
      <c r="G2669" s="6" t="s">
        <v>60</v>
      </c>
      <c r="H2669" s="6" t="s">
        <v>134</v>
      </c>
      <c r="I2669" s="8"/>
      <c r="J2669" s="9">
        <v>1</v>
      </c>
      <c r="K2669" s="9">
        <v>528</v>
      </c>
      <c r="L2669" s="9">
        <v>2025</v>
      </c>
      <c r="M2669" s="8" t="s">
        <v>15819</v>
      </c>
      <c r="N2669" s="8" t="s">
        <v>37</v>
      </c>
      <c r="O2669" s="8" t="s">
        <v>136</v>
      </c>
      <c r="P2669" s="6" t="s">
        <v>306</v>
      </c>
      <c r="Q2669" s="8" t="s">
        <v>52</v>
      </c>
      <c r="R2669" s="10" t="s">
        <v>15803</v>
      </c>
      <c r="S2669" s="11" t="s">
        <v>15814</v>
      </c>
      <c r="T2669" s="6"/>
      <c r="U2669" s="15" t="str">
        <f>HYPERLINK("https://media.infra-m.ru/2188/2188397/cover/2188397.jpg", "Обложка")</f>
        <v>Обложка</v>
      </c>
      <c r="V2669" s="8" t="s">
        <v>1277</v>
      </c>
      <c r="W2669" s="6"/>
      <c r="X2669" s="6"/>
      <c r="Y2669" s="6"/>
      <c r="Z2669" s="6"/>
      <c r="AA2669" s="6" t="s">
        <v>1295</v>
      </c>
      <c r="AB2669" s="8"/>
      <c r="AC2669" s="27">
        <v>9785001564188</v>
      </c>
    </row>
    <row r="2670" spans="1:29" s="4" customFormat="1" ht="42" customHeight="1" x14ac:dyDescent="0.2">
      <c r="A2670" s="5">
        <v>0</v>
      </c>
      <c r="B2670" s="6" t="s">
        <v>15820</v>
      </c>
      <c r="C2670" s="7">
        <v>2220</v>
      </c>
      <c r="D2670" s="8" t="s">
        <v>15821</v>
      </c>
      <c r="E2670" s="8" t="s">
        <v>15794</v>
      </c>
      <c r="F2670" s="8" t="s">
        <v>15822</v>
      </c>
      <c r="G2670" s="6" t="s">
        <v>118</v>
      </c>
      <c r="H2670" s="6" t="s">
        <v>313</v>
      </c>
      <c r="I2670" s="8" t="s">
        <v>253</v>
      </c>
      <c r="J2670" s="9">
        <v>1</v>
      </c>
      <c r="K2670" s="9">
        <v>487</v>
      </c>
      <c r="L2670" s="9">
        <v>2022</v>
      </c>
      <c r="M2670" s="8" t="s">
        <v>15823</v>
      </c>
      <c r="N2670" s="8" t="s">
        <v>37</v>
      </c>
      <c r="O2670" s="8" t="s">
        <v>136</v>
      </c>
      <c r="P2670" s="6" t="s">
        <v>306</v>
      </c>
      <c r="Q2670" s="8" t="s">
        <v>52</v>
      </c>
      <c r="R2670" s="10" t="s">
        <v>1255</v>
      </c>
      <c r="S2670" s="11"/>
      <c r="T2670" s="6" t="s">
        <v>97</v>
      </c>
      <c r="U2670" s="15" t="str">
        <f>HYPERLINK("https://media.infra-m.ru/1862/1862171/cover/1862171.jpg", "Обложка")</f>
        <v>Обложка</v>
      </c>
      <c r="V2670" s="8" t="s">
        <v>1184</v>
      </c>
      <c r="W2670" s="6"/>
      <c r="X2670" s="6"/>
      <c r="Y2670" s="6"/>
      <c r="Z2670" s="6"/>
      <c r="AA2670" s="6" t="s">
        <v>430</v>
      </c>
      <c r="AB2670" s="8"/>
      <c r="AC2670" s="27">
        <v>9785369018736</v>
      </c>
    </row>
    <row r="2671" spans="1:29" s="4" customFormat="1" ht="42" customHeight="1" x14ac:dyDescent="0.2">
      <c r="A2671" s="5">
        <v>0</v>
      </c>
      <c r="B2671" s="6" t="s">
        <v>15824</v>
      </c>
      <c r="C2671" s="7">
        <v>2712</v>
      </c>
      <c r="D2671" s="8" t="s">
        <v>15825</v>
      </c>
      <c r="E2671" s="8" t="s">
        <v>15800</v>
      </c>
      <c r="F2671" s="8" t="s">
        <v>15822</v>
      </c>
      <c r="G2671" s="6" t="s">
        <v>60</v>
      </c>
      <c r="H2671" s="6" t="s">
        <v>313</v>
      </c>
      <c r="I2671" s="8" t="s">
        <v>253</v>
      </c>
      <c r="J2671" s="9">
        <v>1</v>
      </c>
      <c r="K2671" s="9">
        <v>491</v>
      </c>
      <c r="L2671" s="9">
        <v>2023</v>
      </c>
      <c r="M2671" s="8" t="s">
        <v>15826</v>
      </c>
      <c r="N2671" s="8" t="s">
        <v>37</v>
      </c>
      <c r="O2671" s="8" t="s">
        <v>136</v>
      </c>
      <c r="P2671" s="6" t="s">
        <v>306</v>
      </c>
      <c r="Q2671" s="8" t="s">
        <v>52</v>
      </c>
      <c r="R2671" s="10" t="s">
        <v>1255</v>
      </c>
      <c r="S2671" s="11"/>
      <c r="T2671" s="6"/>
      <c r="U2671" s="15" t="str">
        <f>HYPERLINK("https://media.infra-m.ru/1939/1939045/cover/1939045.jpg", "Обложка")</f>
        <v>Обложка</v>
      </c>
      <c r="V2671" s="8" t="s">
        <v>1184</v>
      </c>
      <c r="W2671" s="6"/>
      <c r="X2671" s="6"/>
      <c r="Y2671" s="6"/>
      <c r="Z2671" s="6"/>
      <c r="AA2671" s="6" t="s">
        <v>1303</v>
      </c>
      <c r="AB2671" s="8"/>
      <c r="AC2671" s="27">
        <v>9785369019214</v>
      </c>
    </row>
    <row r="2672" spans="1:29" s="4" customFormat="1" ht="42" customHeight="1" x14ac:dyDescent="0.2">
      <c r="A2672" s="5">
        <v>0</v>
      </c>
      <c r="B2672" s="6" t="s">
        <v>15827</v>
      </c>
      <c r="C2672" s="7">
        <v>3324</v>
      </c>
      <c r="D2672" s="8" t="s">
        <v>15828</v>
      </c>
      <c r="E2672" s="8" t="s">
        <v>15817</v>
      </c>
      <c r="F2672" s="8" t="s">
        <v>15822</v>
      </c>
      <c r="G2672" s="6" t="s">
        <v>60</v>
      </c>
      <c r="H2672" s="6" t="s">
        <v>313</v>
      </c>
      <c r="I2672" s="8" t="s">
        <v>253</v>
      </c>
      <c r="J2672" s="9">
        <v>1</v>
      </c>
      <c r="K2672" s="9">
        <v>504</v>
      </c>
      <c r="L2672" s="9">
        <v>2026</v>
      </c>
      <c r="M2672" s="8" t="s">
        <v>15829</v>
      </c>
      <c r="N2672" s="8" t="s">
        <v>37</v>
      </c>
      <c r="O2672" s="8" t="s">
        <v>136</v>
      </c>
      <c r="P2672" s="6" t="s">
        <v>306</v>
      </c>
      <c r="Q2672" s="8" t="s">
        <v>52</v>
      </c>
      <c r="R2672" s="10" t="s">
        <v>1255</v>
      </c>
      <c r="S2672" s="11"/>
      <c r="T2672" s="6"/>
      <c r="U2672" s="15" t="str">
        <f>HYPERLINK("https://media.infra-m.ru/2186/2186021/cover/2186021.jpg", "Обложка")</f>
        <v>Обложка</v>
      </c>
      <c r="V2672" s="8" t="s">
        <v>1184</v>
      </c>
      <c r="W2672" s="6" t="s">
        <v>342</v>
      </c>
      <c r="X2672" s="6"/>
      <c r="Y2672" s="6"/>
      <c r="Z2672" s="6"/>
      <c r="AA2672" s="6" t="s">
        <v>3772</v>
      </c>
      <c r="AB2672" s="8"/>
      <c r="AC2672" s="27">
        <v>9785369019948</v>
      </c>
    </row>
    <row r="2673" spans="1:29" s="4" customFormat="1" ht="42" customHeight="1" x14ac:dyDescent="0.2">
      <c r="A2673" s="5">
        <v>0</v>
      </c>
      <c r="B2673" s="6" t="s">
        <v>15830</v>
      </c>
      <c r="C2673" s="7">
        <v>5184</v>
      </c>
      <c r="D2673" s="8" t="s">
        <v>15831</v>
      </c>
      <c r="E2673" s="8" t="s">
        <v>15800</v>
      </c>
      <c r="F2673" s="8" t="s">
        <v>15832</v>
      </c>
      <c r="G2673" s="6" t="s">
        <v>60</v>
      </c>
      <c r="H2673" s="6" t="s">
        <v>134</v>
      </c>
      <c r="I2673" s="8"/>
      <c r="J2673" s="9">
        <v>1</v>
      </c>
      <c r="K2673" s="9">
        <v>524</v>
      </c>
      <c r="L2673" s="9">
        <v>2026</v>
      </c>
      <c r="M2673" s="8" t="s">
        <v>15833</v>
      </c>
      <c r="N2673" s="8" t="s">
        <v>37</v>
      </c>
      <c r="O2673" s="8" t="s">
        <v>136</v>
      </c>
      <c r="P2673" s="6" t="s">
        <v>306</v>
      </c>
      <c r="Q2673" s="8" t="s">
        <v>265</v>
      </c>
      <c r="R2673" s="10" t="s">
        <v>479</v>
      </c>
      <c r="S2673" s="11"/>
      <c r="T2673" s="6"/>
      <c r="U2673" s="15" t="str">
        <f>HYPERLINK("https://media.infra-m.ru/2234/2234628/cover/2234628.jpg", "Обложка")</f>
        <v>Обложка</v>
      </c>
      <c r="V2673" s="8" t="s">
        <v>1277</v>
      </c>
      <c r="W2673" s="6"/>
      <c r="X2673" s="6"/>
      <c r="Y2673" s="6"/>
      <c r="Z2673" s="6"/>
      <c r="AA2673" s="6" t="s">
        <v>650</v>
      </c>
      <c r="AB2673" s="8"/>
      <c r="AC2673" s="27">
        <v>9785001564317</v>
      </c>
    </row>
    <row r="2674" spans="1:29" s="4" customFormat="1" ht="42" customHeight="1" x14ac:dyDescent="0.2">
      <c r="A2674" s="5">
        <v>0</v>
      </c>
      <c r="B2674" s="6" t="s">
        <v>15834</v>
      </c>
      <c r="C2674" s="7">
        <v>3100.8</v>
      </c>
      <c r="D2674" s="8" t="s">
        <v>15835</v>
      </c>
      <c r="E2674" s="8" t="s">
        <v>15794</v>
      </c>
      <c r="F2674" s="8" t="s">
        <v>15832</v>
      </c>
      <c r="G2674" s="6" t="s">
        <v>118</v>
      </c>
      <c r="H2674" s="6" t="s">
        <v>134</v>
      </c>
      <c r="I2674" s="8"/>
      <c r="J2674" s="9">
        <v>1</v>
      </c>
      <c r="K2674" s="9">
        <v>496</v>
      </c>
      <c r="L2674" s="9">
        <v>2025</v>
      </c>
      <c r="M2674" s="8" t="s">
        <v>15836</v>
      </c>
      <c r="N2674" s="8" t="s">
        <v>37</v>
      </c>
      <c r="O2674" s="8" t="s">
        <v>136</v>
      </c>
      <c r="P2674" s="6" t="s">
        <v>306</v>
      </c>
      <c r="Q2674" s="8" t="s">
        <v>265</v>
      </c>
      <c r="R2674" s="10" t="s">
        <v>479</v>
      </c>
      <c r="S2674" s="11"/>
      <c r="T2674" s="6"/>
      <c r="U2674" s="15" t="str">
        <f>HYPERLINK("https://media.infra-m.ru/2184/2184906/cover/2184906.jpg", "Обложка")</f>
        <v>Обложка</v>
      </c>
      <c r="V2674" s="8" t="s">
        <v>1277</v>
      </c>
      <c r="W2674" s="6"/>
      <c r="X2674" s="6"/>
      <c r="Y2674" s="6"/>
      <c r="Z2674" s="6"/>
      <c r="AA2674" s="6" t="s">
        <v>148</v>
      </c>
      <c r="AB2674" s="8"/>
      <c r="AC2674" s="27">
        <v>9785001562382</v>
      </c>
    </row>
    <row r="2675" spans="1:29" s="4" customFormat="1" ht="51.9" customHeight="1" x14ac:dyDescent="0.2">
      <c r="A2675" s="5">
        <v>0</v>
      </c>
      <c r="B2675" s="6" t="s">
        <v>15837</v>
      </c>
      <c r="C2675" s="7">
        <v>1313.9</v>
      </c>
      <c r="D2675" s="8" t="s">
        <v>15838</v>
      </c>
      <c r="E2675" s="8" t="s">
        <v>15794</v>
      </c>
      <c r="F2675" s="8" t="s">
        <v>15812</v>
      </c>
      <c r="G2675" s="6" t="s">
        <v>60</v>
      </c>
      <c r="H2675" s="6" t="s">
        <v>134</v>
      </c>
      <c r="I2675" s="8"/>
      <c r="J2675" s="9">
        <v>1</v>
      </c>
      <c r="K2675" s="9">
        <v>448</v>
      </c>
      <c r="L2675" s="9">
        <v>2018</v>
      </c>
      <c r="M2675" s="8" t="s">
        <v>15839</v>
      </c>
      <c r="N2675" s="8" t="s">
        <v>37</v>
      </c>
      <c r="O2675" s="8" t="s">
        <v>136</v>
      </c>
      <c r="P2675" s="6" t="s">
        <v>306</v>
      </c>
      <c r="Q2675" s="8" t="s">
        <v>52</v>
      </c>
      <c r="R2675" s="10" t="s">
        <v>15803</v>
      </c>
      <c r="S2675" s="11" t="s">
        <v>15814</v>
      </c>
      <c r="T2675" s="6"/>
      <c r="U2675" s="15" t="str">
        <f>HYPERLINK("https://media.infra-m.ru/0935/0935574/cover/935574.jpg", "Обложка")</f>
        <v>Обложка</v>
      </c>
      <c r="V2675" s="8" t="s">
        <v>1277</v>
      </c>
      <c r="W2675" s="6"/>
      <c r="X2675" s="6"/>
      <c r="Y2675" s="6"/>
      <c r="Z2675" s="6"/>
      <c r="AA2675" s="6" t="s">
        <v>248</v>
      </c>
      <c r="AB2675" s="8"/>
      <c r="AC2675" s="27">
        <v>9785917685106</v>
      </c>
    </row>
    <row r="2676" spans="1:29" s="4" customFormat="1" ht="51.9" customHeight="1" x14ac:dyDescent="0.2">
      <c r="A2676" s="5">
        <v>0</v>
      </c>
      <c r="B2676" s="6" t="s">
        <v>15840</v>
      </c>
      <c r="C2676" s="13">
        <v>887.9</v>
      </c>
      <c r="D2676" s="8" t="s">
        <v>15841</v>
      </c>
      <c r="E2676" s="8" t="s">
        <v>15794</v>
      </c>
      <c r="F2676" s="8" t="s">
        <v>15801</v>
      </c>
      <c r="G2676" s="6" t="s">
        <v>7062</v>
      </c>
      <c r="H2676" s="6" t="s">
        <v>134</v>
      </c>
      <c r="I2676" s="8"/>
      <c r="J2676" s="9">
        <v>10</v>
      </c>
      <c r="K2676" s="9">
        <v>368</v>
      </c>
      <c r="L2676" s="9">
        <v>2016</v>
      </c>
      <c r="M2676" s="8" t="s">
        <v>15842</v>
      </c>
      <c r="N2676" s="8" t="s">
        <v>37</v>
      </c>
      <c r="O2676" s="8" t="s">
        <v>136</v>
      </c>
      <c r="P2676" s="6" t="s">
        <v>306</v>
      </c>
      <c r="Q2676" s="8" t="s">
        <v>52</v>
      </c>
      <c r="R2676" s="10" t="s">
        <v>15803</v>
      </c>
      <c r="S2676" s="11" t="s">
        <v>15804</v>
      </c>
      <c r="T2676" s="6"/>
      <c r="U2676" s="12"/>
      <c r="V2676" s="8" t="s">
        <v>13400</v>
      </c>
      <c r="W2676" s="6"/>
      <c r="X2676" s="6"/>
      <c r="Y2676" s="6"/>
      <c r="Z2676" s="6"/>
      <c r="AA2676" s="6" t="s">
        <v>779</v>
      </c>
      <c r="AB2676" s="8"/>
      <c r="AC2676" s="27">
        <v>9785917686769</v>
      </c>
    </row>
    <row r="2677" spans="1:29" s="4" customFormat="1" ht="51.9" customHeight="1" x14ac:dyDescent="0.2">
      <c r="A2677" s="5">
        <v>0</v>
      </c>
      <c r="B2677" s="6" t="s">
        <v>15843</v>
      </c>
      <c r="C2677" s="7">
        <v>1596</v>
      </c>
      <c r="D2677" s="8" t="s">
        <v>15844</v>
      </c>
      <c r="E2677" s="8" t="s">
        <v>15794</v>
      </c>
      <c r="F2677" s="8" t="s">
        <v>15807</v>
      </c>
      <c r="G2677" s="6" t="s">
        <v>60</v>
      </c>
      <c r="H2677" s="6" t="s">
        <v>313</v>
      </c>
      <c r="I2677" s="8" t="s">
        <v>253</v>
      </c>
      <c r="J2677" s="9">
        <v>1</v>
      </c>
      <c r="K2677" s="9">
        <v>390</v>
      </c>
      <c r="L2677" s="9">
        <v>2020</v>
      </c>
      <c r="M2677" s="8" t="s">
        <v>15845</v>
      </c>
      <c r="N2677" s="8" t="s">
        <v>37</v>
      </c>
      <c r="O2677" s="8" t="s">
        <v>136</v>
      </c>
      <c r="P2677" s="6" t="s">
        <v>306</v>
      </c>
      <c r="Q2677" s="8" t="s">
        <v>52</v>
      </c>
      <c r="R2677" s="10" t="s">
        <v>15809</v>
      </c>
      <c r="S2677" s="11"/>
      <c r="T2677" s="6" t="s">
        <v>97</v>
      </c>
      <c r="U2677" s="15" t="str">
        <f>HYPERLINK("https://media.infra-m.ru/1094/1094315/cover/1094315.jpg", "Обложка")</f>
        <v>Обложка</v>
      </c>
      <c r="V2677" s="8" t="s">
        <v>257</v>
      </c>
      <c r="W2677" s="6"/>
      <c r="X2677" s="6"/>
      <c r="Y2677" s="6"/>
      <c r="Z2677" s="6"/>
      <c r="AA2677" s="6" t="s">
        <v>779</v>
      </c>
      <c r="AB2677" s="8"/>
      <c r="AC2677" s="27">
        <v>9785369014493</v>
      </c>
    </row>
    <row r="2678" spans="1:29" s="4" customFormat="1" ht="51.9" customHeight="1" x14ac:dyDescent="0.2">
      <c r="A2678" s="5">
        <v>0</v>
      </c>
      <c r="B2678" s="6" t="s">
        <v>15846</v>
      </c>
      <c r="C2678" s="13">
        <v>636</v>
      </c>
      <c r="D2678" s="8" t="s">
        <v>15847</v>
      </c>
      <c r="E2678" s="8" t="s">
        <v>15848</v>
      </c>
      <c r="F2678" s="8" t="s">
        <v>15849</v>
      </c>
      <c r="G2678" s="6" t="s">
        <v>33</v>
      </c>
      <c r="H2678" s="6" t="s">
        <v>313</v>
      </c>
      <c r="I2678" s="8" t="s">
        <v>253</v>
      </c>
      <c r="J2678" s="9">
        <v>1</v>
      </c>
      <c r="K2678" s="9">
        <v>112</v>
      </c>
      <c r="L2678" s="9">
        <v>2024</v>
      </c>
      <c r="M2678" s="8" t="s">
        <v>15850</v>
      </c>
      <c r="N2678" s="8" t="s">
        <v>37</v>
      </c>
      <c r="O2678" s="8" t="s">
        <v>136</v>
      </c>
      <c r="P2678" s="6" t="s">
        <v>51</v>
      </c>
      <c r="Q2678" s="8" t="s">
        <v>65</v>
      </c>
      <c r="R2678" s="10" t="s">
        <v>8787</v>
      </c>
      <c r="S2678" s="11"/>
      <c r="T2678" s="6"/>
      <c r="U2678" s="15" t="str">
        <f>HYPERLINK("https://media.infra-m.ru/2136/2136623/cover/2136623.jpg", "Обложка")</f>
        <v>Обложка</v>
      </c>
      <c r="V2678" s="8" t="s">
        <v>9514</v>
      </c>
      <c r="W2678" s="6"/>
      <c r="X2678" s="6"/>
      <c r="Y2678" s="6"/>
      <c r="Z2678" s="6"/>
      <c r="AA2678" s="6" t="s">
        <v>106</v>
      </c>
      <c r="AB2678" s="8"/>
      <c r="AC2678" s="27">
        <v>9785369019597</v>
      </c>
    </row>
    <row r="2679" spans="1:29" s="4" customFormat="1" ht="51.9" customHeight="1" x14ac:dyDescent="0.2">
      <c r="A2679" s="5">
        <v>0</v>
      </c>
      <c r="B2679" s="6" t="s">
        <v>15851</v>
      </c>
      <c r="C2679" s="13">
        <v>360</v>
      </c>
      <c r="D2679" s="8" t="s">
        <v>15852</v>
      </c>
      <c r="E2679" s="8" t="s">
        <v>15853</v>
      </c>
      <c r="F2679" s="8" t="s">
        <v>15849</v>
      </c>
      <c r="G2679" s="6" t="s">
        <v>33</v>
      </c>
      <c r="H2679" s="6" t="s">
        <v>313</v>
      </c>
      <c r="I2679" s="8"/>
      <c r="J2679" s="9">
        <v>1</v>
      </c>
      <c r="K2679" s="9">
        <v>84</v>
      </c>
      <c r="L2679" s="9">
        <v>2019</v>
      </c>
      <c r="M2679" s="8" t="s">
        <v>15854</v>
      </c>
      <c r="N2679" s="8" t="s">
        <v>37</v>
      </c>
      <c r="O2679" s="8" t="s">
        <v>136</v>
      </c>
      <c r="P2679" s="6" t="s">
        <v>51</v>
      </c>
      <c r="Q2679" s="8" t="s">
        <v>52</v>
      </c>
      <c r="R2679" s="10" t="s">
        <v>8787</v>
      </c>
      <c r="S2679" s="11"/>
      <c r="T2679" s="6"/>
      <c r="U2679" s="15" t="str">
        <f>HYPERLINK("https://media.infra-m.ru/1029/1029095/cover/1029095.jpg", "Обложка")</f>
        <v>Обложка</v>
      </c>
      <c r="V2679" s="8" t="s">
        <v>9514</v>
      </c>
      <c r="W2679" s="6"/>
      <c r="X2679" s="6"/>
      <c r="Y2679" s="6"/>
      <c r="Z2679" s="6"/>
      <c r="AA2679" s="6" t="s">
        <v>86</v>
      </c>
      <c r="AB2679" s="8"/>
      <c r="AC2679" s="27">
        <v>9785369017357</v>
      </c>
    </row>
    <row r="2680" spans="1:29" s="4" customFormat="1" ht="51.9" customHeight="1" x14ac:dyDescent="0.2">
      <c r="A2680" s="5">
        <v>0</v>
      </c>
      <c r="B2680" s="6" t="s">
        <v>15855</v>
      </c>
      <c r="C2680" s="7">
        <v>4068</v>
      </c>
      <c r="D2680" s="8" t="s">
        <v>15856</v>
      </c>
      <c r="E2680" s="8" t="s">
        <v>15857</v>
      </c>
      <c r="F2680" s="8" t="s">
        <v>15858</v>
      </c>
      <c r="G2680" s="6" t="s">
        <v>60</v>
      </c>
      <c r="H2680" s="6" t="s">
        <v>134</v>
      </c>
      <c r="I2680" s="8"/>
      <c r="J2680" s="9">
        <v>1</v>
      </c>
      <c r="K2680" s="9">
        <v>704</v>
      </c>
      <c r="L2680" s="9">
        <v>2027</v>
      </c>
      <c r="M2680" s="8" t="s">
        <v>15859</v>
      </c>
      <c r="N2680" s="8" t="s">
        <v>37</v>
      </c>
      <c r="O2680" s="8" t="s">
        <v>136</v>
      </c>
      <c r="P2680" s="6" t="s">
        <v>306</v>
      </c>
      <c r="Q2680" s="8" t="s">
        <v>52</v>
      </c>
      <c r="R2680" s="10" t="s">
        <v>15781</v>
      </c>
      <c r="S2680" s="11"/>
      <c r="T2680" s="6"/>
      <c r="U2680" s="15" t="str">
        <f>HYPERLINK("https://media.infra-m.ru/2262/2262687/cover/2262687.jpg", "Обложка")</f>
        <v>Обложка</v>
      </c>
      <c r="V2680" s="8" t="s">
        <v>1647</v>
      </c>
      <c r="W2680" s="6"/>
      <c r="X2680" s="6"/>
      <c r="Y2680" s="6"/>
      <c r="Z2680" s="6"/>
      <c r="AA2680" s="6" t="s">
        <v>15860</v>
      </c>
      <c r="AB2680" s="8"/>
      <c r="AC2680" s="27">
        <v>9785001562726</v>
      </c>
    </row>
    <row r="2681" spans="1:29" s="4" customFormat="1" ht="42" customHeight="1" x14ac:dyDescent="0.2">
      <c r="A2681" s="5">
        <v>0</v>
      </c>
      <c r="B2681" s="6" t="s">
        <v>15861</v>
      </c>
      <c r="C2681" s="13">
        <v>756</v>
      </c>
      <c r="D2681" s="8" t="s">
        <v>15862</v>
      </c>
      <c r="E2681" s="8" t="s">
        <v>15853</v>
      </c>
      <c r="F2681" s="8" t="s">
        <v>15849</v>
      </c>
      <c r="G2681" s="6" t="s">
        <v>33</v>
      </c>
      <c r="H2681" s="6" t="s">
        <v>313</v>
      </c>
      <c r="I2681" s="8" t="s">
        <v>401</v>
      </c>
      <c r="J2681" s="9">
        <v>1</v>
      </c>
      <c r="K2681" s="9">
        <v>115</v>
      </c>
      <c r="L2681" s="9">
        <v>2025</v>
      </c>
      <c r="M2681" s="8" t="s">
        <v>15863</v>
      </c>
      <c r="N2681" s="8" t="s">
        <v>37</v>
      </c>
      <c r="O2681" s="8" t="s">
        <v>136</v>
      </c>
      <c r="P2681" s="6" t="s">
        <v>51</v>
      </c>
      <c r="Q2681" s="8" t="s">
        <v>265</v>
      </c>
      <c r="R2681" s="10" t="s">
        <v>479</v>
      </c>
      <c r="S2681" s="11"/>
      <c r="T2681" s="6"/>
      <c r="U2681" s="15" t="str">
        <f>HYPERLINK("https://media.infra-m.ru/2185/2185075/cover/2185075.jpg", "Обложка")</f>
        <v>Обложка</v>
      </c>
      <c r="V2681" s="8" t="s">
        <v>9514</v>
      </c>
      <c r="W2681" s="6"/>
      <c r="X2681" s="6"/>
      <c r="Y2681" s="6"/>
      <c r="Z2681" s="6"/>
      <c r="AA2681" s="6" t="s">
        <v>68</v>
      </c>
      <c r="AB2681" s="8"/>
      <c r="AC2681" s="27">
        <v>9785369019917</v>
      </c>
    </row>
    <row r="2682" spans="1:29" s="4" customFormat="1" ht="44.1" customHeight="1" x14ac:dyDescent="0.2">
      <c r="A2682" s="5">
        <v>0</v>
      </c>
      <c r="B2682" s="6" t="s">
        <v>15864</v>
      </c>
      <c r="C2682" s="7">
        <v>2309.9</v>
      </c>
      <c r="D2682" s="8" t="s">
        <v>15865</v>
      </c>
      <c r="E2682" s="8" t="s">
        <v>15866</v>
      </c>
      <c r="F2682" s="8" t="s">
        <v>15867</v>
      </c>
      <c r="G2682" s="6" t="s">
        <v>60</v>
      </c>
      <c r="H2682" s="6" t="s">
        <v>34</v>
      </c>
      <c r="I2682" s="8" t="s">
        <v>35</v>
      </c>
      <c r="J2682" s="9">
        <v>1</v>
      </c>
      <c r="K2682" s="9">
        <v>427</v>
      </c>
      <c r="L2682" s="9">
        <v>2023</v>
      </c>
      <c r="M2682" s="8" t="s">
        <v>15868</v>
      </c>
      <c r="N2682" s="8" t="s">
        <v>37</v>
      </c>
      <c r="O2682" s="8" t="s">
        <v>136</v>
      </c>
      <c r="P2682" s="6" t="s">
        <v>39</v>
      </c>
      <c r="Q2682" s="8" t="s">
        <v>40</v>
      </c>
      <c r="R2682" s="10" t="s">
        <v>6217</v>
      </c>
      <c r="S2682" s="11"/>
      <c r="T2682" s="6"/>
      <c r="U2682" s="15" t="str">
        <f>HYPERLINK("https://media.infra-m.ru/2044/2044343/cover/2044343.jpg", "Обложка")</f>
        <v>Обложка</v>
      </c>
      <c r="V2682" s="8" t="s">
        <v>227</v>
      </c>
      <c r="W2682" s="6"/>
      <c r="X2682" s="6"/>
      <c r="Y2682" s="6"/>
      <c r="Z2682" s="6"/>
      <c r="AA2682" s="6" t="s">
        <v>55</v>
      </c>
      <c r="AB2682" s="8"/>
      <c r="AC2682" s="27">
        <v>9785160061207</v>
      </c>
    </row>
    <row r="2683" spans="1:29" s="4" customFormat="1" ht="42" customHeight="1" x14ac:dyDescent="0.2">
      <c r="A2683" s="5">
        <v>0</v>
      </c>
      <c r="B2683" s="6" t="s">
        <v>15869</v>
      </c>
      <c r="C2683" s="7">
        <v>2232</v>
      </c>
      <c r="D2683" s="8" t="s">
        <v>15870</v>
      </c>
      <c r="E2683" s="8" t="s">
        <v>15871</v>
      </c>
      <c r="F2683" s="8" t="s">
        <v>15822</v>
      </c>
      <c r="G2683" s="6" t="s">
        <v>60</v>
      </c>
      <c r="H2683" s="6" t="s">
        <v>313</v>
      </c>
      <c r="I2683" s="8" t="s">
        <v>401</v>
      </c>
      <c r="J2683" s="9">
        <v>1</v>
      </c>
      <c r="K2683" s="9">
        <v>398</v>
      </c>
      <c r="L2683" s="9">
        <v>2022</v>
      </c>
      <c r="M2683" s="8" t="s">
        <v>15872</v>
      </c>
      <c r="N2683" s="8" t="s">
        <v>37</v>
      </c>
      <c r="O2683" s="8" t="s">
        <v>136</v>
      </c>
      <c r="P2683" s="6" t="s">
        <v>306</v>
      </c>
      <c r="Q2683" s="8" t="s">
        <v>265</v>
      </c>
      <c r="R2683" s="10" t="s">
        <v>15873</v>
      </c>
      <c r="S2683" s="11"/>
      <c r="T2683" s="6"/>
      <c r="U2683" s="15" t="str">
        <f>HYPERLINK("https://media.infra-m.ru/1850/1850574/cover/1850574.jpg", "Обложка")</f>
        <v>Обложка</v>
      </c>
      <c r="V2683" s="8" t="s">
        <v>1184</v>
      </c>
      <c r="W2683" s="6"/>
      <c r="X2683" s="6"/>
      <c r="Y2683" s="6"/>
      <c r="Z2683" s="6" t="s">
        <v>267</v>
      </c>
      <c r="AA2683" s="6" t="s">
        <v>148</v>
      </c>
      <c r="AB2683" s="8"/>
      <c r="AC2683" s="27">
        <v>9785369018903</v>
      </c>
    </row>
    <row r="2684" spans="1:29" s="4" customFormat="1" ht="42" customHeight="1" x14ac:dyDescent="0.2">
      <c r="A2684" s="5">
        <v>0</v>
      </c>
      <c r="B2684" s="6" t="s">
        <v>15874</v>
      </c>
      <c r="C2684" s="7">
        <v>2388</v>
      </c>
      <c r="D2684" s="8" t="s">
        <v>15875</v>
      </c>
      <c r="E2684" s="8" t="s">
        <v>15876</v>
      </c>
      <c r="F2684" s="8" t="s">
        <v>15822</v>
      </c>
      <c r="G2684" s="6" t="s">
        <v>60</v>
      </c>
      <c r="H2684" s="6" t="s">
        <v>313</v>
      </c>
      <c r="I2684" s="8" t="s">
        <v>401</v>
      </c>
      <c r="J2684" s="9">
        <v>1</v>
      </c>
      <c r="K2684" s="9">
        <v>402</v>
      </c>
      <c r="L2684" s="9">
        <v>2024</v>
      </c>
      <c r="M2684" s="8" t="s">
        <v>15877</v>
      </c>
      <c r="N2684" s="8" t="s">
        <v>37</v>
      </c>
      <c r="O2684" s="8" t="s">
        <v>136</v>
      </c>
      <c r="P2684" s="6" t="s">
        <v>306</v>
      </c>
      <c r="Q2684" s="8" t="s">
        <v>265</v>
      </c>
      <c r="R2684" s="10" t="s">
        <v>15873</v>
      </c>
      <c r="S2684" s="11"/>
      <c r="T2684" s="6"/>
      <c r="U2684" s="15" t="str">
        <f>HYPERLINK("https://media.infra-m.ru/2185/2185019/cover/2185019.jpg", "Обложка")</f>
        <v>Обложка</v>
      </c>
      <c r="V2684" s="8" t="s">
        <v>1184</v>
      </c>
      <c r="W2684" s="6"/>
      <c r="X2684" s="6"/>
      <c r="Y2684" s="6"/>
      <c r="Z2684" s="6" t="s">
        <v>267</v>
      </c>
      <c r="AA2684" s="6" t="s">
        <v>106</v>
      </c>
      <c r="AB2684" s="8"/>
      <c r="AC2684" s="27">
        <v>9785369019412</v>
      </c>
    </row>
    <row r="2685" spans="1:29" s="4" customFormat="1" ht="42" customHeight="1" x14ac:dyDescent="0.2">
      <c r="A2685" s="5">
        <v>0</v>
      </c>
      <c r="B2685" s="6" t="s">
        <v>15878</v>
      </c>
      <c r="C2685" s="7">
        <v>2676</v>
      </c>
      <c r="D2685" s="8" t="s">
        <v>15879</v>
      </c>
      <c r="E2685" s="8" t="s">
        <v>15880</v>
      </c>
      <c r="F2685" s="8" t="s">
        <v>15822</v>
      </c>
      <c r="G2685" s="6" t="s">
        <v>60</v>
      </c>
      <c r="H2685" s="6" t="s">
        <v>313</v>
      </c>
      <c r="I2685" s="8" t="s">
        <v>401</v>
      </c>
      <c r="J2685" s="9">
        <v>1</v>
      </c>
      <c r="K2685" s="9">
        <v>405</v>
      </c>
      <c r="L2685" s="9">
        <v>2026</v>
      </c>
      <c r="M2685" s="8" t="s">
        <v>15881</v>
      </c>
      <c r="N2685" s="8" t="s">
        <v>37</v>
      </c>
      <c r="O2685" s="8" t="s">
        <v>136</v>
      </c>
      <c r="P2685" s="6" t="s">
        <v>306</v>
      </c>
      <c r="Q2685" s="8" t="s">
        <v>265</v>
      </c>
      <c r="R2685" s="10" t="s">
        <v>15873</v>
      </c>
      <c r="S2685" s="11"/>
      <c r="T2685" s="6"/>
      <c r="U2685" s="15" t="str">
        <f>HYPERLINK("https://media.infra-m.ru/2238/2238686/cover/2238686.jpg", "Обложка")</f>
        <v>Обложка</v>
      </c>
      <c r="V2685" s="8" t="s">
        <v>1184</v>
      </c>
      <c r="W2685" s="6"/>
      <c r="X2685" s="6"/>
      <c r="Y2685" s="6"/>
      <c r="Z2685" s="6" t="s">
        <v>267</v>
      </c>
      <c r="AA2685" s="6" t="s">
        <v>1295</v>
      </c>
      <c r="AB2685" s="8"/>
      <c r="AC2685" s="27">
        <v>9785369019818</v>
      </c>
    </row>
    <row r="2686" spans="1:29" s="4" customFormat="1" ht="51.9" customHeight="1" x14ac:dyDescent="0.2">
      <c r="A2686" s="5">
        <v>0</v>
      </c>
      <c r="B2686" s="6" t="s">
        <v>15882</v>
      </c>
      <c r="C2686" s="7">
        <v>1056</v>
      </c>
      <c r="D2686" s="8" t="s">
        <v>15883</v>
      </c>
      <c r="E2686" s="8" t="s">
        <v>15884</v>
      </c>
      <c r="F2686" s="8" t="s">
        <v>8720</v>
      </c>
      <c r="G2686" s="6" t="s">
        <v>60</v>
      </c>
      <c r="H2686" s="6" t="s">
        <v>34</v>
      </c>
      <c r="I2686" s="8" t="s">
        <v>35</v>
      </c>
      <c r="J2686" s="9">
        <v>1</v>
      </c>
      <c r="K2686" s="9">
        <v>197</v>
      </c>
      <c r="L2686" s="9">
        <v>2022</v>
      </c>
      <c r="M2686" s="8" t="s">
        <v>15885</v>
      </c>
      <c r="N2686" s="8" t="s">
        <v>37</v>
      </c>
      <c r="O2686" s="8" t="s">
        <v>136</v>
      </c>
      <c r="P2686" s="6" t="s">
        <v>39</v>
      </c>
      <c r="Q2686" s="8" t="s">
        <v>40</v>
      </c>
      <c r="R2686" s="10" t="s">
        <v>15886</v>
      </c>
      <c r="S2686" s="11"/>
      <c r="T2686" s="6"/>
      <c r="U2686" s="15" t="str">
        <f>HYPERLINK("https://media.infra-m.ru/1859/1859643/cover/1859643.jpg", "Обложка")</f>
        <v>Обложка</v>
      </c>
      <c r="V2686" s="8" t="s">
        <v>8723</v>
      </c>
      <c r="W2686" s="6"/>
      <c r="X2686" s="6"/>
      <c r="Y2686" s="6"/>
      <c r="Z2686" s="6"/>
      <c r="AA2686" s="6" t="s">
        <v>148</v>
      </c>
      <c r="AB2686" s="8"/>
      <c r="AC2686" s="27">
        <v>9785160175164</v>
      </c>
    </row>
    <row r="2687" spans="1:29" s="4" customFormat="1" ht="42" customHeight="1" x14ac:dyDescent="0.2">
      <c r="A2687" s="5">
        <v>0</v>
      </c>
      <c r="B2687" s="6" t="s">
        <v>15887</v>
      </c>
      <c r="C2687" s="7">
        <v>2620.8000000000002</v>
      </c>
      <c r="D2687" s="8" t="s">
        <v>15888</v>
      </c>
      <c r="E2687" s="8" t="s">
        <v>15889</v>
      </c>
      <c r="F2687" s="8" t="s">
        <v>15890</v>
      </c>
      <c r="G2687" s="6" t="s">
        <v>60</v>
      </c>
      <c r="H2687" s="6" t="s">
        <v>134</v>
      </c>
      <c r="I2687" s="8"/>
      <c r="J2687" s="9">
        <v>1</v>
      </c>
      <c r="K2687" s="9">
        <v>496</v>
      </c>
      <c r="L2687" s="9">
        <v>2024</v>
      </c>
      <c r="M2687" s="8" t="s">
        <v>15891</v>
      </c>
      <c r="N2687" s="8" t="s">
        <v>37</v>
      </c>
      <c r="O2687" s="8" t="s">
        <v>136</v>
      </c>
      <c r="P2687" s="6" t="s">
        <v>39</v>
      </c>
      <c r="Q2687" s="8" t="s">
        <v>40</v>
      </c>
      <c r="R2687" s="10" t="s">
        <v>1631</v>
      </c>
      <c r="S2687" s="11"/>
      <c r="T2687" s="6"/>
      <c r="U2687" s="15" t="str">
        <f>HYPERLINK("https://media.infra-m.ru/2115/2115200/cover/2115200.jpg", "Обложка")</f>
        <v>Обложка</v>
      </c>
      <c r="V2687" s="8" t="s">
        <v>1647</v>
      </c>
      <c r="W2687" s="6"/>
      <c r="X2687" s="6"/>
      <c r="Y2687" s="6"/>
      <c r="Z2687" s="6"/>
      <c r="AA2687" s="6" t="s">
        <v>1506</v>
      </c>
      <c r="AB2687" s="8"/>
      <c r="AC2687" s="27">
        <v>9785917687483</v>
      </c>
    </row>
    <row r="2688" spans="1:29" s="4" customFormat="1" ht="51.9" customHeight="1" x14ac:dyDescent="0.2">
      <c r="A2688" s="5">
        <v>0</v>
      </c>
      <c r="B2688" s="6" t="s">
        <v>15892</v>
      </c>
      <c r="C2688" s="13">
        <v>684</v>
      </c>
      <c r="D2688" s="8" t="s">
        <v>15893</v>
      </c>
      <c r="E2688" s="8" t="s">
        <v>15894</v>
      </c>
      <c r="F2688" s="8" t="s">
        <v>15895</v>
      </c>
      <c r="G2688" s="6" t="s">
        <v>33</v>
      </c>
      <c r="H2688" s="6" t="s">
        <v>241</v>
      </c>
      <c r="I2688" s="8" t="s">
        <v>3496</v>
      </c>
      <c r="J2688" s="9">
        <v>1</v>
      </c>
      <c r="K2688" s="9">
        <v>116</v>
      </c>
      <c r="L2688" s="9">
        <v>2024</v>
      </c>
      <c r="M2688" s="8" t="s">
        <v>15896</v>
      </c>
      <c r="N2688" s="8" t="s">
        <v>37</v>
      </c>
      <c r="O2688" s="8" t="s">
        <v>136</v>
      </c>
      <c r="P2688" s="6" t="s">
        <v>39</v>
      </c>
      <c r="Q2688" s="8" t="s">
        <v>40</v>
      </c>
      <c r="R2688" s="10" t="s">
        <v>6521</v>
      </c>
      <c r="S2688" s="11"/>
      <c r="T2688" s="6"/>
      <c r="U2688" s="15" t="str">
        <f>HYPERLINK("https://media.infra-m.ru/2086/2086792/cover/2086792.jpg", "Обложка")</f>
        <v>Обложка</v>
      </c>
      <c r="V2688" s="8" t="s">
        <v>1184</v>
      </c>
      <c r="W2688" s="6"/>
      <c r="X2688" s="6"/>
      <c r="Y2688" s="6"/>
      <c r="Z2688" s="6"/>
      <c r="AA2688" s="6" t="s">
        <v>360</v>
      </c>
      <c r="AB2688" s="8"/>
      <c r="AC2688" s="27">
        <v>9785955804699</v>
      </c>
    </row>
    <row r="2689" spans="1:29" s="4" customFormat="1" ht="51.9" customHeight="1" x14ac:dyDescent="0.2">
      <c r="A2689" s="5">
        <v>0</v>
      </c>
      <c r="B2689" s="6" t="s">
        <v>15897</v>
      </c>
      <c r="C2689" s="7">
        <v>1780.8</v>
      </c>
      <c r="D2689" s="8" t="s">
        <v>15898</v>
      </c>
      <c r="E2689" s="8" t="s">
        <v>15899</v>
      </c>
      <c r="F2689" s="8" t="s">
        <v>15900</v>
      </c>
      <c r="G2689" s="6" t="s">
        <v>60</v>
      </c>
      <c r="H2689" s="6" t="s">
        <v>134</v>
      </c>
      <c r="I2689" s="8"/>
      <c r="J2689" s="9">
        <v>1</v>
      </c>
      <c r="K2689" s="9">
        <v>256</v>
      </c>
      <c r="L2689" s="9">
        <v>2026</v>
      </c>
      <c r="M2689" s="8" t="s">
        <v>15901</v>
      </c>
      <c r="N2689" s="8" t="s">
        <v>37</v>
      </c>
      <c r="O2689" s="8" t="s">
        <v>136</v>
      </c>
      <c r="P2689" s="6" t="s">
        <v>51</v>
      </c>
      <c r="Q2689" s="8" t="s">
        <v>52</v>
      </c>
      <c r="R2689" s="10" t="s">
        <v>15902</v>
      </c>
      <c r="S2689" s="11"/>
      <c r="T2689" s="6"/>
      <c r="U2689" s="15" t="str">
        <f>HYPERLINK("https://media.infra-m.ru/2260/2260899/cover/2260899.jpg", "Обложка")</f>
        <v>Обложка</v>
      </c>
      <c r="V2689" s="8" t="s">
        <v>1184</v>
      </c>
      <c r="W2689" s="6"/>
      <c r="X2689" s="6"/>
      <c r="Y2689" s="6"/>
      <c r="Z2689" s="6"/>
      <c r="AA2689" s="6" t="s">
        <v>1303</v>
      </c>
      <c r="AB2689" s="8"/>
      <c r="AC2689" s="27">
        <v>9785001563037</v>
      </c>
    </row>
    <row r="2690" spans="1:29" s="4" customFormat="1" ht="51.9" customHeight="1" x14ac:dyDescent="0.2">
      <c r="A2690" s="5">
        <v>0</v>
      </c>
      <c r="B2690" s="6" t="s">
        <v>15903</v>
      </c>
      <c r="C2690" s="13">
        <v>552</v>
      </c>
      <c r="D2690" s="8" t="s">
        <v>15904</v>
      </c>
      <c r="E2690" s="8" t="s">
        <v>15905</v>
      </c>
      <c r="F2690" s="8" t="s">
        <v>15906</v>
      </c>
      <c r="G2690" s="6" t="s">
        <v>33</v>
      </c>
      <c r="H2690" s="6" t="s">
        <v>134</v>
      </c>
      <c r="I2690" s="8"/>
      <c r="J2690" s="9">
        <v>1</v>
      </c>
      <c r="K2690" s="9">
        <v>128</v>
      </c>
      <c r="L2690" s="9">
        <v>2021</v>
      </c>
      <c r="M2690" s="8" t="s">
        <v>15907</v>
      </c>
      <c r="N2690" s="8" t="s">
        <v>37</v>
      </c>
      <c r="O2690" s="8" t="s">
        <v>136</v>
      </c>
      <c r="P2690" s="6" t="s">
        <v>306</v>
      </c>
      <c r="Q2690" s="8" t="s">
        <v>500</v>
      </c>
      <c r="R2690" s="10" t="s">
        <v>15908</v>
      </c>
      <c r="S2690" s="11" t="s">
        <v>15909</v>
      </c>
      <c r="T2690" s="6"/>
      <c r="U2690" s="15" t="str">
        <f>HYPERLINK("https://media.infra-m.ru/1216/1216930/cover/1216930.jpg", "Обложка")</f>
        <v>Обложка</v>
      </c>
      <c r="V2690" s="8" t="s">
        <v>1184</v>
      </c>
      <c r="W2690" s="6"/>
      <c r="X2690" s="6"/>
      <c r="Y2690" s="6"/>
      <c r="Z2690" s="6"/>
      <c r="AA2690" s="6" t="s">
        <v>779</v>
      </c>
      <c r="AB2690" s="8"/>
      <c r="AC2690" s="27">
        <v>9785917686714</v>
      </c>
    </row>
    <row r="2691" spans="1:29" s="4" customFormat="1" ht="51.9" customHeight="1" x14ac:dyDescent="0.2">
      <c r="A2691" s="5">
        <v>0</v>
      </c>
      <c r="B2691" s="6" t="s">
        <v>15910</v>
      </c>
      <c r="C2691" s="7">
        <v>2380.8000000000002</v>
      </c>
      <c r="D2691" s="8" t="s">
        <v>15911</v>
      </c>
      <c r="E2691" s="8" t="s">
        <v>15912</v>
      </c>
      <c r="F2691" s="8" t="s">
        <v>1442</v>
      </c>
      <c r="G2691" s="6" t="s">
        <v>60</v>
      </c>
      <c r="H2691" s="6" t="s">
        <v>34</v>
      </c>
      <c r="I2691" s="8" t="s">
        <v>5350</v>
      </c>
      <c r="J2691" s="9">
        <v>1</v>
      </c>
      <c r="K2691" s="9">
        <v>396</v>
      </c>
      <c r="L2691" s="9">
        <v>2025</v>
      </c>
      <c r="M2691" s="8" t="s">
        <v>15913</v>
      </c>
      <c r="N2691" s="8" t="s">
        <v>37</v>
      </c>
      <c r="O2691" s="8" t="s">
        <v>136</v>
      </c>
      <c r="P2691" s="6" t="s">
        <v>306</v>
      </c>
      <c r="Q2691" s="8" t="s">
        <v>377</v>
      </c>
      <c r="R2691" s="10" t="s">
        <v>15914</v>
      </c>
      <c r="S2691" s="11" t="s">
        <v>15915</v>
      </c>
      <c r="T2691" s="6"/>
      <c r="U2691" s="15" t="str">
        <f>HYPERLINK("https://media.infra-m.ru/2165/2165164/cover/2165164.jpg", "Обложка")</f>
        <v>Обложка</v>
      </c>
      <c r="V2691" s="8" t="s">
        <v>657</v>
      </c>
      <c r="W2691" s="6"/>
      <c r="X2691" s="6"/>
      <c r="Y2691" s="6"/>
      <c r="Z2691" s="6"/>
      <c r="AA2691" s="6" t="s">
        <v>896</v>
      </c>
      <c r="AB2691" s="8"/>
      <c r="AC2691" s="27">
        <v>9785160176642</v>
      </c>
    </row>
    <row r="2692" spans="1:29" s="4" customFormat="1" ht="51.9" customHeight="1" x14ac:dyDescent="0.2">
      <c r="A2692" s="5">
        <v>0</v>
      </c>
      <c r="B2692" s="6" t="s">
        <v>15916</v>
      </c>
      <c r="C2692" s="7">
        <v>1620</v>
      </c>
      <c r="D2692" s="8" t="s">
        <v>15917</v>
      </c>
      <c r="E2692" s="8" t="s">
        <v>15918</v>
      </c>
      <c r="F2692" s="8" t="s">
        <v>1442</v>
      </c>
      <c r="G2692" s="6" t="s">
        <v>118</v>
      </c>
      <c r="H2692" s="6" t="s">
        <v>34</v>
      </c>
      <c r="I2692" s="8" t="s">
        <v>5350</v>
      </c>
      <c r="J2692" s="9">
        <v>1</v>
      </c>
      <c r="K2692" s="9">
        <v>363</v>
      </c>
      <c r="L2692" s="9">
        <v>2021</v>
      </c>
      <c r="M2692" s="8" t="s">
        <v>15919</v>
      </c>
      <c r="N2692" s="8" t="s">
        <v>37</v>
      </c>
      <c r="O2692" s="8" t="s">
        <v>136</v>
      </c>
      <c r="P2692" s="6" t="s">
        <v>51</v>
      </c>
      <c r="Q2692" s="8" t="s">
        <v>377</v>
      </c>
      <c r="R2692" s="10" t="s">
        <v>15914</v>
      </c>
      <c r="S2692" s="11" t="s">
        <v>15920</v>
      </c>
      <c r="T2692" s="6"/>
      <c r="U2692" s="15" t="str">
        <f>HYPERLINK("https://media.infra-m.ru/1088/1088377/cover/1088377.jpg", "Обложка")</f>
        <v>Обложка</v>
      </c>
      <c r="V2692" s="8" t="s">
        <v>657</v>
      </c>
      <c r="W2692" s="6"/>
      <c r="X2692" s="6"/>
      <c r="Y2692" s="6"/>
      <c r="Z2692" s="6"/>
      <c r="AA2692" s="6" t="s">
        <v>1256</v>
      </c>
      <c r="AB2692" s="8"/>
      <c r="AC2692" s="27">
        <v>9785160144658</v>
      </c>
    </row>
    <row r="2693" spans="1:29" s="4" customFormat="1" ht="51.9" customHeight="1" x14ac:dyDescent="0.2">
      <c r="A2693" s="5">
        <v>0</v>
      </c>
      <c r="B2693" s="6" t="s">
        <v>15921</v>
      </c>
      <c r="C2693" s="7">
        <v>1827.5</v>
      </c>
      <c r="D2693" s="8" t="s">
        <v>15922</v>
      </c>
      <c r="E2693" s="8" t="s">
        <v>15923</v>
      </c>
      <c r="F2693" s="8" t="s">
        <v>15924</v>
      </c>
      <c r="G2693" s="6" t="s">
        <v>60</v>
      </c>
      <c r="H2693" s="6" t="s">
        <v>134</v>
      </c>
      <c r="I2693" s="8"/>
      <c r="J2693" s="9">
        <v>1</v>
      </c>
      <c r="K2693" s="9">
        <v>448</v>
      </c>
      <c r="L2693" s="9">
        <v>2019</v>
      </c>
      <c r="M2693" s="8" t="s">
        <v>15925</v>
      </c>
      <c r="N2693" s="8" t="s">
        <v>37</v>
      </c>
      <c r="O2693" s="8" t="s">
        <v>136</v>
      </c>
      <c r="P2693" s="6" t="s">
        <v>39</v>
      </c>
      <c r="Q2693" s="8" t="s">
        <v>40</v>
      </c>
      <c r="R2693" s="10" t="s">
        <v>15926</v>
      </c>
      <c r="S2693" s="11"/>
      <c r="T2693" s="6"/>
      <c r="U2693" s="15" t="str">
        <f>HYPERLINK("https://media.infra-m.ru/1008/1008822/cover/1008822.jpg", "Обложка")</f>
        <v>Обложка</v>
      </c>
      <c r="V2693" s="8" t="s">
        <v>677</v>
      </c>
      <c r="W2693" s="6"/>
      <c r="X2693" s="6"/>
      <c r="Y2693" s="6"/>
      <c r="Z2693" s="6"/>
      <c r="AA2693" s="6" t="s">
        <v>2240</v>
      </c>
      <c r="AB2693" s="8"/>
      <c r="AC2693" s="27">
        <v>9785917689937</v>
      </c>
    </row>
    <row r="2694" spans="1:29" s="4" customFormat="1" ht="51.9" customHeight="1" x14ac:dyDescent="0.2">
      <c r="A2694" s="5">
        <v>0</v>
      </c>
      <c r="B2694" s="6" t="s">
        <v>15927</v>
      </c>
      <c r="C2694" s="13">
        <v>924</v>
      </c>
      <c r="D2694" s="8" t="s">
        <v>15928</v>
      </c>
      <c r="E2694" s="8" t="s">
        <v>15929</v>
      </c>
      <c r="F2694" s="8" t="s">
        <v>15900</v>
      </c>
      <c r="G2694" s="6" t="s">
        <v>60</v>
      </c>
      <c r="H2694" s="6" t="s">
        <v>134</v>
      </c>
      <c r="I2694" s="8"/>
      <c r="J2694" s="9">
        <v>1</v>
      </c>
      <c r="K2694" s="9">
        <v>224</v>
      </c>
      <c r="L2694" s="9">
        <v>2020</v>
      </c>
      <c r="M2694" s="8" t="s">
        <v>15930</v>
      </c>
      <c r="N2694" s="8" t="s">
        <v>37</v>
      </c>
      <c r="O2694" s="8" t="s">
        <v>136</v>
      </c>
      <c r="P2694" s="6" t="s">
        <v>51</v>
      </c>
      <c r="Q2694" s="8" t="s">
        <v>52</v>
      </c>
      <c r="R2694" s="10" t="s">
        <v>15902</v>
      </c>
      <c r="S2694" s="11"/>
      <c r="T2694" s="6"/>
      <c r="U2694" s="15" t="str">
        <f>HYPERLINK("https://media.infra-m.ru/1063/1063769/cover/1063769.jpg", "Обложка")</f>
        <v>Обложка</v>
      </c>
      <c r="V2694" s="8" t="s">
        <v>1184</v>
      </c>
      <c r="W2694" s="6"/>
      <c r="X2694" s="6"/>
      <c r="Y2694" s="6"/>
      <c r="Z2694" s="6"/>
      <c r="AA2694" s="6" t="s">
        <v>86</v>
      </c>
      <c r="AB2694" s="8"/>
      <c r="AC2694" s="27">
        <v>9785917689630</v>
      </c>
    </row>
    <row r="2695" spans="1:29" s="4" customFormat="1" ht="51.9" customHeight="1" x14ac:dyDescent="0.2">
      <c r="A2695" s="5">
        <v>0</v>
      </c>
      <c r="B2695" s="6" t="s">
        <v>15931</v>
      </c>
      <c r="C2695" s="7">
        <v>1517.9</v>
      </c>
      <c r="D2695" s="8" t="s">
        <v>15932</v>
      </c>
      <c r="E2695" s="8" t="s">
        <v>15933</v>
      </c>
      <c r="F2695" s="8" t="s">
        <v>15934</v>
      </c>
      <c r="G2695" s="6" t="s">
        <v>60</v>
      </c>
      <c r="H2695" s="6" t="s">
        <v>34</v>
      </c>
      <c r="I2695" s="8" t="s">
        <v>1074</v>
      </c>
      <c r="J2695" s="9">
        <v>1</v>
      </c>
      <c r="K2695" s="9">
        <v>280</v>
      </c>
      <c r="L2695" s="9">
        <v>2023</v>
      </c>
      <c r="M2695" s="8" t="s">
        <v>15935</v>
      </c>
      <c r="N2695" s="8" t="s">
        <v>37</v>
      </c>
      <c r="O2695" s="8" t="s">
        <v>136</v>
      </c>
      <c r="P2695" s="6" t="s">
        <v>39</v>
      </c>
      <c r="Q2695" s="8" t="s">
        <v>40</v>
      </c>
      <c r="R2695" s="10" t="s">
        <v>15936</v>
      </c>
      <c r="S2695" s="11"/>
      <c r="T2695" s="6"/>
      <c r="U2695" s="15" t="str">
        <f>HYPERLINK("https://media.infra-m.ru/1976/1976147/cover/1976147.jpg", "Обложка")</f>
        <v>Обложка</v>
      </c>
      <c r="V2695" s="8" t="s">
        <v>138</v>
      </c>
      <c r="W2695" s="6"/>
      <c r="X2695" s="6"/>
      <c r="Y2695" s="6"/>
      <c r="Z2695" s="6"/>
      <c r="AA2695" s="6" t="s">
        <v>115</v>
      </c>
      <c r="AB2695" s="8"/>
      <c r="AC2695" s="27">
        <v>9785160151243</v>
      </c>
    </row>
    <row r="2696" spans="1:29" s="4" customFormat="1" ht="51.9" customHeight="1" x14ac:dyDescent="0.2">
      <c r="A2696" s="5">
        <v>0</v>
      </c>
      <c r="B2696" s="6" t="s">
        <v>15937</v>
      </c>
      <c r="C2696" s="13">
        <v>604.79999999999995</v>
      </c>
      <c r="D2696" s="8" t="s">
        <v>15938</v>
      </c>
      <c r="E2696" s="8" t="s">
        <v>15939</v>
      </c>
      <c r="F2696" s="8" t="s">
        <v>15940</v>
      </c>
      <c r="G2696" s="6" t="s">
        <v>33</v>
      </c>
      <c r="H2696" s="6" t="s">
        <v>134</v>
      </c>
      <c r="I2696" s="8"/>
      <c r="J2696" s="9">
        <v>1</v>
      </c>
      <c r="K2696" s="9">
        <v>92</v>
      </c>
      <c r="L2696" s="9">
        <v>2026</v>
      </c>
      <c r="M2696" s="8" t="s">
        <v>15941</v>
      </c>
      <c r="N2696" s="8" t="s">
        <v>37</v>
      </c>
      <c r="O2696" s="8" t="s">
        <v>136</v>
      </c>
      <c r="P2696" s="6" t="s">
        <v>39</v>
      </c>
      <c r="Q2696" s="8" t="s">
        <v>40</v>
      </c>
      <c r="R2696" s="10" t="s">
        <v>4348</v>
      </c>
      <c r="S2696" s="11"/>
      <c r="T2696" s="6"/>
      <c r="U2696" s="15" t="str">
        <f>HYPERLINK("https://media.infra-m.ru/2236/2236140/cover/2236140.jpg", "Обложка")</f>
        <v>Обложка</v>
      </c>
      <c r="V2696" s="8"/>
      <c r="W2696" s="6"/>
      <c r="X2696" s="6"/>
      <c r="Y2696" s="6"/>
      <c r="Z2696" s="6"/>
      <c r="AA2696" s="6" t="s">
        <v>148</v>
      </c>
      <c r="AB2696" s="8"/>
      <c r="AC2696" s="27">
        <v>9785001562269</v>
      </c>
    </row>
    <row r="2697" spans="1:29" s="4" customFormat="1" ht="42" customHeight="1" x14ac:dyDescent="0.2">
      <c r="A2697" s="5">
        <v>0</v>
      </c>
      <c r="B2697" s="6" t="s">
        <v>15942</v>
      </c>
      <c r="C2697" s="7">
        <v>1144.8</v>
      </c>
      <c r="D2697" s="8" t="s">
        <v>15943</v>
      </c>
      <c r="E2697" s="8" t="s">
        <v>15944</v>
      </c>
      <c r="F2697" s="8" t="s">
        <v>15945</v>
      </c>
      <c r="G2697" s="6" t="s">
        <v>118</v>
      </c>
      <c r="H2697" s="6" t="s">
        <v>134</v>
      </c>
      <c r="I2697" s="8"/>
      <c r="J2697" s="9">
        <v>1</v>
      </c>
      <c r="K2697" s="9">
        <v>184</v>
      </c>
      <c r="L2697" s="9">
        <v>2026</v>
      </c>
      <c r="M2697" s="8" t="s">
        <v>15946</v>
      </c>
      <c r="N2697" s="8" t="s">
        <v>37</v>
      </c>
      <c r="O2697" s="8" t="s">
        <v>136</v>
      </c>
      <c r="P2697" s="6" t="s">
        <v>51</v>
      </c>
      <c r="Q2697" s="8" t="s">
        <v>500</v>
      </c>
      <c r="R2697" s="10" t="s">
        <v>1667</v>
      </c>
      <c r="S2697" s="11"/>
      <c r="T2697" s="6"/>
      <c r="U2697" s="15" t="str">
        <f>HYPERLINK("https://media.infra-m.ru/2218/2218678/cover/2218678.jpg", "Обложка")</f>
        <v>Обложка</v>
      </c>
      <c r="V2697" s="8" t="s">
        <v>1184</v>
      </c>
      <c r="W2697" s="6"/>
      <c r="X2697" s="6"/>
      <c r="Y2697" s="6"/>
      <c r="Z2697" s="6"/>
      <c r="AA2697" s="6" t="s">
        <v>148</v>
      </c>
      <c r="AB2697" s="8"/>
      <c r="AC2697" s="27">
        <v>9785001562047</v>
      </c>
    </row>
    <row r="2698" spans="1:29" s="4" customFormat="1" ht="51.9" customHeight="1" x14ac:dyDescent="0.2">
      <c r="A2698" s="5">
        <v>0</v>
      </c>
      <c r="B2698" s="6" t="s">
        <v>15947</v>
      </c>
      <c r="C2698" s="13">
        <v>972</v>
      </c>
      <c r="D2698" s="8" t="s">
        <v>15948</v>
      </c>
      <c r="E2698" s="8" t="s">
        <v>15949</v>
      </c>
      <c r="F2698" s="8" t="s">
        <v>15950</v>
      </c>
      <c r="G2698" s="6" t="s">
        <v>118</v>
      </c>
      <c r="H2698" s="6" t="s">
        <v>34</v>
      </c>
      <c r="I2698" s="8" t="s">
        <v>1074</v>
      </c>
      <c r="J2698" s="9">
        <v>1</v>
      </c>
      <c r="K2698" s="9">
        <v>237</v>
      </c>
      <c r="L2698" s="9">
        <v>2020</v>
      </c>
      <c r="M2698" s="8" t="s">
        <v>15951</v>
      </c>
      <c r="N2698" s="8" t="s">
        <v>37</v>
      </c>
      <c r="O2698" s="8" t="s">
        <v>136</v>
      </c>
      <c r="P2698" s="6" t="s">
        <v>39</v>
      </c>
      <c r="Q2698" s="8" t="s">
        <v>749</v>
      </c>
      <c r="R2698" s="10" t="s">
        <v>15936</v>
      </c>
      <c r="S2698" s="11" t="s">
        <v>15952</v>
      </c>
      <c r="T2698" s="6"/>
      <c r="U2698" s="15" t="str">
        <f>HYPERLINK("https://media.infra-m.ru/1036/1036534/cover/1036534.jpg", "Обложка")</f>
        <v>Обложка</v>
      </c>
      <c r="V2698" s="8" t="s">
        <v>138</v>
      </c>
      <c r="W2698" s="6"/>
      <c r="X2698" s="6"/>
      <c r="Y2698" s="6"/>
      <c r="Z2698" s="6"/>
      <c r="AA2698" s="6" t="s">
        <v>274</v>
      </c>
      <c r="AB2698" s="8"/>
      <c r="AC2698" s="27">
        <v>9785160115078</v>
      </c>
    </row>
    <row r="2699" spans="1:29" s="4" customFormat="1" ht="42" customHeight="1" x14ac:dyDescent="0.2">
      <c r="A2699" s="5">
        <v>0</v>
      </c>
      <c r="B2699" s="6" t="s">
        <v>15953</v>
      </c>
      <c r="C2699" s="7">
        <v>2076</v>
      </c>
      <c r="D2699" s="8" t="s">
        <v>15954</v>
      </c>
      <c r="E2699" s="8" t="s">
        <v>15955</v>
      </c>
      <c r="F2699" s="8" t="s">
        <v>15956</v>
      </c>
      <c r="G2699" s="6" t="s">
        <v>60</v>
      </c>
      <c r="H2699" s="6" t="s">
        <v>134</v>
      </c>
      <c r="I2699" s="8"/>
      <c r="J2699" s="9">
        <v>1</v>
      </c>
      <c r="K2699" s="9">
        <v>288</v>
      </c>
      <c r="L2699" s="9">
        <v>2027</v>
      </c>
      <c r="M2699" s="8" t="s">
        <v>15957</v>
      </c>
      <c r="N2699" s="8" t="s">
        <v>37</v>
      </c>
      <c r="O2699" s="8" t="s">
        <v>136</v>
      </c>
      <c r="P2699" s="6" t="s">
        <v>39</v>
      </c>
      <c r="Q2699" s="8"/>
      <c r="R2699" s="10" t="s">
        <v>14752</v>
      </c>
      <c r="S2699" s="11"/>
      <c r="T2699" s="6"/>
      <c r="U2699" s="15" t="str">
        <f>HYPERLINK("https://media.infra-m.ru/2261/2261346/cover/2261346.jpg", "Обложка")</f>
        <v>Обложка</v>
      </c>
      <c r="V2699" s="8" t="s">
        <v>644</v>
      </c>
      <c r="W2699" s="6" t="s">
        <v>2115</v>
      </c>
      <c r="X2699" s="6"/>
      <c r="Y2699" s="6"/>
      <c r="Z2699" s="6"/>
      <c r="AA2699" s="6" t="s">
        <v>187</v>
      </c>
      <c r="AB2699" s="8"/>
      <c r="AC2699" s="27">
        <v>9785001564973</v>
      </c>
    </row>
    <row r="2700" spans="1:29" s="4" customFormat="1" ht="51.9" customHeight="1" x14ac:dyDescent="0.2">
      <c r="A2700" s="5">
        <v>0</v>
      </c>
      <c r="B2700" s="6" t="s">
        <v>15958</v>
      </c>
      <c r="C2700" s="7">
        <v>2032.8</v>
      </c>
      <c r="D2700" s="8" t="s">
        <v>15959</v>
      </c>
      <c r="E2700" s="8" t="s">
        <v>15960</v>
      </c>
      <c r="F2700" s="8" t="s">
        <v>15961</v>
      </c>
      <c r="G2700" s="6" t="s">
        <v>118</v>
      </c>
      <c r="H2700" s="6" t="s">
        <v>134</v>
      </c>
      <c r="I2700" s="8"/>
      <c r="J2700" s="9">
        <v>1</v>
      </c>
      <c r="K2700" s="9">
        <v>368</v>
      </c>
      <c r="L2700" s="9">
        <v>2024</v>
      </c>
      <c r="M2700" s="8" t="s">
        <v>15962</v>
      </c>
      <c r="N2700" s="8" t="s">
        <v>37</v>
      </c>
      <c r="O2700" s="8" t="s">
        <v>136</v>
      </c>
      <c r="P2700" s="6" t="s">
        <v>39</v>
      </c>
      <c r="Q2700" s="8" t="s">
        <v>40</v>
      </c>
      <c r="R2700" s="10" t="s">
        <v>12018</v>
      </c>
      <c r="S2700" s="11"/>
      <c r="T2700" s="6"/>
      <c r="U2700" s="15" t="str">
        <f>HYPERLINK("https://media.infra-m.ru/2133/2133777/cover/2133777.jpg", "Обложка")</f>
        <v>Обложка</v>
      </c>
      <c r="V2700" s="8" t="s">
        <v>15963</v>
      </c>
      <c r="W2700" s="6"/>
      <c r="X2700" s="6"/>
      <c r="Y2700" s="6"/>
      <c r="Z2700" s="6"/>
      <c r="AA2700" s="6" t="s">
        <v>115</v>
      </c>
      <c r="AB2700" s="8"/>
      <c r="AC2700" s="27">
        <v>9785917686097</v>
      </c>
    </row>
    <row r="2701" spans="1:29" s="4" customFormat="1" ht="42" customHeight="1" x14ac:dyDescent="0.2">
      <c r="A2701" s="5">
        <v>0</v>
      </c>
      <c r="B2701" s="6" t="s">
        <v>15964</v>
      </c>
      <c r="C2701" s="7">
        <v>3762</v>
      </c>
      <c r="D2701" s="8" t="s">
        <v>15965</v>
      </c>
      <c r="E2701" s="8" t="s">
        <v>15966</v>
      </c>
      <c r="F2701" s="8" t="s">
        <v>15967</v>
      </c>
      <c r="G2701" s="6" t="s">
        <v>15968</v>
      </c>
      <c r="H2701" s="6" t="s">
        <v>134</v>
      </c>
      <c r="I2701" s="8"/>
      <c r="J2701" s="9">
        <v>1</v>
      </c>
      <c r="K2701" s="9">
        <v>1120</v>
      </c>
      <c r="L2701" s="9">
        <v>2021</v>
      </c>
      <c r="M2701" s="8" t="s">
        <v>15969</v>
      </c>
      <c r="N2701" s="8" t="s">
        <v>37</v>
      </c>
      <c r="O2701" s="8" t="s">
        <v>136</v>
      </c>
      <c r="P2701" s="6" t="s">
        <v>7146</v>
      </c>
      <c r="Q2701" s="8"/>
      <c r="R2701" s="10" t="s">
        <v>8485</v>
      </c>
      <c r="S2701" s="11"/>
      <c r="T2701" s="6"/>
      <c r="U2701" s="15" t="str">
        <f>HYPERLINK("https://media.infra-m.ru/1816/1816622/cover/1816622.jpg", "Обложка")</f>
        <v>Обложка</v>
      </c>
      <c r="V2701" s="8"/>
      <c r="W2701" s="6"/>
      <c r="X2701" s="6"/>
      <c r="Y2701" s="6"/>
      <c r="Z2701" s="6"/>
      <c r="AA2701" s="6" t="s">
        <v>430</v>
      </c>
      <c r="AB2701" s="8"/>
      <c r="AC2701" s="27">
        <v>9785001561842</v>
      </c>
    </row>
    <row r="2702" spans="1:29" s="4" customFormat="1" ht="51.9" customHeight="1" x14ac:dyDescent="0.2">
      <c r="A2702" s="5">
        <v>0</v>
      </c>
      <c r="B2702" s="6" t="s">
        <v>15970</v>
      </c>
      <c r="C2702" s="7">
        <v>4950</v>
      </c>
      <c r="D2702" s="8" t="s">
        <v>15971</v>
      </c>
      <c r="E2702" s="8" t="s">
        <v>15972</v>
      </c>
      <c r="F2702" s="8" t="s">
        <v>15967</v>
      </c>
      <c r="G2702" s="6" t="s">
        <v>15968</v>
      </c>
      <c r="H2702" s="6" t="s">
        <v>134</v>
      </c>
      <c r="I2702" s="8"/>
      <c r="J2702" s="9">
        <v>1</v>
      </c>
      <c r="K2702" s="9">
        <v>1168</v>
      </c>
      <c r="L2702" s="9">
        <v>2022</v>
      </c>
      <c r="M2702" s="8" t="s">
        <v>15973</v>
      </c>
      <c r="N2702" s="8" t="s">
        <v>37</v>
      </c>
      <c r="O2702" s="8" t="s">
        <v>136</v>
      </c>
      <c r="P2702" s="6" t="s">
        <v>7146</v>
      </c>
      <c r="Q2702" s="8" t="s">
        <v>40</v>
      </c>
      <c r="R2702" s="10" t="s">
        <v>10567</v>
      </c>
      <c r="S2702" s="11"/>
      <c r="T2702" s="6"/>
      <c r="U2702" s="15" t="str">
        <f>HYPERLINK("https://media.infra-m.ru/1894/1894390/cover/1894390.jpg", "Обложка")</f>
        <v>Обложка</v>
      </c>
      <c r="V2702" s="8" t="s">
        <v>588</v>
      </c>
      <c r="W2702" s="6"/>
      <c r="X2702" s="6"/>
      <c r="Y2702" s="6"/>
      <c r="Z2702" s="6"/>
      <c r="AA2702" s="6" t="s">
        <v>148</v>
      </c>
      <c r="AB2702" s="8"/>
      <c r="AC2702" s="27">
        <v>9785001562337</v>
      </c>
    </row>
    <row r="2703" spans="1:29" s="4" customFormat="1" ht="51.9" customHeight="1" x14ac:dyDescent="0.2">
      <c r="A2703" s="5">
        <v>0</v>
      </c>
      <c r="B2703" s="6" t="s">
        <v>15974</v>
      </c>
      <c r="C2703" s="7">
        <v>5544</v>
      </c>
      <c r="D2703" s="8" t="s">
        <v>15975</v>
      </c>
      <c r="E2703" s="8" t="s">
        <v>15976</v>
      </c>
      <c r="F2703" s="8"/>
      <c r="G2703" s="6" t="s">
        <v>15968</v>
      </c>
      <c r="H2703" s="6" t="s">
        <v>134</v>
      </c>
      <c r="I2703" s="8"/>
      <c r="J2703" s="9">
        <v>1</v>
      </c>
      <c r="K2703" s="9">
        <v>1216</v>
      </c>
      <c r="L2703" s="9">
        <v>2023</v>
      </c>
      <c r="M2703" s="8" t="s">
        <v>15977</v>
      </c>
      <c r="N2703" s="8" t="s">
        <v>37</v>
      </c>
      <c r="O2703" s="8" t="s">
        <v>136</v>
      </c>
      <c r="P2703" s="6" t="s">
        <v>7146</v>
      </c>
      <c r="Q2703" s="8" t="s">
        <v>40</v>
      </c>
      <c r="R2703" s="10" t="s">
        <v>15978</v>
      </c>
      <c r="S2703" s="11"/>
      <c r="T2703" s="6"/>
      <c r="U2703" s="15" t="str">
        <f>HYPERLINK("https://media.infra-m.ru/2082/2082108/cover/2082108.jpg", "Обложка")</f>
        <v>Обложка</v>
      </c>
      <c r="V2703" s="8"/>
      <c r="W2703" s="6"/>
      <c r="X2703" s="6"/>
      <c r="Y2703" s="6"/>
      <c r="Z2703" s="6"/>
      <c r="AA2703" s="6" t="s">
        <v>157</v>
      </c>
      <c r="AB2703" s="8"/>
      <c r="AC2703" s="27">
        <v>9785001563075</v>
      </c>
    </row>
    <row r="2704" spans="1:29" s="4" customFormat="1" ht="42" customHeight="1" x14ac:dyDescent="0.2">
      <c r="A2704" s="5">
        <v>0</v>
      </c>
      <c r="B2704" s="6" t="s">
        <v>15979</v>
      </c>
      <c r="C2704" s="13">
        <v>996</v>
      </c>
      <c r="D2704" s="8" t="s">
        <v>15980</v>
      </c>
      <c r="E2704" s="8" t="s">
        <v>15981</v>
      </c>
      <c r="F2704" s="8" t="s">
        <v>15982</v>
      </c>
      <c r="G2704" s="6" t="s">
        <v>33</v>
      </c>
      <c r="H2704" s="6" t="s">
        <v>34</v>
      </c>
      <c r="I2704" s="8" t="s">
        <v>35</v>
      </c>
      <c r="J2704" s="9">
        <v>1</v>
      </c>
      <c r="K2704" s="9">
        <v>184</v>
      </c>
      <c r="L2704" s="9">
        <v>2023</v>
      </c>
      <c r="M2704" s="8" t="s">
        <v>15983</v>
      </c>
      <c r="N2704" s="8" t="s">
        <v>37</v>
      </c>
      <c r="O2704" s="8" t="s">
        <v>136</v>
      </c>
      <c r="P2704" s="6" t="s">
        <v>39</v>
      </c>
      <c r="Q2704" s="8" t="s">
        <v>40</v>
      </c>
      <c r="R2704" s="10" t="s">
        <v>1631</v>
      </c>
      <c r="S2704" s="11"/>
      <c r="T2704" s="6"/>
      <c r="U2704" s="15" t="str">
        <f>HYPERLINK("https://media.infra-m.ru/1905/1905648/cover/1905648.jpg", "Обложка")</f>
        <v>Обложка</v>
      </c>
      <c r="V2704" s="8" t="s">
        <v>2466</v>
      </c>
      <c r="W2704" s="6"/>
      <c r="X2704" s="6"/>
      <c r="Y2704" s="6"/>
      <c r="Z2704" s="6"/>
      <c r="AA2704" s="6" t="s">
        <v>115</v>
      </c>
      <c r="AB2704" s="8"/>
      <c r="AC2704" s="27">
        <v>9785160180335</v>
      </c>
    </row>
    <row r="2705" spans="1:29" s="4" customFormat="1" ht="42" customHeight="1" x14ac:dyDescent="0.2">
      <c r="A2705" s="5">
        <v>0</v>
      </c>
      <c r="B2705" s="6" t="s">
        <v>15984</v>
      </c>
      <c r="C2705" s="13">
        <v>857.9</v>
      </c>
      <c r="D2705" s="8" t="s">
        <v>15985</v>
      </c>
      <c r="E2705" s="8" t="s">
        <v>15981</v>
      </c>
      <c r="F2705" s="8" t="s">
        <v>15986</v>
      </c>
      <c r="G2705" s="6" t="s">
        <v>60</v>
      </c>
      <c r="H2705" s="6" t="s">
        <v>34</v>
      </c>
      <c r="I2705" s="8" t="s">
        <v>35</v>
      </c>
      <c r="J2705" s="9">
        <v>1</v>
      </c>
      <c r="K2705" s="9">
        <v>184</v>
      </c>
      <c r="L2705" s="9">
        <v>2022</v>
      </c>
      <c r="M2705" s="8" t="s">
        <v>15987</v>
      </c>
      <c r="N2705" s="8" t="s">
        <v>37</v>
      </c>
      <c r="O2705" s="8" t="s">
        <v>136</v>
      </c>
      <c r="P2705" s="6" t="s">
        <v>39</v>
      </c>
      <c r="Q2705" s="8" t="s">
        <v>40</v>
      </c>
      <c r="R2705" s="10" t="s">
        <v>1631</v>
      </c>
      <c r="S2705" s="11"/>
      <c r="T2705" s="6"/>
      <c r="U2705" s="15" t="str">
        <f>HYPERLINK("https://media.infra-m.ru/1859/1859046/cover/1859046.jpg", "Обложка")</f>
        <v>Обложка</v>
      </c>
      <c r="V2705" s="8" t="s">
        <v>2466</v>
      </c>
      <c r="W2705" s="6"/>
      <c r="X2705" s="6"/>
      <c r="Y2705" s="6"/>
      <c r="Z2705" s="6"/>
      <c r="AA2705" s="6" t="s">
        <v>115</v>
      </c>
      <c r="AB2705" s="8"/>
      <c r="AC2705" s="27">
        <v>9785160145181</v>
      </c>
    </row>
    <row r="2706" spans="1:29" s="4" customFormat="1" ht="51.9" customHeight="1" x14ac:dyDescent="0.2">
      <c r="A2706" s="5">
        <v>0</v>
      </c>
      <c r="B2706" s="6" t="s">
        <v>15988</v>
      </c>
      <c r="C2706" s="7">
        <v>1108.8</v>
      </c>
      <c r="D2706" s="8" t="s">
        <v>15989</v>
      </c>
      <c r="E2706" s="8" t="s">
        <v>15990</v>
      </c>
      <c r="F2706" s="8" t="s">
        <v>15795</v>
      </c>
      <c r="G2706" s="6" t="s">
        <v>60</v>
      </c>
      <c r="H2706" s="6" t="s">
        <v>134</v>
      </c>
      <c r="I2706" s="8"/>
      <c r="J2706" s="9">
        <v>1</v>
      </c>
      <c r="K2706" s="9">
        <v>176</v>
      </c>
      <c r="L2706" s="9">
        <v>2026</v>
      </c>
      <c r="M2706" s="8" t="s">
        <v>15991</v>
      </c>
      <c r="N2706" s="8" t="s">
        <v>37</v>
      </c>
      <c r="O2706" s="8" t="s">
        <v>136</v>
      </c>
      <c r="P2706" s="6" t="s">
        <v>394</v>
      </c>
      <c r="Q2706" s="8" t="s">
        <v>52</v>
      </c>
      <c r="R2706" s="10" t="s">
        <v>8787</v>
      </c>
      <c r="S2706" s="11"/>
      <c r="T2706" s="6"/>
      <c r="U2706" s="15" t="str">
        <f>HYPERLINK("https://media.infra-m.ru/2219/2219488/cover/2219488.jpg", "Обложка")</f>
        <v>Обложка</v>
      </c>
      <c r="V2706" s="8" t="s">
        <v>1184</v>
      </c>
      <c r="W2706" s="6"/>
      <c r="X2706" s="6"/>
      <c r="Y2706" s="6"/>
      <c r="Z2706" s="6"/>
      <c r="AA2706" s="6" t="s">
        <v>99</v>
      </c>
      <c r="AB2706" s="8"/>
      <c r="AC2706" s="27">
        <v>9785001563297</v>
      </c>
    </row>
    <row r="2707" spans="1:29" s="4" customFormat="1" ht="51.9" customHeight="1" x14ac:dyDescent="0.2">
      <c r="A2707" s="5">
        <v>0</v>
      </c>
      <c r="B2707" s="6" t="s">
        <v>15992</v>
      </c>
      <c r="C2707" s="13">
        <v>732</v>
      </c>
      <c r="D2707" s="8" t="s">
        <v>15993</v>
      </c>
      <c r="E2707" s="8" t="s">
        <v>15990</v>
      </c>
      <c r="F2707" s="8" t="s">
        <v>15795</v>
      </c>
      <c r="G2707" s="6" t="s">
        <v>33</v>
      </c>
      <c r="H2707" s="6" t="s">
        <v>134</v>
      </c>
      <c r="I2707" s="8"/>
      <c r="J2707" s="9">
        <v>1</v>
      </c>
      <c r="K2707" s="9">
        <v>160</v>
      </c>
      <c r="L2707" s="9">
        <v>2022</v>
      </c>
      <c r="M2707" s="8" t="s">
        <v>15994</v>
      </c>
      <c r="N2707" s="8" t="s">
        <v>37</v>
      </c>
      <c r="O2707" s="8" t="s">
        <v>136</v>
      </c>
      <c r="P2707" s="6" t="s">
        <v>394</v>
      </c>
      <c r="Q2707" s="8" t="s">
        <v>52</v>
      </c>
      <c r="R2707" s="10" t="s">
        <v>8787</v>
      </c>
      <c r="S2707" s="11"/>
      <c r="T2707" s="6"/>
      <c r="U2707" s="15" t="str">
        <f>HYPERLINK("https://media.infra-m.ru/1084/1084369/cover/1084369.jpg", "Обложка")</f>
        <v>Обложка</v>
      </c>
      <c r="V2707" s="8" t="s">
        <v>1184</v>
      </c>
      <c r="W2707" s="6"/>
      <c r="X2707" s="6"/>
      <c r="Y2707" s="6"/>
      <c r="Z2707" s="6"/>
      <c r="AA2707" s="6" t="s">
        <v>99</v>
      </c>
      <c r="AB2707" s="8"/>
      <c r="AC2707" s="27">
        <v>9785917688008</v>
      </c>
    </row>
    <row r="2708" spans="1:29" s="4" customFormat="1" ht="51.9" customHeight="1" x14ac:dyDescent="0.2">
      <c r="A2708" s="5">
        <v>0</v>
      </c>
      <c r="B2708" s="6" t="s">
        <v>15995</v>
      </c>
      <c r="C2708" s="7">
        <v>1008</v>
      </c>
      <c r="D2708" s="8" t="s">
        <v>15996</v>
      </c>
      <c r="E2708" s="8" t="s">
        <v>15997</v>
      </c>
      <c r="F2708" s="8" t="s">
        <v>15998</v>
      </c>
      <c r="G2708" s="6" t="s">
        <v>60</v>
      </c>
      <c r="H2708" s="6" t="s">
        <v>134</v>
      </c>
      <c r="I2708" s="8"/>
      <c r="J2708" s="9">
        <v>1</v>
      </c>
      <c r="K2708" s="9">
        <v>176</v>
      </c>
      <c r="L2708" s="9">
        <v>2024</v>
      </c>
      <c r="M2708" s="8" t="s">
        <v>15991</v>
      </c>
      <c r="N2708" s="8" t="s">
        <v>37</v>
      </c>
      <c r="O2708" s="8" t="s">
        <v>136</v>
      </c>
      <c r="P2708" s="6" t="s">
        <v>394</v>
      </c>
      <c r="Q2708" s="8" t="s">
        <v>52</v>
      </c>
      <c r="R2708" s="10" t="s">
        <v>8787</v>
      </c>
      <c r="S2708" s="11"/>
      <c r="T2708" s="6"/>
      <c r="U2708" s="15" t="str">
        <f>HYPERLINK("https://media.infra-m.ru/2089/2089290/cover/2089290.jpg", "Обложка")</f>
        <v>Обложка</v>
      </c>
      <c r="V2708" s="8" t="s">
        <v>1184</v>
      </c>
      <c r="W2708" s="6"/>
      <c r="X2708" s="6"/>
      <c r="Y2708" s="6"/>
      <c r="Z2708" s="6"/>
      <c r="AA2708" s="6" t="s">
        <v>106</v>
      </c>
      <c r="AB2708" s="8"/>
      <c r="AC2708" s="27">
        <v>9785001563297</v>
      </c>
    </row>
    <row r="2709" spans="1:29" s="4" customFormat="1" ht="51.9" customHeight="1" x14ac:dyDescent="0.2">
      <c r="A2709" s="5">
        <v>0</v>
      </c>
      <c r="B2709" s="6" t="s">
        <v>15999</v>
      </c>
      <c r="C2709" s="7">
        <v>2212.8000000000002</v>
      </c>
      <c r="D2709" s="8" t="s">
        <v>16000</v>
      </c>
      <c r="E2709" s="8" t="s">
        <v>16001</v>
      </c>
      <c r="F2709" s="8" t="s">
        <v>16002</v>
      </c>
      <c r="G2709" s="6" t="s">
        <v>60</v>
      </c>
      <c r="H2709" s="6" t="s">
        <v>134</v>
      </c>
      <c r="I2709" s="8"/>
      <c r="J2709" s="9">
        <v>1</v>
      </c>
      <c r="K2709" s="9">
        <v>336</v>
      </c>
      <c r="L2709" s="9">
        <v>2026</v>
      </c>
      <c r="M2709" s="8" t="s">
        <v>16003</v>
      </c>
      <c r="N2709" s="8" t="s">
        <v>37</v>
      </c>
      <c r="O2709" s="8" t="s">
        <v>136</v>
      </c>
      <c r="P2709" s="6" t="s">
        <v>306</v>
      </c>
      <c r="Q2709" s="8" t="s">
        <v>52</v>
      </c>
      <c r="R2709" s="10" t="s">
        <v>8787</v>
      </c>
      <c r="S2709" s="11"/>
      <c r="T2709" s="6"/>
      <c r="U2709" s="15" t="str">
        <f>HYPERLINK("https://media.infra-m.ru/2221/2221136/cover/2221136.jpg", "Обложка")</f>
        <v>Обложка</v>
      </c>
      <c r="V2709" s="8" t="s">
        <v>1184</v>
      </c>
      <c r="W2709" s="6"/>
      <c r="X2709" s="6"/>
      <c r="Y2709" s="6"/>
      <c r="Z2709" s="6"/>
      <c r="AA2709" s="6" t="s">
        <v>5476</v>
      </c>
      <c r="AB2709" s="8"/>
      <c r="AC2709" s="27">
        <v>9785001563389</v>
      </c>
    </row>
    <row r="2710" spans="1:29" s="4" customFormat="1" ht="51.9" customHeight="1" x14ac:dyDescent="0.2">
      <c r="A2710" s="5">
        <v>0</v>
      </c>
      <c r="B2710" s="6" t="s">
        <v>16004</v>
      </c>
      <c r="C2710" s="7">
        <v>1560</v>
      </c>
      <c r="D2710" s="8" t="s">
        <v>16005</v>
      </c>
      <c r="E2710" s="8" t="s">
        <v>16001</v>
      </c>
      <c r="F2710" s="8" t="s">
        <v>16006</v>
      </c>
      <c r="G2710" s="6" t="s">
        <v>60</v>
      </c>
      <c r="H2710" s="6" t="s">
        <v>134</v>
      </c>
      <c r="I2710" s="8"/>
      <c r="J2710" s="9">
        <v>1</v>
      </c>
      <c r="K2710" s="9">
        <v>368</v>
      </c>
      <c r="L2710" s="9">
        <v>2020</v>
      </c>
      <c r="M2710" s="8" t="s">
        <v>16007</v>
      </c>
      <c r="N2710" s="8" t="s">
        <v>37</v>
      </c>
      <c r="O2710" s="8" t="s">
        <v>136</v>
      </c>
      <c r="P2710" s="6" t="s">
        <v>306</v>
      </c>
      <c r="Q2710" s="8" t="s">
        <v>52</v>
      </c>
      <c r="R2710" s="10" t="s">
        <v>16008</v>
      </c>
      <c r="S2710" s="11"/>
      <c r="T2710" s="6"/>
      <c r="U2710" s="15" t="str">
        <f>HYPERLINK("https://media.infra-m.ru/1088/1088332/cover/1088332.jpg", "Обложка")</f>
        <v>Обложка</v>
      </c>
      <c r="V2710" s="8" t="s">
        <v>1277</v>
      </c>
      <c r="W2710" s="6"/>
      <c r="X2710" s="6"/>
      <c r="Y2710" s="6"/>
      <c r="Z2710" s="6"/>
      <c r="AA2710" s="6" t="s">
        <v>1389</v>
      </c>
      <c r="AB2710" s="8"/>
      <c r="AC2710" s="27">
        <v>9785001560449</v>
      </c>
    </row>
    <row r="2711" spans="1:29" s="4" customFormat="1" ht="51.9" customHeight="1" x14ac:dyDescent="0.2">
      <c r="A2711" s="5">
        <v>0</v>
      </c>
      <c r="B2711" s="6" t="s">
        <v>16009</v>
      </c>
      <c r="C2711" s="7">
        <v>2484</v>
      </c>
      <c r="D2711" s="8" t="s">
        <v>16010</v>
      </c>
      <c r="E2711" s="8" t="s">
        <v>16011</v>
      </c>
      <c r="F2711" s="8" t="s">
        <v>16006</v>
      </c>
      <c r="G2711" s="6" t="s">
        <v>118</v>
      </c>
      <c r="H2711" s="6" t="s">
        <v>134</v>
      </c>
      <c r="I2711" s="8"/>
      <c r="J2711" s="9">
        <v>1</v>
      </c>
      <c r="K2711" s="9">
        <v>392</v>
      </c>
      <c r="L2711" s="9">
        <v>2026</v>
      </c>
      <c r="M2711" s="8" t="s">
        <v>16012</v>
      </c>
      <c r="N2711" s="8" t="s">
        <v>37</v>
      </c>
      <c r="O2711" s="8" t="s">
        <v>136</v>
      </c>
      <c r="P2711" s="6" t="s">
        <v>306</v>
      </c>
      <c r="Q2711" s="8" t="s">
        <v>52</v>
      </c>
      <c r="R2711" s="10" t="s">
        <v>16008</v>
      </c>
      <c r="S2711" s="11"/>
      <c r="T2711" s="6"/>
      <c r="U2711" s="15" t="str">
        <f>HYPERLINK("https://media.infra-m.ru/2219/2219457/cover/2219457.jpg", "Обложка")</f>
        <v>Обложка</v>
      </c>
      <c r="V2711" s="8" t="s">
        <v>1277</v>
      </c>
      <c r="W2711" s="6"/>
      <c r="X2711" s="6"/>
      <c r="Y2711" s="6"/>
      <c r="Z2711" s="6"/>
      <c r="AA2711" s="6" t="s">
        <v>5639</v>
      </c>
      <c r="AB2711" s="8"/>
      <c r="AC2711" s="27">
        <v>9785001562672</v>
      </c>
    </row>
    <row r="2712" spans="1:29" s="4" customFormat="1" ht="51.9" customHeight="1" x14ac:dyDescent="0.2">
      <c r="A2712" s="5">
        <v>0</v>
      </c>
      <c r="B2712" s="6" t="s">
        <v>16013</v>
      </c>
      <c r="C2712" s="13">
        <v>936</v>
      </c>
      <c r="D2712" s="8" t="s">
        <v>16014</v>
      </c>
      <c r="E2712" s="8" t="s">
        <v>15997</v>
      </c>
      <c r="F2712" s="8" t="s">
        <v>16015</v>
      </c>
      <c r="G2712" s="6" t="s">
        <v>60</v>
      </c>
      <c r="H2712" s="6" t="s">
        <v>313</v>
      </c>
      <c r="I2712" s="8" t="s">
        <v>10656</v>
      </c>
      <c r="J2712" s="9">
        <v>1</v>
      </c>
      <c r="K2712" s="9">
        <v>200</v>
      </c>
      <c r="L2712" s="9">
        <v>2020</v>
      </c>
      <c r="M2712" s="8" t="s">
        <v>16016</v>
      </c>
      <c r="N2712" s="8" t="s">
        <v>37</v>
      </c>
      <c r="O2712" s="8" t="s">
        <v>136</v>
      </c>
      <c r="P2712" s="6" t="s">
        <v>51</v>
      </c>
      <c r="Q2712" s="8" t="s">
        <v>52</v>
      </c>
      <c r="R2712" s="10" t="s">
        <v>8787</v>
      </c>
      <c r="S2712" s="11"/>
      <c r="T2712" s="6"/>
      <c r="U2712" s="15" t="str">
        <f>HYPERLINK("https://media.infra-m.ru/1080/1080283/cover/1080283.jpg", "Обложка")</f>
        <v>Обложка</v>
      </c>
      <c r="V2712" s="8" t="s">
        <v>1277</v>
      </c>
      <c r="W2712" s="6"/>
      <c r="X2712" s="6"/>
      <c r="Y2712" s="6"/>
      <c r="Z2712" s="6"/>
      <c r="AA2712" s="6" t="s">
        <v>404</v>
      </c>
      <c r="AB2712" s="8"/>
      <c r="AC2712" s="27">
        <v>9785369017579</v>
      </c>
    </row>
    <row r="2713" spans="1:29" s="4" customFormat="1" ht="51.9" customHeight="1" x14ac:dyDescent="0.2">
      <c r="A2713" s="5">
        <v>0</v>
      </c>
      <c r="B2713" s="6" t="s">
        <v>16017</v>
      </c>
      <c r="C2713" s="13">
        <v>444</v>
      </c>
      <c r="D2713" s="8" t="s">
        <v>16018</v>
      </c>
      <c r="E2713" s="8" t="s">
        <v>16019</v>
      </c>
      <c r="F2713" s="8" t="s">
        <v>6770</v>
      </c>
      <c r="G2713" s="6" t="s">
        <v>33</v>
      </c>
      <c r="H2713" s="6" t="s">
        <v>34</v>
      </c>
      <c r="I2713" s="8"/>
      <c r="J2713" s="9">
        <v>1</v>
      </c>
      <c r="K2713" s="9">
        <v>70</v>
      </c>
      <c r="L2713" s="9">
        <v>2026</v>
      </c>
      <c r="M2713" s="8" t="s">
        <v>16020</v>
      </c>
      <c r="N2713" s="8" t="s">
        <v>37</v>
      </c>
      <c r="O2713" s="8" t="s">
        <v>136</v>
      </c>
      <c r="P2713" s="6" t="s">
        <v>6774</v>
      </c>
      <c r="Q2713" s="8" t="s">
        <v>183</v>
      </c>
      <c r="R2713" s="10" t="s">
        <v>15926</v>
      </c>
      <c r="S2713" s="11"/>
      <c r="T2713" s="6"/>
      <c r="U2713" s="15" t="str">
        <f>HYPERLINK("https://media.infra-m.ru/2236/2236750/cover/2236750.jpg", "Обложка")</f>
        <v>Обложка</v>
      </c>
      <c r="V2713" s="8"/>
      <c r="W2713" s="6"/>
      <c r="X2713" s="6"/>
      <c r="Y2713" s="6"/>
      <c r="Z2713" s="6"/>
      <c r="AA2713" s="6" t="s">
        <v>16021</v>
      </c>
      <c r="AB2713" s="8"/>
      <c r="AC2713" s="27">
        <v>9785160163901</v>
      </c>
    </row>
    <row r="2714" spans="1:29" s="4" customFormat="1" ht="51.9" customHeight="1" x14ac:dyDescent="0.2">
      <c r="A2714" s="5">
        <v>0</v>
      </c>
      <c r="B2714" s="6" t="s">
        <v>16022</v>
      </c>
      <c r="C2714" s="13">
        <v>828</v>
      </c>
      <c r="D2714" s="8" t="s">
        <v>16023</v>
      </c>
      <c r="E2714" s="8" t="s">
        <v>16024</v>
      </c>
      <c r="F2714" s="8" t="s">
        <v>6770</v>
      </c>
      <c r="G2714" s="6" t="s">
        <v>33</v>
      </c>
      <c r="H2714" s="6" t="s">
        <v>34</v>
      </c>
      <c r="I2714" s="8"/>
      <c r="J2714" s="9">
        <v>1</v>
      </c>
      <c r="K2714" s="9">
        <v>206</v>
      </c>
      <c r="L2714" s="9">
        <v>2020</v>
      </c>
      <c r="M2714" s="8" t="s">
        <v>16025</v>
      </c>
      <c r="N2714" s="8" t="s">
        <v>37</v>
      </c>
      <c r="O2714" s="8" t="s">
        <v>136</v>
      </c>
      <c r="P2714" s="6" t="s">
        <v>683</v>
      </c>
      <c r="Q2714" s="8" t="s">
        <v>40</v>
      </c>
      <c r="R2714" s="10" t="s">
        <v>15926</v>
      </c>
      <c r="S2714" s="11"/>
      <c r="T2714" s="6"/>
      <c r="U2714" s="15" t="str">
        <f>HYPERLINK("https://media.infra-m.ru/1063/1063459/cover/1063459.jpg", "Обложка")</f>
        <v>Обложка</v>
      </c>
      <c r="V2714" s="8"/>
      <c r="W2714" s="6"/>
      <c r="X2714" s="6"/>
      <c r="Y2714" s="6"/>
      <c r="Z2714" s="6"/>
      <c r="AA2714" s="6" t="s">
        <v>16026</v>
      </c>
      <c r="AB2714" s="8"/>
      <c r="AC2714" s="27">
        <v>9785160112121</v>
      </c>
    </row>
    <row r="2715" spans="1:29" s="4" customFormat="1" ht="51.9" customHeight="1" x14ac:dyDescent="0.2">
      <c r="A2715" s="5">
        <v>0</v>
      </c>
      <c r="B2715" s="6" t="s">
        <v>16027</v>
      </c>
      <c r="C2715" s="7">
        <v>1164</v>
      </c>
      <c r="D2715" s="8" t="s">
        <v>16028</v>
      </c>
      <c r="E2715" s="8" t="s">
        <v>16029</v>
      </c>
      <c r="F2715" s="8" t="s">
        <v>6770</v>
      </c>
      <c r="G2715" s="6" t="s">
        <v>33</v>
      </c>
      <c r="H2715" s="6" t="s">
        <v>34</v>
      </c>
      <c r="I2715" s="8" t="s">
        <v>6772</v>
      </c>
      <c r="J2715" s="9">
        <v>1</v>
      </c>
      <c r="K2715" s="9">
        <v>256</v>
      </c>
      <c r="L2715" s="9">
        <v>2022</v>
      </c>
      <c r="M2715" s="8" t="s">
        <v>16030</v>
      </c>
      <c r="N2715" s="8" t="s">
        <v>37</v>
      </c>
      <c r="O2715" s="8" t="s">
        <v>136</v>
      </c>
      <c r="P2715" s="6" t="s">
        <v>683</v>
      </c>
      <c r="Q2715" s="8" t="s">
        <v>40</v>
      </c>
      <c r="R2715" s="10" t="s">
        <v>15926</v>
      </c>
      <c r="S2715" s="11"/>
      <c r="T2715" s="6"/>
      <c r="U2715" s="15" t="str">
        <f>HYPERLINK("https://media.infra-m.ru/1851/1851674/cover/1851674.jpg", "Обложка")</f>
        <v>Обложка</v>
      </c>
      <c r="V2715" s="8"/>
      <c r="W2715" s="6"/>
      <c r="X2715" s="6"/>
      <c r="Y2715" s="6"/>
      <c r="Z2715" s="6"/>
      <c r="AA2715" s="6" t="s">
        <v>9347</v>
      </c>
      <c r="AB2715" s="8"/>
      <c r="AC2715" s="27">
        <v>9785160163918</v>
      </c>
    </row>
    <row r="2716" spans="1:29" s="4" customFormat="1" ht="51.9" customHeight="1" x14ac:dyDescent="0.2">
      <c r="A2716" s="5">
        <v>0</v>
      </c>
      <c r="B2716" s="6" t="s">
        <v>16031</v>
      </c>
      <c r="C2716" s="7">
        <v>1600.8</v>
      </c>
      <c r="D2716" s="8" t="s">
        <v>16032</v>
      </c>
      <c r="E2716" s="8" t="s">
        <v>16033</v>
      </c>
      <c r="F2716" s="8" t="s">
        <v>6770</v>
      </c>
      <c r="G2716" s="6" t="s">
        <v>33</v>
      </c>
      <c r="H2716" s="6" t="s">
        <v>34</v>
      </c>
      <c r="I2716" s="8" t="s">
        <v>6772</v>
      </c>
      <c r="J2716" s="9">
        <v>1</v>
      </c>
      <c r="K2716" s="9">
        <v>256</v>
      </c>
      <c r="L2716" s="9">
        <v>2025</v>
      </c>
      <c r="M2716" s="8" t="s">
        <v>16034</v>
      </c>
      <c r="N2716" s="8" t="s">
        <v>37</v>
      </c>
      <c r="O2716" s="8" t="s">
        <v>136</v>
      </c>
      <c r="P2716" s="6" t="s">
        <v>683</v>
      </c>
      <c r="Q2716" s="8" t="s">
        <v>40</v>
      </c>
      <c r="R2716" s="10" t="s">
        <v>15926</v>
      </c>
      <c r="S2716" s="11"/>
      <c r="T2716" s="6"/>
      <c r="U2716" s="15" t="str">
        <f>HYPERLINK("https://media.infra-m.ru/2201/2201772/cover/2201772.jpg", "Обложка")</f>
        <v>Обложка</v>
      </c>
      <c r="V2716" s="8"/>
      <c r="W2716" s="6"/>
      <c r="X2716" s="6"/>
      <c r="Y2716" s="6"/>
      <c r="Z2716" s="6"/>
      <c r="AA2716" s="6" t="s">
        <v>16035</v>
      </c>
      <c r="AB2716" s="8"/>
      <c r="AC2716" s="27">
        <v>9785160181691</v>
      </c>
    </row>
    <row r="2717" spans="1:29" s="4" customFormat="1" ht="44.1" customHeight="1" x14ac:dyDescent="0.2">
      <c r="A2717" s="5">
        <v>0</v>
      </c>
      <c r="B2717" s="6" t="s">
        <v>16036</v>
      </c>
      <c r="C2717" s="7">
        <v>1077.5999999999999</v>
      </c>
      <c r="D2717" s="8" t="s">
        <v>16037</v>
      </c>
      <c r="E2717" s="8" t="s">
        <v>16038</v>
      </c>
      <c r="F2717" s="8" t="s">
        <v>6770</v>
      </c>
      <c r="G2717" s="6" t="s">
        <v>118</v>
      </c>
      <c r="H2717" s="6" t="s">
        <v>134</v>
      </c>
      <c r="I2717" s="8"/>
      <c r="J2717" s="9">
        <v>1</v>
      </c>
      <c r="K2717" s="9">
        <v>136</v>
      </c>
      <c r="L2717" s="9">
        <v>2026</v>
      </c>
      <c r="M2717" s="8" t="s">
        <v>16039</v>
      </c>
      <c r="N2717" s="8" t="s">
        <v>37</v>
      </c>
      <c r="O2717" s="8" t="s">
        <v>136</v>
      </c>
      <c r="P2717" s="6" t="s">
        <v>6774</v>
      </c>
      <c r="Q2717" s="8" t="s">
        <v>65</v>
      </c>
      <c r="R2717" s="10" t="s">
        <v>16040</v>
      </c>
      <c r="S2717" s="11"/>
      <c r="T2717" s="6"/>
      <c r="U2717" s="15" t="str">
        <f>HYPERLINK("https://media.infra-m.ru/2226/2226524/cover/2226524.jpg", "Обложка")</f>
        <v>Обложка</v>
      </c>
      <c r="V2717" s="8"/>
      <c r="W2717" s="6"/>
      <c r="X2717" s="6"/>
      <c r="Y2717" s="6"/>
      <c r="Z2717" s="6"/>
      <c r="AA2717" s="6" t="s">
        <v>430</v>
      </c>
      <c r="AB2717" s="8"/>
      <c r="AC2717" s="27">
        <v>9785001561606</v>
      </c>
    </row>
    <row r="2718" spans="1:29" s="4" customFormat="1" ht="51.9" customHeight="1" x14ac:dyDescent="0.2">
      <c r="A2718" s="5">
        <v>0</v>
      </c>
      <c r="B2718" s="6" t="s">
        <v>16041</v>
      </c>
      <c r="C2718" s="13">
        <v>764.4</v>
      </c>
      <c r="D2718" s="8" t="s">
        <v>16042</v>
      </c>
      <c r="E2718" s="8" t="s">
        <v>16043</v>
      </c>
      <c r="F2718" s="8" t="s">
        <v>6770</v>
      </c>
      <c r="G2718" s="6" t="s">
        <v>60</v>
      </c>
      <c r="H2718" s="6" t="s">
        <v>134</v>
      </c>
      <c r="I2718" s="8"/>
      <c r="J2718" s="9">
        <v>1</v>
      </c>
      <c r="K2718" s="9">
        <v>160</v>
      </c>
      <c r="L2718" s="9">
        <v>2027</v>
      </c>
      <c r="M2718" s="8" t="s">
        <v>16044</v>
      </c>
      <c r="N2718" s="8" t="s">
        <v>37</v>
      </c>
      <c r="O2718" s="8" t="s">
        <v>136</v>
      </c>
      <c r="P2718" s="6" t="s">
        <v>6774</v>
      </c>
      <c r="Q2718" s="8" t="s">
        <v>3587</v>
      </c>
      <c r="R2718" s="10" t="s">
        <v>16045</v>
      </c>
      <c r="S2718" s="11"/>
      <c r="T2718" s="6"/>
      <c r="U2718" s="15" t="str">
        <f>HYPERLINK("https://media.infra-m.ru/2268/2268949/cover/2268949.jpg", "Обложка")</f>
        <v>Обложка</v>
      </c>
      <c r="V2718" s="8"/>
      <c r="W2718" s="6"/>
      <c r="X2718" s="6"/>
      <c r="Y2718" s="6"/>
      <c r="Z2718" s="6"/>
      <c r="AA2718" s="6" t="s">
        <v>76</v>
      </c>
      <c r="AB2718" s="8"/>
      <c r="AC2718" s="27">
        <v>9785001563587</v>
      </c>
    </row>
    <row r="2719" spans="1:29" s="4" customFormat="1" ht="51.9" customHeight="1" x14ac:dyDescent="0.2">
      <c r="A2719" s="5">
        <v>0</v>
      </c>
      <c r="B2719" s="6" t="s">
        <v>16046</v>
      </c>
      <c r="C2719" s="13">
        <v>384</v>
      </c>
      <c r="D2719" s="8" t="s">
        <v>16047</v>
      </c>
      <c r="E2719" s="8" t="s">
        <v>16048</v>
      </c>
      <c r="F2719" s="8" t="s">
        <v>6770</v>
      </c>
      <c r="G2719" s="6" t="s">
        <v>33</v>
      </c>
      <c r="H2719" s="6" t="s">
        <v>134</v>
      </c>
      <c r="I2719" s="8"/>
      <c r="J2719" s="9">
        <v>1</v>
      </c>
      <c r="K2719" s="9">
        <v>120</v>
      </c>
      <c r="L2719" s="9">
        <v>2023</v>
      </c>
      <c r="M2719" s="8" t="s">
        <v>16049</v>
      </c>
      <c r="N2719" s="8" t="s">
        <v>37</v>
      </c>
      <c r="O2719" s="8" t="s">
        <v>136</v>
      </c>
      <c r="P2719" s="6" t="s">
        <v>6774</v>
      </c>
      <c r="Q2719" s="8" t="s">
        <v>3587</v>
      </c>
      <c r="R2719" s="10" t="s">
        <v>16050</v>
      </c>
      <c r="S2719" s="11"/>
      <c r="T2719" s="6"/>
      <c r="U2719" s="15" t="str">
        <f>HYPERLINK("https://media.infra-m.ru/1974/1974286/cover/1974286.jpg", "Обложка")</f>
        <v>Обложка</v>
      </c>
      <c r="V2719" s="8"/>
      <c r="W2719" s="6"/>
      <c r="X2719" s="6"/>
      <c r="Y2719" s="6"/>
      <c r="Z2719" s="6"/>
      <c r="AA2719" s="6" t="s">
        <v>1256</v>
      </c>
      <c r="AB2719" s="8"/>
      <c r="AC2719" s="27">
        <v>9785001560951</v>
      </c>
    </row>
    <row r="2720" spans="1:29" s="4" customFormat="1" ht="51.9" customHeight="1" x14ac:dyDescent="0.2">
      <c r="A2720" s="5">
        <v>0</v>
      </c>
      <c r="B2720" s="6" t="s">
        <v>16051</v>
      </c>
      <c r="C2720" s="13">
        <v>900</v>
      </c>
      <c r="D2720" s="8" t="s">
        <v>16052</v>
      </c>
      <c r="E2720" s="8" t="s">
        <v>16053</v>
      </c>
      <c r="F2720" s="8" t="s">
        <v>16054</v>
      </c>
      <c r="G2720" s="6" t="s">
        <v>60</v>
      </c>
      <c r="H2720" s="6" t="s">
        <v>34</v>
      </c>
      <c r="I2720" s="8" t="s">
        <v>253</v>
      </c>
      <c r="J2720" s="9">
        <v>1</v>
      </c>
      <c r="K2720" s="9">
        <v>130</v>
      </c>
      <c r="L2720" s="9">
        <v>2023</v>
      </c>
      <c r="M2720" s="8" t="s">
        <v>16055</v>
      </c>
      <c r="N2720" s="8" t="s">
        <v>243</v>
      </c>
      <c r="O2720" s="8" t="s">
        <v>758</v>
      </c>
      <c r="P2720" s="6" t="s">
        <v>51</v>
      </c>
      <c r="Q2720" s="8" t="s">
        <v>52</v>
      </c>
      <c r="R2720" s="10" t="s">
        <v>835</v>
      </c>
      <c r="S2720" s="11" t="s">
        <v>16056</v>
      </c>
      <c r="T2720" s="6"/>
      <c r="U2720" s="15" t="str">
        <f>HYPERLINK("https://media.infra-m.ru/1863/1863129/cover/1863129.jpg", "Обложка")</f>
        <v>Обложка</v>
      </c>
      <c r="V2720" s="8" t="s">
        <v>546</v>
      </c>
      <c r="W2720" s="6"/>
      <c r="X2720" s="6"/>
      <c r="Y2720" s="6"/>
      <c r="Z2720" s="6"/>
      <c r="AA2720" s="6" t="s">
        <v>157</v>
      </c>
      <c r="AB2720" s="8"/>
      <c r="AC2720" s="27">
        <v>9785160176192</v>
      </c>
    </row>
    <row r="2721" spans="1:29" s="4" customFormat="1" ht="51.9" customHeight="1" x14ac:dyDescent="0.2">
      <c r="A2721" s="5">
        <v>0</v>
      </c>
      <c r="B2721" s="6" t="s">
        <v>16057</v>
      </c>
      <c r="C2721" s="7">
        <v>1740</v>
      </c>
      <c r="D2721" s="8" t="s">
        <v>16058</v>
      </c>
      <c r="E2721" s="8" t="s">
        <v>16059</v>
      </c>
      <c r="F2721" s="8" t="s">
        <v>16054</v>
      </c>
      <c r="G2721" s="6" t="s">
        <v>60</v>
      </c>
      <c r="H2721" s="6" t="s">
        <v>34</v>
      </c>
      <c r="I2721" s="8" t="s">
        <v>253</v>
      </c>
      <c r="J2721" s="9">
        <v>1</v>
      </c>
      <c r="K2721" s="9">
        <v>220</v>
      </c>
      <c r="L2721" s="9">
        <v>2025</v>
      </c>
      <c r="M2721" s="8" t="s">
        <v>16060</v>
      </c>
      <c r="N2721" s="8" t="s">
        <v>243</v>
      </c>
      <c r="O2721" s="8" t="s">
        <v>758</v>
      </c>
      <c r="P2721" s="6" t="s">
        <v>51</v>
      </c>
      <c r="Q2721" s="8" t="s">
        <v>65</v>
      </c>
      <c r="R2721" s="10" t="s">
        <v>16061</v>
      </c>
      <c r="S2721" s="11" t="s">
        <v>16056</v>
      </c>
      <c r="T2721" s="6"/>
      <c r="U2721" s="15" t="str">
        <f>HYPERLINK("https://media.infra-m.ru/1995/1995197/cover/1995197.jpg", "Обложка")</f>
        <v>Обложка</v>
      </c>
      <c r="V2721" s="8" t="s">
        <v>546</v>
      </c>
      <c r="W2721" s="6"/>
      <c r="X2721" s="6"/>
      <c r="Y2721" s="6"/>
      <c r="Z2721" s="6"/>
      <c r="AA2721" s="6" t="s">
        <v>68</v>
      </c>
      <c r="AB2721" s="8" t="s">
        <v>670</v>
      </c>
      <c r="AC2721" s="27">
        <v>9785160183930</v>
      </c>
    </row>
    <row r="2722" spans="1:29" s="4" customFormat="1" ht="51.9" customHeight="1" x14ac:dyDescent="0.2">
      <c r="A2722" s="5">
        <v>0</v>
      </c>
      <c r="B2722" s="6" t="s">
        <v>16062</v>
      </c>
      <c r="C2722" s="7">
        <v>1692</v>
      </c>
      <c r="D2722" s="8" t="s">
        <v>16063</v>
      </c>
      <c r="E2722" s="8" t="s">
        <v>16064</v>
      </c>
      <c r="F2722" s="8" t="s">
        <v>16065</v>
      </c>
      <c r="G2722" s="6" t="s">
        <v>60</v>
      </c>
      <c r="H2722" s="6" t="s">
        <v>34</v>
      </c>
      <c r="I2722" s="8" t="s">
        <v>253</v>
      </c>
      <c r="J2722" s="9">
        <v>1</v>
      </c>
      <c r="K2722" s="9">
        <v>288</v>
      </c>
      <c r="L2722" s="9">
        <v>2024</v>
      </c>
      <c r="M2722" s="8" t="s">
        <v>16066</v>
      </c>
      <c r="N2722" s="8" t="s">
        <v>243</v>
      </c>
      <c r="O2722" s="8" t="s">
        <v>964</v>
      </c>
      <c r="P2722" s="6" t="s">
        <v>51</v>
      </c>
      <c r="Q2722" s="8" t="s">
        <v>65</v>
      </c>
      <c r="R2722" s="10" t="s">
        <v>16067</v>
      </c>
      <c r="S2722" s="11"/>
      <c r="T2722" s="6"/>
      <c r="U2722" s="15" t="str">
        <f>HYPERLINK("https://media.infra-m.ru/1977/1977999/cover/1977999.jpg", "Обложка")</f>
        <v>Обложка</v>
      </c>
      <c r="V2722" s="8" t="s">
        <v>1030</v>
      </c>
      <c r="W2722" s="6"/>
      <c r="X2722" s="6"/>
      <c r="Y2722" s="6"/>
      <c r="Z2722" s="6"/>
      <c r="AA2722" s="6" t="s">
        <v>76</v>
      </c>
      <c r="AB2722" s="8"/>
      <c r="AC2722" s="27">
        <v>9785160183268</v>
      </c>
    </row>
    <row r="2723" spans="1:29" s="4" customFormat="1" ht="51.9" customHeight="1" x14ac:dyDescent="0.2">
      <c r="A2723" s="5">
        <v>0</v>
      </c>
      <c r="B2723" s="6" t="s">
        <v>16068</v>
      </c>
      <c r="C2723" s="7">
        <v>1956</v>
      </c>
      <c r="D2723" s="8" t="s">
        <v>16069</v>
      </c>
      <c r="E2723" s="8" t="s">
        <v>16070</v>
      </c>
      <c r="F2723" s="8" t="s">
        <v>16071</v>
      </c>
      <c r="G2723" s="6" t="s">
        <v>118</v>
      </c>
      <c r="H2723" s="6" t="s">
        <v>34</v>
      </c>
      <c r="I2723" s="8" t="s">
        <v>263</v>
      </c>
      <c r="J2723" s="9">
        <v>1</v>
      </c>
      <c r="K2723" s="9">
        <v>295</v>
      </c>
      <c r="L2723" s="9">
        <v>2026</v>
      </c>
      <c r="M2723" s="8" t="s">
        <v>16072</v>
      </c>
      <c r="N2723" s="8" t="s">
        <v>243</v>
      </c>
      <c r="O2723" s="8" t="s">
        <v>758</v>
      </c>
      <c r="P2723" s="6" t="s">
        <v>306</v>
      </c>
      <c r="Q2723" s="8" t="s">
        <v>265</v>
      </c>
      <c r="R2723" s="10" t="s">
        <v>16073</v>
      </c>
      <c r="S2723" s="11" t="s">
        <v>16074</v>
      </c>
      <c r="T2723" s="6" t="s">
        <v>97</v>
      </c>
      <c r="U2723" s="15" t="str">
        <f>HYPERLINK("https://media.infra-m.ru/2215/2215299/cover/2215299.jpg", "Обложка")</f>
        <v>Обложка</v>
      </c>
      <c r="V2723" s="8" t="s">
        <v>2427</v>
      </c>
      <c r="W2723" s="6"/>
      <c r="X2723" s="6"/>
      <c r="Y2723" s="6"/>
      <c r="Z2723" s="6" t="s">
        <v>882</v>
      </c>
      <c r="AA2723" s="6" t="s">
        <v>86</v>
      </c>
      <c r="AB2723" s="8"/>
      <c r="AC2723" s="27">
        <v>9785160139562</v>
      </c>
    </row>
    <row r="2724" spans="1:29" s="4" customFormat="1" ht="51.9" customHeight="1" x14ac:dyDescent="0.2">
      <c r="A2724" s="5">
        <v>0</v>
      </c>
      <c r="B2724" s="6" t="s">
        <v>16075</v>
      </c>
      <c r="C2724" s="7">
        <v>2136</v>
      </c>
      <c r="D2724" s="8" t="s">
        <v>16076</v>
      </c>
      <c r="E2724" s="8" t="s">
        <v>16077</v>
      </c>
      <c r="F2724" s="8" t="s">
        <v>16071</v>
      </c>
      <c r="G2724" s="6" t="s">
        <v>118</v>
      </c>
      <c r="H2724" s="6" t="s">
        <v>34</v>
      </c>
      <c r="I2724" s="8" t="s">
        <v>253</v>
      </c>
      <c r="J2724" s="9">
        <v>1</v>
      </c>
      <c r="K2724" s="9">
        <v>324</v>
      </c>
      <c r="L2724" s="9">
        <v>2026</v>
      </c>
      <c r="M2724" s="8" t="s">
        <v>16078</v>
      </c>
      <c r="N2724" s="8" t="s">
        <v>243</v>
      </c>
      <c r="O2724" s="8" t="s">
        <v>758</v>
      </c>
      <c r="P2724" s="6" t="s">
        <v>306</v>
      </c>
      <c r="Q2724" s="8" t="s">
        <v>65</v>
      </c>
      <c r="R2724" s="10" t="s">
        <v>16079</v>
      </c>
      <c r="S2724" s="11" t="s">
        <v>16080</v>
      </c>
      <c r="T2724" s="6"/>
      <c r="U2724" s="15" t="str">
        <f>HYPERLINK("https://media.infra-m.ru/2216/2216341/cover/2216341.jpg", "Обложка")</f>
        <v>Обложка</v>
      </c>
      <c r="V2724" s="8" t="s">
        <v>2427</v>
      </c>
      <c r="W2724" s="6"/>
      <c r="X2724" s="6"/>
      <c r="Y2724" s="6"/>
      <c r="Z2724" s="6"/>
      <c r="AA2724" s="6" t="s">
        <v>115</v>
      </c>
      <c r="AB2724" s="8"/>
      <c r="AC2724" s="27">
        <v>9785160185248</v>
      </c>
    </row>
    <row r="2725" spans="1:29" s="4" customFormat="1" ht="51.9" customHeight="1" x14ac:dyDescent="0.2">
      <c r="A2725" s="5">
        <v>0</v>
      </c>
      <c r="B2725" s="6" t="s">
        <v>16081</v>
      </c>
      <c r="C2725" s="13">
        <v>960</v>
      </c>
      <c r="D2725" s="8" t="s">
        <v>16082</v>
      </c>
      <c r="E2725" s="8" t="s">
        <v>16083</v>
      </c>
      <c r="F2725" s="8" t="s">
        <v>16084</v>
      </c>
      <c r="G2725" s="6" t="s">
        <v>118</v>
      </c>
      <c r="H2725" s="6" t="s">
        <v>34</v>
      </c>
      <c r="I2725" s="8" t="s">
        <v>253</v>
      </c>
      <c r="J2725" s="9">
        <v>1</v>
      </c>
      <c r="K2725" s="9">
        <v>146</v>
      </c>
      <c r="L2725" s="9">
        <v>2026</v>
      </c>
      <c r="M2725" s="8" t="s">
        <v>16085</v>
      </c>
      <c r="N2725" s="8" t="s">
        <v>243</v>
      </c>
      <c r="O2725" s="8" t="s">
        <v>758</v>
      </c>
      <c r="P2725" s="6" t="s">
        <v>105</v>
      </c>
      <c r="Q2725" s="8" t="s">
        <v>52</v>
      </c>
      <c r="R2725" s="10" t="s">
        <v>13656</v>
      </c>
      <c r="S2725" s="11" t="s">
        <v>16086</v>
      </c>
      <c r="T2725" s="6"/>
      <c r="U2725" s="15" t="str">
        <f>HYPERLINK("https://media.infra-m.ru/2256/2256723/cover/2256723.jpg", "Обложка")</f>
        <v>Обложка</v>
      </c>
      <c r="V2725" s="8" t="s">
        <v>13658</v>
      </c>
      <c r="W2725" s="6"/>
      <c r="X2725" s="6"/>
      <c r="Y2725" s="6"/>
      <c r="Z2725" s="6"/>
      <c r="AA2725" s="6" t="s">
        <v>218</v>
      </c>
      <c r="AB2725" s="8"/>
      <c r="AC2725" s="27">
        <v>9785160222028</v>
      </c>
    </row>
    <row r="2726" spans="1:29" s="4" customFormat="1" ht="51.9" customHeight="1" x14ac:dyDescent="0.2">
      <c r="A2726" s="5">
        <v>0</v>
      </c>
      <c r="B2726" s="6" t="s">
        <v>16087</v>
      </c>
      <c r="C2726" s="7">
        <v>2332.8000000000002</v>
      </c>
      <c r="D2726" s="8" t="s">
        <v>16088</v>
      </c>
      <c r="E2726" s="8" t="s">
        <v>16089</v>
      </c>
      <c r="F2726" s="8" t="s">
        <v>16090</v>
      </c>
      <c r="G2726" s="6" t="s">
        <v>60</v>
      </c>
      <c r="H2726" s="6" t="s">
        <v>34</v>
      </c>
      <c r="I2726" s="8" t="s">
        <v>271</v>
      </c>
      <c r="J2726" s="9">
        <v>1</v>
      </c>
      <c r="K2726" s="9">
        <v>353</v>
      </c>
      <c r="L2726" s="9">
        <v>2026</v>
      </c>
      <c r="M2726" s="8" t="s">
        <v>16091</v>
      </c>
      <c r="N2726" s="8" t="s">
        <v>243</v>
      </c>
      <c r="O2726" s="8" t="s">
        <v>758</v>
      </c>
      <c r="P2726" s="6" t="s">
        <v>306</v>
      </c>
      <c r="Q2726" s="8" t="s">
        <v>52</v>
      </c>
      <c r="R2726" s="10" t="s">
        <v>3270</v>
      </c>
      <c r="S2726" s="11" t="s">
        <v>16092</v>
      </c>
      <c r="T2726" s="6"/>
      <c r="U2726" s="15" t="str">
        <f>HYPERLINK("https://media.infra-m.ru/2230/2230667/cover/2230667.jpg", "Обложка")</f>
        <v>Обложка</v>
      </c>
      <c r="V2726" s="8" t="s">
        <v>1157</v>
      </c>
      <c r="W2726" s="6"/>
      <c r="X2726" s="6"/>
      <c r="Y2726" s="6"/>
      <c r="Z2726" s="6"/>
      <c r="AA2726" s="6" t="s">
        <v>148</v>
      </c>
      <c r="AB2726" s="8"/>
      <c r="AC2726" s="27">
        <v>9785160164113</v>
      </c>
    </row>
    <row r="2727" spans="1:29" s="4" customFormat="1" ht="51.9" customHeight="1" x14ac:dyDescent="0.2">
      <c r="A2727" s="5">
        <v>0</v>
      </c>
      <c r="B2727" s="6" t="s">
        <v>16093</v>
      </c>
      <c r="C2727" s="7">
        <v>2140.8000000000002</v>
      </c>
      <c r="D2727" s="8" t="s">
        <v>16094</v>
      </c>
      <c r="E2727" s="8" t="s">
        <v>16077</v>
      </c>
      <c r="F2727" s="8" t="s">
        <v>16071</v>
      </c>
      <c r="G2727" s="6" t="s">
        <v>118</v>
      </c>
      <c r="H2727" s="6" t="s">
        <v>34</v>
      </c>
      <c r="I2727" s="8" t="s">
        <v>263</v>
      </c>
      <c r="J2727" s="9">
        <v>1</v>
      </c>
      <c r="K2727" s="9">
        <v>324</v>
      </c>
      <c r="L2727" s="9">
        <v>2026</v>
      </c>
      <c r="M2727" s="8" t="s">
        <v>16095</v>
      </c>
      <c r="N2727" s="8" t="s">
        <v>243</v>
      </c>
      <c r="O2727" s="8" t="s">
        <v>758</v>
      </c>
      <c r="P2727" s="6" t="s">
        <v>306</v>
      </c>
      <c r="Q2727" s="8" t="s">
        <v>265</v>
      </c>
      <c r="R2727" s="10" t="s">
        <v>16096</v>
      </c>
      <c r="S2727" s="11" t="s">
        <v>16097</v>
      </c>
      <c r="T2727" s="6"/>
      <c r="U2727" s="15" t="str">
        <f>HYPERLINK("https://media.infra-m.ru/2226/2226490/cover/2226490.jpg", "Обложка")</f>
        <v>Обложка</v>
      </c>
      <c r="V2727" s="8" t="s">
        <v>2427</v>
      </c>
      <c r="W2727" s="6"/>
      <c r="X2727" s="6"/>
      <c r="Y2727" s="6"/>
      <c r="Z2727" s="6" t="s">
        <v>882</v>
      </c>
      <c r="AA2727" s="6" t="s">
        <v>1256</v>
      </c>
      <c r="AB2727" s="8"/>
      <c r="AC2727" s="27">
        <v>9785160149301</v>
      </c>
    </row>
    <row r="2728" spans="1:29" s="4" customFormat="1" ht="51.9" customHeight="1" x14ac:dyDescent="0.2">
      <c r="A2728" s="5">
        <v>0</v>
      </c>
      <c r="B2728" s="6" t="s">
        <v>16098</v>
      </c>
      <c r="C2728" s="7">
        <v>1632</v>
      </c>
      <c r="D2728" s="8" t="s">
        <v>16099</v>
      </c>
      <c r="E2728" s="8" t="s">
        <v>16070</v>
      </c>
      <c r="F2728" s="8" t="s">
        <v>16071</v>
      </c>
      <c r="G2728" s="6" t="s">
        <v>118</v>
      </c>
      <c r="H2728" s="6" t="s">
        <v>34</v>
      </c>
      <c r="I2728" s="8" t="s">
        <v>253</v>
      </c>
      <c r="J2728" s="9">
        <v>1</v>
      </c>
      <c r="K2728" s="9">
        <v>295</v>
      </c>
      <c r="L2728" s="9">
        <v>2024</v>
      </c>
      <c r="M2728" s="8" t="s">
        <v>16100</v>
      </c>
      <c r="N2728" s="8" t="s">
        <v>243</v>
      </c>
      <c r="O2728" s="8" t="s">
        <v>758</v>
      </c>
      <c r="P2728" s="6" t="s">
        <v>306</v>
      </c>
      <c r="Q2728" s="8" t="s">
        <v>65</v>
      </c>
      <c r="R2728" s="10" t="s">
        <v>16079</v>
      </c>
      <c r="S2728" s="11" t="s">
        <v>16101</v>
      </c>
      <c r="T2728" s="6" t="s">
        <v>97</v>
      </c>
      <c r="U2728" s="15" t="str">
        <f>HYPERLINK("https://media.infra-m.ru/2080/2080921/cover/2080921.jpg", "Обложка")</f>
        <v>Обложка</v>
      </c>
      <c r="V2728" s="8" t="s">
        <v>2427</v>
      </c>
      <c r="W2728" s="6"/>
      <c r="X2728" s="6"/>
      <c r="Y2728" s="6"/>
      <c r="Z2728" s="6"/>
      <c r="AA2728" s="6" t="s">
        <v>99</v>
      </c>
      <c r="AB2728" s="8"/>
      <c r="AC2728" s="27">
        <v>9785160189703</v>
      </c>
    </row>
    <row r="2729" spans="1:29" s="4" customFormat="1" ht="51.9" customHeight="1" x14ac:dyDescent="0.2">
      <c r="A2729" s="5">
        <v>0</v>
      </c>
      <c r="B2729" s="6" t="s">
        <v>16102</v>
      </c>
      <c r="C2729" s="7">
        <v>1804.8</v>
      </c>
      <c r="D2729" s="8" t="s">
        <v>16103</v>
      </c>
      <c r="E2729" s="8" t="s">
        <v>16104</v>
      </c>
      <c r="F2729" s="8" t="s">
        <v>16105</v>
      </c>
      <c r="G2729" s="6" t="s">
        <v>118</v>
      </c>
      <c r="H2729" s="6" t="s">
        <v>34</v>
      </c>
      <c r="I2729" s="8" t="s">
        <v>271</v>
      </c>
      <c r="J2729" s="9">
        <v>1</v>
      </c>
      <c r="K2729" s="9">
        <v>274</v>
      </c>
      <c r="L2729" s="9">
        <v>2026</v>
      </c>
      <c r="M2729" s="8" t="s">
        <v>16106</v>
      </c>
      <c r="N2729" s="8" t="s">
        <v>243</v>
      </c>
      <c r="O2729" s="8" t="s">
        <v>758</v>
      </c>
      <c r="P2729" s="6" t="s">
        <v>306</v>
      </c>
      <c r="Q2729" s="8" t="s">
        <v>52</v>
      </c>
      <c r="R2729" s="10" t="s">
        <v>16107</v>
      </c>
      <c r="S2729" s="11" t="s">
        <v>16108</v>
      </c>
      <c r="T2729" s="6"/>
      <c r="U2729" s="15" t="str">
        <f>HYPERLINK("https://media.infra-m.ru/2241/2241950/cover/2241950.jpg", "Обложка")</f>
        <v>Обложка</v>
      </c>
      <c r="V2729" s="8" t="s">
        <v>2427</v>
      </c>
      <c r="W2729" s="6"/>
      <c r="X2729" s="6"/>
      <c r="Y2729" s="6"/>
      <c r="Z2729" s="6"/>
      <c r="AA2729" s="6" t="s">
        <v>779</v>
      </c>
      <c r="AB2729" s="8"/>
      <c r="AC2729" s="27">
        <v>9785160121208</v>
      </c>
    </row>
    <row r="2730" spans="1:29" s="4" customFormat="1" ht="51.9" customHeight="1" x14ac:dyDescent="0.2">
      <c r="A2730" s="5">
        <v>0</v>
      </c>
      <c r="B2730" s="6" t="s">
        <v>16109</v>
      </c>
      <c r="C2730" s="7">
        <v>1804.8</v>
      </c>
      <c r="D2730" s="8" t="s">
        <v>16110</v>
      </c>
      <c r="E2730" s="8" t="s">
        <v>16104</v>
      </c>
      <c r="F2730" s="8" t="s">
        <v>16105</v>
      </c>
      <c r="G2730" s="6" t="s">
        <v>118</v>
      </c>
      <c r="H2730" s="6" t="s">
        <v>34</v>
      </c>
      <c r="I2730" s="8" t="s">
        <v>263</v>
      </c>
      <c r="J2730" s="9">
        <v>1</v>
      </c>
      <c r="K2730" s="9">
        <v>274</v>
      </c>
      <c r="L2730" s="9">
        <v>2026</v>
      </c>
      <c r="M2730" s="8" t="s">
        <v>16111</v>
      </c>
      <c r="N2730" s="8" t="s">
        <v>243</v>
      </c>
      <c r="O2730" s="8" t="s">
        <v>758</v>
      </c>
      <c r="P2730" s="6" t="s">
        <v>306</v>
      </c>
      <c r="Q2730" s="8" t="s">
        <v>265</v>
      </c>
      <c r="R2730" s="10" t="s">
        <v>16112</v>
      </c>
      <c r="S2730" s="11" t="s">
        <v>16113</v>
      </c>
      <c r="T2730" s="6"/>
      <c r="U2730" s="15" t="str">
        <f>HYPERLINK("https://media.infra-m.ru/2225/2225990/cover/2225990.jpg", "Обложка")</f>
        <v>Обложка</v>
      </c>
      <c r="V2730" s="8" t="s">
        <v>2427</v>
      </c>
      <c r="W2730" s="6"/>
      <c r="X2730" s="6"/>
      <c r="Y2730" s="6"/>
      <c r="Z2730" s="6" t="s">
        <v>267</v>
      </c>
      <c r="AA2730" s="6" t="s">
        <v>1256</v>
      </c>
      <c r="AB2730" s="8"/>
      <c r="AC2730" s="27">
        <v>9785160149356</v>
      </c>
    </row>
    <row r="2731" spans="1:29" s="4" customFormat="1" ht="51.9" customHeight="1" x14ac:dyDescent="0.2">
      <c r="A2731" s="5">
        <v>0</v>
      </c>
      <c r="B2731" s="6" t="s">
        <v>16114</v>
      </c>
      <c r="C2731" s="7">
        <v>3590.4</v>
      </c>
      <c r="D2731" s="8" t="s">
        <v>16115</v>
      </c>
      <c r="E2731" s="8" t="s">
        <v>16116</v>
      </c>
      <c r="F2731" s="8" t="s">
        <v>16117</v>
      </c>
      <c r="G2731" s="6" t="s">
        <v>118</v>
      </c>
      <c r="H2731" s="6" t="s">
        <v>34</v>
      </c>
      <c r="I2731" s="8" t="s">
        <v>253</v>
      </c>
      <c r="J2731" s="9">
        <v>1</v>
      </c>
      <c r="K2731" s="9">
        <v>342</v>
      </c>
      <c r="L2731" s="9">
        <v>2026</v>
      </c>
      <c r="M2731" s="8" t="s">
        <v>16118</v>
      </c>
      <c r="N2731" s="8" t="s">
        <v>243</v>
      </c>
      <c r="O2731" s="8" t="s">
        <v>758</v>
      </c>
      <c r="P2731" s="6" t="s">
        <v>306</v>
      </c>
      <c r="Q2731" s="8" t="s">
        <v>52</v>
      </c>
      <c r="R2731" s="10" t="s">
        <v>13656</v>
      </c>
      <c r="S2731" s="11" t="s">
        <v>16119</v>
      </c>
      <c r="T2731" s="6"/>
      <c r="U2731" s="15" t="str">
        <f>HYPERLINK("https://media.infra-m.ru/2248/2248308/cover/2248308.jpg", "Обложка")</f>
        <v>Обложка</v>
      </c>
      <c r="V2731" s="8" t="s">
        <v>13658</v>
      </c>
      <c r="W2731" s="6"/>
      <c r="X2731" s="6"/>
      <c r="Y2731" s="6"/>
      <c r="Z2731" s="6"/>
      <c r="AA2731" s="6" t="s">
        <v>218</v>
      </c>
      <c r="AB2731" s="8"/>
      <c r="AC2731" s="27">
        <v>9785160191775</v>
      </c>
    </row>
    <row r="2732" spans="1:29" s="4" customFormat="1" ht="51.9" customHeight="1" x14ac:dyDescent="0.2">
      <c r="A2732" s="5">
        <v>0</v>
      </c>
      <c r="B2732" s="6" t="s">
        <v>16120</v>
      </c>
      <c r="C2732" s="7">
        <v>2004</v>
      </c>
      <c r="D2732" s="8" t="s">
        <v>16121</v>
      </c>
      <c r="E2732" s="8" t="s">
        <v>16122</v>
      </c>
      <c r="F2732" s="8" t="s">
        <v>16123</v>
      </c>
      <c r="G2732" s="6" t="s">
        <v>118</v>
      </c>
      <c r="H2732" s="6" t="s">
        <v>34</v>
      </c>
      <c r="I2732" s="8" t="s">
        <v>263</v>
      </c>
      <c r="J2732" s="9">
        <v>1</v>
      </c>
      <c r="K2732" s="9">
        <v>288</v>
      </c>
      <c r="L2732" s="9">
        <v>2027</v>
      </c>
      <c r="M2732" s="8" t="s">
        <v>16124</v>
      </c>
      <c r="N2732" s="8" t="s">
        <v>243</v>
      </c>
      <c r="O2732" s="8" t="s">
        <v>758</v>
      </c>
      <c r="P2732" s="6" t="s">
        <v>51</v>
      </c>
      <c r="Q2732" s="8" t="s">
        <v>265</v>
      </c>
      <c r="R2732" s="10" t="s">
        <v>16125</v>
      </c>
      <c r="S2732" s="11" t="s">
        <v>16126</v>
      </c>
      <c r="T2732" s="6"/>
      <c r="U2732" s="15" t="str">
        <f>HYPERLINK("https://media.infra-m.ru/2268/2268427/cover/2268427.jpg", "Обложка")</f>
        <v>Обложка</v>
      </c>
      <c r="V2732" s="8" t="s">
        <v>1157</v>
      </c>
      <c r="W2732" s="6"/>
      <c r="X2732" s="6"/>
      <c r="Y2732" s="6"/>
      <c r="Z2732" s="6" t="s">
        <v>267</v>
      </c>
      <c r="AA2732" s="6" t="s">
        <v>86</v>
      </c>
      <c r="AB2732" s="8"/>
      <c r="AC2732" s="27">
        <v>9785160216867</v>
      </c>
    </row>
    <row r="2733" spans="1:29" s="4" customFormat="1" ht="51.9" customHeight="1" x14ac:dyDescent="0.2">
      <c r="A2733" s="5">
        <v>0</v>
      </c>
      <c r="B2733" s="6" t="s">
        <v>16127</v>
      </c>
      <c r="C2733" s="7">
        <v>1900.8</v>
      </c>
      <c r="D2733" s="8" t="s">
        <v>16128</v>
      </c>
      <c r="E2733" s="8" t="s">
        <v>16122</v>
      </c>
      <c r="F2733" s="8" t="s">
        <v>16129</v>
      </c>
      <c r="G2733" s="6" t="s">
        <v>118</v>
      </c>
      <c r="H2733" s="6" t="s">
        <v>34</v>
      </c>
      <c r="I2733" s="8" t="s">
        <v>253</v>
      </c>
      <c r="J2733" s="9">
        <v>1</v>
      </c>
      <c r="K2733" s="9">
        <v>288</v>
      </c>
      <c r="L2733" s="9">
        <v>2026</v>
      </c>
      <c r="M2733" s="8" t="s">
        <v>16130</v>
      </c>
      <c r="N2733" s="8" t="s">
        <v>243</v>
      </c>
      <c r="O2733" s="8" t="s">
        <v>758</v>
      </c>
      <c r="P2733" s="6" t="s">
        <v>51</v>
      </c>
      <c r="Q2733" s="8" t="s">
        <v>52</v>
      </c>
      <c r="R2733" s="10" t="s">
        <v>16131</v>
      </c>
      <c r="S2733" s="11" t="s">
        <v>16132</v>
      </c>
      <c r="T2733" s="6"/>
      <c r="U2733" s="15" t="str">
        <f>HYPERLINK("https://media.infra-m.ru/2222/2222987/cover/2222987.jpg", "Обложка")</f>
        <v>Обложка</v>
      </c>
      <c r="V2733" s="8" t="s">
        <v>1157</v>
      </c>
      <c r="W2733" s="6"/>
      <c r="X2733" s="6"/>
      <c r="Y2733" s="6"/>
      <c r="Z2733" s="6"/>
      <c r="AA2733" s="6" t="s">
        <v>949</v>
      </c>
      <c r="AB2733" s="8"/>
      <c r="AC2733" s="27">
        <v>9785160213699</v>
      </c>
    </row>
    <row r="2734" spans="1:29" s="4" customFormat="1" ht="44.1" customHeight="1" x14ac:dyDescent="0.2">
      <c r="A2734" s="5">
        <v>0</v>
      </c>
      <c r="B2734" s="6" t="s">
        <v>16133</v>
      </c>
      <c r="C2734" s="7">
        <v>2104.8000000000002</v>
      </c>
      <c r="D2734" s="8" t="s">
        <v>16134</v>
      </c>
      <c r="E2734" s="8" t="s">
        <v>16135</v>
      </c>
      <c r="F2734" s="8" t="s">
        <v>16136</v>
      </c>
      <c r="G2734" s="6" t="s">
        <v>60</v>
      </c>
      <c r="H2734" s="6" t="s">
        <v>34</v>
      </c>
      <c r="I2734" s="8" t="s">
        <v>253</v>
      </c>
      <c r="J2734" s="9">
        <v>1</v>
      </c>
      <c r="K2734" s="9">
        <v>319</v>
      </c>
      <c r="L2734" s="9">
        <v>2026</v>
      </c>
      <c r="M2734" s="8" t="s">
        <v>16137</v>
      </c>
      <c r="N2734" s="8" t="s">
        <v>243</v>
      </c>
      <c r="O2734" s="8" t="s">
        <v>244</v>
      </c>
      <c r="P2734" s="6" t="s">
        <v>51</v>
      </c>
      <c r="Q2734" s="8" t="s">
        <v>52</v>
      </c>
      <c r="R2734" s="10" t="s">
        <v>16138</v>
      </c>
      <c r="S2734" s="11"/>
      <c r="T2734" s="6"/>
      <c r="U2734" s="15" t="str">
        <f>HYPERLINK("https://media.infra-m.ru/2239/2239157/cover/2239157.jpg", "Обложка")</f>
        <v>Обложка</v>
      </c>
      <c r="V2734" s="8" t="s">
        <v>3428</v>
      </c>
      <c r="W2734" s="6"/>
      <c r="X2734" s="6"/>
      <c r="Y2734" s="6"/>
      <c r="Z2734" s="6"/>
      <c r="AA2734" s="6" t="s">
        <v>157</v>
      </c>
      <c r="AB2734" s="8"/>
      <c r="AC2734" s="27">
        <v>9785160178615</v>
      </c>
    </row>
    <row r="2735" spans="1:29" s="4" customFormat="1" ht="51.9" customHeight="1" x14ac:dyDescent="0.2">
      <c r="A2735" s="5">
        <v>0</v>
      </c>
      <c r="B2735" s="6" t="s">
        <v>16139</v>
      </c>
      <c r="C2735" s="7">
        <v>2448</v>
      </c>
      <c r="D2735" s="8" t="s">
        <v>16140</v>
      </c>
      <c r="E2735" s="8" t="s">
        <v>16141</v>
      </c>
      <c r="F2735" s="8" t="s">
        <v>16142</v>
      </c>
      <c r="G2735" s="6" t="s">
        <v>118</v>
      </c>
      <c r="H2735" s="6" t="s">
        <v>34</v>
      </c>
      <c r="I2735" s="8" t="s">
        <v>263</v>
      </c>
      <c r="J2735" s="9">
        <v>1</v>
      </c>
      <c r="K2735" s="9">
        <v>391</v>
      </c>
      <c r="L2735" s="9">
        <v>2026</v>
      </c>
      <c r="M2735" s="8" t="s">
        <v>16143</v>
      </c>
      <c r="N2735" s="8" t="s">
        <v>243</v>
      </c>
      <c r="O2735" s="8" t="s">
        <v>758</v>
      </c>
      <c r="P2735" s="6" t="s">
        <v>51</v>
      </c>
      <c r="Q2735" s="8" t="s">
        <v>265</v>
      </c>
      <c r="R2735" s="10" t="s">
        <v>16144</v>
      </c>
      <c r="S2735" s="11" t="s">
        <v>16145</v>
      </c>
      <c r="T2735" s="6"/>
      <c r="U2735" s="15" t="str">
        <f>HYPERLINK("https://media.infra-m.ru/2220/2220962/cover/2220962.jpg", "Обложка")</f>
        <v>Обложка</v>
      </c>
      <c r="V2735" s="8" t="s">
        <v>16146</v>
      </c>
      <c r="W2735" s="6"/>
      <c r="X2735" s="6"/>
      <c r="Y2735" s="6"/>
      <c r="Z2735" s="6"/>
      <c r="AA2735" s="6" t="s">
        <v>2240</v>
      </c>
      <c r="AB2735" s="8"/>
      <c r="AC2735" s="27">
        <v>9785160213064</v>
      </c>
    </row>
    <row r="2736" spans="1:29" s="4" customFormat="1" ht="51.9" customHeight="1" x14ac:dyDescent="0.2">
      <c r="A2736" s="5">
        <v>0</v>
      </c>
      <c r="B2736" s="6" t="s">
        <v>16147</v>
      </c>
      <c r="C2736" s="7">
        <v>2724</v>
      </c>
      <c r="D2736" s="8" t="s">
        <v>16148</v>
      </c>
      <c r="E2736" s="8" t="s">
        <v>16141</v>
      </c>
      <c r="F2736" s="8" t="s">
        <v>16142</v>
      </c>
      <c r="G2736" s="6" t="s">
        <v>118</v>
      </c>
      <c r="H2736" s="6" t="s">
        <v>34</v>
      </c>
      <c r="I2736" s="8" t="s">
        <v>253</v>
      </c>
      <c r="J2736" s="9">
        <v>1</v>
      </c>
      <c r="K2736" s="9">
        <v>391</v>
      </c>
      <c r="L2736" s="9">
        <v>2027</v>
      </c>
      <c r="M2736" s="8" t="s">
        <v>16149</v>
      </c>
      <c r="N2736" s="8" t="s">
        <v>243</v>
      </c>
      <c r="O2736" s="8" t="s">
        <v>758</v>
      </c>
      <c r="P2736" s="6" t="s">
        <v>51</v>
      </c>
      <c r="Q2736" s="8" t="s">
        <v>65</v>
      </c>
      <c r="R2736" s="10" t="s">
        <v>16079</v>
      </c>
      <c r="S2736" s="11" t="s">
        <v>16150</v>
      </c>
      <c r="T2736" s="6"/>
      <c r="U2736" s="15" t="str">
        <f>HYPERLINK("https://media.infra-m.ru/2262/2262885/cover/2262885.jpg", "Обложка")</f>
        <v>Обложка</v>
      </c>
      <c r="V2736" s="8" t="s">
        <v>16146</v>
      </c>
      <c r="W2736" s="6"/>
      <c r="X2736" s="6"/>
      <c r="Y2736" s="6"/>
      <c r="Z2736" s="6" t="s">
        <v>3974</v>
      </c>
      <c r="AA2736" s="6" t="s">
        <v>218</v>
      </c>
      <c r="AB2736" s="8"/>
      <c r="AC2736" s="27">
        <v>9785160214993</v>
      </c>
    </row>
    <row r="2737" spans="1:29" s="4" customFormat="1" ht="51.9" customHeight="1" x14ac:dyDescent="0.2">
      <c r="A2737" s="5">
        <v>0</v>
      </c>
      <c r="B2737" s="6" t="s">
        <v>16151</v>
      </c>
      <c r="C2737" s="7">
        <v>1464</v>
      </c>
      <c r="D2737" s="8" t="s">
        <v>16152</v>
      </c>
      <c r="E2737" s="8" t="s">
        <v>16153</v>
      </c>
      <c r="F2737" s="8" t="s">
        <v>9255</v>
      </c>
      <c r="G2737" s="6" t="s">
        <v>118</v>
      </c>
      <c r="H2737" s="6" t="s">
        <v>34</v>
      </c>
      <c r="I2737" s="8" t="s">
        <v>504</v>
      </c>
      <c r="J2737" s="9">
        <v>1</v>
      </c>
      <c r="K2737" s="9">
        <v>264</v>
      </c>
      <c r="L2737" s="9">
        <v>2023</v>
      </c>
      <c r="M2737" s="8" t="s">
        <v>16154</v>
      </c>
      <c r="N2737" s="8" t="s">
        <v>243</v>
      </c>
      <c r="O2737" s="8" t="s">
        <v>758</v>
      </c>
      <c r="P2737" s="6" t="s">
        <v>51</v>
      </c>
      <c r="Q2737" s="8" t="s">
        <v>500</v>
      </c>
      <c r="R2737" s="10" t="s">
        <v>16155</v>
      </c>
      <c r="S2737" s="11" t="s">
        <v>16156</v>
      </c>
      <c r="T2737" s="6"/>
      <c r="U2737" s="15" t="str">
        <f>HYPERLINK("https://media.infra-m.ru/2125/2125630/cover/2125630.jpg", "Обложка")</f>
        <v>Обложка</v>
      </c>
      <c r="V2737" s="8" t="s">
        <v>631</v>
      </c>
      <c r="W2737" s="6"/>
      <c r="X2737" s="6"/>
      <c r="Y2737" s="6"/>
      <c r="Z2737" s="6"/>
      <c r="AA2737" s="6" t="s">
        <v>86</v>
      </c>
      <c r="AB2737" s="8"/>
      <c r="AC2737" s="27">
        <v>9785160129563</v>
      </c>
    </row>
    <row r="2738" spans="1:29" s="4" customFormat="1" ht="51.9" customHeight="1" x14ac:dyDescent="0.2">
      <c r="A2738" s="5">
        <v>0</v>
      </c>
      <c r="B2738" s="6" t="s">
        <v>16157</v>
      </c>
      <c r="C2738" s="7">
        <v>1788</v>
      </c>
      <c r="D2738" s="8" t="s">
        <v>16158</v>
      </c>
      <c r="E2738" s="8" t="s">
        <v>16159</v>
      </c>
      <c r="F2738" s="8" t="s">
        <v>16160</v>
      </c>
      <c r="G2738" s="6" t="s">
        <v>118</v>
      </c>
      <c r="H2738" s="6" t="s">
        <v>34</v>
      </c>
      <c r="I2738" s="8" t="s">
        <v>263</v>
      </c>
      <c r="J2738" s="9">
        <v>1</v>
      </c>
      <c r="K2738" s="9">
        <v>271</v>
      </c>
      <c r="L2738" s="9">
        <v>2026</v>
      </c>
      <c r="M2738" s="8" t="s">
        <v>16161</v>
      </c>
      <c r="N2738" s="8" t="s">
        <v>243</v>
      </c>
      <c r="O2738" s="8" t="s">
        <v>758</v>
      </c>
      <c r="P2738" s="6" t="s">
        <v>51</v>
      </c>
      <c r="Q2738" s="8" t="s">
        <v>265</v>
      </c>
      <c r="R2738" s="10" t="s">
        <v>16162</v>
      </c>
      <c r="S2738" s="11" t="s">
        <v>16163</v>
      </c>
      <c r="T2738" s="6"/>
      <c r="U2738" s="15" t="str">
        <f>HYPERLINK("https://media.infra-m.ru/2229/2229565/cover/2229565.jpg", "Обложка")</f>
        <v>Обложка</v>
      </c>
      <c r="V2738" s="8" t="s">
        <v>1157</v>
      </c>
      <c r="W2738" s="6"/>
      <c r="X2738" s="6"/>
      <c r="Y2738" s="6"/>
      <c r="Z2738" s="6" t="s">
        <v>882</v>
      </c>
      <c r="AA2738" s="6" t="s">
        <v>86</v>
      </c>
      <c r="AB2738" s="8"/>
      <c r="AC2738" s="27">
        <v>9785160221090</v>
      </c>
    </row>
    <row r="2739" spans="1:29" s="4" customFormat="1" ht="51.9" customHeight="1" x14ac:dyDescent="0.2">
      <c r="A2739" s="5">
        <v>0</v>
      </c>
      <c r="B2739" s="6" t="s">
        <v>16164</v>
      </c>
      <c r="C2739" s="7">
        <v>1788</v>
      </c>
      <c r="D2739" s="8" t="s">
        <v>16165</v>
      </c>
      <c r="E2739" s="8" t="s">
        <v>16159</v>
      </c>
      <c r="F2739" s="8" t="s">
        <v>16160</v>
      </c>
      <c r="G2739" s="6" t="s">
        <v>118</v>
      </c>
      <c r="H2739" s="6" t="s">
        <v>34</v>
      </c>
      <c r="I2739" s="8" t="s">
        <v>253</v>
      </c>
      <c r="J2739" s="9">
        <v>1</v>
      </c>
      <c r="K2739" s="9">
        <v>271</v>
      </c>
      <c r="L2739" s="9">
        <v>2026</v>
      </c>
      <c r="M2739" s="8" t="s">
        <v>16166</v>
      </c>
      <c r="N2739" s="8" t="s">
        <v>243</v>
      </c>
      <c r="O2739" s="8" t="s">
        <v>758</v>
      </c>
      <c r="P2739" s="6" t="s">
        <v>51</v>
      </c>
      <c r="Q2739" s="8" t="s">
        <v>65</v>
      </c>
      <c r="R2739" s="10" t="s">
        <v>16167</v>
      </c>
      <c r="S2739" s="11" t="s">
        <v>16163</v>
      </c>
      <c r="T2739" s="6"/>
      <c r="U2739" s="15" t="str">
        <f>HYPERLINK("https://media.infra-m.ru/2235/2235149/cover/2235149.jpg", "Обложка")</f>
        <v>Обложка</v>
      </c>
      <c r="V2739" s="8" t="s">
        <v>1157</v>
      </c>
      <c r="W2739" s="6"/>
      <c r="X2739" s="6"/>
      <c r="Y2739" s="6"/>
      <c r="Z2739" s="6"/>
      <c r="AA2739" s="6" t="s">
        <v>248</v>
      </c>
      <c r="AB2739" s="8"/>
      <c r="AC2739" s="27">
        <v>9785160216850</v>
      </c>
    </row>
    <row r="2740" spans="1:29" s="4" customFormat="1" ht="51.9" customHeight="1" x14ac:dyDescent="0.2">
      <c r="A2740" s="5">
        <v>0</v>
      </c>
      <c r="B2740" s="6" t="s">
        <v>16168</v>
      </c>
      <c r="C2740" s="7">
        <v>1888.8</v>
      </c>
      <c r="D2740" s="8" t="s">
        <v>16169</v>
      </c>
      <c r="E2740" s="8" t="s">
        <v>16170</v>
      </c>
      <c r="F2740" s="8" t="s">
        <v>16171</v>
      </c>
      <c r="G2740" s="6" t="s">
        <v>118</v>
      </c>
      <c r="H2740" s="6" t="s">
        <v>34</v>
      </c>
      <c r="I2740" s="8" t="s">
        <v>253</v>
      </c>
      <c r="J2740" s="9">
        <v>1</v>
      </c>
      <c r="K2740" s="9">
        <v>272</v>
      </c>
      <c r="L2740" s="9">
        <v>2027</v>
      </c>
      <c r="M2740" s="8" t="s">
        <v>16172</v>
      </c>
      <c r="N2740" s="8" t="s">
        <v>243</v>
      </c>
      <c r="O2740" s="8" t="s">
        <v>758</v>
      </c>
      <c r="P2740" s="6" t="s">
        <v>16173</v>
      </c>
      <c r="Q2740" s="8" t="s">
        <v>52</v>
      </c>
      <c r="R2740" s="10" t="s">
        <v>16174</v>
      </c>
      <c r="S2740" s="11" t="s">
        <v>16175</v>
      </c>
      <c r="T2740" s="6"/>
      <c r="U2740" s="15" t="str">
        <f>HYPERLINK("https://media.infra-m.ru/2264/2264627/cover/2264627.jpg", "Обложка")</f>
        <v>Обложка</v>
      </c>
      <c r="V2740" s="8" t="s">
        <v>4409</v>
      </c>
      <c r="W2740" s="6"/>
      <c r="X2740" s="6"/>
      <c r="Y2740" s="6"/>
      <c r="Z2740" s="6"/>
      <c r="AA2740" s="6" t="s">
        <v>561</v>
      </c>
      <c r="AB2740" s="8"/>
      <c r="AC2740" s="27">
        <v>9785160187853</v>
      </c>
    </row>
    <row r="2741" spans="1:29" s="4" customFormat="1" ht="51.9" customHeight="1" x14ac:dyDescent="0.2">
      <c r="A2741" s="5">
        <v>0</v>
      </c>
      <c r="B2741" s="6" t="s">
        <v>16176</v>
      </c>
      <c r="C2741" s="7">
        <v>1792.8</v>
      </c>
      <c r="D2741" s="8" t="s">
        <v>16177</v>
      </c>
      <c r="E2741" s="8" t="s">
        <v>16170</v>
      </c>
      <c r="F2741" s="8" t="s">
        <v>16178</v>
      </c>
      <c r="G2741" s="6" t="s">
        <v>118</v>
      </c>
      <c r="H2741" s="6" t="s">
        <v>34</v>
      </c>
      <c r="I2741" s="8" t="s">
        <v>263</v>
      </c>
      <c r="J2741" s="9">
        <v>1</v>
      </c>
      <c r="K2741" s="9">
        <v>272</v>
      </c>
      <c r="L2741" s="9">
        <v>2026</v>
      </c>
      <c r="M2741" s="8" t="s">
        <v>16179</v>
      </c>
      <c r="N2741" s="8" t="s">
        <v>243</v>
      </c>
      <c r="O2741" s="8" t="s">
        <v>758</v>
      </c>
      <c r="P2741" s="6" t="s">
        <v>16173</v>
      </c>
      <c r="Q2741" s="8" t="s">
        <v>265</v>
      </c>
      <c r="R2741" s="10" t="s">
        <v>16180</v>
      </c>
      <c r="S2741" s="11" t="s">
        <v>16126</v>
      </c>
      <c r="T2741" s="6"/>
      <c r="U2741" s="15" t="str">
        <f>HYPERLINK("https://media.infra-m.ru/2244/2244250/cover/2244250.jpg", "Обложка")</f>
        <v>Обложка</v>
      </c>
      <c r="V2741" s="8" t="s">
        <v>4409</v>
      </c>
      <c r="W2741" s="6"/>
      <c r="X2741" s="6"/>
      <c r="Y2741" s="6"/>
      <c r="Z2741" s="6" t="s">
        <v>267</v>
      </c>
      <c r="AA2741" s="6" t="s">
        <v>86</v>
      </c>
      <c r="AB2741" s="8"/>
      <c r="AC2741" s="27">
        <v>9785160158679</v>
      </c>
    </row>
    <row r="2742" spans="1:29" s="4" customFormat="1" ht="51.9" customHeight="1" x14ac:dyDescent="0.2">
      <c r="A2742" s="5">
        <v>0</v>
      </c>
      <c r="B2742" s="6" t="s">
        <v>16181</v>
      </c>
      <c r="C2742" s="7">
        <v>1800</v>
      </c>
      <c r="D2742" s="8" t="s">
        <v>16182</v>
      </c>
      <c r="E2742" s="8" t="s">
        <v>16183</v>
      </c>
      <c r="F2742" s="8" t="s">
        <v>16184</v>
      </c>
      <c r="G2742" s="6" t="s">
        <v>60</v>
      </c>
      <c r="H2742" s="6" t="s">
        <v>34</v>
      </c>
      <c r="I2742" s="8" t="s">
        <v>271</v>
      </c>
      <c r="J2742" s="9">
        <v>1</v>
      </c>
      <c r="K2742" s="9">
        <v>363</v>
      </c>
      <c r="L2742" s="9">
        <v>2022</v>
      </c>
      <c r="M2742" s="8" t="s">
        <v>16185</v>
      </c>
      <c r="N2742" s="8" t="s">
        <v>243</v>
      </c>
      <c r="O2742" s="8" t="s">
        <v>758</v>
      </c>
      <c r="P2742" s="6" t="s">
        <v>51</v>
      </c>
      <c r="Q2742" s="8" t="s">
        <v>52</v>
      </c>
      <c r="R2742" s="10" t="s">
        <v>11597</v>
      </c>
      <c r="S2742" s="11" t="s">
        <v>16186</v>
      </c>
      <c r="T2742" s="6"/>
      <c r="U2742" s="15" t="str">
        <f>HYPERLINK("https://media.infra-m.ru/1020/1020520/cover/1020520.jpg", "Обложка")</f>
        <v>Обложка</v>
      </c>
      <c r="V2742" s="8" t="s">
        <v>3595</v>
      </c>
      <c r="W2742" s="6"/>
      <c r="X2742" s="6"/>
      <c r="Y2742" s="6"/>
      <c r="Z2742" s="6"/>
      <c r="AA2742" s="6" t="s">
        <v>148</v>
      </c>
      <c r="AB2742" s="8"/>
      <c r="AC2742" s="27">
        <v>9785160152363</v>
      </c>
    </row>
    <row r="2743" spans="1:29" s="4" customFormat="1" ht="51.9" customHeight="1" x14ac:dyDescent="0.2">
      <c r="A2743" s="5">
        <v>0</v>
      </c>
      <c r="B2743" s="6" t="s">
        <v>16187</v>
      </c>
      <c r="C2743" s="7">
        <v>2116.8000000000002</v>
      </c>
      <c r="D2743" s="8" t="s">
        <v>16188</v>
      </c>
      <c r="E2743" s="8" t="s">
        <v>16189</v>
      </c>
      <c r="F2743" s="8" t="s">
        <v>16190</v>
      </c>
      <c r="G2743" s="6" t="s">
        <v>60</v>
      </c>
      <c r="H2743" s="6" t="s">
        <v>34</v>
      </c>
      <c r="I2743" s="8" t="s">
        <v>271</v>
      </c>
      <c r="J2743" s="9">
        <v>1</v>
      </c>
      <c r="K2743" s="9">
        <v>304</v>
      </c>
      <c r="L2743" s="9">
        <v>2027</v>
      </c>
      <c r="M2743" s="8" t="s">
        <v>16191</v>
      </c>
      <c r="N2743" s="8" t="s">
        <v>243</v>
      </c>
      <c r="O2743" s="8" t="s">
        <v>758</v>
      </c>
      <c r="P2743" s="6" t="s">
        <v>306</v>
      </c>
      <c r="Q2743" s="8" t="s">
        <v>52</v>
      </c>
      <c r="R2743" s="10" t="s">
        <v>16192</v>
      </c>
      <c r="S2743" s="11" t="s">
        <v>16193</v>
      </c>
      <c r="T2743" s="6"/>
      <c r="U2743" s="15" t="str">
        <f>HYPERLINK("https://media.infra-m.ru/2264/2264801/cover/2264801.jpg", "Обложка")</f>
        <v>Обложка</v>
      </c>
      <c r="V2743" s="8" t="s">
        <v>2623</v>
      </c>
      <c r="W2743" s="6"/>
      <c r="X2743" s="6"/>
      <c r="Y2743" s="6"/>
      <c r="Z2743" s="6"/>
      <c r="AA2743" s="6" t="s">
        <v>55</v>
      </c>
      <c r="AB2743" s="8"/>
      <c r="AC2743" s="27">
        <v>9785160092294</v>
      </c>
    </row>
    <row r="2744" spans="1:29" s="4" customFormat="1" ht="51.9" customHeight="1" x14ac:dyDescent="0.2">
      <c r="A2744" s="5">
        <v>0</v>
      </c>
      <c r="B2744" s="6" t="s">
        <v>16194</v>
      </c>
      <c r="C2744" s="7">
        <v>2040</v>
      </c>
      <c r="D2744" s="8" t="s">
        <v>16195</v>
      </c>
      <c r="E2744" s="8" t="s">
        <v>16189</v>
      </c>
      <c r="F2744" s="8" t="s">
        <v>16196</v>
      </c>
      <c r="G2744" s="6" t="s">
        <v>118</v>
      </c>
      <c r="H2744" s="6" t="s">
        <v>34</v>
      </c>
      <c r="I2744" s="8" t="s">
        <v>263</v>
      </c>
      <c r="J2744" s="9">
        <v>1</v>
      </c>
      <c r="K2744" s="9">
        <v>304</v>
      </c>
      <c r="L2744" s="9">
        <v>2026</v>
      </c>
      <c r="M2744" s="8" t="s">
        <v>16197</v>
      </c>
      <c r="N2744" s="8" t="s">
        <v>243</v>
      </c>
      <c r="O2744" s="8" t="s">
        <v>758</v>
      </c>
      <c r="P2744" s="6" t="s">
        <v>306</v>
      </c>
      <c r="Q2744" s="8" t="s">
        <v>265</v>
      </c>
      <c r="R2744" s="10" t="s">
        <v>16198</v>
      </c>
      <c r="S2744" s="11" t="s">
        <v>16199</v>
      </c>
      <c r="T2744" s="6"/>
      <c r="U2744" s="15" t="str">
        <f>HYPERLINK("https://media.infra-m.ru/2253/2253845/cover/2253845.jpg", "Обложка")</f>
        <v>Обложка</v>
      </c>
      <c r="V2744" s="8" t="s">
        <v>2623</v>
      </c>
      <c r="W2744" s="6"/>
      <c r="X2744" s="6" t="s">
        <v>24</v>
      </c>
      <c r="Y2744" s="6"/>
      <c r="Z2744" s="6" t="s">
        <v>267</v>
      </c>
      <c r="AA2744" s="6" t="s">
        <v>115</v>
      </c>
      <c r="AB2744" s="8" t="s">
        <v>3581</v>
      </c>
      <c r="AC2744" s="27">
        <v>9785160146324</v>
      </c>
    </row>
    <row r="2745" spans="1:29" s="4" customFormat="1" ht="51.9" customHeight="1" x14ac:dyDescent="0.2">
      <c r="A2745" s="5">
        <v>0</v>
      </c>
      <c r="B2745" s="6" t="s">
        <v>16200</v>
      </c>
      <c r="C2745" s="7">
        <v>3232.8</v>
      </c>
      <c r="D2745" s="8" t="s">
        <v>16201</v>
      </c>
      <c r="E2745" s="8" t="s">
        <v>16202</v>
      </c>
      <c r="F2745" s="8" t="s">
        <v>16203</v>
      </c>
      <c r="G2745" s="6" t="s">
        <v>60</v>
      </c>
      <c r="H2745" s="6" t="s">
        <v>5605</v>
      </c>
      <c r="I2745" s="8" t="s">
        <v>263</v>
      </c>
      <c r="J2745" s="9">
        <v>1</v>
      </c>
      <c r="K2745" s="9">
        <v>687</v>
      </c>
      <c r="L2745" s="9">
        <v>2026</v>
      </c>
      <c r="M2745" s="8" t="s">
        <v>16204</v>
      </c>
      <c r="N2745" s="8" t="s">
        <v>63</v>
      </c>
      <c r="O2745" s="8" t="s">
        <v>181</v>
      </c>
      <c r="P2745" s="6" t="s">
        <v>51</v>
      </c>
      <c r="Q2745" s="8" t="s">
        <v>265</v>
      </c>
      <c r="R2745" s="10" t="s">
        <v>16205</v>
      </c>
      <c r="S2745" s="11" t="s">
        <v>16206</v>
      </c>
      <c r="T2745" s="6"/>
      <c r="U2745" s="15" t="str">
        <f>HYPERLINK("https://media.infra-m.ru/2224/2224133/cover/2224133.jpg", "Обложка")</f>
        <v>Обложка</v>
      </c>
      <c r="V2745" s="8" t="s">
        <v>8067</v>
      </c>
      <c r="W2745" s="6"/>
      <c r="X2745" s="6"/>
      <c r="Y2745" s="6"/>
      <c r="Z2745" s="6"/>
      <c r="AA2745" s="6" t="s">
        <v>561</v>
      </c>
      <c r="AB2745" s="8"/>
      <c r="AC2745" s="27">
        <v>9785160035086</v>
      </c>
    </row>
    <row r="2746" spans="1:29" s="4" customFormat="1" ht="51.9" customHeight="1" x14ac:dyDescent="0.2">
      <c r="A2746" s="5">
        <v>0</v>
      </c>
      <c r="B2746" s="6" t="s">
        <v>16207</v>
      </c>
      <c r="C2746" s="7">
        <v>3004.8</v>
      </c>
      <c r="D2746" s="8" t="s">
        <v>16208</v>
      </c>
      <c r="E2746" s="8" t="s">
        <v>16209</v>
      </c>
      <c r="F2746" s="8" t="s">
        <v>16210</v>
      </c>
      <c r="G2746" s="6" t="s">
        <v>60</v>
      </c>
      <c r="H2746" s="6" t="s">
        <v>34</v>
      </c>
      <c r="I2746" s="8" t="s">
        <v>263</v>
      </c>
      <c r="J2746" s="9">
        <v>1</v>
      </c>
      <c r="K2746" s="9">
        <v>480</v>
      </c>
      <c r="L2746" s="9">
        <v>2026</v>
      </c>
      <c r="M2746" s="8" t="s">
        <v>16211</v>
      </c>
      <c r="N2746" s="8" t="s">
        <v>243</v>
      </c>
      <c r="O2746" s="8" t="s">
        <v>758</v>
      </c>
      <c r="P2746" s="6" t="s">
        <v>51</v>
      </c>
      <c r="Q2746" s="8" t="s">
        <v>265</v>
      </c>
      <c r="R2746" s="10" t="s">
        <v>16212</v>
      </c>
      <c r="S2746" s="11" t="s">
        <v>16213</v>
      </c>
      <c r="T2746" s="6"/>
      <c r="U2746" s="15" t="str">
        <f>HYPERLINK("https://media.infra-m.ru/2213/2213288/cover/2213288.jpg", "Обложка")</f>
        <v>Обложка</v>
      </c>
      <c r="V2746" s="8" t="s">
        <v>761</v>
      </c>
      <c r="W2746" s="6"/>
      <c r="X2746" s="6"/>
      <c r="Y2746" s="6"/>
      <c r="Z2746" s="6" t="s">
        <v>267</v>
      </c>
      <c r="AA2746" s="6" t="s">
        <v>86</v>
      </c>
      <c r="AB2746" s="8"/>
      <c r="AC2746" s="27">
        <v>9785160139609</v>
      </c>
    </row>
    <row r="2747" spans="1:29" s="4" customFormat="1" ht="51.9" customHeight="1" x14ac:dyDescent="0.2">
      <c r="A2747" s="5">
        <v>0</v>
      </c>
      <c r="B2747" s="6" t="s">
        <v>16214</v>
      </c>
      <c r="C2747" s="7">
        <v>3336</v>
      </c>
      <c r="D2747" s="8" t="s">
        <v>16215</v>
      </c>
      <c r="E2747" s="8" t="s">
        <v>16209</v>
      </c>
      <c r="F2747" s="8" t="s">
        <v>16210</v>
      </c>
      <c r="G2747" s="6" t="s">
        <v>60</v>
      </c>
      <c r="H2747" s="6" t="s">
        <v>34</v>
      </c>
      <c r="I2747" s="8" t="s">
        <v>271</v>
      </c>
      <c r="J2747" s="9">
        <v>1</v>
      </c>
      <c r="K2747" s="9">
        <v>480</v>
      </c>
      <c r="L2747" s="9">
        <v>2026</v>
      </c>
      <c r="M2747" s="8" t="s">
        <v>16216</v>
      </c>
      <c r="N2747" s="8" t="s">
        <v>243</v>
      </c>
      <c r="O2747" s="8" t="s">
        <v>758</v>
      </c>
      <c r="P2747" s="6" t="s">
        <v>51</v>
      </c>
      <c r="Q2747" s="8" t="s">
        <v>52</v>
      </c>
      <c r="R2747" s="10" t="s">
        <v>16217</v>
      </c>
      <c r="S2747" s="11" t="s">
        <v>16218</v>
      </c>
      <c r="T2747" s="6"/>
      <c r="U2747" s="15" t="str">
        <f>HYPERLINK("https://media.infra-m.ru/2261/2261522/cover/2261522.jpg", "Обложка")</f>
        <v>Обложка</v>
      </c>
      <c r="V2747" s="8" t="s">
        <v>761</v>
      </c>
      <c r="W2747" s="6"/>
      <c r="X2747" s="6"/>
      <c r="Y2747" s="6"/>
      <c r="Z2747" s="6"/>
      <c r="AA2747" s="6" t="s">
        <v>99</v>
      </c>
      <c r="AB2747" s="8"/>
      <c r="AC2747" s="27">
        <v>9785160125039</v>
      </c>
    </row>
    <row r="2748" spans="1:29" s="4" customFormat="1" ht="51.9" customHeight="1" x14ac:dyDescent="0.2">
      <c r="A2748" s="5">
        <v>0</v>
      </c>
      <c r="B2748" s="6" t="s">
        <v>16219</v>
      </c>
      <c r="C2748" s="7">
        <v>1660.8</v>
      </c>
      <c r="D2748" s="8" t="s">
        <v>16220</v>
      </c>
      <c r="E2748" s="8" t="s">
        <v>16221</v>
      </c>
      <c r="F2748" s="8" t="s">
        <v>16222</v>
      </c>
      <c r="G2748" s="6" t="s">
        <v>118</v>
      </c>
      <c r="H2748" s="6" t="s">
        <v>34</v>
      </c>
      <c r="I2748" s="8" t="s">
        <v>5350</v>
      </c>
      <c r="J2748" s="9">
        <v>1</v>
      </c>
      <c r="K2748" s="9">
        <v>267</v>
      </c>
      <c r="L2748" s="9">
        <v>2026</v>
      </c>
      <c r="M2748" s="8" t="s">
        <v>16223</v>
      </c>
      <c r="N2748" s="8" t="s">
        <v>243</v>
      </c>
      <c r="O2748" s="8" t="s">
        <v>964</v>
      </c>
      <c r="P2748" s="6" t="s">
        <v>51</v>
      </c>
      <c r="Q2748" s="8" t="s">
        <v>377</v>
      </c>
      <c r="R2748" s="10" t="s">
        <v>16224</v>
      </c>
      <c r="S2748" s="11" t="s">
        <v>16225</v>
      </c>
      <c r="T2748" s="6"/>
      <c r="U2748" s="15" t="str">
        <f>HYPERLINK("https://media.infra-m.ru/2220/2220871/cover/2220871.jpg", "Обложка")</f>
        <v>Обложка</v>
      </c>
      <c r="V2748" s="8"/>
      <c r="W2748" s="6"/>
      <c r="X2748" s="6"/>
      <c r="Y2748" s="6"/>
      <c r="Z2748" s="6"/>
      <c r="AA2748" s="6" t="s">
        <v>430</v>
      </c>
      <c r="AB2748" s="8"/>
      <c r="AC2748" s="27">
        <v>9785160149400</v>
      </c>
    </row>
    <row r="2749" spans="1:29" s="4" customFormat="1" ht="42" customHeight="1" x14ac:dyDescent="0.2">
      <c r="A2749" s="5">
        <v>0</v>
      </c>
      <c r="B2749" s="6" t="s">
        <v>16226</v>
      </c>
      <c r="C2749" s="7">
        <v>3296.4</v>
      </c>
      <c r="D2749" s="8" t="s">
        <v>16227</v>
      </c>
      <c r="E2749" s="8" t="s">
        <v>16228</v>
      </c>
      <c r="F2749" s="8" t="s">
        <v>16229</v>
      </c>
      <c r="G2749" s="6" t="s">
        <v>118</v>
      </c>
      <c r="H2749" s="6" t="s">
        <v>820</v>
      </c>
      <c r="I2749" s="8"/>
      <c r="J2749" s="9">
        <v>1</v>
      </c>
      <c r="K2749" s="9">
        <v>464</v>
      </c>
      <c r="L2749" s="9">
        <v>2023</v>
      </c>
      <c r="M2749" s="8" t="s">
        <v>16230</v>
      </c>
      <c r="N2749" s="8" t="s">
        <v>63</v>
      </c>
      <c r="O2749" s="8" t="s">
        <v>181</v>
      </c>
      <c r="P2749" s="6" t="s">
        <v>51</v>
      </c>
      <c r="Q2749" s="8" t="s">
        <v>52</v>
      </c>
      <c r="R2749" s="10" t="s">
        <v>7812</v>
      </c>
      <c r="S2749" s="11"/>
      <c r="T2749" s="6"/>
      <c r="U2749" s="15" t="str">
        <f>HYPERLINK("https://media.infra-m.ru/2110/2110053/cover/2110053.jpg", "Обложка")</f>
        <v>Обложка</v>
      </c>
      <c r="V2749" s="8" t="s">
        <v>2896</v>
      </c>
      <c r="W2749" s="6"/>
      <c r="X2749" s="6"/>
      <c r="Y2749" s="6"/>
      <c r="Z2749" s="6"/>
      <c r="AA2749" s="6" t="s">
        <v>623</v>
      </c>
      <c r="AB2749" s="8"/>
      <c r="AC2749" s="27">
        <v>9785906818843</v>
      </c>
    </row>
    <row r="2750" spans="1:29" s="4" customFormat="1" ht="51.9" customHeight="1" x14ac:dyDescent="0.2">
      <c r="A2750" s="5">
        <v>0</v>
      </c>
      <c r="B2750" s="6" t="s">
        <v>16231</v>
      </c>
      <c r="C2750" s="7">
        <v>1452</v>
      </c>
      <c r="D2750" s="8" t="s">
        <v>16232</v>
      </c>
      <c r="E2750" s="8" t="s">
        <v>16233</v>
      </c>
      <c r="F2750" s="8" t="s">
        <v>16234</v>
      </c>
      <c r="G2750" s="6" t="s">
        <v>33</v>
      </c>
      <c r="H2750" s="6" t="s">
        <v>34</v>
      </c>
      <c r="I2750" s="8" t="s">
        <v>35</v>
      </c>
      <c r="J2750" s="9">
        <v>1</v>
      </c>
      <c r="K2750" s="9">
        <v>242</v>
      </c>
      <c r="L2750" s="9">
        <v>2023</v>
      </c>
      <c r="M2750" s="8" t="s">
        <v>16235</v>
      </c>
      <c r="N2750" s="8" t="s">
        <v>243</v>
      </c>
      <c r="O2750" s="8" t="s">
        <v>798</v>
      </c>
      <c r="P2750" s="6" t="s">
        <v>39</v>
      </c>
      <c r="Q2750" s="8" t="s">
        <v>40</v>
      </c>
      <c r="R2750" s="10" t="s">
        <v>16236</v>
      </c>
      <c r="S2750" s="11"/>
      <c r="T2750" s="6"/>
      <c r="U2750" s="15" t="str">
        <f>HYPERLINK("https://media.infra-m.ru/1981/1981690/cover/1981690.jpg", "Обложка")</f>
        <v>Обложка</v>
      </c>
      <c r="V2750" s="8" t="s">
        <v>7509</v>
      </c>
      <c r="W2750" s="6"/>
      <c r="X2750" s="6"/>
      <c r="Y2750" s="6"/>
      <c r="Z2750" s="6"/>
      <c r="AA2750" s="6" t="s">
        <v>157</v>
      </c>
      <c r="AB2750" s="8"/>
      <c r="AC2750" s="27">
        <v>9785160183404</v>
      </c>
    </row>
    <row r="2751" spans="1:29" s="4" customFormat="1" ht="51.9" customHeight="1" x14ac:dyDescent="0.2">
      <c r="A2751" s="5">
        <v>0</v>
      </c>
      <c r="B2751" s="6" t="s">
        <v>16237</v>
      </c>
      <c r="C2751" s="7">
        <v>1024.8</v>
      </c>
      <c r="D2751" s="8" t="s">
        <v>16238</v>
      </c>
      <c r="E2751" s="8" t="s">
        <v>16239</v>
      </c>
      <c r="F2751" s="8" t="s">
        <v>16240</v>
      </c>
      <c r="G2751" s="6" t="s">
        <v>33</v>
      </c>
      <c r="H2751" s="6" t="s">
        <v>34</v>
      </c>
      <c r="I2751" s="8" t="s">
        <v>271</v>
      </c>
      <c r="J2751" s="9">
        <v>1</v>
      </c>
      <c r="K2751" s="9">
        <v>146</v>
      </c>
      <c r="L2751" s="9">
        <v>2026</v>
      </c>
      <c r="M2751" s="8" t="s">
        <v>16241</v>
      </c>
      <c r="N2751" s="8" t="s">
        <v>243</v>
      </c>
      <c r="O2751" s="8" t="s">
        <v>964</v>
      </c>
      <c r="P2751" s="6" t="s">
        <v>51</v>
      </c>
      <c r="Q2751" s="8" t="s">
        <v>52</v>
      </c>
      <c r="R2751" s="10" t="s">
        <v>16242</v>
      </c>
      <c r="S2751" s="11" t="s">
        <v>16243</v>
      </c>
      <c r="T2751" s="6"/>
      <c r="U2751" s="15" t="str">
        <f>HYPERLINK("https://media.infra-m.ru/2234/2234433/cover/2234433.jpg", "Обложка")</f>
        <v>Обложка</v>
      </c>
      <c r="V2751" s="8" t="s">
        <v>867</v>
      </c>
      <c r="W2751" s="6"/>
      <c r="X2751" s="6"/>
      <c r="Y2751" s="6"/>
      <c r="Z2751" s="6"/>
      <c r="AA2751" s="6" t="s">
        <v>55</v>
      </c>
      <c r="AB2751" s="8"/>
      <c r="AC2751" s="27">
        <v>9785160162478</v>
      </c>
    </row>
    <row r="2752" spans="1:29" s="4" customFormat="1" ht="51.9" customHeight="1" x14ac:dyDescent="0.2">
      <c r="A2752" s="5">
        <v>0</v>
      </c>
      <c r="B2752" s="6" t="s">
        <v>16244</v>
      </c>
      <c r="C2752" s="13">
        <v>972</v>
      </c>
      <c r="D2752" s="8" t="s">
        <v>16245</v>
      </c>
      <c r="E2752" s="8" t="s">
        <v>16239</v>
      </c>
      <c r="F2752" s="8" t="s">
        <v>16240</v>
      </c>
      <c r="G2752" s="6" t="s">
        <v>118</v>
      </c>
      <c r="H2752" s="6" t="s">
        <v>34</v>
      </c>
      <c r="I2752" s="8" t="s">
        <v>263</v>
      </c>
      <c r="J2752" s="9">
        <v>1</v>
      </c>
      <c r="K2752" s="9">
        <v>146</v>
      </c>
      <c r="L2752" s="9">
        <v>2026</v>
      </c>
      <c r="M2752" s="8" t="s">
        <v>16246</v>
      </c>
      <c r="N2752" s="8" t="s">
        <v>243</v>
      </c>
      <c r="O2752" s="8" t="s">
        <v>964</v>
      </c>
      <c r="P2752" s="6" t="s">
        <v>51</v>
      </c>
      <c r="Q2752" s="8" t="s">
        <v>265</v>
      </c>
      <c r="R2752" s="10" t="s">
        <v>16247</v>
      </c>
      <c r="S2752" s="11" t="s">
        <v>9469</v>
      </c>
      <c r="T2752" s="6"/>
      <c r="U2752" s="15" t="str">
        <f>HYPERLINK("https://media.infra-m.ru/2228/2228111/cover/2228111.jpg", "Обложка")</f>
        <v>Обложка</v>
      </c>
      <c r="V2752" s="8" t="s">
        <v>867</v>
      </c>
      <c r="W2752" s="6"/>
      <c r="X2752" s="6"/>
      <c r="Y2752" s="6"/>
      <c r="Z2752" s="6" t="s">
        <v>267</v>
      </c>
      <c r="AA2752" s="6" t="s">
        <v>115</v>
      </c>
      <c r="AB2752" s="8"/>
      <c r="AC2752" s="27">
        <v>9785160161457</v>
      </c>
    </row>
    <row r="2753" spans="1:29" s="4" customFormat="1" ht="51.9" customHeight="1" x14ac:dyDescent="0.2">
      <c r="A2753" s="5">
        <v>0</v>
      </c>
      <c r="B2753" s="6" t="s">
        <v>16248</v>
      </c>
      <c r="C2753" s="13">
        <v>588</v>
      </c>
      <c r="D2753" s="8" t="s">
        <v>16249</v>
      </c>
      <c r="E2753" s="8" t="s">
        <v>16239</v>
      </c>
      <c r="F2753" s="8" t="s">
        <v>16250</v>
      </c>
      <c r="G2753" s="6" t="s">
        <v>33</v>
      </c>
      <c r="H2753" s="6" t="s">
        <v>48</v>
      </c>
      <c r="I2753" s="8" t="s">
        <v>263</v>
      </c>
      <c r="J2753" s="9">
        <v>1</v>
      </c>
      <c r="K2753" s="9">
        <v>144</v>
      </c>
      <c r="L2753" s="9">
        <v>2019</v>
      </c>
      <c r="M2753" s="8" t="s">
        <v>16251</v>
      </c>
      <c r="N2753" s="8" t="s">
        <v>243</v>
      </c>
      <c r="O2753" s="8" t="s">
        <v>964</v>
      </c>
      <c r="P2753" s="6" t="s">
        <v>51</v>
      </c>
      <c r="Q2753" s="8" t="s">
        <v>265</v>
      </c>
      <c r="R2753" s="10" t="s">
        <v>16247</v>
      </c>
      <c r="S2753" s="11" t="s">
        <v>16252</v>
      </c>
      <c r="T2753" s="6"/>
      <c r="U2753" s="15" t="str">
        <f>HYPERLINK("https://media.infra-m.ru/0961/0961500/cover/961500.jpg", "Обложка")</f>
        <v>Обложка</v>
      </c>
      <c r="V2753" s="8" t="s">
        <v>867</v>
      </c>
      <c r="W2753" s="6"/>
      <c r="X2753" s="6"/>
      <c r="Y2753" s="6"/>
      <c r="Z2753" s="6" t="s">
        <v>267</v>
      </c>
      <c r="AA2753" s="6" t="s">
        <v>115</v>
      </c>
      <c r="AB2753" s="8"/>
      <c r="AC2753" s="27">
        <v>9785000915783</v>
      </c>
    </row>
    <row r="2754" spans="1:29" s="4" customFormat="1" ht="51.9" customHeight="1" x14ac:dyDescent="0.2">
      <c r="A2754" s="5">
        <v>0</v>
      </c>
      <c r="B2754" s="6" t="s">
        <v>16253</v>
      </c>
      <c r="C2754" s="7">
        <v>2028</v>
      </c>
      <c r="D2754" s="8" t="s">
        <v>16254</v>
      </c>
      <c r="E2754" s="8" t="s">
        <v>16255</v>
      </c>
      <c r="F2754" s="8" t="s">
        <v>16256</v>
      </c>
      <c r="G2754" s="6" t="s">
        <v>118</v>
      </c>
      <c r="H2754" s="6" t="s">
        <v>34</v>
      </c>
      <c r="I2754" s="8" t="s">
        <v>954</v>
      </c>
      <c r="J2754" s="9">
        <v>1</v>
      </c>
      <c r="K2754" s="9">
        <v>291</v>
      </c>
      <c r="L2754" s="9">
        <v>2027</v>
      </c>
      <c r="M2754" s="8" t="s">
        <v>16257</v>
      </c>
      <c r="N2754" s="8" t="s">
        <v>37</v>
      </c>
      <c r="O2754" s="8" t="s">
        <v>290</v>
      </c>
      <c r="P2754" s="6" t="s">
        <v>51</v>
      </c>
      <c r="Q2754" s="8" t="s">
        <v>65</v>
      </c>
      <c r="R2754" s="10" t="s">
        <v>16258</v>
      </c>
      <c r="S2754" s="11"/>
      <c r="T2754" s="6"/>
      <c r="U2754" s="15" t="str">
        <f>HYPERLINK("https://media.infra-m.ru/2266/2266852/cover/2266852.jpg", "Обложка")</f>
        <v>Обложка</v>
      </c>
      <c r="V2754" s="8"/>
      <c r="W2754" s="6"/>
      <c r="X2754" s="6"/>
      <c r="Y2754" s="6"/>
      <c r="Z2754" s="6"/>
      <c r="AA2754" s="6" t="s">
        <v>157</v>
      </c>
      <c r="AB2754" s="8"/>
      <c r="AC2754" s="27">
        <v>9785160179988</v>
      </c>
    </row>
    <row r="2755" spans="1:29" s="4" customFormat="1" ht="42" customHeight="1" x14ac:dyDescent="0.2">
      <c r="A2755" s="5">
        <v>0</v>
      </c>
      <c r="B2755" s="6" t="s">
        <v>16259</v>
      </c>
      <c r="C2755" s="7">
        <v>1732.8</v>
      </c>
      <c r="D2755" s="8" t="s">
        <v>16260</v>
      </c>
      <c r="E2755" s="8" t="s">
        <v>16261</v>
      </c>
      <c r="F2755" s="8" t="s">
        <v>16262</v>
      </c>
      <c r="G2755" s="6" t="s">
        <v>118</v>
      </c>
      <c r="H2755" s="6" t="s">
        <v>34</v>
      </c>
      <c r="I2755" s="8" t="s">
        <v>35</v>
      </c>
      <c r="J2755" s="9">
        <v>1</v>
      </c>
      <c r="K2755" s="9">
        <v>248</v>
      </c>
      <c r="L2755" s="9">
        <v>2027</v>
      </c>
      <c r="M2755" s="8" t="s">
        <v>16263</v>
      </c>
      <c r="N2755" s="8" t="s">
        <v>243</v>
      </c>
      <c r="O2755" s="8" t="s">
        <v>964</v>
      </c>
      <c r="P2755" s="6" t="s">
        <v>39</v>
      </c>
      <c r="Q2755" s="8" t="s">
        <v>40</v>
      </c>
      <c r="R2755" s="10" t="s">
        <v>16264</v>
      </c>
      <c r="S2755" s="11"/>
      <c r="T2755" s="6"/>
      <c r="U2755" s="15" t="str">
        <f>HYPERLINK("https://media.infra-m.ru/2257/2257166/cover/2257166.jpg", "Обложка")</f>
        <v>Обложка</v>
      </c>
      <c r="V2755" s="8" t="s">
        <v>9592</v>
      </c>
      <c r="W2755" s="6"/>
      <c r="X2755" s="6"/>
      <c r="Y2755" s="6"/>
      <c r="Z2755" s="6"/>
      <c r="AA2755" s="6" t="s">
        <v>430</v>
      </c>
      <c r="AB2755" s="8"/>
      <c r="AC2755" s="27">
        <v>9785160150260</v>
      </c>
    </row>
    <row r="2756" spans="1:29" s="4" customFormat="1" ht="51.9" customHeight="1" x14ac:dyDescent="0.2">
      <c r="A2756" s="5">
        <v>0</v>
      </c>
      <c r="B2756" s="6" t="s">
        <v>16265</v>
      </c>
      <c r="C2756" s="7">
        <v>1192.8</v>
      </c>
      <c r="D2756" s="8" t="s">
        <v>16266</v>
      </c>
      <c r="E2756" s="8" t="s">
        <v>16267</v>
      </c>
      <c r="F2756" s="8" t="s">
        <v>16268</v>
      </c>
      <c r="G2756" s="6" t="s">
        <v>33</v>
      </c>
      <c r="H2756" s="6" t="s">
        <v>34</v>
      </c>
      <c r="I2756" s="8" t="s">
        <v>2171</v>
      </c>
      <c r="J2756" s="9">
        <v>1</v>
      </c>
      <c r="K2756" s="9">
        <v>154</v>
      </c>
      <c r="L2756" s="9">
        <v>2026</v>
      </c>
      <c r="M2756" s="8" t="s">
        <v>16269</v>
      </c>
      <c r="N2756" s="8" t="s">
        <v>243</v>
      </c>
      <c r="O2756" s="8" t="s">
        <v>964</v>
      </c>
      <c r="P2756" s="6" t="s">
        <v>51</v>
      </c>
      <c r="Q2756" s="8" t="s">
        <v>65</v>
      </c>
      <c r="R2756" s="10" t="s">
        <v>16270</v>
      </c>
      <c r="S2756" s="11" t="s">
        <v>16271</v>
      </c>
      <c r="T2756" s="6"/>
      <c r="U2756" s="15" t="str">
        <f>HYPERLINK("https://media.infra-m.ru/2243/2243252/cover/2243252.jpg", "Обложка")</f>
        <v>Обложка</v>
      </c>
      <c r="V2756" s="8" t="s">
        <v>2175</v>
      </c>
      <c r="W2756" s="6"/>
      <c r="X2756" s="6"/>
      <c r="Y2756" s="6"/>
      <c r="Z2756" s="6"/>
      <c r="AA2756" s="6" t="s">
        <v>157</v>
      </c>
      <c r="AB2756" s="8"/>
      <c r="AC2756" s="27">
        <v>9785160179315</v>
      </c>
    </row>
    <row r="2757" spans="1:29" s="4" customFormat="1" ht="51.9" customHeight="1" x14ac:dyDescent="0.2">
      <c r="A2757" s="5">
        <v>0</v>
      </c>
      <c r="B2757" s="6" t="s">
        <v>16272</v>
      </c>
      <c r="C2757" s="7">
        <v>2876.4</v>
      </c>
      <c r="D2757" s="8" t="s">
        <v>16273</v>
      </c>
      <c r="E2757" s="8" t="s">
        <v>16274</v>
      </c>
      <c r="F2757" s="8" t="s">
        <v>953</v>
      </c>
      <c r="G2757" s="6" t="s">
        <v>60</v>
      </c>
      <c r="H2757" s="6" t="s">
        <v>34</v>
      </c>
      <c r="I2757" s="8" t="s">
        <v>954</v>
      </c>
      <c r="J2757" s="9">
        <v>1</v>
      </c>
      <c r="K2757" s="9">
        <v>419</v>
      </c>
      <c r="L2757" s="9">
        <v>2026</v>
      </c>
      <c r="M2757" s="8" t="s">
        <v>16275</v>
      </c>
      <c r="N2757" s="8" t="s">
        <v>37</v>
      </c>
      <c r="O2757" s="8" t="s">
        <v>290</v>
      </c>
      <c r="P2757" s="6" t="s">
        <v>306</v>
      </c>
      <c r="Q2757" s="8" t="s">
        <v>65</v>
      </c>
      <c r="R2757" s="10" t="s">
        <v>16276</v>
      </c>
      <c r="S2757" s="11" t="s">
        <v>16277</v>
      </c>
      <c r="T2757" s="6"/>
      <c r="U2757" s="15" t="str">
        <f>HYPERLINK("https://media.infra-m.ru/2220/2220212/cover/2220212.jpg", "Обложка")</f>
        <v>Обложка</v>
      </c>
      <c r="V2757" s="8" t="s">
        <v>958</v>
      </c>
      <c r="W2757" s="6"/>
      <c r="X2757" s="6"/>
      <c r="Y2757" s="6"/>
      <c r="Z2757" s="6"/>
      <c r="AA2757" s="6" t="s">
        <v>115</v>
      </c>
      <c r="AB2757" s="8"/>
      <c r="AC2757" s="27">
        <v>9785160150321</v>
      </c>
    </row>
    <row r="2758" spans="1:29" s="4" customFormat="1" ht="51.9" customHeight="1" x14ac:dyDescent="0.2">
      <c r="A2758" s="5">
        <v>0</v>
      </c>
      <c r="B2758" s="6" t="s">
        <v>16278</v>
      </c>
      <c r="C2758" s="7">
        <v>3140.4</v>
      </c>
      <c r="D2758" s="8" t="s">
        <v>16279</v>
      </c>
      <c r="E2758" s="8" t="s">
        <v>16280</v>
      </c>
      <c r="F2758" s="8" t="s">
        <v>16281</v>
      </c>
      <c r="G2758" s="6" t="s">
        <v>118</v>
      </c>
      <c r="H2758" s="6" t="s">
        <v>34</v>
      </c>
      <c r="I2758" s="8" t="s">
        <v>954</v>
      </c>
      <c r="J2758" s="9">
        <v>1</v>
      </c>
      <c r="K2758" s="9">
        <v>392</v>
      </c>
      <c r="L2758" s="9">
        <v>2026</v>
      </c>
      <c r="M2758" s="8" t="s">
        <v>16282</v>
      </c>
      <c r="N2758" s="8" t="s">
        <v>37</v>
      </c>
      <c r="O2758" s="8" t="s">
        <v>290</v>
      </c>
      <c r="P2758" s="6" t="s">
        <v>306</v>
      </c>
      <c r="Q2758" s="8" t="s">
        <v>65</v>
      </c>
      <c r="R2758" s="10" t="s">
        <v>977</v>
      </c>
      <c r="S2758" s="11" t="s">
        <v>16283</v>
      </c>
      <c r="T2758" s="6"/>
      <c r="U2758" s="15" t="str">
        <f>HYPERLINK("https://media.infra-m.ru/2220/2220214/cover/2220214.jpg", "Обложка")</f>
        <v>Обложка</v>
      </c>
      <c r="V2758" s="8" t="s">
        <v>958</v>
      </c>
      <c r="W2758" s="6"/>
      <c r="X2758" s="6"/>
      <c r="Y2758" s="6"/>
      <c r="Z2758" s="6"/>
      <c r="AA2758" s="6" t="s">
        <v>115</v>
      </c>
      <c r="AB2758" s="8"/>
      <c r="AC2758" s="27">
        <v>9785160150635</v>
      </c>
    </row>
    <row r="2759" spans="1:29" s="4" customFormat="1" ht="51.9" customHeight="1" x14ac:dyDescent="0.2">
      <c r="A2759" s="5">
        <v>0</v>
      </c>
      <c r="B2759" s="6" t="s">
        <v>16284</v>
      </c>
      <c r="C2759" s="7">
        <v>2820</v>
      </c>
      <c r="D2759" s="8" t="s">
        <v>16285</v>
      </c>
      <c r="E2759" s="8" t="s">
        <v>16286</v>
      </c>
      <c r="F2759" s="8" t="s">
        <v>16287</v>
      </c>
      <c r="G2759" s="6" t="s">
        <v>60</v>
      </c>
      <c r="H2759" s="6" t="s">
        <v>34</v>
      </c>
      <c r="I2759" s="8" t="s">
        <v>253</v>
      </c>
      <c r="J2759" s="9">
        <v>1</v>
      </c>
      <c r="K2759" s="9">
        <v>427</v>
      </c>
      <c r="L2759" s="9">
        <v>2026</v>
      </c>
      <c r="M2759" s="8" t="s">
        <v>16288</v>
      </c>
      <c r="N2759" s="8" t="s">
        <v>63</v>
      </c>
      <c r="O2759" s="8" t="s">
        <v>154</v>
      </c>
      <c r="P2759" s="6" t="s">
        <v>51</v>
      </c>
      <c r="Q2759" s="8" t="s">
        <v>52</v>
      </c>
      <c r="R2759" s="10" t="s">
        <v>16289</v>
      </c>
      <c r="S2759" s="11" t="s">
        <v>16290</v>
      </c>
      <c r="T2759" s="6"/>
      <c r="U2759" s="15" t="str">
        <f>HYPERLINK("https://media.infra-m.ru/2231/2231762/cover/2231762.jpg", "Обложка")</f>
        <v>Обложка</v>
      </c>
      <c r="V2759" s="8" t="s">
        <v>54</v>
      </c>
      <c r="W2759" s="6"/>
      <c r="X2759" s="6"/>
      <c r="Y2759" s="6"/>
      <c r="Z2759" s="6"/>
      <c r="AA2759" s="6" t="s">
        <v>2240</v>
      </c>
      <c r="AB2759" s="8"/>
      <c r="AC2759" s="27">
        <v>9785160198446</v>
      </c>
    </row>
    <row r="2760" spans="1:29" s="4" customFormat="1" ht="51.9" customHeight="1" x14ac:dyDescent="0.2">
      <c r="A2760" s="5">
        <v>0</v>
      </c>
      <c r="B2760" s="6" t="s">
        <v>16291</v>
      </c>
      <c r="C2760" s="13">
        <v>845.9</v>
      </c>
      <c r="D2760" s="8" t="s">
        <v>16292</v>
      </c>
      <c r="E2760" s="8" t="s">
        <v>16293</v>
      </c>
      <c r="F2760" s="8" t="s">
        <v>16294</v>
      </c>
      <c r="G2760" s="6" t="s">
        <v>60</v>
      </c>
      <c r="H2760" s="6" t="s">
        <v>34</v>
      </c>
      <c r="I2760" s="8" t="s">
        <v>271</v>
      </c>
      <c r="J2760" s="9">
        <v>1</v>
      </c>
      <c r="K2760" s="9">
        <v>221</v>
      </c>
      <c r="L2760" s="9">
        <v>2019</v>
      </c>
      <c r="M2760" s="8" t="s">
        <v>16295</v>
      </c>
      <c r="N2760" s="8" t="s">
        <v>37</v>
      </c>
      <c r="O2760" s="8" t="s">
        <v>280</v>
      </c>
      <c r="P2760" s="6" t="s">
        <v>51</v>
      </c>
      <c r="Q2760" s="8" t="s">
        <v>52</v>
      </c>
      <c r="R2760" s="10" t="s">
        <v>16296</v>
      </c>
      <c r="S2760" s="11" t="s">
        <v>16297</v>
      </c>
      <c r="T2760" s="6" t="s">
        <v>97</v>
      </c>
      <c r="U2760" s="15" t="str">
        <f>HYPERLINK("https://media.infra-m.ru/1007/1007094/cover/1007094.jpg", "Обложка")</f>
        <v>Обложка</v>
      </c>
      <c r="V2760" s="8" t="s">
        <v>16298</v>
      </c>
      <c r="W2760" s="6"/>
      <c r="X2760" s="6"/>
      <c r="Y2760" s="6"/>
      <c r="Z2760" s="6"/>
      <c r="AA2760" s="6" t="s">
        <v>1015</v>
      </c>
      <c r="AB2760" s="8"/>
      <c r="AC2760" s="27">
        <v>9785160038247</v>
      </c>
    </row>
    <row r="2761" spans="1:29" s="4" customFormat="1" ht="42" customHeight="1" x14ac:dyDescent="0.2">
      <c r="A2761" s="5">
        <v>0</v>
      </c>
      <c r="B2761" s="6" t="s">
        <v>16299</v>
      </c>
      <c r="C2761" s="7">
        <v>1068</v>
      </c>
      <c r="D2761" s="8" t="s">
        <v>16300</v>
      </c>
      <c r="E2761" s="8" t="s">
        <v>16301</v>
      </c>
      <c r="F2761" s="8" t="s">
        <v>1960</v>
      </c>
      <c r="G2761" s="6" t="s">
        <v>33</v>
      </c>
      <c r="H2761" s="6" t="s">
        <v>34</v>
      </c>
      <c r="I2761" s="8" t="s">
        <v>35</v>
      </c>
      <c r="J2761" s="9">
        <v>1</v>
      </c>
      <c r="K2761" s="9">
        <v>166</v>
      </c>
      <c r="L2761" s="9">
        <v>2025</v>
      </c>
      <c r="M2761" s="8" t="s">
        <v>16302</v>
      </c>
      <c r="N2761" s="8" t="s">
        <v>63</v>
      </c>
      <c r="O2761" s="8" t="s">
        <v>126</v>
      </c>
      <c r="P2761" s="6" t="s">
        <v>39</v>
      </c>
      <c r="Q2761" s="8" t="s">
        <v>40</v>
      </c>
      <c r="R2761" s="10" t="s">
        <v>10423</v>
      </c>
      <c r="S2761" s="11"/>
      <c r="T2761" s="6"/>
      <c r="U2761" s="15" t="str">
        <f>HYPERLINK("https://media.infra-m.ru/2186/2186799/cover/2186799.jpg", "Обложка")</f>
        <v>Обложка</v>
      </c>
      <c r="V2761" s="8" t="s">
        <v>227</v>
      </c>
      <c r="W2761" s="6"/>
      <c r="X2761" s="6"/>
      <c r="Y2761" s="6"/>
      <c r="Z2761" s="6"/>
      <c r="AA2761" s="6" t="s">
        <v>68</v>
      </c>
      <c r="AB2761" s="8" t="s">
        <v>3833</v>
      </c>
      <c r="AC2761" s="27">
        <v>9785160206370</v>
      </c>
    </row>
    <row r="2762" spans="1:29" s="4" customFormat="1" ht="51.9" customHeight="1" x14ac:dyDescent="0.2">
      <c r="A2762" s="5">
        <v>0</v>
      </c>
      <c r="B2762" s="6" t="s">
        <v>16303</v>
      </c>
      <c r="C2762" s="7">
        <v>1624.8</v>
      </c>
      <c r="D2762" s="8" t="s">
        <v>16304</v>
      </c>
      <c r="E2762" s="8" t="s">
        <v>16305</v>
      </c>
      <c r="F2762" s="8" t="s">
        <v>16306</v>
      </c>
      <c r="G2762" s="6" t="s">
        <v>60</v>
      </c>
      <c r="H2762" s="6" t="s">
        <v>1042</v>
      </c>
      <c r="I2762" s="8" t="s">
        <v>253</v>
      </c>
      <c r="J2762" s="9">
        <v>1</v>
      </c>
      <c r="K2762" s="9">
        <v>288</v>
      </c>
      <c r="L2762" s="9">
        <v>2022</v>
      </c>
      <c r="M2762" s="8" t="s">
        <v>16307</v>
      </c>
      <c r="N2762" s="8" t="s">
        <v>37</v>
      </c>
      <c r="O2762" s="8" t="s">
        <v>233</v>
      </c>
      <c r="P2762" s="6" t="s">
        <v>51</v>
      </c>
      <c r="Q2762" s="8" t="s">
        <v>52</v>
      </c>
      <c r="R2762" s="10" t="s">
        <v>1646</v>
      </c>
      <c r="S2762" s="11" t="s">
        <v>16308</v>
      </c>
      <c r="T2762" s="6"/>
      <c r="U2762" s="15" t="str">
        <f>HYPERLINK("https://media.infra-m.ru/1844/1844318/cover/1844318.jpg", "Обложка")</f>
        <v>Обложка</v>
      </c>
      <c r="V2762" s="8" t="s">
        <v>761</v>
      </c>
      <c r="W2762" s="6"/>
      <c r="X2762" s="6"/>
      <c r="Y2762" s="6"/>
      <c r="Z2762" s="6"/>
      <c r="AA2762" s="6" t="s">
        <v>55</v>
      </c>
      <c r="AB2762" s="8"/>
      <c r="AC2762" s="27">
        <v>9785819905562</v>
      </c>
    </row>
    <row r="2763" spans="1:29" s="4" customFormat="1" ht="51.9" customHeight="1" x14ac:dyDescent="0.2">
      <c r="A2763" s="5">
        <v>0</v>
      </c>
      <c r="B2763" s="6" t="s">
        <v>16309</v>
      </c>
      <c r="C2763" s="7">
        <v>1972.8</v>
      </c>
      <c r="D2763" s="8" t="s">
        <v>16310</v>
      </c>
      <c r="E2763" s="8" t="s">
        <v>16311</v>
      </c>
      <c r="F2763" s="8" t="s">
        <v>16312</v>
      </c>
      <c r="G2763" s="6" t="s">
        <v>60</v>
      </c>
      <c r="H2763" s="6" t="s">
        <v>34</v>
      </c>
      <c r="I2763" s="8" t="s">
        <v>253</v>
      </c>
      <c r="J2763" s="9">
        <v>1</v>
      </c>
      <c r="K2763" s="9">
        <v>284</v>
      </c>
      <c r="L2763" s="9">
        <v>2027</v>
      </c>
      <c r="M2763" s="8" t="s">
        <v>16313</v>
      </c>
      <c r="N2763" s="8" t="s">
        <v>37</v>
      </c>
      <c r="O2763" s="8" t="s">
        <v>233</v>
      </c>
      <c r="P2763" s="6" t="s">
        <v>51</v>
      </c>
      <c r="Q2763" s="8" t="s">
        <v>65</v>
      </c>
      <c r="R2763" s="10" t="s">
        <v>1646</v>
      </c>
      <c r="S2763" s="11" t="s">
        <v>16308</v>
      </c>
      <c r="T2763" s="6"/>
      <c r="U2763" s="15" t="str">
        <f>HYPERLINK("https://media.infra-m.ru/2263/2263550/cover/2263550.jpg", "Обложка")</f>
        <v>Обложка</v>
      </c>
      <c r="V2763" s="8" t="s">
        <v>644</v>
      </c>
      <c r="W2763" s="6"/>
      <c r="X2763" s="6"/>
      <c r="Y2763" s="6"/>
      <c r="Z2763" s="6"/>
      <c r="AA2763" s="6" t="s">
        <v>917</v>
      </c>
      <c r="AB2763" s="8"/>
      <c r="AC2763" s="27">
        <v>9785160181318</v>
      </c>
    </row>
    <row r="2764" spans="1:29" s="4" customFormat="1" ht="51.9" customHeight="1" x14ac:dyDescent="0.2">
      <c r="A2764" s="5">
        <v>0</v>
      </c>
      <c r="B2764" s="6" t="s">
        <v>16314</v>
      </c>
      <c r="C2764" s="7">
        <v>1385.9</v>
      </c>
      <c r="D2764" s="8" t="s">
        <v>16315</v>
      </c>
      <c r="E2764" s="8" t="s">
        <v>16316</v>
      </c>
      <c r="F2764" s="8" t="s">
        <v>16317</v>
      </c>
      <c r="G2764" s="6" t="s">
        <v>60</v>
      </c>
      <c r="H2764" s="6" t="s">
        <v>1042</v>
      </c>
      <c r="I2764" s="8" t="s">
        <v>253</v>
      </c>
      <c r="J2764" s="9">
        <v>1</v>
      </c>
      <c r="K2764" s="9">
        <v>304</v>
      </c>
      <c r="L2764" s="9">
        <v>2022</v>
      </c>
      <c r="M2764" s="8" t="s">
        <v>16318</v>
      </c>
      <c r="N2764" s="8" t="s">
        <v>37</v>
      </c>
      <c r="O2764" s="8" t="s">
        <v>280</v>
      </c>
      <c r="P2764" s="6" t="s">
        <v>306</v>
      </c>
      <c r="Q2764" s="8" t="s">
        <v>52</v>
      </c>
      <c r="R2764" s="10" t="s">
        <v>16319</v>
      </c>
      <c r="S2764" s="11" t="s">
        <v>16320</v>
      </c>
      <c r="T2764" s="6"/>
      <c r="U2764" s="15" t="str">
        <f>HYPERLINK("https://media.infra-m.ru/1831/1831179/cover/1831179.jpg", "Обложка")</f>
        <v>Обложка</v>
      </c>
      <c r="V2764" s="8" t="s">
        <v>644</v>
      </c>
      <c r="W2764" s="6"/>
      <c r="X2764" s="6"/>
      <c r="Y2764" s="6"/>
      <c r="Z2764" s="6"/>
      <c r="AA2764" s="6" t="s">
        <v>55</v>
      </c>
      <c r="AB2764" s="8"/>
      <c r="AC2764" s="27">
        <v>9785819905494</v>
      </c>
    </row>
    <row r="2765" spans="1:29" s="4" customFormat="1" ht="51.9" customHeight="1" x14ac:dyDescent="0.2">
      <c r="A2765" s="5">
        <v>0</v>
      </c>
      <c r="B2765" s="6" t="s">
        <v>16321</v>
      </c>
      <c r="C2765" s="7">
        <v>1740</v>
      </c>
      <c r="D2765" s="8" t="s">
        <v>16322</v>
      </c>
      <c r="E2765" s="8" t="s">
        <v>16323</v>
      </c>
      <c r="F2765" s="8" t="s">
        <v>16324</v>
      </c>
      <c r="G2765" s="6" t="s">
        <v>60</v>
      </c>
      <c r="H2765" s="6" t="s">
        <v>34</v>
      </c>
      <c r="I2765" s="8" t="s">
        <v>504</v>
      </c>
      <c r="J2765" s="9">
        <v>1</v>
      </c>
      <c r="K2765" s="9">
        <v>295</v>
      </c>
      <c r="L2765" s="9">
        <v>2024</v>
      </c>
      <c r="M2765" s="8" t="s">
        <v>16325</v>
      </c>
      <c r="N2765" s="8" t="s">
        <v>37</v>
      </c>
      <c r="O2765" s="8" t="s">
        <v>280</v>
      </c>
      <c r="P2765" s="6" t="s">
        <v>306</v>
      </c>
      <c r="Q2765" s="8" t="s">
        <v>500</v>
      </c>
      <c r="R2765" s="10" t="s">
        <v>16319</v>
      </c>
      <c r="S2765" s="11" t="s">
        <v>16326</v>
      </c>
      <c r="T2765" s="6"/>
      <c r="U2765" s="15" t="str">
        <f>HYPERLINK("https://media.infra-m.ru/1894/1894389/cover/1894389.jpg", "Обложка")</f>
        <v>Обложка</v>
      </c>
      <c r="V2765" s="8" t="s">
        <v>761</v>
      </c>
      <c r="W2765" s="6"/>
      <c r="X2765" s="6"/>
      <c r="Y2765" s="6"/>
      <c r="Z2765" s="6"/>
      <c r="AA2765" s="6" t="s">
        <v>106</v>
      </c>
      <c r="AB2765" s="8"/>
      <c r="AC2765" s="27">
        <v>9785160178783</v>
      </c>
    </row>
    <row r="2766" spans="1:29" s="4" customFormat="1" ht="42" customHeight="1" x14ac:dyDescent="0.2">
      <c r="A2766" s="5">
        <v>0</v>
      </c>
      <c r="B2766" s="6" t="s">
        <v>16327</v>
      </c>
      <c r="C2766" s="7">
        <v>1896</v>
      </c>
      <c r="D2766" s="8" t="s">
        <v>16328</v>
      </c>
      <c r="E2766" s="8" t="s">
        <v>16329</v>
      </c>
      <c r="F2766" s="8" t="s">
        <v>16330</v>
      </c>
      <c r="G2766" s="6" t="s">
        <v>60</v>
      </c>
      <c r="H2766" s="6" t="s">
        <v>34</v>
      </c>
      <c r="I2766" s="8" t="s">
        <v>304</v>
      </c>
      <c r="J2766" s="9">
        <v>1</v>
      </c>
      <c r="K2766" s="9">
        <v>284</v>
      </c>
      <c r="L2766" s="9">
        <v>2025</v>
      </c>
      <c r="M2766" s="8" t="s">
        <v>16331</v>
      </c>
      <c r="N2766" s="8" t="s">
        <v>37</v>
      </c>
      <c r="O2766" s="8" t="s">
        <v>233</v>
      </c>
      <c r="P2766" s="6" t="s">
        <v>306</v>
      </c>
      <c r="Q2766" s="8" t="s">
        <v>500</v>
      </c>
      <c r="R2766" s="10" t="s">
        <v>2228</v>
      </c>
      <c r="S2766" s="11"/>
      <c r="T2766" s="6"/>
      <c r="U2766" s="15" t="str">
        <f>HYPERLINK("https://media.infra-m.ru/2162/2162917/cover/2162917.jpg", "Обложка")</f>
        <v>Обложка</v>
      </c>
      <c r="V2766" s="8" t="s">
        <v>247</v>
      </c>
      <c r="W2766" s="6"/>
      <c r="X2766" s="6"/>
      <c r="Y2766" s="6"/>
      <c r="Z2766" s="6"/>
      <c r="AA2766" s="6" t="s">
        <v>68</v>
      </c>
      <c r="AB2766" s="8"/>
      <c r="AC2766" s="27">
        <v>9785160202037</v>
      </c>
    </row>
    <row r="2767" spans="1:29" s="4" customFormat="1" ht="51.9" customHeight="1" x14ac:dyDescent="0.2">
      <c r="A2767" s="5">
        <v>0</v>
      </c>
      <c r="B2767" s="6" t="s">
        <v>16332</v>
      </c>
      <c r="C2767" s="7">
        <v>1860</v>
      </c>
      <c r="D2767" s="8" t="s">
        <v>16333</v>
      </c>
      <c r="E2767" s="8" t="s">
        <v>16334</v>
      </c>
      <c r="F2767" s="8" t="s">
        <v>16312</v>
      </c>
      <c r="G2767" s="6" t="s">
        <v>118</v>
      </c>
      <c r="H2767" s="6" t="s">
        <v>1042</v>
      </c>
      <c r="I2767" s="8" t="s">
        <v>271</v>
      </c>
      <c r="J2767" s="9">
        <v>1</v>
      </c>
      <c r="K2767" s="9">
        <v>336</v>
      </c>
      <c r="L2767" s="9">
        <v>2023</v>
      </c>
      <c r="M2767" s="8" t="s">
        <v>16335</v>
      </c>
      <c r="N2767" s="8" t="s">
        <v>37</v>
      </c>
      <c r="O2767" s="8" t="s">
        <v>280</v>
      </c>
      <c r="P2767" s="6" t="s">
        <v>306</v>
      </c>
      <c r="Q2767" s="8" t="s">
        <v>52</v>
      </c>
      <c r="R2767" s="10" t="s">
        <v>16336</v>
      </c>
      <c r="S2767" s="11" t="s">
        <v>16337</v>
      </c>
      <c r="T2767" s="6"/>
      <c r="U2767" s="15" t="str">
        <f>HYPERLINK("https://media.infra-m.ru/1941/1941771/cover/1941771.jpg", "Обложка")</f>
        <v>Обложка</v>
      </c>
      <c r="V2767" s="8" t="s">
        <v>644</v>
      </c>
      <c r="W2767" s="6"/>
      <c r="X2767" s="6"/>
      <c r="Y2767" s="6"/>
      <c r="Z2767" s="6"/>
      <c r="AA2767" s="6" t="s">
        <v>3721</v>
      </c>
      <c r="AB2767" s="8"/>
      <c r="AC2767" s="27">
        <v>9785819908259</v>
      </c>
    </row>
    <row r="2768" spans="1:29" s="4" customFormat="1" ht="51.9" customHeight="1" x14ac:dyDescent="0.2">
      <c r="A2768" s="5">
        <v>0</v>
      </c>
      <c r="B2768" s="6" t="s">
        <v>16338</v>
      </c>
      <c r="C2768" s="7">
        <v>1828.8</v>
      </c>
      <c r="D2768" s="8" t="s">
        <v>16339</v>
      </c>
      <c r="E2768" s="8" t="s">
        <v>16340</v>
      </c>
      <c r="F2768" s="8" t="s">
        <v>16312</v>
      </c>
      <c r="G2768" s="6" t="s">
        <v>60</v>
      </c>
      <c r="H2768" s="6" t="s">
        <v>34</v>
      </c>
      <c r="I2768" s="8" t="s">
        <v>504</v>
      </c>
      <c r="J2768" s="9">
        <v>1</v>
      </c>
      <c r="K2768" s="9">
        <v>252</v>
      </c>
      <c r="L2768" s="9">
        <v>2026</v>
      </c>
      <c r="M2768" s="8" t="s">
        <v>16341</v>
      </c>
      <c r="N2768" s="8" t="s">
        <v>37</v>
      </c>
      <c r="O2768" s="8" t="s">
        <v>280</v>
      </c>
      <c r="P2768" s="6" t="s">
        <v>306</v>
      </c>
      <c r="Q2768" s="8" t="s">
        <v>500</v>
      </c>
      <c r="R2768" s="10" t="s">
        <v>16336</v>
      </c>
      <c r="S2768" s="11" t="s">
        <v>16337</v>
      </c>
      <c r="T2768" s="6"/>
      <c r="U2768" s="15" t="str">
        <f>HYPERLINK("https://media.infra-m.ru/2256/2256582/cover/2256582.jpg", "Обложка")</f>
        <v>Обложка</v>
      </c>
      <c r="V2768" s="8" t="s">
        <v>644</v>
      </c>
      <c r="W2768" s="6"/>
      <c r="X2768" s="6"/>
      <c r="Y2768" s="6"/>
      <c r="Z2768" s="6"/>
      <c r="AA2768" s="6" t="s">
        <v>8987</v>
      </c>
      <c r="AB2768" s="8"/>
      <c r="AC2768" s="27">
        <v>9785160178776</v>
      </c>
    </row>
    <row r="2769" spans="1:29" s="4" customFormat="1" ht="51.9" customHeight="1" x14ac:dyDescent="0.2">
      <c r="A2769" s="5">
        <v>0</v>
      </c>
      <c r="B2769" s="6" t="s">
        <v>16342</v>
      </c>
      <c r="C2769" s="7">
        <v>1248</v>
      </c>
      <c r="D2769" s="8" t="s">
        <v>16343</v>
      </c>
      <c r="E2769" s="8" t="s">
        <v>16344</v>
      </c>
      <c r="F2769" s="8" t="s">
        <v>16345</v>
      </c>
      <c r="G2769" s="6" t="s">
        <v>118</v>
      </c>
      <c r="H2769" s="6" t="s">
        <v>34</v>
      </c>
      <c r="I2769" s="8" t="s">
        <v>253</v>
      </c>
      <c r="J2769" s="9">
        <v>1</v>
      </c>
      <c r="K2769" s="9">
        <v>221</v>
      </c>
      <c r="L2769" s="9">
        <v>2024</v>
      </c>
      <c r="M2769" s="8" t="s">
        <v>16346</v>
      </c>
      <c r="N2769" s="8" t="s">
        <v>37</v>
      </c>
      <c r="O2769" s="8" t="s">
        <v>233</v>
      </c>
      <c r="P2769" s="6" t="s">
        <v>51</v>
      </c>
      <c r="Q2769" s="8" t="s">
        <v>52</v>
      </c>
      <c r="R2769" s="10" t="s">
        <v>357</v>
      </c>
      <c r="S2769" s="11" t="s">
        <v>16347</v>
      </c>
      <c r="T2769" s="6"/>
      <c r="U2769" s="15" t="str">
        <f>HYPERLINK("https://media.infra-m.ru/2150/2150555/cover/2150555.jpg", "Обложка")</f>
        <v>Обложка</v>
      </c>
      <c r="V2769" s="8" t="s">
        <v>3693</v>
      </c>
      <c r="W2769" s="6"/>
      <c r="X2769" s="6"/>
      <c r="Y2769" s="6"/>
      <c r="Z2769" s="6"/>
      <c r="AA2769" s="6" t="s">
        <v>430</v>
      </c>
      <c r="AB2769" s="8"/>
      <c r="AC2769" s="27">
        <v>9785160199948</v>
      </c>
    </row>
    <row r="2770" spans="1:29" s="4" customFormat="1" ht="42" customHeight="1" x14ac:dyDescent="0.2">
      <c r="A2770" s="5">
        <v>0</v>
      </c>
      <c r="B2770" s="6" t="s">
        <v>16348</v>
      </c>
      <c r="C2770" s="7">
        <v>1428</v>
      </c>
      <c r="D2770" s="8" t="s">
        <v>16349</v>
      </c>
      <c r="E2770" s="8" t="s">
        <v>16350</v>
      </c>
      <c r="F2770" s="8" t="s">
        <v>16351</v>
      </c>
      <c r="G2770" s="6" t="s">
        <v>60</v>
      </c>
      <c r="H2770" s="6" t="s">
        <v>34</v>
      </c>
      <c r="I2770" s="8" t="s">
        <v>304</v>
      </c>
      <c r="J2770" s="9">
        <v>1</v>
      </c>
      <c r="K2770" s="9">
        <v>192</v>
      </c>
      <c r="L2770" s="9">
        <v>2026</v>
      </c>
      <c r="M2770" s="8" t="s">
        <v>16352</v>
      </c>
      <c r="N2770" s="8" t="s">
        <v>37</v>
      </c>
      <c r="O2770" s="8" t="s">
        <v>280</v>
      </c>
      <c r="P2770" s="6" t="s">
        <v>51</v>
      </c>
      <c r="Q2770" s="8" t="s">
        <v>52</v>
      </c>
      <c r="R2770" s="10" t="s">
        <v>1646</v>
      </c>
      <c r="S2770" s="11"/>
      <c r="T2770" s="6"/>
      <c r="U2770" s="15" t="str">
        <f>HYPERLINK("https://media.infra-m.ru/2203/2203307/cover/2203307.jpg", "Обложка")</f>
        <v>Обложка</v>
      </c>
      <c r="V2770" s="8" t="s">
        <v>247</v>
      </c>
      <c r="W2770" s="6" t="s">
        <v>186</v>
      </c>
      <c r="X2770" s="6"/>
      <c r="Y2770" s="6"/>
      <c r="Z2770" s="6"/>
      <c r="AA2770" s="6" t="s">
        <v>187</v>
      </c>
      <c r="AB2770" s="8"/>
      <c r="AC2770" s="27">
        <v>9785160209067</v>
      </c>
    </row>
    <row r="2771" spans="1:29" s="4" customFormat="1" ht="51.9" customHeight="1" x14ac:dyDescent="0.2">
      <c r="A2771" s="5">
        <v>0</v>
      </c>
      <c r="B2771" s="6" t="s">
        <v>16353</v>
      </c>
      <c r="C2771" s="13">
        <v>900</v>
      </c>
      <c r="D2771" s="8" t="s">
        <v>16354</v>
      </c>
      <c r="E2771" s="8" t="s">
        <v>16355</v>
      </c>
      <c r="F2771" s="8" t="s">
        <v>16356</v>
      </c>
      <c r="G2771" s="6" t="s">
        <v>118</v>
      </c>
      <c r="H2771" s="6" t="s">
        <v>34</v>
      </c>
      <c r="I2771" s="8" t="s">
        <v>35</v>
      </c>
      <c r="J2771" s="9">
        <v>1</v>
      </c>
      <c r="K2771" s="9">
        <v>186</v>
      </c>
      <c r="L2771" s="9">
        <v>2022</v>
      </c>
      <c r="M2771" s="8" t="s">
        <v>16357</v>
      </c>
      <c r="N2771" s="8" t="s">
        <v>37</v>
      </c>
      <c r="O2771" s="8" t="s">
        <v>136</v>
      </c>
      <c r="P2771" s="6" t="s">
        <v>39</v>
      </c>
      <c r="Q2771" s="8" t="s">
        <v>40</v>
      </c>
      <c r="R2771" s="10" t="s">
        <v>4881</v>
      </c>
      <c r="S2771" s="11"/>
      <c r="T2771" s="6"/>
      <c r="U2771" s="15" t="str">
        <f>HYPERLINK("https://media.infra-m.ru/1867/1867921/cover/1867921.jpg", "Обложка")</f>
        <v>Обложка</v>
      </c>
      <c r="V2771" s="8" t="s">
        <v>9937</v>
      </c>
      <c r="W2771" s="6"/>
      <c r="X2771" s="6"/>
      <c r="Y2771" s="6"/>
      <c r="Z2771" s="6"/>
      <c r="AA2771" s="6" t="s">
        <v>148</v>
      </c>
      <c r="AB2771" s="8"/>
      <c r="AC2771" s="27">
        <v>9785160171760</v>
      </c>
    </row>
    <row r="2772" spans="1:29" s="4" customFormat="1" ht="42" customHeight="1" x14ac:dyDescent="0.2">
      <c r="A2772" s="5">
        <v>0</v>
      </c>
      <c r="B2772" s="6" t="s">
        <v>16358</v>
      </c>
      <c r="C2772" s="7">
        <v>2212.8000000000002</v>
      </c>
      <c r="D2772" s="8" t="s">
        <v>16359</v>
      </c>
      <c r="E2772" s="8" t="s">
        <v>16360</v>
      </c>
      <c r="F2772" s="8" t="s">
        <v>16361</v>
      </c>
      <c r="G2772" s="6" t="s">
        <v>33</v>
      </c>
      <c r="H2772" s="6" t="s">
        <v>1644</v>
      </c>
      <c r="I2772" s="8"/>
      <c r="J2772" s="9">
        <v>1</v>
      </c>
      <c r="K2772" s="9">
        <v>336</v>
      </c>
      <c r="L2772" s="9">
        <v>2026</v>
      </c>
      <c r="M2772" s="8" t="s">
        <v>16362</v>
      </c>
      <c r="N2772" s="8" t="s">
        <v>37</v>
      </c>
      <c r="O2772" s="8" t="s">
        <v>233</v>
      </c>
      <c r="P2772" s="6" t="s">
        <v>51</v>
      </c>
      <c r="Q2772" s="8" t="s">
        <v>52</v>
      </c>
      <c r="R2772" s="10" t="s">
        <v>16363</v>
      </c>
      <c r="S2772" s="11"/>
      <c r="T2772" s="6"/>
      <c r="U2772" s="15" t="str">
        <f>HYPERLINK("https://media.infra-m.ru/2229/2229017/cover/2229017.jpg", "Обложка")</f>
        <v>Обложка</v>
      </c>
      <c r="V2772" s="8" t="s">
        <v>5117</v>
      </c>
      <c r="W2772" s="6"/>
      <c r="X2772" s="6" t="s">
        <v>24</v>
      </c>
      <c r="Y2772" s="6"/>
      <c r="Z2772" s="6"/>
      <c r="AA2772" s="6" t="s">
        <v>623</v>
      </c>
      <c r="AB2772" s="8"/>
      <c r="AC2772" s="27">
        <v>9785977604468</v>
      </c>
    </row>
    <row r="2773" spans="1:29" s="4" customFormat="1" ht="51.9" customHeight="1" x14ac:dyDescent="0.2">
      <c r="A2773" s="5">
        <v>0</v>
      </c>
      <c r="B2773" s="6" t="s">
        <v>16364</v>
      </c>
      <c r="C2773" s="7">
        <v>2436</v>
      </c>
      <c r="D2773" s="8" t="s">
        <v>16365</v>
      </c>
      <c r="E2773" s="8" t="s">
        <v>16366</v>
      </c>
      <c r="F2773" s="8" t="s">
        <v>5115</v>
      </c>
      <c r="G2773" s="6" t="s">
        <v>60</v>
      </c>
      <c r="H2773" s="6" t="s">
        <v>1644</v>
      </c>
      <c r="I2773" s="8"/>
      <c r="J2773" s="9">
        <v>1</v>
      </c>
      <c r="K2773" s="9">
        <v>432</v>
      </c>
      <c r="L2773" s="9">
        <v>2024</v>
      </c>
      <c r="M2773" s="8" t="s">
        <v>16367</v>
      </c>
      <c r="N2773" s="8" t="s">
        <v>37</v>
      </c>
      <c r="O2773" s="8" t="s">
        <v>233</v>
      </c>
      <c r="P2773" s="6" t="s">
        <v>306</v>
      </c>
      <c r="Q2773" s="8" t="s">
        <v>65</v>
      </c>
      <c r="R2773" s="10" t="s">
        <v>16368</v>
      </c>
      <c r="S2773" s="11"/>
      <c r="T2773" s="6"/>
      <c r="U2773" s="15" t="str">
        <f>HYPERLINK("https://media.infra-m.ru/2132/2132504/cover/2132504.jpg", "Обложка")</f>
        <v>Обложка</v>
      </c>
      <c r="V2773" s="8" t="s">
        <v>5117</v>
      </c>
      <c r="W2773" s="6"/>
      <c r="X2773" s="6"/>
      <c r="Y2773" s="6"/>
      <c r="Z2773" s="6"/>
      <c r="AA2773" s="6" t="s">
        <v>76</v>
      </c>
      <c r="AB2773" s="8"/>
      <c r="AC2773" s="27">
        <v>9785977605618</v>
      </c>
    </row>
    <row r="2774" spans="1:29" s="4" customFormat="1" ht="51.9" customHeight="1" x14ac:dyDescent="0.2">
      <c r="A2774" s="5">
        <v>0</v>
      </c>
      <c r="B2774" s="6" t="s">
        <v>16369</v>
      </c>
      <c r="C2774" s="7">
        <v>2116.8000000000002</v>
      </c>
      <c r="D2774" s="8" t="s">
        <v>16370</v>
      </c>
      <c r="E2774" s="8" t="s">
        <v>16371</v>
      </c>
      <c r="F2774" s="8" t="s">
        <v>16372</v>
      </c>
      <c r="G2774" s="6" t="s">
        <v>118</v>
      </c>
      <c r="H2774" s="6" t="s">
        <v>34</v>
      </c>
      <c r="I2774" s="8" t="s">
        <v>5350</v>
      </c>
      <c r="J2774" s="9">
        <v>1</v>
      </c>
      <c r="K2774" s="9">
        <v>321</v>
      </c>
      <c r="L2774" s="9">
        <v>2026</v>
      </c>
      <c r="M2774" s="8" t="s">
        <v>16373</v>
      </c>
      <c r="N2774" s="8" t="s">
        <v>37</v>
      </c>
      <c r="O2774" s="8" t="s">
        <v>233</v>
      </c>
      <c r="P2774" s="6" t="s">
        <v>51</v>
      </c>
      <c r="Q2774" s="8" t="s">
        <v>377</v>
      </c>
      <c r="R2774" s="10" t="s">
        <v>16374</v>
      </c>
      <c r="S2774" s="11" t="s">
        <v>16375</v>
      </c>
      <c r="T2774" s="6"/>
      <c r="U2774" s="15" t="str">
        <f>HYPERLINK("https://media.infra-m.ru/2229/2229960/cover/2229960.jpg", "Обложка")</f>
        <v>Обложка</v>
      </c>
      <c r="V2774" s="8" t="s">
        <v>2035</v>
      </c>
      <c r="W2774" s="6"/>
      <c r="X2774" s="6"/>
      <c r="Y2774" s="6"/>
      <c r="Z2774" s="6"/>
      <c r="AA2774" s="6" t="s">
        <v>430</v>
      </c>
      <c r="AB2774" s="8"/>
      <c r="AC2774" s="27">
        <v>9785160157313</v>
      </c>
    </row>
    <row r="2775" spans="1:29" s="4" customFormat="1" ht="51.9" customHeight="1" x14ac:dyDescent="0.2">
      <c r="A2775" s="5">
        <v>0</v>
      </c>
      <c r="B2775" s="6" t="s">
        <v>16376</v>
      </c>
      <c r="C2775" s="7">
        <v>1980</v>
      </c>
      <c r="D2775" s="8" t="s">
        <v>16377</v>
      </c>
      <c r="E2775" s="8" t="s">
        <v>16378</v>
      </c>
      <c r="F2775" s="8" t="s">
        <v>16379</v>
      </c>
      <c r="G2775" s="6" t="s">
        <v>118</v>
      </c>
      <c r="H2775" s="6" t="s">
        <v>1644</v>
      </c>
      <c r="I2775" s="8"/>
      <c r="J2775" s="9">
        <v>1</v>
      </c>
      <c r="K2775" s="9">
        <v>352</v>
      </c>
      <c r="L2775" s="9">
        <v>2024</v>
      </c>
      <c r="M2775" s="8" t="s">
        <v>16380</v>
      </c>
      <c r="N2775" s="8" t="s">
        <v>37</v>
      </c>
      <c r="O2775" s="8" t="s">
        <v>233</v>
      </c>
      <c r="P2775" s="6" t="s">
        <v>306</v>
      </c>
      <c r="Q2775" s="8" t="s">
        <v>65</v>
      </c>
      <c r="R2775" s="10" t="s">
        <v>16381</v>
      </c>
      <c r="S2775" s="11"/>
      <c r="T2775" s="6"/>
      <c r="U2775" s="15" t="str">
        <f>HYPERLINK("https://media.infra-m.ru/2129/2129521/cover/2129521.jpg", "Обложка")</f>
        <v>Обложка</v>
      </c>
      <c r="V2775" s="8" t="s">
        <v>5117</v>
      </c>
      <c r="W2775" s="6"/>
      <c r="X2775" s="6"/>
      <c r="Y2775" s="6"/>
      <c r="Z2775" s="6"/>
      <c r="AA2775" s="6" t="s">
        <v>76</v>
      </c>
      <c r="AB2775" s="8"/>
      <c r="AC2775" s="27">
        <v>9785977605731</v>
      </c>
    </row>
    <row r="2776" spans="1:29" s="4" customFormat="1" ht="51.9" customHeight="1" x14ac:dyDescent="0.2">
      <c r="A2776" s="5">
        <v>0</v>
      </c>
      <c r="B2776" s="6" t="s">
        <v>16382</v>
      </c>
      <c r="C2776" s="7">
        <v>3832.8</v>
      </c>
      <c r="D2776" s="8" t="s">
        <v>16383</v>
      </c>
      <c r="E2776" s="8" t="s">
        <v>16378</v>
      </c>
      <c r="F2776" s="8" t="s">
        <v>16384</v>
      </c>
      <c r="G2776" s="6" t="s">
        <v>60</v>
      </c>
      <c r="H2776" s="6" t="s">
        <v>34</v>
      </c>
      <c r="I2776" s="8" t="s">
        <v>5350</v>
      </c>
      <c r="J2776" s="9">
        <v>1</v>
      </c>
      <c r="K2776" s="9">
        <v>607</v>
      </c>
      <c r="L2776" s="9">
        <v>2026</v>
      </c>
      <c r="M2776" s="8" t="s">
        <v>16385</v>
      </c>
      <c r="N2776" s="8" t="s">
        <v>37</v>
      </c>
      <c r="O2776" s="8" t="s">
        <v>233</v>
      </c>
      <c r="P2776" s="6" t="s">
        <v>306</v>
      </c>
      <c r="Q2776" s="8" t="s">
        <v>377</v>
      </c>
      <c r="R2776" s="10" t="s">
        <v>16386</v>
      </c>
      <c r="S2776" s="11" t="s">
        <v>16387</v>
      </c>
      <c r="T2776" s="6"/>
      <c r="U2776" s="15" t="str">
        <f>HYPERLINK("https://media.infra-m.ru/2229/2229959/cover/2229959.jpg", "Обложка")</f>
        <v>Обложка</v>
      </c>
      <c r="V2776" s="8" t="s">
        <v>2035</v>
      </c>
      <c r="W2776" s="6"/>
      <c r="X2776" s="6"/>
      <c r="Y2776" s="6"/>
      <c r="Z2776" s="6"/>
      <c r="AA2776" s="6" t="s">
        <v>157</v>
      </c>
      <c r="AB2776" s="8" t="s">
        <v>1743</v>
      </c>
      <c r="AC2776" s="27">
        <v>9785160167572</v>
      </c>
    </row>
    <row r="2777" spans="1:29" s="4" customFormat="1" ht="51.9" customHeight="1" x14ac:dyDescent="0.2">
      <c r="A2777" s="5">
        <v>0</v>
      </c>
      <c r="B2777" s="6" t="s">
        <v>16388</v>
      </c>
      <c r="C2777" s="7">
        <v>1108.8</v>
      </c>
      <c r="D2777" s="8" t="s">
        <v>16389</v>
      </c>
      <c r="E2777" s="8" t="s">
        <v>16390</v>
      </c>
      <c r="F2777" s="8" t="s">
        <v>16391</v>
      </c>
      <c r="G2777" s="6" t="s">
        <v>118</v>
      </c>
      <c r="H2777" s="6" t="s">
        <v>34</v>
      </c>
      <c r="I2777" s="8" t="s">
        <v>263</v>
      </c>
      <c r="J2777" s="9">
        <v>1</v>
      </c>
      <c r="K2777" s="9">
        <v>159</v>
      </c>
      <c r="L2777" s="9">
        <v>2026</v>
      </c>
      <c r="M2777" s="8" t="s">
        <v>16392</v>
      </c>
      <c r="N2777" s="8" t="s">
        <v>243</v>
      </c>
      <c r="O2777" s="8" t="s">
        <v>798</v>
      </c>
      <c r="P2777" s="6" t="s">
        <v>306</v>
      </c>
      <c r="Q2777" s="8" t="s">
        <v>265</v>
      </c>
      <c r="R2777" s="10" t="s">
        <v>16393</v>
      </c>
      <c r="S2777" s="11" t="s">
        <v>16394</v>
      </c>
      <c r="T2777" s="6"/>
      <c r="U2777" s="15" t="str">
        <f>HYPERLINK("https://media.infra-m.ru/2261/2261994/cover/2261994.jpg", "Обложка")</f>
        <v>Обложка</v>
      </c>
      <c r="V2777" s="8" t="s">
        <v>809</v>
      </c>
      <c r="W2777" s="6"/>
      <c r="X2777" s="6" t="s">
        <v>24</v>
      </c>
      <c r="Y2777" s="6"/>
      <c r="Z2777" s="6"/>
      <c r="AA2777" s="6" t="s">
        <v>16395</v>
      </c>
      <c r="AB2777" s="8"/>
      <c r="AC2777" s="27">
        <v>9785160103167</v>
      </c>
    </row>
    <row r="2778" spans="1:29" s="4" customFormat="1" ht="44.1" customHeight="1" x14ac:dyDescent="0.2">
      <c r="A2778" s="5">
        <v>0</v>
      </c>
      <c r="B2778" s="6" t="s">
        <v>16396</v>
      </c>
      <c r="C2778" s="7">
        <v>1008</v>
      </c>
      <c r="D2778" s="8" t="s">
        <v>16397</v>
      </c>
      <c r="E2778" s="8" t="s">
        <v>16398</v>
      </c>
      <c r="F2778" s="8" t="s">
        <v>16399</v>
      </c>
      <c r="G2778" s="6" t="s">
        <v>33</v>
      </c>
      <c r="H2778" s="6" t="s">
        <v>34</v>
      </c>
      <c r="I2778" s="8" t="s">
        <v>35</v>
      </c>
      <c r="J2778" s="9">
        <v>1</v>
      </c>
      <c r="K2778" s="9">
        <v>178</v>
      </c>
      <c r="L2778" s="9">
        <v>2023</v>
      </c>
      <c r="M2778" s="8" t="s">
        <v>16400</v>
      </c>
      <c r="N2778" s="8" t="s">
        <v>37</v>
      </c>
      <c r="O2778" s="8" t="s">
        <v>233</v>
      </c>
      <c r="P2778" s="6" t="s">
        <v>39</v>
      </c>
      <c r="Q2778" s="8" t="s">
        <v>40</v>
      </c>
      <c r="R2778" s="10" t="s">
        <v>16401</v>
      </c>
      <c r="S2778" s="11"/>
      <c r="T2778" s="6"/>
      <c r="U2778" s="15" t="str">
        <f>HYPERLINK("https://media.infra-m.ru/1907/1907066/cover/1907066.jpg", "Обложка")</f>
        <v>Обложка</v>
      </c>
      <c r="V2778" s="8" t="s">
        <v>1069</v>
      </c>
      <c r="W2778" s="6"/>
      <c r="X2778" s="6"/>
      <c r="Y2778" s="6"/>
      <c r="Z2778" s="6"/>
      <c r="AA2778" s="6" t="s">
        <v>157</v>
      </c>
      <c r="AB2778" s="8"/>
      <c r="AC2778" s="27">
        <v>9785160180434</v>
      </c>
    </row>
    <row r="2779" spans="1:29" s="4" customFormat="1" ht="51.9" customHeight="1" x14ac:dyDescent="0.2">
      <c r="A2779" s="5">
        <v>0</v>
      </c>
      <c r="B2779" s="6" t="s">
        <v>16402</v>
      </c>
      <c r="C2779" s="7">
        <v>1992</v>
      </c>
      <c r="D2779" s="8" t="s">
        <v>16403</v>
      </c>
      <c r="E2779" s="8" t="s">
        <v>16404</v>
      </c>
      <c r="F2779" s="8" t="s">
        <v>10948</v>
      </c>
      <c r="G2779" s="6" t="s">
        <v>60</v>
      </c>
      <c r="H2779" s="6" t="s">
        <v>34</v>
      </c>
      <c r="I2779" s="8" t="s">
        <v>35</v>
      </c>
      <c r="J2779" s="9">
        <v>1</v>
      </c>
      <c r="K2779" s="9">
        <v>436</v>
      </c>
      <c r="L2779" s="9">
        <v>2022</v>
      </c>
      <c r="M2779" s="8" t="s">
        <v>16405</v>
      </c>
      <c r="N2779" s="8" t="s">
        <v>37</v>
      </c>
      <c r="O2779" s="8" t="s">
        <v>50</v>
      </c>
      <c r="P2779" s="6" t="s">
        <v>39</v>
      </c>
      <c r="Q2779" s="8" t="s">
        <v>40</v>
      </c>
      <c r="R2779" s="10" t="s">
        <v>16406</v>
      </c>
      <c r="S2779" s="11"/>
      <c r="T2779" s="6"/>
      <c r="U2779" s="15" t="str">
        <f>HYPERLINK("https://media.infra-m.ru/1836/1836959/cover/1836959.jpg", "Обложка")</f>
        <v>Обложка</v>
      </c>
      <c r="V2779" s="8" t="s">
        <v>10951</v>
      </c>
      <c r="W2779" s="6"/>
      <c r="X2779" s="6"/>
      <c r="Y2779" s="6"/>
      <c r="Z2779" s="6"/>
      <c r="AA2779" s="6" t="s">
        <v>148</v>
      </c>
      <c r="AB2779" s="8"/>
      <c r="AC2779" s="27">
        <v>9785160172552</v>
      </c>
    </row>
    <row r="2780" spans="1:29" s="4" customFormat="1" ht="51.9" customHeight="1" x14ac:dyDescent="0.2">
      <c r="A2780" s="5">
        <v>0</v>
      </c>
      <c r="B2780" s="6" t="s">
        <v>16407</v>
      </c>
      <c r="C2780" s="7">
        <v>2520</v>
      </c>
      <c r="D2780" s="8" t="s">
        <v>16408</v>
      </c>
      <c r="E2780" s="8" t="s">
        <v>16409</v>
      </c>
      <c r="F2780" s="8" t="s">
        <v>16410</v>
      </c>
      <c r="G2780" s="6" t="s">
        <v>60</v>
      </c>
      <c r="H2780" s="6" t="s">
        <v>34</v>
      </c>
      <c r="I2780" s="8" t="s">
        <v>35</v>
      </c>
      <c r="J2780" s="9">
        <v>1</v>
      </c>
      <c r="K2780" s="9">
        <v>419</v>
      </c>
      <c r="L2780" s="9">
        <v>2025</v>
      </c>
      <c r="M2780" s="8" t="s">
        <v>16411</v>
      </c>
      <c r="N2780" s="8" t="s">
        <v>37</v>
      </c>
      <c r="O2780" s="8" t="s">
        <v>136</v>
      </c>
      <c r="P2780" s="6" t="s">
        <v>39</v>
      </c>
      <c r="Q2780" s="8" t="s">
        <v>40</v>
      </c>
      <c r="R2780" s="10" t="s">
        <v>16412</v>
      </c>
      <c r="S2780" s="11"/>
      <c r="T2780" s="6"/>
      <c r="U2780" s="15" t="str">
        <f>HYPERLINK("https://media.infra-m.ru/2138/2138104/cover/2138104.jpg", "Обложка")</f>
        <v>Обложка</v>
      </c>
      <c r="V2780" s="8" t="s">
        <v>5964</v>
      </c>
      <c r="W2780" s="6"/>
      <c r="X2780" s="6"/>
      <c r="Y2780" s="6"/>
      <c r="Z2780" s="6"/>
      <c r="AA2780" s="6" t="s">
        <v>68</v>
      </c>
      <c r="AB2780" s="8"/>
      <c r="AC2780" s="27">
        <v>9785160198101</v>
      </c>
    </row>
    <row r="2781" spans="1:29" s="4" customFormat="1" ht="51.9" customHeight="1" x14ac:dyDescent="0.2">
      <c r="A2781" s="5">
        <v>0</v>
      </c>
      <c r="B2781" s="6" t="s">
        <v>16413</v>
      </c>
      <c r="C2781" s="7">
        <v>2604</v>
      </c>
      <c r="D2781" s="8" t="s">
        <v>16414</v>
      </c>
      <c r="E2781" s="8" t="s">
        <v>16415</v>
      </c>
      <c r="F2781" s="8" t="s">
        <v>16416</v>
      </c>
      <c r="G2781" s="6" t="s">
        <v>118</v>
      </c>
      <c r="H2781" s="6" t="s">
        <v>1042</v>
      </c>
      <c r="I2781" s="8" t="s">
        <v>263</v>
      </c>
      <c r="J2781" s="9">
        <v>1</v>
      </c>
      <c r="K2781" s="9">
        <v>287</v>
      </c>
      <c r="L2781" s="9">
        <v>2027</v>
      </c>
      <c r="M2781" s="8" t="s">
        <v>16417</v>
      </c>
      <c r="N2781" s="8" t="s">
        <v>243</v>
      </c>
      <c r="O2781" s="8" t="s">
        <v>758</v>
      </c>
      <c r="P2781" s="6" t="s">
        <v>51</v>
      </c>
      <c r="Q2781" s="8" t="s">
        <v>265</v>
      </c>
      <c r="R2781" s="10" t="s">
        <v>16418</v>
      </c>
      <c r="S2781" s="11" t="s">
        <v>16419</v>
      </c>
      <c r="T2781" s="6"/>
      <c r="U2781" s="15" t="str">
        <f>HYPERLINK("https://media.infra-m.ru/2268/2268358/cover/2268358.jpg", "Обложка")</f>
        <v>Обложка</v>
      </c>
      <c r="V2781" s="8"/>
      <c r="W2781" s="6"/>
      <c r="X2781" s="6"/>
      <c r="Y2781" s="6"/>
      <c r="Z2781" s="6" t="s">
        <v>267</v>
      </c>
      <c r="AA2781" s="6" t="s">
        <v>1256</v>
      </c>
      <c r="AB2781" s="8"/>
      <c r="AC2781" s="27">
        <v>9785819907887</v>
      </c>
    </row>
    <row r="2782" spans="1:29" s="4" customFormat="1" ht="51.9" customHeight="1" x14ac:dyDescent="0.2">
      <c r="A2782" s="5">
        <v>0</v>
      </c>
      <c r="B2782" s="6" t="s">
        <v>16420</v>
      </c>
      <c r="C2782" s="7">
        <v>1992</v>
      </c>
      <c r="D2782" s="8" t="s">
        <v>16421</v>
      </c>
      <c r="E2782" s="8" t="s">
        <v>16415</v>
      </c>
      <c r="F2782" s="8" t="s">
        <v>16422</v>
      </c>
      <c r="G2782" s="6" t="s">
        <v>118</v>
      </c>
      <c r="H2782" s="6" t="s">
        <v>34</v>
      </c>
      <c r="I2782" s="8" t="s">
        <v>253</v>
      </c>
      <c r="J2782" s="9">
        <v>1</v>
      </c>
      <c r="K2782" s="9">
        <v>287</v>
      </c>
      <c r="L2782" s="9">
        <v>2027</v>
      </c>
      <c r="M2782" s="8" t="s">
        <v>16423</v>
      </c>
      <c r="N2782" s="8" t="s">
        <v>243</v>
      </c>
      <c r="O2782" s="8" t="s">
        <v>758</v>
      </c>
      <c r="P2782" s="6" t="s">
        <v>51</v>
      </c>
      <c r="Q2782" s="8" t="s">
        <v>52</v>
      </c>
      <c r="R2782" s="10" t="s">
        <v>16424</v>
      </c>
      <c r="S2782" s="11" t="s">
        <v>16425</v>
      </c>
      <c r="T2782" s="6"/>
      <c r="U2782" s="15" t="str">
        <f>HYPERLINK("https://media.infra-m.ru/2264/2264986/cover/2264986.jpg", "Обложка")</f>
        <v>Обложка</v>
      </c>
      <c r="V2782" s="8"/>
      <c r="W2782" s="6"/>
      <c r="X2782" s="6"/>
      <c r="Y2782" s="6"/>
      <c r="Z2782" s="6"/>
      <c r="AA2782" s="6" t="s">
        <v>949</v>
      </c>
      <c r="AB2782" s="8"/>
      <c r="AC2782" s="27">
        <v>9785160223865</v>
      </c>
    </row>
    <row r="2783" spans="1:29" s="4" customFormat="1" ht="51.9" customHeight="1" x14ac:dyDescent="0.2">
      <c r="A2783" s="5">
        <v>0</v>
      </c>
      <c r="B2783" s="6" t="s">
        <v>16426</v>
      </c>
      <c r="C2783" s="7">
        <v>2640</v>
      </c>
      <c r="D2783" s="8" t="s">
        <v>16427</v>
      </c>
      <c r="E2783" s="8" t="s">
        <v>16428</v>
      </c>
      <c r="F2783" s="8" t="s">
        <v>240</v>
      </c>
      <c r="G2783" s="6" t="s">
        <v>60</v>
      </c>
      <c r="H2783" s="6" t="s">
        <v>34</v>
      </c>
      <c r="I2783" s="8" t="s">
        <v>304</v>
      </c>
      <c r="J2783" s="9">
        <v>1</v>
      </c>
      <c r="K2783" s="9">
        <v>417</v>
      </c>
      <c r="L2783" s="9">
        <v>2026</v>
      </c>
      <c r="M2783" s="8" t="s">
        <v>16429</v>
      </c>
      <c r="N2783" s="8" t="s">
        <v>243</v>
      </c>
      <c r="O2783" s="8" t="s">
        <v>244</v>
      </c>
      <c r="P2783" s="6" t="s">
        <v>306</v>
      </c>
      <c r="Q2783" s="8" t="s">
        <v>500</v>
      </c>
      <c r="R2783" s="10" t="s">
        <v>16430</v>
      </c>
      <c r="S2783" s="11"/>
      <c r="T2783" s="6" t="s">
        <v>97</v>
      </c>
      <c r="U2783" s="15" t="str">
        <f>HYPERLINK("https://media.infra-m.ru/2212/2212458/cover/2212458.jpg", "Обложка")</f>
        <v>Обложка</v>
      </c>
      <c r="V2783" s="8" t="s">
        <v>247</v>
      </c>
      <c r="W2783" s="6"/>
      <c r="X2783" s="6"/>
      <c r="Y2783" s="6"/>
      <c r="Z2783" s="6"/>
      <c r="AA2783" s="6" t="s">
        <v>86</v>
      </c>
      <c r="AB2783" s="8"/>
      <c r="AC2783" s="27">
        <v>9785160210711</v>
      </c>
    </row>
    <row r="2784" spans="1:29" s="4" customFormat="1" ht="51.9" customHeight="1" x14ac:dyDescent="0.2">
      <c r="A2784" s="5">
        <v>0</v>
      </c>
      <c r="B2784" s="6" t="s">
        <v>16431</v>
      </c>
      <c r="C2784" s="13">
        <v>864</v>
      </c>
      <c r="D2784" s="8" t="s">
        <v>16432</v>
      </c>
      <c r="E2784" s="8" t="s">
        <v>16433</v>
      </c>
      <c r="F2784" s="8" t="s">
        <v>16434</v>
      </c>
      <c r="G2784" s="6" t="s">
        <v>118</v>
      </c>
      <c r="H2784" s="6" t="s">
        <v>34</v>
      </c>
      <c r="I2784" s="8" t="s">
        <v>271</v>
      </c>
      <c r="J2784" s="9">
        <v>1</v>
      </c>
      <c r="K2784" s="9">
        <v>199</v>
      </c>
      <c r="L2784" s="9">
        <v>2021</v>
      </c>
      <c r="M2784" s="8" t="s">
        <v>16435</v>
      </c>
      <c r="N2784" s="8" t="s">
        <v>37</v>
      </c>
      <c r="O2784" s="8" t="s">
        <v>280</v>
      </c>
      <c r="P2784" s="6" t="s">
        <v>51</v>
      </c>
      <c r="Q2784" s="8" t="s">
        <v>52</v>
      </c>
      <c r="R2784" s="10" t="s">
        <v>16436</v>
      </c>
      <c r="S2784" s="11" t="s">
        <v>16437</v>
      </c>
      <c r="T2784" s="6"/>
      <c r="U2784" s="15" t="str">
        <f>HYPERLINK("https://media.infra-m.ru/1246/1246745/cover/1246745.jpg", "Обложка")</f>
        <v>Обложка</v>
      </c>
      <c r="V2784" s="8" t="s">
        <v>16438</v>
      </c>
      <c r="W2784" s="6"/>
      <c r="X2784" s="6"/>
      <c r="Y2784" s="6"/>
      <c r="Z2784" s="6"/>
      <c r="AA2784" s="6" t="s">
        <v>623</v>
      </c>
      <c r="AB2784" s="8"/>
      <c r="AC2784" s="27">
        <v>9785160125251</v>
      </c>
    </row>
    <row r="2785" spans="1:29" s="4" customFormat="1" ht="51.9" customHeight="1" x14ac:dyDescent="0.2">
      <c r="A2785" s="5">
        <v>0</v>
      </c>
      <c r="B2785" s="6" t="s">
        <v>16439</v>
      </c>
      <c r="C2785" s="13">
        <v>888</v>
      </c>
      <c r="D2785" s="8" t="s">
        <v>16440</v>
      </c>
      <c r="E2785" s="8" t="s">
        <v>16433</v>
      </c>
      <c r="F2785" s="8" t="s">
        <v>16434</v>
      </c>
      <c r="G2785" s="6" t="s">
        <v>118</v>
      </c>
      <c r="H2785" s="6" t="s">
        <v>34</v>
      </c>
      <c r="I2785" s="8" t="s">
        <v>263</v>
      </c>
      <c r="J2785" s="9">
        <v>1</v>
      </c>
      <c r="K2785" s="9">
        <v>199</v>
      </c>
      <c r="L2785" s="9">
        <v>2021</v>
      </c>
      <c r="M2785" s="8" t="s">
        <v>16441</v>
      </c>
      <c r="N2785" s="8" t="s">
        <v>37</v>
      </c>
      <c r="O2785" s="8" t="s">
        <v>280</v>
      </c>
      <c r="P2785" s="6" t="s">
        <v>51</v>
      </c>
      <c r="Q2785" s="8" t="s">
        <v>265</v>
      </c>
      <c r="R2785" s="10" t="s">
        <v>16442</v>
      </c>
      <c r="S2785" s="11" t="s">
        <v>16443</v>
      </c>
      <c r="T2785" s="6"/>
      <c r="U2785" s="15" t="str">
        <f>HYPERLINK("https://media.infra-m.ru/1391/1391252/cover/1391252.jpg", "Обложка")</f>
        <v>Обложка</v>
      </c>
      <c r="V2785" s="8" t="s">
        <v>16438</v>
      </c>
      <c r="W2785" s="6"/>
      <c r="X2785" s="6" t="s">
        <v>24</v>
      </c>
      <c r="Y2785" s="6"/>
      <c r="Z2785" s="6" t="s">
        <v>267</v>
      </c>
      <c r="AA2785" s="6" t="s">
        <v>258</v>
      </c>
      <c r="AB2785" s="8"/>
      <c r="AC2785" s="27">
        <v>9785160165851</v>
      </c>
    </row>
    <row r="2786" spans="1:29" s="4" customFormat="1" ht="51.9" customHeight="1" x14ac:dyDescent="0.2">
      <c r="A2786" s="5">
        <v>0</v>
      </c>
      <c r="B2786" s="6" t="s">
        <v>16444</v>
      </c>
      <c r="C2786" s="7">
        <v>1212</v>
      </c>
      <c r="D2786" s="8" t="s">
        <v>16445</v>
      </c>
      <c r="E2786" s="8" t="s">
        <v>16446</v>
      </c>
      <c r="F2786" s="8" t="s">
        <v>16447</v>
      </c>
      <c r="G2786" s="6" t="s">
        <v>118</v>
      </c>
      <c r="H2786" s="6" t="s">
        <v>34</v>
      </c>
      <c r="I2786" s="8" t="s">
        <v>1074</v>
      </c>
      <c r="J2786" s="9">
        <v>1</v>
      </c>
      <c r="K2786" s="9">
        <v>224</v>
      </c>
      <c r="L2786" s="9">
        <v>2023</v>
      </c>
      <c r="M2786" s="8" t="s">
        <v>16448</v>
      </c>
      <c r="N2786" s="8" t="s">
        <v>37</v>
      </c>
      <c r="O2786" s="8" t="s">
        <v>136</v>
      </c>
      <c r="P2786" s="6" t="s">
        <v>3141</v>
      </c>
      <c r="Q2786" s="8" t="s">
        <v>40</v>
      </c>
      <c r="R2786" s="10" t="s">
        <v>16449</v>
      </c>
      <c r="S2786" s="11"/>
      <c r="T2786" s="6"/>
      <c r="U2786" s="15" t="str">
        <f>HYPERLINK("https://media.infra-m.ru/1908/1908840/cover/1908840.jpg", "Обложка")</f>
        <v>Обложка</v>
      </c>
      <c r="V2786" s="8" t="s">
        <v>5726</v>
      </c>
      <c r="W2786" s="6"/>
      <c r="X2786" s="6" t="s">
        <v>24</v>
      </c>
      <c r="Y2786" s="6"/>
      <c r="Z2786" s="6"/>
      <c r="AA2786" s="6" t="s">
        <v>779</v>
      </c>
      <c r="AB2786" s="8"/>
      <c r="AC2786" s="27">
        <v>9785160121017</v>
      </c>
    </row>
    <row r="2787" spans="1:29" s="4" customFormat="1" ht="44.1" customHeight="1" x14ac:dyDescent="0.2">
      <c r="A2787" s="5">
        <v>0</v>
      </c>
      <c r="B2787" s="6" t="s">
        <v>16450</v>
      </c>
      <c r="C2787" s="7">
        <v>1272</v>
      </c>
      <c r="D2787" s="8" t="s">
        <v>16451</v>
      </c>
      <c r="E2787" s="8" t="s">
        <v>16452</v>
      </c>
      <c r="F2787" s="8" t="s">
        <v>16453</v>
      </c>
      <c r="G2787" s="6" t="s">
        <v>60</v>
      </c>
      <c r="H2787" s="6" t="s">
        <v>34</v>
      </c>
      <c r="I2787" s="8" t="s">
        <v>35</v>
      </c>
      <c r="J2787" s="9">
        <v>1</v>
      </c>
      <c r="K2787" s="9">
        <v>235</v>
      </c>
      <c r="L2787" s="9">
        <v>2023</v>
      </c>
      <c r="M2787" s="8" t="s">
        <v>16454</v>
      </c>
      <c r="N2787" s="8" t="s">
        <v>243</v>
      </c>
      <c r="O2787" s="8" t="s">
        <v>244</v>
      </c>
      <c r="P2787" s="6" t="s">
        <v>39</v>
      </c>
      <c r="Q2787" s="8" t="s">
        <v>40</v>
      </c>
      <c r="R2787" s="10" t="s">
        <v>16455</v>
      </c>
      <c r="S2787" s="11"/>
      <c r="T2787" s="6"/>
      <c r="U2787" s="15" t="str">
        <f>HYPERLINK("https://media.infra-m.ru/1921/1921360/cover/1921360.jpg", "Обложка")</f>
        <v>Обложка</v>
      </c>
      <c r="V2787" s="8" t="s">
        <v>5609</v>
      </c>
      <c r="W2787" s="6"/>
      <c r="X2787" s="6"/>
      <c r="Y2787" s="6"/>
      <c r="Z2787" s="6"/>
      <c r="AA2787" s="6" t="s">
        <v>157</v>
      </c>
      <c r="AB2787" s="8"/>
      <c r="AC2787" s="27">
        <v>9785160181943</v>
      </c>
    </row>
    <row r="2788" spans="1:29" s="4" customFormat="1" ht="51.9" customHeight="1" x14ac:dyDescent="0.2">
      <c r="A2788" s="5">
        <v>0</v>
      </c>
      <c r="B2788" s="6" t="s">
        <v>16456</v>
      </c>
      <c r="C2788" s="7">
        <v>2212.8000000000002</v>
      </c>
      <c r="D2788" s="8" t="s">
        <v>16457</v>
      </c>
      <c r="E2788" s="8" t="s">
        <v>16458</v>
      </c>
      <c r="F2788" s="8" t="s">
        <v>16459</v>
      </c>
      <c r="G2788" s="6" t="s">
        <v>60</v>
      </c>
      <c r="H2788" s="6" t="s">
        <v>1795</v>
      </c>
      <c r="I2788" s="8"/>
      <c r="J2788" s="9">
        <v>1</v>
      </c>
      <c r="K2788" s="9">
        <v>336</v>
      </c>
      <c r="L2788" s="9">
        <v>2026</v>
      </c>
      <c r="M2788" s="8" t="s">
        <v>16460</v>
      </c>
      <c r="N2788" s="8" t="s">
        <v>63</v>
      </c>
      <c r="O2788" s="8" t="s">
        <v>154</v>
      </c>
      <c r="P2788" s="6" t="s">
        <v>306</v>
      </c>
      <c r="Q2788" s="8" t="s">
        <v>52</v>
      </c>
      <c r="R2788" s="10" t="s">
        <v>16461</v>
      </c>
      <c r="S2788" s="11" t="s">
        <v>16462</v>
      </c>
      <c r="T2788" s="6"/>
      <c r="U2788" s="15" t="str">
        <f>HYPERLINK("https://media.infra-m.ru/2222/2222978/cover/2222978.jpg", "Обложка")</f>
        <v>Обложка</v>
      </c>
      <c r="V2788" s="8" t="s">
        <v>16463</v>
      </c>
      <c r="W2788" s="6"/>
      <c r="X2788" s="6"/>
      <c r="Y2788" s="6"/>
      <c r="Z2788" s="6"/>
      <c r="AA2788" s="6" t="s">
        <v>15057</v>
      </c>
      <c r="AB2788" s="8"/>
      <c r="AC2788" s="27">
        <v>9785982813503</v>
      </c>
    </row>
    <row r="2789" spans="1:29" s="4" customFormat="1" ht="51.9" customHeight="1" x14ac:dyDescent="0.2">
      <c r="A2789" s="5">
        <v>0</v>
      </c>
      <c r="B2789" s="6" t="s">
        <v>16464</v>
      </c>
      <c r="C2789" s="7">
        <v>1908</v>
      </c>
      <c r="D2789" s="8" t="s">
        <v>16465</v>
      </c>
      <c r="E2789" s="8" t="s">
        <v>16466</v>
      </c>
      <c r="F2789" s="8" t="s">
        <v>16467</v>
      </c>
      <c r="G2789" s="6" t="s">
        <v>118</v>
      </c>
      <c r="H2789" s="6" t="s">
        <v>34</v>
      </c>
      <c r="I2789" s="8" t="s">
        <v>253</v>
      </c>
      <c r="J2789" s="9">
        <v>1</v>
      </c>
      <c r="K2789" s="9">
        <v>289</v>
      </c>
      <c r="L2789" s="9">
        <v>2026</v>
      </c>
      <c r="M2789" s="8" t="s">
        <v>16468</v>
      </c>
      <c r="N2789" s="8" t="s">
        <v>63</v>
      </c>
      <c r="O2789" s="8" t="s">
        <v>154</v>
      </c>
      <c r="P2789" s="6" t="s">
        <v>306</v>
      </c>
      <c r="Q2789" s="8" t="s">
        <v>65</v>
      </c>
      <c r="R2789" s="10" t="s">
        <v>16469</v>
      </c>
      <c r="S2789" s="11" t="s">
        <v>16470</v>
      </c>
      <c r="T2789" s="6"/>
      <c r="U2789" s="15" t="str">
        <f>HYPERLINK("https://media.infra-m.ru/2242/2242623/cover/2242623.jpg", "Обложка")</f>
        <v>Обложка</v>
      </c>
      <c r="V2789" s="8" t="s">
        <v>5951</v>
      </c>
      <c r="W2789" s="6"/>
      <c r="X2789" s="6"/>
      <c r="Y2789" s="6"/>
      <c r="Z2789" s="6"/>
      <c r="AA2789" s="6" t="s">
        <v>1117</v>
      </c>
      <c r="AB2789" s="8"/>
      <c r="AC2789" s="27">
        <v>9785160185125</v>
      </c>
    </row>
    <row r="2790" spans="1:29" s="4" customFormat="1" ht="51.9" customHeight="1" x14ac:dyDescent="0.2">
      <c r="A2790" s="5">
        <v>0</v>
      </c>
      <c r="B2790" s="6" t="s">
        <v>16471</v>
      </c>
      <c r="C2790" s="7">
        <v>1068</v>
      </c>
      <c r="D2790" s="8" t="s">
        <v>16472</v>
      </c>
      <c r="E2790" s="8" t="s">
        <v>16473</v>
      </c>
      <c r="F2790" s="8" t="s">
        <v>16467</v>
      </c>
      <c r="G2790" s="6" t="s">
        <v>60</v>
      </c>
      <c r="H2790" s="6" t="s">
        <v>1042</v>
      </c>
      <c r="I2790" s="8" t="s">
        <v>253</v>
      </c>
      <c r="J2790" s="9">
        <v>1</v>
      </c>
      <c r="K2790" s="9">
        <v>304</v>
      </c>
      <c r="L2790" s="9">
        <v>2018</v>
      </c>
      <c r="M2790" s="8" t="s">
        <v>16474</v>
      </c>
      <c r="N2790" s="8" t="s">
        <v>63</v>
      </c>
      <c r="O2790" s="8" t="s">
        <v>154</v>
      </c>
      <c r="P2790" s="6" t="s">
        <v>306</v>
      </c>
      <c r="Q2790" s="8" t="s">
        <v>52</v>
      </c>
      <c r="R2790" s="10" t="s">
        <v>16469</v>
      </c>
      <c r="S2790" s="11" t="s">
        <v>16475</v>
      </c>
      <c r="T2790" s="6"/>
      <c r="U2790" s="15" t="str">
        <f>HYPERLINK("https://media.infra-m.ru/0942/0942783/cover/942783.jpg", "Обложка")</f>
        <v>Обложка</v>
      </c>
      <c r="V2790" s="8" t="s">
        <v>5951</v>
      </c>
      <c r="W2790" s="6"/>
      <c r="X2790" s="6"/>
      <c r="Y2790" s="6"/>
      <c r="Z2790" s="6"/>
      <c r="AA2790" s="6" t="s">
        <v>1015</v>
      </c>
      <c r="AB2790" s="8"/>
      <c r="AC2790" s="27">
        <v>9785819907382</v>
      </c>
    </row>
    <row r="2791" spans="1:29" s="4" customFormat="1" ht="51.9" customHeight="1" x14ac:dyDescent="0.2">
      <c r="A2791" s="5">
        <v>0</v>
      </c>
      <c r="B2791" s="6" t="s">
        <v>16476</v>
      </c>
      <c r="C2791" s="7">
        <v>1620</v>
      </c>
      <c r="D2791" s="8" t="s">
        <v>16477</v>
      </c>
      <c r="E2791" s="8" t="s">
        <v>16478</v>
      </c>
      <c r="F2791" s="8" t="s">
        <v>16479</v>
      </c>
      <c r="G2791" s="6" t="s">
        <v>118</v>
      </c>
      <c r="H2791" s="6" t="s">
        <v>34</v>
      </c>
      <c r="I2791" s="8" t="s">
        <v>271</v>
      </c>
      <c r="J2791" s="9">
        <v>1</v>
      </c>
      <c r="K2791" s="9">
        <v>301</v>
      </c>
      <c r="L2791" s="9">
        <v>2021</v>
      </c>
      <c r="M2791" s="8" t="s">
        <v>16480</v>
      </c>
      <c r="N2791" s="8" t="s">
        <v>63</v>
      </c>
      <c r="O2791" s="8" t="s">
        <v>154</v>
      </c>
      <c r="P2791" s="6" t="s">
        <v>306</v>
      </c>
      <c r="Q2791" s="8" t="s">
        <v>52</v>
      </c>
      <c r="R2791" s="10" t="s">
        <v>16481</v>
      </c>
      <c r="S2791" s="11" t="s">
        <v>16482</v>
      </c>
      <c r="T2791" s="6"/>
      <c r="U2791" s="15" t="str">
        <f>HYPERLINK("https://media.infra-m.ru/1950/1950299/cover/1950299.jpg", "Обложка")</f>
        <v>Обложка</v>
      </c>
      <c r="V2791" s="8" t="s">
        <v>1505</v>
      </c>
      <c r="W2791" s="6"/>
      <c r="X2791" s="6"/>
      <c r="Y2791" s="6"/>
      <c r="Z2791" s="6"/>
      <c r="AA2791" s="6" t="s">
        <v>2304</v>
      </c>
      <c r="AB2791" s="8"/>
      <c r="AC2791" s="27">
        <v>9785160057248</v>
      </c>
    </row>
    <row r="2792" spans="1:29" s="4" customFormat="1" ht="51.9" customHeight="1" x14ac:dyDescent="0.2">
      <c r="A2792" s="5">
        <v>0</v>
      </c>
      <c r="B2792" s="6" t="s">
        <v>16483</v>
      </c>
      <c r="C2792" s="7">
        <v>1848</v>
      </c>
      <c r="D2792" s="8" t="s">
        <v>16484</v>
      </c>
      <c r="E2792" s="8" t="s">
        <v>16478</v>
      </c>
      <c r="F2792" s="8" t="s">
        <v>16479</v>
      </c>
      <c r="G2792" s="6" t="s">
        <v>118</v>
      </c>
      <c r="H2792" s="6" t="s">
        <v>34</v>
      </c>
      <c r="I2792" s="8" t="s">
        <v>263</v>
      </c>
      <c r="J2792" s="9">
        <v>1</v>
      </c>
      <c r="K2792" s="9">
        <v>301</v>
      </c>
      <c r="L2792" s="9">
        <v>2025</v>
      </c>
      <c r="M2792" s="8" t="s">
        <v>16485</v>
      </c>
      <c r="N2792" s="8" t="s">
        <v>63</v>
      </c>
      <c r="O2792" s="8" t="s">
        <v>154</v>
      </c>
      <c r="P2792" s="6" t="s">
        <v>306</v>
      </c>
      <c r="Q2792" s="8" t="s">
        <v>265</v>
      </c>
      <c r="R2792" s="10" t="s">
        <v>16486</v>
      </c>
      <c r="S2792" s="11"/>
      <c r="T2792" s="6"/>
      <c r="U2792" s="15" t="str">
        <f>HYPERLINK("https://media.infra-m.ru/2162/2162583/cover/2162583.jpg", "Обложка")</f>
        <v>Обложка</v>
      </c>
      <c r="V2792" s="8" t="s">
        <v>1505</v>
      </c>
      <c r="W2792" s="6"/>
      <c r="X2792" s="6"/>
      <c r="Y2792" s="6"/>
      <c r="Z2792" s="6" t="s">
        <v>267</v>
      </c>
      <c r="AA2792" s="6" t="s">
        <v>917</v>
      </c>
      <c r="AB2792" s="8"/>
      <c r="AC2792" s="27">
        <v>9785160202105</v>
      </c>
    </row>
    <row r="2793" spans="1:29" s="4" customFormat="1" ht="51.9" customHeight="1" x14ac:dyDescent="0.2">
      <c r="A2793" s="5">
        <v>0</v>
      </c>
      <c r="B2793" s="6" t="s">
        <v>16487</v>
      </c>
      <c r="C2793" s="7">
        <v>1636.8</v>
      </c>
      <c r="D2793" s="8" t="s">
        <v>16488</v>
      </c>
      <c r="E2793" s="8" t="s">
        <v>16489</v>
      </c>
      <c r="F2793" s="8" t="s">
        <v>16490</v>
      </c>
      <c r="G2793" s="6" t="s">
        <v>60</v>
      </c>
      <c r="H2793" s="6" t="s">
        <v>34</v>
      </c>
      <c r="I2793" s="8" t="s">
        <v>253</v>
      </c>
      <c r="J2793" s="9">
        <v>1</v>
      </c>
      <c r="K2793" s="9">
        <v>235</v>
      </c>
      <c r="L2793" s="9">
        <v>2026</v>
      </c>
      <c r="M2793" s="8" t="s">
        <v>16491</v>
      </c>
      <c r="N2793" s="8" t="s">
        <v>93</v>
      </c>
      <c r="O2793" s="8" t="s">
        <v>94</v>
      </c>
      <c r="P2793" s="6" t="s">
        <v>51</v>
      </c>
      <c r="Q2793" s="8" t="s">
        <v>52</v>
      </c>
      <c r="R2793" s="10" t="s">
        <v>16492</v>
      </c>
      <c r="S2793" s="11"/>
      <c r="T2793" s="6"/>
      <c r="U2793" s="15" t="str">
        <f>HYPERLINK("https://media.infra-m.ru/2255/2255175/cover/2255175.jpg", "Обложка")</f>
        <v>Обложка</v>
      </c>
      <c r="V2793" s="8" t="s">
        <v>16493</v>
      </c>
      <c r="W2793" s="6"/>
      <c r="X2793" s="6"/>
      <c r="Y2793" s="6"/>
      <c r="Z2793" s="6"/>
      <c r="AA2793" s="6" t="s">
        <v>68</v>
      </c>
      <c r="AB2793" s="8"/>
      <c r="AC2793" s="27">
        <v>9785160198637</v>
      </c>
    </row>
    <row r="2794" spans="1:29" s="4" customFormat="1" ht="42" customHeight="1" x14ac:dyDescent="0.2">
      <c r="A2794" s="5">
        <v>0</v>
      </c>
      <c r="B2794" s="6" t="s">
        <v>16494</v>
      </c>
      <c r="C2794" s="7">
        <v>1680</v>
      </c>
      <c r="D2794" s="8" t="s">
        <v>16495</v>
      </c>
      <c r="E2794" s="8" t="s">
        <v>16496</v>
      </c>
      <c r="F2794" s="8" t="s">
        <v>16497</v>
      </c>
      <c r="G2794" s="6" t="s">
        <v>118</v>
      </c>
      <c r="H2794" s="6" t="s">
        <v>34</v>
      </c>
      <c r="I2794" s="8" t="s">
        <v>35</v>
      </c>
      <c r="J2794" s="9">
        <v>1</v>
      </c>
      <c r="K2794" s="9">
        <v>350</v>
      </c>
      <c r="L2794" s="9">
        <v>2022</v>
      </c>
      <c r="M2794" s="8" t="s">
        <v>16498</v>
      </c>
      <c r="N2794" s="8" t="s">
        <v>63</v>
      </c>
      <c r="O2794" s="8" t="s">
        <v>126</v>
      </c>
      <c r="P2794" s="6" t="s">
        <v>39</v>
      </c>
      <c r="Q2794" s="8" t="s">
        <v>40</v>
      </c>
      <c r="R2794" s="10" t="s">
        <v>16499</v>
      </c>
      <c r="S2794" s="11"/>
      <c r="T2794" s="6"/>
      <c r="U2794" s="15" t="str">
        <f>HYPERLINK("https://media.infra-m.ru/1876/1876678/cover/1876678.jpg", "Обложка")</f>
        <v>Обложка</v>
      </c>
      <c r="V2794" s="8" t="s">
        <v>16500</v>
      </c>
      <c r="W2794" s="6"/>
      <c r="X2794" s="6"/>
      <c r="Y2794" s="6"/>
      <c r="Z2794" s="6"/>
      <c r="AA2794" s="6" t="s">
        <v>99</v>
      </c>
      <c r="AB2794" s="8"/>
      <c r="AC2794" s="27">
        <v>9785160138008</v>
      </c>
    </row>
    <row r="2795" spans="1:29" s="4" customFormat="1" ht="42" customHeight="1" x14ac:dyDescent="0.2">
      <c r="A2795" s="5">
        <v>0</v>
      </c>
      <c r="B2795" s="6" t="s">
        <v>16501</v>
      </c>
      <c r="C2795" s="7">
        <v>2100</v>
      </c>
      <c r="D2795" s="8" t="s">
        <v>16502</v>
      </c>
      <c r="E2795" s="8" t="s">
        <v>16496</v>
      </c>
      <c r="F2795" s="8" t="s">
        <v>16497</v>
      </c>
      <c r="G2795" s="6" t="s">
        <v>33</v>
      </c>
      <c r="H2795" s="6" t="s">
        <v>34</v>
      </c>
      <c r="I2795" s="8" t="s">
        <v>35</v>
      </c>
      <c r="J2795" s="9">
        <v>1</v>
      </c>
      <c r="K2795" s="9">
        <v>350</v>
      </c>
      <c r="L2795" s="9">
        <v>2025</v>
      </c>
      <c r="M2795" s="8" t="s">
        <v>16503</v>
      </c>
      <c r="N2795" s="8" t="s">
        <v>63</v>
      </c>
      <c r="O2795" s="8" t="s">
        <v>126</v>
      </c>
      <c r="P2795" s="6" t="s">
        <v>39</v>
      </c>
      <c r="Q2795" s="8" t="s">
        <v>40</v>
      </c>
      <c r="R2795" s="10" t="s">
        <v>16499</v>
      </c>
      <c r="S2795" s="11"/>
      <c r="T2795" s="6"/>
      <c r="U2795" s="15" t="str">
        <f>HYPERLINK("https://media.infra-m.ru/2184/2184893/cover/2184893.jpg", "Обложка")</f>
        <v>Обложка</v>
      </c>
      <c r="V2795" s="8" t="s">
        <v>16500</v>
      </c>
      <c r="W2795" s="6"/>
      <c r="X2795" s="6"/>
      <c r="Y2795" s="6"/>
      <c r="Z2795" s="6"/>
      <c r="AA2795" s="6" t="s">
        <v>99</v>
      </c>
      <c r="AB2795" s="8"/>
      <c r="AC2795" s="27">
        <v>9785160205885</v>
      </c>
    </row>
    <row r="2796" spans="1:29" s="4" customFormat="1" ht="42" customHeight="1" x14ac:dyDescent="0.2">
      <c r="A2796" s="5">
        <v>0</v>
      </c>
      <c r="B2796" s="6" t="s">
        <v>16504</v>
      </c>
      <c r="C2796" s="7">
        <v>2544</v>
      </c>
      <c r="D2796" s="8" t="s">
        <v>16505</v>
      </c>
      <c r="E2796" s="8" t="s">
        <v>16506</v>
      </c>
      <c r="F2796" s="8" t="s">
        <v>16507</v>
      </c>
      <c r="G2796" s="6" t="s">
        <v>60</v>
      </c>
      <c r="H2796" s="6" t="s">
        <v>34</v>
      </c>
      <c r="I2796" s="8" t="s">
        <v>35</v>
      </c>
      <c r="J2796" s="9">
        <v>1</v>
      </c>
      <c r="K2796" s="9">
        <v>450</v>
      </c>
      <c r="L2796" s="9">
        <v>2024</v>
      </c>
      <c r="M2796" s="8" t="s">
        <v>16508</v>
      </c>
      <c r="N2796" s="8" t="s">
        <v>585</v>
      </c>
      <c r="O2796" s="8" t="s">
        <v>586</v>
      </c>
      <c r="P2796" s="6" t="s">
        <v>39</v>
      </c>
      <c r="Q2796" s="8" t="s">
        <v>40</v>
      </c>
      <c r="R2796" s="10" t="s">
        <v>16509</v>
      </c>
      <c r="S2796" s="11"/>
      <c r="T2796" s="6" t="s">
        <v>97</v>
      </c>
      <c r="U2796" s="15" t="str">
        <f>HYPERLINK("https://media.infra-m.ru/2108/2108589/cover/2108589.jpg", "Обложка")</f>
        <v>Обложка</v>
      </c>
      <c r="V2796" s="8" t="s">
        <v>16510</v>
      </c>
      <c r="W2796" s="6"/>
      <c r="X2796" s="6"/>
      <c r="Y2796" s="6"/>
      <c r="Z2796" s="6"/>
      <c r="AA2796" s="6" t="s">
        <v>76</v>
      </c>
      <c r="AB2796" s="8" t="s">
        <v>670</v>
      </c>
      <c r="AC2796" s="27">
        <v>9785160193267</v>
      </c>
    </row>
    <row r="2797" spans="1:29" s="4" customFormat="1" ht="51.9" customHeight="1" x14ac:dyDescent="0.2">
      <c r="A2797" s="5">
        <v>0</v>
      </c>
      <c r="B2797" s="6" t="s">
        <v>16511</v>
      </c>
      <c r="C2797" s="7">
        <v>2008.8</v>
      </c>
      <c r="D2797" s="8" t="s">
        <v>16512</v>
      </c>
      <c r="E2797" s="8" t="s">
        <v>16513</v>
      </c>
      <c r="F2797" s="8" t="s">
        <v>16514</v>
      </c>
      <c r="G2797" s="6" t="s">
        <v>21</v>
      </c>
      <c r="H2797" s="6" t="s">
        <v>134</v>
      </c>
      <c r="I2797" s="8"/>
      <c r="J2797" s="9">
        <v>1</v>
      </c>
      <c r="K2797" s="9">
        <v>288</v>
      </c>
      <c r="L2797" s="9">
        <v>2026</v>
      </c>
      <c r="M2797" s="8" t="s">
        <v>16515</v>
      </c>
      <c r="N2797" s="8" t="s">
        <v>37</v>
      </c>
      <c r="O2797" s="8" t="s">
        <v>136</v>
      </c>
      <c r="P2797" s="6" t="s">
        <v>39</v>
      </c>
      <c r="Q2797" s="8" t="s">
        <v>749</v>
      </c>
      <c r="R2797" s="10" t="s">
        <v>4881</v>
      </c>
      <c r="S2797" s="11"/>
      <c r="T2797" s="6"/>
      <c r="U2797" s="15" t="str">
        <f>HYPERLINK("https://media.infra-m.ru/2247/2247489/cover/2247489.jpg", "Обложка")</f>
        <v>Обложка</v>
      </c>
      <c r="V2797" s="8" t="s">
        <v>1184</v>
      </c>
      <c r="W2797" s="6"/>
      <c r="X2797" s="6"/>
      <c r="Y2797" s="6"/>
      <c r="Z2797" s="6"/>
      <c r="AA2797" s="6" t="s">
        <v>274</v>
      </c>
      <c r="AB2797" s="8"/>
      <c r="AC2797" s="27">
        <v>9785917686479</v>
      </c>
    </row>
    <row r="2798" spans="1:29" s="4" customFormat="1" ht="51.9" customHeight="1" x14ac:dyDescent="0.2">
      <c r="A2798" s="5">
        <v>0</v>
      </c>
      <c r="B2798" s="6" t="s">
        <v>16516</v>
      </c>
      <c r="C2798" s="7">
        <v>1972.8</v>
      </c>
      <c r="D2798" s="8" t="s">
        <v>16517</v>
      </c>
      <c r="E2798" s="8" t="s">
        <v>16518</v>
      </c>
      <c r="F2798" s="8" t="s">
        <v>13859</v>
      </c>
      <c r="G2798" s="6" t="s">
        <v>60</v>
      </c>
      <c r="H2798" s="6" t="s">
        <v>34</v>
      </c>
      <c r="I2798" s="8" t="s">
        <v>504</v>
      </c>
      <c r="J2798" s="9">
        <v>1</v>
      </c>
      <c r="K2798" s="9">
        <v>316</v>
      </c>
      <c r="L2798" s="9">
        <v>2025</v>
      </c>
      <c r="M2798" s="8" t="s">
        <v>16519</v>
      </c>
      <c r="N2798" s="8" t="s">
        <v>37</v>
      </c>
      <c r="O2798" s="8" t="s">
        <v>136</v>
      </c>
      <c r="P2798" s="6" t="s">
        <v>306</v>
      </c>
      <c r="Q2798" s="8" t="s">
        <v>500</v>
      </c>
      <c r="R2798" s="10" t="s">
        <v>16520</v>
      </c>
      <c r="S2798" s="11" t="s">
        <v>16521</v>
      </c>
      <c r="T2798" s="6" t="s">
        <v>97</v>
      </c>
      <c r="U2798" s="15" t="str">
        <f>HYPERLINK("https://media.infra-m.ru/2196/2196134/cover/2196134.jpg", "Обложка")</f>
        <v>Обложка</v>
      </c>
      <c r="V2798" s="8" t="s">
        <v>657</v>
      </c>
      <c r="W2798" s="6"/>
      <c r="X2798" s="6"/>
      <c r="Y2798" s="6"/>
      <c r="Z2798" s="6"/>
      <c r="AA2798" s="6" t="s">
        <v>430</v>
      </c>
      <c r="AB2798" s="8"/>
      <c r="AC2798" s="27">
        <v>9785160136943</v>
      </c>
    </row>
    <row r="2799" spans="1:29" s="4" customFormat="1" ht="42" customHeight="1" x14ac:dyDescent="0.2">
      <c r="A2799" s="5">
        <v>0</v>
      </c>
      <c r="B2799" s="6" t="s">
        <v>16522</v>
      </c>
      <c r="C2799" s="13">
        <v>929.9</v>
      </c>
      <c r="D2799" s="8" t="s">
        <v>16523</v>
      </c>
      <c r="E2799" s="8" t="s">
        <v>16524</v>
      </c>
      <c r="F2799" s="8" t="s">
        <v>5091</v>
      </c>
      <c r="G2799" s="6" t="s">
        <v>33</v>
      </c>
      <c r="H2799" s="6" t="s">
        <v>34</v>
      </c>
      <c r="I2799" s="8" t="s">
        <v>35</v>
      </c>
      <c r="J2799" s="9">
        <v>1</v>
      </c>
      <c r="K2799" s="9">
        <v>172</v>
      </c>
      <c r="L2799" s="9">
        <v>2023</v>
      </c>
      <c r="M2799" s="8" t="s">
        <v>16525</v>
      </c>
      <c r="N2799" s="8" t="s">
        <v>37</v>
      </c>
      <c r="O2799" s="8" t="s">
        <v>233</v>
      </c>
      <c r="P2799" s="6" t="s">
        <v>39</v>
      </c>
      <c r="Q2799" s="8" t="s">
        <v>40</v>
      </c>
      <c r="R2799" s="10" t="s">
        <v>1646</v>
      </c>
      <c r="S2799" s="11"/>
      <c r="T2799" s="6"/>
      <c r="U2799" s="15" t="str">
        <f>HYPERLINK("https://media.infra-m.ru/1965/1965775/cover/1965775.jpg", "Обложка")</f>
        <v>Обложка</v>
      </c>
      <c r="V2799" s="8" t="s">
        <v>831</v>
      </c>
      <c r="W2799" s="6"/>
      <c r="X2799" s="6"/>
      <c r="Y2799" s="6"/>
      <c r="Z2799" s="6"/>
      <c r="AA2799" s="6" t="s">
        <v>115</v>
      </c>
      <c r="AB2799" s="8"/>
      <c r="AC2799" s="27">
        <v>9785160150727</v>
      </c>
    </row>
    <row r="2800" spans="1:29" s="4" customFormat="1" ht="51.9" customHeight="1" x14ac:dyDescent="0.2">
      <c r="A2800" s="5">
        <v>0</v>
      </c>
      <c r="B2800" s="6" t="s">
        <v>16526</v>
      </c>
      <c r="C2800" s="13">
        <v>844.8</v>
      </c>
      <c r="D2800" s="8" t="s">
        <v>16527</v>
      </c>
      <c r="E2800" s="8" t="s">
        <v>16528</v>
      </c>
      <c r="F2800" s="8" t="s">
        <v>16529</v>
      </c>
      <c r="G2800" s="6" t="s">
        <v>33</v>
      </c>
      <c r="H2800" s="6" t="s">
        <v>241</v>
      </c>
      <c r="I2800" s="8"/>
      <c r="J2800" s="9">
        <v>1</v>
      </c>
      <c r="K2800" s="9">
        <v>128</v>
      </c>
      <c r="L2800" s="9">
        <v>2026</v>
      </c>
      <c r="M2800" s="8" t="s">
        <v>16530</v>
      </c>
      <c r="N2800" s="8" t="s">
        <v>585</v>
      </c>
      <c r="O2800" s="8" t="s">
        <v>586</v>
      </c>
      <c r="P2800" s="6" t="s">
        <v>394</v>
      </c>
      <c r="Q2800" s="8" t="s">
        <v>52</v>
      </c>
      <c r="R2800" s="10" t="s">
        <v>16531</v>
      </c>
      <c r="S2800" s="11" t="s">
        <v>16532</v>
      </c>
      <c r="T2800" s="6"/>
      <c r="U2800" s="15" t="str">
        <f>HYPERLINK("https://media.infra-m.ru/2233/2233561/cover/2233561.jpg", "Обложка")</f>
        <v>Обложка</v>
      </c>
      <c r="V2800" s="8" t="s">
        <v>3428</v>
      </c>
      <c r="W2800" s="6"/>
      <c r="X2800" s="6"/>
      <c r="Y2800" s="6"/>
      <c r="Z2800" s="6"/>
      <c r="AA2800" s="6" t="s">
        <v>16533</v>
      </c>
      <c r="AB2800" s="8"/>
      <c r="AC2800" s="27">
        <v>9785955803975</v>
      </c>
    </row>
    <row r="2801" spans="1:29" s="4" customFormat="1" ht="51.9" customHeight="1" x14ac:dyDescent="0.2">
      <c r="A2801" s="5">
        <v>0</v>
      </c>
      <c r="B2801" s="6" t="s">
        <v>16534</v>
      </c>
      <c r="C2801" s="13">
        <v>928.8</v>
      </c>
      <c r="D2801" s="8" t="s">
        <v>16535</v>
      </c>
      <c r="E2801" s="8" t="s">
        <v>16536</v>
      </c>
      <c r="F2801" s="8" t="s">
        <v>16537</v>
      </c>
      <c r="G2801" s="6" t="s">
        <v>118</v>
      </c>
      <c r="H2801" s="6" t="s">
        <v>241</v>
      </c>
      <c r="I2801" s="8" t="s">
        <v>253</v>
      </c>
      <c r="J2801" s="9">
        <v>1</v>
      </c>
      <c r="K2801" s="9">
        <v>141</v>
      </c>
      <c r="L2801" s="9">
        <v>2026</v>
      </c>
      <c r="M2801" s="8" t="s">
        <v>16538</v>
      </c>
      <c r="N2801" s="8" t="s">
        <v>585</v>
      </c>
      <c r="O2801" s="8" t="s">
        <v>586</v>
      </c>
      <c r="P2801" s="6" t="s">
        <v>51</v>
      </c>
      <c r="Q2801" s="8" t="s">
        <v>52</v>
      </c>
      <c r="R2801" s="10" t="s">
        <v>16539</v>
      </c>
      <c r="S2801" s="11" t="s">
        <v>16540</v>
      </c>
      <c r="T2801" s="6"/>
      <c r="U2801" s="15" t="str">
        <f>HYPERLINK("https://media.infra-m.ru/2238/2238396/cover/2238396.jpg", "Обложка")</f>
        <v>Обложка</v>
      </c>
      <c r="V2801" s="8" t="s">
        <v>247</v>
      </c>
      <c r="W2801" s="6"/>
      <c r="X2801" s="6"/>
      <c r="Y2801" s="6"/>
      <c r="Z2801" s="6"/>
      <c r="AA2801" s="6" t="s">
        <v>115</v>
      </c>
      <c r="AB2801" s="8"/>
      <c r="AC2801" s="27">
        <v>9785955805931</v>
      </c>
    </row>
    <row r="2802" spans="1:29" s="4" customFormat="1" ht="51.9" customHeight="1" x14ac:dyDescent="0.2">
      <c r="A2802" s="5">
        <v>0</v>
      </c>
      <c r="B2802" s="6" t="s">
        <v>16541</v>
      </c>
      <c r="C2802" s="7">
        <v>1576.8</v>
      </c>
      <c r="D2802" s="8" t="s">
        <v>16542</v>
      </c>
      <c r="E2802" s="8" t="s">
        <v>16543</v>
      </c>
      <c r="F2802" s="8" t="s">
        <v>16544</v>
      </c>
      <c r="G2802" s="6" t="s">
        <v>60</v>
      </c>
      <c r="H2802" s="6" t="s">
        <v>241</v>
      </c>
      <c r="I2802" s="8"/>
      <c r="J2802" s="9">
        <v>1</v>
      </c>
      <c r="K2802" s="9">
        <v>286</v>
      </c>
      <c r="L2802" s="9">
        <v>2024</v>
      </c>
      <c r="M2802" s="8" t="s">
        <v>16545</v>
      </c>
      <c r="N2802" s="8" t="s">
        <v>585</v>
      </c>
      <c r="O2802" s="8" t="s">
        <v>586</v>
      </c>
      <c r="P2802" s="6" t="s">
        <v>51</v>
      </c>
      <c r="Q2802" s="8" t="s">
        <v>52</v>
      </c>
      <c r="R2802" s="10" t="s">
        <v>16539</v>
      </c>
      <c r="S2802" s="11" t="s">
        <v>16546</v>
      </c>
      <c r="T2802" s="6"/>
      <c r="U2802" s="15" t="str">
        <f>HYPERLINK("https://media.infra-m.ru/2054/2054994/cover/2054994.jpg", "Обложка")</f>
        <v>Обложка</v>
      </c>
      <c r="V2802" s="8" t="s">
        <v>3428</v>
      </c>
      <c r="W2802" s="6"/>
      <c r="X2802" s="6"/>
      <c r="Y2802" s="6"/>
      <c r="Z2802" s="6"/>
      <c r="AA2802" s="6" t="s">
        <v>16547</v>
      </c>
      <c r="AB2802" s="8"/>
      <c r="AC2802" s="27">
        <v>9785955801896</v>
      </c>
    </row>
    <row r="2803" spans="1:29" s="4" customFormat="1" ht="51.9" customHeight="1" x14ac:dyDescent="0.2">
      <c r="A2803" s="5">
        <v>0</v>
      </c>
      <c r="B2803" s="6" t="s">
        <v>16548</v>
      </c>
      <c r="C2803" s="7">
        <v>1464</v>
      </c>
      <c r="D2803" s="8" t="s">
        <v>16549</v>
      </c>
      <c r="E2803" s="8" t="s">
        <v>16528</v>
      </c>
      <c r="F2803" s="8" t="s">
        <v>16550</v>
      </c>
      <c r="G2803" s="6" t="s">
        <v>118</v>
      </c>
      <c r="H2803" s="6" t="s">
        <v>34</v>
      </c>
      <c r="I2803" s="8" t="s">
        <v>253</v>
      </c>
      <c r="J2803" s="9">
        <v>1</v>
      </c>
      <c r="K2803" s="9">
        <v>271</v>
      </c>
      <c r="L2803" s="9">
        <v>2023</v>
      </c>
      <c r="M2803" s="8" t="s">
        <v>16551</v>
      </c>
      <c r="N2803" s="8" t="s">
        <v>585</v>
      </c>
      <c r="O2803" s="8" t="s">
        <v>586</v>
      </c>
      <c r="P2803" s="6" t="s">
        <v>306</v>
      </c>
      <c r="Q2803" s="8" t="s">
        <v>65</v>
      </c>
      <c r="R2803" s="10" t="s">
        <v>16552</v>
      </c>
      <c r="S2803" s="11" t="s">
        <v>16553</v>
      </c>
      <c r="T2803" s="6"/>
      <c r="U2803" s="15" t="str">
        <f>HYPERLINK("https://media.infra-m.ru/2017/2017314/cover/2017314.jpg", "Обложка")</f>
        <v>Обложка</v>
      </c>
      <c r="V2803" s="8" t="s">
        <v>227</v>
      </c>
      <c r="W2803" s="6"/>
      <c r="X2803" s="6"/>
      <c r="Y2803" s="6"/>
      <c r="Z2803" s="6"/>
      <c r="AA2803" s="6" t="s">
        <v>7324</v>
      </c>
      <c r="AB2803" s="8"/>
      <c r="AC2803" s="27">
        <v>9785160186702</v>
      </c>
    </row>
    <row r="2804" spans="1:29" s="4" customFormat="1" ht="51.9" customHeight="1" x14ac:dyDescent="0.2">
      <c r="A2804" s="5">
        <v>0</v>
      </c>
      <c r="B2804" s="6" t="s">
        <v>16554</v>
      </c>
      <c r="C2804" s="7">
        <v>1936.8</v>
      </c>
      <c r="D2804" s="8" t="s">
        <v>16555</v>
      </c>
      <c r="E2804" s="8" t="s">
        <v>16556</v>
      </c>
      <c r="F2804" s="8" t="s">
        <v>16557</v>
      </c>
      <c r="G2804" s="6" t="s">
        <v>60</v>
      </c>
      <c r="H2804" s="6" t="s">
        <v>34</v>
      </c>
      <c r="I2804" s="8" t="s">
        <v>271</v>
      </c>
      <c r="J2804" s="9">
        <v>1</v>
      </c>
      <c r="K2804" s="9">
        <v>352</v>
      </c>
      <c r="L2804" s="9">
        <v>2024</v>
      </c>
      <c r="M2804" s="8" t="s">
        <v>16558</v>
      </c>
      <c r="N2804" s="8" t="s">
        <v>585</v>
      </c>
      <c r="O2804" s="8" t="s">
        <v>586</v>
      </c>
      <c r="P2804" s="6" t="s">
        <v>51</v>
      </c>
      <c r="Q2804" s="8" t="s">
        <v>52</v>
      </c>
      <c r="R2804" s="10" t="s">
        <v>16539</v>
      </c>
      <c r="S2804" s="11"/>
      <c r="T2804" s="6"/>
      <c r="U2804" s="15" t="str">
        <f>HYPERLINK("https://media.infra-m.ru/2087/2087257/cover/2087257.jpg", "Обложка")</f>
        <v>Обложка</v>
      </c>
      <c r="V2804" s="8" t="s">
        <v>227</v>
      </c>
      <c r="W2804" s="6"/>
      <c r="X2804" s="6"/>
      <c r="Y2804" s="6"/>
      <c r="Z2804" s="6"/>
      <c r="AA2804" s="6" t="s">
        <v>274</v>
      </c>
      <c r="AB2804" s="8"/>
      <c r="AC2804" s="27">
        <v>9785160095851</v>
      </c>
    </row>
    <row r="2805" spans="1:29" s="4" customFormat="1" ht="51.9" customHeight="1" x14ac:dyDescent="0.2">
      <c r="A2805" s="5">
        <v>0</v>
      </c>
      <c r="B2805" s="6" t="s">
        <v>16559</v>
      </c>
      <c r="C2805" s="7">
        <v>2164.8000000000002</v>
      </c>
      <c r="D2805" s="8" t="s">
        <v>16560</v>
      </c>
      <c r="E2805" s="8" t="s">
        <v>16561</v>
      </c>
      <c r="F2805" s="8" t="s">
        <v>16562</v>
      </c>
      <c r="G2805" s="6" t="s">
        <v>60</v>
      </c>
      <c r="H2805" s="6" t="s">
        <v>34</v>
      </c>
      <c r="I2805" s="8" t="s">
        <v>504</v>
      </c>
      <c r="J2805" s="9">
        <v>1</v>
      </c>
      <c r="K2805" s="9">
        <v>384</v>
      </c>
      <c r="L2805" s="9">
        <v>2024</v>
      </c>
      <c r="M2805" s="8" t="s">
        <v>16563</v>
      </c>
      <c r="N2805" s="8" t="s">
        <v>37</v>
      </c>
      <c r="O2805" s="8" t="s">
        <v>233</v>
      </c>
      <c r="P2805" s="6" t="s">
        <v>51</v>
      </c>
      <c r="Q2805" s="8" t="s">
        <v>500</v>
      </c>
      <c r="R2805" s="10" t="s">
        <v>357</v>
      </c>
      <c r="S2805" s="11" t="s">
        <v>16564</v>
      </c>
      <c r="T2805" s="6"/>
      <c r="U2805" s="15" t="str">
        <f>HYPERLINK("https://media.infra-m.ru/2144/2144105/cover/2144105.jpg", "Обложка")</f>
        <v>Обложка</v>
      </c>
      <c r="V2805" s="8" t="s">
        <v>2854</v>
      </c>
      <c r="W2805" s="6"/>
      <c r="X2805" s="6"/>
      <c r="Y2805" s="6"/>
      <c r="Z2805" s="6"/>
      <c r="AA2805" s="6" t="s">
        <v>1256</v>
      </c>
      <c r="AB2805" s="8"/>
      <c r="AC2805" s="27">
        <v>9785160148816</v>
      </c>
    </row>
    <row r="2806" spans="1:29" s="4" customFormat="1" ht="42" customHeight="1" x14ac:dyDescent="0.2">
      <c r="A2806" s="5">
        <v>0</v>
      </c>
      <c r="B2806" s="6" t="s">
        <v>16565</v>
      </c>
      <c r="C2806" s="13">
        <v>520.79999999999995</v>
      </c>
      <c r="D2806" s="8" t="s">
        <v>16566</v>
      </c>
      <c r="E2806" s="8" t="s">
        <v>16567</v>
      </c>
      <c r="F2806" s="8" t="s">
        <v>16568</v>
      </c>
      <c r="G2806" s="6" t="s">
        <v>33</v>
      </c>
      <c r="H2806" s="6" t="s">
        <v>134</v>
      </c>
      <c r="I2806" s="8"/>
      <c r="J2806" s="9">
        <v>1</v>
      </c>
      <c r="K2806" s="9">
        <v>80</v>
      </c>
      <c r="L2806" s="9">
        <v>2025</v>
      </c>
      <c r="M2806" s="8" t="s">
        <v>16569</v>
      </c>
      <c r="N2806" s="8" t="s">
        <v>37</v>
      </c>
      <c r="O2806" s="8" t="s">
        <v>136</v>
      </c>
      <c r="P2806" s="6" t="s">
        <v>39</v>
      </c>
      <c r="Q2806" s="8" t="s">
        <v>40</v>
      </c>
      <c r="R2806" s="10" t="s">
        <v>1625</v>
      </c>
      <c r="S2806" s="11"/>
      <c r="T2806" s="6"/>
      <c r="U2806" s="15" t="str">
        <f>HYPERLINK("https://media.infra-m.ru/2192/2192151/cover/2192151.jpg", "Обложка")</f>
        <v>Обложка</v>
      </c>
      <c r="V2806" s="8" t="s">
        <v>1184</v>
      </c>
      <c r="W2806" s="6"/>
      <c r="X2806" s="6"/>
      <c r="Y2806" s="6"/>
      <c r="Z2806" s="6"/>
      <c r="AA2806" s="6" t="s">
        <v>274</v>
      </c>
      <c r="AB2806" s="8"/>
      <c r="AC2806" s="27">
        <v>9785917685502</v>
      </c>
    </row>
    <row r="2807" spans="1:29" s="4" customFormat="1" ht="51.9" customHeight="1" x14ac:dyDescent="0.2">
      <c r="A2807" s="5">
        <v>0</v>
      </c>
      <c r="B2807" s="6" t="s">
        <v>16570</v>
      </c>
      <c r="C2807" s="13">
        <v>881.9</v>
      </c>
      <c r="D2807" s="8" t="s">
        <v>16571</v>
      </c>
      <c r="E2807" s="8" t="s">
        <v>16572</v>
      </c>
      <c r="F2807" s="8" t="s">
        <v>3764</v>
      </c>
      <c r="G2807" s="6" t="s">
        <v>33</v>
      </c>
      <c r="H2807" s="6" t="s">
        <v>34</v>
      </c>
      <c r="I2807" s="8" t="s">
        <v>35</v>
      </c>
      <c r="J2807" s="9">
        <v>1</v>
      </c>
      <c r="K2807" s="9">
        <v>234</v>
      </c>
      <c r="L2807" s="9">
        <v>2018</v>
      </c>
      <c r="M2807" s="8" t="s">
        <v>16573</v>
      </c>
      <c r="N2807" s="8" t="s">
        <v>37</v>
      </c>
      <c r="O2807" s="8" t="s">
        <v>233</v>
      </c>
      <c r="P2807" s="6" t="s">
        <v>39</v>
      </c>
      <c r="Q2807" s="8" t="s">
        <v>40</v>
      </c>
      <c r="R2807" s="10" t="s">
        <v>1170</v>
      </c>
      <c r="S2807" s="11"/>
      <c r="T2807" s="6"/>
      <c r="U2807" s="15" t="str">
        <f>HYPERLINK("https://media.infra-m.ru/0980/0980414/cover/980414.jpg", "Обложка")</f>
        <v>Обложка</v>
      </c>
      <c r="V2807" s="8" t="s">
        <v>396</v>
      </c>
      <c r="W2807" s="6"/>
      <c r="X2807" s="6"/>
      <c r="Y2807" s="6"/>
      <c r="Z2807" s="6"/>
      <c r="AA2807" s="6" t="s">
        <v>274</v>
      </c>
      <c r="AB2807" s="8"/>
      <c r="AC2807" s="27">
        <v>9785160106267</v>
      </c>
    </row>
    <row r="2808" spans="1:29" s="4" customFormat="1" ht="51.9" customHeight="1" x14ac:dyDescent="0.2">
      <c r="A2808" s="5">
        <v>0</v>
      </c>
      <c r="B2808" s="6" t="s">
        <v>16574</v>
      </c>
      <c r="C2808" s="13">
        <v>840</v>
      </c>
      <c r="D2808" s="8" t="s">
        <v>16575</v>
      </c>
      <c r="E2808" s="8" t="s">
        <v>16576</v>
      </c>
      <c r="F2808" s="8" t="s">
        <v>11107</v>
      </c>
      <c r="G2808" s="6" t="s">
        <v>33</v>
      </c>
      <c r="H2808" s="6" t="s">
        <v>34</v>
      </c>
      <c r="I2808" s="8" t="s">
        <v>35</v>
      </c>
      <c r="J2808" s="9">
        <v>1</v>
      </c>
      <c r="K2808" s="9">
        <v>128</v>
      </c>
      <c r="L2808" s="9">
        <v>2026</v>
      </c>
      <c r="M2808" s="8" t="s">
        <v>16577</v>
      </c>
      <c r="N2808" s="8" t="s">
        <v>63</v>
      </c>
      <c r="O2808" s="8" t="s">
        <v>126</v>
      </c>
      <c r="P2808" s="6" t="s">
        <v>39</v>
      </c>
      <c r="Q2808" s="8" t="s">
        <v>40</v>
      </c>
      <c r="R2808" s="10" t="s">
        <v>127</v>
      </c>
      <c r="S2808" s="11"/>
      <c r="T2808" s="6"/>
      <c r="U2808" s="15" t="str">
        <f>HYPERLINK("https://media.infra-m.ru/2248/2248335/cover/2248335.jpg", "Обложка")</f>
        <v>Обложка</v>
      </c>
      <c r="V2808" s="8" t="s">
        <v>227</v>
      </c>
      <c r="W2808" s="6"/>
      <c r="X2808" s="6"/>
      <c r="Y2808" s="6"/>
      <c r="Z2808" s="6"/>
      <c r="AA2808" s="6" t="s">
        <v>55</v>
      </c>
      <c r="AB2808" s="8"/>
      <c r="AC2808" s="27">
        <v>9785160089713</v>
      </c>
    </row>
    <row r="2809" spans="1:29" s="4" customFormat="1" ht="51.9" customHeight="1" x14ac:dyDescent="0.2">
      <c r="A2809" s="5">
        <v>0</v>
      </c>
      <c r="B2809" s="6" t="s">
        <v>16578</v>
      </c>
      <c r="C2809" s="13">
        <v>856.8</v>
      </c>
      <c r="D2809" s="8" t="s">
        <v>16579</v>
      </c>
      <c r="E2809" s="8" t="s">
        <v>16580</v>
      </c>
      <c r="F2809" s="8" t="s">
        <v>16581</v>
      </c>
      <c r="G2809" s="6" t="s">
        <v>33</v>
      </c>
      <c r="H2809" s="6" t="s">
        <v>34</v>
      </c>
      <c r="I2809" s="8" t="s">
        <v>35</v>
      </c>
      <c r="J2809" s="9">
        <v>1</v>
      </c>
      <c r="K2809" s="9">
        <v>156</v>
      </c>
      <c r="L2809" s="9">
        <v>2024</v>
      </c>
      <c r="M2809" s="8" t="s">
        <v>16582</v>
      </c>
      <c r="N2809" s="8" t="s">
        <v>37</v>
      </c>
      <c r="O2809" s="8" t="s">
        <v>280</v>
      </c>
      <c r="P2809" s="6" t="s">
        <v>39</v>
      </c>
      <c r="Q2809" s="8" t="s">
        <v>40</v>
      </c>
      <c r="R2809" s="10" t="s">
        <v>1150</v>
      </c>
      <c r="S2809" s="11"/>
      <c r="T2809" s="6" t="s">
        <v>97</v>
      </c>
      <c r="U2809" s="15" t="str">
        <f>HYPERLINK("https://media.infra-m.ru/2106/2106746/cover/2106746.jpg", "Обложка")</f>
        <v>Обложка</v>
      </c>
      <c r="V2809" s="8" t="s">
        <v>1505</v>
      </c>
      <c r="W2809" s="6"/>
      <c r="X2809" s="6"/>
      <c r="Y2809" s="6"/>
      <c r="Z2809" s="6"/>
      <c r="AA2809" s="6" t="s">
        <v>248</v>
      </c>
      <c r="AB2809" s="8"/>
      <c r="AC2809" s="27">
        <v>9785160095301</v>
      </c>
    </row>
    <row r="2810" spans="1:29" s="4" customFormat="1" ht="44.1" customHeight="1" x14ac:dyDescent="0.2">
      <c r="A2810" s="5">
        <v>0</v>
      </c>
      <c r="B2810" s="6" t="s">
        <v>16583</v>
      </c>
      <c r="C2810" s="7">
        <v>1380</v>
      </c>
      <c r="D2810" s="8" t="s">
        <v>16584</v>
      </c>
      <c r="E2810" s="8" t="s">
        <v>16585</v>
      </c>
      <c r="F2810" s="8" t="s">
        <v>16586</v>
      </c>
      <c r="G2810" s="6" t="s">
        <v>60</v>
      </c>
      <c r="H2810" s="6" t="s">
        <v>34</v>
      </c>
      <c r="I2810" s="8" t="s">
        <v>35</v>
      </c>
      <c r="J2810" s="9">
        <v>1</v>
      </c>
      <c r="K2810" s="9">
        <v>229</v>
      </c>
      <c r="L2810" s="9">
        <v>2024</v>
      </c>
      <c r="M2810" s="8" t="s">
        <v>16587</v>
      </c>
      <c r="N2810" s="8" t="s">
        <v>37</v>
      </c>
      <c r="O2810" s="8" t="s">
        <v>233</v>
      </c>
      <c r="P2810" s="6" t="s">
        <v>39</v>
      </c>
      <c r="Q2810" s="8" t="s">
        <v>40</v>
      </c>
      <c r="R2810" s="10" t="s">
        <v>235</v>
      </c>
      <c r="S2810" s="11"/>
      <c r="T2810" s="6"/>
      <c r="U2810" s="15" t="str">
        <f>HYPERLINK("https://media.infra-m.ru/2141/2141614/cover/2141614.jpg", "Обложка")</f>
        <v>Обложка</v>
      </c>
      <c r="V2810" s="8" t="s">
        <v>2854</v>
      </c>
      <c r="W2810" s="6"/>
      <c r="X2810" s="6"/>
      <c r="Y2810" s="6"/>
      <c r="Z2810" s="6"/>
      <c r="AA2810" s="6" t="s">
        <v>76</v>
      </c>
      <c r="AB2810" s="8"/>
      <c r="AC2810" s="27">
        <v>9785160198743</v>
      </c>
    </row>
    <row r="2811" spans="1:29" s="4" customFormat="1" ht="44.1" customHeight="1" x14ac:dyDescent="0.2">
      <c r="A2811" s="5">
        <v>0</v>
      </c>
      <c r="B2811" s="6" t="s">
        <v>16588</v>
      </c>
      <c r="C2811" s="7">
        <v>1145.9000000000001</v>
      </c>
      <c r="D2811" s="8" t="s">
        <v>16589</v>
      </c>
      <c r="E2811" s="8" t="s">
        <v>16590</v>
      </c>
      <c r="F2811" s="8" t="s">
        <v>16591</v>
      </c>
      <c r="G2811" s="6" t="s">
        <v>33</v>
      </c>
      <c r="H2811" s="6" t="s">
        <v>34</v>
      </c>
      <c r="I2811" s="8" t="s">
        <v>35</v>
      </c>
      <c r="J2811" s="9">
        <v>1</v>
      </c>
      <c r="K2811" s="9">
        <v>213</v>
      </c>
      <c r="L2811" s="9">
        <v>2023</v>
      </c>
      <c r="M2811" s="8" t="s">
        <v>16592</v>
      </c>
      <c r="N2811" s="8" t="s">
        <v>37</v>
      </c>
      <c r="O2811" s="8" t="s">
        <v>233</v>
      </c>
      <c r="P2811" s="6" t="s">
        <v>39</v>
      </c>
      <c r="Q2811" s="8" t="s">
        <v>40</v>
      </c>
      <c r="R2811" s="10" t="s">
        <v>16593</v>
      </c>
      <c r="S2811" s="11"/>
      <c r="T2811" s="6" t="s">
        <v>97</v>
      </c>
      <c r="U2811" s="15" t="str">
        <f>HYPERLINK("https://media.infra-m.ru/1976/1976158/cover/1976158.jpg", "Обложка")</f>
        <v>Обложка</v>
      </c>
      <c r="V2811" s="8" t="s">
        <v>396</v>
      </c>
      <c r="W2811" s="6"/>
      <c r="X2811" s="6"/>
      <c r="Y2811" s="6"/>
      <c r="Z2811" s="6"/>
      <c r="AA2811" s="6" t="s">
        <v>1256</v>
      </c>
      <c r="AB2811" s="8"/>
      <c r="AC2811" s="27">
        <v>9785160153100</v>
      </c>
    </row>
    <row r="2812" spans="1:29" s="4" customFormat="1" ht="44.1" customHeight="1" x14ac:dyDescent="0.2">
      <c r="A2812" s="5">
        <v>0</v>
      </c>
      <c r="B2812" s="6" t="s">
        <v>16594</v>
      </c>
      <c r="C2812" s="7">
        <v>1637.9</v>
      </c>
      <c r="D2812" s="8" t="s">
        <v>16595</v>
      </c>
      <c r="E2812" s="8" t="s">
        <v>16596</v>
      </c>
      <c r="F2812" s="8" t="s">
        <v>16597</v>
      </c>
      <c r="G2812" s="6" t="s">
        <v>60</v>
      </c>
      <c r="H2812" s="6" t="s">
        <v>34</v>
      </c>
      <c r="I2812" s="8" t="s">
        <v>1081</v>
      </c>
      <c r="J2812" s="9">
        <v>1</v>
      </c>
      <c r="K2812" s="9">
        <v>303</v>
      </c>
      <c r="L2812" s="9">
        <v>2023</v>
      </c>
      <c r="M2812" s="8" t="s">
        <v>16598</v>
      </c>
      <c r="N2812" s="8" t="s">
        <v>243</v>
      </c>
      <c r="O2812" s="8" t="s">
        <v>964</v>
      </c>
      <c r="P2812" s="6" t="s">
        <v>39</v>
      </c>
      <c r="Q2812" s="8" t="s">
        <v>40</v>
      </c>
      <c r="R2812" s="10" t="s">
        <v>16599</v>
      </c>
      <c r="S2812" s="11"/>
      <c r="T2812" s="6"/>
      <c r="U2812" s="15" t="str">
        <f>HYPERLINK("https://media.infra-m.ru/2006/2006888/cover/2006888.jpg", "Обложка")</f>
        <v>Обложка</v>
      </c>
      <c r="V2812" s="8" t="s">
        <v>1083</v>
      </c>
      <c r="W2812" s="6"/>
      <c r="X2812" s="6"/>
      <c r="Y2812" s="6"/>
      <c r="Z2812" s="6"/>
      <c r="AA2812" s="6" t="s">
        <v>86</v>
      </c>
      <c r="AB2812" s="8"/>
      <c r="AC2812" s="27">
        <v>9785160133591</v>
      </c>
    </row>
    <row r="2813" spans="1:29" s="4" customFormat="1" ht="51.9" customHeight="1" x14ac:dyDescent="0.2">
      <c r="A2813" s="5">
        <v>0</v>
      </c>
      <c r="B2813" s="6" t="s">
        <v>16600</v>
      </c>
      <c r="C2813" s="7">
        <v>3592.8</v>
      </c>
      <c r="D2813" s="8" t="s">
        <v>16601</v>
      </c>
      <c r="E2813" s="8" t="s">
        <v>16602</v>
      </c>
      <c r="F2813" s="8" t="s">
        <v>16603</v>
      </c>
      <c r="G2813" s="6" t="s">
        <v>60</v>
      </c>
      <c r="H2813" s="6" t="s">
        <v>134</v>
      </c>
      <c r="I2813" s="8"/>
      <c r="J2813" s="9">
        <v>1</v>
      </c>
      <c r="K2813" s="9">
        <v>664</v>
      </c>
      <c r="L2813" s="9">
        <v>2025</v>
      </c>
      <c r="M2813" s="8" t="s">
        <v>16604</v>
      </c>
      <c r="N2813" s="8" t="s">
        <v>37</v>
      </c>
      <c r="O2813" s="8" t="s">
        <v>136</v>
      </c>
      <c r="P2813" s="6" t="s">
        <v>39</v>
      </c>
      <c r="Q2813" s="8" t="s">
        <v>40</v>
      </c>
      <c r="R2813" s="10" t="s">
        <v>16605</v>
      </c>
      <c r="S2813" s="11"/>
      <c r="T2813" s="6"/>
      <c r="U2813" s="15" t="str">
        <f>HYPERLINK("https://media.infra-m.ru/2208/2208436/cover/2208436.jpg", "Обложка")</f>
        <v>Обложка</v>
      </c>
      <c r="V2813" s="8" t="s">
        <v>1184</v>
      </c>
      <c r="W2813" s="6"/>
      <c r="X2813" s="6"/>
      <c r="Y2813" s="6"/>
      <c r="Z2813" s="6"/>
      <c r="AA2813" s="6" t="s">
        <v>148</v>
      </c>
      <c r="AB2813" s="8"/>
      <c r="AC2813" s="27">
        <v>9785001562429</v>
      </c>
    </row>
    <row r="2814" spans="1:29" s="4" customFormat="1" ht="42" customHeight="1" x14ac:dyDescent="0.2">
      <c r="A2814" s="5">
        <v>0</v>
      </c>
      <c r="B2814" s="6" t="s">
        <v>16606</v>
      </c>
      <c r="C2814" s="13">
        <v>900</v>
      </c>
      <c r="D2814" s="8" t="s">
        <v>16607</v>
      </c>
      <c r="E2814" s="8" t="s">
        <v>16608</v>
      </c>
      <c r="F2814" s="8" t="s">
        <v>4419</v>
      </c>
      <c r="G2814" s="6" t="s">
        <v>33</v>
      </c>
      <c r="H2814" s="6" t="s">
        <v>34</v>
      </c>
      <c r="I2814" s="8" t="s">
        <v>35</v>
      </c>
      <c r="J2814" s="9">
        <v>1</v>
      </c>
      <c r="K2814" s="9">
        <v>183</v>
      </c>
      <c r="L2814" s="9">
        <v>2021</v>
      </c>
      <c r="M2814" s="8" t="s">
        <v>16609</v>
      </c>
      <c r="N2814" s="8" t="s">
        <v>37</v>
      </c>
      <c r="O2814" s="8" t="s">
        <v>233</v>
      </c>
      <c r="P2814" s="6" t="s">
        <v>39</v>
      </c>
      <c r="Q2814" s="8" t="s">
        <v>40</v>
      </c>
      <c r="R2814" s="10" t="s">
        <v>3832</v>
      </c>
      <c r="S2814" s="11"/>
      <c r="T2814" s="6"/>
      <c r="U2814" s="15" t="str">
        <f>HYPERLINK("https://media.infra-m.ru/1370/1370669/cover/1370669.jpg", "Обложка")</f>
        <v>Обложка</v>
      </c>
      <c r="V2814" s="8" t="s">
        <v>396</v>
      </c>
      <c r="W2814" s="6"/>
      <c r="X2814" s="6"/>
      <c r="Y2814" s="6"/>
      <c r="Z2814" s="6"/>
      <c r="AA2814" s="6" t="s">
        <v>430</v>
      </c>
      <c r="AB2814" s="8"/>
      <c r="AC2814" s="27">
        <v>9785160169101</v>
      </c>
    </row>
    <row r="2815" spans="1:29" s="4" customFormat="1" ht="44.1" customHeight="1" x14ac:dyDescent="0.2">
      <c r="A2815" s="5">
        <v>0</v>
      </c>
      <c r="B2815" s="6" t="s">
        <v>16610</v>
      </c>
      <c r="C2815" s="7">
        <v>1332</v>
      </c>
      <c r="D2815" s="8" t="s">
        <v>16611</v>
      </c>
      <c r="E2815" s="8" t="s">
        <v>16612</v>
      </c>
      <c r="F2815" s="8" t="s">
        <v>16613</v>
      </c>
      <c r="G2815" s="6" t="s">
        <v>33</v>
      </c>
      <c r="H2815" s="6" t="s">
        <v>34</v>
      </c>
      <c r="I2815" s="8" t="s">
        <v>35</v>
      </c>
      <c r="J2815" s="9">
        <v>1</v>
      </c>
      <c r="K2815" s="9">
        <v>217</v>
      </c>
      <c r="L2815" s="9">
        <v>2025</v>
      </c>
      <c r="M2815" s="8" t="s">
        <v>16614</v>
      </c>
      <c r="N2815" s="8" t="s">
        <v>63</v>
      </c>
      <c r="O2815" s="8" t="s">
        <v>64</v>
      </c>
      <c r="P2815" s="6" t="s">
        <v>39</v>
      </c>
      <c r="Q2815" s="8" t="s">
        <v>40</v>
      </c>
      <c r="R2815" s="10" t="s">
        <v>16615</v>
      </c>
      <c r="S2815" s="11"/>
      <c r="T2815" s="6"/>
      <c r="U2815" s="15" t="str">
        <f>HYPERLINK("https://media.infra-m.ru/2163/2163761/cover/2163761.jpg", "Обложка")</f>
        <v>Обложка</v>
      </c>
      <c r="V2815" s="8" t="s">
        <v>831</v>
      </c>
      <c r="W2815" s="6"/>
      <c r="X2815" s="6"/>
      <c r="Y2815" s="6"/>
      <c r="Z2815" s="6"/>
      <c r="AA2815" s="6" t="s">
        <v>157</v>
      </c>
      <c r="AB2815" s="8" t="s">
        <v>4423</v>
      </c>
      <c r="AC2815" s="27">
        <v>9785160177458</v>
      </c>
    </row>
    <row r="2816" spans="1:29" s="4" customFormat="1" ht="42" customHeight="1" x14ac:dyDescent="0.2">
      <c r="A2816" s="5">
        <v>0</v>
      </c>
      <c r="B2816" s="6" t="s">
        <v>16616</v>
      </c>
      <c r="C2816" s="13">
        <v>965.9</v>
      </c>
      <c r="D2816" s="8" t="s">
        <v>16617</v>
      </c>
      <c r="E2816" s="8" t="s">
        <v>16618</v>
      </c>
      <c r="F2816" s="8" t="s">
        <v>16619</v>
      </c>
      <c r="G2816" s="6" t="s">
        <v>33</v>
      </c>
      <c r="H2816" s="6" t="s">
        <v>34</v>
      </c>
      <c r="I2816" s="8" t="s">
        <v>35</v>
      </c>
      <c r="J2816" s="9">
        <v>1</v>
      </c>
      <c r="K2816" s="9">
        <v>178</v>
      </c>
      <c r="L2816" s="9">
        <v>2023</v>
      </c>
      <c r="M2816" s="8" t="s">
        <v>16620</v>
      </c>
      <c r="N2816" s="8" t="s">
        <v>585</v>
      </c>
      <c r="O2816" s="8" t="s">
        <v>586</v>
      </c>
      <c r="P2816" s="6" t="s">
        <v>39</v>
      </c>
      <c r="Q2816" s="8" t="s">
        <v>40</v>
      </c>
      <c r="R2816" s="10" t="s">
        <v>16621</v>
      </c>
      <c r="S2816" s="11"/>
      <c r="T2816" s="6"/>
      <c r="U2816" s="15" t="str">
        <f>HYPERLINK("https://media.infra-m.ru/2006/2006934/cover/2006934.jpg", "Обложка")</f>
        <v>Обложка</v>
      </c>
      <c r="V2816" s="8" t="s">
        <v>1505</v>
      </c>
      <c r="W2816" s="6"/>
      <c r="X2816" s="6"/>
      <c r="Y2816" s="6"/>
      <c r="Z2816" s="6"/>
      <c r="AA2816" s="6" t="s">
        <v>86</v>
      </c>
      <c r="AB2816" s="8"/>
      <c r="AC2816" s="27">
        <v>9785160137155</v>
      </c>
    </row>
    <row r="2817" spans="1:29" s="4" customFormat="1" ht="44.1" customHeight="1" x14ac:dyDescent="0.2">
      <c r="A2817" s="5">
        <v>0</v>
      </c>
      <c r="B2817" s="6" t="s">
        <v>16622</v>
      </c>
      <c r="C2817" s="13">
        <v>900</v>
      </c>
      <c r="D2817" s="8" t="s">
        <v>16623</v>
      </c>
      <c r="E2817" s="8" t="s">
        <v>16624</v>
      </c>
      <c r="F2817" s="8" t="s">
        <v>16625</v>
      </c>
      <c r="G2817" s="6" t="s">
        <v>33</v>
      </c>
      <c r="H2817" s="6" t="s">
        <v>34</v>
      </c>
      <c r="I2817" s="8" t="s">
        <v>35</v>
      </c>
      <c r="J2817" s="9">
        <v>1</v>
      </c>
      <c r="K2817" s="9">
        <v>147</v>
      </c>
      <c r="L2817" s="9">
        <v>2023</v>
      </c>
      <c r="M2817" s="8" t="s">
        <v>16626</v>
      </c>
      <c r="N2817" s="8" t="s">
        <v>37</v>
      </c>
      <c r="O2817" s="8" t="s">
        <v>280</v>
      </c>
      <c r="P2817" s="6" t="s">
        <v>39</v>
      </c>
      <c r="Q2817" s="8" t="s">
        <v>40</v>
      </c>
      <c r="R2817" s="10" t="s">
        <v>235</v>
      </c>
      <c r="S2817" s="11"/>
      <c r="T2817" s="6"/>
      <c r="U2817" s="15" t="str">
        <f>HYPERLINK("https://media.infra-m.ru/1915/1915813/cover/1915813.jpg", "Обложка")</f>
        <v>Обложка</v>
      </c>
      <c r="V2817" s="8" t="s">
        <v>13059</v>
      </c>
      <c r="W2817" s="6"/>
      <c r="X2817" s="6"/>
      <c r="Y2817" s="6"/>
      <c r="Z2817" s="6"/>
      <c r="AA2817" s="6" t="s">
        <v>157</v>
      </c>
      <c r="AB2817" s="8"/>
      <c r="AC2817" s="27">
        <v>9785160181783</v>
      </c>
    </row>
    <row r="2818" spans="1:29" s="4" customFormat="1" ht="42" customHeight="1" x14ac:dyDescent="0.2">
      <c r="A2818" s="5">
        <v>0</v>
      </c>
      <c r="B2818" s="6" t="s">
        <v>16627</v>
      </c>
      <c r="C2818" s="7">
        <v>1704</v>
      </c>
      <c r="D2818" s="8" t="s">
        <v>16628</v>
      </c>
      <c r="E2818" s="8" t="s">
        <v>16629</v>
      </c>
      <c r="F2818" s="8" t="s">
        <v>16630</v>
      </c>
      <c r="G2818" s="6" t="s">
        <v>118</v>
      </c>
      <c r="H2818" s="6" t="s">
        <v>134</v>
      </c>
      <c r="I2818" s="8"/>
      <c r="J2818" s="9">
        <v>1</v>
      </c>
      <c r="K2818" s="9">
        <v>244</v>
      </c>
      <c r="L2818" s="9">
        <v>2027</v>
      </c>
      <c r="M2818" s="8" t="s">
        <v>16631</v>
      </c>
      <c r="N2818" s="8" t="s">
        <v>37</v>
      </c>
      <c r="O2818" s="8" t="s">
        <v>136</v>
      </c>
      <c r="P2818" s="6" t="s">
        <v>39</v>
      </c>
      <c r="Q2818" s="8" t="s">
        <v>40</v>
      </c>
      <c r="R2818" s="10" t="s">
        <v>8485</v>
      </c>
      <c r="S2818" s="11"/>
      <c r="T2818" s="6"/>
      <c r="U2818" s="15" t="str">
        <f>HYPERLINK("https://media.infra-m.ru/2267/2267090/cover/2267090.jpg", "Обложка")</f>
        <v>Обложка</v>
      </c>
      <c r="V2818" s="8" t="s">
        <v>138</v>
      </c>
      <c r="W2818" s="6"/>
      <c r="X2818" s="6"/>
      <c r="Y2818" s="6"/>
      <c r="Z2818" s="6"/>
      <c r="AA2818" s="6" t="s">
        <v>430</v>
      </c>
      <c r="AB2818" s="8"/>
      <c r="AC2818" s="27">
        <v>9785001561644</v>
      </c>
    </row>
    <row r="2819" spans="1:29" s="4" customFormat="1" ht="51.9" customHeight="1" x14ac:dyDescent="0.2">
      <c r="A2819" s="5">
        <v>0</v>
      </c>
      <c r="B2819" s="6" t="s">
        <v>16632</v>
      </c>
      <c r="C2819" s="7">
        <v>2897.9</v>
      </c>
      <c r="D2819" s="8" t="s">
        <v>16633</v>
      </c>
      <c r="E2819" s="8" t="s">
        <v>16634</v>
      </c>
      <c r="F2819" s="8" t="s">
        <v>16635</v>
      </c>
      <c r="G2819" s="6" t="s">
        <v>33</v>
      </c>
      <c r="H2819" s="6" t="s">
        <v>313</v>
      </c>
      <c r="I2819" s="8" t="s">
        <v>35</v>
      </c>
      <c r="J2819" s="9">
        <v>1</v>
      </c>
      <c r="K2819" s="9">
        <v>512</v>
      </c>
      <c r="L2819" s="9">
        <v>2024</v>
      </c>
      <c r="M2819" s="8" t="s">
        <v>16636</v>
      </c>
      <c r="N2819" s="8" t="s">
        <v>37</v>
      </c>
      <c r="O2819" s="8" t="s">
        <v>499</v>
      </c>
      <c r="P2819" s="6" t="s">
        <v>39</v>
      </c>
      <c r="Q2819" s="8" t="s">
        <v>40</v>
      </c>
      <c r="R2819" s="10" t="s">
        <v>16637</v>
      </c>
      <c r="S2819" s="11"/>
      <c r="T2819" s="6"/>
      <c r="U2819" s="15" t="str">
        <f>HYPERLINK("https://media.infra-m.ru/1852/1852229/cover/1852229.jpg", "Обложка")</f>
        <v>Обложка</v>
      </c>
      <c r="V2819" s="8" t="s">
        <v>5087</v>
      </c>
      <c r="W2819" s="6"/>
      <c r="X2819" s="6"/>
      <c r="Y2819" s="6"/>
      <c r="Z2819" s="6"/>
      <c r="AA2819" s="6" t="s">
        <v>248</v>
      </c>
      <c r="AB2819" s="8"/>
      <c r="AC2819" s="27">
        <v>9785369013656</v>
      </c>
    </row>
    <row r="2820" spans="1:29" s="4" customFormat="1" ht="42" customHeight="1" x14ac:dyDescent="0.2">
      <c r="A2820" s="5">
        <v>0</v>
      </c>
      <c r="B2820" s="6" t="s">
        <v>16638</v>
      </c>
      <c r="C2820" s="7">
        <v>1212</v>
      </c>
      <c r="D2820" s="8" t="s">
        <v>16639</v>
      </c>
      <c r="E2820" s="8" t="s">
        <v>16640</v>
      </c>
      <c r="F2820" s="8" t="s">
        <v>16641</v>
      </c>
      <c r="G2820" s="6" t="s">
        <v>33</v>
      </c>
      <c r="H2820" s="6" t="s">
        <v>34</v>
      </c>
      <c r="I2820" s="8" t="s">
        <v>1081</v>
      </c>
      <c r="J2820" s="9">
        <v>1</v>
      </c>
      <c r="K2820" s="9">
        <v>225</v>
      </c>
      <c r="L2820" s="9">
        <v>2023</v>
      </c>
      <c r="M2820" s="8" t="s">
        <v>16642</v>
      </c>
      <c r="N2820" s="8" t="s">
        <v>37</v>
      </c>
      <c r="O2820" s="8" t="s">
        <v>280</v>
      </c>
      <c r="P2820" s="6" t="s">
        <v>39</v>
      </c>
      <c r="Q2820" s="8" t="s">
        <v>40</v>
      </c>
      <c r="R2820" s="10" t="s">
        <v>4075</v>
      </c>
      <c r="S2820" s="11"/>
      <c r="T2820" s="6"/>
      <c r="U2820" s="15" t="str">
        <f>HYPERLINK("https://media.infra-m.ru/1995/1995250/cover/1995250.jpg", "Обложка")</f>
        <v>Обложка</v>
      </c>
      <c r="V2820" s="8" t="s">
        <v>1083</v>
      </c>
      <c r="W2820" s="6"/>
      <c r="X2820" s="6"/>
      <c r="Y2820" s="6"/>
      <c r="Z2820" s="6"/>
      <c r="AA2820" s="6" t="s">
        <v>115</v>
      </c>
      <c r="AB2820" s="8"/>
      <c r="AC2820" s="27">
        <v>9785160184906</v>
      </c>
    </row>
    <row r="2821" spans="1:29" s="4" customFormat="1" ht="42" customHeight="1" x14ac:dyDescent="0.2">
      <c r="A2821" s="5">
        <v>0</v>
      </c>
      <c r="B2821" s="6" t="s">
        <v>16643</v>
      </c>
      <c r="C2821" s="7">
        <v>2268</v>
      </c>
      <c r="D2821" s="8" t="s">
        <v>16644</v>
      </c>
      <c r="E2821" s="8" t="s">
        <v>16645</v>
      </c>
      <c r="F2821" s="8" t="s">
        <v>16646</v>
      </c>
      <c r="G2821" s="6" t="s">
        <v>60</v>
      </c>
      <c r="H2821" s="6" t="s">
        <v>34</v>
      </c>
      <c r="I2821" s="8" t="s">
        <v>35</v>
      </c>
      <c r="J2821" s="9">
        <v>1</v>
      </c>
      <c r="K2821" s="9">
        <v>363</v>
      </c>
      <c r="L2821" s="9">
        <v>2025</v>
      </c>
      <c r="M2821" s="8" t="s">
        <v>16647</v>
      </c>
      <c r="N2821" s="8" t="s">
        <v>37</v>
      </c>
      <c r="O2821" s="8" t="s">
        <v>233</v>
      </c>
      <c r="P2821" s="6" t="s">
        <v>39</v>
      </c>
      <c r="Q2821" s="8" t="s">
        <v>40</v>
      </c>
      <c r="R2821" s="10" t="s">
        <v>16648</v>
      </c>
      <c r="S2821" s="11"/>
      <c r="T2821" s="6"/>
      <c r="U2821" s="15" t="str">
        <f>HYPERLINK("https://media.infra-m.ru/2213/2213926/cover/2213926.jpg", "Обложка")</f>
        <v>Обложка</v>
      </c>
      <c r="V2821" s="8" t="s">
        <v>16649</v>
      </c>
      <c r="W2821" s="6"/>
      <c r="X2821" s="6"/>
      <c r="Y2821" s="6"/>
      <c r="Z2821" s="6"/>
      <c r="AA2821" s="6" t="s">
        <v>68</v>
      </c>
      <c r="AB2821" s="8"/>
      <c r="AC2821" s="27">
        <v>9785160211015</v>
      </c>
    </row>
    <row r="2822" spans="1:29" s="4" customFormat="1" ht="42" customHeight="1" x14ac:dyDescent="0.2">
      <c r="A2822" s="5">
        <v>0</v>
      </c>
      <c r="B2822" s="6" t="s">
        <v>16650</v>
      </c>
      <c r="C2822" s="7">
        <v>3064.8</v>
      </c>
      <c r="D2822" s="8" t="s">
        <v>16651</v>
      </c>
      <c r="E2822" s="8" t="s">
        <v>16652</v>
      </c>
      <c r="F2822" s="8" t="s">
        <v>1802</v>
      </c>
      <c r="G2822" s="6" t="s">
        <v>60</v>
      </c>
      <c r="H2822" s="6" t="s">
        <v>34</v>
      </c>
      <c r="I2822" s="8" t="s">
        <v>35</v>
      </c>
      <c r="J2822" s="9">
        <v>1</v>
      </c>
      <c r="K2822" s="9">
        <v>569</v>
      </c>
      <c r="L2822" s="9">
        <v>2023</v>
      </c>
      <c r="M2822" s="8" t="s">
        <v>16653</v>
      </c>
      <c r="N2822" s="8" t="s">
        <v>37</v>
      </c>
      <c r="O2822" s="8" t="s">
        <v>136</v>
      </c>
      <c r="P2822" s="6" t="s">
        <v>39</v>
      </c>
      <c r="Q2822" s="8" t="s">
        <v>40</v>
      </c>
      <c r="R2822" s="10" t="s">
        <v>8485</v>
      </c>
      <c r="S2822" s="11"/>
      <c r="T2822" s="6"/>
      <c r="U2822" s="15" t="str">
        <f>HYPERLINK("https://media.infra-m.ru/2006/2006944/cover/2006944.jpg", "Обложка")</f>
        <v>Обложка</v>
      </c>
      <c r="V2822" s="8" t="s">
        <v>1805</v>
      </c>
      <c r="W2822" s="6"/>
      <c r="X2822" s="6"/>
      <c r="Y2822" s="6"/>
      <c r="Z2822" s="6"/>
      <c r="AA2822" s="6" t="s">
        <v>86</v>
      </c>
      <c r="AB2822" s="8"/>
      <c r="AC2822" s="27">
        <v>9785160140285</v>
      </c>
    </row>
    <row r="2823" spans="1:29" s="4" customFormat="1" ht="42" customHeight="1" x14ac:dyDescent="0.2">
      <c r="A2823" s="5">
        <v>0</v>
      </c>
      <c r="B2823" s="6" t="s">
        <v>16654</v>
      </c>
      <c r="C2823" s="7">
        <v>1260</v>
      </c>
      <c r="D2823" s="8" t="s">
        <v>16655</v>
      </c>
      <c r="E2823" s="8" t="s">
        <v>16656</v>
      </c>
      <c r="F2823" s="8" t="s">
        <v>1802</v>
      </c>
      <c r="G2823" s="6" t="s">
        <v>60</v>
      </c>
      <c r="H2823" s="6" t="s">
        <v>34</v>
      </c>
      <c r="I2823" s="8" t="s">
        <v>35</v>
      </c>
      <c r="J2823" s="9">
        <v>1</v>
      </c>
      <c r="K2823" s="9">
        <v>260</v>
      </c>
      <c r="L2823" s="9">
        <v>2022</v>
      </c>
      <c r="M2823" s="8" t="s">
        <v>16657</v>
      </c>
      <c r="N2823" s="8" t="s">
        <v>37</v>
      </c>
      <c r="O2823" s="8" t="s">
        <v>136</v>
      </c>
      <c r="P2823" s="6" t="s">
        <v>39</v>
      </c>
      <c r="Q2823" s="8" t="s">
        <v>40</v>
      </c>
      <c r="R2823" s="10" t="s">
        <v>16658</v>
      </c>
      <c r="S2823" s="11"/>
      <c r="T2823" s="6"/>
      <c r="U2823" s="15" t="str">
        <f>HYPERLINK("https://media.infra-m.ru/1836/1836239/cover/1836239.jpg", "Обложка")</f>
        <v>Обложка</v>
      </c>
      <c r="V2823" s="8" t="s">
        <v>1805</v>
      </c>
      <c r="W2823" s="6"/>
      <c r="X2823" s="6"/>
      <c r="Y2823" s="6"/>
      <c r="Z2823" s="6"/>
      <c r="AA2823" s="6" t="s">
        <v>148</v>
      </c>
      <c r="AB2823" s="8"/>
      <c r="AC2823" s="27">
        <v>9785160172453</v>
      </c>
    </row>
    <row r="2824" spans="1:29" s="4" customFormat="1" ht="42" customHeight="1" x14ac:dyDescent="0.2">
      <c r="A2824" s="5">
        <v>0</v>
      </c>
      <c r="B2824" s="6" t="s">
        <v>16659</v>
      </c>
      <c r="C2824" s="7">
        <v>1740</v>
      </c>
      <c r="D2824" s="8" t="s">
        <v>16660</v>
      </c>
      <c r="E2824" s="8" t="s">
        <v>16661</v>
      </c>
      <c r="F2824" s="8" t="s">
        <v>16662</v>
      </c>
      <c r="G2824" s="6" t="s">
        <v>118</v>
      </c>
      <c r="H2824" s="6" t="s">
        <v>34</v>
      </c>
      <c r="I2824" s="8" t="s">
        <v>263</v>
      </c>
      <c r="J2824" s="9">
        <v>1</v>
      </c>
      <c r="K2824" s="9">
        <v>254</v>
      </c>
      <c r="L2824" s="9">
        <v>2026</v>
      </c>
      <c r="M2824" s="8" t="s">
        <v>16663</v>
      </c>
      <c r="N2824" s="8" t="s">
        <v>37</v>
      </c>
      <c r="O2824" s="8" t="s">
        <v>280</v>
      </c>
      <c r="P2824" s="6" t="s">
        <v>51</v>
      </c>
      <c r="Q2824" s="8" t="s">
        <v>265</v>
      </c>
      <c r="R2824" s="10" t="s">
        <v>2813</v>
      </c>
      <c r="S2824" s="11"/>
      <c r="T2824" s="6"/>
      <c r="U2824" s="15" t="str">
        <f>HYPERLINK("https://media.infra-m.ru/2233/2233097/cover/2233097.jpg", "Обложка")</f>
        <v>Обложка</v>
      </c>
      <c r="V2824" s="8" t="s">
        <v>16664</v>
      </c>
      <c r="W2824" s="6"/>
      <c r="X2824" s="6"/>
      <c r="Y2824" s="6"/>
      <c r="Z2824" s="6"/>
      <c r="AA2824" s="6" t="s">
        <v>68</v>
      </c>
      <c r="AB2824" s="8" t="s">
        <v>3366</v>
      </c>
      <c r="AC2824" s="27">
        <v>9785160205564</v>
      </c>
    </row>
    <row r="2825" spans="1:29" s="4" customFormat="1" ht="51.9" customHeight="1" x14ac:dyDescent="0.2">
      <c r="A2825" s="5">
        <v>0</v>
      </c>
      <c r="B2825" s="6" t="s">
        <v>16665</v>
      </c>
      <c r="C2825" s="7">
        <v>4342.8</v>
      </c>
      <c r="D2825" s="8" t="s">
        <v>16666</v>
      </c>
      <c r="E2825" s="8" t="s">
        <v>16667</v>
      </c>
      <c r="F2825" s="8" t="s">
        <v>16668</v>
      </c>
      <c r="G2825" s="6" t="s">
        <v>118</v>
      </c>
      <c r="H2825" s="6" t="s">
        <v>34</v>
      </c>
      <c r="I2825" s="8" t="s">
        <v>2171</v>
      </c>
      <c r="J2825" s="9">
        <v>1</v>
      </c>
      <c r="K2825" s="9">
        <v>308</v>
      </c>
      <c r="L2825" s="9">
        <v>2026</v>
      </c>
      <c r="M2825" s="8" t="s">
        <v>16669</v>
      </c>
      <c r="N2825" s="8" t="s">
        <v>243</v>
      </c>
      <c r="O2825" s="8" t="s">
        <v>964</v>
      </c>
      <c r="P2825" s="6" t="s">
        <v>51</v>
      </c>
      <c r="Q2825" s="8" t="s">
        <v>65</v>
      </c>
      <c r="R2825" s="10" t="s">
        <v>16670</v>
      </c>
      <c r="S2825" s="11" t="s">
        <v>16671</v>
      </c>
      <c r="T2825" s="6"/>
      <c r="U2825" s="15" t="str">
        <f>HYPERLINK("https://media.infra-m.ru/2256/2256541/cover/2256541.jpg", "Обложка")</f>
        <v>Обложка</v>
      </c>
      <c r="V2825" s="8" t="s">
        <v>2175</v>
      </c>
      <c r="W2825" s="6"/>
      <c r="X2825" s="6"/>
      <c r="Y2825" s="6"/>
      <c r="Z2825" s="6"/>
      <c r="AA2825" s="6" t="s">
        <v>76</v>
      </c>
      <c r="AB2825" s="8"/>
      <c r="AC2825" s="27">
        <v>9785160176758</v>
      </c>
    </row>
    <row r="2826" spans="1:29" s="4" customFormat="1" ht="51.9" customHeight="1" x14ac:dyDescent="0.2">
      <c r="A2826" s="5">
        <v>0</v>
      </c>
      <c r="B2826" s="6" t="s">
        <v>16672</v>
      </c>
      <c r="C2826" s="7">
        <v>1252.8</v>
      </c>
      <c r="D2826" s="8" t="s">
        <v>16673</v>
      </c>
      <c r="E2826" s="8" t="s">
        <v>16674</v>
      </c>
      <c r="F2826" s="8" t="s">
        <v>6770</v>
      </c>
      <c r="G2826" s="6" t="s">
        <v>118</v>
      </c>
      <c r="H2826" s="6" t="s">
        <v>34</v>
      </c>
      <c r="I2826" s="8" t="s">
        <v>6772</v>
      </c>
      <c r="J2826" s="9">
        <v>1</v>
      </c>
      <c r="K2826" s="9">
        <v>271</v>
      </c>
      <c r="L2826" s="9">
        <v>2025</v>
      </c>
      <c r="M2826" s="8" t="s">
        <v>16675</v>
      </c>
      <c r="N2826" s="8" t="s">
        <v>37</v>
      </c>
      <c r="O2826" s="8" t="s">
        <v>290</v>
      </c>
      <c r="P2826" s="6" t="s">
        <v>6774</v>
      </c>
      <c r="Q2826" s="8" t="s">
        <v>6401</v>
      </c>
      <c r="R2826" s="10" t="s">
        <v>16676</v>
      </c>
      <c r="S2826" s="11" t="s">
        <v>16677</v>
      </c>
      <c r="T2826" s="6"/>
      <c r="U2826" s="15" t="str">
        <f>HYPERLINK("https://media.infra-m.ru/2205/2205517/cover/2205517.jpg", "Обложка")</f>
        <v>Обложка</v>
      </c>
      <c r="V2826" s="8"/>
      <c r="W2826" s="6"/>
      <c r="X2826" s="6" t="s">
        <v>24</v>
      </c>
      <c r="Y2826" s="6"/>
      <c r="Z2826" s="6"/>
      <c r="AA2826" s="6" t="s">
        <v>1303</v>
      </c>
      <c r="AB2826" s="8"/>
      <c r="AC2826" s="27">
        <v>9785160179858</v>
      </c>
    </row>
    <row r="2827" spans="1:29" s="4" customFormat="1" ht="51.9" customHeight="1" x14ac:dyDescent="0.2">
      <c r="A2827" s="5">
        <v>0</v>
      </c>
      <c r="B2827" s="6" t="s">
        <v>16678</v>
      </c>
      <c r="C2827" s="13">
        <v>719.9</v>
      </c>
      <c r="D2827" s="8" t="s">
        <v>16679</v>
      </c>
      <c r="E2827" s="8" t="s">
        <v>16680</v>
      </c>
      <c r="F2827" s="8" t="s">
        <v>6770</v>
      </c>
      <c r="G2827" s="6" t="s">
        <v>118</v>
      </c>
      <c r="H2827" s="6" t="s">
        <v>34</v>
      </c>
      <c r="I2827" s="8"/>
      <c r="J2827" s="9">
        <v>1</v>
      </c>
      <c r="K2827" s="9">
        <v>462</v>
      </c>
      <c r="L2827" s="9">
        <v>2021</v>
      </c>
      <c r="M2827" s="8" t="s">
        <v>16681</v>
      </c>
      <c r="N2827" s="8" t="s">
        <v>37</v>
      </c>
      <c r="O2827" s="8" t="s">
        <v>290</v>
      </c>
      <c r="P2827" s="6" t="s">
        <v>6774</v>
      </c>
      <c r="Q2827" s="8" t="s">
        <v>6401</v>
      </c>
      <c r="R2827" s="10" t="s">
        <v>16676</v>
      </c>
      <c r="S2827" s="11" t="s">
        <v>16682</v>
      </c>
      <c r="T2827" s="6"/>
      <c r="U2827" s="15" t="str">
        <f>HYPERLINK("https://media.infra-m.ru/1142/1142541/cover/1142541.jpg", "Обложка")</f>
        <v>Обложка</v>
      </c>
      <c r="V2827" s="8"/>
      <c r="W2827" s="6"/>
      <c r="X2827" s="6" t="s">
        <v>24</v>
      </c>
      <c r="Y2827" s="6"/>
      <c r="Z2827" s="6"/>
      <c r="AA2827" s="6" t="s">
        <v>99</v>
      </c>
      <c r="AB2827" s="8"/>
      <c r="AC2827" s="27">
        <v>9785160127958</v>
      </c>
    </row>
    <row r="2828" spans="1:29" s="4" customFormat="1" ht="51.9" customHeight="1" x14ac:dyDescent="0.2">
      <c r="A2828" s="5">
        <v>0</v>
      </c>
      <c r="B2828" s="6" t="s">
        <v>16683</v>
      </c>
      <c r="C2828" s="7">
        <v>5554.8</v>
      </c>
      <c r="D2828" s="8" t="s">
        <v>16684</v>
      </c>
      <c r="E2828" s="8" t="s">
        <v>16685</v>
      </c>
      <c r="F2828" s="8" t="s">
        <v>16686</v>
      </c>
      <c r="G2828" s="6" t="s">
        <v>60</v>
      </c>
      <c r="H2828" s="6" t="s">
        <v>34</v>
      </c>
      <c r="I2828" s="8" t="s">
        <v>2171</v>
      </c>
      <c r="J2828" s="9">
        <v>1</v>
      </c>
      <c r="K2828" s="9">
        <v>774</v>
      </c>
      <c r="L2828" s="9">
        <v>2026</v>
      </c>
      <c r="M2828" s="8" t="s">
        <v>16687</v>
      </c>
      <c r="N2828" s="8" t="s">
        <v>243</v>
      </c>
      <c r="O2828" s="8" t="s">
        <v>964</v>
      </c>
      <c r="P2828" s="6" t="s">
        <v>306</v>
      </c>
      <c r="Q2828" s="8" t="s">
        <v>65</v>
      </c>
      <c r="R2828" s="10" t="s">
        <v>16688</v>
      </c>
      <c r="S2828" s="11" t="s">
        <v>16689</v>
      </c>
      <c r="T2828" s="6"/>
      <c r="U2828" s="15" t="str">
        <f>HYPERLINK("https://media.infra-m.ru/2222/2222964/cover/2222964.jpg", "Обложка")</f>
        <v>Обложка</v>
      </c>
      <c r="V2828" s="8" t="s">
        <v>2175</v>
      </c>
      <c r="W2828" s="6"/>
      <c r="X2828" s="6"/>
      <c r="Y2828" s="6"/>
      <c r="Z2828" s="6"/>
      <c r="AA2828" s="6" t="s">
        <v>76</v>
      </c>
      <c r="AB2828" s="8" t="s">
        <v>16690</v>
      </c>
      <c r="AC2828" s="27">
        <v>9785160154978</v>
      </c>
    </row>
    <row r="2829" spans="1:29" s="4" customFormat="1" ht="51.9" customHeight="1" x14ac:dyDescent="0.2">
      <c r="A2829" s="5">
        <v>0</v>
      </c>
      <c r="B2829" s="6" t="s">
        <v>16691</v>
      </c>
      <c r="C2829" s="7">
        <v>3276</v>
      </c>
      <c r="D2829" s="8" t="s">
        <v>16692</v>
      </c>
      <c r="E2829" s="8" t="s">
        <v>16693</v>
      </c>
      <c r="F2829" s="8" t="s">
        <v>16694</v>
      </c>
      <c r="G2829" s="6" t="s">
        <v>60</v>
      </c>
      <c r="H2829" s="6" t="s">
        <v>34</v>
      </c>
      <c r="I2829" s="8" t="s">
        <v>271</v>
      </c>
      <c r="J2829" s="9">
        <v>1</v>
      </c>
      <c r="K2829" s="9">
        <v>592</v>
      </c>
      <c r="L2829" s="9">
        <v>2024</v>
      </c>
      <c r="M2829" s="8" t="s">
        <v>16695</v>
      </c>
      <c r="N2829" s="8" t="s">
        <v>243</v>
      </c>
      <c r="O2829" s="8" t="s">
        <v>1100</v>
      </c>
      <c r="P2829" s="6" t="s">
        <v>51</v>
      </c>
      <c r="Q2829" s="8" t="s">
        <v>52</v>
      </c>
      <c r="R2829" s="10" t="s">
        <v>2505</v>
      </c>
      <c r="S2829" s="11" t="s">
        <v>16696</v>
      </c>
      <c r="T2829" s="6" t="s">
        <v>97</v>
      </c>
      <c r="U2829" s="15" t="str">
        <f>HYPERLINK("https://media.infra-m.ru/2126/2126825/cover/2126825.jpg", "Обложка")</f>
        <v>Обложка</v>
      </c>
      <c r="V2829" s="8" t="s">
        <v>16697</v>
      </c>
      <c r="W2829" s="6"/>
      <c r="X2829" s="6"/>
      <c r="Y2829" s="6"/>
      <c r="Z2829" s="6"/>
      <c r="AA2829" s="6" t="s">
        <v>779</v>
      </c>
      <c r="AB2829" s="8"/>
      <c r="AC2829" s="27">
        <v>9785160111988</v>
      </c>
    </row>
    <row r="2830" spans="1:29" s="4" customFormat="1" ht="42" customHeight="1" x14ac:dyDescent="0.2">
      <c r="A2830" s="5">
        <v>0</v>
      </c>
      <c r="B2830" s="6" t="s">
        <v>16698</v>
      </c>
      <c r="C2830" s="7">
        <v>1229.9000000000001</v>
      </c>
      <c r="D2830" s="8" t="s">
        <v>16699</v>
      </c>
      <c r="E2830" s="8" t="s">
        <v>16700</v>
      </c>
      <c r="F2830" s="8" t="s">
        <v>16701</v>
      </c>
      <c r="G2830" s="6" t="s">
        <v>60</v>
      </c>
      <c r="H2830" s="6" t="s">
        <v>34</v>
      </c>
      <c r="I2830" s="8" t="s">
        <v>263</v>
      </c>
      <c r="J2830" s="9">
        <v>1</v>
      </c>
      <c r="K2830" s="9">
        <v>352</v>
      </c>
      <c r="L2830" s="9">
        <v>2018</v>
      </c>
      <c r="M2830" s="8" t="s">
        <v>16702</v>
      </c>
      <c r="N2830" s="8" t="s">
        <v>243</v>
      </c>
      <c r="O2830" s="8" t="s">
        <v>1100</v>
      </c>
      <c r="P2830" s="6" t="s">
        <v>306</v>
      </c>
      <c r="Q2830" s="8" t="s">
        <v>265</v>
      </c>
      <c r="R2830" s="10" t="s">
        <v>16703</v>
      </c>
      <c r="S2830" s="11"/>
      <c r="T2830" s="6"/>
      <c r="U2830" s="15" t="str">
        <f>HYPERLINK("https://media.infra-m.ru/0940/0940812/cover/940812.jpg", "Обложка")</f>
        <v>Обложка</v>
      </c>
      <c r="V2830" s="8" t="s">
        <v>1030</v>
      </c>
      <c r="W2830" s="6"/>
      <c r="X2830" s="6"/>
      <c r="Y2830" s="6"/>
      <c r="Z2830" s="6"/>
      <c r="AA2830" s="6" t="s">
        <v>274</v>
      </c>
      <c r="AB2830" s="8"/>
      <c r="AC2830" s="27">
        <v>9785160102320</v>
      </c>
    </row>
    <row r="2831" spans="1:29" s="4" customFormat="1" ht="51.9" customHeight="1" x14ac:dyDescent="0.2">
      <c r="A2831" s="5">
        <v>0</v>
      </c>
      <c r="B2831" s="6" t="s">
        <v>16704</v>
      </c>
      <c r="C2831" s="7">
        <v>1992</v>
      </c>
      <c r="D2831" s="8" t="s">
        <v>16705</v>
      </c>
      <c r="E2831" s="8" t="s">
        <v>16706</v>
      </c>
      <c r="F2831" s="8" t="s">
        <v>16707</v>
      </c>
      <c r="G2831" s="6" t="s">
        <v>118</v>
      </c>
      <c r="H2831" s="6" t="s">
        <v>34</v>
      </c>
      <c r="I2831" s="8" t="s">
        <v>263</v>
      </c>
      <c r="J2831" s="9">
        <v>1</v>
      </c>
      <c r="K2831" s="9">
        <v>352</v>
      </c>
      <c r="L2831" s="9">
        <v>2024</v>
      </c>
      <c r="M2831" s="8" t="s">
        <v>16702</v>
      </c>
      <c r="N2831" s="8" t="s">
        <v>243</v>
      </c>
      <c r="O2831" s="8" t="s">
        <v>1100</v>
      </c>
      <c r="P2831" s="6" t="s">
        <v>306</v>
      </c>
      <c r="Q2831" s="8" t="s">
        <v>265</v>
      </c>
      <c r="R2831" s="10" t="s">
        <v>16703</v>
      </c>
      <c r="S2831" s="11" t="s">
        <v>16708</v>
      </c>
      <c r="T2831" s="6"/>
      <c r="U2831" s="15" t="str">
        <f>HYPERLINK("https://media.infra-m.ru/2142/2142821/cover/2142821.jpg", "Обложка")</f>
        <v>Обложка</v>
      </c>
      <c r="V2831" s="8" t="s">
        <v>1030</v>
      </c>
      <c r="W2831" s="6"/>
      <c r="X2831" s="6"/>
      <c r="Y2831" s="6"/>
      <c r="Z2831" s="6"/>
      <c r="AA2831" s="6" t="s">
        <v>2240</v>
      </c>
      <c r="AB2831" s="8"/>
      <c r="AC2831" s="27">
        <v>9785160102320</v>
      </c>
    </row>
    <row r="2832" spans="1:29" s="4" customFormat="1" ht="51.9" customHeight="1" x14ac:dyDescent="0.2">
      <c r="A2832" s="5">
        <v>0</v>
      </c>
      <c r="B2832" s="6" t="s">
        <v>16709</v>
      </c>
      <c r="C2832" s="7">
        <v>2008.8</v>
      </c>
      <c r="D2832" s="8" t="s">
        <v>16710</v>
      </c>
      <c r="E2832" s="8" t="s">
        <v>16711</v>
      </c>
      <c r="F2832" s="8" t="s">
        <v>16712</v>
      </c>
      <c r="G2832" s="6" t="s">
        <v>118</v>
      </c>
      <c r="H2832" s="6" t="s">
        <v>34</v>
      </c>
      <c r="I2832" s="8" t="s">
        <v>253</v>
      </c>
      <c r="J2832" s="9">
        <v>1</v>
      </c>
      <c r="K2832" s="9">
        <v>288</v>
      </c>
      <c r="L2832" s="9">
        <v>2024</v>
      </c>
      <c r="M2832" s="8" t="s">
        <v>16713</v>
      </c>
      <c r="N2832" s="8" t="s">
        <v>243</v>
      </c>
      <c r="O2832" s="8" t="s">
        <v>1100</v>
      </c>
      <c r="P2832" s="6" t="s">
        <v>51</v>
      </c>
      <c r="Q2832" s="8" t="s">
        <v>52</v>
      </c>
      <c r="R2832" s="10" t="s">
        <v>5837</v>
      </c>
      <c r="S2832" s="11" t="s">
        <v>16714</v>
      </c>
      <c r="T2832" s="6" t="s">
        <v>97</v>
      </c>
      <c r="U2832" s="15" t="str">
        <f>HYPERLINK("https://media.infra-m.ru/2269/2269327/cover/2269327.jpg", "Обложка")</f>
        <v>Обложка</v>
      </c>
      <c r="V2832" s="8" t="s">
        <v>1030</v>
      </c>
      <c r="W2832" s="6"/>
      <c r="X2832" s="6"/>
      <c r="Y2832" s="6"/>
      <c r="Z2832" s="6"/>
      <c r="AA2832" s="6" t="s">
        <v>274</v>
      </c>
      <c r="AB2832" s="8"/>
      <c r="AC2832" s="27">
        <v>9785160197227</v>
      </c>
    </row>
    <row r="2833" spans="1:29" s="4" customFormat="1" ht="51.9" customHeight="1" x14ac:dyDescent="0.2">
      <c r="A2833" s="5">
        <v>0</v>
      </c>
      <c r="B2833" s="6" t="s">
        <v>16715</v>
      </c>
      <c r="C2833" s="7">
        <v>1548</v>
      </c>
      <c r="D2833" s="8" t="s">
        <v>16716</v>
      </c>
      <c r="E2833" s="8" t="s">
        <v>16717</v>
      </c>
      <c r="F2833" s="8" t="s">
        <v>16718</v>
      </c>
      <c r="G2833" s="6" t="s">
        <v>60</v>
      </c>
      <c r="H2833" s="6" t="s">
        <v>34</v>
      </c>
      <c r="I2833" s="8" t="s">
        <v>253</v>
      </c>
      <c r="J2833" s="9">
        <v>1</v>
      </c>
      <c r="K2833" s="9">
        <v>233</v>
      </c>
      <c r="L2833" s="9">
        <v>2025</v>
      </c>
      <c r="M2833" s="8" t="s">
        <v>16719</v>
      </c>
      <c r="N2833" s="8" t="s">
        <v>37</v>
      </c>
      <c r="O2833" s="8" t="s">
        <v>233</v>
      </c>
      <c r="P2833" s="6" t="s">
        <v>51</v>
      </c>
      <c r="Q2833" s="8" t="s">
        <v>500</v>
      </c>
      <c r="R2833" s="10" t="s">
        <v>16720</v>
      </c>
      <c r="S2833" s="11"/>
      <c r="T2833" s="6"/>
      <c r="U2833" s="15" t="str">
        <f>HYPERLINK("https://media.infra-m.ru/2170/2170635/cover/2170635.jpg", "Обложка")</f>
        <v>Обложка</v>
      </c>
      <c r="V2833" s="8" t="s">
        <v>546</v>
      </c>
      <c r="W2833" s="6"/>
      <c r="X2833" s="6"/>
      <c r="Y2833" s="6"/>
      <c r="Z2833" s="6"/>
      <c r="AA2833" s="6" t="s">
        <v>68</v>
      </c>
      <c r="AB2833" s="8"/>
      <c r="AC2833" s="27">
        <v>9785160203652</v>
      </c>
    </row>
    <row r="2834" spans="1:29" s="4" customFormat="1" ht="42" customHeight="1" x14ac:dyDescent="0.2">
      <c r="A2834" s="5">
        <v>0</v>
      </c>
      <c r="B2834" s="6" t="s">
        <v>16721</v>
      </c>
      <c r="C2834" s="7">
        <v>3532.8</v>
      </c>
      <c r="D2834" s="8" t="s">
        <v>16722</v>
      </c>
      <c r="E2834" s="8" t="s">
        <v>16723</v>
      </c>
      <c r="F2834" s="8" t="s">
        <v>16724</v>
      </c>
      <c r="G2834" s="6" t="s">
        <v>60</v>
      </c>
      <c r="H2834" s="6" t="s">
        <v>34</v>
      </c>
      <c r="I2834" s="8"/>
      <c r="J2834" s="9">
        <v>1</v>
      </c>
      <c r="K2834" s="9">
        <v>634</v>
      </c>
      <c r="L2834" s="9">
        <v>2026</v>
      </c>
      <c r="M2834" s="8" t="s">
        <v>16725</v>
      </c>
      <c r="N2834" s="8" t="s">
        <v>37</v>
      </c>
      <c r="O2834" s="8" t="s">
        <v>280</v>
      </c>
      <c r="P2834" s="6" t="s">
        <v>39</v>
      </c>
      <c r="Q2834" s="8" t="s">
        <v>40</v>
      </c>
      <c r="R2834" s="10" t="s">
        <v>16726</v>
      </c>
      <c r="S2834" s="11"/>
      <c r="T2834" s="6"/>
      <c r="U2834" s="15" t="str">
        <f>HYPERLINK("https://media.infra-m.ru/2230/2230910/cover/2230910.jpg", "Обложка")</f>
        <v>Обложка</v>
      </c>
      <c r="V2834" s="8" t="s">
        <v>644</v>
      </c>
      <c r="W2834" s="6"/>
      <c r="X2834" s="6"/>
      <c r="Y2834" s="6"/>
      <c r="Z2834" s="6"/>
      <c r="AA2834" s="6" t="s">
        <v>718</v>
      </c>
      <c r="AB2834" s="8"/>
      <c r="AC2834" s="27">
        <v>9785160045566</v>
      </c>
    </row>
    <row r="2835" spans="1:29" s="4" customFormat="1" ht="51.9" customHeight="1" x14ac:dyDescent="0.2">
      <c r="A2835" s="5">
        <v>0</v>
      </c>
      <c r="B2835" s="6" t="s">
        <v>16727</v>
      </c>
      <c r="C2835" s="13">
        <v>796.8</v>
      </c>
      <c r="D2835" s="8" t="s">
        <v>16728</v>
      </c>
      <c r="E2835" s="8" t="s">
        <v>16729</v>
      </c>
      <c r="F2835" s="8" t="s">
        <v>16730</v>
      </c>
      <c r="G2835" s="6" t="s">
        <v>33</v>
      </c>
      <c r="H2835" s="6" t="s">
        <v>34</v>
      </c>
      <c r="I2835" s="8" t="s">
        <v>35</v>
      </c>
      <c r="J2835" s="9">
        <v>1</v>
      </c>
      <c r="K2835" s="9">
        <v>112</v>
      </c>
      <c r="L2835" s="9">
        <v>2027</v>
      </c>
      <c r="M2835" s="8" t="s">
        <v>16731</v>
      </c>
      <c r="N2835" s="8" t="s">
        <v>37</v>
      </c>
      <c r="O2835" s="8" t="s">
        <v>280</v>
      </c>
      <c r="P2835" s="6" t="s">
        <v>39</v>
      </c>
      <c r="Q2835" s="8" t="s">
        <v>40</v>
      </c>
      <c r="R2835" s="10" t="s">
        <v>1728</v>
      </c>
      <c r="S2835" s="11"/>
      <c r="T2835" s="6"/>
      <c r="U2835" s="15" t="str">
        <f>HYPERLINK("https://media.infra-m.ru/2251/2251342/cover/2251342.jpg", "Обложка")</f>
        <v>Обложка</v>
      </c>
      <c r="V2835" s="8" t="s">
        <v>9514</v>
      </c>
      <c r="W2835" s="6"/>
      <c r="X2835" s="6"/>
      <c r="Y2835" s="6"/>
      <c r="Z2835" s="6"/>
      <c r="AA2835" s="6" t="s">
        <v>274</v>
      </c>
      <c r="AB2835" s="8"/>
      <c r="AC2835" s="27">
        <v>9785160107868</v>
      </c>
    </row>
    <row r="2836" spans="1:29" s="4" customFormat="1" ht="51.9" customHeight="1" x14ac:dyDescent="0.2">
      <c r="A2836" s="5">
        <v>0</v>
      </c>
      <c r="B2836" s="6" t="s">
        <v>16732</v>
      </c>
      <c r="C2836" s="7">
        <v>1308</v>
      </c>
      <c r="D2836" s="8" t="s">
        <v>16733</v>
      </c>
      <c r="E2836" s="8" t="s">
        <v>16734</v>
      </c>
      <c r="F2836" s="8" t="s">
        <v>16735</v>
      </c>
      <c r="G2836" s="6" t="s">
        <v>60</v>
      </c>
      <c r="H2836" s="6" t="s">
        <v>34</v>
      </c>
      <c r="I2836" s="8" t="s">
        <v>271</v>
      </c>
      <c r="J2836" s="9">
        <v>1</v>
      </c>
      <c r="K2836" s="9">
        <v>223</v>
      </c>
      <c r="L2836" s="9">
        <v>2022</v>
      </c>
      <c r="M2836" s="8" t="s">
        <v>16736</v>
      </c>
      <c r="N2836" s="8" t="s">
        <v>37</v>
      </c>
      <c r="O2836" s="8" t="s">
        <v>499</v>
      </c>
      <c r="P2836" s="6" t="s">
        <v>51</v>
      </c>
      <c r="Q2836" s="8" t="s">
        <v>52</v>
      </c>
      <c r="R2836" s="10" t="s">
        <v>12891</v>
      </c>
      <c r="S2836" s="11" t="s">
        <v>16737</v>
      </c>
      <c r="T2836" s="6"/>
      <c r="U2836" s="15" t="str">
        <f>HYPERLINK("https://media.infra-m.ru/1588/1588755/cover/1588755.jpg", "Обложка")</f>
        <v>Обложка</v>
      </c>
      <c r="V2836" s="8" t="s">
        <v>396</v>
      </c>
      <c r="W2836" s="6"/>
      <c r="X2836" s="6"/>
      <c r="Y2836" s="6"/>
      <c r="Z2836" s="6"/>
      <c r="AA2836" s="6" t="s">
        <v>148</v>
      </c>
      <c r="AB2836" s="8"/>
      <c r="AC2836" s="27">
        <v>9785160170589</v>
      </c>
    </row>
    <row r="2837" spans="1:29" s="4" customFormat="1" ht="42" customHeight="1" x14ac:dyDescent="0.2">
      <c r="A2837" s="5">
        <v>0</v>
      </c>
      <c r="B2837" s="6" t="s">
        <v>16738</v>
      </c>
      <c r="C2837" s="7">
        <v>1828.8</v>
      </c>
      <c r="D2837" s="8" t="s">
        <v>16739</v>
      </c>
      <c r="E2837" s="8" t="s">
        <v>16740</v>
      </c>
      <c r="F2837" s="8" t="s">
        <v>16741</v>
      </c>
      <c r="G2837" s="6" t="s">
        <v>60</v>
      </c>
      <c r="H2837" s="6" t="s">
        <v>34</v>
      </c>
      <c r="I2837" s="8" t="s">
        <v>271</v>
      </c>
      <c r="J2837" s="9">
        <v>1</v>
      </c>
      <c r="K2837" s="9">
        <v>304</v>
      </c>
      <c r="L2837" s="9">
        <v>2025</v>
      </c>
      <c r="M2837" s="8" t="s">
        <v>16742</v>
      </c>
      <c r="N2837" s="8" t="s">
        <v>37</v>
      </c>
      <c r="O2837" s="8" t="s">
        <v>280</v>
      </c>
      <c r="P2837" s="6" t="s">
        <v>51</v>
      </c>
      <c r="Q2837" s="8" t="s">
        <v>52</v>
      </c>
      <c r="R2837" s="10" t="s">
        <v>2237</v>
      </c>
      <c r="S2837" s="11"/>
      <c r="T2837" s="6"/>
      <c r="U2837" s="15" t="str">
        <f>HYPERLINK("https://media.infra-m.ru/2188/2188881/cover/2188881.jpg", "Обложка")</f>
        <v>Обложка</v>
      </c>
      <c r="V2837" s="8" t="s">
        <v>9720</v>
      </c>
      <c r="W2837" s="6"/>
      <c r="X2837" s="6"/>
      <c r="Y2837" s="6"/>
      <c r="Z2837" s="6"/>
      <c r="AA2837" s="6" t="s">
        <v>274</v>
      </c>
      <c r="AB2837" s="8"/>
      <c r="AC2837" s="27">
        <v>9785160102313</v>
      </c>
    </row>
    <row r="2838" spans="1:29" s="4" customFormat="1" ht="51.9" customHeight="1" x14ac:dyDescent="0.2">
      <c r="A2838" s="5">
        <v>0</v>
      </c>
      <c r="B2838" s="6" t="s">
        <v>16743</v>
      </c>
      <c r="C2838" s="7">
        <v>1060.8</v>
      </c>
      <c r="D2838" s="8" t="s">
        <v>16744</v>
      </c>
      <c r="E2838" s="8" t="s">
        <v>16745</v>
      </c>
      <c r="F2838" s="8" t="s">
        <v>16746</v>
      </c>
      <c r="G2838" s="6" t="s">
        <v>118</v>
      </c>
      <c r="H2838" s="6" t="s">
        <v>34</v>
      </c>
      <c r="I2838" s="8" t="s">
        <v>304</v>
      </c>
      <c r="J2838" s="9">
        <v>1</v>
      </c>
      <c r="K2838" s="9">
        <v>160</v>
      </c>
      <c r="L2838" s="9">
        <v>2026</v>
      </c>
      <c r="M2838" s="8" t="s">
        <v>16747</v>
      </c>
      <c r="N2838" s="8" t="s">
        <v>37</v>
      </c>
      <c r="O2838" s="8" t="s">
        <v>136</v>
      </c>
      <c r="P2838" s="6" t="s">
        <v>51</v>
      </c>
      <c r="Q2838" s="8" t="s">
        <v>65</v>
      </c>
      <c r="R2838" s="10" t="s">
        <v>1068</v>
      </c>
      <c r="S2838" s="11" t="s">
        <v>16748</v>
      </c>
      <c r="T2838" s="6"/>
      <c r="U2838" s="15" t="str">
        <f>HYPERLINK("https://media.infra-m.ru/2225/2225213/cover/2225213.jpg", "Обложка")</f>
        <v>Обложка</v>
      </c>
      <c r="V2838" s="8" t="s">
        <v>247</v>
      </c>
      <c r="W2838" s="6"/>
      <c r="X2838" s="6"/>
      <c r="Y2838" s="6"/>
      <c r="Z2838" s="6"/>
      <c r="AA2838" s="6" t="s">
        <v>115</v>
      </c>
      <c r="AB2838" s="8"/>
      <c r="AC2838" s="27">
        <v>9785160185446</v>
      </c>
    </row>
    <row r="2839" spans="1:29" s="4" customFormat="1" ht="42" customHeight="1" x14ac:dyDescent="0.2">
      <c r="A2839" s="5">
        <v>0</v>
      </c>
      <c r="B2839" s="6" t="s">
        <v>16749</v>
      </c>
      <c r="C2839" s="7">
        <v>1116</v>
      </c>
      <c r="D2839" s="8" t="s">
        <v>16750</v>
      </c>
      <c r="E2839" s="8" t="s">
        <v>16745</v>
      </c>
      <c r="F2839" s="8" t="s">
        <v>16746</v>
      </c>
      <c r="G2839" s="6" t="s">
        <v>118</v>
      </c>
      <c r="H2839" s="6" t="s">
        <v>34</v>
      </c>
      <c r="I2839" s="8" t="s">
        <v>263</v>
      </c>
      <c r="J2839" s="9">
        <v>1</v>
      </c>
      <c r="K2839" s="9">
        <v>160</v>
      </c>
      <c r="L2839" s="9">
        <v>2026</v>
      </c>
      <c r="M2839" s="8" t="s">
        <v>16751</v>
      </c>
      <c r="N2839" s="8" t="s">
        <v>37</v>
      </c>
      <c r="O2839" s="8" t="s">
        <v>136</v>
      </c>
      <c r="P2839" s="6" t="s">
        <v>51</v>
      </c>
      <c r="Q2839" s="8" t="s">
        <v>265</v>
      </c>
      <c r="R2839" s="10" t="s">
        <v>479</v>
      </c>
      <c r="S2839" s="11"/>
      <c r="T2839" s="6"/>
      <c r="U2839" s="15" t="str">
        <f>HYPERLINK("https://media.infra-m.ru/2231/2231676/cover/2231676.jpg", "Обложка")</f>
        <v>Обложка</v>
      </c>
      <c r="V2839" s="8" t="s">
        <v>247</v>
      </c>
      <c r="W2839" s="6"/>
      <c r="X2839" s="6"/>
      <c r="Y2839" s="6"/>
      <c r="Z2839" s="6" t="s">
        <v>882</v>
      </c>
      <c r="AA2839" s="6" t="s">
        <v>68</v>
      </c>
      <c r="AB2839" s="8" t="s">
        <v>1317</v>
      </c>
      <c r="AC2839" s="27">
        <v>9785160207100</v>
      </c>
    </row>
    <row r="2840" spans="1:29" s="4" customFormat="1" ht="51.9" customHeight="1" x14ac:dyDescent="0.2">
      <c r="A2840" s="5">
        <v>0</v>
      </c>
      <c r="B2840" s="6" t="s">
        <v>16752</v>
      </c>
      <c r="C2840" s="13">
        <v>708</v>
      </c>
      <c r="D2840" s="8" t="s">
        <v>16753</v>
      </c>
      <c r="E2840" s="8" t="s">
        <v>16754</v>
      </c>
      <c r="F2840" s="8" t="s">
        <v>16755</v>
      </c>
      <c r="G2840" s="6" t="s">
        <v>33</v>
      </c>
      <c r="H2840" s="6" t="s">
        <v>34</v>
      </c>
      <c r="I2840" s="8" t="s">
        <v>504</v>
      </c>
      <c r="J2840" s="9">
        <v>1</v>
      </c>
      <c r="K2840" s="9">
        <v>111</v>
      </c>
      <c r="L2840" s="9">
        <v>2024</v>
      </c>
      <c r="M2840" s="8" t="s">
        <v>16756</v>
      </c>
      <c r="N2840" s="8" t="s">
        <v>37</v>
      </c>
      <c r="O2840" s="8" t="s">
        <v>280</v>
      </c>
      <c r="P2840" s="6" t="s">
        <v>51</v>
      </c>
      <c r="Q2840" s="8" t="s">
        <v>500</v>
      </c>
      <c r="R2840" s="10" t="s">
        <v>1993</v>
      </c>
      <c r="S2840" s="11" t="s">
        <v>16757</v>
      </c>
      <c r="T2840" s="6"/>
      <c r="U2840" s="15" t="str">
        <f>HYPERLINK("https://media.infra-m.ru/2121/2121174/cover/2121174.jpg", "Обложка")</f>
        <v>Обложка</v>
      </c>
      <c r="V2840" s="8" t="s">
        <v>2854</v>
      </c>
      <c r="W2840" s="6"/>
      <c r="X2840" s="6"/>
      <c r="Y2840" s="6"/>
      <c r="Z2840" s="6"/>
      <c r="AA2840" s="6" t="s">
        <v>86</v>
      </c>
      <c r="AB2840" s="8"/>
      <c r="AC2840" s="27">
        <v>9785160136752</v>
      </c>
    </row>
    <row r="2841" spans="1:29" s="4" customFormat="1" ht="42" customHeight="1" x14ac:dyDescent="0.2">
      <c r="A2841" s="5">
        <v>0</v>
      </c>
      <c r="B2841" s="6" t="s">
        <v>16758</v>
      </c>
      <c r="C2841" s="7">
        <v>1169.9000000000001</v>
      </c>
      <c r="D2841" s="8" t="s">
        <v>16759</v>
      </c>
      <c r="E2841" s="8" t="s">
        <v>16760</v>
      </c>
      <c r="F2841" s="8" t="s">
        <v>16761</v>
      </c>
      <c r="G2841" s="6" t="s">
        <v>118</v>
      </c>
      <c r="H2841" s="6" t="s">
        <v>34</v>
      </c>
      <c r="I2841" s="8" t="s">
        <v>504</v>
      </c>
      <c r="J2841" s="9">
        <v>1</v>
      </c>
      <c r="K2841" s="9">
        <v>216</v>
      </c>
      <c r="L2841" s="9">
        <v>2023</v>
      </c>
      <c r="M2841" s="8" t="s">
        <v>16762</v>
      </c>
      <c r="N2841" s="8" t="s">
        <v>37</v>
      </c>
      <c r="O2841" s="8" t="s">
        <v>280</v>
      </c>
      <c r="P2841" s="6" t="s">
        <v>306</v>
      </c>
      <c r="Q2841" s="8" t="s">
        <v>500</v>
      </c>
      <c r="R2841" s="10" t="s">
        <v>16763</v>
      </c>
      <c r="S2841" s="11"/>
      <c r="T2841" s="6"/>
      <c r="U2841" s="15" t="str">
        <f>HYPERLINK("https://media.infra-m.ru/2030/2030866/cover/2030866.jpg", "Обложка")</f>
        <v>Обложка</v>
      </c>
      <c r="V2841" s="8" t="s">
        <v>546</v>
      </c>
      <c r="W2841" s="6"/>
      <c r="X2841" s="6"/>
      <c r="Y2841" s="6"/>
      <c r="Z2841" s="6"/>
      <c r="AA2841" s="6" t="s">
        <v>86</v>
      </c>
      <c r="AB2841" s="8"/>
      <c r="AC2841" s="27">
        <v>9785160145815</v>
      </c>
    </row>
    <row r="2842" spans="1:29" s="4" customFormat="1" ht="42" customHeight="1" x14ac:dyDescent="0.2">
      <c r="A2842" s="5">
        <v>0</v>
      </c>
      <c r="B2842" s="6" t="s">
        <v>16764</v>
      </c>
      <c r="C2842" s="7">
        <v>1644</v>
      </c>
      <c r="D2842" s="8" t="s">
        <v>16765</v>
      </c>
      <c r="E2842" s="8" t="s">
        <v>16766</v>
      </c>
      <c r="F2842" s="8" t="s">
        <v>16767</v>
      </c>
      <c r="G2842" s="6" t="s">
        <v>60</v>
      </c>
      <c r="H2842" s="6" t="s">
        <v>34</v>
      </c>
      <c r="I2842" s="8" t="s">
        <v>253</v>
      </c>
      <c r="J2842" s="9">
        <v>1</v>
      </c>
      <c r="K2842" s="9">
        <v>291</v>
      </c>
      <c r="L2842" s="9">
        <v>2024</v>
      </c>
      <c r="M2842" s="8" t="s">
        <v>16768</v>
      </c>
      <c r="N2842" s="8" t="s">
        <v>37</v>
      </c>
      <c r="O2842" s="8" t="s">
        <v>280</v>
      </c>
      <c r="P2842" s="6" t="s">
        <v>306</v>
      </c>
      <c r="Q2842" s="8" t="s">
        <v>500</v>
      </c>
      <c r="R2842" s="10" t="s">
        <v>16763</v>
      </c>
      <c r="S2842" s="11"/>
      <c r="T2842" s="6"/>
      <c r="U2842" s="15" t="str">
        <f>HYPERLINK("https://media.infra-m.ru/2125/2125015/cover/2125015.jpg", "Обложка")</f>
        <v>Обложка</v>
      </c>
      <c r="V2842" s="8" t="s">
        <v>546</v>
      </c>
      <c r="W2842" s="6"/>
      <c r="X2842" s="6"/>
      <c r="Y2842" s="6"/>
      <c r="Z2842" s="6"/>
      <c r="AA2842" s="6" t="s">
        <v>106</v>
      </c>
      <c r="AB2842" s="8"/>
      <c r="AC2842" s="27">
        <v>9785160195049</v>
      </c>
    </row>
    <row r="2843" spans="1:29" s="4" customFormat="1" ht="51.9" customHeight="1" x14ac:dyDescent="0.2">
      <c r="A2843" s="5">
        <v>0</v>
      </c>
      <c r="B2843" s="6" t="s">
        <v>16769</v>
      </c>
      <c r="C2843" s="7">
        <v>3096</v>
      </c>
      <c r="D2843" s="8" t="s">
        <v>16770</v>
      </c>
      <c r="E2843" s="8" t="s">
        <v>16771</v>
      </c>
      <c r="F2843" s="8" t="s">
        <v>16772</v>
      </c>
      <c r="G2843" s="6" t="s">
        <v>60</v>
      </c>
      <c r="H2843" s="6" t="s">
        <v>1644</v>
      </c>
      <c r="I2843" s="8" t="s">
        <v>4073</v>
      </c>
      <c r="J2843" s="9">
        <v>1</v>
      </c>
      <c r="K2843" s="9">
        <v>496</v>
      </c>
      <c r="L2843" s="9">
        <v>2025</v>
      </c>
      <c r="M2843" s="8" t="s">
        <v>16773</v>
      </c>
      <c r="N2843" s="8" t="s">
        <v>37</v>
      </c>
      <c r="O2843" s="8" t="s">
        <v>280</v>
      </c>
      <c r="P2843" s="6" t="s">
        <v>306</v>
      </c>
      <c r="Q2843" s="8" t="s">
        <v>500</v>
      </c>
      <c r="R2843" s="10" t="s">
        <v>16774</v>
      </c>
      <c r="S2843" s="11"/>
      <c r="T2843" s="6" t="s">
        <v>97</v>
      </c>
      <c r="U2843" s="15" t="str">
        <f>HYPERLINK("https://media.infra-m.ru/2200/2200767/cover/2200767.jpg", "Обложка")</f>
        <v>Обложка</v>
      </c>
      <c r="V2843" s="8" t="s">
        <v>1647</v>
      </c>
      <c r="W2843" s="6"/>
      <c r="X2843" s="6"/>
      <c r="Y2843" s="6"/>
      <c r="Z2843" s="6"/>
      <c r="AA2843" s="6" t="s">
        <v>779</v>
      </c>
      <c r="AB2843" s="8"/>
      <c r="AC2843" s="27">
        <v>9785977604314</v>
      </c>
    </row>
    <row r="2844" spans="1:29" s="4" customFormat="1" ht="51.9" customHeight="1" x14ac:dyDescent="0.2">
      <c r="A2844" s="5">
        <v>0</v>
      </c>
      <c r="B2844" s="6" t="s">
        <v>16775</v>
      </c>
      <c r="C2844" s="7">
        <v>1704</v>
      </c>
      <c r="D2844" s="8" t="s">
        <v>16776</v>
      </c>
      <c r="E2844" s="8" t="s">
        <v>16771</v>
      </c>
      <c r="F2844" s="8" t="s">
        <v>16777</v>
      </c>
      <c r="G2844" s="6" t="s">
        <v>118</v>
      </c>
      <c r="H2844" s="6" t="s">
        <v>34</v>
      </c>
      <c r="I2844" s="8" t="s">
        <v>253</v>
      </c>
      <c r="J2844" s="9">
        <v>1</v>
      </c>
      <c r="K2844" s="9">
        <v>272</v>
      </c>
      <c r="L2844" s="9">
        <v>2025</v>
      </c>
      <c r="M2844" s="8" t="s">
        <v>16778</v>
      </c>
      <c r="N2844" s="8" t="s">
        <v>37</v>
      </c>
      <c r="O2844" s="8" t="s">
        <v>280</v>
      </c>
      <c r="P2844" s="6" t="s">
        <v>306</v>
      </c>
      <c r="Q2844" s="8" t="s">
        <v>500</v>
      </c>
      <c r="R2844" s="10" t="s">
        <v>2061</v>
      </c>
      <c r="S2844" s="11" t="s">
        <v>16779</v>
      </c>
      <c r="T2844" s="6" t="s">
        <v>97</v>
      </c>
      <c r="U2844" s="15" t="str">
        <f>HYPERLINK("https://media.infra-m.ru/2192/2192242/cover/2192242.jpg", "Обложка")</f>
        <v>Обложка</v>
      </c>
      <c r="V2844" s="8" t="s">
        <v>396</v>
      </c>
      <c r="W2844" s="6"/>
      <c r="X2844" s="6"/>
      <c r="Y2844" s="6"/>
      <c r="Z2844" s="6"/>
      <c r="AA2844" s="6" t="s">
        <v>55</v>
      </c>
      <c r="AB2844" s="8"/>
      <c r="AC2844" s="27">
        <v>9785160207582</v>
      </c>
    </row>
    <row r="2845" spans="1:29" s="4" customFormat="1" ht="51.9" customHeight="1" x14ac:dyDescent="0.2">
      <c r="A2845" s="5">
        <v>0</v>
      </c>
      <c r="B2845" s="6" t="s">
        <v>16780</v>
      </c>
      <c r="C2845" s="7">
        <v>2748</v>
      </c>
      <c r="D2845" s="8" t="s">
        <v>16781</v>
      </c>
      <c r="E2845" s="8" t="s">
        <v>16782</v>
      </c>
      <c r="F2845" s="8" t="s">
        <v>16783</v>
      </c>
      <c r="G2845" s="6" t="s">
        <v>118</v>
      </c>
      <c r="H2845" s="6" t="s">
        <v>34</v>
      </c>
      <c r="I2845" s="8" t="s">
        <v>253</v>
      </c>
      <c r="J2845" s="9">
        <v>1</v>
      </c>
      <c r="K2845" s="9">
        <v>395</v>
      </c>
      <c r="L2845" s="9">
        <v>2027</v>
      </c>
      <c r="M2845" s="8" t="s">
        <v>16784</v>
      </c>
      <c r="N2845" s="8" t="s">
        <v>37</v>
      </c>
      <c r="O2845" s="8" t="s">
        <v>280</v>
      </c>
      <c r="P2845" s="6" t="s">
        <v>306</v>
      </c>
      <c r="Q2845" s="8" t="s">
        <v>52</v>
      </c>
      <c r="R2845" s="10" t="s">
        <v>16785</v>
      </c>
      <c r="S2845" s="11" t="s">
        <v>16786</v>
      </c>
      <c r="T2845" s="6"/>
      <c r="U2845" s="15" t="str">
        <f>HYPERLINK("https://media.infra-m.ru/2267/2267323/cover/2267323.jpg", "Обложка")</f>
        <v>Обложка</v>
      </c>
      <c r="V2845" s="8" t="s">
        <v>2854</v>
      </c>
      <c r="W2845" s="6"/>
      <c r="X2845" s="6"/>
      <c r="Y2845" s="6"/>
      <c r="Z2845" s="6"/>
      <c r="AA2845" s="6" t="s">
        <v>623</v>
      </c>
      <c r="AB2845" s="8"/>
      <c r="AC2845" s="27">
        <v>9785160195889</v>
      </c>
    </row>
    <row r="2846" spans="1:29" s="4" customFormat="1" ht="51.9" customHeight="1" x14ac:dyDescent="0.2">
      <c r="A2846" s="5">
        <v>0</v>
      </c>
      <c r="B2846" s="6" t="s">
        <v>16787</v>
      </c>
      <c r="C2846" s="7">
        <v>1056</v>
      </c>
      <c r="D2846" s="8" t="s">
        <v>16788</v>
      </c>
      <c r="E2846" s="8" t="s">
        <v>16771</v>
      </c>
      <c r="F2846" s="8" t="s">
        <v>16789</v>
      </c>
      <c r="G2846" s="6" t="s">
        <v>60</v>
      </c>
      <c r="H2846" s="6" t="s">
        <v>34</v>
      </c>
      <c r="I2846" s="8" t="s">
        <v>271</v>
      </c>
      <c r="J2846" s="9">
        <v>1</v>
      </c>
      <c r="K2846" s="9">
        <v>368</v>
      </c>
      <c r="L2846" s="9">
        <v>2017</v>
      </c>
      <c r="M2846" s="8" t="s">
        <v>16790</v>
      </c>
      <c r="N2846" s="8" t="s">
        <v>37</v>
      </c>
      <c r="O2846" s="8" t="s">
        <v>280</v>
      </c>
      <c r="P2846" s="6" t="s">
        <v>306</v>
      </c>
      <c r="Q2846" s="8" t="s">
        <v>52</v>
      </c>
      <c r="R2846" s="10" t="s">
        <v>16785</v>
      </c>
      <c r="S2846" s="11" t="s">
        <v>16791</v>
      </c>
      <c r="T2846" s="6"/>
      <c r="U2846" s="15" t="str">
        <f>HYPERLINK("https://media.infra-m.ru/0661/0661782/cover/661782.jpg", "Обложка")</f>
        <v>Обложка</v>
      </c>
      <c r="V2846" s="8" t="s">
        <v>16792</v>
      </c>
      <c r="W2846" s="6"/>
      <c r="X2846" s="6"/>
      <c r="Y2846" s="6"/>
      <c r="Z2846" s="6"/>
      <c r="AA2846" s="6" t="s">
        <v>43</v>
      </c>
      <c r="AB2846" s="8"/>
      <c r="AC2846" s="27">
        <v>9785160048277</v>
      </c>
    </row>
    <row r="2847" spans="1:29" s="4" customFormat="1" ht="51.9" customHeight="1" x14ac:dyDescent="0.2">
      <c r="A2847" s="5">
        <v>0</v>
      </c>
      <c r="B2847" s="6" t="s">
        <v>16793</v>
      </c>
      <c r="C2847" s="7">
        <v>1840.8</v>
      </c>
      <c r="D2847" s="8" t="s">
        <v>16794</v>
      </c>
      <c r="E2847" s="8" t="s">
        <v>16771</v>
      </c>
      <c r="F2847" s="8" t="s">
        <v>16795</v>
      </c>
      <c r="G2847" s="6" t="s">
        <v>60</v>
      </c>
      <c r="H2847" s="6" t="s">
        <v>34</v>
      </c>
      <c r="I2847" s="8" t="s">
        <v>271</v>
      </c>
      <c r="J2847" s="9">
        <v>1</v>
      </c>
      <c r="K2847" s="9">
        <v>338</v>
      </c>
      <c r="L2847" s="9">
        <v>2023</v>
      </c>
      <c r="M2847" s="8" t="s">
        <v>16796</v>
      </c>
      <c r="N2847" s="8" t="s">
        <v>37</v>
      </c>
      <c r="O2847" s="8" t="s">
        <v>280</v>
      </c>
      <c r="P2847" s="6" t="s">
        <v>306</v>
      </c>
      <c r="Q2847" s="8" t="s">
        <v>52</v>
      </c>
      <c r="R2847" s="10" t="s">
        <v>8477</v>
      </c>
      <c r="S2847" s="11" t="s">
        <v>16797</v>
      </c>
      <c r="T2847" s="6"/>
      <c r="U2847" s="15" t="str">
        <f>HYPERLINK("https://media.infra-m.ru/2021/2021450/cover/2021450.jpg", "Обложка")</f>
        <v>Обложка</v>
      </c>
      <c r="V2847" s="8" t="s">
        <v>588</v>
      </c>
      <c r="W2847" s="6"/>
      <c r="X2847" s="6"/>
      <c r="Y2847" s="6"/>
      <c r="Z2847" s="6"/>
      <c r="AA2847" s="6" t="s">
        <v>1256</v>
      </c>
      <c r="AB2847" s="8"/>
      <c r="AC2847" s="27">
        <v>9785160152905</v>
      </c>
    </row>
    <row r="2848" spans="1:29" s="4" customFormat="1" ht="51.9" customHeight="1" x14ac:dyDescent="0.2">
      <c r="A2848" s="5">
        <v>0</v>
      </c>
      <c r="B2848" s="6" t="s">
        <v>16798</v>
      </c>
      <c r="C2848" s="7">
        <v>1792.8</v>
      </c>
      <c r="D2848" s="8" t="s">
        <v>16799</v>
      </c>
      <c r="E2848" s="8" t="s">
        <v>16782</v>
      </c>
      <c r="F2848" s="8" t="s">
        <v>16800</v>
      </c>
      <c r="G2848" s="6" t="s">
        <v>60</v>
      </c>
      <c r="H2848" s="6" t="s">
        <v>1042</v>
      </c>
      <c r="I2848" s="8" t="s">
        <v>253</v>
      </c>
      <c r="J2848" s="9">
        <v>1</v>
      </c>
      <c r="K2848" s="9">
        <v>288</v>
      </c>
      <c r="L2848" s="9">
        <v>2025</v>
      </c>
      <c r="M2848" s="8" t="s">
        <v>16801</v>
      </c>
      <c r="N2848" s="8" t="s">
        <v>37</v>
      </c>
      <c r="O2848" s="8" t="s">
        <v>280</v>
      </c>
      <c r="P2848" s="6" t="s">
        <v>51</v>
      </c>
      <c r="Q2848" s="8" t="s">
        <v>52</v>
      </c>
      <c r="R2848" s="10" t="s">
        <v>6039</v>
      </c>
      <c r="S2848" s="11" t="s">
        <v>16802</v>
      </c>
      <c r="T2848" s="6"/>
      <c r="U2848" s="15" t="str">
        <f>HYPERLINK("https://media.infra-m.ru/2196/2196877/cover/2196877.jpg", "Обложка")</f>
        <v>Обложка</v>
      </c>
      <c r="V2848" s="8" t="s">
        <v>1505</v>
      </c>
      <c r="W2848" s="6"/>
      <c r="X2848" s="6"/>
      <c r="Y2848" s="6"/>
      <c r="Z2848" s="6"/>
      <c r="AA2848" s="6" t="s">
        <v>3391</v>
      </c>
      <c r="AB2848" s="8"/>
      <c r="AC2848" s="27">
        <v>9785819904121</v>
      </c>
    </row>
    <row r="2849" spans="1:29" s="4" customFormat="1" ht="51.9" customHeight="1" x14ac:dyDescent="0.2">
      <c r="A2849" s="5">
        <v>0</v>
      </c>
      <c r="B2849" s="6" t="s">
        <v>16803</v>
      </c>
      <c r="C2849" s="7">
        <v>2200.8000000000002</v>
      </c>
      <c r="D2849" s="8" t="s">
        <v>16804</v>
      </c>
      <c r="E2849" s="8" t="s">
        <v>16771</v>
      </c>
      <c r="F2849" s="8" t="s">
        <v>16805</v>
      </c>
      <c r="G2849" s="6" t="s">
        <v>60</v>
      </c>
      <c r="H2849" s="6" t="s">
        <v>1644</v>
      </c>
      <c r="I2849" s="8" t="s">
        <v>1904</v>
      </c>
      <c r="J2849" s="9">
        <v>1</v>
      </c>
      <c r="K2849" s="9">
        <v>352</v>
      </c>
      <c r="L2849" s="9">
        <v>2026</v>
      </c>
      <c r="M2849" s="8" t="s">
        <v>16806</v>
      </c>
      <c r="N2849" s="8" t="s">
        <v>37</v>
      </c>
      <c r="O2849" s="8" t="s">
        <v>280</v>
      </c>
      <c r="P2849" s="6" t="s">
        <v>306</v>
      </c>
      <c r="Q2849" s="8" t="s">
        <v>52</v>
      </c>
      <c r="R2849" s="10" t="s">
        <v>16807</v>
      </c>
      <c r="S2849" s="11"/>
      <c r="T2849" s="6"/>
      <c r="U2849" s="15" t="str">
        <f>HYPERLINK("https://media.infra-m.ru/2180/2180002/cover/2180002.jpg", "Обложка")</f>
        <v>Обложка</v>
      </c>
      <c r="V2849" s="8" t="s">
        <v>4448</v>
      </c>
      <c r="W2849" s="6"/>
      <c r="X2849" s="6"/>
      <c r="Y2849" s="6"/>
      <c r="Z2849" s="6"/>
      <c r="AA2849" s="6" t="s">
        <v>248</v>
      </c>
      <c r="AB2849" s="8"/>
      <c r="AC2849" s="27">
        <v>9785977603287</v>
      </c>
    </row>
    <row r="2850" spans="1:29" s="4" customFormat="1" ht="51.9" customHeight="1" x14ac:dyDescent="0.2">
      <c r="A2850" s="5">
        <v>0</v>
      </c>
      <c r="B2850" s="6" t="s">
        <v>16808</v>
      </c>
      <c r="C2850" s="7">
        <v>1764</v>
      </c>
      <c r="D2850" s="8" t="s">
        <v>16809</v>
      </c>
      <c r="E2850" s="8" t="s">
        <v>16810</v>
      </c>
      <c r="F2850" s="8" t="s">
        <v>16811</v>
      </c>
      <c r="G2850" s="6" t="s">
        <v>118</v>
      </c>
      <c r="H2850" s="6" t="s">
        <v>34</v>
      </c>
      <c r="I2850" s="8" t="s">
        <v>3119</v>
      </c>
      <c r="J2850" s="9">
        <v>1</v>
      </c>
      <c r="K2850" s="9">
        <v>266</v>
      </c>
      <c r="L2850" s="9">
        <v>2027</v>
      </c>
      <c r="M2850" s="8" t="s">
        <v>16812</v>
      </c>
      <c r="N2850" s="8" t="s">
        <v>37</v>
      </c>
      <c r="O2850" s="8" t="s">
        <v>233</v>
      </c>
      <c r="P2850" s="6" t="s">
        <v>306</v>
      </c>
      <c r="Q2850" s="8" t="s">
        <v>500</v>
      </c>
      <c r="R2850" s="10" t="s">
        <v>16813</v>
      </c>
      <c r="S2850" s="11"/>
      <c r="T2850" s="6"/>
      <c r="U2850" s="15" t="str">
        <f>HYPERLINK("https://media.infra-m.ru/2257/2257162/cover/2257162.jpg", "Обложка")</f>
        <v>Обложка</v>
      </c>
      <c r="V2850" s="8" t="s">
        <v>396</v>
      </c>
      <c r="W2850" s="6"/>
      <c r="X2850" s="6"/>
      <c r="Y2850" s="6"/>
      <c r="Z2850" s="6"/>
      <c r="AA2850" s="6" t="s">
        <v>76</v>
      </c>
      <c r="AB2850" s="8"/>
      <c r="AC2850" s="27">
        <v>9785160222035</v>
      </c>
    </row>
    <row r="2851" spans="1:29" s="4" customFormat="1" ht="44.1" customHeight="1" x14ac:dyDescent="0.2">
      <c r="A2851" s="5">
        <v>0</v>
      </c>
      <c r="B2851" s="6" t="s">
        <v>16814</v>
      </c>
      <c r="C2851" s="13">
        <v>900</v>
      </c>
      <c r="D2851" s="8" t="s">
        <v>16815</v>
      </c>
      <c r="E2851" s="8" t="s">
        <v>16816</v>
      </c>
      <c r="F2851" s="8" t="s">
        <v>16817</v>
      </c>
      <c r="G2851" s="6" t="s">
        <v>33</v>
      </c>
      <c r="H2851" s="6" t="s">
        <v>313</v>
      </c>
      <c r="I2851" s="8" t="s">
        <v>253</v>
      </c>
      <c r="J2851" s="9">
        <v>1</v>
      </c>
      <c r="K2851" s="9">
        <v>164</v>
      </c>
      <c r="L2851" s="9">
        <v>2024</v>
      </c>
      <c r="M2851" s="8" t="s">
        <v>16818</v>
      </c>
      <c r="N2851" s="8" t="s">
        <v>37</v>
      </c>
      <c r="O2851" s="8" t="s">
        <v>233</v>
      </c>
      <c r="P2851" s="6" t="s">
        <v>51</v>
      </c>
      <c r="Q2851" s="8" t="s">
        <v>500</v>
      </c>
      <c r="R2851" s="10" t="s">
        <v>16819</v>
      </c>
      <c r="S2851" s="11"/>
      <c r="T2851" s="6" t="s">
        <v>97</v>
      </c>
      <c r="U2851" s="15" t="str">
        <f>HYPERLINK("https://media.infra-m.ru/2073/2073493/cover/2073493.jpg", "Обложка")</f>
        <v>Обложка</v>
      </c>
      <c r="V2851" s="8" t="s">
        <v>247</v>
      </c>
      <c r="W2851" s="6"/>
      <c r="X2851" s="6"/>
      <c r="Y2851" s="6"/>
      <c r="Z2851" s="6"/>
      <c r="AA2851" s="6" t="s">
        <v>258</v>
      </c>
      <c r="AB2851" s="8"/>
      <c r="AC2851" s="27">
        <v>9785369017494</v>
      </c>
    </row>
    <row r="2852" spans="1:29" s="4" customFormat="1" ht="44.1" customHeight="1" x14ac:dyDescent="0.2">
      <c r="A2852" s="5">
        <v>0</v>
      </c>
      <c r="B2852" s="6" t="s">
        <v>16820</v>
      </c>
      <c r="C2852" s="7">
        <v>1092</v>
      </c>
      <c r="D2852" s="8" t="s">
        <v>16821</v>
      </c>
      <c r="E2852" s="8" t="s">
        <v>16822</v>
      </c>
      <c r="F2852" s="8" t="s">
        <v>16817</v>
      </c>
      <c r="G2852" s="6" t="s">
        <v>33</v>
      </c>
      <c r="H2852" s="6" t="s">
        <v>313</v>
      </c>
      <c r="I2852" s="8" t="s">
        <v>253</v>
      </c>
      <c r="J2852" s="9">
        <v>1</v>
      </c>
      <c r="K2852" s="9">
        <v>164</v>
      </c>
      <c r="L2852" s="9">
        <v>2026</v>
      </c>
      <c r="M2852" s="8" t="s">
        <v>16818</v>
      </c>
      <c r="N2852" s="8" t="s">
        <v>37</v>
      </c>
      <c r="O2852" s="8" t="s">
        <v>233</v>
      </c>
      <c r="P2852" s="6" t="s">
        <v>51</v>
      </c>
      <c r="Q2852" s="8" t="s">
        <v>500</v>
      </c>
      <c r="R2852" s="10" t="s">
        <v>16819</v>
      </c>
      <c r="S2852" s="11"/>
      <c r="T2852" s="6" t="s">
        <v>97</v>
      </c>
      <c r="U2852" s="15" t="str">
        <f>HYPERLINK("https://media.infra-m.ru/2217/2217083/cover/2217083.jpg", "Обложка")</f>
        <v>Обложка</v>
      </c>
      <c r="V2852" s="8" t="s">
        <v>247</v>
      </c>
      <c r="W2852" s="6"/>
      <c r="X2852" s="6"/>
      <c r="Y2852" s="6"/>
      <c r="Z2852" s="6"/>
      <c r="AA2852" s="6" t="s">
        <v>86</v>
      </c>
      <c r="AB2852" s="8"/>
      <c r="AC2852" s="27">
        <v>9785369017494</v>
      </c>
    </row>
    <row r="2853" spans="1:29" s="4" customFormat="1" ht="51.9" customHeight="1" x14ac:dyDescent="0.2">
      <c r="A2853" s="5">
        <v>0</v>
      </c>
      <c r="B2853" s="6" t="s">
        <v>16823</v>
      </c>
      <c r="C2853" s="7">
        <v>2944.8</v>
      </c>
      <c r="D2853" s="8" t="s">
        <v>16824</v>
      </c>
      <c r="E2853" s="8" t="s">
        <v>16825</v>
      </c>
      <c r="F2853" s="8" t="s">
        <v>16826</v>
      </c>
      <c r="G2853" s="6" t="s">
        <v>60</v>
      </c>
      <c r="H2853" s="6" t="s">
        <v>34</v>
      </c>
      <c r="I2853" s="8" t="s">
        <v>271</v>
      </c>
      <c r="J2853" s="9">
        <v>1</v>
      </c>
      <c r="K2853" s="9">
        <v>472</v>
      </c>
      <c r="L2853" s="9">
        <v>2025</v>
      </c>
      <c r="M2853" s="8" t="s">
        <v>16827</v>
      </c>
      <c r="N2853" s="8" t="s">
        <v>37</v>
      </c>
      <c r="O2853" s="8" t="s">
        <v>233</v>
      </c>
      <c r="P2853" s="6" t="s">
        <v>306</v>
      </c>
      <c r="Q2853" s="8" t="s">
        <v>52</v>
      </c>
      <c r="R2853" s="10" t="s">
        <v>16828</v>
      </c>
      <c r="S2853" s="11" t="s">
        <v>16829</v>
      </c>
      <c r="T2853" s="6"/>
      <c r="U2853" s="15" t="str">
        <f>HYPERLINK("https://media.infra-m.ru/2194/2194320/cover/2194320.jpg", "Обложка")</f>
        <v>Обложка</v>
      </c>
      <c r="V2853" s="8" t="s">
        <v>247</v>
      </c>
      <c r="W2853" s="6"/>
      <c r="X2853" s="6"/>
      <c r="Y2853" s="6"/>
      <c r="Z2853" s="6"/>
      <c r="AA2853" s="6" t="s">
        <v>248</v>
      </c>
      <c r="AB2853" s="8"/>
      <c r="AC2853" s="27">
        <v>9785160089959</v>
      </c>
    </row>
    <row r="2854" spans="1:29" s="4" customFormat="1" ht="44.1" customHeight="1" x14ac:dyDescent="0.2">
      <c r="A2854" s="5">
        <v>0</v>
      </c>
      <c r="B2854" s="6" t="s">
        <v>16830</v>
      </c>
      <c r="C2854" s="7">
        <v>2580</v>
      </c>
      <c r="D2854" s="8" t="s">
        <v>16831</v>
      </c>
      <c r="E2854" s="8" t="s">
        <v>16832</v>
      </c>
      <c r="F2854" s="8" t="s">
        <v>16833</v>
      </c>
      <c r="G2854" s="6" t="s">
        <v>60</v>
      </c>
      <c r="H2854" s="6" t="s">
        <v>34</v>
      </c>
      <c r="I2854" s="8" t="s">
        <v>304</v>
      </c>
      <c r="J2854" s="9">
        <v>1</v>
      </c>
      <c r="K2854" s="9">
        <v>386</v>
      </c>
      <c r="L2854" s="9">
        <v>2026</v>
      </c>
      <c r="M2854" s="8" t="s">
        <v>16834</v>
      </c>
      <c r="N2854" s="8" t="s">
        <v>37</v>
      </c>
      <c r="O2854" s="8" t="s">
        <v>233</v>
      </c>
      <c r="P2854" s="6" t="s">
        <v>306</v>
      </c>
      <c r="Q2854" s="8" t="s">
        <v>52</v>
      </c>
      <c r="R2854" s="10" t="s">
        <v>2053</v>
      </c>
      <c r="S2854" s="11"/>
      <c r="T2854" s="6"/>
      <c r="U2854" s="15" t="str">
        <f>HYPERLINK("https://media.infra-m.ru/2216/2216487/cover/2216487.jpg", "Обложка")</f>
        <v>Обложка</v>
      </c>
      <c r="V2854" s="8" t="s">
        <v>247</v>
      </c>
      <c r="W2854" s="6" t="s">
        <v>351</v>
      </c>
      <c r="X2854" s="6"/>
      <c r="Y2854" s="6"/>
      <c r="Z2854" s="6"/>
      <c r="AA2854" s="6" t="s">
        <v>650</v>
      </c>
      <c r="AB2854" s="8"/>
      <c r="AC2854" s="27">
        <v>9785160211732</v>
      </c>
    </row>
    <row r="2855" spans="1:29" s="4" customFormat="1" ht="51.9" customHeight="1" x14ac:dyDescent="0.2">
      <c r="A2855" s="5">
        <v>0</v>
      </c>
      <c r="B2855" s="6" t="s">
        <v>16835</v>
      </c>
      <c r="C2855" s="7">
        <v>2200.8000000000002</v>
      </c>
      <c r="D2855" s="8" t="s">
        <v>16836</v>
      </c>
      <c r="E2855" s="8" t="s">
        <v>16825</v>
      </c>
      <c r="F2855" s="8" t="s">
        <v>16833</v>
      </c>
      <c r="G2855" s="6" t="s">
        <v>118</v>
      </c>
      <c r="H2855" s="6" t="s">
        <v>34</v>
      </c>
      <c r="I2855" s="8" t="s">
        <v>2025</v>
      </c>
      <c r="J2855" s="9">
        <v>1</v>
      </c>
      <c r="K2855" s="9">
        <v>399</v>
      </c>
      <c r="L2855" s="9">
        <v>2024</v>
      </c>
      <c r="M2855" s="8" t="s">
        <v>16837</v>
      </c>
      <c r="N2855" s="8" t="s">
        <v>37</v>
      </c>
      <c r="O2855" s="8" t="s">
        <v>280</v>
      </c>
      <c r="P2855" s="6" t="s">
        <v>306</v>
      </c>
      <c r="Q2855" s="8" t="s">
        <v>52</v>
      </c>
      <c r="R2855" s="10" t="s">
        <v>2053</v>
      </c>
      <c r="S2855" s="11" t="s">
        <v>16838</v>
      </c>
      <c r="T2855" s="6"/>
      <c r="U2855" s="15" t="str">
        <f>HYPERLINK("https://media.infra-m.ru/2082/2082047/cover/2082047.jpg", "Обложка")</f>
        <v>Обложка</v>
      </c>
      <c r="V2855" s="8" t="s">
        <v>247</v>
      </c>
      <c r="W2855" s="6"/>
      <c r="X2855" s="6"/>
      <c r="Y2855" s="6"/>
      <c r="Z2855" s="6"/>
      <c r="AA2855" s="6" t="s">
        <v>1256</v>
      </c>
      <c r="AB2855" s="8"/>
      <c r="AC2855" s="27">
        <v>9785160149615</v>
      </c>
    </row>
    <row r="2856" spans="1:29" s="4" customFormat="1" ht="51.9" customHeight="1" x14ac:dyDescent="0.2">
      <c r="A2856" s="5">
        <v>0</v>
      </c>
      <c r="B2856" s="6" t="s">
        <v>16839</v>
      </c>
      <c r="C2856" s="7">
        <v>1505.9</v>
      </c>
      <c r="D2856" s="8" t="s">
        <v>16840</v>
      </c>
      <c r="E2856" s="8" t="s">
        <v>16825</v>
      </c>
      <c r="F2856" s="8" t="s">
        <v>16841</v>
      </c>
      <c r="G2856" s="6" t="s">
        <v>60</v>
      </c>
      <c r="H2856" s="6" t="s">
        <v>313</v>
      </c>
      <c r="I2856" s="8" t="s">
        <v>253</v>
      </c>
      <c r="J2856" s="9">
        <v>1</v>
      </c>
      <c r="K2856" s="9">
        <v>369</v>
      </c>
      <c r="L2856" s="9">
        <v>2020</v>
      </c>
      <c r="M2856" s="8" t="s">
        <v>16842</v>
      </c>
      <c r="N2856" s="8" t="s">
        <v>37</v>
      </c>
      <c r="O2856" s="8" t="s">
        <v>233</v>
      </c>
      <c r="P2856" s="6" t="s">
        <v>51</v>
      </c>
      <c r="Q2856" s="8" t="s">
        <v>52</v>
      </c>
      <c r="R2856" s="10" t="s">
        <v>16843</v>
      </c>
      <c r="S2856" s="11" t="s">
        <v>16844</v>
      </c>
      <c r="T2856" s="6" t="s">
        <v>97</v>
      </c>
      <c r="U2856" s="15" t="str">
        <f>HYPERLINK("https://media.infra-m.ru/1085/1085282/cover/1085282.jpg", "Обложка")</f>
        <v>Обложка</v>
      </c>
      <c r="V2856" s="8"/>
      <c r="W2856" s="6"/>
      <c r="X2856" s="6"/>
      <c r="Y2856" s="6"/>
      <c r="Z2856" s="6"/>
      <c r="AA2856" s="6" t="s">
        <v>779</v>
      </c>
      <c r="AB2856" s="8"/>
      <c r="AC2856" s="27">
        <v>9785369015247</v>
      </c>
    </row>
    <row r="2857" spans="1:29" s="4" customFormat="1" ht="51.9" customHeight="1" x14ac:dyDescent="0.2">
      <c r="A2857" s="5">
        <v>0</v>
      </c>
      <c r="B2857" s="6" t="s">
        <v>16845</v>
      </c>
      <c r="C2857" s="7">
        <v>2788.8</v>
      </c>
      <c r="D2857" s="8" t="s">
        <v>16846</v>
      </c>
      <c r="E2857" s="8" t="s">
        <v>16832</v>
      </c>
      <c r="F2857" s="8" t="s">
        <v>16847</v>
      </c>
      <c r="G2857" s="6" t="s">
        <v>60</v>
      </c>
      <c r="H2857" s="6" t="s">
        <v>34</v>
      </c>
      <c r="I2857" s="8" t="s">
        <v>504</v>
      </c>
      <c r="J2857" s="9">
        <v>1</v>
      </c>
      <c r="K2857" s="9">
        <v>422</v>
      </c>
      <c r="L2857" s="9">
        <v>2026</v>
      </c>
      <c r="M2857" s="8" t="s">
        <v>16848</v>
      </c>
      <c r="N2857" s="8" t="s">
        <v>37</v>
      </c>
      <c r="O2857" s="8" t="s">
        <v>280</v>
      </c>
      <c r="P2857" s="6" t="s">
        <v>51</v>
      </c>
      <c r="Q2857" s="8" t="s">
        <v>500</v>
      </c>
      <c r="R2857" s="10" t="s">
        <v>3208</v>
      </c>
      <c r="S2857" s="11" t="s">
        <v>16849</v>
      </c>
      <c r="T2857" s="6"/>
      <c r="U2857" s="15" t="str">
        <f>HYPERLINK("https://media.infra-m.ru/2243/2243104/cover/2243104.jpg", "Обложка")</f>
        <v>Обложка</v>
      </c>
      <c r="V2857" s="8" t="s">
        <v>16850</v>
      </c>
      <c r="W2857" s="6"/>
      <c r="X2857" s="6"/>
      <c r="Y2857" s="6"/>
      <c r="Z2857" s="6"/>
      <c r="AA2857" s="6" t="s">
        <v>1303</v>
      </c>
      <c r="AB2857" s="8"/>
      <c r="AC2857" s="27">
        <v>9785160138190</v>
      </c>
    </row>
    <row r="2858" spans="1:29" s="4" customFormat="1" ht="51.9" customHeight="1" x14ac:dyDescent="0.2">
      <c r="A2858" s="5">
        <v>0</v>
      </c>
      <c r="B2858" s="6" t="s">
        <v>16851</v>
      </c>
      <c r="C2858" s="7">
        <v>1541.9</v>
      </c>
      <c r="D2858" s="8" t="s">
        <v>16852</v>
      </c>
      <c r="E2858" s="8" t="s">
        <v>16825</v>
      </c>
      <c r="F2858" s="8" t="s">
        <v>11412</v>
      </c>
      <c r="G2858" s="6" t="s">
        <v>118</v>
      </c>
      <c r="H2858" s="6" t="s">
        <v>34</v>
      </c>
      <c r="I2858" s="8" t="s">
        <v>271</v>
      </c>
      <c r="J2858" s="9">
        <v>1</v>
      </c>
      <c r="K2858" s="9">
        <v>286</v>
      </c>
      <c r="L2858" s="9">
        <v>2023</v>
      </c>
      <c r="M2858" s="8" t="s">
        <v>16853</v>
      </c>
      <c r="N2858" s="8" t="s">
        <v>37</v>
      </c>
      <c r="O2858" s="8" t="s">
        <v>280</v>
      </c>
      <c r="P2858" s="6" t="s">
        <v>51</v>
      </c>
      <c r="Q2858" s="8" t="s">
        <v>52</v>
      </c>
      <c r="R2858" s="10" t="s">
        <v>16854</v>
      </c>
      <c r="S2858" s="11" t="s">
        <v>16855</v>
      </c>
      <c r="T2858" s="6"/>
      <c r="U2858" s="15" t="str">
        <f>HYPERLINK("https://media.infra-m.ru/1981/1981586/cover/1981586.jpg", "Обложка")</f>
        <v>Обложка</v>
      </c>
      <c r="V2858" s="8" t="s">
        <v>1425</v>
      </c>
      <c r="W2858" s="6"/>
      <c r="X2858" s="6"/>
      <c r="Y2858" s="6"/>
      <c r="Z2858" s="6"/>
      <c r="AA2858" s="6" t="s">
        <v>99</v>
      </c>
      <c r="AB2858" s="8"/>
      <c r="AC2858" s="27">
        <v>9785160110813</v>
      </c>
    </row>
    <row r="2859" spans="1:29" s="4" customFormat="1" ht="44.1" customHeight="1" x14ac:dyDescent="0.2">
      <c r="A2859" s="5">
        <v>0</v>
      </c>
      <c r="B2859" s="6" t="s">
        <v>16856</v>
      </c>
      <c r="C2859" s="7">
        <v>1764</v>
      </c>
      <c r="D2859" s="8" t="s">
        <v>16857</v>
      </c>
      <c r="E2859" s="8" t="s">
        <v>16832</v>
      </c>
      <c r="F2859" s="8" t="s">
        <v>11412</v>
      </c>
      <c r="G2859" s="6" t="s">
        <v>60</v>
      </c>
      <c r="H2859" s="6" t="s">
        <v>34</v>
      </c>
      <c r="I2859" s="8" t="s">
        <v>253</v>
      </c>
      <c r="J2859" s="9">
        <v>1</v>
      </c>
      <c r="K2859" s="9">
        <v>294</v>
      </c>
      <c r="L2859" s="9">
        <v>2025</v>
      </c>
      <c r="M2859" s="8" t="s">
        <v>16858</v>
      </c>
      <c r="N2859" s="8" t="s">
        <v>37</v>
      </c>
      <c r="O2859" s="8" t="s">
        <v>280</v>
      </c>
      <c r="P2859" s="6" t="s">
        <v>51</v>
      </c>
      <c r="Q2859" s="8" t="s">
        <v>65</v>
      </c>
      <c r="R2859" s="10" t="s">
        <v>16854</v>
      </c>
      <c r="S2859" s="11"/>
      <c r="T2859" s="6"/>
      <c r="U2859" s="15" t="str">
        <f>HYPERLINK("https://media.infra-m.ru/2118/2118067/cover/2118067.jpg", "Обложка")</f>
        <v>Обложка</v>
      </c>
      <c r="V2859" s="8" t="s">
        <v>1425</v>
      </c>
      <c r="W2859" s="6"/>
      <c r="X2859" s="6"/>
      <c r="Y2859" s="6"/>
      <c r="Z2859" s="6"/>
      <c r="AA2859" s="6" t="s">
        <v>917</v>
      </c>
      <c r="AB2859" s="8"/>
      <c r="AC2859" s="27">
        <v>9785160194257</v>
      </c>
    </row>
    <row r="2860" spans="1:29" s="4" customFormat="1" ht="51.9" customHeight="1" x14ac:dyDescent="0.2">
      <c r="A2860" s="5">
        <v>0</v>
      </c>
      <c r="B2860" s="6" t="s">
        <v>16859</v>
      </c>
      <c r="C2860" s="7">
        <v>2388</v>
      </c>
      <c r="D2860" s="8" t="s">
        <v>16860</v>
      </c>
      <c r="E2860" s="8" t="s">
        <v>16861</v>
      </c>
      <c r="F2860" s="8" t="s">
        <v>16862</v>
      </c>
      <c r="G2860" s="6" t="s">
        <v>60</v>
      </c>
      <c r="H2860" s="6" t="s">
        <v>34</v>
      </c>
      <c r="I2860" s="8" t="s">
        <v>253</v>
      </c>
      <c r="J2860" s="9">
        <v>1</v>
      </c>
      <c r="K2860" s="9">
        <v>472</v>
      </c>
      <c r="L2860" s="9">
        <v>2024</v>
      </c>
      <c r="M2860" s="8" t="s">
        <v>16863</v>
      </c>
      <c r="N2860" s="8" t="s">
        <v>37</v>
      </c>
      <c r="O2860" s="8" t="s">
        <v>280</v>
      </c>
      <c r="P2860" s="6" t="s">
        <v>306</v>
      </c>
      <c r="Q2860" s="8" t="s">
        <v>52</v>
      </c>
      <c r="R2860" s="10" t="s">
        <v>16864</v>
      </c>
      <c r="S2860" s="11" t="s">
        <v>16865</v>
      </c>
      <c r="T2860" s="6"/>
      <c r="U2860" s="15" t="str">
        <f>HYPERLINK("https://media.infra-m.ru/2073/2073486/cover/2073486.jpg", "Обложка")</f>
        <v>Обложка</v>
      </c>
      <c r="V2860" s="8" t="s">
        <v>247</v>
      </c>
      <c r="W2860" s="6"/>
      <c r="X2860" s="6"/>
      <c r="Y2860" s="6"/>
      <c r="Z2860" s="6"/>
      <c r="AA2860" s="6" t="s">
        <v>779</v>
      </c>
      <c r="AB2860" s="8"/>
      <c r="AC2860" s="27">
        <v>9785160188706</v>
      </c>
    </row>
    <row r="2861" spans="1:29" s="4" customFormat="1" ht="51.9" customHeight="1" x14ac:dyDescent="0.2">
      <c r="A2861" s="5">
        <v>0</v>
      </c>
      <c r="B2861" s="6" t="s">
        <v>16866</v>
      </c>
      <c r="C2861" s="7">
        <v>1312.8</v>
      </c>
      <c r="D2861" s="8" t="s">
        <v>16867</v>
      </c>
      <c r="E2861" s="8" t="s">
        <v>16868</v>
      </c>
      <c r="F2861" s="8" t="s">
        <v>16869</v>
      </c>
      <c r="G2861" s="6" t="s">
        <v>33</v>
      </c>
      <c r="H2861" s="6" t="s">
        <v>34</v>
      </c>
      <c r="I2861" s="8" t="s">
        <v>35</v>
      </c>
      <c r="J2861" s="9">
        <v>1</v>
      </c>
      <c r="K2861" s="9">
        <v>184</v>
      </c>
      <c r="L2861" s="9">
        <v>2027</v>
      </c>
      <c r="M2861" s="8" t="s">
        <v>16870</v>
      </c>
      <c r="N2861" s="8" t="s">
        <v>37</v>
      </c>
      <c r="O2861" s="8" t="s">
        <v>280</v>
      </c>
      <c r="P2861" s="6" t="s">
        <v>39</v>
      </c>
      <c r="Q2861" s="8" t="s">
        <v>40</v>
      </c>
      <c r="R2861" s="10" t="s">
        <v>16871</v>
      </c>
      <c r="S2861" s="11"/>
      <c r="T2861" s="6"/>
      <c r="U2861" s="15" t="str">
        <f>HYPERLINK("https://media.infra-m.ru/2273/2273031/cover/2273031.jpg", "Обложка")</f>
        <v>Обложка</v>
      </c>
      <c r="V2861" s="8" t="s">
        <v>227</v>
      </c>
      <c r="W2861" s="6"/>
      <c r="X2861" s="6"/>
      <c r="Y2861" s="6"/>
      <c r="Z2861" s="6"/>
      <c r="AA2861" s="6" t="s">
        <v>43</v>
      </c>
      <c r="AB2861" s="8"/>
      <c r="AC2861" s="27">
        <v>9785160053677</v>
      </c>
    </row>
    <row r="2862" spans="1:29" s="4" customFormat="1" ht="42" customHeight="1" x14ac:dyDescent="0.2">
      <c r="A2862" s="5">
        <v>0</v>
      </c>
      <c r="B2862" s="6" t="s">
        <v>16872</v>
      </c>
      <c r="C2862" s="7">
        <v>2112</v>
      </c>
      <c r="D2862" s="8" t="s">
        <v>16873</v>
      </c>
      <c r="E2862" s="8" t="s">
        <v>16874</v>
      </c>
      <c r="F2862" s="8" t="s">
        <v>16875</v>
      </c>
      <c r="G2862" s="6" t="s">
        <v>60</v>
      </c>
      <c r="H2862" s="6" t="s">
        <v>34</v>
      </c>
      <c r="I2862" s="8" t="s">
        <v>253</v>
      </c>
      <c r="J2862" s="9">
        <v>1</v>
      </c>
      <c r="K2862" s="9">
        <v>339</v>
      </c>
      <c r="L2862" s="9">
        <v>2025</v>
      </c>
      <c r="M2862" s="8" t="s">
        <v>16876</v>
      </c>
      <c r="N2862" s="8" t="s">
        <v>37</v>
      </c>
      <c r="O2862" s="8" t="s">
        <v>233</v>
      </c>
      <c r="P2862" s="6" t="s">
        <v>306</v>
      </c>
      <c r="Q2862" s="8" t="s">
        <v>500</v>
      </c>
      <c r="R2862" s="10" t="s">
        <v>4075</v>
      </c>
      <c r="S2862" s="11"/>
      <c r="T2862" s="6"/>
      <c r="U2862" s="15" t="str">
        <f>HYPERLINK("https://media.infra-m.ru/2158/2158059/cover/2158059.jpg", "Обложка")</f>
        <v>Обложка</v>
      </c>
      <c r="V2862" s="8" t="s">
        <v>16877</v>
      </c>
      <c r="W2862" s="6"/>
      <c r="X2862" s="6"/>
      <c r="Y2862" s="6"/>
      <c r="Z2862" s="6"/>
      <c r="AA2862" s="6" t="s">
        <v>68</v>
      </c>
      <c r="AB2862" s="8"/>
      <c r="AC2862" s="27">
        <v>9785160201085</v>
      </c>
    </row>
    <row r="2863" spans="1:29" s="4" customFormat="1" ht="51.9" customHeight="1" x14ac:dyDescent="0.2">
      <c r="A2863" s="5">
        <v>0</v>
      </c>
      <c r="B2863" s="6" t="s">
        <v>16878</v>
      </c>
      <c r="C2863" s="13">
        <v>844.8</v>
      </c>
      <c r="D2863" s="8" t="s">
        <v>16879</v>
      </c>
      <c r="E2863" s="8" t="s">
        <v>16880</v>
      </c>
      <c r="F2863" s="8" t="s">
        <v>16881</v>
      </c>
      <c r="G2863" s="6" t="s">
        <v>33</v>
      </c>
      <c r="H2863" s="6" t="s">
        <v>34</v>
      </c>
      <c r="I2863" s="8" t="s">
        <v>263</v>
      </c>
      <c r="J2863" s="9">
        <v>1</v>
      </c>
      <c r="K2863" s="9">
        <v>128</v>
      </c>
      <c r="L2863" s="9">
        <v>2026</v>
      </c>
      <c r="M2863" s="8" t="s">
        <v>16882</v>
      </c>
      <c r="N2863" s="8" t="s">
        <v>93</v>
      </c>
      <c r="O2863" s="8" t="s">
        <v>94</v>
      </c>
      <c r="P2863" s="6" t="s">
        <v>105</v>
      </c>
      <c r="Q2863" s="8" t="s">
        <v>265</v>
      </c>
      <c r="R2863" s="10" t="s">
        <v>7037</v>
      </c>
      <c r="S2863" s="11" t="s">
        <v>1191</v>
      </c>
      <c r="T2863" s="6"/>
      <c r="U2863" s="15" t="str">
        <f>HYPERLINK("https://media.infra-m.ru/2256/2256922/cover/2256922.jpg", "Обложка")</f>
        <v>Обложка</v>
      </c>
      <c r="V2863" s="8" t="s">
        <v>6474</v>
      </c>
      <c r="W2863" s="6"/>
      <c r="X2863" s="6"/>
      <c r="Y2863" s="6"/>
      <c r="Z2863" s="6" t="s">
        <v>705</v>
      </c>
      <c r="AA2863" s="6" t="s">
        <v>2259</v>
      </c>
      <c r="AB2863" s="8"/>
      <c r="AC2863" s="27">
        <v>9785160149639</v>
      </c>
    </row>
    <row r="2864" spans="1:29" s="4" customFormat="1" ht="44.1" customHeight="1" x14ac:dyDescent="0.2">
      <c r="A2864" s="5">
        <v>0</v>
      </c>
      <c r="B2864" s="6" t="s">
        <v>16883</v>
      </c>
      <c r="C2864" s="13">
        <v>852</v>
      </c>
      <c r="D2864" s="8" t="s">
        <v>16884</v>
      </c>
      <c r="E2864" s="8" t="s">
        <v>16880</v>
      </c>
      <c r="F2864" s="8" t="s">
        <v>16881</v>
      </c>
      <c r="G2864" s="6" t="s">
        <v>33</v>
      </c>
      <c r="H2864" s="6" t="s">
        <v>34</v>
      </c>
      <c r="I2864" s="8" t="s">
        <v>91</v>
      </c>
      <c r="J2864" s="9">
        <v>1</v>
      </c>
      <c r="K2864" s="9">
        <v>128</v>
      </c>
      <c r="L2864" s="9">
        <v>2026</v>
      </c>
      <c r="M2864" s="8" t="s">
        <v>16885</v>
      </c>
      <c r="N2864" s="8" t="s">
        <v>93</v>
      </c>
      <c r="O2864" s="8" t="s">
        <v>94</v>
      </c>
      <c r="P2864" s="6" t="s">
        <v>95</v>
      </c>
      <c r="Q2864" s="8" t="s">
        <v>749</v>
      </c>
      <c r="R2864" s="10" t="s">
        <v>16886</v>
      </c>
      <c r="S2864" s="11"/>
      <c r="T2864" s="6"/>
      <c r="U2864" s="15" t="str">
        <f>HYPERLINK("https://media.infra-m.ru/2219/2219016/cover/2219016.jpg", "Обложка")</f>
        <v>Обложка</v>
      </c>
      <c r="V2864" s="8" t="s">
        <v>6474</v>
      </c>
      <c r="W2864" s="6"/>
      <c r="X2864" s="6"/>
      <c r="Y2864" s="6"/>
      <c r="Z2864" s="6"/>
      <c r="AA2864" s="6" t="s">
        <v>15559</v>
      </c>
      <c r="AB2864" s="8"/>
      <c r="AC2864" s="27">
        <v>9785160118277</v>
      </c>
    </row>
    <row r="2865" spans="1:29" s="4" customFormat="1" ht="51.9" customHeight="1" x14ac:dyDescent="0.2">
      <c r="A2865" s="5">
        <v>0</v>
      </c>
      <c r="B2865" s="6" t="s">
        <v>16887</v>
      </c>
      <c r="C2865" s="7">
        <v>3564</v>
      </c>
      <c r="D2865" s="8" t="s">
        <v>16888</v>
      </c>
      <c r="E2865" s="8" t="s">
        <v>16889</v>
      </c>
      <c r="F2865" s="8" t="s">
        <v>16890</v>
      </c>
      <c r="G2865" s="6" t="s">
        <v>60</v>
      </c>
      <c r="H2865" s="6" t="s">
        <v>34</v>
      </c>
      <c r="I2865" s="8" t="s">
        <v>504</v>
      </c>
      <c r="J2865" s="9">
        <v>1</v>
      </c>
      <c r="K2865" s="9">
        <v>567</v>
      </c>
      <c r="L2865" s="9">
        <v>2026</v>
      </c>
      <c r="M2865" s="8" t="s">
        <v>16891</v>
      </c>
      <c r="N2865" s="8" t="s">
        <v>93</v>
      </c>
      <c r="O2865" s="8" t="s">
        <v>94</v>
      </c>
      <c r="P2865" s="6" t="s">
        <v>306</v>
      </c>
      <c r="Q2865" s="8" t="s">
        <v>500</v>
      </c>
      <c r="R2865" s="10" t="s">
        <v>16892</v>
      </c>
      <c r="S2865" s="11"/>
      <c r="T2865" s="6"/>
      <c r="U2865" s="15" t="str">
        <f>HYPERLINK("https://media.infra-m.ru/2187/2187620/cover/2187620.jpg", "Обложка")</f>
        <v>Обложка</v>
      </c>
      <c r="V2865" s="8" t="s">
        <v>1599</v>
      </c>
      <c r="W2865" s="6"/>
      <c r="X2865" s="6"/>
      <c r="Y2865" s="6"/>
      <c r="Z2865" s="6"/>
      <c r="AA2865" s="6" t="s">
        <v>187</v>
      </c>
      <c r="AB2865" s="8" t="s">
        <v>4718</v>
      </c>
      <c r="AC2865" s="27">
        <v>9785160206684</v>
      </c>
    </row>
    <row r="2866" spans="1:29" s="4" customFormat="1" ht="42" customHeight="1" x14ac:dyDescent="0.2">
      <c r="A2866" s="5">
        <v>0</v>
      </c>
      <c r="B2866" s="6" t="s">
        <v>16893</v>
      </c>
      <c r="C2866" s="7">
        <v>3072</v>
      </c>
      <c r="D2866" s="8" t="s">
        <v>16894</v>
      </c>
      <c r="E2866" s="8" t="s">
        <v>16889</v>
      </c>
      <c r="F2866" s="8" t="s">
        <v>16890</v>
      </c>
      <c r="G2866" s="6" t="s">
        <v>60</v>
      </c>
      <c r="H2866" s="6" t="s">
        <v>34</v>
      </c>
      <c r="I2866" s="8" t="s">
        <v>253</v>
      </c>
      <c r="J2866" s="9">
        <v>1</v>
      </c>
      <c r="K2866" s="9">
        <v>492</v>
      </c>
      <c r="L2866" s="9">
        <v>2025</v>
      </c>
      <c r="M2866" s="8" t="s">
        <v>16895</v>
      </c>
      <c r="N2866" s="8" t="s">
        <v>93</v>
      </c>
      <c r="O2866" s="8" t="s">
        <v>94</v>
      </c>
      <c r="P2866" s="6" t="s">
        <v>306</v>
      </c>
      <c r="Q2866" s="8" t="s">
        <v>52</v>
      </c>
      <c r="R2866" s="10" t="s">
        <v>9415</v>
      </c>
      <c r="S2866" s="11"/>
      <c r="T2866" s="6"/>
      <c r="U2866" s="15" t="str">
        <f>HYPERLINK("https://media.infra-m.ru/2157/2157616/cover/2157616.jpg", "Обложка")</f>
        <v>Обложка</v>
      </c>
      <c r="V2866" s="8" t="s">
        <v>1599</v>
      </c>
      <c r="W2866" s="6"/>
      <c r="X2866" s="6"/>
      <c r="Y2866" s="6"/>
      <c r="Z2866" s="6"/>
      <c r="AA2866" s="6" t="s">
        <v>68</v>
      </c>
      <c r="AB2866" s="8" t="s">
        <v>12037</v>
      </c>
      <c r="AC2866" s="27">
        <v>9785160200903</v>
      </c>
    </row>
    <row r="2867" spans="1:29" s="4" customFormat="1" ht="51.9" customHeight="1" x14ac:dyDescent="0.2">
      <c r="A2867" s="5">
        <v>0</v>
      </c>
      <c r="B2867" s="6" t="s">
        <v>16896</v>
      </c>
      <c r="C2867" s="7">
        <v>2140.8000000000002</v>
      </c>
      <c r="D2867" s="8" t="s">
        <v>16897</v>
      </c>
      <c r="E2867" s="8" t="s">
        <v>16898</v>
      </c>
      <c r="F2867" s="8" t="s">
        <v>16899</v>
      </c>
      <c r="G2867" s="6" t="s">
        <v>118</v>
      </c>
      <c r="H2867" s="6" t="s">
        <v>34</v>
      </c>
      <c r="I2867" s="8" t="s">
        <v>263</v>
      </c>
      <c r="J2867" s="9">
        <v>1</v>
      </c>
      <c r="K2867" s="9">
        <v>308</v>
      </c>
      <c r="L2867" s="9">
        <v>2027</v>
      </c>
      <c r="M2867" s="8" t="s">
        <v>16900</v>
      </c>
      <c r="N2867" s="8" t="s">
        <v>93</v>
      </c>
      <c r="O2867" s="8" t="s">
        <v>94</v>
      </c>
      <c r="P2867" s="6" t="s">
        <v>51</v>
      </c>
      <c r="Q2867" s="8" t="s">
        <v>265</v>
      </c>
      <c r="R2867" s="10" t="s">
        <v>16901</v>
      </c>
      <c r="S2867" s="11" t="s">
        <v>16902</v>
      </c>
      <c r="T2867" s="6"/>
      <c r="U2867" s="15" t="str">
        <f>HYPERLINK("https://media.infra-m.ru/2261/2261989/cover/2261989.jpg", "Обложка")</f>
        <v>Обложка</v>
      </c>
      <c r="V2867" s="8" t="s">
        <v>16903</v>
      </c>
      <c r="W2867" s="6"/>
      <c r="X2867" s="6"/>
      <c r="Y2867" s="6"/>
      <c r="Z2867" s="6" t="s">
        <v>882</v>
      </c>
      <c r="AA2867" s="6" t="s">
        <v>148</v>
      </c>
      <c r="AB2867" s="8"/>
      <c r="AC2867" s="27">
        <v>9785160170992</v>
      </c>
    </row>
    <row r="2868" spans="1:29" s="4" customFormat="1" ht="51.9" customHeight="1" x14ac:dyDescent="0.2">
      <c r="A2868" s="5">
        <v>0</v>
      </c>
      <c r="B2868" s="6" t="s">
        <v>16904</v>
      </c>
      <c r="C2868" s="7">
        <v>2040</v>
      </c>
      <c r="D2868" s="8" t="s">
        <v>16905</v>
      </c>
      <c r="E2868" s="8" t="s">
        <v>16898</v>
      </c>
      <c r="F2868" s="8" t="s">
        <v>16899</v>
      </c>
      <c r="G2868" s="6" t="s">
        <v>118</v>
      </c>
      <c r="H2868" s="6" t="s">
        <v>34</v>
      </c>
      <c r="I2868" s="8" t="s">
        <v>253</v>
      </c>
      <c r="J2868" s="9">
        <v>1</v>
      </c>
      <c r="K2868" s="9">
        <v>308</v>
      </c>
      <c r="L2868" s="9">
        <v>2026</v>
      </c>
      <c r="M2868" s="8" t="s">
        <v>16906</v>
      </c>
      <c r="N2868" s="8" t="s">
        <v>93</v>
      </c>
      <c r="O2868" s="8" t="s">
        <v>94</v>
      </c>
      <c r="P2868" s="6" t="s">
        <v>51</v>
      </c>
      <c r="Q2868" s="8" t="s">
        <v>65</v>
      </c>
      <c r="R2868" s="10" t="s">
        <v>9415</v>
      </c>
      <c r="S2868" s="11" t="s">
        <v>16907</v>
      </c>
      <c r="T2868" s="6"/>
      <c r="U2868" s="15" t="str">
        <f>HYPERLINK("https://media.infra-m.ru/2255/2255713/cover/2255713.jpg", "Обложка")</f>
        <v>Обложка</v>
      </c>
      <c r="V2868" s="8" t="s">
        <v>16903</v>
      </c>
      <c r="W2868" s="6"/>
      <c r="X2868" s="6"/>
      <c r="Y2868" s="6"/>
      <c r="Z2868" s="6" t="s">
        <v>16908</v>
      </c>
      <c r="AA2868" s="6" t="s">
        <v>430</v>
      </c>
      <c r="AB2868" s="8"/>
      <c r="AC2868" s="27">
        <v>9785160189550</v>
      </c>
    </row>
    <row r="2869" spans="1:29" s="4" customFormat="1" ht="51.9" customHeight="1" x14ac:dyDescent="0.2">
      <c r="A2869" s="5">
        <v>0</v>
      </c>
      <c r="B2869" s="6" t="s">
        <v>16909</v>
      </c>
      <c r="C2869" s="7">
        <v>2040</v>
      </c>
      <c r="D2869" s="8" t="s">
        <v>16910</v>
      </c>
      <c r="E2869" s="8" t="s">
        <v>16898</v>
      </c>
      <c r="F2869" s="8" t="s">
        <v>16899</v>
      </c>
      <c r="G2869" s="6" t="s">
        <v>118</v>
      </c>
      <c r="H2869" s="6" t="s">
        <v>34</v>
      </c>
      <c r="I2869" s="8" t="s">
        <v>91</v>
      </c>
      <c r="J2869" s="9">
        <v>1</v>
      </c>
      <c r="K2869" s="9">
        <v>308</v>
      </c>
      <c r="L2869" s="9">
        <v>2026</v>
      </c>
      <c r="M2869" s="8" t="s">
        <v>16911</v>
      </c>
      <c r="N2869" s="8" t="s">
        <v>93</v>
      </c>
      <c r="O2869" s="8" t="s">
        <v>94</v>
      </c>
      <c r="P2869" s="6" t="s">
        <v>51</v>
      </c>
      <c r="Q2869" s="8" t="s">
        <v>65</v>
      </c>
      <c r="R2869" s="10" t="s">
        <v>16912</v>
      </c>
      <c r="S2869" s="11"/>
      <c r="T2869" s="6"/>
      <c r="U2869" s="15" t="str">
        <f>HYPERLINK("https://media.infra-m.ru/2244/2244262/cover/2244262.jpg", "Обложка")</f>
        <v>Обложка</v>
      </c>
      <c r="V2869" s="8" t="s">
        <v>16903</v>
      </c>
      <c r="W2869" s="6"/>
      <c r="X2869" s="6"/>
      <c r="Y2869" s="6"/>
      <c r="Z2869" s="6"/>
      <c r="AA2869" s="6" t="s">
        <v>430</v>
      </c>
      <c r="AB2869" s="8"/>
      <c r="AC2869" s="27">
        <v>9785160154114</v>
      </c>
    </row>
    <row r="2870" spans="1:29" s="4" customFormat="1" ht="42" customHeight="1" x14ac:dyDescent="0.2">
      <c r="A2870" s="5">
        <v>0</v>
      </c>
      <c r="B2870" s="6" t="s">
        <v>16913</v>
      </c>
      <c r="C2870" s="7">
        <v>1116</v>
      </c>
      <c r="D2870" s="8" t="s">
        <v>16914</v>
      </c>
      <c r="E2870" s="8" t="s">
        <v>16915</v>
      </c>
      <c r="F2870" s="8" t="s">
        <v>16916</v>
      </c>
      <c r="G2870" s="6" t="s">
        <v>118</v>
      </c>
      <c r="H2870" s="6" t="s">
        <v>34</v>
      </c>
      <c r="I2870" s="8" t="s">
        <v>35</v>
      </c>
      <c r="J2870" s="9">
        <v>1</v>
      </c>
      <c r="K2870" s="9">
        <v>168</v>
      </c>
      <c r="L2870" s="9">
        <v>2026</v>
      </c>
      <c r="M2870" s="8" t="s">
        <v>16917</v>
      </c>
      <c r="N2870" s="8" t="s">
        <v>93</v>
      </c>
      <c r="O2870" s="8" t="s">
        <v>94</v>
      </c>
      <c r="P2870" s="6" t="s">
        <v>39</v>
      </c>
      <c r="Q2870" s="8" t="s">
        <v>40</v>
      </c>
      <c r="R2870" s="10" t="s">
        <v>9415</v>
      </c>
      <c r="S2870" s="11"/>
      <c r="T2870" s="6"/>
      <c r="U2870" s="15" t="str">
        <f>HYPERLINK("https://media.infra-m.ru/2249/2249523/cover/2249523.jpg", "Обложка")</f>
        <v>Обложка</v>
      </c>
      <c r="V2870" s="8" t="s">
        <v>7031</v>
      </c>
      <c r="W2870" s="6"/>
      <c r="X2870" s="6"/>
      <c r="Y2870" s="6"/>
      <c r="Z2870" s="6"/>
      <c r="AA2870" s="6" t="s">
        <v>68</v>
      </c>
      <c r="AB2870" s="8"/>
      <c r="AC2870" s="27">
        <v>9785160197067</v>
      </c>
    </row>
    <row r="2871" spans="1:29" s="4" customFormat="1" ht="42" customHeight="1" x14ac:dyDescent="0.2">
      <c r="A2871" s="5">
        <v>0</v>
      </c>
      <c r="B2871" s="6" t="s">
        <v>16918</v>
      </c>
      <c r="C2871" s="7">
        <v>1696.8</v>
      </c>
      <c r="D2871" s="8" t="s">
        <v>16919</v>
      </c>
      <c r="E2871" s="8" t="s">
        <v>16920</v>
      </c>
      <c r="F2871" s="8" t="s">
        <v>16921</v>
      </c>
      <c r="G2871" s="6" t="s">
        <v>60</v>
      </c>
      <c r="H2871" s="6" t="s">
        <v>48</v>
      </c>
      <c r="I2871" s="8"/>
      <c r="J2871" s="9">
        <v>1</v>
      </c>
      <c r="K2871" s="9">
        <v>272</v>
      </c>
      <c r="L2871" s="9">
        <v>2026</v>
      </c>
      <c r="M2871" s="8" t="s">
        <v>16922</v>
      </c>
      <c r="N2871" s="8" t="s">
        <v>93</v>
      </c>
      <c r="O2871" s="8" t="s">
        <v>94</v>
      </c>
      <c r="P2871" s="6" t="s">
        <v>105</v>
      </c>
      <c r="Q2871" s="8" t="s">
        <v>52</v>
      </c>
      <c r="R2871" s="10" t="s">
        <v>16923</v>
      </c>
      <c r="S2871" s="11"/>
      <c r="T2871" s="6"/>
      <c r="U2871" s="15" t="str">
        <f>HYPERLINK("https://media.infra-m.ru/2219/2219022/cover/2219022.jpg", "Обложка")</f>
        <v>Обложка</v>
      </c>
      <c r="V2871" s="8" t="s">
        <v>164</v>
      </c>
      <c r="W2871" s="6"/>
      <c r="X2871" s="6"/>
      <c r="Y2871" s="6"/>
      <c r="Z2871" s="6"/>
      <c r="AA2871" s="6" t="s">
        <v>43</v>
      </c>
      <c r="AB2871" s="8"/>
      <c r="AC2871" s="27">
        <v>9785911346775</v>
      </c>
    </row>
    <row r="2872" spans="1:29" s="4" customFormat="1" ht="51.9" customHeight="1" x14ac:dyDescent="0.2">
      <c r="A2872" s="5">
        <v>0</v>
      </c>
      <c r="B2872" s="6" t="s">
        <v>16924</v>
      </c>
      <c r="C2872" s="7">
        <v>1008</v>
      </c>
      <c r="D2872" s="8" t="s">
        <v>16925</v>
      </c>
      <c r="E2872" s="8" t="s">
        <v>16926</v>
      </c>
      <c r="F2872" s="8" t="s">
        <v>16927</v>
      </c>
      <c r="G2872" s="6" t="s">
        <v>33</v>
      </c>
      <c r="H2872" s="6" t="s">
        <v>34</v>
      </c>
      <c r="I2872" s="8" t="s">
        <v>1074</v>
      </c>
      <c r="J2872" s="9">
        <v>1</v>
      </c>
      <c r="K2872" s="9">
        <v>156</v>
      </c>
      <c r="L2872" s="9">
        <v>2026</v>
      </c>
      <c r="M2872" s="8" t="s">
        <v>16928</v>
      </c>
      <c r="N2872" s="8" t="s">
        <v>37</v>
      </c>
      <c r="O2872" s="8" t="s">
        <v>136</v>
      </c>
      <c r="P2872" s="6" t="s">
        <v>95</v>
      </c>
      <c r="Q2872" s="8" t="s">
        <v>40</v>
      </c>
      <c r="R2872" s="10" t="s">
        <v>16929</v>
      </c>
      <c r="S2872" s="11"/>
      <c r="T2872" s="6"/>
      <c r="U2872" s="15" t="str">
        <f>HYPERLINK("https://media.infra-m.ru/2219/2219031/cover/2219031.jpg", "Обложка")</f>
        <v>Обложка</v>
      </c>
      <c r="V2872" s="8" t="s">
        <v>657</v>
      </c>
      <c r="W2872" s="6"/>
      <c r="X2872" s="6"/>
      <c r="Y2872" s="6"/>
      <c r="Z2872" s="6"/>
      <c r="AA2872" s="6" t="s">
        <v>779</v>
      </c>
      <c r="AB2872" s="8"/>
      <c r="AC2872" s="27">
        <v>9785160120867</v>
      </c>
    </row>
    <row r="2873" spans="1:29" s="4" customFormat="1" ht="51.9" customHeight="1" x14ac:dyDescent="0.2">
      <c r="A2873" s="5">
        <v>0</v>
      </c>
      <c r="B2873" s="6" t="s">
        <v>16930</v>
      </c>
      <c r="C2873" s="13">
        <v>780</v>
      </c>
      <c r="D2873" s="8" t="s">
        <v>16931</v>
      </c>
      <c r="E2873" s="8" t="s">
        <v>16932</v>
      </c>
      <c r="F2873" s="8" t="s">
        <v>16933</v>
      </c>
      <c r="G2873" s="6" t="s">
        <v>33</v>
      </c>
      <c r="H2873" s="6" t="s">
        <v>34</v>
      </c>
      <c r="I2873" s="8" t="s">
        <v>3620</v>
      </c>
      <c r="J2873" s="9">
        <v>1</v>
      </c>
      <c r="K2873" s="9">
        <v>118</v>
      </c>
      <c r="L2873" s="9">
        <v>2026</v>
      </c>
      <c r="M2873" s="8" t="s">
        <v>16934</v>
      </c>
      <c r="N2873" s="8" t="s">
        <v>243</v>
      </c>
      <c r="O2873" s="8" t="s">
        <v>329</v>
      </c>
      <c r="P2873" s="6" t="s">
        <v>51</v>
      </c>
      <c r="Q2873" s="8" t="s">
        <v>52</v>
      </c>
      <c r="R2873" s="10" t="s">
        <v>16935</v>
      </c>
      <c r="S2873" s="11" t="s">
        <v>16936</v>
      </c>
      <c r="T2873" s="6"/>
      <c r="U2873" s="15" t="str">
        <f>HYPERLINK("https://media.infra-m.ru/2254/2254632/cover/2254632.jpg", "Обложка")</f>
        <v>Обложка</v>
      </c>
      <c r="V2873" s="8" t="s">
        <v>2398</v>
      </c>
      <c r="W2873" s="6"/>
      <c r="X2873" s="6"/>
      <c r="Y2873" s="6"/>
      <c r="Z2873" s="6"/>
      <c r="AA2873" s="6" t="s">
        <v>779</v>
      </c>
      <c r="AB2873" s="8"/>
      <c r="AC2873" s="27">
        <v>9785160118222</v>
      </c>
    </row>
    <row r="2874" spans="1:29" s="4" customFormat="1" ht="42" customHeight="1" x14ac:dyDescent="0.2">
      <c r="A2874" s="5">
        <v>0</v>
      </c>
      <c r="B2874" s="6" t="s">
        <v>16937</v>
      </c>
      <c r="C2874" s="7">
        <v>1732.8</v>
      </c>
      <c r="D2874" s="8" t="s">
        <v>16938</v>
      </c>
      <c r="E2874" s="8" t="s">
        <v>16939</v>
      </c>
      <c r="F2874" s="8" t="s">
        <v>16940</v>
      </c>
      <c r="G2874" s="6" t="s">
        <v>60</v>
      </c>
      <c r="H2874" s="6" t="s">
        <v>34</v>
      </c>
      <c r="I2874" s="8" t="s">
        <v>35</v>
      </c>
      <c r="J2874" s="9">
        <v>1</v>
      </c>
      <c r="K2874" s="9">
        <v>255</v>
      </c>
      <c r="L2874" s="9">
        <v>2025</v>
      </c>
      <c r="M2874" s="8" t="s">
        <v>16941</v>
      </c>
      <c r="N2874" s="8" t="s">
        <v>243</v>
      </c>
      <c r="O2874" s="8" t="s">
        <v>798</v>
      </c>
      <c r="P2874" s="6" t="s">
        <v>39</v>
      </c>
      <c r="Q2874" s="8" t="s">
        <v>40</v>
      </c>
      <c r="R2874" s="10" t="s">
        <v>7812</v>
      </c>
      <c r="S2874" s="11"/>
      <c r="T2874" s="6"/>
      <c r="U2874" s="15" t="str">
        <f>HYPERLINK("https://media.infra-m.ru/2226/2226832/cover/2226832.jpg", "Обложка")</f>
        <v>Обложка</v>
      </c>
      <c r="V2874" s="8" t="s">
        <v>2382</v>
      </c>
      <c r="W2874" s="6"/>
      <c r="X2874" s="6"/>
      <c r="Y2874" s="6"/>
      <c r="Z2874" s="6"/>
      <c r="AA2874" s="6" t="s">
        <v>68</v>
      </c>
      <c r="AB2874" s="8"/>
      <c r="AC2874" s="27">
        <v>9785160206271</v>
      </c>
    </row>
    <row r="2875" spans="1:29" s="4" customFormat="1" ht="42" customHeight="1" x14ac:dyDescent="0.2">
      <c r="A2875" s="5">
        <v>0</v>
      </c>
      <c r="B2875" s="6" t="s">
        <v>16942</v>
      </c>
      <c r="C2875" s="13">
        <v>592.79999999999995</v>
      </c>
      <c r="D2875" s="8" t="s">
        <v>16943</v>
      </c>
      <c r="E2875" s="8" t="s">
        <v>16944</v>
      </c>
      <c r="F2875" s="8" t="s">
        <v>16945</v>
      </c>
      <c r="G2875" s="6" t="s">
        <v>33</v>
      </c>
      <c r="H2875" s="6" t="s">
        <v>34</v>
      </c>
      <c r="I2875" s="8" t="s">
        <v>35</v>
      </c>
      <c r="J2875" s="9">
        <v>1</v>
      </c>
      <c r="K2875" s="9">
        <v>88</v>
      </c>
      <c r="L2875" s="9">
        <v>2025</v>
      </c>
      <c r="M2875" s="8" t="s">
        <v>16946</v>
      </c>
      <c r="N2875" s="8" t="s">
        <v>243</v>
      </c>
      <c r="O2875" s="8" t="s">
        <v>758</v>
      </c>
      <c r="P2875" s="6" t="s">
        <v>39</v>
      </c>
      <c r="Q2875" s="8" t="s">
        <v>40</v>
      </c>
      <c r="R2875" s="10" t="s">
        <v>4782</v>
      </c>
      <c r="S2875" s="11"/>
      <c r="T2875" s="6"/>
      <c r="U2875" s="15" t="str">
        <f>HYPERLINK("https://media.infra-m.ru/2212/2212065/cover/2212065.jpg", "Обложка")</f>
        <v>Обложка</v>
      </c>
      <c r="V2875" s="8" t="s">
        <v>5117</v>
      </c>
      <c r="W2875" s="6"/>
      <c r="X2875" s="6"/>
      <c r="Y2875" s="6"/>
      <c r="Z2875" s="6"/>
      <c r="AA2875" s="6" t="s">
        <v>86</v>
      </c>
      <c r="AB2875" s="8"/>
      <c r="AC2875" s="27">
        <v>9785160130491</v>
      </c>
    </row>
    <row r="2876" spans="1:29" s="4" customFormat="1" ht="51.9" customHeight="1" x14ac:dyDescent="0.2">
      <c r="A2876" s="5">
        <v>0</v>
      </c>
      <c r="B2876" s="6" t="s">
        <v>16947</v>
      </c>
      <c r="C2876" s="7">
        <v>1188</v>
      </c>
      <c r="D2876" s="8" t="s">
        <v>16948</v>
      </c>
      <c r="E2876" s="8" t="s">
        <v>16949</v>
      </c>
      <c r="F2876" s="8" t="s">
        <v>7314</v>
      </c>
      <c r="G2876" s="6" t="s">
        <v>118</v>
      </c>
      <c r="H2876" s="6" t="s">
        <v>134</v>
      </c>
      <c r="I2876" s="8"/>
      <c r="J2876" s="9">
        <v>1</v>
      </c>
      <c r="K2876" s="9">
        <v>168</v>
      </c>
      <c r="L2876" s="9">
        <v>2026</v>
      </c>
      <c r="M2876" s="8" t="s">
        <v>16950</v>
      </c>
      <c r="N2876" s="8" t="s">
        <v>37</v>
      </c>
      <c r="O2876" s="8" t="s">
        <v>136</v>
      </c>
      <c r="P2876" s="6" t="s">
        <v>1837</v>
      </c>
      <c r="Q2876" s="8" t="s">
        <v>40</v>
      </c>
      <c r="R2876" s="10" t="s">
        <v>484</v>
      </c>
      <c r="S2876" s="11"/>
      <c r="T2876" s="6"/>
      <c r="U2876" s="15" t="str">
        <f>HYPERLINK("https://media.infra-m.ru/2233/2233794/cover/2233794.jpg", "Обложка")</f>
        <v>Обложка</v>
      </c>
      <c r="V2876" s="8" t="s">
        <v>1069</v>
      </c>
      <c r="W2876" s="6"/>
      <c r="X2876" s="6"/>
      <c r="Y2876" s="6"/>
      <c r="Z2876" s="6"/>
      <c r="AA2876" s="6" t="s">
        <v>115</v>
      </c>
      <c r="AB2876" s="8"/>
      <c r="AC2876" s="27">
        <v>9785917687957</v>
      </c>
    </row>
    <row r="2877" spans="1:29" s="4" customFormat="1" ht="44.1" customHeight="1" x14ac:dyDescent="0.2">
      <c r="A2877" s="5">
        <v>0</v>
      </c>
      <c r="B2877" s="6" t="s">
        <v>16951</v>
      </c>
      <c r="C2877" s="7">
        <v>1404</v>
      </c>
      <c r="D2877" s="8" t="s">
        <v>16952</v>
      </c>
      <c r="E2877" s="8" t="s">
        <v>16953</v>
      </c>
      <c r="F2877" s="8" t="s">
        <v>16954</v>
      </c>
      <c r="G2877" s="6" t="s">
        <v>60</v>
      </c>
      <c r="H2877" s="6" t="s">
        <v>34</v>
      </c>
      <c r="I2877" s="8" t="s">
        <v>35</v>
      </c>
      <c r="J2877" s="9">
        <v>1</v>
      </c>
      <c r="K2877" s="9">
        <v>245</v>
      </c>
      <c r="L2877" s="9">
        <v>2024</v>
      </c>
      <c r="M2877" s="8" t="s">
        <v>16955</v>
      </c>
      <c r="N2877" s="8" t="s">
        <v>37</v>
      </c>
      <c r="O2877" s="8" t="s">
        <v>83</v>
      </c>
      <c r="P2877" s="6" t="s">
        <v>39</v>
      </c>
      <c r="Q2877" s="8" t="s">
        <v>40</v>
      </c>
      <c r="R2877" s="10" t="s">
        <v>16956</v>
      </c>
      <c r="S2877" s="11"/>
      <c r="T2877" s="6"/>
      <c r="U2877" s="15" t="str">
        <f>HYPERLINK("https://media.infra-m.ru/2110/2110854/cover/2110854.jpg", "Обложка")</f>
        <v>Обложка</v>
      </c>
      <c r="V2877" s="8" t="s">
        <v>16850</v>
      </c>
      <c r="W2877" s="6"/>
      <c r="X2877" s="6"/>
      <c r="Y2877" s="6"/>
      <c r="Z2877" s="6"/>
      <c r="AA2877" s="6" t="s">
        <v>76</v>
      </c>
      <c r="AB2877" s="8"/>
      <c r="AC2877" s="27">
        <v>9785160193441</v>
      </c>
    </row>
    <row r="2878" spans="1:29" s="4" customFormat="1" ht="51.9" customHeight="1" x14ac:dyDescent="0.2">
      <c r="A2878" s="5">
        <v>0</v>
      </c>
      <c r="B2878" s="6" t="s">
        <v>16957</v>
      </c>
      <c r="C2878" s="7">
        <v>1836</v>
      </c>
      <c r="D2878" s="8" t="s">
        <v>16958</v>
      </c>
      <c r="E2878" s="8" t="s">
        <v>16959</v>
      </c>
      <c r="F2878" s="8" t="s">
        <v>16960</v>
      </c>
      <c r="G2878" s="6" t="s">
        <v>33</v>
      </c>
      <c r="H2878" s="6" t="s">
        <v>34</v>
      </c>
      <c r="I2878" s="8" t="s">
        <v>35</v>
      </c>
      <c r="J2878" s="9">
        <v>1</v>
      </c>
      <c r="K2878" s="9">
        <v>278</v>
      </c>
      <c r="L2878" s="9">
        <v>2026</v>
      </c>
      <c r="M2878" s="8" t="s">
        <v>16961</v>
      </c>
      <c r="N2878" s="8" t="s">
        <v>585</v>
      </c>
      <c r="O2878" s="8" t="s">
        <v>775</v>
      </c>
      <c r="P2878" s="6" t="s">
        <v>39</v>
      </c>
      <c r="Q2878" s="8" t="s">
        <v>40</v>
      </c>
      <c r="R2878" s="10" t="s">
        <v>16962</v>
      </c>
      <c r="S2878" s="11"/>
      <c r="T2878" s="6" t="s">
        <v>97</v>
      </c>
      <c r="U2878" s="15" t="str">
        <f>HYPERLINK("https://media.infra-m.ru/2249/2249023/cover/2249023.jpg", "Обложка")</f>
        <v>Обложка</v>
      </c>
      <c r="V2878" s="8" t="s">
        <v>16963</v>
      </c>
      <c r="W2878" s="6"/>
      <c r="X2878" s="6"/>
      <c r="Y2878" s="6"/>
      <c r="Z2878" s="6"/>
      <c r="AA2878" s="6" t="s">
        <v>115</v>
      </c>
      <c r="AB2878" s="8"/>
      <c r="AC2878" s="27">
        <v>9785160144351</v>
      </c>
    </row>
    <row r="2879" spans="1:29" s="4" customFormat="1" ht="51.9" customHeight="1" x14ac:dyDescent="0.2">
      <c r="A2879" s="5">
        <v>0</v>
      </c>
      <c r="B2879" s="6" t="s">
        <v>16964</v>
      </c>
      <c r="C2879" s="7">
        <v>1140</v>
      </c>
      <c r="D2879" s="8" t="s">
        <v>16965</v>
      </c>
      <c r="E2879" s="8" t="s">
        <v>16966</v>
      </c>
      <c r="F2879" s="8" t="s">
        <v>16967</v>
      </c>
      <c r="G2879" s="6" t="s">
        <v>33</v>
      </c>
      <c r="H2879" s="6" t="s">
        <v>34</v>
      </c>
      <c r="I2879" s="8" t="s">
        <v>35</v>
      </c>
      <c r="J2879" s="9">
        <v>1</v>
      </c>
      <c r="K2879" s="9">
        <v>171</v>
      </c>
      <c r="L2879" s="9">
        <v>2026</v>
      </c>
      <c r="M2879" s="8" t="s">
        <v>16968</v>
      </c>
      <c r="N2879" s="8" t="s">
        <v>37</v>
      </c>
      <c r="O2879" s="8" t="s">
        <v>50</v>
      </c>
      <c r="P2879" s="6" t="s">
        <v>39</v>
      </c>
      <c r="Q2879" s="8" t="s">
        <v>40</v>
      </c>
      <c r="R2879" s="10" t="s">
        <v>16969</v>
      </c>
      <c r="S2879" s="11"/>
      <c r="T2879" s="6"/>
      <c r="U2879" s="15" t="str">
        <f>HYPERLINK("https://media.infra-m.ru/2230/2230149/cover/2230149.jpg", "Обложка")</f>
        <v>Обложка</v>
      </c>
      <c r="V2879" s="8" t="s">
        <v>3693</v>
      </c>
      <c r="W2879" s="6"/>
      <c r="X2879" s="6"/>
      <c r="Y2879" s="6"/>
      <c r="Z2879" s="6"/>
      <c r="AA2879" s="6" t="s">
        <v>1256</v>
      </c>
      <c r="AB2879" s="8"/>
      <c r="AC2879" s="27">
        <v>9785160159386</v>
      </c>
    </row>
    <row r="2880" spans="1:29" s="4" customFormat="1" ht="51.9" customHeight="1" x14ac:dyDescent="0.2">
      <c r="A2880" s="5">
        <v>0</v>
      </c>
      <c r="B2880" s="6" t="s">
        <v>16970</v>
      </c>
      <c r="C2880" s="7">
        <v>1191.5999999999999</v>
      </c>
      <c r="D2880" s="8" t="s">
        <v>16971</v>
      </c>
      <c r="E2880" s="8" t="s">
        <v>16972</v>
      </c>
      <c r="F2880" s="8" t="s">
        <v>16973</v>
      </c>
      <c r="G2880" s="6" t="s">
        <v>33</v>
      </c>
      <c r="H2880" s="6" t="s">
        <v>34</v>
      </c>
      <c r="I2880" s="8" t="s">
        <v>16974</v>
      </c>
      <c r="J2880" s="9">
        <v>1</v>
      </c>
      <c r="K2880" s="9">
        <v>254</v>
      </c>
      <c r="L2880" s="9">
        <v>2026</v>
      </c>
      <c r="M2880" s="8" t="s">
        <v>16975</v>
      </c>
      <c r="N2880" s="8" t="s">
        <v>37</v>
      </c>
      <c r="O2880" s="8" t="s">
        <v>83</v>
      </c>
      <c r="P2880" s="6" t="s">
        <v>1837</v>
      </c>
      <c r="Q2880" s="8" t="s">
        <v>40</v>
      </c>
      <c r="R2880" s="10" t="s">
        <v>16976</v>
      </c>
      <c r="S2880" s="11"/>
      <c r="T2880" s="6"/>
      <c r="U2880" s="15" t="str">
        <f>HYPERLINK("https://media.infra-m.ru/2250/2250606/cover/2250606.jpg", "Обложка")</f>
        <v>Обложка</v>
      </c>
      <c r="V2880" s="8" t="s">
        <v>227</v>
      </c>
      <c r="W2880" s="6"/>
      <c r="X2880" s="6"/>
      <c r="Y2880" s="6"/>
      <c r="Z2880" s="6"/>
      <c r="AA2880" s="6" t="s">
        <v>2338</v>
      </c>
      <c r="AB2880" s="8"/>
      <c r="AC2880" s="27">
        <v>9785160099125</v>
      </c>
    </row>
    <row r="2881" spans="1:29" s="4" customFormat="1" ht="51.9" customHeight="1" x14ac:dyDescent="0.2">
      <c r="A2881" s="5">
        <v>0</v>
      </c>
      <c r="B2881" s="6" t="s">
        <v>16977</v>
      </c>
      <c r="C2881" s="7">
        <v>1029.5999999999999</v>
      </c>
      <c r="D2881" s="8" t="s">
        <v>16978</v>
      </c>
      <c r="E2881" s="8" t="s">
        <v>16979</v>
      </c>
      <c r="F2881" s="8" t="s">
        <v>16980</v>
      </c>
      <c r="G2881" s="6" t="s">
        <v>33</v>
      </c>
      <c r="H2881" s="6" t="s">
        <v>34</v>
      </c>
      <c r="I2881" s="8" t="s">
        <v>1835</v>
      </c>
      <c r="J2881" s="9">
        <v>1</v>
      </c>
      <c r="K2881" s="9">
        <v>206</v>
      </c>
      <c r="L2881" s="9">
        <v>2026</v>
      </c>
      <c r="M2881" s="8" t="s">
        <v>16981</v>
      </c>
      <c r="N2881" s="8" t="s">
        <v>93</v>
      </c>
      <c r="O2881" s="8" t="s">
        <v>94</v>
      </c>
      <c r="P2881" s="6" t="s">
        <v>1837</v>
      </c>
      <c r="Q2881" s="8" t="s">
        <v>183</v>
      </c>
      <c r="R2881" s="10" t="s">
        <v>16982</v>
      </c>
      <c r="S2881" s="11"/>
      <c r="T2881" s="6"/>
      <c r="U2881" s="15" t="str">
        <f>HYPERLINK("https://media.infra-m.ru/2230/2230157/cover/2230157.jpg", "Обложка")</f>
        <v>Обложка</v>
      </c>
      <c r="V2881" s="8" t="s">
        <v>16983</v>
      </c>
      <c r="W2881" s="6"/>
      <c r="X2881" s="6"/>
      <c r="Y2881" s="6"/>
      <c r="Z2881" s="6"/>
      <c r="AA2881" s="6" t="s">
        <v>779</v>
      </c>
      <c r="AB2881" s="8"/>
      <c r="AC2881" s="27">
        <v>9785160123301</v>
      </c>
    </row>
    <row r="2882" spans="1:29" s="4" customFormat="1" ht="51.9" customHeight="1" x14ac:dyDescent="0.2">
      <c r="A2882" s="5">
        <v>0</v>
      </c>
      <c r="B2882" s="6" t="s">
        <v>16984</v>
      </c>
      <c r="C2882" s="7">
        <v>1023.6</v>
      </c>
      <c r="D2882" s="8" t="s">
        <v>16985</v>
      </c>
      <c r="E2882" s="8" t="s">
        <v>16986</v>
      </c>
      <c r="F2882" s="8" t="s">
        <v>16987</v>
      </c>
      <c r="G2882" s="6" t="s">
        <v>33</v>
      </c>
      <c r="H2882" s="6" t="s">
        <v>34</v>
      </c>
      <c r="I2882" s="8" t="s">
        <v>16974</v>
      </c>
      <c r="J2882" s="9">
        <v>1</v>
      </c>
      <c r="K2882" s="9">
        <v>224</v>
      </c>
      <c r="L2882" s="9">
        <v>2026</v>
      </c>
      <c r="M2882" s="8" t="s">
        <v>16988</v>
      </c>
      <c r="N2882" s="8" t="s">
        <v>37</v>
      </c>
      <c r="O2882" s="8" t="s">
        <v>233</v>
      </c>
      <c r="P2882" s="6" t="s">
        <v>1837</v>
      </c>
      <c r="Q2882" s="8" t="s">
        <v>40</v>
      </c>
      <c r="R2882" s="10" t="s">
        <v>16989</v>
      </c>
      <c r="S2882" s="11"/>
      <c r="T2882" s="6"/>
      <c r="U2882" s="15" t="str">
        <f>HYPERLINK("https://media.infra-m.ru/2244/2244191/cover/2244191.jpg", "Обложка")</f>
        <v>Обложка</v>
      </c>
      <c r="V2882" s="8" t="s">
        <v>227</v>
      </c>
      <c r="W2882" s="6"/>
      <c r="X2882" s="6"/>
      <c r="Y2882" s="6"/>
      <c r="Z2882" s="6"/>
      <c r="AA2882" s="6" t="s">
        <v>16990</v>
      </c>
      <c r="AB2882" s="8"/>
      <c r="AC2882" s="27">
        <v>9785160027791</v>
      </c>
    </row>
    <row r="2883" spans="1:29" s="4" customFormat="1" ht="42" customHeight="1" x14ac:dyDescent="0.2">
      <c r="A2883" s="5">
        <v>0</v>
      </c>
      <c r="B2883" s="6" t="s">
        <v>16991</v>
      </c>
      <c r="C2883" s="13">
        <v>748.8</v>
      </c>
      <c r="D2883" s="8" t="s">
        <v>16992</v>
      </c>
      <c r="E2883" s="8" t="s">
        <v>16993</v>
      </c>
      <c r="F2883" s="8" t="s">
        <v>16994</v>
      </c>
      <c r="G2883" s="6" t="s">
        <v>33</v>
      </c>
      <c r="H2883" s="6" t="s">
        <v>34</v>
      </c>
      <c r="I2883" s="8" t="s">
        <v>253</v>
      </c>
      <c r="J2883" s="9">
        <v>1</v>
      </c>
      <c r="K2883" s="9">
        <v>112</v>
      </c>
      <c r="L2883" s="9">
        <v>2026</v>
      </c>
      <c r="M2883" s="8" t="s">
        <v>16995</v>
      </c>
      <c r="N2883" s="8" t="s">
        <v>37</v>
      </c>
      <c r="O2883" s="8" t="s">
        <v>136</v>
      </c>
      <c r="P2883" s="6" t="s">
        <v>105</v>
      </c>
      <c r="Q2883" s="8" t="s">
        <v>52</v>
      </c>
      <c r="R2883" s="10" t="s">
        <v>1631</v>
      </c>
      <c r="S2883" s="11"/>
      <c r="T2883" s="6"/>
      <c r="U2883" s="15" t="str">
        <f>HYPERLINK("https://media.infra-m.ru/2219/2219032/cover/2219032.jpg", "Обложка")</f>
        <v>Обложка</v>
      </c>
      <c r="V2883" s="8" t="s">
        <v>3304</v>
      </c>
      <c r="W2883" s="6"/>
      <c r="X2883" s="6"/>
      <c r="Y2883" s="6"/>
      <c r="Z2883" s="6"/>
      <c r="AA2883" s="6" t="s">
        <v>55</v>
      </c>
      <c r="AB2883" s="8"/>
      <c r="AC2883" s="27">
        <v>9785160066332</v>
      </c>
    </row>
    <row r="2884" spans="1:29" s="4" customFormat="1" ht="42" customHeight="1" x14ac:dyDescent="0.2">
      <c r="A2884" s="5">
        <v>0</v>
      </c>
      <c r="B2884" s="6" t="s">
        <v>16996</v>
      </c>
      <c r="C2884" s="7">
        <v>1560</v>
      </c>
      <c r="D2884" s="8" t="s">
        <v>16997</v>
      </c>
      <c r="E2884" s="8" t="s">
        <v>16998</v>
      </c>
      <c r="F2884" s="8" t="s">
        <v>16999</v>
      </c>
      <c r="G2884" s="6" t="s">
        <v>60</v>
      </c>
      <c r="H2884" s="6" t="s">
        <v>34</v>
      </c>
      <c r="I2884" s="8" t="s">
        <v>263</v>
      </c>
      <c r="J2884" s="9">
        <v>1</v>
      </c>
      <c r="K2884" s="9">
        <v>230</v>
      </c>
      <c r="L2884" s="9">
        <v>2026</v>
      </c>
      <c r="M2884" s="8" t="s">
        <v>17000</v>
      </c>
      <c r="N2884" s="8" t="s">
        <v>93</v>
      </c>
      <c r="O2884" s="8" t="s">
        <v>94</v>
      </c>
      <c r="P2884" s="6" t="s">
        <v>234</v>
      </c>
      <c r="Q2884" s="8" t="s">
        <v>265</v>
      </c>
      <c r="R2884" s="10" t="s">
        <v>17001</v>
      </c>
      <c r="S2884" s="11"/>
      <c r="T2884" s="6" t="s">
        <v>97</v>
      </c>
      <c r="U2884" s="15" t="str">
        <f>HYPERLINK("https://media.infra-m.ru/2203/2203308/cover/2203308.jpg", "Обложка")</f>
        <v>Обложка</v>
      </c>
      <c r="V2884" s="8" t="s">
        <v>17002</v>
      </c>
      <c r="W2884" s="6" t="s">
        <v>547</v>
      </c>
      <c r="X2884" s="6"/>
      <c r="Y2884" s="6"/>
      <c r="Z2884" s="6"/>
      <c r="AA2884" s="6" t="s">
        <v>187</v>
      </c>
      <c r="AB2884" s="8"/>
      <c r="AC2884" s="27">
        <v>9785160209074</v>
      </c>
    </row>
    <row r="2885" spans="1:29" s="4" customFormat="1" ht="51.9" customHeight="1" x14ac:dyDescent="0.2">
      <c r="A2885" s="5">
        <v>0</v>
      </c>
      <c r="B2885" s="6" t="s">
        <v>17003</v>
      </c>
      <c r="C2885" s="7">
        <v>1056</v>
      </c>
      <c r="D2885" s="8" t="s">
        <v>17004</v>
      </c>
      <c r="E2885" s="8" t="s">
        <v>17005</v>
      </c>
      <c r="F2885" s="8" t="s">
        <v>17006</v>
      </c>
      <c r="G2885" s="6" t="s">
        <v>33</v>
      </c>
      <c r="H2885" s="6" t="s">
        <v>34</v>
      </c>
      <c r="I2885" s="8" t="s">
        <v>504</v>
      </c>
      <c r="J2885" s="9">
        <v>1</v>
      </c>
      <c r="K2885" s="9">
        <v>196</v>
      </c>
      <c r="L2885" s="9">
        <v>2023</v>
      </c>
      <c r="M2885" s="8" t="s">
        <v>17007</v>
      </c>
      <c r="N2885" s="8" t="s">
        <v>37</v>
      </c>
      <c r="O2885" s="8" t="s">
        <v>233</v>
      </c>
      <c r="P2885" s="6" t="s">
        <v>51</v>
      </c>
      <c r="Q2885" s="8" t="s">
        <v>500</v>
      </c>
      <c r="R2885" s="10" t="s">
        <v>17008</v>
      </c>
      <c r="S2885" s="11" t="s">
        <v>17009</v>
      </c>
      <c r="T2885" s="6"/>
      <c r="U2885" s="15" t="str">
        <f>HYPERLINK("https://media.infra-m.ru/1920/1920336/cover/1920336.jpg", "Обложка")</f>
        <v>Обложка</v>
      </c>
      <c r="V2885" s="8" t="s">
        <v>644</v>
      </c>
      <c r="W2885" s="6"/>
      <c r="X2885" s="6"/>
      <c r="Y2885" s="6"/>
      <c r="Z2885" s="6"/>
      <c r="AA2885" s="6" t="s">
        <v>274</v>
      </c>
      <c r="AB2885" s="8"/>
      <c r="AC2885" s="27">
        <v>9785160112770</v>
      </c>
    </row>
    <row r="2886" spans="1:29" s="4" customFormat="1" ht="51.9" customHeight="1" x14ac:dyDescent="0.2">
      <c r="A2886" s="5">
        <v>0</v>
      </c>
      <c r="B2886" s="6" t="s">
        <v>17010</v>
      </c>
      <c r="C2886" s="7">
        <v>1908</v>
      </c>
      <c r="D2886" s="8" t="s">
        <v>17011</v>
      </c>
      <c r="E2886" s="8" t="s">
        <v>17012</v>
      </c>
      <c r="F2886" s="8" t="s">
        <v>17013</v>
      </c>
      <c r="G2886" s="6" t="s">
        <v>118</v>
      </c>
      <c r="H2886" s="6" t="s">
        <v>313</v>
      </c>
      <c r="I2886" s="8" t="s">
        <v>4459</v>
      </c>
      <c r="J2886" s="9">
        <v>1</v>
      </c>
      <c r="K2886" s="9">
        <v>318</v>
      </c>
      <c r="L2886" s="9">
        <v>2024</v>
      </c>
      <c r="M2886" s="8" t="s">
        <v>17014</v>
      </c>
      <c r="N2886" s="8" t="s">
        <v>37</v>
      </c>
      <c r="O2886" s="8" t="s">
        <v>233</v>
      </c>
      <c r="P2886" s="6" t="s">
        <v>234</v>
      </c>
      <c r="Q2886" s="8" t="s">
        <v>40</v>
      </c>
      <c r="R2886" s="10" t="s">
        <v>17015</v>
      </c>
      <c r="S2886" s="11"/>
      <c r="T2886" s="6"/>
      <c r="U2886" s="15" t="str">
        <f>HYPERLINK("https://media.infra-m.ru/2157/2157679/cover/2157679.jpg", "Обложка")</f>
        <v>Обложка</v>
      </c>
      <c r="V2886" s="8"/>
      <c r="W2886" s="6"/>
      <c r="X2886" s="6"/>
      <c r="Y2886" s="6"/>
      <c r="Z2886" s="6"/>
      <c r="AA2886" s="6" t="s">
        <v>623</v>
      </c>
      <c r="AB2886" s="8"/>
      <c r="AC2886" s="27">
        <v>9785369016732</v>
      </c>
    </row>
    <row r="2887" spans="1:29" s="4" customFormat="1" ht="51.9" customHeight="1" x14ac:dyDescent="0.2">
      <c r="A2887" s="5">
        <v>0</v>
      </c>
      <c r="B2887" s="6" t="s">
        <v>17016</v>
      </c>
      <c r="C2887" s="7">
        <v>1200</v>
      </c>
      <c r="D2887" s="8" t="s">
        <v>17017</v>
      </c>
      <c r="E2887" s="8" t="s">
        <v>17018</v>
      </c>
      <c r="F2887" s="8" t="s">
        <v>4721</v>
      </c>
      <c r="G2887" s="6" t="s">
        <v>33</v>
      </c>
      <c r="H2887" s="6" t="s">
        <v>34</v>
      </c>
      <c r="I2887" s="8" t="s">
        <v>35</v>
      </c>
      <c r="J2887" s="9">
        <v>1</v>
      </c>
      <c r="K2887" s="9">
        <v>200</v>
      </c>
      <c r="L2887" s="9">
        <v>2024</v>
      </c>
      <c r="M2887" s="8" t="s">
        <v>17019</v>
      </c>
      <c r="N2887" s="8" t="s">
        <v>37</v>
      </c>
      <c r="O2887" s="8" t="s">
        <v>290</v>
      </c>
      <c r="P2887" s="6" t="s">
        <v>39</v>
      </c>
      <c r="Q2887" s="8" t="s">
        <v>40</v>
      </c>
      <c r="R2887" s="10" t="s">
        <v>17020</v>
      </c>
      <c r="S2887" s="11"/>
      <c r="T2887" s="6"/>
      <c r="U2887" s="15" t="str">
        <f>HYPERLINK("https://media.infra-m.ru/2105/2105786/cover/2105786.jpg", "Обложка")</f>
        <v>Обложка</v>
      </c>
      <c r="V2887" s="8" t="s">
        <v>911</v>
      </c>
      <c r="W2887" s="6"/>
      <c r="X2887" s="6"/>
      <c r="Y2887" s="6"/>
      <c r="Z2887" s="6"/>
      <c r="AA2887" s="6" t="s">
        <v>148</v>
      </c>
      <c r="AB2887" s="8"/>
      <c r="AC2887" s="27">
        <v>9785160168814</v>
      </c>
    </row>
    <row r="2888" spans="1:29" s="4" customFormat="1" ht="42" customHeight="1" x14ac:dyDescent="0.2">
      <c r="A2888" s="5">
        <v>0</v>
      </c>
      <c r="B2888" s="6" t="s">
        <v>17021</v>
      </c>
      <c r="C2888" s="7">
        <v>1060.8</v>
      </c>
      <c r="D2888" s="8" t="s">
        <v>17022</v>
      </c>
      <c r="E2888" s="8" t="s">
        <v>17023</v>
      </c>
      <c r="F2888" s="8" t="s">
        <v>17024</v>
      </c>
      <c r="G2888" s="6" t="s">
        <v>118</v>
      </c>
      <c r="H2888" s="6" t="s">
        <v>34</v>
      </c>
      <c r="I2888" s="8" t="s">
        <v>35</v>
      </c>
      <c r="J2888" s="9">
        <v>1</v>
      </c>
      <c r="K2888" s="9">
        <v>192</v>
      </c>
      <c r="L2888" s="9">
        <v>2024</v>
      </c>
      <c r="M2888" s="8" t="s">
        <v>17025</v>
      </c>
      <c r="N2888" s="8" t="s">
        <v>37</v>
      </c>
      <c r="O2888" s="8" t="s">
        <v>136</v>
      </c>
      <c r="P2888" s="6" t="s">
        <v>39</v>
      </c>
      <c r="Q2888" s="8" t="s">
        <v>40</v>
      </c>
      <c r="R2888" s="10" t="s">
        <v>1625</v>
      </c>
      <c r="S2888" s="11"/>
      <c r="T2888" s="6"/>
      <c r="U2888" s="15" t="str">
        <f>HYPERLINK("https://media.infra-m.ru/2045/2045821/cover/2045821.jpg", "Обложка")</f>
        <v>Обложка</v>
      </c>
      <c r="V2888" s="8" t="s">
        <v>1798</v>
      </c>
      <c r="W2888" s="6"/>
      <c r="X2888" s="6"/>
      <c r="Y2888" s="6"/>
      <c r="Z2888" s="6"/>
      <c r="AA2888" s="6" t="s">
        <v>55</v>
      </c>
      <c r="AB2888" s="8"/>
      <c r="AC2888" s="27">
        <v>9785160116938</v>
      </c>
    </row>
    <row r="2889" spans="1:29" s="4" customFormat="1" ht="42" customHeight="1" x14ac:dyDescent="0.2">
      <c r="A2889" s="5">
        <v>0</v>
      </c>
      <c r="B2889" s="6" t="s">
        <v>17026</v>
      </c>
      <c r="C2889" s="7">
        <v>1152</v>
      </c>
      <c r="D2889" s="8" t="s">
        <v>17027</v>
      </c>
      <c r="E2889" s="8" t="s">
        <v>17023</v>
      </c>
      <c r="F2889" s="8" t="s">
        <v>17028</v>
      </c>
      <c r="G2889" s="6" t="s">
        <v>33</v>
      </c>
      <c r="H2889" s="6" t="s">
        <v>34</v>
      </c>
      <c r="I2889" s="8" t="s">
        <v>35</v>
      </c>
      <c r="J2889" s="9">
        <v>1</v>
      </c>
      <c r="K2889" s="9">
        <v>192</v>
      </c>
      <c r="L2889" s="9">
        <v>2025</v>
      </c>
      <c r="M2889" s="8" t="s">
        <v>17029</v>
      </c>
      <c r="N2889" s="8" t="s">
        <v>37</v>
      </c>
      <c r="O2889" s="8" t="s">
        <v>136</v>
      </c>
      <c r="P2889" s="6" t="s">
        <v>39</v>
      </c>
      <c r="Q2889" s="8" t="s">
        <v>40</v>
      </c>
      <c r="R2889" s="10" t="s">
        <v>1625</v>
      </c>
      <c r="S2889" s="11"/>
      <c r="T2889" s="6"/>
      <c r="U2889" s="15" t="str">
        <f>HYPERLINK("https://media.infra-m.ru/2135/2135245/cover/2135245.jpg", "Обложка")</f>
        <v>Обложка</v>
      </c>
      <c r="V2889" s="8" t="s">
        <v>1798</v>
      </c>
      <c r="W2889" s="6"/>
      <c r="X2889" s="6"/>
      <c r="Y2889" s="6"/>
      <c r="Z2889" s="6"/>
      <c r="AA2889" s="6" t="s">
        <v>55</v>
      </c>
      <c r="AB2889" s="8"/>
      <c r="AC2889" s="27">
        <v>9785160200996</v>
      </c>
    </row>
    <row r="2890" spans="1:29" s="4" customFormat="1" ht="42" customHeight="1" x14ac:dyDescent="0.2">
      <c r="A2890" s="5">
        <v>0</v>
      </c>
      <c r="B2890" s="6" t="s">
        <v>17030</v>
      </c>
      <c r="C2890" s="13">
        <v>964.8</v>
      </c>
      <c r="D2890" s="8" t="s">
        <v>17031</v>
      </c>
      <c r="E2890" s="8" t="s">
        <v>17032</v>
      </c>
      <c r="F2890" s="8" t="s">
        <v>17033</v>
      </c>
      <c r="G2890" s="6" t="s">
        <v>60</v>
      </c>
      <c r="H2890" s="6" t="s">
        <v>34</v>
      </c>
      <c r="I2890" s="8" t="s">
        <v>1081</v>
      </c>
      <c r="J2890" s="9">
        <v>1</v>
      </c>
      <c r="K2890" s="9">
        <v>179</v>
      </c>
      <c r="L2890" s="9">
        <v>2023</v>
      </c>
      <c r="M2890" s="8" t="s">
        <v>17034</v>
      </c>
      <c r="N2890" s="8" t="s">
        <v>63</v>
      </c>
      <c r="O2890" s="8" t="s">
        <v>126</v>
      </c>
      <c r="P2890" s="6" t="s">
        <v>39</v>
      </c>
      <c r="Q2890" s="8" t="s">
        <v>40</v>
      </c>
      <c r="R2890" s="10" t="s">
        <v>10423</v>
      </c>
      <c r="S2890" s="11"/>
      <c r="T2890" s="6"/>
      <c r="U2890" s="15" t="str">
        <f>HYPERLINK("https://media.infra-m.ru/1859/1859815/cover/1859815.jpg", "Обложка")</f>
        <v>Обложка</v>
      </c>
      <c r="V2890" s="8" t="s">
        <v>1083</v>
      </c>
      <c r="W2890" s="6"/>
      <c r="X2890" s="6"/>
      <c r="Y2890" s="6"/>
      <c r="Z2890" s="6"/>
      <c r="AA2890" s="6" t="s">
        <v>86</v>
      </c>
      <c r="AB2890" s="8"/>
      <c r="AC2890" s="27">
        <v>9785160132990</v>
      </c>
    </row>
    <row r="2891" spans="1:29" s="4" customFormat="1" ht="51.9" customHeight="1" x14ac:dyDescent="0.2">
      <c r="A2891" s="5">
        <v>0</v>
      </c>
      <c r="B2891" s="6" t="s">
        <v>17035</v>
      </c>
      <c r="C2891" s="7">
        <v>1792.8</v>
      </c>
      <c r="D2891" s="8" t="s">
        <v>17036</v>
      </c>
      <c r="E2891" s="8" t="s">
        <v>17037</v>
      </c>
      <c r="F2891" s="8" t="s">
        <v>17038</v>
      </c>
      <c r="G2891" s="6" t="s">
        <v>21</v>
      </c>
      <c r="H2891" s="6" t="s">
        <v>134</v>
      </c>
      <c r="I2891" s="8"/>
      <c r="J2891" s="9">
        <v>1</v>
      </c>
      <c r="K2891" s="9">
        <v>288</v>
      </c>
      <c r="L2891" s="9">
        <v>2026</v>
      </c>
      <c r="M2891" s="8" t="s">
        <v>17039</v>
      </c>
      <c r="N2891" s="8" t="s">
        <v>37</v>
      </c>
      <c r="O2891" s="8" t="s">
        <v>136</v>
      </c>
      <c r="P2891" s="6" t="s">
        <v>51</v>
      </c>
      <c r="Q2891" s="8" t="s">
        <v>65</v>
      </c>
      <c r="R2891" s="10" t="s">
        <v>15155</v>
      </c>
      <c r="S2891" s="11"/>
      <c r="T2891" s="6"/>
      <c r="U2891" s="15" t="str">
        <f>HYPERLINK("https://media.infra-m.ru/2217/2217567/cover/2217567.jpg", "Обложка")</f>
        <v>Обложка</v>
      </c>
      <c r="V2891" s="8" t="s">
        <v>2466</v>
      </c>
      <c r="W2891" s="6"/>
      <c r="X2891" s="6"/>
      <c r="Y2891" s="6"/>
      <c r="Z2891" s="6"/>
      <c r="AA2891" s="6" t="s">
        <v>11623</v>
      </c>
      <c r="AB2891" s="8"/>
      <c r="AC2891" s="27">
        <v>9785917681450</v>
      </c>
    </row>
    <row r="2892" spans="1:29" s="4" customFormat="1" ht="42" customHeight="1" x14ac:dyDescent="0.2">
      <c r="A2892" s="5">
        <v>0</v>
      </c>
      <c r="B2892" s="6" t="s">
        <v>17040</v>
      </c>
      <c r="C2892" s="7">
        <v>1372.8</v>
      </c>
      <c r="D2892" s="8" t="s">
        <v>17041</v>
      </c>
      <c r="E2892" s="8" t="s">
        <v>17042</v>
      </c>
      <c r="F2892" s="8" t="s">
        <v>17043</v>
      </c>
      <c r="G2892" s="6" t="s">
        <v>33</v>
      </c>
      <c r="H2892" s="6" t="s">
        <v>134</v>
      </c>
      <c r="I2892" s="8"/>
      <c r="J2892" s="9">
        <v>1</v>
      </c>
      <c r="K2892" s="9">
        <v>288</v>
      </c>
      <c r="L2892" s="9">
        <v>2024</v>
      </c>
      <c r="M2892" s="8" t="s">
        <v>17044</v>
      </c>
      <c r="N2892" s="8" t="s">
        <v>37</v>
      </c>
      <c r="O2892" s="8" t="s">
        <v>136</v>
      </c>
      <c r="P2892" s="6" t="s">
        <v>39</v>
      </c>
      <c r="Q2892" s="8" t="s">
        <v>40</v>
      </c>
      <c r="R2892" s="10" t="s">
        <v>1625</v>
      </c>
      <c r="S2892" s="11"/>
      <c r="T2892" s="6"/>
      <c r="U2892" s="15" t="str">
        <f>HYPERLINK("https://media.infra-m.ru/2129/2129523/cover/2129523.jpg", "Обложка")</f>
        <v>Обложка</v>
      </c>
      <c r="V2892" s="8" t="s">
        <v>2466</v>
      </c>
      <c r="W2892" s="6"/>
      <c r="X2892" s="6"/>
      <c r="Y2892" s="6"/>
      <c r="Z2892" s="6"/>
      <c r="AA2892" s="6" t="s">
        <v>1056</v>
      </c>
      <c r="AB2892" s="8"/>
      <c r="AC2892" s="27">
        <v>9785917680408</v>
      </c>
    </row>
    <row r="2893" spans="1:29" s="4" customFormat="1" ht="51.9" customHeight="1" x14ac:dyDescent="0.2">
      <c r="A2893" s="5">
        <v>0</v>
      </c>
      <c r="B2893" s="6" t="s">
        <v>17045</v>
      </c>
      <c r="C2893" s="7">
        <v>3744</v>
      </c>
      <c r="D2893" s="8" t="s">
        <v>17046</v>
      </c>
      <c r="E2893" s="8" t="s">
        <v>17047</v>
      </c>
      <c r="F2893" s="8" t="s">
        <v>17048</v>
      </c>
      <c r="G2893" s="6" t="s">
        <v>60</v>
      </c>
      <c r="H2893" s="6" t="s">
        <v>34</v>
      </c>
      <c r="I2893" s="8" t="s">
        <v>253</v>
      </c>
      <c r="J2893" s="9">
        <v>1</v>
      </c>
      <c r="K2893" s="9">
        <v>598</v>
      </c>
      <c r="L2893" s="9">
        <v>2026</v>
      </c>
      <c r="M2893" s="8" t="s">
        <v>17049</v>
      </c>
      <c r="N2893" s="8" t="s">
        <v>37</v>
      </c>
      <c r="O2893" s="8" t="s">
        <v>136</v>
      </c>
      <c r="P2893" s="6" t="s">
        <v>306</v>
      </c>
      <c r="Q2893" s="8" t="s">
        <v>65</v>
      </c>
      <c r="R2893" s="10" t="s">
        <v>1275</v>
      </c>
      <c r="S2893" s="11"/>
      <c r="T2893" s="6"/>
      <c r="U2893" s="15" t="str">
        <f>HYPERLINK("https://media.infra-m.ru/2198/2198486/cover/2198486.jpg", "Обложка")</f>
        <v>Обложка</v>
      </c>
      <c r="V2893" s="8" t="s">
        <v>11240</v>
      </c>
      <c r="W2893" s="6"/>
      <c r="X2893" s="6"/>
      <c r="Y2893" s="6"/>
      <c r="Z2893" s="6"/>
      <c r="AA2893" s="6" t="s">
        <v>187</v>
      </c>
      <c r="AB2893" s="8" t="s">
        <v>308</v>
      </c>
      <c r="AC2893" s="27">
        <v>9785160208367</v>
      </c>
    </row>
    <row r="2894" spans="1:29" s="4" customFormat="1" ht="51.9" customHeight="1" x14ac:dyDescent="0.2">
      <c r="A2894" s="5">
        <v>0</v>
      </c>
      <c r="B2894" s="6" t="s">
        <v>17050</v>
      </c>
      <c r="C2894" s="7">
        <v>2964</v>
      </c>
      <c r="D2894" s="8" t="s">
        <v>17051</v>
      </c>
      <c r="E2894" s="8" t="s">
        <v>17052</v>
      </c>
      <c r="F2894" s="8" t="s">
        <v>17053</v>
      </c>
      <c r="G2894" s="6" t="s">
        <v>60</v>
      </c>
      <c r="H2894" s="6" t="s">
        <v>34</v>
      </c>
      <c r="I2894" s="8" t="s">
        <v>263</v>
      </c>
      <c r="J2894" s="9">
        <v>1</v>
      </c>
      <c r="K2894" s="9">
        <v>449</v>
      </c>
      <c r="L2894" s="9">
        <v>2026</v>
      </c>
      <c r="M2894" s="8" t="s">
        <v>17054</v>
      </c>
      <c r="N2894" s="8" t="s">
        <v>37</v>
      </c>
      <c r="O2894" s="8" t="s">
        <v>136</v>
      </c>
      <c r="P2894" s="6" t="s">
        <v>306</v>
      </c>
      <c r="Q2894" s="8" t="s">
        <v>265</v>
      </c>
      <c r="R2894" s="10" t="s">
        <v>17055</v>
      </c>
      <c r="S2894" s="11" t="s">
        <v>17056</v>
      </c>
      <c r="T2894" s="6" t="s">
        <v>97</v>
      </c>
      <c r="U2894" s="15" t="str">
        <f>HYPERLINK("https://media.infra-m.ru/2225/2225305/cover/2225305.jpg", "Обложка")</f>
        <v>Обложка</v>
      </c>
      <c r="V2894" s="8" t="s">
        <v>3243</v>
      </c>
      <c r="W2894" s="6"/>
      <c r="X2894" s="6"/>
      <c r="Y2894" s="6"/>
      <c r="Z2894" s="6" t="s">
        <v>267</v>
      </c>
      <c r="AA2894" s="6" t="s">
        <v>3189</v>
      </c>
      <c r="AB2894" s="8"/>
      <c r="AC2894" s="27">
        <v>9785160173443</v>
      </c>
    </row>
    <row r="2895" spans="1:29" s="4" customFormat="1" ht="51.9" customHeight="1" x14ac:dyDescent="0.2">
      <c r="A2895" s="5">
        <v>0</v>
      </c>
      <c r="B2895" s="6" t="s">
        <v>17057</v>
      </c>
      <c r="C2895" s="7">
        <v>3112.8</v>
      </c>
      <c r="D2895" s="8" t="s">
        <v>17058</v>
      </c>
      <c r="E2895" s="8" t="s">
        <v>17052</v>
      </c>
      <c r="F2895" s="8" t="s">
        <v>17059</v>
      </c>
      <c r="G2895" s="6" t="s">
        <v>60</v>
      </c>
      <c r="H2895" s="6" t="s">
        <v>34</v>
      </c>
      <c r="I2895" s="8" t="s">
        <v>271</v>
      </c>
      <c r="J2895" s="9">
        <v>1</v>
      </c>
      <c r="K2895" s="9">
        <v>448</v>
      </c>
      <c r="L2895" s="9">
        <v>2027</v>
      </c>
      <c r="M2895" s="8" t="s">
        <v>17060</v>
      </c>
      <c r="N2895" s="8" t="s">
        <v>37</v>
      </c>
      <c r="O2895" s="8" t="s">
        <v>136</v>
      </c>
      <c r="P2895" s="6" t="s">
        <v>306</v>
      </c>
      <c r="Q2895" s="8" t="s">
        <v>52</v>
      </c>
      <c r="R2895" s="10" t="s">
        <v>1275</v>
      </c>
      <c r="S2895" s="11" t="s">
        <v>17061</v>
      </c>
      <c r="T2895" s="6" t="s">
        <v>97</v>
      </c>
      <c r="U2895" s="15" t="str">
        <f>HYPERLINK("https://media.infra-m.ru/2271/2271312/cover/2271312.jpg", "Обложка")</f>
        <v>Обложка</v>
      </c>
      <c r="V2895" s="8" t="s">
        <v>3243</v>
      </c>
      <c r="W2895" s="6"/>
      <c r="X2895" s="6"/>
      <c r="Y2895" s="6"/>
      <c r="Z2895" s="6"/>
      <c r="AA2895" s="6" t="s">
        <v>1037</v>
      </c>
      <c r="AB2895" s="8"/>
      <c r="AC2895" s="27">
        <v>9785160093611</v>
      </c>
    </row>
    <row r="2896" spans="1:29" s="4" customFormat="1" ht="51.9" customHeight="1" x14ac:dyDescent="0.2">
      <c r="A2896" s="5">
        <v>0</v>
      </c>
      <c r="B2896" s="6" t="s">
        <v>17062</v>
      </c>
      <c r="C2896" s="7">
        <v>2784</v>
      </c>
      <c r="D2896" s="8" t="s">
        <v>17063</v>
      </c>
      <c r="E2896" s="8" t="s">
        <v>17047</v>
      </c>
      <c r="F2896" s="8" t="s">
        <v>17064</v>
      </c>
      <c r="G2896" s="6" t="s">
        <v>60</v>
      </c>
      <c r="H2896" s="6" t="s">
        <v>134</v>
      </c>
      <c r="I2896" s="8"/>
      <c r="J2896" s="9">
        <v>1</v>
      </c>
      <c r="K2896" s="9">
        <v>464</v>
      </c>
      <c r="L2896" s="9">
        <v>2024</v>
      </c>
      <c r="M2896" s="8" t="s">
        <v>17065</v>
      </c>
      <c r="N2896" s="8" t="s">
        <v>37</v>
      </c>
      <c r="O2896" s="8" t="s">
        <v>136</v>
      </c>
      <c r="P2896" s="6" t="s">
        <v>306</v>
      </c>
      <c r="Q2896" s="8" t="s">
        <v>52</v>
      </c>
      <c r="R2896" s="10" t="s">
        <v>1275</v>
      </c>
      <c r="S2896" s="11" t="s">
        <v>17066</v>
      </c>
      <c r="T2896" s="6"/>
      <c r="U2896" s="15" t="str">
        <f>HYPERLINK("https://media.infra-m.ru/2157/2157677/cover/2157677.jpg", "Обложка")</f>
        <v>Обложка</v>
      </c>
      <c r="V2896" s="8" t="s">
        <v>1184</v>
      </c>
      <c r="W2896" s="6"/>
      <c r="X2896" s="6"/>
      <c r="Y2896" s="6"/>
      <c r="Z2896" s="6"/>
      <c r="AA2896" s="6" t="s">
        <v>43</v>
      </c>
      <c r="AB2896" s="8"/>
      <c r="AC2896" s="27">
        <v>9785917682310</v>
      </c>
    </row>
    <row r="2897" spans="1:29" s="4" customFormat="1" ht="51.9" customHeight="1" x14ac:dyDescent="0.2">
      <c r="A2897" s="5">
        <v>0</v>
      </c>
      <c r="B2897" s="6" t="s">
        <v>17067</v>
      </c>
      <c r="C2897" s="7">
        <v>2616</v>
      </c>
      <c r="D2897" s="8" t="s">
        <v>17068</v>
      </c>
      <c r="E2897" s="8" t="s">
        <v>17047</v>
      </c>
      <c r="F2897" s="8" t="s">
        <v>11182</v>
      </c>
      <c r="G2897" s="6" t="s">
        <v>60</v>
      </c>
      <c r="H2897" s="6" t="s">
        <v>134</v>
      </c>
      <c r="I2897" s="8" t="s">
        <v>263</v>
      </c>
      <c r="J2897" s="9">
        <v>1</v>
      </c>
      <c r="K2897" s="9">
        <v>464</v>
      </c>
      <c r="L2897" s="9">
        <v>2024</v>
      </c>
      <c r="M2897" s="8" t="s">
        <v>17069</v>
      </c>
      <c r="N2897" s="8" t="s">
        <v>37</v>
      </c>
      <c r="O2897" s="8" t="s">
        <v>136</v>
      </c>
      <c r="P2897" s="6" t="s">
        <v>306</v>
      </c>
      <c r="Q2897" s="8" t="s">
        <v>265</v>
      </c>
      <c r="R2897" s="10" t="s">
        <v>17055</v>
      </c>
      <c r="S2897" s="11" t="s">
        <v>17066</v>
      </c>
      <c r="T2897" s="6"/>
      <c r="U2897" s="15" t="str">
        <f>HYPERLINK("https://media.infra-m.ru/2132/2132499/cover/2132499.jpg", "Обложка")</f>
        <v>Обложка</v>
      </c>
      <c r="V2897" s="8" t="s">
        <v>1184</v>
      </c>
      <c r="W2897" s="6"/>
      <c r="X2897" s="6"/>
      <c r="Y2897" s="6"/>
      <c r="Z2897" s="6" t="s">
        <v>267</v>
      </c>
      <c r="AA2897" s="6" t="s">
        <v>86</v>
      </c>
      <c r="AB2897" s="8"/>
      <c r="AC2897" s="27">
        <v>9785917689296</v>
      </c>
    </row>
    <row r="2898" spans="1:29" s="4" customFormat="1" ht="51.9" customHeight="1" x14ac:dyDescent="0.2">
      <c r="A2898" s="5">
        <v>0</v>
      </c>
      <c r="B2898" s="6" t="s">
        <v>17070</v>
      </c>
      <c r="C2898" s="7">
        <v>3396</v>
      </c>
      <c r="D2898" s="8" t="s">
        <v>17071</v>
      </c>
      <c r="E2898" s="8" t="s">
        <v>17072</v>
      </c>
      <c r="F2898" s="8" t="s">
        <v>11182</v>
      </c>
      <c r="G2898" s="6" t="s">
        <v>60</v>
      </c>
      <c r="H2898" s="6" t="s">
        <v>134</v>
      </c>
      <c r="I2898" s="8" t="s">
        <v>263</v>
      </c>
      <c r="J2898" s="9">
        <v>1</v>
      </c>
      <c r="K2898" s="9">
        <v>608</v>
      </c>
      <c r="L2898" s="9">
        <v>2025</v>
      </c>
      <c r="M2898" s="8" t="s">
        <v>17073</v>
      </c>
      <c r="N2898" s="8" t="s">
        <v>37</v>
      </c>
      <c r="O2898" s="8" t="s">
        <v>136</v>
      </c>
      <c r="P2898" s="6" t="s">
        <v>306</v>
      </c>
      <c r="Q2898" s="8" t="s">
        <v>265</v>
      </c>
      <c r="R2898" s="10" t="s">
        <v>17055</v>
      </c>
      <c r="S2898" s="11" t="s">
        <v>17066</v>
      </c>
      <c r="T2898" s="6"/>
      <c r="U2898" s="15" t="str">
        <f>HYPERLINK("https://media.infra-m.ru/2185/2185765/cover/2185765.jpg", "Обложка")</f>
        <v>Обложка</v>
      </c>
      <c r="V2898" s="8" t="s">
        <v>1184</v>
      </c>
      <c r="W2898" s="6"/>
      <c r="X2898" s="6"/>
      <c r="Y2898" s="6"/>
      <c r="Z2898" s="6" t="s">
        <v>267</v>
      </c>
      <c r="AA2898" s="6" t="s">
        <v>917</v>
      </c>
      <c r="AB2898" s="8"/>
      <c r="AC2898" s="27">
        <v>9785001564096</v>
      </c>
    </row>
    <row r="2899" spans="1:29" s="4" customFormat="1" ht="51.9" customHeight="1" x14ac:dyDescent="0.2">
      <c r="A2899" s="5">
        <v>0</v>
      </c>
      <c r="B2899" s="6" t="s">
        <v>17074</v>
      </c>
      <c r="C2899" s="7">
        <v>3424.8</v>
      </c>
      <c r="D2899" s="8" t="s">
        <v>17075</v>
      </c>
      <c r="E2899" s="8" t="s">
        <v>17072</v>
      </c>
      <c r="F2899" s="8" t="s">
        <v>11182</v>
      </c>
      <c r="G2899" s="6" t="s">
        <v>60</v>
      </c>
      <c r="H2899" s="6" t="s">
        <v>134</v>
      </c>
      <c r="I2899" s="8"/>
      <c r="J2899" s="9">
        <v>1</v>
      </c>
      <c r="K2899" s="9">
        <v>608</v>
      </c>
      <c r="L2899" s="9">
        <v>2026</v>
      </c>
      <c r="M2899" s="8" t="s">
        <v>17076</v>
      </c>
      <c r="N2899" s="8" t="s">
        <v>37</v>
      </c>
      <c r="O2899" s="8" t="s">
        <v>136</v>
      </c>
      <c r="P2899" s="6" t="s">
        <v>306</v>
      </c>
      <c r="Q2899" s="8" t="s">
        <v>52</v>
      </c>
      <c r="R2899" s="10" t="s">
        <v>1275</v>
      </c>
      <c r="S2899" s="11" t="s">
        <v>17066</v>
      </c>
      <c r="T2899" s="6"/>
      <c r="U2899" s="15" t="str">
        <f>HYPERLINK("https://media.infra-m.ru/2242/2242257/cover/2242257.jpg", "Обложка")</f>
        <v>Обложка</v>
      </c>
      <c r="V2899" s="8" t="s">
        <v>1184</v>
      </c>
      <c r="W2899" s="6"/>
      <c r="X2899" s="6"/>
      <c r="Y2899" s="6"/>
      <c r="Z2899" s="6"/>
      <c r="AA2899" s="6" t="s">
        <v>917</v>
      </c>
      <c r="AB2899" s="8"/>
      <c r="AC2899" s="27">
        <v>9785001564089</v>
      </c>
    </row>
    <row r="2900" spans="1:29" s="4" customFormat="1" ht="51.9" customHeight="1" x14ac:dyDescent="0.2">
      <c r="A2900" s="5">
        <v>0</v>
      </c>
      <c r="B2900" s="6" t="s">
        <v>17077</v>
      </c>
      <c r="C2900" s="7">
        <v>2776.8</v>
      </c>
      <c r="D2900" s="8" t="s">
        <v>17078</v>
      </c>
      <c r="E2900" s="8" t="s">
        <v>17072</v>
      </c>
      <c r="F2900" s="8" t="s">
        <v>17079</v>
      </c>
      <c r="G2900" s="6" t="s">
        <v>118</v>
      </c>
      <c r="H2900" s="6" t="s">
        <v>134</v>
      </c>
      <c r="I2900" s="8"/>
      <c r="J2900" s="9">
        <v>1</v>
      </c>
      <c r="K2900" s="9">
        <v>400</v>
      </c>
      <c r="L2900" s="9">
        <v>2026</v>
      </c>
      <c r="M2900" s="8" t="s">
        <v>17080</v>
      </c>
      <c r="N2900" s="8" t="s">
        <v>37</v>
      </c>
      <c r="O2900" s="8" t="s">
        <v>136</v>
      </c>
      <c r="P2900" s="6" t="s">
        <v>306</v>
      </c>
      <c r="Q2900" s="8" t="s">
        <v>65</v>
      </c>
      <c r="R2900" s="10" t="s">
        <v>15155</v>
      </c>
      <c r="S2900" s="11" t="s">
        <v>17081</v>
      </c>
      <c r="T2900" s="6"/>
      <c r="U2900" s="15" t="str">
        <f>HYPERLINK("https://media.infra-m.ru/2231/2231064/cover/2231064.jpg", "Обложка")</f>
        <v>Обложка</v>
      </c>
      <c r="V2900" s="8" t="s">
        <v>2466</v>
      </c>
      <c r="W2900" s="6"/>
      <c r="X2900" s="6"/>
      <c r="Y2900" s="6"/>
      <c r="Z2900" s="6"/>
      <c r="AA2900" s="6" t="s">
        <v>6584</v>
      </c>
      <c r="AB2900" s="8"/>
      <c r="AC2900" s="27">
        <v>9785917683171</v>
      </c>
    </row>
    <row r="2901" spans="1:29" s="4" customFormat="1" ht="51.9" customHeight="1" x14ac:dyDescent="0.2">
      <c r="A2901" s="5">
        <v>0</v>
      </c>
      <c r="B2901" s="6" t="s">
        <v>17082</v>
      </c>
      <c r="C2901" s="7">
        <v>4420.8</v>
      </c>
      <c r="D2901" s="8" t="s">
        <v>17083</v>
      </c>
      <c r="E2901" s="8" t="s">
        <v>17084</v>
      </c>
      <c r="F2901" s="8" t="s">
        <v>17038</v>
      </c>
      <c r="G2901" s="6" t="s">
        <v>60</v>
      </c>
      <c r="H2901" s="6" t="s">
        <v>134</v>
      </c>
      <c r="I2901" s="8"/>
      <c r="J2901" s="9">
        <v>1</v>
      </c>
      <c r="K2901" s="9">
        <v>752</v>
      </c>
      <c r="L2901" s="9">
        <v>2026</v>
      </c>
      <c r="M2901" s="8" t="s">
        <v>17085</v>
      </c>
      <c r="N2901" s="8" t="s">
        <v>37</v>
      </c>
      <c r="O2901" s="8" t="s">
        <v>136</v>
      </c>
      <c r="P2901" s="6" t="s">
        <v>306</v>
      </c>
      <c r="Q2901" s="8" t="s">
        <v>52</v>
      </c>
      <c r="R2901" s="10" t="s">
        <v>1275</v>
      </c>
      <c r="S2901" s="11" t="s">
        <v>15730</v>
      </c>
      <c r="T2901" s="6"/>
      <c r="U2901" s="15" t="str">
        <f>HYPERLINK("https://media.infra-m.ru/2230/2230297/cover/2230297.jpg", "Обложка")</f>
        <v>Обложка</v>
      </c>
      <c r="V2901" s="8" t="s">
        <v>2466</v>
      </c>
      <c r="W2901" s="6"/>
      <c r="X2901" s="6"/>
      <c r="Y2901" s="6"/>
      <c r="Z2901" s="6"/>
      <c r="AA2901" s="6" t="s">
        <v>8708</v>
      </c>
      <c r="AB2901" s="8"/>
      <c r="AC2901" s="27">
        <v>9785917688305</v>
      </c>
    </row>
    <row r="2902" spans="1:29" s="4" customFormat="1" ht="51.9" customHeight="1" x14ac:dyDescent="0.2">
      <c r="A2902" s="5">
        <v>0</v>
      </c>
      <c r="B2902" s="6" t="s">
        <v>17086</v>
      </c>
      <c r="C2902" s="7">
        <v>4616.3999999999996</v>
      </c>
      <c r="D2902" s="8" t="s">
        <v>17087</v>
      </c>
      <c r="E2902" s="8" t="s">
        <v>17088</v>
      </c>
      <c r="F2902" s="8" t="s">
        <v>17089</v>
      </c>
      <c r="G2902" s="6" t="s">
        <v>60</v>
      </c>
      <c r="H2902" s="6" t="s">
        <v>134</v>
      </c>
      <c r="I2902" s="8"/>
      <c r="J2902" s="9">
        <v>1</v>
      </c>
      <c r="K2902" s="9">
        <v>928</v>
      </c>
      <c r="L2902" s="9">
        <v>2026</v>
      </c>
      <c r="M2902" s="8" t="s">
        <v>17090</v>
      </c>
      <c r="N2902" s="8" t="s">
        <v>37</v>
      </c>
      <c r="O2902" s="8" t="s">
        <v>136</v>
      </c>
      <c r="P2902" s="6" t="s">
        <v>306</v>
      </c>
      <c r="Q2902" s="8" t="s">
        <v>52</v>
      </c>
      <c r="R2902" s="10" t="s">
        <v>1068</v>
      </c>
      <c r="S2902" s="11" t="s">
        <v>17091</v>
      </c>
      <c r="T2902" s="6"/>
      <c r="U2902" s="15" t="str">
        <f>HYPERLINK("https://media.infra-m.ru/2215/2215796/cover/2215796.jpg", "Обложка")</f>
        <v>Обложка</v>
      </c>
      <c r="V2902" s="8" t="s">
        <v>6114</v>
      </c>
      <c r="W2902" s="6"/>
      <c r="X2902" s="6"/>
      <c r="Y2902" s="6"/>
      <c r="Z2902" s="6"/>
      <c r="AA2902" s="6" t="s">
        <v>15057</v>
      </c>
      <c r="AB2902" s="8"/>
      <c r="AC2902" s="27">
        <v>9785917683348</v>
      </c>
    </row>
    <row r="2903" spans="1:29" s="4" customFormat="1" ht="42" customHeight="1" x14ac:dyDescent="0.2">
      <c r="A2903" s="5">
        <v>0</v>
      </c>
      <c r="B2903" s="6" t="s">
        <v>17092</v>
      </c>
      <c r="C2903" s="7">
        <v>1344</v>
      </c>
      <c r="D2903" s="8" t="s">
        <v>17093</v>
      </c>
      <c r="E2903" s="8" t="s">
        <v>17094</v>
      </c>
      <c r="F2903" s="8" t="s">
        <v>17038</v>
      </c>
      <c r="G2903" s="6" t="s">
        <v>118</v>
      </c>
      <c r="H2903" s="6" t="s">
        <v>1779</v>
      </c>
      <c r="I2903" s="8"/>
      <c r="J2903" s="9">
        <v>1</v>
      </c>
      <c r="K2903" s="9">
        <v>192</v>
      </c>
      <c r="L2903" s="9">
        <v>2027</v>
      </c>
      <c r="M2903" s="8" t="s">
        <v>17095</v>
      </c>
      <c r="N2903" s="8" t="s">
        <v>37</v>
      </c>
      <c r="O2903" s="8" t="s">
        <v>136</v>
      </c>
      <c r="P2903" s="6" t="s">
        <v>39</v>
      </c>
      <c r="Q2903" s="8" t="s">
        <v>40</v>
      </c>
      <c r="R2903" s="10" t="s">
        <v>1255</v>
      </c>
      <c r="S2903" s="11"/>
      <c r="T2903" s="6"/>
      <c r="U2903" s="15" t="str">
        <f>HYPERLINK("https://media.infra-m.ru/2267/2267092/cover/2267092.jpg", "Обложка")</f>
        <v>Обложка</v>
      </c>
      <c r="V2903" s="8" t="s">
        <v>2466</v>
      </c>
      <c r="W2903" s="6"/>
      <c r="X2903" s="6"/>
      <c r="Y2903" s="6"/>
      <c r="Z2903" s="6"/>
      <c r="AA2903" s="6" t="s">
        <v>779</v>
      </c>
      <c r="AB2903" s="8"/>
      <c r="AC2903" s="27">
        <v>9785917686875</v>
      </c>
    </row>
    <row r="2904" spans="1:29" s="4" customFormat="1" ht="42" customHeight="1" x14ac:dyDescent="0.2">
      <c r="A2904" s="5">
        <v>0</v>
      </c>
      <c r="B2904" s="6" t="s">
        <v>17096</v>
      </c>
      <c r="C2904" s="7">
        <v>2056.8000000000002</v>
      </c>
      <c r="D2904" s="8" t="s">
        <v>17097</v>
      </c>
      <c r="E2904" s="8" t="s">
        <v>17098</v>
      </c>
      <c r="F2904" s="8" t="s">
        <v>17099</v>
      </c>
      <c r="G2904" s="6" t="s">
        <v>118</v>
      </c>
      <c r="H2904" s="6" t="s">
        <v>34</v>
      </c>
      <c r="I2904" s="8" t="s">
        <v>10444</v>
      </c>
      <c r="J2904" s="9">
        <v>1</v>
      </c>
      <c r="K2904" s="9">
        <v>311</v>
      </c>
      <c r="L2904" s="9">
        <v>2026</v>
      </c>
      <c r="M2904" s="8" t="s">
        <v>17100</v>
      </c>
      <c r="N2904" s="8" t="s">
        <v>37</v>
      </c>
      <c r="O2904" s="8" t="s">
        <v>136</v>
      </c>
      <c r="P2904" s="6" t="s">
        <v>39</v>
      </c>
      <c r="Q2904" s="8" t="s">
        <v>40</v>
      </c>
      <c r="R2904" s="10" t="s">
        <v>8485</v>
      </c>
      <c r="S2904" s="11"/>
      <c r="T2904" s="6"/>
      <c r="U2904" s="15" t="str">
        <f>HYPERLINK("https://media.infra-m.ru/2244/2244258/cover/2244258.jpg", "Обложка")</f>
        <v>Обложка</v>
      </c>
      <c r="V2904" s="8" t="s">
        <v>9937</v>
      </c>
      <c r="W2904" s="6"/>
      <c r="X2904" s="6"/>
      <c r="Y2904" s="6"/>
      <c r="Z2904" s="6"/>
      <c r="AA2904" s="6" t="s">
        <v>1506</v>
      </c>
      <c r="AB2904" s="8"/>
      <c r="AC2904" s="27">
        <v>9785160131962</v>
      </c>
    </row>
    <row r="2905" spans="1:29" s="4" customFormat="1" ht="51.9" customHeight="1" x14ac:dyDescent="0.2">
      <c r="A2905" s="5">
        <v>0</v>
      </c>
      <c r="B2905" s="6" t="s">
        <v>17101</v>
      </c>
      <c r="C2905" s="7">
        <v>2512.8000000000002</v>
      </c>
      <c r="D2905" s="8" t="s">
        <v>17102</v>
      </c>
      <c r="E2905" s="8" t="s">
        <v>17103</v>
      </c>
      <c r="F2905" s="8" t="s">
        <v>17104</v>
      </c>
      <c r="G2905" s="6" t="s">
        <v>33</v>
      </c>
      <c r="H2905" s="6" t="s">
        <v>134</v>
      </c>
      <c r="I2905" s="8" t="s">
        <v>8663</v>
      </c>
      <c r="J2905" s="9">
        <v>1</v>
      </c>
      <c r="K2905" s="9">
        <v>368</v>
      </c>
      <c r="L2905" s="9">
        <v>2027</v>
      </c>
      <c r="M2905" s="8" t="s">
        <v>17105</v>
      </c>
      <c r="N2905" s="8" t="s">
        <v>37</v>
      </c>
      <c r="O2905" s="8" t="s">
        <v>136</v>
      </c>
      <c r="P2905" s="6" t="s">
        <v>3310</v>
      </c>
      <c r="Q2905" s="8" t="s">
        <v>65</v>
      </c>
      <c r="R2905" s="10" t="s">
        <v>7447</v>
      </c>
      <c r="S2905" s="11"/>
      <c r="T2905" s="6"/>
      <c r="U2905" s="15" t="str">
        <f>HYPERLINK("https://media.infra-m.ru/2267/2267106/cover/2267106.jpg", "Обложка")</f>
        <v>Обложка</v>
      </c>
      <c r="V2905" s="8" t="s">
        <v>17106</v>
      </c>
      <c r="W2905" s="6"/>
      <c r="X2905" s="6"/>
      <c r="Y2905" s="6"/>
      <c r="Z2905" s="6"/>
      <c r="AA2905" s="6" t="s">
        <v>15559</v>
      </c>
      <c r="AB2905" s="8"/>
      <c r="AC2905" s="27">
        <v>9785917687292</v>
      </c>
    </row>
    <row r="2906" spans="1:29" s="4" customFormat="1" ht="42" customHeight="1" x14ac:dyDescent="0.2">
      <c r="A2906" s="5">
        <v>0</v>
      </c>
      <c r="B2906" s="6" t="s">
        <v>17107</v>
      </c>
      <c r="C2906" s="13">
        <v>912</v>
      </c>
      <c r="D2906" s="8" t="s">
        <v>17108</v>
      </c>
      <c r="E2906" s="8" t="s">
        <v>17109</v>
      </c>
      <c r="F2906" s="8" t="s">
        <v>17110</v>
      </c>
      <c r="G2906" s="6" t="s">
        <v>118</v>
      </c>
      <c r="H2906" s="6" t="s">
        <v>134</v>
      </c>
      <c r="I2906" s="8"/>
      <c r="J2906" s="9">
        <v>1</v>
      </c>
      <c r="K2906" s="9">
        <v>128</v>
      </c>
      <c r="L2906" s="9">
        <v>2026</v>
      </c>
      <c r="M2906" s="8" t="s">
        <v>17111</v>
      </c>
      <c r="N2906" s="8" t="s">
        <v>37</v>
      </c>
      <c r="O2906" s="8" t="s">
        <v>136</v>
      </c>
      <c r="P2906" s="6" t="s">
        <v>51</v>
      </c>
      <c r="Q2906" s="8" t="s">
        <v>265</v>
      </c>
      <c r="R2906" s="10" t="s">
        <v>479</v>
      </c>
      <c r="S2906" s="11"/>
      <c r="T2906" s="6"/>
      <c r="U2906" s="15" t="str">
        <f>HYPERLINK("https://media.infra-m.ru/2225/2225220/cover/2225220.jpg", "Обложка")</f>
        <v>Обложка</v>
      </c>
      <c r="V2906" s="8" t="s">
        <v>1184</v>
      </c>
      <c r="W2906" s="6"/>
      <c r="X2906" s="6"/>
      <c r="Y2906" s="6"/>
      <c r="Z2906" s="6" t="s">
        <v>267</v>
      </c>
      <c r="AA2906" s="6" t="s">
        <v>430</v>
      </c>
      <c r="AB2906" s="8"/>
      <c r="AC2906" s="27">
        <v>9785001561767</v>
      </c>
    </row>
    <row r="2907" spans="1:29" s="4" customFormat="1" ht="51.9" customHeight="1" x14ac:dyDescent="0.2">
      <c r="A2907" s="5">
        <v>0</v>
      </c>
      <c r="B2907" s="6" t="s">
        <v>17112</v>
      </c>
      <c r="C2907" s="13">
        <v>784.8</v>
      </c>
      <c r="D2907" s="8" t="s">
        <v>17113</v>
      </c>
      <c r="E2907" s="8" t="s">
        <v>17109</v>
      </c>
      <c r="F2907" s="8" t="s">
        <v>17110</v>
      </c>
      <c r="G2907" s="6" t="s">
        <v>33</v>
      </c>
      <c r="H2907" s="6" t="s">
        <v>134</v>
      </c>
      <c r="I2907" s="8"/>
      <c r="J2907" s="9">
        <v>1</v>
      </c>
      <c r="K2907" s="9">
        <v>128</v>
      </c>
      <c r="L2907" s="9">
        <v>2024</v>
      </c>
      <c r="M2907" s="8" t="s">
        <v>17114</v>
      </c>
      <c r="N2907" s="8" t="s">
        <v>37</v>
      </c>
      <c r="O2907" s="8" t="s">
        <v>136</v>
      </c>
      <c r="P2907" s="6" t="s">
        <v>51</v>
      </c>
      <c r="Q2907" s="8" t="s">
        <v>52</v>
      </c>
      <c r="R2907" s="10" t="s">
        <v>1275</v>
      </c>
      <c r="S2907" s="11"/>
      <c r="T2907" s="6"/>
      <c r="U2907" s="15" t="str">
        <f>HYPERLINK("https://media.infra-m.ru/2136/2136700/cover/2136700.jpg", "Обложка")</f>
        <v>Обложка</v>
      </c>
      <c r="V2907" s="8" t="s">
        <v>1184</v>
      </c>
      <c r="W2907" s="6"/>
      <c r="X2907" s="6"/>
      <c r="Y2907" s="6"/>
      <c r="Z2907" s="6"/>
      <c r="AA2907" s="6" t="s">
        <v>99</v>
      </c>
      <c r="AB2907" s="8"/>
      <c r="AC2907" s="27">
        <v>9785917688046</v>
      </c>
    </row>
    <row r="2908" spans="1:29" s="4" customFormat="1" ht="51.9" customHeight="1" x14ac:dyDescent="0.2">
      <c r="A2908" s="5">
        <v>0</v>
      </c>
      <c r="B2908" s="6" t="s">
        <v>17115</v>
      </c>
      <c r="C2908" s="7">
        <v>1132.8</v>
      </c>
      <c r="D2908" s="8" t="s">
        <v>17116</v>
      </c>
      <c r="E2908" s="8" t="s">
        <v>17117</v>
      </c>
      <c r="F2908" s="8" t="s">
        <v>17118</v>
      </c>
      <c r="G2908" s="6" t="s">
        <v>33</v>
      </c>
      <c r="H2908" s="6" t="s">
        <v>1779</v>
      </c>
      <c r="I2908" s="8"/>
      <c r="J2908" s="9">
        <v>1</v>
      </c>
      <c r="K2908" s="9">
        <v>192</v>
      </c>
      <c r="L2908" s="9">
        <v>2026</v>
      </c>
      <c r="M2908" s="8" t="s">
        <v>17119</v>
      </c>
      <c r="N2908" s="8" t="s">
        <v>37</v>
      </c>
      <c r="O2908" s="8" t="s">
        <v>136</v>
      </c>
      <c r="P2908" s="6" t="s">
        <v>39</v>
      </c>
      <c r="Q2908" s="8" t="s">
        <v>40</v>
      </c>
      <c r="R2908" s="10" t="s">
        <v>1275</v>
      </c>
      <c r="S2908" s="11"/>
      <c r="T2908" s="6"/>
      <c r="U2908" s="15" t="str">
        <f>HYPERLINK("https://media.infra-m.ru/2237/2237644/cover/2237644.jpg", "Обложка")</f>
        <v>Обложка</v>
      </c>
      <c r="V2908" s="8" t="s">
        <v>9937</v>
      </c>
      <c r="W2908" s="6"/>
      <c r="X2908" s="6"/>
      <c r="Y2908" s="6"/>
      <c r="Z2908" s="6"/>
      <c r="AA2908" s="6" t="s">
        <v>4554</v>
      </c>
      <c r="AB2908" s="8"/>
      <c r="AC2908" s="27">
        <v>9785891239074</v>
      </c>
    </row>
    <row r="2909" spans="1:29" s="4" customFormat="1" ht="42" customHeight="1" x14ac:dyDescent="0.2">
      <c r="A2909" s="5">
        <v>0</v>
      </c>
      <c r="B2909" s="6" t="s">
        <v>17120</v>
      </c>
      <c r="C2909" s="7">
        <v>1548</v>
      </c>
      <c r="D2909" s="8" t="s">
        <v>17121</v>
      </c>
      <c r="E2909" s="8" t="s">
        <v>17122</v>
      </c>
      <c r="F2909" s="8" t="s">
        <v>17123</v>
      </c>
      <c r="G2909" s="6" t="s">
        <v>118</v>
      </c>
      <c r="H2909" s="6" t="s">
        <v>34</v>
      </c>
      <c r="I2909" s="8" t="s">
        <v>263</v>
      </c>
      <c r="J2909" s="9">
        <v>1</v>
      </c>
      <c r="K2909" s="9">
        <v>222</v>
      </c>
      <c r="L2909" s="9">
        <v>2027</v>
      </c>
      <c r="M2909" s="8" t="s">
        <v>17124</v>
      </c>
      <c r="N2909" s="8" t="s">
        <v>37</v>
      </c>
      <c r="O2909" s="8" t="s">
        <v>136</v>
      </c>
      <c r="P2909" s="6" t="s">
        <v>306</v>
      </c>
      <c r="Q2909" s="8" t="s">
        <v>265</v>
      </c>
      <c r="R2909" s="10" t="s">
        <v>17055</v>
      </c>
      <c r="S2909" s="11"/>
      <c r="T2909" s="6"/>
      <c r="U2909" s="15" t="str">
        <f>HYPERLINK("https://media.infra-m.ru/2268/2268359/cover/2268359.jpg", "Обложка")</f>
        <v>Обложка</v>
      </c>
      <c r="V2909" s="8" t="s">
        <v>9514</v>
      </c>
      <c r="W2909" s="6"/>
      <c r="X2909" s="6"/>
      <c r="Y2909" s="6"/>
      <c r="Z2909" s="6"/>
      <c r="AA2909" s="6" t="s">
        <v>76</v>
      </c>
      <c r="AB2909" s="8" t="s">
        <v>17125</v>
      </c>
      <c r="AC2909" s="27">
        <v>9785160179704</v>
      </c>
    </row>
    <row r="2910" spans="1:29" s="4" customFormat="1" ht="51.9" customHeight="1" x14ac:dyDescent="0.2">
      <c r="A2910" s="5">
        <v>0</v>
      </c>
      <c r="B2910" s="6" t="s">
        <v>17126</v>
      </c>
      <c r="C2910" s="7">
        <v>2328</v>
      </c>
      <c r="D2910" s="8" t="s">
        <v>17127</v>
      </c>
      <c r="E2910" s="8" t="s">
        <v>17128</v>
      </c>
      <c r="F2910" s="8" t="s">
        <v>14790</v>
      </c>
      <c r="G2910" s="6" t="s">
        <v>118</v>
      </c>
      <c r="H2910" s="6" t="s">
        <v>134</v>
      </c>
      <c r="I2910" s="8"/>
      <c r="J2910" s="9">
        <v>1</v>
      </c>
      <c r="K2910" s="9">
        <v>352</v>
      </c>
      <c r="L2910" s="9">
        <v>2026</v>
      </c>
      <c r="M2910" s="8" t="s">
        <v>17129</v>
      </c>
      <c r="N2910" s="8" t="s">
        <v>37</v>
      </c>
      <c r="O2910" s="8" t="s">
        <v>136</v>
      </c>
      <c r="P2910" s="6" t="s">
        <v>306</v>
      </c>
      <c r="Q2910" s="8" t="s">
        <v>500</v>
      </c>
      <c r="R2910" s="10" t="s">
        <v>1275</v>
      </c>
      <c r="S2910" s="11"/>
      <c r="T2910" s="6"/>
      <c r="U2910" s="15" t="str">
        <f>HYPERLINK("https://media.infra-m.ru/2232/2232927/cover/2232927.jpg", "Обложка")</f>
        <v>Обложка</v>
      </c>
      <c r="V2910" s="8" t="s">
        <v>9937</v>
      </c>
      <c r="W2910" s="6"/>
      <c r="X2910" s="6"/>
      <c r="Y2910" s="6"/>
      <c r="Z2910" s="6"/>
      <c r="AA2910" s="6" t="s">
        <v>86</v>
      </c>
      <c r="AB2910" s="8"/>
      <c r="AC2910" s="27">
        <v>9785917688961</v>
      </c>
    </row>
    <row r="2911" spans="1:29" s="4" customFormat="1" ht="51.9" customHeight="1" x14ac:dyDescent="0.2">
      <c r="A2911" s="5">
        <v>0</v>
      </c>
      <c r="B2911" s="6" t="s">
        <v>17130</v>
      </c>
      <c r="C2911" s="7">
        <v>2388</v>
      </c>
      <c r="D2911" s="8" t="s">
        <v>17131</v>
      </c>
      <c r="E2911" s="8" t="s">
        <v>17132</v>
      </c>
      <c r="F2911" s="8" t="s">
        <v>14790</v>
      </c>
      <c r="G2911" s="6" t="s">
        <v>118</v>
      </c>
      <c r="H2911" s="6" t="s">
        <v>134</v>
      </c>
      <c r="I2911" s="8"/>
      <c r="J2911" s="9">
        <v>1</v>
      </c>
      <c r="K2911" s="9">
        <v>348</v>
      </c>
      <c r="L2911" s="9">
        <v>2026</v>
      </c>
      <c r="M2911" s="8" t="s">
        <v>17133</v>
      </c>
      <c r="N2911" s="8" t="s">
        <v>37</v>
      </c>
      <c r="O2911" s="8" t="s">
        <v>136</v>
      </c>
      <c r="P2911" s="6" t="s">
        <v>306</v>
      </c>
      <c r="Q2911" s="8" t="s">
        <v>500</v>
      </c>
      <c r="R2911" s="10" t="s">
        <v>1275</v>
      </c>
      <c r="S2911" s="11"/>
      <c r="T2911" s="6"/>
      <c r="U2911" s="15" t="str">
        <f>HYPERLINK("https://media.infra-m.ru/2238/2238805/cover/2238805.jpg", "Обложка")</f>
        <v>Обложка</v>
      </c>
      <c r="V2911" s="8" t="s">
        <v>9937</v>
      </c>
      <c r="W2911" s="6" t="s">
        <v>299</v>
      </c>
      <c r="X2911" s="6"/>
      <c r="Y2911" s="6"/>
      <c r="Z2911" s="6"/>
      <c r="AA2911" s="6" t="s">
        <v>650</v>
      </c>
      <c r="AB2911" s="8"/>
      <c r="AC2911" s="27">
        <v>9785001564768</v>
      </c>
    </row>
    <row r="2912" spans="1:29" s="4" customFormat="1" ht="44.1" customHeight="1" x14ac:dyDescent="0.2">
      <c r="A2912" s="5">
        <v>0</v>
      </c>
      <c r="B2912" s="6" t="s">
        <v>17134</v>
      </c>
      <c r="C2912" s="7">
        <v>2716.8</v>
      </c>
      <c r="D2912" s="8" t="s">
        <v>17135</v>
      </c>
      <c r="E2912" s="8" t="s">
        <v>17136</v>
      </c>
      <c r="F2912" s="8" t="s">
        <v>17137</v>
      </c>
      <c r="G2912" s="6" t="s">
        <v>60</v>
      </c>
      <c r="H2912" s="6" t="s">
        <v>34</v>
      </c>
      <c r="I2912" s="8" t="s">
        <v>5350</v>
      </c>
      <c r="J2912" s="9">
        <v>1</v>
      </c>
      <c r="K2912" s="9">
        <v>390</v>
      </c>
      <c r="L2912" s="9">
        <v>2027</v>
      </c>
      <c r="M2912" s="8" t="s">
        <v>17138</v>
      </c>
      <c r="N2912" s="8" t="s">
        <v>37</v>
      </c>
      <c r="O2912" s="8" t="s">
        <v>136</v>
      </c>
      <c r="P2912" s="6" t="s">
        <v>306</v>
      </c>
      <c r="Q2912" s="8" t="s">
        <v>377</v>
      </c>
      <c r="R2912" s="10" t="s">
        <v>426</v>
      </c>
      <c r="S2912" s="11"/>
      <c r="T2912" s="6"/>
      <c r="U2912" s="15" t="str">
        <f>HYPERLINK("https://media.infra-m.ru/2262/2262692/cover/2262692.jpg", "Обложка")</f>
        <v>Обложка</v>
      </c>
      <c r="V2912" s="8" t="s">
        <v>5117</v>
      </c>
      <c r="W2912" s="6"/>
      <c r="X2912" s="6"/>
      <c r="Y2912" s="6"/>
      <c r="Z2912" s="6"/>
      <c r="AA2912" s="6" t="s">
        <v>157</v>
      </c>
      <c r="AB2912" s="8"/>
      <c r="AC2912" s="27">
        <v>9785160179568</v>
      </c>
    </row>
    <row r="2913" spans="1:29" s="4" customFormat="1" ht="51.9" customHeight="1" x14ac:dyDescent="0.2">
      <c r="A2913" s="5">
        <v>0</v>
      </c>
      <c r="B2913" s="6" t="s">
        <v>17139</v>
      </c>
      <c r="C2913" s="7">
        <v>2028</v>
      </c>
      <c r="D2913" s="8" t="s">
        <v>17140</v>
      </c>
      <c r="E2913" s="8" t="s">
        <v>17141</v>
      </c>
      <c r="F2913" s="8" t="s">
        <v>17142</v>
      </c>
      <c r="G2913" s="6" t="s">
        <v>60</v>
      </c>
      <c r="H2913" s="6" t="s">
        <v>34</v>
      </c>
      <c r="I2913" s="8" t="s">
        <v>10444</v>
      </c>
      <c r="J2913" s="9">
        <v>1</v>
      </c>
      <c r="K2913" s="9">
        <v>296</v>
      </c>
      <c r="L2913" s="9">
        <v>2026</v>
      </c>
      <c r="M2913" s="8" t="s">
        <v>17143</v>
      </c>
      <c r="N2913" s="8" t="s">
        <v>37</v>
      </c>
      <c r="O2913" s="8" t="s">
        <v>136</v>
      </c>
      <c r="P2913" s="6" t="s">
        <v>8120</v>
      </c>
      <c r="Q2913" s="8" t="s">
        <v>40</v>
      </c>
      <c r="R2913" s="10" t="s">
        <v>17144</v>
      </c>
      <c r="S2913" s="11"/>
      <c r="T2913" s="6"/>
      <c r="U2913" s="15" t="str">
        <f>HYPERLINK("https://media.infra-m.ru/2238/2238820/cover/2238820.jpg", "Обложка")</f>
        <v>Обложка</v>
      </c>
      <c r="V2913" s="8"/>
      <c r="W2913" s="6" t="s">
        <v>299</v>
      </c>
      <c r="X2913" s="6"/>
      <c r="Y2913" s="6"/>
      <c r="Z2913" s="6"/>
      <c r="AA2913" s="6" t="s">
        <v>187</v>
      </c>
      <c r="AB2913" s="8"/>
      <c r="AC2913" s="27">
        <v>9785160218236</v>
      </c>
    </row>
    <row r="2914" spans="1:29" s="4" customFormat="1" ht="51.9" customHeight="1" x14ac:dyDescent="0.2">
      <c r="A2914" s="5">
        <v>0</v>
      </c>
      <c r="B2914" s="6" t="s">
        <v>17145</v>
      </c>
      <c r="C2914" s="7">
        <v>2160</v>
      </c>
      <c r="D2914" s="8" t="s">
        <v>17146</v>
      </c>
      <c r="E2914" s="8" t="s">
        <v>17147</v>
      </c>
      <c r="F2914" s="8" t="s">
        <v>17148</v>
      </c>
      <c r="G2914" s="6" t="s">
        <v>118</v>
      </c>
      <c r="H2914" s="6" t="s">
        <v>134</v>
      </c>
      <c r="I2914" s="8"/>
      <c r="J2914" s="9">
        <v>1</v>
      </c>
      <c r="K2914" s="9">
        <v>400</v>
      </c>
      <c r="L2914" s="9">
        <v>2023</v>
      </c>
      <c r="M2914" s="8" t="s">
        <v>17149</v>
      </c>
      <c r="N2914" s="8" t="s">
        <v>37</v>
      </c>
      <c r="O2914" s="8" t="s">
        <v>136</v>
      </c>
      <c r="P2914" s="6" t="s">
        <v>306</v>
      </c>
      <c r="Q2914" s="8" t="s">
        <v>52</v>
      </c>
      <c r="R2914" s="10" t="s">
        <v>1275</v>
      </c>
      <c r="S2914" s="11" t="s">
        <v>17150</v>
      </c>
      <c r="T2914" s="6"/>
      <c r="U2914" s="15" t="str">
        <f>HYPERLINK("https://media.infra-m.ru/1927/1927273/cover/1927273.jpg", "Обложка")</f>
        <v>Обложка</v>
      </c>
      <c r="V2914" s="8" t="s">
        <v>5902</v>
      </c>
      <c r="W2914" s="6"/>
      <c r="X2914" s="6"/>
      <c r="Y2914" s="6"/>
      <c r="Z2914" s="6"/>
      <c r="AA2914" s="6" t="s">
        <v>1031</v>
      </c>
      <c r="AB2914" s="8"/>
      <c r="AC2914" s="27">
        <v>9785917688572</v>
      </c>
    </row>
    <row r="2915" spans="1:29" s="4" customFormat="1" ht="51.9" customHeight="1" x14ac:dyDescent="0.2">
      <c r="A2915" s="5">
        <v>0</v>
      </c>
      <c r="B2915" s="6" t="s">
        <v>17151</v>
      </c>
      <c r="C2915" s="7">
        <v>2736</v>
      </c>
      <c r="D2915" s="8" t="s">
        <v>17152</v>
      </c>
      <c r="E2915" s="8" t="s">
        <v>17103</v>
      </c>
      <c r="F2915" s="8" t="s">
        <v>17148</v>
      </c>
      <c r="G2915" s="6" t="s">
        <v>60</v>
      </c>
      <c r="H2915" s="6" t="s">
        <v>134</v>
      </c>
      <c r="I2915" s="8"/>
      <c r="J2915" s="9">
        <v>1</v>
      </c>
      <c r="K2915" s="9">
        <v>416</v>
      </c>
      <c r="L2915" s="9">
        <v>2026</v>
      </c>
      <c r="M2915" s="8" t="s">
        <v>17153</v>
      </c>
      <c r="N2915" s="8" t="s">
        <v>37</v>
      </c>
      <c r="O2915" s="8" t="s">
        <v>136</v>
      </c>
      <c r="P2915" s="6" t="s">
        <v>306</v>
      </c>
      <c r="Q2915" s="8" t="s">
        <v>52</v>
      </c>
      <c r="R2915" s="10" t="s">
        <v>1275</v>
      </c>
      <c r="S2915" s="11" t="s">
        <v>17150</v>
      </c>
      <c r="T2915" s="6"/>
      <c r="U2915" s="15" t="str">
        <f>HYPERLINK("https://media.infra-m.ru/2236/2236924/cover/2236924.jpg", "Обложка")</f>
        <v>Обложка</v>
      </c>
      <c r="V2915" s="8" t="s">
        <v>5902</v>
      </c>
      <c r="W2915" s="6"/>
      <c r="X2915" s="6"/>
      <c r="Y2915" s="6"/>
      <c r="Z2915" s="6"/>
      <c r="AA2915" s="6" t="s">
        <v>8987</v>
      </c>
      <c r="AB2915" s="8"/>
      <c r="AC2915" s="27">
        <v>9785001563693</v>
      </c>
    </row>
    <row r="2916" spans="1:29" s="4" customFormat="1" ht="51.9" customHeight="1" x14ac:dyDescent="0.2">
      <c r="A2916" s="5">
        <v>0</v>
      </c>
      <c r="B2916" s="6" t="s">
        <v>17154</v>
      </c>
      <c r="C2916" s="7">
        <v>2256</v>
      </c>
      <c r="D2916" s="8" t="s">
        <v>17155</v>
      </c>
      <c r="E2916" s="8" t="s">
        <v>17141</v>
      </c>
      <c r="F2916" s="8" t="s">
        <v>17156</v>
      </c>
      <c r="G2916" s="6" t="s">
        <v>118</v>
      </c>
      <c r="H2916" s="6" t="s">
        <v>134</v>
      </c>
      <c r="I2916" s="8" t="s">
        <v>263</v>
      </c>
      <c r="J2916" s="9">
        <v>1</v>
      </c>
      <c r="K2916" s="9">
        <v>400</v>
      </c>
      <c r="L2916" s="9">
        <v>2024</v>
      </c>
      <c r="M2916" s="8" t="s">
        <v>17157</v>
      </c>
      <c r="N2916" s="8" t="s">
        <v>37</v>
      </c>
      <c r="O2916" s="8" t="s">
        <v>136</v>
      </c>
      <c r="P2916" s="6" t="s">
        <v>306</v>
      </c>
      <c r="Q2916" s="8" t="s">
        <v>265</v>
      </c>
      <c r="R2916" s="10" t="s">
        <v>479</v>
      </c>
      <c r="S2916" s="11" t="s">
        <v>17150</v>
      </c>
      <c r="T2916" s="6"/>
      <c r="U2916" s="15" t="str">
        <f>HYPERLINK("https://media.infra-m.ru/2108/2108465/cover/2108465.jpg", "Обложка")</f>
        <v>Обложка</v>
      </c>
      <c r="V2916" s="8" t="s">
        <v>5902</v>
      </c>
      <c r="W2916" s="6"/>
      <c r="X2916" s="6"/>
      <c r="Y2916" s="6"/>
      <c r="Z2916" s="6" t="s">
        <v>267</v>
      </c>
      <c r="AA2916" s="6" t="s">
        <v>86</v>
      </c>
      <c r="AB2916" s="8"/>
      <c r="AC2916" s="27">
        <v>9785917689289</v>
      </c>
    </row>
    <row r="2917" spans="1:29" s="4" customFormat="1" ht="51.9" customHeight="1" x14ac:dyDescent="0.2">
      <c r="A2917" s="5">
        <v>0</v>
      </c>
      <c r="B2917" s="6" t="s">
        <v>17158</v>
      </c>
      <c r="C2917" s="7">
        <v>2532</v>
      </c>
      <c r="D2917" s="8" t="s">
        <v>17159</v>
      </c>
      <c r="E2917" s="8" t="s">
        <v>17160</v>
      </c>
      <c r="F2917" s="8" t="s">
        <v>17156</v>
      </c>
      <c r="G2917" s="6" t="s">
        <v>118</v>
      </c>
      <c r="H2917" s="6" t="s">
        <v>134</v>
      </c>
      <c r="I2917" s="8" t="s">
        <v>263</v>
      </c>
      <c r="J2917" s="9">
        <v>1</v>
      </c>
      <c r="K2917" s="9">
        <v>416</v>
      </c>
      <c r="L2917" s="9">
        <v>2025</v>
      </c>
      <c r="M2917" s="8" t="s">
        <v>17161</v>
      </c>
      <c r="N2917" s="8" t="s">
        <v>37</v>
      </c>
      <c r="O2917" s="8" t="s">
        <v>136</v>
      </c>
      <c r="P2917" s="6" t="s">
        <v>306</v>
      </c>
      <c r="Q2917" s="8" t="s">
        <v>265</v>
      </c>
      <c r="R2917" s="10" t="s">
        <v>479</v>
      </c>
      <c r="S2917" s="11" t="s">
        <v>17150</v>
      </c>
      <c r="T2917" s="6"/>
      <c r="U2917" s="15" t="str">
        <f>HYPERLINK("https://media.infra-m.ru/2192/2192907/cover/2192907.jpg", "Обложка")</f>
        <v>Обложка</v>
      </c>
      <c r="V2917" s="8" t="s">
        <v>5902</v>
      </c>
      <c r="W2917" s="6"/>
      <c r="X2917" s="6"/>
      <c r="Y2917" s="6"/>
      <c r="Z2917" s="6" t="s">
        <v>267</v>
      </c>
      <c r="AA2917" s="6" t="s">
        <v>917</v>
      </c>
      <c r="AB2917" s="8"/>
      <c r="AC2917" s="27">
        <v>9785001564249</v>
      </c>
    </row>
    <row r="2918" spans="1:29" s="4" customFormat="1" ht="51.9" customHeight="1" x14ac:dyDescent="0.2">
      <c r="A2918" s="5">
        <v>0</v>
      </c>
      <c r="B2918" s="6" t="s">
        <v>17162</v>
      </c>
      <c r="C2918" s="7">
        <v>3772.8</v>
      </c>
      <c r="D2918" s="8" t="s">
        <v>17163</v>
      </c>
      <c r="E2918" s="8" t="s">
        <v>17164</v>
      </c>
      <c r="F2918" s="8" t="s">
        <v>17165</v>
      </c>
      <c r="G2918" s="6" t="s">
        <v>60</v>
      </c>
      <c r="H2918" s="6" t="s">
        <v>134</v>
      </c>
      <c r="I2918" s="8"/>
      <c r="J2918" s="9">
        <v>1</v>
      </c>
      <c r="K2918" s="9">
        <v>800</v>
      </c>
      <c r="L2918" s="9">
        <v>2026</v>
      </c>
      <c r="M2918" s="8" t="s">
        <v>17166</v>
      </c>
      <c r="N2918" s="8" t="s">
        <v>37</v>
      </c>
      <c r="O2918" s="8" t="s">
        <v>136</v>
      </c>
      <c r="P2918" s="6" t="s">
        <v>306</v>
      </c>
      <c r="Q2918" s="8" t="s">
        <v>52</v>
      </c>
      <c r="R2918" s="10" t="s">
        <v>17167</v>
      </c>
      <c r="S2918" s="11" t="s">
        <v>17168</v>
      </c>
      <c r="T2918" s="6"/>
      <c r="U2918" s="15" t="str">
        <f>HYPERLINK("https://media.infra-m.ru/2247/2247927/cover/2247927.jpg", "Обложка")</f>
        <v>Обложка</v>
      </c>
      <c r="V2918" s="8" t="s">
        <v>1184</v>
      </c>
      <c r="W2918" s="6"/>
      <c r="X2918" s="6"/>
      <c r="Y2918" s="6"/>
      <c r="Z2918" s="6"/>
      <c r="AA2918" s="6" t="s">
        <v>3414</v>
      </c>
      <c r="AB2918" s="8"/>
      <c r="AC2918" s="27">
        <v>9785917683942</v>
      </c>
    </row>
    <row r="2919" spans="1:29" s="4" customFormat="1" ht="51.9" customHeight="1" x14ac:dyDescent="0.2">
      <c r="A2919" s="5">
        <v>0</v>
      </c>
      <c r="B2919" s="6" t="s">
        <v>17169</v>
      </c>
      <c r="C2919" s="7">
        <v>1860</v>
      </c>
      <c r="D2919" s="8" t="s">
        <v>17170</v>
      </c>
      <c r="E2919" s="8" t="s">
        <v>17141</v>
      </c>
      <c r="F2919" s="8" t="s">
        <v>17171</v>
      </c>
      <c r="G2919" s="6" t="s">
        <v>118</v>
      </c>
      <c r="H2919" s="6" t="s">
        <v>134</v>
      </c>
      <c r="I2919" s="8"/>
      <c r="J2919" s="9">
        <v>1</v>
      </c>
      <c r="K2919" s="9">
        <v>368</v>
      </c>
      <c r="L2919" s="9">
        <v>2022</v>
      </c>
      <c r="M2919" s="8" t="s">
        <v>17172</v>
      </c>
      <c r="N2919" s="8" t="s">
        <v>37</v>
      </c>
      <c r="O2919" s="8" t="s">
        <v>136</v>
      </c>
      <c r="P2919" s="6" t="s">
        <v>306</v>
      </c>
      <c r="Q2919" s="8" t="s">
        <v>1349</v>
      </c>
      <c r="R2919" s="10" t="s">
        <v>6985</v>
      </c>
      <c r="S2919" s="11"/>
      <c r="T2919" s="6"/>
      <c r="U2919" s="15" t="str">
        <f>HYPERLINK("https://media.infra-m.ru/1877/1877345/cover/1877345.jpg", "Обложка")</f>
        <v>Обложка</v>
      </c>
      <c r="V2919" s="8" t="s">
        <v>17173</v>
      </c>
      <c r="W2919" s="6"/>
      <c r="X2919" s="6"/>
      <c r="Y2919" s="6"/>
      <c r="Z2919" s="6"/>
      <c r="AA2919" s="6" t="s">
        <v>99</v>
      </c>
      <c r="AB2919" s="8"/>
      <c r="AC2919" s="27">
        <v>9785917688190</v>
      </c>
    </row>
    <row r="2920" spans="1:29" s="4" customFormat="1" ht="51.9" customHeight="1" x14ac:dyDescent="0.2">
      <c r="A2920" s="5">
        <v>0</v>
      </c>
      <c r="B2920" s="6" t="s">
        <v>17174</v>
      </c>
      <c r="C2920" s="7">
        <v>2656.8</v>
      </c>
      <c r="D2920" s="8" t="s">
        <v>17175</v>
      </c>
      <c r="E2920" s="8" t="s">
        <v>17103</v>
      </c>
      <c r="F2920" s="8" t="s">
        <v>17176</v>
      </c>
      <c r="G2920" s="6" t="s">
        <v>60</v>
      </c>
      <c r="H2920" s="6" t="s">
        <v>134</v>
      </c>
      <c r="I2920" s="8"/>
      <c r="J2920" s="9">
        <v>1</v>
      </c>
      <c r="K2920" s="9">
        <v>1008</v>
      </c>
      <c r="L2920" s="9">
        <v>2025</v>
      </c>
      <c r="M2920" s="8" t="s">
        <v>17177</v>
      </c>
      <c r="N2920" s="8" t="s">
        <v>37</v>
      </c>
      <c r="O2920" s="8" t="s">
        <v>136</v>
      </c>
      <c r="P2920" s="6" t="s">
        <v>306</v>
      </c>
      <c r="Q2920" s="8" t="s">
        <v>52</v>
      </c>
      <c r="R2920" s="10" t="s">
        <v>1068</v>
      </c>
      <c r="S2920" s="11" t="s">
        <v>17178</v>
      </c>
      <c r="T2920" s="6"/>
      <c r="U2920" s="15" t="str">
        <f>HYPERLINK("https://media.infra-m.ru/2189/2189440/cover/2189440.jpg", "Обложка")</f>
        <v>Обложка</v>
      </c>
      <c r="V2920" s="8" t="s">
        <v>17106</v>
      </c>
      <c r="W2920" s="6"/>
      <c r="X2920" s="6"/>
      <c r="Y2920" s="6"/>
      <c r="Z2920" s="6"/>
      <c r="AA2920" s="6" t="s">
        <v>17179</v>
      </c>
      <c r="AB2920" s="8"/>
      <c r="AC2920" s="27">
        <v>9785917680385</v>
      </c>
    </row>
    <row r="2921" spans="1:29" s="4" customFormat="1" ht="42" customHeight="1" x14ac:dyDescent="0.2">
      <c r="A2921" s="5">
        <v>0</v>
      </c>
      <c r="B2921" s="6" t="s">
        <v>17180</v>
      </c>
      <c r="C2921" s="7">
        <v>4068</v>
      </c>
      <c r="D2921" s="8" t="s">
        <v>17181</v>
      </c>
      <c r="E2921" s="8" t="s">
        <v>17182</v>
      </c>
      <c r="F2921" s="8" t="s">
        <v>17183</v>
      </c>
      <c r="G2921" s="6" t="s">
        <v>60</v>
      </c>
      <c r="H2921" s="6" t="s">
        <v>34</v>
      </c>
      <c r="I2921" s="8" t="s">
        <v>253</v>
      </c>
      <c r="J2921" s="9">
        <v>1</v>
      </c>
      <c r="K2921" s="9">
        <v>604</v>
      </c>
      <c r="L2921" s="9">
        <v>2026</v>
      </c>
      <c r="M2921" s="8" t="s">
        <v>17184</v>
      </c>
      <c r="N2921" s="8" t="s">
        <v>243</v>
      </c>
      <c r="O2921" s="8" t="s">
        <v>964</v>
      </c>
      <c r="P2921" s="6" t="s">
        <v>306</v>
      </c>
      <c r="Q2921" s="8" t="s">
        <v>52</v>
      </c>
      <c r="R2921" s="10" t="s">
        <v>17185</v>
      </c>
      <c r="S2921" s="11"/>
      <c r="T2921" s="6"/>
      <c r="U2921" s="15" t="str">
        <f>HYPERLINK("https://media.infra-m.ru/2192/2192934/cover/2192934.jpg", "Обложка")</f>
        <v>Обложка</v>
      </c>
      <c r="V2921" s="8" t="s">
        <v>831</v>
      </c>
      <c r="W2921" s="6" t="s">
        <v>547</v>
      </c>
      <c r="X2921" s="6"/>
      <c r="Y2921" s="6"/>
      <c r="Z2921" s="6"/>
      <c r="AA2921" s="6" t="s">
        <v>187</v>
      </c>
      <c r="AB2921" s="8"/>
      <c r="AC2921" s="27">
        <v>9785160207797</v>
      </c>
    </row>
    <row r="2922" spans="1:29" s="4" customFormat="1" ht="42" customHeight="1" x14ac:dyDescent="0.2">
      <c r="A2922" s="5">
        <v>0</v>
      </c>
      <c r="B2922" s="6" t="s">
        <v>17186</v>
      </c>
      <c r="C2922" s="7">
        <v>1524</v>
      </c>
      <c r="D2922" s="8" t="s">
        <v>17187</v>
      </c>
      <c r="E2922" s="8" t="s">
        <v>17188</v>
      </c>
      <c r="F2922" s="8" t="s">
        <v>17189</v>
      </c>
      <c r="G2922" s="6" t="s">
        <v>33</v>
      </c>
      <c r="H2922" s="6" t="s">
        <v>313</v>
      </c>
      <c r="I2922" s="8" t="s">
        <v>35</v>
      </c>
      <c r="J2922" s="9">
        <v>1</v>
      </c>
      <c r="K2922" s="9">
        <v>281</v>
      </c>
      <c r="L2922" s="9">
        <v>2023</v>
      </c>
      <c r="M2922" s="8" t="s">
        <v>17190</v>
      </c>
      <c r="N2922" s="8" t="s">
        <v>243</v>
      </c>
      <c r="O2922" s="8" t="s">
        <v>244</v>
      </c>
      <c r="P2922" s="6" t="s">
        <v>39</v>
      </c>
      <c r="Q2922" s="8" t="s">
        <v>40</v>
      </c>
      <c r="R2922" s="10" t="s">
        <v>17191</v>
      </c>
      <c r="S2922" s="11"/>
      <c r="T2922" s="6"/>
      <c r="U2922" s="15" t="str">
        <f>HYPERLINK("https://media.infra-m.ru/2020/2020522/cover/2020522.jpg", "Обложка")</f>
        <v>Обложка</v>
      </c>
      <c r="V2922" s="8" t="s">
        <v>14780</v>
      </c>
      <c r="W2922" s="6"/>
      <c r="X2922" s="6"/>
      <c r="Y2922" s="6"/>
      <c r="Z2922" s="6"/>
      <c r="AA2922" s="6" t="s">
        <v>274</v>
      </c>
      <c r="AB2922" s="8"/>
      <c r="AC2922" s="27">
        <v>9785369013847</v>
      </c>
    </row>
    <row r="2923" spans="1:29" s="4" customFormat="1" ht="51.9" customHeight="1" x14ac:dyDescent="0.2">
      <c r="A2923" s="5">
        <v>0</v>
      </c>
      <c r="B2923" s="6" t="s">
        <v>17192</v>
      </c>
      <c r="C2923" s="7">
        <v>2172</v>
      </c>
      <c r="D2923" s="8" t="s">
        <v>17193</v>
      </c>
      <c r="E2923" s="8" t="s">
        <v>17194</v>
      </c>
      <c r="F2923" s="8" t="s">
        <v>17195</v>
      </c>
      <c r="G2923" s="6" t="s">
        <v>118</v>
      </c>
      <c r="H2923" s="6" t="s">
        <v>313</v>
      </c>
      <c r="I2923" s="8" t="s">
        <v>253</v>
      </c>
      <c r="J2923" s="9">
        <v>1</v>
      </c>
      <c r="K2923" s="9">
        <v>323</v>
      </c>
      <c r="L2923" s="9">
        <v>2026</v>
      </c>
      <c r="M2923" s="8" t="s">
        <v>17196</v>
      </c>
      <c r="N2923" s="8" t="s">
        <v>243</v>
      </c>
      <c r="O2923" s="8" t="s">
        <v>244</v>
      </c>
      <c r="P2923" s="6" t="s">
        <v>51</v>
      </c>
      <c r="Q2923" s="8" t="s">
        <v>52</v>
      </c>
      <c r="R2923" s="10" t="s">
        <v>17197</v>
      </c>
      <c r="S2923" s="11"/>
      <c r="T2923" s="6"/>
      <c r="U2923" s="15" t="str">
        <f>HYPERLINK("https://media.infra-m.ru/2241/2241407/cover/2241407.jpg", "Обложка")</f>
        <v>Обложка</v>
      </c>
      <c r="V2923" s="8" t="s">
        <v>13059</v>
      </c>
      <c r="W2923" s="6"/>
      <c r="X2923" s="6"/>
      <c r="Y2923" s="6"/>
      <c r="Z2923" s="6"/>
      <c r="AA2923" s="6" t="s">
        <v>86</v>
      </c>
      <c r="AB2923" s="8"/>
      <c r="AC2923" s="27">
        <v>9785369017166</v>
      </c>
    </row>
    <row r="2924" spans="1:29" s="4" customFormat="1" ht="51.9" customHeight="1" x14ac:dyDescent="0.2">
      <c r="A2924" s="5">
        <v>0</v>
      </c>
      <c r="B2924" s="6" t="s">
        <v>17198</v>
      </c>
      <c r="C2924" s="7">
        <v>1192.8</v>
      </c>
      <c r="D2924" s="8" t="s">
        <v>17199</v>
      </c>
      <c r="E2924" s="8" t="s">
        <v>17200</v>
      </c>
      <c r="F2924" s="8" t="s">
        <v>17201</v>
      </c>
      <c r="G2924" s="6" t="s">
        <v>33</v>
      </c>
      <c r="H2924" s="6" t="s">
        <v>34</v>
      </c>
      <c r="I2924" s="8" t="s">
        <v>35</v>
      </c>
      <c r="J2924" s="9">
        <v>1</v>
      </c>
      <c r="K2924" s="9">
        <v>192</v>
      </c>
      <c r="L2924" s="9">
        <v>2025</v>
      </c>
      <c r="M2924" s="8" t="s">
        <v>17202</v>
      </c>
      <c r="N2924" s="8" t="s">
        <v>243</v>
      </c>
      <c r="O2924" s="8" t="s">
        <v>244</v>
      </c>
      <c r="P2924" s="6" t="s">
        <v>39</v>
      </c>
      <c r="Q2924" s="8" t="s">
        <v>40</v>
      </c>
      <c r="R2924" s="10" t="s">
        <v>17203</v>
      </c>
      <c r="S2924" s="11"/>
      <c r="T2924" s="6"/>
      <c r="U2924" s="15" t="str">
        <f>HYPERLINK("https://media.infra-m.ru/2178/2178805/cover/2178805.jpg", "Обложка")</f>
        <v>Обложка</v>
      </c>
      <c r="V2924" s="8" t="s">
        <v>17204</v>
      </c>
      <c r="W2924" s="6"/>
      <c r="X2924" s="6"/>
      <c r="Y2924" s="6"/>
      <c r="Z2924" s="6"/>
      <c r="AA2924" s="6" t="s">
        <v>1256</v>
      </c>
      <c r="AB2924" s="8"/>
      <c r="AC2924" s="27">
        <v>9785160156675</v>
      </c>
    </row>
    <row r="2925" spans="1:29" s="4" customFormat="1" ht="51.9" customHeight="1" x14ac:dyDescent="0.2">
      <c r="A2925" s="5">
        <v>0</v>
      </c>
      <c r="B2925" s="6" t="s">
        <v>17205</v>
      </c>
      <c r="C2925" s="7">
        <v>2640</v>
      </c>
      <c r="D2925" s="8" t="s">
        <v>17206</v>
      </c>
      <c r="E2925" s="8" t="s">
        <v>17207</v>
      </c>
      <c r="F2925" s="8" t="s">
        <v>17208</v>
      </c>
      <c r="G2925" s="6" t="s">
        <v>33</v>
      </c>
      <c r="H2925" s="6" t="s">
        <v>313</v>
      </c>
      <c r="I2925" s="8" t="s">
        <v>253</v>
      </c>
      <c r="J2925" s="9">
        <v>1</v>
      </c>
      <c r="K2925" s="9">
        <v>413</v>
      </c>
      <c r="L2925" s="9">
        <v>2021</v>
      </c>
      <c r="M2925" s="8" t="s">
        <v>17209</v>
      </c>
      <c r="N2925" s="8" t="s">
        <v>243</v>
      </c>
      <c r="O2925" s="8" t="s">
        <v>244</v>
      </c>
      <c r="P2925" s="6" t="s">
        <v>105</v>
      </c>
      <c r="Q2925" s="8" t="s">
        <v>52</v>
      </c>
      <c r="R2925" s="10" t="s">
        <v>17210</v>
      </c>
      <c r="S2925" s="11" t="s">
        <v>17211</v>
      </c>
      <c r="T2925" s="6"/>
      <c r="U2925" s="15" t="str">
        <f>HYPERLINK("https://media.infra-m.ru/1215/1215714/cover/1215714.jpg", "Обложка")</f>
        <v>Обложка</v>
      </c>
      <c r="V2925" s="8" t="s">
        <v>644</v>
      </c>
      <c r="W2925" s="6"/>
      <c r="X2925" s="6"/>
      <c r="Y2925" s="6"/>
      <c r="Z2925" s="6"/>
      <c r="AA2925" s="6" t="s">
        <v>718</v>
      </c>
      <c r="AB2925" s="8"/>
      <c r="AC2925" s="27">
        <v>9785369012673</v>
      </c>
    </row>
    <row r="2926" spans="1:29" s="4" customFormat="1" ht="51.9" customHeight="1" x14ac:dyDescent="0.2">
      <c r="A2926" s="5">
        <v>0</v>
      </c>
      <c r="B2926" s="6" t="s">
        <v>17212</v>
      </c>
      <c r="C2926" s="7">
        <v>1008</v>
      </c>
      <c r="D2926" s="8" t="s">
        <v>17213</v>
      </c>
      <c r="E2926" s="8" t="s">
        <v>17214</v>
      </c>
      <c r="F2926" s="8" t="s">
        <v>17215</v>
      </c>
      <c r="G2926" s="6" t="s">
        <v>118</v>
      </c>
      <c r="H2926" s="6" t="s">
        <v>34</v>
      </c>
      <c r="I2926" s="8" t="s">
        <v>7198</v>
      </c>
      <c r="J2926" s="9">
        <v>1</v>
      </c>
      <c r="K2926" s="9">
        <v>152</v>
      </c>
      <c r="L2926" s="9">
        <v>2026</v>
      </c>
      <c r="M2926" s="8" t="s">
        <v>17216</v>
      </c>
      <c r="N2926" s="8" t="s">
        <v>243</v>
      </c>
      <c r="O2926" s="8" t="s">
        <v>758</v>
      </c>
      <c r="P2926" s="6" t="s">
        <v>51</v>
      </c>
      <c r="Q2926" s="8" t="s">
        <v>52</v>
      </c>
      <c r="R2926" s="10" t="s">
        <v>17217</v>
      </c>
      <c r="S2926" s="11" t="s">
        <v>17218</v>
      </c>
      <c r="T2926" s="6"/>
      <c r="U2926" s="15" t="str">
        <f>HYPERLINK("https://media.infra-m.ru/2254/2254338/cover/2254338.jpg", "Обложка")</f>
        <v>Обложка</v>
      </c>
      <c r="V2926" s="8" t="s">
        <v>1083</v>
      </c>
      <c r="W2926" s="6"/>
      <c r="X2926" s="6"/>
      <c r="Y2926" s="6"/>
      <c r="Z2926" s="6"/>
      <c r="AA2926" s="6" t="s">
        <v>86</v>
      </c>
      <c r="AB2926" s="8"/>
      <c r="AC2926" s="27">
        <v>9785160209357</v>
      </c>
    </row>
    <row r="2927" spans="1:29" s="4" customFormat="1" ht="51.9" customHeight="1" x14ac:dyDescent="0.2">
      <c r="A2927" s="5">
        <v>0</v>
      </c>
      <c r="B2927" s="6" t="s">
        <v>17219</v>
      </c>
      <c r="C2927" s="7">
        <v>1048.8</v>
      </c>
      <c r="D2927" s="8" t="s">
        <v>17220</v>
      </c>
      <c r="E2927" s="8" t="s">
        <v>17221</v>
      </c>
      <c r="F2927" s="8" t="s">
        <v>1960</v>
      </c>
      <c r="G2927" s="6" t="s">
        <v>33</v>
      </c>
      <c r="H2927" s="6" t="s">
        <v>34</v>
      </c>
      <c r="I2927" s="8" t="s">
        <v>35</v>
      </c>
      <c r="J2927" s="9">
        <v>1</v>
      </c>
      <c r="K2927" s="9">
        <v>193</v>
      </c>
      <c r="L2927" s="9">
        <v>2023</v>
      </c>
      <c r="M2927" s="8" t="s">
        <v>17222</v>
      </c>
      <c r="N2927" s="8" t="s">
        <v>63</v>
      </c>
      <c r="O2927" s="8" t="s">
        <v>126</v>
      </c>
      <c r="P2927" s="6" t="s">
        <v>39</v>
      </c>
      <c r="Q2927" s="8" t="s">
        <v>40</v>
      </c>
      <c r="R2927" s="10" t="s">
        <v>127</v>
      </c>
      <c r="S2927" s="11"/>
      <c r="T2927" s="6"/>
      <c r="U2927" s="15" t="str">
        <f>HYPERLINK("https://media.infra-m.ru/2030/2030865/cover/2030865.jpg", "Обложка")</f>
        <v>Обложка</v>
      </c>
      <c r="V2927" s="8" t="s">
        <v>227</v>
      </c>
      <c r="W2927" s="6"/>
      <c r="X2927" s="6"/>
      <c r="Y2927" s="6"/>
      <c r="Z2927" s="6"/>
      <c r="AA2927" s="6" t="s">
        <v>115</v>
      </c>
      <c r="AB2927" s="8"/>
      <c r="AC2927" s="27">
        <v>9785160145129</v>
      </c>
    </row>
    <row r="2928" spans="1:29" s="4" customFormat="1" ht="33" customHeight="1" x14ac:dyDescent="0.2">
      <c r="A2928" s="5">
        <v>0</v>
      </c>
      <c r="B2928" s="6" t="s">
        <v>17223</v>
      </c>
      <c r="C2928" s="13">
        <v>780</v>
      </c>
      <c r="D2928" s="8" t="s">
        <v>17224</v>
      </c>
      <c r="E2928" s="8" t="s">
        <v>17225</v>
      </c>
      <c r="F2928" s="8" t="s">
        <v>17226</v>
      </c>
      <c r="G2928" s="6" t="s">
        <v>33</v>
      </c>
      <c r="H2928" s="6" t="s">
        <v>34</v>
      </c>
      <c r="I2928" s="8" t="s">
        <v>35</v>
      </c>
      <c r="J2928" s="9">
        <v>1</v>
      </c>
      <c r="K2928" s="9">
        <v>207</v>
      </c>
      <c r="L2928" s="9">
        <v>2018</v>
      </c>
      <c r="M2928" s="8" t="s">
        <v>17227</v>
      </c>
      <c r="N2928" s="8" t="s">
        <v>37</v>
      </c>
      <c r="O2928" s="8" t="s">
        <v>207</v>
      </c>
      <c r="P2928" s="6" t="s">
        <v>39</v>
      </c>
      <c r="Q2928" s="8" t="s">
        <v>40</v>
      </c>
      <c r="R2928" s="10" t="s">
        <v>3008</v>
      </c>
      <c r="S2928" s="11"/>
      <c r="T2928" s="6"/>
      <c r="U2928" s="12"/>
      <c r="V2928" s="8" t="s">
        <v>4473</v>
      </c>
      <c r="W2928" s="6"/>
      <c r="X2928" s="6"/>
      <c r="Y2928" s="6"/>
      <c r="Z2928" s="6"/>
      <c r="AA2928" s="6" t="s">
        <v>99</v>
      </c>
      <c r="AB2928" s="8"/>
      <c r="AC2928" s="27">
        <v>9785160125572</v>
      </c>
    </row>
    <row r="2929" spans="1:29" s="4" customFormat="1" ht="42" customHeight="1" x14ac:dyDescent="0.2">
      <c r="A2929" s="5">
        <v>0</v>
      </c>
      <c r="B2929" s="6" t="s">
        <v>17228</v>
      </c>
      <c r="C2929" s="7">
        <v>1728</v>
      </c>
      <c r="D2929" s="8" t="s">
        <v>17229</v>
      </c>
      <c r="E2929" s="8" t="s">
        <v>17230</v>
      </c>
      <c r="F2929" s="8" t="s">
        <v>17226</v>
      </c>
      <c r="G2929" s="6" t="s">
        <v>33</v>
      </c>
      <c r="H2929" s="6" t="s">
        <v>34</v>
      </c>
      <c r="I2929" s="8" t="s">
        <v>35</v>
      </c>
      <c r="J2929" s="9">
        <v>1</v>
      </c>
      <c r="K2929" s="9">
        <v>248</v>
      </c>
      <c r="L2929" s="9">
        <v>2026</v>
      </c>
      <c r="M2929" s="8" t="s">
        <v>17231</v>
      </c>
      <c r="N2929" s="8" t="s">
        <v>37</v>
      </c>
      <c r="O2929" s="8" t="s">
        <v>207</v>
      </c>
      <c r="P2929" s="6" t="s">
        <v>39</v>
      </c>
      <c r="Q2929" s="8" t="s">
        <v>40</v>
      </c>
      <c r="R2929" s="10" t="s">
        <v>3008</v>
      </c>
      <c r="S2929" s="11"/>
      <c r="T2929" s="6"/>
      <c r="U2929" s="15" t="str">
        <f>HYPERLINK("https://media.infra-m.ru/2257/2257554/cover/2257554.jpg", "Обложка")</f>
        <v>Обложка</v>
      </c>
      <c r="V2929" s="8" t="s">
        <v>4473</v>
      </c>
      <c r="W2929" s="6"/>
      <c r="X2929" s="6"/>
      <c r="Y2929" s="6"/>
      <c r="Z2929" s="6"/>
      <c r="AA2929" s="6" t="s">
        <v>258</v>
      </c>
      <c r="AB2929" s="8"/>
      <c r="AC2929" s="27">
        <v>9785160163369</v>
      </c>
    </row>
    <row r="2930" spans="1:29" s="4" customFormat="1" ht="51.9" customHeight="1" x14ac:dyDescent="0.2">
      <c r="A2930" s="5">
        <v>0</v>
      </c>
      <c r="B2930" s="6" t="s">
        <v>17232</v>
      </c>
      <c r="C2930" s="7">
        <v>2320.8000000000002</v>
      </c>
      <c r="D2930" s="8" t="s">
        <v>17233</v>
      </c>
      <c r="E2930" s="8" t="s">
        <v>17234</v>
      </c>
      <c r="F2930" s="8" t="s">
        <v>17235</v>
      </c>
      <c r="G2930" s="6" t="s">
        <v>33</v>
      </c>
      <c r="H2930" s="6" t="s">
        <v>34</v>
      </c>
      <c r="I2930" s="8" t="s">
        <v>35</v>
      </c>
      <c r="J2930" s="9">
        <v>1</v>
      </c>
      <c r="K2930" s="9">
        <v>352</v>
      </c>
      <c r="L2930" s="9">
        <v>2027</v>
      </c>
      <c r="M2930" s="8" t="s">
        <v>17236</v>
      </c>
      <c r="N2930" s="8" t="s">
        <v>37</v>
      </c>
      <c r="O2930" s="8" t="s">
        <v>207</v>
      </c>
      <c r="P2930" s="6" t="s">
        <v>39</v>
      </c>
      <c r="Q2930" s="8" t="s">
        <v>40</v>
      </c>
      <c r="R2930" s="10" t="s">
        <v>13012</v>
      </c>
      <c r="S2930" s="11"/>
      <c r="T2930" s="6"/>
      <c r="U2930" s="15" t="str">
        <f>HYPERLINK("https://media.infra-m.ru/2257/2257555/cover/2257555.jpg", "Обложка")</f>
        <v>Обложка</v>
      </c>
      <c r="V2930" s="8" t="s">
        <v>4473</v>
      </c>
      <c r="W2930" s="6"/>
      <c r="X2930" s="6"/>
      <c r="Y2930" s="6"/>
      <c r="Z2930" s="6"/>
      <c r="AA2930" s="6" t="s">
        <v>430</v>
      </c>
      <c r="AB2930" s="8"/>
      <c r="AC2930" s="27">
        <v>9785160163284</v>
      </c>
    </row>
    <row r="2931" spans="1:29" s="4" customFormat="1" ht="51.9" customHeight="1" x14ac:dyDescent="0.2">
      <c r="A2931" s="5">
        <v>0</v>
      </c>
      <c r="B2931" s="6" t="s">
        <v>17237</v>
      </c>
      <c r="C2931" s="7">
        <v>2200.8000000000002</v>
      </c>
      <c r="D2931" s="8" t="s">
        <v>17238</v>
      </c>
      <c r="E2931" s="8" t="s">
        <v>17239</v>
      </c>
      <c r="F2931" s="8" t="s">
        <v>17226</v>
      </c>
      <c r="G2931" s="6" t="s">
        <v>33</v>
      </c>
      <c r="H2931" s="6" t="s">
        <v>34</v>
      </c>
      <c r="I2931" s="8" t="s">
        <v>35</v>
      </c>
      <c r="J2931" s="9">
        <v>1</v>
      </c>
      <c r="K2931" s="9">
        <v>353</v>
      </c>
      <c r="L2931" s="9">
        <v>2026</v>
      </c>
      <c r="M2931" s="8" t="s">
        <v>17240</v>
      </c>
      <c r="N2931" s="8" t="s">
        <v>585</v>
      </c>
      <c r="O2931" s="8" t="s">
        <v>667</v>
      </c>
      <c r="P2931" s="6" t="s">
        <v>39</v>
      </c>
      <c r="Q2931" s="8" t="s">
        <v>40</v>
      </c>
      <c r="R2931" s="10" t="s">
        <v>17241</v>
      </c>
      <c r="S2931" s="11"/>
      <c r="T2931" s="6"/>
      <c r="U2931" s="15" t="str">
        <f>HYPERLINK("https://media.infra-m.ru/2222/2222232/cover/2222232.jpg", "Обложка")</f>
        <v>Обложка</v>
      </c>
      <c r="V2931" s="8" t="s">
        <v>4473</v>
      </c>
      <c r="W2931" s="6"/>
      <c r="X2931" s="6"/>
      <c r="Y2931" s="6"/>
      <c r="Z2931" s="6"/>
      <c r="AA2931" s="6" t="s">
        <v>1303</v>
      </c>
      <c r="AB2931" s="8"/>
      <c r="AC2931" s="27">
        <v>9785160179018</v>
      </c>
    </row>
    <row r="2932" spans="1:29" s="4" customFormat="1" ht="51.9" customHeight="1" x14ac:dyDescent="0.2">
      <c r="A2932" s="5">
        <v>0</v>
      </c>
      <c r="B2932" s="6" t="s">
        <v>17242</v>
      </c>
      <c r="C2932" s="13">
        <v>732</v>
      </c>
      <c r="D2932" s="8" t="s">
        <v>17243</v>
      </c>
      <c r="E2932" s="8" t="s">
        <v>17244</v>
      </c>
      <c r="F2932" s="8" t="s">
        <v>17226</v>
      </c>
      <c r="G2932" s="6" t="s">
        <v>33</v>
      </c>
      <c r="H2932" s="6" t="s">
        <v>34</v>
      </c>
      <c r="I2932" s="8" t="s">
        <v>35</v>
      </c>
      <c r="J2932" s="9">
        <v>1</v>
      </c>
      <c r="K2932" s="9">
        <v>160</v>
      </c>
      <c r="L2932" s="9">
        <v>2021</v>
      </c>
      <c r="M2932" s="8" t="s">
        <v>17245</v>
      </c>
      <c r="N2932" s="8" t="s">
        <v>585</v>
      </c>
      <c r="O2932" s="8" t="s">
        <v>667</v>
      </c>
      <c r="P2932" s="6" t="s">
        <v>39</v>
      </c>
      <c r="Q2932" s="8" t="s">
        <v>40</v>
      </c>
      <c r="R2932" s="10" t="s">
        <v>17241</v>
      </c>
      <c r="S2932" s="11"/>
      <c r="T2932" s="6"/>
      <c r="U2932" s="15" t="str">
        <f>HYPERLINK("https://media.infra-m.ru/1516/1516204/cover/1516204.jpg", "Обложка")</f>
        <v>Обложка</v>
      </c>
      <c r="V2932" s="8" t="s">
        <v>4473</v>
      </c>
      <c r="W2932" s="6"/>
      <c r="X2932" s="6"/>
      <c r="Y2932" s="6"/>
      <c r="Z2932" s="6"/>
      <c r="AA2932" s="6" t="s">
        <v>274</v>
      </c>
      <c r="AB2932" s="8"/>
      <c r="AC2932" s="27">
        <v>9785160103143</v>
      </c>
    </row>
    <row r="2933" spans="1:29" s="4" customFormat="1" ht="51.9" customHeight="1" x14ac:dyDescent="0.2">
      <c r="A2933" s="5">
        <v>0</v>
      </c>
      <c r="B2933" s="6" t="s">
        <v>17246</v>
      </c>
      <c r="C2933" s="7">
        <v>1204.8</v>
      </c>
      <c r="D2933" s="8" t="s">
        <v>17247</v>
      </c>
      <c r="E2933" s="8" t="s">
        <v>17248</v>
      </c>
      <c r="F2933" s="8" t="s">
        <v>17235</v>
      </c>
      <c r="G2933" s="6" t="s">
        <v>33</v>
      </c>
      <c r="H2933" s="6" t="s">
        <v>34</v>
      </c>
      <c r="I2933" s="8" t="s">
        <v>35</v>
      </c>
      <c r="J2933" s="9">
        <v>1</v>
      </c>
      <c r="K2933" s="9">
        <v>183</v>
      </c>
      <c r="L2933" s="9">
        <v>2026</v>
      </c>
      <c r="M2933" s="8" t="s">
        <v>17249</v>
      </c>
      <c r="N2933" s="8" t="s">
        <v>585</v>
      </c>
      <c r="O2933" s="8" t="s">
        <v>667</v>
      </c>
      <c r="P2933" s="6" t="s">
        <v>39</v>
      </c>
      <c r="Q2933" s="8" t="s">
        <v>40</v>
      </c>
      <c r="R2933" s="10" t="s">
        <v>17250</v>
      </c>
      <c r="S2933" s="11"/>
      <c r="T2933" s="6"/>
      <c r="U2933" s="15" t="str">
        <f>HYPERLINK("https://media.infra-m.ru/2231/2231495/cover/2231495.jpg", "Обложка")</f>
        <v>Обложка</v>
      </c>
      <c r="V2933" s="8" t="s">
        <v>4473</v>
      </c>
      <c r="W2933" s="6"/>
      <c r="X2933" s="6"/>
      <c r="Y2933" s="6"/>
      <c r="Z2933" s="6"/>
      <c r="AA2933" s="6" t="s">
        <v>779</v>
      </c>
      <c r="AB2933" s="8"/>
      <c r="AC2933" s="27">
        <v>9785160110110</v>
      </c>
    </row>
    <row r="2934" spans="1:29" s="4" customFormat="1" ht="44.1" customHeight="1" x14ac:dyDescent="0.2">
      <c r="A2934" s="5">
        <v>0</v>
      </c>
      <c r="B2934" s="6" t="s">
        <v>17251</v>
      </c>
      <c r="C2934" s="13">
        <v>696</v>
      </c>
      <c r="D2934" s="8" t="s">
        <v>17252</v>
      </c>
      <c r="E2934" s="8" t="s">
        <v>17253</v>
      </c>
      <c r="F2934" s="8" t="s">
        <v>2380</v>
      </c>
      <c r="G2934" s="6" t="s">
        <v>33</v>
      </c>
      <c r="H2934" s="6" t="s">
        <v>34</v>
      </c>
      <c r="I2934" s="8" t="s">
        <v>35</v>
      </c>
      <c r="J2934" s="9">
        <v>1</v>
      </c>
      <c r="K2934" s="9">
        <v>137</v>
      </c>
      <c r="L2934" s="9">
        <v>2022</v>
      </c>
      <c r="M2934" s="8" t="s">
        <v>17254</v>
      </c>
      <c r="N2934" s="8" t="s">
        <v>63</v>
      </c>
      <c r="O2934" s="8" t="s">
        <v>126</v>
      </c>
      <c r="P2934" s="6" t="s">
        <v>39</v>
      </c>
      <c r="Q2934" s="8" t="s">
        <v>40</v>
      </c>
      <c r="R2934" s="10" t="s">
        <v>17255</v>
      </c>
      <c r="S2934" s="11"/>
      <c r="T2934" s="6"/>
      <c r="U2934" s="15" t="str">
        <f>HYPERLINK("https://media.infra-m.ru/1874/1874581/cover/1874581.jpg", "Обложка")</f>
        <v>Обложка</v>
      </c>
      <c r="V2934" s="8" t="s">
        <v>2382</v>
      </c>
      <c r="W2934" s="6"/>
      <c r="X2934" s="6"/>
      <c r="Y2934" s="6"/>
      <c r="Z2934" s="6"/>
      <c r="AA2934" s="6" t="s">
        <v>86</v>
      </c>
      <c r="AB2934" s="8"/>
      <c r="AC2934" s="27">
        <v>9785160138145</v>
      </c>
    </row>
    <row r="2935" spans="1:29" s="4" customFormat="1" ht="51.9" customHeight="1" x14ac:dyDescent="0.2">
      <c r="A2935" s="5">
        <v>0</v>
      </c>
      <c r="B2935" s="6" t="s">
        <v>17256</v>
      </c>
      <c r="C2935" s="13">
        <v>652.79999999999995</v>
      </c>
      <c r="D2935" s="8" t="s">
        <v>17257</v>
      </c>
      <c r="E2935" s="8" t="s">
        <v>17258</v>
      </c>
      <c r="F2935" s="8" t="s">
        <v>1960</v>
      </c>
      <c r="G2935" s="6" t="s">
        <v>33</v>
      </c>
      <c r="H2935" s="6" t="s">
        <v>34</v>
      </c>
      <c r="I2935" s="8" t="s">
        <v>35</v>
      </c>
      <c r="J2935" s="9">
        <v>1</v>
      </c>
      <c r="K2935" s="9">
        <v>118</v>
      </c>
      <c r="L2935" s="9">
        <v>2024</v>
      </c>
      <c r="M2935" s="8" t="s">
        <v>17259</v>
      </c>
      <c r="N2935" s="8" t="s">
        <v>63</v>
      </c>
      <c r="O2935" s="8" t="s">
        <v>126</v>
      </c>
      <c r="P2935" s="6" t="s">
        <v>39</v>
      </c>
      <c r="Q2935" s="8" t="s">
        <v>40</v>
      </c>
      <c r="R2935" s="10" t="s">
        <v>127</v>
      </c>
      <c r="S2935" s="11"/>
      <c r="T2935" s="6"/>
      <c r="U2935" s="15" t="str">
        <f>HYPERLINK("https://media.infra-m.ru/2087/2087280/cover/2087280.jpg", "Обложка")</f>
        <v>Обложка</v>
      </c>
      <c r="V2935" s="8" t="s">
        <v>227</v>
      </c>
      <c r="W2935" s="6"/>
      <c r="X2935" s="6"/>
      <c r="Y2935" s="6"/>
      <c r="Z2935" s="6"/>
      <c r="AA2935" s="6" t="s">
        <v>274</v>
      </c>
      <c r="AB2935" s="8"/>
      <c r="AC2935" s="27">
        <v>9785160100937</v>
      </c>
    </row>
    <row r="2936" spans="1:29" s="4" customFormat="1" ht="44.1" customHeight="1" x14ac:dyDescent="0.2">
      <c r="A2936" s="5">
        <v>0</v>
      </c>
      <c r="B2936" s="6" t="s">
        <v>17260</v>
      </c>
      <c r="C2936" s="7">
        <v>1528.8</v>
      </c>
      <c r="D2936" s="8" t="s">
        <v>17261</v>
      </c>
      <c r="E2936" s="8" t="s">
        <v>17262</v>
      </c>
      <c r="F2936" s="8" t="s">
        <v>17263</v>
      </c>
      <c r="G2936" s="6" t="s">
        <v>118</v>
      </c>
      <c r="H2936" s="6" t="s">
        <v>34</v>
      </c>
      <c r="I2936" s="8" t="s">
        <v>253</v>
      </c>
      <c r="J2936" s="9">
        <v>1</v>
      </c>
      <c r="K2936" s="9">
        <v>241</v>
      </c>
      <c r="L2936" s="9">
        <v>2026</v>
      </c>
      <c r="M2936" s="8" t="s">
        <v>17264</v>
      </c>
      <c r="N2936" s="8" t="s">
        <v>37</v>
      </c>
      <c r="O2936" s="8" t="s">
        <v>50</v>
      </c>
      <c r="P2936" s="6" t="s">
        <v>51</v>
      </c>
      <c r="Q2936" s="8" t="s">
        <v>65</v>
      </c>
      <c r="R2936" s="10" t="s">
        <v>17265</v>
      </c>
      <c r="S2936" s="11"/>
      <c r="T2936" s="6"/>
      <c r="U2936" s="15" t="str">
        <f>HYPERLINK("https://media.infra-m.ru/2217/2217006/cover/2217006.jpg", "Обложка")</f>
        <v>Обложка</v>
      </c>
      <c r="V2936" s="8" t="s">
        <v>588</v>
      </c>
      <c r="W2936" s="6"/>
      <c r="X2936" s="6"/>
      <c r="Y2936" s="6"/>
      <c r="Z2936" s="6"/>
      <c r="AA2936" s="6" t="s">
        <v>157</v>
      </c>
      <c r="AB2936" s="8"/>
      <c r="AC2936" s="27">
        <v>9785160188638</v>
      </c>
    </row>
    <row r="2937" spans="1:29" s="4" customFormat="1" ht="51.9" customHeight="1" x14ac:dyDescent="0.2">
      <c r="A2937" s="5">
        <v>0</v>
      </c>
      <c r="B2937" s="6" t="s">
        <v>17266</v>
      </c>
      <c r="C2937" s="7">
        <v>1121.9000000000001</v>
      </c>
      <c r="D2937" s="8" t="s">
        <v>17267</v>
      </c>
      <c r="E2937" s="8" t="s">
        <v>17268</v>
      </c>
      <c r="F2937" s="8" t="s">
        <v>9569</v>
      </c>
      <c r="G2937" s="6" t="s">
        <v>33</v>
      </c>
      <c r="H2937" s="6" t="s">
        <v>48</v>
      </c>
      <c r="I2937" s="8" t="s">
        <v>271</v>
      </c>
      <c r="J2937" s="9">
        <v>1</v>
      </c>
      <c r="K2937" s="9">
        <v>208</v>
      </c>
      <c r="L2937" s="9">
        <v>2023</v>
      </c>
      <c r="M2937" s="8" t="s">
        <v>17269</v>
      </c>
      <c r="N2937" s="8" t="s">
        <v>243</v>
      </c>
      <c r="O2937" s="8" t="s">
        <v>758</v>
      </c>
      <c r="P2937" s="6" t="s">
        <v>51</v>
      </c>
      <c r="Q2937" s="8" t="s">
        <v>52</v>
      </c>
      <c r="R2937" s="10" t="s">
        <v>17270</v>
      </c>
      <c r="S2937" s="11" t="s">
        <v>17271</v>
      </c>
      <c r="T2937" s="6"/>
      <c r="U2937" s="15" t="str">
        <f>HYPERLINK("https://media.infra-m.ru/1160/1160966/cover/1160966.jpg", "Обложка")</f>
        <v>Обложка</v>
      </c>
      <c r="V2937" s="8" t="s">
        <v>9565</v>
      </c>
      <c r="W2937" s="6"/>
      <c r="X2937" s="6"/>
      <c r="Y2937" s="6"/>
      <c r="Z2937" s="6"/>
      <c r="AA2937" s="6" t="s">
        <v>360</v>
      </c>
      <c r="AB2937" s="8"/>
      <c r="AC2937" s="27">
        <v>9785000911204</v>
      </c>
    </row>
    <row r="2938" spans="1:29" s="4" customFormat="1" ht="51.9" customHeight="1" x14ac:dyDescent="0.2">
      <c r="A2938" s="5">
        <v>0</v>
      </c>
      <c r="B2938" s="6" t="s">
        <v>17272</v>
      </c>
      <c r="C2938" s="7">
        <v>2304</v>
      </c>
      <c r="D2938" s="8" t="s">
        <v>17273</v>
      </c>
      <c r="E2938" s="8" t="s">
        <v>17274</v>
      </c>
      <c r="F2938" s="8" t="s">
        <v>17275</v>
      </c>
      <c r="G2938" s="6" t="s">
        <v>118</v>
      </c>
      <c r="H2938" s="6" t="s">
        <v>34</v>
      </c>
      <c r="I2938" s="8" t="s">
        <v>35</v>
      </c>
      <c r="J2938" s="9">
        <v>1</v>
      </c>
      <c r="K2938" s="9">
        <v>364</v>
      </c>
      <c r="L2938" s="9">
        <v>2026</v>
      </c>
      <c r="M2938" s="8" t="s">
        <v>17276</v>
      </c>
      <c r="N2938" s="8" t="s">
        <v>37</v>
      </c>
      <c r="O2938" s="8" t="s">
        <v>233</v>
      </c>
      <c r="P2938" s="6" t="s">
        <v>39</v>
      </c>
      <c r="Q2938" s="8" t="s">
        <v>40</v>
      </c>
      <c r="R2938" s="10" t="s">
        <v>7515</v>
      </c>
      <c r="S2938" s="11"/>
      <c r="T2938" s="6" t="s">
        <v>97</v>
      </c>
      <c r="U2938" s="15" t="str">
        <f>HYPERLINK("https://media.infra-m.ru/2221/2221548/cover/2221548.jpg", "Обложка")</f>
        <v>Обложка</v>
      </c>
      <c r="V2938" s="8" t="s">
        <v>17277</v>
      </c>
      <c r="W2938" s="6"/>
      <c r="X2938" s="6"/>
      <c r="Y2938" s="6"/>
      <c r="Z2938" s="6"/>
      <c r="AA2938" s="6" t="s">
        <v>99</v>
      </c>
      <c r="AB2938" s="8"/>
      <c r="AC2938" s="27">
        <v>9785160125909</v>
      </c>
    </row>
    <row r="2939" spans="1:29" s="4" customFormat="1" ht="51.9" customHeight="1" x14ac:dyDescent="0.2">
      <c r="A2939" s="5">
        <v>0</v>
      </c>
      <c r="B2939" s="6" t="s">
        <v>17278</v>
      </c>
      <c r="C2939" s="7">
        <v>1128</v>
      </c>
      <c r="D2939" s="8" t="s">
        <v>17279</v>
      </c>
      <c r="E2939" s="8" t="s">
        <v>17280</v>
      </c>
      <c r="F2939" s="8" t="s">
        <v>17281</v>
      </c>
      <c r="G2939" s="6" t="s">
        <v>118</v>
      </c>
      <c r="H2939" s="6" t="s">
        <v>313</v>
      </c>
      <c r="I2939" s="8" t="s">
        <v>253</v>
      </c>
      <c r="J2939" s="9">
        <v>1</v>
      </c>
      <c r="K2939" s="9">
        <v>152</v>
      </c>
      <c r="L2939" s="9">
        <v>2026</v>
      </c>
      <c r="M2939" s="8" t="s">
        <v>17282</v>
      </c>
      <c r="N2939" s="8" t="s">
        <v>243</v>
      </c>
      <c r="O2939" s="8" t="s">
        <v>798</v>
      </c>
      <c r="P2939" s="6" t="s">
        <v>51</v>
      </c>
      <c r="Q2939" s="8" t="s">
        <v>52</v>
      </c>
      <c r="R2939" s="10" t="s">
        <v>6735</v>
      </c>
      <c r="S2939" s="11" t="s">
        <v>17283</v>
      </c>
      <c r="T2939" s="6"/>
      <c r="U2939" s="15" t="str">
        <f>HYPERLINK("https://media.infra-m.ru/2238/2238499/cover/2238499.jpg", "Обложка")</f>
        <v>Обложка</v>
      </c>
      <c r="V2939" s="8" t="s">
        <v>801</v>
      </c>
      <c r="W2939" s="6"/>
      <c r="X2939" s="6"/>
      <c r="Y2939" s="6"/>
      <c r="Z2939" s="6"/>
      <c r="AA2939" s="6" t="s">
        <v>248</v>
      </c>
      <c r="AB2939" s="8"/>
      <c r="AC2939" s="27">
        <v>9785369011751</v>
      </c>
    </row>
    <row r="2940" spans="1:29" s="4" customFormat="1" ht="51.9" customHeight="1" x14ac:dyDescent="0.2">
      <c r="A2940" s="5">
        <v>0</v>
      </c>
      <c r="B2940" s="6" t="s">
        <v>17284</v>
      </c>
      <c r="C2940" s="13">
        <v>912</v>
      </c>
      <c r="D2940" s="8" t="s">
        <v>17285</v>
      </c>
      <c r="E2940" s="8" t="s">
        <v>17286</v>
      </c>
      <c r="F2940" s="8" t="s">
        <v>17287</v>
      </c>
      <c r="G2940" s="6" t="s">
        <v>33</v>
      </c>
      <c r="H2940" s="6" t="s">
        <v>34</v>
      </c>
      <c r="I2940" s="8"/>
      <c r="J2940" s="9">
        <v>1</v>
      </c>
      <c r="K2940" s="9">
        <v>137</v>
      </c>
      <c r="L2940" s="9">
        <v>2026</v>
      </c>
      <c r="M2940" s="8" t="s">
        <v>17288</v>
      </c>
      <c r="N2940" s="8" t="s">
        <v>37</v>
      </c>
      <c r="O2940" s="8" t="s">
        <v>83</v>
      </c>
      <c r="P2940" s="6" t="s">
        <v>759</v>
      </c>
      <c r="Q2940" s="8" t="s">
        <v>40</v>
      </c>
      <c r="R2940" s="10" t="s">
        <v>484</v>
      </c>
      <c r="S2940" s="11"/>
      <c r="T2940" s="6"/>
      <c r="U2940" s="15" t="str">
        <f>HYPERLINK("https://media.infra-m.ru/2236/2236165/cover/2236165.jpg", "Обложка")</f>
        <v>Обложка</v>
      </c>
      <c r="V2940" s="8" t="s">
        <v>10614</v>
      </c>
      <c r="W2940" s="6"/>
      <c r="X2940" s="6"/>
      <c r="Y2940" s="6"/>
      <c r="Z2940" s="6"/>
      <c r="AA2940" s="6" t="s">
        <v>86</v>
      </c>
      <c r="AB2940" s="8"/>
      <c r="AC2940" s="27">
        <v>9785160208404</v>
      </c>
    </row>
    <row r="2941" spans="1:29" s="4" customFormat="1" ht="51.9" customHeight="1" x14ac:dyDescent="0.2">
      <c r="A2941" s="5">
        <v>0</v>
      </c>
      <c r="B2941" s="6" t="s">
        <v>17289</v>
      </c>
      <c r="C2941" s="7">
        <v>3232.8</v>
      </c>
      <c r="D2941" s="8" t="s">
        <v>17290</v>
      </c>
      <c r="E2941" s="8" t="s">
        <v>17291</v>
      </c>
      <c r="F2941" s="8" t="s">
        <v>17292</v>
      </c>
      <c r="G2941" s="6" t="s">
        <v>60</v>
      </c>
      <c r="H2941" s="6" t="s">
        <v>34</v>
      </c>
      <c r="I2941" s="8" t="s">
        <v>253</v>
      </c>
      <c r="J2941" s="9">
        <v>1</v>
      </c>
      <c r="K2941" s="9">
        <v>464</v>
      </c>
      <c r="L2941" s="9">
        <v>2027</v>
      </c>
      <c r="M2941" s="8" t="s">
        <v>17293</v>
      </c>
      <c r="N2941" s="8" t="s">
        <v>243</v>
      </c>
      <c r="O2941" s="8" t="s">
        <v>758</v>
      </c>
      <c r="P2941" s="6" t="s">
        <v>306</v>
      </c>
      <c r="Q2941" s="8" t="s">
        <v>52</v>
      </c>
      <c r="R2941" s="10" t="s">
        <v>17294</v>
      </c>
      <c r="S2941" s="11" t="s">
        <v>17295</v>
      </c>
      <c r="T2941" s="6"/>
      <c r="U2941" s="15" t="str">
        <f>HYPERLINK("https://media.infra-m.ru/2262/2262637/cover/2262637.jpg", "Обложка")</f>
        <v>Обложка</v>
      </c>
      <c r="V2941" s="8" t="s">
        <v>1083</v>
      </c>
      <c r="W2941" s="6"/>
      <c r="X2941" s="6"/>
      <c r="Y2941" s="6"/>
      <c r="Z2941" s="6"/>
      <c r="AA2941" s="6" t="s">
        <v>859</v>
      </c>
      <c r="AB2941" s="8"/>
      <c r="AC2941" s="27">
        <v>9785160223476</v>
      </c>
    </row>
    <row r="2942" spans="1:29" s="4" customFormat="1" ht="44.1" customHeight="1" x14ac:dyDescent="0.2">
      <c r="A2942" s="5">
        <v>0</v>
      </c>
      <c r="B2942" s="6" t="s">
        <v>17296</v>
      </c>
      <c r="C2942" s="7">
        <v>1288.8</v>
      </c>
      <c r="D2942" s="8" t="s">
        <v>17297</v>
      </c>
      <c r="E2942" s="8" t="s">
        <v>17298</v>
      </c>
      <c r="F2942" s="8" t="s">
        <v>17299</v>
      </c>
      <c r="G2942" s="6" t="s">
        <v>60</v>
      </c>
      <c r="H2942" s="6" t="s">
        <v>241</v>
      </c>
      <c r="I2942" s="8" t="s">
        <v>3496</v>
      </c>
      <c r="J2942" s="9">
        <v>1</v>
      </c>
      <c r="K2942" s="9">
        <v>207</v>
      </c>
      <c r="L2942" s="9">
        <v>2026</v>
      </c>
      <c r="M2942" s="8" t="s">
        <v>17300</v>
      </c>
      <c r="N2942" s="8" t="s">
        <v>37</v>
      </c>
      <c r="O2942" s="8" t="s">
        <v>38</v>
      </c>
      <c r="P2942" s="6" t="s">
        <v>39</v>
      </c>
      <c r="Q2942" s="8" t="s">
        <v>40</v>
      </c>
      <c r="R2942" s="10" t="s">
        <v>17301</v>
      </c>
      <c r="S2942" s="11"/>
      <c r="T2942" s="6"/>
      <c r="U2942" s="15" t="str">
        <f>HYPERLINK("https://media.infra-m.ru/2218/2218862/cover/2218862.jpg", "Обложка")</f>
        <v>Обложка</v>
      </c>
      <c r="V2942" s="8" t="s">
        <v>247</v>
      </c>
      <c r="W2942" s="6"/>
      <c r="X2942" s="6"/>
      <c r="Y2942" s="6"/>
      <c r="Z2942" s="6"/>
      <c r="AA2942" s="6" t="s">
        <v>43</v>
      </c>
      <c r="AB2942" s="8"/>
      <c r="AC2942" s="27">
        <v>9785955802480</v>
      </c>
    </row>
    <row r="2943" spans="1:29" s="4" customFormat="1" ht="44.1" customHeight="1" x14ac:dyDescent="0.2">
      <c r="A2943" s="5">
        <v>0</v>
      </c>
      <c r="B2943" s="6" t="s">
        <v>17302</v>
      </c>
      <c r="C2943" s="7">
        <v>1080</v>
      </c>
      <c r="D2943" s="8" t="s">
        <v>17303</v>
      </c>
      <c r="E2943" s="8" t="s">
        <v>17304</v>
      </c>
      <c r="F2943" s="8" t="s">
        <v>17305</v>
      </c>
      <c r="G2943" s="6" t="s">
        <v>118</v>
      </c>
      <c r="H2943" s="6" t="s">
        <v>34</v>
      </c>
      <c r="I2943" s="8" t="s">
        <v>179</v>
      </c>
      <c r="J2943" s="9">
        <v>1</v>
      </c>
      <c r="K2943" s="9">
        <v>160</v>
      </c>
      <c r="L2943" s="9">
        <v>2026</v>
      </c>
      <c r="M2943" s="8" t="s">
        <v>17306</v>
      </c>
      <c r="N2943" s="8" t="s">
        <v>37</v>
      </c>
      <c r="O2943" s="8" t="s">
        <v>50</v>
      </c>
      <c r="P2943" s="6" t="s">
        <v>182</v>
      </c>
      <c r="Q2943" s="8" t="s">
        <v>65</v>
      </c>
      <c r="R2943" s="10" t="s">
        <v>17307</v>
      </c>
      <c r="S2943" s="11"/>
      <c r="T2943" s="6"/>
      <c r="U2943" s="15" t="str">
        <f>HYPERLINK("https://media.infra-m.ru/2230/2230147/cover/2230147.jpg", "Обложка")</f>
        <v>Обложка</v>
      </c>
      <c r="V2943" s="8" t="s">
        <v>2398</v>
      </c>
      <c r="W2943" s="6" t="s">
        <v>186</v>
      </c>
      <c r="X2943" s="6"/>
      <c r="Y2943" s="6"/>
      <c r="Z2943" s="6"/>
      <c r="AA2943" s="6" t="s">
        <v>187</v>
      </c>
      <c r="AB2943" s="8"/>
      <c r="AC2943" s="27">
        <v>9785160215488</v>
      </c>
    </row>
    <row r="2944" spans="1:29" s="4" customFormat="1" ht="51.9" customHeight="1" x14ac:dyDescent="0.2">
      <c r="A2944" s="5">
        <v>0</v>
      </c>
      <c r="B2944" s="6" t="s">
        <v>17308</v>
      </c>
      <c r="C2944" s="7">
        <v>1080</v>
      </c>
      <c r="D2944" s="8" t="s">
        <v>17309</v>
      </c>
      <c r="E2944" s="8" t="s">
        <v>17304</v>
      </c>
      <c r="F2944" s="8" t="s">
        <v>17305</v>
      </c>
      <c r="G2944" s="6" t="s">
        <v>118</v>
      </c>
      <c r="H2944" s="6" t="s">
        <v>34</v>
      </c>
      <c r="I2944" s="8" t="s">
        <v>253</v>
      </c>
      <c r="J2944" s="9">
        <v>1</v>
      </c>
      <c r="K2944" s="9">
        <v>163</v>
      </c>
      <c r="L2944" s="9">
        <v>2026</v>
      </c>
      <c r="M2944" s="8" t="s">
        <v>17310</v>
      </c>
      <c r="N2944" s="8" t="s">
        <v>37</v>
      </c>
      <c r="O2944" s="8" t="s">
        <v>50</v>
      </c>
      <c r="P2944" s="6" t="s">
        <v>51</v>
      </c>
      <c r="Q2944" s="8" t="s">
        <v>52</v>
      </c>
      <c r="R2944" s="10" t="s">
        <v>17311</v>
      </c>
      <c r="S2944" s="11" t="s">
        <v>17312</v>
      </c>
      <c r="T2944" s="6"/>
      <c r="U2944" s="15" t="str">
        <f>HYPERLINK("https://media.infra-m.ru/2242/2242371/cover/2242371.jpg", "Обложка")</f>
        <v>Обложка</v>
      </c>
      <c r="V2944" s="8" t="s">
        <v>2398</v>
      </c>
      <c r="W2944" s="6"/>
      <c r="X2944" s="6"/>
      <c r="Y2944" s="6"/>
      <c r="Z2944" s="6"/>
      <c r="AA2944" s="6" t="s">
        <v>86</v>
      </c>
      <c r="AB2944" s="8" t="s">
        <v>493</v>
      </c>
      <c r="AC2944" s="27">
        <v>9785160190679</v>
      </c>
    </row>
    <row r="2945" spans="1:29" s="4" customFormat="1" ht="51.9" customHeight="1" x14ac:dyDescent="0.2">
      <c r="A2945" s="5">
        <v>0</v>
      </c>
      <c r="B2945" s="6" t="s">
        <v>17313</v>
      </c>
      <c r="C2945" s="13">
        <v>628.79999999999995</v>
      </c>
      <c r="D2945" s="8" t="s">
        <v>17314</v>
      </c>
      <c r="E2945" s="8" t="s">
        <v>17315</v>
      </c>
      <c r="F2945" s="8" t="s">
        <v>17305</v>
      </c>
      <c r="G2945" s="6" t="s">
        <v>33</v>
      </c>
      <c r="H2945" s="6" t="s">
        <v>34</v>
      </c>
      <c r="I2945" s="8" t="s">
        <v>253</v>
      </c>
      <c r="J2945" s="9">
        <v>1</v>
      </c>
      <c r="K2945" s="9">
        <v>95</v>
      </c>
      <c r="L2945" s="9">
        <v>2026</v>
      </c>
      <c r="M2945" s="8" t="s">
        <v>17316</v>
      </c>
      <c r="N2945" s="8" t="s">
        <v>37</v>
      </c>
      <c r="O2945" s="8" t="s">
        <v>50</v>
      </c>
      <c r="P2945" s="6" t="s">
        <v>51</v>
      </c>
      <c r="Q2945" s="8" t="s">
        <v>52</v>
      </c>
      <c r="R2945" s="10" t="s">
        <v>17317</v>
      </c>
      <c r="S2945" s="11" t="s">
        <v>17318</v>
      </c>
      <c r="T2945" s="6"/>
      <c r="U2945" s="15" t="str">
        <f>HYPERLINK("https://media.infra-m.ru/2249/2249275/cover/2249275.jpg", "Обложка")</f>
        <v>Обложка</v>
      </c>
      <c r="V2945" s="8" t="s">
        <v>2398</v>
      </c>
      <c r="W2945" s="6"/>
      <c r="X2945" s="6"/>
      <c r="Y2945" s="6"/>
      <c r="Z2945" s="6"/>
      <c r="AA2945" s="6" t="s">
        <v>274</v>
      </c>
      <c r="AB2945" s="8"/>
      <c r="AC2945" s="27">
        <v>9785160112244</v>
      </c>
    </row>
    <row r="2946" spans="1:29" s="4" customFormat="1" ht="44.1" customHeight="1" x14ac:dyDescent="0.2">
      <c r="A2946" s="5">
        <v>0</v>
      </c>
      <c r="B2946" s="6" t="s">
        <v>17319</v>
      </c>
      <c r="C2946" s="7">
        <v>1428</v>
      </c>
      <c r="D2946" s="8" t="s">
        <v>17320</v>
      </c>
      <c r="E2946" s="8" t="s">
        <v>17321</v>
      </c>
      <c r="F2946" s="8" t="s">
        <v>17322</v>
      </c>
      <c r="G2946" s="6" t="s">
        <v>118</v>
      </c>
      <c r="H2946" s="6" t="s">
        <v>134</v>
      </c>
      <c r="I2946" s="8"/>
      <c r="J2946" s="9">
        <v>1</v>
      </c>
      <c r="K2946" s="9">
        <v>184</v>
      </c>
      <c r="L2946" s="9">
        <v>2027</v>
      </c>
      <c r="M2946" s="8" t="s">
        <v>17323</v>
      </c>
      <c r="N2946" s="8" t="s">
        <v>37</v>
      </c>
      <c r="O2946" s="8" t="s">
        <v>50</v>
      </c>
      <c r="P2946" s="6" t="s">
        <v>39</v>
      </c>
      <c r="Q2946" s="8" t="s">
        <v>40</v>
      </c>
      <c r="R2946" s="10" t="s">
        <v>17324</v>
      </c>
      <c r="S2946" s="11"/>
      <c r="T2946" s="6"/>
      <c r="U2946" s="15" t="str">
        <f>HYPERLINK("https://media.infra-m.ru/2271/2271042/cover/2271042.jpg", "Обложка")</f>
        <v>Обложка</v>
      </c>
      <c r="V2946" s="8" t="s">
        <v>588</v>
      </c>
      <c r="W2946" s="6"/>
      <c r="X2946" s="6"/>
      <c r="Y2946" s="6"/>
      <c r="Z2946" s="6"/>
      <c r="AA2946" s="6" t="s">
        <v>187</v>
      </c>
      <c r="AB2946" s="8"/>
      <c r="AC2946" s="27">
        <v>9785001564799</v>
      </c>
    </row>
    <row r="2947" spans="1:29" s="4" customFormat="1" ht="42" customHeight="1" x14ac:dyDescent="0.2">
      <c r="A2947" s="5">
        <v>0</v>
      </c>
      <c r="B2947" s="6" t="s">
        <v>17325</v>
      </c>
      <c r="C2947" s="7">
        <v>1992</v>
      </c>
      <c r="D2947" s="8" t="s">
        <v>17326</v>
      </c>
      <c r="E2947" s="8" t="s">
        <v>17327</v>
      </c>
      <c r="F2947" s="8" t="s">
        <v>17328</v>
      </c>
      <c r="G2947" s="6" t="s">
        <v>118</v>
      </c>
      <c r="H2947" s="6" t="s">
        <v>34</v>
      </c>
      <c r="I2947" s="8" t="s">
        <v>1081</v>
      </c>
      <c r="J2947" s="9">
        <v>1</v>
      </c>
      <c r="K2947" s="9">
        <v>360</v>
      </c>
      <c r="L2947" s="9">
        <v>2024</v>
      </c>
      <c r="M2947" s="8" t="s">
        <v>17329</v>
      </c>
      <c r="N2947" s="8" t="s">
        <v>37</v>
      </c>
      <c r="O2947" s="8" t="s">
        <v>50</v>
      </c>
      <c r="P2947" s="6" t="s">
        <v>39</v>
      </c>
      <c r="Q2947" s="8" t="s">
        <v>40</v>
      </c>
      <c r="R2947" s="10" t="s">
        <v>17330</v>
      </c>
      <c r="S2947" s="11"/>
      <c r="T2947" s="6"/>
      <c r="U2947" s="15" t="str">
        <f>HYPERLINK("https://media.infra-m.ru/2125/2125129/cover/2125129.jpg", "Обложка")</f>
        <v>Обложка</v>
      </c>
      <c r="V2947" s="8" t="s">
        <v>1083</v>
      </c>
      <c r="W2947" s="6"/>
      <c r="X2947" s="6"/>
      <c r="Y2947" s="6"/>
      <c r="Z2947" s="6"/>
      <c r="AA2947" s="6" t="s">
        <v>86</v>
      </c>
      <c r="AB2947" s="8"/>
      <c r="AC2947" s="27">
        <v>9785160178684</v>
      </c>
    </row>
    <row r="2948" spans="1:29" s="4" customFormat="1" ht="51.9" customHeight="1" x14ac:dyDescent="0.2">
      <c r="A2948" s="5">
        <v>0</v>
      </c>
      <c r="B2948" s="6" t="s">
        <v>17331</v>
      </c>
      <c r="C2948" s="7">
        <v>1428</v>
      </c>
      <c r="D2948" s="8" t="s">
        <v>17332</v>
      </c>
      <c r="E2948" s="8" t="s">
        <v>17333</v>
      </c>
      <c r="F2948" s="8" t="s">
        <v>17334</v>
      </c>
      <c r="G2948" s="6" t="s">
        <v>33</v>
      </c>
      <c r="H2948" s="6" t="s">
        <v>34</v>
      </c>
      <c r="I2948" s="8" t="s">
        <v>35</v>
      </c>
      <c r="J2948" s="9">
        <v>1</v>
      </c>
      <c r="K2948" s="9">
        <v>207</v>
      </c>
      <c r="L2948" s="9">
        <v>2026</v>
      </c>
      <c r="M2948" s="8" t="s">
        <v>17335</v>
      </c>
      <c r="N2948" s="8" t="s">
        <v>63</v>
      </c>
      <c r="O2948" s="8" t="s">
        <v>126</v>
      </c>
      <c r="P2948" s="6" t="s">
        <v>39</v>
      </c>
      <c r="Q2948" s="8" t="s">
        <v>40</v>
      </c>
      <c r="R2948" s="10" t="s">
        <v>17336</v>
      </c>
      <c r="S2948" s="11"/>
      <c r="T2948" s="6"/>
      <c r="U2948" s="15" t="str">
        <f>HYPERLINK("https://media.infra-m.ru/2212/2212039/cover/2212039.jpg", "Обложка")</f>
        <v>Обложка</v>
      </c>
      <c r="V2948" s="8" t="s">
        <v>15038</v>
      </c>
      <c r="W2948" s="6" t="s">
        <v>186</v>
      </c>
      <c r="X2948" s="6"/>
      <c r="Y2948" s="6"/>
      <c r="Z2948" s="6"/>
      <c r="AA2948" s="6" t="s">
        <v>187</v>
      </c>
      <c r="AB2948" s="8" t="s">
        <v>308</v>
      </c>
      <c r="AC2948" s="27">
        <v>9785160210582</v>
      </c>
    </row>
    <row r="2949" spans="1:29" s="4" customFormat="1" ht="51.9" customHeight="1" x14ac:dyDescent="0.2">
      <c r="A2949" s="5">
        <v>0</v>
      </c>
      <c r="B2949" s="6" t="s">
        <v>17337</v>
      </c>
      <c r="C2949" s="7">
        <v>1240.8</v>
      </c>
      <c r="D2949" s="8" t="s">
        <v>17338</v>
      </c>
      <c r="E2949" s="8" t="s">
        <v>17339</v>
      </c>
      <c r="F2949" s="8" t="s">
        <v>17340</v>
      </c>
      <c r="G2949" s="6" t="s">
        <v>33</v>
      </c>
      <c r="H2949" s="6" t="s">
        <v>48</v>
      </c>
      <c r="I2949" s="8" t="s">
        <v>253</v>
      </c>
      <c r="J2949" s="9">
        <v>1</v>
      </c>
      <c r="K2949" s="9">
        <v>224</v>
      </c>
      <c r="L2949" s="9">
        <v>2023</v>
      </c>
      <c r="M2949" s="8" t="s">
        <v>17341</v>
      </c>
      <c r="N2949" s="8" t="s">
        <v>37</v>
      </c>
      <c r="O2949" s="8" t="s">
        <v>499</v>
      </c>
      <c r="P2949" s="6" t="s">
        <v>51</v>
      </c>
      <c r="Q2949" s="8" t="s">
        <v>65</v>
      </c>
      <c r="R2949" s="10" t="s">
        <v>17342</v>
      </c>
      <c r="S2949" s="11" t="s">
        <v>17343</v>
      </c>
      <c r="T2949" s="6"/>
      <c r="U2949" s="15" t="str">
        <f>HYPERLINK("https://media.infra-m.ru/2071/2071664/cover/2071664.jpg", "Обложка")</f>
        <v>Обложка</v>
      </c>
      <c r="V2949" s="8" t="s">
        <v>17344</v>
      </c>
      <c r="W2949" s="6"/>
      <c r="X2949" s="6"/>
      <c r="Y2949" s="6"/>
      <c r="Z2949" s="6"/>
      <c r="AA2949" s="6" t="s">
        <v>43</v>
      </c>
      <c r="AB2949" s="8"/>
      <c r="AC2949" s="27">
        <v>9785911345891</v>
      </c>
    </row>
    <row r="2950" spans="1:29" s="4" customFormat="1" ht="51.9" customHeight="1" x14ac:dyDescent="0.2">
      <c r="A2950" s="5">
        <v>0</v>
      </c>
      <c r="B2950" s="6" t="s">
        <v>17345</v>
      </c>
      <c r="C2950" s="7">
        <v>2644.8</v>
      </c>
      <c r="D2950" s="8" t="s">
        <v>17346</v>
      </c>
      <c r="E2950" s="8" t="s">
        <v>17347</v>
      </c>
      <c r="F2950" s="8" t="s">
        <v>17348</v>
      </c>
      <c r="G2950" s="6" t="s">
        <v>118</v>
      </c>
      <c r="H2950" s="6" t="s">
        <v>48</v>
      </c>
      <c r="I2950" s="8" t="s">
        <v>263</v>
      </c>
      <c r="J2950" s="9">
        <v>1</v>
      </c>
      <c r="K2950" s="9">
        <v>401</v>
      </c>
      <c r="L2950" s="9">
        <v>2026</v>
      </c>
      <c r="M2950" s="8" t="s">
        <v>17349</v>
      </c>
      <c r="N2950" s="8" t="s">
        <v>63</v>
      </c>
      <c r="O2950" s="8" t="s">
        <v>64</v>
      </c>
      <c r="P2950" s="6" t="s">
        <v>234</v>
      </c>
      <c r="Q2950" s="8" t="s">
        <v>265</v>
      </c>
      <c r="R2950" s="10" t="s">
        <v>17350</v>
      </c>
      <c r="S2950" s="11" t="s">
        <v>17351</v>
      </c>
      <c r="T2950" s="6"/>
      <c r="U2950" s="15" t="str">
        <f>HYPERLINK("https://media.infra-m.ru/2245/2245980/cover/2245980.jpg", "Обложка")</f>
        <v>Обложка</v>
      </c>
      <c r="V2950" s="8" t="s">
        <v>6147</v>
      </c>
      <c r="W2950" s="6"/>
      <c r="X2950" s="6"/>
      <c r="Y2950" s="6"/>
      <c r="Z2950" s="6" t="s">
        <v>267</v>
      </c>
      <c r="AA2950" s="6" t="s">
        <v>1256</v>
      </c>
      <c r="AB2950" s="8"/>
      <c r="AC2950" s="27">
        <v>9785000917220</v>
      </c>
    </row>
    <row r="2951" spans="1:29" s="4" customFormat="1" ht="42" customHeight="1" x14ac:dyDescent="0.2">
      <c r="A2951" s="5">
        <v>0</v>
      </c>
      <c r="B2951" s="6" t="s">
        <v>17352</v>
      </c>
      <c r="C2951" s="7">
        <v>2640</v>
      </c>
      <c r="D2951" s="8" t="s">
        <v>17353</v>
      </c>
      <c r="E2951" s="8" t="s">
        <v>17347</v>
      </c>
      <c r="F2951" s="8" t="s">
        <v>17348</v>
      </c>
      <c r="G2951" s="6" t="s">
        <v>60</v>
      </c>
      <c r="H2951" s="6" t="s">
        <v>34</v>
      </c>
      <c r="I2951" s="8" t="s">
        <v>253</v>
      </c>
      <c r="J2951" s="9">
        <v>1</v>
      </c>
      <c r="K2951" s="9">
        <v>401</v>
      </c>
      <c r="L2951" s="9">
        <v>2026</v>
      </c>
      <c r="M2951" s="8" t="s">
        <v>17354</v>
      </c>
      <c r="N2951" s="8" t="s">
        <v>63</v>
      </c>
      <c r="O2951" s="8" t="s">
        <v>64</v>
      </c>
      <c r="P2951" s="6" t="s">
        <v>394</v>
      </c>
      <c r="Q2951" s="8" t="s">
        <v>52</v>
      </c>
      <c r="R2951" s="10" t="s">
        <v>53</v>
      </c>
      <c r="S2951" s="11"/>
      <c r="T2951" s="6"/>
      <c r="U2951" s="15" t="str">
        <f>HYPERLINK("https://media.infra-m.ru/2244/2244718/cover/2244718.jpg", "Обложка")</f>
        <v>Обложка</v>
      </c>
      <c r="V2951" s="8" t="s">
        <v>6147</v>
      </c>
      <c r="W2951" s="6"/>
      <c r="X2951" s="6"/>
      <c r="Y2951" s="6"/>
      <c r="Z2951" s="6"/>
      <c r="AA2951" s="6" t="s">
        <v>43</v>
      </c>
      <c r="AB2951" s="8"/>
      <c r="AC2951" s="27">
        <v>9785160219981</v>
      </c>
    </row>
    <row r="2952" spans="1:29" s="4" customFormat="1" ht="51.9" customHeight="1" x14ac:dyDescent="0.2">
      <c r="A2952" s="5">
        <v>0</v>
      </c>
      <c r="B2952" s="6" t="s">
        <v>17355</v>
      </c>
      <c r="C2952" s="7">
        <v>3468</v>
      </c>
      <c r="D2952" s="8" t="s">
        <v>17356</v>
      </c>
      <c r="E2952" s="8" t="s">
        <v>17357</v>
      </c>
      <c r="F2952" s="8" t="s">
        <v>17358</v>
      </c>
      <c r="G2952" s="6" t="s">
        <v>60</v>
      </c>
      <c r="H2952" s="6" t="s">
        <v>34</v>
      </c>
      <c r="I2952" s="8" t="s">
        <v>253</v>
      </c>
      <c r="J2952" s="9">
        <v>1</v>
      </c>
      <c r="K2952" s="9">
        <v>526</v>
      </c>
      <c r="L2952" s="9">
        <v>2026</v>
      </c>
      <c r="M2952" s="8" t="s">
        <v>17359</v>
      </c>
      <c r="N2952" s="8" t="s">
        <v>63</v>
      </c>
      <c r="O2952" s="8" t="s">
        <v>64</v>
      </c>
      <c r="P2952" s="6" t="s">
        <v>51</v>
      </c>
      <c r="Q2952" s="8" t="s">
        <v>52</v>
      </c>
      <c r="R2952" s="10" t="s">
        <v>17360</v>
      </c>
      <c r="S2952" s="11" t="s">
        <v>17361</v>
      </c>
      <c r="T2952" s="6"/>
      <c r="U2952" s="15" t="str">
        <f>HYPERLINK("https://media.infra-m.ru/2242/2242882/cover/2242882.jpg", "Обложка")</f>
        <v>Обложка</v>
      </c>
      <c r="V2952" s="8" t="s">
        <v>1505</v>
      </c>
      <c r="W2952" s="6"/>
      <c r="X2952" s="6"/>
      <c r="Y2952" s="6"/>
      <c r="Z2952" s="6"/>
      <c r="AA2952" s="6" t="s">
        <v>148</v>
      </c>
      <c r="AB2952" s="8"/>
      <c r="AC2952" s="27">
        <v>9785160219493</v>
      </c>
    </row>
    <row r="2953" spans="1:29" s="4" customFormat="1" ht="51.9" customHeight="1" x14ac:dyDescent="0.2">
      <c r="A2953" s="5">
        <v>0</v>
      </c>
      <c r="B2953" s="6" t="s">
        <v>17362</v>
      </c>
      <c r="C2953" s="7">
        <v>3660</v>
      </c>
      <c r="D2953" s="8" t="s">
        <v>17363</v>
      </c>
      <c r="E2953" s="8" t="s">
        <v>17357</v>
      </c>
      <c r="F2953" s="8" t="s">
        <v>17358</v>
      </c>
      <c r="G2953" s="6" t="s">
        <v>60</v>
      </c>
      <c r="H2953" s="6" t="s">
        <v>34</v>
      </c>
      <c r="I2953" s="8" t="s">
        <v>263</v>
      </c>
      <c r="J2953" s="9">
        <v>1</v>
      </c>
      <c r="K2953" s="9">
        <v>526</v>
      </c>
      <c r="L2953" s="9">
        <v>2027</v>
      </c>
      <c r="M2953" s="8" t="s">
        <v>17364</v>
      </c>
      <c r="N2953" s="8" t="s">
        <v>63</v>
      </c>
      <c r="O2953" s="8" t="s">
        <v>64</v>
      </c>
      <c r="P2953" s="6" t="s">
        <v>51</v>
      </c>
      <c r="Q2953" s="8" t="s">
        <v>265</v>
      </c>
      <c r="R2953" s="10" t="s">
        <v>17365</v>
      </c>
      <c r="S2953" s="11" t="s">
        <v>17366</v>
      </c>
      <c r="T2953" s="6"/>
      <c r="U2953" s="15" t="str">
        <f>HYPERLINK("https://media.infra-m.ru/2269/2269841/cover/2269841.jpg", "Обложка")</f>
        <v>Обложка</v>
      </c>
      <c r="V2953" s="8" t="s">
        <v>1505</v>
      </c>
      <c r="W2953" s="6"/>
      <c r="X2953" s="6" t="s">
        <v>24</v>
      </c>
      <c r="Y2953" s="6"/>
      <c r="Z2953" s="6" t="s">
        <v>267</v>
      </c>
      <c r="AA2953" s="6" t="s">
        <v>157</v>
      </c>
      <c r="AB2953" s="8"/>
      <c r="AC2953" s="27">
        <v>9785160177502</v>
      </c>
    </row>
    <row r="2954" spans="1:29" s="4" customFormat="1" ht="51.9" customHeight="1" x14ac:dyDescent="0.2">
      <c r="A2954" s="5">
        <v>0</v>
      </c>
      <c r="B2954" s="6" t="s">
        <v>17367</v>
      </c>
      <c r="C2954" s="7">
        <v>2292</v>
      </c>
      <c r="D2954" s="8" t="s">
        <v>17368</v>
      </c>
      <c r="E2954" s="8" t="s">
        <v>17369</v>
      </c>
      <c r="F2954" s="8" t="s">
        <v>17370</v>
      </c>
      <c r="G2954" s="6" t="s">
        <v>60</v>
      </c>
      <c r="H2954" s="6" t="s">
        <v>134</v>
      </c>
      <c r="I2954" s="8"/>
      <c r="J2954" s="9">
        <v>1</v>
      </c>
      <c r="K2954" s="9">
        <v>560</v>
      </c>
      <c r="L2954" s="9">
        <v>2020</v>
      </c>
      <c r="M2954" s="8" t="s">
        <v>17371</v>
      </c>
      <c r="N2954" s="8" t="s">
        <v>63</v>
      </c>
      <c r="O2954" s="8" t="s">
        <v>64</v>
      </c>
      <c r="P2954" s="6" t="s">
        <v>306</v>
      </c>
      <c r="Q2954" s="8" t="s">
        <v>52</v>
      </c>
      <c r="R2954" s="10" t="s">
        <v>17372</v>
      </c>
      <c r="S2954" s="11" t="s">
        <v>17373</v>
      </c>
      <c r="T2954" s="6"/>
      <c r="U2954" s="15" t="str">
        <f>HYPERLINK("https://media.infra-m.ru/1088/1088887/cover/1088887.jpg", "Обложка")</f>
        <v>Обложка</v>
      </c>
      <c r="V2954" s="8" t="s">
        <v>9620</v>
      </c>
      <c r="W2954" s="6"/>
      <c r="X2954" s="6"/>
      <c r="Y2954" s="6"/>
      <c r="Z2954" s="6"/>
      <c r="AA2954" s="6" t="s">
        <v>7421</v>
      </c>
      <c r="AB2954" s="8"/>
      <c r="AC2954" s="27">
        <v>9785917685472</v>
      </c>
    </row>
    <row r="2955" spans="1:29" s="4" customFormat="1" ht="51.9" customHeight="1" x14ac:dyDescent="0.2">
      <c r="A2955" s="5">
        <v>0</v>
      </c>
      <c r="B2955" s="6" t="s">
        <v>17374</v>
      </c>
      <c r="C2955" s="7">
        <v>1372.8</v>
      </c>
      <c r="D2955" s="8" t="s">
        <v>17375</v>
      </c>
      <c r="E2955" s="8" t="s">
        <v>17376</v>
      </c>
      <c r="F2955" s="8" t="s">
        <v>17377</v>
      </c>
      <c r="G2955" s="6" t="s">
        <v>33</v>
      </c>
      <c r="H2955" s="6" t="s">
        <v>313</v>
      </c>
      <c r="I2955" s="8" t="s">
        <v>35</v>
      </c>
      <c r="J2955" s="9">
        <v>1</v>
      </c>
      <c r="K2955" s="9">
        <v>248</v>
      </c>
      <c r="L2955" s="9">
        <v>2024</v>
      </c>
      <c r="M2955" s="8" t="s">
        <v>17378</v>
      </c>
      <c r="N2955" s="8" t="s">
        <v>37</v>
      </c>
      <c r="O2955" s="8" t="s">
        <v>280</v>
      </c>
      <c r="P2955" s="6" t="s">
        <v>39</v>
      </c>
      <c r="Q2955" s="8" t="s">
        <v>40</v>
      </c>
      <c r="R2955" s="10" t="s">
        <v>2068</v>
      </c>
      <c r="S2955" s="11"/>
      <c r="T2955" s="6"/>
      <c r="U2955" s="15" t="str">
        <f>HYPERLINK("https://media.infra-m.ru/2117/2117117/cover/2117117.jpg", "Обложка")</f>
        <v>Обложка</v>
      </c>
      <c r="V2955" s="8" t="s">
        <v>5087</v>
      </c>
      <c r="W2955" s="6"/>
      <c r="X2955" s="6"/>
      <c r="Y2955" s="6"/>
      <c r="Z2955" s="6"/>
      <c r="AA2955" s="6" t="s">
        <v>43</v>
      </c>
      <c r="AB2955" s="8"/>
      <c r="AC2955" s="27">
        <v>9785369009871</v>
      </c>
    </row>
    <row r="2956" spans="1:29" s="4" customFormat="1" ht="42" customHeight="1" x14ac:dyDescent="0.2">
      <c r="A2956" s="5">
        <v>0</v>
      </c>
      <c r="B2956" s="6" t="s">
        <v>17379</v>
      </c>
      <c r="C2956" s="7">
        <v>1608</v>
      </c>
      <c r="D2956" s="8" t="s">
        <v>17380</v>
      </c>
      <c r="E2956" s="8" t="s">
        <v>17381</v>
      </c>
      <c r="F2956" s="8" t="s">
        <v>17382</v>
      </c>
      <c r="G2956" s="6" t="s">
        <v>60</v>
      </c>
      <c r="H2956" s="6" t="s">
        <v>1644</v>
      </c>
      <c r="I2956" s="8"/>
      <c r="J2956" s="9">
        <v>1</v>
      </c>
      <c r="K2956" s="9">
        <v>296</v>
      </c>
      <c r="L2956" s="9">
        <v>2023</v>
      </c>
      <c r="M2956" s="8" t="s">
        <v>17383</v>
      </c>
      <c r="N2956" s="8" t="s">
        <v>37</v>
      </c>
      <c r="O2956" s="8" t="s">
        <v>280</v>
      </c>
      <c r="P2956" s="6" t="s">
        <v>39</v>
      </c>
      <c r="Q2956" s="8" t="s">
        <v>40</v>
      </c>
      <c r="R2956" s="10" t="s">
        <v>7833</v>
      </c>
      <c r="S2956" s="11"/>
      <c r="T2956" s="6"/>
      <c r="U2956" s="15" t="str">
        <f>HYPERLINK("https://media.infra-m.ru/1904/1904716/cover/1904716.jpg", "Обложка")</f>
        <v>Обложка</v>
      </c>
      <c r="V2956" s="8"/>
      <c r="W2956" s="6"/>
      <c r="X2956" s="6"/>
      <c r="Y2956" s="6"/>
      <c r="Z2956" s="6"/>
      <c r="AA2956" s="6" t="s">
        <v>157</v>
      </c>
      <c r="AB2956" s="8"/>
      <c r="AC2956" s="27">
        <v>9785977605489</v>
      </c>
    </row>
    <row r="2957" spans="1:29" s="4" customFormat="1" ht="51.9" customHeight="1" x14ac:dyDescent="0.2">
      <c r="A2957" s="5">
        <v>0</v>
      </c>
      <c r="B2957" s="6" t="s">
        <v>17384</v>
      </c>
      <c r="C2957" s="7">
        <v>1632</v>
      </c>
      <c r="D2957" s="8" t="s">
        <v>17385</v>
      </c>
      <c r="E2957" s="8" t="s">
        <v>17386</v>
      </c>
      <c r="F2957" s="8" t="s">
        <v>17387</v>
      </c>
      <c r="G2957" s="6" t="s">
        <v>118</v>
      </c>
      <c r="H2957" s="6" t="s">
        <v>34</v>
      </c>
      <c r="I2957" s="8" t="s">
        <v>253</v>
      </c>
      <c r="J2957" s="9">
        <v>1</v>
      </c>
      <c r="K2957" s="9">
        <v>247</v>
      </c>
      <c r="L2957" s="9">
        <v>2026</v>
      </c>
      <c r="M2957" s="8" t="s">
        <v>17388</v>
      </c>
      <c r="N2957" s="8" t="s">
        <v>37</v>
      </c>
      <c r="O2957" s="8" t="s">
        <v>50</v>
      </c>
      <c r="P2957" s="6" t="s">
        <v>51</v>
      </c>
      <c r="Q2957" s="8" t="s">
        <v>52</v>
      </c>
      <c r="R2957" s="10" t="s">
        <v>17389</v>
      </c>
      <c r="S2957" s="11" t="s">
        <v>17390</v>
      </c>
      <c r="T2957" s="6" t="s">
        <v>97</v>
      </c>
      <c r="U2957" s="15" t="str">
        <f>HYPERLINK("https://media.infra-m.ru/2226/2226822/cover/2226822.jpg", "Обложка")</f>
        <v>Обложка</v>
      </c>
      <c r="V2957" s="8" t="s">
        <v>209</v>
      </c>
      <c r="W2957" s="6"/>
      <c r="X2957" s="6"/>
      <c r="Y2957" s="6"/>
      <c r="Z2957" s="6"/>
      <c r="AA2957" s="6" t="s">
        <v>360</v>
      </c>
      <c r="AB2957" s="8"/>
      <c r="AC2957" s="27">
        <v>9785160198460</v>
      </c>
    </row>
    <row r="2958" spans="1:29" s="4" customFormat="1" ht="44.1" customHeight="1" x14ac:dyDescent="0.2">
      <c r="A2958" s="5">
        <v>0</v>
      </c>
      <c r="B2958" s="6" t="s">
        <v>17391</v>
      </c>
      <c r="C2958" s="7">
        <v>1452</v>
      </c>
      <c r="D2958" s="8" t="s">
        <v>17392</v>
      </c>
      <c r="E2958" s="8" t="s">
        <v>17393</v>
      </c>
      <c r="F2958" s="8" t="s">
        <v>7831</v>
      </c>
      <c r="G2958" s="6" t="s">
        <v>60</v>
      </c>
      <c r="H2958" s="6" t="s">
        <v>34</v>
      </c>
      <c r="I2958" s="8" t="s">
        <v>35</v>
      </c>
      <c r="J2958" s="9">
        <v>1</v>
      </c>
      <c r="K2958" s="9">
        <v>195</v>
      </c>
      <c r="L2958" s="9">
        <v>2026</v>
      </c>
      <c r="M2958" s="8" t="s">
        <v>17394</v>
      </c>
      <c r="N2958" s="8" t="s">
        <v>37</v>
      </c>
      <c r="O2958" s="8" t="s">
        <v>499</v>
      </c>
      <c r="P2958" s="6" t="s">
        <v>39</v>
      </c>
      <c r="Q2958" s="8" t="s">
        <v>40</v>
      </c>
      <c r="R2958" s="10" t="s">
        <v>17395</v>
      </c>
      <c r="S2958" s="11"/>
      <c r="T2958" s="6"/>
      <c r="U2958" s="15" t="str">
        <f>HYPERLINK("https://media.infra-m.ru/2221/2221788/cover/2221788.jpg", "Обложка")</f>
        <v>Обложка</v>
      </c>
      <c r="V2958" s="8" t="s">
        <v>445</v>
      </c>
      <c r="W2958" s="6" t="s">
        <v>528</v>
      </c>
      <c r="X2958" s="6"/>
      <c r="Y2958" s="6"/>
      <c r="Z2958" s="6"/>
      <c r="AA2958" s="6" t="s">
        <v>187</v>
      </c>
      <c r="AB2958" s="8" t="s">
        <v>308</v>
      </c>
      <c r="AC2958" s="27">
        <v>9785160213149</v>
      </c>
    </row>
    <row r="2959" spans="1:29" s="4" customFormat="1" ht="42" customHeight="1" x14ac:dyDescent="0.2">
      <c r="A2959" s="5">
        <v>0</v>
      </c>
      <c r="B2959" s="6" t="s">
        <v>17396</v>
      </c>
      <c r="C2959" s="7">
        <v>3352.8</v>
      </c>
      <c r="D2959" s="8" t="s">
        <v>17397</v>
      </c>
      <c r="E2959" s="8" t="s">
        <v>17398</v>
      </c>
      <c r="F2959" s="8" t="s">
        <v>17399</v>
      </c>
      <c r="G2959" s="6" t="s">
        <v>60</v>
      </c>
      <c r="H2959" s="6" t="s">
        <v>134</v>
      </c>
      <c r="I2959" s="8"/>
      <c r="J2959" s="9">
        <v>1</v>
      </c>
      <c r="K2959" s="9">
        <v>608</v>
      </c>
      <c r="L2959" s="9">
        <v>2026</v>
      </c>
      <c r="M2959" s="8" t="s">
        <v>17400</v>
      </c>
      <c r="N2959" s="8" t="s">
        <v>37</v>
      </c>
      <c r="O2959" s="8" t="s">
        <v>136</v>
      </c>
      <c r="P2959" s="6" t="s">
        <v>39</v>
      </c>
      <c r="Q2959" s="8" t="s">
        <v>40</v>
      </c>
      <c r="R2959" s="10" t="s">
        <v>17401</v>
      </c>
      <c r="S2959" s="11"/>
      <c r="T2959" s="6"/>
      <c r="U2959" s="15" t="str">
        <f>HYPERLINK("https://media.infra-m.ru/2215/2215907/cover/2215907.jpg", "Обложка")</f>
        <v>Обложка</v>
      </c>
      <c r="V2959" s="8" t="s">
        <v>657</v>
      </c>
      <c r="W2959" s="6"/>
      <c r="X2959" s="6"/>
      <c r="Y2959" s="6"/>
      <c r="Z2959" s="6"/>
      <c r="AA2959" s="6" t="s">
        <v>55</v>
      </c>
      <c r="AB2959" s="8"/>
      <c r="AC2959" s="27">
        <v>9785917684239</v>
      </c>
    </row>
    <row r="2960" spans="1:29" s="4" customFormat="1" ht="42" customHeight="1" x14ac:dyDescent="0.2">
      <c r="A2960" s="5">
        <v>0</v>
      </c>
      <c r="B2960" s="6" t="s">
        <v>17402</v>
      </c>
      <c r="C2960" s="13">
        <v>796.8</v>
      </c>
      <c r="D2960" s="8" t="s">
        <v>17403</v>
      </c>
      <c r="E2960" s="8" t="s">
        <v>17404</v>
      </c>
      <c r="F2960" s="8" t="s">
        <v>17405</v>
      </c>
      <c r="G2960" s="6" t="s">
        <v>33</v>
      </c>
      <c r="H2960" s="6" t="s">
        <v>34</v>
      </c>
      <c r="I2960" s="8" t="s">
        <v>35</v>
      </c>
      <c r="J2960" s="9">
        <v>1</v>
      </c>
      <c r="K2960" s="9">
        <v>120</v>
      </c>
      <c r="L2960" s="9">
        <v>2025</v>
      </c>
      <c r="M2960" s="8" t="s">
        <v>17406</v>
      </c>
      <c r="N2960" s="8" t="s">
        <v>63</v>
      </c>
      <c r="O2960" s="8" t="s">
        <v>64</v>
      </c>
      <c r="P2960" s="6" t="s">
        <v>39</v>
      </c>
      <c r="Q2960" s="8" t="s">
        <v>40</v>
      </c>
      <c r="R2960" s="10" t="s">
        <v>17407</v>
      </c>
      <c r="S2960" s="11"/>
      <c r="T2960" s="6"/>
      <c r="U2960" s="15" t="str">
        <f>HYPERLINK("https://media.infra-m.ru/2208/2208454/cover/2208454.jpg", "Обложка")</f>
        <v>Обложка</v>
      </c>
      <c r="V2960" s="8" t="s">
        <v>227</v>
      </c>
      <c r="W2960" s="6"/>
      <c r="X2960" s="6"/>
      <c r="Y2960" s="6"/>
      <c r="Z2960" s="6"/>
      <c r="AA2960" s="6" t="s">
        <v>2240</v>
      </c>
      <c r="AB2960" s="8"/>
      <c r="AC2960" s="27">
        <v>9785160141435</v>
      </c>
    </row>
    <row r="2961" spans="1:29" s="4" customFormat="1" ht="42" customHeight="1" x14ac:dyDescent="0.2">
      <c r="A2961" s="5">
        <v>0</v>
      </c>
      <c r="B2961" s="6" t="s">
        <v>17408</v>
      </c>
      <c r="C2961" s="7">
        <v>2340</v>
      </c>
      <c r="D2961" s="8" t="s">
        <v>17409</v>
      </c>
      <c r="E2961" s="8" t="s">
        <v>17410</v>
      </c>
      <c r="F2961" s="8" t="s">
        <v>17411</v>
      </c>
      <c r="G2961" s="6" t="s">
        <v>118</v>
      </c>
      <c r="H2961" s="6" t="s">
        <v>313</v>
      </c>
      <c r="I2961" s="8" t="s">
        <v>253</v>
      </c>
      <c r="J2961" s="9">
        <v>1</v>
      </c>
      <c r="K2961" s="9">
        <v>336</v>
      </c>
      <c r="L2961" s="9">
        <v>2026</v>
      </c>
      <c r="M2961" s="8" t="s">
        <v>17412</v>
      </c>
      <c r="N2961" s="8" t="s">
        <v>37</v>
      </c>
      <c r="O2961" s="8" t="s">
        <v>50</v>
      </c>
      <c r="P2961" s="6" t="s">
        <v>51</v>
      </c>
      <c r="Q2961" s="8" t="s">
        <v>65</v>
      </c>
      <c r="R2961" s="10" t="s">
        <v>17413</v>
      </c>
      <c r="S2961" s="11"/>
      <c r="T2961" s="6"/>
      <c r="U2961" s="15" t="str">
        <f>HYPERLINK("https://media.infra-m.ru/2235/2235899/cover/2235899.jpg", "Обложка")</f>
        <v>Обложка</v>
      </c>
      <c r="V2961" s="8" t="s">
        <v>13370</v>
      </c>
      <c r="W2961" s="6"/>
      <c r="X2961" s="6"/>
      <c r="Y2961" s="6"/>
      <c r="Z2961" s="6"/>
      <c r="AA2961" s="6" t="s">
        <v>86</v>
      </c>
      <c r="AB2961" s="8"/>
      <c r="AC2961" s="27">
        <v>9785369017036</v>
      </c>
    </row>
    <row r="2962" spans="1:29" s="4" customFormat="1" ht="51.9" customHeight="1" x14ac:dyDescent="0.2">
      <c r="A2962" s="5">
        <v>0</v>
      </c>
      <c r="B2962" s="6" t="s">
        <v>17414</v>
      </c>
      <c r="C2962" s="7">
        <v>2716.8</v>
      </c>
      <c r="D2962" s="8" t="s">
        <v>17415</v>
      </c>
      <c r="E2962" s="8" t="s">
        <v>17416</v>
      </c>
      <c r="F2962" s="8" t="s">
        <v>17417</v>
      </c>
      <c r="G2962" s="6" t="s">
        <v>60</v>
      </c>
      <c r="H2962" s="6" t="s">
        <v>241</v>
      </c>
      <c r="I2962" s="8" t="s">
        <v>253</v>
      </c>
      <c r="J2962" s="9">
        <v>1</v>
      </c>
      <c r="K2962" s="9">
        <v>435</v>
      </c>
      <c r="L2962" s="9">
        <v>2026</v>
      </c>
      <c r="M2962" s="8" t="s">
        <v>17418</v>
      </c>
      <c r="N2962" s="8" t="s">
        <v>37</v>
      </c>
      <c r="O2962" s="8" t="s">
        <v>50</v>
      </c>
      <c r="P2962" s="6" t="s">
        <v>306</v>
      </c>
      <c r="Q2962" s="8" t="s">
        <v>52</v>
      </c>
      <c r="R2962" s="10" t="s">
        <v>17413</v>
      </c>
      <c r="S2962" s="11" t="s">
        <v>17419</v>
      </c>
      <c r="T2962" s="6"/>
      <c r="U2962" s="15" t="str">
        <f>HYPERLINK("https://media.infra-m.ru/2218/2218856/cover/2218856.jpg", "Обложка")</f>
        <v>Обложка</v>
      </c>
      <c r="V2962" s="8" t="s">
        <v>247</v>
      </c>
      <c r="W2962" s="6"/>
      <c r="X2962" s="6"/>
      <c r="Y2962" s="6"/>
      <c r="Z2962" s="6"/>
      <c r="AA2962" s="6" t="s">
        <v>2240</v>
      </c>
      <c r="AB2962" s="8"/>
      <c r="AC2962" s="27">
        <v>9785955806334</v>
      </c>
    </row>
    <row r="2963" spans="1:29" s="4" customFormat="1" ht="51.9" customHeight="1" x14ac:dyDescent="0.2">
      <c r="A2963" s="5">
        <v>0</v>
      </c>
      <c r="B2963" s="6" t="s">
        <v>17420</v>
      </c>
      <c r="C2963" s="7">
        <v>1577.9</v>
      </c>
      <c r="D2963" s="8" t="s">
        <v>17421</v>
      </c>
      <c r="E2963" s="8" t="s">
        <v>17410</v>
      </c>
      <c r="F2963" s="8" t="s">
        <v>17299</v>
      </c>
      <c r="G2963" s="6" t="s">
        <v>60</v>
      </c>
      <c r="H2963" s="6" t="s">
        <v>241</v>
      </c>
      <c r="I2963" s="8" t="s">
        <v>241</v>
      </c>
      <c r="J2963" s="9">
        <v>1</v>
      </c>
      <c r="K2963" s="9">
        <v>411</v>
      </c>
      <c r="L2963" s="9">
        <v>2019</v>
      </c>
      <c r="M2963" s="8" t="s">
        <v>17422</v>
      </c>
      <c r="N2963" s="8" t="s">
        <v>37</v>
      </c>
      <c r="O2963" s="8" t="s">
        <v>50</v>
      </c>
      <c r="P2963" s="6" t="s">
        <v>306</v>
      </c>
      <c r="Q2963" s="8" t="s">
        <v>52</v>
      </c>
      <c r="R2963" s="10" t="s">
        <v>17413</v>
      </c>
      <c r="S2963" s="11" t="s">
        <v>17423</v>
      </c>
      <c r="T2963" s="6"/>
      <c r="U2963" s="15" t="str">
        <f>HYPERLINK("https://media.infra-m.ru/0991/0991847/cover/991847.jpg", "Обложка")</f>
        <v>Обложка</v>
      </c>
      <c r="V2963" s="8" t="s">
        <v>247</v>
      </c>
      <c r="W2963" s="6"/>
      <c r="X2963" s="6"/>
      <c r="Y2963" s="6"/>
      <c r="Z2963" s="6"/>
      <c r="AA2963" s="6" t="s">
        <v>1506</v>
      </c>
      <c r="AB2963" s="8"/>
      <c r="AC2963" s="27">
        <v>9785955804590</v>
      </c>
    </row>
    <row r="2964" spans="1:29" s="4" customFormat="1" ht="42" customHeight="1" x14ac:dyDescent="0.2">
      <c r="A2964" s="5">
        <v>0</v>
      </c>
      <c r="B2964" s="6" t="s">
        <v>17424</v>
      </c>
      <c r="C2964" s="7">
        <v>1356</v>
      </c>
      <c r="D2964" s="8" t="s">
        <v>17425</v>
      </c>
      <c r="E2964" s="8" t="s">
        <v>17416</v>
      </c>
      <c r="F2964" s="8" t="s">
        <v>17426</v>
      </c>
      <c r="G2964" s="6" t="s">
        <v>118</v>
      </c>
      <c r="H2964" s="6" t="s">
        <v>34</v>
      </c>
      <c r="I2964" s="8" t="s">
        <v>253</v>
      </c>
      <c r="J2964" s="9">
        <v>1</v>
      </c>
      <c r="K2964" s="9">
        <v>239</v>
      </c>
      <c r="L2964" s="9">
        <v>2024</v>
      </c>
      <c r="M2964" s="8" t="s">
        <v>17427</v>
      </c>
      <c r="N2964" s="8" t="s">
        <v>37</v>
      </c>
      <c r="O2964" s="8" t="s">
        <v>50</v>
      </c>
      <c r="P2964" s="6" t="s">
        <v>306</v>
      </c>
      <c r="Q2964" s="8" t="s">
        <v>52</v>
      </c>
      <c r="R2964" s="10" t="s">
        <v>17413</v>
      </c>
      <c r="S2964" s="11"/>
      <c r="T2964" s="6" t="s">
        <v>97</v>
      </c>
      <c r="U2964" s="15" t="str">
        <f>HYPERLINK("https://media.infra-m.ru/2141/2141106/cover/2141106.jpg", "Обложка")</f>
        <v>Обложка</v>
      </c>
      <c r="V2964" s="8" t="s">
        <v>17428</v>
      </c>
      <c r="W2964" s="6"/>
      <c r="X2964" s="6"/>
      <c r="Y2964" s="6"/>
      <c r="Z2964" s="6"/>
      <c r="AA2964" s="6" t="s">
        <v>718</v>
      </c>
      <c r="AB2964" s="8"/>
      <c r="AC2964" s="27">
        <v>9785160198712</v>
      </c>
    </row>
    <row r="2965" spans="1:29" s="4" customFormat="1" ht="51.9" customHeight="1" x14ac:dyDescent="0.2">
      <c r="A2965" s="5">
        <v>0</v>
      </c>
      <c r="B2965" s="6" t="s">
        <v>17429</v>
      </c>
      <c r="C2965" s="7">
        <v>2176.8000000000002</v>
      </c>
      <c r="D2965" s="8" t="s">
        <v>17430</v>
      </c>
      <c r="E2965" s="8" t="s">
        <v>17431</v>
      </c>
      <c r="F2965" s="8" t="s">
        <v>17432</v>
      </c>
      <c r="G2965" s="6" t="s">
        <v>60</v>
      </c>
      <c r="H2965" s="6" t="s">
        <v>241</v>
      </c>
      <c r="I2965" s="8"/>
      <c r="J2965" s="9">
        <v>1</v>
      </c>
      <c r="K2965" s="9">
        <v>393</v>
      </c>
      <c r="L2965" s="9">
        <v>2024</v>
      </c>
      <c r="M2965" s="8" t="s">
        <v>17433</v>
      </c>
      <c r="N2965" s="8" t="s">
        <v>37</v>
      </c>
      <c r="O2965" s="8" t="s">
        <v>50</v>
      </c>
      <c r="P2965" s="6" t="s">
        <v>51</v>
      </c>
      <c r="Q2965" s="8" t="s">
        <v>52</v>
      </c>
      <c r="R2965" s="10" t="s">
        <v>17413</v>
      </c>
      <c r="S2965" s="11" t="s">
        <v>17434</v>
      </c>
      <c r="T2965" s="6" t="s">
        <v>97</v>
      </c>
      <c r="U2965" s="15" t="str">
        <f>HYPERLINK("https://media.infra-m.ru/2079/2079171/cover/2079171.jpg", "Обложка")</f>
        <v>Обложка</v>
      </c>
      <c r="V2965" s="8" t="s">
        <v>247</v>
      </c>
      <c r="W2965" s="6"/>
      <c r="X2965" s="6"/>
      <c r="Y2965" s="6"/>
      <c r="Z2965" s="6"/>
      <c r="AA2965" s="6" t="s">
        <v>17435</v>
      </c>
      <c r="AB2965" s="8"/>
      <c r="AC2965" s="27">
        <v>9785955804606</v>
      </c>
    </row>
    <row r="2966" spans="1:29" s="4" customFormat="1" ht="42" customHeight="1" x14ac:dyDescent="0.2">
      <c r="A2966" s="5">
        <v>0</v>
      </c>
      <c r="B2966" s="6" t="s">
        <v>17436</v>
      </c>
      <c r="C2966" s="7">
        <v>1668</v>
      </c>
      <c r="D2966" s="8" t="s">
        <v>17437</v>
      </c>
      <c r="E2966" s="8" t="s">
        <v>17410</v>
      </c>
      <c r="F2966" s="8" t="s">
        <v>17438</v>
      </c>
      <c r="G2966" s="6" t="s">
        <v>118</v>
      </c>
      <c r="H2966" s="6" t="s">
        <v>34</v>
      </c>
      <c r="I2966" s="8" t="s">
        <v>253</v>
      </c>
      <c r="J2966" s="9">
        <v>1</v>
      </c>
      <c r="K2966" s="9">
        <v>256</v>
      </c>
      <c r="L2966" s="9">
        <v>2026</v>
      </c>
      <c r="M2966" s="8" t="s">
        <v>17439</v>
      </c>
      <c r="N2966" s="8" t="s">
        <v>37</v>
      </c>
      <c r="O2966" s="8" t="s">
        <v>50</v>
      </c>
      <c r="P2966" s="6" t="s">
        <v>51</v>
      </c>
      <c r="Q2966" s="8" t="s">
        <v>52</v>
      </c>
      <c r="R2966" s="10" t="s">
        <v>17413</v>
      </c>
      <c r="S2966" s="11"/>
      <c r="T2966" s="6"/>
      <c r="U2966" s="15" t="str">
        <f>HYPERLINK("https://media.infra-m.ru/2217/2217576/cover/2217576.jpg", "Обложка")</f>
        <v>Обложка</v>
      </c>
      <c r="V2966" s="8" t="s">
        <v>3428</v>
      </c>
      <c r="W2966" s="6"/>
      <c r="X2966" s="6"/>
      <c r="Y2966" s="6"/>
      <c r="Z2966" s="6"/>
      <c r="AA2966" s="6" t="s">
        <v>274</v>
      </c>
      <c r="AB2966" s="8"/>
      <c r="AC2966" s="27">
        <v>9785160212258</v>
      </c>
    </row>
    <row r="2967" spans="1:29" s="4" customFormat="1" ht="51.9" customHeight="1" x14ac:dyDescent="0.2">
      <c r="A2967" s="5">
        <v>0</v>
      </c>
      <c r="B2967" s="6" t="s">
        <v>17440</v>
      </c>
      <c r="C2967" s="7">
        <v>2080.8000000000002</v>
      </c>
      <c r="D2967" s="8" t="s">
        <v>17441</v>
      </c>
      <c r="E2967" s="8" t="s">
        <v>17416</v>
      </c>
      <c r="F2967" s="8" t="s">
        <v>17442</v>
      </c>
      <c r="G2967" s="6" t="s">
        <v>60</v>
      </c>
      <c r="H2967" s="6" t="s">
        <v>34</v>
      </c>
      <c r="I2967" s="8"/>
      <c r="J2967" s="9">
        <v>1</v>
      </c>
      <c r="K2967" s="9">
        <v>333</v>
      </c>
      <c r="L2967" s="9">
        <v>2026</v>
      </c>
      <c r="M2967" s="8" t="s">
        <v>17443</v>
      </c>
      <c r="N2967" s="8" t="s">
        <v>37</v>
      </c>
      <c r="O2967" s="8" t="s">
        <v>50</v>
      </c>
      <c r="P2967" s="6" t="s">
        <v>51</v>
      </c>
      <c r="Q2967" s="8" t="s">
        <v>52</v>
      </c>
      <c r="R2967" s="10" t="s">
        <v>17413</v>
      </c>
      <c r="S2967" s="11" t="s">
        <v>17444</v>
      </c>
      <c r="T2967" s="6"/>
      <c r="U2967" s="15" t="str">
        <f>HYPERLINK("https://media.infra-m.ru/2220/2220234/cover/2220234.jpg", "Обложка")</f>
        <v>Обложка</v>
      </c>
      <c r="V2967" s="8" t="s">
        <v>227</v>
      </c>
      <c r="W2967" s="6"/>
      <c r="X2967" s="6"/>
      <c r="Y2967" s="6"/>
      <c r="Z2967" s="6"/>
      <c r="AA2967" s="6" t="s">
        <v>17445</v>
      </c>
      <c r="AB2967" s="8"/>
      <c r="AC2967" s="27">
        <v>9785160042701</v>
      </c>
    </row>
    <row r="2968" spans="1:29" s="4" customFormat="1" ht="51.9" customHeight="1" x14ac:dyDescent="0.2">
      <c r="A2968" s="5">
        <v>0</v>
      </c>
      <c r="B2968" s="6" t="s">
        <v>17446</v>
      </c>
      <c r="C2968" s="7">
        <v>1104</v>
      </c>
      <c r="D2968" s="8" t="s">
        <v>17447</v>
      </c>
      <c r="E2968" s="8" t="s">
        <v>17448</v>
      </c>
      <c r="F2968" s="8" t="s">
        <v>17449</v>
      </c>
      <c r="G2968" s="6" t="s">
        <v>118</v>
      </c>
      <c r="H2968" s="6" t="s">
        <v>34</v>
      </c>
      <c r="I2968" s="8" t="s">
        <v>504</v>
      </c>
      <c r="J2968" s="9">
        <v>1</v>
      </c>
      <c r="K2968" s="9">
        <v>204</v>
      </c>
      <c r="L2968" s="9">
        <v>2023</v>
      </c>
      <c r="M2968" s="8" t="s">
        <v>17450</v>
      </c>
      <c r="N2968" s="8" t="s">
        <v>37</v>
      </c>
      <c r="O2968" s="8" t="s">
        <v>50</v>
      </c>
      <c r="P2968" s="6" t="s">
        <v>51</v>
      </c>
      <c r="Q2968" s="8" t="s">
        <v>500</v>
      </c>
      <c r="R2968" s="10" t="s">
        <v>11673</v>
      </c>
      <c r="S2968" s="11" t="s">
        <v>17451</v>
      </c>
      <c r="T2968" s="6"/>
      <c r="U2968" s="15" t="str">
        <f>HYPERLINK("https://media.infra-m.ru/1914/1914096/cover/1914096.jpg", "Обложка")</f>
        <v>Обложка</v>
      </c>
      <c r="V2968" s="8" t="s">
        <v>17452</v>
      </c>
      <c r="W2968" s="6"/>
      <c r="X2968" s="6"/>
      <c r="Y2968" s="6"/>
      <c r="Z2968" s="6"/>
      <c r="AA2968" s="6" t="s">
        <v>115</v>
      </c>
      <c r="AB2968" s="8"/>
      <c r="AC2968" s="27">
        <v>9785160147345</v>
      </c>
    </row>
    <row r="2969" spans="1:29" s="4" customFormat="1" ht="51.9" customHeight="1" x14ac:dyDescent="0.2">
      <c r="A2969" s="5">
        <v>0</v>
      </c>
      <c r="B2969" s="6" t="s">
        <v>17453</v>
      </c>
      <c r="C2969" s="7">
        <v>1192.8</v>
      </c>
      <c r="D2969" s="8" t="s">
        <v>17454</v>
      </c>
      <c r="E2969" s="8" t="s">
        <v>17455</v>
      </c>
      <c r="F2969" s="8" t="s">
        <v>4896</v>
      </c>
      <c r="G2969" s="6" t="s">
        <v>118</v>
      </c>
      <c r="H2969" s="6" t="s">
        <v>34</v>
      </c>
      <c r="I2969" s="8" t="s">
        <v>35</v>
      </c>
      <c r="J2969" s="9">
        <v>1</v>
      </c>
      <c r="K2969" s="9">
        <v>181</v>
      </c>
      <c r="L2969" s="9">
        <v>2026</v>
      </c>
      <c r="M2969" s="8" t="s">
        <v>17456</v>
      </c>
      <c r="N2969" s="8" t="s">
        <v>63</v>
      </c>
      <c r="O2969" s="8" t="s">
        <v>64</v>
      </c>
      <c r="P2969" s="6" t="s">
        <v>39</v>
      </c>
      <c r="Q2969" s="8" t="s">
        <v>40</v>
      </c>
      <c r="R2969" s="10" t="s">
        <v>17457</v>
      </c>
      <c r="S2969" s="11"/>
      <c r="T2969" s="6"/>
      <c r="U2969" s="15" t="str">
        <f>HYPERLINK("https://media.infra-m.ru/2219/2219037/cover/2219037.jpg", "Обложка")</f>
        <v>Обложка</v>
      </c>
      <c r="V2969" s="8" t="s">
        <v>156</v>
      </c>
      <c r="W2969" s="6"/>
      <c r="X2969" s="6"/>
      <c r="Y2969" s="6"/>
      <c r="Z2969" s="6"/>
      <c r="AA2969" s="6" t="s">
        <v>76</v>
      </c>
      <c r="AB2969" s="8"/>
      <c r="AC2969" s="27">
        <v>9785160184821</v>
      </c>
    </row>
    <row r="2970" spans="1:29" s="4" customFormat="1" ht="51.9" customHeight="1" x14ac:dyDescent="0.2">
      <c r="A2970" s="5">
        <v>0</v>
      </c>
      <c r="B2970" s="6" t="s">
        <v>17458</v>
      </c>
      <c r="C2970" s="7">
        <v>3564</v>
      </c>
      <c r="D2970" s="8" t="s">
        <v>17459</v>
      </c>
      <c r="E2970" s="8" t="s">
        <v>17460</v>
      </c>
      <c r="F2970" s="8" t="s">
        <v>17461</v>
      </c>
      <c r="G2970" s="6" t="s">
        <v>60</v>
      </c>
      <c r="H2970" s="6" t="s">
        <v>34</v>
      </c>
      <c r="I2970" s="8" t="s">
        <v>253</v>
      </c>
      <c r="J2970" s="9">
        <v>1</v>
      </c>
      <c r="K2970" s="9">
        <v>647</v>
      </c>
      <c r="L2970" s="9">
        <v>2024</v>
      </c>
      <c r="M2970" s="8" t="s">
        <v>17462</v>
      </c>
      <c r="N2970" s="8" t="s">
        <v>585</v>
      </c>
      <c r="O2970" s="8" t="s">
        <v>667</v>
      </c>
      <c r="P2970" s="6" t="s">
        <v>306</v>
      </c>
      <c r="Q2970" s="8" t="s">
        <v>52</v>
      </c>
      <c r="R2970" s="10" t="s">
        <v>17463</v>
      </c>
      <c r="S2970" s="11" t="s">
        <v>17464</v>
      </c>
      <c r="T2970" s="6"/>
      <c r="U2970" s="15" t="str">
        <f>HYPERLINK("https://media.infra-m.ru/2091/2091898/cover/2091898.jpg", "Обложка")</f>
        <v>Обложка</v>
      </c>
      <c r="V2970" s="8" t="s">
        <v>396</v>
      </c>
      <c r="W2970" s="6"/>
      <c r="X2970" s="6"/>
      <c r="Y2970" s="6"/>
      <c r="Z2970" s="6"/>
      <c r="AA2970" s="6" t="s">
        <v>779</v>
      </c>
      <c r="AB2970" s="8"/>
      <c r="AC2970" s="27">
        <v>9785160191539</v>
      </c>
    </row>
    <row r="2971" spans="1:29" s="4" customFormat="1" ht="51.9" customHeight="1" x14ac:dyDescent="0.2">
      <c r="A2971" s="5">
        <v>0</v>
      </c>
      <c r="B2971" s="6" t="s">
        <v>17465</v>
      </c>
      <c r="C2971" s="7">
        <v>1512</v>
      </c>
      <c r="D2971" s="8" t="s">
        <v>17466</v>
      </c>
      <c r="E2971" s="8" t="s">
        <v>17467</v>
      </c>
      <c r="F2971" s="8" t="s">
        <v>17468</v>
      </c>
      <c r="G2971" s="6" t="s">
        <v>118</v>
      </c>
      <c r="H2971" s="6" t="s">
        <v>48</v>
      </c>
      <c r="I2971" s="8" t="s">
        <v>271</v>
      </c>
      <c r="J2971" s="9">
        <v>1</v>
      </c>
      <c r="K2971" s="9">
        <v>272</v>
      </c>
      <c r="L2971" s="9">
        <v>2023</v>
      </c>
      <c r="M2971" s="8" t="s">
        <v>17469</v>
      </c>
      <c r="N2971" s="8" t="s">
        <v>585</v>
      </c>
      <c r="O2971" s="8" t="s">
        <v>775</v>
      </c>
      <c r="P2971" s="6" t="s">
        <v>306</v>
      </c>
      <c r="Q2971" s="8" t="s">
        <v>52</v>
      </c>
      <c r="R2971" s="10" t="s">
        <v>17470</v>
      </c>
      <c r="S2971" s="11"/>
      <c r="T2971" s="6"/>
      <c r="U2971" s="15" t="str">
        <f>HYPERLINK("https://media.infra-m.ru/2124/2124360/cover/2124360.jpg", "Обложка")</f>
        <v>Обложка</v>
      </c>
      <c r="V2971" s="8" t="s">
        <v>14571</v>
      </c>
      <c r="W2971" s="6"/>
      <c r="X2971" s="6"/>
      <c r="Y2971" s="6"/>
      <c r="Z2971" s="6"/>
      <c r="AA2971" s="6" t="s">
        <v>859</v>
      </c>
      <c r="AB2971" s="8"/>
      <c r="AC2971" s="27">
        <v>9785911348519</v>
      </c>
    </row>
    <row r="2972" spans="1:29" s="4" customFormat="1" ht="51.9" customHeight="1" x14ac:dyDescent="0.2">
      <c r="A2972" s="5">
        <v>0</v>
      </c>
      <c r="B2972" s="6" t="s">
        <v>17471</v>
      </c>
      <c r="C2972" s="7">
        <v>1468.8</v>
      </c>
      <c r="D2972" s="8" t="s">
        <v>17472</v>
      </c>
      <c r="E2972" s="8" t="s">
        <v>17467</v>
      </c>
      <c r="F2972" s="8" t="s">
        <v>17473</v>
      </c>
      <c r="G2972" s="6" t="s">
        <v>118</v>
      </c>
      <c r="H2972" s="6" t="s">
        <v>48</v>
      </c>
      <c r="I2972" s="8" t="s">
        <v>263</v>
      </c>
      <c r="J2972" s="9">
        <v>1</v>
      </c>
      <c r="K2972" s="9">
        <v>272</v>
      </c>
      <c r="L2972" s="9">
        <v>2023</v>
      </c>
      <c r="M2972" s="8" t="s">
        <v>17474</v>
      </c>
      <c r="N2972" s="8" t="s">
        <v>585</v>
      </c>
      <c r="O2972" s="8" t="s">
        <v>775</v>
      </c>
      <c r="P2972" s="6" t="s">
        <v>306</v>
      </c>
      <c r="Q2972" s="8" t="s">
        <v>265</v>
      </c>
      <c r="R2972" s="10" t="s">
        <v>17475</v>
      </c>
      <c r="S2972" s="11" t="s">
        <v>17476</v>
      </c>
      <c r="T2972" s="6"/>
      <c r="U2972" s="15" t="str">
        <f>HYPERLINK("https://media.infra-m.ru/2021/2021426/cover/2021426.jpg", "Обложка")</f>
        <v>Обложка</v>
      </c>
      <c r="V2972" s="8" t="s">
        <v>14571</v>
      </c>
      <c r="W2972" s="6"/>
      <c r="X2972" s="6"/>
      <c r="Y2972" s="6"/>
      <c r="Z2972" s="6" t="s">
        <v>267</v>
      </c>
      <c r="AA2972" s="6" t="s">
        <v>404</v>
      </c>
      <c r="AB2972" s="8"/>
      <c r="AC2972" s="27">
        <v>9785000916148</v>
      </c>
    </row>
    <row r="2973" spans="1:29" s="4" customFormat="1" ht="51.9" customHeight="1" x14ac:dyDescent="0.2">
      <c r="A2973" s="5">
        <v>0</v>
      </c>
      <c r="B2973" s="6" t="s">
        <v>17477</v>
      </c>
      <c r="C2973" s="7">
        <v>1696.8</v>
      </c>
      <c r="D2973" s="8" t="s">
        <v>17478</v>
      </c>
      <c r="E2973" s="8" t="s">
        <v>17479</v>
      </c>
      <c r="F2973" s="8" t="s">
        <v>17473</v>
      </c>
      <c r="G2973" s="6" t="s">
        <v>118</v>
      </c>
      <c r="H2973" s="6" t="s">
        <v>48</v>
      </c>
      <c r="I2973" s="8" t="s">
        <v>263</v>
      </c>
      <c r="J2973" s="9">
        <v>1</v>
      </c>
      <c r="K2973" s="9">
        <v>244</v>
      </c>
      <c r="L2973" s="9">
        <v>2026</v>
      </c>
      <c r="M2973" s="8" t="s">
        <v>17480</v>
      </c>
      <c r="N2973" s="8" t="s">
        <v>585</v>
      </c>
      <c r="O2973" s="8" t="s">
        <v>775</v>
      </c>
      <c r="P2973" s="6" t="s">
        <v>306</v>
      </c>
      <c r="Q2973" s="8" t="s">
        <v>265</v>
      </c>
      <c r="R2973" s="10" t="s">
        <v>17475</v>
      </c>
      <c r="S2973" s="11"/>
      <c r="T2973" s="6"/>
      <c r="U2973" s="15" t="str">
        <f>HYPERLINK("https://media.infra-m.ru/2230/2230668/cover/2230668.jpg", "Обложка")</f>
        <v>Обложка</v>
      </c>
      <c r="V2973" s="8" t="s">
        <v>14571</v>
      </c>
      <c r="W2973" s="6"/>
      <c r="X2973" s="6"/>
      <c r="Y2973" s="6"/>
      <c r="Z2973" s="6" t="s">
        <v>267</v>
      </c>
      <c r="AA2973" s="6" t="s">
        <v>5476</v>
      </c>
      <c r="AB2973" s="8"/>
      <c r="AC2973" s="27">
        <v>9785000918043</v>
      </c>
    </row>
    <row r="2974" spans="1:29" s="4" customFormat="1" ht="51.9" customHeight="1" x14ac:dyDescent="0.2">
      <c r="A2974" s="5">
        <v>0</v>
      </c>
      <c r="B2974" s="6" t="s">
        <v>17481</v>
      </c>
      <c r="C2974" s="7">
        <v>1696.8</v>
      </c>
      <c r="D2974" s="8" t="s">
        <v>17482</v>
      </c>
      <c r="E2974" s="8" t="s">
        <v>17479</v>
      </c>
      <c r="F2974" s="8" t="s">
        <v>17483</v>
      </c>
      <c r="G2974" s="6" t="s">
        <v>60</v>
      </c>
      <c r="H2974" s="6" t="s">
        <v>48</v>
      </c>
      <c r="I2974" s="8" t="s">
        <v>253</v>
      </c>
      <c r="J2974" s="9">
        <v>1</v>
      </c>
      <c r="K2974" s="9">
        <v>244</v>
      </c>
      <c r="L2974" s="9">
        <v>2027</v>
      </c>
      <c r="M2974" s="8" t="s">
        <v>17484</v>
      </c>
      <c r="N2974" s="8" t="s">
        <v>585</v>
      </c>
      <c r="O2974" s="8" t="s">
        <v>775</v>
      </c>
      <c r="P2974" s="6" t="s">
        <v>306</v>
      </c>
      <c r="Q2974" s="8" t="s">
        <v>52</v>
      </c>
      <c r="R2974" s="10" t="s">
        <v>17470</v>
      </c>
      <c r="S2974" s="11"/>
      <c r="T2974" s="6"/>
      <c r="U2974" s="15" t="str">
        <f>HYPERLINK("https://media.infra-m.ru/2259/2259751/cover/2259751.jpg", "Обложка")</f>
        <v>Обложка</v>
      </c>
      <c r="V2974" s="8" t="s">
        <v>14571</v>
      </c>
      <c r="W2974" s="6"/>
      <c r="X2974" s="6"/>
      <c r="Y2974" s="6"/>
      <c r="Z2974" s="6"/>
      <c r="AA2974" s="6" t="s">
        <v>5476</v>
      </c>
      <c r="AB2974" s="8"/>
      <c r="AC2974" s="27">
        <v>9785000917329</v>
      </c>
    </row>
    <row r="2975" spans="1:29" s="4" customFormat="1" ht="51.9" customHeight="1" x14ac:dyDescent="0.2">
      <c r="A2975" s="5">
        <v>0</v>
      </c>
      <c r="B2975" s="6" t="s">
        <v>17485</v>
      </c>
      <c r="C2975" s="7">
        <v>1445.9</v>
      </c>
      <c r="D2975" s="8" t="s">
        <v>17486</v>
      </c>
      <c r="E2975" s="8" t="s">
        <v>17487</v>
      </c>
      <c r="F2975" s="8" t="s">
        <v>17488</v>
      </c>
      <c r="G2975" s="6" t="s">
        <v>60</v>
      </c>
      <c r="H2975" s="6" t="s">
        <v>34</v>
      </c>
      <c r="I2975" s="8" t="s">
        <v>271</v>
      </c>
      <c r="J2975" s="9">
        <v>1</v>
      </c>
      <c r="K2975" s="9">
        <v>268</v>
      </c>
      <c r="L2975" s="9">
        <v>2023</v>
      </c>
      <c r="M2975" s="8" t="s">
        <v>17489</v>
      </c>
      <c r="N2975" s="8" t="s">
        <v>585</v>
      </c>
      <c r="O2975" s="8" t="s">
        <v>667</v>
      </c>
      <c r="P2975" s="6" t="s">
        <v>51</v>
      </c>
      <c r="Q2975" s="8" t="s">
        <v>52</v>
      </c>
      <c r="R2975" s="10" t="s">
        <v>17490</v>
      </c>
      <c r="S2975" s="11" t="s">
        <v>17491</v>
      </c>
      <c r="T2975" s="6"/>
      <c r="U2975" s="15" t="str">
        <f>HYPERLINK("https://media.infra-m.ru/2006/2006903/cover/2006903.jpg", "Обложка")</f>
        <v>Обложка</v>
      </c>
      <c r="V2975" s="8" t="s">
        <v>644</v>
      </c>
      <c r="W2975" s="6"/>
      <c r="X2975" s="6"/>
      <c r="Y2975" s="6"/>
      <c r="Z2975" s="6"/>
      <c r="AA2975" s="6" t="s">
        <v>430</v>
      </c>
      <c r="AB2975" s="8"/>
      <c r="AC2975" s="27">
        <v>9785160149509</v>
      </c>
    </row>
    <row r="2976" spans="1:29" s="4" customFormat="1" ht="51.9" customHeight="1" x14ac:dyDescent="0.2">
      <c r="A2976" s="5">
        <v>0</v>
      </c>
      <c r="B2976" s="6" t="s">
        <v>17492</v>
      </c>
      <c r="C2976" s="7">
        <v>4344</v>
      </c>
      <c r="D2976" s="8" t="s">
        <v>17493</v>
      </c>
      <c r="E2976" s="8" t="s">
        <v>17494</v>
      </c>
      <c r="F2976" s="8" t="s">
        <v>17495</v>
      </c>
      <c r="G2976" s="6" t="s">
        <v>60</v>
      </c>
      <c r="H2976" s="6" t="s">
        <v>134</v>
      </c>
      <c r="I2976" s="8"/>
      <c r="J2976" s="9">
        <v>1</v>
      </c>
      <c r="K2976" s="9">
        <v>624</v>
      </c>
      <c r="L2976" s="9">
        <v>2027</v>
      </c>
      <c r="M2976" s="8" t="s">
        <v>17496</v>
      </c>
      <c r="N2976" s="8" t="s">
        <v>37</v>
      </c>
      <c r="O2976" s="8" t="s">
        <v>233</v>
      </c>
      <c r="P2976" s="6" t="s">
        <v>306</v>
      </c>
      <c r="Q2976" s="8" t="s">
        <v>52</v>
      </c>
      <c r="R2976" s="10" t="s">
        <v>17497</v>
      </c>
      <c r="S2976" s="11"/>
      <c r="T2976" s="6"/>
      <c r="U2976" s="15" t="str">
        <f>HYPERLINK("https://media.infra-m.ru/2271/2271213/cover/2271213.jpg", "Обложка")</f>
        <v>Обложка</v>
      </c>
      <c r="V2976" s="8" t="s">
        <v>546</v>
      </c>
      <c r="W2976" s="6"/>
      <c r="X2976" s="6"/>
      <c r="Y2976" s="6"/>
      <c r="Z2976" s="6"/>
      <c r="AA2976" s="6" t="s">
        <v>1037</v>
      </c>
      <c r="AB2976" s="8"/>
      <c r="AC2976" s="27">
        <v>9785917684505</v>
      </c>
    </row>
    <row r="2977" spans="1:29" s="4" customFormat="1" ht="51.9" customHeight="1" x14ac:dyDescent="0.2">
      <c r="A2977" s="5">
        <v>0</v>
      </c>
      <c r="B2977" s="6" t="s">
        <v>17498</v>
      </c>
      <c r="C2977" s="7">
        <v>2152.8000000000002</v>
      </c>
      <c r="D2977" s="8" t="s">
        <v>17499</v>
      </c>
      <c r="E2977" s="8" t="s">
        <v>17500</v>
      </c>
      <c r="F2977" s="8" t="s">
        <v>17501</v>
      </c>
      <c r="G2977" s="6" t="s">
        <v>118</v>
      </c>
      <c r="H2977" s="6" t="s">
        <v>820</v>
      </c>
      <c r="I2977" s="8"/>
      <c r="J2977" s="9">
        <v>1</v>
      </c>
      <c r="K2977" s="9">
        <v>360</v>
      </c>
      <c r="L2977" s="9">
        <v>2025</v>
      </c>
      <c r="M2977" s="8" t="s">
        <v>17502</v>
      </c>
      <c r="N2977" s="8" t="s">
        <v>585</v>
      </c>
      <c r="O2977" s="8" t="s">
        <v>667</v>
      </c>
      <c r="P2977" s="6" t="s">
        <v>306</v>
      </c>
      <c r="Q2977" s="8" t="s">
        <v>52</v>
      </c>
      <c r="R2977" s="10" t="s">
        <v>17503</v>
      </c>
      <c r="S2977" s="11" t="s">
        <v>17504</v>
      </c>
      <c r="T2977" s="6"/>
      <c r="U2977" s="15" t="str">
        <f>HYPERLINK("https://media.infra-m.ru/2179/2179105/cover/2179105.jpg", "Обложка")</f>
        <v>Обложка</v>
      </c>
      <c r="V2977" s="8" t="s">
        <v>156</v>
      </c>
      <c r="W2977" s="6"/>
      <c r="X2977" s="6"/>
      <c r="Y2977" s="6"/>
      <c r="Z2977" s="6"/>
      <c r="AA2977" s="6" t="s">
        <v>248</v>
      </c>
      <c r="AB2977" s="8"/>
      <c r="AC2977" s="27">
        <v>9785905554476</v>
      </c>
    </row>
    <row r="2978" spans="1:29" s="4" customFormat="1" ht="51.9" customHeight="1" x14ac:dyDescent="0.2">
      <c r="A2978" s="5">
        <v>0</v>
      </c>
      <c r="B2978" s="6" t="s">
        <v>17505</v>
      </c>
      <c r="C2978" s="7">
        <v>3072</v>
      </c>
      <c r="D2978" s="8" t="s">
        <v>17506</v>
      </c>
      <c r="E2978" s="8" t="s">
        <v>17507</v>
      </c>
      <c r="F2978" s="8" t="s">
        <v>17508</v>
      </c>
      <c r="G2978" s="6" t="s">
        <v>60</v>
      </c>
      <c r="H2978" s="6" t="s">
        <v>134</v>
      </c>
      <c r="I2978" s="8"/>
      <c r="J2978" s="9">
        <v>1</v>
      </c>
      <c r="K2978" s="9">
        <v>464</v>
      </c>
      <c r="L2978" s="9">
        <v>2026</v>
      </c>
      <c r="M2978" s="8" t="s">
        <v>17509</v>
      </c>
      <c r="N2978" s="8" t="s">
        <v>37</v>
      </c>
      <c r="O2978" s="8" t="s">
        <v>136</v>
      </c>
      <c r="P2978" s="6" t="s">
        <v>306</v>
      </c>
      <c r="Q2978" s="8" t="s">
        <v>52</v>
      </c>
      <c r="R2978" s="10" t="s">
        <v>4109</v>
      </c>
      <c r="S2978" s="11"/>
      <c r="T2978" s="6"/>
      <c r="U2978" s="15" t="str">
        <f>HYPERLINK("https://media.infra-m.ru/2248/2248490/cover/2248490.jpg", "Обложка")</f>
        <v>Обложка</v>
      </c>
      <c r="V2978" s="8" t="s">
        <v>17510</v>
      </c>
      <c r="W2978" s="6"/>
      <c r="X2978" s="6"/>
      <c r="Y2978" s="6"/>
      <c r="Z2978" s="6"/>
      <c r="AA2978" s="6" t="s">
        <v>1506</v>
      </c>
      <c r="AB2978" s="8"/>
      <c r="AC2978" s="27">
        <v>9785917689944</v>
      </c>
    </row>
    <row r="2979" spans="1:29" s="4" customFormat="1" ht="44.1" customHeight="1" x14ac:dyDescent="0.2">
      <c r="A2979" s="5">
        <v>0</v>
      </c>
      <c r="B2979" s="6" t="s">
        <v>17511</v>
      </c>
      <c r="C2979" s="7">
        <v>3588</v>
      </c>
      <c r="D2979" s="8" t="s">
        <v>17512</v>
      </c>
      <c r="E2979" s="8" t="s">
        <v>17513</v>
      </c>
      <c r="F2979" s="8" t="s">
        <v>17514</v>
      </c>
      <c r="G2979" s="6" t="s">
        <v>60</v>
      </c>
      <c r="H2979" s="6" t="s">
        <v>34</v>
      </c>
      <c r="I2979" s="8" t="s">
        <v>253</v>
      </c>
      <c r="J2979" s="9">
        <v>1</v>
      </c>
      <c r="K2979" s="9">
        <v>544</v>
      </c>
      <c r="L2979" s="9">
        <v>2026</v>
      </c>
      <c r="M2979" s="8" t="s">
        <v>17515</v>
      </c>
      <c r="N2979" s="8" t="s">
        <v>63</v>
      </c>
      <c r="O2979" s="8" t="s">
        <v>64</v>
      </c>
      <c r="P2979" s="6" t="s">
        <v>51</v>
      </c>
      <c r="Q2979" s="8" t="s">
        <v>52</v>
      </c>
      <c r="R2979" s="10" t="s">
        <v>17516</v>
      </c>
      <c r="S2979" s="11"/>
      <c r="T2979" s="6"/>
      <c r="U2979" s="15" t="str">
        <f>HYPERLINK("https://media.infra-m.ru/2232/2232604/cover/2232604.jpg", "Обложка")</f>
        <v>Обложка</v>
      </c>
      <c r="V2979" s="8" t="s">
        <v>3087</v>
      </c>
      <c r="W2979" s="6"/>
      <c r="X2979" s="6"/>
      <c r="Y2979" s="6"/>
      <c r="Z2979" s="6"/>
      <c r="AA2979" s="6" t="s">
        <v>274</v>
      </c>
      <c r="AB2979" s="8"/>
      <c r="AC2979" s="27">
        <v>9785160216232</v>
      </c>
    </row>
    <row r="2980" spans="1:29" s="4" customFormat="1" ht="42" customHeight="1" x14ac:dyDescent="0.2">
      <c r="A2980" s="5">
        <v>0</v>
      </c>
      <c r="B2980" s="6" t="s">
        <v>17517</v>
      </c>
      <c r="C2980" s="7">
        <v>2548.8000000000002</v>
      </c>
      <c r="D2980" s="8" t="s">
        <v>17518</v>
      </c>
      <c r="E2980" s="8" t="s">
        <v>17519</v>
      </c>
      <c r="F2980" s="8" t="s">
        <v>17520</v>
      </c>
      <c r="G2980" s="6" t="s">
        <v>60</v>
      </c>
      <c r="H2980" s="6" t="s">
        <v>5605</v>
      </c>
      <c r="I2980" s="8" t="s">
        <v>10444</v>
      </c>
      <c r="J2980" s="9">
        <v>1</v>
      </c>
      <c r="K2980" s="9">
        <v>386</v>
      </c>
      <c r="L2980" s="9">
        <v>2026</v>
      </c>
      <c r="M2980" s="8" t="s">
        <v>17521</v>
      </c>
      <c r="N2980" s="8" t="s">
        <v>37</v>
      </c>
      <c r="O2980" s="8" t="s">
        <v>136</v>
      </c>
      <c r="P2980" s="6" t="s">
        <v>39</v>
      </c>
      <c r="Q2980" s="8" t="s">
        <v>40</v>
      </c>
      <c r="R2980" s="10" t="s">
        <v>1625</v>
      </c>
      <c r="S2980" s="11"/>
      <c r="T2980" s="6"/>
      <c r="U2980" s="15" t="str">
        <f>HYPERLINK("https://media.infra-m.ru/2249/2249875/cover/2249875.jpg", "Обложка")</f>
        <v>Обложка</v>
      </c>
      <c r="V2980" s="8" t="s">
        <v>8564</v>
      </c>
      <c r="W2980" s="6"/>
      <c r="X2980" s="6"/>
      <c r="Y2980" s="6"/>
      <c r="Z2980" s="6"/>
      <c r="AA2980" s="6" t="s">
        <v>561</v>
      </c>
      <c r="AB2980" s="8"/>
      <c r="AC2980" s="27">
        <v>9785160035000</v>
      </c>
    </row>
    <row r="2981" spans="1:29" s="4" customFormat="1" ht="51.9" customHeight="1" x14ac:dyDescent="0.2">
      <c r="A2981" s="5">
        <v>0</v>
      </c>
      <c r="B2981" s="6" t="s">
        <v>17522</v>
      </c>
      <c r="C2981" s="7">
        <v>2500.8000000000002</v>
      </c>
      <c r="D2981" s="8" t="s">
        <v>17523</v>
      </c>
      <c r="E2981" s="8" t="s">
        <v>17524</v>
      </c>
      <c r="F2981" s="8" t="s">
        <v>17525</v>
      </c>
      <c r="G2981" s="6" t="s">
        <v>60</v>
      </c>
      <c r="H2981" s="6" t="s">
        <v>34</v>
      </c>
      <c r="I2981" s="8" t="s">
        <v>271</v>
      </c>
      <c r="J2981" s="9">
        <v>1</v>
      </c>
      <c r="K2981" s="9">
        <v>400</v>
      </c>
      <c r="L2981" s="9">
        <v>2025</v>
      </c>
      <c r="M2981" s="8" t="s">
        <v>17526</v>
      </c>
      <c r="N2981" s="8" t="s">
        <v>585</v>
      </c>
      <c r="O2981" s="8" t="s">
        <v>667</v>
      </c>
      <c r="P2981" s="6" t="s">
        <v>306</v>
      </c>
      <c r="Q2981" s="8" t="s">
        <v>52</v>
      </c>
      <c r="R2981" s="10" t="s">
        <v>17527</v>
      </c>
      <c r="S2981" s="11" t="s">
        <v>17528</v>
      </c>
      <c r="T2981" s="6"/>
      <c r="U2981" s="15" t="str">
        <f>HYPERLINK("https://media.infra-m.ru/2199/2199798/cover/2199798.jpg", "Обложка")</f>
        <v>Обложка</v>
      </c>
      <c r="V2981" s="8" t="s">
        <v>396</v>
      </c>
      <c r="W2981" s="6"/>
      <c r="X2981" s="6"/>
      <c r="Y2981" s="6"/>
      <c r="Z2981" s="6"/>
      <c r="AA2981" s="6" t="s">
        <v>248</v>
      </c>
      <c r="AB2981" s="8"/>
      <c r="AC2981" s="27">
        <v>9785160063959</v>
      </c>
    </row>
    <row r="2982" spans="1:29" s="4" customFormat="1" ht="51.9" customHeight="1" x14ac:dyDescent="0.2">
      <c r="A2982" s="5">
        <v>0</v>
      </c>
      <c r="B2982" s="6" t="s">
        <v>17529</v>
      </c>
      <c r="C2982" s="7">
        <v>3592.8</v>
      </c>
      <c r="D2982" s="8" t="s">
        <v>17530</v>
      </c>
      <c r="E2982" s="8" t="s">
        <v>17531</v>
      </c>
      <c r="F2982" s="8" t="s">
        <v>17532</v>
      </c>
      <c r="G2982" s="6" t="s">
        <v>60</v>
      </c>
      <c r="H2982" s="6" t="s">
        <v>34</v>
      </c>
      <c r="I2982" s="8" t="s">
        <v>253</v>
      </c>
      <c r="J2982" s="9">
        <v>1</v>
      </c>
      <c r="K2982" s="9">
        <v>686</v>
      </c>
      <c r="L2982" s="9">
        <v>2026</v>
      </c>
      <c r="M2982" s="8" t="s">
        <v>17533</v>
      </c>
      <c r="N2982" s="8" t="s">
        <v>37</v>
      </c>
      <c r="O2982" s="8" t="s">
        <v>233</v>
      </c>
      <c r="P2982" s="6" t="s">
        <v>306</v>
      </c>
      <c r="Q2982" s="8" t="s">
        <v>52</v>
      </c>
      <c r="R2982" s="10" t="s">
        <v>17534</v>
      </c>
      <c r="S2982" s="11" t="s">
        <v>17535</v>
      </c>
      <c r="T2982" s="6"/>
      <c r="U2982" s="15" t="str">
        <f>HYPERLINK("https://media.infra-m.ru/2233/2233379/cover/2233379.jpg", "Обложка")</f>
        <v>Обложка</v>
      </c>
      <c r="V2982" s="8" t="s">
        <v>8479</v>
      </c>
      <c r="W2982" s="6"/>
      <c r="X2982" s="6"/>
      <c r="Y2982" s="6"/>
      <c r="Z2982" s="6"/>
      <c r="AA2982" s="6" t="s">
        <v>17536</v>
      </c>
      <c r="AB2982" s="8"/>
      <c r="AC2982" s="27">
        <v>9785160192116</v>
      </c>
    </row>
    <row r="2983" spans="1:29" s="4" customFormat="1" ht="42" customHeight="1" x14ac:dyDescent="0.2">
      <c r="A2983" s="5">
        <v>0</v>
      </c>
      <c r="B2983" s="6" t="s">
        <v>17537</v>
      </c>
      <c r="C2983" s="13">
        <v>716.4</v>
      </c>
      <c r="D2983" s="8" t="s">
        <v>17538</v>
      </c>
      <c r="E2983" s="8" t="s">
        <v>17539</v>
      </c>
      <c r="F2983" s="8" t="s">
        <v>17540</v>
      </c>
      <c r="G2983" s="6" t="s">
        <v>33</v>
      </c>
      <c r="H2983" s="6" t="s">
        <v>48</v>
      </c>
      <c r="I2983" s="8"/>
      <c r="J2983" s="9">
        <v>5</v>
      </c>
      <c r="K2983" s="9">
        <v>88</v>
      </c>
      <c r="L2983" s="9">
        <v>2025</v>
      </c>
      <c r="M2983" s="8" t="s">
        <v>17541</v>
      </c>
      <c r="N2983" s="8" t="s">
        <v>63</v>
      </c>
      <c r="O2983" s="8" t="s">
        <v>64</v>
      </c>
      <c r="P2983" s="6" t="s">
        <v>51</v>
      </c>
      <c r="Q2983" s="8" t="s">
        <v>52</v>
      </c>
      <c r="R2983" s="10" t="s">
        <v>553</v>
      </c>
      <c r="S2983" s="11"/>
      <c r="T2983" s="6"/>
      <c r="U2983" s="15" t="str">
        <f>HYPERLINK("https://media.infra-m.ru/2196/2196093/cover/2196093.jpg", "Обложка")</f>
        <v>Обложка</v>
      </c>
      <c r="V2983" s="8" t="s">
        <v>7003</v>
      </c>
      <c r="W2983" s="6"/>
      <c r="X2983" s="6"/>
      <c r="Y2983" s="6"/>
      <c r="Z2983" s="6"/>
      <c r="AA2983" s="6" t="s">
        <v>274</v>
      </c>
      <c r="AB2983" s="8"/>
      <c r="AC2983" s="27">
        <v>9785000910306</v>
      </c>
    </row>
    <row r="2984" spans="1:29" s="4" customFormat="1" ht="51.9" customHeight="1" x14ac:dyDescent="0.2">
      <c r="A2984" s="5">
        <v>0</v>
      </c>
      <c r="B2984" s="6" t="s">
        <v>17542</v>
      </c>
      <c r="C2984" s="7">
        <v>2076</v>
      </c>
      <c r="D2984" s="8" t="s">
        <v>17543</v>
      </c>
      <c r="E2984" s="8" t="s">
        <v>17544</v>
      </c>
      <c r="F2984" s="8" t="s">
        <v>7238</v>
      </c>
      <c r="G2984" s="6" t="s">
        <v>118</v>
      </c>
      <c r="H2984" s="6" t="s">
        <v>34</v>
      </c>
      <c r="I2984" s="8" t="s">
        <v>263</v>
      </c>
      <c r="J2984" s="9">
        <v>1</v>
      </c>
      <c r="K2984" s="9">
        <v>345</v>
      </c>
      <c r="L2984" s="9">
        <v>2025</v>
      </c>
      <c r="M2984" s="8" t="s">
        <v>17545</v>
      </c>
      <c r="N2984" s="8" t="s">
        <v>93</v>
      </c>
      <c r="O2984" s="8" t="s">
        <v>94</v>
      </c>
      <c r="P2984" s="6" t="s">
        <v>105</v>
      </c>
      <c r="Q2984" s="8" t="s">
        <v>265</v>
      </c>
      <c r="R2984" s="10" t="s">
        <v>17546</v>
      </c>
      <c r="S2984" s="11" t="s">
        <v>17547</v>
      </c>
      <c r="T2984" s="6"/>
      <c r="U2984" s="15" t="str">
        <f>HYPERLINK("https://media.infra-m.ru/2180/2180536/cover/2180536.jpg", "Обложка")</f>
        <v>Обложка</v>
      </c>
      <c r="V2984" s="8" t="s">
        <v>227</v>
      </c>
      <c r="W2984" s="6"/>
      <c r="X2984" s="6"/>
      <c r="Y2984" s="6"/>
      <c r="Z2984" s="6"/>
      <c r="AA2984" s="6" t="s">
        <v>1256</v>
      </c>
      <c r="AB2984" s="8"/>
      <c r="AC2984" s="27">
        <v>9785160141725</v>
      </c>
    </row>
    <row r="2985" spans="1:29" s="4" customFormat="1" ht="51.9" customHeight="1" x14ac:dyDescent="0.2">
      <c r="A2985" s="5">
        <v>0</v>
      </c>
      <c r="B2985" s="6" t="s">
        <v>17548</v>
      </c>
      <c r="C2985" s="13">
        <v>796.8</v>
      </c>
      <c r="D2985" s="8" t="s">
        <v>17549</v>
      </c>
      <c r="E2985" s="8" t="s">
        <v>17550</v>
      </c>
      <c r="F2985" s="8" t="s">
        <v>17551</v>
      </c>
      <c r="G2985" s="6" t="s">
        <v>33</v>
      </c>
      <c r="H2985" s="6" t="s">
        <v>48</v>
      </c>
      <c r="I2985" s="8" t="s">
        <v>263</v>
      </c>
      <c r="J2985" s="9">
        <v>1</v>
      </c>
      <c r="K2985" s="9">
        <v>88</v>
      </c>
      <c r="L2985" s="9">
        <v>2026</v>
      </c>
      <c r="M2985" s="8" t="s">
        <v>17552</v>
      </c>
      <c r="N2985" s="8" t="s">
        <v>93</v>
      </c>
      <c r="O2985" s="8" t="s">
        <v>94</v>
      </c>
      <c r="P2985" s="6" t="s">
        <v>51</v>
      </c>
      <c r="Q2985" s="8" t="s">
        <v>265</v>
      </c>
      <c r="R2985" s="10" t="s">
        <v>17553</v>
      </c>
      <c r="S2985" s="11" t="s">
        <v>17554</v>
      </c>
      <c r="T2985" s="6"/>
      <c r="U2985" s="15" t="str">
        <f>HYPERLINK("https://media.infra-m.ru/2230/2230617/cover/2230617.jpg", "Обложка")</f>
        <v>Обложка</v>
      </c>
      <c r="V2985" s="8" t="s">
        <v>998</v>
      </c>
      <c r="W2985" s="6"/>
      <c r="X2985" s="6"/>
      <c r="Y2985" s="6"/>
      <c r="Z2985" s="6"/>
      <c r="AA2985" s="6" t="s">
        <v>129</v>
      </c>
      <c r="AB2985" s="8"/>
      <c r="AC2985" s="27">
        <v>9785000916063</v>
      </c>
    </row>
    <row r="2986" spans="1:29" s="4" customFormat="1" ht="51.9" customHeight="1" x14ac:dyDescent="0.2">
      <c r="A2986" s="5">
        <v>0</v>
      </c>
      <c r="B2986" s="6" t="s">
        <v>17555</v>
      </c>
      <c r="C2986" s="7">
        <v>2484</v>
      </c>
      <c r="D2986" s="8" t="s">
        <v>17556</v>
      </c>
      <c r="E2986" s="8" t="s">
        <v>17557</v>
      </c>
      <c r="F2986" s="8" t="s">
        <v>17558</v>
      </c>
      <c r="G2986" s="6" t="s">
        <v>60</v>
      </c>
      <c r="H2986" s="6" t="s">
        <v>34</v>
      </c>
      <c r="I2986" s="8" t="s">
        <v>253</v>
      </c>
      <c r="J2986" s="9">
        <v>1</v>
      </c>
      <c r="K2986" s="9">
        <v>414</v>
      </c>
      <c r="L2986" s="9">
        <v>2025</v>
      </c>
      <c r="M2986" s="8" t="s">
        <v>17559</v>
      </c>
      <c r="N2986" s="8" t="s">
        <v>243</v>
      </c>
      <c r="O2986" s="8" t="s">
        <v>758</v>
      </c>
      <c r="P2986" s="6" t="s">
        <v>51</v>
      </c>
      <c r="Q2986" s="8" t="s">
        <v>52</v>
      </c>
      <c r="R2986" s="10" t="s">
        <v>17560</v>
      </c>
      <c r="S2986" s="11" t="s">
        <v>17561</v>
      </c>
      <c r="T2986" s="6"/>
      <c r="U2986" s="15" t="str">
        <f>HYPERLINK("https://media.infra-m.ru/2185/2185162/cover/2185162.jpg", "Обложка")</f>
        <v>Обложка</v>
      </c>
      <c r="V2986" s="8" t="s">
        <v>1030</v>
      </c>
      <c r="W2986" s="6"/>
      <c r="X2986" s="6"/>
      <c r="Y2986" s="6"/>
      <c r="Z2986" s="6" t="s">
        <v>632</v>
      </c>
      <c r="AA2986" s="6" t="s">
        <v>1117</v>
      </c>
      <c r="AB2986" s="8"/>
      <c r="AC2986" s="27">
        <v>9785160207407</v>
      </c>
    </row>
    <row r="2987" spans="1:29" s="4" customFormat="1" ht="51.9" customHeight="1" x14ac:dyDescent="0.2">
      <c r="A2987" s="5">
        <v>0</v>
      </c>
      <c r="B2987" s="6" t="s">
        <v>17562</v>
      </c>
      <c r="C2987" s="7">
        <v>1528.8</v>
      </c>
      <c r="D2987" s="8" t="s">
        <v>17563</v>
      </c>
      <c r="E2987" s="8" t="s">
        <v>17564</v>
      </c>
      <c r="F2987" s="8" t="s">
        <v>17565</v>
      </c>
      <c r="G2987" s="6" t="s">
        <v>60</v>
      </c>
      <c r="H2987" s="6" t="s">
        <v>34</v>
      </c>
      <c r="I2987" s="8" t="s">
        <v>271</v>
      </c>
      <c r="J2987" s="9">
        <v>1</v>
      </c>
      <c r="K2987" s="9">
        <v>244</v>
      </c>
      <c r="L2987" s="9">
        <v>2025</v>
      </c>
      <c r="M2987" s="8" t="s">
        <v>17566</v>
      </c>
      <c r="N2987" s="8" t="s">
        <v>243</v>
      </c>
      <c r="O2987" s="8" t="s">
        <v>758</v>
      </c>
      <c r="P2987" s="6" t="s">
        <v>51</v>
      </c>
      <c r="Q2987" s="8" t="s">
        <v>52</v>
      </c>
      <c r="R2987" s="10" t="s">
        <v>11597</v>
      </c>
      <c r="S2987" s="11" t="s">
        <v>17567</v>
      </c>
      <c r="T2987" s="6" t="s">
        <v>97</v>
      </c>
      <c r="U2987" s="15" t="str">
        <f>HYPERLINK("https://media.infra-m.ru/2137/2137106/cover/2137106.jpg", "Обложка")</f>
        <v>Обложка</v>
      </c>
      <c r="V2987" s="8" t="s">
        <v>843</v>
      </c>
      <c r="W2987" s="6"/>
      <c r="X2987" s="6"/>
      <c r="Y2987" s="6"/>
      <c r="Z2987" s="6"/>
      <c r="AA2987" s="6" t="s">
        <v>1031</v>
      </c>
      <c r="AB2987" s="8"/>
      <c r="AC2987" s="27">
        <v>9785160136172</v>
      </c>
    </row>
    <row r="2988" spans="1:29" s="4" customFormat="1" ht="51.9" customHeight="1" x14ac:dyDescent="0.2">
      <c r="A2988" s="5">
        <v>0</v>
      </c>
      <c r="B2988" s="6" t="s">
        <v>17568</v>
      </c>
      <c r="C2988" s="7">
        <v>2580</v>
      </c>
      <c r="D2988" s="8" t="s">
        <v>17569</v>
      </c>
      <c r="E2988" s="8" t="s">
        <v>17557</v>
      </c>
      <c r="F2988" s="8" t="s">
        <v>17570</v>
      </c>
      <c r="G2988" s="6" t="s">
        <v>60</v>
      </c>
      <c r="H2988" s="6" t="s">
        <v>34</v>
      </c>
      <c r="I2988" s="8" t="s">
        <v>263</v>
      </c>
      <c r="J2988" s="9">
        <v>1</v>
      </c>
      <c r="K2988" s="9">
        <v>414</v>
      </c>
      <c r="L2988" s="9">
        <v>2025</v>
      </c>
      <c r="M2988" s="8" t="s">
        <v>17571</v>
      </c>
      <c r="N2988" s="8" t="s">
        <v>243</v>
      </c>
      <c r="O2988" s="8" t="s">
        <v>758</v>
      </c>
      <c r="P2988" s="6" t="s">
        <v>51</v>
      </c>
      <c r="Q2988" s="8" t="s">
        <v>265</v>
      </c>
      <c r="R2988" s="10" t="s">
        <v>17572</v>
      </c>
      <c r="S2988" s="11" t="s">
        <v>17573</v>
      </c>
      <c r="T2988" s="6"/>
      <c r="U2988" s="15" t="str">
        <f>HYPERLINK("https://media.infra-m.ru/2202/2202567/cover/2202567.jpg", "Обложка")</f>
        <v>Обложка</v>
      </c>
      <c r="V2988" s="8" t="s">
        <v>1030</v>
      </c>
      <c r="W2988" s="6"/>
      <c r="X2988" s="6" t="s">
        <v>24</v>
      </c>
      <c r="Y2988" s="6"/>
      <c r="Z2988" s="6"/>
      <c r="AA2988" s="6" t="s">
        <v>11623</v>
      </c>
      <c r="AB2988" s="8"/>
      <c r="AC2988" s="27">
        <v>9785160043364</v>
      </c>
    </row>
    <row r="2989" spans="1:29" s="4" customFormat="1" ht="51.9" customHeight="1" x14ac:dyDescent="0.2">
      <c r="A2989" s="5">
        <v>0</v>
      </c>
      <c r="B2989" s="6" t="s">
        <v>17574</v>
      </c>
      <c r="C2989" s="7">
        <v>1816.8</v>
      </c>
      <c r="D2989" s="8" t="s">
        <v>17575</v>
      </c>
      <c r="E2989" s="8" t="s">
        <v>17576</v>
      </c>
      <c r="F2989" s="8" t="s">
        <v>1127</v>
      </c>
      <c r="G2989" s="6" t="s">
        <v>60</v>
      </c>
      <c r="H2989" s="6" t="s">
        <v>34</v>
      </c>
      <c r="I2989" s="8" t="s">
        <v>1128</v>
      </c>
      <c r="J2989" s="9">
        <v>1</v>
      </c>
      <c r="K2989" s="9">
        <v>259</v>
      </c>
      <c r="L2989" s="9">
        <v>2027</v>
      </c>
      <c r="M2989" s="8" t="s">
        <v>17577</v>
      </c>
      <c r="N2989" s="8" t="s">
        <v>243</v>
      </c>
      <c r="O2989" s="8" t="s">
        <v>1100</v>
      </c>
      <c r="P2989" s="6" t="s">
        <v>51</v>
      </c>
      <c r="Q2989" s="8" t="s">
        <v>52</v>
      </c>
      <c r="R2989" s="10" t="s">
        <v>17578</v>
      </c>
      <c r="S2989" s="11" t="s">
        <v>17579</v>
      </c>
      <c r="T2989" s="6"/>
      <c r="U2989" s="15" t="str">
        <f>HYPERLINK("https://media.infra-m.ru/2257/2257175/cover/2257175.jpg", "Обложка")</f>
        <v>Обложка</v>
      </c>
      <c r="V2989" s="8" t="s">
        <v>1132</v>
      </c>
      <c r="W2989" s="6"/>
      <c r="X2989" s="6"/>
      <c r="Y2989" s="6"/>
      <c r="Z2989" s="6"/>
      <c r="AA2989" s="6" t="s">
        <v>76</v>
      </c>
      <c r="AB2989" s="8"/>
      <c r="AC2989" s="27">
        <v>9785160193977</v>
      </c>
    </row>
    <row r="2990" spans="1:29" s="4" customFormat="1" ht="51.9" customHeight="1" x14ac:dyDescent="0.2">
      <c r="A2990" s="5">
        <v>0</v>
      </c>
      <c r="B2990" s="6" t="s">
        <v>17580</v>
      </c>
      <c r="C2990" s="7">
        <v>1037.9000000000001</v>
      </c>
      <c r="D2990" s="8" t="s">
        <v>17581</v>
      </c>
      <c r="E2990" s="8" t="s">
        <v>17582</v>
      </c>
      <c r="F2990" s="8" t="s">
        <v>5068</v>
      </c>
      <c r="G2990" s="6" t="s">
        <v>60</v>
      </c>
      <c r="H2990" s="6" t="s">
        <v>241</v>
      </c>
      <c r="I2990" s="8" t="s">
        <v>4439</v>
      </c>
      <c r="J2990" s="9">
        <v>1</v>
      </c>
      <c r="K2990" s="9">
        <v>228</v>
      </c>
      <c r="L2990" s="9">
        <v>2022</v>
      </c>
      <c r="M2990" s="8" t="s">
        <v>17583</v>
      </c>
      <c r="N2990" s="8" t="s">
        <v>37</v>
      </c>
      <c r="O2990" s="8" t="s">
        <v>233</v>
      </c>
      <c r="P2990" s="6" t="s">
        <v>51</v>
      </c>
      <c r="Q2990" s="8" t="s">
        <v>52</v>
      </c>
      <c r="R2990" s="10" t="s">
        <v>1646</v>
      </c>
      <c r="S2990" s="11" t="s">
        <v>17584</v>
      </c>
      <c r="T2990" s="6"/>
      <c r="U2990" s="15" t="str">
        <f>HYPERLINK("https://media.infra-m.ru/1836/1836580/cover/1836580.jpg", "Обложка")</f>
        <v>Обложка</v>
      </c>
      <c r="V2990" s="8" t="s">
        <v>5065</v>
      </c>
      <c r="W2990" s="6"/>
      <c r="X2990" s="6"/>
      <c r="Y2990" s="6"/>
      <c r="Z2990" s="6"/>
      <c r="AA2990" s="6" t="s">
        <v>1401</v>
      </c>
      <c r="AB2990" s="8"/>
      <c r="AC2990" s="27">
        <v>9785955804071</v>
      </c>
    </row>
    <row r="2991" spans="1:29" s="4" customFormat="1" ht="42" customHeight="1" x14ac:dyDescent="0.2">
      <c r="A2991" s="5">
        <v>0</v>
      </c>
      <c r="B2991" s="6" t="s">
        <v>17585</v>
      </c>
      <c r="C2991" s="7">
        <v>1668</v>
      </c>
      <c r="D2991" s="8" t="s">
        <v>17586</v>
      </c>
      <c r="E2991" s="8" t="s">
        <v>17587</v>
      </c>
      <c r="F2991" s="8" t="s">
        <v>17588</v>
      </c>
      <c r="G2991" s="6" t="s">
        <v>118</v>
      </c>
      <c r="H2991" s="6" t="s">
        <v>313</v>
      </c>
      <c r="I2991" s="8" t="s">
        <v>504</v>
      </c>
      <c r="J2991" s="9">
        <v>1</v>
      </c>
      <c r="K2991" s="9">
        <v>302</v>
      </c>
      <c r="L2991" s="9">
        <v>2024</v>
      </c>
      <c r="M2991" s="8" t="s">
        <v>17589</v>
      </c>
      <c r="N2991" s="8" t="s">
        <v>93</v>
      </c>
      <c r="O2991" s="8" t="s">
        <v>94</v>
      </c>
      <c r="P2991" s="6" t="s">
        <v>51</v>
      </c>
      <c r="Q2991" s="8" t="s">
        <v>1660</v>
      </c>
      <c r="R2991" s="10" t="s">
        <v>17590</v>
      </c>
      <c r="S2991" s="11"/>
      <c r="T2991" s="6"/>
      <c r="U2991" s="15" t="str">
        <f>HYPERLINK("https://media.infra-m.ru/2074/2074328/cover/2074328.jpg", "Обложка")</f>
        <v>Обложка</v>
      </c>
      <c r="V2991" s="8" t="s">
        <v>761</v>
      </c>
      <c r="W2991" s="6"/>
      <c r="X2991" s="6"/>
      <c r="Y2991" s="6"/>
      <c r="Z2991" s="6"/>
      <c r="AA2991" s="6" t="s">
        <v>99</v>
      </c>
      <c r="AB2991" s="8"/>
      <c r="AC2991" s="27">
        <v>9785369016688</v>
      </c>
    </row>
    <row r="2992" spans="1:29" s="4" customFormat="1" ht="51.9" customHeight="1" x14ac:dyDescent="0.2">
      <c r="A2992" s="5">
        <v>0</v>
      </c>
      <c r="B2992" s="6" t="s">
        <v>17591</v>
      </c>
      <c r="C2992" s="7">
        <v>1313.9</v>
      </c>
      <c r="D2992" s="8" t="s">
        <v>17592</v>
      </c>
      <c r="E2992" s="8" t="s">
        <v>17593</v>
      </c>
      <c r="F2992" s="8" t="s">
        <v>5062</v>
      </c>
      <c r="G2992" s="6" t="s">
        <v>60</v>
      </c>
      <c r="H2992" s="6" t="s">
        <v>241</v>
      </c>
      <c r="I2992" s="8"/>
      <c r="J2992" s="9">
        <v>1</v>
      </c>
      <c r="K2992" s="9">
        <v>287</v>
      </c>
      <c r="L2992" s="9">
        <v>2022</v>
      </c>
      <c r="M2992" s="8" t="s">
        <v>17594</v>
      </c>
      <c r="N2992" s="8" t="s">
        <v>37</v>
      </c>
      <c r="O2992" s="8" t="s">
        <v>233</v>
      </c>
      <c r="P2992" s="6" t="s">
        <v>51</v>
      </c>
      <c r="Q2992" s="8" t="s">
        <v>52</v>
      </c>
      <c r="R2992" s="10" t="s">
        <v>3008</v>
      </c>
      <c r="S2992" s="11" t="s">
        <v>17584</v>
      </c>
      <c r="T2992" s="6"/>
      <c r="U2992" s="15" t="str">
        <f>HYPERLINK("https://media.infra-m.ru/1853/1853928/cover/1853928.jpg", "Обложка")</f>
        <v>Обложка</v>
      </c>
      <c r="V2992" s="8" t="s">
        <v>5065</v>
      </c>
      <c r="W2992" s="6"/>
      <c r="X2992" s="6"/>
      <c r="Y2992" s="6"/>
      <c r="Z2992" s="6"/>
      <c r="AA2992" s="6" t="s">
        <v>779</v>
      </c>
      <c r="AB2992" s="8"/>
      <c r="AC2992" s="27">
        <v>9785955804200</v>
      </c>
    </row>
    <row r="2993" spans="1:29" s="4" customFormat="1" ht="42" customHeight="1" x14ac:dyDescent="0.2">
      <c r="A2993" s="5">
        <v>0</v>
      </c>
      <c r="B2993" s="6" t="s">
        <v>17595</v>
      </c>
      <c r="C2993" s="7">
        <v>1512</v>
      </c>
      <c r="D2993" s="8" t="s">
        <v>17596</v>
      </c>
      <c r="E2993" s="8" t="s">
        <v>17582</v>
      </c>
      <c r="F2993" s="8" t="s">
        <v>5068</v>
      </c>
      <c r="G2993" s="6" t="s">
        <v>33</v>
      </c>
      <c r="H2993" s="6" t="s">
        <v>34</v>
      </c>
      <c r="I2993" s="8" t="s">
        <v>253</v>
      </c>
      <c r="J2993" s="9">
        <v>1</v>
      </c>
      <c r="K2993" s="9">
        <v>228</v>
      </c>
      <c r="L2993" s="9">
        <v>2026</v>
      </c>
      <c r="M2993" s="8" t="s">
        <v>17597</v>
      </c>
      <c r="N2993" s="8" t="s">
        <v>37</v>
      </c>
      <c r="O2993" s="8" t="s">
        <v>233</v>
      </c>
      <c r="P2993" s="6" t="s">
        <v>51</v>
      </c>
      <c r="Q2993" s="8" t="s">
        <v>52</v>
      </c>
      <c r="R2993" s="10" t="s">
        <v>1646</v>
      </c>
      <c r="S2993" s="11"/>
      <c r="T2993" s="6"/>
      <c r="U2993" s="15" t="str">
        <f>HYPERLINK("https://media.infra-m.ru/2213/2213303/cover/2213303.jpg", "Обложка")</f>
        <v>Обложка</v>
      </c>
      <c r="V2993" s="8" t="s">
        <v>5065</v>
      </c>
      <c r="W2993" s="6"/>
      <c r="X2993" s="6"/>
      <c r="Y2993" s="6"/>
      <c r="Z2993" s="6"/>
      <c r="AA2993" s="6" t="s">
        <v>1401</v>
      </c>
      <c r="AB2993" s="8"/>
      <c r="AC2993" s="27">
        <v>9785160213156</v>
      </c>
    </row>
    <row r="2994" spans="1:29" s="4" customFormat="1" ht="51.9" customHeight="1" x14ac:dyDescent="0.2">
      <c r="A2994" s="5">
        <v>0</v>
      </c>
      <c r="B2994" s="6" t="s">
        <v>17598</v>
      </c>
      <c r="C2994" s="13">
        <v>580.79999999999995</v>
      </c>
      <c r="D2994" s="8" t="s">
        <v>17599</v>
      </c>
      <c r="E2994" s="8" t="s">
        <v>17600</v>
      </c>
      <c r="F2994" s="8" t="s">
        <v>17601</v>
      </c>
      <c r="G2994" s="6" t="s">
        <v>33</v>
      </c>
      <c r="H2994" s="6" t="s">
        <v>48</v>
      </c>
      <c r="I2994" s="8" t="s">
        <v>401</v>
      </c>
      <c r="J2994" s="9">
        <v>1</v>
      </c>
      <c r="K2994" s="9">
        <v>97</v>
      </c>
      <c r="L2994" s="9">
        <v>2025</v>
      </c>
      <c r="M2994" s="8" t="s">
        <v>17602</v>
      </c>
      <c r="N2994" s="8" t="s">
        <v>585</v>
      </c>
      <c r="O2994" s="8" t="s">
        <v>775</v>
      </c>
      <c r="P2994" s="6" t="s">
        <v>51</v>
      </c>
      <c r="Q2994" s="8" t="s">
        <v>265</v>
      </c>
      <c r="R2994" s="10" t="s">
        <v>17603</v>
      </c>
      <c r="S2994" s="11" t="s">
        <v>17604</v>
      </c>
      <c r="T2994" s="6"/>
      <c r="U2994" s="15" t="str">
        <f>HYPERLINK("https://media.infra-m.ru/2184/2184955/cover/2184955.jpg", "Обложка")</f>
        <v>Обложка</v>
      </c>
      <c r="V2994" s="8" t="s">
        <v>3216</v>
      </c>
      <c r="W2994" s="6"/>
      <c r="X2994" s="6"/>
      <c r="Y2994" s="6"/>
      <c r="Z2994" s="6"/>
      <c r="AA2994" s="6" t="s">
        <v>6898</v>
      </c>
      <c r="AB2994" s="8"/>
      <c r="AC2994" s="27">
        <v>9785000914113</v>
      </c>
    </row>
    <row r="2995" spans="1:29" s="4" customFormat="1" ht="42" customHeight="1" x14ac:dyDescent="0.2">
      <c r="A2995" s="5">
        <v>0</v>
      </c>
      <c r="B2995" s="6" t="s">
        <v>17605</v>
      </c>
      <c r="C2995" s="7">
        <v>1620</v>
      </c>
      <c r="D2995" s="8" t="s">
        <v>17606</v>
      </c>
      <c r="E2995" s="8" t="s">
        <v>17607</v>
      </c>
      <c r="F2995" s="8" t="s">
        <v>17608</v>
      </c>
      <c r="G2995" s="6" t="s">
        <v>33</v>
      </c>
      <c r="H2995" s="6" t="s">
        <v>34</v>
      </c>
      <c r="I2995" s="8" t="s">
        <v>35</v>
      </c>
      <c r="J2995" s="9">
        <v>1</v>
      </c>
      <c r="K2995" s="9">
        <v>181</v>
      </c>
      <c r="L2995" s="9">
        <v>2024</v>
      </c>
      <c r="M2995" s="8" t="s">
        <v>17609</v>
      </c>
      <c r="N2995" s="8" t="s">
        <v>585</v>
      </c>
      <c r="O2995" s="8" t="s">
        <v>775</v>
      </c>
      <c r="P2995" s="6" t="s">
        <v>39</v>
      </c>
      <c r="Q2995" s="8" t="s">
        <v>40</v>
      </c>
      <c r="R2995" s="10" t="s">
        <v>17610</v>
      </c>
      <c r="S2995" s="11"/>
      <c r="T2995" s="6"/>
      <c r="U2995" s="15" t="str">
        <f>HYPERLINK("https://media.infra-m.ru/2164/2164856/cover/2164856.jpg", "Обложка")</f>
        <v>Обложка</v>
      </c>
      <c r="V2995" s="8" t="s">
        <v>5801</v>
      </c>
      <c r="W2995" s="6"/>
      <c r="X2995" s="6"/>
      <c r="Y2995" s="6"/>
      <c r="Z2995" s="6"/>
      <c r="AA2995" s="6" t="s">
        <v>76</v>
      </c>
      <c r="AB2995" s="8" t="s">
        <v>3833</v>
      </c>
      <c r="AC2995" s="27">
        <v>9785160202440</v>
      </c>
    </row>
    <row r="2996" spans="1:29" s="4" customFormat="1" ht="51.9" customHeight="1" x14ac:dyDescent="0.2">
      <c r="A2996" s="5">
        <v>0</v>
      </c>
      <c r="B2996" s="6" t="s">
        <v>17611</v>
      </c>
      <c r="C2996" s="7">
        <v>3154.8</v>
      </c>
      <c r="D2996" s="8" t="s">
        <v>17612</v>
      </c>
      <c r="E2996" s="8" t="s">
        <v>17613</v>
      </c>
      <c r="F2996" s="8" t="s">
        <v>8631</v>
      </c>
      <c r="G2996" s="6" t="s">
        <v>118</v>
      </c>
      <c r="H2996" s="6" t="s">
        <v>34</v>
      </c>
      <c r="I2996" s="8" t="s">
        <v>263</v>
      </c>
      <c r="J2996" s="9">
        <v>1</v>
      </c>
      <c r="K2996" s="9">
        <v>368</v>
      </c>
      <c r="L2996" s="9">
        <v>2026</v>
      </c>
      <c r="M2996" s="8" t="s">
        <v>17614</v>
      </c>
      <c r="N2996" s="8" t="s">
        <v>63</v>
      </c>
      <c r="O2996" s="8" t="s">
        <v>181</v>
      </c>
      <c r="P2996" s="6" t="s">
        <v>51</v>
      </c>
      <c r="Q2996" s="8" t="s">
        <v>265</v>
      </c>
      <c r="R2996" s="10" t="s">
        <v>17615</v>
      </c>
      <c r="S2996" s="11" t="s">
        <v>17616</v>
      </c>
      <c r="T2996" s="6"/>
      <c r="U2996" s="15" t="str">
        <f>HYPERLINK("https://media.infra-m.ru/2225/2225082/cover/2225082.jpg", "Обложка")</f>
        <v>Обложка</v>
      </c>
      <c r="V2996" s="8" t="s">
        <v>7509</v>
      </c>
      <c r="W2996" s="6"/>
      <c r="X2996" s="6"/>
      <c r="Y2996" s="6"/>
      <c r="Z2996" s="6" t="s">
        <v>267</v>
      </c>
      <c r="AA2996" s="6" t="s">
        <v>115</v>
      </c>
      <c r="AB2996" s="8"/>
      <c r="AC2996" s="27">
        <v>9785160214412</v>
      </c>
    </row>
    <row r="2997" spans="1:29" s="4" customFormat="1" ht="51.9" customHeight="1" x14ac:dyDescent="0.2">
      <c r="A2997" s="5">
        <v>0</v>
      </c>
      <c r="B2997" s="6" t="s">
        <v>17617</v>
      </c>
      <c r="C2997" s="7">
        <v>1757.9</v>
      </c>
      <c r="D2997" s="8" t="s">
        <v>17618</v>
      </c>
      <c r="E2997" s="8" t="s">
        <v>17619</v>
      </c>
      <c r="F2997" s="8" t="s">
        <v>17620</v>
      </c>
      <c r="G2997" s="6" t="s">
        <v>118</v>
      </c>
      <c r="H2997" s="6" t="s">
        <v>48</v>
      </c>
      <c r="I2997" s="8" t="s">
        <v>271</v>
      </c>
      <c r="J2997" s="9">
        <v>1</v>
      </c>
      <c r="K2997" s="9">
        <v>304</v>
      </c>
      <c r="L2997" s="9">
        <v>2022</v>
      </c>
      <c r="M2997" s="8" t="s">
        <v>17621</v>
      </c>
      <c r="N2997" s="8" t="s">
        <v>63</v>
      </c>
      <c r="O2997" s="8" t="s">
        <v>181</v>
      </c>
      <c r="P2997" s="6" t="s">
        <v>51</v>
      </c>
      <c r="Q2997" s="8" t="s">
        <v>52</v>
      </c>
      <c r="R2997" s="10" t="s">
        <v>17622</v>
      </c>
      <c r="S2997" s="11" t="s">
        <v>17623</v>
      </c>
      <c r="T2997" s="6"/>
      <c r="U2997" s="15" t="str">
        <f>HYPERLINK("https://media.infra-m.ru/1514/1514894/cover/1514894.jpg", "Обложка")</f>
        <v>Обложка</v>
      </c>
      <c r="V2997" s="8" t="s">
        <v>2623</v>
      </c>
      <c r="W2997" s="6"/>
      <c r="X2997" s="6" t="s">
        <v>24</v>
      </c>
      <c r="Y2997" s="6"/>
      <c r="Z2997" s="6"/>
      <c r="AA2997" s="6" t="s">
        <v>360</v>
      </c>
      <c r="AB2997" s="8"/>
      <c r="AC2997" s="27">
        <v>9785000914632</v>
      </c>
    </row>
    <row r="2998" spans="1:29" s="4" customFormat="1" ht="51.9" customHeight="1" x14ac:dyDescent="0.2">
      <c r="A2998" s="5">
        <v>0</v>
      </c>
      <c r="B2998" s="6" t="s">
        <v>17624</v>
      </c>
      <c r="C2998" s="7">
        <v>1800</v>
      </c>
      <c r="D2998" s="8" t="s">
        <v>17625</v>
      </c>
      <c r="E2998" s="8" t="s">
        <v>17619</v>
      </c>
      <c r="F2998" s="8" t="s">
        <v>17620</v>
      </c>
      <c r="G2998" s="6" t="s">
        <v>118</v>
      </c>
      <c r="H2998" s="6" t="s">
        <v>48</v>
      </c>
      <c r="I2998" s="8" t="s">
        <v>263</v>
      </c>
      <c r="J2998" s="9">
        <v>1</v>
      </c>
      <c r="K2998" s="9">
        <v>304</v>
      </c>
      <c r="L2998" s="9">
        <v>2022</v>
      </c>
      <c r="M2998" s="8" t="s">
        <v>17626</v>
      </c>
      <c r="N2998" s="8" t="s">
        <v>63</v>
      </c>
      <c r="O2998" s="8" t="s">
        <v>181</v>
      </c>
      <c r="P2998" s="6" t="s">
        <v>51</v>
      </c>
      <c r="Q2998" s="8" t="s">
        <v>265</v>
      </c>
      <c r="R2998" s="10" t="s">
        <v>8952</v>
      </c>
      <c r="S2998" s="11" t="s">
        <v>17627</v>
      </c>
      <c r="T2998" s="6"/>
      <c r="U2998" s="15" t="str">
        <f>HYPERLINK("https://media.infra-m.ru/1860/1860078/cover/1860078.jpg", "Обложка")</f>
        <v>Обложка</v>
      </c>
      <c r="V2998" s="8" t="s">
        <v>2623</v>
      </c>
      <c r="W2998" s="6"/>
      <c r="X2998" s="6"/>
      <c r="Y2998" s="6"/>
      <c r="Z2998" s="6" t="s">
        <v>267</v>
      </c>
      <c r="AA2998" s="6" t="s">
        <v>218</v>
      </c>
      <c r="AB2998" s="8"/>
      <c r="AC2998" s="27">
        <v>9785000915790</v>
      </c>
    </row>
    <row r="2999" spans="1:29" s="4" customFormat="1" ht="42" customHeight="1" x14ac:dyDescent="0.2">
      <c r="A2999" s="5">
        <v>0</v>
      </c>
      <c r="B2999" s="6" t="s">
        <v>17628</v>
      </c>
      <c r="C2999" s="7">
        <v>2568</v>
      </c>
      <c r="D2999" s="8" t="s">
        <v>17629</v>
      </c>
      <c r="E2999" s="8" t="s">
        <v>17630</v>
      </c>
      <c r="F2999" s="8" t="s">
        <v>17620</v>
      </c>
      <c r="G2999" s="6" t="s">
        <v>118</v>
      </c>
      <c r="H2999" s="6" t="s">
        <v>34</v>
      </c>
      <c r="I2999" s="8" t="s">
        <v>263</v>
      </c>
      <c r="J2999" s="9">
        <v>1</v>
      </c>
      <c r="K2999" s="9">
        <v>389</v>
      </c>
      <c r="L2999" s="9">
        <v>2026</v>
      </c>
      <c r="M2999" s="8" t="s">
        <v>17631</v>
      </c>
      <c r="N2999" s="8" t="s">
        <v>63</v>
      </c>
      <c r="O2999" s="8" t="s">
        <v>181</v>
      </c>
      <c r="P2999" s="6" t="s">
        <v>51</v>
      </c>
      <c r="Q2999" s="8" t="s">
        <v>265</v>
      </c>
      <c r="R2999" s="10" t="s">
        <v>8952</v>
      </c>
      <c r="S2999" s="11"/>
      <c r="T2999" s="6"/>
      <c r="U2999" s="15" t="str">
        <f>HYPERLINK("https://media.infra-m.ru/2238/2238038/cover/2238038.jpg", "Обложка")</f>
        <v>Обложка</v>
      </c>
      <c r="V2999" s="8" t="s">
        <v>2623</v>
      </c>
      <c r="W2999" s="6"/>
      <c r="X2999" s="6"/>
      <c r="Y2999" s="6"/>
      <c r="Z2999" s="6" t="s">
        <v>267</v>
      </c>
      <c r="AA2999" s="6" t="s">
        <v>5476</v>
      </c>
      <c r="AB2999" s="8"/>
      <c r="AC2999" s="27">
        <v>9785160190181</v>
      </c>
    </row>
    <row r="3000" spans="1:29" s="4" customFormat="1" ht="51.9" customHeight="1" x14ac:dyDescent="0.2">
      <c r="A3000" s="5">
        <v>0</v>
      </c>
      <c r="B3000" s="6" t="s">
        <v>17632</v>
      </c>
      <c r="C3000" s="7">
        <v>2568</v>
      </c>
      <c r="D3000" s="8" t="s">
        <v>17633</v>
      </c>
      <c r="E3000" s="8" t="s">
        <v>17634</v>
      </c>
      <c r="F3000" s="8" t="s">
        <v>17635</v>
      </c>
      <c r="G3000" s="6" t="s">
        <v>118</v>
      </c>
      <c r="H3000" s="6" t="s">
        <v>34</v>
      </c>
      <c r="I3000" s="8" t="s">
        <v>253</v>
      </c>
      <c r="J3000" s="9">
        <v>1</v>
      </c>
      <c r="K3000" s="9">
        <v>389</v>
      </c>
      <c r="L3000" s="9">
        <v>2026</v>
      </c>
      <c r="M3000" s="8" t="s">
        <v>17636</v>
      </c>
      <c r="N3000" s="8" t="s">
        <v>63</v>
      </c>
      <c r="O3000" s="8" t="s">
        <v>181</v>
      </c>
      <c r="P3000" s="6" t="s">
        <v>51</v>
      </c>
      <c r="Q3000" s="8" t="s">
        <v>52</v>
      </c>
      <c r="R3000" s="10" t="s">
        <v>17622</v>
      </c>
      <c r="S3000" s="11" t="s">
        <v>17637</v>
      </c>
      <c r="T3000" s="6"/>
      <c r="U3000" s="15" t="str">
        <f>HYPERLINK("https://media.infra-m.ru/2224/2224712/cover/2224712.jpg", "Обложка")</f>
        <v>Обложка</v>
      </c>
      <c r="V3000" s="8" t="s">
        <v>2623</v>
      </c>
      <c r="W3000" s="6"/>
      <c r="X3000" s="6" t="s">
        <v>24</v>
      </c>
      <c r="Y3000" s="6"/>
      <c r="Z3000" s="6"/>
      <c r="AA3000" s="6" t="s">
        <v>3189</v>
      </c>
      <c r="AB3000" s="8"/>
      <c r="AC3000" s="27">
        <v>9785160199863</v>
      </c>
    </row>
    <row r="3001" spans="1:29" s="4" customFormat="1" ht="51.9" customHeight="1" x14ac:dyDescent="0.2">
      <c r="A3001" s="5">
        <v>0</v>
      </c>
      <c r="B3001" s="6" t="s">
        <v>17638</v>
      </c>
      <c r="C3001" s="7">
        <v>1778.4</v>
      </c>
      <c r="D3001" s="8" t="s">
        <v>17639</v>
      </c>
      <c r="E3001" s="8" t="s">
        <v>17640</v>
      </c>
      <c r="F3001" s="8" t="s">
        <v>17641</v>
      </c>
      <c r="G3001" s="6" t="s">
        <v>118</v>
      </c>
      <c r="H3001" s="6" t="s">
        <v>34</v>
      </c>
      <c r="I3001" s="8" t="s">
        <v>263</v>
      </c>
      <c r="J3001" s="9">
        <v>1</v>
      </c>
      <c r="K3001" s="9">
        <v>140</v>
      </c>
      <c r="L3001" s="9">
        <v>2026</v>
      </c>
      <c r="M3001" s="8" t="s">
        <v>17642</v>
      </c>
      <c r="N3001" s="8" t="s">
        <v>63</v>
      </c>
      <c r="O3001" s="8" t="s">
        <v>181</v>
      </c>
      <c r="P3001" s="6" t="s">
        <v>51</v>
      </c>
      <c r="Q3001" s="8" t="s">
        <v>265</v>
      </c>
      <c r="R3001" s="10" t="s">
        <v>8952</v>
      </c>
      <c r="S3001" s="11" t="s">
        <v>17616</v>
      </c>
      <c r="T3001" s="6"/>
      <c r="U3001" s="15" t="str">
        <f>HYPERLINK("https://media.infra-m.ru/2235/2235146/cover/2235146.jpg", "Обложка")</f>
        <v>Обложка</v>
      </c>
      <c r="V3001" s="8" t="s">
        <v>2623</v>
      </c>
      <c r="W3001" s="6"/>
      <c r="X3001" s="6"/>
      <c r="Y3001" s="6"/>
      <c r="Z3001" s="6" t="s">
        <v>882</v>
      </c>
      <c r="AA3001" s="6" t="s">
        <v>2240</v>
      </c>
      <c r="AB3001" s="8"/>
      <c r="AC3001" s="27">
        <v>9785160167725</v>
      </c>
    </row>
    <row r="3002" spans="1:29" s="4" customFormat="1" ht="51.9" customHeight="1" x14ac:dyDescent="0.2">
      <c r="A3002" s="5">
        <v>0</v>
      </c>
      <c r="B3002" s="6" t="s">
        <v>17643</v>
      </c>
      <c r="C3002" s="7">
        <v>1780.8</v>
      </c>
      <c r="D3002" s="8" t="s">
        <v>17644</v>
      </c>
      <c r="E3002" s="8" t="s">
        <v>17640</v>
      </c>
      <c r="F3002" s="8" t="s">
        <v>17641</v>
      </c>
      <c r="G3002" s="6" t="s">
        <v>118</v>
      </c>
      <c r="H3002" s="6" t="s">
        <v>34</v>
      </c>
      <c r="I3002" s="8" t="s">
        <v>253</v>
      </c>
      <c r="J3002" s="9">
        <v>1</v>
      </c>
      <c r="K3002" s="9">
        <v>140</v>
      </c>
      <c r="L3002" s="9">
        <v>2026</v>
      </c>
      <c r="M3002" s="8" t="s">
        <v>17645</v>
      </c>
      <c r="N3002" s="8" t="s">
        <v>63</v>
      </c>
      <c r="O3002" s="8" t="s">
        <v>181</v>
      </c>
      <c r="P3002" s="6" t="s">
        <v>51</v>
      </c>
      <c r="Q3002" s="8" t="s">
        <v>65</v>
      </c>
      <c r="R3002" s="10" t="s">
        <v>17646</v>
      </c>
      <c r="S3002" s="11" t="s">
        <v>17647</v>
      </c>
      <c r="T3002" s="6"/>
      <c r="U3002" s="15" t="str">
        <f>HYPERLINK("https://media.infra-m.ru/2228/2228065/cover/2228065.jpg", "Обложка")</f>
        <v>Обложка</v>
      </c>
      <c r="V3002" s="8" t="s">
        <v>2623</v>
      </c>
      <c r="W3002" s="6"/>
      <c r="X3002" s="6"/>
      <c r="Y3002" s="6"/>
      <c r="Z3002" s="6"/>
      <c r="AA3002" s="6" t="s">
        <v>360</v>
      </c>
      <c r="AB3002" s="8"/>
      <c r="AC3002" s="27">
        <v>9785160185491</v>
      </c>
    </row>
    <row r="3003" spans="1:29" s="4" customFormat="1" ht="42" customHeight="1" x14ac:dyDescent="0.2">
      <c r="A3003" s="5">
        <v>0</v>
      </c>
      <c r="B3003" s="6" t="s">
        <v>17648</v>
      </c>
      <c r="C3003" s="7">
        <v>1092</v>
      </c>
      <c r="D3003" s="8" t="s">
        <v>17649</v>
      </c>
      <c r="E3003" s="8" t="s">
        <v>17650</v>
      </c>
      <c r="F3003" s="8" t="s">
        <v>17651</v>
      </c>
      <c r="G3003" s="6" t="s">
        <v>118</v>
      </c>
      <c r="H3003" s="6" t="s">
        <v>34</v>
      </c>
      <c r="I3003" s="8" t="s">
        <v>1128</v>
      </c>
      <c r="J3003" s="9">
        <v>1</v>
      </c>
      <c r="K3003" s="9">
        <v>156</v>
      </c>
      <c r="L3003" s="9">
        <v>2027</v>
      </c>
      <c r="M3003" s="8" t="s">
        <v>17652</v>
      </c>
      <c r="N3003" s="8" t="s">
        <v>63</v>
      </c>
      <c r="O3003" s="8" t="s">
        <v>181</v>
      </c>
      <c r="P3003" s="6" t="s">
        <v>51</v>
      </c>
      <c r="Q3003" s="8" t="s">
        <v>52</v>
      </c>
      <c r="R3003" s="10" t="s">
        <v>17653</v>
      </c>
      <c r="S3003" s="11"/>
      <c r="T3003" s="6"/>
      <c r="U3003" s="15" t="str">
        <f>HYPERLINK("https://media.infra-m.ru/2271/2271252/cover/2271252.jpg", "Обложка")</f>
        <v>Обложка</v>
      </c>
      <c r="V3003" s="8" t="s">
        <v>1132</v>
      </c>
      <c r="W3003" s="6"/>
      <c r="X3003" s="6"/>
      <c r="Y3003" s="6"/>
      <c r="Z3003" s="6"/>
      <c r="AA3003" s="6" t="s">
        <v>76</v>
      </c>
      <c r="AB3003" s="8"/>
      <c r="AC3003" s="27">
        <v>9785160197586</v>
      </c>
    </row>
    <row r="3004" spans="1:29" s="4" customFormat="1" ht="51.9" customHeight="1" x14ac:dyDescent="0.2">
      <c r="A3004" s="5">
        <v>0</v>
      </c>
      <c r="B3004" s="6" t="s">
        <v>17654</v>
      </c>
      <c r="C3004" s="7">
        <v>1588.8</v>
      </c>
      <c r="D3004" s="8" t="s">
        <v>17655</v>
      </c>
      <c r="E3004" s="8" t="s">
        <v>17656</v>
      </c>
      <c r="F3004" s="8" t="s">
        <v>17657</v>
      </c>
      <c r="G3004" s="6" t="s">
        <v>118</v>
      </c>
      <c r="H3004" s="6" t="s">
        <v>34</v>
      </c>
      <c r="I3004" s="8" t="s">
        <v>253</v>
      </c>
      <c r="J3004" s="9">
        <v>1</v>
      </c>
      <c r="K3004" s="9">
        <v>240</v>
      </c>
      <c r="L3004" s="9">
        <v>2026</v>
      </c>
      <c r="M3004" s="8" t="s">
        <v>17658</v>
      </c>
      <c r="N3004" s="8" t="s">
        <v>243</v>
      </c>
      <c r="O3004" s="8" t="s">
        <v>1100</v>
      </c>
      <c r="P3004" s="6" t="s">
        <v>306</v>
      </c>
      <c r="Q3004" s="8" t="s">
        <v>52</v>
      </c>
      <c r="R3004" s="10" t="s">
        <v>17659</v>
      </c>
      <c r="S3004" s="11" t="s">
        <v>17660</v>
      </c>
      <c r="T3004" s="6"/>
      <c r="U3004" s="15" t="str">
        <f>HYPERLINK("https://media.infra-m.ru/2251/2251057/cover/2251057.jpg", "Обложка")</f>
        <v>Обложка</v>
      </c>
      <c r="V3004" s="8" t="s">
        <v>1030</v>
      </c>
      <c r="W3004" s="6"/>
      <c r="X3004" s="6"/>
      <c r="Y3004" s="6"/>
      <c r="Z3004" s="6"/>
      <c r="AA3004" s="6" t="s">
        <v>718</v>
      </c>
      <c r="AB3004" s="8"/>
      <c r="AC3004" s="27">
        <v>9785160208565</v>
      </c>
    </row>
    <row r="3005" spans="1:29" s="4" customFormat="1" ht="44.1" customHeight="1" x14ac:dyDescent="0.2">
      <c r="A3005" s="5">
        <v>0</v>
      </c>
      <c r="B3005" s="6" t="s">
        <v>17661</v>
      </c>
      <c r="C3005" s="13">
        <v>900</v>
      </c>
      <c r="D3005" s="8" t="s">
        <v>17662</v>
      </c>
      <c r="E3005" s="8" t="s">
        <v>17663</v>
      </c>
      <c r="F3005" s="8" t="s">
        <v>10595</v>
      </c>
      <c r="G3005" s="6" t="s">
        <v>33</v>
      </c>
      <c r="H3005" s="6" t="s">
        <v>34</v>
      </c>
      <c r="I3005" s="8" t="s">
        <v>35</v>
      </c>
      <c r="J3005" s="9">
        <v>1</v>
      </c>
      <c r="K3005" s="9">
        <v>187</v>
      </c>
      <c r="L3005" s="9">
        <v>2022</v>
      </c>
      <c r="M3005" s="8" t="s">
        <v>17664</v>
      </c>
      <c r="N3005" s="8" t="s">
        <v>37</v>
      </c>
      <c r="O3005" s="8" t="s">
        <v>136</v>
      </c>
      <c r="P3005" s="6" t="s">
        <v>39</v>
      </c>
      <c r="Q3005" s="8" t="s">
        <v>40</v>
      </c>
      <c r="R3005" s="10" t="s">
        <v>8485</v>
      </c>
      <c r="S3005" s="11"/>
      <c r="T3005" s="6"/>
      <c r="U3005" s="15" t="str">
        <f>HYPERLINK("https://media.infra-m.ru/1864/1864098/cover/1864098.jpg", "Обложка")</f>
        <v>Обложка</v>
      </c>
      <c r="V3005" s="8" t="s">
        <v>1184</v>
      </c>
      <c r="W3005" s="6"/>
      <c r="X3005" s="6"/>
      <c r="Y3005" s="6"/>
      <c r="Z3005" s="6"/>
      <c r="AA3005" s="6" t="s">
        <v>430</v>
      </c>
      <c r="AB3005" s="8"/>
      <c r="AC3005" s="27">
        <v>9785160160832</v>
      </c>
    </row>
    <row r="3006" spans="1:29" s="4" customFormat="1" ht="42" customHeight="1" x14ac:dyDescent="0.2">
      <c r="A3006" s="5">
        <v>0</v>
      </c>
      <c r="B3006" s="6" t="s">
        <v>17665</v>
      </c>
      <c r="C3006" s="7">
        <v>1308</v>
      </c>
      <c r="D3006" s="8" t="s">
        <v>17666</v>
      </c>
      <c r="E3006" s="8" t="s">
        <v>17667</v>
      </c>
      <c r="F3006" s="8" t="s">
        <v>17668</v>
      </c>
      <c r="G3006" s="6" t="s">
        <v>60</v>
      </c>
      <c r="H3006" s="6" t="s">
        <v>34</v>
      </c>
      <c r="I3006" s="8" t="s">
        <v>263</v>
      </c>
      <c r="J3006" s="9">
        <v>1</v>
      </c>
      <c r="K3006" s="9">
        <v>194</v>
      </c>
      <c r="L3006" s="9">
        <v>2025</v>
      </c>
      <c r="M3006" s="8" t="s">
        <v>17669</v>
      </c>
      <c r="N3006" s="8" t="s">
        <v>63</v>
      </c>
      <c r="O3006" s="8" t="s">
        <v>64</v>
      </c>
      <c r="P3006" s="6" t="s">
        <v>51</v>
      </c>
      <c r="Q3006" s="8" t="s">
        <v>265</v>
      </c>
      <c r="R3006" s="10" t="s">
        <v>17670</v>
      </c>
      <c r="S3006" s="11"/>
      <c r="T3006" s="6"/>
      <c r="U3006" s="15" t="str">
        <f>HYPERLINK("https://media.infra-m.ru/2169/2169780/cover/2169780.jpg", "Обложка")</f>
        <v>Обложка</v>
      </c>
      <c r="V3006" s="8" t="s">
        <v>13400</v>
      </c>
      <c r="W3006" s="6"/>
      <c r="X3006" s="6"/>
      <c r="Y3006" s="6"/>
      <c r="Z3006" s="6" t="s">
        <v>882</v>
      </c>
      <c r="AA3006" s="6" t="s">
        <v>68</v>
      </c>
      <c r="AB3006" s="8"/>
      <c r="AC3006" s="27">
        <v>9785160203874</v>
      </c>
    </row>
    <row r="3007" spans="1:29" s="4" customFormat="1" ht="42" customHeight="1" x14ac:dyDescent="0.2">
      <c r="A3007" s="5">
        <v>0</v>
      </c>
      <c r="B3007" s="6" t="s">
        <v>17671</v>
      </c>
      <c r="C3007" s="7">
        <v>1380</v>
      </c>
      <c r="D3007" s="8" t="s">
        <v>17672</v>
      </c>
      <c r="E3007" s="8" t="s">
        <v>17667</v>
      </c>
      <c r="F3007" s="8" t="s">
        <v>17668</v>
      </c>
      <c r="G3007" s="6" t="s">
        <v>118</v>
      </c>
      <c r="H3007" s="6" t="s">
        <v>34</v>
      </c>
      <c r="I3007" s="8" t="s">
        <v>253</v>
      </c>
      <c r="J3007" s="9">
        <v>1</v>
      </c>
      <c r="K3007" s="9">
        <v>223</v>
      </c>
      <c r="L3007" s="9">
        <v>2024</v>
      </c>
      <c r="M3007" s="8" t="s">
        <v>17673</v>
      </c>
      <c r="N3007" s="8" t="s">
        <v>63</v>
      </c>
      <c r="O3007" s="8" t="s">
        <v>64</v>
      </c>
      <c r="P3007" s="6" t="s">
        <v>51</v>
      </c>
      <c r="Q3007" s="8" t="s">
        <v>65</v>
      </c>
      <c r="R3007" s="10" t="s">
        <v>6253</v>
      </c>
      <c r="S3007" s="11"/>
      <c r="T3007" s="6"/>
      <c r="U3007" s="15" t="str">
        <f>HYPERLINK("https://media.infra-m.ru/2148/2148520/cover/2148520.jpg", "Обложка")</f>
        <v>Обложка</v>
      </c>
      <c r="V3007" s="8" t="s">
        <v>13400</v>
      </c>
      <c r="W3007" s="6"/>
      <c r="X3007" s="6"/>
      <c r="Y3007" s="6"/>
      <c r="Z3007" s="6"/>
      <c r="AA3007" s="6" t="s">
        <v>76</v>
      </c>
      <c r="AB3007" s="8"/>
      <c r="AC3007" s="27">
        <v>9785160193649</v>
      </c>
    </row>
    <row r="3008" spans="1:29" s="4" customFormat="1" ht="51.9" customHeight="1" x14ac:dyDescent="0.2">
      <c r="A3008" s="5">
        <v>0</v>
      </c>
      <c r="B3008" s="6" t="s">
        <v>17674</v>
      </c>
      <c r="C3008" s="7">
        <v>2692.8</v>
      </c>
      <c r="D3008" s="8" t="s">
        <v>17675</v>
      </c>
      <c r="E3008" s="8" t="s">
        <v>17676</v>
      </c>
      <c r="F3008" s="8" t="s">
        <v>17677</v>
      </c>
      <c r="G3008" s="6" t="s">
        <v>60</v>
      </c>
      <c r="H3008" s="6" t="s">
        <v>34</v>
      </c>
      <c r="I3008" s="8" t="s">
        <v>253</v>
      </c>
      <c r="J3008" s="9">
        <v>1</v>
      </c>
      <c r="K3008" s="9">
        <v>408</v>
      </c>
      <c r="L3008" s="9">
        <v>2026</v>
      </c>
      <c r="M3008" s="8" t="s">
        <v>17678</v>
      </c>
      <c r="N3008" s="8" t="s">
        <v>63</v>
      </c>
      <c r="O3008" s="8" t="s">
        <v>64</v>
      </c>
      <c r="P3008" s="6" t="s">
        <v>306</v>
      </c>
      <c r="Q3008" s="8" t="s">
        <v>52</v>
      </c>
      <c r="R3008" s="10" t="s">
        <v>17679</v>
      </c>
      <c r="S3008" s="11" t="s">
        <v>17680</v>
      </c>
      <c r="T3008" s="6"/>
      <c r="U3008" s="15" t="str">
        <f>HYPERLINK("https://media.infra-m.ru/2239/2239921/cover/2239921.jpg", "Обложка")</f>
        <v>Обложка</v>
      </c>
      <c r="V3008" s="8" t="s">
        <v>6147</v>
      </c>
      <c r="W3008" s="6"/>
      <c r="X3008" s="6"/>
      <c r="Y3008" s="6"/>
      <c r="Z3008" s="6"/>
      <c r="AA3008" s="6" t="s">
        <v>17435</v>
      </c>
      <c r="AB3008" s="8"/>
      <c r="AC3008" s="27">
        <v>9785160186696</v>
      </c>
    </row>
    <row r="3009" spans="1:29" s="4" customFormat="1" ht="51.9" customHeight="1" x14ac:dyDescent="0.2">
      <c r="A3009" s="5">
        <v>0</v>
      </c>
      <c r="B3009" s="6" t="s">
        <v>17681</v>
      </c>
      <c r="C3009" s="7">
        <v>1804.8</v>
      </c>
      <c r="D3009" s="8" t="s">
        <v>17682</v>
      </c>
      <c r="E3009" s="8" t="s">
        <v>17683</v>
      </c>
      <c r="F3009" s="8" t="s">
        <v>17684</v>
      </c>
      <c r="G3009" s="6" t="s">
        <v>60</v>
      </c>
      <c r="H3009" s="6" t="s">
        <v>134</v>
      </c>
      <c r="I3009" s="8"/>
      <c r="J3009" s="9">
        <v>1</v>
      </c>
      <c r="K3009" s="9">
        <v>288</v>
      </c>
      <c r="L3009" s="9">
        <v>2025</v>
      </c>
      <c r="M3009" s="8" t="s">
        <v>17685</v>
      </c>
      <c r="N3009" s="8" t="s">
        <v>63</v>
      </c>
      <c r="O3009" s="8" t="s">
        <v>64</v>
      </c>
      <c r="P3009" s="6" t="s">
        <v>306</v>
      </c>
      <c r="Q3009" s="8" t="s">
        <v>52</v>
      </c>
      <c r="R3009" s="10" t="s">
        <v>484</v>
      </c>
      <c r="S3009" s="11"/>
      <c r="T3009" s="6"/>
      <c r="U3009" s="15" t="str">
        <f>HYPERLINK("https://media.infra-m.ru/2188/2188274/cover/2188274.jpg", "Обложка")</f>
        <v>Обложка</v>
      </c>
      <c r="V3009" s="8" t="s">
        <v>2095</v>
      </c>
      <c r="W3009" s="6"/>
      <c r="X3009" s="6"/>
      <c r="Y3009" s="6"/>
      <c r="Z3009" s="6"/>
      <c r="AA3009" s="6" t="s">
        <v>115</v>
      </c>
      <c r="AB3009" s="8"/>
      <c r="AC3009" s="27">
        <v>9785917689616</v>
      </c>
    </row>
    <row r="3010" spans="1:29" s="4" customFormat="1" ht="42" customHeight="1" x14ac:dyDescent="0.2">
      <c r="A3010" s="5">
        <v>0</v>
      </c>
      <c r="B3010" s="6" t="s">
        <v>17686</v>
      </c>
      <c r="C3010" s="7">
        <v>2272.8000000000002</v>
      </c>
      <c r="D3010" s="8" t="s">
        <v>17687</v>
      </c>
      <c r="E3010" s="8" t="s">
        <v>17688</v>
      </c>
      <c r="F3010" s="8" t="s">
        <v>17689</v>
      </c>
      <c r="G3010" s="6" t="s">
        <v>60</v>
      </c>
      <c r="H3010" s="6" t="s">
        <v>34</v>
      </c>
      <c r="I3010" s="8"/>
      <c r="J3010" s="9">
        <v>1</v>
      </c>
      <c r="K3010" s="9">
        <v>314</v>
      </c>
      <c r="L3010" s="9">
        <v>2026</v>
      </c>
      <c r="M3010" s="8" t="s">
        <v>17690</v>
      </c>
      <c r="N3010" s="8" t="s">
        <v>243</v>
      </c>
      <c r="O3010" s="8" t="s">
        <v>758</v>
      </c>
      <c r="P3010" s="6" t="s">
        <v>39</v>
      </c>
      <c r="Q3010" s="8" t="s">
        <v>40</v>
      </c>
      <c r="R3010" s="10" t="s">
        <v>5732</v>
      </c>
      <c r="S3010" s="11"/>
      <c r="T3010" s="6"/>
      <c r="U3010" s="15" t="str">
        <f>HYPERLINK("https://media.infra-m.ru/2244/2244311/cover/2244311.jpg", "Обложка")</f>
        <v>Обложка</v>
      </c>
      <c r="V3010" s="8" t="s">
        <v>227</v>
      </c>
      <c r="W3010" s="6"/>
      <c r="X3010" s="6"/>
      <c r="Y3010" s="6"/>
      <c r="Z3010" s="6"/>
      <c r="AA3010" s="6" t="s">
        <v>248</v>
      </c>
      <c r="AB3010" s="8"/>
      <c r="AC3010" s="27">
        <v>9785160091389</v>
      </c>
    </row>
    <row r="3011" spans="1:29" s="4" customFormat="1" ht="42" customHeight="1" x14ac:dyDescent="0.2">
      <c r="A3011" s="5">
        <v>0</v>
      </c>
      <c r="B3011" s="6" t="s">
        <v>17691</v>
      </c>
      <c r="C3011" s="7">
        <v>4196.3999999999996</v>
      </c>
      <c r="D3011" s="8" t="s">
        <v>17692</v>
      </c>
      <c r="E3011" s="8" t="s">
        <v>17693</v>
      </c>
      <c r="F3011" s="8" t="s">
        <v>17694</v>
      </c>
      <c r="G3011" s="6" t="s">
        <v>60</v>
      </c>
      <c r="H3011" s="6" t="s">
        <v>34</v>
      </c>
      <c r="I3011" s="8"/>
      <c r="J3011" s="9">
        <v>1</v>
      </c>
      <c r="K3011" s="9">
        <v>726</v>
      </c>
      <c r="L3011" s="9">
        <v>2026</v>
      </c>
      <c r="M3011" s="8" t="s">
        <v>17695</v>
      </c>
      <c r="N3011" s="8" t="s">
        <v>63</v>
      </c>
      <c r="O3011" s="8" t="s">
        <v>64</v>
      </c>
      <c r="P3011" s="6" t="s">
        <v>10998</v>
      </c>
      <c r="Q3011" s="8" t="s">
        <v>40</v>
      </c>
      <c r="R3011" s="10" t="s">
        <v>17696</v>
      </c>
      <c r="S3011" s="11"/>
      <c r="T3011" s="6"/>
      <c r="U3011" s="15" t="str">
        <f>HYPERLINK("https://media.infra-m.ru/2255/2255884/cover/2255884.jpg", "Обложка")</f>
        <v>Обложка</v>
      </c>
      <c r="V3011" s="8" t="s">
        <v>9149</v>
      </c>
      <c r="W3011" s="6"/>
      <c r="X3011" s="6"/>
      <c r="Y3011" s="6"/>
      <c r="Z3011" s="6"/>
      <c r="AA3011" s="6" t="s">
        <v>430</v>
      </c>
      <c r="AB3011" s="8"/>
      <c r="AC3011" s="27">
        <v>9785160161068</v>
      </c>
    </row>
    <row r="3012" spans="1:29" s="4" customFormat="1" ht="51.9" customHeight="1" x14ac:dyDescent="0.2">
      <c r="A3012" s="5">
        <v>0</v>
      </c>
      <c r="B3012" s="6" t="s">
        <v>17697</v>
      </c>
      <c r="C3012" s="7">
        <v>2436</v>
      </c>
      <c r="D3012" s="8" t="s">
        <v>17698</v>
      </c>
      <c r="E3012" s="8" t="s">
        <v>17699</v>
      </c>
      <c r="F3012" s="8" t="s">
        <v>17700</v>
      </c>
      <c r="G3012" s="6" t="s">
        <v>118</v>
      </c>
      <c r="H3012" s="6" t="s">
        <v>34</v>
      </c>
      <c r="I3012" s="8" t="s">
        <v>253</v>
      </c>
      <c r="J3012" s="9">
        <v>1</v>
      </c>
      <c r="K3012" s="9">
        <v>368</v>
      </c>
      <c r="L3012" s="9">
        <v>2026</v>
      </c>
      <c r="M3012" s="8" t="s">
        <v>17701</v>
      </c>
      <c r="N3012" s="8" t="s">
        <v>243</v>
      </c>
      <c r="O3012" s="8" t="s">
        <v>1100</v>
      </c>
      <c r="P3012" s="6" t="s">
        <v>306</v>
      </c>
      <c r="Q3012" s="8" t="s">
        <v>65</v>
      </c>
      <c r="R3012" s="10" t="s">
        <v>8947</v>
      </c>
      <c r="S3012" s="11" t="s">
        <v>17702</v>
      </c>
      <c r="T3012" s="6" t="s">
        <v>97</v>
      </c>
      <c r="U3012" s="15" t="str">
        <f>HYPERLINK("https://media.infra-m.ru/2257/2257159/cover/2257159.jpg", "Обложка")</f>
        <v>Обложка</v>
      </c>
      <c r="V3012" s="8" t="s">
        <v>1030</v>
      </c>
      <c r="W3012" s="6"/>
      <c r="X3012" s="6"/>
      <c r="Y3012" s="6"/>
      <c r="Z3012" s="6"/>
      <c r="AA3012" s="6" t="s">
        <v>779</v>
      </c>
      <c r="AB3012" s="8"/>
      <c r="AC3012" s="27">
        <v>9785160189291</v>
      </c>
    </row>
    <row r="3013" spans="1:29" s="4" customFormat="1" ht="51.9" customHeight="1" x14ac:dyDescent="0.2">
      <c r="A3013" s="5">
        <v>0</v>
      </c>
      <c r="B3013" s="6" t="s">
        <v>17703</v>
      </c>
      <c r="C3013" s="7">
        <v>1588.8</v>
      </c>
      <c r="D3013" s="8" t="s">
        <v>17704</v>
      </c>
      <c r="E3013" s="8" t="s">
        <v>17705</v>
      </c>
      <c r="F3013" s="8" t="s">
        <v>17706</v>
      </c>
      <c r="G3013" s="6" t="s">
        <v>118</v>
      </c>
      <c r="H3013" s="6" t="s">
        <v>34</v>
      </c>
      <c r="I3013" s="8" t="s">
        <v>271</v>
      </c>
      <c r="J3013" s="9">
        <v>1</v>
      </c>
      <c r="K3013" s="9">
        <v>240</v>
      </c>
      <c r="L3013" s="9">
        <v>2026</v>
      </c>
      <c r="M3013" s="8" t="s">
        <v>17707</v>
      </c>
      <c r="N3013" s="8" t="s">
        <v>243</v>
      </c>
      <c r="O3013" s="8" t="s">
        <v>1100</v>
      </c>
      <c r="P3013" s="6" t="s">
        <v>51</v>
      </c>
      <c r="Q3013" s="8" t="s">
        <v>52</v>
      </c>
      <c r="R3013" s="10" t="s">
        <v>8947</v>
      </c>
      <c r="S3013" s="11" t="s">
        <v>17708</v>
      </c>
      <c r="T3013" s="6"/>
      <c r="U3013" s="15" t="str">
        <f>HYPERLINK("https://media.infra-m.ru/2251/2251946/cover/2251946.jpg", "Обложка")</f>
        <v>Обложка</v>
      </c>
      <c r="V3013" s="8" t="s">
        <v>1030</v>
      </c>
      <c r="W3013" s="6"/>
      <c r="X3013" s="6"/>
      <c r="Y3013" s="6"/>
      <c r="Z3013" s="6"/>
      <c r="AA3013" s="6" t="s">
        <v>274</v>
      </c>
      <c r="AB3013" s="8"/>
      <c r="AC3013" s="27">
        <v>9785160104492</v>
      </c>
    </row>
    <row r="3014" spans="1:29" s="4" customFormat="1" ht="51.9" customHeight="1" x14ac:dyDescent="0.2">
      <c r="A3014" s="5">
        <v>0</v>
      </c>
      <c r="B3014" s="6" t="s">
        <v>17709</v>
      </c>
      <c r="C3014" s="7">
        <v>1588.8</v>
      </c>
      <c r="D3014" s="8" t="s">
        <v>17710</v>
      </c>
      <c r="E3014" s="8" t="s">
        <v>17705</v>
      </c>
      <c r="F3014" s="8" t="s">
        <v>17706</v>
      </c>
      <c r="G3014" s="6" t="s">
        <v>118</v>
      </c>
      <c r="H3014" s="6" t="s">
        <v>34</v>
      </c>
      <c r="I3014" s="8" t="s">
        <v>263</v>
      </c>
      <c r="J3014" s="9">
        <v>1</v>
      </c>
      <c r="K3014" s="9">
        <v>240</v>
      </c>
      <c r="L3014" s="9">
        <v>2026</v>
      </c>
      <c r="M3014" s="8" t="s">
        <v>17711</v>
      </c>
      <c r="N3014" s="8" t="s">
        <v>243</v>
      </c>
      <c r="O3014" s="8" t="s">
        <v>1100</v>
      </c>
      <c r="P3014" s="6" t="s">
        <v>51</v>
      </c>
      <c r="Q3014" s="8" t="s">
        <v>265</v>
      </c>
      <c r="R3014" s="10" t="s">
        <v>17712</v>
      </c>
      <c r="S3014" s="11" t="s">
        <v>17616</v>
      </c>
      <c r="T3014" s="6"/>
      <c r="U3014" s="15" t="str">
        <f>HYPERLINK("https://media.infra-m.ru/2251/2251947/cover/2251947.jpg", "Обложка")</f>
        <v>Обложка</v>
      </c>
      <c r="V3014" s="8" t="s">
        <v>1030</v>
      </c>
      <c r="W3014" s="6"/>
      <c r="X3014" s="6"/>
      <c r="Y3014" s="6"/>
      <c r="Z3014" s="6" t="s">
        <v>267</v>
      </c>
      <c r="AA3014" s="6" t="s">
        <v>115</v>
      </c>
      <c r="AB3014" s="8"/>
      <c r="AC3014" s="27">
        <v>9785160141633</v>
      </c>
    </row>
    <row r="3015" spans="1:29" s="4" customFormat="1" ht="42" customHeight="1" x14ac:dyDescent="0.2">
      <c r="A3015" s="5">
        <v>0</v>
      </c>
      <c r="B3015" s="6" t="s">
        <v>17713</v>
      </c>
      <c r="C3015" s="7">
        <v>1492.8</v>
      </c>
      <c r="D3015" s="8" t="s">
        <v>17714</v>
      </c>
      <c r="E3015" s="8" t="s">
        <v>17705</v>
      </c>
      <c r="F3015" s="8" t="s">
        <v>17706</v>
      </c>
      <c r="G3015" s="6" t="s">
        <v>118</v>
      </c>
      <c r="H3015" s="6" t="s">
        <v>34</v>
      </c>
      <c r="I3015" s="8" t="s">
        <v>179</v>
      </c>
      <c r="J3015" s="9">
        <v>1</v>
      </c>
      <c r="K3015" s="9">
        <v>240</v>
      </c>
      <c r="L3015" s="9">
        <v>2025</v>
      </c>
      <c r="M3015" s="8" t="s">
        <v>17715</v>
      </c>
      <c r="N3015" s="8" t="s">
        <v>243</v>
      </c>
      <c r="O3015" s="8" t="s">
        <v>1100</v>
      </c>
      <c r="P3015" s="6" t="s">
        <v>182</v>
      </c>
      <c r="Q3015" s="8"/>
      <c r="R3015" s="10" t="s">
        <v>17716</v>
      </c>
      <c r="S3015" s="11"/>
      <c r="T3015" s="6" t="s">
        <v>97</v>
      </c>
      <c r="U3015" s="15" t="str">
        <f>HYPERLINK("https://media.infra-m.ru/2217/2217146/cover/2217146.jpg", "Обложка")</f>
        <v>Обложка</v>
      </c>
      <c r="V3015" s="8" t="s">
        <v>1030</v>
      </c>
      <c r="W3015" s="6"/>
      <c r="X3015" s="6"/>
      <c r="Y3015" s="6"/>
      <c r="Z3015" s="6"/>
      <c r="AA3015" s="6" t="s">
        <v>68</v>
      </c>
      <c r="AB3015" s="8"/>
      <c r="AC3015" s="27">
        <v>9785160204932</v>
      </c>
    </row>
    <row r="3016" spans="1:29" s="4" customFormat="1" ht="51.9" customHeight="1" x14ac:dyDescent="0.2">
      <c r="A3016" s="5">
        <v>0</v>
      </c>
      <c r="B3016" s="6" t="s">
        <v>17717</v>
      </c>
      <c r="C3016" s="7">
        <v>1828.8</v>
      </c>
      <c r="D3016" s="8" t="s">
        <v>17718</v>
      </c>
      <c r="E3016" s="8" t="s">
        <v>17719</v>
      </c>
      <c r="F3016" s="8" t="s">
        <v>12982</v>
      </c>
      <c r="G3016" s="6" t="s">
        <v>60</v>
      </c>
      <c r="H3016" s="6" t="s">
        <v>1042</v>
      </c>
      <c r="I3016" s="8" t="s">
        <v>35</v>
      </c>
      <c r="J3016" s="9">
        <v>1</v>
      </c>
      <c r="K3016" s="9">
        <v>336</v>
      </c>
      <c r="L3016" s="9">
        <v>2023</v>
      </c>
      <c r="M3016" s="8" t="s">
        <v>17720</v>
      </c>
      <c r="N3016" s="8" t="s">
        <v>63</v>
      </c>
      <c r="O3016" s="8" t="s">
        <v>64</v>
      </c>
      <c r="P3016" s="6" t="s">
        <v>39</v>
      </c>
      <c r="Q3016" s="8" t="s">
        <v>40</v>
      </c>
      <c r="R3016" s="10" t="s">
        <v>17721</v>
      </c>
      <c r="S3016" s="11"/>
      <c r="T3016" s="6"/>
      <c r="U3016" s="15" t="str">
        <f>HYPERLINK("https://media.infra-m.ru/2006/2006069/cover/2006069.jpg", "Обложка")</f>
        <v>Обложка</v>
      </c>
      <c r="V3016" s="8" t="s">
        <v>396</v>
      </c>
      <c r="W3016" s="6"/>
      <c r="X3016" s="6"/>
      <c r="Y3016" s="6"/>
      <c r="Z3016" s="6"/>
      <c r="AA3016" s="6" t="s">
        <v>99</v>
      </c>
      <c r="AB3016" s="8"/>
      <c r="AC3016" s="27">
        <v>9785819906828</v>
      </c>
    </row>
    <row r="3017" spans="1:29" s="4" customFormat="1" ht="42" customHeight="1" x14ac:dyDescent="0.2">
      <c r="A3017" s="5">
        <v>0</v>
      </c>
      <c r="B3017" s="6" t="s">
        <v>17722</v>
      </c>
      <c r="C3017" s="13">
        <v>996</v>
      </c>
      <c r="D3017" s="8" t="s">
        <v>17723</v>
      </c>
      <c r="E3017" s="8" t="s">
        <v>17724</v>
      </c>
      <c r="F3017" s="8" t="s">
        <v>17725</v>
      </c>
      <c r="G3017" s="6" t="s">
        <v>60</v>
      </c>
      <c r="H3017" s="6" t="s">
        <v>34</v>
      </c>
      <c r="I3017" s="8" t="s">
        <v>1248</v>
      </c>
      <c r="J3017" s="9">
        <v>1</v>
      </c>
      <c r="K3017" s="9">
        <v>129</v>
      </c>
      <c r="L3017" s="9">
        <v>2026</v>
      </c>
      <c r="M3017" s="8" t="s">
        <v>17726</v>
      </c>
      <c r="N3017" s="8" t="s">
        <v>63</v>
      </c>
      <c r="O3017" s="8" t="s">
        <v>64</v>
      </c>
      <c r="P3017" s="6" t="s">
        <v>105</v>
      </c>
      <c r="Q3017" s="8" t="s">
        <v>65</v>
      </c>
      <c r="R3017" s="10" t="s">
        <v>17727</v>
      </c>
      <c r="S3017" s="11"/>
      <c r="T3017" s="6"/>
      <c r="U3017" s="15" t="str">
        <f>HYPERLINK("https://media.infra-m.ru/2223/2223577/cover/2223577.jpg", "Обложка")</f>
        <v>Обложка</v>
      </c>
      <c r="V3017" s="8" t="s">
        <v>1083</v>
      </c>
      <c r="W3017" s="6" t="s">
        <v>186</v>
      </c>
      <c r="X3017" s="6"/>
      <c r="Y3017" s="6"/>
      <c r="Z3017" s="6"/>
      <c r="AA3017" s="6" t="s">
        <v>187</v>
      </c>
      <c r="AB3017" s="8"/>
      <c r="AC3017" s="27">
        <v>9785160213958</v>
      </c>
    </row>
    <row r="3018" spans="1:29" s="4" customFormat="1" ht="51.9" customHeight="1" x14ac:dyDescent="0.2">
      <c r="A3018" s="5">
        <v>0</v>
      </c>
      <c r="B3018" s="6" t="s">
        <v>17728</v>
      </c>
      <c r="C3018" s="13">
        <v>581.9</v>
      </c>
      <c r="D3018" s="8" t="s">
        <v>17729</v>
      </c>
      <c r="E3018" s="8" t="s">
        <v>17730</v>
      </c>
      <c r="F3018" s="8" t="s">
        <v>17731</v>
      </c>
      <c r="G3018" s="6" t="s">
        <v>33</v>
      </c>
      <c r="H3018" s="6" t="s">
        <v>34</v>
      </c>
      <c r="I3018" s="8" t="s">
        <v>35</v>
      </c>
      <c r="J3018" s="9">
        <v>1</v>
      </c>
      <c r="K3018" s="9">
        <v>108</v>
      </c>
      <c r="L3018" s="9">
        <v>2023</v>
      </c>
      <c r="M3018" s="8" t="s">
        <v>17732</v>
      </c>
      <c r="N3018" s="8" t="s">
        <v>63</v>
      </c>
      <c r="O3018" s="8" t="s">
        <v>64</v>
      </c>
      <c r="P3018" s="6" t="s">
        <v>39</v>
      </c>
      <c r="Q3018" s="8" t="s">
        <v>40</v>
      </c>
      <c r="R3018" s="10" t="s">
        <v>17733</v>
      </c>
      <c r="S3018" s="11"/>
      <c r="T3018" s="6"/>
      <c r="U3018" s="15" t="str">
        <f>HYPERLINK("https://media.infra-m.ru/1907/1907367/cover/1907367.jpg", "Обложка")</f>
        <v>Обложка</v>
      </c>
      <c r="V3018" s="8" t="s">
        <v>156</v>
      </c>
      <c r="W3018" s="6"/>
      <c r="X3018" s="6"/>
      <c r="Y3018" s="6"/>
      <c r="Z3018" s="6"/>
      <c r="AA3018" s="6" t="s">
        <v>55</v>
      </c>
      <c r="AB3018" s="8"/>
      <c r="AC3018" s="27">
        <v>9785160089737</v>
      </c>
    </row>
    <row r="3019" spans="1:29" s="4" customFormat="1" ht="51.9" customHeight="1" x14ac:dyDescent="0.2">
      <c r="A3019" s="5">
        <v>0</v>
      </c>
      <c r="B3019" s="6" t="s">
        <v>17734</v>
      </c>
      <c r="C3019" s="7">
        <v>1140</v>
      </c>
      <c r="D3019" s="8" t="s">
        <v>17735</v>
      </c>
      <c r="E3019" s="8" t="s">
        <v>17736</v>
      </c>
      <c r="F3019" s="8" t="s">
        <v>17737</v>
      </c>
      <c r="G3019" s="6" t="s">
        <v>118</v>
      </c>
      <c r="H3019" s="6" t="s">
        <v>34</v>
      </c>
      <c r="I3019" s="8" t="s">
        <v>253</v>
      </c>
      <c r="J3019" s="9">
        <v>1</v>
      </c>
      <c r="K3019" s="9">
        <v>172</v>
      </c>
      <c r="L3019" s="9">
        <v>2026</v>
      </c>
      <c r="M3019" s="8" t="s">
        <v>17738</v>
      </c>
      <c r="N3019" s="8" t="s">
        <v>63</v>
      </c>
      <c r="O3019" s="8" t="s">
        <v>64</v>
      </c>
      <c r="P3019" s="6" t="s">
        <v>51</v>
      </c>
      <c r="Q3019" s="8" t="s">
        <v>500</v>
      </c>
      <c r="R3019" s="10" t="s">
        <v>17739</v>
      </c>
      <c r="S3019" s="11" t="s">
        <v>17740</v>
      </c>
      <c r="T3019" s="6"/>
      <c r="U3019" s="15" t="str">
        <f>HYPERLINK("https://media.infra-m.ru/2227/2227183/cover/2227183.jpg", "Обложка")</f>
        <v>Обложка</v>
      </c>
      <c r="V3019" s="8" t="s">
        <v>17741</v>
      </c>
      <c r="W3019" s="6"/>
      <c r="X3019" s="6"/>
      <c r="Y3019" s="6"/>
      <c r="Z3019" s="6"/>
      <c r="AA3019" s="6" t="s">
        <v>86</v>
      </c>
      <c r="AB3019" s="8"/>
      <c r="AC3019" s="27">
        <v>9785160215693</v>
      </c>
    </row>
    <row r="3020" spans="1:29" s="4" customFormat="1" ht="51.9" customHeight="1" x14ac:dyDescent="0.2">
      <c r="A3020" s="5">
        <v>0</v>
      </c>
      <c r="B3020" s="6" t="s">
        <v>17742</v>
      </c>
      <c r="C3020" s="7">
        <v>3268.8</v>
      </c>
      <c r="D3020" s="8" t="s">
        <v>17743</v>
      </c>
      <c r="E3020" s="8" t="s">
        <v>17744</v>
      </c>
      <c r="F3020" s="8" t="s">
        <v>17745</v>
      </c>
      <c r="G3020" s="6" t="s">
        <v>60</v>
      </c>
      <c r="H3020" s="6" t="s">
        <v>34</v>
      </c>
      <c r="I3020" s="8"/>
      <c r="J3020" s="9">
        <v>1</v>
      </c>
      <c r="K3020" s="9">
        <v>495</v>
      </c>
      <c r="L3020" s="9">
        <v>2026</v>
      </c>
      <c r="M3020" s="8" t="s">
        <v>17746</v>
      </c>
      <c r="N3020" s="8" t="s">
        <v>243</v>
      </c>
      <c r="O3020" s="8" t="s">
        <v>1100</v>
      </c>
      <c r="P3020" s="6" t="s">
        <v>39</v>
      </c>
      <c r="Q3020" s="8" t="s">
        <v>40</v>
      </c>
      <c r="R3020" s="10" t="s">
        <v>17747</v>
      </c>
      <c r="S3020" s="11"/>
      <c r="T3020" s="6"/>
      <c r="U3020" s="15" t="str">
        <f>HYPERLINK("https://media.infra-m.ru/2234/2234434/cover/2234434.jpg", "Обложка")</f>
        <v>Обложка</v>
      </c>
      <c r="V3020" s="8" t="s">
        <v>588</v>
      </c>
      <c r="W3020" s="6"/>
      <c r="X3020" s="6"/>
      <c r="Y3020" s="6"/>
      <c r="Z3020" s="6"/>
      <c r="AA3020" s="6" t="s">
        <v>157</v>
      </c>
      <c r="AB3020" s="8"/>
      <c r="AC3020" s="27">
        <v>9785160181455</v>
      </c>
    </row>
    <row r="3021" spans="1:29" s="4" customFormat="1" ht="51.9" customHeight="1" x14ac:dyDescent="0.2">
      <c r="A3021" s="5">
        <v>0</v>
      </c>
      <c r="B3021" s="6" t="s">
        <v>17748</v>
      </c>
      <c r="C3021" s="13">
        <v>365.9</v>
      </c>
      <c r="D3021" s="8" t="s">
        <v>17749</v>
      </c>
      <c r="E3021" s="8" t="s">
        <v>17750</v>
      </c>
      <c r="F3021" s="8" t="s">
        <v>17751</v>
      </c>
      <c r="G3021" s="6" t="s">
        <v>33</v>
      </c>
      <c r="H3021" s="6" t="s">
        <v>34</v>
      </c>
      <c r="I3021" s="8" t="s">
        <v>271</v>
      </c>
      <c r="J3021" s="9">
        <v>1</v>
      </c>
      <c r="K3021" s="9">
        <v>90</v>
      </c>
      <c r="L3021" s="9">
        <v>2020</v>
      </c>
      <c r="M3021" s="8" t="s">
        <v>17752</v>
      </c>
      <c r="N3021" s="8" t="s">
        <v>585</v>
      </c>
      <c r="O3021" s="8" t="s">
        <v>667</v>
      </c>
      <c r="P3021" s="6" t="s">
        <v>51</v>
      </c>
      <c r="Q3021" s="8" t="s">
        <v>52</v>
      </c>
      <c r="R3021" s="10" t="s">
        <v>9690</v>
      </c>
      <c r="S3021" s="11" t="s">
        <v>17753</v>
      </c>
      <c r="T3021" s="6"/>
      <c r="U3021" s="15" t="str">
        <f>HYPERLINK("https://media.infra-m.ru/1078/1078981/cover/1078981.jpg", "Обложка")</f>
        <v>Обложка</v>
      </c>
      <c r="V3021" s="8" t="s">
        <v>6090</v>
      </c>
      <c r="W3021" s="6"/>
      <c r="X3021" s="6"/>
      <c r="Y3021" s="6"/>
      <c r="Z3021" s="6"/>
      <c r="AA3021" s="6" t="s">
        <v>43</v>
      </c>
      <c r="AB3021" s="8"/>
      <c r="AC3021" s="27">
        <v>9785160055596</v>
      </c>
    </row>
    <row r="3022" spans="1:29" s="4" customFormat="1" ht="51.9" customHeight="1" x14ac:dyDescent="0.2">
      <c r="A3022" s="5">
        <v>0</v>
      </c>
      <c r="B3022" s="6" t="s">
        <v>17754</v>
      </c>
      <c r="C3022" s="7">
        <v>1284</v>
      </c>
      <c r="D3022" s="8" t="s">
        <v>17755</v>
      </c>
      <c r="E3022" s="8" t="s">
        <v>17756</v>
      </c>
      <c r="F3022" s="8" t="s">
        <v>4951</v>
      </c>
      <c r="G3022" s="6" t="s">
        <v>118</v>
      </c>
      <c r="H3022" s="6" t="s">
        <v>134</v>
      </c>
      <c r="I3022" s="8"/>
      <c r="J3022" s="9">
        <v>1</v>
      </c>
      <c r="K3022" s="9">
        <v>188</v>
      </c>
      <c r="L3022" s="9">
        <v>2026</v>
      </c>
      <c r="M3022" s="8" t="s">
        <v>17757</v>
      </c>
      <c r="N3022" s="8" t="s">
        <v>37</v>
      </c>
      <c r="O3022" s="8" t="s">
        <v>136</v>
      </c>
      <c r="P3022" s="6" t="s">
        <v>51</v>
      </c>
      <c r="Q3022" s="8" t="s">
        <v>65</v>
      </c>
      <c r="R3022" s="10" t="s">
        <v>7447</v>
      </c>
      <c r="S3022" s="11"/>
      <c r="T3022" s="6"/>
      <c r="U3022" s="15" t="str">
        <f>HYPERLINK("https://media.infra-m.ru/2244/2244438/cover/2244438.jpg", "Обложка")</f>
        <v>Обложка</v>
      </c>
      <c r="V3022" s="8" t="s">
        <v>1184</v>
      </c>
      <c r="W3022" s="6"/>
      <c r="X3022" s="6"/>
      <c r="Y3022" s="6"/>
      <c r="Z3022" s="6"/>
      <c r="AA3022" s="6" t="s">
        <v>99</v>
      </c>
      <c r="AB3022" s="8"/>
      <c r="AC3022" s="27">
        <v>9785917687063</v>
      </c>
    </row>
    <row r="3023" spans="1:29" s="4" customFormat="1" ht="42" customHeight="1" x14ac:dyDescent="0.2">
      <c r="A3023" s="5">
        <v>0</v>
      </c>
      <c r="B3023" s="6" t="s">
        <v>17758</v>
      </c>
      <c r="C3023" s="7">
        <v>2452.8000000000002</v>
      </c>
      <c r="D3023" s="8" t="s">
        <v>17759</v>
      </c>
      <c r="E3023" s="8" t="s">
        <v>17760</v>
      </c>
      <c r="F3023" s="8" t="s">
        <v>13084</v>
      </c>
      <c r="G3023" s="6" t="s">
        <v>60</v>
      </c>
      <c r="H3023" s="6" t="s">
        <v>134</v>
      </c>
      <c r="I3023" s="8"/>
      <c r="J3023" s="9">
        <v>1</v>
      </c>
      <c r="K3023" s="9">
        <v>392</v>
      </c>
      <c r="L3023" s="9">
        <v>2026</v>
      </c>
      <c r="M3023" s="8" t="s">
        <v>17761</v>
      </c>
      <c r="N3023" s="8" t="s">
        <v>63</v>
      </c>
      <c r="O3023" s="8" t="s">
        <v>126</v>
      </c>
      <c r="P3023" s="6" t="s">
        <v>17762</v>
      </c>
      <c r="Q3023" s="8" t="s">
        <v>52</v>
      </c>
      <c r="R3023" s="10" t="s">
        <v>17763</v>
      </c>
      <c r="S3023" s="11"/>
      <c r="T3023" s="6"/>
      <c r="U3023" s="15" t="str">
        <f>HYPERLINK("https://media.infra-m.ru/2220/2220731/cover/2220731.jpg", "Обложка")</f>
        <v>Обложка</v>
      </c>
      <c r="V3023" s="8" t="s">
        <v>1184</v>
      </c>
      <c r="W3023" s="6"/>
      <c r="X3023" s="6"/>
      <c r="Y3023" s="6"/>
      <c r="Z3023" s="6"/>
      <c r="AA3023" s="6" t="s">
        <v>157</v>
      </c>
      <c r="AB3023" s="8"/>
      <c r="AC3023" s="27">
        <v>9785001562887</v>
      </c>
    </row>
    <row r="3024" spans="1:29" s="4" customFormat="1" ht="51.9" customHeight="1" x14ac:dyDescent="0.2">
      <c r="A3024" s="5">
        <v>0</v>
      </c>
      <c r="B3024" s="6" t="s">
        <v>17764</v>
      </c>
      <c r="C3024" s="13">
        <v>892.8</v>
      </c>
      <c r="D3024" s="8" t="s">
        <v>17765</v>
      </c>
      <c r="E3024" s="8" t="s">
        <v>17766</v>
      </c>
      <c r="F3024" s="8" t="s">
        <v>17767</v>
      </c>
      <c r="G3024" s="6" t="s">
        <v>33</v>
      </c>
      <c r="H3024" s="6" t="s">
        <v>34</v>
      </c>
      <c r="I3024" s="8" t="s">
        <v>271</v>
      </c>
      <c r="J3024" s="9">
        <v>1</v>
      </c>
      <c r="K3024" s="9">
        <v>158</v>
      </c>
      <c r="L3024" s="9">
        <v>2024</v>
      </c>
      <c r="M3024" s="8" t="s">
        <v>17768</v>
      </c>
      <c r="N3024" s="8" t="s">
        <v>585</v>
      </c>
      <c r="O3024" s="8" t="s">
        <v>667</v>
      </c>
      <c r="P3024" s="6" t="s">
        <v>51</v>
      </c>
      <c r="Q3024" s="8" t="s">
        <v>52</v>
      </c>
      <c r="R3024" s="10" t="s">
        <v>17769</v>
      </c>
      <c r="S3024" s="11" t="s">
        <v>6108</v>
      </c>
      <c r="T3024" s="6"/>
      <c r="U3024" s="15" t="str">
        <f>HYPERLINK("https://media.infra-m.ru/2084/2084550/cover/2084550.jpg", "Обложка")</f>
        <v>Обложка</v>
      </c>
      <c r="V3024" s="8" t="s">
        <v>6090</v>
      </c>
      <c r="W3024" s="6"/>
      <c r="X3024" s="6"/>
      <c r="Y3024" s="6"/>
      <c r="Z3024" s="6"/>
      <c r="AA3024" s="6" t="s">
        <v>55</v>
      </c>
      <c r="AB3024" s="8"/>
      <c r="AC3024" s="27">
        <v>9785160061085</v>
      </c>
    </row>
    <row r="3025" spans="1:29" s="4" customFormat="1" ht="51.9" customHeight="1" x14ac:dyDescent="0.2">
      <c r="A3025" s="5">
        <v>0</v>
      </c>
      <c r="B3025" s="6" t="s">
        <v>17770</v>
      </c>
      <c r="C3025" s="7">
        <v>1828.8</v>
      </c>
      <c r="D3025" s="8" t="s">
        <v>17771</v>
      </c>
      <c r="E3025" s="8" t="s">
        <v>17772</v>
      </c>
      <c r="F3025" s="8" t="s">
        <v>17773</v>
      </c>
      <c r="G3025" s="6" t="s">
        <v>60</v>
      </c>
      <c r="H3025" s="6" t="s">
        <v>34</v>
      </c>
      <c r="I3025" s="8" t="s">
        <v>1128</v>
      </c>
      <c r="J3025" s="9">
        <v>1</v>
      </c>
      <c r="K3025" s="9">
        <v>277</v>
      </c>
      <c r="L3025" s="9">
        <v>2026</v>
      </c>
      <c r="M3025" s="8" t="s">
        <v>17774</v>
      </c>
      <c r="N3025" s="8" t="s">
        <v>243</v>
      </c>
      <c r="O3025" s="8" t="s">
        <v>1100</v>
      </c>
      <c r="P3025" s="6" t="s">
        <v>51</v>
      </c>
      <c r="Q3025" s="8" t="s">
        <v>65</v>
      </c>
      <c r="R3025" s="10" t="s">
        <v>17775</v>
      </c>
      <c r="S3025" s="11" t="s">
        <v>17776</v>
      </c>
      <c r="T3025" s="6"/>
      <c r="U3025" s="15" t="str">
        <f>HYPERLINK("https://media.infra-m.ru/2246/2246892/cover/2246892.jpg", "Обложка")</f>
        <v>Обложка</v>
      </c>
      <c r="V3025" s="8" t="s">
        <v>1132</v>
      </c>
      <c r="W3025" s="6"/>
      <c r="X3025" s="6"/>
      <c r="Y3025" s="6"/>
      <c r="Z3025" s="6"/>
      <c r="AA3025" s="6" t="s">
        <v>157</v>
      </c>
      <c r="AB3025" s="8"/>
      <c r="AC3025" s="27">
        <v>9785160184159</v>
      </c>
    </row>
    <row r="3026" spans="1:29" s="4" customFormat="1" ht="51.9" customHeight="1" x14ac:dyDescent="0.2">
      <c r="A3026" s="5">
        <v>0</v>
      </c>
      <c r="B3026" s="6" t="s">
        <v>17777</v>
      </c>
      <c r="C3026" s="7">
        <v>2304</v>
      </c>
      <c r="D3026" s="8" t="s">
        <v>17778</v>
      </c>
      <c r="E3026" s="8" t="s">
        <v>17779</v>
      </c>
      <c r="F3026" s="8" t="s">
        <v>13696</v>
      </c>
      <c r="G3026" s="6" t="s">
        <v>118</v>
      </c>
      <c r="H3026" s="6" t="s">
        <v>34</v>
      </c>
      <c r="I3026" s="8" t="s">
        <v>253</v>
      </c>
      <c r="J3026" s="9">
        <v>1</v>
      </c>
      <c r="K3026" s="9">
        <v>348</v>
      </c>
      <c r="L3026" s="9">
        <v>2026</v>
      </c>
      <c r="M3026" s="8" t="s">
        <v>17780</v>
      </c>
      <c r="N3026" s="8" t="s">
        <v>243</v>
      </c>
      <c r="O3026" s="8" t="s">
        <v>1100</v>
      </c>
      <c r="P3026" s="6" t="s">
        <v>306</v>
      </c>
      <c r="Q3026" s="8" t="s">
        <v>65</v>
      </c>
      <c r="R3026" s="10" t="s">
        <v>17781</v>
      </c>
      <c r="S3026" s="11" t="s">
        <v>17782</v>
      </c>
      <c r="T3026" s="6"/>
      <c r="U3026" s="15" t="str">
        <f>HYPERLINK("https://media.infra-m.ru/2242/2242899/cover/2242899.jpg", "Обложка")</f>
        <v>Обложка</v>
      </c>
      <c r="V3026" s="8" t="s">
        <v>13700</v>
      </c>
      <c r="W3026" s="6"/>
      <c r="X3026" s="6"/>
      <c r="Y3026" s="6"/>
      <c r="Z3026" s="6"/>
      <c r="AA3026" s="6" t="s">
        <v>99</v>
      </c>
      <c r="AB3026" s="8"/>
      <c r="AC3026" s="27">
        <v>9785160121253</v>
      </c>
    </row>
    <row r="3027" spans="1:29" s="4" customFormat="1" ht="51.9" customHeight="1" x14ac:dyDescent="0.2">
      <c r="A3027" s="5">
        <v>0</v>
      </c>
      <c r="B3027" s="6" t="s">
        <v>17783</v>
      </c>
      <c r="C3027" s="7">
        <v>2304</v>
      </c>
      <c r="D3027" s="8" t="s">
        <v>17784</v>
      </c>
      <c r="E3027" s="8" t="s">
        <v>17779</v>
      </c>
      <c r="F3027" s="8" t="s">
        <v>13696</v>
      </c>
      <c r="G3027" s="6" t="s">
        <v>118</v>
      </c>
      <c r="H3027" s="6" t="s">
        <v>34</v>
      </c>
      <c r="I3027" s="8" t="s">
        <v>263</v>
      </c>
      <c r="J3027" s="9">
        <v>1</v>
      </c>
      <c r="K3027" s="9">
        <v>348</v>
      </c>
      <c r="L3027" s="9">
        <v>2026</v>
      </c>
      <c r="M3027" s="8" t="s">
        <v>17785</v>
      </c>
      <c r="N3027" s="8" t="s">
        <v>243</v>
      </c>
      <c r="O3027" s="8" t="s">
        <v>1100</v>
      </c>
      <c r="P3027" s="6" t="s">
        <v>306</v>
      </c>
      <c r="Q3027" s="8" t="s">
        <v>265</v>
      </c>
      <c r="R3027" s="10" t="s">
        <v>17786</v>
      </c>
      <c r="S3027" s="11" t="s">
        <v>17787</v>
      </c>
      <c r="T3027" s="6"/>
      <c r="U3027" s="15" t="str">
        <f>HYPERLINK("https://media.infra-m.ru/2242/2242883/cover/2242883.jpg", "Обложка")</f>
        <v>Обложка</v>
      </c>
      <c r="V3027" s="8" t="s">
        <v>13700</v>
      </c>
      <c r="W3027" s="6"/>
      <c r="X3027" s="6"/>
      <c r="Y3027" s="6"/>
      <c r="Z3027" s="6" t="s">
        <v>882</v>
      </c>
      <c r="AA3027" s="6" t="s">
        <v>1256</v>
      </c>
      <c r="AB3027" s="8"/>
      <c r="AC3027" s="27">
        <v>9785160158976</v>
      </c>
    </row>
    <row r="3028" spans="1:29" s="4" customFormat="1" ht="51.9" customHeight="1" x14ac:dyDescent="0.2">
      <c r="A3028" s="5">
        <v>0</v>
      </c>
      <c r="B3028" s="6" t="s">
        <v>17788</v>
      </c>
      <c r="C3028" s="7">
        <v>1512</v>
      </c>
      <c r="D3028" s="8" t="s">
        <v>17789</v>
      </c>
      <c r="E3028" s="8" t="s">
        <v>17790</v>
      </c>
      <c r="F3028" s="8" t="s">
        <v>9223</v>
      </c>
      <c r="G3028" s="6" t="s">
        <v>118</v>
      </c>
      <c r="H3028" s="6" t="s">
        <v>34</v>
      </c>
      <c r="I3028" s="8" t="s">
        <v>271</v>
      </c>
      <c r="J3028" s="9">
        <v>1</v>
      </c>
      <c r="K3028" s="9">
        <v>280</v>
      </c>
      <c r="L3028" s="9">
        <v>2022</v>
      </c>
      <c r="M3028" s="8" t="s">
        <v>17791</v>
      </c>
      <c r="N3028" s="8" t="s">
        <v>243</v>
      </c>
      <c r="O3028" s="8" t="s">
        <v>1100</v>
      </c>
      <c r="P3028" s="6" t="s">
        <v>51</v>
      </c>
      <c r="Q3028" s="8" t="s">
        <v>52</v>
      </c>
      <c r="R3028" s="10" t="s">
        <v>17775</v>
      </c>
      <c r="S3028" s="11" t="s">
        <v>17792</v>
      </c>
      <c r="T3028" s="6"/>
      <c r="U3028" s="15" t="str">
        <f>HYPERLINK("https://media.infra-m.ru/1948/1948186/cover/1948186.jpg", "Обложка")</f>
        <v>Обложка</v>
      </c>
      <c r="V3028" s="8" t="s">
        <v>9227</v>
      </c>
      <c r="W3028" s="6"/>
      <c r="X3028" s="6"/>
      <c r="Y3028" s="6"/>
      <c r="Z3028" s="6"/>
      <c r="AA3028" s="6" t="s">
        <v>148</v>
      </c>
      <c r="AB3028" s="8"/>
      <c r="AC3028" s="27">
        <v>9785160158273</v>
      </c>
    </row>
    <row r="3029" spans="1:29" s="4" customFormat="1" ht="51.9" customHeight="1" x14ac:dyDescent="0.2">
      <c r="A3029" s="5">
        <v>0</v>
      </c>
      <c r="B3029" s="6" t="s">
        <v>17793</v>
      </c>
      <c r="C3029" s="7">
        <v>1852.8</v>
      </c>
      <c r="D3029" s="8" t="s">
        <v>17794</v>
      </c>
      <c r="E3029" s="8" t="s">
        <v>17790</v>
      </c>
      <c r="F3029" s="8" t="s">
        <v>9223</v>
      </c>
      <c r="G3029" s="6" t="s">
        <v>60</v>
      </c>
      <c r="H3029" s="6" t="s">
        <v>34</v>
      </c>
      <c r="I3029" s="8" t="s">
        <v>263</v>
      </c>
      <c r="J3029" s="9">
        <v>1</v>
      </c>
      <c r="K3029" s="9">
        <v>280</v>
      </c>
      <c r="L3029" s="9">
        <v>2026</v>
      </c>
      <c r="M3029" s="8" t="s">
        <v>17795</v>
      </c>
      <c r="N3029" s="8" t="s">
        <v>243</v>
      </c>
      <c r="O3029" s="8" t="s">
        <v>1100</v>
      </c>
      <c r="P3029" s="6" t="s">
        <v>51</v>
      </c>
      <c r="Q3029" s="8" t="s">
        <v>265</v>
      </c>
      <c r="R3029" s="10" t="s">
        <v>17796</v>
      </c>
      <c r="S3029" s="11" t="s">
        <v>17797</v>
      </c>
      <c r="T3029" s="6"/>
      <c r="U3029" s="15" t="str">
        <f>HYPERLINK("https://media.infra-m.ru/2226/2226493/cover/2226493.jpg", "Обложка")</f>
        <v>Обложка</v>
      </c>
      <c r="V3029" s="8" t="s">
        <v>9227</v>
      </c>
      <c r="W3029" s="6"/>
      <c r="X3029" s="6"/>
      <c r="Y3029" s="6"/>
      <c r="Z3029" s="6" t="s">
        <v>267</v>
      </c>
      <c r="AA3029" s="6" t="s">
        <v>148</v>
      </c>
      <c r="AB3029" s="8"/>
      <c r="AC3029" s="27">
        <v>9785160173894</v>
      </c>
    </row>
    <row r="3030" spans="1:29" s="4" customFormat="1" ht="51.9" customHeight="1" x14ac:dyDescent="0.2">
      <c r="A3030" s="5">
        <v>0</v>
      </c>
      <c r="B3030" s="6" t="s">
        <v>17798</v>
      </c>
      <c r="C3030" s="7">
        <v>3748.8</v>
      </c>
      <c r="D3030" s="8" t="s">
        <v>17799</v>
      </c>
      <c r="E3030" s="8" t="s">
        <v>17800</v>
      </c>
      <c r="F3030" s="8" t="s">
        <v>17801</v>
      </c>
      <c r="G3030" s="6" t="s">
        <v>60</v>
      </c>
      <c r="H3030" s="6" t="s">
        <v>34</v>
      </c>
      <c r="I3030" s="8" t="s">
        <v>271</v>
      </c>
      <c r="J3030" s="9">
        <v>1</v>
      </c>
      <c r="K3030" s="9">
        <v>601</v>
      </c>
      <c r="L3030" s="9">
        <v>2026</v>
      </c>
      <c r="M3030" s="8" t="s">
        <v>17802</v>
      </c>
      <c r="N3030" s="8" t="s">
        <v>243</v>
      </c>
      <c r="O3030" s="8" t="s">
        <v>758</v>
      </c>
      <c r="P3030" s="6" t="s">
        <v>51</v>
      </c>
      <c r="Q3030" s="8" t="s">
        <v>52</v>
      </c>
      <c r="R3030" s="10" t="s">
        <v>13656</v>
      </c>
      <c r="S3030" s="11" t="s">
        <v>17803</v>
      </c>
      <c r="T3030" s="6"/>
      <c r="U3030" s="15" t="str">
        <f>HYPERLINK("https://media.infra-m.ru/2223/2223688/cover/2223688.jpg", "Обложка")</f>
        <v>Обложка</v>
      </c>
      <c r="V3030" s="8" t="s">
        <v>8139</v>
      </c>
      <c r="W3030" s="6"/>
      <c r="X3030" s="6"/>
      <c r="Y3030" s="6"/>
      <c r="Z3030" s="6"/>
      <c r="AA3030" s="6" t="s">
        <v>896</v>
      </c>
      <c r="AB3030" s="8"/>
      <c r="AC3030" s="27">
        <v>9785160174006</v>
      </c>
    </row>
    <row r="3031" spans="1:29" s="4" customFormat="1" ht="51.9" customHeight="1" x14ac:dyDescent="0.2">
      <c r="A3031" s="5">
        <v>0</v>
      </c>
      <c r="B3031" s="6" t="s">
        <v>17804</v>
      </c>
      <c r="C3031" s="7">
        <v>1440</v>
      </c>
      <c r="D3031" s="8" t="s">
        <v>17805</v>
      </c>
      <c r="E3031" s="8" t="s">
        <v>17806</v>
      </c>
      <c r="F3031" s="8" t="s">
        <v>17807</v>
      </c>
      <c r="G3031" s="6" t="s">
        <v>118</v>
      </c>
      <c r="H3031" s="6" t="s">
        <v>34</v>
      </c>
      <c r="I3031" s="8" t="s">
        <v>253</v>
      </c>
      <c r="J3031" s="9">
        <v>1</v>
      </c>
      <c r="K3031" s="9">
        <v>219</v>
      </c>
      <c r="L3031" s="9">
        <v>2026</v>
      </c>
      <c r="M3031" s="8" t="s">
        <v>17808</v>
      </c>
      <c r="N3031" s="8" t="s">
        <v>243</v>
      </c>
      <c r="O3031" s="8" t="s">
        <v>385</v>
      </c>
      <c r="P3031" s="6" t="s">
        <v>51</v>
      </c>
      <c r="Q3031" s="8" t="s">
        <v>65</v>
      </c>
      <c r="R3031" s="10" t="s">
        <v>17809</v>
      </c>
      <c r="S3031" s="11" t="s">
        <v>17810</v>
      </c>
      <c r="T3031" s="6"/>
      <c r="U3031" s="15" t="str">
        <f>HYPERLINK("https://media.infra-m.ru/2224/2224518/cover/2224518.jpg", "Обложка")</f>
        <v>Обложка</v>
      </c>
      <c r="V3031" s="8" t="s">
        <v>4038</v>
      </c>
      <c r="W3031" s="6"/>
      <c r="X3031" s="6"/>
      <c r="Y3031" s="6"/>
      <c r="Z3031" s="6"/>
      <c r="AA3031" s="6" t="s">
        <v>1256</v>
      </c>
      <c r="AB3031" s="8" t="s">
        <v>7101</v>
      </c>
      <c r="AC3031" s="27">
        <v>9785160185699</v>
      </c>
    </row>
    <row r="3032" spans="1:29" s="4" customFormat="1" ht="51.9" customHeight="1" x14ac:dyDescent="0.2">
      <c r="A3032" s="5">
        <v>0</v>
      </c>
      <c r="B3032" s="6" t="s">
        <v>17811</v>
      </c>
      <c r="C3032" s="7">
        <v>1560</v>
      </c>
      <c r="D3032" s="8" t="s">
        <v>17812</v>
      </c>
      <c r="E3032" s="8" t="s">
        <v>17813</v>
      </c>
      <c r="F3032" s="8" t="s">
        <v>17807</v>
      </c>
      <c r="G3032" s="6" t="s">
        <v>118</v>
      </c>
      <c r="H3032" s="6" t="s">
        <v>34</v>
      </c>
      <c r="I3032" s="8" t="s">
        <v>253</v>
      </c>
      <c r="J3032" s="9">
        <v>1</v>
      </c>
      <c r="K3032" s="9">
        <v>223</v>
      </c>
      <c r="L3032" s="9">
        <v>2027</v>
      </c>
      <c r="M3032" s="8" t="s">
        <v>17814</v>
      </c>
      <c r="N3032" s="8" t="s">
        <v>243</v>
      </c>
      <c r="O3032" s="8" t="s">
        <v>385</v>
      </c>
      <c r="P3032" s="6" t="s">
        <v>51</v>
      </c>
      <c r="Q3032" s="8" t="s">
        <v>52</v>
      </c>
      <c r="R3032" s="10" t="s">
        <v>17809</v>
      </c>
      <c r="S3032" s="11" t="s">
        <v>17815</v>
      </c>
      <c r="T3032" s="6"/>
      <c r="U3032" s="15" t="str">
        <f>HYPERLINK("https://media.infra-m.ru/2263/2263906/cover/2263906.jpg", "Обложка")</f>
        <v>Обложка</v>
      </c>
      <c r="V3032" s="8" t="s">
        <v>4038</v>
      </c>
      <c r="W3032" s="6"/>
      <c r="X3032" s="6"/>
      <c r="Y3032" s="6"/>
      <c r="Z3032" s="6"/>
      <c r="AA3032" s="6" t="s">
        <v>430</v>
      </c>
      <c r="AB3032" s="8"/>
      <c r="AC3032" s="27">
        <v>9785160193281</v>
      </c>
    </row>
    <row r="3033" spans="1:29" s="4" customFormat="1" ht="51.9" customHeight="1" x14ac:dyDescent="0.2">
      <c r="A3033" s="5">
        <v>0</v>
      </c>
      <c r="B3033" s="6" t="s">
        <v>17816</v>
      </c>
      <c r="C3033" s="7">
        <v>1528.8</v>
      </c>
      <c r="D3033" s="8" t="s">
        <v>17817</v>
      </c>
      <c r="E3033" s="8" t="s">
        <v>17806</v>
      </c>
      <c r="F3033" s="8" t="s">
        <v>17807</v>
      </c>
      <c r="G3033" s="6" t="s">
        <v>118</v>
      </c>
      <c r="H3033" s="6" t="s">
        <v>34</v>
      </c>
      <c r="I3033" s="8" t="s">
        <v>263</v>
      </c>
      <c r="J3033" s="9">
        <v>1</v>
      </c>
      <c r="K3033" s="9">
        <v>219</v>
      </c>
      <c r="L3033" s="9">
        <v>2027</v>
      </c>
      <c r="M3033" s="8" t="s">
        <v>17818</v>
      </c>
      <c r="N3033" s="8" t="s">
        <v>243</v>
      </c>
      <c r="O3033" s="8" t="s">
        <v>385</v>
      </c>
      <c r="P3033" s="6" t="s">
        <v>51</v>
      </c>
      <c r="Q3033" s="8" t="s">
        <v>265</v>
      </c>
      <c r="R3033" s="10" t="s">
        <v>17819</v>
      </c>
      <c r="S3033" s="11" t="s">
        <v>17820</v>
      </c>
      <c r="T3033" s="6"/>
      <c r="U3033" s="15" t="str">
        <f>HYPERLINK("https://media.infra-m.ru/2271/2271256/cover/2271256.jpg", "Обложка")</f>
        <v>Обложка</v>
      </c>
      <c r="V3033" s="8" t="s">
        <v>4038</v>
      </c>
      <c r="W3033" s="6"/>
      <c r="X3033" s="6"/>
      <c r="Y3033" s="6"/>
      <c r="Z3033" s="6" t="s">
        <v>882</v>
      </c>
      <c r="AA3033" s="6" t="s">
        <v>430</v>
      </c>
      <c r="AB3033" s="8"/>
      <c r="AC3033" s="27">
        <v>9785160169835</v>
      </c>
    </row>
    <row r="3034" spans="1:29" s="4" customFormat="1" ht="51.9" customHeight="1" x14ac:dyDescent="0.2">
      <c r="A3034" s="5">
        <v>0</v>
      </c>
      <c r="B3034" s="6" t="s">
        <v>17821</v>
      </c>
      <c r="C3034" s="7">
        <v>1144.8</v>
      </c>
      <c r="D3034" s="8" t="s">
        <v>17822</v>
      </c>
      <c r="E3034" s="8" t="s">
        <v>17823</v>
      </c>
      <c r="F3034" s="8" t="s">
        <v>17824</v>
      </c>
      <c r="G3034" s="6" t="s">
        <v>118</v>
      </c>
      <c r="H3034" s="6" t="s">
        <v>34</v>
      </c>
      <c r="I3034" s="8" t="s">
        <v>271</v>
      </c>
      <c r="J3034" s="9">
        <v>1</v>
      </c>
      <c r="K3034" s="9">
        <v>164</v>
      </c>
      <c r="L3034" s="9">
        <v>2027</v>
      </c>
      <c r="M3034" s="8" t="s">
        <v>17825</v>
      </c>
      <c r="N3034" s="8" t="s">
        <v>243</v>
      </c>
      <c r="O3034" s="8" t="s">
        <v>385</v>
      </c>
      <c r="P3034" s="6" t="s">
        <v>51</v>
      </c>
      <c r="Q3034" s="8" t="s">
        <v>52</v>
      </c>
      <c r="R3034" s="10" t="s">
        <v>17809</v>
      </c>
      <c r="S3034" s="11" t="s">
        <v>17826</v>
      </c>
      <c r="T3034" s="6"/>
      <c r="U3034" s="15" t="str">
        <f>HYPERLINK("https://media.infra-m.ru/2266/2266924/cover/2266924.jpg", "Обложка")</f>
        <v>Обложка</v>
      </c>
      <c r="V3034" s="8" t="s">
        <v>4038</v>
      </c>
      <c r="W3034" s="6"/>
      <c r="X3034" s="6"/>
      <c r="Y3034" s="6"/>
      <c r="Z3034" s="6"/>
      <c r="AA3034" s="6" t="s">
        <v>430</v>
      </c>
      <c r="AB3034" s="8"/>
      <c r="AC3034" s="27">
        <v>9785160155913</v>
      </c>
    </row>
    <row r="3035" spans="1:29" s="4" customFormat="1" ht="51.9" customHeight="1" x14ac:dyDescent="0.2">
      <c r="A3035" s="5">
        <v>0</v>
      </c>
      <c r="B3035" s="6" t="s">
        <v>17827</v>
      </c>
      <c r="C3035" s="7">
        <v>1024.8</v>
      </c>
      <c r="D3035" s="8" t="s">
        <v>17828</v>
      </c>
      <c r="E3035" s="8" t="s">
        <v>17823</v>
      </c>
      <c r="F3035" s="8" t="s">
        <v>17824</v>
      </c>
      <c r="G3035" s="6" t="s">
        <v>118</v>
      </c>
      <c r="H3035" s="6" t="s">
        <v>34</v>
      </c>
      <c r="I3035" s="8" t="s">
        <v>263</v>
      </c>
      <c r="J3035" s="9">
        <v>1</v>
      </c>
      <c r="K3035" s="9">
        <v>164</v>
      </c>
      <c r="L3035" s="9">
        <v>2025</v>
      </c>
      <c r="M3035" s="8" t="s">
        <v>17829</v>
      </c>
      <c r="N3035" s="8" t="s">
        <v>243</v>
      </c>
      <c r="O3035" s="8" t="s">
        <v>385</v>
      </c>
      <c r="P3035" s="6" t="s">
        <v>51</v>
      </c>
      <c r="Q3035" s="8" t="s">
        <v>265</v>
      </c>
      <c r="R3035" s="10" t="s">
        <v>17830</v>
      </c>
      <c r="S3035" s="11" t="s">
        <v>17831</v>
      </c>
      <c r="T3035" s="6"/>
      <c r="U3035" s="15" t="str">
        <f>HYPERLINK("https://media.infra-m.ru/2210/2210892/cover/2210892.jpg", "Обложка")</f>
        <v>Обложка</v>
      </c>
      <c r="V3035" s="8" t="s">
        <v>4038</v>
      </c>
      <c r="W3035" s="6"/>
      <c r="X3035" s="6"/>
      <c r="Y3035" s="6"/>
      <c r="Z3035" s="6" t="s">
        <v>267</v>
      </c>
      <c r="AA3035" s="6" t="s">
        <v>430</v>
      </c>
      <c r="AB3035" s="8"/>
      <c r="AC3035" s="27">
        <v>9785160169842</v>
      </c>
    </row>
    <row r="3036" spans="1:29" s="4" customFormat="1" ht="51.9" customHeight="1" x14ac:dyDescent="0.2">
      <c r="A3036" s="5">
        <v>0</v>
      </c>
      <c r="B3036" s="6" t="s">
        <v>17832</v>
      </c>
      <c r="C3036" s="7">
        <v>1468.8</v>
      </c>
      <c r="D3036" s="8" t="s">
        <v>17833</v>
      </c>
      <c r="E3036" s="8" t="s">
        <v>17813</v>
      </c>
      <c r="F3036" s="8" t="s">
        <v>17807</v>
      </c>
      <c r="G3036" s="6" t="s">
        <v>118</v>
      </c>
      <c r="H3036" s="6" t="s">
        <v>34</v>
      </c>
      <c r="I3036" s="8" t="s">
        <v>263</v>
      </c>
      <c r="J3036" s="9">
        <v>1</v>
      </c>
      <c r="K3036" s="9">
        <v>223</v>
      </c>
      <c r="L3036" s="9">
        <v>2026</v>
      </c>
      <c r="M3036" s="8" t="s">
        <v>17834</v>
      </c>
      <c r="N3036" s="8" t="s">
        <v>243</v>
      </c>
      <c r="O3036" s="8" t="s">
        <v>385</v>
      </c>
      <c r="P3036" s="6" t="s">
        <v>51</v>
      </c>
      <c r="Q3036" s="8" t="s">
        <v>265</v>
      </c>
      <c r="R3036" s="10" t="s">
        <v>17835</v>
      </c>
      <c r="S3036" s="11" t="s">
        <v>17836</v>
      </c>
      <c r="T3036" s="6"/>
      <c r="U3036" s="15" t="str">
        <f>HYPERLINK("https://media.infra-m.ru/2224/2224146/cover/2224146.jpg", "Обложка")</f>
        <v>Обложка</v>
      </c>
      <c r="V3036" s="8" t="s">
        <v>4038</v>
      </c>
      <c r="W3036" s="6"/>
      <c r="X3036" s="6"/>
      <c r="Y3036" s="6"/>
      <c r="Z3036" s="6" t="s">
        <v>267</v>
      </c>
      <c r="AA3036" s="6" t="s">
        <v>430</v>
      </c>
      <c r="AB3036" s="8"/>
      <c r="AC3036" s="27">
        <v>9785160169866</v>
      </c>
    </row>
    <row r="3037" spans="1:29" s="4" customFormat="1" ht="51.9" customHeight="1" x14ac:dyDescent="0.2">
      <c r="A3037" s="5">
        <v>0</v>
      </c>
      <c r="B3037" s="6" t="s">
        <v>17837</v>
      </c>
      <c r="C3037" s="7">
        <v>1020</v>
      </c>
      <c r="D3037" s="8" t="s">
        <v>17838</v>
      </c>
      <c r="E3037" s="8" t="s">
        <v>17839</v>
      </c>
      <c r="F3037" s="8" t="s">
        <v>17807</v>
      </c>
      <c r="G3037" s="6" t="s">
        <v>118</v>
      </c>
      <c r="H3037" s="6" t="s">
        <v>34</v>
      </c>
      <c r="I3037" s="8" t="s">
        <v>263</v>
      </c>
      <c r="J3037" s="9">
        <v>1</v>
      </c>
      <c r="K3037" s="9">
        <v>158</v>
      </c>
      <c r="L3037" s="9">
        <v>2026</v>
      </c>
      <c r="M3037" s="8" t="s">
        <v>17840</v>
      </c>
      <c r="N3037" s="8" t="s">
        <v>243</v>
      </c>
      <c r="O3037" s="8" t="s">
        <v>385</v>
      </c>
      <c r="P3037" s="6" t="s">
        <v>51</v>
      </c>
      <c r="Q3037" s="8" t="s">
        <v>265</v>
      </c>
      <c r="R3037" s="10" t="s">
        <v>17819</v>
      </c>
      <c r="S3037" s="11" t="s">
        <v>17836</v>
      </c>
      <c r="T3037" s="6"/>
      <c r="U3037" s="15" t="str">
        <f>HYPERLINK("https://media.infra-m.ru/2218/2218361/cover/2218361.jpg", "Обложка")</f>
        <v>Обложка</v>
      </c>
      <c r="V3037" s="8" t="s">
        <v>4038</v>
      </c>
      <c r="W3037" s="6"/>
      <c r="X3037" s="6"/>
      <c r="Y3037" s="6"/>
      <c r="Z3037" s="6" t="s">
        <v>267</v>
      </c>
      <c r="AA3037" s="6" t="s">
        <v>430</v>
      </c>
      <c r="AB3037" s="8"/>
      <c r="AC3037" s="27">
        <v>9785160169859</v>
      </c>
    </row>
    <row r="3038" spans="1:29" s="4" customFormat="1" ht="51.9" customHeight="1" x14ac:dyDescent="0.2">
      <c r="A3038" s="5">
        <v>0</v>
      </c>
      <c r="B3038" s="6" t="s">
        <v>17841</v>
      </c>
      <c r="C3038" s="7">
        <v>1080</v>
      </c>
      <c r="D3038" s="8" t="s">
        <v>17842</v>
      </c>
      <c r="E3038" s="8" t="s">
        <v>17839</v>
      </c>
      <c r="F3038" s="8" t="s">
        <v>17807</v>
      </c>
      <c r="G3038" s="6" t="s">
        <v>118</v>
      </c>
      <c r="H3038" s="6" t="s">
        <v>34</v>
      </c>
      <c r="I3038" s="8" t="s">
        <v>253</v>
      </c>
      <c r="J3038" s="9">
        <v>1</v>
      </c>
      <c r="K3038" s="9">
        <v>158</v>
      </c>
      <c r="L3038" s="9">
        <v>2026</v>
      </c>
      <c r="M3038" s="8" t="s">
        <v>17843</v>
      </c>
      <c r="N3038" s="8" t="s">
        <v>243</v>
      </c>
      <c r="O3038" s="8" t="s">
        <v>385</v>
      </c>
      <c r="P3038" s="6" t="s">
        <v>51</v>
      </c>
      <c r="Q3038" s="8" t="s">
        <v>52</v>
      </c>
      <c r="R3038" s="10" t="s">
        <v>17809</v>
      </c>
      <c r="S3038" s="11" t="s">
        <v>17844</v>
      </c>
      <c r="T3038" s="6"/>
      <c r="U3038" s="15" t="str">
        <f>HYPERLINK("https://media.infra-m.ru/2224/2224071/cover/2224071.jpg", "Обложка")</f>
        <v>Обложка</v>
      </c>
      <c r="V3038" s="8" t="s">
        <v>4038</v>
      </c>
      <c r="W3038" s="6"/>
      <c r="X3038" s="6"/>
      <c r="Y3038" s="6"/>
      <c r="Z3038" s="6"/>
      <c r="AA3038" s="6" t="s">
        <v>430</v>
      </c>
      <c r="AB3038" s="8"/>
      <c r="AC3038" s="27">
        <v>9785160189796</v>
      </c>
    </row>
    <row r="3039" spans="1:29" s="4" customFormat="1" ht="51.9" customHeight="1" x14ac:dyDescent="0.2">
      <c r="A3039" s="5">
        <v>0</v>
      </c>
      <c r="B3039" s="6" t="s">
        <v>17845</v>
      </c>
      <c r="C3039" s="13">
        <v>952.8</v>
      </c>
      <c r="D3039" s="8" t="s">
        <v>17846</v>
      </c>
      <c r="E3039" s="8" t="s">
        <v>17847</v>
      </c>
      <c r="F3039" s="8" t="s">
        <v>17807</v>
      </c>
      <c r="G3039" s="6" t="s">
        <v>118</v>
      </c>
      <c r="H3039" s="6" t="s">
        <v>34</v>
      </c>
      <c r="I3039" s="8" t="s">
        <v>263</v>
      </c>
      <c r="J3039" s="9">
        <v>1</v>
      </c>
      <c r="K3039" s="9">
        <v>140</v>
      </c>
      <c r="L3039" s="9">
        <v>2026</v>
      </c>
      <c r="M3039" s="8" t="s">
        <v>17848</v>
      </c>
      <c r="N3039" s="8" t="s">
        <v>243</v>
      </c>
      <c r="O3039" s="8" t="s">
        <v>385</v>
      </c>
      <c r="P3039" s="6" t="s">
        <v>51</v>
      </c>
      <c r="Q3039" s="8" t="s">
        <v>265</v>
      </c>
      <c r="R3039" s="10" t="s">
        <v>17830</v>
      </c>
      <c r="S3039" s="11" t="s">
        <v>17836</v>
      </c>
      <c r="T3039" s="6"/>
      <c r="U3039" s="15" t="str">
        <f>HYPERLINK("https://media.infra-m.ru/2239/2239415/cover/2239415.jpg", "Обложка")</f>
        <v>Обложка</v>
      </c>
      <c r="V3039" s="8" t="s">
        <v>4038</v>
      </c>
      <c r="W3039" s="6"/>
      <c r="X3039" s="6"/>
      <c r="Y3039" s="6"/>
      <c r="Z3039" s="6" t="s">
        <v>267</v>
      </c>
      <c r="AA3039" s="6" t="s">
        <v>430</v>
      </c>
      <c r="AB3039" s="8"/>
      <c r="AC3039" s="27">
        <v>9785160169385</v>
      </c>
    </row>
    <row r="3040" spans="1:29" s="4" customFormat="1" ht="51.9" customHeight="1" x14ac:dyDescent="0.2">
      <c r="A3040" s="5">
        <v>0</v>
      </c>
      <c r="B3040" s="6" t="s">
        <v>17849</v>
      </c>
      <c r="C3040" s="13">
        <v>924</v>
      </c>
      <c r="D3040" s="8" t="s">
        <v>17850</v>
      </c>
      <c r="E3040" s="8" t="s">
        <v>17847</v>
      </c>
      <c r="F3040" s="8" t="s">
        <v>17807</v>
      </c>
      <c r="G3040" s="6" t="s">
        <v>33</v>
      </c>
      <c r="H3040" s="6" t="s">
        <v>34</v>
      </c>
      <c r="I3040" s="8" t="s">
        <v>253</v>
      </c>
      <c r="J3040" s="9">
        <v>1</v>
      </c>
      <c r="K3040" s="9">
        <v>140</v>
      </c>
      <c r="L3040" s="9">
        <v>2026</v>
      </c>
      <c r="M3040" s="8" t="s">
        <v>17851</v>
      </c>
      <c r="N3040" s="8" t="s">
        <v>243</v>
      </c>
      <c r="O3040" s="8" t="s">
        <v>385</v>
      </c>
      <c r="P3040" s="6" t="s">
        <v>51</v>
      </c>
      <c r="Q3040" s="8" t="s">
        <v>52</v>
      </c>
      <c r="R3040" s="10" t="s">
        <v>17809</v>
      </c>
      <c r="S3040" s="11" t="s">
        <v>17810</v>
      </c>
      <c r="T3040" s="6"/>
      <c r="U3040" s="15" t="str">
        <f>HYPERLINK("https://media.infra-m.ru/2216/2216015/cover/2216015.jpg", "Обложка")</f>
        <v>Обложка</v>
      </c>
      <c r="V3040" s="8" t="s">
        <v>4038</v>
      </c>
      <c r="W3040" s="6"/>
      <c r="X3040" s="6"/>
      <c r="Y3040" s="6"/>
      <c r="Z3040" s="6"/>
      <c r="AA3040" s="6" t="s">
        <v>430</v>
      </c>
      <c r="AB3040" s="8"/>
      <c r="AC3040" s="27">
        <v>9785160198910</v>
      </c>
    </row>
    <row r="3041" spans="1:29" s="4" customFormat="1" ht="42" customHeight="1" x14ac:dyDescent="0.2">
      <c r="A3041" s="5">
        <v>0</v>
      </c>
      <c r="B3041" s="6" t="s">
        <v>17852</v>
      </c>
      <c r="C3041" s="13">
        <v>952.8</v>
      </c>
      <c r="D3041" s="8" t="s">
        <v>17853</v>
      </c>
      <c r="E3041" s="8" t="s">
        <v>17854</v>
      </c>
      <c r="F3041" s="8" t="s">
        <v>17855</v>
      </c>
      <c r="G3041" s="6" t="s">
        <v>33</v>
      </c>
      <c r="H3041" s="6" t="s">
        <v>34</v>
      </c>
      <c r="I3041" s="8" t="s">
        <v>111</v>
      </c>
      <c r="J3041" s="9">
        <v>1</v>
      </c>
      <c r="K3041" s="9">
        <v>144</v>
      </c>
      <c r="L3041" s="9">
        <v>2026</v>
      </c>
      <c r="M3041" s="8" t="s">
        <v>17856</v>
      </c>
      <c r="N3041" s="8" t="s">
        <v>243</v>
      </c>
      <c r="O3041" s="8" t="s">
        <v>385</v>
      </c>
      <c r="P3041" s="6" t="s">
        <v>39</v>
      </c>
      <c r="Q3041" s="8" t="s">
        <v>40</v>
      </c>
      <c r="R3041" s="10" t="s">
        <v>378</v>
      </c>
      <c r="S3041" s="11"/>
      <c r="T3041" s="6"/>
      <c r="U3041" s="15" t="str">
        <f>HYPERLINK("https://media.infra-m.ru/2179/2179394/cover/2179394.jpg", "Обложка")</f>
        <v>Обложка</v>
      </c>
      <c r="V3041" s="8" t="s">
        <v>414</v>
      </c>
      <c r="W3041" s="6"/>
      <c r="X3041" s="6"/>
      <c r="Y3041" s="6"/>
      <c r="Z3041" s="6"/>
      <c r="AA3041" s="6" t="s">
        <v>115</v>
      </c>
      <c r="AB3041" s="8"/>
      <c r="AC3041" s="27">
        <v>9785160163345</v>
      </c>
    </row>
    <row r="3042" spans="1:29" s="4" customFormat="1" ht="42" customHeight="1" x14ac:dyDescent="0.2">
      <c r="A3042" s="5">
        <v>0</v>
      </c>
      <c r="B3042" s="6" t="s">
        <v>17857</v>
      </c>
      <c r="C3042" s="7">
        <v>1560</v>
      </c>
      <c r="D3042" s="8" t="s">
        <v>17858</v>
      </c>
      <c r="E3042" s="8" t="s">
        <v>17859</v>
      </c>
      <c r="F3042" s="8" t="s">
        <v>17860</v>
      </c>
      <c r="G3042" s="6" t="s">
        <v>118</v>
      </c>
      <c r="H3042" s="6" t="s">
        <v>34</v>
      </c>
      <c r="I3042" s="8" t="s">
        <v>35</v>
      </c>
      <c r="J3042" s="9">
        <v>1</v>
      </c>
      <c r="K3042" s="9">
        <v>187</v>
      </c>
      <c r="L3042" s="9">
        <v>2026</v>
      </c>
      <c r="M3042" s="8" t="s">
        <v>17861</v>
      </c>
      <c r="N3042" s="8" t="s">
        <v>243</v>
      </c>
      <c r="O3042" s="8" t="s">
        <v>385</v>
      </c>
      <c r="P3042" s="6" t="s">
        <v>39</v>
      </c>
      <c r="Q3042" s="8" t="s">
        <v>40</v>
      </c>
      <c r="R3042" s="10" t="s">
        <v>8840</v>
      </c>
      <c r="S3042" s="11"/>
      <c r="T3042" s="6"/>
      <c r="U3042" s="15" t="str">
        <f>HYPERLINK("https://media.infra-m.ru/2257/2257302/cover/2257302.jpg", "Обложка")</f>
        <v>Обложка</v>
      </c>
      <c r="V3042" s="8" t="s">
        <v>3329</v>
      </c>
      <c r="W3042" s="6"/>
      <c r="X3042" s="6"/>
      <c r="Y3042" s="6"/>
      <c r="Z3042" s="6"/>
      <c r="AA3042" s="6" t="s">
        <v>157</v>
      </c>
      <c r="AB3042" s="8"/>
      <c r="AC3042" s="27">
        <v>9785160177663</v>
      </c>
    </row>
    <row r="3043" spans="1:29" s="4" customFormat="1" ht="51.9" customHeight="1" x14ac:dyDescent="0.2">
      <c r="A3043" s="5">
        <v>0</v>
      </c>
      <c r="B3043" s="6" t="s">
        <v>17862</v>
      </c>
      <c r="C3043" s="7">
        <v>3230.4</v>
      </c>
      <c r="D3043" s="8" t="s">
        <v>17863</v>
      </c>
      <c r="E3043" s="8" t="s">
        <v>17864</v>
      </c>
      <c r="F3043" s="8" t="s">
        <v>17865</v>
      </c>
      <c r="G3043" s="6" t="s">
        <v>118</v>
      </c>
      <c r="H3043" s="6" t="s">
        <v>48</v>
      </c>
      <c r="I3043" s="8" t="s">
        <v>401</v>
      </c>
      <c r="J3043" s="9">
        <v>1</v>
      </c>
      <c r="K3043" s="9">
        <v>400</v>
      </c>
      <c r="L3043" s="9">
        <v>2025</v>
      </c>
      <c r="M3043" s="8" t="s">
        <v>17866</v>
      </c>
      <c r="N3043" s="8" t="s">
        <v>243</v>
      </c>
      <c r="O3043" s="8" t="s">
        <v>385</v>
      </c>
      <c r="P3043" s="6" t="s">
        <v>51</v>
      </c>
      <c r="Q3043" s="8" t="s">
        <v>265</v>
      </c>
      <c r="R3043" s="10" t="s">
        <v>17867</v>
      </c>
      <c r="S3043" s="11" t="s">
        <v>17868</v>
      </c>
      <c r="T3043" s="6"/>
      <c r="U3043" s="15" t="str">
        <f>HYPERLINK("https://media.infra-m.ru/2208/2208223/cover/2208223.jpg", "Обложка")</f>
        <v>Обложка</v>
      </c>
      <c r="V3043" s="8" t="s">
        <v>2154</v>
      </c>
      <c r="W3043" s="6"/>
      <c r="X3043" s="6"/>
      <c r="Y3043" s="6"/>
      <c r="Z3043" s="6"/>
      <c r="AA3043" s="6" t="s">
        <v>274</v>
      </c>
      <c r="AB3043" s="8"/>
      <c r="AC3043" s="27">
        <v>9785000916186</v>
      </c>
    </row>
    <row r="3044" spans="1:29" s="4" customFormat="1" ht="42" customHeight="1" x14ac:dyDescent="0.2">
      <c r="A3044" s="5">
        <v>0</v>
      </c>
      <c r="B3044" s="6" t="s">
        <v>17869</v>
      </c>
      <c r="C3044" s="7">
        <v>1876.8</v>
      </c>
      <c r="D3044" s="8" t="s">
        <v>17870</v>
      </c>
      <c r="E3044" s="8" t="s">
        <v>17871</v>
      </c>
      <c r="F3044" s="8" t="s">
        <v>17872</v>
      </c>
      <c r="G3044" s="6" t="s">
        <v>60</v>
      </c>
      <c r="H3044" s="6" t="s">
        <v>34</v>
      </c>
      <c r="I3044" s="8" t="s">
        <v>253</v>
      </c>
      <c r="J3044" s="9">
        <v>1</v>
      </c>
      <c r="K3044" s="9">
        <v>284</v>
      </c>
      <c r="L3044" s="9">
        <v>2026</v>
      </c>
      <c r="M3044" s="8" t="s">
        <v>17873</v>
      </c>
      <c r="N3044" s="8" t="s">
        <v>243</v>
      </c>
      <c r="O3044" s="8" t="s">
        <v>385</v>
      </c>
      <c r="P3044" s="6" t="s">
        <v>51</v>
      </c>
      <c r="Q3044" s="8" t="s">
        <v>52</v>
      </c>
      <c r="R3044" s="10" t="s">
        <v>378</v>
      </c>
      <c r="S3044" s="11"/>
      <c r="T3044" s="6"/>
      <c r="U3044" s="15" t="str">
        <f>HYPERLINK("https://media.infra-m.ru/2227/2227030/cover/2227030.jpg", "Обложка")</f>
        <v>Обложка</v>
      </c>
      <c r="V3044" s="8" t="s">
        <v>546</v>
      </c>
      <c r="W3044" s="6"/>
      <c r="X3044" s="6"/>
      <c r="Y3044" s="6"/>
      <c r="Z3044" s="6"/>
      <c r="AA3044" s="6" t="s">
        <v>55</v>
      </c>
      <c r="AB3044" s="8"/>
      <c r="AC3044" s="27">
        <v>9785160066004</v>
      </c>
    </row>
    <row r="3045" spans="1:29" s="4" customFormat="1" ht="42" customHeight="1" x14ac:dyDescent="0.2">
      <c r="A3045" s="5">
        <v>0</v>
      </c>
      <c r="B3045" s="6" t="s">
        <v>17874</v>
      </c>
      <c r="C3045" s="7">
        <v>1861.2</v>
      </c>
      <c r="D3045" s="8" t="s">
        <v>17875</v>
      </c>
      <c r="E3045" s="8" t="s">
        <v>17876</v>
      </c>
      <c r="F3045" s="8" t="s">
        <v>17877</v>
      </c>
      <c r="G3045" s="6" t="s">
        <v>60</v>
      </c>
      <c r="H3045" s="6" t="s">
        <v>1644</v>
      </c>
      <c r="I3045" s="8"/>
      <c r="J3045" s="14">
        <v>0</v>
      </c>
      <c r="K3045" s="9">
        <v>304</v>
      </c>
      <c r="L3045" s="9">
        <v>2022</v>
      </c>
      <c r="M3045" s="8" t="s">
        <v>17878</v>
      </c>
      <c r="N3045" s="8" t="s">
        <v>37</v>
      </c>
      <c r="O3045" s="8" t="s">
        <v>83</v>
      </c>
      <c r="P3045" s="6" t="s">
        <v>39</v>
      </c>
      <c r="Q3045" s="8" t="s">
        <v>40</v>
      </c>
      <c r="R3045" s="10"/>
      <c r="S3045" s="11"/>
      <c r="T3045" s="6"/>
      <c r="U3045" s="15" t="str">
        <f>HYPERLINK("https://media.infra-m.ru/1973/1973505/cover/1973505.jpg", "Обложка")</f>
        <v>Обложка</v>
      </c>
      <c r="V3045" s="8" t="s">
        <v>227</v>
      </c>
      <c r="W3045" s="6"/>
      <c r="X3045" s="6"/>
      <c r="Y3045" s="6"/>
      <c r="Z3045" s="6"/>
      <c r="AA3045" s="6" t="s">
        <v>148</v>
      </c>
      <c r="AB3045" s="8"/>
      <c r="AC3045" s="27">
        <v>9785977605465</v>
      </c>
    </row>
    <row r="3046" spans="1:29" s="4" customFormat="1" ht="51.9" customHeight="1" x14ac:dyDescent="0.2">
      <c r="A3046" s="5">
        <v>0</v>
      </c>
      <c r="B3046" s="6" t="s">
        <v>17879</v>
      </c>
      <c r="C3046" s="7">
        <v>2364</v>
      </c>
      <c r="D3046" s="8" t="s">
        <v>17880</v>
      </c>
      <c r="E3046" s="8" t="s">
        <v>17881</v>
      </c>
      <c r="F3046" s="8" t="s">
        <v>13768</v>
      </c>
      <c r="G3046" s="6" t="s">
        <v>118</v>
      </c>
      <c r="H3046" s="6" t="s">
        <v>34</v>
      </c>
      <c r="I3046" s="8" t="s">
        <v>253</v>
      </c>
      <c r="J3046" s="9">
        <v>1</v>
      </c>
      <c r="K3046" s="9">
        <v>339</v>
      </c>
      <c r="L3046" s="9">
        <v>2026</v>
      </c>
      <c r="M3046" s="8" t="s">
        <v>17882</v>
      </c>
      <c r="N3046" s="8" t="s">
        <v>37</v>
      </c>
      <c r="O3046" s="8" t="s">
        <v>83</v>
      </c>
      <c r="P3046" s="6" t="s">
        <v>306</v>
      </c>
      <c r="Q3046" s="8" t="s">
        <v>52</v>
      </c>
      <c r="R3046" s="10" t="s">
        <v>17883</v>
      </c>
      <c r="S3046" s="11" t="s">
        <v>17884</v>
      </c>
      <c r="T3046" s="6"/>
      <c r="U3046" s="15" t="str">
        <f>HYPERLINK("https://media.infra-m.ru/2262/2262019/cover/2262019.jpg", "Обложка")</f>
        <v>Обложка</v>
      </c>
      <c r="V3046" s="8" t="s">
        <v>6700</v>
      </c>
      <c r="W3046" s="6"/>
      <c r="X3046" s="6"/>
      <c r="Y3046" s="6"/>
      <c r="Z3046" s="6"/>
      <c r="AA3046" s="6" t="s">
        <v>430</v>
      </c>
      <c r="AB3046" s="8"/>
      <c r="AC3046" s="27">
        <v>9785160202389</v>
      </c>
    </row>
    <row r="3047" spans="1:29" s="4" customFormat="1" ht="51.9" customHeight="1" x14ac:dyDescent="0.2">
      <c r="A3047" s="5">
        <v>0</v>
      </c>
      <c r="B3047" s="6" t="s">
        <v>17885</v>
      </c>
      <c r="C3047" s="7">
        <v>4318.8</v>
      </c>
      <c r="D3047" s="8" t="s">
        <v>17886</v>
      </c>
      <c r="E3047" s="8" t="s">
        <v>17887</v>
      </c>
      <c r="F3047" s="8" t="s">
        <v>17888</v>
      </c>
      <c r="G3047" s="6" t="s">
        <v>60</v>
      </c>
      <c r="H3047" s="6" t="s">
        <v>34</v>
      </c>
      <c r="I3047" s="8" t="s">
        <v>35</v>
      </c>
      <c r="J3047" s="9">
        <v>1</v>
      </c>
      <c r="K3047" s="9">
        <v>398</v>
      </c>
      <c r="L3047" s="9">
        <v>2027</v>
      </c>
      <c r="M3047" s="8" t="s">
        <v>17889</v>
      </c>
      <c r="N3047" s="8" t="s">
        <v>243</v>
      </c>
      <c r="O3047" s="8" t="s">
        <v>385</v>
      </c>
      <c r="P3047" s="6" t="s">
        <v>39</v>
      </c>
      <c r="Q3047" s="8" t="s">
        <v>40</v>
      </c>
      <c r="R3047" s="10" t="s">
        <v>17890</v>
      </c>
      <c r="S3047" s="11"/>
      <c r="T3047" s="6"/>
      <c r="U3047" s="15" t="str">
        <f>HYPERLINK("https://media.infra-m.ru/2238/2238601/cover/2238601.jpg", "Обложка")</f>
        <v>Обложка</v>
      </c>
      <c r="V3047" s="8" t="s">
        <v>546</v>
      </c>
      <c r="W3047" s="6" t="s">
        <v>2115</v>
      </c>
      <c r="X3047" s="6"/>
      <c r="Y3047" s="6"/>
      <c r="Z3047" s="6"/>
      <c r="AA3047" s="6" t="s">
        <v>187</v>
      </c>
      <c r="AB3047" s="8" t="s">
        <v>9441</v>
      </c>
      <c r="AC3047" s="27">
        <v>9785160218144</v>
      </c>
    </row>
    <row r="3048" spans="1:29" s="4" customFormat="1" ht="51.9" customHeight="1" x14ac:dyDescent="0.2">
      <c r="A3048" s="5">
        <v>0</v>
      </c>
      <c r="B3048" s="6" t="s">
        <v>17891</v>
      </c>
      <c r="C3048" s="13">
        <v>976.8</v>
      </c>
      <c r="D3048" s="8" t="s">
        <v>17892</v>
      </c>
      <c r="E3048" s="8" t="s">
        <v>17893</v>
      </c>
      <c r="F3048" s="8" t="s">
        <v>17894</v>
      </c>
      <c r="G3048" s="6" t="s">
        <v>33</v>
      </c>
      <c r="H3048" s="6" t="s">
        <v>34</v>
      </c>
      <c r="I3048" s="8" t="s">
        <v>5350</v>
      </c>
      <c r="J3048" s="9">
        <v>1</v>
      </c>
      <c r="K3048" s="9">
        <v>110</v>
      </c>
      <c r="L3048" s="9">
        <v>2027</v>
      </c>
      <c r="M3048" s="8" t="s">
        <v>17895</v>
      </c>
      <c r="N3048" s="8" t="s">
        <v>243</v>
      </c>
      <c r="O3048" s="8" t="s">
        <v>385</v>
      </c>
      <c r="P3048" s="6" t="s">
        <v>51</v>
      </c>
      <c r="Q3048" s="8" t="s">
        <v>377</v>
      </c>
      <c r="R3048" s="10" t="s">
        <v>17896</v>
      </c>
      <c r="S3048" s="11" t="s">
        <v>17897</v>
      </c>
      <c r="T3048" s="6" t="s">
        <v>97</v>
      </c>
      <c r="U3048" s="15" t="str">
        <f>HYPERLINK("https://media.infra-m.ru/2263/2263505/cover/2263505.jpg", "Обложка")</f>
        <v>Обложка</v>
      </c>
      <c r="V3048" s="8" t="s">
        <v>3329</v>
      </c>
      <c r="W3048" s="6"/>
      <c r="X3048" s="6"/>
      <c r="Y3048" s="6"/>
      <c r="Z3048" s="6"/>
      <c r="AA3048" s="6" t="s">
        <v>1303</v>
      </c>
      <c r="AB3048" s="8"/>
      <c r="AC3048" s="27">
        <v>9785160182131</v>
      </c>
    </row>
    <row r="3049" spans="1:29" s="4" customFormat="1" ht="51.9" customHeight="1" x14ac:dyDescent="0.2">
      <c r="A3049" s="5">
        <v>0</v>
      </c>
      <c r="B3049" s="6" t="s">
        <v>17898</v>
      </c>
      <c r="C3049" s="13">
        <v>684</v>
      </c>
      <c r="D3049" s="8" t="s">
        <v>17899</v>
      </c>
      <c r="E3049" s="8" t="s">
        <v>17900</v>
      </c>
      <c r="F3049" s="8" t="s">
        <v>17901</v>
      </c>
      <c r="G3049" s="6" t="s">
        <v>33</v>
      </c>
      <c r="H3049" s="6" t="s">
        <v>48</v>
      </c>
      <c r="I3049" s="8" t="s">
        <v>253</v>
      </c>
      <c r="J3049" s="9">
        <v>1</v>
      </c>
      <c r="K3049" s="9">
        <v>103</v>
      </c>
      <c r="L3049" s="9">
        <v>2022</v>
      </c>
      <c r="M3049" s="8" t="s">
        <v>17902</v>
      </c>
      <c r="N3049" s="8" t="s">
        <v>243</v>
      </c>
      <c r="O3049" s="8" t="s">
        <v>385</v>
      </c>
      <c r="P3049" s="6" t="s">
        <v>51</v>
      </c>
      <c r="Q3049" s="8" t="s">
        <v>65</v>
      </c>
      <c r="R3049" s="10" t="s">
        <v>17896</v>
      </c>
      <c r="S3049" s="11" t="s">
        <v>17897</v>
      </c>
      <c r="T3049" s="6" t="s">
        <v>97</v>
      </c>
      <c r="U3049" s="15" t="str">
        <f>HYPERLINK("https://media.infra-m.ru/1841/1841028/cover/1841028.jpg", "Обложка")</f>
        <v>Обложка</v>
      </c>
      <c r="V3049" s="8" t="s">
        <v>3329</v>
      </c>
      <c r="W3049" s="6"/>
      <c r="X3049" s="6"/>
      <c r="Y3049" s="6"/>
      <c r="Z3049" s="6"/>
      <c r="AA3049" s="6" t="s">
        <v>99</v>
      </c>
      <c r="AB3049" s="8"/>
      <c r="AC3049" s="27">
        <v>9785000914380</v>
      </c>
    </row>
    <row r="3050" spans="1:29" s="4" customFormat="1" ht="51.9" customHeight="1" x14ac:dyDescent="0.2">
      <c r="A3050" s="5">
        <v>0</v>
      </c>
      <c r="B3050" s="6" t="s">
        <v>17903</v>
      </c>
      <c r="C3050" s="7">
        <v>2688</v>
      </c>
      <c r="D3050" s="8" t="s">
        <v>17904</v>
      </c>
      <c r="E3050" s="8" t="s">
        <v>17905</v>
      </c>
      <c r="F3050" s="8" t="s">
        <v>17906</v>
      </c>
      <c r="G3050" s="6" t="s">
        <v>60</v>
      </c>
      <c r="H3050" s="6" t="s">
        <v>34</v>
      </c>
      <c r="I3050" s="8" t="s">
        <v>253</v>
      </c>
      <c r="J3050" s="9">
        <v>1</v>
      </c>
      <c r="K3050" s="9">
        <v>381</v>
      </c>
      <c r="L3050" s="9">
        <v>2027</v>
      </c>
      <c r="M3050" s="8" t="s">
        <v>17907</v>
      </c>
      <c r="N3050" s="8" t="s">
        <v>63</v>
      </c>
      <c r="O3050" s="8" t="s">
        <v>64</v>
      </c>
      <c r="P3050" s="6" t="s">
        <v>306</v>
      </c>
      <c r="Q3050" s="8" t="s">
        <v>52</v>
      </c>
      <c r="R3050" s="10" t="s">
        <v>370</v>
      </c>
      <c r="S3050" s="11"/>
      <c r="T3050" s="6"/>
      <c r="U3050" s="15" t="str">
        <f>HYPERLINK("https://media.infra-m.ru/2226/2226330/cover/2226330.jpg", "Обложка")</f>
        <v>Обложка</v>
      </c>
      <c r="V3050" s="8" t="s">
        <v>588</v>
      </c>
      <c r="W3050" s="6" t="s">
        <v>649</v>
      </c>
      <c r="X3050" s="6"/>
      <c r="Y3050" s="6"/>
      <c r="Z3050" s="6"/>
      <c r="AA3050" s="6" t="s">
        <v>13804</v>
      </c>
      <c r="AB3050" s="8" t="s">
        <v>308</v>
      </c>
      <c r="AC3050" s="27">
        <v>9785160214641</v>
      </c>
    </row>
    <row r="3051" spans="1:29" s="4" customFormat="1" ht="51.9" customHeight="1" x14ac:dyDescent="0.2">
      <c r="A3051" s="5">
        <v>0</v>
      </c>
      <c r="B3051" s="6" t="s">
        <v>17908</v>
      </c>
      <c r="C3051" s="7">
        <v>1636.8</v>
      </c>
      <c r="D3051" s="8" t="s">
        <v>17909</v>
      </c>
      <c r="E3051" s="8" t="s">
        <v>17910</v>
      </c>
      <c r="F3051" s="8" t="s">
        <v>17911</v>
      </c>
      <c r="G3051" s="6" t="s">
        <v>60</v>
      </c>
      <c r="H3051" s="6" t="s">
        <v>34</v>
      </c>
      <c r="I3051" s="8" t="s">
        <v>271</v>
      </c>
      <c r="J3051" s="9">
        <v>1</v>
      </c>
      <c r="K3051" s="9">
        <v>248</v>
      </c>
      <c r="L3051" s="9">
        <v>2026</v>
      </c>
      <c r="M3051" s="8" t="s">
        <v>17912</v>
      </c>
      <c r="N3051" s="8" t="s">
        <v>63</v>
      </c>
      <c r="O3051" s="8" t="s">
        <v>64</v>
      </c>
      <c r="P3051" s="6" t="s">
        <v>306</v>
      </c>
      <c r="Q3051" s="8" t="s">
        <v>52</v>
      </c>
      <c r="R3051" s="10" t="s">
        <v>370</v>
      </c>
      <c r="S3051" s="11" t="s">
        <v>17913</v>
      </c>
      <c r="T3051" s="6"/>
      <c r="U3051" s="15" t="str">
        <f>HYPERLINK("https://media.infra-m.ru/2223/2223534/cover/2223534.jpg", "Обложка")</f>
        <v>Обложка</v>
      </c>
      <c r="V3051" s="8" t="s">
        <v>17914</v>
      </c>
      <c r="W3051" s="6"/>
      <c r="X3051" s="6"/>
      <c r="Y3051" s="6"/>
      <c r="Z3051" s="6"/>
      <c r="AA3051" s="6" t="s">
        <v>430</v>
      </c>
      <c r="AB3051" s="8" t="s">
        <v>308</v>
      </c>
      <c r="AC3051" s="27">
        <v>9785160158532</v>
      </c>
    </row>
    <row r="3052" spans="1:29" s="4" customFormat="1" ht="51.9" customHeight="1" x14ac:dyDescent="0.2">
      <c r="A3052" s="5">
        <v>0</v>
      </c>
      <c r="B3052" s="6" t="s">
        <v>17915</v>
      </c>
      <c r="C3052" s="7">
        <v>1128</v>
      </c>
      <c r="D3052" s="8" t="s">
        <v>17916</v>
      </c>
      <c r="E3052" s="8" t="s">
        <v>17917</v>
      </c>
      <c r="F3052" s="8" t="s">
        <v>17918</v>
      </c>
      <c r="G3052" s="6" t="s">
        <v>33</v>
      </c>
      <c r="H3052" s="6" t="s">
        <v>34</v>
      </c>
      <c r="I3052" s="8" t="s">
        <v>35</v>
      </c>
      <c r="J3052" s="9">
        <v>1</v>
      </c>
      <c r="K3052" s="9">
        <v>169</v>
      </c>
      <c r="L3052" s="9">
        <v>2025</v>
      </c>
      <c r="M3052" s="8" t="s">
        <v>17919</v>
      </c>
      <c r="N3052" s="8" t="s">
        <v>63</v>
      </c>
      <c r="O3052" s="8" t="s">
        <v>64</v>
      </c>
      <c r="P3052" s="6" t="s">
        <v>39</v>
      </c>
      <c r="Q3052" s="8" t="s">
        <v>40</v>
      </c>
      <c r="R3052" s="10" t="s">
        <v>17920</v>
      </c>
      <c r="S3052" s="11"/>
      <c r="T3052" s="6"/>
      <c r="U3052" s="15" t="str">
        <f>HYPERLINK("https://media.infra-m.ru/2186/2186791/cover/2186791.jpg", "Обложка")</f>
        <v>Обложка</v>
      </c>
      <c r="V3052" s="8" t="s">
        <v>17921</v>
      </c>
      <c r="W3052" s="6"/>
      <c r="X3052" s="6"/>
      <c r="Y3052" s="6"/>
      <c r="Z3052" s="6"/>
      <c r="AA3052" s="6" t="s">
        <v>68</v>
      </c>
      <c r="AB3052" s="8" t="s">
        <v>3833</v>
      </c>
      <c r="AC3052" s="27">
        <v>9785160206332</v>
      </c>
    </row>
    <row r="3053" spans="1:29" s="4" customFormat="1" ht="44.1" customHeight="1" x14ac:dyDescent="0.2">
      <c r="A3053" s="5">
        <v>0</v>
      </c>
      <c r="B3053" s="6" t="s">
        <v>17922</v>
      </c>
      <c r="C3053" s="7">
        <v>1428</v>
      </c>
      <c r="D3053" s="8" t="s">
        <v>17923</v>
      </c>
      <c r="E3053" s="8" t="s">
        <v>17924</v>
      </c>
      <c r="F3053" s="8" t="s">
        <v>2562</v>
      </c>
      <c r="G3053" s="6" t="s">
        <v>118</v>
      </c>
      <c r="H3053" s="6" t="s">
        <v>34</v>
      </c>
      <c r="I3053" s="8" t="s">
        <v>1835</v>
      </c>
      <c r="J3053" s="9">
        <v>1</v>
      </c>
      <c r="K3053" s="9">
        <v>257</v>
      </c>
      <c r="L3053" s="9">
        <v>2023</v>
      </c>
      <c r="M3053" s="8" t="s">
        <v>17925</v>
      </c>
      <c r="N3053" s="8" t="s">
        <v>63</v>
      </c>
      <c r="O3053" s="8" t="s">
        <v>64</v>
      </c>
      <c r="P3053" s="6" t="s">
        <v>1837</v>
      </c>
      <c r="Q3053" s="8" t="s">
        <v>40</v>
      </c>
      <c r="R3053" s="10" t="s">
        <v>17926</v>
      </c>
      <c r="S3053" s="11"/>
      <c r="T3053" s="6"/>
      <c r="U3053" s="15" t="str">
        <f>HYPERLINK("https://media.infra-m.ru/1898/1898771/cover/1898771.jpg", "Обложка")</f>
        <v>Обложка</v>
      </c>
      <c r="V3053" s="8" t="s">
        <v>843</v>
      </c>
      <c r="W3053" s="6"/>
      <c r="X3053" s="6"/>
      <c r="Y3053" s="6"/>
      <c r="Z3053" s="6"/>
      <c r="AA3053" s="6" t="s">
        <v>86</v>
      </c>
      <c r="AB3053" s="8"/>
      <c r="AC3053" s="27">
        <v>9785160141039</v>
      </c>
    </row>
    <row r="3054" spans="1:29" s="4" customFormat="1" ht="44.1" customHeight="1" x14ac:dyDescent="0.2">
      <c r="A3054" s="5">
        <v>0</v>
      </c>
      <c r="B3054" s="6" t="s">
        <v>17927</v>
      </c>
      <c r="C3054" s="7">
        <v>1120.8</v>
      </c>
      <c r="D3054" s="8" t="s">
        <v>17928</v>
      </c>
      <c r="E3054" s="8" t="s">
        <v>17929</v>
      </c>
      <c r="F3054" s="8" t="s">
        <v>17930</v>
      </c>
      <c r="G3054" s="6" t="s">
        <v>33</v>
      </c>
      <c r="H3054" s="6" t="s">
        <v>34</v>
      </c>
      <c r="I3054" s="8" t="s">
        <v>35</v>
      </c>
      <c r="J3054" s="9">
        <v>1</v>
      </c>
      <c r="K3054" s="9">
        <v>162</v>
      </c>
      <c r="L3054" s="9">
        <v>2026</v>
      </c>
      <c r="M3054" s="8" t="s">
        <v>17931</v>
      </c>
      <c r="N3054" s="8" t="s">
        <v>63</v>
      </c>
      <c r="O3054" s="8" t="s">
        <v>64</v>
      </c>
      <c r="P3054" s="6" t="s">
        <v>39</v>
      </c>
      <c r="Q3054" s="8" t="s">
        <v>40</v>
      </c>
      <c r="R3054" s="10" t="s">
        <v>17932</v>
      </c>
      <c r="S3054" s="11"/>
      <c r="T3054" s="6"/>
      <c r="U3054" s="15" t="str">
        <f>HYPERLINK("https://media.infra-m.ru/2213/2213184/cover/2213184.jpg", "Обложка")</f>
        <v>Обложка</v>
      </c>
      <c r="V3054" s="8" t="s">
        <v>5801</v>
      </c>
      <c r="W3054" s="6"/>
      <c r="X3054" s="6"/>
      <c r="Y3054" s="6"/>
      <c r="Z3054" s="6"/>
      <c r="AA3054" s="6" t="s">
        <v>76</v>
      </c>
      <c r="AB3054" s="8" t="s">
        <v>17933</v>
      </c>
      <c r="AC3054" s="27">
        <v>9785160205588</v>
      </c>
    </row>
    <row r="3055" spans="1:29" s="4" customFormat="1" ht="42" customHeight="1" x14ac:dyDescent="0.2">
      <c r="A3055" s="5">
        <v>0</v>
      </c>
      <c r="B3055" s="6" t="s">
        <v>17934</v>
      </c>
      <c r="C3055" s="13">
        <v>544.79999999999995</v>
      </c>
      <c r="D3055" s="8" t="s">
        <v>17935</v>
      </c>
      <c r="E3055" s="8" t="s">
        <v>17936</v>
      </c>
      <c r="F3055" s="8" t="s">
        <v>12393</v>
      </c>
      <c r="G3055" s="6" t="s">
        <v>33</v>
      </c>
      <c r="H3055" s="6" t="s">
        <v>34</v>
      </c>
      <c r="I3055" s="8" t="s">
        <v>35</v>
      </c>
      <c r="J3055" s="9">
        <v>1</v>
      </c>
      <c r="K3055" s="9">
        <v>88</v>
      </c>
      <c r="L3055" s="9">
        <v>2023</v>
      </c>
      <c r="M3055" s="8" t="s">
        <v>17937</v>
      </c>
      <c r="N3055" s="8" t="s">
        <v>63</v>
      </c>
      <c r="O3055" s="8" t="s">
        <v>64</v>
      </c>
      <c r="P3055" s="6" t="s">
        <v>39</v>
      </c>
      <c r="Q3055" s="8" t="s">
        <v>40</v>
      </c>
      <c r="R3055" s="10" t="s">
        <v>17938</v>
      </c>
      <c r="S3055" s="11"/>
      <c r="T3055" s="6"/>
      <c r="U3055" s="15" t="str">
        <f>HYPERLINK("https://media.infra-m.ru/2067/2067281/cover/2067281.jpg", "Обложка")</f>
        <v>Обложка</v>
      </c>
      <c r="V3055" s="8" t="s">
        <v>1425</v>
      </c>
      <c r="W3055" s="6"/>
      <c r="X3055" s="6"/>
      <c r="Y3055" s="6"/>
      <c r="Z3055" s="6"/>
      <c r="AA3055" s="6" t="s">
        <v>115</v>
      </c>
      <c r="AB3055" s="8"/>
      <c r="AC3055" s="27">
        <v>9785160141763</v>
      </c>
    </row>
    <row r="3056" spans="1:29" s="4" customFormat="1" ht="51.9" customHeight="1" x14ac:dyDescent="0.2">
      <c r="A3056" s="5">
        <v>0</v>
      </c>
      <c r="B3056" s="6" t="s">
        <v>17939</v>
      </c>
      <c r="C3056" s="7">
        <v>1372.8</v>
      </c>
      <c r="D3056" s="8" t="s">
        <v>17940</v>
      </c>
      <c r="E3056" s="8" t="s">
        <v>17941</v>
      </c>
      <c r="F3056" s="8" t="s">
        <v>17942</v>
      </c>
      <c r="G3056" s="6" t="s">
        <v>33</v>
      </c>
      <c r="H3056" s="6" t="s">
        <v>34</v>
      </c>
      <c r="I3056" s="8" t="s">
        <v>35</v>
      </c>
      <c r="J3056" s="9">
        <v>1</v>
      </c>
      <c r="K3056" s="9">
        <v>219</v>
      </c>
      <c r="L3056" s="9">
        <v>2025</v>
      </c>
      <c r="M3056" s="8" t="s">
        <v>17943</v>
      </c>
      <c r="N3056" s="8" t="s">
        <v>63</v>
      </c>
      <c r="O3056" s="8" t="s">
        <v>64</v>
      </c>
      <c r="P3056" s="6" t="s">
        <v>39</v>
      </c>
      <c r="Q3056" s="8" t="s">
        <v>40</v>
      </c>
      <c r="R3056" s="10" t="s">
        <v>17944</v>
      </c>
      <c r="S3056" s="11"/>
      <c r="T3056" s="6"/>
      <c r="U3056" s="15" t="str">
        <f>HYPERLINK("https://media.infra-m.ru/2198/2198918/cover/2198918.jpg", "Обложка")</f>
        <v>Обложка</v>
      </c>
      <c r="V3056" s="8" t="s">
        <v>6700</v>
      </c>
      <c r="W3056" s="6"/>
      <c r="X3056" s="6"/>
      <c r="Y3056" s="6"/>
      <c r="Z3056" s="6"/>
      <c r="AA3056" s="6" t="s">
        <v>43</v>
      </c>
      <c r="AB3056" s="8"/>
      <c r="AC3056" s="27">
        <v>9785160051680</v>
      </c>
    </row>
    <row r="3057" spans="1:29" s="4" customFormat="1" ht="51.9" customHeight="1" x14ac:dyDescent="0.2">
      <c r="A3057" s="5">
        <v>0</v>
      </c>
      <c r="B3057" s="6" t="s">
        <v>17945</v>
      </c>
      <c r="C3057" s="7">
        <v>3904.8</v>
      </c>
      <c r="D3057" s="8" t="s">
        <v>17946</v>
      </c>
      <c r="E3057" s="8" t="s">
        <v>17947</v>
      </c>
      <c r="F3057" s="8" t="s">
        <v>2394</v>
      </c>
      <c r="G3057" s="6" t="s">
        <v>60</v>
      </c>
      <c r="H3057" s="6" t="s">
        <v>34</v>
      </c>
      <c r="I3057" s="8" t="s">
        <v>271</v>
      </c>
      <c r="J3057" s="9">
        <v>1</v>
      </c>
      <c r="K3057" s="9">
        <v>592</v>
      </c>
      <c r="L3057" s="9">
        <v>2026</v>
      </c>
      <c r="M3057" s="8" t="s">
        <v>17948</v>
      </c>
      <c r="N3057" s="8" t="s">
        <v>585</v>
      </c>
      <c r="O3057" s="8" t="s">
        <v>667</v>
      </c>
      <c r="P3057" s="6" t="s">
        <v>51</v>
      </c>
      <c r="Q3057" s="8" t="s">
        <v>52</v>
      </c>
      <c r="R3057" s="10" t="s">
        <v>17949</v>
      </c>
      <c r="S3057" s="11"/>
      <c r="T3057" s="6"/>
      <c r="U3057" s="15" t="str">
        <f>HYPERLINK("https://media.infra-m.ru/2237/2237097/cover/2237097.jpg", "Обложка")</f>
        <v>Обложка</v>
      </c>
      <c r="V3057" s="8" t="s">
        <v>2398</v>
      </c>
      <c r="W3057" s="6"/>
      <c r="X3057" s="6"/>
      <c r="Y3057" s="6"/>
      <c r="Z3057" s="6"/>
      <c r="AA3057" s="6" t="s">
        <v>1123</v>
      </c>
      <c r="AB3057" s="8"/>
      <c r="AC3057" s="27">
        <v>9785160105864</v>
      </c>
    </row>
    <row r="3058" spans="1:29" s="4" customFormat="1" ht="51.9" customHeight="1" x14ac:dyDescent="0.2">
      <c r="A3058" s="5">
        <v>0</v>
      </c>
      <c r="B3058" s="6" t="s">
        <v>17950</v>
      </c>
      <c r="C3058" s="7">
        <v>2320.8000000000002</v>
      </c>
      <c r="D3058" s="8" t="s">
        <v>17951</v>
      </c>
      <c r="E3058" s="8" t="s">
        <v>17952</v>
      </c>
      <c r="F3058" s="8" t="s">
        <v>17953</v>
      </c>
      <c r="G3058" s="6" t="s">
        <v>60</v>
      </c>
      <c r="H3058" s="6" t="s">
        <v>34</v>
      </c>
      <c r="I3058" s="8" t="s">
        <v>271</v>
      </c>
      <c r="J3058" s="9">
        <v>1</v>
      </c>
      <c r="K3058" s="9">
        <v>352</v>
      </c>
      <c r="L3058" s="9">
        <v>2026</v>
      </c>
      <c r="M3058" s="8" t="s">
        <v>17954</v>
      </c>
      <c r="N3058" s="8" t="s">
        <v>585</v>
      </c>
      <c r="O3058" s="8" t="s">
        <v>667</v>
      </c>
      <c r="P3058" s="6" t="s">
        <v>51</v>
      </c>
      <c r="Q3058" s="8" t="s">
        <v>52</v>
      </c>
      <c r="R3058" s="10" t="s">
        <v>17955</v>
      </c>
      <c r="S3058" s="11"/>
      <c r="T3058" s="6"/>
      <c r="U3058" s="15" t="str">
        <f>HYPERLINK("https://media.infra-m.ru/2237/2237098/cover/2237098.jpg", "Обложка")</f>
        <v>Обложка</v>
      </c>
      <c r="V3058" s="8" t="s">
        <v>2398</v>
      </c>
      <c r="W3058" s="6"/>
      <c r="X3058" s="6"/>
      <c r="Y3058" s="6"/>
      <c r="Z3058" s="6"/>
      <c r="AA3058" s="6" t="s">
        <v>274</v>
      </c>
      <c r="AB3058" s="8"/>
      <c r="AC3058" s="27">
        <v>9785160102061</v>
      </c>
    </row>
    <row r="3059" spans="1:29" s="4" customFormat="1" ht="51.9" customHeight="1" x14ac:dyDescent="0.2">
      <c r="A3059" s="5">
        <v>0</v>
      </c>
      <c r="B3059" s="6" t="s">
        <v>17956</v>
      </c>
      <c r="C3059" s="7">
        <v>3592.8</v>
      </c>
      <c r="D3059" s="8" t="s">
        <v>17957</v>
      </c>
      <c r="E3059" s="8" t="s">
        <v>17958</v>
      </c>
      <c r="F3059" s="8" t="s">
        <v>17959</v>
      </c>
      <c r="G3059" s="6" t="s">
        <v>60</v>
      </c>
      <c r="H3059" s="6" t="s">
        <v>1644</v>
      </c>
      <c r="I3059" s="8"/>
      <c r="J3059" s="9">
        <v>1</v>
      </c>
      <c r="K3059" s="9">
        <v>544</v>
      </c>
      <c r="L3059" s="9">
        <v>2026</v>
      </c>
      <c r="M3059" s="8" t="s">
        <v>17960</v>
      </c>
      <c r="N3059" s="8" t="s">
        <v>585</v>
      </c>
      <c r="O3059" s="8" t="s">
        <v>667</v>
      </c>
      <c r="P3059" s="6" t="s">
        <v>51</v>
      </c>
      <c r="Q3059" s="8" t="s">
        <v>52</v>
      </c>
      <c r="R3059" s="10" t="s">
        <v>17961</v>
      </c>
      <c r="S3059" s="11" t="s">
        <v>17962</v>
      </c>
      <c r="T3059" s="6"/>
      <c r="U3059" s="15" t="str">
        <f>HYPERLINK("https://media.infra-m.ru/2237/2237105/cover/2237105.jpg", "Обложка")</f>
        <v>Обложка</v>
      </c>
      <c r="V3059" s="8" t="s">
        <v>1956</v>
      </c>
      <c r="W3059" s="6"/>
      <c r="X3059" s="6"/>
      <c r="Y3059" s="6"/>
      <c r="Z3059" s="6"/>
      <c r="AA3059" s="6" t="s">
        <v>1037</v>
      </c>
      <c r="AB3059" s="8"/>
      <c r="AC3059" s="27">
        <v>9785977602587</v>
      </c>
    </row>
    <row r="3060" spans="1:29" s="4" customFormat="1" ht="51.9" customHeight="1" x14ac:dyDescent="0.2">
      <c r="A3060" s="5">
        <v>0</v>
      </c>
      <c r="B3060" s="6" t="s">
        <v>17963</v>
      </c>
      <c r="C3060" s="7">
        <v>2092.8000000000002</v>
      </c>
      <c r="D3060" s="8" t="s">
        <v>17964</v>
      </c>
      <c r="E3060" s="8" t="s">
        <v>17965</v>
      </c>
      <c r="F3060" s="8" t="s">
        <v>17966</v>
      </c>
      <c r="G3060" s="6" t="s">
        <v>60</v>
      </c>
      <c r="H3060" s="6" t="s">
        <v>34</v>
      </c>
      <c r="I3060" s="8" t="s">
        <v>271</v>
      </c>
      <c r="J3060" s="9">
        <v>1</v>
      </c>
      <c r="K3060" s="9">
        <v>318</v>
      </c>
      <c r="L3060" s="9">
        <v>2026</v>
      </c>
      <c r="M3060" s="8" t="s">
        <v>17967</v>
      </c>
      <c r="N3060" s="8" t="s">
        <v>585</v>
      </c>
      <c r="O3060" s="8" t="s">
        <v>667</v>
      </c>
      <c r="P3060" s="6" t="s">
        <v>51</v>
      </c>
      <c r="Q3060" s="8" t="s">
        <v>52</v>
      </c>
      <c r="R3060" s="10" t="s">
        <v>17968</v>
      </c>
      <c r="S3060" s="11" t="s">
        <v>17969</v>
      </c>
      <c r="T3060" s="6"/>
      <c r="U3060" s="15" t="str">
        <f>HYPERLINK("https://media.infra-m.ru/2237/2237104/cover/2237104.jpg", "Обложка")</f>
        <v>Обложка</v>
      </c>
      <c r="V3060" s="8" t="s">
        <v>396</v>
      </c>
      <c r="W3060" s="6"/>
      <c r="X3060" s="6"/>
      <c r="Y3060" s="6"/>
      <c r="Z3060" s="6"/>
      <c r="AA3060" s="6" t="s">
        <v>43</v>
      </c>
      <c r="AB3060" s="8"/>
      <c r="AC3060" s="27">
        <v>9785160045337</v>
      </c>
    </row>
    <row r="3061" spans="1:29" s="4" customFormat="1" ht="44.1" customHeight="1" x14ac:dyDescent="0.2">
      <c r="A3061" s="5">
        <v>0</v>
      </c>
      <c r="B3061" s="6" t="s">
        <v>17970</v>
      </c>
      <c r="C3061" s="7">
        <v>1588.8</v>
      </c>
      <c r="D3061" s="8" t="s">
        <v>17971</v>
      </c>
      <c r="E3061" s="8" t="s">
        <v>17965</v>
      </c>
      <c r="F3061" s="8" t="s">
        <v>17972</v>
      </c>
      <c r="G3061" s="6" t="s">
        <v>60</v>
      </c>
      <c r="H3061" s="6" t="s">
        <v>34</v>
      </c>
      <c r="I3061" s="8" t="s">
        <v>1248</v>
      </c>
      <c r="J3061" s="9">
        <v>1</v>
      </c>
      <c r="K3061" s="9">
        <v>241</v>
      </c>
      <c r="L3061" s="9">
        <v>2026</v>
      </c>
      <c r="M3061" s="8" t="s">
        <v>17973</v>
      </c>
      <c r="N3061" s="8" t="s">
        <v>585</v>
      </c>
      <c r="O3061" s="8" t="s">
        <v>667</v>
      </c>
      <c r="P3061" s="6" t="s">
        <v>51</v>
      </c>
      <c r="Q3061" s="8" t="s">
        <v>65</v>
      </c>
      <c r="R3061" s="10" t="s">
        <v>17974</v>
      </c>
      <c r="S3061" s="11"/>
      <c r="T3061" s="6"/>
      <c r="U3061" s="15" t="str">
        <f>HYPERLINK("https://media.infra-m.ru/2237/2237101/cover/2237101.jpg", "Обложка")</f>
        <v>Обложка</v>
      </c>
      <c r="V3061" s="8" t="s">
        <v>1083</v>
      </c>
      <c r="W3061" s="6"/>
      <c r="X3061" s="6"/>
      <c r="Y3061" s="6"/>
      <c r="Z3061" s="6"/>
      <c r="AA3061" s="6" t="s">
        <v>76</v>
      </c>
      <c r="AB3061" s="8"/>
      <c r="AC3061" s="27">
        <v>9785160195971</v>
      </c>
    </row>
    <row r="3062" spans="1:29" s="4" customFormat="1" ht="51.9" customHeight="1" x14ac:dyDescent="0.2">
      <c r="A3062" s="5">
        <v>0</v>
      </c>
      <c r="B3062" s="6" t="s">
        <v>17975</v>
      </c>
      <c r="C3062" s="7">
        <v>1488</v>
      </c>
      <c r="D3062" s="8" t="s">
        <v>17976</v>
      </c>
      <c r="E3062" s="8" t="s">
        <v>17977</v>
      </c>
      <c r="F3062" s="8" t="s">
        <v>17978</v>
      </c>
      <c r="G3062" s="6" t="s">
        <v>60</v>
      </c>
      <c r="H3062" s="6" t="s">
        <v>34</v>
      </c>
      <c r="I3062" s="8" t="s">
        <v>263</v>
      </c>
      <c r="J3062" s="9">
        <v>1</v>
      </c>
      <c r="K3062" s="9">
        <v>253</v>
      </c>
      <c r="L3062" s="9">
        <v>2024</v>
      </c>
      <c r="M3062" s="8" t="s">
        <v>17979</v>
      </c>
      <c r="N3062" s="8" t="s">
        <v>243</v>
      </c>
      <c r="O3062" s="8" t="s">
        <v>244</v>
      </c>
      <c r="P3062" s="6" t="s">
        <v>51</v>
      </c>
      <c r="Q3062" s="8" t="s">
        <v>265</v>
      </c>
      <c r="R3062" s="10" t="s">
        <v>17980</v>
      </c>
      <c r="S3062" s="11"/>
      <c r="T3062" s="6"/>
      <c r="U3062" s="15" t="str">
        <f>HYPERLINK("https://media.infra-m.ru/1899/1899098/cover/1899098.jpg", "Обложка")</f>
        <v>Обложка</v>
      </c>
      <c r="V3062" s="8" t="s">
        <v>17981</v>
      </c>
      <c r="W3062" s="6"/>
      <c r="X3062" s="6"/>
      <c r="Y3062" s="6"/>
      <c r="Z3062" s="6"/>
      <c r="AA3062" s="6" t="s">
        <v>76</v>
      </c>
      <c r="AB3062" s="8" t="s">
        <v>17982</v>
      </c>
      <c r="AC3062" s="27">
        <v>9785160179490</v>
      </c>
    </row>
    <row r="3063" spans="1:29" s="4" customFormat="1" ht="51.9" customHeight="1" x14ac:dyDescent="0.2">
      <c r="A3063" s="5">
        <v>0</v>
      </c>
      <c r="B3063" s="6" t="s">
        <v>17983</v>
      </c>
      <c r="C3063" s="13">
        <v>828</v>
      </c>
      <c r="D3063" s="8" t="s">
        <v>17984</v>
      </c>
      <c r="E3063" s="8" t="s">
        <v>17985</v>
      </c>
      <c r="F3063" s="8" t="s">
        <v>17986</v>
      </c>
      <c r="G3063" s="6" t="s">
        <v>33</v>
      </c>
      <c r="H3063" s="6" t="s">
        <v>34</v>
      </c>
      <c r="I3063" s="8" t="s">
        <v>253</v>
      </c>
      <c r="J3063" s="9">
        <v>1</v>
      </c>
      <c r="K3063" s="9">
        <v>132</v>
      </c>
      <c r="L3063" s="9">
        <v>2024</v>
      </c>
      <c r="M3063" s="8" t="s">
        <v>17987</v>
      </c>
      <c r="N3063" s="8" t="s">
        <v>585</v>
      </c>
      <c r="O3063" s="8" t="s">
        <v>667</v>
      </c>
      <c r="P3063" s="6" t="s">
        <v>51</v>
      </c>
      <c r="Q3063" s="8" t="s">
        <v>52</v>
      </c>
      <c r="R3063" s="10" t="s">
        <v>17988</v>
      </c>
      <c r="S3063" s="11" t="s">
        <v>17989</v>
      </c>
      <c r="T3063" s="6"/>
      <c r="U3063" s="15" t="str">
        <f>HYPERLINK("https://media.infra-m.ru/2082/2082848/cover/2082848.jpg", "Обложка")</f>
        <v>Обложка</v>
      </c>
      <c r="V3063" s="8" t="s">
        <v>6025</v>
      </c>
      <c r="W3063" s="6"/>
      <c r="X3063" s="6"/>
      <c r="Y3063" s="6"/>
      <c r="Z3063" s="6"/>
      <c r="AA3063" s="6" t="s">
        <v>99</v>
      </c>
      <c r="AB3063" s="8"/>
      <c r="AC3063" s="27">
        <v>9785160194509</v>
      </c>
    </row>
    <row r="3064" spans="1:29" s="4" customFormat="1" ht="51.9" customHeight="1" x14ac:dyDescent="0.2">
      <c r="A3064" s="5">
        <v>0</v>
      </c>
      <c r="B3064" s="6" t="s">
        <v>17990</v>
      </c>
      <c r="C3064" s="7">
        <v>1432.8</v>
      </c>
      <c r="D3064" s="8" t="s">
        <v>17991</v>
      </c>
      <c r="E3064" s="8" t="s">
        <v>17992</v>
      </c>
      <c r="F3064" s="8" t="s">
        <v>17993</v>
      </c>
      <c r="G3064" s="6" t="s">
        <v>33</v>
      </c>
      <c r="H3064" s="6" t="s">
        <v>34</v>
      </c>
      <c r="I3064" s="8" t="s">
        <v>35</v>
      </c>
      <c r="J3064" s="9">
        <v>1</v>
      </c>
      <c r="K3064" s="9">
        <v>193</v>
      </c>
      <c r="L3064" s="9">
        <v>2026</v>
      </c>
      <c r="M3064" s="8" t="s">
        <v>17994</v>
      </c>
      <c r="N3064" s="8" t="s">
        <v>243</v>
      </c>
      <c r="O3064" s="8" t="s">
        <v>385</v>
      </c>
      <c r="P3064" s="6" t="s">
        <v>39</v>
      </c>
      <c r="Q3064" s="8" t="s">
        <v>40</v>
      </c>
      <c r="R3064" s="10" t="s">
        <v>17995</v>
      </c>
      <c r="S3064" s="11"/>
      <c r="T3064" s="6"/>
      <c r="U3064" s="15" t="str">
        <f>HYPERLINK("https://media.infra-m.ru/2238/2238529/cover/2238529.jpg", "Обложка")</f>
        <v>Обложка</v>
      </c>
      <c r="V3064" s="8" t="s">
        <v>1357</v>
      </c>
      <c r="W3064" s="6"/>
      <c r="X3064" s="6"/>
      <c r="Y3064" s="6"/>
      <c r="Z3064" s="6"/>
      <c r="AA3064" s="6" t="s">
        <v>157</v>
      </c>
      <c r="AB3064" s="8"/>
      <c r="AC3064" s="27">
        <v>9785160182889</v>
      </c>
    </row>
    <row r="3065" spans="1:29" s="4" customFormat="1" ht="42" customHeight="1" x14ac:dyDescent="0.2">
      <c r="A3065" s="5">
        <v>0</v>
      </c>
      <c r="B3065" s="6" t="s">
        <v>17996</v>
      </c>
      <c r="C3065" s="13">
        <v>892.8</v>
      </c>
      <c r="D3065" s="8" t="s">
        <v>17997</v>
      </c>
      <c r="E3065" s="8" t="s">
        <v>17998</v>
      </c>
      <c r="F3065" s="8" t="s">
        <v>17999</v>
      </c>
      <c r="G3065" s="6" t="s">
        <v>33</v>
      </c>
      <c r="H3065" s="6" t="s">
        <v>34</v>
      </c>
      <c r="I3065" s="8" t="s">
        <v>35</v>
      </c>
      <c r="J3065" s="9">
        <v>1</v>
      </c>
      <c r="K3065" s="9">
        <v>128</v>
      </c>
      <c r="L3065" s="9">
        <v>2027</v>
      </c>
      <c r="M3065" s="8" t="s">
        <v>18000</v>
      </c>
      <c r="N3065" s="8" t="s">
        <v>63</v>
      </c>
      <c r="O3065" s="8" t="s">
        <v>64</v>
      </c>
      <c r="P3065" s="6" t="s">
        <v>39</v>
      </c>
      <c r="Q3065" s="8" t="s">
        <v>40</v>
      </c>
      <c r="R3065" s="10" t="s">
        <v>2558</v>
      </c>
      <c r="S3065" s="11"/>
      <c r="T3065" s="6"/>
      <c r="U3065" s="15" t="str">
        <f>HYPERLINK("https://media.infra-m.ru/2270/2270486/cover/2270486.jpg", "Обложка")</f>
        <v>Обложка</v>
      </c>
      <c r="V3065" s="8" t="s">
        <v>18001</v>
      </c>
      <c r="W3065" s="6"/>
      <c r="X3065" s="6"/>
      <c r="Y3065" s="6"/>
      <c r="Z3065" s="6"/>
      <c r="AA3065" s="6" t="s">
        <v>1015</v>
      </c>
      <c r="AB3065" s="8"/>
      <c r="AC3065" s="27">
        <v>9785160097497</v>
      </c>
    </row>
    <row r="3066" spans="1:29" s="4" customFormat="1" ht="51.9" customHeight="1" x14ac:dyDescent="0.2">
      <c r="A3066" s="5">
        <v>0</v>
      </c>
      <c r="B3066" s="6" t="s">
        <v>18002</v>
      </c>
      <c r="C3066" s="7">
        <v>2080.8000000000002</v>
      </c>
      <c r="D3066" s="8" t="s">
        <v>18003</v>
      </c>
      <c r="E3066" s="8" t="s">
        <v>18004</v>
      </c>
      <c r="F3066" s="8" t="s">
        <v>1965</v>
      </c>
      <c r="G3066" s="6" t="s">
        <v>118</v>
      </c>
      <c r="H3066" s="6" t="s">
        <v>34</v>
      </c>
      <c r="I3066" s="8" t="s">
        <v>271</v>
      </c>
      <c r="J3066" s="9">
        <v>1</v>
      </c>
      <c r="K3066" s="9">
        <v>315</v>
      </c>
      <c r="L3066" s="9">
        <v>2026</v>
      </c>
      <c r="M3066" s="8" t="s">
        <v>18005</v>
      </c>
      <c r="N3066" s="8" t="s">
        <v>37</v>
      </c>
      <c r="O3066" s="8" t="s">
        <v>50</v>
      </c>
      <c r="P3066" s="6" t="s">
        <v>51</v>
      </c>
      <c r="Q3066" s="8" t="s">
        <v>52</v>
      </c>
      <c r="R3066" s="10" t="s">
        <v>18006</v>
      </c>
      <c r="S3066" s="11" t="s">
        <v>18007</v>
      </c>
      <c r="T3066" s="6"/>
      <c r="U3066" s="15" t="str">
        <f>HYPERLINK("https://media.infra-m.ru/2226/2226519/cover/2226519.jpg", "Обложка")</f>
        <v>Обложка</v>
      </c>
      <c r="V3066" s="8" t="s">
        <v>1599</v>
      </c>
      <c r="W3066" s="6"/>
      <c r="X3066" s="6"/>
      <c r="Y3066" s="6"/>
      <c r="Z3066" s="6"/>
      <c r="AA3066" s="6" t="s">
        <v>218</v>
      </c>
      <c r="AB3066" s="8"/>
      <c r="AC3066" s="27">
        <v>9785160142531</v>
      </c>
    </row>
    <row r="3067" spans="1:29" s="4" customFormat="1" ht="42" customHeight="1" x14ac:dyDescent="0.2">
      <c r="A3067" s="5">
        <v>0</v>
      </c>
      <c r="B3067" s="6" t="s">
        <v>18008</v>
      </c>
      <c r="C3067" s="13">
        <v>768</v>
      </c>
      <c r="D3067" s="8" t="s">
        <v>18009</v>
      </c>
      <c r="E3067" s="8" t="s">
        <v>18010</v>
      </c>
      <c r="F3067" s="8" t="s">
        <v>18011</v>
      </c>
      <c r="G3067" s="6" t="s">
        <v>33</v>
      </c>
      <c r="H3067" s="6" t="s">
        <v>34</v>
      </c>
      <c r="I3067" s="8" t="s">
        <v>1248</v>
      </c>
      <c r="J3067" s="9">
        <v>1</v>
      </c>
      <c r="K3067" s="9">
        <v>110</v>
      </c>
      <c r="L3067" s="9">
        <v>2027</v>
      </c>
      <c r="M3067" s="8" t="s">
        <v>18012</v>
      </c>
      <c r="N3067" s="8" t="s">
        <v>63</v>
      </c>
      <c r="O3067" s="8" t="s">
        <v>64</v>
      </c>
      <c r="P3067" s="6" t="s">
        <v>51</v>
      </c>
      <c r="Q3067" s="8" t="s">
        <v>65</v>
      </c>
      <c r="R3067" s="10" t="s">
        <v>18013</v>
      </c>
      <c r="S3067" s="11"/>
      <c r="T3067" s="6"/>
      <c r="U3067" s="15" t="str">
        <f>HYPERLINK("https://media.infra-m.ru/2270/2270188/cover/2270188.jpg", "Обложка")</f>
        <v>Обложка</v>
      </c>
      <c r="V3067" s="8" t="s">
        <v>1083</v>
      </c>
      <c r="W3067" s="6"/>
      <c r="X3067" s="6"/>
      <c r="Y3067" s="6"/>
      <c r="Z3067" s="6"/>
      <c r="AA3067" s="6" t="s">
        <v>76</v>
      </c>
      <c r="AB3067" s="8"/>
      <c r="AC3067" s="27">
        <v>9785160195940</v>
      </c>
    </row>
    <row r="3068" spans="1:29" s="4" customFormat="1" ht="51.9" customHeight="1" x14ac:dyDescent="0.2">
      <c r="A3068" s="5">
        <v>0</v>
      </c>
      <c r="B3068" s="6" t="s">
        <v>18014</v>
      </c>
      <c r="C3068" s="7">
        <v>1992</v>
      </c>
      <c r="D3068" s="8" t="s">
        <v>18015</v>
      </c>
      <c r="E3068" s="8" t="s">
        <v>18016</v>
      </c>
      <c r="F3068" s="8" t="s">
        <v>18017</v>
      </c>
      <c r="G3068" s="6" t="s">
        <v>118</v>
      </c>
      <c r="H3068" s="6" t="s">
        <v>34</v>
      </c>
      <c r="I3068" s="8" t="s">
        <v>263</v>
      </c>
      <c r="J3068" s="9">
        <v>1</v>
      </c>
      <c r="K3068" s="9">
        <v>395</v>
      </c>
      <c r="L3068" s="9">
        <v>2022</v>
      </c>
      <c r="M3068" s="8" t="s">
        <v>18018</v>
      </c>
      <c r="N3068" s="8" t="s">
        <v>63</v>
      </c>
      <c r="O3068" s="8" t="s">
        <v>64</v>
      </c>
      <c r="P3068" s="6" t="s">
        <v>51</v>
      </c>
      <c r="Q3068" s="8" t="s">
        <v>265</v>
      </c>
      <c r="R3068" s="10" t="s">
        <v>18019</v>
      </c>
      <c r="S3068" s="11" t="s">
        <v>18020</v>
      </c>
      <c r="T3068" s="6" t="s">
        <v>97</v>
      </c>
      <c r="U3068" s="15" t="str">
        <f>HYPERLINK("https://media.infra-m.ru/1863/1863925/cover/1863925.jpg", "Обложка")</f>
        <v>Обложка</v>
      </c>
      <c r="V3068" s="8" t="s">
        <v>4481</v>
      </c>
      <c r="W3068" s="6"/>
      <c r="X3068" s="6"/>
      <c r="Y3068" s="6"/>
      <c r="Z3068" s="6" t="s">
        <v>267</v>
      </c>
      <c r="AA3068" s="6" t="s">
        <v>115</v>
      </c>
      <c r="AB3068" s="8"/>
      <c r="AC3068" s="27">
        <v>9785160148144</v>
      </c>
    </row>
    <row r="3069" spans="1:29" s="4" customFormat="1" ht="51.9" customHeight="1" x14ac:dyDescent="0.2">
      <c r="A3069" s="5">
        <v>0</v>
      </c>
      <c r="B3069" s="6" t="s">
        <v>18021</v>
      </c>
      <c r="C3069" s="7">
        <v>2136</v>
      </c>
      <c r="D3069" s="8" t="s">
        <v>18022</v>
      </c>
      <c r="E3069" s="8" t="s">
        <v>18016</v>
      </c>
      <c r="F3069" s="8" t="s">
        <v>18017</v>
      </c>
      <c r="G3069" s="6" t="s">
        <v>118</v>
      </c>
      <c r="H3069" s="6" t="s">
        <v>34</v>
      </c>
      <c r="I3069" s="8" t="s">
        <v>271</v>
      </c>
      <c r="J3069" s="9">
        <v>1</v>
      </c>
      <c r="K3069" s="9">
        <v>396</v>
      </c>
      <c r="L3069" s="9">
        <v>2023</v>
      </c>
      <c r="M3069" s="8" t="s">
        <v>18023</v>
      </c>
      <c r="N3069" s="8" t="s">
        <v>63</v>
      </c>
      <c r="O3069" s="8" t="s">
        <v>64</v>
      </c>
      <c r="P3069" s="6" t="s">
        <v>51</v>
      </c>
      <c r="Q3069" s="8" t="s">
        <v>52</v>
      </c>
      <c r="R3069" s="10" t="s">
        <v>10991</v>
      </c>
      <c r="S3069" s="11" t="s">
        <v>14481</v>
      </c>
      <c r="T3069" s="6" t="s">
        <v>97</v>
      </c>
      <c r="U3069" s="15" t="str">
        <f>HYPERLINK("https://media.infra-m.ru/1893/1893813/cover/1893813.jpg", "Обложка")</f>
        <v>Обложка</v>
      </c>
      <c r="V3069" s="8" t="s">
        <v>4481</v>
      </c>
      <c r="W3069" s="6"/>
      <c r="X3069" s="6"/>
      <c r="Y3069" s="6"/>
      <c r="Z3069" s="6"/>
      <c r="AA3069" s="6" t="s">
        <v>779</v>
      </c>
      <c r="AB3069" s="8"/>
      <c r="AC3069" s="27">
        <v>9785160111452</v>
      </c>
    </row>
    <row r="3070" spans="1:29" s="4" customFormat="1" ht="44.1" customHeight="1" x14ac:dyDescent="0.2">
      <c r="A3070" s="5">
        <v>0</v>
      </c>
      <c r="B3070" s="6" t="s">
        <v>18024</v>
      </c>
      <c r="C3070" s="7">
        <v>2536.8000000000002</v>
      </c>
      <c r="D3070" s="8" t="s">
        <v>18025</v>
      </c>
      <c r="E3070" s="8" t="s">
        <v>18026</v>
      </c>
      <c r="F3070" s="8" t="s">
        <v>18027</v>
      </c>
      <c r="G3070" s="6" t="s">
        <v>118</v>
      </c>
      <c r="H3070" s="6" t="s">
        <v>34</v>
      </c>
      <c r="I3070" s="8" t="s">
        <v>253</v>
      </c>
      <c r="J3070" s="9">
        <v>1</v>
      </c>
      <c r="K3070" s="9">
        <v>384</v>
      </c>
      <c r="L3070" s="9">
        <v>2026</v>
      </c>
      <c r="M3070" s="8" t="s">
        <v>18028</v>
      </c>
      <c r="N3070" s="8" t="s">
        <v>63</v>
      </c>
      <c r="O3070" s="8" t="s">
        <v>64</v>
      </c>
      <c r="P3070" s="6" t="s">
        <v>51</v>
      </c>
      <c r="Q3070" s="8" t="s">
        <v>52</v>
      </c>
      <c r="R3070" s="10" t="s">
        <v>18029</v>
      </c>
      <c r="S3070" s="11"/>
      <c r="T3070" s="6"/>
      <c r="U3070" s="15" t="str">
        <f>HYPERLINK("https://media.infra-m.ru/2232/2232607/cover/2232607.jpg", "Обложка")</f>
        <v>Обложка</v>
      </c>
      <c r="V3070" s="8" t="s">
        <v>4481</v>
      </c>
      <c r="W3070" s="6"/>
      <c r="X3070" s="6"/>
      <c r="Y3070" s="6"/>
      <c r="Z3070" s="6"/>
      <c r="AA3070" s="6" t="s">
        <v>148</v>
      </c>
      <c r="AB3070" s="8" t="s">
        <v>18030</v>
      </c>
      <c r="AC3070" s="27">
        <v>9785160193779</v>
      </c>
    </row>
    <row r="3071" spans="1:29" s="4" customFormat="1" ht="42" customHeight="1" x14ac:dyDescent="0.2">
      <c r="A3071" s="5">
        <v>0</v>
      </c>
      <c r="B3071" s="6" t="s">
        <v>18031</v>
      </c>
      <c r="C3071" s="7">
        <v>2292</v>
      </c>
      <c r="D3071" s="8" t="s">
        <v>18032</v>
      </c>
      <c r="E3071" s="8" t="s">
        <v>18033</v>
      </c>
      <c r="F3071" s="8" t="s">
        <v>17737</v>
      </c>
      <c r="G3071" s="6" t="s">
        <v>118</v>
      </c>
      <c r="H3071" s="6" t="s">
        <v>34</v>
      </c>
      <c r="I3071" s="8" t="s">
        <v>253</v>
      </c>
      <c r="J3071" s="9">
        <v>1</v>
      </c>
      <c r="K3071" s="9">
        <v>347</v>
      </c>
      <c r="L3071" s="9">
        <v>2026</v>
      </c>
      <c r="M3071" s="8" t="s">
        <v>18034</v>
      </c>
      <c r="N3071" s="8" t="s">
        <v>63</v>
      </c>
      <c r="O3071" s="8" t="s">
        <v>64</v>
      </c>
      <c r="P3071" s="6" t="s">
        <v>306</v>
      </c>
      <c r="Q3071" s="8" t="s">
        <v>377</v>
      </c>
      <c r="R3071" s="10" t="s">
        <v>18035</v>
      </c>
      <c r="S3071" s="11"/>
      <c r="T3071" s="6"/>
      <c r="U3071" s="15" t="str">
        <f>HYPERLINK("https://media.infra-m.ru/2219/2219049/cover/2219049.jpg", "Обложка")</f>
        <v>Обложка</v>
      </c>
      <c r="V3071" s="8" t="s">
        <v>17741</v>
      </c>
      <c r="W3071" s="6"/>
      <c r="X3071" s="6"/>
      <c r="Y3071" s="6"/>
      <c r="Z3071" s="6"/>
      <c r="AA3071" s="6" t="s">
        <v>115</v>
      </c>
      <c r="AB3071" s="8"/>
      <c r="AC3071" s="27">
        <v>9785160208824</v>
      </c>
    </row>
    <row r="3072" spans="1:29" s="4" customFormat="1" ht="51.9" customHeight="1" x14ac:dyDescent="0.2">
      <c r="A3072" s="5">
        <v>0</v>
      </c>
      <c r="B3072" s="6" t="s">
        <v>18036</v>
      </c>
      <c r="C3072" s="7">
        <v>1068</v>
      </c>
      <c r="D3072" s="8" t="s">
        <v>18037</v>
      </c>
      <c r="E3072" s="8" t="s">
        <v>18038</v>
      </c>
      <c r="F3072" s="8" t="s">
        <v>18039</v>
      </c>
      <c r="G3072" s="6" t="s">
        <v>118</v>
      </c>
      <c r="H3072" s="6" t="s">
        <v>34</v>
      </c>
      <c r="I3072" s="8" t="s">
        <v>253</v>
      </c>
      <c r="J3072" s="9">
        <v>1</v>
      </c>
      <c r="K3072" s="9">
        <v>152</v>
      </c>
      <c r="L3072" s="9">
        <v>2026</v>
      </c>
      <c r="M3072" s="8" t="s">
        <v>18040</v>
      </c>
      <c r="N3072" s="8" t="s">
        <v>63</v>
      </c>
      <c r="O3072" s="8" t="s">
        <v>64</v>
      </c>
      <c r="P3072" s="6" t="s">
        <v>51</v>
      </c>
      <c r="Q3072" s="8" t="s">
        <v>52</v>
      </c>
      <c r="R3072" s="10" t="s">
        <v>15190</v>
      </c>
      <c r="S3072" s="11" t="s">
        <v>18041</v>
      </c>
      <c r="T3072" s="6" t="s">
        <v>97</v>
      </c>
      <c r="U3072" s="15" t="str">
        <f>HYPERLINK("https://media.infra-m.ru/2206/2206009/cover/2206009.jpg", "Обложка")</f>
        <v>Обложка</v>
      </c>
      <c r="V3072" s="8" t="s">
        <v>17914</v>
      </c>
      <c r="W3072" s="6"/>
      <c r="X3072" s="6"/>
      <c r="Y3072" s="6"/>
      <c r="Z3072" s="6"/>
      <c r="AA3072" s="6" t="s">
        <v>99</v>
      </c>
      <c r="AB3072" s="8" t="s">
        <v>493</v>
      </c>
      <c r="AC3072" s="27">
        <v>9785160192062</v>
      </c>
    </row>
    <row r="3073" spans="1:29" s="4" customFormat="1" ht="51.9" customHeight="1" x14ac:dyDescent="0.2">
      <c r="A3073" s="5">
        <v>0</v>
      </c>
      <c r="B3073" s="6" t="s">
        <v>18042</v>
      </c>
      <c r="C3073" s="7">
        <v>1632</v>
      </c>
      <c r="D3073" s="8" t="s">
        <v>18043</v>
      </c>
      <c r="E3073" s="8" t="s">
        <v>18044</v>
      </c>
      <c r="F3073" s="8" t="s">
        <v>2620</v>
      </c>
      <c r="G3073" s="6" t="s">
        <v>118</v>
      </c>
      <c r="H3073" s="6" t="s">
        <v>34</v>
      </c>
      <c r="I3073" s="8" t="s">
        <v>271</v>
      </c>
      <c r="J3073" s="9">
        <v>1</v>
      </c>
      <c r="K3073" s="9">
        <v>295</v>
      </c>
      <c r="L3073" s="9">
        <v>2023</v>
      </c>
      <c r="M3073" s="8" t="s">
        <v>18045</v>
      </c>
      <c r="N3073" s="8" t="s">
        <v>63</v>
      </c>
      <c r="O3073" s="8" t="s">
        <v>64</v>
      </c>
      <c r="P3073" s="6" t="s">
        <v>51</v>
      </c>
      <c r="Q3073" s="8" t="s">
        <v>52</v>
      </c>
      <c r="R3073" s="10" t="s">
        <v>18046</v>
      </c>
      <c r="S3073" s="11" t="s">
        <v>18047</v>
      </c>
      <c r="T3073" s="6"/>
      <c r="U3073" s="15" t="str">
        <f>HYPERLINK("https://media.infra-m.ru/1933/1933173/cover/1933173.jpg", "Обложка")</f>
        <v>Обложка</v>
      </c>
      <c r="V3073" s="8" t="s">
        <v>2623</v>
      </c>
      <c r="W3073" s="6"/>
      <c r="X3073" s="6"/>
      <c r="Y3073" s="6"/>
      <c r="Z3073" s="6"/>
      <c r="AA3073" s="6" t="s">
        <v>148</v>
      </c>
      <c r="AB3073" s="8"/>
      <c r="AC3073" s="27">
        <v>9785160168555</v>
      </c>
    </row>
    <row r="3074" spans="1:29" s="4" customFormat="1" ht="51.9" customHeight="1" x14ac:dyDescent="0.2">
      <c r="A3074" s="5">
        <v>0</v>
      </c>
      <c r="B3074" s="6" t="s">
        <v>18048</v>
      </c>
      <c r="C3074" s="7">
        <v>1872</v>
      </c>
      <c r="D3074" s="8" t="s">
        <v>18049</v>
      </c>
      <c r="E3074" s="8" t="s">
        <v>18050</v>
      </c>
      <c r="F3074" s="8" t="s">
        <v>18051</v>
      </c>
      <c r="G3074" s="6" t="s">
        <v>118</v>
      </c>
      <c r="H3074" s="6" t="s">
        <v>34</v>
      </c>
      <c r="I3074" s="8" t="s">
        <v>253</v>
      </c>
      <c r="J3074" s="9">
        <v>1</v>
      </c>
      <c r="K3074" s="9">
        <v>284</v>
      </c>
      <c r="L3074" s="9">
        <v>2026</v>
      </c>
      <c r="M3074" s="8" t="s">
        <v>18052</v>
      </c>
      <c r="N3074" s="8" t="s">
        <v>585</v>
      </c>
      <c r="O3074" s="8" t="s">
        <v>775</v>
      </c>
      <c r="P3074" s="6" t="s">
        <v>306</v>
      </c>
      <c r="Q3074" s="8" t="s">
        <v>52</v>
      </c>
      <c r="R3074" s="10" t="s">
        <v>18053</v>
      </c>
      <c r="S3074" s="11" t="s">
        <v>18054</v>
      </c>
      <c r="T3074" s="6"/>
      <c r="U3074" s="15" t="str">
        <f>HYPERLINK("https://media.infra-m.ru/2224/2224083/cover/2224083.jpg", "Обложка")</f>
        <v>Обложка</v>
      </c>
      <c r="V3074" s="8" t="s">
        <v>3109</v>
      </c>
      <c r="W3074" s="6"/>
      <c r="X3074" s="6"/>
      <c r="Y3074" s="6"/>
      <c r="Z3074" s="6"/>
      <c r="AA3074" s="6" t="s">
        <v>148</v>
      </c>
      <c r="AB3074" s="8"/>
      <c r="AC3074" s="27">
        <v>9785160214399</v>
      </c>
    </row>
    <row r="3075" spans="1:29" s="4" customFormat="1" ht="44.1" customHeight="1" x14ac:dyDescent="0.2">
      <c r="A3075" s="5">
        <v>0</v>
      </c>
      <c r="B3075" s="6" t="s">
        <v>18055</v>
      </c>
      <c r="C3075" s="7">
        <v>1008</v>
      </c>
      <c r="D3075" s="8" t="s">
        <v>18056</v>
      </c>
      <c r="E3075" s="8" t="s">
        <v>18057</v>
      </c>
      <c r="F3075" s="8" t="s">
        <v>18058</v>
      </c>
      <c r="G3075" s="6" t="s">
        <v>33</v>
      </c>
      <c r="H3075" s="6" t="s">
        <v>34</v>
      </c>
      <c r="I3075" s="8" t="s">
        <v>35</v>
      </c>
      <c r="J3075" s="9">
        <v>1</v>
      </c>
      <c r="K3075" s="9">
        <v>227</v>
      </c>
      <c r="L3075" s="9">
        <v>2021</v>
      </c>
      <c r="M3075" s="8" t="s">
        <v>18059</v>
      </c>
      <c r="N3075" s="8" t="s">
        <v>585</v>
      </c>
      <c r="O3075" s="8" t="s">
        <v>775</v>
      </c>
      <c r="P3075" s="6" t="s">
        <v>39</v>
      </c>
      <c r="Q3075" s="8" t="s">
        <v>40</v>
      </c>
      <c r="R3075" s="10" t="s">
        <v>7596</v>
      </c>
      <c r="S3075" s="11"/>
      <c r="T3075" s="6"/>
      <c r="U3075" s="15" t="str">
        <f>HYPERLINK("https://media.infra-m.ru/1220/1220790/cover/1220790.jpg", "Обложка")</f>
        <v>Обложка</v>
      </c>
      <c r="V3075" s="8" t="s">
        <v>7429</v>
      </c>
      <c r="W3075" s="6"/>
      <c r="X3075" s="6"/>
      <c r="Y3075" s="6"/>
      <c r="Z3075" s="6"/>
      <c r="AA3075" s="6" t="s">
        <v>779</v>
      </c>
      <c r="AB3075" s="8"/>
      <c r="AC3075" s="27">
        <v>9785160117737</v>
      </c>
    </row>
    <row r="3076" spans="1:29" s="4" customFormat="1" ht="51.9" customHeight="1" x14ac:dyDescent="0.2">
      <c r="A3076" s="5">
        <v>0</v>
      </c>
      <c r="B3076" s="6" t="s">
        <v>18060</v>
      </c>
      <c r="C3076" s="7">
        <v>1944</v>
      </c>
      <c r="D3076" s="8" t="s">
        <v>18061</v>
      </c>
      <c r="E3076" s="8" t="s">
        <v>18062</v>
      </c>
      <c r="F3076" s="8" t="s">
        <v>7425</v>
      </c>
      <c r="G3076" s="6" t="s">
        <v>118</v>
      </c>
      <c r="H3076" s="6" t="s">
        <v>34</v>
      </c>
      <c r="I3076" s="8" t="s">
        <v>271</v>
      </c>
      <c r="J3076" s="9">
        <v>1</v>
      </c>
      <c r="K3076" s="9">
        <v>359</v>
      </c>
      <c r="L3076" s="9">
        <v>2023</v>
      </c>
      <c r="M3076" s="8" t="s">
        <v>18063</v>
      </c>
      <c r="N3076" s="8" t="s">
        <v>585</v>
      </c>
      <c r="O3076" s="8" t="s">
        <v>775</v>
      </c>
      <c r="P3076" s="6" t="s">
        <v>306</v>
      </c>
      <c r="Q3076" s="8" t="s">
        <v>52</v>
      </c>
      <c r="R3076" s="10" t="s">
        <v>18053</v>
      </c>
      <c r="S3076" s="11" t="s">
        <v>18064</v>
      </c>
      <c r="T3076" s="6"/>
      <c r="U3076" s="15" t="str">
        <f>HYPERLINK("https://media.infra-m.ru/1873/1873976/cover/1873976.jpg", "Обложка")</f>
        <v>Обложка</v>
      </c>
      <c r="V3076" s="8" t="s">
        <v>7429</v>
      </c>
      <c r="W3076" s="6"/>
      <c r="X3076" s="6"/>
      <c r="Y3076" s="6"/>
      <c r="Z3076" s="6"/>
      <c r="AA3076" s="6" t="s">
        <v>360</v>
      </c>
      <c r="AB3076" s="8"/>
      <c r="AC3076" s="27">
        <v>9785160110547</v>
      </c>
    </row>
    <row r="3077" spans="1:29" s="4" customFormat="1" ht="42" customHeight="1" x14ac:dyDescent="0.2">
      <c r="A3077" s="5">
        <v>0</v>
      </c>
      <c r="B3077" s="6" t="s">
        <v>18065</v>
      </c>
      <c r="C3077" s="7">
        <v>1176</v>
      </c>
      <c r="D3077" s="8" t="s">
        <v>18066</v>
      </c>
      <c r="E3077" s="8" t="s">
        <v>18067</v>
      </c>
      <c r="F3077" s="8" t="s">
        <v>18068</v>
      </c>
      <c r="G3077" s="6" t="s">
        <v>60</v>
      </c>
      <c r="H3077" s="6" t="s">
        <v>34</v>
      </c>
      <c r="I3077" s="8" t="s">
        <v>253</v>
      </c>
      <c r="J3077" s="9">
        <v>1</v>
      </c>
      <c r="K3077" s="9">
        <v>194</v>
      </c>
      <c r="L3077" s="9">
        <v>2024</v>
      </c>
      <c r="M3077" s="8" t="s">
        <v>18069</v>
      </c>
      <c r="N3077" s="8" t="s">
        <v>37</v>
      </c>
      <c r="O3077" s="8" t="s">
        <v>233</v>
      </c>
      <c r="P3077" s="6" t="s">
        <v>51</v>
      </c>
      <c r="Q3077" s="8" t="s">
        <v>65</v>
      </c>
      <c r="R3077" s="10" t="s">
        <v>9352</v>
      </c>
      <c r="S3077" s="11"/>
      <c r="T3077" s="6"/>
      <c r="U3077" s="15" t="str">
        <f>HYPERLINK("https://media.infra-m.ru/2010/2010446/cover/2010446.jpg", "Обложка")</f>
        <v>Обложка</v>
      </c>
      <c r="V3077" s="8" t="s">
        <v>5271</v>
      </c>
      <c r="W3077" s="6"/>
      <c r="X3077" s="6"/>
      <c r="Y3077" s="6"/>
      <c r="Z3077" s="6"/>
      <c r="AA3077" s="6" t="s">
        <v>76</v>
      </c>
      <c r="AB3077" s="8"/>
      <c r="AC3077" s="27">
        <v>9785160184807</v>
      </c>
    </row>
    <row r="3078" spans="1:29" s="4" customFormat="1" ht="44.1" customHeight="1" x14ac:dyDescent="0.2">
      <c r="A3078" s="5">
        <v>0</v>
      </c>
      <c r="B3078" s="6" t="s">
        <v>18070</v>
      </c>
      <c r="C3078" s="7">
        <v>1456.8</v>
      </c>
      <c r="D3078" s="8" t="s">
        <v>18071</v>
      </c>
      <c r="E3078" s="8" t="s">
        <v>18072</v>
      </c>
      <c r="F3078" s="8" t="s">
        <v>18073</v>
      </c>
      <c r="G3078" s="6" t="s">
        <v>118</v>
      </c>
      <c r="H3078" s="6" t="s">
        <v>313</v>
      </c>
      <c r="I3078" s="8" t="s">
        <v>35</v>
      </c>
      <c r="J3078" s="9">
        <v>1</v>
      </c>
      <c r="K3078" s="9">
        <v>220</v>
      </c>
      <c r="L3078" s="9">
        <v>2026</v>
      </c>
      <c r="M3078" s="8" t="s">
        <v>18074</v>
      </c>
      <c r="N3078" s="8" t="s">
        <v>63</v>
      </c>
      <c r="O3078" s="8" t="s">
        <v>154</v>
      </c>
      <c r="P3078" s="6" t="s">
        <v>39</v>
      </c>
      <c r="Q3078" s="8" t="s">
        <v>40</v>
      </c>
      <c r="R3078" s="10" t="s">
        <v>18075</v>
      </c>
      <c r="S3078" s="11"/>
      <c r="T3078" s="6"/>
      <c r="U3078" s="15" t="str">
        <f>HYPERLINK("https://media.infra-m.ru/2150/2150021/cover/2150021.jpg", "Обложка")</f>
        <v>Обложка</v>
      </c>
      <c r="V3078" s="8" t="s">
        <v>644</v>
      </c>
      <c r="W3078" s="6"/>
      <c r="X3078" s="6"/>
      <c r="Y3078" s="6"/>
      <c r="Z3078" s="6"/>
      <c r="AA3078" s="6" t="s">
        <v>148</v>
      </c>
      <c r="AB3078" s="8"/>
      <c r="AC3078" s="27">
        <v>9785369018842</v>
      </c>
    </row>
    <row r="3079" spans="1:29" s="4" customFormat="1" ht="42" customHeight="1" x14ac:dyDescent="0.2">
      <c r="A3079" s="5">
        <v>0</v>
      </c>
      <c r="B3079" s="6" t="s">
        <v>18076</v>
      </c>
      <c r="C3079" s="7">
        <v>1816.8</v>
      </c>
      <c r="D3079" s="8" t="s">
        <v>18077</v>
      </c>
      <c r="E3079" s="8" t="s">
        <v>18078</v>
      </c>
      <c r="F3079" s="8" t="s">
        <v>2212</v>
      </c>
      <c r="G3079" s="6" t="s">
        <v>33</v>
      </c>
      <c r="H3079" s="6" t="s">
        <v>34</v>
      </c>
      <c r="I3079" s="8" t="s">
        <v>35</v>
      </c>
      <c r="J3079" s="9">
        <v>1</v>
      </c>
      <c r="K3079" s="9">
        <v>292</v>
      </c>
      <c r="L3079" s="9">
        <v>2025</v>
      </c>
      <c r="M3079" s="8" t="s">
        <v>18079</v>
      </c>
      <c r="N3079" s="8" t="s">
        <v>63</v>
      </c>
      <c r="O3079" s="8" t="s">
        <v>126</v>
      </c>
      <c r="P3079" s="6" t="s">
        <v>39</v>
      </c>
      <c r="Q3079" s="8" t="s">
        <v>40</v>
      </c>
      <c r="R3079" s="10" t="s">
        <v>18080</v>
      </c>
      <c r="S3079" s="11"/>
      <c r="T3079" s="6"/>
      <c r="U3079" s="15" t="str">
        <f>HYPERLINK("https://media.infra-m.ru/2197/2197815/cover/2197815.jpg", "Обложка")</f>
        <v>Обложка</v>
      </c>
      <c r="V3079" s="8" t="s">
        <v>2215</v>
      </c>
      <c r="W3079" s="6"/>
      <c r="X3079" s="6"/>
      <c r="Y3079" s="6"/>
      <c r="Z3079" s="6"/>
      <c r="AA3079" s="6" t="s">
        <v>148</v>
      </c>
      <c r="AB3079" s="8"/>
      <c r="AC3079" s="27">
        <v>9785160174808</v>
      </c>
    </row>
    <row r="3080" spans="1:29" s="4" customFormat="1" ht="44.1" customHeight="1" x14ac:dyDescent="0.2">
      <c r="A3080" s="5">
        <v>0</v>
      </c>
      <c r="B3080" s="6" t="s">
        <v>18081</v>
      </c>
      <c r="C3080" s="7">
        <v>2164.8000000000002</v>
      </c>
      <c r="D3080" s="8" t="s">
        <v>18082</v>
      </c>
      <c r="E3080" s="8" t="s">
        <v>18083</v>
      </c>
      <c r="F3080" s="8" t="s">
        <v>5886</v>
      </c>
      <c r="G3080" s="6" t="s">
        <v>60</v>
      </c>
      <c r="H3080" s="6" t="s">
        <v>1779</v>
      </c>
      <c r="I3080" s="8"/>
      <c r="J3080" s="9">
        <v>1</v>
      </c>
      <c r="K3080" s="9">
        <v>384</v>
      </c>
      <c r="L3080" s="9">
        <v>2024</v>
      </c>
      <c r="M3080" s="8" t="s">
        <v>18084</v>
      </c>
      <c r="N3080" s="8" t="s">
        <v>37</v>
      </c>
      <c r="O3080" s="8" t="s">
        <v>136</v>
      </c>
      <c r="P3080" s="6" t="s">
        <v>39</v>
      </c>
      <c r="Q3080" s="8" t="s">
        <v>40</v>
      </c>
      <c r="R3080" s="10" t="s">
        <v>6217</v>
      </c>
      <c r="S3080" s="11"/>
      <c r="T3080" s="6"/>
      <c r="U3080" s="15" t="str">
        <f>HYPERLINK("https://media.infra-m.ru/2136/2136624/cover/2136624.jpg", "Обложка")</f>
        <v>Обложка</v>
      </c>
      <c r="V3080" s="8" t="s">
        <v>5888</v>
      </c>
      <c r="W3080" s="6"/>
      <c r="X3080" s="6"/>
      <c r="Y3080" s="6"/>
      <c r="Z3080" s="6"/>
      <c r="AA3080" s="6" t="s">
        <v>1506</v>
      </c>
      <c r="AB3080" s="8"/>
      <c r="AC3080" s="27">
        <v>9785468001196</v>
      </c>
    </row>
    <row r="3081" spans="1:29" s="4" customFormat="1" ht="51.9" customHeight="1" x14ac:dyDescent="0.2">
      <c r="A3081" s="5">
        <v>0</v>
      </c>
      <c r="B3081" s="6" t="s">
        <v>18085</v>
      </c>
      <c r="C3081" s="7">
        <v>1792.8</v>
      </c>
      <c r="D3081" s="8" t="s">
        <v>18086</v>
      </c>
      <c r="E3081" s="8" t="s">
        <v>18087</v>
      </c>
      <c r="F3081" s="8" t="s">
        <v>18088</v>
      </c>
      <c r="G3081" s="6" t="s">
        <v>60</v>
      </c>
      <c r="H3081" s="6" t="s">
        <v>134</v>
      </c>
      <c r="I3081" s="8"/>
      <c r="J3081" s="9">
        <v>1</v>
      </c>
      <c r="K3081" s="9">
        <v>368</v>
      </c>
      <c r="L3081" s="9">
        <v>2022</v>
      </c>
      <c r="M3081" s="8" t="s">
        <v>18089</v>
      </c>
      <c r="N3081" s="8" t="s">
        <v>37</v>
      </c>
      <c r="O3081" s="8" t="s">
        <v>136</v>
      </c>
      <c r="P3081" s="6" t="s">
        <v>39</v>
      </c>
      <c r="Q3081" s="8" t="s">
        <v>40</v>
      </c>
      <c r="R3081" s="10" t="s">
        <v>1625</v>
      </c>
      <c r="S3081" s="11"/>
      <c r="T3081" s="6"/>
      <c r="U3081" s="15" t="str">
        <f>HYPERLINK("https://media.infra-m.ru/1497/1497869/cover/1497869.jpg", "Обложка")</f>
        <v>Обложка</v>
      </c>
      <c r="V3081" s="8" t="s">
        <v>17106</v>
      </c>
      <c r="W3081" s="6"/>
      <c r="X3081" s="6"/>
      <c r="Y3081" s="6"/>
      <c r="Z3081" s="6"/>
      <c r="AA3081" s="6" t="s">
        <v>55</v>
      </c>
      <c r="AB3081" s="8"/>
      <c r="AC3081" s="27">
        <v>9785917683256</v>
      </c>
    </row>
    <row r="3082" spans="1:29" s="4" customFormat="1" ht="42" customHeight="1" x14ac:dyDescent="0.2">
      <c r="A3082" s="5">
        <v>0</v>
      </c>
      <c r="B3082" s="6" t="s">
        <v>18090</v>
      </c>
      <c r="C3082" s="7">
        <v>2436</v>
      </c>
      <c r="D3082" s="8" t="s">
        <v>18091</v>
      </c>
      <c r="E3082" s="8" t="s">
        <v>18092</v>
      </c>
      <c r="F3082" s="8" t="s">
        <v>18093</v>
      </c>
      <c r="G3082" s="6" t="s">
        <v>33</v>
      </c>
      <c r="H3082" s="6" t="s">
        <v>134</v>
      </c>
      <c r="I3082" s="8"/>
      <c r="J3082" s="9">
        <v>1</v>
      </c>
      <c r="K3082" s="9">
        <v>368</v>
      </c>
      <c r="L3082" s="9">
        <v>2026</v>
      </c>
      <c r="M3082" s="8" t="s">
        <v>18094</v>
      </c>
      <c r="N3082" s="8" t="s">
        <v>37</v>
      </c>
      <c r="O3082" s="8" t="s">
        <v>136</v>
      </c>
      <c r="P3082" s="6" t="s">
        <v>39</v>
      </c>
      <c r="Q3082" s="8" t="s">
        <v>40</v>
      </c>
      <c r="R3082" s="10" t="s">
        <v>18095</v>
      </c>
      <c r="S3082" s="11"/>
      <c r="T3082" s="6"/>
      <c r="U3082" s="15" t="str">
        <f>HYPERLINK("https://media.infra-m.ru/2254/2254359/cover/2254359.jpg", "Обложка")</f>
        <v>Обложка</v>
      </c>
      <c r="V3082" s="8" t="s">
        <v>18096</v>
      </c>
      <c r="W3082" s="6"/>
      <c r="X3082" s="6"/>
      <c r="Y3082" s="6"/>
      <c r="Z3082" s="6"/>
      <c r="AA3082" s="6" t="s">
        <v>1015</v>
      </c>
      <c r="AB3082" s="8"/>
      <c r="AC3082" s="27">
        <v>9785917680774</v>
      </c>
    </row>
    <row r="3083" spans="1:29" s="4" customFormat="1" ht="51.9" customHeight="1" x14ac:dyDescent="0.2">
      <c r="A3083" s="5">
        <v>0</v>
      </c>
      <c r="B3083" s="6" t="s">
        <v>18097</v>
      </c>
      <c r="C3083" s="7">
        <v>1992</v>
      </c>
      <c r="D3083" s="8" t="s">
        <v>18098</v>
      </c>
      <c r="E3083" s="8" t="s">
        <v>18099</v>
      </c>
      <c r="F3083" s="8" t="s">
        <v>18100</v>
      </c>
      <c r="G3083" s="6" t="s">
        <v>33</v>
      </c>
      <c r="H3083" s="6" t="s">
        <v>34</v>
      </c>
      <c r="I3083" s="8" t="s">
        <v>35</v>
      </c>
      <c r="J3083" s="9">
        <v>1</v>
      </c>
      <c r="K3083" s="9">
        <v>319</v>
      </c>
      <c r="L3083" s="9">
        <v>2026</v>
      </c>
      <c r="M3083" s="8" t="s">
        <v>18101</v>
      </c>
      <c r="N3083" s="8" t="s">
        <v>585</v>
      </c>
      <c r="O3083" s="8" t="s">
        <v>1518</v>
      </c>
      <c r="P3083" s="6" t="s">
        <v>39</v>
      </c>
      <c r="Q3083" s="8" t="s">
        <v>40</v>
      </c>
      <c r="R3083" s="10" t="s">
        <v>18102</v>
      </c>
      <c r="S3083" s="11"/>
      <c r="T3083" s="6"/>
      <c r="U3083" s="15" t="str">
        <f>HYPERLINK("https://media.infra-m.ru/2213/2213666/cover/2213666.jpg", "Обложка")</f>
        <v>Обложка</v>
      </c>
      <c r="V3083" s="8" t="s">
        <v>227</v>
      </c>
      <c r="W3083" s="6"/>
      <c r="X3083" s="6"/>
      <c r="Y3083" s="6"/>
      <c r="Z3083" s="6"/>
      <c r="AA3083" s="6" t="s">
        <v>99</v>
      </c>
      <c r="AB3083" s="8"/>
      <c r="AC3083" s="27">
        <v>9785160194448</v>
      </c>
    </row>
    <row r="3084" spans="1:29" s="4" customFormat="1" ht="51.9" customHeight="1" x14ac:dyDescent="0.2">
      <c r="A3084" s="5">
        <v>0</v>
      </c>
      <c r="B3084" s="6" t="s">
        <v>18103</v>
      </c>
      <c r="C3084" s="7">
        <v>1500</v>
      </c>
      <c r="D3084" s="8" t="s">
        <v>18104</v>
      </c>
      <c r="E3084" s="8" t="s">
        <v>18099</v>
      </c>
      <c r="F3084" s="8" t="s">
        <v>18100</v>
      </c>
      <c r="G3084" s="6" t="s">
        <v>118</v>
      </c>
      <c r="H3084" s="6" t="s">
        <v>34</v>
      </c>
      <c r="I3084" s="8" t="s">
        <v>35</v>
      </c>
      <c r="J3084" s="9">
        <v>1</v>
      </c>
      <c r="K3084" s="9">
        <v>319</v>
      </c>
      <c r="L3084" s="9">
        <v>2022</v>
      </c>
      <c r="M3084" s="8" t="s">
        <v>18105</v>
      </c>
      <c r="N3084" s="8" t="s">
        <v>585</v>
      </c>
      <c r="O3084" s="8" t="s">
        <v>1518</v>
      </c>
      <c r="P3084" s="6" t="s">
        <v>39</v>
      </c>
      <c r="Q3084" s="8" t="s">
        <v>40</v>
      </c>
      <c r="R3084" s="10" t="s">
        <v>18102</v>
      </c>
      <c r="S3084" s="11"/>
      <c r="T3084" s="6"/>
      <c r="U3084" s="15" t="str">
        <f>HYPERLINK("https://media.infra-m.ru/1846/1846436/cover/1846436.jpg", "Обложка")</f>
        <v>Обложка</v>
      </c>
      <c r="V3084" s="8" t="s">
        <v>227</v>
      </c>
      <c r="W3084" s="6"/>
      <c r="X3084" s="6"/>
      <c r="Y3084" s="6"/>
      <c r="Z3084" s="6"/>
      <c r="AA3084" s="6" t="s">
        <v>99</v>
      </c>
      <c r="AB3084" s="8"/>
      <c r="AC3084" s="27">
        <v>9785160125497</v>
      </c>
    </row>
    <row r="3085" spans="1:29" s="4" customFormat="1" ht="51.9" customHeight="1" x14ac:dyDescent="0.2">
      <c r="A3085" s="5">
        <v>0</v>
      </c>
      <c r="B3085" s="6" t="s">
        <v>18106</v>
      </c>
      <c r="C3085" s="7">
        <v>1872</v>
      </c>
      <c r="D3085" s="8" t="s">
        <v>18107</v>
      </c>
      <c r="E3085" s="8" t="s">
        <v>18108</v>
      </c>
      <c r="F3085" s="8" t="s">
        <v>18109</v>
      </c>
      <c r="G3085" s="6" t="s">
        <v>118</v>
      </c>
      <c r="H3085" s="6" t="s">
        <v>34</v>
      </c>
      <c r="I3085" s="8" t="s">
        <v>9737</v>
      </c>
      <c r="J3085" s="9">
        <v>1</v>
      </c>
      <c r="K3085" s="9">
        <v>312</v>
      </c>
      <c r="L3085" s="9">
        <v>2025</v>
      </c>
      <c r="M3085" s="8" t="s">
        <v>18110</v>
      </c>
      <c r="N3085" s="8" t="s">
        <v>93</v>
      </c>
      <c r="O3085" s="8" t="s">
        <v>94</v>
      </c>
      <c r="P3085" s="6" t="s">
        <v>51</v>
      </c>
      <c r="Q3085" s="8" t="s">
        <v>1660</v>
      </c>
      <c r="R3085" s="10" t="s">
        <v>18111</v>
      </c>
      <c r="S3085" s="11"/>
      <c r="T3085" s="6"/>
      <c r="U3085" s="15" t="str">
        <f>HYPERLINK("https://media.infra-m.ru/2160/2160667/cover/2160667.jpg", "Обложка")</f>
        <v>Обложка</v>
      </c>
      <c r="V3085" s="8" t="s">
        <v>18112</v>
      </c>
      <c r="W3085" s="6"/>
      <c r="X3085" s="6"/>
      <c r="Y3085" s="6"/>
      <c r="Z3085" s="6"/>
      <c r="AA3085" s="6" t="s">
        <v>446</v>
      </c>
      <c r="AB3085" s="8"/>
      <c r="AC3085" s="27">
        <v>9785160193489</v>
      </c>
    </row>
    <row r="3086" spans="1:29" s="4" customFormat="1" ht="51.9" customHeight="1" x14ac:dyDescent="0.2">
      <c r="A3086" s="5">
        <v>0</v>
      </c>
      <c r="B3086" s="6" t="s">
        <v>18113</v>
      </c>
      <c r="C3086" s="7">
        <v>2008.8</v>
      </c>
      <c r="D3086" s="8" t="s">
        <v>18114</v>
      </c>
      <c r="E3086" s="8" t="s">
        <v>18115</v>
      </c>
      <c r="F3086" s="8" t="s">
        <v>18109</v>
      </c>
      <c r="G3086" s="6" t="s">
        <v>60</v>
      </c>
      <c r="H3086" s="6" t="s">
        <v>34</v>
      </c>
      <c r="I3086" s="8" t="s">
        <v>253</v>
      </c>
      <c r="J3086" s="9">
        <v>1</v>
      </c>
      <c r="K3086" s="9">
        <v>304</v>
      </c>
      <c r="L3086" s="9">
        <v>2026</v>
      </c>
      <c r="M3086" s="8" t="s">
        <v>18116</v>
      </c>
      <c r="N3086" s="8" t="s">
        <v>585</v>
      </c>
      <c r="O3086" s="8" t="s">
        <v>586</v>
      </c>
      <c r="P3086" s="6" t="s">
        <v>51</v>
      </c>
      <c r="Q3086" s="8" t="s">
        <v>1660</v>
      </c>
      <c r="R3086" s="10" t="s">
        <v>18111</v>
      </c>
      <c r="S3086" s="11"/>
      <c r="T3086" s="6"/>
      <c r="U3086" s="15" t="str">
        <f>HYPERLINK("https://media.infra-m.ru/2251/2251082/cover/2251082.jpg", "Обложка")</f>
        <v>Обложка</v>
      </c>
      <c r="V3086" s="8" t="s">
        <v>18112</v>
      </c>
      <c r="W3086" s="6"/>
      <c r="X3086" s="6"/>
      <c r="Y3086" s="6"/>
      <c r="Z3086" s="6"/>
      <c r="AA3086" s="6" t="s">
        <v>5423</v>
      </c>
      <c r="AB3086" s="8"/>
      <c r="AC3086" s="27">
        <v>9785160204284</v>
      </c>
    </row>
    <row r="3087" spans="1:29" s="4" customFormat="1" ht="51.9" customHeight="1" x14ac:dyDescent="0.2">
      <c r="A3087" s="5">
        <v>0</v>
      </c>
      <c r="B3087" s="6" t="s">
        <v>18117</v>
      </c>
      <c r="C3087" s="13">
        <v>888</v>
      </c>
      <c r="D3087" s="8" t="s">
        <v>18118</v>
      </c>
      <c r="E3087" s="8" t="s">
        <v>18119</v>
      </c>
      <c r="F3087" s="8" t="s">
        <v>18120</v>
      </c>
      <c r="G3087" s="6" t="s">
        <v>33</v>
      </c>
      <c r="H3087" s="6" t="s">
        <v>313</v>
      </c>
      <c r="I3087" s="8" t="s">
        <v>253</v>
      </c>
      <c r="J3087" s="9">
        <v>1</v>
      </c>
      <c r="K3087" s="9">
        <v>159</v>
      </c>
      <c r="L3087" s="9">
        <v>2023</v>
      </c>
      <c r="M3087" s="8" t="s">
        <v>18121</v>
      </c>
      <c r="N3087" s="8" t="s">
        <v>63</v>
      </c>
      <c r="O3087" s="8" t="s">
        <v>126</v>
      </c>
      <c r="P3087" s="6" t="s">
        <v>51</v>
      </c>
      <c r="Q3087" s="8" t="s">
        <v>52</v>
      </c>
      <c r="R3087" s="10" t="s">
        <v>18122</v>
      </c>
      <c r="S3087" s="11"/>
      <c r="T3087" s="6"/>
      <c r="U3087" s="15" t="str">
        <f>HYPERLINK("https://media.infra-m.ru/2125/2125178/cover/2125178.jpg", "Обложка")</f>
        <v>Обложка</v>
      </c>
      <c r="V3087" s="8" t="s">
        <v>2382</v>
      </c>
      <c r="W3087" s="6"/>
      <c r="X3087" s="6"/>
      <c r="Y3087" s="6"/>
      <c r="Z3087" s="6"/>
      <c r="AA3087" s="6" t="s">
        <v>779</v>
      </c>
      <c r="AB3087" s="8"/>
      <c r="AC3087" s="27">
        <v>9785369015070</v>
      </c>
    </row>
    <row r="3088" spans="1:29" s="4" customFormat="1" ht="51.9" customHeight="1" x14ac:dyDescent="0.2">
      <c r="A3088" s="5">
        <v>0</v>
      </c>
      <c r="B3088" s="6" t="s">
        <v>18123</v>
      </c>
      <c r="C3088" s="7">
        <v>1260</v>
      </c>
      <c r="D3088" s="8" t="s">
        <v>18124</v>
      </c>
      <c r="E3088" s="8" t="s">
        <v>18125</v>
      </c>
      <c r="F3088" s="8" t="s">
        <v>18126</v>
      </c>
      <c r="G3088" s="6" t="s">
        <v>118</v>
      </c>
      <c r="H3088" s="6" t="s">
        <v>34</v>
      </c>
      <c r="I3088" s="8" t="s">
        <v>263</v>
      </c>
      <c r="J3088" s="9">
        <v>1</v>
      </c>
      <c r="K3088" s="9">
        <v>210</v>
      </c>
      <c r="L3088" s="9">
        <v>2025</v>
      </c>
      <c r="M3088" s="8" t="s">
        <v>18127</v>
      </c>
      <c r="N3088" s="8" t="s">
        <v>37</v>
      </c>
      <c r="O3088" s="8" t="s">
        <v>136</v>
      </c>
      <c r="P3088" s="6" t="s">
        <v>306</v>
      </c>
      <c r="Q3088" s="8" t="s">
        <v>265</v>
      </c>
      <c r="R3088" s="10" t="s">
        <v>479</v>
      </c>
      <c r="S3088" s="11" t="s">
        <v>18128</v>
      </c>
      <c r="T3088" s="6"/>
      <c r="U3088" s="15" t="str">
        <f>HYPERLINK("https://media.infra-m.ru/2167/2167690/cover/2167690.jpg", "Обложка")</f>
        <v>Обложка</v>
      </c>
      <c r="V3088" s="8" t="s">
        <v>156</v>
      </c>
      <c r="W3088" s="6"/>
      <c r="X3088" s="6"/>
      <c r="Y3088" s="6"/>
      <c r="Z3088" s="6" t="s">
        <v>267</v>
      </c>
      <c r="AA3088" s="6" t="s">
        <v>1256</v>
      </c>
      <c r="AB3088" s="8"/>
      <c r="AC3088" s="27">
        <v>9785160159973</v>
      </c>
    </row>
    <row r="3089" spans="1:29" s="4" customFormat="1" ht="51.9" customHeight="1" x14ac:dyDescent="0.2">
      <c r="A3089" s="5">
        <v>0</v>
      </c>
      <c r="B3089" s="6" t="s">
        <v>18129</v>
      </c>
      <c r="C3089" s="7">
        <v>1392</v>
      </c>
      <c r="D3089" s="8" t="s">
        <v>18130</v>
      </c>
      <c r="E3089" s="8" t="s">
        <v>18125</v>
      </c>
      <c r="F3089" s="8" t="s">
        <v>18126</v>
      </c>
      <c r="G3089" s="6" t="s">
        <v>118</v>
      </c>
      <c r="H3089" s="6" t="s">
        <v>34</v>
      </c>
      <c r="I3089" s="8" t="s">
        <v>253</v>
      </c>
      <c r="J3089" s="9">
        <v>1</v>
      </c>
      <c r="K3089" s="9">
        <v>210</v>
      </c>
      <c r="L3089" s="9">
        <v>2026</v>
      </c>
      <c r="M3089" s="8" t="s">
        <v>18131</v>
      </c>
      <c r="N3089" s="8" t="s">
        <v>37</v>
      </c>
      <c r="O3089" s="8" t="s">
        <v>136</v>
      </c>
      <c r="P3089" s="6" t="s">
        <v>306</v>
      </c>
      <c r="Q3089" s="8" t="s">
        <v>52</v>
      </c>
      <c r="R3089" s="10" t="s">
        <v>1068</v>
      </c>
      <c r="S3089" s="11" t="s">
        <v>18132</v>
      </c>
      <c r="T3089" s="6"/>
      <c r="U3089" s="15" t="str">
        <f>HYPERLINK("https://media.infra-m.ru/2244/2244308/cover/2244308.jpg", "Обложка")</f>
        <v>Обложка</v>
      </c>
      <c r="V3089" s="8" t="s">
        <v>156</v>
      </c>
      <c r="W3089" s="6"/>
      <c r="X3089" s="6"/>
      <c r="Y3089" s="6"/>
      <c r="Z3089" s="6"/>
      <c r="AA3089" s="6" t="s">
        <v>115</v>
      </c>
      <c r="AB3089" s="8"/>
      <c r="AC3089" s="27">
        <v>9785160201054</v>
      </c>
    </row>
    <row r="3090" spans="1:29" s="4" customFormat="1" ht="51.9" customHeight="1" x14ac:dyDescent="0.2">
      <c r="A3090" s="5">
        <v>0</v>
      </c>
      <c r="B3090" s="6" t="s">
        <v>18133</v>
      </c>
      <c r="C3090" s="7">
        <v>1176</v>
      </c>
      <c r="D3090" s="8" t="s">
        <v>18134</v>
      </c>
      <c r="E3090" s="8" t="s">
        <v>18135</v>
      </c>
      <c r="F3090" s="8" t="s">
        <v>18136</v>
      </c>
      <c r="G3090" s="6" t="s">
        <v>118</v>
      </c>
      <c r="H3090" s="6" t="s">
        <v>34</v>
      </c>
      <c r="I3090" s="8" t="s">
        <v>253</v>
      </c>
      <c r="J3090" s="9">
        <v>1</v>
      </c>
      <c r="K3090" s="9">
        <v>179</v>
      </c>
      <c r="L3090" s="9">
        <v>2026</v>
      </c>
      <c r="M3090" s="8" t="s">
        <v>18137</v>
      </c>
      <c r="N3090" s="8" t="s">
        <v>37</v>
      </c>
      <c r="O3090" s="8" t="s">
        <v>136</v>
      </c>
      <c r="P3090" s="6" t="s">
        <v>51</v>
      </c>
      <c r="Q3090" s="8" t="s">
        <v>52</v>
      </c>
      <c r="R3090" s="10" t="s">
        <v>18138</v>
      </c>
      <c r="S3090" s="11" t="s">
        <v>13412</v>
      </c>
      <c r="T3090" s="6"/>
      <c r="U3090" s="15" t="str">
        <f>HYPERLINK("https://media.infra-m.ru/2212/2212623/cover/2212623.jpg", "Обложка")</f>
        <v>Обложка</v>
      </c>
      <c r="V3090" s="8" t="s">
        <v>8451</v>
      </c>
      <c r="W3090" s="6"/>
      <c r="X3090" s="6"/>
      <c r="Y3090" s="6"/>
      <c r="Z3090" s="6"/>
      <c r="AA3090" s="6" t="s">
        <v>623</v>
      </c>
      <c r="AB3090" s="8"/>
      <c r="AC3090" s="27">
        <v>9785160193182</v>
      </c>
    </row>
    <row r="3091" spans="1:29" s="4" customFormat="1" ht="42" customHeight="1" x14ac:dyDescent="0.2">
      <c r="A3091" s="5">
        <v>0</v>
      </c>
      <c r="B3091" s="6" t="s">
        <v>18139</v>
      </c>
      <c r="C3091" s="7">
        <v>1188</v>
      </c>
      <c r="D3091" s="8" t="s">
        <v>18140</v>
      </c>
      <c r="E3091" s="8" t="s">
        <v>18135</v>
      </c>
      <c r="F3091" s="8" t="s">
        <v>18136</v>
      </c>
      <c r="G3091" s="6" t="s">
        <v>118</v>
      </c>
      <c r="H3091" s="6" t="s">
        <v>34</v>
      </c>
      <c r="I3091" s="8" t="s">
        <v>263</v>
      </c>
      <c r="J3091" s="9">
        <v>1</v>
      </c>
      <c r="K3091" s="9">
        <v>179</v>
      </c>
      <c r="L3091" s="9">
        <v>2026</v>
      </c>
      <c r="M3091" s="8" t="s">
        <v>18141</v>
      </c>
      <c r="N3091" s="8" t="s">
        <v>37</v>
      </c>
      <c r="O3091" s="8" t="s">
        <v>136</v>
      </c>
      <c r="P3091" s="6" t="s">
        <v>51</v>
      </c>
      <c r="Q3091" s="8" t="s">
        <v>265</v>
      </c>
      <c r="R3091" s="10" t="s">
        <v>479</v>
      </c>
      <c r="S3091" s="11"/>
      <c r="T3091" s="6"/>
      <c r="U3091" s="15" t="str">
        <f>HYPERLINK("https://media.infra-m.ru/2239/2239605/cover/2239605.jpg", "Обложка")</f>
        <v>Обложка</v>
      </c>
      <c r="V3091" s="8" t="s">
        <v>8451</v>
      </c>
      <c r="W3091" s="6"/>
      <c r="X3091" s="6"/>
      <c r="Y3091" s="6"/>
      <c r="Z3091" s="6" t="s">
        <v>267</v>
      </c>
      <c r="AA3091" s="6" t="s">
        <v>917</v>
      </c>
      <c r="AB3091" s="8"/>
      <c r="AC3091" s="27">
        <v>9785160204598</v>
      </c>
    </row>
    <row r="3092" spans="1:29" s="4" customFormat="1" ht="51.9" customHeight="1" x14ac:dyDescent="0.2">
      <c r="A3092" s="5">
        <v>0</v>
      </c>
      <c r="B3092" s="6" t="s">
        <v>18142</v>
      </c>
      <c r="C3092" s="7">
        <v>1176</v>
      </c>
      <c r="D3092" s="8" t="s">
        <v>18143</v>
      </c>
      <c r="E3092" s="8" t="s">
        <v>18144</v>
      </c>
      <c r="F3092" s="8" t="s">
        <v>18145</v>
      </c>
      <c r="G3092" s="6" t="s">
        <v>118</v>
      </c>
      <c r="H3092" s="6" t="s">
        <v>34</v>
      </c>
      <c r="I3092" s="8" t="s">
        <v>253</v>
      </c>
      <c r="J3092" s="9">
        <v>1</v>
      </c>
      <c r="K3092" s="9">
        <v>168</v>
      </c>
      <c r="L3092" s="9">
        <v>2027</v>
      </c>
      <c r="M3092" s="8" t="s">
        <v>18146</v>
      </c>
      <c r="N3092" s="8" t="s">
        <v>243</v>
      </c>
      <c r="O3092" s="8" t="s">
        <v>329</v>
      </c>
      <c r="P3092" s="6" t="s">
        <v>51</v>
      </c>
      <c r="Q3092" s="8" t="s">
        <v>500</v>
      </c>
      <c r="R3092" s="10" t="s">
        <v>18147</v>
      </c>
      <c r="S3092" s="11" t="s">
        <v>18148</v>
      </c>
      <c r="T3092" s="6"/>
      <c r="U3092" s="15" t="str">
        <f>HYPERLINK("https://media.infra-m.ru/2271/2271394/cover/2271394.jpg", "Обложка")</f>
        <v>Обложка</v>
      </c>
      <c r="V3092" s="8" t="s">
        <v>1083</v>
      </c>
      <c r="W3092" s="6"/>
      <c r="X3092" s="6"/>
      <c r="Y3092" s="6"/>
      <c r="Z3092" s="6"/>
      <c r="AA3092" s="6" t="s">
        <v>86</v>
      </c>
      <c r="AB3092" s="8"/>
      <c r="AC3092" s="27">
        <v>9785160225241</v>
      </c>
    </row>
    <row r="3093" spans="1:29" s="4" customFormat="1" ht="42" customHeight="1" x14ac:dyDescent="0.2">
      <c r="A3093" s="5">
        <v>0</v>
      </c>
      <c r="B3093" s="6" t="s">
        <v>18149</v>
      </c>
      <c r="C3093" s="7">
        <v>2520</v>
      </c>
      <c r="D3093" s="8" t="s">
        <v>18150</v>
      </c>
      <c r="E3093" s="8" t="s">
        <v>18151</v>
      </c>
      <c r="F3093" s="8" t="s">
        <v>18152</v>
      </c>
      <c r="G3093" s="6" t="s">
        <v>60</v>
      </c>
      <c r="H3093" s="6" t="s">
        <v>34</v>
      </c>
      <c r="I3093" s="8" t="s">
        <v>253</v>
      </c>
      <c r="J3093" s="9">
        <v>1</v>
      </c>
      <c r="K3093" s="9">
        <v>418</v>
      </c>
      <c r="L3093" s="9">
        <v>2025</v>
      </c>
      <c r="M3093" s="8" t="s">
        <v>18153</v>
      </c>
      <c r="N3093" s="8" t="s">
        <v>585</v>
      </c>
      <c r="O3093" s="8" t="s">
        <v>667</v>
      </c>
      <c r="P3093" s="6" t="s">
        <v>306</v>
      </c>
      <c r="Q3093" s="8" t="s">
        <v>52</v>
      </c>
      <c r="R3093" s="10" t="s">
        <v>18154</v>
      </c>
      <c r="S3093" s="11"/>
      <c r="T3093" s="6"/>
      <c r="U3093" s="15" t="str">
        <f>HYPERLINK("https://media.infra-m.ru/2179/2179234/cover/2179234.jpg", "Обложка")</f>
        <v>Обложка</v>
      </c>
      <c r="V3093" s="8" t="s">
        <v>6135</v>
      </c>
      <c r="W3093" s="6"/>
      <c r="X3093" s="6"/>
      <c r="Y3093" s="6"/>
      <c r="Z3093" s="6"/>
      <c r="AA3093" s="6" t="s">
        <v>157</v>
      </c>
      <c r="AB3093" s="8"/>
      <c r="AC3093" s="27">
        <v>9785160174686</v>
      </c>
    </row>
    <row r="3094" spans="1:29" s="4" customFormat="1" ht="51.9" customHeight="1" x14ac:dyDescent="0.2">
      <c r="A3094" s="5">
        <v>0</v>
      </c>
      <c r="B3094" s="6" t="s">
        <v>18155</v>
      </c>
      <c r="C3094" s="13">
        <v>828</v>
      </c>
      <c r="D3094" s="8" t="s">
        <v>18156</v>
      </c>
      <c r="E3094" s="8" t="s">
        <v>18157</v>
      </c>
      <c r="F3094" s="8" t="s">
        <v>18158</v>
      </c>
      <c r="G3094" s="6" t="s">
        <v>118</v>
      </c>
      <c r="H3094" s="6" t="s">
        <v>34</v>
      </c>
      <c r="I3094" s="8" t="s">
        <v>504</v>
      </c>
      <c r="J3094" s="9">
        <v>1</v>
      </c>
      <c r="K3094" s="9">
        <v>142</v>
      </c>
      <c r="L3094" s="9">
        <v>2024</v>
      </c>
      <c r="M3094" s="8" t="s">
        <v>18159</v>
      </c>
      <c r="N3094" s="8" t="s">
        <v>37</v>
      </c>
      <c r="O3094" s="8" t="s">
        <v>136</v>
      </c>
      <c r="P3094" s="6" t="s">
        <v>51</v>
      </c>
      <c r="Q3094" s="8" t="s">
        <v>500</v>
      </c>
      <c r="R3094" s="10" t="s">
        <v>1275</v>
      </c>
      <c r="S3094" s="11" t="s">
        <v>18160</v>
      </c>
      <c r="T3094" s="6"/>
      <c r="U3094" s="15" t="str">
        <f>HYPERLINK("https://media.infra-m.ru/2111/2111339/cover/2111339.jpg", "Обложка")</f>
        <v>Обложка</v>
      </c>
      <c r="V3094" s="8" t="s">
        <v>8451</v>
      </c>
      <c r="W3094" s="6"/>
      <c r="X3094" s="6"/>
      <c r="Y3094" s="6"/>
      <c r="Z3094" s="6"/>
      <c r="AA3094" s="6" t="s">
        <v>99</v>
      </c>
      <c r="AB3094" s="8"/>
      <c r="AC3094" s="27">
        <v>9785160125763</v>
      </c>
    </row>
    <row r="3095" spans="1:29" s="4" customFormat="1" ht="42" customHeight="1" x14ac:dyDescent="0.2">
      <c r="A3095" s="5">
        <v>0</v>
      </c>
      <c r="B3095" s="6" t="s">
        <v>18161</v>
      </c>
      <c r="C3095" s="7">
        <v>3228</v>
      </c>
      <c r="D3095" s="8" t="s">
        <v>18162</v>
      </c>
      <c r="E3095" s="8" t="s">
        <v>18163</v>
      </c>
      <c r="F3095" s="8" t="s">
        <v>18164</v>
      </c>
      <c r="G3095" s="6" t="s">
        <v>60</v>
      </c>
      <c r="H3095" s="6" t="s">
        <v>34</v>
      </c>
      <c r="I3095" s="8" t="s">
        <v>304</v>
      </c>
      <c r="J3095" s="9">
        <v>1</v>
      </c>
      <c r="K3095" s="9">
        <v>521</v>
      </c>
      <c r="L3095" s="9">
        <v>2025</v>
      </c>
      <c r="M3095" s="8" t="s">
        <v>18165</v>
      </c>
      <c r="N3095" s="8" t="s">
        <v>63</v>
      </c>
      <c r="O3095" s="8" t="s">
        <v>64</v>
      </c>
      <c r="P3095" s="6" t="s">
        <v>306</v>
      </c>
      <c r="Q3095" s="8" t="s">
        <v>52</v>
      </c>
      <c r="R3095" s="10" t="s">
        <v>18166</v>
      </c>
      <c r="S3095" s="11"/>
      <c r="T3095" s="6"/>
      <c r="U3095" s="15" t="str">
        <f>HYPERLINK("https://media.infra-m.ru/2203/2203211/cover/2203211.jpg", "Обложка")</f>
        <v>Обложка</v>
      </c>
      <c r="V3095" s="8" t="s">
        <v>3087</v>
      </c>
      <c r="W3095" s="6"/>
      <c r="X3095" s="6"/>
      <c r="Y3095" s="6"/>
      <c r="Z3095" s="6"/>
      <c r="AA3095" s="6" t="s">
        <v>76</v>
      </c>
      <c r="AB3095" s="8"/>
      <c r="AC3095" s="27">
        <v>9785160203065</v>
      </c>
    </row>
    <row r="3096" spans="1:29" s="4" customFormat="1" ht="51.9" customHeight="1" x14ac:dyDescent="0.2">
      <c r="A3096" s="5">
        <v>0</v>
      </c>
      <c r="B3096" s="6" t="s">
        <v>18167</v>
      </c>
      <c r="C3096" s="7">
        <v>1336.8</v>
      </c>
      <c r="D3096" s="8" t="s">
        <v>18168</v>
      </c>
      <c r="E3096" s="8" t="s">
        <v>18169</v>
      </c>
      <c r="F3096" s="8" t="s">
        <v>18170</v>
      </c>
      <c r="G3096" s="6" t="s">
        <v>118</v>
      </c>
      <c r="H3096" s="6" t="s">
        <v>34</v>
      </c>
      <c r="I3096" s="8" t="s">
        <v>2025</v>
      </c>
      <c r="J3096" s="9">
        <v>1</v>
      </c>
      <c r="K3096" s="9">
        <v>192</v>
      </c>
      <c r="L3096" s="9">
        <v>2026</v>
      </c>
      <c r="M3096" s="8" t="s">
        <v>18171</v>
      </c>
      <c r="N3096" s="8" t="s">
        <v>63</v>
      </c>
      <c r="O3096" s="8" t="s">
        <v>126</v>
      </c>
      <c r="P3096" s="6" t="s">
        <v>51</v>
      </c>
      <c r="Q3096" s="8" t="s">
        <v>52</v>
      </c>
      <c r="R3096" s="10" t="s">
        <v>10734</v>
      </c>
      <c r="S3096" s="11" t="s">
        <v>18172</v>
      </c>
      <c r="T3096" s="6"/>
      <c r="U3096" s="15" t="str">
        <f>HYPERLINK("https://media.infra-m.ru/2239/2239119/cover/2239119.jpg", "Обложка")</f>
        <v>Обложка</v>
      </c>
      <c r="V3096" s="8" t="s">
        <v>247</v>
      </c>
      <c r="W3096" s="6"/>
      <c r="X3096" s="6"/>
      <c r="Y3096" s="6"/>
      <c r="Z3096" s="6"/>
      <c r="AA3096" s="6" t="s">
        <v>430</v>
      </c>
      <c r="AB3096" s="8"/>
      <c r="AC3096" s="27">
        <v>9785160161839</v>
      </c>
    </row>
    <row r="3097" spans="1:29" s="4" customFormat="1" ht="51.9" customHeight="1" x14ac:dyDescent="0.2">
      <c r="A3097" s="5">
        <v>0</v>
      </c>
      <c r="B3097" s="6" t="s">
        <v>18173</v>
      </c>
      <c r="C3097" s="7">
        <v>2020.8</v>
      </c>
      <c r="D3097" s="8" t="s">
        <v>18174</v>
      </c>
      <c r="E3097" s="8" t="s">
        <v>18175</v>
      </c>
      <c r="F3097" s="8" t="s">
        <v>18176</v>
      </c>
      <c r="G3097" s="6" t="s">
        <v>118</v>
      </c>
      <c r="H3097" s="6" t="s">
        <v>34</v>
      </c>
      <c r="I3097" s="8" t="s">
        <v>253</v>
      </c>
      <c r="J3097" s="9">
        <v>1</v>
      </c>
      <c r="K3097" s="9">
        <v>290</v>
      </c>
      <c r="L3097" s="9">
        <v>2027</v>
      </c>
      <c r="M3097" s="8" t="s">
        <v>18177</v>
      </c>
      <c r="N3097" s="8" t="s">
        <v>63</v>
      </c>
      <c r="O3097" s="8" t="s">
        <v>126</v>
      </c>
      <c r="P3097" s="6" t="s">
        <v>51</v>
      </c>
      <c r="Q3097" s="8" t="s">
        <v>52</v>
      </c>
      <c r="R3097" s="10" t="s">
        <v>18178</v>
      </c>
      <c r="S3097" s="11" t="s">
        <v>18179</v>
      </c>
      <c r="T3097" s="6"/>
      <c r="U3097" s="15" t="str">
        <f>HYPERLINK("https://media.infra-m.ru/2256/2256961/cover/2256961.jpg", "Обложка")</f>
        <v>Обложка</v>
      </c>
      <c r="V3097" s="8" t="s">
        <v>16500</v>
      </c>
      <c r="W3097" s="6"/>
      <c r="X3097" s="6"/>
      <c r="Y3097" s="6"/>
      <c r="Z3097" s="6"/>
      <c r="AA3097" s="6" t="s">
        <v>86</v>
      </c>
      <c r="AB3097" s="8"/>
      <c r="AC3097" s="27">
        <v>9785160192819</v>
      </c>
    </row>
    <row r="3098" spans="1:29" s="4" customFormat="1" ht="51.9" customHeight="1" x14ac:dyDescent="0.2">
      <c r="A3098" s="5">
        <v>0</v>
      </c>
      <c r="B3098" s="6" t="s">
        <v>18180</v>
      </c>
      <c r="C3098" s="7">
        <v>1584</v>
      </c>
      <c r="D3098" s="8" t="s">
        <v>18181</v>
      </c>
      <c r="E3098" s="8" t="s">
        <v>18182</v>
      </c>
      <c r="F3098" s="8" t="s">
        <v>18183</v>
      </c>
      <c r="G3098" s="6" t="s">
        <v>118</v>
      </c>
      <c r="H3098" s="6" t="s">
        <v>134</v>
      </c>
      <c r="I3098" s="8"/>
      <c r="J3098" s="9">
        <v>1</v>
      </c>
      <c r="K3098" s="9">
        <v>240</v>
      </c>
      <c r="L3098" s="9">
        <v>2026</v>
      </c>
      <c r="M3098" s="8" t="s">
        <v>18184</v>
      </c>
      <c r="N3098" s="8" t="s">
        <v>63</v>
      </c>
      <c r="O3098" s="8" t="s">
        <v>126</v>
      </c>
      <c r="P3098" s="6" t="s">
        <v>306</v>
      </c>
      <c r="Q3098" s="8" t="s">
        <v>52</v>
      </c>
      <c r="R3098" s="10" t="s">
        <v>18122</v>
      </c>
      <c r="S3098" s="11"/>
      <c r="T3098" s="6"/>
      <c r="U3098" s="15" t="str">
        <f>HYPERLINK("https://media.infra-m.ru/2225/2225175/cover/2225175.jpg", "Обложка")</f>
        <v>Обложка</v>
      </c>
      <c r="V3098" s="8" t="s">
        <v>7082</v>
      </c>
      <c r="W3098" s="6"/>
      <c r="X3098" s="6"/>
      <c r="Y3098" s="6"/>
      <c r="Z3098" s="6"/>
      <c r="AA3098" s="6" t="s">
        <v>2311</v>
      </c>
      <c r="AB3098" s="8"/>
      <c r="AC3098" s="27">
        <v>9785917688602</v>
      </c>
    </row>
    <row r="3099" spans="1:29" s="4" customFormat="1" ht="42" customHeight="1" x14ac:dyDescent="0.2">
      <c r="A3099" s="5">
        <v>0</v>
      </c>
      <c r="B3099" s="6" t="s">
        <v>18185</v>
      </c>
      <c r="C3099" s="7">
        <v>1588.8</v>
      </c>
      <c r="D3099" s="8" t="s">
        <v>18186</v>
      </c>
      <c r="E3099" s="8" t="s">
        <v>18182</v>
      </c>
      <c r="F3099" s="8" t="s">
        <v>18183</v>
      </c>
      <c r="G3099" s="6" t="s">
        <v>60</v>
      </c>
      <c r="H3099" s="6" t="s">
        <v>134</v>
      </c>
      <c r="I3099" s="8" t="s">
        <v>263</v>
      </c>
      <c r="J3099" s="9">
        <v>1</v>
      </c>
      <c r="K3099" s="9">
        <v>240</v>
      </c>
      <c r="L3099" s="9">
        <v>2026</v>
      </c>
      <c r="M3099" s="8" t="s">
        <v>18187</v>
      </c>
      <c r="N3099" s="8" t="s">
        <v>63</v>
      </c>
      <c r="O3099" s="8" t="s">
        <v>126</v>
      </c>
      <c r="P3099" s="6" t="s">
        <v>306</v>
      </c>
      <c r="Q3099" s="8" t="s">
        <v>265</v>
      </c>
      <c r="R3099" s="10" t="s">
        <v>479</v>
      </c>
      <c r="S3099" s="11"/>
      <c r="T3099" s="6"/>
      <c r="U3099" s="15" t="str">
        <f>HYPERLINK("https://media.infra-m.ru/2224/2224925/cover/2224925.jpg", "Обложка")</f>
        <v>Обложка</v>
      </c>
      <c r="V3099" s="8" t="s">
        <v>7082</v>
      </c>
      <c r="W3099" s="6"/>
      <c r="X3099" s="6"/>
      <c r="Y3099" s="6"/>
      <c r="Z3099" s="6" t="s">
        <v>267</v>
      </c>
      <c r="AA3099" s="6" t="s">
        <v>5476</v>
      </c>
      <c r="AB3099" s="8"/>
      <c r="AC3099" s="27">
        <v>9785001563792</v>
      </c>
    </row>
    <row r="3100" spans="1:29" s="4" customFormat="1" ht="51.9" customHeight="1" x14ac:dyDescent="0.2">
      <c r="A3100" s="5">
        <v>0</v>
      </c>
      <c r="B3100" s="6" t="s">
        <v>18188</v>
      </c>
      <c r="C3100" s="7">
        <v>1104</v>
      </c>
      <c r="D3100" s="8" t="s">
        <v>18189</v>
      </c>
      <c r="E3100" s="8" t="s">
        <v>18190</v>
      </c>
      <c r="F3100" s="8" t="s">
        <v>18120</v>
      </c>
      <c r="G3100" s="6" t="s">
        <v>33</v>
      </c>
      <c r="H3100" s="6" t="s">
        <v>313</v>
      </c>
      <c r="I3100" s="8" t="s">
        <v>253</v>
      </c>
      <c r="J3100" s="9">
        <v>1</v>
      </c>
      <c r="K3100" s="9">
        <v>178</v>
      </c>
      <c r="L3100" s="9">
        <v>2025</v>
      </c>
      <c r="M3100" s="8" t="s">
        <v>18191</v>
      </c>
      <c r="N3100" s="8" t="s">
        <v>63</v>
      </c>
      <c r="O3100" s="8" t="s">
        <v>126</v>
      </c>
      <c r="P3100" s="6" t="s">
        <v>306</v>
      </c>
      <c r="Q3100" s="8" t="s">
        <v>65</v>
      </c>
      <c r="R3100" s="10" t="s">
        <v>18122</v>
      </c>
      <c r="S3100" s="11"/>
      <c r="T3100" s="6"/>
      <c r="U3100" s="15" t="str">
        <f>HYPERLINK("https://media.infra-m.ru/2129/2129120/cover/2129120.jpg", "Обложка")</f>
        <v>Обложка</v>
      </c>
      <c r="V3100" s="8" t="s">
        <v>2382</v>
      </c>
      <c r="W3100" s="6"/>
      <c r="X3100" s="6"/>
      <c r="Y3100" s="6"/>
      <c r="Z3100" s="6"/>
      <c r="AA3100" s="6" t="s">
        <v>917</v>
      </c>
      <c r="AB3100" s="8"/>
      <c r="AC3100" s="27">
        <v>9785369019573</v>
      </c>
    </row>
    <row r="3101" spans="1:29" s="4" customFormat="1" ht="51.9" customHeight="1" x14ac:dyDescent="0.2">
      <c r="A3101" s="5">
        <v>0</v>
      </c>
      <c r="B3101" s="6" t="s">
        <v>18192</v>
      </c>
      <c r="C3101" s="7">
        <v>1488</v>
      </c>
      <c r="D3101" s="8" t="s">
        <v>18193</v>
      </c>
      <c r="E3101" s="8" t="s">
        <v>18194</v>
      </c>
      <c r="F3101" s="8" t="s">
        <v>18195</v>
      </c>
      <c r="G3101" s="6" t="s">
        <v>118</v>
      </c>
      <c r="H3101" s="6" t="s">
        <v>134</v>
      </c>
      <c r="I3101" s="8"/>
      <c r="J3101" s="9">
        <v>1</v>
      </c>
      <c r="K3101" s="9">
        <v>224</v>
      </c>
      <c r="L3101" s="9">
        <v>2026</v>
      </c>
      <c r="M3101" s="8" t="s">
        <v>18196</v>
      </c>
      <c r="N3101" s="8" t="s">
        <v>63</v>
      </c>
      <c r="O3101" s="8" t="s">
        <v>126</v>
      </c>
      <c r="P3101" s="6" t="s">
        <v>306</v>
      </c>
      <c r="Q3101" s="8" t="s">
        <v>52</v>
      </c>
      <c r="R3101" s="10" t="s">
        <v>18197</v>
      </c>
      <c r="S3101" s="11"/>
      <c r="T3101" s="6"/>
      <c r="U3101" s="15" t="str">
        <f>HYPERLINK("https://media.infra-m.ru/2229/2229331/cover/2229331.jpg", "Обложка")</f>
        <v>Обложка</v>
      </c>
      <c r="V3101" s="8" t="s">
        <v>1184</v>
      </c>
      <c r="W3101" s="6"/>
      <c r="X3101" s="6"/>
      <c r="Y3101" s="6"/>
      <c r="Z3101" s="6"/>
      <c r="AA3101" s="6" t="s">
        <v>115</v>
      </c>
      <c r="AB3101" s="8"/>
      <c r="AC3101" s="27">
        <v>9785917686448</v>
      </c>
    </row>
    <row r="3102" spans="1:29" s="4" customFormat="1" ht="51.9" customHeight="1" x14ac:dyDescent="0.2">
      <c r="A3102" s="5">
        <v>0</v>
      </c>
      <c r="B3102" s="6" t="s">
        <v>18198</v>
      </c>
      <c r="C3102" s="13">
        <v>780</v>
      </c>
      <c r="D3102" s="8" t="s">
        <v>18199</v>
      </c>
      <c r="E3102" s="8" t="s">
        <v>18194</v>
      </c>
      <c r="F3102" s="8" t="s">
        <v>18200</v>
      </c>
      <c r="G3102" s="6" t="s">
        <v>33</v>
      </c>
      <c r="H3102" s="6" t="s">
        <v>820</v>
      </c>
      <c r="I3102" s="8" t="s">
        <v>271</v>
      </c>
      <c r="J3102" s="9">
        <v>1</v>
      </c>
      <c r="K3102" s="9">
        <v>96</v>
      </c>
      <c r="L3102" s="9">
        <v>2026</v>
      </c>
      <c r="M3102" s="8" t="s">
        <v>18201</v>
      </c>
      <c r="N3102" s="8" t="s">
        <v>63</v>
      </c>
      <c r="O3102" s="8" t="s">
        <v>126</v>
      </c>
      <c r="P3102" s="6" t="s">
        <v>51</v>
      </c>
      <c r="Q3102" s="8" t="s">
        <v>52</v>
      </c>
      <c r="R3102" s="10" t="s">
        <v>18202</v>
      </c>
      <c r="S3102" s="11"/>
      <c r="T3102" s="6"/>
      <c r="U3102" s="15" t="str">
        <f>HYPERLINK("https://media.infra-m.ru/2230/2230609/cover/2230609.jpg", "Обложка")</f>
        <v>Обложка</v>
      </c>
      <c r="V3102" s="8" t="s">
        <v>18203</v>
      </c>
      <c r="W3102" s="6"/>
      <c r="X3102" s="6"/>
      <c r="Y3102" s="6"/>
      <c r="Z3102" s="6"/>
      <c r="AA3102" s="6" t="s">
        <v>43</v>
      </c>
      <c r="AB3102" s="8"/>
      <c r="AC3102" s="27">
        <v>9785905554063</v>
      </c>
    </row>
    <row r="3103" spans="1:29" s="4" customFormat="1" ht="51.9" customHeight="1" x14ac:dyDescent="0.2">
      <c r="A3103" s="5">
        <v>0</v>
      </c>
      <c r="B3103" s="6" t="s">
        <v>18204</v>
      </c>
      <c r="C3103" s="13">
        <v>832.8</v>
      </c>
      <c r="D3103" s="8" t="s">
        <v>18205</v>
      </c>
      <c r="E3103" s="8" t="s">
        <v>18194</v>
      </c>
      <c r="F3103" s="8" t="s">
        <v>5816</v>
      </c>
      <c r="G3103" s="6" t="s">
        <v>33</v>
      </c>
      <c r="H3103" s="6" t="s">
        <v>34</v>
      </c>
      <c r="I3103" s="8" t="s">
        <v>263</v>
      </c>
      <c r="J3103" s="9">
        <v>1</v>
      </c>
      <c r="K3103" s="9">
        <v>134</v>
      </c>
      <c r="L3103" s="9">
        <v>2026</v>
      </c>
      <c r="M3103" s="8" t="s">
        <v>18206</v>
      </c>
      <c r="N3103" s="8" t="s">
        <v>63</v>
      </c>
      <c r="O3103" s="8" t="s">
        <v>126</v>
      </c>
      <c r="P3103" s="6" t="s">
        <v>51</v>
      </c>
      <c r="Q3103" s="8" t="s">
        <v>1891</v>
      </c>
      <c r="R3103" s="10" t="s">
        <v>479</v>
      </c>
      <c r="S3103" s="11" t="s">
        <v>18207</v>
      </c>
      <c r="T3103" s="6"/>
      <c r="U3103" s="15" t="str">
        <f>HYPERLINK("https://media.infra-m.ru/2222/2222227/cover/2222227.jpg", "Обложка")</f>
        <v>Обложка</v>
      </c>
      <c r="V3103" s="8" t="s">
        <v>5820</v>
      </c>
      <c r="W3103" s="6"/>
      <c r="X3103" s="6"/>
      <c r="Y3103" s="6"/>
      <c r="Z3103" s="6" t="s">
        <v>18208</v>
      </c>
      <c r="AA3103" s="6" t="s">
        <v>115</v>
      </c>
      <c r="AB3103" s="8"/>
      <c r="AC3103" s="27">
        <v>9785160149073</v>
      </c>
    </row>
    <row r="3104" spans="1:29" s="4" customFormat="1" ht="51.9" customHeight="1" x14ac:dyDescent="0.2">
      <c r="A3104" s="5">
        <v>0</v>
      </c>
      <c r="B3104" s="6" t="s">
        <v>18209</v>
      </c>
      <c r="C3104" s="13">
        <v>940.8</v>
      </c>
      <c r="D3104" s="8" t="s">
        <v>18210</v>
      </c>
      <c r="E3104" s="8" t="s">
        <v>18194</v>
      </c>
      <c r="F3104" s="8" t="s">
        <v>5816</v>
      </c>
      <c r="G3104" s="6" t="s">
        <v>33</v>
      </c>
      <c r="H3104" s="6" t="s">
        <v>34</v>
      </c>
      <c r="I3104" s="8" t="s">
        <v>271</v>
      </c>
      <c r="J3104" s="9">
        <v>1</v>
      </c>
      <c r="K3104" s="9">
        <v>134</v>
      </c>
      <c r="L3104" s="9">
        <v>2027</v>
      </c>
      <c r="M3104" s="8" t="s">
        <v>18211</v>
      </c>
      <c r="N3104" s="8" t="s">
        <v>63</v>
      </c>
      <c r="O3104" s="8" t="s">
        <v>126</v>
      </c>
      <c r="P3104" s="6" t="s">
        <v>51</v>
      </c>
      <c r="Q3104" s="8" t="s">
        <v>52</v>
      </c>
      <c r="R3104" s="10" t="s">
        <v>18212</v>
      </c>
      <c r="S3104" s="11" t="s">
        <v>18213</v>
      </c>
      <c r="T3104" s="6"/>
      <c r="U3104" s="15" t="str">
        <f>HYPERLINK("https://media.infra-m.ru/2263/2263847/cover/2263847.jpg", "Обложка")</f>
        <v>Обложка</v>
      </c>
      <c r="V3104" s="8" t="s">
        <v>5820</v>
      </c>
      <c r="W3104" s="6"/>
      <c r="X3104" s="6"/>
      <c r="Y3104" s="6"/>
      <c r="Z3104" s="6"/>
      <c r="AA3104" s="6" t="s">
        <v>115</v>
      </c>
      <c r="AB3104" s="8"/>
      <c r="AC3104" s="27">
        <v>9785160149042</v>
      </c>
    </row>
    <row r="3105" spans="1:29" s="4" customFormat="1" ht="42" customHeight="1" x14ac:dyDescent="0.2">
      <c r="A3105" s="5">
        <v>0</v>
      </c>
      <c r="B3105" s="6" t="s">
        <v>18214</v>
      </c>
      <c r="C3105" s="7">
        <v>2272.8000000000002</v>
      </c>
      <c r="D3105" s="8" t="s">
        <v>18215</v>
      </c>
      <c r="E3105" s="8" t="s">
        <v>18216</v>
      </c>
      <c r="F3105" s="8" t="s">
        <v>14855</v>
      </c>
      <c r="G3105" s="6" t="s">
        <v>60</v>
      </c>
      <c r="H3105" s="6" t="s">
        <v>34</v>
      </c>
      <c r="I3105" s="8" t="s">
        <v>35</v>
      </c>
      <c r="J3105" s="9">
        <v>1</v>
      </c>
      <c r="K3105" s="9">
        <v>333</v>
      </c>
      <c r="L3105" s="9">
        <v>2026</v>
      </c>
      <c r="M3105" s="8" t="s">
        <v>18217</v>
      </c>
      <c r="N3105" s="8" t="s">
        <v>63</v>
      </c>
      <c r="O3105" s="8" t="s">
        <v>126</v>
      </c>
      <c r="P3105" s="6" t="s">
        <v>39</v>
      </c>
      <c r="Q3105" s="8" t="s">
        <v>40</v>
      </c>
      <c r="R3105" s="10" t="s">
        <v>465</v>
      </c>
      <c r="S3105" s="11"/>
      <c r="T3105" s="6"/>
      <c r="U3105" s="15" t="str">
        <f>HYPERLINK("https://media.infra-m.ru/2248/2248405/cover/2248405.jpg", "Обложка")</f>
        <v>Обложка</v>
      </c>
      <c r="V3105" s="8" t="s">
        <v>2398</v>
      </c>
      <c r="W3105" s="6"/>
      <c r="X3105" s="6"/>
      <c r="Y3105" s="6"/>
      <c r="Z3105" s="6"/>
      <c r="AA3105" s="6" t="s">
        <v>187</v>
      </c>
      <c r="AB3105" s="8" t="s">
        <v>308</v>
      </c>
      <c r="AC3105" s="27">
        <v>9785160214528</v>
      </c>
    </row>
    <row r="3106" spans="1:29" s="4" customFormat="1" ht="42" customHeight="1" x14ac:dyDescent="0.2">
      <c r="A3106" s="5">
        <v>0</v>
      </c>
      <c r="B3106" s="6" t="s">
        <v>18218</v>
      </c>
      <c r="C3106" s="7">
        <v>2116.8000000000002</v>
      </c>
      <c r="D3106" s="8" t="s">
        <v>18219</v>
      </c>
      <c r="E3106" s="8" t="s">
        <v>18220</v>
      </c>
      <c r="F3106" s="8" t="s">
        <v>18221</v>
      </c>
      <c r="G3106" s="6" t="s">
        <v>60</v>
      </c>
      <c r="H3106" s="6" t="s">
        <v>134</v>
      </c>
      <c r="I3106" s="8"/>
      <c r="J3106" s="9">
        <v>1</v>
      </c>
      <c r="K3106" s="9">
        <v>320</v>
      </c>
      <c r="L3106" s="9">
        <v>2026</v>
      </c>
      <c r="M3106" s="8" t="s">
        <v>18222</v>
      </c>
      <c r="N3106" s="8" t="s">
        <v>37</v>
      </c>
      <c r="O3106" s="8" t="s">
        <v>136</v>
      </c>
      <c r="P3106" s="6" t="s">
        <v>39</v>
      </c>
      <c r="Q3106" s="8" t="s">
        <v>40</v>
      </c>
      <c r="R3106" s="10" t="s">
        <v>1625</v>
      </c>
      <c r="S3106" s="11"/>
      <c r="T3106" s="6"/>
      <c r="U3106" s="15" t="str">
        <f>HYPERLINK("https://media.infra-m.ru/2216/2216872/cover/2216872.jpg", "Обложка")</f>
        <v>Обложка</v>
      </c>
      <c r="V3106" s="8" t="s">
        <v>1277</v>
      </c>
      <c r="W3106" s="6"/>
      <c r="X3106" s="6"/>
      <c r="Y3106" s="6"/>
      <c r="Z3106" s="6"/>
      <c r="AA3106" s="6" t="s">
        <v>43</v>
      </c>
      <c r="AB3106" s="8"/>
      <c r="AC3106" s="27">
        <v>9785917682570</v>
      </c>
    </row>
    <row r="3107" spans="1:29" s="4" customFormat="1" ht="44.1" customHeight="1" x14ac:dyDescent="0.2">
      <c r="A3107" s="5">
        <v>0</v>
      </c>
      <c r="B3107" s="6" t="s">
        <v>18223</v>
      </c>
      <c r="C3107" s="7">
        <v>1745.9</v>
      </c>
      <c r="D3107" s="8" t="s">
        <v>18224</v>
      </c>
      <c r="E3107" s="8" t="s">
        <v>18225</v>
      </c>
      <c r="F3107" s="8" t="s">
        <v>18226</v>
      </c>
      <c r="G3107" s="6" t="s">
        <v>60</v>
      </c>
      <c r="H3107" s="6" t="s">
        <v>241</v>
      </c>
      <c r="I3107" s="8"/>
      <c r="J3107" s="9">
        <v>1</v>
      </c>
      <c r="K3107" s="9">
        <v>323</v>
      </c>
      <c r="L3107" s="9">
        <v>2023</v>
      </c>
      <c r="M3107" s="8" t="s">
        <v>18227</v>
      </c>
      <c r="N3107" s="8" t="s">
        <v>37</v>
      </c>
      <c r="O3107" s="8" t="s">
        <v>280</v>
      </c>
      <c r="P3107" s="6" t="s">
        <v>306</v>
      </c>
      <c r="Q3107" s="8" t="s">
        <v>52</v>
      </c>
      <c r="R3107" s="10" t="s">
        <v>15197</v>
      </c>
      <c r="S3107" s="11"/>
      <c r="T3107" s="6" t="s">
        <v>97</v>
      </c>
      <c r="U3107" s="15" t="str">
        <f>HYPERLINK("https://media.infra-m.ru/1900/1900820/cover/1900820.jpg", "Обложка")</f>
        <v>Обложка</v>
      </c>
      <c r="V3107" s="8" t="s">
        <v>247</v>
      </c>
      <c r="W3107" s="6"/>
      <c r="X3107" s="6"/>
      <c r="Y3107" s="6"/>
      <c r="Z3107" s="6"/>
      <c r="AA3107" s="6" t="s">
        <v>779</v>
      </c>
      <c r="AB3107" s="8"/>
      <c r="AC3107" s="27">
        <v>9785955804422</v>
      </c>
    </row>
    <row r="3108" spans="1:29" s="4" customFormat="1" ht="42" customHeight="1" x14ac:dyDescent="0.2">
      <c r="A3108" s="5">
        <v>0</v>
      </c>
      <c r="B3108" s="6" t="s">
        <v>18228</v>
      </c>
      <c r="C3108" s="13">
        <v>928.8</v>
      </c>
      <c r="D3108" s="8" t="s">
        <v>18229</v>
      </c>
      <c r="E3108" s="8" t="s">
        <v>18230</v>
      </c>
      <c r="F3108" s="8" t="s">
        <v>18231</v>
      </c>
      <c r="G3108" s="6" t="s">
        <v>33</v>
      </c>
      <c r="H3108" s="6" t="s">
        <v>34</v>
      </c>
      <c r="I3108" s="8" t="s">
        <v>35</v>
      </c>
      <c r="J3108" s="9">
        <v>1</v>
      </c>
      <c r="K3108" s="9">
        <v>169</v>
      </c>
      <c r="L3108" s="9">
        <v>2024</v>
      </c>
      <c r="M3108" s="8" t="s">
        <v>18232</v>
      </c>
      <c r="N3108" s="8" t="s">
        <v>37</v>
      </c>
      <c r="O3108" s="8" t="s">
        <v>280</v>
      </c>
      <c r="P3108" s="6" t="s">
        <v>39</v>
      </c>
      <c r="Q3108" s="8" t="s">
        <v>40</v>
      </c>
      <c r="R3108" s="10" t="s">
        <v>5320</v>
      </c>
      <c r="S3108" s="11"/>
      <c r="T3108" s="6"/>
      <c r="U3108" s="15" t="str">
        <f>HYPERLINK("https://media.infra-m.ru/2079/2079632/cover/2079632.jpg", "Обложка")</f>
        <v>Обложка</v>
      </c>
      <c r="V3108" s="8" t="s">
        <v>1768</v>
      </c>
      <c r="W3108" s="6"/>
      <c r="X3108" s="6"/>
      <c r="Y3108" s="6"/>
      <c r="Z3108" s="6"/>
      <c r="AA3108" s="6" t="s">
        <v>430</v>
      </c>
      <c r="AB3108" s="8"/>
      <c r="AC3108" s="27">
        <v>9785160170206</v>
      </c>
    </row>
    <row r="3109" spans="1:29" s="4" customFormat="1" ht="51.9" customHeight="1" x14ac:dyDescent="0.2">
      <c r="A3109" s="5">
        <v>0</v>
      </c>
      <c r="B3109" s="6" t="s">
        <v>18233</v>
      </c>
      <c r="C3109" s="7">
        <v>3408</v>
      </c>
      <c r="D3109" s="8" t="s">
        <v>18234</v>
      </c>
      <c r="E3109" s="8" t="s">
        <v>18235</v>
      </c>
      <c r="F3109" s="8" t="s">
        <v>18236</v>
      </c>
      <c r="G3109" s="6" t="s">
        <v>60</v>
      </c>
      <c r="H3109" s="6" t="s">
        <v>34</v>
      </c>
      <c r="I3109" s="8" t="s">
        <v>35</v>
      </c>
      <c r="J3109" s="9">
        <v>1</v>
      </c>
      <c r="K3109" s="9">
        <v>546</v>
      </c>
      <c r="L3109" s="9">
        <v>2026</v>
      </c>
      <c r="M3109" s="8" t="s">
        <v>18237</v>
      </c>
      <c r="N3109" s="8" t="s">
        <v>37</v>
      </c>
      <c r="O3109" s="8" t="s">
        <v>280</v>
      </c>
      <c r="P3109" s="6" t="s">
        <v>39</v>
      </c>
      <c r="Q3109" s="8" t="s">
        <v>40</v>
      </c>
      <c r="R3109" s="10" t="s">
        <v>18238</v>
      </c>
      <c r="S3109" s="11"/>
      <c r="T3109" s="6"/>
      <c r="U3109" s="15" t="str">
        <f>HYPERLINK("https://media.infra-m.ru/2213/2213705/cover/2213705.jpg", "Обложка")</f>
        <v>Обложка</v>
      </c>
      <c r="V3109" s="8" t="s">
        <v>1768</v>
      </c>
      <c r="W3109" s="6"/>
      <c r="X3109" s="6"/>
      <c r="Y3109" s="6"/>
      <c r="Z3109" s="6"/>
      <c r="AA3109" s="6" t="s">
        <v>157</v>
      </c>
      <c r="AB3109" s="8"/>
      <c r="AC3109" s="27">
        <v>9785160183060</v>
      </c>
    </row>
    <row r="3110" spans="1:29" s="4" customFormat="1" ht="51.9" customHeight="1" x14ac:dyDescent="0.2">
      <c r="A3110" s="5">
        <v>0</v>
      </c>
      <c r="B3110" s="6" t="s">
        <v>18239</v>
      </c>
      <c r="C3110" s="7">
        <v>1396.8</v>
      </c>
      <c r="D3110" s="8" t="s">
        <v>18240</v>
      </c>
      <c r="E3110" s="8" t="s">
        <v>18241</v>
      </c>
      <c r="F3110" s="8" t="s">
        <v>18242</v>
      </c>
      <c r="G3110" s="6" t="s">
        <v>60</v>
      </c>
      <c r="H3110" s="6" t="s">
        <v>34</v>
      </c>
      <c r="I3110" s="8" t="s">
        <v>271</v>
      </c>
      <c r="J3110" s="9">
        <v>1</v>
      </c>
      <c r="K3110" s="9">
        <v>200</v>
      </c>
      <c r="L3110" s="9">
        <v>2026</v>
      </c>
      <c r="M3110" s="8" t="s">
        <v>18243</v>
      </c>
      <c r="N3110" s="8" t="s">
        <v>37</v>
      </c>
      <c r="O3110" s="8" t="s">
        <v>280</v>
      </c>
      <c r="P3110" s="6" t="s">
        <v>51</v>
      </c>
      <c r="Q3110" s="8" t="s">
        <v>52</v>
      </c>
      <c r="R3110" s="10" t="s">
        <v>3008</v>
      </c>
      <c r="S3110" s="11" t="s">
        <v>18244</v>
      </c>
      <c r="T3110" s="6"/>
      <c r="U3110" s="15" t="str">
        <f>HYPERLINK("https://media.infra-m.ru/2252/2252658/cover/2252658.jpg", "Обложка")</f>
        <v>Обложка</v>
      </c>
      <c r="V3110" s="8" t="s">
        <v>396</v>
      </c>
      <c r="W3110" s="6"/>
      <c r="X3110" s="6"/>
      <c r="Y3110" s="6"/>
      <c r="Z3110" s="6"/>
      <c r="AA3110" s="6" t="s">
        <v>43</v>
      </c>
      <c r="AB3110" s="8"/>
      <c r="AC3110" s="27">
        <v>9785160049731</v>
      </c>
    </row>
    <row r="3111" spans="1:29" s="4" customFormat="1" ht="44.1" customHeight="1" x14ac:dyDescent="0.2">
      <c r="A3111" s="5">
        <v>0</v>
      </c>
      <c r="B3111" s="6" t="s">
        <v>18245</v>
      </c>
      <c r="C3111" s="7">
        <v>1320</v>
      </c>
      <c r="D3111" s="8" t="s">
        <v>18246</v>
      </c>
      <c r="E3111" s="8" t="s">
        <v>18241</v>
      </c>
      <c r="F3111" s="8" t="s">
        <v>18242</v>
      </c>
      <c r="G3111" s="6" t="s">
        <v>118</v>
      </c>
      <c r="H3111" s="6" t="s">
        <v>34</v>
      </c>
      <c r="I3111" s="8" t="s">
        <v>263</v>
      </c>
      <c r="J3111" s="9">
        <v>1</v>
      </c>
      <c r="K3111" s="9">
        <v>200</v>
      </c>
      <c r="L3111" s="9">
        <v>2026</v>
      </c>
      <c r="M3111" s="8" t="s">
        <v>18247</v>
      </c>
      <c r="N3111" s="8" t="s">
        <v>37</v>
      </c>
      <c r="O3111" s="8" t="s">
        <v>280</v>
      </c>
      <c r="P3111" s="6" t="s">
        <v>51</v>
      </c>
      <c r="Q3111" s="8" t="s">
        <v>265</v>
      </c>
      <c r="R3111" s="10" t="s">
        <v>18248</v>
      </c>
      <c r="S3111" s="11"/>
      <c r="T3111" s="6"/>
      <c r="U3111" s="15" t="str">
        <f>HYPERLINK("https://media.infra-m.ru/2252/2252417/cover/2252417.jpg", "Обложка")</f>
        <v>Обложка</v>
      </c>
      <c r="V3111" s="8" t="s">
        <v>396</v>
      </c>
      <c r="W3111" s="6"/>
      <c r="X3111" s="6"/>
      <c r="Y3111" s="6"/>
      <c r="Z3111" s="6" t="s">
        <v>267</v>
      </c>
      <c r="AA3111" s="6" t="s">
        <v>68</v>
      </c>
      <c r="AB3111" s="8"/>
      <c r="AC3111" s="27">
        <v>9785160203409</v>
      </c>
    </row>
    <row r="3112" spans="1:29" s="4" customFormat="1" ht="51.9" customHeight="1" x14ac:dyDescent="0.2">
      <c r="A3112" s="5">
        <v>0</v>
      </c>
      <c r="B3112" s="6" t="s">
        <v>18249</v>
      </c>
      <c r="C3112" s="7">
        <v>3684</v>
      </c>
      <c r="D3112" s="8" t="s">
        <v>18250</v>
      </c>
      <c r="E3112" s="8" t="s">
        <v>18251</v>
      </c>
      <c r="F3112" s="8" t="s">
        <v>18252</v>
      </c>
      <c r="G3112" s="6" t="s">
        <v>60</v>
      </c>
      <c r="H3112" s="6" t="s">
        <v>34</v>
      </c>
      <c r="I3112" s="8" t="s">
        <v>253</v>
      </c>
      <c r="J3112" s="9">
        <v>1</v>
      </c>
      <c r="K3112" s="9">
        <v>559</v>
      </c>
      <c r="L3112" s="9">
        <v>2026</v>
      </c>
      <c r="M3112" s="8" t="s">
        <v>18253</v>
      </c>
      <c r="N3112" s="8" t="s">
        <v>37</v>
      </c>
      <c r="O3112" s="8" t="s">
        <v>280</v>
      </c>
      <c r="P3112" s="6" t="s">
        <v>306</v>
      </c>
      <c r="Q3112" s="8" t="s">
        <v>52</v>
      </c>
      <c r="R3112" s="10" t="s">
        <v>18254</v>
      </c>
      <c r="S3112" s="11" t="s">
        <v>18255</v>
      </c>
      <c r="T3112" s="6" t="s">
        <v>97</v>
      </c>
      <c r="U3112" s="15" t="str">
        <f>HYPERLINK("https://media.infra-m.ru/2234/2234306/cover/2234306.jpg", "Обложка")</f>
        <v>Обложка</v>
      </c>
      <c r="V3112" s="8" t="s">
        <v>644</v>
      </c>
      <c r="W3112" s="6"/>
      <c r="X3112" s="6"/>
      <c r="Y3112" s="6"/>
      <c r="Z3112" s="6"/>
      <c r="AA3112" s="6" t="s">
        <v>129</v>
      </c>
      <c r="AB3112" s="8"/>
      <c r="AC3112" s="27">
        <v>9785160203997</v>
      </c>
    </row>
    <row r="3113" spans="1:29" s="4" customFormat="1" ht="51.9" customHeight="1" x14ac:dyDescent="0.2">
      <c r="A3113" s="5">
        <v>0</v>
      </c>
      <c r="B3113" s="6" t="s">
        <v>18256</v>
      </c>
      <c r="C3113" s="7">
        <v>1548</v>
      </c>
      <c r="D3113" s="8" t="s">
        <v>18257</v>
      </c>
      <c r="E3113" s="8" t="s">
        <v>18258</v>
      </c>
      <c r="F3113" s="8" t="s">
        <v>18259</v>
      </c>
      <c r="G3113" s="6" t="s">
        <v>118</v>
      </c>
      <c r="H3113" s="6" t="s">
        <v>34</v>
      </c>
      <c r="I3113" s="8" t="s">
        <v>504</v>
      </c>
      <c r="J3113" s="9">
        <v>1</v>
      </c>
      <c r="K3113" s="9">
        <v>272</v>
      </c>
      <c r="L3113" s="9">
        <v>2023</v>
      </c>
      <c r="M3113" s="8" t="s">
        <v>18260</v>
      </c>
      <c r="N3113" s="8" t="s">
        <v>37</v>
      </c>
      <c r="O3113" s="8" t="s">
        <v>280</v>
      </c>
      <c r="P3113" s="6" t="s">
        <v>51</v>
      </c>
      <c r="Q3113" s="8" t="s">
        <v>500</v>
      </c>
      <c r="R3113" s="10" t="s">
        <v>2053</v>
      </c>
      <c r="S3113" s="11" t="s">
        <v>18261</v>
      </c>
      <c r="T3113" s="6"/>
      <c r="U3113" s="15" t="str">
        <f>HYPERLINK("https://media.infra-m.ru/1899/1899839/cover/1899839.jpg", "Обложка")</f>
        <v>Обложка</v>
      </c>
      <c r="V3113" s="8" t="s">
        <v>18262</v>
      </c>
      <c r="W3113" s="6"/>
      <c r="X3113" s="6"/>
      <c r="Y3113" s="6"/>
      <c r="Z3113" s="6"/>
      <c r="AA3113" s="6" t="s">
        <v>99</v>
      </c>
      <c r="AB3113" s="8"/>
      <c r="AC3113" s="27">
        <v>9785160127040</v>
      </c>
    </row>
    <row r="3114" spans="1:29" s="4" customFormat="1" ht="51.9" customHeight="1" x14ac:dyDescent="0.2">
      <c r="A3114" s="5">
        <v>0</v>
      </c>
      <c r="B3114" s="6" t="s">
        <v>18263</v>
      </c>
      <c r="C3114" s="13">
        <v>760.8</v>
      </c>
      <c r="D3114" s="8" t="s">
        <v>18264</v>
      </c>
      <c r="E3114" s="8" t="s">
        <v>18265</v>
      </c>
      <c r="F3114" s="8" t="s">
        <v>18266</v>
      </c>
      <c r="G3114" s="6" t="s">
        <v>33</v>
      </c>
      <c r="H3114" s="6" t="s">
        <v>241</v>
      </c>
      <c r="I3114" s="8"/>
      <c r="J3114" s="9">
        <v>1</v>
      </c>
      <c r="K3114" s="9">
        <v>139</v>
      </c>
      <c r="L3114" s="9">
        <v>2023</v>
      </c>
      <c r="M3114" s="8" t="s">
        <v>18267</v>
      </c>
      <c r="N3114" s="8" t="s">
        <v>37</v>
      </c>
      <c r="O3114" s="8" t="s">
        <v>280</v>
      </c>
      <c r="P3114" s="6" t="s">
        <v>51</v>
      </c>
      <c r="Q3114" s="8" t="s">
        <v>52</v>
      </c>
      <c r="R3114" s="10" t="s">
        <v>18268</v>
      </c>
      <c r="S3114" s="11"/>
      <c r="T3114" s="6"/>
      <c r="U3114" s="15" t="str">
        <f>HYPERLINK("https://media.infra-m.ru/2006/2006027/cover/2006027.jpg", "Обложка")</f>
        <v>Обложка</v>
      </c>
      <c r="V3114" s="8" t="s">
        <v>247</v>
      </c>
      <c r="W3114" s="6"/>
      <c r="X3114" s="6"/>
      <c r="Y3114" s="6"/>
      <c r="Z3114" s="6"/>
      <c r="AA3114" s="6" t="s">
        <v>99</v>
      </c>
      <c r="AB3114" s="8"/>
      <c r="AC3114" s="27">
        <v>9785955805450</v>
      </c>
    </row>
    <row r="3115" spans="1:29" s="4" customFormat="1" ht="44.1" customHeight="1" x14ac:dyDescent="0.2">
      <c r="A3115" s="5">
        <v>0</v>
      </c>
      <c r="B3115" s="6" t="s">
        <v>18269</v>
      </c>
      <c r="C3115" s="7">
        <v>2928</v>
      </c>
      <c r="D3115" s="8" t="s">
        <v>18270</v>
      </c>
      <c r="E3115" s="8" t="s">
        <v>18271</v>
      </c>
      <c r="F3115" s="8" t="s">
        <v>18272</v>
      </c>
      <c r="G3115" s="6" t="s">
        <v>60</v>
      </c>
      <c r="H3115" s="6" t="s">
        <v>34</v>
      </c>
      <c r="I3115" s="8" t="s">
        <v>253</v>
      </c>
      <c r="J3115" s="9">
        <v>1</v>
      </c>
      <c r="K3115" s="9">
        <v>461</v>
      </c>
      <c r="L3115" s="9">
        <v>2025</v>
      </c>
      <c r="M3115" s="8" t="s">
        <v>18273</v>
      </c>
      <c r="N3115" s="8" t="s">
        <v>37</v>
      </c>
      <c r="O3115" s="8" t="s">
        <v>280</v>
      </c>
      <c r="P3115" s="6" t="s">
        <v>306</v>
      </c>
      <c r="Q3115" s="8" t="s">
        <v>52</v>
      </c>
      <c r="R3115" s="10" t="s">
        <v>18274</v>
      </c>
      <c r="S3115" s="11"/>
      <c r="T3115" s="6"/>
      <c r="U3115" s="15" t="str">
        <f>HYPERLINK("https://media.infra-m.ru/2163/2163287/cover/2163287.jpg", "Обложка")</f>
        <v>Обложка</v>
      </c>
      <c r="V3115" s="8" t="s">
        <v>1425</v>
      </c>
      <c r="W3115" s="6"/>
      <c r="X3115" s="6"/>
      <c r="Y3115" s="6"/>
      <c r="Z3115" s="6"/>
      <c r="AA3115" s="6" t="s">
        <v>68</v>
      </c>
      <c r="AB3115" s="8" t="s">
        <v>18275</v>
      </c>
      <c r="AC3115" s="27">
        <v>9785160202228</v>
      </c>
    </row>
    <row r="3116" spans="1:29" s="4" customFormat="1" ht="42" customHeight="1" x14ac:dyDescent="0.2">
      <c r="A3116" s="5">
        <v>0</v>
      </c>
      <c r="B3116" s="6" t="s">
        <v>18276</v>
      </c>
      <c r="C3116" s="7">
        <v>1415.9</v>
      </c>
      <c r="D3116" s="8" t="s">
        <v>18277</v>
      </c>
      <c r="E3116" s="8" t="s">
        <v>18271</v>
      </c>
      <c r="F3116" s="8" t="s">
        <v>18278</v>
      </c>
      <c r="G3116" s="6" t="s">
        <v>60</v>
      </c>
      <c r="H3116" s="6" t="s">
        <v>313</v>
      </c>
      <c r="I3116" s="8" t="s">
        <v>253</v>
      </c>
      <c r="J3116" s="9">
        <v>8</v>
      </c>
      <c r="K3116" s="9">
        <v>404</v>
      </c>
      <c r="L3116" s="9">
        <v>2017</v>
      </c>
      <c r="M3116" s="8" t="s">
        <v>18279</v>
      </c>
      <c r="N3116" s="8" t="s">
        <v>37</v>
      </c>
      <c r="O3116" s="8" t="s">
        <v>280</v>
      </c>
      <c r="P3116" s="6" t="s">
        <v>306</v>
      </c>
      <c r="Q3116" s="8" t="s">
        <v>52</v>
      </c>
      <c r="R3116" s="10" t="s">
        <v>18280</v>
      </c>
      <c r="S3116" s="11"/>
      <c r="T3116" s="6"/>
      <c r="U3116" s="15" t="str">
        <f>HYPERLINK("https://media.infra-m.ru/0752/0752442/cover/752442.jpg", "Обложка")</f>
        <v>Обложка</v>
      </c>
      <c r="V3116" s="8" t="s">
        <v>2095</v>
      </c>
      <c r="W3116" s="6"/>
      <c r="X3116" s="6"/>
      <c r="Y3116" s="6"/>
      <c r="Z3116" s="6"/>
      <c r="AA3116" s="6" t="s">
        <v>779</v>
      </c>
      <c r="AB3116" s="8"/>
      <c r="AC3116" s="27">
        <v>9785369015780</v>
      </c>
    </row>
    <row r="3117" spans="1:29" s="4" customFormat="1" ht="51.9" customHeight="1" x14ac:dyDescent="0.2">
      <c r="A3117" s="5">
        <v>0</v>
      </c>
      <c r="B3117" s="6" t="s">
        <v>18281</v>
      </c>
      <c r="C3117" s="7">
        <v>2004</v>
      </c>
      <c r="D3117" s="8" t="s">
        <v>18282</v>
      </c>
      <c r="E3117" s="8" t="s">
        <v>18283</v>
      </c>
      <c r="F3117" s="8" t="s">
        <v>18284</v>
      </c>
      <c r="G3117" s="6" t="s">
        <v>118</v>
      </c>
      <c r="H3117" s="6" t="s">
        <v>34</v>
      </c>
      <c r="I3117" s="8" t="s">
        <v>253</v>
      </c>
      <c r="J3117" s="9">
        <v>1</v>
      </c>
      <c r="K3117" s="9">
        <v>320</v>
      </c>
      <c r="L3117" s="9">
        <v>2026</v>
      </c>
      <c r="M3117" s="8" t="s">
        <v>18285</v>
      </c>
      <c r="N3117" s="8" t="s">
        <v>37</v>
      </c>
      <c r="O3117" s="8" t="s">
        <v>280</v>
      </c>
      <c r="P3117" s="6" t="s">
        <v>306</v>
      </c>
      <c r="Q3117" s="8" t="s">
        <v>52</v>
      </c>
      <c r="R3117" s="10" t="s">
        <v>1503</v>
      </c>
      <c r="S3117" s="11" t="s">
        <v>18286</v>
      </c>
      <c r="T3117" s="6"/>
      <c r="U3117" s="15" t="str">
        <f>HYPERLINK("https://media.infra-m.ru/2221/2221070/cover/2221070.jpg", "Обложка")</f>
        <v>Обложка</v>
      </c>
      <c r="V3117" s="8" t="s">
        <v>1505</v>
      </c>
      <c r="W3117" s="6"/>
      <c r="X3117" s="6"/>
      <c r="Y3117" s="6"/>
      <c r="Z3117" s="6"/>
      <c r="AA3117" s="6" t="s">
        <v>446</v>
      </c>
      <c r="AB3117" s="8"/>
      <c r="AC3117" s="27">
        <v>9785160212920</v>
      </c>
    </row>
    <row r="3118" spans="1:29" s="4" customFormat="1" ht="44.1" customHeight="1" x14ac:dyDescent="0.2">
      <c r="A3118" s="5">
        <v>0</v>
      </c>
      <c r="B3118" s="6" t="s">
        <v>18287</v>
      </c>
      <c r="C3118" s="7">
        <v>1860</v>
      </c>
      <c r="D3118" s="8" t="s">
        <v>18288</v>
      </c>
      <c r="E3118" s="8" t="s">
        <v>18289</v>
      </c>
      <c r="F3118" s="8" t="s">
        <v>18290</v>
      </c>
      <c r="G3118" s="6" t="s">
        <v>60</v>
      </c>
      <c r="H3118" s="6" t="s">
        <v>34</v>
      </c>
      <c r="I3118" s="8" t="s">
        <v>304</v>
      </c>
      <c r="J3118" s="9">
        <v>1</v>
      </c>
      <c r="K3118" s="9">
        <v>292</v>
      </c>
      <c r="L3118" s="9">
        <v>2025</v>
      </c>
      <c r="M3118" s="8" t="s">
        <v>18291</v>
      </c>
      <c r="N3118" s="8" t="s">
        <v>37</v>
      </c>
      <c r="O3118" s="8" t="s">
        <v>280</v>
      </c>
      <c r="P3118" s="6" t="s">
        <v>306</v>
      </c>
      <c r="Q3118" s="8" t="s">
        <v>52</v>
      </c>
      <c r="R3118" s="10" t="s">
        <v>15197</v>
      </c>
      <c r="S3118" s="11"/>
      <c r="T3118" s="6" t="s">
        <v>97</v>
      </c>
      <c r="U3118" s="15" t="str">
        <f>HYPERLINK("https://media.infra-m.ru/2138/2138109/cover/2138109.jpg", "Обложка")</f>
        <v>Обложка</v>
      </c>
      <c r="V3118" s="8" t="s">
        <v>247</v>
      </c>
      <c r="W3118" s="6"/>
      <c r="X3118" s="6"/>
      <c r="Y3118" s="6"/>
      <c r="Z3118" s="6"/>
      <c r="AA3118" s="6" t="s">
        <v>917</v>
      </c>
      <c r="AB3118" s="8"/>
      <c r="AC3118" s="27">
        <v>9785160198118</v>
      </c>
    </row>
    <row r="3119" spans="1:29" s="4" customFormat="1" ht="51.9" customHeight="1" x14ac:dyDescent="0.2">
      <c r="A3119" s="5">
        <v>0</v>
      </c>
      <c r="B3119" s="6" t="s">
        <v>18292</v>
      </c>
      <c r="C3119" s="7">
        <v>1800</v>
      </c>
      <c r="D3119" s="8" t="s">
        <v>18293</v>
      </c>
      <c r="E3119" s="8" t="s">
        <v>18289</v>
      </c>
      <c r="F3119" s="8" t="s">
        <v>18294</v>
      </c>
      <c r="G3119" s="6" t="s">
        <v>33</v>
      </c>
      <c r="H3119" s="6" t="s">
        <v>48</v>
      </c>
      <c r="I3119" s="8" t="s">
        <v>401</v>
      </c>
      <c r="J3119" s="9">
        <v>1</v>
      </c>
      <c r="K3119" s="9">
        <v>272</v>
      </c>
      <c r="L3119" s="9">
        <v>2026</v>
      </c>
      <c r="M3119" s="8" t="s">
        <v>18295</v>
      </c>
      <c r="N3119" s="8" t="s">
        <v>37</v>
      </c>
      <c r="O3119" s="8" t="s">
        <v>280</v>
      </c>
      <c r="P3119" s="6" t="s">
        <v>306</v>
      </c>
      <c r="Q3119" s="8" t="s">
        <v>265</v>
      </c>
      <c r="R3119" s="10" t="s">
        <v>18296</v>
      </c>
      <c r="S3119" s="11" t="s">
        <v>18297</v>
      </c>
      <c r="T3119" s="6"/>
      <c r="U3119" s="15" t="str">
        <f>HYPERLINK("https://media.infra-m.ru/2236/2236923/cover/2236923.jpg", "Обложка")</f>
        <v>Обложка</v>
      </c>
      <c r="V3119" s="8" t="s">
        <v>396</v>
      </c>
      <c r="W3119" s="6"/>
      <c r="X3119" s="6"/>
      <c r="Y3119" s="6"/>
      <c r="Z3119" s="6"/>
      <c r="AA3119" s="6" t="s">
        <v>874</v>
      </c>
      <c r="AB3119" s="8"/>
      <c r="AC3119" s="27">
        <v>9785911349066</v>
      </c>
    </row>
    <row r="3120" spans="1:29" s="4" customFormat="1" ht="51.9" customHeight="1" x14ac:dyDescent="0.2">
      <c r="A3120" s="5">
        <v>0</v>
      </c>
      <c r="B3120" s="6" t="s">
        <v>18298</v>
      </c>
      <c r="C3120" s="7">
        <v>1192.8</v>
      </c>
      <c r="D3120" s="8" t="s">
        <v>18299</v>
      </c>
      <c r="E3120" s="8" t="s">
        <v>18271</v>
      </c>
      <c r="F3120" s="8" t="s">
        <v>18300</v>
      </c>
      <c r="G3120" s="6" t="s">
        <v>60</v>
      </c>
      <c r="H3120" s="6" t="s">
        <v>34</v>
      </c>
      <c r="I3120" s="8" t="s">
        <v>271</v>
      </c>
      <c r="J3120" s="9">
        <v>1</v>
      </c>
      <c r="K3120" s="9">
        <v>217</v>
      </c>
      <c r="L3120" s="9">
        <v>2022</v>
      </c>
      <c r="M3120" s="8" t="s">
        <v>18301</v>
      </c>
      <c r="N3120" s="8" t="s">
        <v>37</v>
      </c>
      <c r="O3120" s="8" t="s">
        <v>280</v>
      </c>
      <c r="P3120" s="6" t="s">
        <v>306</v>
      </c>
      <c r="Q3120" s="8" t="s">
        <v>52</v>
      </c>
      <c r="R3120" s="10" t="s">
        <v>2086</v>
      </c>
      <c r="S3120" s="11" t="s">
        <v>18302</v>
      </c>
      <c r="T3120" s="6"/>
      <c r="U3120" s="15" t="str">
        <f>HYPERLINK("https://media.infra-m.ru/1852/1852226/cover/1852226.jpg", "Обложка")</f>
        <v>Обложка</v>
      </c>
      <c r="V3120" s="8" t="s">
        <v>13970</v>
      </c>
      <c r="W3120" s="6"/>
      <c r="X3120" s="6"/>
      <c r="Y3120" s="6"/>
      <c r="Z3120" s="6"/>
      <c r="AA3120" s="6" t="s">
        <v>274</v>
      </c>
      <c r="AB3120" s="8"/>
      <c r="AC3120" s="27">
        <v>9785160100012</v>
      </c>
    </row>
    <row r="3121" spans="1:29" s="4" customFormat="1" ht="42" customHeight="1" x14ac:dyDescent="0.2">
      <c r="A3121" s="5">
        <v>0</v>
      </c>
      <c r="B3121" s="6" t="s">
        <v>18303</v>
      </c>
      <c r="C3121" s="7">
        <v>1152</v>
      </c>
      <c r="D3121" s="8" t="s">
        <v>18304</v>
      </c>
      <c r="E3121" s="8" t="s">
        <v>18271</v>
      </c>
      <c r="F3121" s="8" t="s">
        <v>18305</v>
      </c>
      <c r="G3121" s="6" t="s">
        <v>33</v>
      </c>
      <c r="H3121" s="6" t="s">
        <v>1644</v>
      </c>
      <c r="I3121" s="8" t="s">
        <v>1904</v>
      </c>
      <c r="J3121" s="9">
        <v>1</v>
      </c>
      <c r="K3121" s="9">
        <v>184</v>
      </c>
      <c r="L3121" s="9">
        <v>2025</v>
      </c>
      <c r="M3121" s="8" t="s">
        <v>18306</v>
      </c>
      <c r="N3121" s="8" t="s">
        <v>37</v>
      </c>
      <c r="O3121" s="8" t="s">
        <v>280</v>
      </c>
      <c r="P3121" s="6" t="s">
        <v>51</v>
      </c>
      <c r="Q3121" s="8" t="s">
        <v>52</v>
      </c>
      <c r="R3121" s="10" t="s">
        <v>2086</v>
      </c>
      <c r="S3121" s="11"/>
      <c r="T3121" s="6"/>
      <c r="U3121" s="15" t="str">
        <f>HYPERLINK("https://media.infra-m.ru/2206/2206196/cover/2206196.jpg", "Обложка")</f>
        <v>Обложка</v>
      </c>
      <c r="V3121" s="8" t="s">
        <v>5271</v>
      </c>
      <c r="W3121" s="6"/>
      <c r="X3121" s="6"/>
      <c r="Y3121" s="6"/>
      <c r="Z3121" s="6"/>
      <c r="AA3121" s="6" t="s">
        <v>248</v>
      </c>
      <c r="AB3121" s="8"/>
      <c r="AC3121" s="27">
        <v>9785977603157</v>
      </c>
    </row>
    <row r="3122" spans="1:29" s="4" customFormat="1" ht="51.9" customHeight="1" x14ac:dyDescent="0.2">
      <c r="A3122" s="5">
        <v>0</v>
      </c>
      <c r="B3122" s="6" t="s">
        <v>18307</v>
      </c>
      <c r="C3122" s="7">
        <v>2308.8000000000002</v>
      </c>
      <c r="D3122" s="8" t="s">
        <v>18308</v>
      </c>
      <c r="E3122" s="8" t="s">
        <v>18289</v>
      </c>
      <c r="F3122" s="8" t="s">
        <v>18309</v>
      </c>
      <c r="G3122" s="6" t="s">
        <v>118</v>
      </c>
      <c r="H3122" s="6" t="s">
        <v>1042</v>
      </c>
      <c r="I3122" s="8" t="s">
        <v>401</v>
      </c>
      <c r="J3122" s="9">
        <v>1</v>
      </c>
      <c r="K3122" s="9">
        <v>384</v>
      </c>
      <c r="L3122" s="9">
        <v>2024</v>
      </c>
      <c r="M3122" s="8" t="s">
        <v>18310</v>
      </c>
      <c r="N3122" s="8" t="s">
        <v>37</v>
      </c>
      <c r="O3122" s="8" t="s">
        <v>280</v>
      </c>
      <c r="P3122" s="6" t="s">
        <v>51</v>
      </c>
      <c r="Q3122" s="8" t="s">
        <v>265</v>
      </c>
      <c r="R3122" s="10" t="s">
        <v>18311</v>
      </c>
      <c r="S3122" s="11" t="s">
        <v>18312</v>
      </c>
      <c r="T3122" s="6"/>
      <c r="U3122" s="15" t="str">
        <f>HYPERLINK("https://media.infra-m.ru/2157/2157337/cover/2157337.jpg", "Обложка")</f>
        <v>Обложка</v>
      </c>
      <c r="V3122" s="8" t="s">
        <v>247</v>
      </c>
      <c r="W3122" s="6"/>
      <c r="X3122" s="6"/>
      <c r="Y3122" s="6"/>
      <c r="Z3122" s="6"/>
      <c r="AA3122" s="6" t="s">
        <v>6033</v>
      </c>
      <c r="AB3122" s="8"/>
      <c r="AC3122" s="27">
        <v>9785819909300</v>
      </c>
    </row>
    <row r="3123" spans="1:29" s="4" customFormat="1" ht="51.9" customHeight="1" x14ac:dyDescent="0.2">
      <c r="A3123" s="5">
        <v>0</v>
      </c>
      <c r="B3123" s="6" t="s">
        <v>18313</v>
      </c>
      <c r="C3123" s="7">
        <v>3232.8</v>
      </c>
      <c r="D3123" s="8" t="s">
        <v>18314</v>
      </c>
      <c r="E3123" s="8" t="s">
        <v>18315</v>
      </c>
      <c r="F3123" s="8" t="s">
        <v>18316</v>
      </c>
      <c r="G3123" s="6" t="s">
        <v>60</v>
      </c>
      <c r="H3123" s="6" t="s">
        <v>34</v>
      </c>
      <c r="I3123" s="8" t="s">
        <v>263</v>
      </c>
      <c r="J3123" s="9">
        <v>1</v>
      </c>
      <c r="K3123" s="9">
        <v>493</v>
      </c>
      <c r="L3123" s="9">
        <v>2026</v>
      </c>
      <c r="M3123" s="8" t="s">
        <v>18317</v>
      </c>
      <c r="N3123" s="8" t="s">
        <v>37</v>
      </c>
      <c r="O3123" s="8" t="s">
        <v>280</v>
      </c>
      <c r="P3123" s="6" t="s">
        <v>51</v>
      </c>
      <c r="Q3123" s="8" t="s">
        <v>265</v>
      </c>
      <c r="R3123" s="10" t="s">
        <v>18311</v>
      </c>
      <c r="S3123" s="11"/>
      <c r="T3123" s="6"/>
      <c r="U3123" s="15" t="str">
        <f>HYPERLINK("https://media.infra-m.ru/2219/2219050/cover/2219050.jpg", "Обложка")</f>
        <v>Обложка</v>
      </c>
      <c r="V3123" s="8" t="s">
        <v>247</v>
      </c>
      <c r="W3123" s="6"/>
      <c r="X3123" s="6"/>
      <c r="Y3123" s="6"/>
      <c r="Z3123" s="6"/>
      <c r="AA3123" s="6" t="s">
        <v>1295</v>
      </c>
      <c r="AB3123" s="8"/>
      <c r="AC3123" s="27">
        <v>9785160182612</v>
      </c>
    </row>
    <row r="3124" spans="1:29" s="4" customFormat="1" ht="51.9" customHeight="1" x14ac:dyDescent="0.2">
      <c r="A3124" s="5">
        <v>0</v>
      </c>
      <c r="B3124" s="6" t="s">
        <v>18318</v>
      </c>
      <c r="C3124" s="7">
        <v>1169.9000000000001</v>
      </c>
      <c r="D3124" s="8" t="s">
        <v>18319</v>
      </c>
      <c r="E3124" s="8" t="s">
        <v>18271</v>
      </c>
      <c r="F3124" s="8" t="s">
        <v>18320</v>
      </c>
      <c r="G3124" s="6" t="s">
        <v>118</v>
      </c>
      <c r="H3124" s="6" t="s">
        <v>34</v>
      </c>
      <c r="I3124" s="8" t="s">
        <v>263</v>
      </c>
      <c r="J3124" s="9">
        <v>1</v>
      </c>
      <c r="K3124" s="9">
        <v>217</v>
      </c>
      <c r="L3124" s="9">
        <v>2023</v>
      </c>
      <c r="M3124" s="8" t="s">
        <v>18321</v>
      </c>
      <c r="N3124" s="8" t="s">
        <v>37</v>
      </c>
      <c r="O3124" s="8" t="s">
        <v>280</v>
      </c>
      <c r="P3124" s="6" t="s">
        <v>51</v>
      </c>
      <c r="Q3124" s="8" t="s">
        <v>265</v>
      </c>
      <c r="R3124" s="10" t="s">
        <v>18296</v>
      </c>
      <c r="S3124" s="11" t="s">
        <v>18322</v>
      </c>
      <c r="T3124" s="6"/>
      <c r="U3124" s="15" t="str">
        <f>HYPERLINK("https://media.infra-m.ru/1976/1976159/cover/1976159.jpg", "Обложка")</f>
        <v>Обложка</v>
      </c>
      <c r="V3124" s="8" t="s">
        <v>13970</v>
      </c>
      <c r="W3124" s="6"/>
      <c r="X3124" s="6"/>
      <c r="Y3124" s="6"/>
      <c r="Z3124" s="6" t="s">
        <v>267</v>
      </c>
      <c r="AA3124" s="6" t="s">
        <v>115</v>
      </c>
      <c r="AB3124" s="8"/>
      <c r="AC3124" s="27">
        <v>9785160151540</v>
      </c>
    </row>
    <row r="3125" spans="1:29" s="4" customFormat="1" ht="51.9" customHeight="1" x14ac:dyDescent="0.2">
      <c r="A3125" s="5">
        <v>0</v>
      </c>
      <c r="B3125" s="6" t="s">
        <v>18323</v>
      </c>
      <c r="C3125" s="7">
        <v>1416</v>
      </c>
      <c r="D3125" s="8" t="s">
        <v>18324</v>
      </c>
      <c r="E3125" s="8" t="s">
        <v>18271</v>
      </c>
      <c r="F3125" s="8" t="s">
        <v>13967</v>
      </c>
      <c r="G3125" s="6" t="s">
        <v>118</v>
      </c>
      <c r="H3125" s="6" t="s">
        <v>34</v>
      </c>
      <c r="I3125" s="8" t="s">
        <v>253</v>
      </c>
      <c r="J3125" s="9">
        <v>1</v>
      </c>
      <c r="K3125" s="9">
        <v>256</v>
      </c>
      <c r="L3125" s="9">
        <v>2024</v>
      </c>
      <c r="M3125" s="8" t="s">
        <v>18325</v>
      </c>
      <c r="N3125" s="8" t="s">
        <v>37</v>
      </c>
      <c r="O3125" s="8" t="s">
        <v>280</v>
      </c>
      <c r="P3125" s="6" t="s">
        <v>51</v>
      </c>
      <c r="Q3125" s="8" t="s">
        <v>65</v>
      </c>
      <c r="R3125" s="10" t="s">
        <v>357</v>
      </c>
      <c r="S3125" s="11" t="s">
        <v>18326</v>
      </c>
      <c r="T3125" s="6" t="s">
        <v>97</v>
      </c>
      <c r="U3125" s="15" t="str">
        <f>HYPERLINK("https://media.infra-m.ru/2065/2065555/cover/2065555.jpg", "Обложка")</f>
        <v>Обложка</v>
      </c>
      <c r="V3125" s="8" t="s">
        <v>13970</v>
      </c>
      <c r="W3125" s="6"/>
      <c r="X3125" s="6"/>
      <c r="Y3125" s="6"/>
      <c r="Z3125" s="6"/>
      <c r="AA3125" s="6" t="s">
        <v>779</v>
      </c>
      <c r="AB3125" s="8"/>
      <c r="AC3125" s="27">
        <v>9785160189055</v>
      </c>
    </row>
    <row r="3126" spans="1:29" s="4" customFormat="1" ht="51.9" customHeight="1" x14ac:dyDescent="0.2">
      <c r="A3126" s="5">
        <v>0</v>
      </c>
      <c r="B3126" s="6" t="s">
        <v>18327</v>
      </c>
      <c r="C3126" s="13">
        <v>768</v>
      </c>
      <c r="D3126" s="8" t="s">
        <v>18328</v>
      </c>
      <c r="E3126" s="8" t="s">
        <v>18329</v>
      </c>
      <c r="F3126" s="8" t="s">
        <v>18330</v>
      </c>
      <c r="G3126" s="6" t="s">
        <v>33</v>
      </c>
      <c r="H3126" s="6" t="s">
        <v>34</v>
      </c>
      <c r="I3126" s="8" t="s">
        <v>35</v>
      </c>
      <c r="J3126" s="9">
        <v>1</v>
      </c>
      <c r="K3126" s="9">
        <v>172</v>
      </c>
      <c r="L3126" s="9">
        <v>2021</v>
      </c>
      <c r="M3126" s="8" t="s">
        <v>18331</v>
      </c>
      <c r="N3126" s="8" t="s">
        <v>37</v>
      </c>
      <c r="O3126" s="8" t="s">
        <v>280</v>
      </c>
      <c r="P3126" s="6" t="s">
        <v>39</v>
      </c>
      <c r="Q3126" s="8" t="s">
        <v>40</v>
      </c>
      <c r="R3126" s="10" t="s">
        <v>18332</v>
      </c>
      <c r="S3126" s="11"/>
      <c r="T3126" s="6"/>
      <c r="U3126" s="15" t="str">
        <f>HYPERLINK("https://media.infra-m.ru/1223/1223199/cover/1223199.jpg", "Обложка")</f>
        <v>Обложка</v>
      </c>
      <c r="V3126" s="8" t="s">
        <v>588</v>
      </c>
      <c r="W3126" s="6"/>
      <c r="X3126" s="6"/>
      <c r="Y3126" s="6"/>
      <c r="Z3126" s="6"/>
      <c r="AA3126" s="6" t="s">
        <v>129</v>
      </c>
      <c r="AB3126" s="8"/>
      <c r="AC3126" s="27">
        <v>9785160097978</v>
      </c>
    </row>
    <row r="3127" spans="1:29" s="4" customFormat="1" ht="51.9" customHeight="1" x14ac:dyDescent="0.2">
      <c r="A3127" s="5">
        <v>0</v>
      </c>
      <c r="B3127" s="6" t="s">
        <v>18333</v>
      </c>
      <c r="C3127" s="7">
        <v>2208</v>
      </c>
      <c r="D3127" s="8" t="s">
        <v>18334</v>
      </c>
      <c r="E3127" s="8" t="s">
        <v>18335</v>
      </c>
      <c r="F3127" s="8" t="s">
        <v>18336</v>
      </c>
      <c r="G3127" s="6" t="s">
        <v>118</v>
      </c>
      <c r="H3127" s="6" t="s">
        <v>34</v>
      </c>
      <c r="I3127" s="8" t="s">
        <v>253</v>
      </c>
      <c r="J3127" s="9">
        <v>1</v>
      </c>
      <c r="K3127" s="9">
        <v>399</v>
      </c>
      <c r="L3127" s="9">
        <v>2024</v>
      </c>
      <c r="M3127" s="8" t="s">
        <v>18337</v>
      </c>
      <c r="N3127" s="8" t="s">
        <v>37</v>
      </c>
      <c r="O3127" s="8" t="s">
        <v>280</v>
      </c>
      <c r="P3127" s="6" t="s">
        <v>306</v>
      </c>
      <c r="Q3127" s="8" t="s">
        <v>52</v>
      </c>
      <c r="R3127" s="10" t="s">
        <v>6039</v>
      </c>
      <c r="S3127" s="11" t="s">
        <v>18338</v>
      </c>
      <c r="T3127" s="6"/>
      <c r="U3127" s="15" t="str">
        <f>HYPERLINK("https://media.infra-m.ru/2062/2062327/cover/2062327.jpg", "Обложка")</f>
        <v>Обложка</v>
      </c>
      <c r="V3127" s="8" t="s">
        <v>18339</v>
      </c>
      <c r="W3127" s="6"/>
      <c r="X3127" s="6"/>
      <c r="Y3127" s="6"/>
      <c r="Z3127" s="6"/>
      <c r="AA3127" s="6" t="s">
        <v>430</v>
      </c>
      <c r="AB3127" s="8"/>
      <c r="AC3127" s="27">
        <v>9785160188171</v>
      </c>
    </row>
    <row r="3128" spans="1:29" s="4" customFormat="1" ht="51.9" customHeight="1" x14ac:dyDescent="0.2">
      <c r="A3128" s="5">
        <v>0</v>
      </c>
      <c r="B3128" s="6" t="s">
        <v>18340</v>
      </c>
      <c r="C3128" s="7">
        <v>1380</v>
      </c>
      <c r="D3128" s="8" t="s">
        <v>18341</v>
      </c>
      <c r="E3128" s="8" t="s">
        <v>18342</v>
      </c>
      <c r="F3128" s="8" t="s">
        <v>18343</v>
      </c>
      <c r="G3128" s="6" t="s">
        <v>60</v>
      </c>
      <c r="H3128" s="6" t="s">
        <v>34</v>
      </c>
      <c r="I3128" s="8" t="s">
        <v>253</v>
      </c>
      <c r="J3128" s="9">
        <v>1</v>
      </c>
      <c r="K3128" s="9">
        <v>221</v>
      </c>
      <c r="L3128" s="9">
        <v>2025</v>
      </c>
      <c r="M3128" s="8" t="s">
        <v>18344</v>
      </c>
      <c r="N3128" s="8" t="s">
        <v>243</v>
      </c>
      <c r="O3128" s="8" t="s">
        <v>244</v>
      </c>
      <c r="P3128" s="6" t="s">
        <v>306</v>
      </c>
      <c r="Q3128" s="8" t="s">
        <v>65</v>
      </c>
      <c r="R3128" s="10" t="s">
        <v>18345</v>
      </c>
      <c r="S3128" s="11"/>
      <c r="T3128" s="6"/>
      <c r="U3128" s="15" t="str">
        <f>HYPERLINK("https://media.infra-m.ru/2056/2056738/cover/2056738.jpg", "Обложка")</f>
        <v>Обложка</v>
      </c>
      <c r="V3128" s="8" t="s">
        <v>18346</v>
      </c>
      <c r="W3128" s="6"/>
      <c r="X3128" s="6"/>
      <c r="Y3128" s="6"/>
      <c r="Z3128" s="6"/>
      <c r="AA3128" s="6" t="s">
        <v>68</v>
      </c>
      <c r="AB3128" s="8"/>
      <c r="AC3128" s="27">
        <v>9785160187822</v>
      </c>
    </row>
    <row r="3129" spans="1:29" s="4" customFormat="1" ht="51.9" customHeight="1" x14ac:dyDescent="0.2">
      <c r="A3129" s="5">
        <v>0</v>
      </c>
      <c r="B3129" s="6" t="s">
        <v>18347</v>
      </c>
      <c r="C3129" s="13">
        <v>552</v>
      </c>
      <c r="D3129" s="8" t="s">
        <v>18348</v>
      </c>
      <c r="E3129" s="8" t="s">
        <v>18349</v>
      </c>
      <c r="F3129" s="8" t="s">
        <v>18350</v>
      </c>
      <c r="G3129" s="6" t="s">
        <v>33</v>
      </c>
      <c r="H3129" s="6" t="s">
        <v>34</v>
      </c>
      <c r="I3129" s="8" t="s">
        <v>263</v>
      </c>
      <c r="J3129" s="9">
        <v>1</v>
      </c>
      <c r="K3129" s="9">
        <v>48</v>
      </c>
      <c r="L3129" s="9">
        <v>2027</v>
      </c>
      <c r="M3129" s="8" t="s">
        <v>18351</v>
      </c>
      <c r="N3129" s="8" t="s">
        <v>93</v>
      </c>
      <c r="O3129" s="8" t="s">
        <v>94</v>
      </c>
      <c r="P3129" s="6" t="s">
        <v>105</v>
      </c>
      <c r="Q3129" s="8" t="s">
        <v>265</v>
      </c>
      <c r="R3129" s="10" t="s">
        <v>11034</v>
      </c>
      <c r="S3129" s="11" t="s">
        <v>18352</v>
      </c>
      <c r="T3129" s="6"/>
      <c r="U3129" s="15" t="str">
        <f>HYPERLINK("https://media.infra-m.ru/2271/2271483/cover/2271483.jpg", "Обложка")</f>
        <v>Обложка</v>
      </c>
      <c r="V3129" s="8" t="s">
        <v>9822</v>
      </c>
      <c r="W3129" s="6"/>
      <c r="X3129" s="6"/>
      <c r="Y3129" s="6"/>
      <c r="Z3129" s="6" t="s">
        <v>267</v>
      </c>
      <c r="AA3129" s="6" t="s">
        <v>1256</v>
      </c>
      <c r="AB3129" s="8"/>
      <c r="AC3129" s="27">
        <v>9785160159348</v>
      </c>
    </row>
    <row r="3130" spans="1:29" s="4" customFormat="1" ht="42" customHeight="1" x14ac:dyDescent="0.2">
      <c r="A3130" s="5">
        <v>0</v>
      </c>
      <c r="B3130" s="6" t="s">
        <v>18353</v>
      </c>
      <c r="C3130" s="13">
        <v>708</v>
      </c>
      <c r="D3130" s="8" t="s">
        <v>18354</v>
      </c>
      <c r="E3130" s="8" t="s">
        <v>18355</v>
      </c>
      <c r="F3130" s="8" t="s">
        <v>18350</v>
      </c>
      <c r="G3130" s="6" t="s">
        <v>33</v>
      </c>
      <c r="H3130" s="6" t="s">
        <v>34</v>
      </c>
      <c r="I3130" s="8" t="s">
        <v>253</v>
      </c>
      <c r="J3130" s="9">
        <v>1</v>
      </c>
      <c r="K3130" s="9">
        <v>102</v>
      </c>
      <c r="L3130" s="9">
        <v>2025</v>
      </c>
      <c r="M3130" s="8" t="s">
        <v>18356</v>
      </c>
      <c r="N3130" s="8" t="s">
        <v>93</v>
      </c>
      <c r="O3130" s="8" t="s">
        <v>94</v>
      </c>
      <c r="P3130" s="6" t="s">
        <v>105</v>
      </c>
      <c r="Q3130" s="8" t="s">
        <v>52</v>
      </c>
      <c r="R3130" s="10" t="s">
        <v>16892</v>
      </c>
      <c r="S3130" s="11"/>
      <c r="T3130" s="6"/>
      <c r="U3130" s="15" t="str">
        <f>HYPERLINK("https://media.infra-m.ru/2167/2167511/cover/2167511.jpg", "Обложка")</f>
        <v>Обложка</v>
      </c>
      <c r="V3130" s="8" t="s">
        <v>9822</v>
      </c>
      <c r="W3130" s="6"/>
      <c r="X3130" s="6"/>
      <c r="Y3130" s="6"/>
      <c r="Z3130" s="6"/>
      <c r="AA3130" s="6" t="s">
        <v>68</v>
      </c>
      <c r="AB3130" s="8"/>
      <c r="AC3130" s="27">
        <v>9785160202686</v>
      </c>
    </row>
    <row r="3131" spans="1:29" s="4" customFormat="1" ht="51.9" customHeight="1" x14ac:dyDescent="0.2">
      <c r="A3131" s="5">
        <v>0</v>
      </c>
      <c r="B3131" s="6" t="s">
        <v>18357</v>
      </c>
      <c r="C3131" s="13">
        <v>540</v>
      </c>
      <c r="D3131" s="8" t="s">
        <v>18358</v>
      </c>
      <c r="E3131" s="8" t="s">
        <v>18359</v>
      </c>
      <c r="F3131" s="8" t="s">
        <v>18360</v>
      </c>
      <c r="G3131" s="6" t="s">
        <v>33</v>
      </c>
      <c r="H3131" s="6" t="s">
        <v>34</v>
      </c>
      <c r="I3131" s="8" t="s">
        <v>253</v>
      </c>
      <c r="J3131" s="9">
        <v>1</v>
      </c>
      <c r="K3131" s="9">
        <v>48</v>
      </c>
      <c r="L3131" s="9">
        <v>2026</v>
      </c>
      <c r="M3131" s="8" t="s">
        <v>18361</v>
      </c>
      <c r="N3131" s="8" t="s">
        <v>93</v>
      </c>
      <c r="O3131" s="8" t="s">
        <v>94</v>
      </c>
      <c r="P3131" s="6" t="s">
        <v>105</v>
      </c>
      <c r="Q3131" s="8" t="s">
        <v>52</v>
      </c>
      <c r="R3131" s="10" t="s">
        <v>9415</v>
      </c>
      <c r="S3131" s="11" t="s">
        <v>18362</v>
      </c>
      <c r="T3131" s="6"/>
      <c r="U3131" s="15" t="str">
        <f>HYPERLINK("https://media.infra-m.ru/2242/2242910/cover/2242910.jpg", "Обложка")</f>
        <v>Обложка</v>
      </c>
      <c r="V3131" s="8" t="s">
        <v>9822</v>
      </c>
      <c r="W3131" s="6"/>
      <c r="X3131" s="6"/>
      <c r="Y3131" s="6"/>
      <c r="Z3131" s="6"/>
      <c r="AA3131" s="6" t="s">
        <v>274</v>
      </c>
      <c r="AB3131" s="8"/>
      <c r="AC3131" s="27">
        <v>9785160195605</v>
      </c>
    </row>
    <row r="3132" spans="1:29" s="4" customFormat="1" ht="42" customHeight="1" x14ac:dyDescent="0.2">
      <c r="A3132" s="5">
        <v>0</v>
      </c>
      <c r="B3132" s="6" t="s">
        <v>18363</v>
      </c>
      <c r="C3132" s="7">
        <v>1764</v>
      </c>
      <c r="D3132" s="8" t="s">
        <v>18364</v>
      </c>
      <c r="E3132" s="8" t="s">
        <v>18365</v>
      </c>
      <c r="F3132" s="8" t="s">
        <v>18366</v>
      </c>
      <c r="G3132" s="6" t="s">
        <v>60</v>
      </c>
      <c r="H3132" s="6" t="s">
        <v>34</v>
      </c>
      <c r="I3132" s="8" t="s">
        <v>253</v>
      </c>
      <c r="J3132" s="9">
        <v>1</v>
      </c>
      <c r="K3132" s="9">
        <v>277</v>
      </c>
      <c r="L3132" s="9">
        <v>2025</v>
      </c>
      <c r="M3132" s="8" t="s">
        <v>18367</v>
      </c>
      <c r="N3132" s="8" t="s">
        <v>93</v>
      </c>
      <c r="O3132" s="8" t="s">
        <v>94</v>
      </c>
      <c r="P3132" s="6" t="s">
        <v>306</v>
      </c>
      <c r="Q3132" s="8" t="s">
        <v>52</v>
      </c>
      <c r="R3132" s="10" t="s">
        <v>9415</v>
      </c>
      <c r="S3132" s="11"/>
      <c r="T3132" s="6"/>
      <c r="U3132" s="15" t="str">
        <f>HYPERLINK("https://media.infra-m.ru/2147/2147390/cover/2147390.jpg", "Обложка")</f>
        <v>Обложка</v>
      </c>
      <c r="V3132" s="8" t="s">
        <v>1599</v>
      </c>
      <c r="W3132" s="6"/>
      <c r="X3132" s="6"/>
      <c r="Y3132" s="6"/>
      <c r="Z3132" s="6"/>
      <c r="AA3132" s="6" t="s">
        <v>68</v>
      </c>
      <c r="AB3132" s="8"/>
      <c r="AC3132" s="27">
        <v>9785160199528</v>
      </c>
    </row>
    <row r="3133" spans="1:29" s="4" customFormat="1" ht="42" customHeight="1" x14ac:dyDescent="0.2">
      <c r="A3133" s="5">
        <v>0</v>
      </c>
      <c r="B3133" s="6" t="s">
        <v>18368</v>
      </c>
      <c r="C3133" s="7">
        <v>1932</v>
      </c>
      <c r="D3133" s="8" t="s">
        <v>18369</v>
      </c>
      <c r="E3133" s="8" t="s">
        <v>18365</v>
      </c>
      <c r="F3133" s="8" t="s">
        <v>18366</v>
      </c>
      <c r="G3133" s="6" t="s">
        <v>60</v>
      </c>
      <c r="H3133" s="6" t="s">
        <v>34</v>
      </c>
      <c r="I3133" s="8" t="s">
        <v>504</v>
      </c>
      <c r="J3133" s="9">
        <v>1</v>
      </c>
      <c r="K3133" s="9">
        <v>304</v>
      </c>
      <c r="L3133" s="9">
        <v>2025</v>
      </c>
      <c r="M3133" s="8" t="s">
        <v>18370</v>
      </c>
      <c r="N3133" s="8" t="s">
        <v>93</v>
      </c>
      <c r="O3133" s="8" t="s">
        <v>94</v>
      </c>
      <c r="P3133" s="6" t="s">
        <v>306</v>
      </c>
      <c r="Q3133" s="8" t="s">
        <v>500</v>
      </c>
      <c r="R3133" s="10" t="s">
        <v>16892</v>
      </c>
      <c r="S3133" s="11"/>
      <c r="T3133" s="6"/>
      <c r="U3133" s="15" t="str">
        <f>HYPERLINK("https://media.infra-m.ru/2148/2148837/cover/2148837.jpg", "Обложка")</f>
        <v>Обложка</v>
      </c>
      <c r="V3133" s="8" t="s">
        <v>1599</v>
      </c>
      <c r="W3133" s="6"/>
      <c r="X3133" s="6"/>
      <c r="Y3133" s="6"/>
      <c r="Z3133" s="6"/>
      <c r="AA3133" s="6" t="s">
        <v>68</v>
      </c>
      <c r="AB3133" s="8"/>
      <c r="AC3133" s="27">
        <v>9785160199689</v>
      </c>
    </row>
    <row r="3134" spans="1:29" s="4" customFormat="1" ht="51.9" customHeight="1" x14ac:dyDescent="0.2">
      <c r="A3134" s="5">
        <v>0</v>
      </c>
      <c r="B3134" s="6" t="s">
        <v>18371</v>
      </c>
      <c r="C3134" s="7">
        <v>1524</v>
      </c>
      <c r="D3134" s="8" t="s">
        <v>18372</v>
      </c>
      <c r="E3134" s="8" t="s">
        <v>18373</v>
      </c>
      <c r="F3134" s="8" t="s">
        <v>9413</v>
      </c>
      <c r="G3134" s="6" t="s">
        <v>118</v>
      </c>
      <c r="H3134" s="6" t="s">
        <v>34</v>
      </c>
      <c r="I3134" s="8" t="s">
        <v>253</v>
      </c>
      <c r="J3134" s="9">
        <v>1</v>
      </c>
      <c r="K3134" s="9">
        <v>219</v>
      </c>
      <c r="L3134" s="9">
        <v>2027</v>
      </c>
      <c r="M3134" s="8" t="s">
        <v>18374</v>
      </c>
      <c r="N3134" s="8" t="s">
        <v>93</v>
      </c>
      <c r="O3134" s="8" t="s">
        <v>94</v>
      </c>
      <c r="P3134" s="6" t="s">
        <v>51</v>
      </c>
      <c r="Q3134" s="8" t="s">
        <v>65</v>
      </c>
      <c r="R3134" s="10" t="s">
        <v>18375</v>
      </c>
      <c r="S3134" s="11" t="s">
        <v>18376</v>
      </c>
      <c r="T3134" s="6"/>
      <c r="U3134" s="15" t="str">
        <f>HYPERLINK("https://media.infra-m.ru/2262/2262709/cover/2262709.jpg", "Обложка")</f>
        <v>Обложка</v>
      </c>
      <c r="V3134" s="8" t="s">
        <v>1599</v>
      </c>
      <c r="W3134" s="6"/>
      <c r="X3134" s="6"/>
      <c r="Y3134" s="6"/>
      <c r="Z3134" s="6"/>
      <c r="AA3134" s="6" t="s">
        <v>148</v>
      </c>
      <c r="AB3134" s="8"/>
      <c r="AC3134" s="27">
        <v>9785160188010</v>
      </c>
    </row>
    <row r="3135" spans="1:29" s="4" customFormat="1" ht="51.9" customHeight="1" x14ac:dyDescent="0.2">
      <c r="A3135" s="5">
        <v>0</v>
      </c>
      <c r="B3135" s="6" t="s">
        <v>18377</v>
      </c>
      <c r="C3135" s="7">
        <v>1492.8</v>
      </c>
      <c r="D3135" s="8" t="s">
        <v>18378</v>
      </c>
      <c r="E3135" s="8" t="s">
        <v>18373</v>
      </c>
      <c r="F3135" s="8" t="s">
        <v>9413</v>
      </c>
      <c r="G3135" s="6" t="s">
        <v>118</v>
      </c>
      <c r="H3135" s="6" t="s">
        <v>34</v>
      </c>
      <c r="I3135" s="8" t="s">
        <v>504</v>
      </c>
      <c r="J3135" s="9">
        <v>1</v>
      </c>
      <c r="K3135" s="9">
        <v>238</v>
      </c>
      <c r="L3135" s="9">
        <v>2025</v>
      </c>
      <c r="M3135" s="8" t="s">
        <v>18379</v>
      </c>
      <c r="N3135" s="8" t="s">
        <v>93</v>
      </c>
      <c r="O3135" s="8" t="s">
        <v>94</v>
      </c>
      <c r="P3135" s="6" t="s">
        <v>51</v>
      </c>
      <c r="Q3135" s="8" t="s">
        <v>500</v>
      </c>
      <c r="R3135" s="10" t="s">
        <v>9415</v>
      </c>
      <c r="S3135" s="11" t="s">
        <v>18380</v>
      </c>
      <c r="T3135" s="6"/>
      <c r="U3135" s="15" t="str">
        <f>HYPERLINK("https://media.infra-m.ru/2208/2208213/cover/2208213.jpg", "Обложка")</f>
        <v>Обложка</v>
      </c>
      <c r="V3135" s="8" t="s">
        <v>1599</v>
      </c>
      <c r="W3135" s="6"/>
      <c r="X3135" s="6"/>
      <c r="Y3135" s="6"/>
      <c r="Z3135" s="6"/>
      <c r="AA3135" s="6" t="s">
        <v>148</v>
      </c>
      <c r="AB3135" s="8"/>
      <c r="AC3135" s="27">
        <v>9785160173986</v>
      </c>
    </row>
    <row r="3136" spans="1:29" s="4" customFormat="1" ht="42" customHeight="1" x14ac:dyDescent="0.2">
      <c r="A3136" s="5">
        <v>0</v>
      </c>
      <c r="B3136" s="6" t="s">
        <v>18381</v>
      </c>
      <c r="C3136" s="7">
        <v>2292</v>
      </c>
      <c r="D3136" s="8" t="s">
        <v>18382</v>
      </c>
      <c r="E3136" s="8" t="s">
        <v>18383</v>
      </c>
      <c r="F3136" s="8" t="s">
        <v>18384</v>
      </c>
      <c r="G3136" s="6" t="s">
        <v>118</v>
      </c>
      <c r="H3136" s="6" t="s">
        <v>34</v>
      </c>
      <c r="I3136" s="8" t="s">
        <v>253</v>
      </c>
      <c r="J3136" s="9">
        <v>1</v>
      </c>
      <c r="K3136" s="9">
        <v>328</v>
      </c>
      <c r="L3136" s="9">
        <v>2027</v>
      </c>
      <c r="M3136" s="8" t="s">
        <v>18385</v>
      </c>
      <c r="N3136" s="8" t="s">
        <v>93</v>
      </c>
      <c r="O3136" s="8" t="s">
        <v>94</v>
      </c>
      <c r="P3136" s="6" t="s">
        <v>51</v>
      </c>
      <c r="Q3136" s="8" t="s">
        <v>52</v>
      </c>
      <c r="R3136" s="10" t="s">
        <v>16923</v>
      </c>
      <c r="S3136" s="11"/>
      <c r="T3136" s="6"/>
      <c r="U3136" s="15" t="str">
        <f>HYPERLINK("https://media.infra-m.ru/2262/2262641/cover/2262641.jpg", "Обложка")</f>
        <v>Обложка</v>
      </c>
      <c r="V3136" s="8" t="s">
        <v>18386</v>
      </c>
      <c r="W3136" s="6"/>
      <c r="X3136" s="6"/>
      <c r="Y3136" s="6"/>
      <c r="Z3136" s="6"/>
      <c r="AA3136" s="6" t="s">
        <v>187</v>
      </c>
      <c r="AB3136" s="8" t="s">
        <v>308</v>
      </c>
      <c r="AC3136" s="27">
        <v>9785160214863</v>
      </c>
    </row>
    <row r="3137" spans="1:29" s="4" customFormat="1" ht="51.9" customHeight="1" x14ac:dyDescent="0.2">
      <c r="A3137" s="5">
        <v>0</v>
      </c>
      <c r="B3137" s="6" t="s">
        <v>18387</v>
      </c>
      <c r="C3137" s="7">
        <v>1704</v>
      </c>
      <c r="D3137" s="8" t="s">
        <v>18388</v>
      </c>
      <c r="E3137" s="8" t="s">
        <v>18389</v>
      </c>
      <c r="F3137" s="8" t="s">
        <v>18384</v>
      </c>
      <c r="G3137" s="6" t="s">
        <v>118</v>
      </c>
      <c r="H3137" s="6" t="s">
        <v>34</v>
      </c>
      <c r="I3137" s="8" t="s">
        <v>253</v>
      </c>
      <c r="J3137" s="9">
        <v>1</v>
      </c>
      <c r="K3137" s="9">
        <v>243</v>
      </c>
      <c r="L3137" s="9">
        <v>2027</v>
      </c>
      <c r="M3137" s="8" t="s">
        <v>18390</v>
      </c>
      <c r="N3137" s="8" t="s">
        <v>93</v>
      </c>
      <c r="O3137" s="8" t="s">
        <v>94</v>
      </c>
      <c r="P3137" s="6" t="s">
        <v>306</v>
      </c>
      <c r="Q3137" s="8" t="s">
        <v>65</v>
      </c>
      <c r="R3137" s="10" t="s">
        <v>9415</v>
      </c>
      <c r="S3137" s="11" t="s">
        <v>18391</v>
      </c>
      <c r="T3137" s="6"/>
      <c r="U3137" s="15" t="str">
        <f>HYPERLINK("https://media.infra-m.ru/2269/2269418/cover/2269418.jpg", "Обложка")</f>
        <v>Обложка</v>
      </c>
      <c r="V3137" s="8" t="s">
        <v>18386</v>
      </c>
      <c r="W3137" s="6"/>
      <c r="X3137" s="6"/>
      <c r="Y3137" s="6"/>
      <c r="Z3137" s="6"/>
      <c r="AA3137" s="6" t="s">
        <v>430</v>
      </c>
      <c r="AB3137" s="8"/>
      <c r="AC3137" s="27">
        <v>9785160187556</v>
      </c>
    </row>
    <row r="3138" spans="1:29" s="4" customFormat="1" ht="51.9" customHeight="1" x14ac:dyDescent="0.2">
      <c r="A3138" s="5">
        <v>0</v>
      </c>
      <c r="B3138" s="6" t="s">
        <v>18392</v>
      </c>
      <c r="C3138" s="7">
        <v>1188</v>
      </c>
      <c r="D3138" s="8" t="s">
        <v>18393</v>
      </c>
      <c r="E3138" s="8" t="s">
        <v>18394</v>
      </c>
      <c r="F3138" s="8" t="s">
        <v>18395</v>
      </c>
      <c r="G3138" s="6" t="s">
        <v>33</v>
      </c>
      <c r="H3138" s="6" t="s">
        <v>34</v>
      </c>
      <c r="I3138" s="8" t="s">
        <v>263</v>
      </c>
      <c r="J3138" s="9">
        <v>1</v>
      </c>
      <c r="K3138" s="9">
        <v>180</v>
      </c>
      <c r="L3138" s="9">
        <v>2026</v>
      </c>
      <c r="M3138" s="8" t="s">
        <v>18396</v>
      </c>
      <c r="N3138" s="8" t="s">
        <v>93</v>
      </c>
      <c r="O3138" s="8" t="s">
        <v>94</v>
      </c>
      <c r="P3138" s="6" t="s">
        <v>51</v>
      </c>
      <c r="Q3138" s="8" t="s">
        <v>265</v>
      </c>
      <c r="R3138" s="10" t="s">
        <v>11034</v>
      </c>
      <c r="S3138" s="11" t="s">
        <v>18397</v>
      </c>
      <c r="T3138" s="6"/>
      <c r="U3138" s="15" t="str">
        <f>HYPERLINK("https://media.infra-m.ru/2230/2230638/cover/2230638.jpg", "Обложка")</f>
        <v>Обложка</v>
      </c>
      <c r="V3138" s="8" t="s">
        <v>18386</v>
      </c>
      <c r="W3138" s="6"/>
      <c r="X3138" s="6"/>
      <c r="Y3138" s="6"/>
      <c r="Z3138" s="6" t="s">
        <v>267</v>
      </c>
      <c r="AA3138" s="6" t="s">
        <v>430</v>
      </c>
      <c r="AB3138" s="8"/>
      <c r="AC3138" s="27">
        <v>9785160156552</v>
      </c>
    </row>
    <row r="3139" spans="1:29" s="4" customFormat="1" ht="51.9" customHeight="1" x14ac:dyDescent="0.2">
      <c r="A3139" s="5">
        <v>0</v>
      </c>
      <c r="B3139" s="6" t="s">
        <v>18398</v>
      </c>
      <c r="C3139" s="7">
        <v>1260</v>
      </c>
      <c r="D3139" s="8" t="s">
        <v>18399</v>
      </c>
      <c r="E3139" s="8" t="s">
        <v>18394</v>
      </c>
      <c r="F3139" s="8" t="s">
        <v>18395</v>
      </c>
      <c r="G3139" s="6" t="s">
        <v>33</v>
      </c>
      <c r="H3139" s="6" t="s">
        <v>34</v>
      </c>
      <c r="I3139" s="8" t="s">
        <v>253</v>
      </c>
      <c r="J3139" s="9">
        <v>1</v>
      </c>
      <c r="K3139" s="9">
        <v>180</v>
      </c>
      <c r="L3139" s="9">
        <v>2027</v>
      </c>
      <c r="M3139" s="8" t="s">
        <v>18400</v>
      </c>
      <c r="N3139" s="8" t="s">
        <v>93</v>
      </c>
      <c r="O3139" s="8" t="s">
        <v>94</v>
      </c>
      <c r="P3139" s="6" t="s">
        <v>51</v>
      </c>
      <c r="Q3139" s="8" t="s">
        <v>52</v>
      </c>
      <c r="R3139" s="10" t="s">
        <v>18401</v>
      </c>
      <c r="S3139" s="11" t="s">
        <v>18402</v>
      </c>
      <c r="T3139" s="6"/>
      <c r="U3139" s="15" t="str">
        <f>HYPERLINK("https://media.infra-m.ru/2266/2266739/cover/2266739.jpg", "Обложка")</f>
        <v>Обложка</v>
      </c>
      <c r="V3139" s="8" t="s">
        <v>18386</v>
      </c>
      <c r="W3139" s="6"/>
      <c r="X3139" s="6"/>
      <c r="Y3139" s="6"/>
      <c r="Z3139" s="6"/>
      <c r="AA3139" s="6" t="s">
        <v>779</v>
      </c>
      <c r="AB3139" s="8"/>
      <c r="AC3139" s="27">
        <v>9785160188591</v>
      </c>
    </row>
    <row r="3140" spans="1:29" s="4" customFormat="1" ht="51.9" customHeight="1" x14ac:dyDescent="0.2">
      <c r="A3140" s="5">
        <v>0</v>
      </c>
      <c r="B3140" s="6" t="s">
        <v>18403</v>
      </c>
      <c r="C3140" s="7">
        <v>2068.8000000000002</v>
      </c>
      <c r="D3140" s="8" t="s">
        <v>18404</v>
      </c>
      <c r="E3140" s="8" t="s">
        <v>18405</v>
      </c>
      <c r="F3140" s="8" t="s">
        <v>18406</v>
      </c>
      <c r="G3140" s="6" t="s">
        <v>118</v>
      </c>
      <c r="H3140" s="6" t="s">
        <v>34</v>
      </c>
      <c r="I3140" s="8" t="s">
        <v>253</v>
      </c>
      <c r="J3140" s="9">
        <v>1</v>
      </c>
      <c r="K3140" s="9">
        <v>313</v>
      </c>
      <c r="L3140" s="9">
        <v>2026</v>
      </c>
      <c r="M3140" s="8" t="s">
        <v>18407</v>
      </c>
      <c r="N3140" s="8" t="s">
        <v>93</v>
      </c>
      <c r="O3140" s="8" t="s">
        <v>94</v>
      </c>
      <c r="P3140" s="6" t="s">
        <v>306</v>
      </c>
      <c r="Q3140" s="8" t="s">
        <v>52</v>
      </c>
      <c r="R3140" s="10" t="s">
        <v>18401</v>
      </c>
      <c r="S3140" s="11" t="s">
        <v>18408</v>
      </c>
      <c r="T3140" s="6"/>
      <c r="U3140" s="15" t="str">
        <f>HYPERLINK("https://media.infra-m.ru/2232/2232608/cover/2232608.jpg", "Обложка")</f>
        <v>Обложка</v>
      </c>
      <c r="V3140" s="8" t="s">
        <v>9346</v>
      </c>
      <c r="W3140" s="6"/>
      <c r="X3140" s="6"/>
      <c r="Y3140" s="6"/>
      <c r="Z3140" s="6"/>
      <c r="AA3140" s="6" t="s">
        <v>779</v>
      </c>
      <c r="AB3140" s="8"/>
      <c r="AC3140" s="27">
        <v>9785160193052</v>
      </c>
    </row>
    <row r="3141" spans="1:29" s="4" customFormat="1" ht="51.9" customHeight="1" x14ac:dyDescent="0.2">
      <c r="A3141" s="5">
        <v>0</v>
      </c>
      <c r="B3141" s="6" t="s">
        <v>18409</v>
      </c>
      <c r="C3141" s="7">
        <v>2064</v>
      </c>
      <c r="D3141" s="8" t="s">
        <v>18410</v>
      </c>
      <c r="E3141" s="8" t="s">
        <v>18405</v>
      </c>
      <c r="F3141" s="8" t="s">
        <v>18406</v>
      </c>
      <c r="G3141" s="6" t="s">
        <v>118</v>
      </c>
      <c r="H3141" s="6" t="s">
        <v>34</v>
      </c>
      <c r="I3141" s="8" t="s">
        <v>263</v>
      </c>
      <c r="J3141" s="9">
        <v>1</v>
      </c>
      <c r="K3141" s="9">
        <v>313</v>
      </c>
      <c r="L3141" s="9">
        <v>2026</v>
      </c>
      <c r="M3141" s="8" t="s">
        <v>18411</v>
      </c>
      <c r="N3141" s="8" t="s">
        <v>93</v>
      </c>
      <c r="O3141" s="8" t="s">
        <v>94</v>
      </c>
      <c r="P3141" s="6" t="s">
        <v>306</v>
      </c>
      <c r="Q3141" s="8" t="s">
        <v>265</v>
      </c>
      <c r="R3141" s="10" t="s">
        <v>10174</v>
      </c>
      <c r="S3141" s="11" t="s">
        <v>18412</v>
      </c>
      <c r="T3141" s="6"/>
      <c r="U3141" s="15" t="str">
        <f>HYPERLINK("https://media.infra-m.ru/2250/2250373/cover/2250373.jpg", "Обложка")</f>
        <v>Обложка</v>
      </c>
      <c r="V3141" s="8" t="s">
        <v>9346</v>
      </c>
      <c r="W3141" s="6"/>
      <c r="X3141" s="6"/>
      <c r="Y3141" s="6"/>
      <c r="Z3141" s="6" t="s">
        <v>267</v>
      </c>
      <c r="AA3141" s="6" t="s">
        <v>68</v>
      </c>
      <c r="AB3141" s="8"/>
      <c r="AC3141" s="27">
        <v>9785160147895</v>
      </c>
    </row>
    <row r="3142" spans="1:29" s="4" customFormat="1" ht="42" customHeight="1" x14ac:dyDescent="0.2">
      <c r="A3142" s="5">
        <v>0</v>
      </c>
      <c r="B3142" s="6" t="s">
        <v>18413</v>
      </c>
      <c r="C3142" s="7">
        <v>1588.8</v>
      </c>
      <c r="D3142" s="8" t="s">
        <v>18414</v>
      </c>
      <c r="E3142" s="8" t="s">
        <v>18415</v>
      </c>
      <c r="F3142" s="8" t="s">
        <v>18416</v>
      </c>
      <c r="G3142" s="6" t="s">
        <v>118</v>
      </c>
      <c r="H3142" s="6" t="s">
        <v>34</v>
      </c>
      <c r="I3142" s="8" t="s">
        <v>253</v>
      </c>
      <c r="J3142" s="9">
        <v>1</v>
      </c>
      <c r="K3142" s="9">
        <v>228</v>
      </c>
      <c r="L3142" s="9">
        <v>2027</v>
      </c>
      <c r="M3142" s="8" t="s">
        <v>18417</v>
      </c>
      <c r="N3142" s="8" t="s">
        <v>93</v>
      </c>
      <c r="O3142" s="8" t="s">
        <v>94</v>
      </c>
      <c r="P3142" s="6" t="s">
        <v>51</v>
      </c>
      <c r="Q3142" s="8" t="s">
        <v>65</v>
      </c>
      <c r="R3142" s="10" t="s">
        <v>9415</v>
      </c>
      <c r="S3142" s="11"/>
      <c r="T3142" s="6"/>
      <c r="U3142" s="15" t="str">
        <f>HYPERLINK("https://media.infra-m.ru/2269/2269992/cover/2269992.jpg", "Обложка")</f>
        <v>Обложка</v>
      </c>
      <c r="V3142" s="8" t="s">
        <v>12749</v>
      </c>
      <c r="W3142" s="6"/>
      <c r="X3142" s="6"/>
      <c r="Y3142" s="6"/>
      <c r="Z3142" s="6"/>
      <c r="AA3142" s="6" t="s">
        <v>68</v>
      </c>
      <c r="AB3142" s="8"/>
      <c r="AC3142" s="27">
        <v>9785160184135</v>
      </c>
    </row>
    <row r="3143" spans="1:29" s="4" customFormat="1" ht="42" customHeight="1" x14ac:dyDescent="0.2">
      <c r="A3143" s="5">
        <v>0</v>
      </c>
      <c r="B3143" s="6" t="s">
        <v>18418</v>
      </c>
      <c r="C3143" s="7">
        <v>2476.8000000000002</v>
      </c>
      <c r="D3143" s="8" t="s">
        <v>18419</v>
      </c>
      <c r="E3143" s="8" t="s">
        <v>18420</v>
      </c>
      <c r="F3143" s="8" t="s">
        <v>18421</v>
      </c>
      <c r="G3143" s="6" t="s">
        <v>60</v>
      </c>
      <c r="H3143" s="6" t="s">
        <v>134</v>
      </c>
      <c r="I3143" s="8"/>
      <c r="J3143" s="9">
        <v>1</v>
      </c>
      <c r="K3143" s="9">
        <v>376</v>
      </c>
      <c r="L3143" s="9">
        <v>2026</v>
      </c>
      <c r="M3143" s="8" t="s">
        <v>18422</v>
      </c>
      <c r="N3143" s="8" t="s">
        <v>37</v>
      </c>
      <c r="O3143" s="8" t="s">
        <v>136</v>
      </c>
      <c r="P3143" s="6" t="s">
        <v>39</v>
      </c>
      <c r="Q3143" s="8" t="s">
        <v>40</v>
      </c>
      <c r="R3143" s="10" t="s">
        <v>684</v>
      </c>
      <c r="S3143" s="11"/>
      <c r="T3143" s="6"/>
      <c r="U3143" s="15" t="str">
        <f>HYPERLINK("https://media.infra-m.ru/2216/2216874/cover/2216874.jpg", "Обложка")</f>
        <v>Обложка</v>
      </c>
      <c r="V3143" s="8" t="s">
        <v>4923</v>
      </c>
      <c r="W3143" s="6"/>
      <c r="X3143" s="6"/>
      <c r="Y3143" s="6"/>
      <c r="Z3143" s="6"/>
      <c r="AA3143" s="6" t="s">
        <v>106</v>
      </c>
      <c r="AB3143" s="8"/>
      <c r="AC3143" s="27">
        <v>9785001563600</v>
      </c>
    </row>
    <row r="3144" spans="1:29" s="4" customFormat="1" ht="42" customHeight="1" x14ac:dyDescent="0.2">
      <c r="A3144" s="5">
        <v>0</v>
      </c>
      <c r="B3144" s="6" t="s">
        <v>18423</v>
      </c>
      <c r="C3144" s="7">
        <v>2508</v>
      </c>
      <c r="D3144" s="8" t="s">
        <v>18424</v>
      </c>
      <c r="E3144" s="8" t="s">
        <v>18425</v>
      </c>
      <c r="F3144" s="8" t="s">
        <v>18426</v>
      </c>
      <c r="G3144" s="6" t="s">
        <v>60</v>
      </c>
      <c r="H3144" s="6" t="s">
        <v>34</v>
      </c>
      <c r="I3144" s="8" t="s">
        <v>35</v>
      </c>
      <c r="J3144" s="9">
        <v>1</v>
      </c>
      <c r="K3144" s="9">
        <v>382</v>
      </c>
      <c r="L3144" s="9">
        <v>2025</v>
      </c>
      <c r="M3144" s="8" t="s">
        <v>18427</v>
      </c>
      <c r="N3144" s="8" t="s">
        <v>243</v>
      </c>
      <c r="O3144" s="8" t="s">
        <v>933</v>
      </c>
      <c r="P3144" s="6" t="s">
        <v>39</v>
      </c>
      <c r="Q3144" s="8" t="s">
        <v>40</v>
      </c>
      <c r="R3144" s="10" t="s">
        <v>18428</v>
      </c>
      <c r="S3144" s="11"/>
      <c r="T3144" s="6"/>
      <c r="U3144" s="15" t="str">
        <f>HYPERLINK("https://media.infra-m.ru/2193/2193752/cover/2193752.jpg", "Обложка")</f>
        <v>Обложка</v>
      </c>
      <c r="V3144" s="8" t="s">
        <v>3177</v>
      </c>
      <c r="W3144" s="6" t="s">
        <v>2565</v>
      </c>
      <c r="X3144" s="6"/>
      <c r="Y3144" s="6"/>
      <c r="Z3144" s="6"/>
      <c r="AA3144" s="6" t="s">
        <v>68</v>
      </c>
      <c r="AB3144" s="8"/>
      <c r="AC3144" s="27">
        <v>9785160207902</v>
      </c>
    </row>
    <row r="3145" spans="1:29" s="4" customFormat="1" ht="51.9" customHeight="1" x14ac:dyDescent="0.2">
      <c r="A3145" s="5">
        <v>0</v>
      </c>
      <c r="B3145" s="6" t="s">
        <v>18429</v>
      </c>
      <c r="C3145" s="7">
        <v>1320</v>
      </c>
      <c r="D3145" s="8" t="s">
        <v>18430</v>
      </c>
      <c r="E3145" s="8" t="s">
        <v>18431</v>
      </c>
      <c r="F3145" s="8" t="s">
        <v>18432</v>
      </c>
      <c r="G3145" s="6" t="s">
        <v>33</v>
      </c>
      <c r="H3145" s="6" t="s">
        <v>34</v>
      </c>
      <c r="I3145" s="8" t="s">
        <v>35</v>
      </c>
      <c r="J3145" s="9">
        <v>1</v>
      </c>
      <c r="K3145" s="9">
        <v>237</v>
      </c>
      <c r="L3145" s="9">
        <v>2024</v>
      </c>
      <c r="M3145" s="8" t="s">
        <v>18433</v>
      </c>
      <c r="N3145" s="8" t="s">
        <v>63</v>
      </c>
      <c r="O3145" s="8" t="s">
        <v>64</v>
      </c>
      <c r="P3145" s="6" t="s">
        <v>39</v>
      </c>
      <c r="Q3145" s="8" t="s">
        <v>40</v>
      </c>
      <c r="R3145" s="10" t="s">
        <v>18434</v>
      </c>
      <c r="S3145" s="11"/>
      <c r="T3145" s="6"/>
      <c r="U3145" s="15" t="str">
        <f>HYPERLINK("https://media.infra-m.ru/2084/2084492/cover/2084492.jpg", "Обложка")</f>
        <v>Обложка</v>
      </c>
      <c r="V3145" s="8" t="s">
        <v>18435</v>
      </c>
      <c r="W3145" s="6"/>
      <c r="X3145" s="6"/>
      <c r="Y3145" s="6"/>
      <c r="Z3145" s="6"/>
      <c r="AA3145" s="6" t="s">
        <v>55</v>
      </c>
      <c r="AB3145" s="8"/>
      <c r="AC3145" s="27">
        <v>9785160190556</v>
      </c>
    </row>
    <row r="3146" spans="1:29" s="4" customFormat="1" ht="42" customHeight="1" x14ac:dyDescent="0.2">
      <c r="A3146" s="5">
        <v>0</v>
      </c>
      <c r="B3146" s="6" t="s">
        <v>18436</v>
      </c>
      <c r="C3146" s="7">
        <v>1080</v>
      </c>
      <c r="D3146" s="8" t="s">
        <v>18437</v>
      </c>
      <c r="E3146" s="8" t="s">
        <v>18438</v>
      </c>
      <c r="F3146" s="8" t="s">
        <v>18439</v>
      </c>
      <c r="G3146" s="6" t="s">
        <v>60</v>
      </c>
      <c r="H3146" s="6" t="s">
        <v>34</v>
      </c>
      <c r="I3146" s="8" t="s">
        <v>35</v>
      </c>
      <c r="J3146" s="9">
        <v>1</v>
      </c>
      <c r="K3146" s="9">
        <v>233</v>
      </c>
      <c r="L3146" s="9">
        <v>2021</v>
      </c>
      <c r="M3146" s="8" t="s">
        <v>18440</v>
      </c>
      <c r="N3146" s="8" t="s">
        <v>93</v>
      </c>
      <c r="O3146" s="8" t="s">
        <v>94</v>
      </c>
      <c r="P3146" s="6" t="s">
        <v>39</v>
      </c>
      <c r="Q3146" s="8" t="s">
        <v>40</v>
      </c>
      <c r="R3146" s="10" t="s">
        <v>18441</v>
      </c>
      <c r="S3146" s="11"/>
      <c r="T3146" s="6"/>
      <c r="U3146" s="15" t="str">
        <f>HYPERLINK("https://media.infra-m.ru/1137/1137904/cover/1137904.jpg", "Обложка")</f>
        <v>Обложка</v>
      </c>
      <c r="V3146" s="8" t="s">
        <v>1083</v>
      </c>
      <c r="W3146" s="6"/>
      <c r="X3146" s="6"/>
      <c r="Y3146" s="6"/>
      <c r="Z3146" s="6"/>
      <c r="AA3146" s="6" t="s">
        <v>1256</v>
      </c>
      <c r="AB3146" s="8"/>
      <c r="AC3146" s="27">
        <v>9785160164021</v>
      </c>
    </row>
    <row r="3147" spans="1:29" s="4" customFormat="1" ht="42" customHeight="1" x14ac:dyDescent="0.2">
      <c r="A3147" s="5">
        <v>0</v>
      </c>
      <c r="B3147" s="6" t="s">
        <v>18442</v>
      </c>
      <c r="C3147" s="7">
        <v>1468.8</v>
      </c>
      <c r="D3147" s="8" t="s">
        <v>18443</v>
      </c>
      <c r="E3147" s="8" t="s">
        <v>18444</v>
      </c>
      <c r="F3147" s="8" t="s">
        <v>18445</v>
      </c>
      <c r="G3147" s="6" t="s">
        <v>60</v>
      </c>
      <c r="H3147" s="6" t="s">
        <v>34</v>
      </c>
      <c r="I3147" s="8" t="s">
        <v>2171</v>
      </c>
      <c r="J3147" s="9">
        <v>1</v>
      </c>
      <c r="K3147" s="9">
        <v>211</v>
      </c>
      <c r="L3147" s="9">
        <v>2027</v>
      </c>
      <c r="M3147" s="8" t="s">
        <v>18446</v>
      </c>
      <c r="N3147" s="8" t="s">
        <v>243</v>
      </c>
      <c r="O3147" s="8" t="s">
        <v>964</v>
      </c>
      <c r="P3147" s="6" t="s">
        <v>51</v>
      </c>
      <c r="Q3147" s="8" t="s">
        <v>65</v>
      </c>
      <c r="R3147" s="10" t="s">
        <v>7996</v>
      </c>
      <c r="S3147" s="11"/>
      <c r="T3147" s="6"/>
      <c r="U3147" s="15" t="str">
        <f>HYPERLINK("https://media.infra-m.ru/2272/2272340/cover/2272340.jpg", "Обложка")</f>
        <v>Обложка</v>
      </c>
      <c r="V3147" s="8" t="s">
        <v>2175</v>
      </c>
      <c r="W3147" s="6"/>
      <c r="X3147" s="6"/>
      <c r="Y3147" s="6"/>
      <c r="Z3147" s="6"/>
      <c r="AA3147" s="6" t="s">
        <v>76</v>
      </c>
      <c r="AB3147" s="8"/>
      <c r="AC3147" s="27">
        <v>9785160200224</v>
      </c>
    </row>
    <row r="3148" spans="1:29" s="4" customFormat="1" ht="42" customHeight="1" x14ac:dyDescent="0.2">
      <c r="A3148" s="5">
        <v>0</v>
      </c>
      <c r="B3148" s="6" t="s">
        <v>18447</v>
      </c>
      <c r="C3148" s="7">
        <v>2068.8000000000002</v>
      </c>
      <c r="D3148" s="8" t="s">
        <v>18448</v>
      </c>
      <c r="E3148" s="8" t="s">
        <v>18449</v>
      </c>
      <c r="F3148" s="8" t="s">
        <v>12368</v>
      </c>
      <c r="G3148" s="6" t="s">
        <v>118</v>
      </c>
      <c r="H3148" s="6" t="s">
        <v>34</v>
      </c>
      <c r="I3148" s="8" t="s">
        <v>35</v>
      </c>
      <c r="J3148" s="9">
        <v>1</v>
      </c>
      <c r="K3148" s="9">
        <v>313</v>
      </c>
      <c r="L3148" s="9">
        <v>2026</v>
      </c>
      <c r="M3148" s="8" t="s">
        <v>18450</v>
      </c>
      <c r="N3148" s="8" t="s">
        <v>585</v>
      </c>
      <c r="O3148" s="8" t="s">
        <v>667</v>
      </c>
      <c r="P3148" s="6" t="s">
        <v>39</v>
      </c>
      <c r="Q3148" s="8" t="s">
        <v>40</v>
      </c>
      <c r="R3148" s="10" t="s">
        <v>18451</v>
      </c>
      <c r="S3148" s="11"/>
      <c r="T3148" s="6"/>
      <c r="U3148" s="15" t="str">
        <f>HYPERLINK("https://media.infra-m.ru/2231/2231467/cover/2231467.jpg", "Обложка")</f>
        <v>Обложка</v>
      </c>
      <c r="V3148" s="8" t="s">
        <v>7920</v>
      </c>
      <c r="W3148" s="6"/>
      <c r="X3148" s="6"/>
      <c r="Y3148" s="6"/>
      <c r="Z3148" s="6"/>
      <c r="AA3148" s="6" t="s">
        <v>274</v>
      </c>
      <c r="AB3148" s="8"/>
      <c r="AC3148" s="27">
        <v>9785160106731</v>
      </c>
    </row>
    <row r="3149" spans="1:29" s="4" customFormat="1" ht="51.9" customHeight="1" x14ac:dyDescent="0.2">
      <c r="A3149" s="5">
        <v>0</v>
      </c>
      <c r="B3149" s="6" t="s">
        <v>18452</v>
      </c>
      <c r="C3149" s="13">
        <v>772.8</v>
      </c>
      <c r="D3149" s="8" t="s">
        <v>18453</v>
      </c>
      <c r="E3149" s="8" t="s">
        <v>18454</v>
      </c>
      <c r="F3149" s="8" t="s">
        <v>18455</v>
      </c>
      <c r="G3149" s="6" t="s">
        <v>33</v>
      </c>
      <c r="H3149" s="6" t="s">
        <v>34</v>
      </c>
      <c r="I3149" s="8" t="s">
        <v>271</v>
      </c>
      <c r="J3149" s="9">
        <v>1</v>
      </c>
      <c r="K3149" s="9">
        <v>110</v>
      </c>
      <c r="L3149" s="9">
        <v>2026</v>
      </c>
      <c r="M3149" s="8" t="s">
        <v>18456</v>
      </c>
      <c r="N3149" s="8" t="s">
        <v>37</v>
      </c>
      <c r="O3149" s="8" t="s">
        <v>233</v>
      </c>
      <c r="P3149" s="6" t="s">
        <v>51</v>
      </c>
      <c r="Q3149" s="8" t="s">
        <v>52</v>
      </c>
      <c r="R3149" s="10" t="s">
        <v>18457</v>
      </c>
      <c r="S3149" s="11" t="s">
        <v>18458</v>
      </c>
      <c r="T3149" s="6"/>
      <c r="U3149" s="15" t="str">
        <f>HYPERLINK("https://media.infra-m.ru/2251/2251180/cover/2251180.jpg", "Обложка")</f>
        <v>Обложка</v>
      </c>
      <c r="V3149" s="8" t="s">
        <v>2854</v>
      </c>
      <c r="W3149" s="6"/>
      <c r="X3149" s="6"/>
      <c r="Y3149" s="6"/>
      <c r="Z3149" s="6"/>
      <c r="AA3149" s="6" t="s">
        <v>43</v>
      </c>
      <c r="AB3149" s="8"/>
      <c r="AC3149" s="27">
        <v>9785160054865</v>
      </c>
    </row>
    <row r="3150" spans="1:29" s="4" customFormat="1" ht="51.9" customHeight="1" x14ac:dyDescent="0.2">
      <c r="A3150" s="5">
        <v>0</v>
      </c>
      <c r="B3150" s="6" t="s">
        <v>18459</v>
      </c>
      <c r="C3150" s="7">
        <v>1744.8</v>
      </c>
      <c r="D3150" s="8" t="s">
        <v>18460</v>
      </c>
      <c r="E3150" s="8" t="s">
        <v>18461</v>
      </c>
      <c r="F3150" s="8" t="s">
        <v>18462</v>
      </c>
      <c r="G3150" s="6" t="s">
        <v>60</v>
      </c>
      <c r="H3150" s="6" t="s">
        <v>34</v>
      </c>
      <c r="I3150" s="8" t="s">
        <v>271</v>
      </c>
      <c r="J3150" s="9">
        <v>1</v>
      </c>
      <c r="K3150" s="9">
        <v>264</v>
      </c>
      <c r="L3150" s="9">
        <v>2026</v>
      </c>
      <c r="M3150" s="8" t="s">
        <v>18463</v>
      </c>
      <c r="N3150" s="8" t="s">
        <v>37</v>
      </c>
      <c r="O3150" s="8" t="s">
        <v>233</v>
      </c>
      <c r="P3150" s="6" t="s">
        <v>51</v>
      </c>
      <c r="Q3150" s="8" t="s">
        <v>52</v>
      </c>
      <c r="R3150" s="10" t="s">
        <v>370</v>
      </c>
      <c r="S3150" s="11"/>
      <c r="T3150" s="6"/>
      <c r="U3150" s="15" t="str">
        <f>HYPERLINK("https://media.infra-m.ru/2161/2161298/cover/2161298.jpg", "Обложка")</f>
        <v>Обложка</v>
      </c>
      <c r="V3150" s="8" t="s">
        <v>2075</v>
      </c>
      <c r="W3150" s="6"/>
      <c r="X3150" s="6"/>
      <c r="Y3150" s="6"/>
      <c r="Z3150" s="6"/>
      <c r="AA3150" s="6" t="s">
        <v>274</v>
      </c>
      <c r="AB3150" s="8"/>
      <c r="AC3150" s="27">
        <v>9785160103150</v>
      </c>
    </row>
    <row r="3151" spans="1:29" s="4" customFormat="1" ht="44.1" customHeight="1" x14ac:dyDescent="0.2">
      <c r="A3151" s="5">
        <v>0</v>
      </c>
      <c r="B3151" s="6" t="s">
        <v>18464</v>
      </c>
      <c r="C3151" s="7">
        <v>3448.8</v>
      </c>
      <c r="D3151" s="8" t="s">
        <v>18465</v>
      </c>
      <c r="E3151" s="8" t="s">
        <v>18466</v>
      </c>
      <c r="F3151" s="8" t="s">
        <v>18467</v>
      </c>
      <c r="G3151" s="6" t="s">
        <v>60</v>
      </c>
      <c r="H3151" s="6" t="s">
        <v>34</v>
      </c>
      <c r="I3151" s="8" t="s">
        <v>253</v>
      </c>
      <c r="J3151" s="9">
        <v>1</v>
      </c>
      <c r="K3151" s="9">
        <v>552</v>
      </c>
      <c r="L3151" s="9">
        <v>2026</v>
      </c>
      <c r="M3151" s="8" t="s">
        <v>18468</v>
      </c>
      <c r="N3151" s="8" t="s">
        <v>37</v>
      </c>
      <c r="O3151" s="8" t="s">
        <v>233</v>
      </c>
      <c r="P3151" s="6" t="s">
        <v>51</v>
      </c>
      <c r="Q3151" s="8" t="s">
        <v>65</v>
      </c>
      <c r="R3151" s="10" t="s">
        <v>18469</v>
      </c>
      <c r="S3151" s="11"/>
      <c r="T3151" s="6"/>
      <c r="U3151" s="15" t="str">
        <f>HYPERLINK("https://media.infra-m.ru/2218/2218846/cover/2218846.jpg", "Обложка")</f>
        <v>Обложка</v>
      </c>
      <c r="V3151" s="8" t="s">
        <v>644</v>
      </c>
      <c r="W3151" s="6"/>
      <c r="X3151" s="6"/>
      <c r="Y3151" s="6"/>
      <c r="Z3151" s="6"/>
      <c r="AA3151" s="6" t="s">
        <v>68</v>
      </c>
      <c r="AB3151" s="8" t="s">
        <v>3833</v>
      </c>
      <c r="AC3151" s="27">
        <v>9785160197487</v>
      </c>
    </row>
    <row r="3152" spans="1:29" s="4" customFormat="1" ht="51.9" customHeight="1" x14ac:dyDescent="0.2">
      <c r="A3152" s="5">
        <v>0</v>
      </c>
      <c r="B3152" s="6" t="s">
        <v>18470</v>
      </c>
      <c r="C3152" s="7">
        <v>2308.8000000000002</v>
      </c>
      <c r="D3152" s="8" t="s">
        <v>18471</v>
      </c>
      <c r="E3152" s="8" t="s">
        <v>18461</v>
      </c>
      <c r="F3152" s="8" t="s">
        <v>18472</v>
      </c>
      <c r="G3152" s="6" t="s">
        <v>60</v>
      </c>
      <c r="H3152" s="6" t="s">
        <v>134</v>
      </c>
      <c r="I3152" s="8"/>
      <c r="J3152" s="9">
        <v>1</v>
      </c>
      <c r="K3152" s="9">
        <v>384</v>
      </c>
      <c r="L3152" s="9">
        <v>2024</v>
      </c>
      <c r="M3152" s="8" t="s">
        <v>18473</v>
      </c>
      <c r="N3152" s="8" t="s">
        <v>37</v>
      </c>
      <c r="O3152" s="8" t="s">
        <v>233</v>
      </c>
      <c r="P3152" s="6" t="s">
        <v>95</v>
      </c>
      <c r="Q3152" s="8" t="s">
        <v>52</v>
      </c>
      <c r="R3152" s="10" t="s">
        <v>18474</v>
      </c>
      <c r="S3152" s="11"/>
      <c r="T3152" s="6"/>
      <c r="U3152" s="15" t="str">
        <f>HYPERLINK("https://media.infra-m.ru/2045/2045933/cover/2045933.jpg", "Обложка")</f>
        <v>Обложка</v>
      </c>
      <c r="V3152" s="8" t="s">
        <v>546</v>
      </c>
      <c r="W3152" s="6"/>
      <c r="X3152" s="6"/>
      <c r="Y3152" s="6"/>
      <c r="Z3152" s="6"/>
      <c r="AA3152" s="6" t="s">
        <v>779</v>
      </c>
      <c r="AB3152" s="8"/>
      <c r="AC3152" s="27">
        <v>9785917687889</v>
      </c>
    </row>
    <row r="3153" spans="1:29" s="4" customFormat="1" ht="44.1" customHeight="1" x14ac:dyDescent="0.2">
      <c r="A3153" s="5">
        <v>0</v>
      </c>
      <c r="B3153" s="6" t="s">
        <v>18475</v>
      </c>
      <c r="C3153" s="7">
        <v>2512.8000000000002</v>
      </c>
      <c r="D3153" s="8" t="s">
        <v>18476</v>
      </c>
      <c r="E3153" s="8" t="s">
        <v>18461</v>
      </c>
      <c r="F3153" s="8" t="s">
        <v>18477</v>
      </c>
      <c r="G3153" s="6" t="s">
        <v>60</v>
      </c>
      <c r="H3153" s="6" t="s">
        <v>134</v>
      </c>
      <c r="I3153" s="8"/>
      <c r="J3153" s="9">
        <v>1</v>
      </c>
      <c r="K3153" s="9">
        <v>400</v>
      </c>
      <c r="L3153" s="9">
        <v>2026</v>
      </c>
      <c r="M3153" s="8" t="s">
        <v>18478</v>
      </c>
      <c r="N3153" s="8" t="s">
        <v>37</v>
      </c>
      <c r="O3153" s="8" t="s">
        <v>233</v>
      </c>
      <c r="P3153" s="6" t="s">
        <v>394</v>
      </c>
      <c r="Q3153" s="8" t="s">
        <v>52</v>
      </c>
      <c r="R3153" s="10" t="s">
        <v>18479</v>
      </c>
      <c r="S3153" s="11"/>
      <c r="T3153" s="6"/>
      <c r="U3153" s="15" t="str">
        <f>HYPERLINK("https://media.infra-m.ru/2212/2212639/cover/2212639.jpg", "Обложка")</f>
        <v>Обложка</v>
      </c>
      <c r="V3153" s="8" t="s">
        <v>546</v>
      </c>
      <c r="W3153" s="6"/>
      <c r="X3153" s="6"/>
      <c r="Y3153" s="6"/>
      <c r="Z3153" s="6"/>
      <c r="AA3153" s="6" t="s">
        <v>248</v>
      </c>
      <c r="AB3153" s="8"/>
      <c r="AC3153" s="27">
        <v>9785917685748</v>
      </c>
    </row>
    <row r="3154" spans="1:29" s="4" customFormat="1" ht="51.9" customHeight="1" x14ac:dyDescent="0.2">
      <c r="A3154" s="5">
        <v>0</v>
      </c>
      <c r="B3154" s="6" t="s">
        <v>18480</v>
      </c>
      <c r="C3154" s="7">
        <v>3038.4</v>
      </c>
      <c r="D3154" s="8" t="s">
        <v>18481</v>
      </c>
      <c r="E3154" s="8" t="s">
        <v>18482</v>
      </c>
      <c r="F3154" s="8" t="s">
        <v>18483</v>
      </c>
      <c r="G3154" s="6" t="s">
        <v>118</v>
      </c>
      <c r="H3154" s="6" t="s">
        <v>34</v>
      </c>
      <c r="I3154" s="8"/>
      <c r="J3154" s="9">
        <v>1</v>
      </c>
      <c r="K3154" s="9">
        <v>336</v>
      </c>
      <c r="L3154" s="9">
        <v>2026</v>
      </c>
      <c r="M3154" s="8" t="s">
        <v>18484</v>
      </c>
      <c r="N3154" s="8" t="s">
        <v>37</v>
      </c>
      <c r="O3154" s="8" t="s">
        <v>233</v>
      </c>
      <c r="P3154" s="6" t="s">
        <v>1293</v>
      </c>
      <c r="Q3154" s="8" t="s">
        <v>52</v>
      </c>
      <c r="R3154" s="10" t="s">
        <v>18474</v>
      </c>
      <c r="S3154" s="11"/>
      <c r="T3154" s="6"/>
      <c r="U3154" s="15" t="str">
        <f>HYPERLINK("https://media.infra-m.ru/2260/2260195/cover/2260195.jpg", "Обложка")</f>
        <v>Обложка</v>
      </c>
      <c r="V3154" s="8" t="s">
        <v>644</v>
      </c>
      <c r="W3154" s="6"/>
      <c r="X3154" s="6"/>
      <c r="Y3154" s="6"/>
      <c r="Z3154" s="6"/>
      <c r="AA3154" s="6" t="s">
        <v>43</v>
      </c>
      <c r="AB3154" s="8"/>
      <c r="AC3154" s="27">
        <v>9785160222813</v>
      </c>
    </row>
    <row r="3155" spans="1:29" s="4" customFormat="1" ht="51.9" customHeight="1" x14ac:dyDescent="0.2">
      <c r="A3155" s="5">
        <v>0</v>
      </c>
      <c r="B3155" s="6" t="s">
        <v>18485</v>
      </c>
      <c r="C3155" s="7">
        <v>2740.8</v>
      </c>
      <c r="D3155" s="8" t="s">
        <v>18486</v>
      </c>
      <c r="E3155" s="8" t="s">
        <v>18487</v>
      </c>
      <c r="F3155" s="8" t="s">
        <v>18488</v>
      </c>
      <c r="G3155" s="6" t="s">
        <v>60</v>
      </c>
      <c r="H3155" s="6" t="s">
        <v>34</v>
      </c>
      <c r="I3155" s="8" t="s">
        <v>253</v>
      </c>
      <c r="J3155" s="9">
        <v>1</v>
      </c>
      <c r="K3155" s="9">
        <v>537</v>
      </c>
      <c r="L3155" s="9">
        <v>2025</v>
      </c>
      <c r="M3155" s="8" t="s">
        <v>18489</v>
      </c>
      <c r="N3155" s="8" t="s">
        <v>37</v>
      </c>
      <c r="O3155" s="8" t="s">
        <v>233</v>
      </c>
      <c r="P3155" s="6" t="s">
        <v>306</v>
      </c>
      <c r="Q3155" s="8" t="s">
        <v>65</v>
      </c>
      <c r="R3155" s="10" t="s">
        <v>18490</v>
      </c>
      <c r="S3155" s="11" t="s">
        <v>18491</v>
      </c>
      <c r="T3155" s="6" t="s">
        <v>97</v>
      </c>
      <c r="U3155" s="15" t="str">
        <f>HYPERLINK("https://media.infra-m.ru/2188/2188739/cover/2188739.jpg", "Обложка")</f>
        <v>Обложка</v>
      </c>
      <c r="V3155" s="8" t="s">
        <v>5763</v>
      </c>
      <c r="W3155" s="6"/>
      <c r="X3155" s="6"/>
      <c r="Y3155" s="6"/>
      <c r="Z3155" s="6"/>
      <c r="AA3155" s="6" t="s">
        <v>874</v>
      </c>
      <c r="AB3155" s="8"/>
      <c r="AC3155" s="27">
        <v>9785160186085</v>
      </c>
    </row>
    <row r="3156" spans="1:29" s="4" customFormat="1" ht="51.9" customHeight="1" x14ac:dyDescent="0.2">
      <c r="A3156" s="5">
        <v>0</v>
      </c>
      <c r="B3156" s="6" t="s">
        <v>18492</v>
      </c>
      <c r="C3156" s="7">
        <v>1336.8</v>
      </c>
      <c r="D3156" s="8" t="s">
        <v>18493</v>
      </c>
      <c r="E3156" s="8" t="s">
        <v>18461</v>
      </c>
      <c r="F3156" s="8" t="s">
        <v>18494</v>
      </c>
      <c r="G3156" s="6" t="s">
        <v>118</v>
      </c>
      <c r="H3156" s="6" t="s">
        <v>34</v>
      </c>
      <c r="I3156" s="8" t="s">
        <v>271</v>
      </c>
      <c r="J3156" s="9">
        <v>1</v>
      </c>
      <c r="K3156" s="9">
        <v>202</v>
      </c>
      <c r="L3156" s="9">
        <v>2026</v>
      </c>
      <c r="M3156" s="8" t="s">
        <v>18495</v>
      </c>
      <c r="N3156" s="8" t="s">
        <v>37</v>
      </c>
      <c r="O3156" s="8" t="s">
        <v>233</v>
      </c>
      <c r="P3156" s="6" t="s">
        <v>306</v>
      </c>
      <c r="Q3156" s="8" t="s">
        <v>52</v>
      </c>
      <c r="R3156" s="10" t="s">
        <v>18496</v>
      </c>
      <c r="S3156" s="11" t="s">
        <v>18497</v>
      </c>
      <c r="T3156" s="6"/>
      <c r="U3156" s="15" t="str">
        <f>HYPERLINK("https://media.infra-m.ru/2232/2232017/cover/2232017.jpg", "Обложка")</f>
        <v>Обложка</v>
      </c>
      <c r="V3156" s="8" t="s">
        <v>5964</v>
      </c>
      <c r="W3156" s="6"/>
      <c r="X3156" s="6"/>
      <c r="Y3156" s="6"/>
      <c r="Z3156" s="6"/>
      <c r="AA3156" s="6" t="s">
        <v>129</v>
      </c>
      <c r="AB3156" s="8"/>
      <c r="AC3156" s="27">
        <v>9785160049281</v>
      </c>
    </row>
    <row r="3157" spans="1:29" s="4" customFormat="1" ht="51.9" customHeight="1" x14ac:dyDescent="0.2">
      <c r="A3157" s="5">
        <v>0</v>
      </c>
      <c r="B3157" s="6" t="s">
        <v>18498</v>
      </c>
      <c r="C3157" s="7">
        <v>1789.2</v>
      </c>
      <c r="D3157" s="8" t="s">
        <v>18499</v>
      </c>
      <c r="E3157" s="8" t="s">
        <v>18487</v>
      </c>
      <c r="F3157" s="8" t="s">
        <v>18500</v>
      </c>
      <c r="G3157" s="6" t="s">
        <v>18501</v>
      </c>
      <c r="H3157" s="6" t="s">
        <v>34</v>
      </c>
      <c r="I3157" s="8" t="s">
        <v>18502</v>
      </c>
      <c r="J3157" s="9">
        <v>1</v>
      </c>
      <c r="K3157" s="9">
        <v>388</v>
      </c>
      <c r="L3157" s="9">
        <v>2022</v>
      </c>
      <c r="M3157" s="8" t="s">
        <v>18503</v>
      </c>
      <c r="N3157" s="8" t="s">
        <v>37</v>
      </c>
      <c r="O3157" s="8" t="s">
        <v>233</v>
      </c>
      <c r="P3157" s="6" t="s">
        <v>306</v>
      </c>
      <c r="Q3157" s="8" t="s">
        <v>52</v>
      </c>
      <c r="R3157" s="10" t="s">
        <v>18504</v>
      </c>
      <c r="S3157" s="11"/>
      <c r="T3157" s="6" t="s">
        <v>97</v>
      </c>
      <c r="U3157" s="15" t="str">
        <f>HYPERLINK("https://media.infra-m.ru/1867/1867949/cover/1867949.jpg", "Обложка")</f>
        <v>Обложка</v>
      </c>
      <c r="V3157" s="8" t="s">
        <v>396</v>
      </c>
      <c r="W3157" s="6"/>
      <c r="X3157" s="6"/>
      <c r="Y3157" s="6"/>
      <c r="Z3157" s="6"/>
      <c r="AA3157" s="6" t="s">
        <v>896</v>
      </c>
      <c r="AB3157" s="8"/>
      <c r="AC3157" s="27">
        <v>9785160175423</v>
      </c>
    </row>
    <row r="3158" spans="1:29" s="4" customFormat="1" ht="51.9" customHeight="1" x14ac:dyDescent="0.2">
      <c r="A3158" s="5">
        <v>0</v>
      </c>
      <c r="B3158" s="6" t="s">
        <v>18505</v>
      </c>
      <c r="C3158" s="7">
        <v>1391.9</v>
      </c>
      <c r="D3158" s="8" t="s">
        <v>18506</v>
      </c>
      <c r="E3158" s="8" t="s">
        <v>18461</v>
      </c>
      <c r="F3158" s="8" t="s">
        <v>18507</v>
      </c>
      <c r="G3158" s="6" t="s">
        <v>60</v>
      </c>
      <c r="H3158" s="6" t="s">
        <v>34</v>
      </c>
      <c r="I3158" s="8" t="s">
        <v>271</v>
      </c>
      <c r="J3158" s="9">
        <v>1</v>
      </c>
      <c r="K3158" s="9">
        <v>394</v>
      </c>
      <c r="L3158" s="9">
        <v>2017</v>
      </c>
      <c r="M3158" s="8" t="s">
        <v>18508</v>
      </c>
      <c r="N3158" s="8" t="s">
        <v>37</v>
      </c>
      <c r="O3158" s="8" t="s">
        <v>233</v>
      </c>
      <c r="P3158" s="6" t="s">
        <v>306</v>
      </c>
      <c r="Q3158" s="8" t="s">
        <v>52</v>
      </c>
      <c r="R3158" s="10" t="s">
        <v>15431</v>
      </c>
      <c r="S3158" s="11" t="s">
        <v>768</v>
      </c>
      <c r="T3158" s="6" t="s">
        <v>97</v>
      </c>
      <c r="U3158" s="15" t="str">
        <f>HYPERLINK("https://media.infra-m.ru/0894/0894721/cover/894721.jpg", "Обложка")</f>
        <v>Обложка</v>
      </c>
      <c r="V3158" s="8" t="s">
        <v>396</v>
      </c>
      <c r="W3158" s="6"/>
      <c r="X3158" s="6"/>
      <c r="Y3158" s="6"/>
      <c r="Z3158" s="6"/>
      <c r="AA3158" s="6" t="s">
        <v>779</v>
      </c>
      <c r="AB3158" s="8"/>
      <c r="AC3158" s="27">
        <v>9785160113876</v>
      </c>
    </row>
    <row r="3159" spans="1:29" s="4" customFormat="1" ht="51.9" customHeight="1" x14ac:dyDescent="0.2">
      <c r="A3159" s="5">
        <v>0</v>
      </c>
      <c r="B3159" s="6" t="s">
        <v>18509</v>
      </c>
      <c r="C3159" s="7">
        <v>2544</v>
      </c>
      <c r="D3159" s="8" t="s">
        <v>18510</v>
      </c>
      <c r="E3159" s="8" t="s">
        <v>18487</v>
      </c>
      <c r="F3159" s="8" t="s">
        <v>18500</v>
      </c>
      <c r="G3159" s="6" t="s">
        <v>118</v>
      </c>
      <c r="H3159" s="6" t="s">
        <v>34</v>
      </c>
      <c r="I3159" s="8" t="s">
        <v>3119</v>
      </c>
      <c r="J3159" s="9">
        <v>1</v>
      </c>
      <c r="K3159" s="9">
        <v>385</v>
      </c>
      <c r="L3159" s="9">
        <v>2026</v>
      </c>
      <c r="M3159" s="8" t="s">
        <v>18511</v>
      </c>
      <c r="N3159" s="8" t="s">
        <v>37</v>
      </c>
      <c r="O3159" s="8" t="s">
        <v>233</v>
      </c>
      <c r="P3159" s="6" t="s">
        <v>306</v>
      </c>
      <c r="Q3159" s="8" t="s">
        <v>52</v>
      </c>
      <c r="R3159" s="10" t="s">
        <v>15431</v>
      </c>
      <c r="S3159" s="11" t="s">
        <v>18512</v>
      </c>
      <c r="T3159" s="6" t="s">
        <v>97</v>
      </c>
      <c r="U3159" s="15" t="str">
        <f>HYPERLINK("https://media.infra-m.ru/2256/2256967/cover/2256967.jpg", "Обложка")</f>
        <v>Обложка</v>
      </c>
      <c r="V3159" s="8" t="s">
        <v>396</v>
      </c>
      <c r="W3159" s="6"/>
      <c r="X3159" s="6"/>
      <c r="Y3159" s="6"/>
      <c r="Z3159" s="6"/>
      <c r="AA3159" s="6" t="s">
        <v>2240</v>
      </c>
      <c r="AB3159" s="8"/>
      <c r="AC3159" s="27">
        <v>9785160192994</v>
      </c>
    </row>
    <row r="3160" spans="1:29" s="4" customFormat="1" ht="42" customHeight="1" x14ac:dyDescent="0.2">
      <c r="A3160" s="5">
        <v>0</v>
      </c>
      <c r="B3160" s="6" t="s">
        <v>18513</v>
      </c>
      <c r="C3160" s="7">
        <v>1391.9</v>
      </c>
      <c r="D3160" s="8" t="s">
        <v>18514</v>
      </c>
      <c r="E3160" s="8" t="s">
        <v>18515</v>
      </c>
      <c r="F3160" s="8" t="s">
        <v>18516</v>
      </c>
      <c r="G3160" s="6" t="s">
        <v>60</v>
      </c>
      <c r="H3160" s="6" t="s">
        <v>313</v>
      </c>
      <c r="I3160" s="8" t="s">
        <v>253</v>
      </c>
      <c r="J3160" s="9">
        <v>1</v>
      </c>
      <c r="K3160" s="9">
        <v>304</v>
      </c>
      <c r="L3160" s="9">
        <v>2022</v>
      </c>
      <c r="M3160" s="8" t="s">
        <v>18517</v>
      </c>
      <c r="N3160" s="8" t="s">
        <v>37</v>
      </c>
      <c r="O3160" s="8" t="s">
        <v>233</v>
      </c>
      <c r="P3160" s="6" t="s">
        <v>51</v>
      </c>
      <c r="Q3160" s="8" t="s">
        <v>500</v>
      </c>
      <c r="R3160" s="10" t="s">
        <v>1576</v>
      </c>
      <c r="S3160" s="11"/>
      <c r="T3160" s="6"/>
      <c r="U3160" s="15" t="str">
        <f>HYPERLINK("https://media.infra-m.ru/1839/1839691/cover/1839691.jpg", "Обложка")</f>
        <v>Обложка</v>
      </c>
      <c r="V3160" s="8" t="s">
        <v>2446</v>
      </c>
      <c r="W3160" s="6"/>
      <c r="X3160" s="6"/>
      <c r="Y3160" s="6"/>
      <c r="Z3160" s="6"/>
      <c r="AA3160" s="6" t="s">
        <v>148</v>
      </c>
      <c r="AB3160" s="8"/>
      <c r="AC3160" s="27">
        <v>9785369018798</v>
      </c>
    </row>
    <row r="3161" spans="1:29" s="4" customFormat="1" ht="42" customHeight="1" x14ac:dyDescent="0.2">
      <c r="A3161" s="5">
        <v>0</v>
      </c>
      <c r="B3161" s="6" t="s">
        <v>18518</v>
      </c>
      <c r="C3161" s="7">
        <v>1248</v>
      </c>
      <c r="D3161" s="8" t="s">
        <v>18519</v>
      </c>
      <c r="E3161" s="8" t="s">
        <v>18520</v>
      </c>
      <c r="F3161" s="8" t="s">
        <v>18521</v>
      </c>
      <c r="G3161" s="6" t="s">
        <v>33</v>
      </c>
      <c r="H3161" s="6" t="s">
        <v>34</v>
      </c>
      <c r="I3161" s="8" t="s">
        <v>35</v>
      </c>
      <c r="J3161" s="9">
        <v>1</v>
      </c>
      <c r="K3161" s="9">
        <v>179</v>
      </c>
      <c r="L3161" s="9">
        <v>2027</v>
      </c>
      <c r="M3161" s="8" t="s">
        <v>18522</v>
      </c>
      <c r="N3161" s="8" t="s">
        <v>37</v>
      </c>
      <c r="O3161" s="8" t="s">
        <v>83</v>
      </c>
      <c r="P3161" s="6" t="s">
        <v>39</v>
      </c>
      <c r="Q3161" s="8" t="s">
        <v>40</v>
      </c>
      <c r="R3161" s="10" t="s">
        <v>6716</v>
      </c>
      <c r="S3161" s="11"/>
      <c r="T3161" s="6"/>
      <c r="U3161" s="15" t="str">
        <f>HYPERLINK("https://media.infra-m.ru/2269/2269600/cover/2269600.jpg", "Обложка")</f>
        <v>Обложка</v>
      </c>
      <c r="V3161" s="8" t="s">
        <v>546</v>
      </c>
      <c r="W3161" s="6"/>
      <c r="X3161" s="6"/>
      <c r="Y3161" s="6"/>
      <c r="Z3161" s="6"/>
      <c r="AA3161" s="6" t="s">
        <v>1256</v>
      </c>
      <c r="AB3161" s="8"/>
      <c r="AC3161" s="27">
        <v>9785160157207</v>
      </c>
    </row>
    <row r="3162" spans="1:29" s="4" customFormat="1" ht="51.9" customHeight="1" x14ac:dyDescent="0.2">
      <c r="A3162" s="5">
        <v>0</v>
      </c>
      <c r="B3162" s="6" t="s">
        <v>18523</v>
      </c>
      <c r="C3162" s="7">
        <v>1728</v>
      </c>
      <c r="D3162" s="8" t="s">
        <v>18524</v>
      </c>
      <c r="E3162" s="8" t="s">
        <v>18525</v>
      </c>
      <c r="F3162" s="8" t="s">
        <v>18526</v>
      </c>
      <c r="G3162" s="6" t="s">
        <v>33</v>
      </c>
      <c r="H3162" s="6" t="s">
        <v>34</v>
      </c>
      <c r="I3162" s="8" t="s">
        <v>746</v>
      </c>
      <c r="J3162" s="9">
        <v>1</v>
      </c>
      <c r="K3162" s="9">
        <v>248</v>
      </c>
      <c r="L3162" s="9">
        <v>2027</v>
      </c>
      <c r="M3162" s="8" t="s">
        <v>18527</v>
      </c>
      <c r="N3162" s="8" t="s">
        <v>243</v>
      </c>
      <c r="O3162" s="8" t="s">
        <v>385</v>
      </c>
      <c r="P3162" s="6" t="s">
        <v>748</v>
      </c>
      <c r="Q3162" s="8" t="s">
        <v>40</v>
      </c>
      <c r="R3162" s="10" t="s">
        <v>18528</v>
      </c>
      <c r="S3162" s="11"/>
      <c r="T3162" s="6"/>
      <c r="U3162" s="15" t="str">
        <f>HYPERLINK("https://media.infra-m.ru/2263/2263955/cover/2263955.jpg", "Обложка")</f>
        <v>Обложка</v>
      </c>
      <c r="V3162" s="8" t="s">
        <v>18529</v>
      </c>
      <c r="W3162" s="6"/>
      <c r="X3162" s="6"/>
      <c r="Y3162" s="6"/>
      <c r="Z3162" s="6"/>
      <c r="AA3162" s="6" t="s">
        <v>274</v>
      </c>
      <c r="AB3162" s="8"/>
      <c r="AC3162" s="27">
        <v>9785160097305</v>
      </c>
    </row>
    <row r="3163" spans="1:29" s="4" customFormat="1" ht="44.1" customHeight="1" x14ac:dyDescent="0.2">
      <c r="A3163" s="5">
        <v>0</v>
      </c>
      <c r="B3163" s="6" t="s">
        <v>18530</v>
      </c>
      <c r="C3163" s="7">
        <v>1548</v>
      </c>
      <c r="D3163" s="8" t="s">
        <v>18531</v>
      </c>
      <c r="E3163" s="8" t="s">
        <v>18532</v>
      </c>
      <c r="F3163" s="8" t="s">
        <v>18533</v>
      </c>
      <c r="G3163" s="6" t="s">
        <v>33</v>
      </c>
      <c r="H3163" s="6" t="s">
        <v>34</v>
      </c>
      <c r="I3163" s="8" t="s">
        <v>35</v>
      </c>
      <c r="J3163" s="9">
        <v>1</v>
      </c>
      <c r="K3163" s="9">
        <v>276</v>
      </c>
      <c r="L3163" s="9">
        <v>2022</v>
      </c>
      <c r="M3163" s="8" t="s">
        <v>18534</v>
      </c>
      <c r="N3163" s="8" t="s">
        <v>243</v>
      </c>
      <c r="O3163" s="8" t="s">
        <v>385</v>
      </c>
      <c r="P3163" s="6" t="s">
        <v>39</v>
      </c>
      <c r="Q3163" s="8" t="s">
        <v>40</v>
      </c>
      <c r="R3163" s="10" t="s">
        <v>18535</v>
      </c>
      <c r="S3163" s="11"/>
      <c r="T3163" s="6"/>
      <c r="U3163" s="15" t="str">
        <f>HYPERLINK("https://media.infra-m.ru/1863/1863100/cover/1863100.jpg", "Обложка")</f>
        <v>Обложка</v>
      </c>
      <c r="V3163" s="8" t="s">
        <v>18536</v>
      </c>
      <c r="W3163" s="6"/>
      <c r="X3163" s="6"/>
      <c r="Y3163" s="6"/>
      <c r="Z3163" s="6"/>
      <c r="AA3163" s="6" t="s">
        <v>148</v>
      </c>
      <c r="AB3163" s="8"/>
      <c r="AC3163" s="27">
        <v>9785160176116</v>
      </c>
    </row>
    <row r="3164" spans="1:29" s="4" customFormat="1" ht="44.1" customHeight="1" x14ac:dyDescent="0.2">
      <c r="A3164" s="5">
        <v>0</v>
      </c>
      <c r="B3164" s="6" t="s">
        <v>18537</v>
      </c>
      <c r="C3164" s="7">
        <v>1428</v>
      </c>
      <c r="D3164" s="8" t="s">
        <v>18538</v>
      </c>
      <c r="E3164" s="8" t="s">
        <v>18539</v>
      </c>
      <c r="F3164" s="8" t="s">
        <v>18540</v>
      </c>
      <c r="G3164" s="6" t="s">
        <v>33</v>
      </c>
      <c r="H3164" s="6" t="s">
        <v>34</v>
      </c>
      <c r="I3164" s="8" t="s">
        <v>35</v>
      </c>
      <c r="J3164" s="9">
        <v>1</v>
      </c>
      <c r="K3164" s="9">
        <v>228</v>
      </c>
      <c r="L3164" s="9">
        <v>2025</v>
      </c>
      <c r="M3164" s="8" t="s">
        <v>18541</v>
      </c>
      <c r="N3164" s="8" t="s">
        <v>243</v>
      </c>
      <c r="O3164" s="8" t="s">
        <v>798</v>
      </c>
      <c r="P3164" s="6" t="s">
        <v>39</v>
      </c>
      <c r="Q3164" s="8" t="s">
        <v>40</v>
      </c>
      <c r="R3164" s="10" t="s">
        <v>18542</v>
      </c>
      <c r="S3164" s="11"/>
      <c r="T3164" s="6"/>
      <c r="U3164" s="15" t="str">
        <f>HYPERLINK("https://media.infra-m.ru/2201/2201373/cover/2201373.jpg", "Обложка")</f>
        <v>Обложка</v>
      </c>
      <c r="V3164" s="8" t="s">
        <v>4376</v>
      </c>
      <c r="W3164" s="6"/>
      <c r="X3164" s="6"/>
      <c r="Y3164" s="6"/>
      <c r="Z3164" s="6"/>
      <c r="AA3164" s="6" t="s">
        <v>115</v>
      </c>
      <c r="AB3164" s="8"/>
      <c r="AC3164" s="27">
        <v>9785160145563</v>
      </c>
    </row>
    <row r="3165" spans="1:29" s="4" customFormat="1" ht="51.9" customHeight="1" x14ac:dyDescent="0.2">
      <c r="A3165" s="5">
        <v>0</v>
      </c>
      <c r="B3165" s="6" t="s">
        <v>18543</v>
      </c>
      <c r="C3165" s="7">
        <v>1588.8</v>
      </c>
      <c r="D3165" s="8" t="s">
        <v>18544</v>
      </c>
      <c r="E3165" s="8" t="s">
        <v>18545</v>
      </c>
      <c r="F3165" s="8" t="s">
        <v>18546</v>
      </c>
      <c r="G3165" s="6" t="s">
        <v>118</v>
      </c>
      <c r="H3165" s="6" t="s">
        <v>34</v>
      </c>
      <c r="I3165" s="8" t="s">
        <v>5790</v>
      </c>
      <c r="J3165" s="9">
        <v>1</v>
      </c>
      <c r="K3165" s="9">
        <v>240</v>
      </c>
      <c r="L3165" s="9">
        <v>2026</v>
      </c>
      <c r="M3165" s="8" t="s">
        <v>18547</v>
      </c>
      <c r="N3165" s="8" t="s">
        <v>243</v>
      </c>
      <c r="O3165" s="8" t="s">
        <v>964</v>
      </c>
      <c r="P3165" s="6" t="s">
        <v>105</v>
      </c>
      <c r="Q3165" s="8" t="s">
        <v>265</v>
      </c>
      <c r="R3165" s="10" t="s">
        <v>18548</v>
      </c>
      <c r="S3165" s="11" t="s">
        <v>18549</v>
      </c>
      <c r="T3165" s="6"/>
      <c r="U3165" s="15" t="str">
        <f>HYPERLINK("https://media.infra-m.ru/2231/2231148/cover/2231148.jpg", "Обложка")</f>
        <v>Обложка</v>
      </c>
      <c r="V3165" s="8" t="s">
        <v>2175</v>
      </c>
      <c r="W3165" s="6"/>
      <c r="X3165" s="6"/>
      <c r="Y3165" s="6"/>
      <c r="Z3165" s="6" t="s">
        <v>3911</v>
      </c>
      <c r="AA3165" s="6" t="s">
        <v>430</v>
      </c>
      <c r="AB3165" s="8"/>
      <c r="AC3165" s="27">
        <v>9785160169187</v>
      </c>
    </row>
    <row r="3166" spans="1:29" s="4" customFormat="1" ht="51.9" customHeight="1" x14ac:dyDescent="0.2">
      <c r="A3166" s="5">
        <v>0</v>
      </c>
      <c r="B3166" s="6" t="s">
        <v>18550</v>
      </c>
      <c r="C3166" s="7">
        <v>1584</v>
      </c>
      <c r="D3166" s="8" t="s">
        <v>18551</v>
      </c>
      <c r="E3166" s="8" t="s">
        <v>18545</v>
      </c>
      <c r="F3166" s="8" t="s">
        <v>18546</v>
      </c>
      <c r="G3166" s="6" t="s">
        <v>118</v>
      </c>
      <c r="H3166" s="6" t="s">
        <v>34</v>
      </c>
      <c r="I3166" s="8" t="s">
        <v>2171</v>
      </c>
      <c r="J3166" s="9">
        <v>1</v>
      </c>
      <c r="K3166" s="9">
        <v>240</v>
      </c>
      <c r="L3166" s="9">
        <v>2026</v>
      </c>
      <c r="M3166" s="8" t="s">
        <v>18552</v>
      </c>
      <c r="N3166" s="8" t="s">
        <v>243</v>
      </c>
      <c r="O3166" s="8" t="s">
        <v>964</v>
      </c>
      <c r="P3166" s="6" t="s">
        <v>105</v>
      </c>
      <c r="Q3166" s="8" t="s">
        <v>377</v>
      </c>
      <c r="R3166" s="10" t="s">
        <v>18553</v>
      </c>
      <c r="S3166" s="11"/>
      <c r="T3166" s="6"/>
      <c r="U3166" s="15" t="str">
        <f>HYPERLINK("https://media.infra-m.ru/2231/2231209/cover/2231209.jpg", "Обложка")</f>
        <v>Обложка</v>
      </c>
      <c r="V3166" s="8" t="s">
        <v>2175</v>
      </c>
      <c r="W3166" s="6"/>
      <c r="X3166" s="6"/>
      <c r="Y3166" s="6"/>
      <c r="Z3166" s="6"/>
      <c r="AA3166" s="6" t="s">
        <v>115</v>
      </c>
      <c r="AB3166" s="8"/>
      <c r="AC3166" s="27">
        <v>9785160153339</v>
      </c>
    </row>
    <row r="3167" spans="1:29" s="4" customFormat="1" ht="44.1" customHeight="1" x14ac:dyDescent="0.2">
      <c r="A3167" s="5">
        <v>0</v>
      </c>
      <c r="B3167" s="6" t="s">
        <v>18554</v>
      </c>
      <c r="C3167" s="7">
        <v>2016</v>
      </c>
      <c r="D3167" s="8" t="s">
        <v>18555</v>
      </c>
      <c r="E3167" s="8" t="s">
        <v>18556</v>
      </c>
      <c r="F3167" s="8" t="s">
        <v>18546</v>
      </c>
      <c r="G3167" s="6" t="s">
        <v>118</v>
      </c>
      <c r="H3167" s="6" t="s">
        <v>34</v>
      </c>
      <c r="I3167" s="8" t="s">
        <v>2171</v>
      </c>
      <c r="J3167" s="9">
        <v>1</v>
      </c>
      <c r="K3167" s="9">
        <v>304</v>
      </c>
      <c r="L3167" s="9">
        <v>2026</v>
      </c>
      <c r="M3167" s="8" t="s">
        <v>18557</v>
      </c>
      <c r="N3167" s="8" t="s">
        <v>243</v>
      </c>
      <c r="O3167" s="8" t="s">
        <v>964</v>
      </c>
      <c r="P3167" s="6" t="s">
        <v>105</v>
      </c>
      <c r="Q3167" s="8" t="s">
        <v>377</v>
      </c>
      <c r="R3167" s="10" t="s">
        <v>18558</v>
      </c>
      <c r="S3167" s="11"/>
      <c r="T3167" s="6"/>
      <c r="U3167" s="15" t="str">
        <f>HYPERLINK("https://media.infra-m.ru/2231/2231216/cover/2231216.jpg", "Обложка")</f>
        <v>Обложка</v>
      </c>
      <c r="V3167" s="8" t="s">
        <v>2175</v>
      </c>
      <c r="W3167" s="6"/>
      <c r="X3167" s="6"/>
      <c r="Y3167" s="6"/>
      <c r="Z3167" s="6"/>
      <c r="AA3167" s="6" t="s">
        <v>115</v>
      </c>
      <c r="AB3167" s="8"/>
      <c r="AC3167" s="27">
        <v>9785160153346</v>
      </c>
    </row>
    <row r="3168" spans="1:29" s="4" customFormat="1" ht="51.9" customHeight="1" x14ac:dyDescent="0.2">
      <c r="A3168" s="5">
        <v>0</v>
      </c>
      <c r="B3168" s="6" t="s">
        <v>18559</v>
      </c>
      <c r="C3168" s="7">
        <v>2008.8</v>
      </c>
      <c r="D3168" s="8" t="s">
        <v>18560</v>
      </c>
      <c r="E3168" s="8" t="s">
        <v>18556</v>
      </c>
      <c r="F3168" s="8" t="s">
        <v>18546</v>
      </c>
      <c r="G3168" s="6" t="s">
        <v>118</v>
      </c>
      <c r="H3168" s="6" t="s">
        <v>34</v>
      </c>
      <c r="I3168" s="8" t="s">
        <v>5790</v>
      </c>
      <c r="J3168" s="9">
        <v>1</v>
      </c>
      <c r="K3168" s="9">
        <v>304</v>
      </c>
      <c r="L3168" s="9">
        <v>2026</v>
      </c>
      <c r="M3168" s="8" t="s">
        <v>18561</v>
      </c>
      <c r="N3168" s="8" t="s">
        <v>243</v>
      </c>
      <c r="O3168" s="8" t="s">
        <v>964</v>
      </c>
      <c r="P3168" s="6" t="s">
        <v>105</v>
      </c>
      <c r="Q3168" s="8" t="s">
        <v>265</v>
      </c>
      <c r="R3168" s="10" t="s">
        <v>18562</v>
      </c>
      <c r="S3168" s="11" t="s">
        <v>18549</v>
      </c>
      <c r="T3168" s="6"/>
      <c r="U3168" s="15" t="str">
        <f>HYPERLINK("https://media.infra-m.ru/2226/2226754/cover/2226754.jpg", "Обложка")</f>
        <v>Обложка</v>
      </c>
      <c r="V3168" s="8" t="s">
        <v>2175</v>
      </c>
      <c r="W3168" s="6"/>
      <c r="X3168" s="6"/>
      <c r="Y3168" s="6"/>
      <c r="Z3168" s="6" t="s">
        <v>3911</v>
      </c>
      <c r="AA3168" s="6" t="s">
        <v>430</v>
      </c>
      <c r="AB3168" s="8"/>
      <c r="AC3168" s="27">
        <v>9785160169200</v>
      </c>
    </row>
    <row r="3169" spans="1:29" s="4" customFormat="1" ht="42" customHeight="1" x14ac:dyDescent="0.2">
      <c r="A3169" s="5">
        <v>0</v>
      </c>
      <c r="B3169" s="6" t="s">
        <v>18563</v>
      </c>
      <c r="C3169" s="13">
        <v>784.8</v>
      </c>
      <c r="D3169" s="8" t="s">
        <v>18564</v>
      </c>
      <c r="E3169" s="8" t="s">
        <v>18565</v>
      </c>
      <c r="F3169" s="8" t="s">
        <v>18566</v>
      </c>
      <c r="G3169" s="6" t="s">
        <v>33</v>
      </c>
      <c r="H3169" s="6" t="s">
        <v>34</v>
      </c>
      <c r="I3169" s="8" t="s">
        <v>35</v>
      </c>
      <c r="J3169" s="9">
        <v>1</v>
      </c>
      <c r="K3169" s="9">
        <v>142</v>
      </c>
      <c r="L3169" s="9">
        <v>2024</v>
      </c>
      <c r="M3169" s="8" t="s">
        <v>18567</v>
      </c>
      <c r="N3169" s="8" t="s">
        <v>37</v>
      </c>
      <c r="O3169" s="8" t="s">
        <v>38</v>
      </c>
      <c r="P3169" s="6" t="s">
        <v>39</v>
      </c>
      <c r="Q3169" s="8" t="s">
        <v>40</v>
      </c>
      <c r="R3169" s="10" t="s">
        <v>4408</v>
      </c>
      <c r="S3169" s="11"/>
      <c r="T3169" s="6"/>
      <c r="U3169" s="15" t="str">
        <f>HYPERLINK("https://media.infra-m.ru/2120/2120773/cover/2120773.jpg", "Обложка")</f>
        <v>Обложка</v>
      </c>
      <c r="V3169" s="8" t="s">
        <v>164</v>
      </c>
      <c r="W3169" s="6"/>
      <c r="X3169" s="6"/>
      <c r="Y3169" s="6"/>
      <c r="Z3169" s="6"/>
      <c r="AA3169" s="6" t="s">
        <v>248</v>
      </c>
      <c r="AB3169" s="8"/>
      <c r="AC3169" s="27">
        <v>9785160093857</v>
      </c>
    </row>
    <row r="3170" spans="1:29" s="4" customFormat="1" ht="51.9" customHeight="1" x14ac:dyDescent="0.2">
      <c r="A3170" s="5">
        <v>0</v>
      </c>
      <c r="B3170" s="6" t="s">
        <v>18568</v>
      </c>
      <c r="C3170" s="7">
        <v>1644</v>
      </c>
      <c r="D3170" s="8" t="s">
        <v>18569</v>
      </c>
      <c r="E3170" s="8" t="s">
        <v>18570</v>
      </c>
      <c r="F3170" s="8" t="s">
        <v>1965</v>
      </c>
      <c r="G3170" s="6" t="s">
        <v>33</v>
      </c>
      <c r="H3170" s="6" t="s">
        <v>34</v>
      </c>
      <c r="I3170" s="8" t="s">
        <v>35</v>
      </c>
      <c r="J3170" s="9">
        <v>1</v>
      </c>
      <c r="K3170" s="9">
        <v>248</v>
      </c>
      <c r="L3170" s="9">
        <v>2026</v>
      </c>
      <c r="M3170" s="8" t="s">
        <v>18571</v>
      </c>
      <c r="N3170" s="8" t="s">
        <v>63</v>
      </c>
      <c r="O3170" s="8" t="s">
        <v>64</v>
      </c>
      <c r="P3170" s="6" t="s">
        <v>39</v>
      </c>
      <c r="Q3170" s="8" t="s">
        <v>40</v>
      </c>
      <c r="R3170" s="10" t="s">
        <v>18572</v>
      </c>
      <c r="S3170" s="11"/>
      <c r="T3170" s="6"/>
      <c r="U3170" s="15" t="str">
        <f>HYPERLINK("https://media.infra-m.ru/2254/2254872/cover/2254872.jpg", "Обложка")</f>
        <v>Обложка</v>
      </c>
      <c r="V3170" s="8" t="s">
        <v>1599</v>
      </c>
      <c r="W3170" s="6"/>
      <c r="X3170" s="6"/>
      <c r="Y3170" s="6"/>
      <c r="Z3170" s="6"/>
      <c r="AA3170" s="6" t="s">
        <v>779</v>
      </c>
      <c r="AB3170" s="8"/>
      <c r="AC3170" s="27">
        <v>9785160221342</v>
      </c>
    </row>
    <row r="3171" spans="1:29" s="4" customFormat="1" ht="51.9" customHeight="1" x14ac:dyDescent="0.2">
      <c r="A3171" s="5">
        <v>0</v>
      </c>
      <c r="B3171" s="6" t="s">
        <v>18573</v>
      </c>
      <c r="C3171" s="7">
        <v>1636.8</v>
      </c>
      <c r="D3171" s="8" t="s">
        <v>18574</v>
      </c>
      <c r="E3171" s="8" t="s">
        <v>18570</v>
      </c>
      <c r="F3171" s="8" t="s">
        <v>1965</v>
      </c>
      <c r="G3171" s="6" t="s">
        <v>118</v>
      </c>
      <c r="H3171" s="6" t="s">
        <v>34</v>
      </c>
      <c r="I3171" s="8" t="s">
        <v>35</v>
      </c>
      <c r="J3171" s="9">
        <v>1</v>
      </c>
      <c r="K3171" s="9">
        <v>248</v>
      </c>
      <c r="L3171" s="9">
        <v>2026</v>
      </c>
      <c r="M3171" s="8" t="s">
        <v>18575</v>
      </c>
      <c r="N3171" s="8" t="s">
        <v>63</v>
      </c>
      <c r="O3171" s="8" t="s">
        <v>64</v>
      </c>
      <c r="P3171" s="6" t="s">
        <v>39</v>
      </c>
      <c r="Q3171" s="8" t="s">
        <v>40</v>
      </c>
      <c r="R3171" s="10" t="s">
        <v>18572</v>
      </c>
      <c r="S3171" s="11"/>
      <c r="T3171" s="6"/>
      <c r="U3171" s="15" t="str">
        <f>HYPERLINK("https://media.infra-m.ru/2246/2246648/cover/2246648.jpg", "Обложка")</f>
        <v>Обложка</v>
      </c>
      <c r="V3171" s="8" t="s">
        <v>1599</v>
      </c>
      <c r="W3171" s="6"/>
      <c r="X3171" s="6"/>
      <c r="Y3171" s="6"/>
      <c r="Z3171" s="6"/>
      <c r="AA3171" s="6" t="s">
        <v>779</v>
      </c>
      <c r="AB3171" s="8"/>
      <c r="AC3171" s="27">
        <v>9785160120256</v>
      </c>
    </row>
    <row r="3172" spans="1:29" s="4" customFormat="1" ht="51.9" customHeight="1" x14ac:dyDescent="0.2">
      <c r="A3172" s="5">
        <v>0</v>
      </c>
      <c r="B3172" s="6" t="s">
        <v>18576</v>
      </c>
      <c r="C3172" s="7">
        <v>2200.8000000000002</v>
      </c>
      <c r="D3172" s="8" t="s">
        <v>18577</v>
      </c>
      <c r="E3172" s="8" t="s">
        <v>18578</v>
      </c>
      <c r="F3172" s="8" t="s">
        <v>18579</v>
      </c>
      <c r="G3172" s="6" t="s">
        <v>118</v>
      </c>
      <c r="H3172" s="6" t="s">
        <v>34</v>
      </c>
      <c r="I3172" s="8" t="s">
        <v>253</v>
      </c>
      <c r="J3172" s="9">
        <v>1</v>
      </c>
      <c r="K3172" s="9">
        <v>352</v>
      </c>
      <c r="L3172" s="9">
        <v>2025</v>
      </c>
      <c r="M3172" s="8" t="s">
        <v>18580</v>
      </c>
      <c r="N3172" s="8" t="s">
        <v>37</v>
      </c>
      <c r="O3172" s="8" t="s">
        <v>499</v>
      </c>
      <c r="P3172" s="6" t="s">
        <v>306</v>
      </c>
      <c r="Q3172" s="8" t="s">
        <v>52</v>
      </c>
      <c r="R3172" s="10" t="s">
        <v>8235</v>
      </c>
      <c r="S3172" s="11" t="s">
        <v>18581</v>
      </c>
      <c r="T3172" s="6"/>
      <c r="U3172" s="15" t="str">
        <f>HYPERLINK("https://media.infra-m.ru/2169/2169665/cover/2169665.jpg", "Обложка")</f>
        <v>Обложка</v>
      </c>
      <c r="V3172" s="8" t="s">
        <v>12235</v>
      </c>
      <c r="W3172" s="6"/>
      <c r="X3172" s="6"/>
      <c r="Y3172" s="6"/>
      <c r="Z3172" s="6"/>
      <c r="AA3172" s="6" t="s">
        <v>430</v>
      </c>
      <c r="AB3172" s="8"/>
      <c r="AC3172" s="27">
        <v>9785160192208</v>
      </c>
    </row>
    <row r="3173" spans="1:29" s="4" customFormat="1" ht="42" customHeight="1" x14ac:dyDescent="0.2">
      <c r="A3173" s="5">
        <v>0</v>
      </c>
      <c r="B3173" s="6" t="s">
        <v>18582</v>
      </c>
      <c r="C3173" s="7">
        <v>2112</v>
      </c>
      <c r="D3173" s="8" t="s">
        <v>18583</v>
      </c>
      <c r="E3173" s="8" t="s">
        <v>18578</v>
      </c>
      <c r="F3173" s="8" t="s">
        <v>18579</v>
      </c>
      <c r="G3173" s="6" t="s">
        <v>118</v>
      </c>
      <c r="H3173" s="6" t="s">
        <v>34</v>
      </c>
      <c r="I3173" s="8" t="s">
        <v>263</v>
      </c>
      <c r="J3173" s="9">
        <v>1</v>
      </c>
      <c r="K3173" s="9">
        <v>352</v>
      </c>
      <c r="L3173" s="9">
        <v>2025</v>
      </c>
      <c r="M3173" s="8" t="s">
        <v>18584</v>
      </c>
      <c r="N3173" s="8" t="s">
        <v>37</v>
      </c>
      <c r="O3173" s="8" t="s">
        <v>499</v>
      </c>
      <c r="P3173" s="6" t="s">
        <v>306</v>
      </c>
      <c r="Q3173" s="8" t="s">
        <v>265</v>
      </c>
      <c r="R3173" s="10" t="s">
        <v>18585</v>
      </c>
      <c r="S3173" s="11"/>
      <c r="T3173" s="6"/>
      <c r="U3173" s="15" t="str">
        <f>HYPERLINK("https://media.infra-m.ru/2169/2169666/cover/2169666.jpg", "Обложка")</f>
        <v>Обложка</v>
      </c>
      <c r="V3173" s="8" t="s">
        <v>12235</v>
      </c>
      <c r="W3173" s="6"/>
      <c r="X3173" s="6"/>
      <c r="Y3173" s="6"/>
      <c r="Z3173" s="6" t="s">
        <v>267</v>
      </c>
      <c r="AA3173" s="6" t="s">
        <v>68</v>
      </c>
      <c r="AB3173" s="8"/>
      <c r="AC3173" s="27">
        <v>9785160203225</v>
      </c>
    </row>
    <row r="3174" spans="1:29" s="4" customFormat="1" ht="51.9" customHeight="1" x14ac:dyDescent="0.2">
      <c r="A3174" s="5">
        <v>0</v>
      </c>
      <c r="B3174" s="6" t="s">
        <v>18586</v>
      </c>
      <c r="C3174" s="7">
        <v>1756.8</v>
      </c>
      <c r="D3174" s="8" t="s">
        <v>18587</v>
      </c>
      <c r="E3174" s="8" t="s">
        <v>18588</v>
      </c>
      <c r="F3174" s="8" t="s">
        <v>18589</v>
      </c>
      <c r="G3174" s="6" t="s">
        <v>118</v>
      </c>
      <c r="H3174" s="6" t="s">
        <v>241</v>
      </c>
      <c r="I3174" s="8" t="s">
        <v>241</v>
      </c>
      <c r="J3174" s="9">
        <v>1</v>
      </c>
      <c r="K3174" s="9">
        <v>282</v>
      </c>
      <c r="L3174" s="9">
        <v>2026</v>
      </c>
      <c r="M3174" s="8" t="s">
        <v>18590</v>
      </c>
      <c r="N3174" s="8" t="s">
        <v>37</v>
      </c>
      <c r="O3174" s="8" t="s">
        <v>499</v>
      </c>
      <c r="P3174" s="6" t="s">
        <v>51</v>
      </c>
      <c r="Q3174" s="8" t="s">
        <v>52</v>
      </c>
      <c r="R3174" s="10" t="s">
        <v>5099</v>
      </c>
      <c r="S3174" s="11" t="s">
        <v>18591</v>
      </c>
      <c r="T3174" s="6"/>
      <c r="U3174" s="15" t="str">
        <f>HYPERLINK("https://media.infra-m.ru/2218/2218410/cover/2218410.jpg", "Обложка")</f>
        <v>Обложка</v>
      </c>
      <c r="V3174" s="8" t="s">
        <v>247</v>
      </c>
      <c r="W3174" s="6"/>
      <c r="X3174" s="6"/>
      <c r="Y3174" s="6"/>
      <c r="Z3174" s="6"/>
      <c r="AA3174" s="6" t="s">
        <v>3391</v>
      </c>
      <c r="AB3174" s="8"/>
      <c r="AC3174" s="27">
        <v>9785955801636</v>
      </c>
    </row>
    <row r="3175" spans="1:29" s="4" customFormat="1" ht="51.9" customHeight="1" x14ac:dyDescent="0.2">
      <c r="A3175" s="5">
        <v>0</v>
      </c>
      <c r="B3175" s="6" t="s">
        <v>18592</v>
      </c>
      <c r="C3175" s="7">
        <v>1308</v>
      </c>
      <c r="D3175" s="8" t="s">
        <v>18593</v>
      </c>
      <c r="E3175" s="8" t="s">
        <v>18594</v>
      </c>
      <c r="F3175" s="8" t="s">
        <v>2457</v>
      </c>
      <c r="G3175" s="6" t="s">
        <v>118</v>
      </c>
      <c r="H3175" s="6" t="s">
        <v>34</v>
      </c>
      <c r="I3175" s="8" t="s">
        <v>253</v>
      </c>
      <c r="J3175" s="9">
        <v>1</v>
      </c>
      <c r="K3175" s="9">
        <v>201</v>
      </c>
      <c r="L3175" s="9">
        <v>2026</v>
      </c>
      <c r="M3175" s="8" t="s">
        <v>18595</v>
      </c>
      <c r="N3175" s="8" t="s">
        <v>37</v>
      </c>
      <c r="O3175" s="8" t="s">
        <v>499</v>
      </c>
      <c r="P3175" s="6" t="s">
        <v>51</v>
      </c>
      <c r="Q3175" s="8" t="s">
        <v>500</v>
      </c>
      <c r="R3175" s="10" t="s">
        <v>18596</v>
      </c>
      <c r="S3175" s="11" t="s">
        <v>18597</v>
      </c>
      <c r="T3175" s="6"/>
      <c r="U3175" s="15" t="str">
        <f>HYPERLINK("https://media.infra-m.ru/2214/2214874/cover/2214874.jpg", "Обложка")</f>
        <v>Обложка</v>
      </c>
      <c r="V3175" s="8" t="s">
        <v>761</v>
      </c>
      <c r="W3175" s="6"/>
      <c r="X3175" s="6"/>
      <c r="Y3175" s="6"/>
      <c r="Z3175" s="6"/>
      <c r="AA3175" s="6" t="s">
        <v>1256</v>
      </c>
      <c r="AB3175" s="8"/>
      <c r="AC3175" s="27">
        <v>9785160211343</v>
      </c>
    </row>
    <row r="3176" spans="1:29" s="4" customFormat="1" ht="51.9" customHeight="1" x14ac:dyDescent="0.2">
      <c r="A3176" s="5">
        <v>0</v>
      </c>
      <c r="B3176" s="6" t="s">
        <v>18598</v>
      </c>
      <c r="C3176" s="7">
        <v>1408.8</v>
      </c>
      <c r="D3176" s="8" t="s">
        <v>18599</v>
      </c>
      <c r="E3176" s="8" t="s">
        <v>18600</v>
      </c>
      <c r="F3176" s="8" t="s">
        <v>18601</v>
      </c>
      <c r="G3176" s="6" t="s">
        <v>118</v>
      </c>
      <c r="H3176" s="6" t="s">
        <v>34</v>
      </c>
      <c r="I3176" s="8" t="s">
        <v>263</v>
      </c>
      <c r="J3176" s="9">
        <v>1</v>
      </c>
      <c r="K3176" s="9">
        <v>214</v>
      </c>
      <c r="L3176" s="9">
        <v>2026</v>
      </c>
      <c r="M3176" s="8" t="s">
        <v>18602</v>
      </c>
      <c r="N3176" s="8" t="s">
        <v>37</v>
      </c>
      <c r="O3176" s="8" t="s">
        <v>499</v>
      </c>
      <c r="P3176" s="6" t="s">
        <v>306</v>
      </c>
      <c r="Q3176" s="8" t="s">
        <v>265</v>
      </c>
      <c r="R3176" s="10" t="s">
        <v>4160</v>
      </c>
      <c r="S3176" s="11" t="s">
        <v>7521</v>
      </c>
      <c r="T3176" s="6"/>
      <c r="U3176" s="15" t="str">
        <f>HYPERLINK("https://media.infra-m.ru/2233/2233163/cover/2233163.jpg", "Обложка")</f>
        <v>Обложка</v>
      </c>
      <c r="V3176" s="8" t="s">
        <v>18603</v>
      </c>
      <c r="W3176" s="6"/>
      <c r="X3176" s="6"/>
      <c r="Y3176" s="6"/>
      <c r="Z3176" s="6" t="s">
        <v>267</v>
      </c>
      <c r="AA3176" s="6" t="s">
        <v>86</v>
      </c>
      <c r="AB3176" s="8"/>
      <c r="AC3176" s="27">
        <v>9785160139623</v>
      </c>
    </row>
    <row r="3177" spans="1:29" s="4" customFormat="1" ht="42" customHeight="1" x14ac:dyDescent="0.2">
      <c r="A3177" s="5">
        <v>0</v>
      </c>
      <c r="B3177" s="6" t="s">
        <v>18604</v>
      </c>
      <c r="C3177" s="7">
        <v>1416</v>
      </c>
      <c r="D3177" s="8" t="s">
        <v>18605</v>
      </c>
      <c r="E3177" s="8" t="s">
        <v>18600</v>
      </c>
      <c r="F3177" s="8" t="s">
        <v>18601</v>
      </c>
      <c r="G3177" s="6" t="s">
        <v>118</v>
      </c>
      <c r="H3177" s="6" t="s">
        <v>34</v>
      </c>
      <c r="I3177" s="8" t="s">
        <v>253</v>
      </c>
      <c r="J3177" s="9">
        <v>1</v>
      </c>
      <c r="K3177" s="9">
        <v>214</v>
      </c>
      <c r="L3177" s="9">
        <v>2026</v>
      </c>
      <c r="M3177" s="8" t="s">
        <v>18606</v>
      </c>
      <c r="N3177" s="8" t="s">
        <v>37</v>
      </c>
      <c r="O3177" s="8" t="s">
        <v>499</v>
      </c>
      <c r="P3177" s="6" t="s">
        <v>306</v>
      </c>
      <c r="Q3177" s="8" t="s">
        <v>52</v>
      </c>
      <c r="R3177" s="10" t="s">
        <v>12778</v>
      </c>
      <c r="S3177" s="11"/>
      <c r="T3177" s="6"/>
      <c r="U3177" s="15" t="str">
        <f>HYPERLINK("https://media.infra-m.ru/2248/2248346/cover/2248346.jpg", "Обложка")</f>
        <v>Обложка</v>
      </c>
      <c r="V3177" s="8" t="s">
        <v>18603</v>
      </c>
      <c r="W3177" s="6"/>
      <c r="X3177" s="6"/>
      <c r="Y3177" s="6"/>
      <c r="Z3177" s="6"/>
      <c r="AA3177" s="6" t="s">
        <v>129</v>
      </c>
      <c r="AB3177" s="8"/>
      <c r="AC3177" s="27">
        <v>9785160197012</v>
      </c>
    </row>
    <row r="3178" spans="1:29" s="4" customFormat="1" ht="51.9" customHeight="1" x14ac:dyDescent="0.2">
      <c r="A3178" s="5">
        <v>0</v>
      </c>
      <c r="B3178" s="6" t="s">
        <v>18607</v>
      </c>
      <c r="C3178" s="7">
        <v>1972.8</v>
      </c>
      <c r="D3178" s="8" t="s">
        <v>18608</v>
      </c>
      <c r="E3178" s="8" t="s">
        <v>18600</v>
      </c>
      <c r="F3178" s="8" t="s">
        <v>18609</v>
      </c>
      <c r="G3178" s="6" t="s">
        <v>60</v>
      </c>
      <c r="H3178" s="6" t="s">
        <v>34</v>
      </c>
      <c r="I3178" s="8" t="s">
        <v>271</v>
      </c>
      <c r="J3178" s="9">
        <v>1</v>
      </c>
      <c r="K3178" s="9">
        <v>316</v>
      </c>
      <c r="L3178" s="9">
        <v>2025</v>
      </c>
      <c r="M3178" s="8" t="s">
        <v>18610</v>
      </c>
      <c r="N3178" s="8" t="s">
        <v>37</v>
      </c>
      <c r="O3178" s="8" t="s">
        <v>499</v>
      </c>
      <c r="P3178" s="6" t="s">
        <v>51</v>
      </c>
      <c r="Q3178" s="8" t="s">
        <v>52</v>
      </c>
      <c r="R3178" s="10" t="s">
        <v>12778</v>
      </c>
      <c r="S3178" s="11" t="s">
        <v>18611</v>
      </c>
      <c r="T3178" s="6"/>
      <c r="U3178" s="15" t="str">
        <f>HYPERLINK("https://media.infra-m.ru/2193/2193172/cover/2193172.jpg", "Обложка")</f>
        <v>Обложка</v>
      </c>
      <c r="V3178" s="8" t="s">
        <v>227</v>
      </c>
      <c r="W3178" s="6"/>
      <c r="X3178" s="6"/>
      <c r="Y3178" s="6"/>
      <c r="Z3178" s="6"/>
      <c r="AA3178" s="6" t="s">
        <v>1015</v>
      </c>
      <c r="AB3178" s="8"/>
      <c r="AC3178" s="27">
        <v>9785160099675</v>
      </c>
    </row>
    <row r="3179" spans="1:29" s="4" customFormat="1" ht="42" customHeight="1" x14ac:dyDescent="0.2">
      <c r="A3179" s="5">
        <v>0</v>
      </c>
      <c r="B3179" s="6" t="s">
        <v>18612</v>
      </c>
      <c r="C3179" s="7">
        <v>2212.8000000000002</v>
      </c>
      <c r="D3179" s="8" t="s">
        <v>18613</v>
      </c>
      <c r="E3179" s="8" t="s">
        <v>18614</v>
      </c>
      <c r="F3179" s="8" t="s">
        <v>18615</v>
      </c>
      <c r="G3179" s="6" t="s">
        <v>60</v>
      </c>
      <c r="H3179" s="6" t="s">
        <v>34</v>
      </c>
      <c r="I3179" s="8" t="s">
        <v>504</v>
      </c>
      <c r="J3179" s="9">
        <v>1</v>
      </c>
      <c r="K3179" s="9">
        <v>392</v>
      </c>
      <c r="L3179" s="9">
        <v>2024</v>
      </c>
      <c r="M3179" s="8" t="s">
        <v>18616</v>
      </c>
      <c r="N3179" s="8" t="s">
        <v>37</v>
      </c>
      <c r="O3179" s="8" t="s">
        <v>499</v>
      </c>
      <c r="P3179" s="6" t="s">
        <v>51</v>
      </c>
      <c r="Q3179" s="8" t="s">
        <v>500</v>
      </c>
      <c r="R3179" s="10" t="s">
        <v>18617</v>
      </c>
      <c r="S3179" s="11"/>
      <c r="T3179" s="6"/>
      <c r="U3179" s="15" t="str">
        <f>HYPERLINK("https://media.infra-m.ru/2152/2152119/cover/2152119.jpg", "Обложка")</f>
        <v>Обложка</v>
      </c>
      <c r="V3179" s="8"/>
      <c r="W3179" s="6"/>
      <c r="X3179" s="6"/>
      <c r="Y3179" s="6"/>
      <c r="Z3179" s="6"/>
      <c r="AA3179" s="6" t="s">
        <v>258</v>
      </c>
      <c r="AB3179" s="8"/>
      <c r="AC3179" s="27">
        <v>9785160171579</v>
      </c>
    </row>
    <row r="3180" spans="1:29" s="4" customFormat="1" ht="42" customHeight="1" x14ac:dyDescent="0.2">
      <c r="A3180" s="5">
        <v>0</v>
      </c>
      <c r="B3180" s="6" t="s">
        <v>18618</v>
      </c>
      <c r="C3180" s="7">
        <v>1200</v>
      </c>
      <c r="D3180" s="8" t="s">
        <v>18619</v>
      </c>
      <c r="E3180" s="8" t="s">
        <v>18620</v>
      </c>
      <c r="F3180" s="8" t="s">
        <v>18621</v>
      </c>
      <c r="G3180" s="6" t="s">
        <v>118</v>
      </c>
      <c r="H3180" s="6" t="s">
        <v>241</v>
      </c>
      <c r="I3180" s="8"/>
      <c r="J3180" s="9">
        <v>1</v>
      </c>
      <c r="K3180" s="9">
        <v>216</v>
      </c>
      <c r="L3180" s="9">
        <v>2024</v>
      </c>
      <c r="M3180" s="8" t="s">
        <v>18622</v>
      </c>
      <c r="N3180" s="8" t="s">
        <v>37</v>
      </c>
      <c r="O3180" s="8" t="s">
        <v>499</v>
      </c>
      <c r="P3180" s="6" t="s">
        <v>394</v>
      </c>
      <c r="Q3180" s="8" t="s">
        <v>52</v>
      </c>
      <c r="R3180" s="10" t="s">
        <v>11492</v>
      </c>
      <c r="S3180" s="11"/>
      <c r="T3180" s="6"/>
      <c r="U3180" s="15" t="str">
        <f>HYPERLINK("https://media.infra-m.ru/2124/2124356/cover/2124356.jpg", "Обложка")</f>
        <v>Обложка</v>
      </c>
      <c r="V3180" s="8" t="s">
        <v>6583</v>
      </c>
      <c r="W3180" s="6"/>
      <c r="X3180" s="6"/>
      <c r="Y3180" s="6"/>
      <c r="Z3180" s="6"/>
      <c r="AA3180" s="6" t="s">
        <v>779</v>
      </c>
      <c r="AB3180" s="8"/>
      <c r="AC3180" s="27">
        <v>9785955804255</v>
      </c>
    </row>
    <row r="3181" spans="1:29" s="4" customFormat="1" ht="51.9" customHeight="1" x14ac:dyDescent="0.2">
      <c r="A3181" s="5">
        <v>0</v>
      </c>
      <c r="B3181" s="6" t="s">
        <v>18623</v>
      </c>
      <c r="C3181" s="7">
        <v>1080</v>
      </c>
      <c r="D3181" s="8" t="s">
        <v>18624</v>
      </c>
      <c r="E3181" s="8" t="s">
        <v>18625</v>
      </c>
      <c r="F3181" s="8" t="s">
        <v>7831</v>
      </c>
      <c r="G3181" s="6" t="s">
        <v>118</v>
      </c>
      <c r="H3181" s="6" t="s">
        <v>34</v>
      </c>
      <c r="I3181" s="8" t="s">
        <v>263</v>
      </c>
      <c r="J3181" s="9">
        <v>1</v>
      </c>
      <c r="K3181" s="9">
        <v>236</v>
      </c>
      <c r="L3181" s="9">
        <v>2022</v>
      </c>
      <c r="M3181" s="8" t="s">
        <v>18626</v>
      </c>
      <c r="N3181" s="8" t="s">
        <v>37</v>
      </c>
      <c r="O3181" s="8" t="s">
        <v>499</v>
      </c>
      <c r="P3181" s="6" t="s">
        <v>51</v>
      </c>
      <c r="Q3181" s="8" t="s">
        <v>265</v>
      </c>
      <c r="R3181" s="10" t="s">
        <v>2813</v>
      </c>
      <c r="S3181" s="11" t="s">
        <v>18627</v>
      </c>
      <c r="T3181" s="6"/>
      <c r="U3181" s="15" t="str">
        <f>HYPERLINK("https://media.infra-m.ru/1855/1855778/cover/1855778.jpg", "Обложка")</f>
        <v>Обложка</v>
      </c>
      <c r="V3181" s="8" t="s">
        <v>445</v>
      </c>
      <c r="W3181" s="6"/>
      <c r="X3181" s="6"/>
      <c r="Y3181" s="6"/>
      <c r="Z3181" s="6" t="s">
        <v>267</v>
      </c>
      <c r="AA3181" s="6" t="s">
        <v>1256</v>
      </c>
      <c r="AB3181" s="8"/>
      <c r="AC3181" s="27">
        <v>9785160156316</v>
      </c>
    </row>
    <row r="3182" spans="1:29" s="4" customFormat="1" ht="51.9" customHeight="1" x14ac:dyDescent="0.2">
      <c r="A3182" s="5">
        <v>0</v>
      </c>
      <c r="B3182" s="6" t="s">
        <v>18628</v>
      </c>
      <c r="C3182" s="7">
        <v>1420.8</v>
      </c>
      <c r="D3182" s="8" t="s">
        <v>18629</v>
      </c>
      <c r="E3182" s="8" t="s">
        <v>18625</v>
      </c>
      <c r="F3182" s="8" t="s">
        <v>7831</v>
      </c>
      <c r="G3182" s="6" t="s">
        <v>60</v>
      </c>
      <c r="H3182" s="6" t="s">
        <v>34</v>
      </c>
      <c r="I3182" s="8" t="s">
        <v>271</v>
      </c>
      <c r="J3182" s="9">
        <v>1</v>
      </c>
      <c r="K3182" s="9">
        <v>236</v>
      </c>
      <c r="L3182" s="9">
        <v>2025</v>
      </c>
      <c r="M3182" s="8" t="s">
        <v>18630</v>
      </c>
      <c r="N3182" s="8" t="s">
        <v>37</v>
      </c>
      <c r="O3182" s="8" t="s">
        <v>499</v>
      </c>
      <c r="P3182" s="6" t="s">
        <v>51</v>
      </c>
      <c r="Q3182" s="8" t="s">
        <v>52</v>
      </c>
      <c r="R3182" s="10" t="s">
        <v>8257</v>
      </c>
      <c r="S3182" s="11" t="s">
        <v>18631</v>
      </c>
      <c r="T3182" s="6"/>
      <c r="U3182" s="15" t="str">
        <f>HYPERLINK("https://media.infra-m.ru/2182/2182621/cover/2182621.jpg", "Обложка")</f>
        <v>Обложка</v>
      </c>
      <c r="V3182" s="8" t="s">
        <v>445</v>
      </c>
      <c r="W3182" s="6"/>
      <c r="X3182" s="6"/>
      <c r="Y3182" s="6"/>
      <c r="Z3182" s="6"/>
      <c r="AA3182" s="6" t="s">
        <v>115</v>
      </c>
      <c r="AB3182" s="8"/>
      <c r="AC3182" s="27">
        <v>9785160144276</v>
      </c>
    </row>
    <row r="3183" spans="1:29" s="4" customFormat="1" ht="51.9" customHeight="1" x14ac:dyDescent="0.2">
      <c r="A3183" s="5">
        <v>0</v>
      </c>
      <c r="B3183" s="6" t="s">
        <v>18632</v>
      </c>
      <c r="C3183" s="13">
        <v>880.8</v>
      </c>
      <c r="D3183" s="8" t="s">
        <v>18633</v>
      </c>
      <c r="E3183" s="8" t="s">
        <v>18634</v>
      </c>
      <c r="F3183" s="8" t="s">
        <v>18635</v>
      </c>
      <c r="G3183" s="6" t="s">
        <v>60</v>
      </c>
      <c r="H3183" s="6" t="s">
        <v>313</v>
      </c>
      <c r="I3183" s="8" t="s">
        <v>253</v>
      </c>
      <c r="J3183" s="9">
        <v>1</v>
      </c>
      <c r="K3183" s="9">
        <v>133</v>
      </c>
      <c r="L3183" s="9">
        <v>2026</v>
      </c>
      <c r="M3183" s="8" t="s">
        <v>18636</v>
      </c>
      <c r="N3183" s="8" t="s">
        <v>37</v>
      </c>
      <c r="O3183" s="8" t="s">
        <v>499</v>
      </c>
      <c r="P3183" s="6" t="s">
        <v>51</v>
      </c>
      <c r="Q3183" s="8" t="s">
        <v>52</v>
      </c>
      <c r="R3183" s="10" t="s">
        <v>18637</v>
      </c>
      <c r="S3183" s="11"/>
      <c r="T3183" s="6"/>
      <c r="U3183" s="15" t="str">
        <f>HYPERLINK("https://media.infra-m.ru/2244/2244302/cover/2244302.jpg", "Обложка")</f>
        <v>Обложка</v>
      </c>
      <c r="V3183" s="8" t="s">
        <v>9565</v>
      </c>
      <c r="W3183" s="6"/>
      <c r="X3183" s="6"/>
      <c r="Y3183" s="6"/>
      <c r="Z3183" s="6"/>
      <c r="AA3183" s="6" t="s">
        <v>55</v>
      </c>
      <c r="AB3183" s="8"/>
      <c r="AC3183" s="27">
        <v>9785369011805</v>
      </c>
    </row>
    <row r="3184" spans="1:29" s="4" customFormat="1" ht="42" customHeight="1" x14ac:dyDescent="0.2">
      <c r="A3184" s="5">
        <v>0</v>
      </c>
      <c r="B3184" s="6" t="s">
        <v>18638</v>
      </c>
      <c r="C3184" s="7">
        <v>2032.8</v>
      </c>
      <c r="D3184" s="8" t="s">
        <v>18639</v>
      </c>
      <c r="E3184" s="8" t="s">
        <v>18640</v>
      </c>
      <c r="F3184" s="8" t="s">
        <v>606</v>
      </c>
      <c r="G3184" s="6" t="s">
        <v>60</v>
      </c>
      <c r="H3184" s="6" t="s">
        <v>241</v>
      </c>
      <c r="I3184" s="8"/>
      <c r="J3184" s="9">
        <v>1</v>
      </c>
      <c r="K3184" s="9">
        <v>368</v>
      </c>
      <c r="L3184" s="9">
        <v>2024</v>
      </c>
      <c r="M3184" s="8" t="s">
        <v>18641</v>
      </c>
      <c r="N3184" s="8" t="s">
        <v>37</v>
      </c>
      <c r="O3184" s="8" t="s">
        <v>499</v>
      </c>
      <c r="P3184" s="6" t="s">
        <v>306</v>
      </c>
      <c r="Q3184" s="8" t="s">
        <v>500</v>
      </c>
      <c r="R3184" s="10" t="s">
        <v>3832</v>
      </c>
      <c r="S3184" s="11"/>
      <c r="T3184" s="6" t="s">
        <v>97</v>
      </c>
      <c r="U3184" s="15" t="str">
        <f>HYPERLINK("https://media.infra-m.ru/2084/2084405/cover/2084405.jpg", "Обложка")</f>
        <v>Обложка</v>
      </c>
      <c r="V3184" s="8" t="s">
        <v>247</v>
      </c>
      <c r="W3184" s="6"/>
      <c r="X3184" s="6"/>
      <c r="Y3184" s="6"/>
      <c r="Z3184" s="6"/>
      <c r="AA3184" s="6" t="s">
        <v>779</v>
      </c>
      <c r="AB3184" s="8"/>
      <c r="AC3184" s="27">
        <v>9785955804194</v>
      </c>
    </row>
    <row r="3185" spans="1:29" s="4" customFormat="1" ht="51.9" customHeight="1" x14ac:dyDescent="0.2">
      <c r="A3185" s="5">
        <v>0</v>
      </c>
      <c r="B3185" s="6" t="s">
        <v>18642</v>
      </c>
      <c r="C3185" s="7">
        <v>1480.8</v>
      </c>
      <c r="D3185" s="8" t="s">
        <v>18643</v>
      </c>
      <c r="E3185" s="8" t="s">
        <v>18644</v>
      </c>
      <c r="F3185" s="8" t="s">
        <v>18645</v>
      </c>
      <c r="G3185" s="6" t="s">
        <v>33</v>
      </c>
      <c r="H3185" s="6" t="s">
        <v>241</v>
      </c>
      <c r="I3185" s="8" t="s">
        <v>3496</v>
      </c>
      <c r="J3185" s="9">
        <v>1</v>
      </c>
      <c r="K3185" s="9">
        <v>267</v>
      </c>
      <c r="L3185" s="9">
        <v>2024</v>
      </c>
      <c r="M3185" s="8" t="s">
        <v>18646</v>
      </c>
      <c r="N3185" s="8" t="s">
        <v>37</v>
      </c>
      <c r="O3185" s="8" t="s">
        <v>499</v>
      </c>
      <c r="P3185" s="6" t="s">
        <v>39</v>
      </c>
      <c r="Q3185" s="8" t="s">
        <v>40</v>
      </c>
      <c r="R3185" s="10" t="s">
        <v>18647</v>
      </c>
      <c r="S3185" s="11"/>
      <c r="T3185" s="6"/>
      <c r="U3185" s="15" t="str">
        <f>HYPERLINK("https://media.infra-m.ru/2082/2082731/cover/2082731.jpg", "Обложка")</f>
        <v>Обложка</v>
      </c>
      <c r="V3185" s="8" t="s">
        <v>247</v>
      </c>
      <c r="W3185" s="6"/>
      <c r="X3185" s="6"/>
      <c r="Y3185" s="6"/>
      <c r="Z3185" s="6"/>
      <c r="AA3185" s="6" t="s">
        <v>248</v>
      </c>
      <c r="AB3185" s="8"/>
      <c r="AC3185" s="27">
        <v>9785955803616</v>
      </c>
    </row>
    <row r="3186" spans="1:29" s="4" customFormat="1" ht="51.9" customHeight="1" x14ac:dyDescent="0.2">
      <c r="A3186" s="5">
        <v>0</v>
      </c>
      <c r="B3186" s="6" t="s">
        <v>18648</v>
      </c>
      <c r="C3186" s="7">
        <v>1104</v>
      </c>
      <c r="D3186" s="8" t="s">
        <v>18649</v>
      </c>
      <c r="E3186" s="8" t="s">
        <v>18650</v>
      </c>
      <c r="F3186" s="8" t="s">
        <v>18651</v>
      </c>
      <c r="G3186" s="6" t="s">
        <v>60</v>
      </c>
      <c r="H3186" s="6" t="s">
        <v>34</v>
      </c>
      <c r="I3186" s="8" t="s">
        <v>504</v>
      </c>
      <c r="J3186" s="9">
        <v>1</v>
      </c>
      <c r="K3186" s="9">
        <v>181</v>
      </c>
      <c r="L3186" s="9">
        <v>2025</v>
      </c>
      <c r="M3186" s="8" t="s">
        <v>18652</v>
      </c>
      <c r="N3186" s="8" t="s">
        <v>37</v>
      </c>
      <c r="O3186" s="8" t="s">
        <v>499</v>
      </c>
      <c r="P3186" s="6" t="s">
        <v>306</v>
      </c>
      <c r="Q3186" s="8" t="s">
        <v>500</v>
      </c>
      <c r="R3186" s="10" t="s">
        <v>18653</v>
      </c>
      <c r="S3186" s="11"/>
      <c r="T3186" s="6"/>
      <c r="U3186" s="15" t="str">
        <f>HYPERLINK("https://media.infra-m.ru/2049/2049715/cover/2049715.jpg", "Обложка")</f>
        <v>Обложка</v>
      </c>
      <c r="V3186" s="8" t="s">
        <v>6059</v>
      </c>
      <c r="W3186" s="6"/>
      <c r="X3186" s="6"/>
      <c r="Y3186" s="6"/>
      <c r="Z3186" s="6"/>
      <c r="AA3186" s="6" t="s">
        <v>68</v>
      </c>
      <c r="AB3186" s="8"/>
      <c r="AC3186" s="27">
        <v>9785160187167</v>
      </c>
    </row>
    <row r="3187" spans="1:29" s="4" customFormat="1" ht="42" customHeight="1" x14ac:dyDescent="0.2">
      <c r="A3187" s="5">
        <v>0</v>
      </c>
      <c r="B3187" s="6" t="s">
        <v>18654</v>
      </c>
      <c r="C3187" s="7">
        <v>1620</v>
      </c>
      <c r="D3187" s="8" t="s">
        <v>18655</v>
      </c>
      <c r="E3187" s="8" t="s">
        <v>18656</v>
      </c>
      <c r="F3187" s="8" t="s">
        <v>18657</v>
      </c>
      <c r="G3187" s="6" t="s">
        <v>33</v>
      </c>
      <c r="H3187" s="6" t="s">
        <v>1644</v>
      </c>
      <c r="I3187" s="8"/>
      <c r="J3187" s="9">
        <v>1</v>
      </c>
      <c r="K3187" s="9">
        <v>264</v>
      </c>
      <c r="L3187" s="9">
        <v>2025</v>
      </c>
      <c r="M3187" s="8" t="s">
        <v>18658</v>
      </c>
      <c r="N3187" s="8" t="s">
        <v>37</v>
      </c>
      <c r="O3187" s="8" t="s">
        <v>499</v>
      </c>
      <c r="P3187" s="6" t="s">
        <v>39</v>
      </c>
      <c r="Q3187" s="8" t="s">
        <v>40</v>
      </c>
      <c r="R3187" s="10" t="s">
        <v>18659</v>
      </c>
      <c r="S3187" s="11"/>
      <c r="T3187" s="6"/>
      <c r="U3187" s="15" t="str">
        <f>HYPERLINK("https://media.infra-m.ru/2163/2163976/cover/2163976.jpg", "Обложка")</f>
        <v>Обложка</v>
      </c>
      <c r="V3187" s="8" t="s">
        <v>1505</v>
      </c>
      <c r="W3187" s="6"/>
      <c r="X3187" s="6"/>
      <c r="Y3187" s="6"/>
      <c r="Z3187" s="6"/>
      <c r="AA3187" s="6" t="s">
        <v>86</v>
      </c>
      <c r="AB3187" s="8"/>
      <c r="AC3187" s="27">
        <v>9785977605724</v>
      </c>
    </row>
    <row r="3188" spans="1:29" s="4" customFormat="1" ht="42" customHeight="1" x14ac:dyDescent="0.2">
      <c r="A3188" s="5">
        <v>0</v>
      </c>
      <c r="B3188" s="6" t="s">
        <v>18660</v>
      </c>
      <c r="C3188" s="7">
        <v>1576.8</v>
      </c>
      <c r="D3188" s="8" t="s">
        <v>18661</v>
      </c>
      <c r="E3188" s="8" t="s">
        <v>18656</v>
      </c>
      <c r="F3188" s="8" t="s">
        <v>18657</v>
      </c>
      <c r="G3188" s="6" t="s">
        <v>60</v>
      </c>
      <c r="H3188" s="6" t="s">
        <v>1644</v>
      </c>
      <c r="I3188" s="8"/>
      <c r="J3188" s="9">
        <v>1</v>
      </c>
      <c r="K3188" s="9">
        <v>264</v>
      </c>
      <c r="L3188" s="9">
        <v>2024</v>
      </c>
      <c r="M3188" s="8" t="s">
        <v>18662</v>
      </c>
      <c r="N3188" s="8" t="s">
        <v>37</v>
      </c>
      <c r="O3188" s="8" t="s">
        <v>499</v>
      </c>
      <c r="P3188" s="6" t="s">
        <v>39</v>
      </c>
      <c r="Q3188" s="8" t="s">
        <v>40</v>
      </c>
      <c r="R3188" s="10" t="s">
        <v>18659</v>
      </c>
      <c r="S3188" s="11"/>
      <c r="T3188" s="6"/>
      <c r="U3188" s="15" t="str">
        <f>HYPERLINK("https://media.infra-m.ru/2156/2156913/cover/2156913.jpg", "Обложка")</f>
        <v>Обложка</v>
      </c>
      <c r="V3188" s="8" t="s">
        <v>1505</v>
      </c>
      <c r="W3188" s="6"/>
      <c r="X3188" s="6"/>
      <c r="Y3188" s="6"/>
      <c r="Z3188" s="6"/>
      <c r="AA3188" s="6" t="s">
        <v>86</v>
      </c>
      <c r="AB3188" s="8"/>
      <c r="AC3188" s="27">
        <v>9785977604727</v>
      </c>
    </row>
    <row r="3189" spans="1:29" s="4" customFormat="1" ht="51.9" customHeight="1" x14ac:dyDescent="0.2">
      <c r="A3189" s="5">
        <v>0</v>
      </c>
      <c r="B3189" s="6" t="s">
        <v>18663</v>
      </c>
      <c r="C3189" s="13">
        <v>773.9</v>
      </c>
      <c r="D3189" s="8" t="s">
        <v>18664</v>
      </c>
      <c r="E3189" s="8" t="s">
        <v>18665</v>
      </c>
      <c r="F3189" s="8" t="s">
        <v>18666</v>
      </c>
      <c r="G3189" s="6" t="s">
        <v>33</v>
      </c>
      <c r="H3189" s="6" t="s">
        <v>34</v>
      </c>
      <c r="I3189" s="8" t="s">
        <v>35</v>
      </c>
      <c r="J3189" s="9">
        <v>1</v>
      </c>
      <c r="K3189" s="9">
        <v>166</v>
      </c>
      <c r="L3189" s="9">
        <v>2022</v>
      </c>
      <c r="M3189" s="8" t="s">
        <v>18667</v>
      </c>
      <c r="N3189" s="8" t="s">
        <v>37</v>
      </c>
      <c r="O3189" s="8" t="s">
        <v>499</v>
      </c>
      <c r="P3189" s="6" t="s">
        <v>39</v>
      </c>
      <c r="Q3189" s="8" t="s">
        <v>40</v>
      </c>
      <c r="R3189" s="10" t="s">
        <v>2061</v>
      </c>
      <c r="S3189" s="11"/>
      <c r="T3189" s="6"/>
      <c r="U3189" s="15" t="str">
        <f>HYPERLINK("https://media.infra-m.ru/1843/1843623/cover/1843623.jpg", "Обложка")</f>
        <v>Обложка</v>
      </c>
      <c r="V3189" s="8" t="s">
        <v>5244</v>
      </c>
      <c r="W3189" s="6"/>
      <c r="X3189" s="6"/>
      <c r="Y3189" s="6"/>
      <c r="Z3189" s="6"/>
      <c r="AA3189" s="6" t="s">
        <v>43</v>
      </c>
      <c r="AB3189" s="8"/>
      <c r="AC3189" s="27">
        <v>9785160054971</v>
      </c>
    </row>
    <row r="3190" spans="1:29" s="4" customFormat="1" ht="51.9" customHeight="1" x14ac:dyDescent="0.2">
      <c r="A3190" s="5">
        <v>0</v>
      </c>
      <c r="B3190" s="6" t="s">
        <v>18668</v>
      </c>
      <c r="C3190" s="7">
        <v>1121.9000000000001</v>
      </c>
      <c r="D3190" s="8" t="s">
        <v>18669</v>
      </c>
      <c r="E3190" s="8" t="s">
        <v>18670</v>
      </c>
      <c r="F3190" s="8" t="s">
        <v>18671</v>
      </c>
      <c r="G3190" s="6" t="s">
        <v>60</v>
      </c>
      <c r="H3190" s="6" t="s">
        <v>34</v>
      </c>
      <c r="I3190" s="8" t="s">
        <v>271</v>
      </c>
      <c r="J3190" s="9">
        <v>1</v>
      </c>
      <c r="K3190" s="9">
        <v>207</v>
      </c>
      <c r="L3190" s="9">
        <v>2023</v>
      </c>
      <c r="M3190" s="8" t="s">
        <v>18672</v>
      </c>
      <c r="N3190" s="8" t="s">
        <v>37</v>
      </c>
      <c r="O3190" s="8" t="s">
        <v>499</v>
      </c>
      <c r="P3190" s="6" t="s">
        <v>51</v>
      </c>
      <c r="Q3190" s="8" t="s">
        <v>52</v>
      </c>
      <c r="R3190" s="10" t="s">
        <v>18673</v>
      </c>
      <c r="S3190" s="11" t="s">
        <v>18674</v>
      </c>
      <c r="T3190" s="6"/>
      <c r="U3190" s="15" t="str">
        <f>HYPERLINK("https://media.infra-m.ru/2044/2044351/cover/2044351.jpg", "Обложка")</f>
        <v>Обложка</v>
      </c>
      <c r="V3190" s="8" t="s">
        <v>5244</v>
      </c>
      <c r="W3190" s="6"/>
      <c r="X3190" s="6"/>
      <c r="Y3190" s="6"/>
      <c r="Z3190" s="6"/>
      <c r="AA3190" s="6" t="s">
        <v>43</v>
      </c>
      <c r="AB3190" s="8"/>
      <c r="AC3190" s="27">
        <v>9785160055794</v>
      </c>
    </row>
    <row r="3191" spans="1:29" s="4" customFormat="1" ht="42" customHeight="1" x14ac:dyDescent="0.2">
      <c r="A3191" s="5">
        <v>0</v>
      </c>
      <c r="B3191" s="6" t="s">
        <v>18675</v>
      </c>
      <c r="C3191" s="7">
        <v>1188</v>
      </c>
      <c r="D3191" s="8" t="s">
        <v>18676</v>
      </c>
      <c r="E3191" s="8" t="s">
        <v>18677</v>
      </c>
      <c r="F3191" s="8" t="s">
        <v>18678</v>
      </c>
      <c r="G3191" s="6" t="s">
        <v>33</v>
      </c>
      <c r="H3191" s="6" t="s">
        <v>34</v>
      </c>
      <c r="I3191" s="8" t="s">
        <v>35</v>
      </c>
      <c r="J3191" s="9">
        <v>1</v>
      </c>
      <c r="K3191" s="9">
        <v>197</v>
      </c>
      <c r="L3191" s="9">
        <v>2025</v>
      </c>
      <c r="M3191" s="8" t="s">
        <v>18679</v>
      </c>
      <c r="N3191" s="8" t="s">
        <v>93</v>
      </c>
      <c r="O3191" s="8" t="s">
        <v>94</v>
      </c>
      <c r="P3191" s="6" t="s">
        <v>39</v>
      </c>
      <c r="Q3191" s="8" t="s">
        <v>40</v>
      </c>
      <c r="R3191" s="10" t="s">
        <v>1563</v>
      </c>
      <c r="S3191" s="11"/>
      <c r="T3191" s="6"/>
      <c r="U3191" s="15" t="str">
        <f>HYPERLINK("https://media.infra-m.ru/2155/2155768/cover/2155768.jpg", "Обложка")</f>
        <v>Обложка</v>
      </c>
      <c r="V3191" s="8" t="s">
        <v>5406</v>
      </c>
      <c r="W3191" s="6"/>
      <c r="X3191" s="6"/>
      <c r="Y3191" s="6"/>
      <c r="Z3191" s="6"/>
      <c r="AA3191" s="6" t="s">
        <v>68</v>
      </c>
      <c r="AB3191" s="8" t="s">
        <v>3833</v>
      </c>
      <c r="AC3191" s="27">
        <v>9785160200422</v>
      </c>
    </row>
    <row r="3192" spans="1:29" s="4" customFormat="1" ht="51.9" customHeight="1" x14ac:dyDescent="0.2">
      <c r="A3192" s="5">
        <v>0</v>
      </c>
      <c r="B3192" s="6" t="s">
        <v>18680</v>
      </c>
      <c r="C3192" s="7">
        <v>1008</v>
      </c>
      <c r="D3192" s="8" t="s">
        <v>18681</v>
      </c>
      <c r="E3192" s="8" t="s">
        <v>18682</v>
      </c>
      <c r="F3192" s="8" t="s">
        <v>18683</v>
      </c>
      <c r="G3192" s="6" t="s">
        <v>33</v>
      </c>
      <c r="H3192" s="6" t="s">
        <v>48</v>
      </c>
      <c r="I3192" s="8" t="s">
        <v>401</v>
      </c>
      <c r="J3192" s="9">
        <v>1</v>
      </c>
      <c r="K3192" s="9">
        <v>144</v>
      </c>
      <c r="L3192" s="9">
        <v>2027</v>
      </c>
      <c r="M3192" s="8" t="s">
        <v>18684</v>
      </c>
      <c r="N3192" s="8" t="s">
        <v>37</v>
      </c>
      <c r="O3192" s="8" t="s">
        <v>499</v>
      </c>
      <c r="P3192" s="6" t="s">
        <v>51</v>
      </c>
      <c r="Q3192" s="8" t="s">
        <v>265</v>
      </c>
      <c r="R3192" s="10" t="s">
        <v>2745</v>
      </c>
      <c r="S3192" s="11" t="s">
        <v>6429</v>
      </c>
      <c r="T3192" s="6"/>
      <c r="U3192" s="15" t="str">
        <f>HYPERLINK("https://media.infra-m.ru/2269/2269858/cover/2269858.jpg", "Обложка")</f>
        <v>Обложка</v>
      </c>
      <c r="V3192" s="8" t="s">
        <v>359</v>
      </c>
      <c r="W3192" s="6"/>
      <c r="X3192" s="6"/>
      <c r="Y3192" s="6"/>
      <c r="Z3192" s="6"/>
      <c r="AA3192" s="6" t="s">
        <v>874</v>
      </c>
      <c r="AB3192" s="8"/>
      <c r="AC3192" s="27">
        <v>9785000916926</v>
      </c>
    </row>
    <row r="3193" spans="1:29" s="4" customFormat="1" ht="42" customHeight="1" x14ac:dyDescent="0.2">
      <c r="A3193" s="5">
        <v>0</v>
      </c>
      <c r="B3193" s="6" t="s">
        <v>18685</v>
      </c>
      <c r="C3193" s="7">
        <v>1048.8</v>
      </c>
      <c r="D3193" s="8" t="s">
        <v>18686</v>
      </c>
      <c r="E3193" s="8" t="s">
        <v>18687</v>
      </c>
      <c r="F3193" s="8" t="s">
        <v>18688</v>
      </c>
      <c r="G3193" s="6" t="s">
        <v>118</v>
      </c>
      <c r="H3193" s="6" t="s">
        <v>241</v>
      </c>
      <c r="I3193" s="8" t="s">
        <v>253</v>
      </c>
      <c r="J3193" s="9">
        <v>1</v>
      </c>
      <c r="K3193" s="9">
        <v>159</v>
      </c>
      <c r="L3193" s="9">
        <v>2026</v>
      </c>
      <c r="M3193" s="8" t="s">
        <v>18689</v>
      </c>
      <c r="N3193" s="8" t="s">
        <v>37</v>
      </c>
      <c r="O3193" s="8" t="s">
        <v>499</v>
      </c>
      <c r="P3193" s="6" t="s">
        <v>51</v>
      </c>
      <c r="Q3193" s="8" t="s">
        <v>65</v>
      </c>
      <c r="R3193" s="10" t="s">
        <v>18690</v>
      </c>
      <c r="S3193" s="11"/>
      <c r="T3193" s="6"/>
      <c r="U3193" s="15" t="str">
        <f>HYPERLINK("https://media.infra-m.ru/2233/2233541/cover/2233541.jpg", "Обложка")</f>
        <v>Обложка</v>
      </c>
      <c r="V3193" s="8" t="s">
        <v>396</v>
      </c>
      <c r="W3193" s="6"/>
      <c r="X3193" s="6"/>
      <c r="Y3193" s="6"/>
      <c r="Z3193" s="6"/>
      <c r="AA3193" s="6" t="s">
        <v>1015</v>
      </c>
      <c r="AB3193" s="8"/>
      <c r="AC3193" s="27">
        <v>9785955801520</v>
      </c>
    </row>
    <row r="3194" spans="1:29" s="4" customFormat="1" ht="51.9" customHeight="1" x14ac:dyDescent="0.2">
      <c r="A3194" s="5">
        <v>0</v>
      </c>
      <c r="B3194" s="6" t="s">
        <v>18691</v>
      </c>
      <c r="C3194" s="7">
        <v>1044</v>
      </c>
      <c r="D3194" s="8" t="s">
        <v>18692</v>
      </c>
      <c r="E3194" s="8" t="s">
        <v>18687</v>
      </c>
      <c r="F3194" s="8" t="s">
        <v>18693</v>
      </c>
      <c r="G3194" s="6" t="s">
        <v>118</v>
      </c>
      <c r="H3194" s="6" t="s">
        <v>34</v>
      </c>
      <c r="I3194" s="8" t="s">
        <v>263</v>
      </c>
      <c r="J3194" s="9">
        <v>1</v>
      </c>
      <c r="K3194" s="9">
        <v>159</v>
      </c>
      <c r="L3194" s="9">
        <v>2026</v>
      </c>
      <c r="M3194" s="8" t="s">
        <v>18694</v>
      </c>
      <c r="N3194" s="8" t="s">
        <v>37</v>
      </c>
      <c r="O3194" s="8" t="s">
        <v>499</v>
      </c>
      <c r="P3194" s="6" t="s">
        <v>51</v>
      </c>
      <c r="Q3194" s="8" t="s">
        <v>265</v>
      </c>
      <c r="R3194" s="10" t="s">
        <v>14290</v>
      </c>
      <c r="S3194" s="11" t="s">
        <v>18695</v>
      </c>
      <c r="T3194" s="6"/>
      <c r="U3194" s="15" t="str">
        <f>HYPERLINK("https://media.infra-m.ru/2236/2236756/cover/2236756.jpg", "Обложка")</f>
        <v>Обложка</v>
      </c>
      <c r="V3194" s="8" t="s">
        <v>396</v>
      </c>
      <c r="W3194" s="6"/>
      <c r="X3194" s="6"/>
      <c r="Y3194" s="6"/>
      <c r="Z3194" s="6" t="s">
        <v>882</v>
      </c>
      <c r="AA3194" s="6" t="s">
        <v>148</v>
      </c>
      <c r="AB3194" s="8"/>
      <c r="AC3194" s="27">
        <v>9785160217505</v>
      </c>
    </row>
    <row r="3195" spans="1:29" s="4" customFormat="1" ht="44.1" customHeight="1" x14ac:dyDescent="0.2">
      <c r="A3195" s="5">
        <v>0</v>
      </c>
      <c r="B3195" s="6" t="s">
        <v>18696</v>
      </c>
      <c r="C3195" s="13">
        <v>772.8</v>
      </c>
      <c r="D3195" s="8" t="s">
        <v>18697</v>
      </c>
      <c r="E3195" s="8" t="s">
        <v>18698</v>
      </c>
      <c r="F3195" s="8" t="s">
        <v>18657</v>
      </c>
      <c r="G3195" s="6" t="s">
        <v>60</v>
      </c>
      <c r="H3195" s="6" t="s">
        <v>1644</v>
      </c>
      <c r="I3195" s="8"/>
      <c r="J3195" s="9">
        <v>1</v>
      </c>
      <c r="K3195" s="9">
        <v>124</v>
      </c>
      <c r="L3195" s="9">
        <v>2025</v>
      </c>
      <c r="M3195" s="8" t="s">
        <v>18699</v>
      </c>
      <c r="N3195" s="8" t="s">
        <v>37</v>
      </c>
      <c r="O3195" s="8" t="s">
        <v>499</v>
      </c>
      <c r="P3195" s="6" t="s">
        <v>51</v>
      </c>
      <c r="Q3195" s="8" t="s">
        <v>65</v>
      </c>
      <c r="R3195" s="10" t="s">
        <v>2053</v>
      </c>
      <c r="S3195" s="11"/>
      <c r="T3195" s="6"/>
      <c r="U3195" s="15" t="str">
        <f>HYPERLINK("https://media.infra-m.ru/2192/2192780/cover/2192780.jpg", "Обложка")</f>
        <v>Обложка</v>
      </c>
      <c r="V3195" s="8" t="s">
        <v>1505</v>
      </c>
      <c r="W3195" s="6"/>
      <c r="X3195" s="6"/>
      <c r="Y3195" s="6"/>
      <c r="Z3195" s="6"/>
      <c r="AA3195" s="6" t="s">
        <v>157</v>
      </c>
      <c r="AB3195" s="8"/>
      <c r="AC3195" s="27">
        <v>9785977605533</v>
      </c>
    </row>
    <row r="3196" spans="1:29" s="4" customFormat="1" ht="51.9" customHeight="1" x14ac:dyDescent="0.2">
      <c r="A3196" s="5">
        <v>0</v>
      </c>
      <c r="B3196" s="6" t="s">
        <v>18700</v>
      </c>
      <c r="C3196" s="7">
        <v>1037.9000000000001</v>
      </c>
      <c r="D3196" s="8" t="s">
        <v>18701</v>
      </c>
      <c r="E3196" s="8" t="s">
        <v>18702</v>
      </c>
      <c r="F3196" s="8" t="s">
        <v>18703</v>
      </c>
      <c r="G3196" s="6" t="s">
        <v>33</v>
      </c>
      <c r="H3196" s="6" t="s">
        <v>1644</v>
      </c>
      <c r="I3196" s="8"/>
      <c r="J3196" s="9">
        <v>1</v>
      </c>
      <c r="K3196" s="9">
        <v>192</v>
      </c>
      <c r="L3196" s="9">
        <v>2023</v>
      </c>
      <c r="M3196" s="8" t="s">
        <v>18704</v>
      </c>
      <c r="N3196" s="8" t="s">
        <v>37</v>
      </c>
      <c r="O3196" s="8" t="s">
        <v>499</v>
      </c>
      <c r="P3196" s="6" t="s">
        <v>51</v>
      </c>
      <c r="Q3196" s="8" t="s">
        <v>52</v>
      </c>
      <c r="R3196" s="10" t="s">
        <v>18705</v>
      </c>
      <c r="S3196" s="11"/>
      <c r="T3196" s="6"/>
      <c r="U3196" s="15" t="str">
        <f>HYPERLINK("https://media.infra-m.ru/2044/2044342/cover/2044342.jpg", "Обложка")</f>
        <v>Обложка</v>
      </c>
      <c r="V3196" s="8" t="s">
        <v>3787</v>
      </c>
      <c r="W3196" s="6"/>
      <c r="X3196" s="6"/>
      <c r="Y3196" s="6"/>
      <c r="Z3196" s="6"/>
      <c r="AA3196" s="6" t="s">
        <v>43</v>
      </c>
      <c r="AB3196" s="8"/>
      <c r="AC3196" s="27">
        <v>9785977602402</v>
      </c>
    </row>
    <row r="3197" spans="1:29" s="4" customFormat="1" ht="51.9" customHeight="1" x14ac:dyDescent="0.2">
      <c r="A3197" s="5">
        <v>0</v>
      </c>
      <c r="B3197" s="6" t="s">
        <v>18706</v>
      </c>
      <c r="C3197" s="7">
        <v>1668</v>
      </c>
      <c r="D3197" s="8" t="s">
        <v>18707</v>
      </c>
      <c r="E3197" s="8" t="s">
        <v>18708</v>
      </c>
      <c r="F3197" s="8" t="s">
        <v>18709</v>
      </c>
      <c r="G3197" s="6" t="s">
        <v>118</v>
      </c>
      <c r="H3197" s="6" t="s">
        <v>34</v>
      </c>
      <c r="I3197" s="8" t="s">
        <v>263</v>
      </c>
      <c r="J3197" s="9">
        <v>1</v>
      </c>
      <c r="K3197" s="9">
        <v>239</v>
      </c>
      <c r="L3197" s="9">
        <v>2027</v>
      </c>
      <c r="M3197" s="8" t="s">
        <v>18710</v>
      </c>
      <c r="N3197" s="8" t="s">
        <v>37</v>
      </c>
      <c r="O3197" s="8" t="s">
        <v>499</v>
      </c>
      <c r="P3197" s="6" t="s">
        <v>51</v>
      </c>
      <c r="Q3197" s="8" t="s">
        <v>265</v>
      </c>
      <c r="R3197" s="10" t="s">
        <v>18711</v>
      </c>
      <c r="S3197" s="11" t="s">
        <v>18712</v>
      </c>
      <c r="T3197" s="6"/>
      <c r="U3197" s="15" t="str">
        <f>HYPERLINK("https://media.infra-m.ru/2259/2259223/cover/2259223.jpg", "Обложка")</f>
        <v>Обложка</v>
      </c>
      <c r="V3197" s="8" t="s">
        <v>396</v>
      </c>
      <c r="W3197" s="6"/>
      <c r="X3197" s="6"/>
      <c r="Y3197" s="6"/>
      <c r="Z3197" s="6"/>
      <c r="AA3197" s="6" t="s">
        <v>718</v>
      </c>
      <c r="AB3197" s="8"/>
      <c r="AC3197" s="27">
        <v>9785160223704</v>
      </c>
    </row>
    <row r="3198" spans="1:29" s="4" customFormat="1" ht="51.9" customHeight="1" x14ac:dyDescent="0.2">
      <c r="A3198" s="5">
        <v>0</v>
      </c>
      <c r="B3198" s="6" t="s">
        <v>18713</v>
      </c>
      <c r="C3198" s="7">
        <v>2328</v>
      </c>
      <c r="D3198" s="8" t="s">
        <v>18714</v>
      </c>
      <c r="E3198" s="8" t="s">
        <v>18715</v>
      </c>
      <c r="F3198" s="8" t="s">
        <v>18716</v>
      </c>
      <c r="G3198" s="6" t="s">
        <v>118</v>
      </c>
      <c r="H3198" s="6" t="s">
        <v>34</v>
      </c>
      <c r="I3198" s="8" t="s">
        <v>263</v>
      </c>
      <c r="J3198" s="9">
        <v>1</v>
      </c>
      <c r="K3198" s="9">
        <v>352</v>
      </c>
      <c r="L3198" s="9">
        <v>2026</v>
      </c>
      <c r="M3198" s="8" t="s">
        <v>18717</v>
      </c>
      <c r="N3198" s="8" t="s">
        <v>37</v>
      </c>
      <c r="O3198" s="8" t="s">
        <v>499</v>
      </c>
      <c r="P3198" s="6" t="s">
        <v>51</v>
      </c>
      <c r="Q3198" s="8" t="s">
        <v>265</v>
      </c>
      <c r="R3198" s="10" t="s">
        <v>4160</v>
      </c>
      <c r="S3198" s="11" t="s">
        <v>18718</v>
      </c>
      <c r="T3198" s="6"/>
      <c r="U3198" s="15" t="str">
        <f>HYPERLINK("https://media.infra-m.ru/2248/2248351/cover/2248351.jpg", "Обложка")</f>
        <v>Обложка</v>
      </c>
      <c r="V3198" s="8" t="s">
        <v>1505</v>
      </c>
      <c r="W3198" s="6"/>
      <c r="X3198" s="6"/>
      <c r="Y3198" s="6"/>
      <c r="Z3198" s="6"/>
      <c r="AA3198" s="6" t="s">
        <v>1015</v>
      </c>
      <c r="AB3198" s="8"/>
      <c r="AC3198" s="27">
        <v>9785160220628</v>
      </c>
    </row>
    <row r="3199" spans="1:29" s="4" customFormat="1" ht="51.9" customHeight="1" x14ac:dyDescent="0.2">
      <c r="A3199" s="5">
        <v>0</v>
      </c>
      <c r="B3199" s="6" t="s">
        <v>18719</v>
      </c>
      <c r="C3199" s="7">
        <v>1300.8</v>
      </c>
      <c r="D3199" s="8" t="s">
        <v>18720</v>
      </c>
      <c r="E3199" s="8" t="s">
        <v>18721</v>
      </c>
      <c r="F3199" s="8" t="s">
        <v>18722</v>
      </c>
      <c r="G3199" s="6" t="s">
        <v>60</v>
      </c>
      <c r="H3199" s="6" t="s">
        <v>34</v>
      </c>
      <c r="I3199" s="8" t="s">
        <v>253</v>
      </c>
      <c r="J3199" s="9">
        <v>1</v>
      </c>
      <c r="K3199" s="9">
        <v>208</v>
      </c>
      <c r="L3199" s="9">
        <v>2025</v>
      </c>
      <c r="M3199" s="8" t="s">
        <v>18723</v>
      </c>
      <c r="N3199" s="8" t="s">
        <v>37</v>
      </c>
      <c r="O3199" s="8" t="s">
        <v>499</v>
      </c>
      <c r="P3199" s="6" t="s">
        <v>306</v>
      </c>
      <c r="Q3199" s="8" t="s">
        <v>52</v>
      </c>
      <c r="R3199" s="10" t="s">
        <v>18724</v>
      </c>
      <c r="S3199" s="11" t="s">
        <v>18725</v>
      </c>
      <c r="T3199" s="6"/>
      <c r="U3199" s="15" t="str">
        <f>HYPERLINK("https://media.infra-m.ru/2192/2192210/cover/2192210.jpg", "Обложка")</f>
        <v>Обложка</v>
      </c>
      <c r="V3199" s="8" t="s">
        <v>396</v>
      </c>
      <c r="W3199" s="6"/>
      <c r="X3199" s="6" t="s">
        <v>24</v>
      </c>
      <c r="Y3199" s="6"/>
      <c r="Z3199" s="6"/>
      <c r="AA3199" s="6" t="s">
        <v>43</v>
      </c>
      <c r="AB3199" s="8"/>
      <c r="AC3199" s="27">
        <v>9785160050218</v>
      </c>
    </row>
    <row r="3200" spans="1:29" s="4" customFormat="1" ht="51.9" customHeight="1" x14ac:dyDescent="0.2">
      <c r="A3200" s="5">
        <v>0</v>
      </c>
      <c r="B3200" s="6" t="s">
        <v>18726</v>
      </c>
      <c r="C3200" s="7">
        <v>2256</v>
      </c>
      <c r="D3200" s="8" t="s">
        <v>18727</v>
      </c>
      <c r="E3200" s="8" t="s">
        <v>18721</v>
      </c>
      <c r="F3200" s="8" t="s">
        <v>9006</v>
      </c>
      <c r="G3200" s="6" t="s">
        <v>60</v>
      </c>
      <c r="H3200" s="6" t="s">
        <v>34</v>
      </c>
      <c r="I3200" s="8" t="s">
        <v>253</v>
      </c>
      <c r="J3200" s="9">
        <v>1</v>
      </c>
      <c r="K3200" s="9">
        <v>364</v>
      </c>
      <c r="L3200" s="9">
        <v>2025</v>
      </c>
      <c r="M3200" s="8" t="s">
        <v>18728</v>
      </c>
      <c r="N3200" s="8" t="s">
        <v>37</v>
      </c>
      <c r="O3200" s="8" t="s">
        <v>499</v>
      </c>
      <c r="P3200" s="6" t="s">
        <v>51</v>
      </c>
      <c r="Q3200" s="8" t="s">
        <v>65</v>
      </c>
      <c r="R3200" s="10" t="s">
        <v>18729</v>
      </c>
      <c r="S3200" s="11"/>
      <c r="T3200" s="6"/>
      <c r="U3200" s="15" t="str">
        <f>HYPERLINK("https://media.infra-m.ru/2125/2125940/cover/2125940.jpg", "Обложка")</f>
        <v>Обложка</v>
      </c>
      <c r="V3200" s="8" t="s">
        <v>2047</v>
      </c>
      <c r="W3200" s="6"/>
      <c r="X3200" s="6"/>
      <c r="Y3200" s="6"/>
      <c r="Z3200" s="6"/>
      <c r="AA3200" s="6" t="s">
        <v>68</v>
      </c>
      <c r="AB3200" s="8" t="s">
        <v>1806</v>
      </c>
      <c r="AC3200" s="27">
        <v>9785160195384</v>
      </c>
    </row>
    <row r="3201" spans="1:29" s="4" customFormat="1" ht="51.9" customHeight="1" x14ac:dyDescent="0.2">
      <c r="A3201" s="5">
        <v>0</v>
      </c>
      <c r="B3201" s="6" t="s">
        <v>18730</v>
      </c>
      <c r="C3201" s="7">
        <v>1456.8</v>
      </c>
      <c r="D3201" s="8" t="s">
        <v>18731</v>
      </c>
      <c r="E3201" s="8" t="s">
        <v>18732</v>
      </c>
      <c r="F3201" s="8" t="s">
        <v>18733</v>
      </c>
      <c r="G3201" s="6" t="s">
        <v>33</v>
      </c>
      <c r="H3201" s="6" t="s">
        <v>34</v>
      </c>
      <c r="I3201" s="8" t="s">
        <v>253</v>
      </c>
      <c r="J3201" s="9">
        <v>1</v>
      </c>
      <c r="K3201" s="9">
        <v>219</v>
      </c>
      <c r="L3201" s="9">
        <v>2026</v>
      </c>
      <c r="M3201" s="8" t="s">
        <v>18734</v>
      </c>
      <c r="N3201" s="8" t="s">
        <v>37</v>
      </c>
      <c r="O3201" s="8" t="s">
        <v>499</v>
      </c>
      <c r="P3201" s="6" t="s">
        <v>51</v>
      </c>
      <c r="Q3201" s="8" t="s">
        <v>52</v>
      </c>
      <c r="R3201" s="10" t="s">
        <v>18735</v>
      </c>
      <c r="S3201" s="11" t="s">
        <v>16855</v>
      </c>
      <c r="T3201" s="6"/>
      <c r="U3201" s="15" t="str">
        <f>HYPERLINK("https://media.infra-m.ru/2221/2221037/cover/2221037.jpg", "Обложка")</f>
        <v>Обложка</v>
      </c>
      <c r="V3201" s="8" t="s">
        <v>5964</v>
      </c>
      <c r="W3201" s="6"/>
      <c r="X3201" s="6"/>
      <c r="Y3201" s="6"/>
      <c r="Z3201" s="6"/>
      <c r="AA3201" s="6" t="s">
        <v>1716</v>
      </c>
      <c r="AB3201" s="8"/>
      <c r="AC3201" s="27">
        <v>9785160191829</v>
      </c>
    </row>
    <row r="3202" spans="1:29" s="4" customFormat="1" ht="42" customHeight="1" x14ac:dyDescent="0.2">
      <c r="A3202" s="5">
        <v>0</v>
      </c>
      <c r="B3202" s="6" t="s">
        <v>18736</v>
      </c>
      <c r="C3202" s="7">
        <v>2748</v>
      </c>
      <c r="D3202" s="8" t="s">
        <v>18737</v>
      </c>
      <c r="E3202" s="8" t="s">
        <v>18738</v>
      </c>
      <c r="F3202" s="8" t="s">
        <v>18739</v>
      </c>
      <c r="G3202" s="6" t="s">
        <v>118</v>
      </c>
      <c r="H3202" s="6" t="s">
        <v>1644</v>
      </c>
      <c r="I3202" s="8"/>
      <c r="J3202" s="9">
        <v>1</v>
      </c>
      <c r="K3202" s="9">
        <v>512</v>
      </c>
      <c r="L3202" s="9">
        <v>2023</v>
      </c>
      <c r="M3202" s="8" t="s">
        <v>18740</v>
      </c>
      <c r="N3202" s="8" t="s">
        <v>37</v>
      </c>
      <c r="O3202" s="8" t="s">
        <v>499</v>
      </c>
      <c r="P3202" s="6" t="s">
        <v>394</v>
      </c>
      <c r="Q3202" s="8" t="s">
        <v>52</v>
      </c>
      <c r="R3202" s="10" t="s">
        <v>357</v>
      </c>
      <c r="S3202" s="11"/>
      <c r="T3202" s="6"/>
      <c r="U3202" s="15" t="str">
        <f>HYPERLINK("https://media.infra-m.ru/1898/1898167/cover/1898167.jpg", "Обложка")</f>
        <v>Обложка</v>
      </c>
      <c r="V3202" s="8" t="s">
        <v>18741</v>
      </c>
      <c r="W3202" s="6"/>
      <c r="X3202" s="6"/>
      <c r="Y3202" s="6"/>
      <c r="Z3202" s="6"/>
      <c r="AA3202" s="6" t="s">
        <v>1256</v>
      </c>
      <c r="AB3202" s="8"/>
      <c r="AC3202" s="27">
        <v>9785977605243</v>
      </c>
    </row>
    <row r="3203" spans="1:29" s="4" customFormat="1" ht="51.9" customHeight="1" x14ac:dyDescent="0.2">
      <c r="A3203" s="5">
        <v>0</v>
      </c>
      <c r="B3203" s="6" t="s">
        <v>18742</v>
      </c>
      <c r="C3203" s="7">
        <v>3672</v>
      </c>
      <c r="D3203" s="8" t="s">
        <v>18743</v>
      </c>
      <c r="E3203" s="8" t="s">
        <v>18744</v>
      </c>
      <c r="F3203" s="8" t="s">
        <v>18745</v>
      </c>
      <c r="G3203" s="6" t="s">
        <v>60</v>
      </c>
      <c r="H3203" s="6" t="s">
        <v>34</v>
      </c>
      <c r="I3203" s="8" t="s">
        <v>253</v>
      </c>
      <c r="J3203" s="9">
        <v>1</v>
      </c>
      <c r="K3203" s="9">
        <v>589</v>
      </c>
      <c r="L3203" s="9">
        <v>2025</v>
      </c>
      <c r="M3203" s="8" t="s">
        <v>18746</v>
      </c>
      <c r="N3203" s="8" t="s">
        <v>37</v>
      </c>
      <c r="O3203" s="8" t="s">
        <v>499</v>
      </c>
      <c r="P3203" s="6" t="s">
        <v>306</v>
      </c>
      <c r="Q3203" s="8" t="s">
        <v>52</v>
      </c>
      <c r="R3203" s="10" t="s">
        <v>2053</v>
      </c>
      <c r="S3203" s="11" t="s">
        <v>18747</v>
      </c>
      <c r="T3203" s="6"/>
      <c r="U3203" s="15" t="str">
        <f>HYPERLINK("https://media.infra-m.ru/2208/2208739/cover/2208739.jpg", "Обложка")</f>
        <v>Обложка</v>
      </c>
      <c r="V3203" s="8" t="s">
        <v>396</v>
      </c>
      <c r="W3203" s="6"/>
      <c r="X3203" s="6"/>
      <c r="Y3203" s="6"/>
      <c r="Z3203" s="6"/>
      <c r="AA3203" s="6" t="s">
        <v>1256</v>
      </c>
      <c r="AB3203" s="8"/>
      <c r="AC3203" s="27">
        <v>9785160190853</v>
      </c>
    </row>
    <row r="3204" spans="1:29" s="4" customFormat="1" ht="51.9" customHeight="1" x14ac:dyDescent="0.2">
      <c r="A3204" s="5">
        <v>0</v>
      </c>
      <c r="B3204" s="6" t="s">
        <v>18748</v>
      </c>
      <c r="C3204" s="7">
        <v>1860</v>
      </c>
      <c r="D3204" s="8" t="s">
        <v>18749</v>
      </c>
      <c r="E3204" s="8" t="s">
        <v>18738</v>
      </c>
      <c r="F3204" s="8" t="s">
        <v>18750</v>
      </c>
      <c r="G3204" s="6" t="s">
        <v>118</v>
      </c>
      <c r="H3204" s="6" t="s">
        <v>34</v>
      </c>
      <c r="I3204" s="8" t="s">
        <v>253</v>
      </c>
      <c r="J3204" s="9">
        <v>1</v>
      </c>
      <c r="K3204" s="9">
        <v>337</v>
      </c>
      <c r="L3204" s="9">
        <v>2024</v>
      </c>
      <c r="M3204" s="8" t="s">
        <v>18751</v>
      </c>
      <c r="N3204" s="8" t="s">
        <v>37</v>
      </c>
      <c r="O3204" s="8" t="s">
        <v>499</v>
      </c>
      <c r="P3204" s="6" t="s">
        <v>306</v>
      </c>
      <c r="Q3204" s="8" t="s">
        <v>52</v>
      </c>
      <c r="R3204" s="10" t="s">
        <v>5054</v>
      </c>
      <c r="S3204" s="11" t="s">
        <v>18752</v>
      </c>
      <c r="T3204" s="6"/>
      <c r="U3204" s="15" t="str">
        <f>HYPERLINK("https://media.infra-m.ru/2084/2084408/cover/2084408.jpg", "Обложка")</f>
        <v>Обложка</v>
      </c>
      <c r="V3204" s="8" t="s">
        <v>396</v>
      </c>
      <c r="W3204" s="6"/>
      <c r="X3204" s="6"/>
      <c r="Y3204" s="6"/>
      <c r="Z3204" s="6"/>
      <c r="AA3204" s="6" t="s">
        <v>561</v>
      </c>
      <c r="AB3204" s="8"/>
      <c r="AC3204" s="27">
        <v>9785160190761</v>
      </c>
    </row>
    <row r="3205" spans="1:29" s="4" customFormat="1" ht="51.9" customHeight="1" x14ac:dyDescent="0.2">
      <c r="A3205" s="5">
        <v>0</v>
      </c>
      <c r="B3205" s="6" t="s">
        <v>18753</v>
      </c>
      <c r="C3205" s="7">
        <v>2116.8000000000002</v>
      </c>
      <c r="D3205" s="8" t="s">
        <v>18754</v>
      </c>
      <c r="E3205" s="8" t="s">
        <v>18738</v>
      </c>
      <c r="F3205" s="8" t="s">
        <v>18755</v>
      </c>
      <c r="G3205" s="6" t="s">
        <v>60</v>
      </c>
      <c r="H3205" s="6" t="s">
        <v>5605</v>
      </c>
      <c r="I3205" s="8" t="s">
        <v>1501</v>
      </c>
      <c r="J3205" s="9">
        <v>1</v>
      </c>
      <c r="K3205" s="9">
        <v>383</v>
      </c>
      <c r="L3205" s="9">
        <v>2024</v>
      </c>
      <c r="M3205" s="8" t="s">
        <v>18756</v>
      </c>
      <c r="N3205" s="8" t="s">
        <v>37</v>
      </c>
      <c r="O3205" s="8" t="s">
        <v>499</v>
      </c>
      <c r="P3205" s="6" t="s">
        <v>306</v>
      </c>
      <c r="Q3205" s="8" t="s">
        <v>40</v>
      </c>
      <c r="R3205" s="10" t="s">
        <v>459</v>
      </c>
      <c r="S3205" s="11" t="s">
        <v>1504</v>
      </c>
      <c r="T3205" s="6"/>
      <c r="U3205" s="15" t="str">
        <f>HYPERLINK("https://media.infra-m.ru/1859/1859817/cover/1859817.jpg", "Обложка")</f>
        <v>Обложка</v>
      </c>
      <c r="V3205" s="8" t="s">
        <v>396</v>
      </c>
      <c r="W3205" s="6"/>
      <c r="X3205" s="6"/>
      <c r="Y3205" s="6"/>
      <c r="Z3205" s="6"/>
      <c r="AA3205" s="6" t="s">
        <v>4554</v>
      </c>
      <c r="AB3205" s="8"/>
      <c r="AC3205" s="27">
        <v>9785160022635</v>
      </c>
    </row>
    <row r="3206" spans="1:29" s="4" customFormat="1" ht="51.9" customHeight="1" x14ac:dyDescent="0.2">
      <c r="A3206" s="5">
        <v>0</v>
      </c>
      <c r="B3206" s="6" t="s">
        <v>18757</v>
      </c>
      <c r="C3206" s="7">
        <v>2616</v>
      </c>
      <c r="D3206" s="8" t="s">
        <v>18758</v>
      </c>
      <c r="E3206" s="8" t="s">
        <v>18738</v>
      </c>
      <c r="F3206" s="8" t="s">
        <v>18759</v>
      </c>
      <c r="G3206" s="6" t="s">
        <v>60</v>
      </c>
      <c r="H3206" s="6" t="s">
        <v>1042</v>
      </c>
      <c r="I3206" s="8" t="s">
        <v>253</v>
      </c>
      <c r="J3206" s="9">
        <v>1</v>
      </c>
      <c r="K3206" s="9">
        <v>464</v>
      </c>
      <c r="L3206" s="9">
        <v>2024</v>
      </c>
      <c r="M3206" s="8" t="s">
        <v>18760</v>
      </c>
      <c r="N3206" s="8" t="s">
        <v>37</v>
      </c>
      <c r="O3206" s="8" t="s">
        <v>499</v>
      </c>
      <c r="P3206" s="6" t="s">
        <v>306</v>
      </c>
      <c r="Q3206" s="8" t="s">
        <v>52</v>
      </c>
      <c r="R3206" s="10" t="s">
        <v>18761</v>
      </c>
      <c r="S3206" s="11"/>
      <c r="T3206" s="6"/>
      <c r="U3206" s="15" t="str">
        <f>HYPERLINK("https://media.infra-m.ru/2103/2103739/cover/2103739.jpg", "Обложка")</f>
        <v>Обложка</v>
      </c>
      <c r="V3206" s="8" t="s">
        <v>5271</v>
      </c>
      <c r="W3206" s="6"/>
      <c r="X3206" s="6"/>
      <c r="Y3206" s="6"/>
      <c r="Z3206" s="6"/>
      <c r="AA3206" s="6" t="s">
        <v>43</v>
      </c>
      <c r="AB3206" s="8"/>
      <c r="AC3206" s="27">
        <v>9785819909546</v>
      </c>
    </row>
    <row r="3207" spans="1:29" s="4" customFormat="1" ht="51.9" customHeight="1" x14ac:dyDescent="0.2">
      <c r="A3207" s="5">
        <v>0</v>
      </c>
      <c r="B3207" s="6" t="s">
        <v>18762</v>
      </c>
      <c r="C3207" s="7">
        <v>1313.9</v>
      </c>
      <c r="D3207" s="8" t="s">
        <v>18763</v>
      </c>
      <c r="E3207" s="8" t="s">
        <v>18738</v>
      </c>
      <c r="F3207" s="8" t="s">
        <v>18764</v>
      </c>
      <c r="G3207" s="6" t="s">
        <v>60</v>
      </c>
      <c r="H3207" s="6" t="s">
        <v>34</v>
      </c>
      <c r="I3207" s="8" t="s">
        <v>271</v>
      </c>
      <c r="J3207" s="9">
        <v>1</v>
      </c>
      <c r="K3207" s="9">
        <v>320</v>
      </c>
      <c r="L3207" s="9">
        <v>2020</v>
      </c>
      <c r="M3207" s="8" t="s">
        <v>18765</v>
      </c>
      <c r="N3207" s="8" t="s">
        <v>37</v>
      </c>
      <c r="O3207" s="8" t="s">
        <v>499</v>
      </c>
      <c r="P3207" s="6" t="s">
        <v>306</v>
      </c>
      <c r="Q3207" s="8" t="s">
        <v>52</v>
      </c>
      <c r="R3207" s="10" t="s">
        <v>18766</v>
      </c>
      <c r="S3207" s="11" t="s">
        <v>18767</v>
      </c>
      <c r="T3207" s="6" t="s">
        <v>97</v>
      </c>
      <c r="U3207" s="15" t="str">
        <f>HYPERLINK("https://media.infra-m.ru/1081/1081913/cover/1081913.jpg", "Обложка")</f>
        <v>Обложка</v>
      </c>
      <c r="V3207" s="8" t="s">
        <v>1768</v>
      </c>
      <c r="W3207" s="6"/>
      <c r="X3207" s="6"/>
      <c r="Y3207" s="6"/>
      <c r="Z3207" s="6"/>
      <c r="AA3207" s="6" t="s">
        <v>779</v>
      </c>
      <c r="AB3207" s="8"/>
      <c r="AC3207" s="27">
        <v>9785160109213</v>
      </c>
    </row>
    <row r="3208" spans="1:29" s="4" customFormat="1" ht="51.9" customHeight="1" x14ac:dyDescent="0.2">
      <c r="A3208" s="5">
        <v>0</v>
      </c>
      <c r="B3208" s="6" t="s">
        <v>18768</v>
      </c>
      <c r="C3208" s="7">
        <v>2460</v>
      </c>
      <c r="D3208" s="8" t="s">
        <v>18769</v>
      </c>
      <c r="E3208" s="8" t="s">
        <v>18770</v>
      </c>
      <c r="F3208" s="8" t="s">
        <v>18764</v>
      </c>
      <c r="G3208" s="6" t="s">
        <v>60</v>
      </c>
      <c r="H3208" s="6" t="s">
        <v>34</v>
      </c>
      <c r="I3208" s="8" t="s">
        <v>253</v>
      </c>
      <c r="J3208" s="9">
        <v>1</v>
      </c>
      <c r="K3208" s="9">
        <v>410</v>
      </c>
      <c r="L3208" s="9">
        <v>2024</v>
      </c>
      <c r="M3208" s="8" t="s">
        <v>18771</v>
      </c>
      <c r="N3208" s="8" t="s">
        <v>37</v>
      </c>
      <c r="O3208" s="8" t="s">
        <v>499</v>
      </c>
      <c r="P3208" s="6" t="s">
        <v>306</v>
      </c>
      <c r="Q3208" s="8" t="s">
        <v>52</v>
      </c>
      <c r="R3208" s="10" t="s">
        <v>18766</v>
      </c>
      <c r="S3208" s="11" t="s">
        <v>18772</v>
      </c>
      <c r="T3208" s="6" t="s">
        <v>97</v>
      </c>
      <c r="U3208" s="15" t="str">
        <f>HYPERLINK("https://media.infra-m.ru/2156/2156773/cover/2156773.jpg", "Обложка")</f>
        <v>Обложка</v>
      </c>
      <c r="V3208" s="8" t="s">
        <v>1768</v>
      </c>
      <c r="W3208" s="6"/>
      <c r="X3208" s="6"/>
      <c r="Y3208" s="6"/>
      <c r="Z3208" s="6"/>
      <c r="AA3208" s="6" t="s">
        <v>896</v>
      </c>
      <c r="AB3208" s="8"/>
      <c r="AC3208" s="27">
        <v>9785160200767</v>
      </c>
    </row>
    <row r="3209" spans="1:29" s="4" customFormat="1" ht="42" customHeight="1" x14ac:dyDescent="0.2">
      <c r="A3209" s="5">
        <v>0</v>
      </c>
      <c r="B3209" s="6" t="s">
        <v>18773</v>
      </c>
      <c r="C3209" s="7">
        <v>1296</v>
      </c>
      <c r="D3209" s="8" t="s">
        <v>18774</v>
      </c>
      <c r="E3209" s="8" t="s">
        <v>18738</v>
      </c>
      <c r="F3209" s="8" t="s">
        <v>18775</v>
      </c>
      <c r="G3209" s="6" t="s">
        <v>118</v>
      </c>
      <c r="H3209" s="6" t="s">
        <v>313</v>
      </c>
      <c r="I3209" s="8" t="s">
        <v>401</v>
      </c>
      <c r="J3209" s="9">
        <v>1</v>
      </c>
      <c r="K3209" s="9">
        <v>240</v>
      </c>
      <c r="L3209" s="9">
        <v>2023</v>
      </c>
      <c r="M3209" s="8" t="s">
        <v>18776</v>
      </c>
      <c r="N3209" s="8" t="s">
        <v>37</v>
      </c>
      <c r="O3209" s="8" t="s">
        <v>499</v>
      </c>
      <c r="P3209" s="6" t="s">
        <v>306</v>
      </c>
      <c r="Q3209" s="8" t="s">
        <v>265</v>
      </c>
      <c r="R3209" s="10" t="s">
        <v>18777</v>
      </c>
      <c r="S3209" s="11"/>
      <c r="T3209" s="6"/>
      <c r="U3209" s="15" t="str">
        <f>HYPERLINK("https://media.infra-m.ru/1976/1976161/cover/1976161.jpg", "Обложка")</f>
        <v>Обложка</v>
      </c>
      <c r="V3209" s="8" t="s">
        <v>6457</v>
      </c>
      <c r="W3209" s="6"/>
      <c r="X3209" s="6"/>
      <c r="Y3209" s="6"/>
      <c r="Z3209" s="6" t="s">
        <v>267</v>
      </c>
      <c r="AA3209" s="6" t="s">
        <v>115</v>
      </c>
      <c r="AB3209" s="8"/>
      <c r="AC3209" s="27">
        <v>9785369018118</v>
      </c>
    </row>
    <row r="3210" spans="1:29" s="4" customFormat="1" ht="51.9" customHeight="1" x14ac:dyDescent="0.2">
      <c r="A3210" s="5">
        <v>0</v>
      </c>
      <c r="B3210" s="6" t="s">
        <v>18778</v>
      </c>
      <c r="C3210" s="7">
        <v>2032.8</v>
      </c>
      <c r="D3210" s="8" t="s">
        <v>18779</v>
      </c>
      <c r="E3210" s="8" t="s">
        <v>18738</v>
      </c>
      <c r="F3210" s="8" t="s">
        <v>18780</v>
      </c>
      <c r="G3210" s="6" t="s">
        <v>60</v>
      </c>
      <c r="H3210" s="6" t="s">
        <v>1644</v>
      </c>
      <c r="I3210" s="8" t="s">
        <v>1904</v>
      </c>
      <c r="J3210" s="9">
        <v>1</v>
      </c>
      <c r="K3210" s="9">
        <v>368</v>
      </c>
      <c r="L3210" s="9">
        <v>2024</v>
      </c>
      <c r="M3210" s="8" t="s">
        <v>18781</v>
      </c>
      <c r="N3210" s="8" t="s">
        <v>37</v>
      </c>
      <c r="O3210" s="8" t="s">
        <v>499</v>
      </c>
      <c r="P3210" s="6" t="s">
        <v>306</v>
      </c>
      <c r="Q3210" s="8" t="s">
        <v>52</v>
      </c>
      <c r="R3210" s="10" t="s">
        <v>18782</v>
      </c>
      <c r="S3210" s="11" t="s">
        <v>18783</v>
      </c>
      <c r="T3210" s="6"/>
      <c r="U3210" s="15" t="str">
        <f>HYPERLINK("https://media.infra-m.ru/2083/2083312/cover/2083312.jpg", "Обложка")</f>
        <v>Обложка</v>
      </c>
      <c r="V3210" s="8" t="s">
        <v>227</v>
      </c>
      <c r="W3210" s="6"/>
      <c r="X3210" s="6"/>
      <c r="Y3210" s="6"/>
      <c r="Z3210" s="6"/>
      <c r="AA3210" s="6" t="s">
        <v>43</v>
      </c>
      <c r="AB3210" s="8"/>
      <c r="AC3210" s="27">
        <v>9785977602389</v>
      </c>
    </row>
    <row r="3211" spans="1:29" s="4" customFormat="1" ht="51.9" customHeight="1" x14ac:dyDescent="0.2">
      <c r="A3211" s="5">
        <v>0</v>
      </c>
      <c r="B3211" s="6" t="s">
        <v>18784</v>
      </c>
      <c r="C3211" s="7">
        <v>1684.8</v>
      </c>
      <c r="D3211" s="8" t="s">
        <v>18785</v>
      </c>
      <c r="E3211" s="8" t="s">
        <v>18738</v>
      </c>
      <c r="F3211" s="8" t="s">
        <v>18786</v>
      </c>
      <c r="G3211" s="6" t="s">
        <v>118</v>
      </c>
      <c r="H3211" s="6" t="s">
        <v>34</v>
      </c>
      <c r="I3211" s="8" t="s">
        <v>271</v>
      </c>
      <c r="J3211" s="9">
        <v>1</v>
      </c>
      <c r="K3211" s="9">
        <v>305</v>
      </c>
      <c r="L3211" s="9">
        <v>2024</v>
      </c>
      <c r="M3211" s="8" t="s">
        <v>18787</v>
      </c>
      <c r="N3211" s="8" t="s">
        <v>37</v>
      </c>
      <c r="O3211" s="8" t="s">
        <v>499</v>
      </c>
      <c r="P3211" s="6" t="s">
        <v>306</v>
      </c>
      <c r="Q3211" s="8" t="s">
        <v>52</v>
      </c>
      <c r="R3211" s="10" t="s">
        <v>18788</v>
      </c>
      <c r="S3211" s="11" t="s">
        <v>18789</v>
      </c>
      <c r="T3211" s="6"/>
      <c r="U3211" s="15" t="str">
        <f>HYPERLINK("https://media.infra-m.ru/2103/2103695/cover/2103695.jpg", "Обложка")</f>
        <v>Обложка</v>
      </c>
      <c r="V3211" s="8" t="s">
        <v>18790</v>
      </c>
      <c r="W3211" s="6"/>
      <c r="X3211" s="6"/>
      <c r="Y3211" s="6"/>
      <c r="Z3211" s="6"/>
      <c r="AA3211" s="6" t="s">
        <v>86</v>
      </c>
      <c r="AB3211" s="8"/>
      <c r="AC3211" s="27">
        <v>9785160137834</v>
      </c>
    </row>
    <row r="3212" spans="1:29" s="4" customFormat="1" ht="51.9" customHeight="1" x14ac:dyDescent="0.2">
      <c r="A3212" s="5">
        <v>0</v>
      </c>
      <c r="B3212" s="6" t="s">
        <v>18791</v>
      </c>
      <c r="C3212" s="7">
        <v>2392.8000000000002</v>
      </c>
      <c r="D3212" s="8" t="s">
        <v>18792</v>
      </c>
      <c r="E3212" s="8" t="s">
        <v>18738</v>
      </c>
      <c r="F3212" s="8" t="s">
        <v>18793</v>
      </c>
      <c r="G3212" s="6" t="s">
        <v>60</v>
      </c>
      <c r="H3212" s="6" t="s">
        <v>241</v>
      </c>
      <c r="I3212" s="8"/>
      <c r="J3212" s="9">
        <v>1</v>
      </c>
      <c r="K3212" s="9">
        <v>384</v>
      </c>
      <c r="L3212" s="9">
        <v>2026</v>
      </c>
      <c r="M3212" s="8" t="s">
        <v>18794</v>
      </c>
      <c r="N3212" s="8" t="s">
        <v>37</v>
      </c>
      <c r="O3212" s="8" t="s">
        <v>499</v>
      </c>
      <c r="P3212" s="6" t="s">
        <v>51</v>
      </c>
      <c r="Q3212" s="8" t="s">
        <v>52</v>
      </c>
      <c r="R3212" s="10" t="s">
        <v>18795</v>
      </c>
      <c r="S3212" s="11" t="s">
        <v>18796</v>
      </c>
      <c r="T3212" s="6"/>
      <c r="U3212" s="15" t="str">
        <f>HYPERLINK("https://media.infra-m.ru/2202/2202838/cover/2202838.jpg", "Обложка")</f>
        <v>Обложка</v>
      </c>
      <c r="V3212" s="8" t="s">
        <v>247</v>
      </c>
      <c r="W3212" s="6"/>
      <c r="X3212" s="6"/>
      <c r="Y3212" s="6"/>
      <c r="Z3212" s="6"/>
      <c r="AA3212" s="6" t="s">
        <v>129</v>
      </c>
      <c r="AB3212" s="8"/>
      <c r="AC3212" s="27">
        <v>9785955801834</v>
      </c>
    </row>
    <row r="3213" spans="1:29" s="4" customFormat="1" ht="51.9" customHeight="1" x14ac:dyDescent="0.2">
      <c r="A3213" s="5">
        <v>0</v>
      </c>
      <c r="B3213" s="6" t="s">
        <v>18797</v>
      </c>
      <c r="C3213" s="7">
        <v>1656</v>
      </c>
      <c r="D3213" s="8" t="s">
        <v>18798</v>
      </c>
      <c r="E3213" s="8" t="s">
        <v>18799</v>
      </c>
      <c r="F3213" s="8" t="s">
        <v>18800</v>
      </c>
      <c r="G3213" s="6" t="s">
        <v>118</v>
      </c>
      <c r="H3213" s="6" t="s">
        <v>34</v>
      </c>
      <c r="I3213" s="8" t="s">
        <v>263</v>
      </c>
      <c r="J3213" s="9">
        <v>1</v>
      </c>
      <c r="K3213" s="9">
        <v>238</v>
      </c>
      <c r="L3213" s="9">
        <v>2026</v>
      </c>
      <c r="M3213" s="8" t="s">
        <v>18801</v>
      </c>
      <c r="N3213" s="8" t="s">
        <v>37</v>
      </c>
      <c r="O3213" s="8" t="s">
        <v>499</v>
      </c>
      <c r="P3213" s="6" t="s">
        <v>51</v>
      </c>
      <c r="Q3213" s="8" t="s">
        <v>265</v>
      </c>
      <c r="R3213" s="10" t="s">
        <v>18711</v>
      </c>
      <c r="S3213" s="11" t="s">
        <v>18802</v>
      </c>
      <c r="T3213" s="6"/>
      <c r="U3213" s="15" t="str">
        <f>HYPERLINK("https://media.infra-m.ru/2258/2258029/cover/2258029.jpg", "Обложка")</f>
        <v>Обложка</v>
      </c>
      <c r="V3213" s="8" t="s">
        <v>396</v>
      </c>
      <c r="W3213" s="6"/>
      <c r="X3213" s="6"/>
      <c r="Y3213" s="6"/>
      <c r="Z3213" s="6"/>
      <c r="AA3213" s="6" t="s">
        <v>3721</v>
      </c>
      <c r="AB3213" s="8"/>
      <c r="AC3213" s="27">
        <v>9785160222219</v>
      </c>
    </row>
    <row r="3214" spans="1:29" s="4" customFormat="1" ht="51.9" customHeight="1" x14ac:dyDescent="0.2">
      <c r="A3214" s="5">
        <v>0</v>
      </c>
      <c r="B3214" s="6" t="s">
        <v>18803</v>
      </c>
      <c r="C3214" s="13">
        <v>984</v>
      </c>
      <c r="D3214" s="8" t="s">
        <v>18804</v>
      </c>
      <c r="E3214" s="8" t="s">
        <v>18799</v>
      </c>
      <c r="F3214" s="8" t="s">
        <v>18800</v>
      </c>
      <c r="G3214" s="6" t="s">
        <v>33</v>
      </c>
      <c r="H3214" s="6" t="s">
        <v>48</v>
      </c>
      <c r="I3214" s="8" t="s">
        <v>401</v>
      </c>
      <c r="J3214" s="9">
        <v>1</v>
      </c>
      <c r="K3214" s="9">
        <v>238</v>
      </c>
      <c r="L3214" s="9">
        <v>2020</v>
      </c>
      <c r="M3214" s="8" t="s">
        <v>18805</v>
      </c>
      <c r="N3214" s="8" t="s">
        <v>37</v>
      </c>
      <c r="O3214" s="8" t="s">
        <v>499</v>
      </c>
      <c r="P3214" s="6" t="s">
        <v>51</v>
      </c>
      <c r="Q3214" s="8" t="s">
        <v>265</v>
      </c>
      <c r="R3214" s="10" t="s">
        <v>18711</v>
      </c>
      <c r="S3214" s="11" t="s">
        <v>18802</v>
      </c>
      <c r="T3214" s="6"/>
      <c r="U3214" s="15" t="str">
        <f>HYPERLINK("https://media.infra-m.ru/1082/1082974/cover/1082974.jpg", "Обложка")</f>
        <v>Обложка</v>
      </c>
      <c r="V3214" s="8" t="s">
        <v>396</v>
      </c>
      <c r="W3214" s="6"/>
      <c r="X3214" s="6"/>
      <c r="Y3214" s="6"/>
      <c r="Z3214" s="6"/>
      <c r="AA3214" s="6" t="s">
        <v>3721</v>
      </c>
      <c r="AB3214" s="8"/>
      <c r="AC3214" s="27">
        <v>9785000917312</v>
      </c>
    </row>
    <row r="3215" spans="1:29" s="4" customFormat="1" ht="51.9" customHeight="1" x14ac:dyDescent="0.2">
      <c r="A3215" s="5">
        <v>0</v>
      </c>
      <c r="B3215" s="6" t="s">
        <v>18806</v>
      </c>
      <c r="C3215" s="7">
        <v>1385.9</v>
      </c>
      <c r="D3215" s="8" t="s">
        <v>18807</v>
      </c>
      <c r="E3215" s="8" t="s">
        <v>18770</v>
      </c>
      <c r="F3215" s="8" t="s">
        <v>18808</v>
      </c>
      <c r="G3215" s="6" t="s">
        <v>33</v>
      </c>
      <c r="H3215" s="6" t="s">
        <v>48</v>
      </c>
      <c r="I3215" s="8" t="s">
        <v>401</v>
      </c>
      <c r="J3215" s="9">
        <v>1</v>
      </c>
      <c r="K3215" s="9">
        <v>320</v>
      </c>
      <c r="L3215" s="9">
        <v>2021</v>
      </c>
      <c r="M3215" s="8" t="s">
        <v>18809</v>
      </c>
      <c r="N3215" s="8" t="s">
        <v>37</v>
      </c>
      <c r="O3215" s="8" t="s">
        <v>499</v>
      </c>
      <c r="P3215" s="6" t="s">
        <v>51</v>
      </c>
      <c r="Q3215" s="8" t="s">
        <v>265</v>
      </c>
      <c r="R3215" s="10" t="s">
        <v>18810</v>
      </c>
      <c r="S3215" s="11" t="s">
        <v>18811</v>
      </c>
      <c r="T3215" s="6"/>
      <c r="U3215" s="15" t="str">
        <f>HYPERLINK("https://media.infra-m.ru/1118/1118518/cover/1118518.jpg", "Обложка")</f>
        <v>Обложка</v>
      </c>
      <c r="V3215" s="8" t="s">
        <v>359</v>
      </c>
      <c r="W3215" s="6"/>
      <c r="X3215" s="6"/>
      <c r="Y3215" s="6"/>
      <c r="Z3215" s="6"/>
      <c r="AA3215" s="6" t="s">
        <v>360</v>
      </c>
      <c r="AB3215" s="8"/>
      <c r="AC3215" s="27">
        <v>9785000911808</v>
      </c>
    </row>
    <row r="3216" spans="1:29" s="4" customFormat="1" ht="51.9" customHeight="1" x14ac:dyDescent="0.2">
      <c r="A3216" s="5">
        <v>0</v>
      </c>
      <c r="B3216" s="6" t="s">
        <v>18812</v>
      </c>
      <c r="C3216" s="7">
        <v>1764</v>
      </c>
      <c r="D3216" s="8" t="s">
        <v>18813</v>
      </c>
      <c r="E3216" s="8" t="s">
        <v>18770</v>
      </c>
      <c r="F3216" s="8" t="s">
        <v>18808</v>
      </c>
      <c r="G3216" s="6" t="s">
        <v>118</v>
      </c>
      <c r="H3216" s="6" t="s">
        <v>34</v>
      </c>
      <c r="I3216" s="8" t="s">
        <v>263</v>
      </c>
      <c r="J3216" s="9">
        <v>1</v>
      </c>
      <c r="K3216" s="9">
        <v>320</v>
      </c>
      <c r="L3216" s="9">
        <v>2024</v>
      </c>
      <c r="M3216" s="8" t="s">
        <v>18814</v>
      </c>
      <c r="N3216" s="8" t="s">
        <v>37</v>
      </c>
      <c r="O3216" s="8" t="s">
        <v>499</v>
      </c>
      <c r="P3216" s="6" t="s">
        <v>51</v>
      </c>
      <c r="Q3216" s="8" t="s">
        <v>265</v>
      </c>
      <c r="R3216" s="10" t="s">
        <v>18810</v>
      </c>
      <c r="S3216" s="11" t="s">
        <v>18815</v>
      </c>
      <c r="T3216" s="6"/>
      <c r="U3216" s="15" t="str">
        <f>HYPERLINK("https://media.infra-m.ru/2056/2056806/cover/2056806.jpg", "Обложка")</f>
        <v>Обложка</v>
      </c>
      <c r="V3216" s="8" t="s">
        <v>359</v>
      </c>
      <c r="W3216" s="6"/>
      <c r="X3216" s="6"/>
      <c r="Y3216" s="6"/>
      <c r="Z3216" s="6"/>
      <c r="AA3216" s="6" t="s">
        <v>360</v>
      </c>
      <c r="AB3216" s="8"/>
      <c r="AC3216" s="27">
        <v>9785160187839</v>
      </c>
    </row>
    <row r="3217" spans="1:29" s="4" customFormat="1" ht="51.9" customHeight="1" x14ac:dyDescent="0.2">
      <c r="A3217" s="5">
        <v>0</v>
      </c>
      <c r="B3217" s="6" t="s">
        <v>18816</v>
      </c>
      <c r="C3217" s="7">
        <v>1948.8</v>
      </c>
      <c r="D3217" s="8" t="s">
        <v>18817</v>
      </c>
      <c r="E3217" s="8" t="s">
        <v>18738</v>
      </c>
      <c r="F3217" s="8" t="s">
        <v>18818</v>
      </c>
      <c r="G3217" s="6" t="s">
        <v>60</v>
      </c>
      <c r="H3217" s="6" t="s">
        <v>48</v>
      </c>
      <c r="I3217" s="8" t="s">
        <v>401</v>
      </c>
      <c r="J3217" s="9">
        <v>1</v>
      </c>
      <c r="K3217" s="9">
        <v>352</v>
      </c>
      <c r="L3217" s="9">
        <v>2024</v>
      </c>
      <c r="M3217" s="8" t="s">
        <v>18819</v>
      </c>
      <c r="N3217" s="8" t="s">
        <v>37</v>
      </c>
      <c r="O3217" s="8" t="s">
        <v>499</v>
      </c>
      <c r="P3217" s="6" t="s">
        <v>51</v>
      </c>
      <c r="Q3217" s="8" t="s">
        <v>265</v>
      </c>
      <c r="R3217" s="10" t="s">
        <v>18711</v>
      </c>
      <c r="S3217" s="11" t="s">
        <v>18820</v>
      </c>
      <c r="T3217" s="6"/>
      <c r="U3217" s="15" t="str">
        <f>HYPERLINK("https://media.infra-m.ru/2079/2079170/cover/2079170.jpg", "Обложка")</f>
        <v>Обложка</v>
      </c>
      <c r="V3217" s="8"/>
      <c r="W3217" s="6"/>
      <c r="X3217" s="6"/>
      <c r="Y3217" s="6"/>
      <c r="Z3217" s="6"/>
      <c r="AA3217" s="6" t="s">
        <v>129</v>
      </c>
      <c r="AB3217" s="8"/>
      <c r="AC3217" s="27">
        <v>9785911344320</v>
      </c>
    </row>
    <row r="3218" spans="1:29" s="4" customFormat="1" ht="51.9" customHeight="1" x14ac:dyDescent="0.2">
      <c r="A3218" s="5">
        <v>0</v>
      </c>
      <c r="B3218" s="6" t="s">
        <v>18821</v>
      </c>
      <c r="C3218" s="7">
        <v>1384.8</v>
      </c>
      <c r="D3218" s="8" t="s">
        <v>18822</v>
      </c>
      <c r="E3218" s="8" t="s">
        <v>18823</v>
      </c>
      <c r="F3218" s="8" t="s">
        <v>18824</v>
      </c>
      <c r="G3218" s="6" t="s">
        <v>118</v>
      </c>
      <c r="H3218" s="6" t="s">
        <v>34</v>
      </c>
      <c r="I3218" s="8" t="s">
        <v>271</v>
      </c>
      <c r="J3218" s="9">
        <v>1</v>
      </c>
      <c r="K3218" s="9">
        <v>199</v>
      </c>
      <c r="L3218" s="9">
        <v>2027</v>
      </c>
      <c r="M3218" s="8" t="s">
        <v>18825</v>
      </c>
      <c r="N3218" s="8" t="s">
        <v>37</v>
      </c>
      <c r="O3218" s="8" t="s">
        <v>499</v>
      </c>
      <c r="P3218" s="6" t="s">
        <v>51</v>
      </c>
      <c r="Q3218" s="8" t="s">
        <v>52</v>
      </c>
      <c r="R3218" s="10" t="s">
        <v>5919</v>
      </c>
      <c r="S3218" s="11" t="s">
        <v>18826</v>
      </c>
      <c r="T3218" s="6"/>
      <c r="U3218" s="15" t="str">
        <f>HYPERLINK("https://media.infra-m.ru/2262/2262603/cover/2262603.jpg", "Обложка")</f>
        <v>Обложка</v>
      </c>
      <c r="V3218" s="8" t="s">
        <v>3196</v>
      </c>
      <c r="W3218" s="6"/>
      <c r="X3218" s="6"/>
      <c r="Y3218" s="6"/>
      <c r="Z3218" s="6"/>
      <c r="AA3218" s="6" t="s">
        <v>1375</v>
      </c>
      <c r="AB3218" s="8"/>
      <c r="AC3218" s="27">
        <v>9785160168302</v>
      </c>
    </row>
    <row r="3219" spans="1:29" s="4" customFormat="1" ht="51.9" customHeight="1" x14ac:dyDescent="0.2">
      <c r="A3219" s="5">
        <v>0</v>
      </c>
      <c r="B3219" s="6" t="s">
        <v>18827</v>
      </c>
      <c r="C3219" s="7">
        <v>1384.8</v>
      </c>
      <c r="D3219" s="8" t="s">
        <v>18828</v>
      </c>
      <c r="E3219" s="8" t="s">
        <v>18823</v>
      </c>
      <c r="F3219" s="8" t="s">
        <v>18824</v>
      </c>
      <c r="G3219" s="6" t="s">
        <v>118</v>
      </c>
      <c r="H3219" s="6" t="s">
        <v>34</v>
      </c>
      <c r="I3219" s="8" t="s">
        <v>263</v>
      </c>
      <c r="J3219" s="9">
        <v>1</v>
      </c>
      <c r="K3219" s="9">
        <v>199</v>
      </c>
      <c r="L3219" s="9">
        <v>2027</v>
      </c>
      <c r="M3219" s="8" t="s">
        <v>18829</v>
      </c>
      <c r="N3219" s="8" t="s">
        <v>37</v>
      </c>
      <c r="O3219" s="8" t="s">
        <v>499</v>
      </c>
      <c r="P3219" s="6" t="s">
        <v>51</v>
      </c>
      <c r="Q3219" s="8" t="s">
        <v>265</v>
      </c>
      <c r="R3219" s="10" t="s">
        <v>18830</v>
      </c>
      <c r="S3219" s="11" t="s">
        <v>18831</v>
      </c>
      <c r="T3219" s="6"/>
      <c r="U3219" s="15" t="str">
        <f>HYPERLINK("https://media.infra-m.ru/2262/2262605/cover/2262605.jpg", "Обложка")</f>
        <v>Обложка</v>
      </c>
      <c r="V3219" s="8" t="s">
        <v>3196</v>
      </c>
      <c r="W3219" s="6"/>
      <c r="X3219" s="6"/>
      <c r="Y3219" s="6"/>
      <c r="Z3219" s="6" t="s">
        <v>267</v>
      </c>
      <c r="AA3219" s="6" t="s">
        <v>5639</v>
      </c>
      <c r="AB3219" s="8"/>
      <c r="AC3219" s="27">
        <v>9785160189147</v>
      </c>
    </row>
    <row r="3220" spans="1:29" s="4" customFormat="1" ht="51.9" customHeight="1" x14ac:dyDescent="0.2">
      <c r="A3220" s="5">
        <v>0</v>
      </c>
      <c r="B3220" s="6" t="s">
        <v>18832</v>
      </c>
      <c r="C3220" s="13">
        <v>912</v>
      </c>
      <c r="D3220" s="8" t="s">
        <v>18833</v>
      </c>
      <c r="E3220" s="8" t="s">
        <v>18738</v>
      </c>
      <c r="F3220" s="8" t="s">
        <v>18824</v>
      </c>
      <c r="G3220" s="6" t="s">
        <v>60</v>
      </c>
      <c r="H3220" s="6" t="s">
        <v>34</v>
      </c>
      <c r="I3220" s="8" t="s">
        <v>263</v>
      </c>
      <c r="J3220" s="9">
        <v>1</v>
      </c>
      <c r="K3220" s="9">
        <v>199</v>
      </c>
      <c r="L3220" s="9">
        <v>2021</v>
      </c>
      <c r="M3220" s="8" t="s">
        <v>18834</v>
      </c>
      <c r="N3220" s="8" t="s">
        <v>37</v>
      </c>
      <c r="O3220" s="8" t="s">
        <v>499</v>
      </c>
      <c r="P3220" s="6" t="s">
        <v>51</v>
      </c>
      <c r="Q3220" s="8" t="s">
        <v>265</v>
      </c>
      <c r="R3220" s="10" t="s">
        <v>18830</v>
      </c>
      <c r="S3220" s="11" t="s">
        <v>18831</v>
      </c>
      <c r="T3220" s="6"/>
      <c r="U3220" s="15" t="str">
        <f>HYPERLINK("https://media.infra-m.ru/1242/1242890/cover/1242890.jpg", "Обложка")</f>
        <v>Обложка</v>
      </c>
      <c r="V3220" s="8" t="s">
        <v>3196</v>
      </c>
      <c r="W3220" s="6"/>
      <c r="X3220" s="6"/>
      <c r="Y3220" s="6"/>
      <c r="Z3220" s="6" t="s">
        <v>267</v>
      </c>
      <c r="AA3220" s="6" t="s">
        <v>430</v>
      </c>
      <c r="AB3220" s="8"/>
      <c r="AC3220" s="27">
        <v>9785160168333</v>
      </c>
    </row>
    <row r="3221" spans="1:29" s="4" customFormat="1" ht="51.9" customHeight="1" x14ac:dyDescent="0.2">
      <c r="A3221" s="5">
        <v>0</v>
      </c>
      <c r="B3221" s="6" t="s">
        <v>18835</v>
      </c>
      <c r="C3221" s="7">
        <v>1296</v>
      </c>
      <c r="D3221" s="8" t="s">
        <v>18836</v>
      </c>
      <c r="E3221" s="8" t="s">
        <v>18799</v>
      </c>
      <c r="F3221" s="8" t="s">
        <v>18494</v>
      </c>
      <c r="G3221" s="6" t="s">
        <v>118</v>
      </c>
      <c r="H3221" s="6" t="s">
        <v>34</v>
      </c>
      <c r="I3221" s="8" t="s">
        <v>253</v>
      </c>
      <c r="J3221" s="9">
        <v>1</v>
      </c>
      <c r="K3221" s="9">
        <v>233</v>
      </c>
      <c r="L3221" s="9">
        <v>2024</v>
      </c>
      <c r="M3221" s="8" t="s">
        <v>18837</v>
      </c>
      <c r="N3221" s="8" t="s">
        <v>37</v>
      </c>
      <c r="O3221" s="8" t="s">
        <v>499</v>
      </c>
      <c r="P3221" s="6" t="s">
        <v>51</v>
      </c>
      <c r="Q3221" s="8" t="s">
        <v>52</v>
      </c>
      <c r="R3221" s="10" t="s">
        <v>18838</v>
      </c>
      <c r="S3221" s="11" t="s">
        <v>18839</v>
      </c>
      <c r="T3221" s="6" t="s">
        <v>97</v>
      </c>
      <c r="U3221" s="15" t="str">
        <f>HYPERLINK("https://media.infra-m.ru/1913/1913238/cover/1913238.jpg", "Обложка")</f>
        <v>Обложка</v>
      </c>
      <c r="V3221" s="8" t="s">
        <v>5964</v>
      </c>
      <c r="W3221" s="6"/>
      <c r="X3221" s="6"/>
      <c r="Y3221" s="6"/>
      <c r="Z3221" s="6"/>
      <c r="AA3221" s="6" t="s">
        <v>3800</v>
      </c>
      <c r="AB3221" s="8"/>
      <c r="AC3221" s="27">
        <v>9785160192482</v>
      </c>
    </row>
    <row r="3222" spans="1:29" s="4" customFormat="1" ht="51.9" customHeight="1" x14ac:dyDescent="0.2">
      <c r="A3222" s="5">
        <v>0</v>
      </c>
      <c r="B3222" s="6" t="s">
        <v>18840</v>
      </c>
      <c r="C3222" s="7">
        <v>1428</v>
      </c>
      <c r="D3222" s="8" t="s">
        <v>18841</v>
      </c>
      <c r="E3222" s="8" t="s">
        <v>18799</v>
      </c>
      <c r="F3222" s="8" t="s">
        <v>18494</v>
      </c>
      <c r="G3222" s="6" t="s">
        <v>118</v>
      </c>
      <c r="H3222" s="6" t="s">
        <v>34</v>
      </c>
      <c r="I3222" s="8" t="s">
        <v>263</v>
      </c>
      <c r="J3222" s="9">
        <v>1</v>
      </c>
      <c r="K3222" s="9">
        <v>233</v>
      </c>
      <c r="L3222" s="9">
        <v>2025</v>
      </c>
      <c r="M3222" s="8" t="s">
        <v>18842</v>
      </c>
      <c r="N3222" s="8" t="s">
        <v>37</v>
      </c>
      <c r="O3222" s="8" t="s">
        <v>499</v>
      </c>
      <c r="P3222" s="6" t="s">
        <v>51</v>
      </c>
      <c r="Q3222" s="8" t="s">
        <v>265</v>
      </c>
      <c r="R3222" s="10" t="s">
        <v>18843</v>
      </c>
      <c r="S3222" s="11"/>
      <c r="T3222" s="6" t="s">
        <v>97</v>
      </c>
      <c r="U3222" s="15" t="str">
        <f>HYPERLINK("https://media.infra-m.ru/2173/2173216/cover/2173216.jpg", "Обложка")</f>
        <v>Обложка</v>
      </c>
      <c r="V3222" s="8" t="s">
        <v>5964</v>
      </c>
      <c r="W3222" s="6"/>
      <c r="X3222" s="6"/>
      <c r="Y3222" s="6"/>
      <c r="Z3222" s="6" t="s">
        <v>267</v>
      </c>
      <c r="AA3222" s="6" t="s">
        <v>1295</v>
      </c>
      <c r="AB3222" s="8"/>
      <c r="AC3222" s="27">
        <v>9785160204192</v>
      </c>
    </row>
    <row r="3223" spans="1:29" s="4" customFormat="1" ht="42" customHeight="1" x14ac:dyDescent="0.2">
      <c r="A3223" s="5">
        <v>0</v>
      </c>
      <c r="B3223" s="6" t="s">
        <v>18844</v>
      </c>
      <c r="C3223" s="13">
        <v>521.9</v>
      </c>
      <c r="D3223" s="8" t="s">
        <v>18845</v>
      </c>
      <c r="E3223" s="8" t="s">
        <v>18799</v>
      </c>
      <c r="F3223" s="8" t="s">
        <v>18846</v>
      </c>
      <c r="G3223" s="6" t="s">
        <v>33</v>
      </c>
      <c r="H3223" s="6" t="s">
        <v>313</v>
      </c>
      <c r="I3223" s="8" t="s">
        <v>15740</v>
      </c>
      <c r="J3223" s="9">
        <v>1</v>
      </c>
      <c r="K3223" s="9">
        <v>223</v>
      </c>
      <c r="L3223" s="9">
        <v>2018</v>
      </c>
      <c r="M3223" s="8" t="s">
        <v>18847</v>
      </c>
      <c r="N3223" s="8" t="s">
        <v>37</v>
      </c>
      <c r="O3223" s="8" t="s">
        <v>499</v>
      </c>
      <c r="P3223" s="6" t="s">
        <v>51</v>
      </c>
      <c r="Q3223" s="8" t="s">
        <v>52</v>
      </c>
      <c r="R3223" s="10" t="s">
        <v>2086</v>
      </c>
      <c r="S3223" s="11"/>
      <c r="T3223" s="6"/>
      <c r="U3223" s="15" t="str">
        <f>HYPERLINK("https://media.infra-m.ru/0982/0982633/cover/982633.jpg", "Обложка")</f>
        <v>Обложка</v>
      </c>
      <c r="V3223" s="8" t="s">
        <v>18848</v>
      </c>
      <c r="W3223" s="6"/>
      <c r="X3223" s="6"/>
      <c r="Y3223" s="6"/>
      <c r="Z3223" s="6"/>
      <c r="AA3223" s="6" t="s">
        <v>13865</v>
      </c>
      <c r="AB3223" s="8"/>
      <c r="AC3223" s="27">
        <v>9785369004029</v>
      </c>
    </row>
    <row r="3224" spans="1:29" s="4" customFormat="1" ht="51.9" customHeight="1" x14ac:dyDescent="0.2">
      <c r="A3224" s="5">
        <v>0</v>
      </c>
      <c r="B3224" s="6" t="s">
        <v>18849</v>
      </c>
      <c r="C3224" s="7">
        <v>2476.8000000000002</v>
      </c>
      <c r="D3224" s="8" t="s">
        <v>18850</v>
      </c>
      <c r="E3224" s="8" t="s">
        <v>18738</v>
      </c>
      <c r="F3224" s="8" t="s">
        <v>18851</v>
      </c>
      <c r="G3224" s="6" t="s">
        <v>60</v>
      </c>
      <c r="H3224" s="6" t="s">
        <v>34</v>
      </c>
      <c r="I3224" s="8" t="s">
        <v>253</v>
      </c>
      <c r="J3224" s="9">
        <v>1</v>
      </c>
      <c r="K3224" s="9">
        <v>376</v>
      </c>
      <c r="L3224" s="9">
        <v>2026</v>
      </c>
      <c r="M3224" s="8" t="s">
        <v>18852</v>
      </c>
      <c r="N3224" s="8" t="s">
        <v>37</v>
      </c>
      <c r="O3224" s="8" t="s">
        <v>499</v>
      </c>
      <c r="P3224" s="6" t="s">
        <v>51</v>
      </c>
      <c r="Q3224" s="8" t="s">
        <v>65</v>
      </c>
      <c r="R3224" s="10" t="s">
        <v>18853</v>
      </c>
      <c r="S3224" s="11"/>
      <c r="T3224" s="6"/>
      <c r="U3224" s="15" t="str">
        <f>HYPERLINK("https://media.infra-m.ru/2246/2246858/cover/2246858.jpg", "Обложка")</f>
        <v>Обложка</v>
      </c>
      <c r="V3224" s="8" t="s">
        <v>546</v>
      </c>
      <c r="W3224" s="6"/>
      <c r="X3224" s="6"/>
      <c r="Y3224" s="6"/>
      <c r="Z3224" s="6"/>
      <c r="AA3224" s="6" t="s">
        <v>76</v>
      </c>
      <c r="AB3224" s="8"/>
      <c r="AC3224" s="27">
        <v>9785160186542</v>
      </c>
    </row>
    <row r="3225" spans="1:29" s="4" customFormat="1" ht="51.9" customHeight="1" x14ac:dyDescent="0.2">
      <c r="A3225" s="5">
        <v>0</v>
      </c>
      <c r="B3225" s="6" t="s">
        <v>18854</v>
      </c>
      <c r="C3225" s="7">
        <v>1492.8</v>
      </c>
      <c r="D3225" s="8" t="s">
        <v>18855</v>
      </c>
      <c r="E3225" s="8" t="s">
        <v>18738</v>
      </c>
      <c r="F3225" s="8" t="s">
        <v>18775</v>
      </c>
      <c r="G3225" s="6" t="s">
        <v>118</v>
      </c>
      <c r="H3225" s="6" t="s">
        <v>313</v>
      </c>
      <c r="I3225" s="8" t="s">
        <v>392</v>
      </c>
      <c r="J3225" s="9">
        <v>1</v>
      </c>
      <c r="K3225" s="9">
        <v>234</v>
      </c>
      <c r="L3225" s="9">
        <v>2025</v>
      </c>
      <c r="M3225" s="8" t="s">
        <v>18856</v>
      </c>
      <c r="N3225" s="8" t="s">
        <v>37</v>
      </c>
      <c r="O3225" s="8" t="s">
        <v>499</v>
      </c>
      <c r="P3225" s="6" t="s">
        <v>51</v>
      </c>
      <c r="Q3225" s="8" t="s">
        <v>52</v>
      </c>
      <c r="R3225" s="10" t="s">
        <v>18857</v>
      </c>
      <c r="S3225" s="11"/>
      <c r="T3225" s="6"/>
      <c r="U3225" s="15" t="str">
        <f>HYPERLINK("https://media.infra-m.ru/2204/2204479/cover/2204479.jpg", "Обложка")</f>
        <v>Обложка</v>
      </c>
      <c r="V3225" s="8" t="s">
        <v>6457</v>
      </c>
      <c r="W3225" s="6"/>
      <c r="X3225" s="6"/>
      <c r="Y3225" s="6"/>
      <c r="Z3225" s="6"/>
      <c r="AA3225" s="6" t="s">
        <v>115</v>
      </c>
      <c r="AB3225" s="8"/>
      <c r="AC3225" s="27">
        <v>9785369017753</v>
      </c>
    </row>
    <row r="3226" spans="1:29" s="4" customFormat="1" ht="51.9" customHeight="1" x14ac:dyDescent="0.2">
      <c r="A3226" s="5">
        <v>0</v>
      </c>
      <c r="B3226" s="6" t="s">
        <v>18858</v>
      </c>
      <c r="C3226" s="7">
        <v>1488</v>
      </c>
      <c r="D3226" s="8" t="s">
        <v>18859</v>
      </c>
      <c r="E3226" s="8" t="s">
        <v>18860</v>
      </c>
      <c r="F3226" s="8" t="s">
        <v>2457</v>
      </c>
      <c r="G3226" s="6" t="s">
        <v>118</v>
      </c>
      <c r="H3226" s="6" t="s">
        <v>34</v>
      </c>
      <c r="I3226" s="8" t="s">
        <v>253</v>
      </c>
      <c r="J3226" s="9">
        <v>1</v>
      </c>
      <c r="K3226" s="9">
        <v>225</v>
      </c>
      <c r="L3226" s="9">
        <v>2026</v>
      </c>
      <c r="M3226" s="8" t="s">
        <v>18861</v>
      </c>
      <c r="N3226" s="8" t="s">
        <v>37</v>
      </c>
      <c r="O3226" s="8" t="s">
        <v>499</v>
      </c>
      <c r="P3226" s="6" t="s">
        <v>51</v>
      </c>
      <c r="Q3226" s="8" t="s">
        <v>52</v>
      </c>
      <c r="R3226" s="10" t="s">
        <v>18761</v>
      </c>
      <c r="S3226" s="11" t="s">
        <v>282</v>
      </c>
      <c r="T3226" s="6"/>
      <c r="U3226" s="15" t="str">
        <f>HYPERLINK("https://media.infra-m.ru/2245/2245282/cover/2245282.jpg", "Обложка")</f>
        <v>Обложка</v>
      </c>
      <c r="V3226" s="8" t="s">
        <v>761</v>
      </c>
      <c r="W3226" s="6"/>
      <c r="X3226" s="6"/>
      <c r="Y3226" s="6"/>
      <c r="Z3226" s="6"/>
      <c r="AA3226" s="6" t="s">
        <v>99</v>
      </c>
      <c r="AB3226" s="8"/>
      <c r="AC3226" s="27">
        <v>9785160221403</v>
      </c>
    </row>
    <row r="3227" spans="1:29" s="4" customFormat="1" ht="44.1" customHeight="1" x14ac:dyDescent="0.2">
      <c r="A3227" s="5">
        <v>0</v>
      </c>
      <c r="B3227" s="6" t="s">
        <v>18862</v>
      </c>
      <c r="C3227" s="7">
        <v>1668</v>
      </c>
      <c r="D3227" s="8" t="s">
        <v>18863</v>
      </c>
      <c r="E3227" s="8" t="s">
        <v>18864</v>
      </c>
      <c r="F3227" s="8" t="s">
        <v>18865</v>
      </c>
      <c r="G3227" s="6" t="s">
        <v>60</v>
      </c>
      <c r="H3227" s="6" t="s">
        <v>34</v>
      </c>
      <c r="I3227" s="8" t="s">
        <v>504</v>
      </c>
      <c r="J3227" s="9">
        <v>1</v>
      </c>
      <c r="K3227" s="9">
        <v>290</v>
      </c>
      <c r="L3227" s="9">
        <v>2023</v>
      </c>
      <c r="M3227" s="8" t="s">
        <v>18866</v>
      </c>
      <c r="N3227" s="8" t="s">
        <v>63</v>
      </c>
      <c r="O3227" s="8" t="s">
        <v>64</v>
      </c>
      <c r="P3227" s="6" t="s">
        <v>306</v>
      </c>
      <c r="Q3227" s="8" t="s">
        <v>500</v>
      </c>
      <c r="R3227" s="10" t="s">
        <v>18867</v>
      </c>
      <c r="S3227" s="11"/>
      <c r="T3227" s="6"/>
      <c r="U3227" s="15" t="str">
        <f>HYPERLINK("https://media.infra-m.ru/1862/1862771/cover/1862771.jpg", "Обложка")</f>
        <v>Обложка</v>
      </c>
      <c r="V3227" s="8" t="s">
        <v>18868</v>
      </c>
      <c r="W3227" s="6"/>
      <c r="X3227" s="6"/>
      <c r="Y3227" s="6"/>
      <c r="Z3227" s="6"/>
      <c r="AA3227" s="6" t="s">
        <v>157</v>
      </c>
      <c r="AB3227" s="8"/>
      <c r="AC3227" s="27">
        <v>9785160175980</v>
      </c>
    </row>
    <row r="3228" spans="1:29" s="4" customFormat="1" ht="42" customHeight="1" x14ac:dyDescent="0.2">
      <c r="A3228" s="5">
        <v>0</v>
      </c>
      <c r="B3228" s="6" t="s">
        <v>18869</v>
      </c>
      <c r="C3228" s="7">
        <v>1528.8</v>
      </c>
      <c r="D3228" s="8" t="s">
        <v>18870</v>
      </c>
      <c r="E3228" s="8" t="s">
        <v>18871</v>
      </c>
      <c r="F3228" s="8" t="s">
        <v>18872</v>
      </c>
      <c r="G3228" s="6" t="s">
        <v>33</v>
      </c>
      <c r="H3228" s="6" t="s">
        <v>34</v>
      </c>
      <c r="I3228" s="8" t="s">
        <v>35</v>
      </c>
      <c r="J3228" s="9">
        <v>1</v>
      </c>
      <c r="K3228" s="9">
        <v>282</v>
      </c>
      <c r="L3228" s="9">
        <v>2023</v>
      </c>
      <c r="M3228" s="8" t="s">
        <v>18873</v>
      </c>
      <c r="N3228" s="8" t="s">
        <v>37</v>
      </c>
      <c r="O3228" s="8" t="s">
        <v>280</v>
      </c>
      <c r="P3228" s="6" t="s">
        <v>39</v>
      </c>
      <c r="Q3228" s="8" t="s">
        <v>40</v>
      </c>
      <c r="R3228" s="10" t="s">
        <v>18874</v>
      </c>
      <c r="S3228" s="11"/>
      <c r="T3228" s="6"/>
      <c r="U3228" s="15" t="str">
        <f>HYPERLINK("https://media.infra-m.ru/2006/2006897/cover/2006897.jpg", "Обложка")</f>
        <v>Обложка</v>
      </c>
      <c r="V3228" s="8" t="s">
        <v>6224</v>
      </c>
      <c r="W3228" s="6"/>
      <c r="X3228" s="6"/>
      <c r="Y3228" s="6"/>
      <c r="Z3228" s="6"/>
      <c r="AA3228" s="6" t="s">
        <v>115</v>
      </c>
      <c r="AB3228" s="8"/>
      <c r="AC3228" s="27">
        <v>9785160142371</v>
      </c>
    </row>
    <row r="3229" spans="1:29" s="4" customFormat="1" ht="51.9" customHeight="1" x14ac:dyDescent="0.2">
      <c r="A3229" s="5">
        <v>0</v>
      </c>
      <c r="B3229" s="6" t="s">
        <v>18875</v>
      </c>
      <c r="C3229" s="7">
        <v>1792.8</v>
      </c>
      <c r="D3229" s="8" t="s">
        <v>18876</v>
      </c>
      <c r="E3229" s="8" t="s">
        <v>18877</v>
      </c>
      <c r="F3229" s="8" t="s">
        <v>18878</v>
      </c>
      <c r="G3229" s="6" t="s">
        <v>33</v>
      </c>
      <c r="H3229" s="6" t="s">
        <v>1644</v>
      </c>
      <c r="I3229" s="8"/>
      <c r="J3229" s="9">
        <v>1</v>
      </c>
      <c r="K3229" s="9">
        <v>272</v>
      </c>
      <c r="L3229" s="9">
        <v>2026</v>
      </c>
      <c r="M3229" s="8" t="s">
        <v>18879</v>
      </c>
      <c r="N3229" s="8" t="s">
        <v>37</v>
      </c>
      <c r="O3229" s="8" t="s">
        <v>499</v>
      </c>
      <c r="P3229" s="6" t="s">
        <v>39</v>
      </c>
      <c r="Q3229" s="8" t="s">
        <v>40</v>
      </c>
      <c r="R3229" s="10" t="s">
        <v>18880</v>
      </c>
      <c r="S3229" s="11"/>
      <c r="T3229" s="6"/>
      <c r="U3229" s="15" t="str">
        <f>HYPERLINK("https://media.infra-m.ru/2238/2238369/cover/2238369.jpg", "Обложка")</f>
        <v>Обложка</v>
      </c>
      <c r="V3229" s="8" t="s">
        <v>1505</v>
      </c>
      <c r="W3229" s="6"/>
      <c r="X3229" s="6"/>
      <c r="Y3229" s="6"/>
      <c r="Z3229" s="6"/>
      <c r="AA3229" s="6" t="s">
        <v>55</v>
      </c>
      <c r="AB3229" s="8"/>
      <c r="AC3229" s="27">
        <v>9785977602709</v>
      </c>
    </row>
    <row r="3230" spans="1:29" s="4" customFormat="1" ht="51.9" customHeight="1" x14ac:dyDescent="0.2">
      <c r="A3230" s="5">
        <v>0</v>
      </c>
      <c r="B3230" s="6" t="s">
        <v>18881</v>
      </c>
      <c r="C3230" s="7">
        <v>1116</v>
      </c>
      <c r="D3230" s="8" t="s">
        <v>18882</v>
      </c>
      <c r="E3230" s="8" t="s">
        <v>18883</v>
      </c>
      <c r="F3230" s="8" t="s">
        <v>18884</v>
      </c>
      <c r="G3230" s="6" t="s">
        <v>33</v>
      </c>
      <c r="H3230" s="6" t="s">
        <v>34</v>
      </c>
      <c r="I3230" s="8" t="s">
        <v>253</v>
      </c>
      <c r="J3230" s="9">
        <v>1</v>
      </c>
      <c r="K3230" s="9">
        <v>200</v>
      </c>
      <c r="L3230" s="9">
        <v>2024</v>
      </c>
      <c r="M3230" s="8" t="s">
        <v>18885</v>
      </c>
      <c r="N3230" s="8" t="s">
        <v>37</v>
      </c>
      <c r="O3230" s="8" t="s">
        <v>499</v>
      </c>
      <c r="P3230" s="6" t="s">
        <v>51</v>
      </c>
      <c r="Q3230" s="8" t="s">
        <v>52</v>
      </c>
      <c r="R3230" s="10" t="s">
        <v>2830</v>
      </c>
      <c r="S3230" s="11" t="s">
        <v>18886</v>
      </c>
      <c r="T3230" s="6"/>
      <c r="U3230" s="15" t="str">
        <f>HYPERLINK("https://media.infra-m.ru/2054/2054987/cover/2054987.jpg", "Обложка")</f>
        <v>Обложка</v>
      </c>
      <c r="V3230" s="8" t="s">
        <v>1505</v>
      </c>
      <c r="W3230" s="6"/>
      <c r="X3230" s="6"/>
      <c r="Y3230" s="6"/>
      <c r="Z3230" s="6"/>
      <c r="AA3230" s="6" t="s">
        <v>2338</v>
      </c>
      <c r="AB3230" s="8"/>
      <c r="AC3230" s="27">
        <v>9785160187594</v>
      </c>
    </row>
    <row r="3231" spans="1:29" s="4" customFormat="1" ht="51.9" customHeight="1" x14ac:dyDescent="0.2">
      <c r="A3231" s="5">
        <v>0</v>
      </c>
      <c r="B3231" s="6" t="s">
        <v>18887</v>
      </c>
      <c r="C3231" s="7">
        <v>2332.8000000000002</v>
      </c>
      <c r="D3231" s="8" t="s">
        <v>18888</v>
      </c>
      <c r="E3231" s="8" t="s">
        <v>18889</v>
      </c>
      <c r="F3231" s="8" t="s">
        <v>18890</v>
      </c>
      <c r="G3231" s="6" t="s">
        <v>33</v>
      </c>
      <c r="H3231" s="6" t="s">
        <v>48</v>
      </c>
      <c r="I3231" s="8" t="s">
        <v>401</v>
      </c>
      <c r="J3231" s="9">
        <v>1</v>
      </c>
      <c r="K3231" s="9">
        <v>336</v>
      </c>
      <c r="L3231" s="9">
        <v>2026</v>
      </c>
      <c r="M3231" s="8" t="s">
        <v>18891</v>
      </c>
      <c r="N3231" s="8" t="s">
        <v>37</v>
      </c>
      <c r="O3231" s="8" t="s">
        <v>499</v>
      </c>
      <c r="P3231" s="6" t="s">
        <v>51</v>
      </c>
      <c r="Q3231" s="8" t="s">
        <v>265</v>
      </c>
      <c r="R3231" s="10" t="s">
        <v>18892</v>
      </c>
      <c r="S3231" s="11" t="s">
        <v>18811</v>
      </c>
      <c r="T3231" s="6"/>
      <c r="U3231" s="15" t="str">
        <f>HYPERLINK("https://media.infra-m.ru/2255/2255437/cover/2255437.jpg", "Обложка")</f>
        <v>Обложка</v>
      </c>
      <c r="V3231" s="8" t="s">
        <v>359</v>
      </c>
      <c r="W3231" s="6"/>
      <c r="X3231" s="6"/>
      <c r="Y3231" s="6"/>
      <c r="Z3231" s="6"/>
      <c r="AA3231" s="6" t="s">
        <v>859</v>
      </c>
      <c r="AB3231" s="8"/>
      <c r="AC3231" s="27">
        <v>9785911348113</v>
      </c>
    </row>
    <row r="3232" spans="1:29" s="4" customFormat="1" ht="51.9" customHeight="1" x14ac:dyDescent="0.2">
      <c r="A3232" s="5">
        <v>0</v>
      </c>
      <c r="B3232" s="6" t="s">
        <v>18893</v>
      </c>
      <c r="C3232" s="7">
        <v>1432.8</v>
      </c>
      <c r="D3232" s="8" t="s">
        <v>18894</v>
      </c>
      <c r="E3232" s="8" t="s">
        <v>18895</v>
      </c>
      <c r="F3232" s="8" t="s">
        <v>18896</v>
      </c>
      <c r="G3232" s="6" t="s">
        <v>60</v>
      </c>
      <c r="H3232" s="6" t="s">
        <v>34</v>
      </c>
      <c r="I3232" s="8" t="s">
        <v>253</v>
      </c>
      <c r="J3232" s="9">
        <v>1</v>
      </c>
      <c r="K3232" s="9">
        <v>218</v>
      </c>
      <c r="L3232" s="9">
        <v>2026</v>
      </c>
      <c r="M3232" s="8" t="s">
        <v>18897</v>
      </c>
      <c r="N3232" s="8" t="s">
        <v>37</v>
      </c>
      <c r="O3232" s="8" t="s">
        <v>499</v>
      </c>
      <c r="P3232" s="6" t="s">
        <v>51</v>
      </c>
      <c r="Q3232" s="8" t="s">
        <v>52</v>
      </c>
      <c r="R3232" s="10" t="s">
        <v>2830</v>
      </c>
      <c r="S3232" s="11"/>
      <c r="T3232" s="6"/>
      <c r="U3232" s="15" t="str">
        <f>HYPERLINK("https://media.infra-m.ru/2249/2249341/cover/2249341.jpg", "Обложка")</f>
        <v>Обложка</v>
      </c>
      <c r="V3232" s="8" t="s">
        <v>1505</v>
      </c>
      <c r="W3232" s="6"/>
      <c r="X3232" s="6"/>
      <c r="Y3232" s="6"/>
      <c r="Z3232" s="6"/>
      <c r="AA3232" s="6" t="s">
        <v>1295</v>
      </c>
      <c r="AB3232" s="8"/>
      <c r="AC3232" s="27">
        <v>9785160200866</v>
      </c>
    </row>
    <row r="3233" spans="1:29" s="4" customFormat="1" ht="51.9" customHeight="1" x14ac:dyDescent="0.2">
      <c r="A3233" s="5">
        <v>0</v>
      </c>
      <c r="B3233" s="6" t="s">
        <v>18898</v>
      </c>
      <c r="C3233" s="13">
        <v>305.89999999999998</v>
      </c>
      <c r="D3233" s="8" t="s">
        <v>18899</v>
      </c>
      <c r="E3233" s="8" t="s">
        <v>18900</v>
      </c>
      <c r="F3233" s="8" t="s">
        <v>18901</v>
      </c>
      <c r="G3233" s="6" t="s">
        <v>33</v>
      </c>
      <c r="H3233" s="6" t="s">
        <v>241</v>
      </c>
      <c r="I3233" s="8"/>
      <c r="J3233" s="9">
        <v>1</v>
      </c>
      <c r="K3233" s="9">
        <v>58</v>
      </c>
      <c r="L3233" s="9">
        <v>2021</v>
      </c>
      <c r="M3233" s="8" t="s">
        <v>18902</v>
      </c>
      <c r="N3233" s="8" t="s">
        <v>37</v>
      </c>
      <c r="O3233" s="8" t="s">
        <v>499</v>
      </c>
      <c r="P3233" s="6" t="s">
        <v>51</v>
      </c>
      <c r="Q3233" s="8" t="s">
        <v>52</v>
      </c>
      <c r="R3233" s="10" t="s">
        <v>2061</v>
      </c>
      <c r="S3233" s="11"/>
      <c r="T3233" s="6"/>
      <c r="U3233" s="15" t="str">
        <f>HYPERLINK("https://media.infra-m.ru/1290/1290482/cover/1290482.jpg", "Обложка")</f>
        <v>Обложка</v>
      </c>
      <c r="V3233" s="8" t="s">
        <v>227</v>
      </c>
      <c r="W3233" s="6"/>
      <c r="X3233" s="6"/>
      <c r="Y3233" s="6"/>
      <c r="Z3233" s="6"/>
      <c r="AA3233" s="6" t="s">
        <v>248</v>
      </c>
      <c r="AB3233" s="8"/>
      <c r="AC3233" s="27">
        <v>9785955803487</v>
      </c>
    </row>
    <row r="3234" spans="1:29" s="4" customFormat="1" ht="51.9" customHeight="1" x14ac:dyDescent="0.2">
      <c r="A3234" s="5">
        <v>0</v>
      </c>
      <c r="B3234" s="6" t="s">
        <v>18903</v>
      </c>
      <c r="C3234" s="7">
        <v>2752.8</v>
      </c>
      <c r="D3234" s="8" t="s">
        <v>18904</v>
      </c>
      <c r="E3234" s="8" t="s">
        <v>18905</v>
      </c>
      <c r="F3234" s="8" t="s">
        <v>18878</v>
      </c>
      <c r="G3234" s="6" t="s">
        <v>60</v>
      </c>
      <c r="H3234" s="6" t="s">
        <v>1644</v>
      </c>
      <c r="I3234" s="8"/>
      <c r="J3234" s="9">
        <v>1</v>
      </c>
      <c r="K3234" s="9">
        <v>512</v>
      </c>
      <c r="L3234" s="9">
        <v>2024</v>
      </c>
      <c r="M3234" s="8" t="s">
        <v>18906</v>
      </c>
      <c r="N3234" s="8" t="s">
        <v>37</v>
      </c>
      <c r="O3234" s="8" t="s">
        <v>233</v>
      </c>
      <c r="P3234" s="6" t="s">
        <v>306</v>
      </c>
      <c r="Q3234" s="8" t="s">
        <v>52</v>
      </c>
      <c r="R3234" s="10" t="s">
        <v>2830</v>
      </c>
      <c r="S3234" s="11" t="s">
        <v>18907</v>
      </c>
      <c r="T3234" s="6"/>
      <c r="U3234" s="15" t="str">
        <f>HYPERLINK("https://media.infra-m.ru/2054/2054961/cover/2054961.jpg", "Обложка")</f>
        <v>Обложка</v>
      </c>
      <c r="V3234" s="8" t="s">
        <v>1505</v>
      </c>
      <c r="W3234" s="6"/>
      <c r="X3234" s="6"/>
      <c r="Y3234" s="6"/>
      <c r="Z3234" s="6"/>
      <c r="AA3234" s="6" t="s">
        <v>2338</v>
      </c>
      <c r="AB3234" s="8"/>
      <c r="AC3234" s="27">
        <v>9785977601757</v>
      </c>
    </row>
    <row r="3235" spans="1:29" s="4" customFormat="1" ht="51.9" customHeight="1" x14ac:dyDescent="0.2">
      <c r="A3235" s="5">
        <v>0</v>
      </c>
      <c r="B3235" s="6" t="s">
        <v>18908</v>
      </c>
      <c r="C3235" s="7">
        <v>1992</v>
      </c>
      <c r="D3235" s="8" t="s">
        <v>18909</v>
      </c>
      <c r="E3235" s="8" t="s">
        <v>18905</v>
      </c>
      <c r="F3235" s="8" t="s">
        <v>18910</v>
      </c>
      <c r="G3235" s="6" t="s">
        <v>118</v>
      </c>
      <c r="H3235" s="6" t="s">
        <v>241</v>
      </c>
      <c r="I3235" s="8"/>
      <c r="J3235" s="9">
        <v>1</v>
      </c>
      <c r="K3235" s="9">
        <v>368</v>
      </c>
      <c r="L3235" s="9">
        <v>2024</v>
      </c>
      <c r="M3235" s="8" t="s">
        <v>18911</v>
      </c>
      <c r="N3235" s="8" t="s">
        <v>37</v>
      </c>
      <c r="O3235" s="8" t="s">
        <v>499</v>
      </c>
      <c r="P3235" s="6" t="s">
        <v>51</v>
      </c>
      <c r="Q3235" s="8" t="s">
        <v>52</v>
      </c>
      <c r="R3235" s="10" t="s">
        <v>12891</v>
      </c>
      <c r="S3235" s="11" t="s">
        <v>18912</v>
      </c>
      <c r="T3235" s="6"/>
      <c r="U3235" s="15" t="str">
        <f>HYPERLINK("https://media.infra-m.ru/2055/2055828/cover/2055828.jpg", "Обложка")</f>
        <v>Обложка</v>
      </c>
      <c r="V3235" s="8" t="s">
        <v>2398</v>
      </c>
      <c r="W3235" s="6"/>
      <c r="X3235" s="6"/>
      <c r="Y3235" s="6"/>
      <c r="Z3235" s="6"/>
      <c r="AA3235" s="6" t="s">
        <v>769</v>
      </c>
      <c r="AB3235" s="8"/>
      <c r="AC3235" s="27">
        <v>9785955802336</v>
      </c>
    </row>
    <row r="3236" spans="1:29" s="4" customFormat="1" ht="51.9" customHeight="1" x14ac:dyDescent="0.2">
      <c r="A3236" s="5">
        <v>0</v>
      </c>
      <c r="B3236" s="6" t="s">
        <v>18913</v>
      </c>
      <c r="C3236" s="13">
        <v>712.8</v>
      </c>
      <c r="D3236" s="8" t="s">
        <v>18914</v>
      </c>
      <c r="E3236" s="8" t="s">
        <v>18915</v>
      </c>
      <c r="F3236" s="8" t="s">
        <v>18916</v>
      </c>
      <c r="G3236" s="6" t="s">
        <v>21</v>
      </c>
      <c r="H3236" s="6" t="s">
        <v>313</v>
      </c>
      <c r="I3236" s="8" t="s">
        <v>504</v>
      </c>
      <c r="J3236" s="9">
        <v>1</v>
      </c>
      <c r="K3236" s="9">
        <v>88</v>
      </c>
      <c r="L3236" s="9">
        <v>2026</v>
      </c>
      <c r="M3236" s="8" t="s">
        <v>18917</v>
      </c>
      <c r="N3236" s="8" t="s">
        <v>37</v>
      </c>
      <c r="O3236" s="8" t="s">
        <v>499</v>
      </c>
      <c r="P3236" s="6" t="s">
        <v>51</v>
      </c>
      <c r="Q3236" s="8" t="s">
        <v>52</v>
      </c>
      <c r="R3236" s="10" t="s">
        <v>18918</v>
      </c>
      <c r="S3236" s="11" t="s">
        <v>18919</v>
      </c>
      <c r="T3236" s="6"/>
      <c r="U3236" s="15" t="str">
        <f>HYPERLINK("https://media.infra-m.ru/2259/2259194/cover/2259194.jpg", "Обложка")</f>
        <v>Обложка</v>
      </c>
      <c r="V3236" s="8" t="s">
        <v>257</v>
      </c>
      <c r="W3236" s="6"/>
      <c r="X3236" s="6"/>
      <c r="Y3236" s="6"/>
      <c r="Z3236" s="6"/>
      <c r="AA3236" s="6" t="s">
        <v>274</v>
      </c>
      <c r="AB3236" s="8"/>
      <c r="AC3236" s="27">
        <v>9785369014448</v>
      </c>
    </row>
    <row r="3237" spans="1:29" s="4" customFormat="1" ht="51.9" customHeight="1" x14ac:dyDescent="0.2">
      <c r="A3237" s="5">
        <v>0</v>
      </c>
      <c r="B3237" s="6" t="s">
        <v>18920</v>
      </c>
      <c r="C3237" s="7">
        <v>2308.8000000000002</v>
      </c>
      <c r="D3237" s="8" t="s">
        <v>18921</v>
      </c>
      <c r="E3237" s="8" t="s">
        <v>18922</v>
      </c>
      <c r="F3237" s="8" t="s">
        <v>18923</v>
      </c>
      <c r="G3237" s="6" t="s">
        <v>60</v>
      </c>
      <c r="H3237" s="6" t="s">
        <v>241</v>
      </c>
      <c r="I3237" s="8"/>
      <c r="J3237" s="9">
        <v>1</v>
      </c>
      <c r="K3237" s="9">
        <v>384</v>
      </c>
      <c r="L3237" s="9">
        <v>2025</v>
      </c>
      <c r="M3237" s="8" t="s">
        <v>18924</v>
      </c>
      <c r="N3237" s="8" t="s">
        <v>37</v>
      </c>
      <c r="O3237" s="8" t="s">
        <v>499</v>
      </c>
      <c r="P3237" s="6" t="s">
        <v>306</v>
      </c>
      <c r="Q3237" s="8"/>
      <c r="R3237" s="10" t="s">
        <v>18925</v>
      </c>
      <c r="S3237" s="11" t="s">
        <v>18926</v>
      </c>
      <c r="T3237" s="6"/>
      <c r="U3237" s="15" t="str">
        <f>HYPERLINK("https://media.infra-m.ru/2188/2188750/cover/2188750.jpg", "Обложка")</f>
        <v>Обложка</v>
      </c>
      <c r="V3237" s="8" t="s">
        <v>396</v>
      </c>
      <c r="W3237" s="6"/>
      <c r="X3237" s="6"/>
      <c r="Y3237" s="6"/>
      <c r="Z3237" s="6"/>
      <c r="AA3237" s="6" t="s">
        <v>129</v>
      </c>
      <c r="AB3237" s="8"/>
      <c r="AC3237" s="27">
        <v>9785955801940</v>
      </c>
    </row>
    <row r="3238" spans="1:29" s="4" customFormat="1" ht="51.9" customHeight="1" x14ac:dyDescent="0.2">
      <c r="A3238" s="5">
        <v>0</v>
      </c>
      <c r="B3238" s="6" t="s">
        <v>18927</v>
      </c>
      <c r="C3238" s="7">
        <v>2044.8</v>
      </c>
      <c r="D3238" s="8" t="s">
        <v>18928</v>
      </c>
      <c r="E3238" s="8" t="s">
        <v>18922</v>
      </c>
      <c r="F3238" s="8" t="s">
        <v>12232</v>
      </c>
      <c r="G3238" s="6" t="s">
        <v>60</v>
      </c>
      <c r="H3238" s="6" t="s">
        <v>34</v>
      </c>
      <c r="I3238" s="8" t="s">
        <v>271</v>
      </c>
      <c r="J3238" s="9">
        <v>1</v>
      </c>
      <c r="K3238" s="9">
        <v>294</v>
      </c>
      <c r="L3238" s="9">
        <v>2027</v>
      </c>
      <c r="M3238" s="8" t="s">
        <v>18929</v>
      </c>
      <c r="N3238" s="8" t="s">
        <v>37</v>
      </c>
      <c r="O3238" s="8" t="s">
        <v>499</v>
      </c>
      <c r="P3238" s="6" t="s">
        <v>306</v>
      </c>
      <c r="Q3238" s="8" t="s">
        <v>52</v>
      </c>
      <c r="R3238" s="10" t="s">
        <v>2073</v>
      </c>
      <c r="S3238" s="11" t="s">
        <v>18930</v>
      </c>
      <c r="T3238" s="6"/>
      <c r="U3238" s="15" t="str">
        <f>HYPERLINK("https://media.infra-m.ru/2262/2262614/cover/2262614.jpg", "Обложка")</f>
        <v>Обложка</v>
      </c>
      <c r="V3238" s="8" t="s">
        <v>12235</v>
      </c>
      <c r="W3238" s="6"/>
      <c r="X3238" s="6"/>
      <c r="Y3238" s="6"/>
      <c r="Z3238" s="6"/>
      <c r="AA3238" s="6" t="s">
        <v>1256</v>
      </c>
      <c r="AB3238" s="8"/>
      <c r="AC3238" s="27">
        <v>9785160147413</v>
      </c>
    </row>
    <row r="3239" spans="1:29" s="4" customFormat="1" ht="51.9" customHeight="1" x14ac:dyDescent="0.2">
      <c r="A3239" s="5">
        <v>0</v>
      </c>
      <c r="B3239" s="6" t="s">
        <v>18931</v>
      </c>
      <c r="C3239" s="7">
        <v>2044.8</v>
      </c>
      <c r="D3239" s="8" t="s">
        <v>18932</v>
      </c>
      <c r="E3239" s="8" t="s">
        <v>18922</v>
      </c>
      <c r="F3239" s="8" t="s">
        <v>12232</v>
      </c>
      <c r="G3239" s="6" t="s">
        <v>60</v>
      </c>
      <c r="H3239" s="6" t="s">
        <v>34</v>
      </c>
      <c r="I3239" s="8" t="s">
        <v>263</v>
      </c>
      <c r="J3239" s="9">
        <v>1</v>
      </c>
      <c r="K3239" s="9">
        <v>294</v>
      </c>
      <c r="L3239" s="9">
        <v>2027</v>
      </c>
      <c r="M3239" s="8" t="s">
        <v>18933</v>
      </c>
      <c r="N3239" s="8" t="s">
        <v>37</v>
      </c>
      <c r="O3239" s="8" t="s">
        <v>499</v>
      </c>
      <c r="P3239" s="6" t="s">
        <v>306</v>
      </c>
      <c r="Q3239" s="8" t="s">
        <v>265</v>
      </c>
      <c r="R3239" s="10" t="s">
        <v>18934</v>
      </c>
      <c r="S3239" s="11" t="s">
        <v>18935</v>
      </c>
      <c r="T3239" s="6"/>
      <c r="U3239" s="15" t="str">
        <f>HYPERLINK("https://media.infra-m.ru/2262/2262615/cover/2262615.jpg", "Обложка")</f>
        <v>Обложка</v>
      </c>
      <c r="V3239" s="8" t="s">
        <v>12235</v>
      </c>
      <c r="W3239" s="6"/>
      <c r="X3239" s="6"/>
      <c r="Y3239" s="6"/>
      <c r="Z3239" s="6" t="s">
        <v>267</v>
      </c>
      <c r="AA3239" s="6" t="s">
        <v>430</v>
      </c>
      <c r="AB3239" s="8"/>
      <c r="AC3239" s="27">
        <v>9785160163840</v>
      </c>
    </row>
    <row r="3240" spans="1:29" s="4" customFormat="1" ht="51.9" customHeight="1" x14ac:dyDescent="0.2">
      <c r="A3240" s="5">
        <v>0</v>
      </c>
      <c r="B3240" s="6" t="s">
        <v>18936</v>
      </c>
      <c r="C3240" s="7">
        <v>1444.8</v>
      </c>
      <c r="D3240" s="8" t="s">
        <v>18937</v>
      </c>
      <c r="E3240" s="8" t="s">
        <v>18938</v>
      </c>
      <c r="F3240" s="8" t="s">
        <v>18939</v>
      </c>
      <c r="G3240" s="6" t="s">
        <v>60</v>
      </c>
      <c r="H3240" s="6" t="s">
        <v>34</v>
      </c>
      <c r="I3240" s="8" t="s">
        <v>271</v>
      </c>
      <c r="J3240" s="9">
        <v>1</v>
      </c>
      <c r="K3240" s="9">
        <v>240</v>
      </c>
      <c r="L3240" s="9">
        <v>2025</v>
      </c>
      <c r="M3240" s="8" t="s">
        <v>18940</v>
      </c>
      <c r="N3240" s="8" t="s">
        <v>37</v>
      </c>
      <c r="O3240" s="8" t="s">
        <v>499</v>
      </c>
      <c r="P3240" s="6" t="s">
        <v>51</v>
      </c>
      <c r="Q3240" s="8" t="s">
        <v>52</v>
      </c>
      <c r="R3240" s="10" t="s">
        <v>18941</v>
      </c>
      <c r="S3240" s="11" t="s">
        <v>18942</v>
      </c>
      <c r="T3240" s="6"/>
      <c r="U3240" s="15" t="str">
        <f>HYPERLINK("https://media.infra-m.ru/2186/2186895/cover/2186895.jpg", "Обложка")</f>
        <v>Обложка</v>
      </c>
      <c r="V3240" s="8" t="s">
        <v>396</v>
      </c>
      <c r="W3240" s="6"/>
      <c r="X3240" s="6"/>
      <c r="Y3240" s="6"/>
      <c r="Z3240" s="6"/>
      <c r="AA3240" s="6" t="s">
        <v>43</v>
      </c>
      <c r="AB3240" s="8"/>
      <c r="AC3240" s="27">
        <v>9785160052205</v>
      </c>
    </row>
    <row r="3241" spans="1:29" s="4" customFormat="1" ht="51.9" customHeight="1" x14ac:dyDescent="0.2">
      <c r="A3241" s="5">
        <v>0</v>
      </c>
      <c r="B3241" s="6" t="s">
        <v>18943</v>
      </c>
      <c r="C3241" s="7">
        <v>1876.8</v>
      </c>
      <c r="D3241" s="8" t="s">
        <v>18944</v>
      </c>
      <c r="E3241" s="8" t="s">
        <v>18945</v>
      </c>
      <c r="F3241" s="8" t="s">
        <v>18946</v>
      </c>
      <c r="G3241" s="6" t="s">
        <v>60</v>
      </c>
      <c r="H3241" s="6" t="s">
        <v>34</v>
      </c>
      <c r="I3241" s="8" t="s">
        <v>271</v>
      </c>
      <c r="J3241" s="9">
        <v>1</v>
      </c>
      <c r="K3241" s="9">
        <v>285</v>
      </c>
      <c r="L3241" s="9">
        <v>2026</v>
      </c>
      <c r="M3241" s="8" t="s">
        <v>18947</v>
      </c>
      <c r="N3241" s="8" t="s">
        <v>37</v>
      </c>
      <c r="O3241" s="8" t="s">
        <v>499</v>
      </c>
      <c r="P3241" s="6" t="s">
        <v>306</v>
      </c>
      <c r="Q3241" s="8" t="s">
        <v>52</v>
      </c>
      <c r="R3241" s="10" t="s">
        <v>18948</v>
      </c>
      <c r="S3241" s="11" t="s">
        <v>18949</v>
      </c>
      <c r="T3241" s="6"/>
      <c r="U3241" s="15" t="str">
        <f>HYPERLINK("https://media.infra-m.ru/2243/2243286/cover/2243286.jpg", "Обложка")</f>
        <v>Обложка</v>
      </c>
      <c r="V3241" s="8" t="s">
        <v>247</v>
      </c>
      <c r="W3241" s="6"/>
      <c r="X3241" s="6"/>
      <c r="Y3241" s="6"/>
      <c r="Z3241" s="6"/>
      <c r="AA3241" s="6" t="s">
        <v>859</v>
      </c>
      <c r="AB3241" s="8"/>
      <c r="AC3241" s="27">
        <v>9785160064406</v>
      </c>
    </row>
    <row r="3242" spans="1:29" s="4" customFormat="1" ht="42" customHeight="1" x14ac:dyDescent="0.2">
      <c r="A3242" s="5">
        <v>0</v>
      </c>
      <c r="B3242" s="6" t="s">
        <v>18950</v>
      </c>
      <c r="C3242" s="7">
        <v>1404</v>
      </c>
      <c r="D3242" s="8" t="s">
        <v>18951</v>
      </c>
      <c r="E3242" s="8" t="s">
        <v>18952</v>
      </c>
      <c r="F3242" s="8" t="s">
        <v>18953</v>
      </c>
      <c r="G3242" s="6" t="s">
        <v>118</v>
      </c>
      <c r="H3242" s="6" t="s">
        <v>34</v>
      </c>
      <c r="I3242" s="8" t="s">
        <v>35</v>
      </c>
      <c r="J3242" s="9">
        <v>1</v>
      </c>
      <c r="K3242" s="9">
        <v>248</v>
      </c>
      <c r="L3242" s="9">
        <v>2024</v>
      </c>
      <c r="M3242" s="8" t="s">
        <v>18954</v>
      </c>
      <c r="N3242" s="8" t="s">
        <v>37</v>
      </c>
      <c r="O3242" s="8" t="s">
        <v>499</v>
      </c>
      <c r="P3242" s="6" t="s">
        <v>39</v>
      </c>
      <c r="Q3242" s="8" t="s">
        <v>40</v>
      </c>
      <c r="R3242" s="10" t="s">
        <v>3832</v>
      </c>
      <c r="S3242" s="11"/>
      <c r="T3242" s="6"/>
      <c r="U3242" s="15" t="str">
        <f>HYPERLINK("https://media.infra-m.ru/2130/2130641/cover/2130641.jpg", "Обложка")</f>
        <v>Обложка</v>
      </c>
      <c r="V3242" s="8" t="s">
        <v>227</v>
      </c>
      <c r="W3242" s="6"/>
      <c r="X3242" s="6"/>
      <c r="Y3242" s="6"/>
      <c r="Z3242" s="6"/>
      <c r="AA3242" s="6" t="s">
        <v>76</v>
      </c>
      <c r="AB3242" s="8"/>
      <c r="AC3242" s="27">
        <v>9785160182827</v>
      </c>
    </row>
    <row r="3243" spans="1:29" s="4" customFormat="1" ht="44.1" customHeight="1" x14ac:dyDescent="0.2">
      <c r="A3243" s="5">
        <v>0</v>
      </c>
      <c r="B3243" s="6" t="s">
        <v>18955</v>
      </c>
      <c r="C3243" s="7">
        <v>2268</v>
      </c>
      <c r="D3243" s="8" t="s">
        <v>18956</v>
      </c>
      <c r="E3243" s="8" t="s">
        <v>18957</v>
      </c>
      <c r="F3243" s="8" t="s">
        <v>18953</v>
      </c>
      <c r="G3243" s="6" t="s">
        <v>118</v>
      </c>
      <c r="H3243" s="6" t="s">
        <v>34</v>
      </c>
      <c r="I3243" s="8" t="s">
        <v>35</v>
      </c>
      <c r="J3243" s="9">
        <v>1</v>
      </c>
      <c r="K3243" s="9">
        <v>372</v>
      </c>
      <c r="L3243" s="9">
        <v>2025</v>
      </c>
      <c r="M3243" s="8" t="s">
        <v>18958</v>
      </c>
      <c r="N3243" s="8" t="s">
        <v>37</v>
      </c>
      <c r="O3243" s="8" t="s">
        <v>499</v>
      </c>
      <c r="P3243" s="6" t="s">
        <v>39</v>
      </c>
      <c r="Q3243" s="8" t="s">
        <v>40</v>
      </c>
      <c r="R3243" s="10" t="s">
        <v>18959</v>
      </c>
      <c r="S3243" s="11"/>
      <c r="T3243" s="6"/>
      <c r="U3243" s="15" t="str">
        <f>HYPERLINK("https://media.infra-m.ru/2163/2163027/cover/2163027.jpg", "Обложка")</f>
        <v>Обложка</v>
      </c>
      <c r="V3243" s="8" t="s">
        <v>227</v>
      </c>
      <c r="W3243" s="6"/>
      <c r="X3243" s="6"/>
      <c r="Y3243" s="6"/>
      <c r="Z3243" s="6"/>
      <c r="AA3243" s="6" t="s">
        <v>76</v>
      </c>
      <c r="AB3243" s="8"/>
      <c r="AC3243" s="27">
        <v>9785160197111</v>
      </c>
    </row>
    <row r="3244" spans="1:29" s="4" customFormat="1" ht="51.9" customHeight="1" x14ac:dyDescent="0.2">
      <c r="A3244" s="5">
        <v>0</v>
      </c>
      <c r="B3244" s="6" t="s">
        <v>18960</v>
      </c>
      <c r="C3244" s="7">
        <v>1990.8</v>
      </c>
      <c r="D3244" s="8" t="s">
        <v>18961</v>
      </c>
      <c r="E3244" s="8" t="s">
        <v>18962</v>
      </c>
      <c r="F3244" s="8" t="s">
        <v>18963</v>
      </c>
      <c r="G3244" s="6" t="s">
        <v>118</v>
      </c>
      <c r="H3244" s="6" t="s">
        <v>48</v>
      </c>
      <c r="I3244" s="8" t="s">
        <v>263</v>
      </c>
      <c r="J3244" s="9">
        <v>1</v>
      </c>
      <c r="K3244" s="9">
        <v>223</v>
      </c>
      <c r="L3244" s="9">
        <v>2026</v>
      </c>
      <c r="M3244" s="8" t="s">
        <v>18964</v>
      </c>
      <c r="N3244" s="8" t="s">
        <v>63</v>
      </c>
      <c r="O3244" s="8" t="s">
        <v>181</v>
      </c>
      <c r="P3244" s="6" t="s">
        <v>51</v>
      </c>
      <c r="Q3244" s="8" t="s">
        <v>265</v>
      </c>
      <c r="R3244" s="10" t="s">
        <v>18965</v>
      </c>
      <c r="S3244" s="11" t="s">
        <v>18966</v>
      </c>
      <c r="T3244" s="6"/>
      <c r="U3244" s="15" t="str">
        <f>HYPERLINK("https://media.infra-m.ru/2233/2233196/cover/2233196.jpg", "Обложка")</f>
        <v>Обложка</v>
      </c>
      <c r="V3244" s="8" t="s">
        <v>257</v>
      </c>
      <c r="W3244" s="6"/>
      <c r="X3244" s="6"/>
      <c r="Y3244" s="6"/>
      <c r="Z3244" s="6" t="s">
        <v>267</v>
      </c>
      <c r="AA3244" s="6" t="s">
        <v>1256</v>
      </c>
      <c r="AB3244" s="8"/>
      <c r="AC3244" s="27">
        <v>9785000915905</v>
      </c>
    </row>
    <row r="3245" spans="1:29" s="4" customFormat="1" ht="51.9" customHeight="1" x14ac:dyDescent="0.2">
      <c r="A3245" s="5">
        <v>0</v>
      </c>
      <c r="B3245" s="6" t="s">
        <v>18967</v>
      </c>
      <c r="C3245" s="7">
        <v>2024.4</v>
      </c>
      <c r="D3245" s="8" t="s">
        <v>18968</v>
      </c>
      <c r="E3245" s="8" t="s">
        <v>18962</v>
      </c>
      <c r="F3245" s="8" t="s">
        <v>18963</v>
      </c>
      <c r="G3245" s="6" t="s">
        <v>33</v>
      </c>
      <c r="H3245" s="6" t="s">
        <v>48</v>
      </c>
      <c r="I3245" s="8" t="s">
        <v>253</v>
      </c>
      <c r="J3245" s="9">
        <v>1</v>
      </c>
      <c r="K3245" s="9">
        <v>224</v>
      </c>
      <c r="L3245" s="9">
        <v>2027</v>
      </c>
      <c r="M3245" s="8" t="s">
        <v>18969</v>
      </c>
      <c r="N3245" s="8" t="s">
        <v>63</v>
      </c>
      <c r="O3245" s="8" t="s">
        <v>181</v>
      </c>
      <c r="P3245" s="6" t="s">
        <v>51</v>
      </c>
      <c r="Q3245" s="8" t="s">
        <v>52</v>
      </c>
      <c r="R3245" s="10" t="s">
        <v>18970</v>
      </c>
      <c r="S3245" s="11"/>
      <c r="T3245" s="6"/>
      <c r="U3245" s="15" t="str">
        <f>HYPERLINK("https://media.infra-m.ru/2268/2268366/cover/2268366.jpg", "Обложка")</f>
        <v>Обложка</v>
      </c>
      <c r="V3245" s="8" t="s">
        <v>257</v>
      </c>
      <c r="W3245" s="6"/>
      <c r="X3245" s="6"/>
      <c r="Y3245" s="6"/>
      <c r="Z3245" s="6"/>
      <c r="AA3245" s="6" t="s">
        <v>248</v>
      </c>
      <c r="AB3245" s="8"/>
      <c r="AC3245" s="27">
        <v>9785911348236</v>
      </c>
    </row>
    <row r="3246" spans="1:29" s="4" customFormat="1" ht="51.9" customHeight="1" x14ac:dyDescent="0.2">
      <c r="A3246" s="5">
        <v>0</v>
      </c>
      <c r="B3246" s="6" t="s">
        <v>18971</v>
      </c>
      <c r="C3246" s="7">
        <v>2604</v>
      </c>
      <c r="D3246" s="8" t="s">
        <v>18972</v>
      </c>
      <c r="E3246" s="8" t="s">
        <v>18973</v>
      </c>
      <c r="F3246" s="8" t="s">
        <v>18974</v>
      </c>
      <c r="G3246" s="6" t="s">
        <v>60</v>
      </c>
      <c r="H3246" s="6" t="s">
        <v>34</v>
      </c>
      <c r="I3246" s="8" t="s">
        <v>253</v>
      </c>
      <c r="J3246" s="9">
        <v>1</v>
      </c>
      <c r="K3246" s="9">
        <v>412</v>
      </c>
      <c r="L3246" s="9">
        <v>2026</v>
      </c>
      <c r="M3246" s="8" t="s">
        <v>18975</v>
      </c>
      <c r="N3246" s="8" t="s">
        <v>243</v>
      </c>
      <c r="O3246" s="8" t="s">
        <v>758</v>
      </c>
      <c r="P3246" s="6" t="s">
        <v>51</v>
      </c>
      <c r="Q3246" s="8" t="s">
        <v>65</v>
      </c>
      <c r="R3246" s="10" t="s">
        <v>18976</v>
      </c>
      <c r="S3246" s="11" t="s">
        <v>18977</v>
      </c>
      <c r="T3246" s="6"/>
      <c r="U3246" s="15" t="str">
        <f>HYPERLINK("https://media.infra-m.ru/2220/2220929/cover/2220929.jpg", "Обложка")</f>
        <v>Обложка</v>
      </c>
      <c r="V3246" s="8" t="s">
        <v>7509</v>
      </c>
      <c r="W3246" s="6"/>
      <c r="X3246" s="6"/>
      <c r="Y3246" s="6"/>
      <c r="Z3246" s="6"/>
      <c r="AA3246" s="6" t="s">
        <v>129</v>
      </c>
      <c r="AB3246" s="8"/>
      <c r="AC3246" s="27">
        <v>9785160047584</v>
      </c>
    </row>
    <row r="3247" spans="1:29" s="4" customFormat="1" ht="51.9" customHeight="1" x14ac:dyDescent="0.2">
      <c r="A3247" s="5">
        <v>0</v>
      </c>
      <c r="B3247" s="6" t="s">
        <v>18978</v>
      </c>
      <c r="C3247" s="7">
        <v>1584</v>
      </c>
      <c r="D3247" s="8" t="s">
        <v>18979</v>
      </c>
      <c r="E3247" s="8" t="s">
        <v>18980</v>
      </c>
      <c r="F3247" s="8" t="s">
        <v>18981</v>
      </c>
      <c r="G3247" s="6" t="s">
        <v>118</v>
      </c>
      <c r="H3247" s="6" t="s">
        <v>34</v>
      </c>
      <c r="I3247" s="8" t="s">
        <v>7625</v>
      </c>
      <c r="J3247" s="9">
        <v>1</v>
      </c>
      <c r="K3247" s="9">
        <v>287</v>
      </c>
      <c r="L3247" s="9">
        <v>2024</v>
      </c>
      <c r="M3247" s="8" t="s">
        <v>18982</v>
      </c>
      <c r="N3247" s="8" t="s">
        <v>243</v>
      </c>
      <c r="O3247" s="8" t="s">
        <v>329</v>
      </c>
      <c r="P3247" s="6" t="s">
        <v>51</v>
      </c>
      <c r="Q3247" s="8" t="s">
        <v>377</v>
      </c>
      <c r="R3247" s="10" t="s">
        <v>18983</v>
      </c>
      <c r="S3247" s="11" t="s">
        <v>7754</v>
      </c>
      <c r="T3247" s="6"/>
      <c r="U3247" s="15" t="str">
        <f>HYPERLINK("https://media.infra-m.ru/2059/2059573/cover/2059573.jpg", "Обложка")</f>
        <v>Обложка</v>
      </c>
      <c r="V3247" s="8" t="s">
        <v>1083</v>
      </c>
      <c r="W3247" s="6"/>
      <c r="X3247" s="6"/>
      <c r="Y3247" s="6"/>
      <c r="Z3247" s="6"/>
      <c r="AA3247" s="6" t="s">
        <v>86</v>
      </c>
      <c r="AB3247" s="8"/>
      <c r="AC3247" s="27">
        <v>9785160162935</v>
      </c>
    </row>
    <row r="3248" spans="1:29" s="4" customFormat="1" ht="51.9" customHeight="1" x14ac:dyDescent="0.2">
      <c r="A3248" s="5">
        <v>0</v>
      </c>
      <c r="B3248" s="6" t="s">
        <v>18984</v>
      </c>
      <c r="C3248" s="7">
        <v>1248</v>
      </c>
      <c r="D3248" s="8" t="s">
        <v>18985</v>
      </c>
      <c r="E3248" s="8" t="s">
        <v>18986</v>
      </c>
      <c r="F3248" s="8" t="s">
        <v>18987</v>
      </c>
      <c r="G3248" s="6" t="s">
        <v>118</v>
      </c>
      <c r="H3248" s="6" t="s">
        <v>34</v>
      </c>
      <c r="I3248" s="8" t="s">
        <v>504</v>
      </c>
      <c r="J3248" s="9">
        <v>1</v>
      </c>
      <c r="K3248" s="9">
        <v>224</v>
      </c>
      <c r="L3248" s="9">
        <v>2024</v>
      </c>
      <c r="M3248" s="8" t="s">
        <v>18988</v>
      </c>
      <c r="N3248" s="8" t="s">
        <v>37</v>
      </c>
      <c r="O3248" s="8" t="s">
        <v>50</v>
      </c>
      <c r="P3248" s="6" t="s">
        <v>51</v>
      </c>
      <c r="Q3248" s="8" t="s">
        <v>500</v>
      </c>
      <c r="R3248" s="10" t="s">
        <v>18989</v>
      </c>
      <c r="S3248" s="11" t="s">
        <v>18990</v>
      </c>
      <c r="T3248" s="6"/>
      <c r="U3248" s="15" t="str">
        <f>HYPERLINK("https://media.infra-m.ru/2119/2119933/cover/2119933.jpg", "Обложка")</f>
        <v>Обложка</v>
      </c>
      <c r="V3248" s="8" t="s">
        <v>18991</v>
      </c>
      <c r="W3248" s="6"/>
      <c r="X3248" s="6"/>
      <c r="Y3248" s="6"/>
      <c r="Z3248" s="6"/>
      <c r="AA3248" s="6" t="s">
        <v>248</v>
      </c>
      <c r="AB3248" s="8"/>
      <c r="AC3248" s="27">
        <v>9785160069326</v>
      </c>
    </row>
    <row r="3249" spans="1:29" s="4" customFormat="1" ht="51.9" customHeight="1" x14ac:dyDescent="0.2">
      <c r="A3249" s="5">
        <v>0</v>
      </c>
      <c r="B3249" s="6" t="s">
        <v>18992</v>
      </c>
      <c r="C3249" s="7">
        <v>1552.8</v>
      </c>
      <c r="D3249" s="8" t="s">
        <v>18993</v>
      </c>
      <c r="E3249" s="8" t="s">
        <v>18994</v>
      </c>
      <c r="F3249" s="8" t="s">
        <v>18995</v>
      </c>
      <c r="G3249" s="6" t="s">
        <v>118</v>
      </c>
      <c r="H3249" s="6" t="s">
        <v>34</v>
      </c>
      <c r="I3249" s="8" t="s">
        <v>271</v>
      </c>
      <c r="J3249" s="9">
        <v>1</v>
      </c>
      <c r="K3249" s="9">
        <v>230</v>
      </c>
      <c r="L3249" s="9">
        <v>2026</v>
      </c>
      <c r="M3249" s="8" t="s">
        <v>18996</v>
      </c>
      <c r="N3249" s="8" t="s">
        <v>37</v>
      </c>
      <c r="O3249" s="8" t="s">
        <v>50</v>
      </c>
      <c r="P3249" s="6" t="s">
        <v>51</v>
      </c>
      <c r="Q3249" s="8" t="s">
        <v>52</v>
      </c>
      <c r="R3249" s="10" t="s">
        <v>18997</v>
      </c>
      <c r="S3249" s="11" t="s">
        <v>18041</v>
      </c>
      <c r="T3249" s="6"/>
      <c r="U3249" s="15" t="str">
        <f>HYPERLINK("https://media.infra-m.ru/2218/2218887/cover/2218887.jpg", "Обложка")</f>
        <v>Обложка</v>
      </c>
      <c r="V3249" s="8" t="s">
        <v>18991</v>
      </c>
      <c r="W3249" s="6"/>
      <c r="X3249" s="6"/>
      <c r="Y3249" s="6"/>
      <c r="Z3249" s="6"/>
      <c r="AA3249" s="6" t="s">
        <v>86</v>
      </c>
      <c r="AB3249" s="8"/>
      <c r="AC3249" s="27">
        <v>9785160129747</v>
      </c>
    </row>
    <row r="3250" spans="1:29" s="4" customFormat="1" ht="51.9" customHeight="1" x14ac:dyDescent="0.2">
      <c r="A3250" s="5">
        <v>0</v>
      </c>
      <c r="B3250" s="6" t="s">
        <v>18998</v>
      </c>
      <c r="C3250" s="7">
        <v>1504.8</v>
      </c>
      <c r="D3250" s="8" t="s">
        <v>18999</v>
      </c>
      <c r="E3250" s="8" t="s">
        <v>19000</v>
      </c>
      <c r="F3250" s="8" t="s">
        <v>19001</v>
      </c>
      <c r="G3250" s="6" t="s">
        <v>33</v>
      </c>
      <c r="H3250" s="6" t="s">
        <v>34</v>
      </c>
      <c r="I3250" s="8" t="s">
        <v>35</v>
      </c>
      <c r="J3250" s="9">
        <v>1</v>
      </c>
      <c r="K3250" s="9">
        <v>229</v>
      </c>
      <c r="L3250" s="9">
        <v>2026</v>
      </c>
      <c r="M3250" s="8" t="s">
        <v>19002</v>
      </c>
      <c r="N3250" s="8" t="s">
        <v>585</v>
      </c>
      <c r="O3250" s="8" t="s">
        <v>667</v>
      </c>
      <c r="P3250" s="6" t="s">
        <v>39</v>
      </c>
      <c r="Q3250" s="8" t="s">
        <v>40</v>
      </c>
      <c r="R3250" s="10" t="s">
        <v>19003</v>
      </c>
      <c r="S3250" s="11"/>
      <c r="T3250" s="6"/>
      <c r="U3250" s="15" t="str">
        <f>HYPERLINK("https://media.infra-m.ru/2237/2237102/cover/2237102.jpg", "Обложка")</f>
        <v>Обложка</v>
      </c>
      <c r="V3250" s="8" t="s">
        <v>19004</v>
      </c>
      <c r="W3250" s="6"/>
      <c r="X3250" s="6"/>
      <c r="Y3250" s="6"/>
      <c r="Z3250" s="6"/>
      <c r="AA3250" s="6" t="s">
        <v>157</v>
      </c>
      <c r="AB3250" s="8"/>
      <c r="AC3250" s="27">
        <v>9785160180359</v>
      </c>
    </row>
    <row r="3251" spans="1:29" s="4" customFormat="1" ht="51.9" customHeight="1" x14ac:dyDescent="0.2">
      <c r="A3251" s="5">
        <v>0</v>
      </c>
      <c r="B3251" s="6" t="s">
        <v>19005</v>
      </c>
      <c r="C3251" s="7">
        <v>2200.8000000000002</v>
      </c>
      <c r="D3251" s="8" t="s">
        <v>19006</v>
      </c>
      <c r="E3251" s="8" t="s">
        <v>19007</v>
      </c>
      <c r="F3251" s="8" t="s">
        <v>19008</v>
      </c>
      <c r="G3251" s="6" t="s">
        <v>118</v>
      </c>
      <c r="H3251" s="6" t="s">
        <v>34</v>
      </c>
      <c r="I3251" s="8" t="s">
        <v>263</v>
      </c>
      <c r="J3251" s="9">
        <v>1</v>
      </c>
      <c r="K3251" s="9">
        <v>316</v>
      </c>
      <c r="L3251" s="9">
        <v>2027</v>
      </c>
      <c r="M3251" s="8" t="s">
        <v>19009</v>
      </c>
      <c r="N3251" s="8" t="s">
        <v>93</v>
      </c>
      <c r="O3251" s="8" t="s">
        <v>94</v>
      </c>
      <c r="P3251" s="6" t="s">
        <v>306</v>
      </c>
      <c r="Q3251" s="8" t="s">
        <v>265</v>
      </c>
      <c r="R3251" s="10" t="s">
        <v>19010</v>
      </c>
      <c r="S3251" s="11" t="s">
        <v>19011</v>
      </c>
      <c r="T3251" s="6"/>
      <c r="U3251" s="15" t="str">
        <f>HYPERLINK("https://media.infra-m.ru/2272/2272096/cover/2272096.jpg", "Обложка")</f>
        <v>Обложка</v>
      </c>
      <c r="V3251" s="8" t="s">
        <v>19012</v>
      </c>
      <c r="W3251" s="6"/>
      <c r="X3251" s="6"/>
      <c r="Y3251" s="6"/>
      <c r="Z3251" s="6"/>
      <c r="AA3251" s="6" t="s">
        <v>430</v>
      </c>
      <c r="AB3251" s="8"/>
      <c r="AC3251" s="27">
        <v>9785160159263</v>
      </c>
    </row>
    <row r="3252" spans="1:29" s="4" customFormat="1" ht="51.9" customHeight="1" x14ac:dyDescent="0.2">
      <c r="A3252" s="5">
        <v>0</v>
      </c>
      <c r="B3252" s="6" t="s">
        <v>19013</v>
      </c>
      <c r="C3252" s="7">
        <v>2320.8000000000002</v>
      </c>
      <c r="D3252" s="8" t="s">
        <v>19014</v>
      </c>
      <c r="E3252" s="8" t="s">
        <v>19015</v>
      </c>
      <c r="F3252" s="8" t="s">
        <v>19016</v>
      </c>
      <c r="G3252" s="6" t="s">
        <v>60</v>
      </c>
      <c r="H3252" s="6" t="s">
        <v>34</v>
      </c>
      <c r="I3252" s="8" t="s">
        <v>271</v>
      </c>
      <c r="J3252" s="9">
        <v>1</v>
      </c>
      <c r="K3252" s="9">
        <v>372</v>
      </c>
      <c r="L3252" s="9">
        <v>2025</v>
      </c>
      <c r="M3252" s="8" t="s">
        <v>19017</v>
      </c>
      <c r="N3252" s="8" t="s">
        <v>585</v>
      </c>
      <c r="O3252" s="8" t="s">
        <v>667</v>
      </c>
      <c r="P3252" s="6" t="s">
        <v>51</v>
      </c>
      <c r="Q3252" s="8" t="s">
        <v>52</v>
      </c>
      <c r="R3252" s="10" t="s">
        <v>7293</v>
      </c>
      <c r="S3252" s="11" t="s">
        <v>19018</v>
      </c>
      <c r="T3252" s="6"/>
      <c r="U3252" s="15" t="str">
        <f>HYPERLINK("https://media.infra-m.ru/2193/2193088/cover/2193088.jpg", "Обложка")</f>
        <v>Обложка</v>
      </c>
      <c r="V3252" s="8" t="s">
        <v>2427</v>
      </c>
      <c r="W3252" s="6"/>
      <c r="X3252" s="6"/>
      <c r="Y3252" s="6"/>
      <c r="Z3252" s="6"/>
      <c r="AA3252" s="6" t="s">
        <v>561</v>
      </c>
      <c r="AB3252" s="8"/>
      <c r="AC3252" s="27">
        <v>9785160112565</v>
      </c>
    </row>
    <row r="3253" spans="1:29" s="4" customFormat="1" ht="42" customHeight="1" x14ac:dyDescent="0.2">
      <c r="A3253" s="5">
        <v>0</v>
      </c>
      <c r="B3253" s="6" t="s">
        <v>19019</v>
      </c>
      <c r="C3253" s="7">
        <v>1204.8</v>
      </c>
      <c r="D3253" s="8" t="s">
        <v>19020</v>
      </c>
      <c r="E3253" s="8" t="s">
        <v>19021</v>
      </c>
      <c r="F3253" s="8" t="s">
        <v>19022</v>
      </c>
      <c r="G3253" s="6" t="s">
        <v>33</v>
      </c>
      <c r="H3253" s="6" t="s">
        <v>34</v>
      </c>
      <c r="I3253" s="8" t="s">
        <v>35</v>
      </c>
      <c r="J3253" s="9">
        <v>1</v>
      </c>
      <c r="K3253" s="9">
        <v>173</v>
      </c>
      <c r="L3253" s="9">
        <v>2026</v>
      </c>
      <c r="M3253" s="8" t="s">
        <v>19023</v>
      </c>
      <c r="N3253" s="8" t="s">
        <v>93</v>
      </c>
      <c r="O3253" s="8" t="s">
        <v>94</v>
      </c>
      <c r="P3253" s="6" t="s">
        <v>39</v>
      </c>
      <c r="Q3253" s="8" t="s">
        <v>40</v>
      </c>
      <c r="R3253" s="10" t="s">
        <v>1563</v>
      </c>
      <c r="S3253" s="11"/>
      <c r="T3253" s="6"/>
      <c r="U3253" s="15" t="str">
        <f>HYPERLINK("https://media.infra-m.ru/2257/2257151/cover/2257151.jpg", "Обложка")</f>
        <v>Обложка</v>
      </c>
      <c r="V3253" s="8" t="s">
        <v>19024</v>
      </c>
      <c r="W3253" s="6"/>
      <c r="X3253" s="6"/>
      <c r="Y3253" s="6"/>
      <c r="Z3253" s="6"/>
      <c r="AA3253" s="6" t="s">
        <v>148</v>
      </c>
      <c r="AB3253" s="8"/>
      <c r="AC3253" s="27">
        <v>9785160175119</v>
      </c>
    </row>
    <row r="3254" spans="1:29" s="4" customFormat="1" ht="51.9" customHeight="1" x14ac:dyDescent="0.2">
      <c r="A3254" s="5">
        <v>0</v>
      </c>
      <c r="B3254" s="6" t="s">
        <v>19025</v>
      </c>
      <c r="C3254" s="13">
        <v>888</v>
      </c>
      <c r="D3254" s="8" t="s">
        <v>19026</v>
      </c>
      <c r="E3254" s="8" t="s">
        <v>19027</v>
      </c>
      <c r="F3254" s="8" t="s">
        <v>19028</v>
      </c>
      <c r="G3254" s="6" t="s">
        <v>33</v>
      </c>
      <c r="H3254" s="6" t="s">
        <v>34</v>
      </c>
      <c r="I3254" s="8" t="s">
        <v>263</v>
      </c>
      <c r="J3254" s="9">
        <v>1</v>
      </c>
      <c r="K3254" s="9">
        <v>136</v>
      </c>
      <c r="L3254" s="9">
        <v>2025</v>
      </c>
      <c r="M3254" s="8" t="s">
        <v>19029</v>
      </c>
      <c r="N3254" s="8" t="s">
        <v>585</v>
      </c>
      <c r="O3254" s="8" t="s">
        <v>667</v>
      </c>
      <c r="P3254" s="6" t="s">
        <v>306</v>
      </c>
      <c r="Q3254" s="8" t="s">
        <v>265</v>
      </c>
      <c r="R3254" s="10" t="s">
        <v>19030</v>
      </c>
      <c r="S3254" s="11" t="s">
        <v>19031</v>
      </c>
      <c r="T3254" s="6"/>
      <c r="U3254" s="15" t="str">
        <f>HYPERLINK("https://media.infra-m.ru/2184/2184921/cover/2184921.jpg", "Обложка")</f>
        <v>Обложка</v>
      </c>
      <c r="V3254" s="8" t="s">
        <v>1599</v>
      </c>
      <c r="W3254" s="6"/>
      <c r="X3254" s="6" t="s">
        <v>24</v>
      </c>
      <c r="Y3254" s="6"/>
      <c r="Z3254" s="6"/>
      <c r="AA3254" s="6" t="s">
        <v>874</v>
      </c>
      <c r="AB3254" s="8"/>
      <c r="AC3254" s="27">
        <v>9785160180908</v>
      </c>
    </row>
    <row r="3255" spans="1:29" s="4" customFormat="1" ht="51.9" customHeight="1" x14ac:dyDescent="0.2">
      <c r="A3255" s="5">
        <v>0</v>
      </c>
      <c r="B3255" s="6" t="s">
        <v>19032</v>
      </c>
      <c r="C3255" s="7">
        <v>2932.8</v>
      </c>
      <c r="D3255" s="8" t="s">
        <v>19033</v>
      </c>
      <c r="E3255" s="8" t="s">
        <v>19034</v>
      </c>
      <c r="F3255" s="8" t="s">
        <v>19035</v>
      </c>
      <c r="G3255" s="6" t="s">
        <v>60</v>
      </c>
      <c r="H3255" s="6" t="s">
        <v>241</v>
      </c>
      <c r="I3255" s="8" t="s">
        <v>217</v>
      </c>
      <c r="J3255" s="9">
        <v>1</v>
      </c>
      <c r="K3255" s="9">
        <v>520</v>
      </c>
      <c r="L3255" s="9">
        <v>2024</v>
      </c>
      <c r="M3255" s="8" t="s">
        <v>19036</v>
      </c>
      <c r="N3255" s="8" t="s">
        <v>585</v>
      </c>
      <c r="O3255" s="8" t="s">
        <v>667</v>
      </c>
      <c r="P3255" s="6" t="s">
        <v>51</v>
      </c>
      <c r="Q3255" s="8" t="s">
        <v>52</v>
      </c>
      <c r="R3255" s="10" t="s">
        <v>370</v>
      </c>
      <c r="S3255" s="11" t="s">
        <v>19037</v>
      </c>
      <c r="T3255" s="6"/>
      <c r="U3255" s="15" t="str">
        <f>HYPERLINK("https://media.infra-m.ru/2139/2139905/cover/2139905.jpg", "Обложка")</f>
        <v>Обложка</v>
      </c>
      <c r="V3255" s="8" t="s">
        <v>217</v>
      </c>
      <c r="W3255" s="6"/>
      <c r="X3255" s="6"/>
      <c r="Y3255" s="6"/>
      <c r="Z3255" s="6"/>
      <c r="AA3255" s="6" t="s">
        <v>779</v>
      </c>
      <c r="AB3255" s="8"/>
      <c r="AC3255" s="27">
        <v>9785955804934</v>
      </c>
    </row>
    <row r="3256" spans="1:29" s="4" customFormat="1" ht="51.9" customHeight="1" x14ac:dyDescent="0.2">
      <c r="A3256" s="5">
        <v>0</v>
      </c>
      <c r="B3256" s="6" t="s">
        <v>19038</v>
      </c>
      <c r="C3256" s="7">
        <v>2616</v>
      </c>
      <c r="D3256" s="8" t="s">
        <v>19039</v>
      </c>
      <c r="E3256" s="8" t="s">
        <v>19040</v>
      </c>
      <c r="F3256" s="8" t="s">
        <v>19041</v>
      </c>
      <c r="G3256" s="6" t="s">
        <v>60</v>
      </c>
      <c r="H3256" s="6" t="s">
        <v>34</v>
      </c>
      <c r="I3256" s="8" t="s">
        <v>253</v>
      </c>
      <c r="J3256" s="9">
        <v>1</v>
      </c>
      <c r="K3256" s="9">
        <v>472</v>
      </c>
      <c r="L3256" s="9">
        <v>2024</v>
      </c>
      <c r="M3256" s="8" t="s">
        <v>19042</v>
      </c>
      <c r="N3256" s="8" t="s">
        <v>585</v>
      </c>
      <c r="O3256" s="8" t="s">
        <v>667</v>
      </c>
      <c r="P3256" s="6" t="s">
        <v>306</v>
      </c>
      <c r="Q3256" s="8" t="s">
        <v>52</v>
      </c>
      <c r="R3256" s="10" t="s">
        <v>3008</v>
      </c>
      <c r="S3256" s="11" t="s">
        <v>19043</v>
      </c>
      <c r="T3256" s="6"/>
      <c r="U3256" s="15" t="str">
        <f>HYPERLINK("https://media.infra-m.ru/2079/2079248/cover/2079248.jpg", "Обложка")</f>
        <v>Обложка</v>
      </c>
      <c r="V3256" s="8" t="s">
        <v>247</v>
      </c>
      <c r="W3256" s="6"/>
      <c r="X3256" s="6"/>
      <c r="Y3256" s="6"/>
      <c r="Z3256" s="6"/>
      <c r="AA3256" s="6" t="s">
        <v>129</v>
      </c>
      <c r="AB3256" s="8"/>
      <c r="AC3256" s="27">
        <v>9785160189239</v>
      </c>
    </row>
    <row r="3257" spans="1:29" s="4" customFormat="1" ht="51.9" customHeight="1" x14ac:dyDescent="0.2">
      <c r="A3257" s="5">
        <v>0</v>
      </c>
      <c r="B3257" s="6" t="s">
        <v>19044</v>
      </c>
      <c r="C3257" s="7">
        <v>1920</v>
      </c>
      <c r="D3257" s="8" t="s">
        <v>19045</v>
      </c>
      <c r="E3257" s="8" t="s">
        <v>19046</v>
      </c>
      <c r="F3257" s="8" t="s">
        <v>19047</v>
      </c>
      <c r="G3257" s="6" t="s">
        <v>33</v>
      </c>
      <c r="H3257" s="6" t="s">
        <v>313</v>
      </c>
      <c r="I3257" s="8" t="s">
        <v>35</v>
      </c>
      <c r="J3257" s="9">
        <v>1</v>
      </c>
      <c r="K3257" s="9">
        <v>288</v>
      </c>
      <c r="L3257" s="9">
        <v>2026</v>
      </c>
      <c r="M3257" s="8" t="s">
        <v>19048</v>
      </c>
      <c r="N3257" s="8" t="s">
        <v>585</v>
      </c>
      <c r="O3257" s="8" t="s">
        <v>2472</v>
      </c>
      <c r="P3257" s="6" t="s">
        <v>39</v>
      </c>
      <c r="Q3257" s="8" t="s">
        <v>40</v>
      </c>
      <c r="R3257" s="10" t="s">
        <v>19049</v>
      </c>
      <c r="S3257" s="11"/>
      <c r="T3257" s="6"/>
      <c r="U3257" s="15" t="str">
        <f>HYPERLINK("https://media.infra-m.ru/2232/2232497/cover/2232497.jpg", "Обложка")</f>
        <v>Обложка</v>
      </c>
      <c r="V3257" s="8" t="s">
        <v>11325</v>
      </c>
      <c r="W3257" s="6"/>
      <c r="X3257" s="6"/>
      <c r="Y3257" s="6"/>
      <c r="Z3257" s="6"/>
      <c r="AA3257" s="6" t="s">
        <v>874</v>
      </c>
      <c r="AB3257" s="8"/>
      <c r="AC3257" s="27">
        <v>9785369014042</v>
      </c>
    </row>
    <row r="3258" spans="1:29" s="4" customFormat="1" ht="51.9" customHeight="1" x14ac:dyDescent="0.2">
      <c r="A3258" s="5">
        <v>0</v>
      </c>
      <c r="B3258" s="6" t="s">
        <v>19050</v>
      </c>
      <c r="C3258" s="7">
        <v>3244.8</v>
      </c>
      <c r="D3258" s="8" t="s">
        <v>19051</v>
      </c>
      <c r="E3258" s="8" t="s">
        <v>19052</v>
      </c>
      <c r="F3258" s="8" t="s">
        <v>19053</v>
      </c>
      <c r="G3258" s="6" t="s">
        <v>60</v>
      </c>
      <c r="H3258" s="6" t="s">
        <v>5605</v>
      </c>
      <c r="I3258" s="8" t="s">
        <v>253</v>
      </c>
      <c r="J3258" s="9">
        <v>1</v>
      </c>
      <c r="K3258" s="9">
        <v>558</v>
      </c>
      <c r="L3258" s="9">
        <v>2025</v>
      </c>
      <c r="M3258" s="8" t="s">
        <v>19054</v>
      </c>
      <c r="N3258" s="8" t="s">
        <v>585</v>
      </c>
      <c r="O3258" s="8" t="s">
        <v>667</v>
      </c>
      <c r="P3258" s="6" t="s">
        <v>306</v>
      </c>
      <c r="Q3258" s="8" t="s">
        <v>52</v>
      </c>
      <c r="R3258" s="10" t="s">
        <v>19055</v>
      </c>
      <c r="S3258" s="11" t="s">
        <v>19056</v>
      </c>
      <c r="T3258" s="6"/>
      <c r="U3258" s="15" t="str">
        <f>HYPERLINK("https://media.infra-m.ru/2186/2186870/cover/2186870.jpg", "Обложка")</f>
        <v>Обложка</v>
      </c>
      <c r="V3258" s="8" t="s">
        <v>227</v>
      </c>
      <c r="W3258" s="6"/>
      <c r="X3258" s="6"/>
      <c r="Y3258" s="6"/>
      <c r="Z3258" s="6"/>
      <c r="AA3258" s="6" t="s">
        <v>19057</v>
      </c>
      <c r="AB3258" s="8"/>
      <c r="AC3258" s="27">
        <v>9785160052960</v>
      </c>
    </row>
    <row r="3259" spans="1:29" s="4" customFormat="1" ht="51.9" customHeight="1" x14ac:dyDescent="0.2">
      <c r="A3259" s="5">
        <v>0</v>
      </c>
      <c r="B3259" s="6" t="s">
        <v>19058</v>
      </c>
      <c r="C3259" s="7">
        <v>1889.9</v>
      </c>
      <c r="D3259" s="8" t="s">
        <v>19059</v>
      </c>
      <c r="E3259" s="8" t="s">
        <v>19060</v>
      </c>
      <c r="F3259" s="8" t="s">
        <v>19061</v>
      </c>
      <c r="G3259" s="6" t="s">
        <v>60</v>
      </c>
      <c r="H3259" s="6" t="s">
        <v>313</v>
      </c>
      <c r="I3259" s="8" t="s">
        <v>253</v>
      </c>
      <c r="J3259" s="9">
        <v>1</v>
      </c>
      <c r="K3259" s="9">
        <v>374</v>
      </c>
      <c r="L3259" s="9">
        <v>2022</v>
      </c>
      <c r="M3259" s="8" t="s">
        <v>19062</v>
      </c>
      <c r="N3259" s="8" t="s">
        <v>585</v>
      </c>
      <c r="O3259" s="8" t="s">
        <v>667</v>
      </c>
      <c r="P3259" s="6" t="s">
        <v>306</v>
      </c>
      <c r="Q3259" s="8" t="s">
        <v>52</v>
      </c>
      <c r="R3259" s="10" t="s">
        <v>370</v>
      </c>
      <c r="S3259" s="11" t="s">
        <v>19063</v>
      </c>
      <c r="T3259" s="6"/>
      <c r="U3259" s="15" t="str">
        <f>HYPERLINK("https://media.infra-m.ru/1873/1873257/cover/1873257.jpg", "Обложка")</f>
        <v>Обложка</v>
      </c>
      <c r="V3259" s="8" t="s">
        <v>12767</v>
      </c>
      <c r="W3259" s="6"/>
      <c r="X3259" s="6"/>
      <c r="Y3259" s="6"/>
      <c r="Z3259" s="6"/>
      <c r="AA3259" s="6" t="s">
        <v>779</v>
      </c>
      <c r="AB3259" s="8"/>
      <c r="AC3259" s="27">
        <v>9785369014097</v>
      </c>
    </row>
    <row r="3260" spans="1:29" s="4" customFormat="1" ht="42" customHeight="1" x14ac:dyDescent="0.2">
      <c r="A3260" s="5">
        <v>0</v>
      </c>
      <c r="B3260" s="6" t="s">
        <v>19064</v>
      </c>
      <c r="C3260" s="7">
        <v>3172.8</v>
      </c>
      <c r="D3260" s="8" t="s">
        <v>19065</v>
      </c>
      <c r="E3260" s="8" t="s">
        <v>19066</v>
      </c>
      <c r="F3260" s="8" t="s">
        <v>19067</v>
      </c>
      <c r="G3260" s="6" t="s">
        <v>60</v>
      </c>
      <c r="H3260" s="6" t="s">
        <v>34</v>
      </c>
      <c r="I3260" s="8" t="s">
        <v>19068</v>
      </c>
      <c r="J3260" s="9">
        <v>1</v>
      </c>
      <c r="K3260" s="9">
        <v>480</v>
      </c>
      <c r="L3260" s="9">
        <v>2026</v>
      </c>
      <c r="M3260" s="8" t="s">
        <v>19069</v>
      </c>
      <c r="N3260" s="8" t="s">
        <v>93</v>
      </c>
      <c r="O3260" s="8" t="s">
        <v>7500</v>
      </c>
      <c r="P3260" s="6" t="s">
        <v>51</v>
      </c>
      <c r="Q3260" s="8" t="s">
        <v>1891</v>
      </c>
      <c r="R3260" s="10" t="s">
        <v>7671</v>
      </c>
      <c r="S3260" s="11"/>
      <c r="T3260" s="6"/>
      <c r="U3260" s="15" t="str">
        <f>HYPERLINK("https://media.infra-m.ru/2204/2204892/cover/2204892.jpg", "Обложка")</f>
        <v>Обложка</v>
      </c>
      <c r="V3260" s="8" t="s">
        <v>247</v>
      </c>
      <c r="W3260" s="6"/>
      <c r="X3260" s="6"/>
      <c r="Y3260" s="6"/>
      <c r="Z3260" s="6"/>
      <c r="AA3260" s="6" t="s">
        <v>1256</v>
      </c>
      <c r="AB3260" s="8"/>
      <c r="AC3260" s="27">
        <v>9785160189222</v>
      </c>
    </row>
    <row r="3261" spans="1:29" s="4" customFormat="1" ht="51.9" customHeight="1" x14ac:dyDescent="0.2">
      <c r="A3261" s="5">
        <v>0</v>
      </c>
      <c r="B3261" s="6" t="s">
        <v>19070</v>
      </c>
      <c r="C3261" s="13">
        <v>952.8</v>
      </c>
      <c r="D3261" s="8" t="s">
        <v>19071</v>
      </c>
      <c r="E3261" s="8" t="s">
        <v>19072</v>
      </c>
      <c r="F3261" s="8" t="s">
        <v>19073</v>
      </c>
      <c r="G3261" s="6" t="s">
        <v>33</v>
      </c>
      <c r="H3261" s="6" t="s">
        <v>48</v>
      </c>
      <c r="I3261" s="8" t="s">
        <v>401</v>
      </c>
      <c r="J3261" s="9">
        <v>1</v>
      </c>
      <c r="K3261" s="9">
        <v>144</v>
      </c>
      <c r="L3261" s="9">
        <v>2026</v>
      </c>
      <c r="M3261" s="8" t="s">
        <v>19074</v>
      </c>
      <c r="N3261" s="8" t="s">
        <v>585</v>
      </c>
      <c r="O3261" s="8" t="s">
        <v>667</v>
      </c>
      <c r="P3261" s="6" t="s">
        <v>51</v>
      </c>
      <c r="Q3261" s="8" t="s">
        <v>265</v>
      </c>
      <c r="R3261" s="10" t="s">
        <v>19075</v>
      </c>
      <c r="S3261" s="11"/>
      <c r="T3261" s="6"/>
      <c r="U3261" s="15" t="str">
        <f>HYPERLINK("https://media.infra-m.ru/2237/2237103/cover/2237103.jpg", "Обложка")</f>
        <v>Обложка</v>
      </c>
      <c r="V3261" s="8" t="s">
        <v>19004</v>
      </c>
      <c r="W3261" s="6"/>
      <c r="X3261" s="6"/>
      <c r="Y3261" s="6"/>
      <c r="Z3261" s="6"/>
      <c r="AA3261" s="6" t="s">
        <v>55</v>
      </c>
      <c r="AB3261" s="8"/>
      <c r="AC3261" s="27">
        <v>9785911347130</v>
      </c>
    </row>
    <row r="3262" spans="1:29" s="4" customFormat="1" ht="51.9" customHeight="1" x14ac:dyDescent="0.2">
      <c r="A3262" s="5">
        <v>0</v>
      </c>
      <c r="B3262" s="6" t="s">
        <v>19076</v>
      </c>
      <c r="C3262" s="7">
        <v>2008.8</v>
      </c>
      <c r="D3262" s="8" t="s">
        <v>19077</v>
      </c>
      <c r="E3262" s="8" t="s">
        <v>19078</v>
      </c>
      <c r="F3262" s="8" t="s">
        <v>19079</v>
      </c>
      <c r="G3262" s="6" t="s">
        <v>118</v>
      </c>
      <c r="H3262" s="6" t="s">
        <v>820</v>
      </c>
      <c r="I3262" s="8" t="s">
        <v>263</v>
      </c>
      <c r="J3262" s="9">
        <v>1</v>
      </c>
      <c r="K3262" s="9">
        <v>304</v>
      </c>
      <c r="L3262" s="9">
        <v>2026</v>
      </c>
      <c r="M3262" s="8" t="s">
        <v>19080</v>
      </c>
      <c r="N3262" s="8" t="s">
        <v>585</v>
      </c>
      <c r="O3262" s="8" t="s">
        <v>667</v>
      </c>
      <c r="P3262" s="6" t="s">
        <v>306</v>
      </c>
      <c r="Q3262" s="8" t="s">
        <v>265</v>
      </c>
      <c r="R3262" s="10" t="s">
        <v>19081</v>
      </c>
      <c r="S3262" s="11"/>
      <c r="T3262" s="6"/>
      <c r="U3262" s="15" t="str">
        <f>HYPERLINK("https://media.infra-m.ru/2235/2235724/cover/2235724.jpg", "Обложка")</f>
        <v>Обложка</v>
      </c>
      <c r="V3262" s="8" t="s">
        <v>3428</v>
      </c>
      <c r="W3262" s="6"/>
      <c r="X3262" s="6" t="s">
        <v>24</v>
      </c>
      <c r="Y3262" s="6"/>
      <c r="Z3262" s="6"/>
      <c r="AA3262" s="6" t="s">
        <v>99</v>
      </c>
      <c r="AB3262" s="8"/>
      <c r="AC3262" s="27">
        <v>9785907064560</v>
      </c>
    </row>
    <row r="3263" spans="1:29" s="4" customFormat="1" ht="51.9" customHeight="1" x14ac:dyDescent="0.2">
      <c r="A3263" s="5">
        <v>0</v>
      </c>
      <c r="B3263" s="6" t="s">
        <v>19082</v>
      </c>
      <c r="C3263" s="7">
        <v>2436</v>
      </c>
      <c r="D3263" s="8" t="s">
        <v>19083</v>
      </c>
      <c r="E3263" s="8" t="s">
        <v>19084</v>
      </c>
      <c r="F3263" s="8" t="s">
        <v>19079</v>
      </c>
      <c r="G3263" s="6" t="s">
        <v>118</v>
      </c>
      <c r="H3263" s="6" t="s">
        <v>820</v>
      </c>
      <c r="I3263" s="8" t="s">
        <v>263</v>
      </c>
      <c r="J3263" s="9">
        <v>1</v>
      </c>
      <c r="K3263" s="9">
        <v>368</v>
      </c>
      <c r="L3263" s="9">
        <v>2026</v>
      </c>
      <c r="M3263" s="8" t="s">
        <v>19085</v>
      </c>
      <c r="N3263" s="8" t="s">
        <v>585</v>
      </c>
      <c r="O3263" s="8" t="s">
        <v>667</v>
      </c>
      <c r="P3263" s="6" t="s">
        <v>306</v>
      </c>
      <c r="Q3263" s="8" t="s">
        <v>265</v>
      </c>
      <c r="R3263" s="10" t="s">
        <v>19086</v>
      </c>
      <c r="S3263" s="11"/>
      <c r="T3263" s="6" t="s">
        <v>97</v>
      </c>
      <c r="U3263" s="15" t="str">
        <f>HYPERLINK("https://media.infra-m.ru/2236/2236736/cover/2236736.jpg", "Обложка")</f>
        <v>Обложка</v>
      </c>
      <c r="V3263" s="8" t="s">
        <v>3428</v>
      </c>
      <c r="W3263" s="6"/>
      <c r="X3263" s="6" t="s">
        <v>24</v>
      </c>
      <c r="Y3263" s="6"/>
      <c r="Z3263" s="6"/>
      <c r="AA3263" s="6" t="s">
        <v>99</v>
      </c>
      <c r="AB3263" s="8"/>
      <c r="AC3263" s="27">
        <v>9785906923349</v>
      </c>
    </row>
    <row r="3264" spans="1:29" s="4" customFormat="1" ht="51.9" customHeight="1" x14ac:dyDescent="0.2">
      <c r="A3264" s="5">
        <v>0</v>
      </c>
      <c r="B3264" s="6" t="s">
        <v>19087</v>
      </c>
      <c r="C3264" s="7">
        <v>3592.8</v>
      </c>
      <c r="D3264" s="8" t="s">
        <v>19088</v>
      </c>
      <c r="E3264" s="8" t="s">
        <v>19089</v>
      </c>
      <c r="F3264" s="8" t="s">
        <v>19090</v>
      </c>
      <c r="G3264" s="6" t="s">
        <v>60</v>
      </c>
      <c r="H3264" s="6" t="s">
        <v>34</v>
      </c>
      <c r="I3264" s="8" t="s">
        <v>263</v>
      </c>
      <c r="J3264" s="9">
        <v>1</v>
      </c>
      <c r="K3264" s="9">
        <v>544</v>
      </c>
      <c r="L3264" s="9">
        <v>2026</v>
      </c>
      <c r="M3264" s="8" t="s">
        <v>19091</v>
      </c>
      <c r="N3264" s="8" t="s">
        <v>585</v>
      </c>
      <c r="O3264" s="8" t="s">
        <v>667</v>
      </c>
      <c r="P3264" s="6" t="s">
        <v>306</v>
      </c>
      <c r="Q3264" s="8" t="s">
        <v>265</v>
      </c>
      <c r="R3264" s="10" t="s">
        <v>19092</v>
      </c>
      <c r="S3264" s="11" t="s">
        <v>19093</v>
      </c>
      <c r="T3264" s="6"/>
      <c r="U3264" s="15" t="str">
        <f>HYPERLINK("https://media.infra-m.ru/2249/2249332/cover/2249332.jpg", "Обложка")</f>
        <v>Обложка</v>
      </c>
      <c r="V3264" s="8" t="s">
        <v>6147</v>
      </c>
      <c r="W3264" s="6"/>
      <c r="X3264" s="6" t="s">
        <v>24</v>
      </c>
      <c r="Y3264" s="6"/>
      <c r="Z3264" s="6"/>
      <c r="AA3264" s="6" t="s">
        <v>7159</v>
      </c>
      <c r="AB3264" s="8"/>
      <c r="AC3264" s="27">
        <v>9785160125923</v>
      </c>
    </row>
    <row r="3265" spans="1:29" s="4" customFormat="1" ht="51.9" customHeight="1" x14ac:dyDescent="0.2">
      <c r="A3265" s="5">
        <v>0</v>
      </c>
      <c r="B3265" s="6" t="s">
        <v>19094</v>
      </c>
      <c r="C3265" s="7">
        <v>2296.8000000000002</v>
      </c>
      <c r="D3265" s="8" t="s">
        <v>19095</v>
      </c>
      <c r="E3265" s="8" t="s">
        <v>19096</v>
      </c>
      <c r="F3265" s="8" t="s">
        <v>19097</v>
      </c>
      <c r="G3265" s="6" t="s">
        <v>60</v>
      </c>
      <c r="H3265" s="6" t="s">
        <v>34</v>
      </c>
      <c r="I3265" s="8" t="s">
        <v>263</v>
      </c>
      <c r="J3265" s="9">
        <v>1</v>
      </c>
      <c r="K3265" s="9">
        <v>349</v>
      </c>
      <c r="L3265" s="9">
        <v>2026</v>
      </c>
      <c r="M3265" s="8" t="s">
        <v>19098</v>
      </c>
      <c r="N3265" s="8" t="s">
        <v>585</v>
      </c>
      <c r="O3265" s="8" t="s">
        <v>667</v>
      </c>
      <c r="P3265" s="6" t="s">
        <v>306</v>
      </c>
      <c r="Q3265" s="8" t="s">
        <v>265</v>
      </c>
      <c r="R3265" s="10" t="s">
        <v>19099</v>
      </c>
      <c r="S3265" s="11" t="s">
        <v>19100</v>
      </c>
      <c r="T3265" s="6"/>
      <c r="U3265" s="15" t="str">
        <f>HYPERLINK("https://media.infra-m.ru/2235/2235722/cover/2235722.jpg", "Обложка")</f>
        <v>Обложка</v>
      </c>
      <c r="V3265" s="8" t="s">
        <v>3595</v>
      </c>
      <c r="W3265" s="6"/>
      <c r="X3265" s="6"/>
      <c r="Y3265" s="6"/>
      <c r="Z3265" s="6"/>
      <c r="AA3265" s="6" t="s">
        <v>148</v>
      </c>
      <c r="AB3265" s="8"/>
      <c r="AC3265" s="27">
        <v>9785160174624</v>
      </c>
    </row>
    <row r="3266" spans="1:29" s="4" customFormat="1" ht="51.9" customHeight="1" x14ac:dyDescent="0.2">
      <c r="A3266" s="5">
        <v>0</v>
      </c>
      <c r="B3266" s="6" t="s">
        <v>19101</v>
      </c>
      <c r="C3266" s="7">
        <v>1152</v>
      </c>
      <c r="D3266" s="8" t="s">
        <v>19102</v>
      </c>
      <c r="E3266" s="8" t="s">
        <v>19096</v>
      </c>
      <c r="F3266" s="8" t="s">
        <v>19103</v>
      </c>
      <c r="G3266" s="6" t="s">
        <v>118</v>
      </c>
      <c r="H3266" s="6" t="s">
        <v>34</v>
      </c>
      <c r="I3266" s="8" t="s">
        <v>263</v>
      </c>
      <c r="J3266" s="9">
        <v>1</v>
      </c>
      <c r="K3266" s="9">
        <v>204</v>
      </c>
      <c r="L3266" s="9">
        <v>2024</v>
      </c>
      <c r="M3266" s="8" t="s">
        <v>19104</v>
      </c>
      <c r="N3266" s="8" t="s">
        <v>585</v>
      </c>
      <c r="O3266" s="8" t="s">
        <v>667</v>
      </c>
      <c r="P3266" s="6" t="s">
        <v>306</v>
      </c>
      <c r="Q3266" s="8" t="s">
        <v>265</v>
      </c>
      <c r="R3266" s="10" t="s">
        <v>19105</v>
      </c>
      <c r="S3266" s="11" t="s">
        <v>19106</v>
      </c>
      <c r="T3266" s="6"/>
      <c r="U3266" s="15" t="str">
        <f>HYPERLINK("https://media.infra-m.ru/2136/2136718/cover/2136718.jpg", "Обложка")</f>
        <v>Обложка</v>
      </c>
      <c r="V3266" s="8" t="s">
        <v>2980</v>
      </c>
      <c r="W3266" s="6"/>
      <c r="X3266" s="6" t="s">
        <v>24</v>
      </c>
      <c r="Y3266" s="6"/>
      <c r="Z3266" s="6"/>
      <c r="AA3266" s="6" t="s">
        <v>430</v>
      </c>
      <c r="AB3266" s="8" t="s">
        <v>1418</v>
      </c>
      <c r="AC3266" s="27">
        <v>9785160147444</v>
      </c>
    </row>
    <row r="3267" spans="1:29" s="4" customFormat="1" ht="51.9" customHeight="1" x14ac:dyDescent="0.2">
      <c r="A3267" s="5">
        <v>0</v>
      </c>
      <c r="B3267" s="6" t="s">
        <v>19107</v>
      </c>
      <c r="C3267" s="13">
        <v>959.9</v>
      </c>
      <c r="D3267" s="8" t="s">
        <v>19108</v>
      </c>
      <c r="E3267" s="8" t="s">
        <v>19096</v>
      </c>
      <c r="F3267" s="8" t="s">
        <v>19109</v>
      </c>
      <c r="G3267" s="6" t="s">
        <v>60</v>
      </c>
      <c r="H3267" s="6" t="s">
        <v>34</v>
      </c>
      <c r="I3267" s="8" t="s">
        <v>263</v>
      </c>
      <c r="J3267" s="9">
        <v>1</v>
      </c>
      <c r="K3267" s="9">
        <v>238</v>
      </c>
      <c r="L3267" s="9">
        <v>2019</v>
      </c>
      <c r="M3267" s="8" t="s">
        <v>19110</v>
      </c>
      <c r="N3267" s="8" t="s">
        <v>585</v>
      </c>
      <c r="O3267" s="8" t="s">
        <v>667</v>
      </c>
      <c r="P3267" s="6" t="s">
        <v>51</v>
      </c>
      <c r="Q3267" s="8" t="s">
        <v>265</v>
      </c>
      <c r="R3267" s="10" t="s">
        <v>19111</v>
      </c>
      <c r="S3267" s="11" t="s">
        <v>19112</v>
      </c>
      <c r="T3267" s="6"/>
      <c r="U3267" s="15" t="str">
        <f>HYPERLINK("https://media.infra-m.ru/2081/2081755/cover/2081755.jpg", "Обложка")</f>
        <v>Обложка</v>
      </c>
      <c r="V3267" s="8" t="s">
        <v>19113</v>
      </c>
      <c r="W3267" s="6"/>
      <c r="X3267" s="6"/>
      <c r="Y3267" s="6"/>
      <c r="Z3267" s="6"/>
      <c r="AA3267" s="6" t="s">
        <v>115</v>
      </c>
      <c r="AB3267" s="8"/>
      <c r="AC3267" s="27">
        <v>9785160145617</v>
      </c>
    </row>
    <row r="3268" spans="1:29" s="4" customFormat="1" ht="42" customHeight="1" x14ac:dyDescent="0.2">
      <c r="A3268" s="5">
        <v>0</v>
      </c>
      <c r="B3268" s="6" t="s">
        <v>19114</v>
      </c>
      <c r="C3268" s="7">
        <v>3060</v>
      </c>
      <c r="D3268" s="8" t="s">
        <v>19115</v>
      </c>
      <c r="E3268" s="8" t="s">
        <v>19096</v>
      </c>
      <c r="F3268" s="8" t="s">
        <v>19116</v>
      </c>
      <c r="G3268" s="6" t="s">
        <v>60</v>
      </c>
      <c r="H3268" s="6" t="s">
        <v>34</v>
      </c>
      <c r="I3268" s="8" t="s">
        <v>304</v>
      </c>
      <c r="J3268" s="9">
        <v>1</v>
      </c>
      <c r="K3268" s="9">
        <v>543</v>
      </c>
      <c r="L3268" s="9">
        <v>2024</v>
      </c>
      <c r="M3268" s="8" t="s">
        <v>19117</v>
      </c>
      <c r="N3268" s="8" t="s">
        <v>585</v>
      </c>
      <c r="O3268" s="8" t="s">
        <v>667</v>
      </c>
      <c r="P3268" s="6" t="s">
        <v>51</v>
      </c>
      <c r="Q3268" s="8" t="s">
        <v>65</v>
      </c>
      <c r="R3268" s="10" t="s">
        <v>19118</v>
      </c>
      <c r="S3268" s="11"/>
      <c r="T3268" s="6"/>
      <c r="U3268" s="15" t="str">
        <f>HYPERLINK("https://media.infra-m.ru/2150/2150464/cover/2150464.jpg", "Обложка")</f>
        <v>Обложка</v>
      </c>
      <c r="V3268" s="8" t="s">
        <v>247</v>
      </c>
      <c r="W3268" s="6"/>
      <c r="X3268" s="6"/>
      <c r="Y3268" s="6"/>
      <c r="Z3268" s="6"/>
      <c r="AA3268" s="6" t="s">
        <v>76</v>
      </c>
      <c r="AB3268" s="8"/>
      <c r="AC3268" s="27">
        <v>9785160190020</v>
      </c>
    </row>
    <row r="3269" spans="1:29" s="4" customFormat="1" ht="51.9" customHeight="1" x14ac:dyDescent="0.2">
      <c r="A3269" s="5">
        <v>0</v>
      </c>
      <c r="B3269" s="6" t="s">
        <v>19119</v>
      </c>
      <c r="C3269" s="7">
        <v>3268.8</v>
      </c>
      <c r="D3269" s="8" t="s">
        <v>19120</v>
      </c>
      <c r="E3269" s="8" t="s">
        <v>19096</v>
      </c>
      <c r="F3269" s="8" t="s">
        <v>19121</v>
      </c>
      <c r="G3269" s="6" t="s">
        <v>118</v>
      </c>
      <c r="H3269" s="6" t="s">
        <v>34</v>
      </c>
      <c r="I3269" s="8" t="s">
        <v>271</v>
      </c>
      <c r="J3269" s="9">
        <v>1</v>
      </c>
      <c r="K3269" s="9">
        <v>496</v>
      </c>
      <c r="L3269" s="9">
        <v>2026</v>
      </c>
      <c r="M3269" s="8" t="s">
        <v>19122</v>
      </c>
      <c r="N3269" s="8" t="s">
        <v>585</v>
      </c>
      <c r="O3269" s="8" t="s">
        <v>667</v>
      </c>
      <c r="P3269" s="6" t="s">
        <v>51</v>
      </c>
      <c r="Q3269" s="8" t="s">
        <v>52</v>
      </c>
      <c r="R3269" s="10" t="s">
        <v>7293</v>
      </c>
      <c r="S3269" s="11" t="s">
        <v>19018</v>
      </c>
      <c r="T3269" s="6"/>
      <c r="U3269" s="15" t="str">
        <f>HYPERLINK("https://media.infra-m.ru/2231/2231497/cover/2231497.jpg", "Обложка")</f>
        <v>Обложка</v>
      </c>
      <c r="V3269" s="8" t="s">
        <v>2427</v>
      </c>
      <c r="W3269" s="6"/>
      <c r="X3269" s="6"/>
      <c r="Y3269" s="6"/>
      <c r="Z3269" s="6"/>
      <c r="AA3269" s="6" t="s">
        <v>949</v>
      </c>
      <c r="AB3269" s="8"/>
      <c r="AC3269" s="27">
        <v>9785160101187</v>
      </c>
    </row>
    <row r="3270" spans="1:29" s="4" customFormat="1" ht="51.9" customHeight="1" x14ac:dyDescent="0.2">
      <c r="A3270" s="5">
        <v>0</v>
      </c>
      <c r="B3270" s="6" t="s">
        <v>19123</v>
      </c>
      <c r="C3270" s="7">
        <v>1132.8</v>
      </c>
      <c r="D3270" s="8" t="s">
        <v>19124</v>
      </c>
      <c r="E3270" s="8" t="s">
        <v>19125</v>
      </c>
      <c r="F3270" s="8" t="s">
        <v>19126</v>
      </c>
      <c r="G3270" s="6" t="s">
        <v>118</v>
      </c>
      <c r="H3270" s="6" t="s">
        <v>820</v>
      </c>
      <c r="I3270" s="8" t="s">
        <v>1904</v>
      </c>
      <c r="J3270" s="9">
        <v>1</v>
      </c>
      <c r="K3270" s="9">
        <v>152</v>
      </c>
      <c r="L3270" s="9">
        <v>2026</v>
      </c>
      <c r="M3270" s="8" t="s">
        <v>19127</v>
      </c>
      <c r="N3270" s="8" t="s">
        <v>585</v>
      </c>
      <c r="O3270" s="8" t="s">
        <v>667</v>
      </c>
      <c r="P3270" s="6" t="s">
        <v>306</v>
      </c>
      <c r="Q3270" s="8" t="s">
        <v>52</v>
      </c>
      <c r="R3270" s="10" t="s">
        <v>5991</v>
      </c>
      <c r="S3270" s="11" t="s">
        <v>19128</v>
      </c>
      <c r="T3270" s="6"/>
      <c r="U3270" s="15" t="str">
        <f>HYPERLINK("https://media.infra-m.ru/2244/2244083/cover/2244083.jpg", "Обложка")</f>
        <v>Обложка</v>
      </c>
      <c r="V3270" s="8" t="s">
        <v>1908</v>
      </c>
      <c r="W3270" s="6"/>
      <c r="X3270" s="6"/>
      <c r="Y3270" s="6"/>
      <c r="Z3270" s="6"/>
      <c r="AA3270" s="6" t="s">
        <v>779</v>
      </c>
      <c r="AB3270" s="8"/>
      <c r="AC3270" s="27">
        <v>9785906818744</v>
      </c>
    </row>
    <row r="3271" spans="1:29" s="4" customFormat="1" ht="51.9" customHeight="1" x14ac:dyDescent="0.2">
      <c r="A3271" s="5">
        <v>0</v>
      </c>
      <c r="B3271" s="6" t="s">
        <v>19129</v>
      </c>
      <c r="C3271" s="7">
        <v>2160</v>
      </c>
      <c r="D3271" s="8" t="s">
        <v>19130</v>
      </c>
      <c r="E3271" s="8" t="s">
        <v>19131</v>
      </c>
      <c r="F3271" s="8" t="s">
        <v>18152</v>
      </c>
      <c r="G3271" s="6" t="s">
        <v>118</v>
      </c>
      <c r="H3271" s="6" t="s">
        <v>34</v>
      </c>
      <c r="I3271" s="8" t="s">
        <v>263</v>
      </c>
      <c r="J3271" s="9">
        <v>1</v>
      </c>
      <c r="K3271" s="9">
        <v>399</v>
      </c>
      <c r="L3271" s="9">
        <v>2023</v>
      </c>
      <c r="M3271" s="8" t="s">
        <v>19132</v>
      </c>
      <c r="N3271" s="8" t="s">
        <v>585</v>
      </c>
      <c r="O3271" s="8" t="s">
        <v>667</v>
      </c>
      <c r="P3271" s="6" t="s">
        <v>51</v>
      </c>
      <c r="Q3271" s="8" t="s">
        <v>265</v>
      </c>
      <c r="R3271" s="10" t="s">
        <v>19133</v>
      </c>
      <c r="S3271" s="11" t="s">
        <v>19134</v>
      </c>
      <c r="T3271" s="6" t="s">
        <v>97</v>
      </c>
      <c r="U3271" s="15" t="str">
        <f>HYPERLINK("https://media.infra-m.ru/1960/1960027/cover/1960027.jpg", "Обложка")</f>
        <v>Обложка</v>
      </c>
      <c r="V3271" s="8" t="s">
        <v>6135</v>
      </c>
      <c r="W3271" s="6"/>
      <c r="X3271" s="6"/>
      <c r="Y3271" s="6"/>
      <c r="Z3271" s="6" t="s">
        <v>267</v>
      </c>
      <c r="AA3271" s="6" t="s">
        <v>1256</v>
      </c>
      <c r="AB3271" s="8"/>
      <c r="AC3271" s="27">
        <v>9785160155951</v>
      </c>
    </row>
    <row r="3272" spans="1:29" s="4" customFormat="1" ht="51.9" customHeight="1" x14ac:dyDescent="0.2">
      <c r="A3272" s="5">
        <v>0</v>
      </c>
      <c r="B3272" s="6" t="s">
        <v>19135</v>
      </c>
      <c r="C3272" s="7">
        <v>2628</v>
      </c>
      <c r="D3272" s="8" t="s">
        <v>19136</v>
      </c>
      <c r="E3272" s="8" t="s">
        <v>19131</v>
      </c>
      <c r="F3272" s="8" t="s">
        <v>18152</v>
      </c>
      <c r="G3272" s="6" t="s">
        <v>118</v>
      </c>
      <c r="H3272" s="6" t="s">
        <v>34</v>
      </c>
      <c r="I3272" s="8" t="s">
        <v>253</v>
      </c>
      <c r="J3272" s="9">
        <v>1</v>
      </c>
      <c r="K3272" s="9">
        <v>399</v>
      </c>
      <c r="L3272" s="9">
        <v>2026</v>
      </c>
      <c r="M3272" s="8" t="s">
        <v>19137</v>
      </c>
      <c r="N3272" s="8" t="s">
        <v>585</v>
      </c>
      <c r="O3272" s="8" t="s">
        <v>667</v>
      </c>
      <c r="P3272" s="6" t="s">
        <v>51</v>
      </c>
      <c r="Q3272" s="8" t="s">
        <v>52</v>
      </c>
      <c r="R3272" s="10" t="s">
        <v>19138</v>
      </c>
      <c r="S3272" s="11" t="s">
        <v>19139</v>
      </c>
      <c r="T3272" s="6" t="s">
        <v>97</v>
      </c>
      <c r="U3272" s="15" t="str">
        <f>HYPERLINK("https://media.infra-m.ru/2227/2227070/cover/2227070.jpg", "Обложка")</f>
        <v>Обложка</v>
      </c>
      <c r="V3272" s="8" t="s">
        <v>6135</v>
      </c>
      <c r="W3272" s="6"/>
      <c r="X3272" s="6"/>
      <c r="Y3272" s="6"/>
      <c r="Z3272" s="6"/>
      <c r="AA3272" s="6" t="s">
        <v>43</v>
      </c>
      <c r="AB3272" s="8"/>
      <c r="AC3272" s="27">
        <v>9785160197791</v>
      </c>
    </row>
    <row r="3273" spans="1:29" s="4" customFormat="1" ht="51.9" customHeight="1" x14ac:dyDescent="0.2">
      <c r="A3273" s="5">
        <v>0</v>
      </c>
      <c r="B3273" s="6" t="s">
        <v>19140</v>
      </c>
      <c r="C3273" s="7">
        <v>2460</v>
      </c>
      <c r="D3273" s="8" t="s">
        <v>19141</v>
      </c>
      <c r="E3273" s="8" t="s">
        <v>19142</v>
      </c>
      <c r="F3273" s="8" t="s">
        <v>18981</v>
      </c>
      <c r="G3273" s="6" t="s">
        <v>60</v>
      </c>
      <c r="H3273" s="6" t="s">
        <v>34</v>
      </c>
      <c r="I3273" s="8" t="s">
        <v>1248</v>
      </c>
      <c r="J3273" s="9">
        <v>1</v>
      </c>
      <c r="K3273" s="9">
        <v>409</v>
      </c>
      <c r="L3273" s="9">
        <v>2025</v>
      </c>
      <c r="M3273" s="8" t="s">
        <v>19143</v>
      </c>
      <c r="N3273" s="8" t="s">
        <v>585</v>
      </c>
      <c r="O3273" s="8" t="s">
        <v>667</v>
      </c>
      <c r="P3273" s="6" t="s">
        <v>51</v>
      </c>
      <c r="Q3273" s="8" t="s">
        <v>377</v>
      </c>
      <c r="R3273" s="10" t="s">
        <v>19144</v>
      </c>
      <c r="S3273" s="11" t="s">
        <v>19145</v>
      </c>
      <c r="T3273" s="6"/>
      <c r="U3273" s="15" t="str">
        <f>HYPERLINK("https://media.infra-m.ru/2179/2179035/cover/2179035.jpg", "Обложка")</f>
        <v>Обложка</v>
      </c>
      <c r="V3273" s="8" t="s">
        <v>1083</v>
      </c>
      <c r="W3273" s="6"/>
      <c r="X3273" s="6"/>
      <c r="Y3273" s="6"/>
      <c r="Z3273" s="6"/>
      <c r="AA3273" s="6" t="s">
        <v>86</v>
      </c>
      <c r="AB3273" s="8"/>
      <c r="AC3273" s="27">
        <v>9785160204970</v>
      </c>
    </row>
    <row r="3274" spans="1:29" s="4" customFormat="1" ht="51.9" customHeight="1" x14ac:dyDescent="0.2">
      <c r="A3274" s="5">
        <v>0</v>
      </c>
      <c r="B3274" s="6" t="s">
        <v>19146</v>
      </c>
      <c r="C3274" s="7">
        <v>1672.8</v>
      </c>
      <c r="D3274" s="8" t="s">
        <v>19147</v>
      </c>
      <c r="E3274" s="8" t="s">
        <v>19148</v>
      </c>
      <c r="F3274" s="8" t="s">
        <v>19149</v>
      </c>
      <c r="G3274" s="6" t="s">
        <v>118</v>
      </c>
      <c r="H3274" s="6" t="s">
        <v>34</v>
      </c>
      <c r="I3274" s="8" t="s">
        <v>304</v>
      </c>
      <c r="J3274" s="9">
        <v>1</v>
      </c>
      <c r="K3274" s="9">
        <v>254</v>
      </c>
      <c r="L3274" s="9">
        <v>2026</v>
      </c>
      <c r="M3274" s="8" t="s">
        <v>19150</v>
      </c>
      <c r="N3274" s="8" t="s">
        <v>37</v>
      </c>
      <c r="O3274" s="8" t="s">
        <v>207</v>
      </c>
      <c r="P3274" s="6" t="s">
        <v>51</v>
      </c>
      <c r="Q3274" s="8" t="s">
        <v>500</v>
      </c>
      <c r="R3274" s="10" t="s">
        <v>6023</v>
      </c>
      <c r="S3274" s="11"/>
      <c r="T3274" s="6"/>
      <c r="U3274" s="15" t="str">
        <f>HYPERLINK("https://media.infra-m.ru/2237/2237636/cover/2237636.jpg", "Обложка")</f>
        <v>Обложка</v>
      </c>
      <c r="V3274" s="8" t="s">
        <v>247</v>
      </c>
      <c r="W3274" s="6"/>
      <c r="X3274" s="6"/>
      <c r="Y3274" s="6"/>
      <c r="Z3274" s="6"/>
      <c r="AA3274" s="6" t="s">
        <v>157</v>
      </c>
      <c r="AB3274" s="8"/>
      <c r="AC3274" s="27">
        <v>9785160179131</v>
      </c>
    </row>
    <row r="3275" spans="1:29" s="4" customFormat="1" ht="51.9" customHeight="1" x14ac:dyDescent="0.2">
      <c r="A3275" s="5">
        <v>0</v>
      </c>
      <c r="B3275" s="6" t="s">
        <v>19151</v>
      </c>
      <c r="C3275" s="7">
        <v>1276.8</v>
      </c>
      <c r="D3275" s="8" t="s">
        <v>19152</v>
      </c>
      <c r="E3275" s="8" t="s">
        <v>19153</v>
      </c>
      <c r="F3275" s="8" t="s">
        <v>19154</v>
      </c>
      <c r="G3275" s="6" t="s">
        <v>33</v>
      </c>
      <c r="H3275" s="6" t="s">
        <v>34</v>
      </c>
      <c r="I3275" s="8" t="s">
        <v>271</v>
      </c>
      <c r="J3275" s="9">
        <v>1</v>
      </c>
      <c r="K3275" s="9">
        <v>205</v>
      </c>
      <c r="L3275" s="9">
        <v>2025</v>
      </c>
      <c r="M3275" s="8" t="s">
        <v>19155</v>
      </c>
      <c r="N3275" s="8" t="s">
        <v>585</v>
      </c>
      <c r="O3275" s="8" t="s">
        <v>667</v>
      </c>
      <c r="P3275" s="6" t="s">
        <v>51</v>
      </c>
      <c r="Q3275" s="8" t="s">
        <v>52</v>
      </c>
      <c r="R3275" s="10" t="s">
        <v>19156</v>
      </c>
      <c r="S3275" s="11"/>
      <c r="T3275" s="6"/>
      <c r="U3275" s="15" t="str">
        <f>HYPERLINK("https://media.infra-m.ru/2196/2196035/cover/2196035.jpg", "Обложка")</f>
        <v>Обложка</v>
      </c>
      <c r="V3275" s="8" t="s">
        <v>2427</v>
      </c>
      <c r="W3275" s="6"/>
      <c r="X3275" s="6"/>
      <c r="Y3275" s="6"/>
      <c r="Z3275" s="6"/>
      <c r="AA3275" s="6" t="s">
        <v>274</v>
      </c>
      <c r="AB3275" s="8"/>
      <c r="AC3275" s="27">
        <v>9785160095202</v>
      </c>
    </row>
    <row r="3276" spans="1:29" s="4" customFormat="1" ht="51.9" customHeight="1" x14ac:dyDescent="0.2">
      <c r="A3276" s="5">
        <v>0</v>
      </c>
      <c r="B3276" s="6" t="s">
        <v>19157</v>
      </c>
      <c r="C3276" s="7">
        <v>1044</v>
      </c>
      <c r="D3276" s="8" t="s">
        <v>19158</v>
      </c>
      <c r="E3276" s="8" t="s">
        <v>19159</v>
      </c>
      <c r="F3276" s="8" t="s">
        <v>19160</v>
      </c>
      <c r="G3276" s="6" t="s">
        <v>33</v>
      </c>
      <c r="H3276" s="6" t="s">
        <v>34</v>
      </c>
      <c r="I3276" s="8" t="s">
        <v>35</v>
      </c>
      <c r="J3276" s="9">
        <v>1</v>
      </c>
      <c r="K3276" s="9">
        <v>150</v>
      </c>
      <c r="L3276" s="9">
        <v>2027</v>
      </c>
      <c r="M3276" s="8" t="s">
        <v>19161</v>
      </c>
      <c r="N3276" s="8" t="s">
        <v>243</v>
      </c>
      <c r="O3276" s="8" t="s">
        <v>244</v>
      </c>
      <c r="P3276" s="6" t="s">
        <v>39</v>
      </c>
      <c r="Q3276" s="8" t="s">
        <v>40</v>
      </c>
      <c r="R3276" s="10" t="s">
        <v>19162</v>
      </c>
      <c r="S3276" s="11"/>
      <c r="T3276" s="6"/>
      <c r="U3276" s="15" t="str">
        <f>HYPERLINK("https://media.infra-m.ru/2264/2264736/cover/2264736.jpg", "Обложка")</f>
        <v>Обложка</v>
      </c>
      <c r="V3276" s="8" t="s">
        <v>227</v>
      </c>
      <c r="W3276" s="6"/>
      <c r="X3276" s="6"/>
      <c r="Y3276" s="6"/>
      <c r="Z3276" s="6"/>
      <c r="AA3276" s="6" t="s">
        <v>430</v>
      </c>
      <c r="AB3276" s="8"/>
      <c r="AC3276" s="27">
        <v>9785160164830</v>
      </c>
    </row>
    <row r="3277" spans="1:29" s="4" customFormat="1" ht="51.9" customHeight="1" x14ac:dyDescent="0.2">
      <c r="A3277" s="5">
        <v>0</v>
      </c>
      <c r="B3277" s="6" t="s">
        <v>19163</v>
      </c>
      <c r="C3277" s="7">
        <v>1740</v>
      </c>
      <c r="D3277" s="8" t="s">
        <v>19164</v>
      </c>
      <c r="E3277" s="8" t="s">
        <v>19165</v>
      </c>
      <c r="F3277" s="8" t="s">
        <v>19166</v>
      </c>
      <c r="G3277" s="6" t="s">
        <v>33</v>
      </c>
      <c r="H3277" s="6" t="s">
        <v>34</v>
      </c>
      <c r="I3277" s="8" t="s">
        <v>35</v>
      </c>
      <c r="J3277" s="9">
        <v>1</v>
      </c>
      <c r="K3277" s="9">
        <v>342</v>
      </c>
      <c r="L3277" s="9">
        <v>2022</v>
      </c>
      <c r="M3277" s="8" t="s">
        <v>19167</v>
      </c>
      <c r="N3277" s="8" t="s">
        <v>585</v>
      </c>
      <c r="O3277" s="8" t="s">
        <v>586</v>
      </c>
      <c r="P3277" s="6" t="s">
        <v>39</v>
      </c>
      <c r="Q3277" s="8" t="s">
        <v>40</v>
      </c>
      <c r="R3277" s="10" t="s">
        <v>19168</v>
      </c>
      <c r="S3277" s="11"/>
      <c r="T3277" s="6"/>
      <c r="U3277" s="15" t="str">
        <f>HYPERLINK("https://media.infra-m.ru/1871/1871445/cover/1871445.jpg", "Обложка")</f>
        <v>Обложка</v>
      </c>
      <c r="V3277" s="8" t="s">
        <v>19169</v>
      </c>
      <c r="W3277" s="6"/>
      <c r="X3277" s="6"/>
      <c r="Y3277" s="6"/>
      <c r="Z3277" s="6"/>
      <c r="AA3277" s="6" t="s">
        <v>148</v>
      </c>
      <c r="AB3277" s="8"/>
      <c r="AC3277" s="27">
        <v>9785160177441</v>
      </c>
    </row>
    <row r="3278" spans="1:29" s="4" customFormat="1" ht="44.1" customHeight="1" x14ac:dyDescent="0.2">
      <c r="A3278" s="5">
        <v>0</v>
      </c>
      <c r="B3278" s="6" t="s">
        <v>19170</v>
      </c>
      <c r="C3278" s="7">
        <v>1325.9</v>
      </c>
      <c r="D3278" s="8" t="s">
        <v>19171</v>
      </c>
      <c r="E3278" s="8" t="s">
        <v>19172</v>
      </c>
      <c r="F3278" s="8" t="s">
        <v>19166</v>
      </c>
      <c r="G3278" s="6" t="s">
        <v>60</v>
      </c>
      <c r="H3278" s="6" t="s">
        <v>34</v>
      </c>
      <c r="I3278" s="8" t="s">
        <v>35</v>
      </c>
      <c r="J3278" s="9">
        <v>1</v>
      </c>
      <c r="K3278" s="9">
        <v>246</v>
      </c>
      <c r="L3278" s="9">
        <v>2023</v>
      </c>
      <c r="M3278" s="8" t="s">
        <v>19173</v>
      </c>
      <c r="N3278" s="8" t="s">
        <v>585</v>
      </c>
      <c r="O3278" s="8" t="s">
        <v>667</v>
      </c>
      <c r="P3278" s="6" t="s">
        <v>39</v>
      </c>
      <c r="Q3278" s="8" t="s">
        <v>40</v>
      </c>
      <c r="R3278" s="10" t="s">
        <v>19174</v>
      </c>
      <c r="S3278" s="11"/>
      <c r="T3278" s="6"/>
      <c r="U3278" s="15" t="str">
        <f>HYPERLINK("https://media.infra-m.ru/1965/1965736/cover/1965736.jpg", "Обложка")</f>
        <v>Обложка</v>
      </c>
      <c r="V3278" s="8" t="s">
        <v>19169</v>
      </c>
      <c r="W3278" s="6"/>
      <c r="X3278" s="6"/>
      <c r="Y3278" s="6"/>
      <c r="Z3278" s="6"/>
      <c r="AA3278" s="6" t="s">
        <v>115</v>
      </c>
      <c r="AB3278" s="8"/>
      <c r="AC3278" s="27">
        <v>9785160148076</v>
      </c>
    </row>
    <row r="3279" spans="1:29" s="4" customFormat="1" ht="51.9" customHeight="1" x14ac:dyDescent="0.2">
      <c r="A3279" s="5">
        <v>0</v>
      </c>
      <c r="B3279" s="6" t="s">
        <v>19175</v>
      </c>
      <c r="C3279" s="7">
        <v>1672.8</v>
      </c>
      <c r="D3279" s="8" t="s">
        <v>19176</v>
      </c>
      <c r="E3279" s="8" t="s">
        <v>19177</v>
      </c>
      <c r="F3279" s="8" t="s">
        <v>3929</v>
      </c>
      <c r="G3279" s="6" t="s">
        <v>118</v>
      </c>
      <c r="H3279" s="6" t="s">
        <v>1042</v>
      </c>
      <c r="I3279" s="8" t="s">
        <v>401</v>
      </c>
      <c r="J3279" s="9">
        <v>1</v>
      </c>
      <c r="K3279" s="9">
        <v>240</v>
      </c>
      <c r="L3279" s="9">
        <v>2027</v>
      </c>
      <c r="M3279" s="8" t="s">
        <v>19178</v>
      </c>
      <c r="N3279" s="8" t="s">
        <v>585</v>
      </c>
      <c r="O3279" s="8" t="s">
        <v>667</v>
      </c>
      <c r="P3279" s="6" t="s">
        <v>306</v>
      </c>
      <c r="Q3279" s="8" t="s">
        <v>265</v>
      </c>
      <c r="R3279" s="10" t="s">
        <v>19179</v>
      </c>
      <c r="S3279" s="11" t="s">
        <v>19180</v>
      </c>
      <c r="T3279" s="6"/>
      <c r="U3279" s="15" t="str">
        <f>HYPERLINK("https://media.infra-m.ru/2269/2269798/cover/2269798.jpg", "Обложка")</f>
        <v>Обложка</v>
      </c>
      <c r="V3279" s="8" t="s">
        <v>761</v>
      </c>
      <c r="W3279" s="6"/>
      <c r="X3279" s="6"/>
      <c r="Y3279" s="6"/>
      <c r="Z3279" s="6"/>
      <c r="AA3279" s="6" t="s">
        <v>3391</v>
      </c>
      <c r="AB3279" s="8"/>
      <c r="AC3279" s="27">
        <v>9785819904107</v>
      </c>
    </row>
    <row r="3280" spans="1:29" s="4" customFormat="1" ht="42" customHeight="1" x14ac:dyDescent="0.2">
      <c r="A3280" s="5">
        <v>0</v>
      </c>
      <c r="B3280" s="6" t="s">
        <v>19181</v>
      </c>
      <c r="C3280" s="7">
        <v>2198.4</v>
      </c>
      <c r="D3280" s="8" t="s">
        <v>19182</v>
      </c>
      <c r="E3280" s="8" t="s">
        <v>19183</v>
      </c>
      <c r="F3280" s="8" t="s">
        <v>5924</v>
      </c>
      <c r="G3280" s="6" t="s">
        <v>60</v>
      </c>
      <c r="H3280" s="6" t="s">
        <v>34</v>
      </c>
      <c r="I3280" s="8" t="s">
        <v>253</v>
      </c>
      <c r="J3280" s="9">
        <v>1</v>
      </c>
      <c r="K3280" s="9">
        <v>256</v>
      </c>
      <c r="L3280" s="9">
        <v>2026</v>
      </c>
      <c r="M3280" s="8" t="s">
        <v>19184</v>
      </c>
      <c r="N3280" s="8" t="s">
        <v>585</v>
      </c>
      <c r="O3280" s="8" t="s">
        <v>667</v>
      </c>
      <c r="P3280" s="6" t="s">
        <v>51</v>
      </c>
      <c r="Q3280" s="8" t="s">
        <v>52</v>
      </c>
      <c r="R3280" s="10" t="s">
        <v>6039</v>
      </c>
      <c r="S3280" s="11"/>
      <c r="T3280" s="6"/>
      <c r="U3280" s="15" t="str">
        <f>HYPERLINK("https://media.infra-m.ru/2238/2238591/cover/2238591.jpg", "Обложка")</f>
        <v>Обложка</v>
      </c>
      <c r="V3280" s="8" t="s">
        <v>396</v>
      </c>
      <c r="W3280" s="6" t="s">
        <v>351</v>
      </c>
      <c r="X3280" s="6"/>
      <c r="Y3280" s="6"/>
      <c r="Z3280" s="6"/>
      <c r="AA3280" s="6" t="s">
        <v>187</v>
      </c>
      <c r="AB3280" s="8"/>
      <c r="AC3280" s="27">
        <v>9785160218045</v>
      </c>
    </row>
    <row r="3281" spans="1:29" s="4" customFormat="1" ht="51.9" customHeight="1" x14ac:dyDescent="0.2">
      <c r="A3281" s="5">
        <v>0</v>
      </c>
      <c r="B3281" s="6" t="s">
        <v>19185</v>
      </c>
      <c r="C3281" s="7">
        <v>2076</v>
      </c>
      <c r="D3281" s="8" t="s">
        <v>19186</v>
      </c>
      <c r="E3281" s="8" t="s">
        <v>19187</v>
      </c>
      <c r="F3281" s="8" t="s">
        <v>19188</v>
      </c>
      <c r="G3281" s="6" t="s">
        <v>118</v>
      </c>
      <c r="H3281" s="6" t="s">
        <v>34</v>
      </c>
      <c r="I3281" s="8" t="s">
        <v>253</v>
      </c>
      <c r="J3281" s="9">
        <v>1</v>
      </c>
      <c r="K3281" s="9">
        <v>376</v>
      </c>
      <c r="L3281" s="9">
        <v>2023</v>
      </c>
      <c r="M3281" s="8" t="s">
        <v>19189</v>
      </c>
      <c r="N3281" s="8" t="s">
        <v>63</v>
      </c>
      <c r="O3281" s="8" t="s">
        <v>154</v>
      </c>
      <c r="P3281" s="6" t="s">
        <v>51</v>
      </c>
      <c r="Q3281" s="8" t="s">
        <v>52</v>
      </c>
      <c r="R3281" s="10" t="s">
        <v>19190</v>
      </c>
      <c r="S3281" s="11" t="s">
        <v>19191</v>
      </c>
      <c r="T3281" s="6"/>
      <c r="U3281" s="15" t="str">
        <f>HYPERLINK("https://media.infra-m.ru/2048/2048138/cover/2048138.jpg", "Обложка")</f>
        <v>Обложка</v>
      </c>
      <c r="V3281" s="8" t="s">
        <v>2001</v>
      </c>
      <c r="W3281" s="6"/>
      <c r="X3281" s="6"/>
      <c r="Y3281" s="6"/>
      <c r="Z3281" s="6"/>
      <c r="AA3281" s="6" t="s">
        <v>1256</v>
      </c>
      <c r="AB3281" s="8"/>
      <c r="AC3281" s="27">
        <v>9785160187457</v>
      </c>
    </row>
    <row r="3282" spans="1:29" s="4" customFormat="1" ht="51.9" customHeight="1" x14ac:dyDescent="0.2">
      <c r="A3282" s="5">
        <v>0</v>
      </c>
      <c r="B3282" s="6" t="s">
        <v>19192</v>
      </c>
      <c r="C3282" s="7">
        <v>1728</v>
      </c>
      <c r="D3282" s="8" t="s">
        <v>19193</v>
      </c>
      <c r="E3282" s="8" t="s">
        <v>19194</v>
      </c>
      <c r="F3282" s="8" t="s">
        <v>19188</v>
      </c>
      <c r="G3282" s="6" t="s">
        <v>118</v>
      </c>
      <c r="H3282" s="6" t="s">
        <v>34</v>
      </c>
      <c r="I3282" s="8" t="s">
        <v>253</v>
      </c>
      <c r="J3282" s="9">
        <v>1</v>
      </c>
      <c r="K3282" s="9">
        <v>288</v>
      </c>
      <c r="L3282" s="9">
        <v>2025</v>
      </c>
      <c r="M3282" s="8" t="s">
        <v>19195</v>
      </c>
      <c r="N3282" s="8" t="s">
        <v>63</v>
      </c>
      <c r="O3282" s="8" t="s">
        <v>154</v>
      </c>
      <c r="P3282" s="6" t="s">
        <v>51</v>
      </c>
      <c r="Q3282" s="8" t="s">
        <v>52</v>
      </c>
      <c r="R3282" s="10" t="s">
        <v>6004</v>
      </c>
      <c r="S3282" s="11" t="s">
        <v>19196</v>
      </c>
      <c r="T3282" s="6" t="s">
        <v>97</v>
      </c>
      <c r="U3282" s="15" t="str">
        <f>HYPERLINK("https://media.infra-m.ru/2172/2172256/cover/2172256.jpg", "Обложка")</f>
        <v>Обложка</v>
      </c>
      <c r="V3282" s="8" t="s">
        <v>2001</v>
      </c>
      <c r="W3282" s="6"/>
      <c r="X3282" s="6"/>
      <c r="Y3282" s="6"/>
      <c r="Z3282" s="6"/>
      <c r="AA3282" s="6" t="s">
        <v>360</v>
      </c>
      <c r="AB3282" s="8"/>
      <c r="AC3282" s="27">
        <v>9785160204086</v>
      </c>
    </row>
    <row r="3283" spans="1:29" s="4" customFormat="1" ht="42" customHeight="1" x14ac:dyDescent="0.2">
      <c r="A3283" s="5">
        <v>0</v>
      </c>
      <c r="B3283" s="6" t="s">
        <v>19197</v>
      </c>
      <c r="C3283" s="7">
        <v>2536.8000000000002</v>
      </c>
      <c r="D3283" s="8" t="s">
        <v>19198</v>
      </c>
      <c r="E3283" s="8" t="s">
        <v>19199</v>
      </c>
      <c r="F3283" s="8" t="s">
        <v>19200</v>
      </c>
      <c r="G3283" s="6" t="s">
        <v>60</v>
      </c>
      <c r="H3283" s="6" t="s">
        <v>134</v>
      </c>
      <c r="I3283" s="8" t="s">
        <v>8166</v>
      </c>
      <c r="J3283" s="9">
        <v>1</v>
      </c>
      <c r="K3283" s="9">
        <v>384</v>
      </c>
      <c r="L3283" s="9">
        <v>2026</v>
      </c>
      <c r="M3283" s="8" t="s">
        <v>19201</v>
      </c>
      <c r="N3283" s="8" t="s">
        <v>585</v>
      </c>
      <c r="O3283" s="8" t="s">
        <v>667</v>
      </c>
      <c r="P3283" s="6" t="s">
        <v>51</v>
      </c>
      <c r="Q3283" s="8" t="s">
        <v>52</v>
      </c>
      <c r="R3283" s="10" t="s">
        <v>4211</v>
      </c>
      <c r="S3283" s="11"/>
      <c r="T3283" s="6"/>
      <c r="U3283" s="15" t="str">
        <f>HYPERLINK("https://media.infra-m.ru/2221/2221453/cover/2221453.jpg", "Обложка")</f>
        <v>Обложка</v>
      </c>
      <c r="V3283" s="8" t="s">
        <v>3087</v>
      </c>
      <c r="W3283" s="6"/>
      <c r="X3283" s="6"/>
      <c r="Y3283" s="6"/>
      <c r="Z3283" s="6"/>
      <c r="AA3283" s="6" t="s">
        <v>248</v>
      </c>
      <c r="AB3283" s="8"/>
      <c r="AC3283" s="27">
        <v>9785917684703</v>
      </c>
    </row>
    <row r="3284" spans="1:29" s="4" customFormat="1" ht="51.9" customHeight="1" x14ac:dyDescent="0.2">
      <c r="A3284" s="5">
        <v>0</v>
      </c>
      <c r="B3284" s="6" t="s">
        <v>19202</v>
      </c>
      <c r="C3284" s="7">
        <v>1636.8</v>
      </c>
      <c r="D3284" s="8" t="s">
        <v>19203</v>
      </c>
      <c r="E3284" s="8" t="s">
        <v>19204</v>
      </c>
      <c r="F3284" s="8" t="s">
        <v>19205</v>
      </c>
      <c r="G3284" s="6" t="s">
        <v>60</v>
      </c>
      <c r="H3284" s="6" t="s">
        <v>241</v>
      </c>
      <c r="I3284" s="8"/>
      <c r="J3284" s="9">
        <v>1</v>
      </c>
      <c r="K3284" s="9">
        <v>272</v>
      </c>
      <c r="L3284" s="9">
        <v>2025</v>
      </c>
      <c r="M3284" s="8" t="s">
        <v>19206</v>
      </c>
      <c r="N3284" s="8" t="s">
        <v>37</v>
      </c>
      <c r="O3284" s="8" t="s">
        <v>233</v>
      </c>
      <c r="P3284" s="6" t="s">
        <v>51</v>
      </c>
      <c r="Q3284" s="8" t="s">
        <v>52</v>
      </c>
      <c r="R3284" s="10" t="s">
        <v>19207</v>
      </c>
      <c r="S3284" s="11" t="s">
        <v>19208</v>
      </c>
      <c r="T3284" s="6"/>
      <c r="U3284" s="15" t="str">
        <f>HYPERLINK("https://media.infra-m.ru/2188/2188765/cover/2188765.jpg", "Обложка")</f>
        <v>Обложка</v>
      </c>
      <c r="V3284" s="8" t="s">
        <v>247</v>
      </c>
      <c r="W3284" s="6"/>
      <c r="X3284" s="6"/>
      <c r="Y3284" s="6"/>
      <c r="Z3284" s="6"/>
      <c r="AA3284" s="6" t="s">
        <v>43</v>
      </c>
      <c r="AB3284" s="8"/>
      <c r="AC3284" s="27">
        <v>9785955802008</v>
      </c>
    </row>
    <row r="3285" spans="1:29" s="4" customFormat="1" ht="51.9" customHeight="1" x14ac:dyDescent="0.2">
      <c r="A3285" s="5">
        <v>0</v>
      </c>
      <c r="B3285" s="6" t="s">
        <v>19209</v>
      </c>
      <c r="C3285" s="13">
        <v>880.8</v>
      </c>
      <c r="D3285" s="8" t="s">
        <v>19210</v>
      </c>
      <c r="E3285" s="8" t="s">
        <v>19211</v>
      </c>
      <c r="F3285" s="8" t="s">
        <v>19212</v>
      </c>
      <c r="G3285" s="6" t="s">
        <v>118</v>
      </c>
      <c r="H3285" s="6" t="s">
        <v>34</v>
      </c>
      <c r="I3285" s="8" t="s">
        <v>504</v>
      </c>
      <c r="J3285" s="9">
        <v>1</v>
      </c>
      <c r="K3285" s="9">
        <v>134</v>
      </c>
      <c r="L3285" s="9">
        <v>2026</v>
      </c>
      <c r="M3285" s="8" t="s">
        <v>19213</v>
      </c>
      <c r="N3285" s="8" t="s">
        <v>585</v>
      </c>
      <c r="O3285" s="8" t="s">
        <v>667</v>
      </c>
      <c r="P3285" s="6" t="s">
        <v>51</v>
      </c>
      <c r="Q3285" s="8" t="s">
        <v>500</v>
      </c>
      <c r="R3285" s="10" t="s">
        <v>19214</v>
      </c>
      <c r="S3285" s="11" t="s">
        <v>19215</v>
      </c>
      <c r="T3285" s="6"/>
      <c r="U3285" s="15" t="str">
        <f>HYPERLINK("https://media.infra-m.ru/2239/2239133/cover/2239133.jpg", "Обложка")</f>
        <v>Обложка</v>
      </c>
      <c r="V3285" s="8" t="s">
        <v>2398</v>
      </c>
      <c r="W3285" s="6"/>
      <c r="X3285" s="6"/>
      <c r="Y3285" s="6"/>
      <c r="Z3285" s="6"/>
      <c r="AA3285" s="6" t="s">
        <v>115</v>
      </c>
      <c r="AB3285" s="8"/>
      <c r="AC3285" s="27">
        <v>9785160142487</v>
      </c>
    </row>
    <row r="3286" spans="1:29" s="4" customFormat="1" ht="51.9" customHeight="1" x14ac:dyDescent="0.2">
      <c r="A3286" s="5">
        <v>0</v>
      </c>
      <c r="B3286" s="6" t="s">
        <v>19216</v>
      </c>
      <c r="C3286" s="7">
        <v>1188</v>
      </c>
      <c r="D3286" s="8" t="s">
        <v>19217</v>
      </c>
      <c r="E3286" s="8" t="s">
        <v>19218</v>
      </c>
      <c r="F3286" s="8" t="s">
        <v>9841</v>
      </c>
      <c r="G3286" s="6" t="s">
        <v>118</v>
      </c>
      <c r="H3286" s="6" t="s">
        <v>34</v>
      </c>
      <c r="I3286" s="8" t="s">
        <v>304</v>
      </c>
      <c r="J3286" s="9">
        <v>1</v>
      </c>
      <c r="K3286" s="9">
        <v>212</v>
      </c>
      <c r="L3286" s="9">
        <v>2023</v>
      </c>
      <c r="M3286" s="8" t="s">
        <v>19219</v>
      </c>
      <c r="N3286" s="8" t="s">
        <v>585</v>
      </c>
      <c r="O3286" s="8" t="s">
        <v>667</v>
      </c>
      <c r="P3286" s="6" t="s">
        <v>51</v>
      </c>
      <c r="Q3286" s="8" t="s">
        <v>52</v>
      </c>
      <c r="R3286" s="10" t="s">
        <v>357</v>
      </c>
      <c r="S3286" s="11" t="s">
        <v>19220</v>
      </c>
      <c r="T3286" s="6"/>
      <c r="U3286" s="15" t="str">
        <f>HYPERLINK("https://media.infra-m.ru/2049/2049703/cover/2049703.jpg", "Обложка")</f>
        <v>Обложка</v>
      </c>
      <c r="V3286" s="8" t="s">
        <v>247</v>
      </c>
      <c r="W3286" s="6"/>
      <c r="X3286" s="6"/>
      <c r="Y3286" s="6"/>
      <c r="Z3286" s="6"/>
      <c r="AA3286" s="6" t="s">
        <v>430</v>
      </c>
      <c r="AB3286" s="8"/>
      <c r="AC3286" s="27">
        <v>9785160187259</v>
      </c>
    </row>
    <row r="3287" spans="1:29" s="4" customFormat="1" ht="44.1" customHeight="1" x14ac:dyDescent="0.2">
      <c r="A3287" s="5">
        <v>0</v>
      </c>
      <c r="B3287" s="6" t="s">
        <v>19221</v>
      </c>
      <c r="C3287" s="7">
        <v>1049.9000000000001</v>
      </c>
      <c r="D3287" s="8" t="s">
        <v>19222</v>
      </c>
      <c r="E3287" s="8" t="s">
        <v>19223</v>
      </c>
      <c r="F3287" s="8" t="s">
        <v>19224</v>
      </c>
      <c r="G3287" s="6" t="s">
        <v>33</v>
      </c>
      <c r="H3287" s="6" t="s">
        <v>34</v>
      </c>
      <c r="I3287" s="8" t="s">
        <v>35</v>
      </c>
      <c r="J3287" s="9">
        <v>1</v>
      </c>
      <c r="K3287" s="9">
        <v>194</v>
      </c>
      <c r="L3287" s="9">
        <v>2023</v>
      </c>
      <c r="M3287" s="8" t="s">
        <v>19225</v>
      </c>
      <c r="N3287" s="8" t="s">
        <v>585</v>
      </c>
      <c r="O3287" s="8" t="s">
        <v>667</v>
      </c>
      <c r="P3287" s="6" t="s">
        <v>39</v>
      </c>
      <c r="Q3287" s="8" t="s">
        <v>40</v>
      </c>
      <c r="R3287" s="10" t="s">
        <v>19226</v>
      </c>
      <c r="S3287" s="11"/>
      <c r="T3287" s="6"/>
      <c r="U3287" s="15" t="str">
        <f>HYPERLINK("https://media.infra-m.ru/1964/1964975/cover/1964975.jpg", "Обложка")</f>
        <v>Обложка</v>
      </c>
      <c r="V3287" s="8" t="s">
        <v>11804</v>
      </c>
      <c r="W3287" s="6"/>
      <c r="X3287" s="6"/>
      <c r="Y3287" s="6"/>
      <c r="Z3287" s="6"/>
      <c r="AA3287" s="6" t="s">
        <v>1256</v>
      </c>
      <c r="AB3287" s="8" t="s">
        <v>2231</v>
      </c>
      <c r="AC3287" s="27">
        <v>9785160149868</v>
      </c>
    </row>
    <row r="3288" spans="1:29" s="4" customFormat="1" ht="51.9" customHeight="1" x14ac:dyDescent="0.2">
      <c r="A3288" s="5">
        <v>0</v>
      </c>
      <c r="B3288" s="6" t="s">
        <v>19227</v>
      </c>
      <c r="C3288" s="7">
        <v>3208.8</v>
      </c>
      <c r="D3288" s="8" t="s">
        <v>19228</v>
      </c>
      <c r="E3288" s="8" t="s">
        <v>19229</v>
      </c>
      <c r="F3288" s="8" t="s">
        <v>19230</v>
      </c>
      <c r="G3288" s="6" t="s">
        <v>60</v>
      </c>
      <c r="H3288" s="6" t="s">
        <v>34</v>
      </c>
      <c r="I3288" s="8" t="s">
        <v>504</v>
      </c>
      <c r="J3288" s="9">
        <v>1</v>
      </c>
      <c r="K3288" s="9">
        <v>514</v>
      </c>
      <c r="L3288" s="9">
        <v>2026</v>
      </c>
      <c r="M3288" s="8" t="s">
        <v>19231</v>
      </c>
      <c r="N3288" s="8" t="s">
        <v>585</v>
      </c>
      <c r="O3288" s="8" t="s">
        <v>667</v>
      </c>
      <c r="P3288" s="6" t="s">
        <v>306</v>
      </c>
      <c r="Q3288" s="8" t="s">
        <v>500</v>
      </c>
      <c r="R3288" s="10" t="s">
        <v>19232</v>
      </c>
      <c r="S3288" s="11"/>
      <c r="T3288" s="6"/>
      <c r="U3288" s="15" t="str">
        <f>HYPERLINK("https://media.infra-m.ru/2223/2223711/cover/2223711.jpg", "Обложка")</f>
        <v>Обложка</v>
      </c>
      <c r="V3288" s="8" t="s">
        <v>644</v>
      </c>
      <c r="W3288" s="6"/>
      <c r="X3288" s="6"/>
      <c r="Y3288" s="6"/>
      <c r="Z3288" s="6"/>
      <c r="AA3288" s="6" t="s">
        <v>99</v>
      </c>
      <c r="AB3288" s="8" t="s">
        <v>493</v>
      </c>
      <c r="AC3288" s="27">
        <v>9785160128313</v>
      </c>
    </row>
    <row r="3289" spans="1:29" s="4" customFormat="1" ht="42" customHeight="1" x14ac:dyDescent="0.2">
      <c r="A3289" s="5">
        <v>0</v>
      </c>
      <c r="B3289" s="6" t="s">
        <v>19233</v>
      </c>
      <c r="C3289" s="13">
        <v>624</v>
      </c>
      <c r="D3289" s="8" t="s">
        <v>19234</v>
      </c>
      <c r="E3289" s="8" t="s">
        <v>19235</v>
      </c>
      <c r="F3289" s="8" t="s">
        <v>19236</v>
      </c>
      <c r="G3289" s="6" t="s">
        <v>33</v>
      </c>
      <c r="H3289" s="6" t="s">
        <v>241</v>
      </c>
      <c r="I3289" s="8" t="s">
        <v>253</v>
      </c>
      <c r="J3289" s="9">
        <v>1</v>
      </c>
      <c r="K3289" s="9">
        <v>112</v>
      </c>
      <c r="L3289" s="9">
        <v>2024</v>
      </c>
      <c r="M3289" s="8" t="s">
        <v>19237</v>
      </c>
      <c r="N3289" s="8" t="s">
        <v>585</v>
      </c>
      <c r="O3289" s="8" t="s">
        <v>667</v>
      </c>
      <c r="P3289" s="6" t="s">
        <v>51</v>
      </c>
      <c r="Q3289" s="8" t="s">
        <v>65</v>
      </c>
      <c r="R3289" s="10" t="s">
        <v>14704</v>
      </c>
      <c r="S3289" s="11"/>
      <c r="T3289" s="6"/>
      <c r="U3289" s="15" t="str">
        <f>HYPERLINK("https://media.infra-m.ru/2079/2079282/cover/2079282.jpg", "Обложка")</f>
        <v>Обложка</v>
      </c>
      <c r="V3289" s="8" t="s">
        <v>217</v>
      </c>
      <c r="W3289" s="6"/>
      <c r="X3289" s="6"/>
      <c r="Y3289" s="6"/>
      <c r="Z3289" s="6"/>
      <c r="AA3289" s="6" t="s">
        <v>99</v>
      </c>
      <c r="AB3289" s="8"/>
      <c r="AC3289" s="27">
        <v>9785955805214</v>
      </c>
    </row>
    <row r="3290" spans="1:29" s="4" customFormat="1" ht="51.9" customHeight="1" x14ac:dyDescent="0.2">
      <c r="A3290" s="5">
        <v>0</v>
      </c>
      <c r="B3290" s="6" t="s">
        <v>19238</v>
      </c>
      <c r="C3290" s="7">
        <v>1260</v>
      </c>
      <c r="D3290" s="8" t="s">
        <v>19239</v>
      </c>
      <c r="E3290" s="8" t="s">
        <v>19240</v>
      </c>
      <c r="F3290" s="8" t="s">
        <v>19067</v>
      </c>
      <c r="G3290" s="6" t="s">
        <v>118</v>
      </c>
      <c r="H3290" s="6" t="s">
        <v>34</v>
      </c>
      <c r="I3290" s="8" t="s">
        <v>2025</v>
      </c>
      <c r="J3290" s="9">
        <v>1</v>
      </c>
      <c r="K3290" s="9">
        <v>260</v>
      </c>
      <c r="L3290" s="9">
        <v>2022</v>
      </c>
      <c r="M3290" s="8" t="s">
        <v>19241</v>
      </c>
      <c r="N3290" s="8" t="s">
        <v>585</v>
      </c>
      <c r="O3290" s="8" t="s">
        <v>667</v>
      </c>
      <c r="P3290" s="6" t="s">
        <v>51</v>
      </c>
      <c r="Q3290" s="8" t="s">
        <v>52</v>
      </c>
      <c r="R3290" s="10" t="s">
        <v>19242</v>
      </c>
      <c r="S3290" s="11" t="s">
        <v>19243</v>
      </c>
      <c r="T3290" s="6"/>
      <c r="U3290" s="15" t="str">
        <f>HYPERLINK("https://media.infra-m.ru/1860/1860691/cover/1860691.jpg", "Обложка")</f>
        <v>Обложка</v>
      </c>
      <c r="V3290" s="8" t="s">
        <v>247</v>
      </c>
      <c r="W3290" s="6"/>
      <c r="X3290" s="6"/>
      <c r="Y3290" s="6"/>
      <c r="Z3290" s="6"/>
      <c r="AA3290" s="6" t="s">
        <v>1256</v>
      </c>
      <c r="AB3290" s="8"/>
      <c r="AC3290" s="27">
        <v>9785160159638</v>
      </c>
    </row>
    <row r="3291" spans="1:29" s="4" customFormat="1" ht="51.9" customHeight="1" x14ac:dyDescent="0.2">
      <c r="A3291" s="5">
        <v>0</v>
      </c>
      <c r="B3291" s="6" t="s">
        <v>19244</v>
      </c>
      <c r="C3291" s="7">
        <v>2388</v>
      </c>
      <c r="D3291" s="8" t="s">
        <v>19245</v>
      </c>
      <c r="E3291" s="8" t="s">
        <v>19246</v>
      </c>
      <c r="F3291" s="8" t="s">
        <v>19067</v>
      </c>
      <c r="G3291" s="6" t="s">
        <v>118</v>
      </c>
      <c r="H3291" s="6" t="s">
        <v>34</v>
      </c>
      <c r="I3291" s="8" t="s">
        <v>2025</v>
      </c>
      <c r="J3291" s="9">
        <v>1</v>
      </c>
      <c r="K3291" s="9">
        <v>544</v>
      </c>
      <c r="L3291" s="9">
        <v>2022</v>
      </c>
      <c r="M3291" s="8" t="s">
        <v>19247</v>
      </c>
      <c r="N3291" s="8" t="s">
        <v>585</v>
      </c>
      <c r="O3291" s="8" t="s">
        <v>667</v>
      </c>
      <c r="P3291" s="6" t="s">
        <v>51</v>
      </c>
      <c r="Q3291" s="8" t="s">
        <v>52</v>
      </c>
      <c r="R3291" s="10" t="s">
        <v>19248</v>
      </c>
      <c r="S3291" s="11" t="s">
        <v>19243</v>
      </c>
      <c r="T3291" s="6"/>
      <c r="U3291" s="15" t="str">
        <f>HYPERLINK("https://media.infra-m.ru/1864/1864099/cover/1864099.jpg", "Обложка")</f>
        <v>Обложка</v>
      </c>
      <c r="V3291" s="8" t="s">
        <v>247</v>
      </c>
      <c r="W3291" s="6"/>
      <c r="X3291" s="6"/>
      <c r="Y3291" s="6"/>
      <c r="Z3291" s="6"/>
      <c r="AA3291" s="6" t="s">
        <v>1256</v>
      </c>
      <c r="AB3291" s="8"/>
      <c r="AC3291" s="27">
        <v>9785160159652</v>
      </c>
    </row>
    <row r="3292" spans="1:29" s="4" customFormat="1" ht="51.9" customHeight="1" x14ac:dyDescent="0.2">
      <c r="A3292" s="5">
        <v>0</v>
      </c>
      <c r="B3292" s="6" t="s">
        <v>19249</v>
      </c>
      <c r="C3292" s="7">
        <v>2008.8</v>
      </c>
      <c r="D3292" s="8" t="s">
        <v>19250</v>
      </c>
      <c r="E3292" s="8" t="s">
        <v>19251</v>
      </c>
      <c r="F3292" s="8" t="s">
        <v>19252</v>
      </c>
      <c r="G3292" s="6" t="s">
        <v>60</v>
      </c>
      <c r="H3292" s="6" t="s">
        <v>34</v>
      </c>
      <c r="I3292" s="8" t="s">
        <v>271</v>
      </c>
      <c r="J3292" s="9">
        <v>1</v>
      </c>
      <c r="K3292" s="9">
        <v>365</v>
      </c>
      <c r="L3292" s="9">
        <v>2024</v>
      </c>
      <c r="M3292" s="8" t="s">
        <v>19253</v>
      </c>
      <c r="N3292" s="8" t="s">
        <v>585</v>
      </c>
      <c r="O3292" s="8" t="s">
        <v>667</v>
      </c>
      <c r="P3292" s="6" t="s">
        <v>51</v>
      </c>
      <c r="Q3292" s="8" t="s">
        <v>52</v>
      </c>
      <c r="R3292" s="10" t="s">
        <v>3008</v>
      </c>
      <c r="S3292" s="11" t="s">
        <v>19254</v>
      </c>
      <c r="T3292" s="6"/>
      <c r="U3292" s="15" t="str">
        <f>HYPERLINK("https://media.infra-m.ru/2087/2087315/cover/2087315.jpg", "Обложка")</f>
        <v>Обложка</v>
      </c>
      <c r="V3292" s="8" t="s">
        <v>19255</v>
      </c>
      <c r="W3292" s="6"/>
      <c r="X3292" s="6"/>
      <c r="Y3292" s="6"/>
      <c r="Z3292" s="6"/>
      <c r="AA3292" s="6" t="s">
        <v>779</v>
      </c>
      <c r="AB3292" s="8"/>
      <c r="AC3292" s="27">
        <v>9785160103884</v>
      </c>
    </row>
    <row r="3293" spans="1:29" s="4" customFormat="1" ht="51.9" customHeight="1" x14ac:dyDescent="0.2">
      <c r="A3293" s="5">
        <v>0</v>
      </c>
      <c r="B3293" s="6" t="s">
        <v>19256</v>
      </c>
      <c r="C3293" s="7">
        <v>1632</v>
      </c>
      <c r="D3293" s="8" t="s">
        <v>19257</v>
      </c>
      <c r="E3293" s="8" t="s">
        <v>19258</v>
      </c>
      <c r="F3293" s="8" t="s">
        <v>19259</v>
      </c>
      <c r="G3293" s="6" t="s">
        <v>60</v>
      </c>
      <c r="H3293" s="6" t="s">
        <v>34</v>
      </c>
      <c r="I3293" s="8" t="s">
        <v>271</v>
      </c>
      <c r="J3293" s="9">
        <v>14</v>
      </c>
      <c r="K3293" s="9">
        <v>375</v>
      </c>
      <c r="L3293" s="9">
        <v>2021</v>
      </c>
      <c r="M3293" s="8" t="s">
        <v>19260</v>
      </c>
      <c r="N3293" s="8" t="s">
        <v>585</v>
      </c>
      <c r="O3293" s="8" t="s">
        <v>667</v>
      </c>
      <c r="P3293" s="6" t="s">
        <v>51</v>
      </c>
      <c r="Q3293" s="8" t="s">
        <v>52</v>
      </c>
      <c r="R3293" s="10" t="s">
        <v>19261</v>
      </c>
      <c r="S3293" s="11" t="s">
        <v>19262</v>
      </c>
      <c r="T3293" s="6"/>
      <c r="U3293" s="15" t="str">
        <f>HYPERLINK("https://media.infra-m.ru/1160/1160964/cover/1160964.jpg", "Обложка")</f>
        <v>Обложка</v>
      </c>
      <c r="V3293" s="8" t="s">
        <v>6135</v>
      </c>
      <c r="W3293" s="6"/>
      <c r="X3293" s="6"/>
      <c r="Y3293" s="6"/>
      <c r="Z3293" s="6"/>
      <c r="AA3293" s="6" t="s">
        <v>1256</v>
      </c>
      <c r="AB3293" s="8"/>
      <c r="AC3293" s="27">
        <v>9785160164762</v>
      </c>
    </row>
    <row r="3294" spans="1:29" s="4" customFormat="1" ht="42" customHeight="1" x14ac:dyDescent="0.2">
      <c r="A3294" s="5">
        <v>0</v>
      </c>
      <c r="B3294" s="6" t="s">
        <v>19263</v>
      </c>
      <c r="C3294" s="7">
        <v>2328</v>
      </c>
      <c r="D3294" s="8" t="s">
        <v>19264</v>
      </c>
      <c r="E3294" s="8" t="s">
        <v>19265</v>
      </c>
      <c r="F3294" s="8" t="s">
        <v>7291</v>
      </c>
      <c r="G3294" s="6" t="s">
        <v>118</v>
      </c>
      <c r="H3294" s="6" t="s">
        <v>34</v>
      </c>
      <c r="I3294" s="8" t="s">
        <v>253</v>
      </c>
      <c r="J3294" s="9">
        <v>1</v>
      </c>
      <c r="K3294" s="9">
        <v>351</v>
      </c>
      <c r="L3294" s="9">
        <v>2026</v>
      </c>
      <c r="M3294" s="8" t="s">
        <v>19266</v>
      </c>
      <c r="N3294" s="8" t="s">
        <v>585</v>
      </c>
      <c r="O3294" s="8" t="s">
        <v>667</v>
      </c>
      <c r="P3294" s="6" t="s">
        <v>51</v>
      </c>
      <c r="Q3294" s="8" t="s">
        <v>52</v>
      </c>
      <c r="R3294" s="10" t="s">
        <v>19267</v>
      </c>
      <c r="S3294" s="11"/>
      <c r="T3294" s="6"/>
      <c r="U3294" s="15" t="str">
        <f>HYPERLINK("https://media.infra-m.ru/2235/2235902/cover/2235902.jpg", "Обложка")</f>
        <v>Обложка</v>
      </c>
      <c r="V3294" s="8" t="s">
        <v>6090</v>
      </c>
      <c r="W3294" s="6"/>
      <c r="X3294" s="6"/>
      <c r="Y3294" s="6"/>
      <c r="Z3294" s="6"/>
      <c r="AA3294" s="6" t="s">
        <v>1123</v>
      </c>
      <c r="AB3294" s="8"/>
      <c r="AC3294" s="27">
        <v>9785160100739</v>
      </c>
    </row>
    <row r="3295" spans="1:29" s="4" customFormat="1" ht="51.9" customHeight="1" x14ac:dyDescent="0.2">
      <c r="A3295" s="5">
        <v>0</v>
      </c>
      <c r="B3295" s="6" t="s">
        <v>19268</v>
      </c>
      <c r="C3295" s="7">
        <v>1876.8</v>
      </c>
      <c r="D3295" s="8" t="s">
        <v>19269</v>
      </c>
      <c r="E3295" s="8" t="s">
        <v>19270</v>
      </c>
      <c r="F3295" s="8" t="s">
        <v>19271</v>
      </c>
      <c r="G3295" s="6" t="s">
        <v>118</v>
      </c>
      <c r="H3295" s="6" t="s">
        <v>34</v>
      </c>
      <c r="I3295" s="8" t="s">
        <v>271</v>
      </c>
      <c r="J3295" s="9">
        <v>1</v>
      </c>
      <c r="K3295" s="9">
        <v>341</v>
      </c>
      <c r="L3295" s="9">
        <v>2024</v>
      </c>
      <c r="M3295" s="8" t="s">
        <v>19272</v>
      </c>
      <c r="N3295" s="8" t="s">
        <v>585</v>
      </c>
      <c r="O3295" s="8" t="s">
        <v>667</v>
      </c>
      <c r="P3295" s="6" t="s">
        <v>306</v>
      </c>
      <c r="Q3295" s="8" t="s">
        <v>52</v>
      </c>
      <c r="R3295" s="10" t="s">
        <v>19273</v>
      </c>
      <c r="S3295" s="11" t="s">
        <v>19274</v>
      </c>
      <c r="T3295" s="6"/>
      <c r="U3295" s="15" t="str">
        <f>HYPERLINK("https://media.infra-m.ru/2087/2087289/cover/2087289.jpg", "Обложка")</f>
        <v>Обложка</v>
      </c>
      <c r="V3295" s="8" t="s">
        <v>396</v>
      </c>
      <c r="W3295" s="6"/>
      <c r="X3295" s="6"/>
      <c r="Y3295" s="6"/>
      <c r="Z3295" s="6"/>
      <c r="AA3295" s="6" t="s">
        <v>779</v>
      </c>
      <c r="AB3295" s="8"/>
      <c r="AC3295" s="27">
        <v>9785160118291</v>
      </c>
    </row>
    <row r="3296" spans="1:29" s="4" customFormat="1" ht="51.9" customHeight="1" x14ac:dyDescent="0.2">
      <c r="A3296" s="5">
        <v>0</v>
      </c>
      <c r="B3296" s="6" t="s">
        <v>19275</v>
      </c>
      <c r="C3296" s="7">
        <v>1152</v>
      </c>
      <c r="D3296" s="8" t="s">
        <v>19276</v>
      </c>
      <c r="E3296" s="8" t="s">
        <v>19277</v>
      </c>
      <c r="F3296" s="8" t="s">
        <v>19278</v>
      </c>
      <c r="G3296" s="6" t="s">
        <v>33</v>
      </c>
      <c r="H3296" s="6" t="s">
        <v>34</v>
      </c>
      <c r="I3296" s="8" t="s">
        <v>253</v>
      </c>
      <c r="J3296" s="9">
        <v>1</v>
      </c>
      <c r="K3296" s="9">
        <v>164</v>
      </c>
      <c r="L3296" s="9">
        <v>2027</v>
      </c>
      <c r="M3296" s="8" t="s">
        <v>19279</v>
      </c>
      <c r="N3296" s="8" t="s">
        <v>585</v>
      </c>
      <c r="O3296" s="8" t="s">
        <v>667</v>
      </c>
      <c r="P3296" s="6" t="s">
        <v>51</v>
      </c>
      <c r="Q3296" s="8" t="s">
        <v>52</v>
      </c>
      <c r="R3296" s="10" t="s">
        <v>19280</v>
      </c>
      <c r="S3296" s="11" t="s">
        <v>19281</v>
      </c>
      <c r="T3296" s="6"/>
      <c r="U3296" s="15" t="str">
        <f>HYPERLINK("https://media.infra-m.ru/2265/2265559/cover/2265559.jpg", "Обложка")</f>
        <v>Обложка</v>
      </c>
      <c r="V3296" s="8" t="s">
        <v>396</v>
      </c>
      <c r="W3296" s="6"/>
      <c r="X3296" s="6"/>
      <c r="Y3296" s="6"/>
      <c r="Z3296" s="6"/>
      <c r="AA3296" s="6" t="s">
        <v>55</v>
      </c>
      <c r="AB3296" s="8"/>
      <c r="AC3296" s="27">
        <v>9785160185026</v>
      </c>
    </row>
    <row r="3297" spans="1:29" s="4" customFormat="1" ht="51.9" customHeight="1" x14ac:dyDescent="0.2">
      <c r="A3297" s="5">
        <v>0</v>
      </c>
      <c r="B3297" s="6" t="s">
        <v>19282</v>
      </c>
      <c r="C3297" s="7">
        <v>1792.8</v>
      </c>
      <c r="D3297" s="8" t="s">
        <v>19283</v>
      </c>
      <c r="E3297" s="8" t="s">
        <v>19284</v>
      </c>
      <c r="F3297" s="8" t="s">
        <v>19285</v>
      </c>
      <c r="G3297" s="6" t="s">
        <v>118</v>
      </c>
      <c r="H3297" s="6" t="s">
        <v>34</v>
      </c>
      <c r="I3297" s="8" t="s">
        <v>271</v>
      </c>
      <c r="J3297" s="9">
        <v>1</v>
      </c>
      <c r="K3297" s="9">
        <v>288</v>
      </c>
      <c r="L3297" s="9">
        <v>2025</v>
      </c>
      <c r="M3297" s="8" t="s">
        <v>19286</v>
      </c>
      <c r="N3297" s="8" t="s">
        <v>585</v>
      </c>
      <c r="O3297" s="8" t="s">
        <v>667</v>
      </c>
      <c r="P3297" s="6" t="s">
        <v>51</v>
      </c>
      <c r="Q3297" s="8" t="s">
        <v>52</v>
      </c>
      <c r="R3297" s="10" t="s">
        <v>19280</v>
      </c>
      <c r="S3297" s="11" t="s">
        <v>19287</v>
      </c>
      <c r="T3297" s="6"/>
      <c r="U3297" s="15" t="str">
        <f>HYPERLINK("https://media.infra-m.ru/2192/2192256/cover/2192256.jpg", "Обложка")</f>
        <v>Обложка</v>
      </c>
      <c r="V3297" s="8" t="s">
        <v>396</v>
      </c>
      <c r="W3297" s="6"/>
      <c r="X3297" s="6"/>
      <c r="Y3297" s="6"/>
      <c r="Z3297" s="6"/>
      <c r="AA3297" s="6" t="s">
        <v>248</v>
      </c>
      <c r="AB3297" s="8"/>
      <c r="AC3297" s="27">
        <v>9785160054889</v>
      </c>
    </row>
    <row r="3298" spans="1:29" s="4" customFormat="1" ht="51.9" customHeight="1" x14ac:dyDescent="0.2">
      <c r="A3298" s="5">
        <v>0</v>
      </c>
      <c r="B3298" s="6" t="s">
        <v>19288</v>
      </c>
      <c r="C3298" s="7">
        <v>2136</v>
      </c>
      <c r="D3298" s="8" t="s">
        <v>19289</v>
      </c>
      <c r="E3298" s="8" t="s">
        <v>19290</v>
      </c>
      <c r="F3298" s="8" t="s">
        <v>19291</v>
      </c>
      <c r="G3298" s="6" t="s">
        <v>118</v>
      </c>
      <c r="H3298" s="6" t="s">
        <v>34</v>
      </c>
      <c r="I3298" s="8" t="s">
        <v>304</v>
      </c>
      <c r="J3298" s="9">
        <v>1</v>
      </c>
      <c r="K3298" s="9">
        <v>388</v>
      </c>
      <c r="L3298" s="9">
        <v>2024</v>
      </c>
      <c r="M3298" s="8" t="s">
        <v>19292</v>
      </c>
      <c r="N3298" s="8" t="s">
        <v>585</v>
      </c>
      <c r="O3298" s="8" t="s">
        <v>667</v>
      </c>
      <c r="P3298" s="6" t="s">
        <v>306</v>
      </c>
      <c r="Q3298" s="8" t="s">
        <v>52</v>
      </c>
      <c r="R3298" s="10" t="s">
        <v>19293</v>
      </c>
      <c r="S3298" s="11" t="s">
        <v>19294</v>
      </c>
      <c r="T3298" s="6"/>
      <c r="U3298" s="15" t="str">
        <f>HYPERLINK("https://media.infra-m.ru/2100/2100015/cover/2100015.jpg", "Обложка")</f>
        <v>Обложка</v>
      </c>
      <c r="V3298" s="8" t="s">
        <v>247</v>
      </c>
      <c r="W3298" s="6"/>
      <c r="X3298" s="6"/>
      <c r="Y3298" s="6"/>
      <c r="Z3298" s="6"/>
      <c r="AA3298" s="6" t="s">
        <v>1256</v>
      </c>
      <c r="AB3298" s="8"/>
      <c r="AC3298" s="27">
        <v>9785160192475</v>
      </c>
    </row>
    <row r="3299" spans="1:29" s="4" customFormat="1" ht="51.9" customHeight="1" x14ac:dyDescent="0.2">
      <c r="A3299" s="5">
        <v>0</v>
      </c>
      <c r="B3299" s="6" t="s">
        <v>19295</v>
      </c>
      <c r="C3299" s="7">
        <v>2868</v>
      </c>
      <c r="D3299" s="8" t="s">
        <v>19296</v>
      </c>
      <c r="E3299" s="8" t="s">
        <v>19297</v>
      </c>
      <c r="F3299" s="8" t="s">
        <v>19291</v>
      </c>
      <c r="G3299" s="6" t="s">
        <v>60</v>
      </c>
      <c r="H3299" s="6" t="s">
        <v>34</v>
      </c>
      <c r="I3299" s="8" t="s">
        <v>304</v>
      </c>
      <c r="J3299" s="9">
        <v>1</v>
      </c>
      <c r="K3299" s="9">
        <v>518</v>
      </c>
      <c r="L3299" s="9">
        <v>2024</v>
      </c>
      <c r="M3299" s="8" t="s">
        <v>19298</v>
      </c>
      <c r="N3299" s="8" t="s">
        <v>585</v>
      </c>
      <c r="O3299" s="8" t="s">
        <v>667</v>
      </c>
      <c r="P3299" s="6" t="s">
        <v>306</v>
      </c>
      <c r="Q3299" s="8" t="s">
        <v>52</v>
      </c>
      <c r="R3299" s="10" t="s">
        <v>19299</v>
      </c>
      <c r="S3299" s="11" t="s">
        <v>19294</v>
      </c>
      <c r="T3299" s="6"/>
      <c r="U3299" s="15" t="str">
        <f>HYPERLINK("https://media.infra-m.ru/2098/2098502/cover/2098502.jpg", "Обложка")</f>
        <v>Обложка</v>
      </c>
      <c r="V3299" s="8" t="s">
        <v>247</v>
      </c>
      <c r="W3299" s="6"/>
      <c r="X3299" s="6"/>
      <c r="Y3299" s="6"/>
      <c r="Z3299" s="6"/>
      <c r="AA3299" s="6" t="s">
        <v>1256</v>
      </c>
      <c r="AB3299" s="8"/>
      <c r="AC3299" s="27">
        <v>9785160192215</v>
      </c>
    </row>
    <row r="3300" spans="1:29" s="4" customFormat="1" ht="51.9" customHeight="1" x14ac:dyDescent="0.2">
      <c r="A3300" s="5">
        <v>0</v>
      </c>
      <c r="B3300" s="6" t="s">
        <v>19300</v>
      </c>
      <c r="C3300" s="7">
        <v>3020.4</v>
      </c>
      <c r="D3300" s="8" t="s">
        <v>19301</v>
      </c>
      <c r="E3300" s="8" t="s">
        <v>19284</v>
      </c>
      <c r="F3300" s="8" t="s">
        <v>19302</v>
      </c>
      <c r="G3300" s="6" t="s">
        <v>118</v>
      </c>
      <c r="H3300" s="6" t="s">
        <v>34</v>
      </c>
      <c r="I3300" s="8" t="s">
        <v>271</v>
      </c>
      <c r="J3300" s="9">
        <v>1</v>
      </c>
      <c r="K3300" s="9">
        <v>502</v>
      </c>
      <c r="L3300" s="9">
        <v>2024</v>
      </c>
      <c r="M3300" s="8" t="s">
        <v>19303</v>
      </c>
      <c r="N3300" s="8" t="s">
        <v>585</v>
      </c>
      <c r="O3300" s="8" t="s">
        <v>667</v>
      </c>
      <c r="P3300" s="6" t="s">
        <v>51</v>
      </c>
      <c r="Q3300" s="8" t="s">
        <v>52</v>
      </c>
      <c r="R3300" s="10" t="s">
        <v>19304</v>
      </c>
      <c r="S3300" s="11" t="s">
        <v>19305</v>
      </c>
      <c r="T3300" s="6"/>
      <c r="U3300" s="15" t="str">
        <f>HYPERLINK("https://media.infra-m.ru/2117/2117178/cover/2117178.jpg", "Обложка")</f>
        <v>Обложка</v>
      </c>
      <c r="V3300" s="8" t="s">
        <v>2398</v>
      </c>
      <c r="W3300" s="6"/>
      <c r="X3300" s="6"/>
      <c r="Y3300" s="6"/>
      <c r="Z3300" s="6"/>
      <c r="AA3300" s="6" t="s">
        <v>1256</v>
      </c>
      <c r="AB3300" s="8"/>
      <c r="AC3300" s="27">
        <v>9785160160085</v>
      </c>
    </row>
    <row r="3301" spans="1:29" s="4" customFormat="1" ht="51.9" customHeight="1" x14ac:dyDescent="0.2">
      <c r="A3301" s="5">
        <v>0</v>
      </c>
      <c r="B3301" s="6" t="s">
        <v>19306</v>
      </c>
      <c r="C3301" s="7">
        <v>1492.8</v>
      </c>
      <c r="D3301" s="8" t="s">
        <v>19307</v>
      </c>
      <c r="E3301" s="8" t="s">
        <v>19308</v>
      </c>
      <c r="F3301" s="8" t="s">
        <v>19309</v>
      </c>
      <c r="G3301" s="6" t="s">
        <v>118</v>
      </c>
      <c r="H3301" s="6" t="s">
        <v>34</v>
      </c>
      <c r="I3301" s="8" t="s">
        <v>271</v>
      </c>
      <c r="J3301" s="9">
        <v>1</v>
      </c>
      <c r="K3301" s="9">
        <v>227</v>
      </c>
      <c r="L3301" s="9">
        <v>2026</v>
      </c>
      <c r="M3301" s="8" t="s">
        <v>19310</v>
      </c>
      <c r="N3301" s="8" t="s">
        <v>585</v>
      </c>
      <c r="O3301" s="8" t="s">
        <v>667</v>
      </c>
      <c r="P3301" s="6" t="s">
        <v>51</v>
      </c>
      <c r="Q3301" s="8" t="s">
        <v>65</v>
      </c>
      <c r="R3301" s="10" t="s">
        <v>19311</v>
      </c>
      <c r="S3301" s="11" t="s">
        <v>19312</v>
      </c>
      <c r="T3301" s="6"/>
      <c r="U3301" s="15" t="str">
        <f>HYPERLINK("https://media.infra-m.ru/2246/2246650/cover/2246650.jpg", "Обложка")</f>
        <v>Обложка</v>
      </c>
      <c r="V3301" s="8" t="s">
        <v>9227</v>
      </c>
      <c r="W3301" s="6"/>
      <c r="X3301" s="6"/>
      <c r="Y3301" s="6"/>
      <c r="Z3301" s="6"/>
      <c r="AA3301" s="6" t="s">
        <v>99</v>
      </c>
      <c r="AB3301" s="8"/>
      <c r="AC3301" s="27">
        <v>9785160127095</v>
      </c>
    </row>
    <row r="3302" spans="1:29" s="4" customFormat="1" ht="51.9" customHeight="1" x14ac:dyDescent="0.2">
      <c r="A3302" s="5">
        <v>0</v>
      </c>
      <c r="B3302" s="6" t="s">
        <v>19313</v>
      </c>
      <c r="C3302" s="7">
        <v>1192.8</v>
      </c>
      <c r="D3302" s="8" t="s">
        <v>19314</v>
      </c>
      <c r="E3302" s="8" t="s">
        <v>19315</v>
      </c>
      <c r="F3302" s="8" t="s">
        <v>19316</v>
      </c>
      <c r="G3302" s="6" t="s">
        <v>118</v>
      </c>
      <c r="H3302" s="6" t="s">
        <v>34</v>
      </c>
      <c r="I3302" s="8" t="s">
        <v>263</v>
      </c>
      <c r="J3302" s="9">
        <v>1</v>
      </c>
      <c r="K3302" s="9">
        <v>181</v>
      </c>
      <c r="L3302" s="9">
        <v>2026</v>
      </c>
      <c r="M3302" s="8" t="s">
        <v>19317</v>
      </c>
      <c r="N3302" s="8" t="s">
        <v>585</v>
      </c>
      <c r="O3302" s="8" t="s">
        <v>667</v>
      </c>
      <c r="P3302" s="6" t="s">
        <v>51</v>
      </c>
      <c r="Q3302" s="8" t="s">
        <v>265</v>
      </c>
      <c r="R3302" s="10" t="s">
        <v>19318</v>
      </c>
      <c r="S3302" s="11" t="s">
        <v>19319</v>
      </c>
      <c r="T3302" s="6"/>
      <c r="U3302" s="15" t="str">
        <f>HYPERLINK("https://media.infra-m.ru/2233/2233619/cover/2233619.jpg", "Обложка")</f>
        <v>Обложка</v>
      </c>
      <c r="V3302" s="8" t="s">
        <v>5360</v>
      </c>
      <c r="W3302" s="6"/>
      <c r="X3302" s="6"/>
      <c r="Y3302" s="6"/>
      <c r="Z3302" s="6" t="s">
        <v>5578</v>
      </c>
      <c r="AA3302" s="6" t="s">
        <v>1256</v>
      </c>
      <c r="AB3302" s="8"/>
      <c r="AC3302" s="27">
        <v>9785160156514</v>
      </c>
    </row>
    <row r="3303" spans="1:29" s="4" customFormat="1" ht="51.9" customHeight="1" x14ac:dyDescent="0.2">
      <c r="A3303" s="5">
        <v>0</v>
      </c>
      <c r="B3303" s="6" t="s">
        <v>19320</v>
      </c>
      <c r="C3303" s="7">
        <v>1192.8</v>
      </c>
      <c r="D3303" s="8" t="s">
        <v>19321</v>
      </c>
      <c r="E3303" s="8" t="s">
        <v>19315</v>
      </c>
      <c r="F3303" s="8" t="s">
        <v>19316</v>
      </c>
      <c r="G3303" s="6" t="s">
        <v>118</v>
      </c>
      <c r="H3303" s="6" t="s">
        <v>34</v>
      </c>
      <c r="I3303" s="8" t="s">
        <v>504</v>
      </c>
      <c r="J3303" s="9">
        <v>1</v>
      </c>
      <c r="K3303" s="9">
        <v>181</v>
      </c>
      <c r="L3303" s="9">
        <v>2026</v>
      </c>
      <c r="M3303" s="8" t="s">
        <v>19322</v>
      </c>
      <c r="N3303" s="8" t="s">
        <v>243</v>
      </c>
      <c r="O3303" s="8" t="s">
        <v>1100</v>
      </c>
      <c r="P3303" s="6" t="s">
        <v>51</v>
      </c>
      <c r="Q3303" s="8" t="s">
        <v>500</v>
      </c>
      <c r="R3303" s="10" t="s">
        <v>19323</v>
      </c>
      <c r="S3303" s="11" t="s">
        <v>19324</v>
      </c>
      <c r="T3303" s="6"/>
      <c r="U3303" s="15" t="str">
        <f>HYPERLINK("https://media.infra-m.ru/2233/2233618/cover/2233618.jpg", "Обложка")</f>
        <v>Обложка</v>
      </c>
      <c r="V3303" s="8" t="s">
        <v>5360</v>
      </c>
      <c r="W3303" s="6"/>
      <c r="X3303" s="6"/>
      <c r="Y3303" s="6"/>
      <c r="Z3303" s="6"/>
      <c r="AA3303" s="6" t="s">
        <v>86</v>
      </c>
      <c r="AB3303" s="8" t="s">
        <v>1317</v>
      </c>
      <c r="AC3303" s="27">
        <v>9785160128900</v>
      </c>
    </row>
    <row r="3304" spans="1:29" s="4" customFormat="1" ht="51.9" customHeight="1" x14ac:dyDescent="0.2">
      <c r="A3304" s="5">
        <v>0</v>
      </c>
      <c r="B3304" s="6" t="s">
        <v>19325</v>
      </c>
      <c r="C3304" s="7">
        <v>1948.8</v>
      </c>
      <c r="D3304" s="8" t="s">
        <v>19326</v>
      </c>
      <c r="E3304" s="8" t="s">
        <v>19327</v>
      </c>
      <c r="F3304" s="8" t="s">
        <v>19328</v>
      </c>
      <c r="G3304" s="6" t="s">
        <v>118</v>
      </c>
      <c r="H3304" s="6" t="s">
        <v>241</v>
      </c>
      <c r="I3304" s="8" t="s">
        <v>4439</v>
      </c>
      <c r="J3304" s="9">
        <v>1</v>
      </c>
      <c r="K3304" s="9">
        <v>296</v>
      </c>
      <c r="L3304" s="9">
        <v>2026</v>
      </c>
      <c r="M3304" s="8" t="s">
        <v>19329</v>
      </c>
      <c r="N3304" s="8" t="s">
        <v>37</v>
      </c>
      <c r="O3304" s="8" t="s">
        <v>280</v>
      </c>
      <c r="P3304" s="6" t="s">
        <v>51</v>
      </c>
      <c r="Q3304" s="8" t="s">
        <v>500</v>
      </c>
      <c r="R3304" s="10" t="s">
        <v>2134</v>
      </c>
      <c r="S3304" s="11" t="s">
        <v>19330</v>
      </c>
      <c r="T3304" s="6"/>
      <c r="U3304" s="15" t="str">
        <f>HYPERLINK("https://media.infra-m.ru/2233/2233536/cover/2233536.jpg", "Обложка")</f>
        <v>Обложка</v>
      </c>
      <c r="V3304" s="8" t="s">
        <v>247</v>
      </c>
      <c r="W3304" s="6"/>
      <c r="X3304" s="6"/>
      <c r="Y3304" s="6"/>
      <c r="Z3304" s="6"/>
      <c r="AA3304" s="6" t="s">
        <v>86</v>
      </c>
      <c r="AB3304" s="8"/>
      <c r="AC3304" s="27">
        <v>9785955806075</v>
      </c>
    </row>
    <row r="3305" spans="1:29" s="4" customFormat="1" ht="51.9" customHeight="1" x14ac:dyDescent="0.2">
      <c r="A3305" s="5">
        <v>0</v>
      </c>
      <c r="B3305" s="6" t="s">
        <v>19331</v>
      </c>
      <c r="C3305" s="7">
        <v>3254.4</v>
      </c>
      <c r="D3305" s="8" t="s">
        <v>19332</v>
      </c>
      <c r="E3305" s="8" t="s">
        <v>19333</v>
      </c>
      <c r="F3305" s="8" t="s">
        <v>19334</v>
      </c>
      <c r="G3305" s="6" t="s">
        <v>60</v>
      </c>
      <c r="H3305" s="6" t="s">
        <v>34</v>
      </c>
      <c r="I3305" s="8" t="s">
        <v>271</v>
      </c>
      <c r="J3305" s="9">
        <v>1</v>
      </c>
      <c r="K3305" s="9">
        <v>592</v>
      </c>
      <c r="L3305" s="9">
        <v>2023</v>
      </c>
      <c r="M3305" s="8" t="s">
        <v>19335</v>
      </c>
      <c r="N3305" s="8" t="s">
        <v>585</v>
      </c>
      <c r="O3305" s="8" t="s">
        <v>667</v>
      </c>
      <c r="P3305" s="6" t="s">
        <v>306</v>
      </c>
      <c r="Q3305" s="8" t="s">
        <v>52</v>
      </c>
      <c r="R3305" s="10" t="s">
        <v>19336</v>
      </c>
      <c r="S3305" s="11" t="s">
        <v>19337</v>
      </c>
      <c r="T3305" s="6"/>
      <c r="U3305" s="15" t="str">
        <f>HYPERLINK("https://media.infra-m.ru/2125/2125097/cover/2125097.jpg", "Обложка")</f>
        <v>Обложка</v>
      </c>
      <c r="V3305" s="8" t="s">
        <v>7887</v>
      </c>
      <c r="W3305" s="6"/>
      <c r="X3305" s="6"/>
      <c r="Y3305" s="6"/>
      <c r="Z3305" s="6"/>
      <c r="AA3305" s="6" t="s">
        <v>779</v>
      </c>
      <c r="AB3305" s="8"/>
      <c r="AC3305" s="27">
        <v>9785160119960</v>
      </c>
    </row>
    <row r="3306" spans="1:29" s="4" customFormat="1" ht="42" customHeight="1" x14ac:dyDescent="0.2">
      <c r="A3306" s="5">
        <v>0</v>
      </c>
      <c r="B3306" s="6" t="s">
        <v>19338</v>
      </c>
      <c r="C3306" s="7">
        <v>1284</v>
      </c>
      <c r="D3306" s="8" t="s">
        <v>19339</v>
      </c>
      <c r="E3306" s="8" t="s">
        <v>19340</v>
      </c>
      <c r="F3306" s="8" t="s">
        <v>19341</v>
      </c>
      <c r="G3306" s="6" t="s">
        <v>60</v>
      </c>
      <c r="H3306" s="6" t="s">
        <v>34</v>
      </c>
      <c r="I3306" s="8" t="s">
        <v>1248</v>
      </c>
      <c r="J3306" s="14">
        <v>0</v>
      </c>
      <c r="K3306" s="9">
        <v>182</v>
      </c>
      <c r="L3306" s="9">
        <v>2027</v>
      </c>
      <c r="M3306" s="8" t="s">
        <v>19342</v>
      </c>
      <c r="N3306" s="8" t="s">
        <v>585</v>
      </c>
      <c r="O3306" s="8" t="s">
        <v>667</v>
      </c>
      <c r="P3306" s="6" t="s">
        <v>306</v>
      </c>
      <c r="Q3306" s="8" t="s">
        <v>52</v>
      </c>
      <c r="R3306" s="10" t="s">
        <v>19343</v>
      </c>
      <c r="S3306" s="11"/>
      <c r="T3306" s="6"/>
      <c r="U3306" s="15" t="str">
        <f>HYPERLINK("https://media.infra-m.ru/2271/2271216/cover/2271216.jpg", "Обложка")</f>
        <v>Обложка</v>
      </c>
      <c r="V3306" s="8" t="s">
        <v>1083</v>
      </c>
      <c r="W3306" s="6"/>
      <c r="X3306" s="6"/>
      <c r="Y3306" s="6"/>
      <c r="Z3306" s="6"/>
      <c r="AA3306" s="6" t="s">
        <v>420</v>
      </c>
      <c r="AB3306" s="8"/>
      <c r="AC3306" s="27">
        <v>9785160225067</v>
      </c>
    </row>
    <row r="3307" spans="1:29" s="4" customFormat="1" ht="44.1" customHeight="1" x14ac:dyDescent="0.2">
      <c r="A3307" s="5">
        <v>0</v>
      </c>
      <c r="B3307" s="6" t="s">
        <v>19344</v>
      </c>
      <c r="C3307" s="7">
        <v>3854.4</v>
      </c>
      <c r="D3307" s="8" t="s">
        <v>19345</v>
      </c>
      <c r="E3307" s="8" t="s">
        <v>19346</v>
      </c>
      <c r="F3307" s="8" t="s">
        <v>13207</v>
      </c>
      <c r="G3307" s="6" t="s">
        <v>60</v>
      </c>
      <c r="H3307" s="6" t="s">
        <v>34</v>
      </c>
      <c r="I3307" s="8" t="s">
        <v>35</v>
      </c>
      <c r="J3307" s="9">
        <v>1</v>
      </c>
      <c r="K3307" s="9">
        <v>426</v>
      </c>
      <c r="L3307" s="9">
        <v>2027</v>
      </c>
      <c r="M3307" s="8" t="s">
        <v>19347</v>
      </c>
      <c r="N3307" s="8" t="s">
        <v>585</v>
      </c>
      <c r="O3307" s="8" t="s">
        <v>667</v>
      </c>
      <c r="P3307" s="6" t="s">
        <v>39</v>
      </c>
      <c r="Q3307" s="8" t="s">
        <v>40</v>
      </c>
      <c r="R3307" s="10" t="s">
        <v>19348</v>
      </c>
      <c r="S3307" s="11"/>
      <c r="T3307" s="6"/>
      <c r="U3307" s="15" t="str">
        <f>HYPERLINK("https://media.infra-m.ru/2254/2254801/cover/2254801.jpg", "Обложка")</f>
        <v>Обложка</v>
      </c>
      <c r="V3307" s="8" t="s">
        <v>761</v>
      </c>
      <c r="W3307" s="6" t="s">
        <v>2115</v>
      </c>
      <c r="X3307" s="6"/>
      <c r="Y3307" s="6"/>
      <c r="Z3307" s="6"/>
      <c r="AA3307" s="6" t="s">
        <v>420</v>
      </c>
      <c r="AB3307" s="8"/>
      <c r="AC3307" s="27">
        <v>9785160221298</v>
      </c>
    </row>
    <row r="3308" spans="1:29" s="4" customFormat="1" ht="51.9" customHeight="1" x14ac:dyDescent="0.2">
      <c r="A3308" s="5">
        <v>0</v>
      </c>
      <c r="B3308" s="6" t="s">
        <v>19349</v>
      </c>
      <c r="C3308" s="7">
        <v>2616</v>
      </c>
      <c r="D3308" s="8" t="s">
        <v>19350</v>
      </c>
      <c r="E3308" s="8" t="s">
        <v>19351</v>
      </c>
      <c r="F3308" s="8" t="s">
        <v>19352</v>
      </c>
      <c r="G3308" s="6" t="s">
        <v>118</v>
      </c>
      <c r="H3308" s="6" t="s">
        <v>34</v>
      </c>
      <c r="I3308" s="8" t="s">
        <v>263</v>
      </c>
      <c r="J3308" s="9">
        <v>1</v>
      </c>
      <c r="K3308" s="9">
        <v>395</v>
      </c>
      <c r="L3308" s="9">
        <v>2026</v>
      </c>
      <c r="M3308" s="8" t="s">
        <v>19353</v>
      </c>
      <c r="N3308" s="8" t="s">
        <v>63</v>
      </c>
      <c r="O3308" s="8" t="s">
        <v>181</v>
      </c>
      <c r="P3308" s="6" t="s">
        <v>306</v>
      </c>
      <c r="Q3308" s="8" t="s">
        <v>265</v>
      </c>
      <c r="R3308" s="10" t="s">
        <v>19354</v>
      </c>
      <c r="S3308" s="11" t="s">
        <v>19355</v>
      </c>
      <c r="T3308" s="6"/>
      <c r="U3308" s="15" t="str">
        <f>HYPERLINK("https://media.infra-m.ru/2239/2239554/cover/2239554.jpg", "Обложка")</f>
        <v>Обложка</v>
      </c>
      <c r="V3308" s="8" t="s">
        <v>1157</v>
      </c>
      <c r="W3308" s="6"/>
      <c r="X3308" s="6"/>
      <c r="Y3308" s="6"/>
      <c r="Z3308" s="6" t="s">
        <v>267</v>
      </c>
      <c r="AA3308" s="6" t="s">
        <v>115</v>
      </c>
      <c r="AB3308" s="8"/>
      <c r="AC3308" s="27">
        <v>9785160218489</v>
      </c>
    </row>
    <row r="3309" spans="1:29" s="4" customFormat="1" ht="51.9" customHeight="1" x14ac:dyDescent="0.2">
      <c r="A3309" s="5">
        <v>0</v>
      </c>
      <c r="B3309" s="6" t="s">
        <v>19356</v>
      </c>
      <c r="C3309" s="7">
        <v>2608.8000000000002</v>
      </c>
      <c r="D3309" s="8" t="s">
        <v>19357</v>
      </c>
      <c r="E3309" s="8" t="s">
        <v>19351</v>
      </c>
      <c r="F3309" s="8" t="s">
        <v>19352</v>
      </c>
      <c r="G3309" s="6" t="s">
        <v>118</v>
      </c>
      <c r="H3309" s="6" t="s">
        <v>241</v>
      </c>
      <c r="I3309" s="8" t="s">
        <v>253</v>
      </c>
      <c r="J3309" s="9">
        <v>1</v>
      </c>
      <c r="K3309" s="9">
        <v>395</v>
      </c>
      <c r="L3309" s="9">
        <v>2026</v>
      </c>
      <c r="M3309" s="8" t="s">
        <v>19358</v>
      </c>
      <c r="N3309" s="8" t="s">
        <v>63</v>
      </c>
      <c r="O3309" s="8" t="s">
        <v>181</v>
      </c>
      <c r="P3309" s="6" t="s">
        <v>306</v>
      </c>
      <c r="Q3309" s="8" t="s">
        <v>52</v>
      </c>
      <c r="R3309" s="10" t="s">
        <v>19359</v>
      </c>
      <c r="S3309" s="11" t="s">
        <v>19360</v>
      </c>
      <c r="T3309" s="6"/>
      <c r="U3309" s="15" t="str">
        <f>HYPERLINK("https://media.infra-m.ru/2239/2239603/cover/2239603.jpg", "Обложка")</f>
        <v>Обложка</v>
      </c>
      <c r="V3309" s="8" t="s">
        <v>1157</v>
      </c>
      <c r="W3309" s="6"/>
      <c r="X3309" s="6"/>
      <c r="Y3309" s="6"/>
      <c r="Z3309" s="6"/>
      <c r="AA3309" s="6" t="s">
        <v>55</v>
      </c>
      <c r="AB3309" s="8"/>
      <c r="AC3309" s="27">
        <v>9785955806655</v>
      </c>
    </row>
    <row r="3310" spans="1:29" s="4" customFormat="1" ht="51.9" customHeight="1" x14ac:dyDescent="0.2">
      <c r="A3310" s="5">
        <v>0</v>
      </c>
      <c r="B3310" s="6" t="s">
        <v>19361</v>
      </c>
      <c r="C3310" s="7">
        <v>2692.8</v>
      </c>
      <c r="D3310" s="8" t="s">
        <v>19362</v>
      </c>
      <c r="E3310" s="8" t="s">
        <v>19363</v>
      </c>
      <c r="F3310" s="8" t="s">
        <v>19364</v>
      </c>
      <c r="G3310" s="6" t="s">
        <v>60</v>
      </c>
      <c r="H3310" s="6" t="s">
        <v>34</v>
      </c>
      <c r="I3310" s="8" t="s">
        <v>19365</v>
      </c>
      <c r="J3310" s="9">
        <v>1</v>
      </c>
      <c r="K3310" s="9">
        <v>432</v>
      </c>
      <c r="L3310" s="9">
        <v>2025</v>
      </c>
      <c r="M3310" s="8" t="s">
        <v>19366</v>
      </c>
      <c r="N3310" s="8" t="s">
        <v>243</v>
      </c>
      <c r="O3310" s="8" t="s">
        <v>758</v>
      </c>
      <c r="P3310" s="6" t="s">
        <v>51</v>
      </c>
      <c r="Q3310" s="8" t="s">
        <v>52</v>
      </c>
      <c r="R3310" s="10" t="s">
        <v>19367</v>
      </c>
      <c r="S3310" s="11" t="s">
        <v>19368</v>
      </c>
      <c r="T3310" s="6" t="s">
        <v>97</v>
      </c>
      <c r="U3310" s="15" t="str">
        <f>HYPERLINK("https://media.infra-m.ru/2196/2196897/cover/2196897.jpg", "Обложка")</f>
        <v>Обложка</v>
      </c>
      <c r="V3310" s="8" t="s">
        <v>2398</v>
      </c>
      <c r="W3310" s="6"/>
      <c r="X3310" s="6"/>
      <c r="Y3310" s="6"/>
      <c r="Z3310" s="6"/>
      <c r="AA3310" s="6" t="s">
        <v>779</v>
      </c>
      <c r="AB3310" s="8"/>
      <c r="AC3310" s="27">
        <v>9785160107127</v>
      </c>
    </row>
    <row r="3311" spans="1:29" s="4" customFormat="1" ht="51.9" customHeight="1" x14ac:dyDescent="0.2">
      <c r="A3311" s="5">
        <v>0</v>
      </c>
      <c r="B3311" s="6" t="s">
        <v>19369</v>
      </c>
      <c r="C3311" s="7">
        <v>3000</v>
      </c>
      <c r="D3311" s="8" t="s">
        <v>19370</v>
      </c>
      <c r="E3311" s="8" t="s">
        <v>19363</v>
      </c>
      <c r="F3311" s="8" t="s">
        <v>19371</v>
      </c>
      <c r="G3311" s="6" t="s">
        <v>60</v>
      </c>
      <c r="H3311" s="6" t="s">
        <v>34</v>
      </c>
      <c r="I3311" s="8" t="s">
        <v>263</v>
      </c>
      <c r="J3311" s="9">
        <v>1</v>
      </c>
      <c r="K3311" s="9">
        <v>432</v>
      </c>
      <c r="L3311" s="9">
        <v>2026</v>
      </c>
      <c r="M3311" s="8" t="s">
        <v>19372</v>
      </c>
      <c r="N3311" s="8" t="s">
        <v>243</v>
      </c>
      <c r="O3311" s="8" t="s">
        <v>758</v>
      </c>
      <c r="P3311" s="6" t="s">
        <v>51</v>
      </c>
      <c r="Q3311" s="8" t="s">
        <v>265</v>
      </c>
      <c r="R3311" s="10" t="s">
        <v>19373</v>
      </c>
      <c r="S3311" s="11" t="s">
        <v>19374</v>
      </c>
      <c r="T3311" s="6" t="s">
        <v>97</v>
      </c>
      <c r="U3311" s="15" t="str">
        <f>HYPERLINK("https://media.infra-m.ru/2261/2261161/cover/2261161.jpg", "Обложка")</f>
        <v>Обложка</v>
      </c>
      <c r="V3311" s="8" t="s">
        <v>2398</v>
      </c>
      <c r="W3311" s="6"/>
      <c r="X3311" s="6"/>
      <c r="Y3311" s="6"/>
      <c r="Z3311" s="6" t="s">
        <v>267</v>
      </c>
      <c r="AA3311" s="6" t="s">
        <v>86</v>
      </c>
      <c r="AB3311" s="8"/>
      <c r="AC3311" s="27">
        <v>9785160143569</v>
      </c>
    </row>
    <row r="3312" spans="1:29" s="4" customFormat="1" ht="51.9" customHeight="1" x14ac:dyDescent="0.2">
      <c r="A3312" s="5">
        <v>0</v>
      </c>
      <c r="B3312" s="6" t="s">
        <v>19375</v>
      </c>
      <c r="C3312" s="7">
        <v>1744.8</v>
      </c>
      <c r="D3312" s="8" t="s">
        <v>19376</v>
      </c>
      <c r="E3312" s="8" t="s">
        <v>19377</v>
      </c>
      <c r="F3312" s="8" t="s">
        <v>12153</v>
      </c>
      <c r="G3312" s="6" t="s">
        <v>118</v>
      </c>
      <c r="H3312" s="6" t="s">
        <v>34</v>
      </c>
      <c r="I3312" s="8" t="s">
        <v>271</v>
      </c>
      <c r="J3312" s="9">
        <v>1</v>
      </c>
      <c r="K3312" s="9">
        <v>320</v>
      </c>
      <c r="L3312" s="9">
        <v>2023</v>
      </c>
      <c r="M3312" s="8" t="s">
        <v>19378</v>
      </c>
      <c r="N3312" s="8" t="s">
        <v>243</v>
      </c>
      <c r="O3312" s="8" t="s">
        <v>329</v>
      </c>
      <c r="P3312" s="6" t="s">
        <v>306</v>
      </c>
      <c r="Q3312" s="8" t="s">
        <v>52</v>
      </c>
      <c r="R3312" s="10" t="s">
        <v>19379</v>
      </c>
      <c r="S3312" s="11" t="s">
        <v>19380</v>
      </c>
      <c r="T3312" s="6"/>
      <c r="U3312" s="15" t="str">
        <f>HYPERLINK("https://media.infra-m.ru/2006/2006845/cover/2006845.jpg", "Обложка")</f>
        <v>Обложка</v>
      </c>
      <c r="V3312" s="8" t="s">
        <v>1206</v>
      </c>
      <c r="W3312" s="6"/>
      <c r="X3312" s="6"/>
      <c r="Y3312" s="6"/>
      <c r="Z3312" s="6"/>
      <c r="AA3312" s="6" t="s">
        <v>115</v>
      </c>
      <c r="AB3312" s="8" t="s">
        <v>308</v>
      </c>
      <c r="AC3312" s="27">
        <v>9785160149189</v>
      </c>
    </row>
    <row r="3313" spans="1:29" s="4" customFormat="1" ht="51.9" customHeight="1" x14ac:dyDescent="0.2">
      <c r="A3313" s="5">
        <v>0</v>
      </c>
      <c r="B3313" s="6" t="s">
        <v>19381</v>
      </c>
      <c r="C3313" s="7">
        <v>1656</v>
      </c>
      <c r="D3313" s="8" t="s">
        <v>19382</v>
      </c>
      <c r="E3313" s="8" t="s">
        <v>19383</v>
      </c>
      <c r="F3313" s="8" t="s">
        <v>19384</v>
      </c>
      <c r="G3313" s="6" t="s">
        <v>60</v>
      </c>
      <c r="H3313" s="6" t="s">
        <v>34</v>
      </c>
      <c r="I3313" s="8" t="s">
        <v>1128</v>
      </c>
      <c r="J3313" s="9">
        <v>1</v>
      </c>
      <c r="K3313" s="9">
        <v>263</v>
      </c>
      <c r="L3313" s="9">
        <v>2025</v>
      </c>
      <c r="M3313" s="8" t="s">
        <v>19385</v>
      </c>
      <c r="N3313" s="8" t="s">
        <v>243</v>
      </c>
      <c r="O3313" s="8" t="s">
        <v>329</v>
      </c>
      <c r="P3313" s="6" t="s">
        <v>51</v>
      </c>
      <c r="Q3313" s="8" t="s">
        <v>65</v>
      </c>
      <c r="R3313" s="10" t="s">
        <v>19386</v>
      </c>
      <c r="S3313" s="11" t="s">
        <v>19387</v>
      </c>
      <c r="T3313" s="6"/>
      <c r="U3313" s="15" t="str">
        <f>HYPERLINK("https://media.infra-m.ru/2056/2056720/cover/2056720.jpg", "Обложка")</f>
        <v>Обложка</v>
      </c>
      <c r="V3313" s="8" t="s">
        <v>1132</v>
      </c>
      <c r="W3313" s="6"/>
      <c r="X3313" s="6"/>
      <c r="Y3313" s="6"/>
      <c r="Z3313" s="6"/>
      <c r="AA3313" s="6" t="s">
        <v>68</v>
      </c>
      <c r="AB3313" s="8"/>
      <c r="AC3313" s="27">
        <v>9785160187778</v>
      </c>
    </row>
    <row r="3314" spans="1:29" s="4" customFormat="1" ht="42" customHeight="1" x14ac:dyDescent="0.2">
      <c r="A3314" s="5">
        <v>0</v>
      </c>
      <c r="B3314" s="6" t="s">
        <v>19388</v>
      </c>
      <c r="C3314" s="7">
        <v>1908</v>
      </c>
      <c r="D3314" s="8" t="s">
        <v>19389</v>
      </c>
      <c r="E3314" s="8" t="s">
        <v>19390</v>
      </c>
      <c r="F3314" s="8" t="s">
        <v>19384</v>
      </c>
      <c r="G3314" s="6" t="s">
        <v>60</v>
      </c>
      <c r="H3314" s="6" t="s">
        <v>34</v>
      </c>
      <c r="I3314" s="8" t="s">
        <v>1128</v>
      </c>
      <c r="J3314" s="9">
        <v>1</v>
      </c>
      <c r="K3314" s="9">
        <v>309</v>
      </c>
      <c r="L3314" s="9">
        <v>2024</v>
      </c>
      <c r="M3314" s="8" t="s">
        <v>19391</v>
      </c>
      <c r="N3314" s="8" t="s">
        <v>243</v>
      </c>
      <c r="O3314" s="8" t="s">
        <v>329</v>
      </c>
      <c r="P3314" s="6" t="s">
        <v>51</v>
      </c>
      <c r="Q3314" s="8" t="s">
        <v>65</v>
      </c>
      <c r="R3314" s="10" t="s">
        <v>19386</v>
      </c>
      <c r="S3314" s="11"/>
      <c r="T3314" s="6"/>
      <c r="U3314" s="15" t="str">
        <f>HYPERLINK("https://media.infra-m.ru/2001/2001723/cover/2001723.jpg", "Обложка")</f>
        <v>Обложка</v>
      </c>
      <c r="V3314" s="8" t="s">
        <v>1132</v>
      </c>
      <c r="W3314" s="6"/>
      <c r="X3314" s="6"/>
      <c r="Y3314" s="6"/>
      <c r="Z3314" s="6"/>
      <c r="AA3314" s="6" t="s">
        <v>76</v>
      </c>
      <c r="AB3314" s="8"/>
      <c r="AC3314" s="27">
        <v>9785160184173</v>
      </c>
    </row>
    <row r="3315" spans="1:29" s="4" customFormat="1" ht="51.9" customHeight="1" x14ac:dyDescent="0.2">
      <c r="A3315" s="5">
        <v>0</v>
      </c>
      <c r="B3315" s="6" t="s">
        <v>19392</v>
      </c>
      <c r="C3315" s="7">
        <v>1900.8</v>
      </c>
      <c r="D3315" s="8" t="s">
        <v>19393</v>
      </c>
      <c r="E3315" s="8" t="s">
        <v>19394</v>
      </c>
      <c r="F3315" s="8" t="s">
        <v>19395</v>
      </c>
      <c r="G3315" s="6" t="s">
        <v>118</v>
      </c>
      <c r="H3315" s="6" t="s">
        <v>34</v>
      </c>
      <c r="I3315" s="8" t="s">
        <v>271</v>
      </c>
      <c r="J3315" s="9">
        <v>1</v>
      </c>
      <c r="K3315" s="9">
        <v>288</v>
      </c>
      <c r="L3315" s="9">
        <v>2026</v>
      </c>
      <c r="M3315" s="8" t="s">
        <v>19396</v>
      </c>
      <c r="N3315" s="8" t="s">
        <v>243</v>
      </c>
      <c r="O3315" s="8" t="s">
        <v>329</v>
      </c>
      <c r="P3315" s="6" t="s">
        <v>51</v>
      </c>
      <c r="Q3315" s="8" t="s">
        <v>52</v>
      </c>
      <c r="R3315" s="10" t="s">
        <v>19397</v>
      </c>
      <c r="S3315" s="11" t="s">
        <v>19398</v>
      </c>
      <c r="T3315" s="6"/>
      <c r="U3315" s="15" t="str">
        <f>HYPERLINK("https://media.infra-m.ru/2254/2254189/cover/2254189.jpg", "Обложка")</f>
        <v>Обложка</v>
      </c>
      <c r="V3315" s="8" t="s">
        <v>6700</v>
      </c>
      <c r="W3315" s="6"/>
      <c r="X3315" s="6"/>
      <c r="Y3315" s="6"/>
      <c r="Z3315" s="6"/>
      <c r="AA3315" s="6" t="s">
        <v>43</v>
      </c>
      <c r="AB3315" s="8"/>
      <c r="AC3315" s="27">
        <v>9785160048215</v>
      </c>
    </row>
    <row r="3316" spans="1:29" s="4" customFormat="1" ht="51.9" customHeight="1" x14ac:dyDescent="0.2">
      <c r="A3316" s="5">
        <v>0</v>
      </c>
      <c r="B3316" s="6" t="s">
        <v>19399</v>
      </c>
      <c r="C3316" s="7">
        <v>1864.8</v>
      </c>
      <c r="D3316" s="8" t="s">
        <v>19400</v>
      </c>
      <c r="E3316" s="8" t="s">
        <v>19401</v>
      </c>
      <c r="F3316" s="8" t="s">
        <v>19402</v>
      </c>
      <c r="G3316" s="6" t="s">
        <v>118</v>
      </c>
      <c r="H3316" s="6" t="s">
        <v>34</v>
      </c>
      <c r="I3316" s="8" t="s">
        <v>7198</v>
      </c>
      <c r="J3316" s="9">
        <v>1</v>
      </c>
      <c r="K3316" s="9">
        <v>268</v>
      </c>
      <c r="L3316" s="9">
        <v>2027</v>
      </c>
      <c r="M3316" s="8" t="s">
        <v>19403</v>
      </c>
      <c r="N3316" s="8" t="s">
        <v>243</v>
      </c>
      <c r="O3316" s="8" t="s">
        <v>329</v>
      </c>
      <c r="P3316" s="6" t="s">
        <v>51</v>
      </c>
      <c r="Q3316" s="8" t="s">
        <v>52</v>
      </c>
      <c r="R3316" s="10" t="s">
        <v>19404</v>
      </c>
      <c r="S3316" s="11" t="s">
        <v>19405</v>
      </c>
      <c r="T3316" s="6"/>
      <c r="U3316" s="15" t="str">
        <f>HYPERLINK("https://media.infra-m.ru/2264/2264656/cover/2264656.jpg", "Обложка")</f>
        <v>Обложка</v>
      </c>
      <c r="V3316" s="8" t="s">
        <v>1083</v>
      </c>
      <c r="W3316" s="6"/>
      <c r="X3316" s="6"/>
      <c r="Y3316" s="6"/>
      <c r="Z3316" s="6"/>
      <c r="AA3316" s="6" t="s">
        <v>86</v>
      </c>
      <c r="AB3316" s="8"/>
      <c r="AC3316" s="27">
        <v>9785160134352</v>
      </c>
    </row>
    <row r="3317" spans="1:29" s="4" customFormat="1" ht="51.9" customHeight="1" x14ac:dyDescent="0.2">
      <c r="A3317" s="5">
        <v>0</v>
      </c>
      <c r="B3317" s="6" t="s">
        <v>19406</v>
      </c>
      <c r="C3317" s="7">
        <v>2968.8</v>
      </c>
      <c r="D3317" s="8" t="s">
        <v>19407</v>
      </c>
      <c r="E3317" s="8" t="s">
        <v>19408</v>
      </c>
      <c r="F3317" s="8" t="s">
        <v>19409</v>
      </c>
      <c r="G3317" s="6" t="s">
        <v>60</v>
      </c>
      <c r="H3317" s="6" t="s">
        <v>34</v>
      </c>
      <c r="I3317" s="8" t="s">
        <v>271</v>
      </c>
      <c r="J3317" s="9">
        <v>1</v>
      </c>
      <c r="K3317" s="9">
        <v>427</v>
      </c>
      <c r="L3317" s="9">
        <v>2026</v>
      </c>
      <c r="M3317" s="8" t="s">
        <v>19410</v>
      </c>
      <c r="N3317" s="8" t="s">
        <v>243</v>
      </c>
      <c r="O3317" s="8" t="s">
        <v>933</v>
      </c>
      <c r="P3317" s="6" t="s">
        <v>306</v>
      </c>
      <c r="Q3317" s="8" t="s">
        <v>52</v>
      </c>
      <c r="R3317" s="10" t="s">
        <v>19411</v>
      </c>
      <c r="S3317" s="11" t="s">
        <v>19412</v>
      </c>
      <c r="T3317" s="6"/>
      <c r="U3317" s="15" t="str">
        <f>HYPERLINK("https://media.infra-m.ru/2214/2214701/cover/2214701.jpg", "Обложка")</f>
        <v>Обложка</v>
      </c>
      <c r="V3317" s="8" t="s">
        <v>14780</v>
      </c>
      <c r="W3317" s="6"/>
      <c r="X3317" s="6"/>
      <c r="Y3317" s="6"/>
      <c r="Z3317" s="6"/>
      <c r="AA3317" s="6" t="s">
        <v>248</v>
      </c>
      <c r="AB3317" s="8"/>
      <c r="AC3317" s="27">
        <v>9785160089669</v>
      </c>
    </row>
    <row r="3318" spans="1:29" s="4" customFormat="1" ht="51.9" customHeight="1" x14ac:dyDescent="0.2">
      <c r="A3318" s="5">
        <v>0</v>
      </c>
      <c r="B3318" s="6" t="s">
        <v>19413</v>
      </c>
      <c r="C3318" s="7">
        <v>2148</v>
      </c>
      <c r="D3318" s="8" t="s">
        <v>19414</v>
      </c>
      <c r="E3318" s="8" t="s">
        <v>19394</v>
      </c>
      <c r="F3318" s="8" t="s">
        <v>19415</v>
      </c>
      <c r="G3318" s="6" t="s">
        <v>118</v>
      </c>
      <c r="H3318" s="6" t="s">
        <v>34</v>
      </c>
      <c r="I3318" s="8" t="s">
        <v>271</v>
      </c>
      <c r="J3318" s="9">
        <v>1</v>
      </c>
      <c r="K3318" s="9">
        <v>397</v>
      </c>
      <c r="L3318" s="9">
        <v>2023</v>
      </c>
      <c r="M3318" s="8" t="s">
        <v>19416</v>
      </c>
      <c r="N3318" s="8" t="s">
        <v>243</v>
      </c>
      <c r="O3318" s="8" t="s">
        <v>758</v>
      </c>
      <c r="P3318" s="6" t="s">
        <v>306</v>
      </c>
      <c r="Q3318" s="8" t="s">
        <v>52</v>
      </c>
      <c r="R3318" s="10" t="s">
        <v>19417</v>
      </c>
      <c r="S3318" s="11" t="s">
        <v>19418</v>
      </c>
      <c r="T3318" s="6"/>
      <c r="U3318" s="15" t="str">
        <f>HYPERLINK("https://media.infra-m.ru/1941/1941721/cover/1941721.jpg", "Обложка")</f>
        <v>Обложка</v>
      </c>
      <c r="V3318" s="8" t="s">
        <v>2398</v>
      </c>
      <c r="W3318" s="6"/>
      <c r="X3318" s="6" t="s">
        <v>24</v>
      </c>
      <c r="Y3318" s="6"/>
      <c r="Z3318" s="6"/>
      <c r="AA3318" s="6" t="s">
        <v>248</v>
      </c>
      <c r="AB3318" s="8"/>
      <c r="AC3318" s="27">
        <v>9785160068992</v>
      </c>
    </row>
    <row r="3319" spans="1:29" s="4" customFormat="1" ht="51.9" customHeight="1" x14ac:dyDescent="0.2">
      <c r="A3319" s="5">
        <v>0</v>
      </c>
      <c r="B3319" s="6" t="s">
        <v>19419</v>
      </c>
      <c r="C3319" s="7">
        <v>3036</v>
      </c>
      <c r="D3319" s="8" t="s">
        <v>19420</v>
      </c>
      <c r="E3319" s="8" t="s">
        <v>19421</v>
      </c>
      <c r="F3319" s="8" t="s">
        <v>19422</v>
      </c>
      <c r="G3319" s="6" t="s">
        <v>118</v>
      </c>
      <c r="H3319" s="6" t="s">
        <v>34</v>
      </c>
      <c r="I3319" s="8" t="s">
        <v>263</v>
      </c>
      <c r="J3319" s="9">
        <v>1</v>
      </c>
      <c r="K3319" s="9">
        <v>335</v>
      </c>
      <c r="L3319" s="9">
        <v>2026</v>
      </c>
      <c r="M3319" s="8" t="s">
        <v>19423</v>
      </c>
      <c r="N3319" s="8" t="s">
        <v>243</v>
      </c>
      <c r="O3319" s="8" t="s">
        <v>329</v>
      </c>
      <c r="P3319" s="6" t="s">
        <v>51</v>
      </c>
      <c r="Q3319" s="8" t="s">
        <v>265</v>
      </c>
      <c r="R3319" s="10" t="s">
        <v>19424</v>
      </c>
      <c r="S3319" s="11" t="s">
        <v>1013</v>
      </c>
      <c r="T3319" s="6"/>
      <c r="U3319" s="15" t="str">
        <f>HYPERLINK("https://media.infra-m.ru/2246/2246645/cover/2246645.jpg", "Обложка")</f>
        <v>Обложка</v>
      </c>
      <c r="V3319" s="8" t="s">
        <v>1206</v>
      </c>
      <c r="W3319" s="6"/>
      <c r="X3319" s="6" t="s">
        <v>24</v>
      </c>
      <c r="Y3319" s="6"/>
      <c r="Z3319" s="6"/>
      <c r="AA3319" s="6" t="s">
        <v>718</v>
      </c>
      <c r="AB3319" s="8"/>
      <c r="AC3319" s="27">
        <v>9785160221366</v>
      </c>
    </row>
    <row r="3320" spans="1:29" s="4" customFormat="1" ht="44.1" customHeight="1" x14ac:dyDescent="0.2">
      <c r="A3320" s="5">
        <v>0</v>
      </c>
      <c r="B3320" s="6" t="s">
        <v>19425</v>
      </c>
      <c r="C3320" s="7">
        <v>2632.8</v>
      </c>
      <c r="D3320" s="8" t="s">
        <v>19426</v>
      </c>
      <c r="E3320" s="8" t="s">
        <v>19427</v>
      </c>
      <c r="F3320" s="8" t="s">
        <v>19428</v>
      </c>
      <c r="G3320" s="6" t="s">
        <v>118</v>
      </c>
      <c r="H3320" s="6" t="s">
        <v>34</v>
      </c>
      <c r="I3320" s="8" t="s">
        <v>2171</v>
      </c>
      <c r="J3320" s="9">
        <v>1</v>
      </c>
      <c r="K3320" s="9">
        <v>396</v>
      </c>
      <c r="L3320" s="9">
        <v>2024</v>
      </c>
      <c r="M3320" s="8" t="s">
        <v>19429</v>
      </c>
      <c r="N3320" s="8" t="s">
        <v>243</v>
      </c>
      <c r="O3320" s="8" t="s">
        <v>329</v>
      </c>
      <c r="P3320" s="6" t="s">
        <v>51</v>
      </c>
      <c r="Q3320" s="8" t="s">
        <v>65</v>
      </c>
      <c r="R3320" s="10" t="s">
        <v>19430</v>
      </c>
      <c r="S3320" s="11"/>
      <c r="T3320" s="6"/>
      <c r="U3320" s="15" t="str">
        <f>HYPERLINK("https://media.infra-m.ru/2167/2167675/cover/2167675.jpg", "Обложка")</f>
        <v>Обложка</v>
      </c>
      <c r="V3320" s="8" t="s">
        <v>2175</v>
      </c>
      <c r="W3320" s="6"/>
      <c r="X3320" s="6"/>
      <c r="Y3320" s="6"/>
      <c r="Z3320" s="6"/>
      <c r="AA3320" s="6" t="s">
        <v>2230</v>
      </c>
      <c r="AB3320" s="8"/>
      <c r="AC3320" s="27">
        <v>9785160152929</v>
      </c>
    </row>
    <row r="3321" spans="1:29" s="4" customFormat="1" ht="51.9" customHeight="1" x14ac:dyDescent="0.2">
      <c r="A3321" s="5">
        <v>0</v>
      </c>
      <c r="B3321" s="6" t="s">
        <v>19431</v>
      </c>
      <c r="C3321" s="7">
        <v>2066.4</v>
      </c>
      <c r="D3321" s="8" t="s">
        <v>19432</v>
      </c>
      <c r="E3321" s="8" t="s">
        <v>19433</v>
      </c>
      <c r="F3321" s="8" t="s">
        <v>19434</v>
      </c>
      <c r="G3321" s="6" t="s">
        <v>118</v>
      </c>
      <c r="H3321" s="6" t="s">
        <v>34</v>
      </c>
      <c r="I3321" s="8" t="s">
        <v>253</v>
      </c>
      <c r="J3321" s="9">
        <v>1</v>
      </c>
      <c r="K3321" s="9">
        <v>241</v>
      </c>
      <c r="L3321" s="9">
        <v>2026</v>
      </c>
      <c r="M3321" s="8" t="s">
        <v>19435</v>
      </c>
      <c r="N3321" s="8" t="s">
        <v>243</v>
      </c>
      <c r="O3321" s="8" t="s">
        <v>329</v>
      </c>
      <c r="P3321" s="6" t="s">
        <v>306</v>
      </c>
      <c r="Q3321" s="8" t="s">
        <v>52</v>
      </c>
      <c r="R3321" s="10" t="s">
        <v>19436</v>
      </c>
      <c r="S3321" s="11" t="s">
        <v>19437</v>
      </c>
      <c r="T3321" s="6"/>
      <c r="U3321" s="15" t="str">
        <f>HYPERLINK("https://media.infra-m.ru/2225/2225138/cover/2225138.jpg", "Обложка")</f>
        <v>Обложка</v>
      </c>
      <c r="V3321" s="8" t="s">
        <v>1206</v>
      </c>
      <c r="W3321" s="6"/>
      <c r="X3321" s="6"/>
      <c r="Y3321" s="6"/>
      <c r="Z3321" s="6"/>
      <c r="AA3321" s="6" t="s">
        <v>258</v>
      </c>
      <c r="AB3321" s="8"/>
      <c r="AC3321" s="27">
        <v>9785160195339</v>
      </c>
    </row>
    <row r="3322" spans="1:29" s="4" customFormat="1" ht="51.9" customHeight="1" x14ac:dyDescent="0.2">
      <c r="A3322" s="5">
        <v>0</v>
      </c>
      <c r="B3322" s="6" t="s">
        <v>19438</v>
      </c>
      <c r="C3322" s="7">
        <v>1056</v>
      </c>
      <c r="D3322" s="8" t="s">
        <v>19439</v>
      </c>
      <c r="E3322" s="8" t="s">
        <v>19440</v>
      </c>
      <c r="F3322" s="8" t="s">
        <v>19441</v>
      </c>
      <c r="G3322" s="6" t="s">
        <v>33</v>
      </c>
      <c r="H3322" s="6" t="s">
        <v>48</v>
      </c>
      <c r="I3322" s="8" t="s">
        <v>271</v>
      </c>
      <c r="J3322" s="9">
        <v>1</v>
      </c>
      <c r="K3322" s="9">
        <v>400</v>
      </c>
      <c r="L3322" s="9">
        <v>2017</v>
      </c>
      <c r="M3322" s="8" t="s">
        <v>19442</v>
      </c>
      <c r="N3322" s="8" t="s">
        <v>243</v>
      </c>
      <c r="O3322" s="8" t="s">
        <v>329</v>
      </c>
      <c r="P3322" s="6" t="s">
        <v>306</v>
      </c>
      <c r="Q3322" s="8" t="s">
        <v>52</v>
      </c>
      <c r="R3322" s="10" t="s">
        <v>19443</v>
      </c>
      <c r="S3322" s="11" t="s">
        <v>19444</v>
      </c>
      <c r="T3322" s="6"/>
      <c r="U3322" s="15" t="str">
        <f>HYPERLINK("https://media.infra-m.ru/0780/0780632/cover/780632.jpg", "Обложка")</f>
        <v>Обложка</v>
      </c>
      <c r="V3322" s="8" t="s">
        <v>1206</v>
      </c>
      <c r="W3322" s="6"/>
      <c r="X3322" s="6"/>
      <c r="Y3322" s="6"/>
      <c r="Z3322" s="6"/>
      <c r="AA3322" s="6" t="s">
        <v>99</v>
      </c>
      <c r="AB3322" s="8"/>
      <c r="AC3322" s="27">
        <v>9785000914014</v>
      </c>
    </row>
    <row r="3323" spans="1:29" s="4" customFormat="1" ht="51.9" customHeight="1" x14ac:dyDescent="0.2">
      <c r="A3323" s="5">
        <v>0</v>
      </c>
      <c r="B3323" s="6" t="s">
        <v>19445</v>
      </c>
      <c r="C3323" s="7">
        <v>2184</v>
      </c>
      <c r="D3323" s="8" t="s">
        <v>19446</v>
      </c>
      <c r="E3323" s="8" t="s">
        <v>19440</v>
      </c>
      <c r="F3323" s="8" t="s">
        <v>19441</v>
      </c>
      <c r="G3323" s="6" t="s">
        <v>118</v>
      </c>
      <c r="H3323" s="6" t="s">
        <v>48</v>
      </c>
      <c r="I3323" s="8" t="s">
        <v>271</v>
      </c>
      <c r="J3323" s="9">
        <v>1</v>
      </c>
      <c r="K3323" s="9">
        <v>400</v>
      </c>
      <c r="L3323" s="9">
        <v>2020</v>
      </c>
      <c r="M3323" s="8" t="s">
        <v>19447</v>
      </c>
      <c r="N3323" s="8" t="s">
        <v>243</v>
      </c>
      <c r="O3323" s="8" t="s">
        <v>329</v>
      </c>
      <c r="P3323" s="6" t="s">
        <v>306</v>
      </c>
      <c r="Q3323" s="8" t="s">
        <v>52</v>
      </c>
      <c r="R3323" s="10" t="s">
        <v>19443</v>
      </c>
      <c r="S3323" s="11" t="s">
        <v>19444</v>
      </c>
      <c r="T3323" s="6"/>
      <c r="U3323" s="15" t="str">
        <f>HYPERLINK("https://media.infra-m.ru/1127/1127724/cover/1127724.jpg", "Обложка")</f>
        <v>Обложка</v>
      </c>
      <c r="V3323" s="8" t="s">
        <v>1206</v>
      </c>
      <c r="W3323" s="6"/>
      <c r="X3323" s="6"/>
      <c r="Y3323" s="6"/>
      <c r="Z3323" s="6"/>
      <c r="AA3323" s="6" t="s">
        <v>99</v>
      </c>
      <c r="AB3323" s="8"/>
      <c r="AC3323" s="27">
        <v>9785000914311</v>
      </c>
    </row>
    <row r="3324" spans="1:29" s="4" customFormat="1" ht="51.9" customHeight="1" x14ac:dyDescent="0.2">
      <c r="A3324" s="5">
        <v>0</v>
      </c>
      <c r="B3324" s="6" t="s">
        <v>19448</v>
      </c>
      <c r="C3324" s="7">
        <v>2150.4</v>
      </c>
      <c r="D3324" s="8" t="s">
        <v>19449</v>
      </c>
      <c r="E3324" s="8" t="s">
        <v>19450</v>
      </c>
      <c r="F3324" s="8" t="s">
        <v>19434</v>
      </c>
      <c r="G3324" s="6" t="s">
        <v>118</v>
      </c>
      <c r="H3324" s="6" t="s">
        <v>34</v>
      </c>
      <c r="I3324" s="8" t="s">
        <v>253</v>
      </c>
      <c r="J3324" s="9">
        <v>1</v>
      </c>
      <c r="K3324" s="9">
        <v>250</v>
      </c>
      <c r="L3324" s="9">
        <v>2026</v>
      </c>
      <c r="M3324" s="8" t="s">
        <v>19451</v>
      </c>
      <c r="N3324" s="8" t="s">
        <v>243</v>
      </c>
      <c r="O3324" s="8" t="s">
        <v>329</v>
      </c>
      <c r="P3324" s="6" t="s">
        <v>306</v>
      </c>
      <c r="Q3324" s="8" t="s">
        <v>52</v>
      </c>
      <c r="R3324" s="10" t="s">
        <v>19443</v>
      </c>
      <c r="S3324" s="11" t="s">
        <v>19444</v>
      </c>
      <c r="T3324" s="6"/>
      <c r="U3324" s="15" t="str">
        <f>HYPERLINK("https://media.infra-m.ru/2256/2256964/cover/2256964.jpg", "Обложка")</f>
        <v>Обложка</v>
      </c>
      <c r="V3324" s="8" t="s">
        <v>1206</v>
      </c>
      <c r="W3324" s="6"/>
      <c r="X3324" s="6"/>
      <c r="Y3324" s="6"/>
      <c r="Z3324" s="6"/>
      <c r="AA3324" s="6" t="s">
        <v>258</v>
      </c>
      <c r="AB3324" s="8"/>
      <c r="AC3324" s="27">
        <v>9785160222080</v>
      </c>
    </row>
    <row r="3325" spans="1:29" s="4" customFormat="1" ht="51.9" customHeight="1" x14ac:dyDescent="0.2">
      <c r="A3325" s="5">
        <v>0</v>
      </c>
      <c r="B3325" s="6" t="s">
        <v>19452</v>
      </c>
      <c r="C3325" s="7">
        <v>1236</v>
      </c>
      <c r="D3325" s="8" t="s">
        <v>19453</v>
      </c>
      <c r="E3325" s="8" t="s">
        <v>19454</v>
      </c>
      <c r="F3325" s="8" t="s">
        <v>12153</v>
      </c>
      <c r="G3325" s="6" t="s">
        <v>118</v>
      </c>
      <c r="H3325" s="6" t="s">
        <v>34</v>
      </c>
      <c r="I3325" s="8" t="s">
        <v>263</v>
      </c>
      <c r="J3325" s="9">
        <v>1</v>
      </c>
      <c r="K3325" s="9">
        <v>320</v>
      </c>
      <c r="L3325" s="9">
        <v>2019</v>
      </c>
      <c r="M3325" s="8" t="s">
        <v>19455</v>
      </c>
      <c r="N3325" s="8" t="s">
        <v>243</v>
      </c>
      <c r="O3325" s="8" t="s">
        <v>329</v>
      </c>
      <c r="P3325" s="6" t="s">
        <v>306</v>
      </c>
      <c r="Q3325" s="8" t="s">
        <v>265</v>
      </c>
      <c r="R3325" s="10" t="s">
        <v>19456</v>
      </c>
      <c r="S3325" s="11" t="s">
        <v>19457</v>
      </c>
      <c r="T3325" s="6"/>
      <c r="U3325" s="15" t="str">
        <f>HYPERLINK("https://media.infra-m.ru/1030/1030374/cover/1030374.jpg", "Обложка")</f>
        <v>Обложка</v>
      </c>
      <c r="V3325" s="8" t="s">
        <v>1206</v>
      </c>
      <c r="W3325" s="6"/>
      <c r="X3325" s="6" t="s">
        <v>24</v>
      </c>
      <c r="Y3325" s="6"/>
      <c r="Z3325" s="6" t="s">
        <v>267</v>
      </c>
      <c r="AA3325" s="6" t="s">
        <v>115</v>
      </c>
      <c r="AB3325" s="8" t="s">
        <v>9043</v>
      </c>
      <c r="AC3325" s="27">
        <v>9785160153919</v>
      </c>
    </row>
    <row r="3326" spans="1:29" s="4" customFormat="1" ht="51.9" customHeight="1" x14ac:dyDescent="0.2">
      <c r="A3326" s="5">
        <v>0</v>
      </c>
      <c r="B3326" s="6" t="s">
        <v>19458</v>
      </c>
      <c r="C3326" s="7">
        <v>2568</v>
      </c>
      <c r="D3326" s="8" t="s">
        <v>19459</v>
      </c>
      <c r="E3326" s="8" t="s">
        <v>19460</v>
      </c>
      <c r="F3326" s="8" t="s">
        <v>19461</v>
      </c>
      <c r="G3326" s="6" t="s">
        <v>118</v>
      </c>
      <c r="H3326" s="6" t="s">
        <v>34</v>
      </c>
      <c r="I3326" s="8" t="s">
        <v>263</v>
      </c>
      <c r="J3326" s="9">
        <v>1</v>
      </c>
      <c r="K3326" s="9">
        <v>388</v>
      </c>
      <c r="L3326" s="9">
        <v>2026</v>
      </c>
      <c r="M3326" s="8" t="s">
        <v>19462</v>
      </c>
      <c r="N3326" s="8" t="s">
        <v>243</v>
      </c>
      <c r="O3326" s="8" t="s">
        <v>329</v>
      </c>
      <c r="P3326" s="6" t="s">
        <v>51</v>
      </c>
      <c r="Q3326" s="8" t="s">
        <v>265</v>
      </c>
      <c r="R3326" s="10" t="s">
        <v>19463</v>
      </c>
      <c r="S3326" s="11" t="s">
        <v>19464</v>
      </c>
      <c r="T3326" s="6" t="s">
        <v>97</v>
      </c>
      <c r="U3326" s="15" t="str">
        <f>HYPERLINK("https://media.infra-m.ru/2231/2231669/cover/2231669.jpg", "Обложка")</f>
        <v>Обложка</v>
      </c>
      <c r="V3326" s="8" t="s">
        <v>227</v>
      </c>
      <c r="W3326" s="6"/>
      <c r="X3326" s="6"/>
      <c r="Y3326" s="6"/>
      <c r="Z3326" s="6" t="s">
        <v>267</v>
      </c>
      <c r="AA3326" s="6" t="s">
        <v>148</v>
      </c>
      <c r="AB3326" s="8"/>
      <c r="AC3326" s="27">
        <v>9785160175706</v>
      </c>
    </row>
    <row r="3327" spans="1:29" s="4" customFormat="1" ht="51.9" customHeight="1" x14ac:dyDescent="0.2">
      <c r="A3327" s="5">
        <v>0</v>
      </c>
      <c r="B3327" s="6" t="s">
        <v>19465</v>
      </c>
      <c r="C3327" s="7">
        <v>2568</v>
      </c>
      <c r="D3327" s="8" t="s">
        <v>19466</v>
      </c>
      <c r="E3327" s="8" t="s">
        <v>19460</v>
      </c>
      <c r="F3327" s="8" t="s">
        <v>19461</v>
      </c>
      <c r="G3327" s="6" t="s">
        <v>118</v>
      </c>
      <c r="H3327" s="6" t="s">
        <v>34</v>
      </c>
      <c r="I3327" s="8" t="s">
        <v>253</v>
      </c>
      <c r="J3327" s="9">
        <v>1</v>
      </c>
      <c r="K3327" s="9">
        <v>388</v>
      </c>
      <c r="L3327" s="9">
        <v>2026</v>
      </c>
      <c r="M3327" s="8" t="s">
        <v>19467</v>
      </c>
      <c r="N3327" s="8" t="s">
        <v>243</v>
      </c>
      <c r="O3327" s="8" t="s">
        <v>329</v>
      </c>
      <c r="P3327" s="6" t="s">
        <v>51</v>
      </c>
      <c r="Q3327" s="8" t="s">
        <v>52</v>
      </c>
      <c r="R3327" s="10" t="s">
        <v>3510</v>
      </c>
      <c r="S3327" s="11" t="s">
        <v>19468</v>
      </c>
      <c r="T3327" s="6" t="s">
        <v>97</v>
      </c>
      <c r="U3327" s="15" t="str">
        <f>HYPERLINK("https://media.infra-m.ru/2231/2231671/cover/2231671.jpg", "Обложка")</f>
        <v>Обложка</v>
      </c>
      <c r="V3327" s="8" t="s">
        <v>227</v>
      </c>
      <c r="W3327" s="6"/>
      <c r="X3327" s="6"/>
      <c r="Y3327" s="6"/>
      <c r="Z3327" s="6"/>
      <c r="AA3327" s="6" t="s">
        <v>148</v>
      </c>
      <c r="AB3327" s="8"/>
      <c r="AC3327" s="27">
        <v>9785160210032</v>
      </c>
    </row>
    <row r="3328" spans="1:29" s="4" customFormat="1" ht="51.9" customHeight="1" x14ac:dyDescent="0.2">
      <c r="A3328" s="5">
        <v>0</v>
      </c>
      <c r="B3328" s="6" t="s">
        <v>19469</v>
      </c>
      <c r="C3328" s="7">
        <v>2856</v>
      </c>
      <c r="D3328" s="8" t="s">
        <v>19470</v>
      </c>
      <c r="E3328" s="8" t="s">
        <v>19471</v>
      </c>
      <c r="F3328" s="8" t="s">
        <v>19461</v>
      </c>
      <c r="G3328" s="6" t="s">
        <v>60</v>
      </c>
      <c r="H3328" s="6" t="s">
        <v>34</v>
      </c>
      <c r="I3328" s="8" t="s">
        <v>253</v>
      </c>
      <c r="J3328" s="9">
        <v>1</v>
      </c>
      <c r="K3328" s="9">
        <v>432</v>
      </c>
      <c r="L3328" s="9">
        <v>2026</v>
      </c>
      <c r="M3328" s="8" t="s">
        <v>19472</v>
      </c>
      <c r="N3328" s="8" t="s">
        <v>243</v>
      </c>
      <c r="O3328" s="8" t="s">
        <v>329</v>
      </c>
      <c r="P3328" s="6" t="s">
        <v>51</v>
      </c>
      <c r="Q3328" s="8" t="s">
        <v>52</v>
      </c>
      <c r="R3328" s="10" t="s">
        <v>19473</v>
      </c>
      <c r="S3328" s="11" t="s">
        <v>19474</v>
      </c>
      <c r="T3328" s="6" t="s">
        <v>97</v>
      </c>
      <c r="U3328" s="15" t="str">
        <f>HYPERLINK("https://media.infra-m.ru/2231/2231668/cover/2231668.jpg", "Обложка")</f>
        <v>Обложка</v>
      </c>
      <c r="V3328" s="8" t="s">
        <v>227</v>
      </c>
      <c r="W3328" s="6"/>
      <c r="X3328" s="6"/>
      <c r="Y3328" s="6"/>
      <c r="Z3328" s="6"/>
      <c r="AA3328" s="6" t="s">
        <v>148</v>
      </c>
      <c r="AB3328" s="8"/>
      <c r="AC3328" s="27">
        <v>9785160210360</v>
      </c>
    </row>
    <row r="3329" spans="1:29" s="4" customFormat="1" ht="51.9" customHeight="1" x14ac:dyDescent="0.2">
      <c r="A3329" s="5">
        <v>0</v>
      </c>
      <c r="B3329" s="6" t="s">
        <v>19475</v>
      </c>
      <c r="C3329" s="7">
        <v>3000</v>
      </c>
      <c r="D3329" s="8" t="s">
        <v>19476</v>
      </c>
      <c r="E3329" s="8" t="s">
        <v>19471</v>
      </c>
      <c r="F3329" s="8" t="s">
        <v>19461</v>
      </c>
      <c r="G3329" s="6" t="s">
        <v>60</v>
      </c>
      <c r="H3329" s="6" t="s">
        <v>34</v>
      </c>
      <c r="I3329" s="8" t="s">
        <v>263</v>
      </c>
      <c r="J3329" s="9">
        <v>1</v>
      </c>
      <c r="K3329" s="9">
        <v>432</v>
      </c>
      <c r="L3329" s="9">
        <v>2027</v>
      </c>
      <c r="M3329" s="8" t="s">
        <v>19477</v>
      </c>
      <c r="N3329" s="8" t="s">
        <v>243</v>
      </c>
      <c r="O3329" s="8" t="s">
        <v>329</v>
      </c>
      <c r="P3329" s="6" t="s">
        <v>51</v>
      </c>
      <c r="Q3329" s="8" t="s">
        <v>265</v>
      </c>
      <c r="R3329" s="10" t="s">
        <v>19463</v>
      </c>
      <c r="S3329" s="11" t="s">
        <v>19478</v>
      </c>
      <c r="T3329" s="6" t="s">
        <v>97</v>
      </c>
      <c r="U3329" s="15" t="str">
        <f>HYPERLINK("https://media.infra-m.ru/2269/2269367/cover/2269367.jpg", "Обложка")</f>
        <v>Обложка</v>
      </c>
      <c r="V3329" s="8" t="s">
        <v>227</v>
      </c>
      <c r="W3329" s="6"/>
      <c r="X3329" s="6"/>
      <c r="Y3329" s="6"/>
      <c r="Z3329" s="6" t="s">
        <v>267</v>
      </c>
      <c r="AA3329" s="6" t="s">
        <v>148</v>
      </c>
      <c r="AB3329" s="8"/>
      <c r="AC3329" s="27">
        <v>9785160175713</v>
      </c>
    </row>
    <row r="3330" spans="1:29" s="4" customFormat="1" ht="51.9" customHeight="1" x14ac:dyDescent="0.2">
      <c r="A3330" s="5">
        <v>0</v>
      </c>
      <c r="B3330" s="6" t="s">
        <v>19479</v>
      </c>
      <c r="C3330" s="7">
        <v>2196</v>
      </c>
      <c r="D3330" s="8" t="s">
        <v>19480</v>
      </c>
      <c r="E3330" s="8" t="s">
        <v>19481</v>
      </c>
      <c r="F3330" s="8" t="s">
        <v>19482</v>
      </c>
      <c r="G3330" s="6" t="s">
        <v>33</v>
      </c>
      <c r="H3330" s="6" t="s">
        <v>34</v>
      </c>
      <c r="I3330" s="8" t="s">
        <v>263</v>
      </c>
      <c r="J3330" s="9">
        <v>1</v>
      </c>
      <c r="K3330" s="9">
        <v>316</v>
      </c>
      <c r="L3330" s="9">
        <v>2027</v>
      </c>
      <c r="M3330" s="8" t="s">
        <v>19483</v>
      </c>
      <c r="N3330" s="8" t="s">
        <v>243</v>
      </c>
      <c r="O3330" s="8" t="s">
        <v>758</v>
      </c>
      <c r="P3330" s="6" t="s">
        <v>51</v>
      </c>
      <c r="Q3330" s="8" t="s">
        <v>265</v>
      </c>
      <c r="R3330" s="10" t="s">
        <v>19484</v>
      </c>
      <c r="S3330" s="11" t="s">
        <v>19485</v>
      </c>
      <c r="T3330" s="6"/>
      <c r="U3330" s="15" t="str">
        <f>HYPERLINK("https://media.infra-m.ru/2266/2266099/cover/2266099.jpg", "Обложка")</f>
        <v>Обложка</v>
      </c>
      <c r="V3330" s="8"/>
      <c r="W3330" s="6"/>
      <c r="X3330" s="6"/>
      <c r="Y3330" s="6"/>
      <c r="Z3330" s="6"/>
      <c r="AA3330" s="6" t="s">
        <v>148</v>
      </c>
      <c r="AB3330" s="8"/>
      <c r="AC3330" s="27">
        <v>9785160144115</v>
      </c>
    </row>
    <row r="3331" spans="1:29" s="4" customFormat="1" ht="51.9" customHeight="1" x14ac:dyDescent="0.2">
      <c r="A3331" s="5">
        <v>0</v>
      </c>
      <c r="B3331" s="6" t="s">
        <v>19486</v>
      </c>
      <c r="C3331" s="7">
        <v>2008.8</v>
      </c>
      <c r="D3331" s="8" t="s">
        <v>19487</v>
      </c>
      <c r="E3331" s="8" t="s">
        <v>19488</v>
      </c>
      <c r="F3331" s="8" t="s">
        <v>19489</v>
      </c>
      <c r="G3331" s="6" t="s">
        <v>118</v>
      </c>
      <c r="H3331" s="6" t="s">
        <v>19490</v>
      </c>
      <c r="I3331" s="8" t="s">
        <v>19491</v>
      </c>
      <c r="J3331" s="9">
        <v>1</v>
      </c>
      <c r="K3331" s="9">
        <v>304</v>
      </c>
      <c r="L3331" s="9">
        <v>2026</v>
      </c>
      <c r="M3331" s="8" t="s">
        <v>19492</v>
      </c>
      <c r="N3331" s="8" t="s">
        <v>243</v>
      </c>
      <c r="O3331" s="8" t="s">
        <v>329</v>
      </c>
      <c r="P3331" s="6" t="s">
        <v>306</v>
      </c>
      <c r="Q3331" s="8" t="s">
        <v>52</v>
      </c>
      <c r="R3331" s="10" t="s">
        <v>7200</v>
      </c>
      <c r="S3331" s="11" t="s">
        <v>19493</v>
      </c>
      <c r="T3331" s="6"/>
      <c r="U3331" s="15" t="str">
        <f>HYPERLINK("https://media.infra-m.ru/2240/2240190/cover/2240190.jpg", "Обложка")</f>
        <v>Обложка</v>
      </c>
      <c r="V3331" s="8" t="s">
        <v>359</v>
      </c>
      <c r="W3331" s="6"/>
      <c r="X3331" s="6"/>
      <c r="Y3331" s="6"/>
      <c r="Z3331" s="6"/>
      <c r="AA3331" s="6" t="s">
        <v>248</v>
      </c>
      <c r="AB3331" s="8"/>
      <c r="AC3331" s="27">
        <v>9785000240137</v>
      </c>
    </row>
    <row r="3332" spans="1:29" s="4" customFormat="1" ht="44.1" customHeight="1" x14ac:dyDescent="0.2">
      <c r="A3332" s="5">
        <v>0</v>
      </c>
      <c r="B3332" s="6" t="s">
        <v>19494</v>
      </c>
      <c r="C3332" s="7">
        <v>2212.8000000000002</v>
      </c>
      <c r="D3332" s="8" t="s">
        <v>19495</v>
      </c>
      <c r="E3332" s="8" t="s">
        <v>19488</v>
      </c>
      <c r="F3332" s="8" t="s">
        <v>19496</v>
      </c>
      <c r="G3332" s="6" t="s">
        <v>118</v>
      </c>
      <c r="H3332" s="6" t="s">
        <v>820</v>
      </c>
      <c r="I3332" s="8" t="s">
        <v>263</v>
      </c>
      <c r="J3332" s="9">
        <v>1</v>
      </c>
      <c r="K3332" s="9">
        <v>336</v>
      </c>
      <c r="L3332" s="9">
        <v>2026</v>
      </c>
      <c r="M3332" s="8" t="s">
        <v>19497</v>
      </c>
      <c r="N3332" s="8" t="s">
        <v>243</v>
      </c>
      <c r="O3332" s="8" t="s">
        <v>329</v>
      </c>
      <c r="P3332" s="6" t="s">
        <v>306</v>
      </c>
      <c r="Q3332" s="8" t="s">
        <v>265</v>
      </c>
      <c r="R3332" s="10" t="s">
        <v>19498</v>
      </c>
      <c r="S3332" s="11"/>
      <c r="T3332" s="6"/>
      <c r="U3332" s="15" t="str">
        <f>HYPERLINK("https://media.infra-m.ru/2222/2222976/cover/2222976.jpg", "Обложка")</f>
        <v>Обложка</v>
      </c>
      <c r="V3332" s="8" t="s">
        <v>831</v>
      </c>
      <c r="W3332" s="6"/>
      <c r="X3332" s="6"/>
      <c r="Y3332" s="6"/>
      <c r="Z3332" s="6"/>
      <c r="AA3332" s="6" t="s">
        <v>99</v>
      </c>
      <c r="AB3332" s="8"/>
      <c r="AC3332" s="27">
        <v>9785906923189</v>
      </c>
    </row>
    <row r="3333" spans="1:29" s="4" customFormat="1" ht="51.9" customHeight="1" x14ac:dyDescent="0.2">
      <c r="A3333" s="5">
        <v>0</v>
      </c>
      <c r="B3333" s="6" t="s">
        <v>19499</v>
      </c>
      <c r="C3333" s="7">
        <v>1217.9000000000001</v>
      </c>
      <c r="D3333" s="8" t="s">
        <v>19500</v>
      </c>
      <c r="E3333" s="8" t="s">
        <v>19488</v>
      </c>
      <c r="F3333" s="8" t="s">
        <v>19501</v>
      </c>
      <c r="G3333" s="6" t="s">
        <v>60</v>
      </c>
      <c r="H3333" s="6" t="s">
        <v>820</v>
      </c>
      <c r="I3333" s="8" t="s">
        <v>1904</v>
      </c>
      <c r="J3333" s="9">
        <v>1</v>
      </c>
      <c r="K3333" s="9">
        <v>284</v>
      </c>
      <c r="L3333" s="9">
        <v>2019</v>
      </c>
      <c r="M3333" s="8" t="s">
        <v>19502</v>
      </c>
      <c r="N3333" s="8" t="s">
        <v>243</v>
      </c>
      <c r="O3333" s="8" t="s">
        <v>329</v>
      </c>
      <c r="P3333" s="6" t="s">
        <v>306</v>
      </c>
      <c r="Q3333" s="8" t="s">
        <v>52</v>
      </c>
      <c r="R3333" s="10" t="s">
        <v>19503</v>
      </c>
      <c r="S3333" s="11" t="s">
        <v>19504</v>
      </c>
      <c r="T3333" s="6"/>
      <c r="U3333" s="15" t="str">
        <f>HYPERLINK("https://media.infra-m.ru/1026/1026297/cover/1026297.jpg", "Обложка")</f>
        <v>Обложка</v>
      </c>
      <c r="V3333" s="8" t="s">
        <v>831</v>
      </c>
      <c r="W3333" s="6"/>
      <c r="X3333" s="6"/>
      <c r="Y3333" s="6"/>
      <c r="Z3333" s="6"/>
      <c r="AA3333" s="6" t="s">
        <v>779</v>
      </c>
      <c r="AB3333" s="8"/>
      <c r="AC3333" s="27">
        <v>9785906818560</v>
      </c>
    </row>
    <row r="3334" spans="1:29" s="4" customFormat="1" ht="51.9" customHeight="1" x14ac:dyDescent="0.2">
      <c r="A3334" s="5">
        <v>0</v>
      </c>
      <c r="B3334" s="6" t="s">
        <v>19505</v>
      </c>
      <c r="C3334" s="7">
        <v>1764</v>
      </c>
      <c r="D3334" s="8" t="s">
        <v>19506</v>
      </c>
      <c r="E3334" s="8" t="s">
        <v>19488</v>
      </c>
      <c r="F3334" s="8" t="s">
        <v>19507</v>
      </c>
      <c r="G3334" s="6" t="s">
        <v>118</v>
      </c>
      <c r="H3334" s="6" t="s">
        <v>19490</v>
      </c>
      <c r="I3334" s="8" t="s">
        <v>19491</v>
      </c>
      <c r="J3334" s="9">
        <v>1</v>
      </c>
      <c r="K3334" s="9">
        <v>272</v>
      </c>
      <c r="L3334" s="9">
        <v>2026</v>
      </c>
      <c r="M3334" s="8" t="s">
        <v>19508</v>
      </c>
      <c r="N3334" s="8" t="s">
        <v>243</v>
      </c>
      <c r="O3334" s="8" t="s">
        <v>329</v>
      </c>
      <c r="P3334" s="6" t="s">
        <v>306</v>
      </c>
      <c r="Q3334" s="8" t="s">
        <v>65</v>
      </c>
      <c r="R3334" s="10" t="s">
        <v>19509</v>
      </c>
      <c r="S3334" s="11" t="s">
        <v>19510</v>
      </c>
      <c r="T3334" s="6"/>
      <c r="U3334" s="15" t="str">
        <f>HYPERLINK("https://media.infra-m.ru/2219/2219567/cover/2219567.jpg", "Обложка")</f>
        <v>Обложка</v>
      </c>
      <c r="V3334" s="8" t="s">
        <v>911</v>
      </c>
      <c r="W3334" s="6"/>
      <c r="X3334" s="6"/>
      <c r="Y3334" s="6"/>
      <c r="Z3334" s="6"/>
      <c r="AA3334" s="6" t="s">
        <v>248</v>
      </c>
      <c r="AB3334" s="8"/>
      <c r="AC3334" s="27">
        <v>9785000240175</v>
      </c>
    </row>
    <row r="3335" spans="1:29" s="4" customFormat="1" ht="51.9" customHeight="1" x14ac:dyDescent="0.2">
      <c r="A3335" s="5">
        <v>0</v>
      </c>
      <c r="B3335" s="6" t="s">
        <v>19511</v>
      </c>
      <c r="C3335" s="7">
        <v>1000.8</v>
      </c>
      <c r="D3335" s="8" t="s">
        <v>19512</v>
      </c>
      <c r="E3335" s="8" t="s">
        <v>19488</v>
      </c>
      <c r="F3335" s="8" t="s">
        <v>19513</v>
      </c>
      <c r="G3335" s="6" t="s">
        <v>118</v>
      </c>
      <c r="H3335" s="6" t="s">
        <v>34</v>
      </c>
      <c r="I3335" s="8" t="s">
        <v>263</v>
      </c>
      <c r="J3335" s="9">
        <v>1</v>
      </c>
      <c r="K3335" s="9">
        <v>151</v>
      </c>
      <c r="L3335" s="9">
        <v>2026</v>
      </c>
      <c r="M3335" s="8" t="s">
        <v>19514</v>
      </c>
      <c r="N3335" s="8" t="s">
        <v>243</v>
      </c>
      <c r="O3335" s="8" t="s">
        <v>329</v>
      </c>
      <c r="P3335" s="6" t="s">
        <v>306</v>
      </c>
      <c r="Q3335" s="8" t="s">
        <v>265</v>
      </c>
      <c r="R3335" s="10" t="s">
        <v>19515</v>
      </c>
      <c r="S3335" s="11" t="s">
        <v>943</v>
      </c>
      <c r="T3335" s="6"/>
      <c r="U3335" s="15" t="str">
        <f>HYPERLINK("https://media.infra-m.ru/2226/2226474/cover/2226474.jpg", "Обложка")</f>
        <v>Обложка</v>
      </c>
      <c r="V3335" s="8" t="s">
        <v>2095</v>
      </c>
      <c r="W3335" s="6"/>
      <c r="X3335" s="6" t="s">
        <v>24</v>
      </c>
      <c r="Y3335" s="6"/>
      <c r="Z3335" s="6"/>
      <c r="AA3335" s="6" t="s">
        <v>4554</v>
      </c>
      <c r="AB3335" s="8"/>
      <c r="AC3335" s="27">
        <v>9785160160948</v>
      </c>
    </row>
    <row r="3336" spans="1:29" s="4" customFormat="1" ht="51.9" customHeight="1" x14ac:dyDescent="0.2">
      <c r="A3336" s="5">
        <v>0</v>
      </c>
      <c r="B3336" s="6" t="s">
        <v>19516</v>
      </c>
      <c r="C3336" s="13">
        <v>645.6</v>
      </c>
      <c r="D3336" s="8" t="s">
        <v>19517</v>
      </c>
      <c r="E3336" s="8" t="s">
        <v>19488</v>
      </c>
      <c r="F3336" s="8" t="s">
        <v>19518</v>
      </c>
      <c r="G3336" s="6" t="s">
        <v>33</v>
      </c>
      <c r="H3336" s="6" t="s">
        <v>313</v>
      </c>
      <c r="I3336" s="8" t="s">
        <v>19519</v>
      </c>
      <c r="J3336" s="9">
        <v>1</v>
      </c>
      <c r="K3336" s="9">
        <v>158</v>
      </c>
      <c r="L3336" s="9">
        <v>2025</v>
      </c>
      <c r="M3336" s="8" t="s">
        <v>19520</v>
      </c>
      <c r="N3336" s="8" t="s">
        <v>243</v>
      </c>
      <c r="O3336" s="8" t="s">
        <v>329</v>
      </c>
      <c r="P3336" s="6" t="s">
        <v>51</v>
      </c>
      <c r="Q3336" s="8" t="s">
        <v>265</v>
      </c>
      <c r="R3336" s="10" t="s">
        <v>19521</v>
      </c>
      <c r="S3336" s="11" t="s">
        <v>7345</v>
      </c>
      <c r="T3336" s="6"/>
      <c r="U3336" s="15" t="str">
        <f>HYPERLINK("https://media.infra-m.ru/2192/2192368/cover/2192368.jpg", "Обложка")</f>
        <v>Обложка</v>
      </c>
      <c r="V3336" s="8"/>
      <c r="W3336" s="6"/>
      <c r="X3336" s="6"/>
      <c r="Y3336" s="6"/>
      <c r="Z3336" s="6"/>
      <c r="AA3336" s="6" t="s">
        <v>1506</v>
      </c>
      <c r="AB3336" s="8"/>
      <c r="AC3336" s="27">
        <v>9785369001370</v>
      </c>
    </row>
    <row r="3337" spans="1:29" s="4" customFormat="1" ht="51.9" customHeight="1" x14ac:dyDescent="0.2">
      <c r="A3337" s="5">
        <v>0</v>
      </c>
      <c r="B3337" s="6" t="s">
        <v>19522</v>
      </c>
      <c r="C3337" s="7">
        <v>3136.8</v>
      </c>
      <c r="D3337" s="8" t="s">
        <v>19523</v>
      </c>
      <c r="E3337" s="8" t="s">
        <v>19488</v>
      </c>
      <c r="F3337" s="8" t="s">
        <v>19524</v>
      </c>
      <c r="G3337" s="6" t="s">
        <v>118</v>
      </c>
      <c r="H3337" s="6" t="s">
        <v>34</v>
      </c>
      <c r="I3337" s="8" t="s">
        <v>253</v>
      </c>
      <c r="J3337" s="9">
        <v>1</v>
      </c>
      <c r="K3337" s="9">
        <v>475</v>
      </c>
      <c r="L3337" s="9">
        <v>2026</v>
      </c>
      <c r="M3337" s="8" t="s">
        <v>19525</v>
      </c>
      <c r="N3337" s="8" t="s">
        <v>243</v>
      </c>
      <c r="O3337" s="8" t="s">
        <v>758</v>
      </c>
      <c r="P3337" s="6" t="s">
        <v>51</v>
      </c>
      <c r="Q3337" s="8" t="s">
        <v>52</v>
      </c>
      <c r="R3337" s="10" t="s">
        <v>19526</v>
      </c>
      <c r="S3337" s="11" t="s">
        <v>19527</v>
      </c>
      <c r="T3337" s="6"/>
      <c r="U3337" s="15" t="str">
        <f>HYPERLINK("https://media.infra-m.ru/2227/2227859/cover/2227859.jpg", "Обложка")</f>
        <v>Обложка</v>
      </c>
      <c r="V3337" s="8" t="s">
        <v>761</v>
      </c>
      <c r="W3337" s="6"/>
      <c r="X3337" s="6"/>
      <c r="Y3337" s="6"/>
      <c r="Z3337" s="6"/>
      <c r="AA3337" s="6" t="s">
        <v>43</v>
      </c>
      <c r="AB3337" s="8"/>
      <c r="AC3337" s="27">
        <v>9785160048680</v>
      </c>
    </row>
    <row r="3338" spans="1:29" s="4" customFormat="1" ht="51.9" customHeight="1" x14ac:dyDescent="0.2">
      <c r="A3338" s="5">
        <v>0</v>
      </c>
      <c r="B3338" s="6" t="s">
        <v>19528</v>
      </c>
      <c r="C3338" s="7">
        <v>2080.8000000000002</v>
      </c>
      <c r="D3338" s="8" t="s">
        <v>19529</v>
      </c>
      <c r="E3338" s="8" t="s">
        <v>19488</v>
      </c>
      <c r="F3338" s="8" t="s">
        <v>1051</v>
      </c>
      <c r="G3338" s="6" t="s">
        <v>60</v>
      </c>
      <c r="H3338" s="6" t="s">
        <v>1042</v>
      </c>
      <c r="I3338" s="8" t="s">
        <v>401</v>
      </c>
      <c r="J3338" s="9">
        <v>1</v>
      </c>
      <c r="K3338" s="9">
        <v>368</v>
      </c>
      <c r="L3338" s="9">
        <v>2024</v>
      </c>
      <c r="M3338" s="8" t="s">
        <v>19530</v>
      </c>
      <c r="N3338" s="8" t="s">
        <v>243</v>
      </c>
      <c r="O3338" s="8" t="s">
        <v>329</v>
      </c>
      <c r="P3338" s="6" t="s">
        <v>51</v>
      </c>
      <c r="Q3338" s="8" t="s">
        <v>265</v>
      </c>
      <c r="R3338" s="10" t="s">
        <v>19531</v>
      </c>
      <c r="S3338" s="11" t="s">
        <v>19532</v>
      </c>
      <c r="T3338" s="6"/>
      <c r="U3338" s="15" t="str">
        <f>HYPERLINK("https://media.infra-m.ru/2149/2149193/cover/2149193.jpg", "Обложка")</f>
        <v>Обложка</v>
      </c>
      <c r="V3338" s="8" t="s">
        <v>1055</v>
      </c>
      <c r="W3338" s="6"/>
      <c r="X3338" s="6" t="s">
        <v>24</v>
      </c>
      <c r="Y3338" s="6"/>
      <c r="Z3338" s="6"/>
      <c r="AA3338" s="6" t="s">
        <v>1047</v>
      </c>
      <c r="AB3338" s="8"/>
      <c r="AC3338" s="27">
        <v>9785819903520</v>
      </c>
    </row>
    <row r="3339" spans="1:29" s="4" customFormat="1" ht="51.9" customHeight="1" x14ac:dyDescent="0.2">
      <c r="A3339" s="5">
        <v>0</v>
      </c>
      <c r="B3339" s="6" t="s">
        <v>19533</v>
      </c>
      <c r="C3339" s="7">
        <v>1029.5999999999999</v>
      </c>
      <c r="D3339" s="8" t="s">
        <v>19534</v>
      </c>
      <c r="E3339" s="8" t="s">
        <v>19535</v>
      </c>
      <c r="F3339" s="8" t="s">
        <v>19536</v>
      </c>
      <c r="G3339" s="6" t="s">
        <v>33</v>
      </c>
      <c r="H3339" s="6" t="s">
        <v>313</v>
      </c>
      <c r="I3339" s="8" t="s">
        <v>4551</v>
      </c>
      <c r="J3339" s="9">
        <v>1</v>
      </c>
      <c r="K3339" s="9">
        <v>228</v>
      </c>
      <c r="L3339" s="9">
        <v>2027</v>
      </c>
      <c r="M3339" s="8" t="s">
        <v>19537</v>
      </c>
      <c r="N3339" s="8" t="s">
        <v>243</v>
      </c>
      <c r="O3339" s="8" t="s">
        <v>329</v>
      </c>
      <c r="P3339" s="6" t="s">
        <v>51</v>
      </c>
      <c r="Q3339" s="8" t="s">
        <v>52</v>
      </c>
      <c r="R3339" s="10" t="s">
        <v>19538</v>
      </c>
      <c r="S3339" s="11"/>
      <c r="T3339" s="6"/>
      <c r="U3339" s="15" t="str">
        <f>HYPERLINK("https://media.infra-m.ru/2266/2266154/cover/2266154.jpg", "Обложка")</f>
        <v>Обложка</v>
      </c>
      <c r="V3339" s="8"/>
      <c r="W3339" s="6"/>
      <c r="X3339" s="6" t="s">
        <v>24</v>
      </c>
      <c r="Y3339" s="6"/>
      <c r="Z3339" s="6"/>
      <c r="AA3339" s="6" t="s">
        <v>718</v>
      </c>
      <c r="AB3339" s="8"/>
      <c r="AC3339" s="27">
        <v>9785369012222</v>
      </c>
    </row>
    <row r="3340" spans="1:29" s="4" customFormat="1" ht="42" customHeight="1" x14ac:dyDescent="0.2">
      <c r="A3340" s="5">
        <v>0</v>
      </c>
      <c r="B3340" s="6" t="s">
        <v>19539</v>
      </c>
      <c r="C3340" s="13">
        <v>984</v>
      </c>
      <c r="D3340" s="8" t="s">
        <v>19540</v>
      </c>
      <c r="E3340" s="8" t="s">
        <v>19541</v>
      </c>
      <c r="F3340" s="8" t="s">
        <v>19542</v>
      </c>
      <c r="G3340" s="6" t="s">
        <v>60</v>
      </c>
      <c r="H3340" s="6" t="s">
        <v>34</v>
      </c>
      <c r="I3340" s="8" t="s">
        <v>1248</v>
      </c>
      <c r="J3340" s="9">
        <v>1</v>
      </c>
      <c r="K3340" s="9">
        <v>126</v>
      </c>
      <c r="L3340" s="9">
        <v>2026</v>
      </c>
      <c r="M3340" s="8" t="s">
        <v>19543</v>
      </c>
      <c r="N3340" s="8" t="s">
        <v>243</v>
      </c>
      <c r="O3340" s="8" t="s">
        <v>758</v>
      </c>
      <c r="P3340" s="6" t="s">
        <v>51</v>
      </c>
      <c r="Q3340" s="8" t="s">
        <v>65</v>
      </c>
      <c r="R3340" s="10" t="s">
        <v>19544</v>
      </c>
      <c r="S3340" s="11"/>
      <c r="T3340" s="6"/>
      <c r="U3340" s="15" t="str">
        <f>HYPERLINK("https://media.infra-m.ru/2223/2223582/cover/2223582.jpg", "Обложка")</f>
        <v>Обложка</v>
      </c>
      <c r="V3340" s="8" t="s">
        <v>1083</v>
      </c>
      <c r="W3340" s="6" t="s">
        <v>528</v>
      </c>
      <c r="X3340" s="6"/>
      <c r="Y3340" s="6"/>
      <c r="Z3340" s="6"/>
      <c r="AA3340" s="6" t="s">
        <v>187</v>
      </c>
      <c r="AB3340" s="8"/>
      <c r="AC3340" s="27">
        <v>9785160214009</v>
      </c>
    </row>
    <row r="3341" spans="1:29" s="4" customFormat="1" ht="51.9" customHeight="1" x14ac:dyDescent="0.2">
      <c r="A3341" s="5">
        <v>0</v>
      </c>
      <c r="B3341" s="6" t="s">
        <v>19545</v>
      </c>
      <c r="C3341" s="7">
        <v>1912.8</v>
      </c>
      <c r="D3341" s="8" t="s">
        <v>19546</v>
      </c>
      <c r="E3341" s="8" t="s">
        <v>19547</v>
      </c>
      <c r="F3341" s="8" t="s">
        <v>19548</v>
      </c>
      <c r="G3341" s="6" t="s">
        <v>60</v>
      </c>
      <c r="H3341" s="6" t="s">
        <v>34</v>
      </c>
      <c r="I3341" s="8" t="s">
        <v>263</v>
      </c>
      <c r="J3341" s="9">
        <v>1</v>
      </c>
      <c r="K3341" s="9">
        <v>307</v>
      </c>
      <c r="L3341" s="9">
        <v>2026</v>
      </c>
      <c r="M3341" s="8" t="s">
        <v>19549</v>
      </c>
      <c r="N3341" s="8" t="s">
        <v>243</v>
      </c>
      <c r="O3341" s="8" t="s">
        <v>758</v>
      </c>
      <c r="P3341" s="6" t="s">
        <v>51</v>
      </c>
      <c r="Q3341" s="8" t="s">
        <v>265</v>
      </c>
      <c r="R3341" s="10" t="s">
        <v>19550</v>
      </c>
      <c r="S3341" s="11" t="s">
        <v>19551</v>
      </c>
      <c r="T3341" s="6"/>
      <c r="U3341" s="15" t="str">
        <f>HYPERLINK("https://media.infra-m.ru/2216/2216923/cover/2216923.jpg", "Обложка")</f>
        <v>Обложка</v>
      </c>
      <c r="V3341" s="8" t="s">
        <v>13658</v>
      </c>
      <c r="W3341" s="6"/>
      <c r="X3341" s="6"/>
      <c r="Y3341" s="6"/>
      <c r="Z3341" s="6" t="s">
        <v>267</v>
      </c>
      <c r="AA3341" s="6" t="s">
        <v>218</v>
      </c>
      <c r="AB3341" s="8"/>
      <c r="AC3341" s="27">
        <v>9785160159447</v>
      </c>
    </row>
    <row r="3342" spans="1:29" s="4" customFormat="1" ht="51.9" customHeight="1" x14ac:dyDescent="0.2">
      <c r="A3342" s="5">
        <v>0</v>
      </c>
      <c r="B3342" s="6" t="s">
        <v>19552</v>
      </c>
      <c r="C3342" s="7">
        <v>2140.8000000000002</v>
      </c>
      <c r="D3342" s="8" t="s">
        <v>19553</v>
      </c>
      <c r="E3342" s="8" t="s">
        <v>19547</v>
      </c>
      <c r="F3342" s="8" t="s">
        <v>19548</v>
      </c>
      <c r="G3342" s="6" t="s">
        <v>118</v>
      </c>
      <c r="H3342" s="6" t="s">
        <v>34</v>
      </c>
      <c r="I3342" s="8" t="s">
        <v>271</v>
      </c>
      <c r="J3342" s="9">
        <v>1</v>
      </c>
      <c r="K3342" s="9">
        <v>307</v>
      </c>
      <c r="L3342" s="9">
        <v>2026</v>
      </c>
      <c r="M3342" s="8" t="s">
        <v>19554</v>
      </c>
      <c r="N3342" s="8" t="s">
        <v>243</v>
      </c>
      <c r="O3342" s="8" t="s">
        <v>758</v>
      </c>
      <c r="P3342" s="6" t="s">
        <v>51</v>
      </c>
      <c r="Q3342" s="8" t="s">
        <v>52</v>
      </c>
      <c r="R3342" s="10" t="s">
        <v>13656</v>
      </c>
      <c r="S3342" s="11" t="s">
        <v>19555</v>
      </c>
      <c r="T3342" s="6"/>
      <c r="U3342" s="15" t="str">
        <f>HYPERLINK("https://media.infra-m.ru/2231/2231664/cover/2231664.jpg", "Обложка")</f>
        <v>Обложка</v>
      </c>
      <c r="V3342" s="8" t="s">
        <v>13658</v>
      </c>
      <c r="W3342" s="6"/>
      <c r="X3342" s="6"/>
      <c r="Y3342" s="6"/>
      <c r="Z3342" s="6"/>
      <c r="AA3342" s="6" t="s">
        <v>218</v>
      </c>
      <c r="AB3342" s="8"/>
      <c r="AC3342" s="27">
        <v>9785160153551</v>
      </c>
    </row>
    <row r="3343" spans="1:29" s="4" customFormat="1" ht="51.9" customHeight="1" x14ac:dyDescent="0.2">
      <c r="A3343" s="5">
        <v>0</v>
      </c>
      <c r="B3343" s="6" t="s">
        <v>19556</v>
      </c>
      <c r="C3343" s="7">
        <v>1552.8</v>
      </c>
      <c r="D3343" s="8" t="s">
        <v>19557</v>
      </c>
      <c r="E3343" s="8" t="s">
        <v>19558</v>
      </c>
      <c r="F3343" s="8" t="s">
        <v>19559</v>
      </c>
      <c r="G3343" s="6" t="s">
        <v>118</v>
      </c>
      <c r="H3343" s="6" t="s">
        <v>1042</v>
      </c>
      <c r="I3343" s="8" t="s">
        <v>263</v>
      </c>
      <c r="J3343" s="9">
        <v>1</v>
      </c>
      <c r="K3343" s="9">
        <v>224</v>
      </c>
      <c r="L3343" s="9">
        <v>2026</v>
      </c>
      <c r="M3343" s="8" t="s">
        <v>19560</v>
      </c>
      <c r="N3343" s="8" t="s">
        <v>243</v>
      </c>
      <c r="O3343" s="8" t="s">
        <v>758</v>
      </c>
      <c r="P3343" s="6" t="s">
        <v>51</v>
      </c>
      <c r="Q3343" s="8" t="s">
        <v>265</v>
      </c>
      <c r="R3343" s="10" t="s">
        <v>19484</v>
      </c>
      <c r="S3343" s="11" t="s">
        <v>19561</v>
      </c>
      <c r="T3343" s="6"/>
      <c r="U3343" s="15" t="str">
        <f>HYPERLINK("https://media.infra-m.ru/2244/2244271/cover/2244271.jpg", "Обложка")</f>
        <v>Обложка</v>
      </c>
      <c r="V3343" s="8" t="s">
        <v>1157</v>
      </c>
      <c r="W3343" s="6"/>
      <c r="X3343" s="6"/>
      <c r="Y3343" s="6"/>
      <c r="Z3343" s="6" t="s">
        <v>882</v>
      </c>
      <c r="AA3343" s="6" t="s">
        <v>115</v>
      </c>
      <c r="AB3343" s="8"/>
      <c r="AC3343" s="27">
        <v>9785819907931</v>
      </c>
    </row>
    <row r="3344" spans="1:29" s="4" customFormat="1" ht="51.9" customHeight="1" x14ac:dyDescent="0.2">
      <c r="A3344" s="5">
        <v>0</v>
      </c>
      <c r="B3344" s="6" t="s">
        <v>19562</v>
      </c>
      <c r="C3344" s="7">
        <v>1404</v>
      </c>
      <c r="D3344" s="8" t="s">
        <v>19563</v>
      </c>
      <c r="E3344" s="8" t="s">
        <v>19558</v>
      </c>
      <c r="F3344" s="8" t="s">
        <v>19559</v>
      </c>
      <c r="G3344" s="6" t="s">
        <v>118</v>
      </c>
      <c r="H3344" s="6" t="s">
        <v>34</v>
      </c>
      <c r="I3344" s="8" t="s">
        <v>253</v>
      </c>
      <c r="J3344" s="9">
        <v>1</v>
      </c>
      <c r="K3344" s="9">
        <v>224</v>
      </c>
      <c r="L3344" s="9">
        <v>2026</v>
      </c>
      <c r="M3344" s="8" t="s">
        <v>19564</v>
      </c>
      <c r="N3344" s="8" t="s">
        <v>243</v>
      </c>
      <c r="O3344" s="8" t="s">
        <v>758</v>
      </c>
      <c r="P3344" s="6" t="s">
        <v>51</v>
      </c>
      <c r="Q3344" s="8" t="s">
        <v>65</v>
      </c>
      <c r="R3344" s="10" t="s">
        <v>19565</v>
      </c>
      <c r="S3344" s="11" t="s">
        <v>19566</v>
      </c>
      <c r="T3344" s="6"/>
      <c r="U3344" s="15" t="str">
        <f>HYPERLINK("https://media.infra-m.ru/2222/2222982/cover/2222982.jpg", "Обложка")</f>
        <v>Обложка</v>
      </c>
      <c r="V3344" s="8" t="s">
        <v>1157</v>
      </c>
      <c r="W3344" s="6"/>
      <c r="X3344" s="6"/>
      <c r="Y3344" s="6"/>
      <c r="Z3344" s="6"/>
      <c r="AA3344" s="6" t="s">
        <v>43</v>
      </c>
      <c r="AB3344" s="8"/>
      <c r="AC3344" s="27">
        <v>9785160213767</v>
      </c>
    </row>
    <row r="3345" spans="1:29" s="4" customFormat="1" ht="51.9" customHeight="1" x14ac:dyDescent="0.2">
      <c r="A3345" s="5">
        <v>0</v>
      </c>
      <c r="B3345" s="6" t="s">
        <v>19567</v>
      </c>
      <c r="C3345" s="7">
        <v>1180.8</v>
      </c>
      <c r="D3345" s="8" t="s">
        <v>19568</v>
      </c>
      <c r="E3345" s="8" t="s">
        <v>19569</v>
      </c>
      <c r="F3345" s="8" t="s">
        <v>19570</v>
      </c>
      <c r="G3345" s="6" t="s">
        <v>118</v>
      </c>
      <c r="H3345" s="6" t="s">
        <v>1042</v>
      </c>
      <c r="I3345" s="8" t="s">
        <v>263</v>
      </c>
      <c r="J3345" s="9">
        <v>1</v>
      </c>
      <c r="K3345" s="9">
        <v>144</v>
      </c>
      <c r="L3345" s="9">
        <v>2026</v>
      </c>
      <c r="M3345" s="8" t="s">
        <v>19571</v>
      </c>
      <c r="N3345" s="8" t="s">
        <v>243</v>
      </c>
      <c r="O3345" s="8" t="s">
        <v>758</v>
      </c>
      <c r="P3345" s="6" t="s">
        <v>51</v>
      </c>
      <c r="Q3345" s="8" t="s">
        <v>265</v>
      </c>
      <c r="R3345" s="10" t="s">
        <v>19572</v>
      </c>
      <c r="S3345" s="11" t="s">
        <v>19573</v>
      </c>
      <c r="T3345" s="6"/>
      <c r="U3345" s="15" t="str">
        <f>HYPERLINK("https://media.infra-m.ru/2258/2258749/cover/2258749.jpg", "Обложка")</f>
        <v>Обложка</v>
      </c>
      <c r="V3345" s="8" t="s">
        <v>1157</v>
      </c>
      <c r="W3345" s="6"/>
      <c r="X3345" s="6"/>
      <c r="Y3345" s="6"/>
      <c r="Z3345" s="6" t="s">
        <v>267</v>
      </c>
      <c r="AA3345" s="6" t="s">
        <v>115</v>
      </c>
      <c r="AB3345" s="8"/>
      <c r="AC3345" s="27">
        <v>9785819907948</v>
      </c>
    </row>
    <row r="3346" spans="1:29" s="4" customFormat="1" ht="51.9" customHeight="1" x14ac:dyDescent="0.2">
      <c r="A3346" s="5">
        <v>0</v>
      </c>
      <c r="B3346" s="6" t="s">
        <v>19574</v>
      </c>
      <c r="C3346" s="13">
        <v>960</v>
      </c>
      <c r="D3346" s="8" t="s">
        <v>19575</v>
      </c>
      <c r="E3346" s="8" t="s">
        <v>19569</v>
      </c>
      <c r="F3346" s="8" t="s">
        <v>19570</v>
      </c>
      <c r="G3346" s="6" t="s">
        <v>33</v>
      </c>
      <c r="H3346" s="6" t="s">
        <v>34</v>
      </c>
      <c r="I3346" s="8" t="s">
        <v>253</v>
      </c>
      <c r="J3346" s="9">
        <v>1</v>
      </c>
      <c r="K3346" s="9">
        <v>144</v>
      </c>
      <c r="L3346" s="9">
        <v>2026</v>
      </c>
      <c r="M3346" s="8" t="s">
        <v>19576</v>
      </c>
      <c r="N3346" s="8" t="s">
        <v>243</v>
      </c>
      <c r="O3346" s="8" t="s">
        <v>758</v>
      </c>
      <c r="P3346" s="6" t="s">
        <v>51</v>
      </c>
      <c r="Q3346" s="8" t="s">
        <v>52</v>
      </c>
      <c r="R3346" s="10" t="s">
        <v>19577</v>
      </c>
      <c r="S3346" s="11" t="s">
        <v>19578</v>
      </c>
      <c r="T3346" s="6"/>
      <c r="U3346" s="15" t="str">
        <f>HYPERLINK("https://media.infra-m.ru/2230/2230911/cover/2230911.jpg", "Обложка")</f>
        <v>Обложка</v>
      </c>
      <c r="V3346" s="8" t="s">
        <v>1157</v>
      </c>
      <c r="W3346" s="6"/>
      <c r="X3346" s="6"/>
      <c r="Y3346" s="6"/>
      <c r="Z3346" s="6"/>
      <c r="AA3346" s="6" t="s">
        <v>55</v>
      </c>
      <c r="AB3346" s="8"/>
      <c r="AC3346" s="27">
        <v>9785160215914</v>
      </c>
    </row>
    <row r="3347" spans="1:29" s="4" customFormat="1" ht="51.9" customHeight="1" x14ac:dyDescent="0.2">
      <c r="A3347" s="5">
        <v>0</v>
      </c>
      <c r="B3347" s="6" t="s">
        <v>19579</v>
      </c>
      <c r="C3347" s="7">
        <v>1188</v>
      </c>
      <c r="D3347" s="8" t="s">
        <v>19580</v>
      </c>
      <c r="E3347" s="8" t="s">
        <v>19581</v>
      </c>
      <c r="F3347" s="8" t="s">
        <v>11200</v>
      </c>
      <c r="G3347" s="6" t="s">
        <v>118</v>
      </c>
      <c r="H3347" s="6" t="s">
        <v>34</v>
      </c>
      <c r="I3347" s="8" t="s">
        <v>263</v>
      </c>
      <c r="J3347" s="9">
        <v>1</v>
      </c>
      <c r="K3347" s="9">
        <v>183</v>
      </c>
      <c r="L3347" s="9">
        <v>2026</v>
      </c>
      <c r="M3347" s="8" t="s">
        <v>19582</v>
      </c>
      <c r="N3347" s="8" t="s">
        <v>243</v>
      </c>
      <c r="O3347" s="8" t="s">
        <v>798</v>
      </c>
      <c r="P3347" s="6" t="s">
        <v>306</v>
      </c>
      <c r="Q3347" s="8" t="s">
        <v>265</v>
      </c>
      <c r="R3347" s="10" t="s">
        <v>19583</v>
      </c>
      <c r="S3347" s="11" t="s">
        <v>19584</v>
      </c>
      <c r="T3347" s="6"/>
      <c r="U3347" s="15" t="str">
        <f>HYPERLINK("https://media.infra-m.ru/2220/2220928/cover/2220928.jpg", "Обложка")</f>
        <v>Обложка</v>
      </c>
      <c r="V3347" s="8" t="s">
        <v>227</v>
      </c>
      <c r="W3347" s="6"/>
      <c r="X3347" s="6" t="s">
        <v>24</v>
      </c>
      <c r="Y3347" s="6"/>
      <c r="Z3347" s="6"/>
      <c r="AA3347" s="6" t="s">
        <v>4554</v>
      </c>
      <c r="AB3347" s="8"/>
      <c r="AC3347" s="27">
        <v>9785160044187</v>
      </c>
    </row>
    <row r="3348" spans="1:29" s="4" customFormat="1" ht="51.9" customHeight="1" x14ac:dyDescent="0.2">
      <c r="A3348" s="5">
        <v>0</v>
      </c>
      <c r="B3348" s="6" t="s">
        <v>19585</v>
      </c>
      <c r="C3348" s="7">
        <v>3880.8</v>
      </c>
      <c r="D3348" s="8" t="s">
        <v>19586</v>
      </c>
      <c r="E3348" s="8" t="s">
        <v>19587</v>
      </c>
      <c r="F3348" s="8" t="s">
        <v>19588</v>
      </c>
      <c r="G3348" s="6" t="s">
        <v>60</v>
      </c>
      <c r="H3348" s="6" t="s">
        <v>34</v>
      </c>
      <c r="I3348" s="8" t="s">
        <v>271</v>
      </c>
      <c r="J3348" s="9">
        <v>1</v>
      </c>
      <c r="K3348" s="9">
        <v>589</v>
      </c>
      <c r="L3348" s="9">
        <v>2026</v>
      </c>
      <c r="M3348" s="8" t="s">
        <v>19589</v>
      </c>
      <c r="N3348" s="8" t="s">
        <v>243</v>
      </c>
      <c r="O3348" s="8" t="s">
        <v>329</v>
      </c>
      <c r="P3348" s="6" t="s">
        <v>306</v>
      </c>
      <c r="Q3348" s="8" t="s">
        <v>52</v>
      </c>
      <c r="R3348" s="10" t="s">
        <v>19590</v>
      </c>
      <c r="S3348" s="11" t="s">
        <v>19591</v>
      </c>
      <c r="T3348" s="6"/>
      <c r="U3348" s="15" t="str">
        <f>HYPERLINK("https://media.infra-m.ru/2247/2247452/cover/2247452.jpg", "Обложка")</f>
        <v>Обложка</v>
      </c>
      <c r="V3348" s="8" t="s">
        <v>7509</v>
      </c>
      <c r="W3348" s="6"/>
      <c r="X3348" s="6" t="s">
        <v>24</v>
      </c>
      <c r="Y3348" s="6"/>
      <c r="Z3348" s="6"/>
      <c r="AA3348" s="6" t="s">
        <v>248</v>
      </c>
      <c r="AB3348" s="8"/>
      <c r="AC3348" s="27">
        <v>9785160095295</v>
      </c>
    </row>
    <row r="3349" spans="1:29" s="4" customFormat="1" ht="51.9" customHeight="1" x14ac:dyDescent="0.2">
      <c r="A3349" s="5">
        <v>0</v>
      </c>
      <c r="B3349" s="6" t="s">
        <v>19592</v>
      </c>
      <c r="C3349" s="7">
        <v>3520.8</v>
      </c>
      <c r="D3349" s="8" t="s">
        <v>19593</v>
      </c>
      <c r="E3349" s="8" t="s">
        <v>19594</v>
      </c>
      <c r="F3349" s="8" t="s">
        <v>19588</v>
      </c>
      <c r="G3349" s="6" t="s">
        <v>60</v>
      </c>
      <c r="H3349" s="6" t="s">
        <v>34</v>
      </c>
      <c r="I3349" s="8" t="s">
        <v>271</v>
      </c>
      <c r="J3349" s="9">
        <v>1</v>
      </c>
      <c r="K3349" s="9">
        <v>533</v>
      </c>
      <c r="L3349" s="9">
        <v>2026</v>
      </c>
      <c r="M3349" s="8" t="s">
        <v>19595</v>
      </c>
      <c r="N3349" s="8" t="s">
        <v>243</v>
      </c>
      <c r="O3349" s="8" t="s">
        <v>329</v>
      </c>
      <c r="P3349" s="6" t="s">
        <v>306</v>
      </c>
      <c r="Q3349" s="8" t="s">
        <v>52</v>
      </c>
      <c r="R3349" s="10" t="s">
        <v>19596</v>
      </c>
      <c r="S3349" s="11" t="s">
        <v>19597</v>
      </c>
      <c r="T3349" s="6"/>
      <c r="U3349" s="15" t="str">
        <f>HYPERLINK("https://media.infra-m.ru/2247/2247572/cover/2247572.jpg", "Обложка")</f>
        <v>Обложка</v>
      </c>
      <c r="V3349" s="8" t="s">
        <v>7509</v>
      </c>
      <c r="W3349" s="6"/>
      <c r="X3349" s="6" t="s">
        <v>24</v>
      </c>
      <c r="Y3349" s="6"/>
      <c r="Z3349" s="6"/>
      <c r="AA3349" s="6" t="s">
        <v>248</v>
      </c>
      <c r="AB3349" s="8"/>
      <c r="AC3349" s="27">
        <v>9785160095325</v>
      </c>
    </row>
    <row r="3350" spans="1:29" s="4" customFormat="1" ht="51.9" customHeight="1" x14ac:dyDescent="0.2">
      <c r="A3350" s="5">
        <v>0</v>
      </c>
      <c r="B3350" s="6" t="s">
        <v>19598</v>
      </c>
      <c r="C3350" s="7">
        <v>1000.8</v>
      </c>
      <c r="D3350" s="8" t="s">
        <v>19599</v>
      </c>
      <c r="E3350" s="8" t="s">
        <v>19600</v>
      </c>
      <c r="F3350" s="8" t="s">
        <v>19601</v>
      </c>
      <c r="G3350" s="6" t="s">
        <v>118</v>
      </c>
      <c r="H3350" s="6" t="s">
        <v>134</v>
      </c>
      <c r="I3350" s="8"/>
      <c r="J3350" s="9">
        <v>1</v>
      </c>
      <c r="K3350" s="9">
        <v>160</v>
      </c>
      <c r="L3350" s="9">
        <v>2026</v>
      </c>
      <c r="M3350" s="8" t="s">
        <v>19602</v>
      </c>
      <c r="N3350" s="8" t="s">
        <v>37</v>
      </c>
      <c r="O3350" s="8" t="s">
        <v>136</v>
      </c>
      <c r="P3350" s="6" t="s">
        <v>39</v>
      </c>
      <c r="Q3350" s="8" t="s">
        <v>40</v>
      </c>
      <c r="R3350" s="10" t="s">
        <v>12216</v>
      </c>
      <c r="S3350" s="11"/>
      <c r="T3350" s="6"/>
      <c r="U3350" s="15" t="str">
        <f>HYPERLINK("https://media.infra-m.ru/2216/2216939/cover/2216939.jpg", "Обложка")</f>
        <v>Обложка</v>
      </c>
      <c r="V3350" s="8" t="s">
        <v>1184</v>
      </c>
      <c r="W3350" s="6"/>
      <c r="X3350" s="6"/>
      <c r="Y3350" s="6"/>
      <c r="Z3350" s="6"/>
      <c r="AA3350" s="6" t="s">
        <v>1256</v>
      </c>
      <c r="AB3350" s="8"/>
      <c r="AC3350" s="27">
        <v>9785001560319</v>
      </c>
    </row>
    <row r="3351" spans="1:29" s="4" customFormat="1" ht="51.9" customHeight="1" x14ac:dyDescent="0.2">
      <c r="A3351" s="5">
        <v>0</v>
      </c>
      <c r="B3351" s="6" t="s">
        <v>19603</v>
      </c>
      <c r="C3351" s="7">
        <v>2952</v>
      </c>
      <c r="D3351" s="8" t="s">
        <v>19604</v>
      </c>
      <c r="E3351" s="8" t="s">
        <v>19605</v>
      </c>
      <c r="F3351" s="8" t="s">
        <v>4386</v>
      </c>
      <c r="G3351" s="6" t="s">
        <v>60</v>
      </c>
      <c r="H3351" s="6" t="s">
        <v>34</v>
      </c>
      <c r="I3351" s="8" t="s">
        <v>253</v>
      </c>
      <c r="J3351" s="9">
        <v>1</v>
      </c>
      <c r="K3351" s="9">
        <v>448</v>
      </c>
      <c r="L3351" s="9">
        <v>2026</v>
      </c>
      <c r="M3351" s="8" t="s">
        <v>19606</v>
      </c>
      <c r="N3351" s="8" t="s">
        <v>37</v>
      </c>
      <c r="O3351" s="8" t="s">
        <v>50</v>
      </c>
      <c r="P3351" s="6" t="s">
        <v>51</v>
      </c>
      <c r="Q3351" s="8" t="s">
        <v>52</v>
      </c>
      <c r="R3351" s="10" t="s">
        <v>2388</v>
      </c>
      <c r="S3351" s="11" t="s">
        <v>19607</v>
      </c>
      <c r="T3351" s="6"/>
      <c r="U3351" s="15" t="str">
        <f>HYPERLINK("https://media.infra-m.ru/2241/2241181/cover/2241181.jpg", "Обложка")</f>
        <v>Обложка</v>
      </c>
      <c r="V3351" s="8" t="s">
        <v>4389</v>
      </c>
      <c r="W3351" s="6"/>
      <c r="X3351" s="6"/>
      <c r="Y3351" s="6"/>
      <c r="Z3351" s="6"/>
      <c r="AA3351" s="6" t="s">
        <v>43</v>
      </c>
      <c r="AB3351" s="8"/>
      <c r="AC3351" s="27">
        <v>9785160218854</v>
      </c>
    </row>
    <row r="3352" spans="1:29" s="4" customFormat="1" ht="51.9" customHeight="1" x14ac:dyDescent="0.2">
      <c r="A3352" s="5">
        <v>0</v>
      </c>
      <c r="B3352" s="6" t="s">
        <v>19608</v>
      </c>
      <c r="C3352" s="7">
        <v>2932.8</v>
      </c>
      <c r="D3352" s="8" t="s">
        <v>19609</v>
      </c>
      <c r="E3352" s="8" t="s">
        <v>19610</v>
      </c>
      <c r="F3352" s="8" t="s">
        <v>4576</v>
      </c>
      <c r="G3352" s="6" t="s">
        <v>60</v>
      </c>
      <c r="H3352" s="6" t="s">
        <v>34</v>
      </c>
      <c r="I3352" s="8" t="s">
        <v>271</v>
      </c>
      <c r="J3352" s="9">
        <v>1</v>
      </c>
      <c r="K3352" s="9">
        <v>444</v>
      </c>
      <c r="L3352" s="9">
        <v>2026</v>
      </c>
      <c r="M3352" s="8" t="s">
        <v>19611</v>
      </c>
      <c r="N3352" s="8" t="s">
        <v>243</v>
      </c>
      <c r="O3352" s="8" t="s">
        <v>964</v>
      </c>
      <c r="P3352" s="6" t="s">
        <v>306</v>
      </c>
      <c r="Q3352" s="8" t="s">
        <v>52</v>
      </c>
      <c r="R3352" s="10" t="s">
        <v>19612</v>
      </c>
      <c r="S3352" s="11" t="s">
        <v>19613</v>
      </c>
      <c r="T3352" s="6"/>
      <c r="U3352" s="15" t="str">
        <f>HYPERLINK("https://media.infra-m.ru/2242/2242366/cover/2242366.jpg", "Обложка")</f>
        <v>Обложка</v>
      </c>
      <c r="V3352" s="8" t="s">
        <v>4579</v>
      </c>
      <c r="W3352" s="6"/>
      <c r="X3352" s="6"/>
      <c r="Y3352" s="6"/>
      <c r="Z3352" s="6"/>
      <c r="AA3352" s="6" t="s">
        <v>258</v>
      </c>
      <c r="AB3352" s="8"/>
      <c r="AC3352" s="27">
        <v>9785160169651</v>
      </c>
    </row>
    <row r="3353" spans="1:29" s="4" customFormat="1" ht="51.9" customHeight="1" x14ac:dyDescent="0.2">
      <c r="A3353" s="5">
        <v>0</v>
      </c>
      <c r="B3353" s="6" t="s">
        <v>19614</v>
      </c>
      <c r="C3353" s="7">
        <v>2692.8</v>
      </c>
      <c r="D3353" s="8" t="s">
        <v>19615</v>
      </c>
      <c r="E3353" s="8" t="s">
        <v>19616</v>
      </c>
      <c r="F3353" s="8" t="s">
        <v>4576</v>
      </c>
      <c r="G3353" s="6" t="s">
        <v>118</v>
      </c>
      <c r="H3353" s="6" t="s">
        <v>34</v>
      </c>
      <c r="I3353" s="8" t="s">
        <v>263</v>
      </c>
      <c r="J3353" s="9">
        <v>1</v>
      </c>
      <c r="K3353" s="9">
        <v>409</v>
      </c>
      <c r="L3353" s="9">
        <v>2026</v>
      </c>
      <c r="M3353" s="8" t="s">
        <v>19617</v>
      </c>
      <c r="N3353" s="8" t="s">
        <v>37</v>
      </c>
      <c r="O3353" s="8" t="s">
        <v>280</v>
      </c>
      <c r="P3353" s="6" t="s">
        <v>306</v>
      </c>
      <c r="Q3353" s="8" t="s">
        <v>265</v>
      </c>
      <c r="R3353" s="10" t="s">
        <v>19618</v>
      </c>
      <c r="S3353" s="11" t="s">
        <v>19619</v>
      </c>
      <c r="T3353" s="6"/>
      <c r="U3353" s="15" t="str">
        <f>HYPERLINK("https://media.infra-m.ru/2231/2231657/cover/2231657.jpg", "Обложка")</f>
        <v>Обложка</v>
      </c>
      <c r="V3353" s="8" t="s">
        <v>4579</v>
      </c>
      <c r="W3353" s="6"/>
      <c r="X3353" s="6"/>
      <c r="Y3353" s="6"/>
      <c r="Z3353" s="6" t="s">
        <v>882</v>
      </c>
      <c r="AA3353" s="6" t="s">
        <v>68</v>
      </c>
      <c r="AB3353" s="8"/>
      <c r="AC3353" s="27">
        <v>9785160202082</v>
      </c>
    </row>
    <row r="3354" spans="1:29" s="4" customFormat="1" ht="51.9" customHeight="1" x14ac:dyDescent="0.2">
      <c r="A3354" s="5">
        <v>0</v>
      </c>
      <c r="B3354" s="6" t="s">
        <v>19620</v>
      </c>
      <c r="C3354" s="7">
        <v>2964</v>
      </c>
      <c r="D3354" s="8" t="s">
        <v>19621</v>
      </c>
      <c r="E3354" s="8" t="s">
        <v>19605</v>
      </c>
      <c r="F3354" s="8" t="s">
        <v>4386</v>
      </c>
      <c r="G3354" s="6" t="s">
        <v>60</v>
      </c>
      <c r="H3354" s="6" t="s">
        <v>34</v>
      </c>
      <c r="I3354" s="8" t="s">
        <v>263</v>
      </c>
      <c r="J3354" s="9">
        <v>1</v>
      </c>
      <c r="K3354" s="9">
        <v>448</v>
      </c>
      <c r="L3354" s="9">
        <v>2026</v>
      </c>
      <c r="M3354" s="8" t="s">
        <v>19622</v>
      </c>
      <c r="N3354" s="8" t="s">
        <v>37</v>
      </c>
      <c r="O3354" s="8" t="s">
        <v>50</v>
      </c>
      <c r="P3354" s="6" t="s">
        <v>51</v>
      </c>
      <c r="Q3354" s="8" t="s">
        <v>265</v>
      </c>
      <c r="R3354" s="10" t="s">
        <v>19623</v>
      </c>
      <c r="S3354" s="11" t="s">
        <v>19624</v>
      </c>
      <c r="T3354" s="6"/>
      <c r="U3354" s="15" t="str">
        <f>HYPERLINK("https://media.infra-m.ru/2224/2224073/cover/2224073.jpg", "Обложка")</f>
        <v>Обложка</v>
      </c>
      <c r="V3354" s="8" t="s">
        <v>4389</v>
      </c>
      <c r="W3354" s="6"/>
      <c r="X3354" s="6"/>
      <c r="Y3354" s="6"/>
      <c r="Z3354" s="6" t="s">
        <v>267</v>
      </c>
      <c r="AA3354" s="6" t="s">
        <v>157</v>
      </c>
      <c r="AB3354" s="8"/>
      <c r="AC3354" s="27">
        <v>9785160214337</v>
      </c>
    </row>
    <row r="3355" spans="1:29" s="4" customFormat="1" ht="42" customHeight="1" x14ac:dyDescent="0.2">
      <c r="A3355" s="5">
        <v>0</v>
      </c>
      <c r="B3355" s="6" t="s">
        <v>19625</v>
      </c>
      <c r="C3355" s="13">
        <v>497.9</v>
      </c>
      <c r="D3355" s="8" t="s">
        <v>19626</v>
      </c>
      <c r="E3355" s="8" t="s">
        <v>19627</v>
      </c>
      <c r="F3355" s="8" t="s">
        <v>19628</v>
      </c>
      <c r="G3355" s="6" t="s">
        <v>33</v>
      </c>
      <c r="H3355" s="6" t="s">
        <v>1779</v>
      </c>
      <c r="I3355" s="8"/>
      <c r="J3355" s="9">
        <v>1</v>
      </c>
      <c r="K3355" s="9">
        <v>112</v>
      </c>
      <c r="L3355" s="9">
        <v>2023</v>
      </c>
      <c r="M3355" s="8" t="s">
        <v>19629</v>
      </c>
      <c r="N3355" s="8" t="s">
        <v>37</v>
      </c>
      <c r="O3355" s="8" t="s">
        <v>136</v>
      </c>
      <c r="P3355" s="6" t="s">
        <v>39</v>
      </c>
      <c r="Q3355" s="8" t="s">
        <v>40</v>
      </c>
      <c r="R3355" s="10" t="s">
        <v>1631</v>
      </c>
      <c r="S3355" s="11"/>
      <c r="T3355" s="6"/>
      <c r="U3355" s="15" t="str">
        <f>HYPERLINK("https://media.infra-m.ru/1937/1937188/cover/1937188.jpg", "Обложка")</f>
        <v>Обложка</v>
      </c>
      <c r="V3355" s="8" t="s">
        <v>19630</v>
      </c>
      <c r="W3355" s="6"/>
      <c r="X3355" s="6"/>
      <c r="Y3355" s="6"/>
      <c r="Z3355" s="6"/>
      <c r="AA3355" s="6" t="s">
        <v>949</v>
      </c>
      <c r="AB3355" s="8"/>
      <c r="AC3355" s="27">
        <v>9785468000199</v>
      </c>
    </row>
    <row r="3356" spans="1:29" s="4" customFormat="1" ht="51.9" customHeight="1" x14ac:dyDescent="0.2">
      <c r="A3356" s="5">
        <v>0</v>
      </c>
      <c r="B3356" s="6" t="s">
        <v>19631</v>
      </c>
      <c r="C3356" s="7">
        <v>2248.8000000000002</v>
      </c>
      <c r="D3356" s="8" t="s">
        <v>19632</v>
      </c>
      <c r="E3356" s="8" t="s">
        <v>19633</v>
      </c>
      <c r="F3356" s="8" t="s">
        <v>19634</v>
      </c>
      <c r="G3356" s="6" t="s">
        <v>118</v>
      </c>
      <c r="H3356" s="6" t="s">
        <v>313</v>
      </c>
      <c r="I3356" s="8" t="s">
        <v>4459</v>
      </c>
      <c r="J3356" s="9">
        <v>1</v>
      </c>
      <c r="K3356" s="9">
        <v>340</v>
      </c>
      <c r="L3356" s="9">
        <v>2026</v>
      </c>
      <c r="M3356" s="8" t="s">
        <v>19635</v>
      </c>
      <c r="N3356" s="8" t="s">
        <v>585</v>
      </c>
      <c r="O3356" s="8" t="s">
        <v>586</v>
      </c>
      <c r="P3356" s="6" t="s">
        <v>8120</v>
      </c>
      <c r="Q3356" s="8" t="s">
        <v>40</v>
      </c>
      <c r="R3356" s="10" t="s">
        <v>19636</v>
      </c>
      <c r="S3356" s="11"/>
      <c r="T3356" s="6"/>
      <c r="U3356" s="15" t="str">
        <f>HYPERLINK("https://media.infra-m.ru/2231/2231655/cover/2231655.jpg", "Обложка")</f>
        <v>Обложка</v>
      </c>
      <c r="V3356" s="8" t="s">
        <v>19637</v>
      </c>
      <c r="W3356" s="6"/>
      <c r="X3356" s="6"/>
      <c r="Y3356" s="6"/>
      <c r="Z3356" s="6"/>
      <c r="AA3356" s="6" t="s">
        <v>1256</v>
      </c>
      <c r="AB3356" s="8"/>
      <c r="AC3356" s="27">
        <v>9785369018323</v>
      </c>
    </row>
    <row r="3357" spans="1:29" s="4" customFormat="1" ht="51.9" customHeight="1" x14ac:dyDescent="0.2">
      <c r="A3357" s="5">
        <v>0</v>
      </c>
      <c r="B3357" s="6" t="s">
        <v>19638</v>
      </c>
      <c r="C3357" s="7">
        <v>2220</v>
      </c>
      <c r="D3357" s="8" t="s">
        <v>19639</v>
      </c>
      <c r="E3357" s="8" t="s">
        <v>19640</v>
      </c>
      <c r="F3357" s="8" t="s">
        <v>19641</v>
      </c>
      <c r="G3357" s="6" t="s">
        <v>118</v>
      </c>
      <c r="H3357" s="6" t="s">
        <v>34</v>
      </c>
      <c r="I3357" s="8" t="s">
        <v>253</v>
      </c>
      <c r="J3357" s="9">
        <v>1</v>
      </c>
      <c r="K3357" s="9">
        <v>319</v>
      </c>
      <c r="L3357" s="9">
        <v>2027</v>
      </c>
      <c r="M3357" s="8" t="s">
        <v>19642</v>
      </c>
      <c r="N3357" s="8" t="s">
        <v>243</v>
      </c>
      <c r="O3357" s="8" t="s">
        <v>758</v>
      </c>
      <c r="P3357" s="6" t="s">
        <v>51</v>
      </c>
      <c r="Q3357" s="8" t="s">
        <v>52</v>
      </c>
      <c r="R3357" s="10" t="s">
        <v>11572</v>
      </c>
      <c r="S3357" s="11" t="s">
        <v>19643</v>
      </c>
      <c r="T3357" s="6"/>
      <c r="U3357" s="15" t="str">
        <f>HYPERLINK("https://media.infra-m.ru/2264/2264706/cover/2264706.jpg", "Обложка")</f>
        <v>Обложка</v>
      </c>
      <c r="V3357" s="8" t="s">
        <v>831</v>
      </c>
      <c r="W3357" s="6"/>
      <c r="X3357" s="6"/>
      <c r="Y3357" s="6"/>
      <c r="Z3357" s="6"/>
      <c r="AA3357" s="6" t="s">
        <v>86</v>
      </c>
      <c r="AB3357" s="8"/>
      <c r="AC3357" s="27">
        <v>9785160223841</v>
      </c>
    </row>
    <row r="3358" spans="1:29" s="4" customFormat="1" ht="51.9" customHeight="1" x14ac:dyDescent="0.2">
      <c r="A3358" s="5">
        <v>0</v>
      </c>
      <c r="B3358" s="6" t="s">
        <v>19644</v>
      </c>
      <c r="C3358" s="7">
        <v>1368</v>
      </c>
      <c r="D3358" s="8" t="s">
        <v>19645</v>
      </c>
      <c r="E3358" s="8" t="s">
        <v>19646</v>
      </c>
      <c r="F3358" s="8" t="s">
        <v>19647</v>
      </c>
      <c r="G3358" s="6" t="s">
        <v>118</v>
      </c>
      <c r="H3358" s="6" t="s">
        <v>34</v>
      </c>
      <c r="I3358" s="8" t="s">
        <v>1248</v>
      </c>
      <c r="J3358" s="9">
        <v>1</v>
      </c>
      <c r="K3358" s="9">
        <v>195</v>
      </c>
      <c r="L3358" s="9">
        <v>2027</v>
      </c>
      <c r="M3358" s="8" t="s">
        <v>19648</v>
      </c>
      <c r="N3358" s="8" t="s">
        <v>243</v>
      </c>
      <c r="O3358" s="8" t="s">
        <v>964</v>
      </c>
      <c r="P3358" s="6" t="s">
        <v>51</v>
      </c>
      <c r="Q3358" s="8" t="s">
        <v>500</v>
      </c>
      <c r="R3358" s="10" t="s">
        <v>19649</v>
      </c>
      <c r="S3358" s="11" t="s">
        <v>19650</v>
      </c>
      <c r="T3358" s="6"/>
      <c r="U3358" s="15" t="str">
        <f>HYPERLINK("https://media.infra-m.ru/2262/2262659/cover/2262659.jpg", "Обложка")</f>
        <v>Обложка</v>
      </c>
      <c r="V3358" s="8" t="s">
        <v>1083</v>
      </c>
      <c r="W3358" s="6"/>
      <c r="X3358" s="6"/>
      <c r="Y3358" s="6"/>
      <c r="Z3358" s="6"/>
      <c r="AA3358" s="6" t="s">
        <v>86</v>
      </c>
      <c r="AB3358" s="8"/>
      <c r="AC3358" s="27">
        <v>9785160223506</v>
      </c>
    </row>
    <row r="3359" spans="1:29" s="4" customFormat="1" ht="51.9" customHeight="1" x14ac:dyDescent="0.2">
      <c r="A3359" s="5">
        <v>0</v>
      </c>
      <c r="B3359" s="6" t="s">
        <v>19651</v>
      </c>
      <c r="C3359" s="7">
        <v>2820</v>
      </c>
      <c r="D3359" s="8" t="s">
        <v>19652</v>
      </c>
      <c r="E3359" s="8" t="s">
        <v>19653</v>
      </c>
      <c r="F3359" s="8" t="s">
        <v>19654</v>
      </c>
      <c r="G3359" s="6" t="s">
        <v>60</v>
      </c>
      <c r="H3359" s="6" t="s">
        <v>34</v>
      </c>
      <c r="I3359" s="8" t="s">
        <v>253</v>
      </c>
      <c r="J3359" s="9">
        <v>1</v>
      </c>
      <c r="K3359" s="9">
        <v>449</v>
      </c>
      <c r="L3359" s="9">
        <v>2026</v>
      </c>
      <c r="M3359" s="8" t="s">
        <v>19655</v>
      </c>
      <c r="N3359" s="8" t="s">
        <v>243</v>
      </c>
      <c r="O3359" s="8" t="s">
        <v>964</v>
      </c>
      <c r="P3359" s="6" t="s">
        <v>51</v>
      </c>
      <c r="Q3359" s="8" t="s">
        <v>52</v>
      </c>
      <c r="R3359" s="10" t="s">
        <v>19656</v>
      </c>
      <c r="S3359" s="11" t="s">
        <v>19657</v>
      </c>
      <c r="T3359" s="6"/>
      <c r="U3359" s="15" t="str">
        <f>HYPERLINK("https://media.infra-m.ru/2214/2214872/cover/2214872.jpg", "Обложка")</f>
        <v>Обложка</v>
      </c>
      <c r="V3359" s="8" t="s">
        <v>1083</v>
      </c>
      <c r="W3359" s="6"/>
      <c r="X3359" s="6"/>
      <c r="Y3359" s="6"/>
      <c r="Z3359" s="6"/>
      <c r="AA3359" s="6" t="s">
        <v>2240</v>
      </c>
      <c r="AB3359" s="8"/>
      <c r="AC3359" s="27">
        <v>9785160211381</v>
      </c>
    </row>
    <row r="3360" spans="1:29" s="4" customFormat="1" ht="51.9" customHeight="1" x14ac:dyDescent="0.2">
      <c r="A3360" s="5">
        <v>0</v>
      </c>
      <c r="B3360" s="6" t="s">
        <v>19658</v>
      </c>
      <c r="C3360" s="7">
        <v>2896.8</v>
      </c>
      <c r="D3360" s="8" t="s">
        <v>19659</v>
      </c>
      <c r="E3360" s="8" t="s">
        <v>19660</v>
      </c>
      <c r="F3360" s="8" t="s">
        <v>19661</v>
      </c>
      <c r="G3360" s="6" t="s">
        <v>60</v>
      </c>
      <c r="H3360" s="6" t="s">
        <v>34</v>
      </c>
      <c r="I3360" s="8" t="s">
        <v>271</v>
      </c>
      <c r="J3360" s="9">
        <v>1</v>
      </c>
      <c r="K3360" s="9">
        <v>439</v>
      </c>
      <c r="L3360" s="9">
        <v>2026</v>
      </c>
      <c r="M3360" s="8" t="s">
        <v>19662</v>
      </c>
      <c r="N3360" s="8" t="s">
        <v>243</v>
      </c>
      <c r="O3360" s="8" t="s">
        <v>1100</v>
      </c>
      <c r="P3360" s="6" t="s">
        <v>51</v>
      </c>
      <c r="Q3360" s="8" t="s">
        <v>52</v>
      </c>
      <c r="R3360" s="10" t="s">
        <v>19663</v>
      </c>
      <c r="S3360" s="11" t="s">
        <v>19664</v>
      </c>
      <c r="T3360" s="6"/>
      <c r="U3360" s="15" t="str">
        <f>HYPERLINK("https://media.infra-m.ru/2231/2231652/cover/2231652.jpg", "Обложка")</f>
        <v>Обложка</v>
      </c>
      <c r="V3360" s="8" t="s">
        <v>1030</v>
      </c>
      <c r="W3360" s="6"/>
      <c r="X3360" s="6"/>
      <c r="Y3360" s="6"/>
      <c r="Z3360" s="6"/>
      <c r="AA3360" s="6" t="s">
        <v>86</v>
      </c>
      <c r="AB3360" s="8"/>
      <c r="AC3360" s="27">
        <v>9785160131207</v>
      </c>
    </row>
    <row r="3361" spans="1:29" s="4" customFormat="1" ht="42" customHeight="1" x14ac:dyDescent="0.2">
      <c r="A3361" s="5">
        <v>0</v>
      </c>
      <c r="B3361" s="6" t="s">
        <v>19665</v>
      </c>
      <c r="C3361" s="7">
        <v>1336.8</v>
      </c>
      <c r="D3361" s="8" t="s">
        <v>19666</v>
      </c>
      <c r="E3361" s="8" t="s">
        <v>19667</v>
      </c>
      <c r="F3361" s="8" t="s">
        <v>19668</v>
      </c>
      <c r="G3361" s="6" t="s">
        <v>60</v>
      </c>
      <c r="H3361" s="6" t="s">
        <v>34</v>
      </c>
      <c r="I3361" s="8" t="s">
        <v>1128</v>
      </c>
      <c r="J3361" s="9">
        <v>1</v>
      </c>
      <c r="K3361" s="9">
        <v>203</v>
      </c>
      <c r="L3361" s="9">
        <v>2026</v>
      </c>
      <c r="M3361" s="8" t="s">
        <v>19669</v>
      </c>
      <c r="N3361" s="8" t="s">
        <v>243</v>
      </c>
      <c r="O3361" s="8" t="s">
        <v>1100</v>
      </c>
      <c r="P3361" s="6" t="s">
        <v>51</v>
      </c>
      <c r="Q3361" s="8" t="s">
        <v>52</v>
      </c>
      <c r="R3361" s="10" t="s">
        <v>2820</v>
      </c>
      <c r="S3361" s="11"/>
      <c r="T3361" s="6"/>
      <c r="U3361" s="15" t="str">
        <f>HYPERLINK("https://media.infra-m.ru/2231/2231650/cover/2231650.jpg", "Обложка")</f>
        <v>Обложка</v>
      </c>
      <c r="V3361" s="8" t="s">
        <v>1132</v>
      </c>
      <c r="W3361" s="6"/>
      <c r="X3361" s="6"/>
      <c r="Y3361" s="6"/>
      <c r="Z3361" s="6"/>
      <c r="AA3361" s="6" t="s">
        <v>68</v>
      </c>
      <c r="AB3361" s="8"/>
      <c r="AC3361" s="27">
        <v>9785160200026</v>
      </c>
    </row>
    <row r="3362" spans="1:29" s="4" customFormat="1" ht="51.9" customHeight="1" x14ac:dyDescent="0.2">
      <c r="A3362" s="5">
        <v>0</v>
      </c>
      <c r="B3362" s="6" t="s">
        <v>19670</v>
      </c>
      <c r="C3362" s="7">
        <v>1056</v>
      </c>
      <c r="D3362" s="8" t="s">
        <v>19671</v>
      </c>
      <c r="E3362" s="8" t="s">
        <v>19672</v>
      </c>
      <c r="F3362" s="8" t="s">
        <v>19673</v>
      </c>
      <c r="G3362" s="6" t="s">
        <v>33</v>
      </c>
      <c r="H3362" s="6" t="s">
        <v>34</v>
      </c>
      <c r="I3362" s="8" t="s">
        <v>35</v>
      </c>
      <c r="J3362" s="9">
        <v>1</v>
      </c>
      <c r="K3362" s="9">
        <v>176</v>
      </c>
      <c r="L3362" s="9">
        <v>2025</v>
      </c>
      <c r="M3362" s="8" t="s">
        <v>19674</v>
      </c>
      <c r="N3362" s="8" t="s">
        <v>63</v>
      </c>
      <c r="O3362" s="8" t="s">
        <v>126</v>
      </c>
      <c r="P3362" s="6" t="s">
        <v>39</v>
      </c>
      <c r="Q3362" s="8" t="s">
        <v>40</v>
      </c>
      <c r="R3362" s="10" t="s">
        <v>19675</v>
      </c>
      <c r="S3362" s="11"/>
      <c r="T3362" s="6"/>
      <c r="U3362" s="15" t="str">
        <f>HYPERLINK("https://media.infra-m.ru/2174/2174461/cover/2174461.jpg", "Обложка")</f>
        <v>Обложка</v>
      </c>
      <c r="V3362" s="8" t="s">
        <v>4389</v>
      </c>
      <c r="W3362" s="6"/>
      <c r="X3362" s="6"/>
      <c r="Y3362" s="6"/>
      <c r="Z3362" s="6"/>
      <c r="AA3362" s="6" t="s">
        <v>779</v>
      </c>
      <c r="AB3362" s="8"/>
      <c r="AC3362" s="27">
        <v>9785160113296</v>
      </c>
    </row>
    <row r="3363" spans="1:29" s="4" customFormat="1" ht="51.9" customHeight="1" x14ac:dyDescent="0.2">
      <c r="A3363" s="5">
        <v>0</v>
      </c>
      <c r="B3363" s="6" t="s">
        <v>19676</v>
      </c>
      <c r="C3363" s="7">
        <v>2644.8</v>
      </c>
      <c r="D3363" s="8" t="s">
        <v>19677</v>
      </c>
      <c r="E3363" s="8" t="s">
        <v>19678</v>
      </c>
      <c r="F3363" s="8" t="s">
        <v>489</v>
      </c>
      <c r="G3363" s="6" t="s">
        <v>60</v>
      </c>
      <c r="H3363" s="6" t="s">
        <v>34</v>
      </c>
      <c r="I3363" s="8" t="s">
        <v>253</v>
      </c>
      <c r="J3363" s="9">
        <v>1</v>
      </c>
      <c r="K3363" s="9">
        <v>401</v>
      </c>
      <c r="L3363" s="9">
        <v>2026</v>
      </c>
      <c r="M3363" s="8" t="s">
        <v>19679</v>
      </c>
      <c r="N3363" s="8" t="s">
        <v>37</v>
      </c>
      <c r="O3363" s="8" t="s">
        <v>499</v>
      </c>
      <c r="P3363" s="6" t="s">
        <v>306</v>
      </c>
      <c r="Q3363" s="8" t="s">
        <v>52</v>
      </c>
      <c r="R3363" s="10" t="s">
        <v>19680</v>
      </c>
      <c r="S3363" s="11" t="s">
        <v>19681</v>
      </c>
      <c r="T3363" s="6"/>
      <c r="U3363" s="15" t="str">
        <f>HYPERLINK("https://media.infra-m.ru/2231/2231646/cover/2231646.jpg", "Обложка")</f>
        <v>Обложка</v>
      </c>
      <c r="V3363" s="8" t="s">
        <v>396</v>
      </c>
      <c r="W3363" s="6"/>
      <c r="X3363" s="6"/>
      <c r="Y3363" s="6"/>
      <c r="Z3363" s="6"/>
      <c r="AA3363" s="6" t="s">
        <v>115</v>
      </c>
      <c r="AB3363" s="8"/>
      <c r="AC3363" s="27">
        <v>9785160215969</v>
      </c>
    </row>
    <row r="3364" spans="1:29" s="4" customFormat="1" ht="51.9" customHeight="1" x14ac:dyDescent="0.2">
      <c r="A3364" s="5">
        <v>0</v>
      </c>
      <c r="B3364" s="6" t="s">
        <v>19682</v>
      </c>
      <c r="C3364" s="7">
        <v>1872</v>
      </c>
      <c r="D3364" s="8" t="s">
        <v>19683</v>
      </c>
      <c r="E3364" s="8" t="s">
        <v>19684</v>
      </c>
      <c r="F3364" s="8" t="s">
        <v>19685</v>
      </c>
      <c r="G3364" s="6" t="s">
        <v>118</v>
      </c>
      <c r="H3364" s="6" t="s">
        <v>34</v>
      </c>
      <c r="I3364" s="8" t="s">
        <v>253</v>
      </c>
      <c r="J3364" s="9">
        <v>1</v>
      </c>
      <c r="K3364" s="9">
        <v>300</v>
      </c>
      <c r="L3364" s="9">
        <v>2026</v>
      </c>
      <c r="M3364" s="8" t="s">
        <v>19686</v>
      </c>
      <c r="N3364" s="8" t="s">
        <v>37</v>
      </c>
      <c r="O3364" s="8" t="s">
        <v>136</v>
      </c>
      <c r="P3364" s="6" t="s">
        <v>51</v>
      </c>
      <c r="Q3364" s="8" t="s">
        <v>65</v>
      </c>
      <c r="R3364" s="10" t="s">
        <v>19687</v>
      </c>
      <c r="S3364" s="11"/>
      <c r="T3364" s="6"/>
      <c r="U3364" s="15" t="str">
        <f>HYPERLINK("https://media.infra-m.ru/2218/2218844/cover/2218844.jpg", "Обложка")</f>
        <v>Обложка</v>
      </c>
      <c r="V3364" s="8" t="s">
        <v>227</v>
      </c>
      <c r="W3364" s="6"/>
      <c r="X3364" s="6"/>
      <c r="Y3364" s="6"/>
      <c r="Z3364" s="6"/>
      <c r="AA3364" s="6" t="s">
        <v>76</v>
      </c>
      <c r="AB3364" s="8"/>
      <c r="AC3364" s="27">
        <v>9785160188997</v>
      </c>
    </row>
    <row r="3365" spans="1:29" s="4" customFormat="1" ht="51.9" customHeight="1" x14ac:dyDescent="0.2">
      <c r="A3365" s="5">
        <v>0</v>
      </c>
      <c r="B3365" s="6" t="s">
        <v>19688</v>
      </c>
      <c r="C3365" s="7">
        <v>1864.8</v>
      </c>
      <c r="D3365" s="8" t="s">
        <v>19689</v>
      </c>
      <c r="E3365" s="8" t="s">
        <v>19690</v>
      </c>
      <c r="F3365" s="8" t="s">
        <v>19691</v>
      </c>
      <c r="G3365" s="6" t="s">
        <v>60</v>
      </c>
      <c r="H3365" s="6" t="s">
        <v>34</v>
      </c>
      <c r="I3365" s="8" t="s">
        <v>253</v>
      </c>
      <c r="J3365" s="9">
        <v>1</v>
      </c>
      <c r="K3365" s="9">
        <v>283</v>
      </c>
      <c r="L3365" s="9">
        <v>2026</v>
      </c>
      <c r="M3365" s="8" t="s">
        <v>19692</v>
      </c>
      <c r="N3365" s="8" t="s">
        <v>63</v>
      </c>
      <c r="O3365" s="8" t="s">
        <v>154</v>
      </c>
      <c r="P3365" s="6" t="s">
        <v>51</v>
      </c>
      <c r="Q3365" s="8" t="s">
        <v>65</v>
      </c>
      <c r="R3365" s="10" t="s">
        <v>19693</v>
      </c>
      <c r="S3365" s="11"/>
      <c r="T3365" s="6"/>
      <c r="U3365" s="15" t="str">
        <f>HYPERLINK("https://media.infra-m.ru/2231/2231644/cover/2231644.jpg", "Обложка")</f>
        <v>Обложка</v>
      </c>
      <c r="V3365" s="8" t="s">
        <v>5964</v>
      </c>
      <c r="W3365" s="6"/>
      <c r="X3365" s="6"/>
      <c r="Y3365" s="6"/>
      <c r="Z3365" s="6"/>
      <c r="AA3365" s="6" t="s">
        <v>76</v>
      </c>
      <c r="AB3365" s="8" t="s">
        <v>19694</v>
      </c>
      <c r="AC3365" s="27">
        <v>9785160197203</v>
      </c>
    </row>
    <row r="3366" spans="1:29" s="4" customFormat="1" ht="51.9" customHeight="1" x14ac:dyDescent="0.2">
      <c r="A3366" s="5">
        <v>0</v>
      </c>
      <c r="B3366" s="6" t="s">
        <v>19695</v>
      </c>
      <c r="C3366" s="13">
        <v>732</v>
      </c>
      <c r="D3366" s="8" t="s">
        <v>19696</v>
      </c>
      <c r="E3366" s="8" t="s">
        <v>19697</v>
      </c>
      <c r="F3366" s="8" t="s">
        <v>1829</v>
      </c>
      <c r="G3366" s="6" t="s">
        <v>33</v>
      </c>
      <c r="H3366" s="6" t="s">
        <v>134</v>
      </c>
      <c r="I3366" s="8"/>
      <c r="J3366" s="9">
        <v>1</v>
      </c>
      <c r="K3366" s="9">
        <v>72</v>
      </c>
      <c r="L3366" s="9">
        <v>2026</v>
      </c>
      <c r="M3366" s="8" t="s">
        <v>19698</v>
      </c>
      <c r="N3366" s="8" t="s">
        <v>37</v>
      </c>
      <c r="O3366" s="8" t="s">
        <v>136</v>
      </c>
      <c r="P3366" s="6" t="s">
        <v>51</v>
      </c>
      <c r="Q3366" s="8" t="s">
        <v>65</v>
      </c>
      <c r="R3366" s="10" t="s">
        <v>19699</v>
      </c>
      <c r="S3366" s="11"/>
      <c r="T3366" s="6"/>
      <c r="U3366" s="15" t="str">
        <f>HYPERLINK("https://media.infra-m.ru/2239/2239174/cover/2239174.jpg", "Обложка")</f>
        <v>Обложка</v>
      </c>
      <c r="V3366" s="8" t="s">
        <v>1184</v>
      </c>
      <c r="W3366" s="6"/>
      <c r="X3366" s="6"/>
      <c r="Y3366" s="6"/>
      <c r="Z3366" s="6"/>
      <c r="AA3366" s="6" t="s">
        <v>76</v>
      </c>
      <c r="AB3366" s="8"/>
      <c r="AC3366" s="27">
        <v>9785001563846</v>
      </c>
    </row>
    <row r="3367" spans="1:29" s="4" customFormat="1" ht="51.9" customHeight="1" x14ac:dyDescent="0.2">
      <c r="A3367" s="5">
        <v>0</v>
      </c>
      <c r="B3367" s="6" t="s">
        <v>19700</v>
      </c>
      <c r="C3367" s="7">
        <v>1056</v>
      </c>
      <c r="D3367" s="8" t="s">
        <v>19701</v>
      </c>
      <c r="E3367" s="8" t="s">
        <v>19702</v>
      </c>
      <c r="F3367" s="8" t="s">
        <v>19703</v>
      </c>
      <c r="G3367" s="6" t="s">
        <v>60</v>
      </c>
      <c r="H3367" s="6" t="s">
        <v>34</v>
      </c>
      <c r="I3367" s="8" t="s">
        <v>19704</v>
      </c>
      <c r="J3367" s="9">
        <v>1</v>
      </c>
      <c r="K3367" s="9">
        <v>148</v>
      </c>
      <c r="L3367" s="9">
        <v>2026</v>
      </c>
      <c r="M3367" s="8" t="s">
        <v>19705</v>
      </c>
      <c r="N3367" s="8" t="s">
        <v>93</v>
      </c>
      <c r="O3367" s="8" t="s">
        <v>94</v>
      </c>
      <c r="P3367" s="6" t="s">
        <v>51</v>
      </c>
      <c r="Q3367" s="8" t="s">
        <v>500</v>
      </c>
      <c r="R3367" s="10" t="s">
        <v>19706</v>
      </c>
      <c r="S3367" s="11"/>
      <c r="T3367" s="6"/>
      <c r="U3367" s="15" t="str">
        <f>HYPERLINK("https://media.infra-m.ru/2238/2238590/cover/2238590.jpg", "Обложка")</f>
        <v>Обложка</v>
      </c>
      <c r="V3367" s="8" t="s">
        <v>11210</v>
      </c>
      <c r="W3367" s="6" t="s">
        <v>351</v>
      </c>
      <c r="X3367" s="6"/>
      <c r="Y3367" s="6"/>
      <c r="Z3367" s="6"/>
      <c r="AA3367" s="6" t="s">
        <v>187</v>
      </c>
      <c r="AB3367" s="8"/>
      <c r="AC3367" s="27">
        <v>9785160218038</v>
      </c>
    </row>
    <row r="3368" spans="1:29" s="4" customFormat="1" ht="51.9" customHeight="1" x14ac:dyDescent="0.2">
      <c r="A3368" s="5">
        <v>0</v>
      </c>
      <c r="B3368" s="6" t="s">
        <v>19707</v>
      </c>
      <c r="C3368" s="7">
        <v>2428.8000000000002</v>
      </c>
      <c r="D3368" s="8" t="s">
        <v>19708</v>
      </c>
      <c r="E3368" s="8" t="s">
        <v>19709</v>
      </c>
      <c r="F3368" s="8" t="s">
        <v>19710</v>
      </c>
      <c r="G3368" s="6" t="s">
        <v>118</v>
      </c>
      <c r="H3368" s="6" t="s">
        <v>34</v>
      </c>
      <c r="I3368" s="8" t="s">
        <v>271</v>
      </c>
      <c r="J3368" s="9">
        <v>1</v>
      </c>
      <c r="K3368" s="9">
        <v>368</v>
      </c>
      <c r="L3368" s="9">
        <v>2026</v>
      </c>
      <c r="M3368" s="8" t="s">
        <v>19711</v>
      </c>
      <c r="N3368" s="8" t="s">
        <v>243</v>
      </c>
      <c r="O3368" s="8" t="s">
        <v>385</v>
      </c>
      <c r="P3368" s="6" t="s">
        <v>306</v>
      </c>
      <c r="Q3368" s="8" t="s">
        <v>52</v>
      </c>
      <c r="R3368" s="10" t="s">
        <v>19712</v>
      </c>
      <c r="S3368" s="11" t="s">
        <v>19713</v>
      </c>
      <c r="T3368" s="6"/>
      <c r="U3368" s="15" t="str">
        <f>HYPERLINK("https://media.infra-m.ru/2231/2231641/cover/2231641.jpg", "Обложка")</f>
        <v>Обложка</v>
      </c>
      <c r="V3368" s="8" t="s">
        <v>11957</v>
      </c>
      <c r="W3368" s="6"/>
      <c r="X3368" s="6"/>
      <c r="Y3368" s="6"/>
      <c r="Z3368" s="6"/>
      <c r="AA3368" s="6" t="s">
        <v>896</v>
      </c>
      <c r="AB3368" s="8"/>
      <c r="AC3368" s="27">
        <v>9785160169743</v>
      </c>
    </row>
    <row r="3369" spans="1:29" s="4" customFormat="1" ht="51.9" customHeight="1" x14ac:dyDescent="0.2">
      <c r="A3369" s="5">
        <v>0</v>
      </c>
      <c r="B3369" s="6" t="s">
        <v>19714</v>
      </c>
      <c r="C3369" s="7">
        <v>2428.8000000000002</v>
      </c>
      <c r="D3369" s="8" t="s">
        <v>19715</v>
      </c>
      <c r="E3369" s="8" t="s">
        <v>19709</v>
      </c>
      <c r="F3369" s="8" t="s">
        <v>19710</v>
      </c>
      <c r="G3369" s="6" t="s">
        <v>60</v>
      </c>
      <c r="H3369" s="6" t="s">
        <v>34</v>
      </c>
      <c r="I3369" s="8" t="s">
        <v>263</v>
      </c>
      <c r="J3369" s="9">
        <v>1</v>
      </c>
      <c r="K3369" s="9">
        <v>368</v>
      </c>
      <c r="L3369" s="9">
        <v>2026</v>
      </c>
      <c r="M3369" s="8" t="s">
        <v>19716</v>
      </c>
      <c r="N3369" s="8" t="s">
        <v>243</v>
      </c>
      <c r="O3369" s="8" t="s">
        <v>385</v>
      </c>
      <c r="P3369" s="6" t="s">
        <v>306</v>
      </c>
      <c r="Q3369" s="8" t="s">
        <v>265</v>
      </c>
      <c r="R3369" s="10" t="s">
        <v>19717</v>
      </c>
      <c r="S3369" s="11" t="s">
        <v>19718</v>
      </c>
      <c r="T3369" s="6"/>
      <c r="U3369" s="15" t="str">
        <f>HYPERLINK("https://media.infra-m.ru/2231/2231643/cover/2231643.jpg", "Обложка")</f>
        <v>Обложка</v>
      </c>
      <c r="V3369" s="8" t="s">
        <v>11957</v>
      </c>
      <c r="W3369" s="6"/>
      <c r="X3369" s="6"/>
      <c r="Y3369" s="6"/>
      <c r="Z3369" s="6" t="s">
        <v>267</v>
      </c>
      <c r="AA3369" s="6" t="s">
        <v>106</v>
      </c>
      <c r="AB3369" s="8"/>
      <c r="AC3369" s="27">
        <v>9785160197951</v>
      </c>
    </row>
    <row r="3370" spans="1:29" s="4" customFormat="1" ht="51.9" customHeight="1" x14ac:dyDescent="0.2">
      <c r="A3370" s="5">
        <v>0</v>
      </c>
      <c r="B3370" s="6" t="s">
        <v>19719</v>
      </c>
      <c r="C3370" s="7">
        <v>1548</v>
      </c>
      <c r="D3370" s="8" t="s">
        <v>19720</v>
      </c>
      <c r="E3370" s="8" t="s">
        <v>19721</v>
      </c>
      <c r="F3370" s="8" t="s">
        <v>19710</v>
      </c>
      <c r="G3370" s="6" t="s">
        <v>118</v>
      </c>
      <c r="H3370" s="6" t="s">
        <v>34</v>
      </c>
      <c r="I3370" s="8" t="s">
        <v>271</v>
      </c>
      <c r="J3370" s="9">
        <v>1</v>
      </c>
      <c r="K3370" s="9">
        <v>357</v>
      </c>
      <c r="L3370" s="9">
        <v>2021</v>
      </c>
      <c r="M3370" s="8" t="s">
        <v>19722</v>
      </c>
      <c r="N3370" s="8" t="s">
        <v>243</v>
      </c>
      <c r="O3370" s="8" t="s">
        <v>385</v>
      </c>
      <c r="P3370" s="6" t="s">
        <v>306</v>
      </c>
      <c r="Q3370" s="8" t="s">
        <v>52</v>
      </c>
      <c r="R3370" s="10" t="s">
        <v>19712</v>
      </c>
      <c r="S3370" s="11" t="s">
        <v>19718</v>
      </c>
      <c r="T3370" s="6"/>
      <c r="U3370" s="15" t="str">
        <f>HYPERLINK("https://media.infra-m.ru/1254/1254670/cover/1254670.jpg", "Обложка")</f>
        <v>Обложка</v>
      </c>
      <c r="V3370" s="8" t="s">
        <v>11957</v>
      </c>
      <c r="W3370" s="6"/>
      <c r="X3370" s="6"/>
      <c r="Y3370" s="6"/>
      <c r="Z3370" s="6"/>
      <c r="AA3370" s="6" t="s">
        <v>1256</v>
      </c>
      <c r="AB3370" s="8"/>
      <c r="AC3370" s="27">
        <v>9785160148403</v>
      </c>
    </row>
    <row r="3371" spans="1:29" s="4" customFormat="1" ht="51.9" customHeight="1" x14ac:dyDescent="0.2">
      <c r="A3371" s="5">
        <v>0</v>
      </c>
      <c r="B3371" s="6" t="s">
        <v>19723</v>
      </c>
      <c r="C3371" s="7">
        <v>1548</v>
      </c>
      <c r="D3371" s="8" t="s">
        <v>19724</v>
      </c>
      <c r="E3371" s="8" t="s">
        <v>19721</v>
      </c>
      <c r="F3371" s="8" t="s">
        <v>19710</v>
      </c>
      <c r="G3371" s="6" t="s">
        <v>60</v>
      </c>
      <c r="H3371" s="6" t="s">
        <v>34</v>
      </c>
      <c r="I3371" s="8" t="s">
        <v>263</v>
      </c>
      <c r="J3371" s="9">
        <v>1</v>
      </c>
      <c r="K3371" s="9">
        <v>357</v>
      </c>
      <c r="L3371" s="9">
        <v>2021</v>
      </c>
      <c r="M3371" s="8" t="s">
        <v>19725</v>
      </c>
      <c r="N3371" s="8" t="s">
        <v>243</v>
      </c>
      <c r="O3371" s="8" t="s">
        <v>385</v>
      </c>
      <c r="P3371" s="6" t="s">
        <v>306</v>
      </c>
      <c r="Q3371" s="8" t="s">
        <v>265</v>
      </c>
      <c r="R3371" s="10" t="s">
        <v>19717</v>
      </c>
      <c r="S3371" s="11" t="s">
        <v>19718</v>
      </c>
      <c r="T3371" s="6"/>
      <c r="U3371" s="15" t="str">
        <f>HYPERLINK("https://media.infra-m.ru/1149/1149111/cover/1149111.jpg", "Обложка")</f>
        <v>Обложка</v>
      </c>
      <c r="V3371" s="8" t="s">
        <v>11957</v>
      </c>
      <c r="W3371" s="6"/>
      <c r="X3371" s="6"/>
      <c r="Y3371" s="6"/>
      <c r="Z3371" s="6" t="s">
        <v>267</v>
      </c>
      <c r="AA3371" s="6" t="s">
        <v>430</v>
      </c>
      <c r="AB3371" s="8"/>
      <c r="AC3371" s="27">
        <v>9785160164458</v>
      </c>
    </row>
    <row r="3372" spans="1:29" s="4" customFormat="1" ht="44.1" customHeight="1" x14ac:dyDescent="0.2">
      <c r="A3372" s="5">
        <v>0</v>
      </c>
      <c r="B3372" s="6" t="s">
        <v>19726</v>
      </c>
      <c r="C3372" s="7">
        <v>1668</v>
      </c>
      <c r="D3372" s="8" t="s">
        <v>19727</v>
      </c>
      <c r="E3372" s="8" t="s">
        <v>19728</v>
      </c>
      <c r="F3372" s="8" t="s">
        <v>19729</v>
      </c>
      <c r="G3372" s="6" t="s">
        <v>60</v>
      </c>
      <c r="H3372" s="6" t="s">
        <v>34</v>
      </c>
      <c r="I3372" s="8" t="s">
        <v>1074</v>
      </c>
      <c r="J3372" s="9">
        <v>1</v>
      </c>
      <c r="K3372" s="9">
        <v>232</v>
      </c>
      <c r="L3372" s="9">
        <v>2026</v>
      </c>
      <c r="M3372" s="8" t="s">
        <v>19730</v>
      </c>
      <c r="N3372" s="8" t="s">
        <v>243</v>
      </c>
      <c r="O3372" s="8" t="s">
        <v>385</v>
      </c>
      <c r="P3372" s="6" t="s">
        <v>39</v>
      </c>
      <c r="Q3372" s="8" t="s">
        <v>40</v>
      </c>
      <c r="R3372" s="10" t="s">
        <v>19731</v>
      </c>
      <c r="S3372" s="11"/>
      <c r="T3372" s="6"/>
      <c r="U3372" s="15" t="str">
        <f>HYPERLINK("https://media.infra-m.ru/2237/2237718/cover/2237718.jpg", "Обложка")</f>
        <v>Обложка</v>
      </c>
      <c r="V3372" s="8" t="s">
        <v>138</v>
      </c>
      <c r="W3372" s="6" t="s">
        <v>9380</v>
      </c>
      <c r="X3372" s="6"/>
      <c r="Y3372" s="6"/>
      <c r="Z3372" s="6"/>
      <c r="AA3372" s="6" t="s">
        <v>187</v>
      </c>
      <c r="AB3372" s="8"/>
      <c r="AC3372" s="27">
        <v>9785160217710</v>
      </c>
    </row>
    <row r="3373" spans="1:29" s="4" customFormat="1" ht="51.9" customHeight="1" x14ac:dyDescent="0.2">
      <c r="A3373" s="5">
        <v>0</v>
      </c>
      <c r="B3373" s="6" t="s">
        <v>19732</v>
      </c>
      <c r="C3373" s="7">
        <v>2388</v>
      </c>
      <c r="D3373" s="8" t="s">
        <v>19733</v>
      </c>
      <c r="E3373" s="8" t="s">
        <v>19734</v>
      </c>
      <c r="F3373" s="8" t="s">
        <v>19735</v>
      </c>
      <c r="G3373" s="6" t="s">
        <v>118</v>
      </c>
      <c r="H3373" s="6" t="s">
        <v>34</v>
      </c>
      <c r="I3373" s="8" t="s">
        <v>253</v>
      </c>
      <c r="J3373" s="9">
        <v>1</v>
      </c>
      <c r="K3373" s="9">
        <v>365</v>
      </c>
      <c r="L3373" s="9">
        <v>2026</v>
      </c>
      <c r="M3373" s="8" t="s">
        <v>19736</v>
      </c>
      <c r="N3373" s="8" t="s">
        <v>243</v>
      </c>
      <c r="O3373" s="8" t="s">
        <v>385</v>
      </c>
      <c r="P3373" s="6" t="s">
        <v>306</v>
      </c>
      <c r="Q3373" s="8" t="s">
        <v>52</v>
      </c>
      <c r="R3373" s="10" t="s">
        <v>19737</v>
      </c>
      <c r="S3373" s="11" t="s">
        <v>19738</v>
      </c>
      <c r="T3373" s="6" t="s">
        <v>97</v>
      </c>
      <c r="U3373" s="15" t="str">
        <f>HYPERLINK("https://media.infra-m.ru/2226/2226830/cover/2226830.jpg", "Обложка")</f>
        <v>Обложка</v>
      </c>
      <c r="V3373" s="8" t="s">
        <v>11957</v>
      </c>
      <c r="W3373" s="6"/>
      <c r="X3373" s="6"/>
      <c r="Y3373" s="6"/>
      <c r="Z3373" s="6"/>
      <c r="AA3373" s="6" t="s">
        <v>115</v>
      </c>
      <c r="AB3373" s="8"/>
      <c r="AC3373" s="27">
        <v>9785160189833</v>
      </c>
    </row>
    <row r="3374" spans="1:29" s="4" customFormat="1" ht="51.9" customHeight="1" x14ac:dyDescent="0.2">
      <c r="A3374" s="5">
        <v>0</v>
      </c>
      <c r="B3374" s="6" t="s">
        <v>19739</v>
      </c>
      <c r="C3374" s="7">
        <v>2388</v>
      </c>
      <c r="D3374" s="8" t="s">
        <v>19740</v>
      </c>
      <c r="E3374" s="8" t="s">
        <v>19741</v>
      </c>
      <c r="F3374" s="8" t="s">
        <v>19742</v>
      </c>
      <c r="G3374" s="6" t="s">
        <v>118</v>
      </c>
      <c r="H3374" s="6" t="s">
        <v>34</v>
      </c>
      <c r="I3374" s="8" t="s">
        <v>253</v>
      </c>
      <c r="J3374" s="9">
        <v>1</v>
      </c>
      <c r="K3374" s="9">
        <v>338</v>
      </c>
      <c r="L3374" s="9">
        <v>2026</v>
      </c>
      <c r="M3374" s="8" t="s">
        <v>19743</v>
      </c>
      <c r="N3374" s="8" t="s">
        <v>243</v>
      </c>
      <c r="O3374" s="8" t="s">
        <v>385</v>
      </c>
      <c r="P3374" s="6" t="s">
        <v>51</v>
      </c>
      <c r="Q3374" s="8" t="s">
        <v>52</v>
      </c>
      <c r="R3374" s="10" t="s">
        <v>19744</v>
      </c>
      <c r="S3374" s="11" t="s">
        <v>19745</v>
      </c>
      <c r="T3374" s="6"/>
      <c r="U3374" s="15" t="str">
        <f>HYPERLINK("https://media.infra-m.ru/2231/2231638/cover/2231638.jpg", "Обложка")</f>
        <v>Обложка</v>
      </c>
      <c r="V3374" s="8" t="s">
        <v>657</v>
      </c>
      <c r="W3374" s="6"/>
      <c r="X3374" s="6"/>
      <c r="Y3374" s="6"/>
      <c r="Z3374" s="6"/>
      <c r="AA3374" s="6" t="s">
        <v>430</v>
      </c>
      <c r="AB3374" s="8"/>
      <c r="AC3374" s="27">
        <v>9785160215952</v>
      </c>
    </row>
    <row r="3375" spans="1:29" s="4" customFormat="1" ht="51.9" customHeight="1" x14ac:dyDescent="0.2">
      <c r="A3375" s="5">
        <v>0</v>
      </c>
      <c r="B3375" s="6" t="s">
        <v>19746</v>
      </c>
      <c r="C3375" s="7">
        <v>2856</v>
      </c>
      <c r="D3375" s="8" t="s">
        <v>19747</v>
      </c>
      <c r="E3375" s="8" t="s">
        <v>19741</v>
      </c>
      <c r="F3375" s="8" t="s">
        <v>19748</v>
      </c>
      <c r="G3375" s="6" t="s">
        <v>60</v>
      </c>
      <c r="H3375" s="6" t="s">
        <v>34</v>
      </c>
      <c r="I3375" s="8" t="s">
        <v>253</v>
      </c>
      <c r="J3375" s="9">
        <v>1</v>
      </c>
      <c r="K3375" s="9">
        <v>411</v>
      </c>
      <c r="L3375" s="9">
        <v>2026</v>
      </c>
      <c r="M3375" s="8" t="s">
        <v>19749</v>
      </c>
      <c r="N3375" s="8" t="s">
        <v>243</v>
      </c>
      <c r="O3375" s="8" t="s">
        <v>385</v>
      </c>
      <c r="P3375" s="6" t="s">
        <v>51</v>
      </c>
      <c r="Q3375" s="8" t="s">
        <v>377</v>
      </c>
      <c r="R3375" s="10" t="s">
        <v>19750</v>
      </c>
      <c r="S3375" s="11" t="s">
        <v>19751</v>
      </c>
      <c r="T3375" s="6"/>
      <c r="U3375" s="15" t="str">
        <f>HYPERLINK("https://media.infra-m.ru/2258/2258679/cover/2258679.jpg", "Обложка")</f>
        <v>Обложка</v>
      </c>
      <c r="V3375" s="8" t="s">
        <v>6224</v>
      </c>
      <c r="W3375" s="6"/>
      <c r="X3375" s="6"/>
      <c r="Y3375" s="6"/>
      <c r="Z3375" s="6"/>
      <c r="AA3375" s="6" t="s">
        <v>1256</v>
      </c>
      <c r="AB3375" s="8"/>
      <c r="AC3375" s="27">
        <v>9785160222325</v>
      </c>
    </row>
    <row r="3376" spans="1:29" s="4" customFormat="1" ht="51.9" customHeight="1" x14ac:dyDescent="0.2">
      <c r="A3376" s="5">
        <v>0</v>
      </c>
      <c r="B3376" s="6" t="s">
        <v>19752</v>
      </c>
      <c r="C3376" s="7">
        <v>4196.3999999999996</v>
      </c>
      <c r="D3376" s="8" t="s">
        <v>19753</v>
      </c>
      <c r="E3376" s="8" t="s">
        <v>19754</v>
      </c>
      <c r="F3376" s="8" t="s">
        <v>19755</v>
      </c>
      <c r="G3376" s="6" t="s">
        <v>60</v>
      </c>
      <c r="H3376" s="6" t="s">
        <v>34</v>
      </c>
      <c r="I3376" s="8" t="s">
        <v>599</v>
      </c>
      <c r="J3376" s="9">
        <v>1</v>
      </c>
      <c r="K3376" s="9">
        <v>607</v>
      </c>
      <c r="L3376" s="9">
        <v>2026</v>
      </c>
      <c r="M3376" s="8" t="s">
        <v>19756</v>
      </c>
      <c r="N3376" s="8" t="s">
        <v>243</v>
      </c>
      <c r="O3376" s="8" t="s">
        <v>385</v>
      </c>
      <c r="P3376" s="6" t="s">
        <v>759</v>
      </c>
      <c r="Q3376" s="8" t="s">
        <v>40</v>
      </c>
      <c r="R3376" s="10" t="s">
        <v>19757</v>
      </c>
      <c r="S3376" s="11"/>
      <c r="T3376" s="6"/>
      <c r="U3376" s="15" t="str">
        <f>HYPERLINK("https://media.infra-m.ru/2231/2231636/cover/2231636.jpg", "Обложка")</f>
        <v>Обложка</v>
      </c>
      <c r="V3376" s="8" t="s">
        <v>19758</v>
      </c>
      <c r="W3376" s="6"/>
      <c r="X3376" s="6"/>
      <c r="Y3376" s="6"/>
      <c r="Z3376" s="6"/>
      <c r="AA3376" s="6" t="s">
        <v>258</v>
      </c>
      <c r="AB3376" s="8"/>
      <c r="AC3376" s="27">
        <v>9785160161228</v>
      </c>
    </row>
    <row r="3377" spans="1:29" s="4" customFormat="1" ht="51.9" customHeight="1" x14ac:dyDescent="0.2">
      <c r="A3377" s="5">
        <v>0</v>
      </c>
      <c r="B3377" s="6" t="s">
        <v>19759</v>
      </c>
      <c r="C3377" s="7">
        <v>2513.9</v>
      </c>
      <c r="D3377" s="8" t="s">
        <v>19760</v>
      </c>
      <c r="E3377" s="8" t="s">
        <v>19761</v>
      </c>
      <c r="F3377" s="8" t="s">
        <v>19762</v>
      </c>
      <c r="G3377" s="6" t="s">
        <v>60</v>
      </c>
      <c r="H3377" s="6" t="s">
        <v>48</v>
      </c>
      <c r="I3377" s="8" t="s">
        <v>253</v>
      </c>
      <c r="J3377" s="9">
        <v>1</v>
      </c>
      <c r="K3377" s="9">
        <v>608</v>
      </c>
      <c r="L3377" s="9">
        <v>2020</v>
      </c>
      <c r="M3377" s="8" t="s">
        <v>19763</v>
      </c>
      <c r="N3377" s="8" t="s">
        <v>243</v>
      </c>
      <c r="O3377" s="8" t="s">
        <v>385</v>
      </c>
      <c r="P3377" s="6" t="s">
        <v>601</v>
      </c>
      <c r="Q3377" s="8" t="s">
        <v>40</v>
      </c>
      <c r="R3377" s="10" t="s">
        <v>19757</v>
      </c>
      <c r="S3377" s="11"/>
      <c r="T3377" s="6"/>
      <c r="U3377" s="15" t="str">
        <f>HYPERLINK("https://media.infra-m.ru/1052/1052196/cover/1052196.jpg", "Обложка")</f>
        <v>Обложка</v>
      </c>
      <c r="V3377" s="8" t="s">
        <v>19758</v>
      </c>
      <c r="W3377" s="6"/>
      <c r="X3377" s="6"/>
      <c r="Y3377" s="6"/>
      <c r="Z3377" s="6"/>
      <c r="AA3377" s="6" t="s">
        <v>779</v>
      </c>
      <c r="AB3377" s="8"/>
      <c r="AC3377" s="27">
        <v>9785000911778</v>
      </c>
    </row>
    <row r="3378" spans="1:29" s="4" customFormat="1" ht="51.9" customHeight="1" x14ac:dyDescent="0.2">
      <c r="A3378" s="5">
        <v>0</v>
      </c>
      <c r="B3378" s="6" t="s">
        <v>19764</v>
      </c>
      <c r="C3378" s="7">
        <v>2200.8000000000002</v>
      </c>
      <c r="D3378" s="8" t="s">
        <v>19765</v>
      </c>
      <c r="E3378" s="8" t="s">
        <v>19766</v>
      </c>
      <c r="F3378" s="8" t="s">
        <v>19767</v>
      </c>
      <c r="G3378" s="6" t="s">
        <v>118</v>
      </c>
      <c r="H3378" s="6" t="s">
        <v>34</v>
      </c>
      <c r="I3378" s="8" t="s">
        <v>271</v>
      </c>
      <c r="J3378" s="9">
        <v>1</v>
      </c>
      <c r="K3378" s="9">
        <v>334</v>
      </c>
      <c r="L3378" s="9">
        <v>2026</v>
      </c>
      <c r="M3378" s="8" t="s">
        <v>19768</v>
      </c>
      <c r="N3378" s="8" t="s">
        <v>243</v>
      </c>
      <c r="O3378" s="8" t="s">
        <v>385</v>
      </c>
      <c r="P3378" s="6" t="s">
        <v>51</v>
      </c>
      <c r="Q3378" s="8" t="s">
        <v>52</v>
      </c>
      <c r="R3378" s="10" t="s">
        <v>19769</v>
      </c>
      <c r="S3378" s="11" t="s">
        <v>8085</v>
      </c>
      <c r="T3378" s="6"/>
      <c r="U3378" s="15" t="str">
        <f>HYPERLINK("https://media.infra-m.ru/2231/2231635/cover/2231635.jpg", "Обложка")</f>
        <v>Обложка</v>
      </c>
      <c r="V3378" s="8" t="s">
        <v>527</v>
      </c>
      <c r="W3378" s="6"/>
      <c r="X3378" s="6"/>
      <c r="Y3378" s="6"/>
      <c r="Z3378" s="6"/>
      <c r="AA3378" s="6" t="s">
        <v>55</v>
      </c>
      <c r="AB3378" s="8"/>
      <c r="AC3378" s="27">
        <v>9785160066646</v>
      </c>
    </row>
    <row r="3379" spans="1:29" s="4" customFormat="1" ht="44.1" customHeight="1" x14ac:dyDescent="0.2">
      <c r="A3379" s="5">
        <v>0</v>
      </c>
      <c r="B3379" s="6" t="s">
        <v>19770</v>
      </c>
      <c r="C3379" s="7">
        <v>1408.8</v>
      </c>
      <c r="D3379" s="8" t="s">
        <v>19771</v>
      </c>
      <c r="E3379" s="8" t="s">
        <v>19772</v>
      </c>
      <c r="F3379" s="8" t="s">
        <v>14871</v>
      </c>
      <c r="G3379" s="6" t="s">
        <v>33</v>
      </c>
      <c r="H3379" s="6" t="s">
        <v>34</v>
      </c>
      <c r="I3379" s="8" t="s">
        <v>35</v>
      </c>
      <c r="J3379" s="9">
        <v>1</v>
      </c>
      <c r="K3379" s="9">
        <v>213</v>
      </c>
      <c r="L3379" s="9">
        <v>2026</v>
      </c>
      <c r="M3379" s="8" t="s">
        <v>19773</v>
      </c>
      <c r="N3379" s="8" t="s">
        <v>243</v>
      </c>
      <c r="O3379" s="8" t="s">
        <v>385</v>
      </c>
      <c r="P3379" s="6" t="s">
        <v>39</v>
      </c>
      <c r="Q3379" s="8" t="s">
        <v>40</v>
      </c>
      <c r="R3379" s="10" t="s">
        <v>19774</v>
      </c>
      <c r="S3379" s="11"/>
      <c r="T3379" s="6"/>
      <c r="U3379" s="15" t="str">
        <f>HYPERLINK("https://media.infra-m.ru/2179/2179395/cover/2179395.jpg", "Обложка")</f>
        <v>Обложка</v>
      </c>
      <c r="V3379" s="8" t="s">
        <v>414</v>
      </c>
      <c r="W3379" s="6"/>
      <c r="X3379" s="6"/>
      <c r="Y3379" s="6"/>
      <c r="Z3379" s="6"/>
      <c r="AA3379" s="6" t="s">
        <v>148</v>
      </c>
      <c r="AB3379" s="8"/>
      <c r="AC3379" s="27">
        <v>9785160177625</v>
      </c>
    </row>
    <row r="3380" spans="1:29" s="4" customFormat="1" ht="51.9" customHeight="1" x14ac:dyDescent="0.2">
      <c r="A3380" s="5">
        <v>0</v>
      </c>
      <c r="B3380" s="6" t="s">
        <v>19775</v>
      </c>
      <c r="C3380" s="7">
        <v>2268</v>
      </c>
      <c r="D3380" s="8" t="s">
        <v>19776</v>
      </c>
      <c r="E3380" s="8" t="s">
        <v>19777</v>
      </c>
      <c r="F3380" s="8" t="s">
        <v>19778</v>
      </c>
      <c r="G3380" s="6" t="s">
        <v>118</v>
      </c>
      <c r="H3380" s="6" t="s">
        <v>34</v>
      </c>
      <c r="I3380" s="8" t="s">
        <v>253</v>
      </c>
      <c r="J3380" s="9">
        <v>1</v>
      </c>
      <c r="K3380" s="9">
        <v>342</v>
      </c>
      <c r="L3380" s="9">
        <v>2026</v>
      </c>
      <c r="M3380" s="8" t="s">
        <v>19779</v>
      </c>
      <c r="N3380" s="8" t="s">
        <v>243</v>
      </c>
      <c r="O3380" s="8" t="s">
        <v>385</v>
      </c>
      <c r="P3380" s="6" t="s">
        <v>51</v>
      </c>
      <c r="Q3380" s="8" t="s">
        <v>377</v>
      </c>
      <c r="R3380" s="10" t="s">
        <v>3883</v>
      </c>
      <c r="S3380" s="11" t="s">
        <v>19780</v>
      </c>
      <c r="T3380" s="6"/>
      <c r="U3380" s="15" t="str">
        <f>HYPERLINK("https://media.infra-m.ru/2231/2231633/cover/2231633.jpg", "Обложка")</f>
        <v>Обложка</v>
      </c>
      <c r="V3380" s="8" t="s">
        <v>42</v>
      </c>
      <c r="W3380" s="6"/>
      <c r="X3380" s="6"/>
      <c r="Y3380" s="6"/>
      <c r="Z3380" s="6"/>
      <c r="AA3380" s="6" t="s">
        <v>148</v>
      </c>
      <c r="AB3380" s="8"/>
      <c r="AC3380" s="27">
        <v>9785160215983</v>
      </c>
    </row>
    <row r="3381" spans="1:29" s="4" customFormat="1" ht="42" customHeight="1" x14ac:dyDescent="0.2">
      <c r="A3381" s="5">
        <v>0</v>
      </c>
      <c r="B3381" s="6" t="s">
        <v>19781</v>
      </c>
      <c r="C3381" s="7">
        <v>2940</v>
      </c>
      <c r="D3381" s="8" t="s">
        <v>19782</v>
      </c>
      <c r="E3381" s="8" t="s">
        <v>19783</v>
      </c>
      <c r="F3381" s="8" t="s">
        <v>450</v>
      </c>
      <c r="G3381" s="6" t="s">
        <v>60</v>
      </c>
      <c r="H3381" s="6" t="s">
        <v>34</v>
      </c>
      <c r="I3381" s="8" t="s">
        <v>2579</v>
      </c>
      <c r="J3381" s="9">
        <v>1</v>
      </c>
      <c r="K3381" s="9">
        <v>427</v>
      </c>
      <c r="L3381" s="9">
        <v>2026</v>
      </c>
      <c r="M3381" s="8" t="s">
        <v>19784</v>
      </c>
      <c r="N3381" s="8" t="s">
        <v>63</v>
      </c>
      <c r="O3381" s="8" t="s">
        <v>64</v>
      </c>
      <c r="P3381" s="6" t="s">
        <v>306</v>
      </c>
      <c r="Q3381" s="8" t="s">
        <v>65</v>
      </c>
      <c r="R3381" s="10" t="s">
        <v>378</v>
      </c>
      <c r="S3381" s="11"/>
      <c r="T3381" s="6"/>
      <c r="U3381" s="15" t="str">
        <f>HYPERLINK("https://media.infra-m.ru/2227/2227063/cover/2227063.jpg", "Обложка")</f>
        <v>Обложка</v>
      </c>
      <c r="V3381" s="8" t="s">
        <v>247</v>
      </c>
      <c r="W3381" s="6" t="s">
        <v>528</v>
      </c>
      <c r="X3381" s="6"/>
      <c r="Y3381" s="6"/>
      <c r="Z3381" s="6"/>
      <c r="AA3381" s="6" t="s">
        <v>187</v>
      </c>
      <c r="AB3381" s="8" t="s">
        <v>308</v>
      </c>
      <c r="AC3381" s="27">
        <v>9785160214818</v>
      </c>
    </row>
    <row r="3382" spans="1:29" s="4" customFormat="1" ht="51.9" customHeight="1" x14ac:dyDescent="0.2">
      <c r="A3382" s="5">
        <v>0</v>
      </c>
      <c r="B3382" s="6" t="s">
        <v>19785</v>
      </c>
      <c r="C3382" s="7">
        <v>3648</v>
      </c>
      <c r="D3382" s="8" t="s">
        <v>19786</v>
      </c>
      <c r="E3382" s="8" t="s">
        <v>19787</v>
      </c>
      <c r="F3382" s="8" t="s">
        <v>450</v>
      </c>
      <c r="G3382" s="6" t="s">
        <v>60</v>
      </c>
      <c r="H3382" s="6" t="s">
        <v>34</v>
      </c>
      <c r="I3382" s="8" t="s">
        <v>2579</v>
      </c>
      <c r="J3382" s="9">
        <v>1</v>
      </c>
      <c r="K3382" s="9">
        <v>553</v>
      </c>
      <c r="L3382" s="9">
        <v>2026</v>
      </c>
      <c r="M3382" s="8" t="s">
        <v>19788</v>
      </c>
      <c r="N3382" s="8" t="s">
        <v>63</v>
      </c>
      <c r="O3382" s="8" t="s">
        <v>64</v>
      </c>
      <c r="P3382" s="6" t="s">
        <v>306</v>
      </c>
      <c r="Q3382" s="8" t="s">
        <v>65</v>
      </c>
      <c r="R3382" s="10" t="s">
        <v>19789</v>
      </c>
      <c r="S3382" s="11"/>
      <c r="T3382" s="6"/>
      <c r="U3382" s="15" t="str">
        <f>HYPERLINK("https://media.infra-m.ru/2223/2223641/cover/2223641.jpg", "Обложка")</f>
        <v>Обложка</v>
      </c>
      <c r="V3382" s="8" t="s">
        <v>247</v>
      </c>
      <c r="W3382" s="6" t="s">
        <v>2941</v>
      </c>
      <c r="X3382" s="6"/>
      <c r="Y3382" s="6"/>
      <c r="Z3382" s="6"/>
      <c r="AA3382" s="6" t="s">
        <v>187</v>
      </c>
      <c r="AB3382" s="8" t="s">
        <v>308</v>
      </c>
      <c r="AC3382" s="27">
        <v>9785160214115</v>
      </c>
    </row>
    <row r="3383" spans="1:29" s="4" customFormat="1" ht="51.9" customHeight="1" x14ac:dyDescent="0.2">
      <c r="A3383" s="5">
        <v>0</v>
      </c>
      <c r="B3383" s="6" t="s">
        <v>19790</v>
      </c>
      <c r="C3383" s="7">
        <v>1960.8</v>
      </c>
      <c r="D3383" s="8" t="s">
        <v>19791</v>
      </c>
      <c r="E3383" s="8" t="s">
        <v>19792</v>
      </c>
      <c r="F3383" s="8" t="s">
        <v>19710</v>
      </c>
      <c r="G3383" s="6" t="s">
        <v>118</v>
      </c>
      <c r="H3383" s="6" t="s">
        <v>34</v>
      </c>
      <c r="I3383" s="8" t="s">
        <v>253</v>
      </c>
      <c r="J3383" s="9">
        <v>1</v>
      </c>
      <c r="K3383" s="9">
        <v>298</v>
      </c>
      <c r="L3383" s="9">
        <v>2026</v>
      </c>
      <c r="M3383" s="8" t="s">
        <v>19793</v>
      </c>
      <c r="N3383" s="8" t="s">
        <v>243</v>
      </c>
      <c r="O3383" s="8" t="s">
        <v>385</v>
      </c>
      <c r="P3383" s="6" t="s">
        <v>306</v>
      </c>
      <c r="Q3383" s="8" t="s">
        <v>377</v>
      </c>
      <c r="R3383" s="10" t="s">
        <v>19794</v>
      </c>
      <c r="S3383" s="11" t="s">
        <v>19738</v>
      </c>
      <c r="T3383" s="6"/>
      <c r="U3383" s="15" t="str">
        <f>HYPERLINK("https://media.infra-m.ru/2231/2231631/cover/2231631.jpg", "Обложка")</f>
        <v>Обложка</v>
      </c>
      <c r="V3383" s="8" t="s">
        <v>11957</v>
      </c>
      <c r="W3383" s="6"/>
      <c r="X3383" s="6"/>
      <c r="Y3383" s="6"/>
      <c r="Z3383" s="6"/>
      <c r="AA3383" s="6" t="s">
        <v>115</v>
      </c>
      <c r="AB3383" s="8" t="s">
        <v>1317</v>
      </c>
      <c r="AC3383" s="27">
        <v>9785160203034</v>
      </c>
    </row>
    <row r="3384" spans="1:29" s="4" customFormat="1" ht="51.9" customHeight="1" x14ac:dyDescent="0.2">
      <c r="A3384" s="5">
        <v>0</v>
      </c>
      <c r="B3384" s="6" t="s">
        <v>19795</v>
      </c>
      <c r="C3384" s="7">
        <v>1276.8</v>
      </c>
      <c r="D3384" s="8" t="s">
        <v>19796</v>
      </c>
      <c r="E3384" s="8" t="s">
        <v>19797</v>
      </c>
      <c r="F3384" s="8" t="s">
        <v>19798</v>
      </c>
      <c r="G3384" s="6" t="s">
        <v>118</v>
      </c>
      <c r="H3384" s="6" t="s">
        <v>34</v>
      </c>
      <c r="I3384" s="8" t="s">
        <v>253</v>
      </c>
      <c r="J3384" s="9">
        <v>1</v>
      </c>
      <c r="K3384" s="9">
        <v>193</v>
      </c>
      <c r="L3384" s="9">
        <v>2026</v>
      </c>
      <c r="M3384" s="8" t="s">
        <v>19799</v>
      </c>
      <c r="N3384" s="8" t="s">
        <v>37</v>
      </c>
      <c r="O3384" s="8" t="s">
        <v>136</v>
      </c>
      <c r="P3384" s="6" t="s">
        <v>306</v>
      </c>
      <c r="Q3384" s="8" t="s">
        <v>65</v>
      </c>
      <c r="R3384" s="10" t="s">
        <v>19800</v>
      </c>
      <c r="S3384" s="11" t="s">
        <v>19801</v>
      </c>
      <c r="T3384" s="6"/>
      <c r="U3384" s="15" t="str">
        <f>HYPERLINK("https://media.infra-m.ru/2231/2231630/cover/2231630.jpg", "Обложка")</f>
        <v>Обложка</v>
      </c>
      <c r="V3384" s="8" t="s">
        <v>2529</v>
      </c>
      <c r="W3384" s="6"/>
      <c r="X3384" s="6"/>
      <c r="Y3384" s="6"/>
      <c r="Z3384" s="6"/>
      <c r="AA3384" s="6" t="s">
        <v>148</v>
      </c>
      <c r="AB3384" s="8"/>
      <c r="AC3384" s="27">
        <v>9785160185514</v>
      </c>
    </row>
    <row r="3385" spans="1:29" s="4" customFormat="1" ht="42" customHeight="1" x14ac:dyDescent="0.2">
      <c r="A3385" s="5">
        <v>0</v>
      </c>
      <c r="B3385" s="6" t="s">
        <v>19802</v>
      </c>
      <c r="C3385" s="7">
        <v>1536</v>
      </c>
      <c r="D3385" s="8" t="s">
        <v>19803</v>
      </c>
      <c r="E3385" s="8" t="s">
        <v>19804</v>
      </c>
      <c r="F3385" s="8" t="s">
        <v>19805</v>
      </c>
      <c r="G3385" s="6" t="s">
        <v>118</v>
      </c>
      <c r="H3385" s="6" t="s">
        <v>34</v>
      </c>
      <c r="I3385" s="8" t="s">
        <v>253</v>
      </c>
      <c r="J3385" s="9">
        <v>1</v>
      </c>
      <c r="K3385" s="9">
        <v>231</v>
      </c>
      <c r="L3385" s="9">
        <v>2026</v>
      </c>
      <c r="M3385" s="8" t="s">
        <v>19806</v>
      </c>
      <c r="N3385" s="8" t="s">
        <v>243</v>
      </c>
      <c r="O3385" s="8" t="s">
        <v>385</v>
      </c>
      <c r="P3385" s="6" t="s">
        <v>306</v>
      </c>
      <c r="Q3385" s="8" t="s">
        <v>52</v>
      </c>
      <c r="R3385" s="10" t="s">
        <v>19807</v>
      </c>
      <c r="S3385" s="11"/>
      <c r="T3385" s="6"/>
      <c r="U3385" s="15" t="str">
        <f>HYPERLINK("https://media.infra-m.ru/2231/2231627/cover/2231627.jpg", "Обложка")</f>
        <v>Обложка</v>
      </c>
      <c r="V3385" s="8" t="s">
        <v>1647</v>
      </c>
      <c r="W3385" s="6"/>
      <c r="X3385" s="6"/>
      <c r="Y3385" s="6"/>
      <c r="Z3385" s="6"/>
      <c r="AA3385" s="6" t="s">
        <v>157</v>
      </c>
      <c r="AB3385" s="8" t="s">
        <v>1785</v>
      </c>
      <c r="AC3385" s="27">
        <v>9785160182162</v>
      </c>
    </row>
    <row r="3386" spans="1:29" s="4" customFormat="1" ht="51.9" customHeight="1" x14ac:dyDescent="0.2">
      <c r="A3386" s="5">
        <v>0</v>
      </c>
      <c r="B3386" s="6" t="s">
        <v>19808</v>
      </c>
      <c r="C3386" s="7">
        <v>1168.8</v>
      </c>
      <c r="D3386" s="8" t="s">
        <v>19809</v>
      </c>
      <c r="E3386" s="8" t="s">
        <v>19804</v>
      </c>
      <c r="F3386" s="8" t="s">
        <v>19810</v>
      </c>
      <c r="G3386" s="6" t="s">
        <v>33</v>
      </c>
      <c r="H3386" s="6" t="s">
        <v>34</v>
      </c>
      <c r="I3386" s="8" t="s">
        <v>253</v>
      </c>
      <c r="J3386" s="9">
        <v>1</v>
      </c>
      <c r="K3386" s="9">
        <v>176</v>
      </c>
      <c r="L3386" s="9">
        <v>2026</v>
      </c>
      <c r="M3386" s="8" t="s">
        <v>19811</v>
      </c>
      <c r="N3386" s="8" t="s">
        <v>243</v>
      </c>
      <c r="O3386" s="8" t="s">
        <v>385</v>
      </c>
      <c r="P3386" s="6" t="s">
        <v>51</v>
      </c>
      <c r="Q3386" s="8" t="s">
        <v>749</v>
      </c>
      <c r="R3386" s="10" t="s">
        <v>19812</v>
      </c>
      <c r="S3386" s="11" t="s">
        <v>19813</v>
      </c>
      <c r="T3386" s="6"/>
      <c r="U3386" s="15" t="str">
        <f>HYPERLINK("https://media.infra-m.ru/2224/2224137/cover/2224137.jpg", "Обложка")</f>
        <v>Обложка</v>
      </c>
      <c r="V3386" s="8" t="s">
        <v>19814</v>
      </c>
      <c r="W3386" s="6"/>
      <c r="X3386" s="6"/>
      <c r="Y3386" s="6"/>
      <c r="Z3386" s="6"/>
      <c r="AA3386" s="6" t="s">
        <v>274</v>
      </c>
      <c r="AB3386" s="8"/>
      <c r="AC3386" s="27">
        <v>9785160092263</v>
      </c>
    </row>
    <row r="3387" spans="1:29" s="4" customFormat="1" ht="51.9" customHeight="1" x14ac:dyDescent="0.2">
      <c r="A3387" s="5">
        <v>0</v>
      </c>
      <c r="B3387" s="6" t="s">
        <v>19815</v>
      </c>
      <c r="C3387" s="7">
        <v>2998.8</v>
      </c>
      <c r="D3387" s="8" t="s">
        <v>19816</v>
      </c>
      <c r="E3387" s="8" t="s">
        <v>19817</v>
      </c>
      <c r="F3387" s="8" t="s">
        <v>19818</v>
      </c>
      <c r="G3387" s="6" t="s">
        <v>118</v>
      </c>
      <c r="H3387" s="6" t="s">
        <v>34</v>
      </c>
      <c r="I3387" s="8" t="s">
        <v>5350</v>
      </c>
      <c r="J3387" s="9">
        <v>1</v>
      </c>
      <c r="K3387" s="9">
        <v>218</v>
      </c>
      <c r="L3387" s="9">
        <v>2026</v>
      </c>
      <c r="M3387" s="8" t="s">
        <v>19819</v>
      </c>
      <c r="N3387" s="8" t="s">
        <v>243</v>
      </c>
      <c r="O3387" s="8" t="s">
        <v>385</v>
      </c>
      <c r="P3387" s="6" t="s">
        <v>51</v>
      </c>
      <c r="Q3387" s="8" t="s">
        <v>377</v>
      </c>
      <c r="R3387" s="10" t="s">
        <v>19750</v>
      </c>
      <c r="S3387" s="11" t="s">
        <v>19820</v>
      </c>
      <c r="T3387" s="6"/>
      <c r="U3387" s="15" t="str">
        <f>HYPERLINK("https://media.infra-m.ru/2231/2231626/cover/2231626.jpg", "Обложка")</f>
        <v>Обложка</v>
      </c>
      <c r="V3387" s="8" t="s">
        <v>8054</v>
      </c>
      <c r="W3387" s="6"/>
      <c r="X3387" s="6"/>
      <c r="Y3387" s="6"/>
      <c r="Z3387" s="6"/>
      <c r="AA3387" s="6" t="s">
        <v>115</v>
      </c>
      <c r="AB3387" s="8"/>
      <c r="AC3387" s="27">
        <v>9785160152936</v>
      </c>
    </row>
    <row r="3388" spans="1:29" s="4" customFormat="1" ht="51.9" customHeight="1" x14ac:dyDescent="0.2">
      <c r="A3388" s="5">
        <v>0</v>
      </c>
      <c r="B3388" s="6" t="s">
        <v>19821</v>
      </c>
      <c r="C3388" s="13">
        <v>984</v>
      </c>
      <c r="D3388" s="8" t="s">
        <v>19822</v>
      </c>
      <c r="E3388" s="8" t="s">
        <v>19823</v>
      </c>
      <c r="F3388" s="8" t="s">
        <v>19824</v>
      </c>
      <c r="G3388" s="6" t="s">
        <v>60</v>
      </c>
      <c r="H3388" s="6" t="s">
        <v>34</v>
      </c>
      <c r="I3388" s="8" t="s">
        <v>4459</v>
      </c>
      <c r="J3388" s="9">
        <v>1</v>
      </c>
      <c r="K3388" s="9">
        <v>142</v>
      </c>
      <c r="L3388" s="9">
        <v>2025</v>
      </c>
      <c r="M3388" s="8" t="s">
        <v>19825</v>
      </c>
      <c r="N3388" s="8" t="s">
        <v>37</v>
      </c>
      <c r="O3388" s="8" t="s">
        <v>136</v>
      </c>
      <c r="P3388" s="6" t="s">
        <v>3141</v>
      </c>
      <c r="Q3388" s="8" t="s">
        <v>40</v>
      </c>
      <c r="R3388" s="10" t="s">
        <v>1661</v>
      </c>
      <c r="S3388" s="11"/>
      <c r="T3388" s="6"/>
      <c r="U3388" s="15" t="str">
        <f>HYPERLINK("https://media.infra-m.ru/2135/2135823/cover/2135823.jpg", "Обложка")</f>
        <v>Обложка</v>
      </c>
      <c r="V3388" s="8" t="s">
        <v>1231</v>
      </c>
      <c r="W3388" s="6"/>
      <c r="X3388" s="6"/>
      <c r="Y3388" s="6"/>
      <c r="Z3388" s="6"/>
      <c r="AA3388" s="6" t="s">
        <v>68</v>
      </c>
      <c r="AB3388" s="8"/>
      <c r="AC3388" s="27">
        <v>9785160197494</v>
      </c>
    </row>
    <row r="3389" spans="1:29" s="4" customFormat="1" ht="42" customHeight="1" x14ac:dyDescent="0.2">
      <c r="A3389" s="5">
        <v>0</v>
      </c>
      <c r="B3389" s="6" t="s">
        <v>19826</v>
      </c>
      <c r="C3389" s="7">
        <v>1049.9000000000001</v>
      </c>
      <c r="D3389" s="8" t="s">
        <v>19827</v>
      </c>
      <c r="E3389" s="8" t="s">
        <v>19828</v>
      </c>
      <c r="F3389" s="8" t="s">
        <v>2212</v>
      </c>
      <c r="G3389" s="6" t="s">
        <v>60</v>
      </c>
      <c r="H3389" s="6" t="s">
        <v>34</v>
      </c>
      <c r="I3389" s="8" t="s">
        <v>35</v>
      </c>
      <c r="J3389" s="9">
        <v>1</v>
      </c>
      <c r="K3389" s="9">
        <v>194</v>
      </c>
      <c r="L3389" s="9">
        <v>2023</v>
      </c>
      <c r="M3389" s="8" t="s">
        <v>19829</v>
      </c>
      <c r="N3389" s="8" t="s">
        <v>37</v>
      </c>
      <c r="O3389" s="8" t="s">
        <v>83</v>
      </c>
      <c r="P3389" s="6" t="s">
        <v>39</v>
      </c>
      <c r="Q3389" s="8" t="s">
        <v>40</v>
      </c>
      <c r="R3389" s="10" t="s">
        <v>19830</v>
      </c>
      <c r="S3389" s="11"/>
      <c r="T3389" s="6"/>
      <c r="U3389" s="15" t="str">
        <f>HYPERLINK("https://media.infra-m.ru/2001/2001666/cover/2001666.jpg", "Обложка")</f>
        <v>Обложка</v>
      </c>
      <c r="V3389" s="8" t="s">
        <v>2215</v>
      </c>
      <c r="W3389" s="6"/>
      <c r="X3389" s="6"/>
      <c r="Y3389" s="6"/>
      <c r="Z3389" s="6"/>
      <c r="AA3389" s="6" t="s">
        <v>779</v>
      </c>
      <c r="AB3389" s="8"/>
      <c r="AC3389" s="27">
        <v>9785160120355</v>
      </c>
    </row>
    <row r="3390" spans="1:29" s="4" customFormat="1" ht="51.9" customHeight="1" x14ac:dyDescent="0.2">
      <c r="A3390" s="5">
        <v>0</v>
      </c>
      <c r="B3390" s="6" t="s">
        <v>19831</v>
      </c>
      <c r="C3390" s="7">
        <v>1852.8</v>
      </c>
      <c r="D3390" s="8" t="s">
        <v>19832</v>
      </c>
      <c r="E3390" s="8" t="s">
        <v>19833</v>
      </c>
      <c r="F3390" s="8" t="s">
        <v>17449</v>
      </c>
      <c r="G3390" s="6" t="s">
        <v>60</v>
      </c>
      <c r="H3390" s="6" t="s">
        <v>34</v>
      </c>
      <c r="I3390" s="8" t="s">
        <v>504</v>
      </c>
      <c r="J3390" s="9">
        <v>1</v>
      </c>
      <c r="K3390" s="9">
        <v>342</v>
      </c>
      <c r="L3390" s="9">
        <v>2023</v>
      </c>
      <c r="M3390" s="8" t="s">
        <v>19834</v>
      </c>
      <c r="N3390" s="8" t="s">
        <v>37</v>
      </c>
      <c r="O3390" s="8" t="s">
        <v>50</v>
      </c>
      <c r="P3390" s="6" t="s">
        <v>51</v>
      </c>
      <c r="Q3390" s="8" t="s">
        <v>500</v>
      </c>
      <c r="R3390" s="10" t="s">
        <v>19835</v>
      </c>
      <c r="S3390" s="11" t="s">
        <v>19836</v>
      </c>
      <c r="T3390" s="6"/>
      <c r="U3390" s="15" t="str">
        <f>HYPERLINK("https://media.infra-m.ru/2030/2030884/cover/2030884.jpg", "Обложка")</f>
        <v>Обложка</v>
      </c>
      <c r="V3390" s="8" t="s">
        <v>17452</v>
      </c>
      <c r="W3390" s="6"/>
      <c r="X3390" s="6"/>
      <c r="Y3390" s="6"/>
      <c r="Z3390" s="6"/>
      <c r="AA3390" s="6" t="s">
        <v>430</v>
      </c>
      <c r="AB3390" s="8"/>
      <c r="AC3390" s="27">
        <v>9785160147284</v>
      </c>
    </row>
    <row r="3391" spans="1:29" s="4" customFormat="1" ht="51.9" customHeight="1" x14ac:dyDescent="0.2">
      <c r="A3391" s="5">
        <v>0</v>
      </c>
      <c r="B3391" s="6" t="s">
        <v>19837</v>
      </c>
      <c r="C3391" s="7">
        <v>1260</v>
      </c>
      <c r="D3391" s="8" t="s">
        <v>19838</v>
      </c>
      <c r="E3391" s="8" t="s">
        <v>19839</v>
      </c>
      <c r="F3391" s="8" t="s">
        <v>19840</v>
      </c>
      <c r="G3391" s="6" t="s">
        <v>118</v>
      </c>
      <c r="H3391" s="6" t="s">
        <v>34</v>
      </c>
      <c r="I3391" s="8" t="s">
        <v>253</v>
      </c>
      <c r="J3391" s="9">
        <v>1</v>
      </c>
      <c r="K3391" s="9">
        <v>190</v>
      </c>
      <c r="L3391" s="9">
        <v>2026</v>
      </c>
      <c r="M3391" s="8" t="s">
        <v>19841</v>
      </c>
      <c r="N3391" s="8" t="s">
        <v>37</v>
      </c>
      <c r="O3391" s="8" t="s">
        <v>233</v>
      </c>
      <c r="P3391" s="6" t="s">
        <v>306</v>
      </c>
      <c r="Q3391" s="8" t="s">
        <v>52</v>
      </c>
      <c r="R3391" s="10" t="s">
        <v>19842</v>
      </c>
      <c r="S3391" s="11" t="s">
        <v>19843</v>
      </c>
      <c r="T3391" s="6"/>
      <c r="U3391" s="15" t="str">
        <f>HYPERLINK("https://media.infra-m.ru/2213/2213022/cover/2213022.jpg", "Обложка")</f>
        <v>Обложка</v>
      </c>
      <c r="V3391" s="8" t="s">
        <v>657</v>
      </c>
      <c r="W3391" s="6"/>
      <c r="X3391" s="6"/>
      <c r="Y3391" s="6"/>
      <c r="Z3391" s="6"/>
      <c r="AA3391" s="6" t="s">
        <v>115</v>
      </c>
      <c r="AB3391" s="8"/>
      <c r="AC3391" s="27">
        <v>9785160210933</v>
      </c>
    </row>
    <row r="3392" spans="1:29" s="4" customFormat="1" ht="42" customHeight="1" x14ac:dyDescent="0.2">
      <c r="A3392" s="5">
        <v>0</v>
      </c>
      <c r="B3392" s="6" t="s">
        <v>19844</v>
      </c>
      <c r="C3392" s="13">
        <v>828</v>
      </c>
      <c r="D3392" s="8" t="s">
        <v>19845</v>
      </c>
      <c r="E3392" s="8" t="s">
        <v>19846</v>
      </c>
      <c r="F3392" s="8" t="s">
        <v>19847</v>
      </c>
      <c r="G3392" s="6" t="s">
        <v>33</v>
      </c>
      <c r="H3392" s="6" t="s">
        <v>313</v>
      </c>
      <c r="I3392" s="8" t="s">
        <v>392</v>
      </c>
      <c r="J3392" s="9">
        <v>1</v>
      </c>
      <c r="K3392" s="9">
        <v>152</v>
      </c>
      <c r="L3392" s="9">
        <v>2023</v>
      </c>
      <c r="M3392" s="8" t="s">
        <v>19848</v>
      </c>
      <c r="N3392" s="8" t="s">
        <v>37</v>
      </c>
      <c r="O3392" s="8" t="s">
        <v>136</v>
      </c>
      <c r="P3392" s="6" t="s">
        <v>51</v>
      </c>
      <c r="Q3392" s="8" t="s">
        <v>52</v>
      </c>
      <c r="R3392" s="10" t="s">
        <v>1255</v>
      </c>
      <c r="S3392" s="11"/>
      <c r="T3392" s="6"/>
      <c r="U3392" s="15" t="str">
        <f>HYPERLINK("https://media.infra-m.ru/1960/1960117/cover/1960117.jpg", "Обложка")</f>
        <v>Обложка</v>
      </c>
      <c r="V3392" s="8" t="s">
        <v>512</v>
      </c>
      <c r="W3392" s="6"/>
      <c r="X3392" s="6"/>
      <c r="Y3392" s="6"/>
      <c r="Z3392" s="6"/>
      <c r="AA3392" s="6" t="s">
        <v>148</v>
      </c>
      <c r="AB3392" s="8"/>
      <c r="AC3392" s="27">
        <v>9785369018712</v>
      </c>
    </row>
    <row r="3393" spans="1:29" s="4" customFormat="1" ht="42" customHeight="1" x14ac:dyDescent="0.2">
      <c r="A3393" s="5">
        <v>0</v>
      </c>
      <c r="B3393" s="6" t="s">
        <v>19849</v>
      </c>
      <c r="C3393" s="13">
        <v>660</v>
      </c>
      <c r="D3393" s="8" t="s">
        <v>19850</v>
      </c>
      <c r="E3393" s="8" t="s">
        <v>19851</v>
      </c>
      <c r="F3393" s="8" t="s">
        <v>16817</v>
      </c>
      <c r="G3393" s="6" t="s">
        <v>33</v>
      </c>
      <c r="H3393" s="6" t="s">
        <v>313</v>
      </c>
      <c r="I3393" s="8" t="s">
        <v>253</v>
      </c>
      <c r="J3393" s="9">
        <v>1</v>
      </c>
      <c r="K3393" s="9">
        <v>96</v>
      </c>
      <c r="L3393" s="9">
        <v>2026</v>
      </c>
      <c r="M3393" s="8" t="s">
        <v>19852</v>
      </c>
      <c r="N3393" s="8" t="s">
        <v>37</v>
      </c>
      <c r="O3393" s="8" t="s">
        <v>233</v>
      </c>
      <c r="P3393" s="6" t="s">
        <v>51</v>
      </c>
      <c r="Q3393" s="8" t="s">
        <v>52</v>
      </c>
      <c r="R3393" s="10" t="s">
        <v>2033</v>
      </c>
      <c r="S3393" s="11"/>
      <c r="T3393" s="6" t="s">
        <v>97</v>
      </c>
      <c r="U3393" s="15" t="str">
        <f>HYPERLINK("https://media.infra-m.ru/2222/2222956/cover/2222956.jpg", "Обложка")</f>
        <v>Обложка</v>
      </c>
      <c r="V3393" s="8" t="s">
        <v>247</v>
      </c>
      <c r="W3393" s="6"/>
      <c r="X3393" s="6"/>
      <c r="Y3393" s="6"/>
      <c r="Z3393" s="6"/>
      <c r="AA3393" s="6" t="s">
        <v>99</v>
      </c>
      <c r="AB3393" s="8"/>
      <c r="AC3393" s="27">
        <v>9785369016893</v>
      </c>
    </row>
    <row r="3394" spans="1:29" s="4" customFormat="1" ht="42" customHeight="1" x14ac:dyDescent="0.2">
      <c r="A3394" s="5">
        <v>0</v>
      </c>
      <c r="B3394" s="6" t="s">
        <v>19853</v>
      </c>
      <c r="C3394" s="13">
        <v>840</v>
      </c>
      <c r="D3394" s="8" t="s">
        <v>19854</v>
      </c>
      <c r="E3394" s="8" t="s">
        <v>19855</v>
      </c>
      <c r="F3394" s="8" t="s">
        <v>17287</v>
      </c>
      <c r="G3394" s="6" t="s">
        <v>33</v>
      </c>
      <c r="H3394" s="6" t="s">
        <v>34</v>
      </c>
      <c r="I3394" s="8" t="s">
        <v>35</v>
      </c>
      <c r="J3394" s="9">
        <v>1</v>
      </c>
      <c r="K3394" s="9">
        <v>110</v>
      </c>
      <c r="L3394" s="9">
        <v>2027</v>
      </c>
      <c r="M3394" s="8" t="s">
        <v>19856</v>
      </c>
      <c r="N3394" s="8" t="s">
        <v>37</v>
      </c>
      <c r="O3394" s="8" t="s">
        <v>83</v>
      </c>
      <c r="P3394" s="6" t="s">
        <v>39</v>
      </c>
      <c r="Q3394" s="8" t="s">
        <v>40</v>
      </c>
      <c r="R3394" s="10" t="s">
        <v>9577</v>
      </c>
      <c r="S3394" s="11"/>
      <c r="T3394" s="6"/>
      <c r="U3394" s="15" t="str">
        <f>HYPERLINK("https://media.infra-m.ru/2266/2266107/cover/2266107.jpg", "Обложка")</f>
        <v>Обложка</v>
      </c>
      <c r="V3394" s="8" t="s">
        <v>10614</v>
      </c>
      <c r="W3394" s="6"/>
      <c r="X3394" s="6"/>
      <c r="Y3394" s="6"/>
      <c r="Z3394" s="6"/>
      <c r="AA3394" s="6" t="s">
        <v>99</v>
      </c>
      <c r="AB3394" s="8"/>
      <c r="AC3394" s="27">
        <v>9785160128788</v>
      </c>
    </row>
    <row r="3395" spans="1:29" s="4" customFormat="1" ht="51.9" customHeight="1" x14ac:dyDescent="0.2">
      <c r="A3395" s="5">
        <v>0</v>
      </c>
      <c r="B3395" s="6" t="s">
        <v>19857</v>
      </c>
      <c r="C3395" s="7">
        <v>2020.8</v>
      </c>
      <c r="D3395" s="8" t="s">
        <v>19858</v>
      </c>
      <c r="E3395" s="8" t="s">
        <v>19859</v>
      </c>
      <c r="F3395" s="8" t="s">
        <v>18786</v>
      </c>
      <c r="G3395" s="6" t="s">
        <v>118</v>
      </c>
      <c r="H3395" s="6" t="s">
        <v>34</v>
      </c>
      <c r="I3395" s="8" t="s">
        <v>271</v>
      </c>
      <c r="J3395" s="9">
        <v>1</v>
      </c>
      <c r="K3395" s="9">
        <v>307</v>
      </c>
      <c r="L3395" s="9">
        <v>2027</v>
      </c>
      <c r="M3395" s="8" t="s">
        <v>19860</v>
      </c>
      <c r="N3395" s="8" t="s">
        <v>37</v>
      </c>
      <c r="O3395" s="8" t="s">
        <v>233</v>
      </c>
      <c r="P3395" s="6" t="s">
        <v>306</v>
      </c>
      <c r="Q3395" s="8" t="s">
        <v>52</v>
      </c>
      <c r="R3395" s="10" t="s">
        <v>10957</v>
      </c>
      <c r="S3395" s="11" t="s">
        <v>19861</v>
      </c>
      <c r="T3395" s="6"/>
      <c r="U3395" s="15" t="str">
        <f>HYPERLINK("https://media.infra-m.ru/2257/2257149/cover/2257149.jpg", "Обложка")</f>
        <v>Обложка</v>
      </c>
      <c r="V3395" s="8" t="s">
        <v>18790</v>
      </c>
      <c r="W3395" s="6"/>
      <c r="X3395" s="6"/>
      <c r="Y3395" s="6"/>
      <c r="Z3395" s="6"/>
      <c r="AA3395" s="6" t="s">
        <v>86</v>
      </c>
      <c r="AB3395" s="8"/>
      <c r="AC3395" s="27">
        <v>9785160137889</v>
      </c>
    </row>
    <row r="3396" spans="1:29" s="4" customFormat="1" ht="51.9" customHeight="1" x14ac:dyDescent="0.2">
      <c r="A3396" s="5">
        <v>0</v>
      </c>
      <c r="B3396" s="6" t="s">
        <v>19862</v>
      </c>
      <c r="C3396" s="7">
        <v>1792.8</v>
      </c>
      <c r="D3396" s="8" t="s">
        <v>19863</v>
      </c>
      <c r="E3396" s="8" t="s">
        <v>19859</v>
      </c>
      <c r="F3396" s="8" t="s">
        <v>19864</v>
      </c>
      <c r="G3396" s="6" t="s">
        <v>60</v>
      </c>
      <c r="H3396" s="6" t="s">
        <v>1795</v>
      </c>
      <c r="I3396" s="8" t="s">
        <v>1904</v>
      </c>
      <c r="J3396" s="9">
        <v>1</v>
      </c>
      <c r="K3396" s="9">
        <v>272</v>
      </c>
      <c r="L3396" s="9">
        <v>2026</v>
      </c>
      <c r="M3396" s="8" t="s">
        <v>19865</v>
      </c>
      <c r="N3396" s="8" t="s">
        <v>37</v>
      </c>
      <c r="O3396" s="8" t="s">
        <v>233</v>
      </c>
      <c r="P3396" s="6" t="s">
        <v>306</v>
      </c>
      <c r="Q3396" s="8" t="s">
        <v>52</v>
      </c>
      <c r="R3396" s="10" t="s">
        <v>5912</v>
      </c>
      <c r="S3396" s="11" t="s">
        <v>19866</v>
      </c>
      <c r="T3396" s="6"/>
      <c r="U3396" s="15" t="str">
        <f>HYPERLINK("https://media.infra-m.ru/2238/2238486/cover/2238486.jpg", "Обложка")</f>
        <v>Обложка</v>
      </c>
      <c r="V3396" s="8" t="s">
        <v>19867</v>
      </c>
      <c r="W3396" s="6"/>
      <c r="X3396" s="6"/>
      <c r="Y3396" s="6"/>
      <c r="Z3396" s="6"/>
      <c r="AA3396" s="6" t="s">
        <v>248</v>
      </c>
      <c r="AB3396" s="8"/>
      <c r="AC3396" s="27">
        <v>9785982813985</v>
      </c>
    </row>
    <row r="3397" spans="1:29" s="4" customFormat="1" ht="51.9" customHeight="1" x14ac:dyDescent="0.2">
      <c r="A3397" s="5">
        <v>0</v>
      </c>
      <c r="B3397" s="6" t="s">
        <v>19868</v>
      </c>
      <c r="C3397" s="7">
        <v>1696.8</v>
      </c>
      <c r="D3397" s="8" t="s">
        <v>19869</v>
      </c>
      <c r="E3397" s="8" t="s">
        <v>19870</v>
      </c>
      <c r="F3397" s="8" t="s">
        <v>19871</v>
      </c>
      <c r="G3397" s="6" t="s">
        <v>118</v>
      </c>
      <c r="H3397" s="6" t="s">
        <v>34</v>
      </c>
      <c r="I3397" s="8" t="s">
        <v>271</v>
      </c>
      <c r="J3397" s="9">
        <v>1</v>
      </c>
      <c r="K3397" s="9">
        <v>273</v>
      </c>
      <c r="L3397" s="9">
        <v>2025</v>
      </c>
      <c r="M3397" s="8" t="s">
        <v>19872</v>
      </c>
      <c r="N3397" s="8" t="s">
        <v>37</v>
      </c>
      <c r="O3397" s="8" t="s">
        <v>83</v>
      </c>
      <c r="P3397" s="6" t="s">
        <v>51</v>
      </c>
      <c r="Q3397" s="8" t="s">
        <v>52</v>
      </c>
      <c r="R3397" s="10" t="s">
        <v>19873</v>
      </c>
      <c r="S3397" s="11" t="s">
        <v>19874</v>
      </c>
      <c r="T3397" s="6"/>
      <c r="U3397" s="15" t="str">
        <f>HYPERLINK("https://media.infra-m.ru/2196/2196951/cover/2196951.jpg", "Обложка")</f>
        <v>Обложка</v>
      </c>
      <c r="V3397" s="8" t="s">
        <v>6642</v>
      </c>
      <c r="W3397" s="6"/>
      <c r="X3397" s="6"/>
      <c r="Y3397" s="6"/>
      <c r="Z3397" s="6"/>
      <c r="AA3397" s="6" t="s">
        <v>404</v>
      </c>
      <c r="AB3397" s="8"/>
      <c r="AC3397" s="27">
        <v>9785160137148</v>
      </c>
    </row>
    <row r="3398" spans="1:29" s="4" customFormat="1" ht="51.9" customHeight="1" x14ac:dyDescent="0.2">
      <c r="A3398" s="5">
        <v>0</v>
      </c>
      <c r="B3398" s="6" t="s">
        <v>19875</v>
      </c>
      <c r="C3398" s="13">
        <v>821.9</v>
      </c>
      <c r="D3398" s="8" t="s">
        <v>19876</v>
      </c>
      <c r="E3398" s="8" t="s">
        <v>19859</v>
      </c>
      <c r="F3398" s="8" t="s">
        <v>19871</v>
      </c>
      <c r="G3398" s="6" t="s">
        <v>60</v>
      </c>
      <c r="H3398" s="6" t="s">
        <v>34</v>
      </c>
      <c r="I3398" s="8" t="s">
        <v>253</v>
      </c>
      <c r="J3398" s="9">
        <v>1</v>
      </c>
      <c r="K3398" s="9">
        <v>234</v>
      </c>
      <c r="L3398" s="9">
        <v>2017</v>
      </c>
      <c r="M3398" s="8" t="s">
        <v>19877</v>
      </c>
      <c r="N3398" s="8" t="s">
        <v>37</v>
      </c>
      <c r="O3398" s="8" t="s">
        <v>233</v>
      </c>
      <c r="P3398" s="6" t="s">
        <v>51</v>
      </c>
      <c r="Q3398" s="8" t="s">
        <v>52</v>
      </c>
      <c r="R3398" s="10" t="s">
        <v>19873</v>
      </c>
      <c r="S3398" s="11" t="s">
        <v>19878</v>
      </c>
      <c r="T3398" s="6"/>
      <c r="U3398" s="15" t="str">
        <f>HYPERLINK("https://media.infra-m.ru/0563/0563162/cover/563162.jpg", "Обложка")</f>
        <v>Обложка</v>
      </c>
      <c r="V3398" s="8" t="s">
        <v>6642</v>
      </c>
      <c r="W3398" s="6"/>
      <c r="X3398" s="6"/>
      <c r="Y3398" s="6"/>
      <c r="Z3398" s="6"/>
      <c r="AA3398" s="6" t="s">
        <v>55</v>
      </c>
      <c r="AB3398" s="8"/>
      <c r="AC3398" s="27">
        <v>9785160053783</v>
      </c>
    </row>
    <row r="3399" spans="1:29" s="4" customFormat="1" ht="51.9" customHeight="1" x14ac:dyDescent="0.2">
      <c r="A3399" s="5">
        <v>0</v>
      </c>
      <c r="B3399" s="6" t="s">
        <v>19879</v>
      </c>
      <c r="C3399" s="7">
        <v>2232</v>
      </c>
      <c r="D3399" s="8" t="s">
        <v>19880</v>
      </c>
      <c r="E3399" s="8" t="s">
        <v>19881</v>
      </c>
      <c r="F3399" s="8" t="s">
        <v>19882</v>
      </c>
      <c r="G3399" s="6" t="s">
        <v>33</v>
      </c>
      <c r="H3399" s="6" t="s">
        <v>134</v>
      </c>
      <c r="I3399" s="8"/>
      <c r="J3399" s="9">
        <v>1</v>
      </c>
      <c r="K3399" s="9">
        <v>320</v>
      </c>
      <c r="L3399" s="9">
        <v>2027</v>
      </c>
      <c r="M3399" s="8" t="s">
        <v>19883</v>
      </c>
      <c r="N3399" s="8" t="s">
        <v>37</v>
      </c>
      <c r="O3399" s="8" t="s">
        <v>136</v>
      </c>
      <c r="P3399" s="6" t="s">
        <v>306</v>
      </c>
      <c r="Q3399" s="8" t="s">
        <v>52</v>
      </c>
      <c r="R3399" s="10" t="s">
        <v>19884</v>
      </c>
      <c r="S3399" s="11"/>
      <c r="T3399" s="6"/>
      <c r="U3399" s="15" t="str">
        <f>HYPERLINK("https://media.infra-m.ru/2264/2264990/cover/2264990.jpg", "Обложка")</f>
        <v>Обложка</v>
      </c>
      <c r="V3399" s="8" t="s">
        <v>138</v>
      </c>
      <c r="W3399" s="6"/>
      <c r="X3399" s="6"/>
      <c r="Y3399" s="6"/>
      <c r="Z3399" s="6"/>
      <c r="AA3399" s="6" t="s">
        <v>1123</v>
      </c>
      <c r="AB3399" s="8"/>
      <c r="AC3399" s="27">
        <v>9785917685861</v>
      </c>
    </row>
    <row r="3400" spans="1:29" s="4" customFormat="1" ht="44.1" customHeight="1" x14ac:dyDescent="0.2">
      <c r="A3400" s="5">
        <v>0</v>
      </c>
      <c r="B3400" s="6" t="s">
        <v>19885</v>
      </c>
      <c r="C3400" s="7">
        <v>1127.9000000000001</v>
      </c>
      <c r="D3400" s="8" t="s">
        <v>19886</v>
      </c>
      <c r="E3400" s="8" t="s">
        <v>19887</v>
      </c>
      <c r="F3400" s="8" t="s">
        <v>19888</v>
      </c>
      <c r="G3400" s="6" t="s">
        <v>60</v>
      </c>
      <c r="H3400" s="6" t="s">
        <v>134</v>
      </c>
      <c r="I3400" s="8"/>
      <c r="J3400" s="9">
        <v>1</v>
      </c>
      <c r="K3400" s="9">
        <v>224</v>
      </c>
      <c r="L3400" s="9">
        <v>2022</v>
      </c>
      <c r="M3400" s="8" t="s">
        <v>19889</v>
      </c>
      <c r="N3400" s="8" t="s">
        <v>37</v>
      </c>
      <c r="O3400" s="8" t="s">
        <v>136</v>
      </c>
      <c r="P3400" s="6" t="s">
        <v>51</v>
      </c>
      <c r="Q3400" s="8" t="s">
        <v>500</v>
      </c>
      <c r="R3400" s="10" t="s">
        <v>19890</v>
      </c>
      <c r="S3400" s="11"/>
      <c r="T3400" s="6"/>
      <c r="U3400" s="15" t="str">
        <f>HYPERLINK("https://media.infra-m.ru/1867/1867904/cover/1867904.jpg", "Обложка")</f>
        <v>Обложка</v>
      </c>
      <c r="V3400" s="8" t="s">
        <v>1184</v>
      </c>
      <c r="W3400" s="6"/>
      <c r="X3400" s="6"/>
      <c r="Y3400" s="6"/>
      <c r="Z3400" s="6"/>
      <c r="AA3400" s="6" t="s">
        <v>148</v>
      </c>
      <c r="AB3400" s="8"/>
      <c r="AC3400" s="27">
        <v>9785001562498</v>
      </c>
    </row>
    <row r="3401" spans="1:29" s="4" customFormat="1" ht="51.9" customHeight="1" x14ac:dyDescent="0.2">
      <c r="A3401" s="5">
        <v>0</v>
      </c>
      <c r="B3401" s="6" t="s">
        <v>19891</v>
      </c>
      <c r="C3401" s="7">
        <v>1704</v>
      </c>
      <c r="D3401" s="8" t="s">
        <v>19892</v>
      </c>
      <c r="E3401" s="8" t="s">
        <v>19893</v>
      </c>
      <c r="F3401" s="8" t="s">
        <v>19894</v>
      </c>
      <c r="G3401" s="6" t="s">
        <v>118</v>
      </c>
      <c r="H3401" s="6" t="s">
        <v>34</v>
      </c>
      <c r="I3401" s="8" t="s">
        <v>253</v>
      </c>
      <c r="J3401" s="9">
        <v>1</v>
      </c>
      <c r="K3401" s="9">
        <v>228</v>
      </c>
      <c r="L3401" s="9">
        <v>2026</v>
      </c>
      <c r="M3401" s="8" t="s">
        <v>19895</v>
      </c>
      <c r="N3401" s="8" t="s">
        <v>37</v>
      </c>
      <c r="O3401" s="8" t="s">
        <v>136</v>
      </c>
      <c r="P3401" s="6" t="s">
        <v>306</v>
      </c>
      <c r="Q3401" s="8" t="s">
        <v>52</v>
      </c>
      <c r="R3401" s="10" t="s">
        <v>19896</v>
      </c>
      <c r="S3401" s="11"/>
      <c r="T3401" s="6" t="s">
        <v>97</v>
      </c>
      <c r="U3401" s="15" t="str">
        <f>HYPERLINK("https://media.infra-m.ru/2253/2253848/cover/2253848.jpg", "Обложка")</f>
        <v>Обложка</v>
      </c>
      <c r="V3401" s="8" t="s">
        <v>217</v>
      </c>
      <c r="W3401" s="6"/>
      <c r="X3401" s="6"/>
      <c r="Y3401" s="6"/>
      <c r="Z3401" s="6"/>
      <c r="AA3401" s="6" t="s">
        <v>99</v>
      </c>
      <c r="AB3401" s="8"/>
      <c r="AC3401" s="27">
        <v>9785160221533</v>
      </c>
    </row>
    <row r="3402" spans="1:29" s="4" customFormat="1" ht="51.9" customHeight="1" x14ac:dyDescent="0.2">
      <c r="A3402" s="5">
        <v>0</v>
      </c>
      <c r="B3402" s="6" t="s">
        <v>19897</v>
      </c>
      <c r="C3402" s="13">
        <v>912</v>
      </c>
      <c r="D3402" s="8" t="s">
        <v>19898</v>
      </c>
      <c r="E3402" s="8" t="s">
        <v>19899</v>
      </c>
      <c r="F3402" s="8" t="s">
        <v>19900</v>
      </c>
      <c r="G3402" s="6" t="s">
        <v>33</v>
      </c>
      <c r="H3402" s="6" t="s">
        <v>134</v>
      </c>
      <c r="I3402" s="8"/>
      <c r="J3402" s="9">
        <v>1</v>
      </c>
      <c r="K3402" s="9">
        <v>128</v>
      </c>
      <c r="L3402" s="9">
        <v>2026</v>
      </c>
      <c r="M3402" s="8" t="s">
        <v>19901</v>
      </c>
      <c r="N3402" s="8" t="s">
        <v>37</v>
      </c>
      <c r="O3402" s="8" t="s">
        <v>136</v>
      </c>
      <c r="P3402" s="6" t="s">
        <v>51</v>
      </c>
      <c r="Q3402" s="8" t="s">
        <v>500</v>
      </c>
      <c r="R3402" s="10" t="s">
        <v>4109</v>
      </c>
      <c r="S3402" s="11"/>
      <c r="T3402" s="6"/>
      <c r="U3402" s="15" t="str">
        <f>HYPERLINK("https://media.infra-m.ru/2227/2227493/cover/2227493.jpg", "Обложка")</f>
        <v>Обложка</v>
      </c>
      <c r="V3402" s="8" t="s">
        <v>1184</v>
      </c>
      <c r="W3402" s="6"/>
      <c r="X3402" s="6"/>
      <c r="Y3402" s="6"/>
      <c r="Z3402" s="6"/>
      <c r="AA3402" s="6" t="s">
        <v>86</v>
      </c>
      <c r="AB3402" s="8"/>
      <c r="AC3402" s="27">
        <v>9785917689128</v>
      </c>
    </row>
    <row r="3403" spans="1:29" s="4" customFormat="1" ht="51.9" customHeight="1" x14ac:dyDescent="0.2">
      <c r="A3403" s="5">
        <v>0</v>
      </c>
      <c r="B3403" s="6" t="s">
        <v>19902</v>
      </c>
      <c r="C3403" s="7">
        <v>1728</v>
      </c>
      <c r="D3403" s="8" t="s">
        <v>19903</v>
      </c>
      <c r="E3403" s="8" t="s">
        <v>19904</v>
      </c>
      <c r="F3403" s="8" t="s">
        <v>19905</v>
      </c>
      <c r="G3403" s="6" t="s">
        <v>60</v>
      </c>
      <c r="H3403" s="6" t="s">
        <v>134</v>
      </c>
      <c r="I3403" s="8"/>
      <c r="J3403" s="9">
        <v>1</v>
      </c>
      <c r="K3403" s="9">
        <v>248</v>
      </c>
      <c r="L3403" s="9">
        <v>2026</v>
      </c>
      <c r="M3403" s="8" t="s">
        <v>19906</v>
      </c>
      <c r="N3403" s="8"/>
      <c r="O3403" s="8"/>
      <c r="P3403" s="6" t="s">
        <v>39</v>
      </c>
      <c r="Q3403" s="8" t="s">
        <v>40</v>
      </c>
      <c r="R3403" s="10" t="s">
        <v>676</v>
      </c>
      <c r="S3403" s="11"/>
      <c r="T3403" s="6"/>
      <c r="U3403" s="15" t="str">
        <f>HYPERLINK("https://media.infra-m.ru/2244/2244943/cover/2244943.jpg", "Обложка")</f>
        <v>Обложка</v>
      </c>
      <c r="V3403" s="8" t="s">
        <v>1675</v>
      </c>
      <c r="W3403" s="6" t="s">
        <v>9380</v>
      </c>
      <c r="X3403" s="6"/>
      <c r="Y3403" s="6"/>
      <c r="Z3403" s="6"/>
      <c r="AA3403" s="6" t="s">
        <v>187</v>
      </c>
      <c r="AB3403" s="8"/>
      <c r="AC3403" s="27">
        <v>9785001564867</v>
      </c>
    </row>
    <row r="3404" spans="1:29" s="4" customFormat="1" ht="51.9" customHeight="1" x14ac:dyDescent="0.2">
      <c r="A3404" s="5">
        <v>0</v>
      </c>
      <c r="B3404" s="6" t="s">
        <v>19907</v>
      </c>
      <c r="C3404" s="7">
        <v>2316</v>
      </c>
      <c r="D3404" s="8" t="s">
        <v>19908</v>
      </c>
      <c r="E3404" s="8" t="s">
        <v>19909</v>
      </c>
      <c r="F3404" s="8" t="s">
        <v>19910</v>
      </c>
      <c r="G3404" s="6" t="s">
        <v>60</v>
      </c>
      <c r="H3404" s="6" t="s">
        <v>134</v>
      </c>
      <c r="I3404" s="8"/>
      <c r="J3404" s="9">
        <v>1</v>
      </c>
      <c r="K3404" s="9">
        <v>328</v>
      </c>
      <c r="L3404" s="9">
        <v>2027</v>
      </c>
      <c r="M3404" s="8" t="s">
        <v>19911</v>
      </c>
      <c r="N3404" s="8" t="s">
        <v>37</v>
      </c>
      <c r="O3404" s="8" t="s">
        <v>136</v>
      </c>
      <c r="P3404" s="6" t="s">
        <v>39</v>
      </c>
      <c r="Q3404" s="8" t="s">
        <v>65</v>
      </c>
      <c r="R3404" s="10" t="s">
        <v>4348</v>
      </c>
      <c r="S3404" s="11"/>
      <c r="T3404" s="6"/>
      <c r="U3404" s="15" t="str">
        <f>HYPERLINK("https://media.infra-m.ru/2267/2267118/cover/2267118.jpg", "Обложка")</f>
        <v>Обложка</v>
      </c>
      <c r="V3404" s="8" t="s">
        <v>138</v>
      </c>
      <c r="W3404" s="6" t="s">
        <v>2115</v>
      </c>
      <c r="X3404" s="6"/>
      <c r="Y3404" s="6"/>
      <c r="Z3404" s="6"/>
      <c r="AA3404" s="6" t="s">
        <v>13804</v>
      </c>
      <c r="AB3404" s="8"/>
      <c r="AC3404" s="27">
        <v>9785001565000</v>
      </c>
    </row>
    <row r="3405" spans="1:29" s="4" customFormat="1" ht="51.9" customHeight="1" x14ac:dyDescent="0.2">
      <c r="A3405" s="5">
        <v>0</v>
      </c>
      <c r="B3405" s="6" t="s">
        <v>19912</v>
      </c>
      <c r="C3405" s="7">
        <v>3772.8</v>
      </c>
      <c r="D3405" s="8" t="s">
        <v>19913</v>
      </c>
      <c r="E3405" s="8" t="s">
        <v>19914</v>
      </c>
      <c r="F3405" s="8" t="s">
        <v>19915</v>
      </c>
      <c r="G3405" s="6" t="s">
        <v>60</v>
      </c>
      <c r="H3405" s="6" t="s">
        <v>34</v>
      </c>
      <c r="I3405" s="8" t="s">
        <v>304</v>
      </c>
      <c r="J3405" s="9">
        <v>1</v>
      </c>
      <c r="K3405" s="9">
        <v>629</v>
      </c>
      <c r="L3405" s="9">
        <v>2026</v>
      </c>
      <c r="M3405" s="8" t="s">
        <v>19916</v>
      </c>
      <c r="N3405" s="8" t="s">
        <v>37</v>
      </c>
      <c r="O3405" s="8" t="s">
        <v>136</v>
      </c>
      <c r="P3405" s="6" t="s">
        <v>306</v>
      </c>
      <c r="Q3405" s="8" t="s">
        <v>52</v>
      </c>
      <c r="R3405" s="10" t="s">
        <v>19917</v>
      </c>
      <c r="S3405" s="11"/>
      <c r="T3405" s="6"/>
      <c r="U3405" s="15" t="str">
        <f>HYPERLINK("https://media.infra-m.ru/2239/2239915/cover/2239915.jpg", "Обложка")</f>
        <v>Обложка</v>
      </c>
      <c r="V3405" s="8" t="s">
        <v>247</v>
      </c>
      <c r="W3405" s="6"/>
      <c r="X3405" s="6"/>
      <c r="Y3405" s="6"/>
      <c r="Z3405" s="6"/>
      <c r="AA3405" s="6" t="s">
        <v>68</v>
      </c>
      <c r="AB3405" s="8" t="s">
        <v>11878</v>
      </c>
      <c r="AC3405" s="27">
        <v>9785160210087</v>
      </c>
    </row>
    <row r="3406" spans="1:29" s="4" customFormat="1" ht="51.9" customHeight="1" x14ac:dyDescent="0.2">
      <c r="A3406" s="5">
        <v>0</v>
      </c>
      <c r="B3406" s="6" t="s">
        <v>19918</v>
      </c>
      <c r="C3406" s="7">
        <v>2172</v>
      </c>
      <c r="D3406" s="8" t="s">
        <v>19919</v>
      </c>
      <c r="E3406" s="8" t="s">
        <v>19920</v>
      </c>
      <c r="F3406" s="8" t="s">
        <v>19921</v>
      </c>
      <c r="G3406" s="6" t="s">
        <v>33</v>
      </c>
      <c r="H3406" s="6" t="s">
        <v>313</v>
      </c>
      <c r="I3406" s="8" t="s">
        <v>253</v>
      </c>
      <c r="J3406" s="9">
        <v>1</v>
      </c>
      <c r="K3406" s="9">
        <v>312</v>
      </c>
      <c r="L3406" s="9">
        <v>2025</v>
      </c>
      <c r="M3406" s="8" t="s">
        <v>19922</v>
      </c>
      <c r="N3406" s="8" t="s">
        <v>37</v>
      </c>
      <c r="O3406" s="8" t="s">
        <v>136</v>
      </c>
      <c r="P3406" s="6" t="s">
        <v>51</v>
      </c>
      <c r="Q3406" s="8" t="s">
        <v>52</v>
      </c>
      <c r="R3406" s="10" t="s">
        <v>19923</v>
      </c>
      <c r="S3406" s="11" t="s">
        <v>19924</v>
      </c>
      <c r="T3406" s="6"/>
      <c r="U3406" s="15" t="str">
        <f>HYPERLINK("https://media.infra-m.ru/2266/2266331/cover/2266331.jpg", "Обложка")</f>
        <v>Обложка</v>
      </c>
      <c r="V3406" s="8" t="s">
        <v>156</v>
      </c>
      <c r="W3406" s="6"/>
      <c r="X3406" s="6"/>
      <c r="Y3406" s="6"/>
      <c r="Z3406" s="6"/>
      <c r="AA3406" s="6" t="s">
        <v>874</v>
      </c>
      <c r="AB3406" s="8"/>
      <c r="AC3406" s="27">
        <v>9785369013779</v>
      </c>
    </row>
    <row r="3407" spans="1:29" s="4" customFormat="1" ht="51.9" customHeight="1" x14ac:dyDescent="0.2">
      <c r="A3407" s="5">
        <v>0</v>
      </c>
      <c r="B3407" s="6" t="s">
        <v>19925</v>
      </c>
      <c r="C3407" s="13">
        <v>684</v>
      </c>
      <c r="D3407" s="8" t="s">
        <v>19926</v>
      </c>
      <c r="E3407" s="8" t="s">
        <v>19927</v>
      </c>
      <c r="F3407" s="8" t="s">
        <v>19928</v>
      </c>
      <c r="G3407" s="6" t="s">
        <v>33</v>
      </c>
      <c r="H3407" s="6" t="s">
        <v>34</v>
      </c>
      <c r="I3407" s="8"/>
      <c r="J3407" s="9">
        <v>1</v>
      </c>
      <c r="K3407" s="9">
        <v>68</v>
      </c>
      <c r="L3407" s="9">
        <v>2026</v>
      </c>
      <c r="M3407" s="8" t="s">
        <v>19929</v>
      </c>
      <c r="N3407" s="8" t="s">
        <v>37</v>
      </c>
      <c r="O3407" s="8" t="s">
        <v>136</v>
      </c>
      <c r="P3407" s="6" t="s">
        <v>394</v>
      </c>
      <c r="Q3407" s="8" t="s">
        <v>65</v>
      </c>
      <c r="R3407" s="10" t="s">
        <v>19930</v>
      </c>
      <c r="S3407" s="11"/>
      <c r="T3407" s="6"/>
      <c r="U3407" s="15" t="str">
        <f>HYPERLINK("https://media.infra-m.ru/2236/2236167/cover/2236167.jpg", "Обложка")</f>
        <v>Обложка</v>
      </c>
      <c r="V3407" s="8" t="s">
        <v>4448</v>
      </c>
      <c r="W3407" s="6"/>
      <c r="X3407" s="6"/>
      <c r="Y3407" s="6"/>
      <c r="Z3407" s="6"/>
      <c r="AA3407" s="6" t="s">
        <v>68</v>
      </c>
      <c r="AB3407" s="8"/>
      <c r="AC3407" s="27">
        <v>9785160210797</v>
      </c>
    </row>
    <row r="3408" spans="1:29" s="4" customFormat="1" ht="51.9" customHeight="1" x14ac:dyDescent="0.2">
      <c r="A3408" s="5">
        <v>0</v>
      </c>
      <c r="B3408" s="6" t="s">
        <v>19931</v>
      </c>
      <c r="C3408" s="7">
        <v>4312.8</v>
      </c>
      <c r="D3408" s="8" t="s">
        <v>19932</v>
      </c>
      <c r="E3408" s="8" t="s">
        <v>19933</v>
      </c>
      <c r="F3408" s="8" t="s">
        <v>19934</v>
      </c>
      <c r="G3408" s="6" t="s">
        <v>60</v>
      </c>
      <c r="H3408" s="6" t="s">
        <v>134</v>
      </c>
      <c r="I3408" s="8"/>
      <c r="J3408" s="9">
        <v>1</v>
      </c>
      <c r="K3408" s="9">
        <v>656</v>
      </c>
      <c r="L3408" s="9">
        <v>2026</v>
      </c>
      <c r="M3408" s="8" t="s">
        <v>19935</v>
      </c>
      <c r="N3408" s="8" t="s">
        <v>37</v>
      </c>
      <c r="O3408" s="8" t="s">
        <v>136</v>
      </c>
      <c r="P3408" s="6" t="s">
        <v>306</v>
      </c>
      <c r="Q3408" s="8" t="s">
        <v>52</v>
      </c>
      <c r="R3408" s="10" t="s">
        <v>19917</v>
      </c>
      <c r="S3408" s="11"/>
      <c r="T3408" s="6"/>
      <c r="U3408" s="15" t="str">
        <f>HYPERLINK("https://media.infra-m.ru/2237/2237221/cover/2237221.jpg", "Обложка")</f>
        <v>Обложка</v>
      </c>
      <c r="V3408" s="8" t="s">
        <v>1277</v>
      </c>
      <c r="W3408" s="6"/>
      <c r="X3408" s="6"/>
      <c r="Y3408" s="6"/>
      <c r="Z3408" s="6"/>
      <c r="AA3408" s="6" t="s">
        <v>157</v>
      </c>
      <c r="AB3408" s="8"/>
      <c r="AC3408" s="27">
        <v>9785001562993</v>
      </c>
    </row>
    <row r="3409" spans="1:29" s="4" customFormat="1" ht="44.1" customHeight="1" x14ac:dyDescent="0.2">
      <c r="A3409" s="5">
        <v>0</v>
      </c>
      <c r="B3409" s="6" t="s">
        <v>19936</v>
      </c>
      <c r="C3409" s="7">
        <v>3988.8</v>
      </c>
      <c r="D3409" s="8" t="s">
        <v>19937</v>
      </c>
      <c r="E3409" s="8" t="s">
        <v>19938</v>
      </c>
      <c r="F3409" s="8" t="s">
        <v>19939</v>
      </c>
      <c r="G3409" s="6" t="s">
        <v>60</v>
      </c>
      <c r="H3409" s="6" t="s">
        <v>134</v>
      </c>
      <c r="I3409" s="8"/>
      <c r="J3409" s="9">
        <v>1</v>
      </c>
      <c r="K3409" s="9">
        <v>576</v>
      </c>
      <c r="L3409" s="9">
        <v>2026</v>
      </c>
      <c r="M3409" s="8" t="s">
        <v>19940</v>
      </c>
      <c r="N3409" s="8" t="s">
        <v>37</v>
      </c>
      <c r="O3409" s="8" t="s">
        <v>136</v>
      </c>
      <c r="P3409" s="6" t="s">
        <v>306</v>
      </c>
      <c r="Q3409" s="8" t="s">
        <v>52</v>
      </c>
      <c r="R3409" s="10" t="s">
        <v>1631</v>
      </c>
      <c r="S3409" s="11"/>
      <c r="T3409" s="6"/>
      <c r="U3409" s="15" t="str">
        <f>HYPERLINK("https://media.infra-m.ru/2225/2225924/cover/2225924.jpg", "Обложка")</f>
        <v>Обложка</v>
      </c>
      <c r="V3409" s="8" t="s">
        <v>546</v>
      </c>
      <c r="W3409" s="6"/>
      <c r="X3409" s="6"/>
      <c r="Y3409" s="6"/>
      <c r="Z3409" s="6"/>
      <c r="AA3409" s="6" t="s">
        <v>3991</v>
      </c>
      <c r="AB3409" s="8"/>
      <c r="AC3409" s="27">
        <v>9785917684697</v>
      </c>
    </row>
    <row r="3410" spans="1:29" s="4" customFormat="1" ht="51.9" customHeight="1" x14ac:dyDescent="0.2">
      <c r="A3410" s="5">
        <v>0</v>
      </c>
      <c r="B3410" s="6" t="s">
        <v>19941</v>
      </c>
      <c r="C3410" s="7">
        <v>2328</v>
      </c>
      <c r="D3410" s="8" t="s">
        <v>19942</v>
      </c>
      <c r="E3410" s="8" t="s">
        <v>19943</v>
      </c>
      <c r="F3410" s="8" t="s">
        <v>19944</v>
      </c>
      <c r="G3410" s="6" t="s">
        <v>60</v>
      </c>
      <c r="H3410" s="6" t="s">
        <v>313</v>
      </c>
      <c r="I3410" s="8" t="s">
        <v>253</v>
      </c>
      <c r="J3410" s="9">
        <v>1</v>
      </c>
      <c r="K3410" s="9">
        <v>416</v>
      </c>
      <c r="L3410" s="9">
        <v>2024</v>
      </c>
      <c r="M3410" s="8" t="s">
        <v>19945</v>
      </c>
      <c r="N3410" s="8" t="s">
        <v>37</v>
      </c>
      <c r="O3410" s="8" t="s">
        <v>136</v>
      </c>
      <c r="P3410" s="6" t="s">
        <v>306</v>
      </c>
      <c r="Q3410" s="8" t="s">
        <v>65</v>
      </c>
      <c r="R3410" s="10" t="s">
        <v>19946</v>
      </c>
      <c r="S3410" s="11" t="s">
        <v>19947</v>
      </c>
      <c r="T3410" s="6" t="s">
        <v>97</v>
      </c>
      <c r="U3410" s="15" t="str">
        <f>HYPERLINK("https://media.infra-m.ru/2087/2087322/cover/2087322.jpg", "Обложка")</f>
        <v>Обложка</v>
      </c>
      <c r="V3410" s="8" t="s">
        <v>657</v>
      </c>
      <c r="W3410" s="6"/>
      <c r="X3410" s="6"/>
      <c r="Y3410" s="6"/>
      <c r="Z3410" s="6"/>
      <c r="AA3410" s="6" t="s">
        <v>360</v>
      </c>
      <c r="AB3410" s="8"/>
      <c r="AC3410" s="27">
        <v>9785369019368</v>
      </c>
    </row>
    <row r="3411" spans="1:29" s="4" customFormat="1" ht="51.9" customHeight="1" x14ac:dyDescent="0.2">
      <c r="A3411" s="5">
        <v>0</v>
      </c>
      <c r="B3411" s="6" t="s">
        <v>19948</v>
      </c>
      <c r="C3411" s="7">
        <v>4704</v>
      </c>
      <c r="D3411" s="8" t="s">
        <v>19949</v>
      </c>
      <c r="E3411" s="8" t="s">
        <v>19950</v>
      </c>
      <c r="F3411" s="8" t="s">
        <v>19951</v>
      </c>
      <c r="G3411" s="6" t="s">
        <v>60</v>
      </c>
      <c r="H3411" s="6" t="s">
        <v>134</v>
      </c>
      <c r="I3411" s="8"/>
      <c r="J3411" s="9">
        <v>1</v>
      </c>
      <c r="K3411" s="9">
        <v>752</v>
      </c>
      <c r="L3411" s="9">
        <v>2026</v>
      </c>
      <c r="M3411" s="8" t="s">
        <v>19952</v>
      </c>
      <c r="N3411" s="8" t="s">
        <v>37</v>
      </c>
      <c r="O3411" s="8" t="s">
        <v>136</v>
      </c>
      <c r="P3411" s="6" t="s">
        <v>306</v>
      </c>
      <c r="Q3411" s="8" t="s">
        <v>52</v>
      </c>
      <c r="R3411" s="10" t="s">
        <v>4109</v>
      </c>
      <c r="S3411" s="11" t="s">
        <v>19953</v>
      </c>
      <c r="T3411" s="6"/>
      <c r="U3411" s="15" t="str">
        <f>HYPERLINK("https://media.infra-m.ru/2237/2237204/cover/2237204.jpg", "Обложка")</f>
        <v>Обложка</v>
      </c>
      <c r="V3411" s="8" t="s">
        <v>1277</v>
      </c>
      <c r="W3411" s="6"/>
      <c r="X3411" s="6"/>
      <c r="Y3411" s="6"/>
      <c r="Z3411" s="6"/>
      <c r="AA3411" s="6" t="s">
        <v>2359</v>
      </c>
      <c r="AB3411" s="8"/>
      <c r="AC3411" s="27">
        <v>9785917683683</v>
      </c>
    </row>
    <row r="3412" spans="1:29" s="4" customFormat="1" ht="51.9" customHeight="1" x14ac:dyDescent="0.2">
      <c r="A3412" s="5">
        <v>0</v>
      </c>
      <c r="B3412" s="6" t="s">
        <v>19954</v>
      </c>
      <c r="C3412" s="13">
        <v>299.89999999999998</v>
      </c>
      <c r="D3412" s="8" t="s">
        <v>19955</v>
      </c>
      <c r="E3412" s="8" t="s">
        <v>19933</v>
      </c>
      <c r="F3412" s="8" t="s">
        <v>19956</v>
      </c>
      <c r="G3412" s="6" t="s">
        <v>7062</v>
      </c>
      <c r="H3412" s="6" t="s">
        <v>1042</v>
      </c>
      <c r="I3412" s="8" t="s">
        <v>253</v>
      </c>
      <c r="J3412" s="9">
        <v>12</v>
      </c>
      <c r="K3412" s="9">
        <v>368</v>
      </c>
      <c r="L3412" s="9">
        <v>2010</v>
      </c>
      <c r="M3412" s="8" t="s">
        <v>19957</v>
      </c>
      <c r="N3412" s="8" t="s">
        <v>37</v>
      </c>
      <c r="O3412" s="8" t="s">
        <v>136</v>
      </c>
      <c r="P3412" s="6" t="s">
        <v>51</v>
      </c>
      <c r="Q3412" s="8"/>
      <c r="R3412" s="10" t="s">
        <v>1275</v>
      </c>
      <c r="S3412" s="11" t="s">
        <v>19958</v>
      </c>
      <c r="T3412" s="6"/>
      <c r="U3412" s="15" t="str">
        <f>HYPERLINK("https://media.infra-m.ru/0189/0189510/cover/189510.jpg", "Обложка")</f>
        <v>Обложка</v>
      </c>
      <c r="V3412" s="8" t="s">
        <v>227</v>
      </c>
      <c r="W3412" s="6"/>
      <c r="X3412" s="6"/>
      <c r="Y3412" s="6"/>
      <c r="Z3412" s="6"/>
      <c r="AA3412" s="6" t="s">
        <v>1015</v>
      </c>
      <c r="AB3412" s="8"/>
      <c r="AC3412" s="27">
        <v>9785819904282</v>
      </c>
    </row>
    <row r="3413" spans="1:29" s="4" customFormat="1" ht="51.9" customHeight="1" x14ac:dyDescent="0.2">
      <c r="A3413" s="5">
        <v>0</v>
      </c>
      <c r="B3413" s="6" t="s">
        <v>19959</v>
      </c>
      <c r="C3413" s="7">
        <v>1156.8</v>
      </c>
      <c r="D3413" s="8" t="s">
        <v>19960</v>
      </c>
      <c r="E3413" s="8" t="s">
        <v>19943</v>
      </c>
      <c r="F3413" s="8" t="s">
        <v>19961</v>
      </c>
      <c r="G3413" s="6" t="s">
        <v>118</v>
      </c>
      <c r="H3413" s="6" t="s">
        <v>313</v>
      </c>
      <c r="I3413" s="8" t="s">
        <v>253</v>
      </c>
      <c r="J3413" s="9">
        <v>1</v>
      </c>
      <c r="K3413" s="9">
        <v>176</v>
      </c>
      <c r="L3413" s="9">
        <v>2025</v>
      </c>
      <c r="M3413" s="8" t="s">
        <v>19962</v>
      </c>
      <c r="N3413" s="8" t="s">
        <v>37</v>
      </c>
      <c r="O3413" s="8" t="s">
        <v>136</v>
      </c>
      <c r="P3413" s="6" t="s">
        <v>51</v>
      </c>
      <c r="Q3413" s="8" t="s">
        <v>52</v>
      </c>
      <c r="R3413" s="10" t="s">
        <v>19923</v>
      </c>
      <c r="S3413" s="11"/>
      <c r="T3413" s="6"/>
      <c r="U3413" s="15" t="str">
        <f>HYPERLINK("https://media.infra-m.ru/2232/2232565/cover/2232565.jpg", "Обложка")</f>
        <v>Обложка</v>
      </c>
      <c r="V3413" s="8" t="s">
        <v>3735</v>
      </c>
      <c r="W3413" s="6"/>
      <c r="X3413" s="6"/>
      <c r="Y3413" s="6"/>
      <c r="Z3413" s="6"/>
      <c r="AA3413" s="6" t="s">
        <v>404</v>
      </c>
      <c r="AB3413" s="8"/>
      <c r="AC3413" s="27">
        <v>9785369017784</v>
      </c>
    </row>
    <row r="3414" spans="1:29" s="4" customFormat="1" ht="51.9" customHeight="1" x14ac:dyDescent="0.2">
      <c r="A3414" s="5">
        <v>0</v>
      </c>
      <c r="B3414" s="6" t="s">
        <v>19963</v>
      </c>
      <c r="C3414" s="13">
        <v>593.9</v>
      </c>
      <c r="D3414" s="8" t="s">
        <v>19964</v>
      </c>
      <c r="E3414" s="8" t="s">
        <v>19933</v>
      </c>
      <c r="F3414" s="8" t="s">
        <v>19965</v>
      </c>
      <c r="G3414" s="6" t="s">
        <v>60</v>
      </c>
      <c r="H3414" s="6" t="s">
        <v>313</v>
      </c>
      <c r="I3414" s="8" t="s">
        <v>253</v>
      </c>
      <c r="J3414" s="9">
        <v>1</v>
      </c>
      <c r="K3414" s="9">
        <v>168</v>
      </c>
      <c r="L3414" s="9">
        <v>2017</v>
      </c>
      <c r="M3414" s="8" t="s">
        <v>19966</v>
      </c>
      <c r="N3414" s="8" t="s">
        <v>37</v>
      </c>
      <c r="O3414" s="8" t="s">
        <v>136</v>
      </c>
      <c r="P3414" s="6" t="s">
        <v>51</v>
      </c>
      <c r="Q3414" s="8" t="s">
        <v>52</v>
      </c>
      <c r="R3414" s="10" t="s">
        <v>19923</v>
      </c>
      <c r="S3414" s="11" t="s">
        <v>19967</v>
      </c>
      <c r="T3414" s="6"/>
      <c r="U3414" s="12"/>
      <c r="V3414" s="8" t="s">
        <v>3735</v>
      </c>
      <c r="W3414" s="6"/>
      <c r="X3414" s="6"/>
      <c r="Y3414" s="6"/>
      <c r="Z3414" s="6"/>
      <c r="AA3414" s="6" t="s">
        <v>248</v>
      </c>
      <c r="AB3414" s="8"/>
      <c r="AC3414" s="27">
        <v>9785369012253</v>
      </c>
    </row>
    <row r="3415" spans="1:29" s="4" customFormat="1" ht="51.9" customHeight="1" x14ac:dyDescent="0.2">
      <c r="A3415" s="5">
        <v>0</v>
      </c>
      <c r="B3415" s="6" t="s">
        <v>19968</v>
      </c>
      <c r="C3415" s="7">
        <v>2764.8</v>
      </c>
      <c r="D3415" s="8" t="s">
        <v>19969</v>
      </c>
      <c r="E3415" s="8" t="s">
        <v>19943</v>
      </c>
      <c r="F3415" s="8" t="s">
        <v>19970</v>
      </c>
      <c r="G3415" s="6" t="s">
        <v>118</v>
      </c>
      <c r="H3415" s="6" t="s">
        <v>34</v>
      </c>
      <c r="I3415" s="8" t="s">
        <v>253</v>
      </c>
      <c r="J3415" s="9">
        <v>1</v>
      </c>
      <c r="K3415" s="9">
        <v>398</v>
      </c>
      <c r="L3415" s="9">
        <v>2027</v>
      </c>
      <c r="M3415" s="8" t="s">
        <v>19971</v>
      </c>
      <c r="N3415" s="8" t="s">
        <v>37</v>
      </c>
      <c r="O3415" s="8" t="s">
        <v>136</v>
      </c>
      <c r="P3415" s="6" t="s">
        <v>51</v>
      </c>
      <c r="Q3415" s="8" t="s">
        <v>52</v>
      </c>
      <c r="R3415" s="10" t="s">
        <v>1275</v>
      </c>
      <c r="S3415" s="11" t="s">
        <v>19972</v>
      </c>
      <c r="T3415" s="6"/>
      <c r="U3415" s="15" t="str">
        <f>HYPERLINK("https://media.infra-m.ru/2263/2263406/cover/2263406.jpg", "Обложка")</f>
        <v>Обложка</v>
      </c>
      <c r="V3415" s="8" t="s">
        <v>227</v>
      </c>
      <c r="W3415" s="6"/>
      <c r="X3415" s="6"/>
      <c r="Y3415" s="6"/>
      <c r="Z3415" s="6"/>
      <c r="AA3415" s="6" t="s">
        <v>258</v>
      </c>
      <c r="AB3415" s="8"/>
      <c r="AC3415" s="27">
        <v>9785160188980</v>
      </c>
    </row>
    <row r="3416" spans="1:29" s="4" customFormat="1" ht="51.9" customHeight="1" x14ac:dyDescent="0.2">
      <c r="A3416" s="5">
        <v>0</v>
      </c>
      <c r="B3416" s="6" t="s">
        <v>19973</v>
      </c>
      <c r="C3416" s="7">
        <v>1188</v>
      </c>
      <c r="D3416" s="8" t="s">
        <v>19974</v>
      </c>
      <c r="E3416" s="8" t="s">
        <v>19933</v>
      </c>
      <c r="F3416" s="8" t="s">
        <v>19975</v>
      </c>
      <c r="G3416" s="6" t="s">
        <v>60</v>
      </c>
      <c r="H3416" s="6" t="s">
        <v>34</v>
      </c>
      <c r="I3416" s="8" t="s">
        <v>19704</v>
      </c>
      <c r="J3416" s="9">
        <v>1</v>
      </c>
      <c r="K3416" s="9">
        <v>183</v>
      </c>
      <c r="L3416" s="9">
        <v>2025</v>
      </c>
      <c r="M3416" s="8" t="s">
        <v>19976</v>
      </c>
      <c r="N3416" s="8" t="s">
        <v>37</v>
      </c>
      <c r="O3416" s="8" t="s">
        <v>136</v>
      </c>
      <c r="P3416" s="6" t="s">
        <v>51</v>
      </c>
      <c r="Q3416" s="8" t="s">
        <v>65</v>
      </c>
      <c r="R3416" s="10" t="s">
        <v>19977</v>
      </c>
      <c r="S3416" s="11"/>
      <c r="T3416" s="6"/>
      <c r="U3416" s="15" t="str">
        <f>HYPERLINK("https://media.infra-m.ru/2189/2189133/cover/2189133.jpg", "Обложка")</f>
        <v>Обложка</v>
      </c>
      <c r="V3416" s="8" t="s">
        <v>11210</v>
      </c>
      <c r="W3416" s="6"/>
      <c r="X3416" s="6"/>
      <c r="Y3416" s="6"/>
      <c r="Z3416" s="6"/>
      <c r="AA3416" s="6" t="s">
        <v>68</v>
      </c>
      <c r="AB3416" s="8"/>
      <c r="AC3416" s="27">
        <v>9785160207346</v>
      </c>
    </row>
    <row r="3417" spans="1:29" s="4" customFormat="1" ht="42" customHeight="1" x14ac:dyDescent="0.2">
      <c r="A3417" s="5">
        <v>0</v>
      </c>
      <c r="B3417" s="6" t="s">
        <v>19978</v>
      </c>
      <c r="C3417" s="7">
        <v>2452.8000000000002</v>
      </c>
      <c r="D3417" s="8" t="s">
        <v>19979</v>
      </c>
      <c r="E3417" s="8" t="s">
        <v>19980</v>
      </c>
      <c r="F3417" s="8" t="s">
        <v>19981</v>
      </c>
      <c r="G3417" s="6" t="s">
        <v>60</v>
      </c>
      <c r="H3417" s="6" t="s">
        <v>134</v>
      </c>
      <c r="I3417" s="8"/>
      <c r="J3417" s="9">
        <v>1</v>
      </c>
      <c r="K3417" s="9">
        <v>352</v>
      </c>
      <c r="L3417" s="9">
        <v>2026</v>
      </c>
      <c r="M3417" s="8" t="s">
        <v>19982</v>
      </c>
      <c r="N3417" s="8" t="s">
        <v>37</v>
      </c>
      <c r="O3417" s="8" t="s">
        <v>136</v>
      </c>
      <c r="P3417" s="6" t="s">
        <v>39</v>
      </c>
      <c r="Q3417" s="8" t="s">
        <v>40</v>
      </c>
      <c r="R3417" s="10" t="s">
        <v>1631</v>
      </c>
      <c r="S3417" s="11"/>
      <c r="T3417" s="6"/>
      <c r="U3417" s="15" t="str">
        <f>HYPERLINK("https://media.infra-m.ru/2245/2245215/cover/2245215.jpg", "Обложка")</f>
        <v>Обложка</v>
      </c>
      <c r="V3417" s="8" t="s">
        <v>644</v>
      </c>
      <c r="W3417" s="6"/>
      <c r="X3417" s="6"/>
      <c r="Y3417" s="6"/>
      <c r="Z3417" s="6"/>
      <c r="AA3417" s="6" t="s">
        <v>1031</v>
      </c>
      <c r="AB3417" s="8"/>
      <c r="AC3417" s="27">
        <v>9785917689432</v>
      </c>
    </row>
    <row r="3418" spans="1:29" s="4" customFormat="1" ht="42" customHeight="1" x14ac:dyDescent="0.2">
      <c r="A3418" s="5">
        <v>0</v>
      </c>
      <c r="B3418" s="6" t="s">
        <v>19983</v>
      </c>
      <c r="C3418" s="13">
        <v>689.9</v>
      </c>
      <c r="D3418" s="8" t="s">
        <v>19984</v>
      </c>
      <c r="E3418" s="8" t="s">
        <v>19985</v>
      </c>
      <c r="F3418" s="8" t="s">
        <v>19986</v>
      </c>
      <c r="G3418" s="6" t="s">
        <v>60</v>
      </c>
      <c r="H3418" s="6" t="s">
        <v>134</v>
      </c>
      <c r="I3418" s="8"/>
      <c r="J3418" s="9">
        <v>14</v>
      </c>
      <c r="K3418" s="9">
        <v>352</v>
      </c>
      <c r="L3418" s="9">
        <v>2015</v>
      </c>
      <c r="M3418" s="8" t="s">
        <v>19987</v>
      </c>
      <c r="N3418" s="8" t="s">
        <v>37</v>
      </c>
      <c r="O3418" s="8" t="s">
        <v>136</v>
      </c>
      <c r="P3418" s="6" t="s">
        <v>39</v>
      </c>
      <c r="Q3418" s="8" t="s">
        <v>40</v>
      </c>
      <c r="R3418" s="10" t="s">
        <v>1631</v>
      </c>
      <c r="S3418" s="11"/>
      <c r="T3418" s="6"/>
      <c r="U3418" s="15" t="str">
        <f>HYPERLINK("https://media.infra-m.ru/0490/0490097/cover/490097.jpg", "Обложка")</f>
        <v>Обложка</v>
      </c>
      <c r="V3418" s="8" t="s">
        <v>644</v>
      </c>
      <c r="W3418" s="6"/>
      <c r="X3418" s="6"/>
      <c r="Y3418" s="6"/>
      <c r="Z3418" s="6"/>
      <c r="AA3418" s="6" t="s">
        <v>718</v>
      </c>
      <c r="AB3418" s="8"/>
      <c r="AC3418" s="27">
        <v>9785917683843</v>
      </c>
    </row>
    <row r="3419" spans="1:29" s="4" customFormat="1" ht="42" customHeight="1" x14ac:dyDescent="0.2">
      <c r="A3419" s="5">
        <v>0</v>
      </c>
      <c r="B3419" s="6" t="s">
        <v>19988</v>
      </c>
      <c r="C3419" s="7">
        <v>1140</v>
      </c>
      <c r="D3419" s="8" t="s">
        <v>19989</v>
      </c>
      <c r="E3419" s="8" t="s">
        <v>19990</v>
      </c>
      <c r="F3419" s="8" t="s">
        <v>19991</v>
      </c>
      <c r="G3419" s="6" t="s">
        <v>60</v>
      </c>
      <c r="H3419" s="6" t="s">
        <v>34</v>
      </c>
      <c r="I3419" s="8" t="s">
        <v>253</v>
      </c>
      <c r="J3419" s="9">
        <v>1</v>
      </c>
      <c r="K3419" s="9">
        <v>200</v>
      </c>
      <c r="L3419" s="9">
        <v>2023</v>
      </c>
      <c r="M3419" s="8" t="s">
        <v>19992</v>
      </c>
      <c r="N3419" s="8" t="s">
        <v>37</v>
      </c>
      <c r="O3419" s="8" t="s">
        <v>233</v>
      </c>
      <c r="P3419" s="6" t="s">
        <v>51</v>
      </c>
      <c r="Q3419" s="8" t="s">
        <v>52</v>
      </c>
      <c r="R3419" s="10" t="s">
        <v>19993</v>
      </c>
      <c r="S3419" s="11"/>
      <c r="T3419" s="6"/>
      <c r="U3419" s="15" t="str">
        <f>HYPERLINK("https://media.infra-m.ru/1911/1911032/cover/1911032.jpg", "Обложка")</f>
        <v>Обложка</v>
      </c>
      <c r="V3419" s="8" t="s">
        <v>644</v>
      </c>
      <c r="W3419" s="6"/>
      <c r="X3419" s="6"/>
      <c r="Y3419" s="6"/>
      <c r="Z3419" s="6"/>
      <c r="AA3419" s="6" t="s">
        <v>157</v>
      </c>
      <c r="AB3419" s="8"/>
      <c r="AC3419" s="27">
        <v>9785160181042</v>
      </c>
    </row>
    <row r="3420" spans="1:29" s="4" customFormat="1" ht="42" customHeight="1" x14ac:dyDescent="0.2">
      <c r="A3420" s="5">
        <v>0</v>
      </c>
      <c r="B3420" s="6" t="s">
        <v>19994</v>
      </c>
      <c r="C3420" s="13">
        <v>840</v>
      </c>
      <c r="D3420" s="8" t="s">
        <v>19995</v>
      </c>
      <c r="E3420" s="8" t="s">
        <v>19996</v>
      </c>
      <c r="F3420" s="8" t="s">
        <v>19997</v>
      </c>
      <c r="G3420" s="6" t="s">
        <v>33</v>
      </c>
      <c r="H3420" s="6" t="s">
        <v>313</v>
      </c>
      <c r="I3420" s="8" t="s">
        <v>35</v>
      </c>
      <c r="J3420" s="9">
        <v>1</v>
      </c>
      <c r="K3420" s="9">
        <v>133</v>
      </c>
      <c r="L3420" s="9">
        <v>2025</v>
      </c>
      <c r="M3420" s="8" t="s">
        <v>19998</v>
      </c>
      <c r="N3420" s="8" t="s">
        <v>37</v>
      </c>
      <c r="O3420" s="8" t="s">
        <v>136</v>
      </c>
      <c r="P3420" s="6" t="s">
        <v>39</v>
      </c>
      <c r="Q3420" s="8" t="s">
        <v>40</v>
      </c>
      <c r="R3420" s="10" t="s">
        <v>684</v>
      </c>
      <c r="S3420" s="11"/>
      <c r="T3420" s="6"/>
      <c r="U3420" s="15" t="str">
        <f>HYPERLINK("https://media.infra-m.ru/2187/2187071/cover/2187071.jpg", "Обложка")</f>
        <v>Обложка</v>
      </c>
      <c r="V3420" s="8" t="s">
        <v>156</v>
      </c>
      <c r="W3420" s="6"/>
      <c r="X3420" s="6"/>
      <c r="Y3420" s="6"/>
      <c r="Z3420" s="6"/>
      <c r="AA3420" s="6" t="s">
        <v>43</v>
      </c>
      <c r="AB3420" s="8"/>
      <c r="AC3420" s="27">
        <v>9785369011737</v>
      </c>
    </row>
    <row r="3421" spans="1:29" s="4" customFormat="1" ht="44.1" customHeight="1" x14ac:dyDescent="0.2">
      <c r="A3421" s="5">
        <v>0</v>
      </c>
      <c r="B3421" s="6" t="s">
        <v>19999</v>
      </c>
      <c r="C3421" s="7">
        <v>1788</v>
      </c>
      <c r="D3421" s="8" t="s">
        <v>20000</v>
      </c>
      <c r="E3421" s="8" t="s">
        <v>20001</v>
      </c>
      <c r="F3421" s="8" t="s">
        <v>20002</v>
      </c>
      <c r="G3421" s="6" t="s">
        <v>60</v>
      </c>
      <c r="H3421" s="6" t="s">
        <v>34</v>
      </c>
      <c r="I3421" s="8" t="s">
        <v>253</v>
      </c>
      <c r="J3421" s="9">
        <v>1</v>
      </c>
      <c r="K3421" s="9">
        <v>260</v>
      </c>
      <c r="L3421" s="9">
        <v>2026</v>
      </c>
      <c r="M3421" s="8" t="s">
        <v>20003</v>
      </c>
      <c r="N3421" s="8" t="s">
        <v>37</v>
      </c>
      <c r="O3421" s="8" t="s">
        <v>136</v>
      </c>
      <c r="P3421" s="6" t="s">
        <v>51</v>
      </c>
      <c r="Q3421" s="8" t="s">
        <v>500</v>
      </c>
      <c r="R3421" s="10" t="s">
        <v>20004</v>
      </c>
      <c r="S3421" s="11"/>
      <c r="T3421" s="6"/>
      <c r="U3421" s="15" t="str">
        <f>HYPERLINK("https://media.infra-m.ru/2221/2221294/cover/2221294.jpg", "Обложка")</f>
        <v>Обложка</v>
      </c>
      <c r="V3421" s="8" t="s">
        <v>20005</v>
      </c>
      <c r="W3421" s="6" t="s">
        <v>186</v>
      </c>
      <c r="X3421" s="6"/>
      <c r="Y3421" s="6"/>
      <c r="Z3421" s="6"/>
      <c r="AA3421" s="6" t="s">
        <v>187</v>
      </c>
      <c r="AB3421" s="8" t="s">
        <v>308</v>
      </c>
      <c r="AC3421" s="27">
        <v>9785160212968</v>
      </c>
    </row>
    <row r="3422" spans="1:29" s="4" customFormat="1" ht="51.9" customHeight="1" x14ac:dyDescent="0.2">
      <c r="A3422" s="5">
        <v>0</v>
      </c>
      <c r="B3422" s="6" t="s">
        <v>20006</v>
      </c>
      <c r="C3422" s="7">
        <v>3588</v>
      </c>
      <c r="D3422" s="8" t="s">
        <v>20007</v>
      </c>
      <c r="E3422" s="8" t="s">
        <v>20008</v>
      </c>
      <c r="F3422" s="8" t="s">
        <v>20009</v>
      </c>
      <c r="G3422" s="6" t="s">
        <v>60</v>
      </c>
      <c r="H3422" s="6" t="s">
        <v>1644</v>
      </c>
      <c r="I3422" s="8"/>
      <c r="J3422" s="9">
        <v>1</v>
      </c>
      <c r="K3422" s="9">
        <v>608</v>
      </c>
      <c r="L3422" s="9">
        <v>2025</v>
      </c>
      <c r="M3422" s="8" t="s">
        <v>20010</v>
      </c>
      <c r="N3422" s="8" t="s">
        <v>37</v>
      </c>
      <c r="O3422" s="8" t="s">
        <v>233</v>
      </c>
      <c r="P3422" s="6" t="s">
        <v>306</v>
      </c>
      <c r="Q3422" s="8" t="s">
        <v>52</v>
      </c>
      <c r="R3422" s="10" t="s">
        <v>19873</v>
      </c>
      <c r="S3422" s="11" t="s">
        <v>20011</v>
      </c>
      <c r="T3422" s="6"/>
      <c r="U3422" s="15" t="str">
        <f>HYPERLINK("https://media.infra-m.ru/2206/2206979/cover/2206979.jpg", "Обложка")</f>
        <v>Обложка</v>
      </c>
      <c r="V3422" s="8" t="s">
        <v>1647</v>
      </c>
      <c r="W3422" s="6"/>
      <c r="X3422" s="6"/>
      <c r="Y3422" s="6"/>
      <c r="Z3422" s="6"/>
      <c r="AA3422" s="6" t="s">
        <v>129</v>
      </c>
      <c r="AB3422" s="8"/>
      <c r="AC3422" s="27">
        <v>9785977602112</v>
      </c>
    </row>
    <row r="3423" spans="1:29" s="4" customFormat="1" ht="42" customHeight="1" x14ac:dyDescent="0.2">
      <c r="A3423" s="5">
        <v>0</v>
      </c>
      <c r="B3423" s="6" t="s">
        <v>20012</v>
      </c>
      <c r="C3423" s="7">
        <v>1660.8</v>
      </c>
      <c r="D3423" s="8" t="s">
        <v>20013</v>
      </c>
      <c r="E3423" s="8" t="s">
        <v>20014</v>
      </c>
      <c r="F3423" s="8" t="s">
        <v>20015</v>
      </c>
      <c r="G3423" s="6" t="s">
        <v>60</v>
      </c>
      <c r="H3423" s="6" t="s">
        <v>34</v>
      </c>
      <c r="I3423" s="8" t="s">
        <v>253</v>
      </c>
      <c r="J3423" s="9">
        <v>1</v>
      </c>
      <c r="K3423" s="9">
        <v>251</v>
      </c>
      <c r="L3423" s="9">
        <v>2026</v>
      </c>
      <c r="M3423" s="8" t="s">
        <v>20016</v>
      </c>
      <c r="N3423" s="8" t="s">
        <v>37</v>
      </c>
      <c r="O3423" s="8" t="s">
        <v>136</v>
      </c>
      <c r="P3423" s="6" t="s">
        <v>51</v>
      </c>
      <c r="Q3423" s="8" t="s">
        <v>65</v>
      </c>
      <c r="R3423" s="10" t="s">
        <v>1262</v>
      </c>
      <c r="S3423" s="11"/>
      <c r="T3423" s="6"/>
      <c r="U3423" s="15" t="str">
        <f>HYPERLINK("https://media.infra-m.ru/2244/2244296/cover/2244296.jpg", "Обложка")</f>
        <v>Обложка</v>
      </c>
      <c r="V3423" s="8" t="s">
        <v>4943</v>
      </c>
      <c r="W3423" s="6"/>
      <c r="X3423" s="6"/>
      <c r="Y3423" s="6"/>
      <c r="Z3423" s="6"/>
      <c r="AA3423" s="6" t="s">
        <v>76</v>
      </c>
      <c r="AB3423" s="8"/>
      <c r="AC3423" s="27">
        <v>9785160185781</v>
      </c>
    </row>
    <row r="3424" spans="1:29" s="4" customFormat="1" ht="51.9" customHeight="1" x14ac:dyDescent="0.2">
      <c r="A3424" s="5">
        <v>0</v>
      </c>
      <c r="B3424" s="6" t="s">
        <v>20017</v>
      </c>
      <c r="C3424" s="7">
        <v>2640</v>
      </c>
      <c r="D3424" s="8" t="s">
        <v>20018</v>
      </c>
      <c r="E3424" s="8" t="s">
        <v>20019</v>
      </c>
      <c r="F3424" s="8" t="s">
        <v>20020</v>
      </c>
      <c r="G3424" s="6" t="s">
        <v>33</v>
      </c>
      <c r="H3424" s="6" t="s">
        <v>134</v>
      </c>
      <c r="I3424" s="8" t="s">
        <v>1355</v>
      </c>
      <c r="J3424" s="9">
        <v>1</v>
      </c>
      <c r="K3424" s="9">
        <v>400</v>
      </c>
      <c r="L3424" s="9">
        <v>2026</v>
      </c>
      <c r="M3424" s="8" t="s">
        <v>20021</v>
      </c>
      <c r="N3424" s="8" t="s">
        <v>37</v>
      </c>
      <c r="O3424" s="8" t="s">
        <v>136</v>
      </c>
      <c r="P3424" s="6" t="s">
        <v>394</v>
      </c>
      <c r="Q3424" s="8" t="s">
        <v>65</v>
      </c>
      <c r="R3424" s="10" t="s">
        <v>1275</v>
      </c>
      <c r="S3424" s="11"/>
      <c r="T3424" s="6"/>
      <c r="U3424" s="15" t="str">
        <f>HYPERLINK("https://media.infra-m.ru/2235/2235139/cover/2235139.jpg", "Обложка")</f>
        <v>Обложка</v>
      </c>
      <c r="V3424" s="8" t="s">
        <v>1069</v>
      </c>
      <c r="W3424" s="6"/>
      <c r="X3424" s="6"/>
      <c r="Y3424" s="6"/>
      <c r="Z3424" s="6"/>
      <c r="AA3424" s="6" t="s">
        <v>7159</v>
      </c>
      <c r="AB3424" s="8"/>
      <c r="AC3424" s="27">
        <v>9785917680842</v>
      </c>
    </row>
    <row r="3425" spans="1:29" s="4" customFormat="1" ht="51.9" customHeight="1" x14ac:dyDescent="0.2">
      <c r="A3425" s="5">
        <v>0</v>
      </c>
      <c r="B3425" s="6" t="s">
        <v>20022</v>
      </c>
      <c r="C3425" s="7">
        <v>4320</v>
      </c>
      <c r="D3425" s="8" t="s">
        <v>20023</v>
      </c>
      <c r="E3425" s="8" t="s">
        <v>20024</v>
      </c>
      <c r="F3425" s="8" t="s">
        <v>20020</v>
      </c>
      <c r="G3425" s="6" t="s">
        <v>60</v>
      </c>
      <c r="H3425" s="6" t="s">
        <v>134</v>
      </c>
      <c r="I3425" s="8"/>
      <c r="J3425" s="9">
        <v>1</v>
      </c>
      <c r="K3425" s="9">
        <v>672</v>
      </c>
      <c r="L3425" s="9">
        <v>2026</v>
      </c>
      <c r="M3425" s="8" t="s">
        <v>20025</v>
      </c>
      <c r="N3425" s="8" t="s">
        <v>37</v>
      </c>
      <c r="O3425" s="8" t="s">
        <v>136</v>
      </c>
      <c r="P3425" s="6" t="s">
        <v>306</v>
      </c>
      <c r="Q3425" s="8" t="s">
        <v>52</v>
      </c>
      <c r="R3425" s="10" t="s">
        <v>1068</v>
      </c>
      <c r="S3425" s="11" t="s">
        <v>20026</v>
      </c>
      <c r="T3425" s="6"/>
      <c r="U3425" s="15" t="str">
        <f>HYPERLINK("https://media.infra-m.ru/2225/2225925/cover/2225925.jpg", "Обложка")</f>
        <v>Обложка</v>
      </c>
      <c r="V3425" s="8" t="s">
        <v>1069</v>
      </c>
      <c r="W3425" s="6"/>
      <c r="X3425" s="6"/>
      <c r="Y3425" s="6"/>
      <c r="Z3425" s="6"/>
      <c r="AA3425" s="6" t="s">
        <v>8675</v>
      </c>
      <c r="AB3425" s="8"/>
      <c r="AC3425" s="27">
        <v>9785917686455</v>
      </c>
    </row>
    <row r="3426" spans="1:29" s="4" customFormat="1" ht="44.1" customHeight="1" x14ac:dyDescent="0.2">
      <c r="A3426" s="5">
        <v>0</v>
      </c>
      <c r="B3426" s="6" t="s">
        <v>20027</v>
      </c>
      <c r="C3426" s="7">
        <v>1704</v>
      </c>
      <c r="D3426" s="8" t="s">
        <v>20028</v>
      </c>
      <c r="E3426" s="8" t="s">
        <v>20029</v>
      </c>
      <c r="F3426" s="8" t="s">
        <v>20030</v>
      </c>
      <c r="G3426" s="6" t="s">
        <v>33</v>
      </c>
      <c r="H3426" s="6" t="s">
        <v>1644</v>
      </c>
      <c r="I3426" s="8"/>
      <c r="J3426" s="9">
        <v>1</v>
      </c>
      <c r="K3426" s="9">
        <v>272</v>
      </c>
      <c r="L3426" s="9">
        <v>2025</v>
      </c>
      <c r="M3426" s="8" t="s">
        <v>20031</v>
      </c>
      <c r="N3426" s="8" t="s">
        <v>37</v>
      </c>
      <c r="O3426" s="8" t="s">
        <v>136</v>
      </c>
      <c r="P3426" s="6" t="s">
        <v>39</v>
      </c>
      <c r="Q3426" s="8" t="s">
        <v>40</v>
      </c>
      <c r="R3426" s="10" t="s">
        <v>20032</v>
      </c>
      <c r="S3426" s="11"/>
      <c r="T3426" s="6"/>
      <c r="U3426" s="15" t="str">
        <f>HYPERLINK("https://media.infra-m.ru/2204/2204218/cover/2204218.jpg", "Обложка")</f>
        <v>Обложка</v>
      </c>
      <c r="V3426" s="8" t="s">
        <v>4448</v>
      </c>
      <c r="W3426" s="6"/>
      <c r="X3426" s="6"/>
      <c r="Y3426" s="6"/>
      <c r="Z3426" s="6"/>
      <c r="AA3426" s="6" t="s">
        <v>248</v>
      </c>
      <c r="AB3426" s="8"/>
      <c r="AC3426" s="27">
        <v>9785977603119</v>
      </c>
    </row>
    <row r="3427" spans="1:29" s="4" customFormat="1" ht="51.9" customHeight="1" x14ac:dyDescent="0.2">
      <c r="A3427" s="5">
        <v>0</v>
      </c>
      <c r="B3427" s="6" t="s">
        <v>20033</v>
      </c>
      <c r="C3427" s="7">
        <v>3108</v>
      </c>
      <c r="D3427" s="8" t="s">
        <v>20034</v>
      </c>
      <c r="E3427" s="8" t="s">
        <v>20035</v>
      </c>
      <c r="F3427" s="8" t="s">
        <v>20036</v>
      </c>
      <c r="G3427" s="6" t="s">
        <v>60</v>
      </c>
      <c r="H3427" s="6" t="s">
        <v>34</v>
      </c>
      <c r="I3427" s="8" t="s">
        <v>304</v>
      </c>
      <c r="J3427" s="9">
        <v>1</v>
      </c>
      <c r="K3427" s="9">
        <v>539</v>
      </c>
      <c r="L3427" s="9">
        <v>2024</v>
      </c>
      <c r="M3427" s="8" t="s">
        <v>20037</v>
      </c>
      <c r="N3427" s="8" t="s">
        <v>37</v>
      </c>
      <c r="O3427" s="8" t="s">
        <v>136</v>
      </c>
      <c r="P3427" s="6" t="s">
        <v>306</v>
      </c>
      <c r="Q3427" s="8" t="s">
        <v>65</v>
      </c>
      <c r="R3427" s="10" t="s">
        <v>20038</v>
      </c>
      <c r="S3427" s="11"/>
      <c r="T3427" s="6"/>
      <c r="U3427" s="15" t="str">
        <f>HYPERLINK("https://media.infra-m.ru/2084/2084103/cover/2084103.jpg", "Обложка")</f>
        <v>Обложка</v>
      </c>
      <c r="V3427" s="8" t="s">
        <v>247</v>
      </c>
      <c r="W3427" s="6"/>
      <c r="X3427" s="6"/>
      <c r="Y3427" s="6"/>
      <c r="Z3427" s="6"/>
      <c r="AA3427" s="6" t="s">
        <v>76</v>
      </c>
      <c r="AB3427" s="8"/>
      <c r="AC3427" s="27">
        <v>9785160190457</v>
      </c>
    </row>
    <row r="3428" spans="1:29" s="4" customFormat="1" ht="51.9" customHeight="1" x14ac:dyDescent="0.2">
      <c r="A3428" s="5">
        <v>0</v>
      </c>
      <c r="B3428" s="6" t="s">
        <v>20039</v>
      </c>
      <c r="C3428" s="13">
        <v>900</v>
      </c>
      <c r="D3428" s="8" t="s">
        <v>20040</v>
      </c>
      <c r="E3428" s="8" t="s">
        <v>20041</v>
      </c>
      <c r="F3428" s="8" t="s">
        <v>12438</v>
      </c>
      <c r="G3428" s="6" t="s">
        <v>33</v>
      </c>
      <c r="H3428" s="6" t="s">
        <v>34</v>
      </c>
      <c r="I3428" s="8" t="s">
        <v>35</v>
      </c>
      <c r="J3428" s="9">
        <v>1</v>
      </c>
      <c r="K3428" s="9">
        <v>153</v>
      </c>
      <c r="L3428" s="9">
        <v>2023</v>
      </c>
      <c r="M3428" s="8" t="s">
        <v>20042</v>
      </c>
      <c r="N3428" s="8" t="s">
        <v>37</v>
      </c>
      <c r="O3428" s="8" t="s">
        <v>136</v>
      </c>
      <c r="P3428" s="6" t="s">
        <v>39</v>
      </c>
      <c r="Q3428" s="8" t="s">
        <v>40</v>
      </c>
      <c r="R3428" s="10" t="s">
        <v>20043</v>
      </c>
      <c r="S3428" s="11"/>
      <c r="T3428" s="6"/>
      <c r="U3428" s="15" t="str">
        <f>HYPERLINK("https://media.infra-m.ru/1903/1903356/cover/1903356.jpg", "Обложка")</f>
        <v>Обложка</v>
      </c>
      <c r="V3428" s="8" t="s">
        <v>1231</v>
      </c>
      <c r="W3428" s="6"/>
      <c r="X3428" s="6"/>
      <c r="Y3428" s="6"/>
      <c r="Z3428" s="6"/>
      <c r="AA3428" s="6" t="s">
        <v>157</v>
      </c>
      <c r="AB3428" s="8"/>
      <c r="AC3428" s="27">
        <v>9785160180120</v>
      </c>
    </row>
    <row r="3429" spans="1:29" s="4" customFormat="1" ht="42" customHeight="1" x14ac:dyDescent="0.2">
      <c r="A3429" s="5">
        <v>0</v>
      </c>
      <c r="B3429" s="6" t="s">
        <v>20044</v>
      </c>
      <c r="C3429" s="7">
        <v>1080</v>
      </c>
      <c r="D3429" s="8" t="s">
        <v>20045</v>
      </c>
      <c r="E3429" s="8" t="s">
        <v>20046</v>
      </c>
      <c r="F3429" s="8" t="s">
        <v>12438</v>
      </c>
      <c r="G3429" s="6" t="s">
        <v>33</v>
      </c>
      <c r="H3429" s="6" t="s">
        <v>34</v>
      </c>
      <c r="I3429" s="8" t="s">
        <v>35</v>
      </c>
      <c r="J3429" s="9">
        <v>1</v>
      </c>
      <c r="K3429" s="9">
        <v>168</v>
      </c>
      <c r="L3429" s="9">
        <v>2024</v>
      </c>
      <c r="M3429" s="8" t="s">
        <v>20047</v>
      </c>
      <c r="N3429" s="8" t="s">
        <v>37</v>
      </c>
      <c r="O3429" s="8" t="s">
        <v>136</v>
      </c>
      <c r="P3429" s="6" t="s">
        <v>39</v>
      </c>
      <c r="Q3429" s="8" t="s">
        <v>40</v>
      </c>
      <c r="R3429" s="10" t="s">
        <v>684</v>
      </c>
      <c r="S3429" s="11"/>
      <c r="T3429" s="6"/>
      <c r="U3429" s="15" t="str">
        <f>HYPERLINK("https://media.infra-m.ru/2137/2137528/cover/2137528.jpg", "Обложка")</f>
        <v>Обложка</v>
      </c>
      <c r="V3429" s="8" t="s">
        <v>1231</v>
      </c>
      <c r="W3429" s="6"/>
      <c r="X3429" s="6"/>
      <c r="Y3429" s="6"/>
      <c r="Z3429" s="6"/>
      <c r="AA3429" s="6" t="s">
        <v>76</v>
      </c>
      <c r="AB3429" s="8"/>
      <c r="AC3429" s="27">
        <v>9785160197838</v>
      </c>
    </row>
    <row r="3430" spans="1:29" s="4" customFormat="1" ht="42" customHeight="1" x14ac:dyDescent="0.2">
      <c r="A3430" s="5">
        <v>0</v>
      </c>
      <c r="B3430" s="6" t="s">
        <v>20048</v>
      </c>
      <c r="C3430" s="13">
        <v>948</v>
      </c>
      <c r="D3430" s="8" t="s">
        <v>20049</v>
      </c>
      <c r="E3430" s="8" t="s">
        <v>20050</v>
      </c>
      <c r="F3430" s="8" t="s">
        <v>20051</v>
      </c>
      <c r="G3430" s="6" t="s">
        <v>33</v>
      </c>
      <c r="H3430" s="6" t="s">
        <v>34</v>
      </c>
      <c r="I3430" s="8" t="s">
        <v>35</v>
      </c>
      <c r="J3430" s="9">
        <v>1</v>
      </c>
      <c r="K3430" s="9">
        <v>167</v>
      </c>
      <c r="L3430" s="9">
        <v>2022</v>
      </c>
      <c r="M3430" s="8" t="s">
        <v>20052</v>
      </c>
      <c r="N3430" s="8" t="s">
        <v>37</v>
      </c>
      <c r="O3430" s="8" t="s">
        <v>136</v>
      </c>
      <c r="P3430" s="6" t="s">
        <v>39</v>
      </c>
      <c r="Q3430" s="8" t="s">
        <v>40</v>
      </c>
      <c r="R3430" s="10" t="s">
        <v>684</v>
      </c>
      <c r="S3430" s="11"/>
      <c r="T3430" s="6"/>
      <c r="U3430" s="15" t="str">
        <f>HYPERLINK("https://media.infra-m.ru/1871/1871444/cover/1871444.jpg", "Обложка")</f>
        <v>Обложка</v>
      </c>
      <c r="V3430" s="8" t="s">
        <v>9937</v>
      </c>
      <c r="W3430" s="6"/>
      <c r="X3430" s="6"/>
      <c r="Y3430" s="6"/>
      <c r="Z3430" s="6"/>
      <c r="AA3430" s="6" t="s">
        <v>148</v>
      </c>
      <c r="AB3430" s="8"/>
      <c r="AC3430" s="27">
        <v>9785160177434</v>
      </c>
    </row>
    <row r="3431" spans="1:29" s="4" customFormat="1" ht="51.9" customHeight="1" x14ac:dyDescent="0.2">
      <c r="A3431" s="5">
        <v>0</v>
      </c>
      <c r="B3431" s="6" t="s">
        <v>20053</v>
      </c>
      <c r="C3431" s="7">
        <v>2488.8000000000002</v>
      </c>
      <c r="D3431" s="8" t="s">
        <v>20054</v>
      </c>
      <c r="E3431" s="8" t="s">
        <v>20055</v>
      </c>
      <c r="F3431" s="8" t="s">
        <v>20056</v>
      </c>
      <c r="G3431" s="6" t="s">
        <v>118</v>
      </c>
      <c r="H3431" s="6" t="s">
        <v>34</v>
      </c>
      <c r="I3431" s="8" t="s">
        <v>35</v>
      </c>
      <c r="J3431" s="9">
        <v>1</v>
      </c>
      <c r="K3431" s="9">
        <v>378</v>
      </c>
      <c r="L3431" s="9">
        <v>2026</v>
      </c>
      <c r="M3431" s="8" t="s">
        <v>20057</v>
      </c>
      <c r="N3431" s="8" t="s">
        <v>37</v>
      </c>
      <c r="O3431" s="8" t="s">
        <v>136</v>
      </c>
      <c r="P3431" s="6" t="s">
        <v>39</v>
      </c>
      <c r="Q3431" s="8" t="s">
        <v>40</v>
      </c>
      <c r="R3431" s="10" t="s">
        <v>1631</v>
      </c>
      <c r="S3431" s="11"/>
      <c r="T3431" s="6"/>
      <c r="U3431" s="15" t="str">
        <f>HYPERLINK("https://media.infra-m.ru/2237/2237642/cover/2237642.jpg", "Обложка")</f>
        <v>Обложка</v>
      </c>
      <c r="V3431" s="8" t="s">
        <v>1425</v>
      </c>
      <c r="W3431" s="6"/>
      <c r="X3431" s="6"/>
      <c r="Y3431" s="6"/>
      <c r="Z3431" s="6"/>
      <c r="AA3431" s="6" t="s">
        <v>86</v>
      </c>
      <c r="AB3431" s="8"/>
      <c r="AC3431" s="27">
        <v>9785160145754</v>
      </c>
    </row>
    <row r="3432" spans="1:29" s="4" customFormat="1" ht="51.9" customHeight="1" x14ac:dyDescent="0.2">
      <c r="A3432" s="5">
        <v>0</v>
      </c>
      <c r="B3432" s="6" t="s">
        <v>20058</v>
      </c>
      <c r="C3432" s="13">
        <v>900</v>
      </c>
      <c r="D3432" s="8" t="s">
        <v>20059</v>
      </c>
      <c r="E3432" s="8" t="s">
        <v>20060</v>
      </c>
      <c r="F3432" s="8" t="s">
        <v>20061</v>
      </c>
      <c r="G3432" s="6" t="s">
        <v>33</v>
      </c>
      <c r="H3432" s="6" t="s">
        <v>34</v>
      </c>
      <c r="I3432" s="8" t="s">
        <v>35</v>
      </c>
      <c r="J3432" s="9">
        <v>1</v>
      </c>
      <c r="K3432" s="9">
        <v>187</v>
      </c>
      <c r="L3432" s="9">
        <v>2022</v>
      </c>
      <c r="M3432" s="8" t="s">
        <v>20062</v>
      </c>
      <c r="N3432" s="8" t="s">
        <v>37</v>
      </c>
      <c r="O3432" s="8" t="s">
        <v>136</v>
      </c>
      <c r="P3432" s="6" t="s">
        <v>39</v>
      </c>
      <c r="Q3432" s="8" t="s">
        <v>40</v>
      </c>
      <c r="R3432" s="10" t="s">
        <v>1230</v>
      </c>
      <c r="S3432" s="11"/>
      <c r="T3432" s="6"/>
      <c r="U3432" s="15" t="str">
        <f>HYPERLINK("https://media.infra-m.ru/1587/1587438/cover/1587438.jpg", "Обложка")</f>
        <v>Обложка</v>
      </c>
      <c r="V3432" s="8"/>
      <c r="W3432" s="6"/>
      <c r="X3432" s="6"/>
      <c r="Y3432" s="6"/>
      <c r="Z3432" s="6"/>
      <c r="AA3432" s="6" t="s">
        <v>148</v>
      </c>
      <c r="AB3432" s="8"/>
      <c r="AC3432" s="27">
        <v>9785160170558</v>
      </c>
    </row>
    <row r="3433" spans="1:29" s="4" customFormat="1" ht="51.9" customHeight="1" x14ac:dyDescent="0.2">
      <c r="A3433" s="5">
        <v>0</v>
      </c>
      <c r="B3433" s="6" t="s">
        <v>20063</v>
      </c>
      <c r="C3433" s="7">
        <v>1601.9</v>
      </c>
      <c r="D3433" s="8" t="s">
        <v>20064</v>
      </c>
      <c r="E3433" s="8" t="s">
        <v>20065</v>
      </c>
      <c r="F3433" s="8" t="s">
        <v>20066</v>
      </c>
      <c r="G3433" s="6" t="s">
        <v>118</v>
      </c>
      <c r="H3433" s="6" t="s">
        <v>34</v>
      </c>
      <c r="I3433" s="8" t="s">
        <v>20067</v>
      </c>
      <c r="J3433" s="9">
        <v>1</v>
      </c>
      <c r="K3433" s="9">
        <v>351</v>
      </c>
      <c r="L3433" s="9">
        <v>2022</v>
      </c>
      <c r="M3433" s="8" t="s">
        <v>20068</v>
      </c>
      <c r="N3433" s="8" t="s">
        <v>37</v>
      </c>
      <c r="O3433" s="8" t="s">
        <v>233</v>
      </c>
      <c r="P3433" s="6" t="s">
        <v>306</v>
      </c>
      <c r="Q3433" s="8" t="s">
        <v>500</v>
      </c>
      <c r="R3433" s="10" t="s">
        <v>20069</v>
      </c>
      <c r="S3433" s="11" t="s">
        <v>20070</v>
      </c>
      <c r="T3433" s="6"/>
      <c r="U3433" s="15" t="str">
        <f>HYPERLINK("https://media.infra-m.ru/1832/1832128/cover/1832128.jpg", "Обложка")</f>
        <v>Обложка</v>
      </c>
      <c r="V3433" s="8" t="s">
        <v>546</v>
      </c>
      <c r="W3433" s="6"/>
      <c r="X3433" s="6"/>
      <c r="Y3433" s="6"/>
      <c r="Z3433" s="6"/>
      <c r="AA3433" s="6" t="s">
        <v>2311</v>
      </c>
      <c r="AB3433" s="8"/>
      <c r="AC3433" s="27">
        <v>9785160122342</v>
      </c>
    </row>
    <row r="3434" spans="1:29" s="4" customFormat="1" ht="42" customHeight="1" x14ac:dyDescent="0.2">
      <c r="A3434" s="5">
        <v>0</v>
      </c>
      <c r="B3434" s="6" t="s">
        <v>20071</v>
      </c>
      <c r="C3434" s="7">
        <v>1012.8</v>
      </c>
      <c r="D3434" s="8" t="s">
        <v>20072</v>
      </c>
      <c r="E3434" s="8" t="s">
        <v>20073</v>
      </c>
      <c r="F3434" s="8" t="s">
        <v>19840</v>
      </c>
      <c r="G3434" s="6" t="s">
        <v>118</v>
      </c>
      <c r="H3434" s="6" t="s">
        <v>34</v>
      </c>
      <c r="I3434" s="8" t="s">
        <v>35</v>
      </c>
      <c r="J3434" s="9">
        <v>1</v>
      </c>
      <c r="K3434" s="9">
        <v>169</v>
      </c>
      <c r="L3434" s="9">
        <v>2025</v>
      </c>
      <c r="M3434" s="8" t="s">
        <v>20074</v>
      </c>
      <c r="N3434" s="8" t="s">
        <v>37</v>
      </c>
      <c r="O3434" s="8" t="s">
        <v>233</v>
      </c>
      <c r="P3434" s="6" t="s">
        <v>39</v>
      </c>
      <c r="Q3434" s="8" t="s">
        <v>40</v>
      </c>
      <c r="R3434" s="10" t="s">
        <v>2033</v>
      </c>
      <c r="S3434" s="11"/>
      <c r="T3434" s="6"/>
      <c r="U3434" s="15" t="str">
        <f>HYPERLINK("https://media.infra-m.ru/2178/2178763/cover/2178763.jpg", "Обложка")</f>
        <v>Обложка</v>
      </c>
      <c r="V3434" s="8" t="s">
        <v>657</v>
      </c>
      <c r="W3434" s="6"/>
      <c r="X3434" s="6"/>
      <c r="Y3434" s="6"/>
      <c r="Z3434" s="6"/>
      <c r="AA3434" s="6" t="s">
        <v>86</v>
      </c>
      <c r="AB3434" s="8"/>
      <c r="AC3434" s="27">
        <v>9785160136820</v>
      </c>
    </row>
    <row r="3435" spans="1:29" s="4" customFormat="1" ht="51.9" customHeight="1" x14ac:dyDescent="0.2">
      <c r="A3435" s="5">
        <v>0</v>
      </c>
      <c r="B3435" s="6" t="s">
        <v>20075</v>
      </c>
      <c r="C3435" s="7">
        <v>2952</v>
      </c>
      <c r="D3435" s="8" t="s">
        <v>20076</v>
      </c>
      <c r="E3435" s="8" t="s">
        <v>20077</v>
      </c>
      <c r="F3435" s="8" t="s">
        <v>20078</v>
      </c>
      <c r="G3435" s="6" t="s">
        <v>60</v>
      </c>
      <c r="H3435" s="6" t="s">
        <v>134</v>
      </c>
      <c r="I3435" s="8"/>
      <c r="J3435" s="9">
        <v>1</v>
      </c>
      <c r="K3435" s="9">
        <v>448</v>
      </c>
      <c r="L3435" s="9">
        <v>2026</v>
      </c>
      <c r="M3435" s="8" t="s">
        <v>20079</v>
      </c>
      <c r="N3435" s="8" t="s">
        <v>37</v>
      </c>
      <c r="O3435" s="8" t="s">
        <v>136</v>
      </c>
      <c r="P3435" s="6" t="s">
        <v>306</v>
      </c>
      <c r="Q3435" s="8" t="s">
        <v>500</v>
      </c>
      <c r="R3435" s="10" t="s">
        <v>1653</v>
      </c>
      <c r="S3435" s="11"/>
      <c r="T3435" s="6"/>
      <c r="U3435" s="15" t="str">
        <f>HYPERLINK("https://media.infra-m.ru/2218/2218679/cover/2218679.jpg", "Обложка")</f>
        <v>Обложка</v>
      </c>
      <c r="V3435" s="8" t="s">
        <v>1184</v>
      </c>
      <c r="W3435" s="6"/>
      <c r="X3435" s="6"/>
      <c r="Y3435" s="6"/>
      <c r="Z3435" s="6"/>
      <c r="AA3435" s="6" t="s">
        <v>99</v>
      </c>
      <c r="AB3435" s="8"/>
      <c r="AC3435" s="27">
        <v>9785917688152</v>
      </c>
    </row>
    <row r="3436" spans="1:29" s="4" customFormat="1" ht="51.9" customHeight="1" x14ac:dyDescent="0.2">
      <c r="A3436" s="5">
        <v>0</v>
      </c>
      <c r="B3436" s="6" t="s">
        <v>20080</v>
      </c>
      <c r="C3436" s="7">
        <v>2520</v>
      </c>
      <c r="D3436" s="8" t="s">
        <v>20081</v>
      </c>
      <c r="E3436" s="8" t="s">
        <v>20082</v>
      </c>
      <c r="F3436" s="8" t="s">
        <v>20083</v>
      </c>
      <c r="G3436" s="6" t="s">
        <v>118</v>
      </c>
      <c r="H3436" s="6" t="s">
        <v>34</v>
      </c>
      <c r="I3436" s="8" t="s">
        <v>253</v>
      </c>
      <c r="J3436" s="9">
        <v>1</v>
      </c>
      <c r="K3436" s="9">
        <v>362</v>
      </c>
      <c r="L3436" s="9">
        <v>2027</v>
      </c>
      <c r="M3436" s="8" t="s">
        <v>20084</v>
      </c>
      <c r="N3436" s="8" t="s">
        <v>37</v>
      </c>
      <c r="O3436" s="8" t="s">
        <v>83</v>
      </c>
      <c r="P3436" s="6" t="s">
        <v>306</v>
      </c>
      <c r="Q3436" s="8" t="s">
        <v>52</v>
      </c>
      <c r="R3436" s="10" t="s">
        <v>20085</v>
      </c>
      <c r="S3436" s="11" t="s">
        <v>20086</v>
      </c>
      <c r="T3436" s="6"/>
      <c r="U3436" s="15" t="str">
        <f>HYPERLINK("https://media.infra-m.ru/2264/2264638/cover/2264638.jpg", "Обложка")</f>
        <v>Обложка</v>
      </c>
      <c r="V3436" s="8" t="s">
        <v>10985</v>
      </c>
      <c r="W3436" s="6"/>
      <c r="X3436" s="6"/>
      <c r="Y3436" s="6"/>
      <c r="Z3436" s="6"/>
      <c r="AA3436" s="6" t="s">
        <v>115</v>
      </c>
      <c r="AB3436" s="8"/>
      <c r="AC3436" s="27">
        <v>9785160188300</v>
      </c>
    </row>
    <row r="3437" spans="1:29" s="4" customFormat="1" ht="42" customHeight="1" x14ac:dyDescent="0.2">
      <c r="A3437" s="5">
        <v>0</v>
      </c>
      <c r="B3437" s="6" t="s">
        <v>20087</v>
      </c>
      <c r="C3437" s="7">
        <v>1540.8</v>
      </c>
      <c r="D3437" s="8" t="s">
        <v>20088</v>
      </c>
      <c r="E3437" s="8" t="s">
        <v>20089</v>
      </c>
      <c r="F3437" s="8" t="s">
        <v>20090</v>
      </c>
      <c r="G3437" s="6" t="s">
        <v>118</v>
      </c>
      <c r="H3437" s="6" t="s">
        <v>34</v>
      </c>
      <c r="I3437" s="8" t="s">
        <v>253</v>
      </c>
      <c r="J3437" s="9">
        <v>1</v>
      </c>
      <c r="K3437" s="9">
        <v>222</v>
      </c>
      <c r="L3437" s="9">
        <v>2027</v>
      </c>
      <c r="M3437" s="8" t="s">
        <v>20091</v>
      </c>
      <c r="N3437" s="8" t="s">
        <v>243</v>
      </c>
      <c r="O3437" s="8" t="s">
        <v>964</v>
      </c>
      <c r="P3437" s="6" t="s">
        <v>306</v>
      </c>
      <c r="Q3437" s="8" t="s">
        <v>52</v>
      </c>
      <c r="R3437" s="10" t="s">
        <v>20092</v>
      </c>
      <c r="S3437" s="11"/>
      <c r="T3437" s="6"/>
      <c r="U3437" s="15" t="str">
        <f>HYPERLINK("https://media.infra-m.ru/2262/2262882/cover/2262882.jpg", "Обложка")</f>
        <v>Обложка</v>
      </c>
      <c r="V3437" s="8" t="s">
        <v>20093</v>
      </c>
      <c r="W3437" s="6"/>
      <c r="X3437" s="6"/>
      <c r="Y3437" s="6"/>
      <c r="Z3437" s="6"/>
      <c r="AA3437" s="6" t="s">
        <v>157</v>
      </c>
      <c r="AB3437" s="8"/>
      <c r="AC3437" s="27">
        <v>9785160176246</v>
      </c>
    </row>
    <row r="3438" spans="1:29" s="4" customFormat="1" ht="51.9" customHeight="1" x14ac:dyDescent="0.2">
      <c r="A3438" s="5">
        <v>0</v>
      </c>
      <c r="B3438" s="6" t="s">
        <v>20094</v>
      </c>
      <c r="C3438" s="13">
        <v>948</v>
      </c>
      <c r="D3438" s="8" t="s">
        <v>20095</v>
      </c>
      <c r="E3438" s="8" t="s">
        <v>20096</v>
      </c>
      <c r="F3438" s="8" t="s">
        <v>20097</v>
      </c>
      <c r="G3438" s="6" t="s">
        <v>33</v>
      </c>
      <c r="H3438" s="6" t="s">
        <v>313</v>
      </c>
      <c r="I3438" s="8" t="s">
        <v>253</v>
      </c>
      <c r="J3438" s="9">
        <v>1</v>
      </c>
      <c r="K3438" s="9">
        <v>132</v>
      </c>
      <c r="L3438" s="9">
        <v>2027</v>
      </c>
      <c r="M3438" s="8" t="s">
        <v>20098</v>
      </c>
      <c r="N3438" s="8" t="s">
        <v>37</v>
      </c>
      <c r="O3438" s="8" t="s">
        <v>499</v>
      </c>
      <c r="P3438" s="6" t="s">
        <v>51</v>
      </c>
      <c r="Q3438" s="8" t="s">
        <v>65</v>
      </c>
      <c r="R3438" s="10" t="s">
        <v>13369</v>
      </c>
      <c r="S3438" s="11" t="s">
        <v>20099</v>
      </c>
      <c r="T3438" s="6"/>
      <c r="U3438" s="15" t="str">
        <f>HYPERLINK("https://media.infra-m.ru/2266/2266112/cover/2266112.jpg", "Обложка")</f>
        <v>Обложка</v>
      </c>
      <c r="V3438" s="8" t="s">
        <v>227</v>
      </c>
      <c r="W3438" s="6"/>
      <c r="X3438" s="6"/>
      <c r="Y3438" s="6"/>
      <c r="Z3438" s="6"/>
      <c r="AA3438" s="6" t="s">
        <v>99</v>
      </c>
      <c r="AB3438" s="8"/>
      <c r="AC3438" s="27">
        <v>9785369019405</v>
      </c>
    </row>
    <row r="3439" spans="1:29" s="4" customFormat="1" ht="42" customHeight="1" x14ac:dyDescent="0.2">
      <c r="A3439" s="5">
        <v>0</v>
      </c>
      <c r="B3439" s="6" t="s">
        <v>20100</v>
      </c>
      <c r="C3439" s="13">
        <v>924</v>
      </c>
      <c r="D3439" s="8" t="s">
        <v>20101</v>
      </c>
      <c r="E3439" s="8" t="s">
        <v>20102</v>
      </c>
      <c r="F3439" s="8" t="s">
        <v>20103</v>
      </c>
      <c r="G3439" s="6" t="s">
        <v>33</v>
      </c>
      <c r="H3439" s="6" t="s">
        <v>134</v>
      </c>
      <c r="I3439" s="8"/>
      <c r="J3439" s="9">
        <v>1</v>
      </c>
      <c r="K3439" s="9">
        <v>160</v>
      </c>
      <c r="L3439" s="9">
        <v>2024</v>
      </c>
      <c r="M3439" s="8" t="s">
        <v>20104</v>
      </c>
      <c r="N3439" s="8" t="s">
        <v>37</v>
      </c>
      <c r="O3439" s="8" t="s">
        <v>136</v>
      </c>
      <c r="P3439" s="6" t="s">
        <v>39</v>
      </c>
      <c r="Q3439" s="8" t="s">
        <v>40</v>
      </c>
      <c r="R3439" s="10" t="s">
        <v>1631</v>
      </c>
      <c r="S3439" s="11"/>
      <c r="T3439" s="6"/>
      <c r="U3439" s="15" t="str">
        <f>HYPERLINK("https://media.infra-m.ru/2129/2129531/cover/2129531.jpg", "Обложка")</f>
        <v>Обложка</v>
      </c>
      <c r="V3439" s="8" t="s">
        <v>1647</v>
      </c>
      <c r="W3439" s="6"/>
      <c r="X3439" s="6"/>
      <c r="Y3439" s="6"/>
      <c r="Z3439" s="6"/>
      <c r="AA3439" s="6" t="s">
        <v>43</v>
      </c>
      <c r="AB3439" s="8"/>
      <c r="AC3439" s="27">
        <v>9785917682327</v>
      </c>
    </row>
    <row r="3440" spans="1:29" s="4" customFormat="1" ht="51.9" customHeight="1" x14ac:dyDescent="0.2">
      <c r="A3440" s="5">
        <v>0</v>
      </c>
      <c r="B3440" s="6" t="s">
        <v>20105</v>
      </c>
      <c r="C3440" s="7">
        <v>1428</v>
      </c>
      <c r="D3440" s="8" t="s">
        <v>20106</v>
      </c>
      <c r="E3440" s="8" t="s">
        <v>20107</v>
      </c>
      <c r="F3440" s="8" t="s">
        <v>20108</v>
      </c>
      <c r="G3440" s="6" t="s">
        <v>118</v>
      </c>
      <c r="H3440" s="6" t="s">
        <v>34</v>
      </c>
      <c r="I3440" s="8" t="s">
        <v>253</v>
      </c>
      <c r="J3440" s="9">
        <v>1</v>
      </c>
      <c r="K3440" s="9">
        <v>215</v>
      </c>
      <c r="L3440" s="9">
        <v>2026</v>
      </c>
      <c r="M3440" s="8" t="s">
        <v>20109</v>
      </c>
      <c r="N3440" s="8" t="s">
        <v>37</v>
      </c>
      <c r="O3440" s="8" t="s">
        <v>233</v>
      </c>
      <c r="P3440" s="6" t="s">
        <v>51</v>
      </c>
      <c r="Q3440" s="8" t="s">
        <v>500</v>
      </c>
      <c r="R3440" s="10" t="s">
        <v>18474</v>
      </c>
      <c r="S3440" s="11"/>
      <c r="T3440" s="6"/>
      <c r="U3440" s="15" t="str">
        <f>HYPERLINK("https://media.infra-m.ru/2253/2253665/cover/2253665.jpg", "Обложка")</f>
        <v>Обложка</v>
      </c>
      <c r="V3440" s="8" t="s">
        <v>14780</v>
      </c>
      <c r="W3440" s="6"/>
      <c r="X3440" s="6"/>
      <c r="Y3440" s="6"/>
      <c r="Z3440" s="6"/>
      <c r="AA3440" s="6" t="s">
        <v>99</v>
      </c>
      <c r="AB3440" s="8"/>
      <c r="AC3440" s="27">
        <v>9785160221083</v>
      </c>
    </row>
    <row r="3441" spans="1:29" s="4" customFormat="1" ht="42" customHeight="1" x14ac:dyDescent="0.2">
      <c r="A3441" s="5">
        <v>0</v>
      </c>
      <c r="B3441" s="6" t="s">
        <v>20110</v>
      </c>
      <c r="C3441" s="7">
        <v>1096.8</v>
      </c>
      <c r="D3441" s="8" t="s">
        <v>20111</v>
      </c>
      <c r="E3441" s="8" t="s">
        <v>20112</v>
      </c>
      <c r="F3441" s="8" t="s">
        <v>20113</v>
      </c>
      <c r="G3441" s="6" t="s">
        <v>21</v>
      </c>
      <c r="H3441" s="6" t="s">
        <v>134</v>
      </c>
      <c r="I3441" s="8"/>
      <c r="J3441" s="9">
        <v>1</v>
      </c>
      <c r="K3441" s="9">
        <v>192</v>
      </c>
      <c r="L3441" s="9">
        <v>2024</v>
      </c>
      <c r="M3441" s="8" t="s">
        <v>20114</v>
      </c>
      <c r="N3441" s="8" t="s">
        <v>37</v>
      </c>
      <c r="O3441" s="8" t="s">
        <v>83</v>
      </c>
      <c r="P3441" s="6" t="s">
        <v>306</v>
      </c>
      <c r="Q3441" s="8" t="s">
        <v>52</v>
      </c>
      <c r="R3441" s="10" t="s">
        <v>1631</v>
      </c>
      <c r="S3441" s="11"/>
      <c r="T3441" s="6"/>
      <c r="U3441" s="15" t="str">
        <f>HYPERLINK("https://media.infra-m.ru/2155/2155582/cover/2155582.jpg", "Обложка")</f>
        <v>Обложка</v>
      </c>
      <c r="V3441" s="8" t="s">
        <v>2854</v>
      </c>
      <c r="W3441" s="6"/>
      <c r="X3441" s="6"/>
      <c r="Y3441" s="6"/>
      <c r="Z3441" s="6"/>
      <c r="AA3441" s="6" t="s">
        <v>779</v>
      </c>
      <c r="AB3441" s="8"/>
      <c r="AC3441" s="27">
        <v>9785917686523</v>
      </c>
    </row>
    <row r="3442" spans="1:29" s="4" customFormat="1" ht="51.9" customHeight="1" x14ac:dyDescent="0.2">
      <c r="A3442" s="5">
        <v>0</v>
      </c>
      <c r="B3442" s="6" t="s">
        <v>20115</v>
      </c>
      <c r="C3442" s="7">
        <v>2580</v>
      </c>
      <c r="D3442" s="8" t="s">
        <v>20116</v>
      </c>
      <c r="E3442" s="8" t="s">
        <v>20117</v>
      </c>
      <c r="F3442" s="8" t="s">
        <v>3731</v>
      </c>
      <c r="G3442" s="6" t="s">
        <v>60</v>
      </c>
      <c r="H3442" s="6" t="s">
        <v>34</v>
      </c>
      <c r="I3442" s="8" t="s">
        <v>253</v>
      </c>
      <c r="J3442" s="9">
        <v>1</v>
      </c>
      <c r="K3442" s="9">
        <v>456</v>
      </c>
      <c r="L3442" s="9">
        <v>2024</v>
      </c>
      <c r="M3442" s="8" t="s">
        <v>20118</v>
      </c>
      <c r="N3442" s="8" t="s">
        <v>37</v>
      </c>
      <c r="O3442" s="8" t="s">
        <v>233</v>
      </c>
      <c r="P3442" s="6" t="s">
        <v>306</v>
      </c>
      <c r="Q3442" s="8" t="s">
        <v>52</v>
      </c>
      <c r="R3442" s="10" t="s">
        <v>1646</v>
      </c>
      <c r="S3442" s="11" t="s">
        <v>20119</v>
      </c>
      <c r="T3442" s="6"/>
      <c r="U3442" s="15" t="str">
        <f>HYPERLINK("https://media.infra-m.ru/2144/2144216/cover/2144216.jpg", "Обложка")</f>
        <v>Обложка</v>
      </c>
      <c r="V3442" s="8" t="s">
        <v>3735</v>
      </c>
      <c r="W3442" s="6"/>
      <c r="X3442" s="6"/>
      <c r="Y3442" s="6"/>
      <c r="Z3442" s="6"/>
      <c r="AA3442" s="6" t="s">
        <v>1256</v>
      </c>
      <c r="AB3442" s="8"/>
      <c r="AC3442" s="27">
        <v>9785160199238</v>
      </c>
    </row>
    <row r="3443" spans="1:29" s="4" customFormat="1" ht="51.9" customHeight="1" x14ac:dyDescent="0.2">
      <c r="A3443" s="5">
        <v>0</v>
      </c>
      <c r="B3443" s="6" t="s">
        <v>20120</v>
      </c>
      <c r="C3443" s="7">
        <v>1828.8</v>
      </c>
      <c r="D3443" s="8" t="s">
        <v>20121</v>
      </c>
      <c r="E3443" s="8" t="s">
        <v>20122</v>
      </c>
      <c r="F3443" s="8" t="s">
        <v>20123</v>
      </c>
      <c r="G3443" s="6" t="s">
        <v>60</v>
      </c>
      <c r="H3443" s="6" t="s">
        <v>1042</v>
      </c>
      <c r="I3443" s="8" t="s">
        <v>253</v>
      </c>
      <c r="J3443" s="9">
        <v>1</v>
      </c>
      <c r="K3443" s="9">
        <v>304</v>
      </c>
      <c r="L3443" s="9">
        <v>2025</v>
      </c>
      <c r="M3443" s="8" t="s">
        <v>20124</v>
      </c>
      <c r="N3443" s="8" t="s">
        <v>37</v>
      </c>
      <c r="O3443" s="8" t="s">
        <v>233</v>
      </c>
      <c r="P3443" s="6" t="s">
        <v>51</v>
      </c>
      <c r="Q3443" s="8" t="s">
        <v>52</v>
      </c>
      <c r="R3443" s="10" t="s">
        <v>3008</v>
      </c>
      <c r="S3443" s="11" t="s">
        <v>2265</v>
      </c>
      <c r="T3443" s="6"/>
      <c r="U3443" s="15" t="str">
        <f>HYPERLINK("https://media.infra-m.ru/2173/2173937/cover/2173937.jpg", "Обложка")</f>
        <v>Обложка</v>
      </c>
      <c r="V3443" s="8" t="s">
        <v>257</v>
      </c>
      <c r="W3443" s="6"/>
      <c r="X3443" s="6"/>
      <c r="Y3443" s="6"/>
      <c r="Z3443" s="6"/>
      <c r="AA3443" s="6" t="s">
        <v>769</v>
      </c>
      <c r="AB3443" s="8"/>
      <c r="AC3443" s="27">
        <v>9785819905036</v>
      </c>
    </row>
    <row r="3444" spans="1:29" s="4" customFormat="1" ht="44.1" customHeight="1" x14ac:dyDescent="0.2">
      <c r="A3444" s="5">
        <v>0</v>
      </c>
      <c r="B3444" s="6" t="s">
        <v>20125</v>
      </c>
      <c r="C3444" s="7">
        <v>1000.8</v>
      </c>
      <c r="D3444" s="8" t="s">
        <v>20126</v>
      </c>
      <c r="E3444" s="8" t="s">
        <v>20122</v>
      </c>
      <c r="F3444" s="8" t="s">
        <v>20127</v>
      </c>
      <c r="G3444" s="6" t="s">
        <v>60</v>
      </c>
      <c r="H3444" s="6" t="s">
        <v>134</v>
      </c>
      <c r="I3444" s="8"/>
      <c r="J3444" s="9">
        <v>1</v>
      </c>
      <c r="K3444" s="9">
        <v>152</v>
      </c>
      <c r="L3444" s="9">
        <v>2026</v>
      </c>
      <c r="M3444" s="8" t="s">
        <v>20128</v>
      </c>
      <c r="N3444" s="8" t="s">
        <v>37</v>
      </c>
      <c r="O3444" s="8" t="s">
        <v>233</v>
      </c>
      <c r="P3444" s="6" t="s">
        <v>51</v>
      </c>
      <c r="Q3444" s="8" t="s">
        <v>500</v>
      </c>
      <c r="R3444" s="10" t="s">
        <v>3008</v>
      </c>
      <c r="S3444" s="11"/>
      <c r="T3444" s="6"/>
      <c r="U3444" s="15" t="str">
        <f>HYPERLINK("https://media.infra-m.ru/2237/2237985/cover/2237985.jpg", "Обложка")</f>
        <v>Обложка</v>
      </c>
      <c r="V3444" s="8" t="s">
        <v>1184</v>
      </c>
      <c r="W3444" s="6"/>
      <c r="X3444" s="6"/>
      <c r="Y3444" s="6"/>
      <c r="Z3444" s="6"/>
      <c r="AA3444" s="6" t="s">
        <v>106</v>
      </c>
      <c r="AB3444" s="8"/>
      <c r="AC3444" s="27">
        <v>9785001563686</v>
      </c>
    </row>
    <row r="3445" spans="1:29" s="4" customFormat="1" ht="44.1" customHeight="1" x14ac:dyDescent="0.2">
      <c r="A3445" s="5">
        <v>0</v>
      </c>
      <c r="B3445" s="6" t="s">
        <v>20129</v>
      </c>
      <c r="C3445" s="13">
        <v>731.9</v>
      </c>
      <c r="D3445" s="8" t="s">
        <v>20130</v>
      </c>
      <c r="E3445" s="8" t="s">
        <v>20131</v>
      </c>
      <c r="F3445" s="8" t="s">
        <v>20127</v>
      </c>
      <c r="G3445" s="6" t="s">
        <v>60</v>
      </c>
      <c r="H3445" s="6" t="s">
        <v>134</v>
      </c>
      <c r="I3445" s="8"/>
      <c r="J3445" s="9">
        <v>1</v>
      </c>
      <c r="K3445" s="9">
        <v>152</v>
      </c>
      <c r="L3445" s="9">
        <v>2021</v>
      </c>
      <c r="M3445" s="8" t="s">
        <v>20132</v>
      </c>
      <c r="N3445" s="8" t="s">
        <v>37</v>
      </c>
      <c r="O3445" s="8" t="s">
        <v>233</v>
      </c>
      <c r="P3445" s="6" t="s">
        <v>51</v>
      </c>
      <c r="Q3445" s="8" t="s">
        <v>500</v>
      </c>
      <c r="R3445" s="10" t="s">
        <v>3008</v>
      </c>
      <c r="S3445" s="11"/>
      <c r="T3445" s="6"/>
      <c r="U3445" s="15" t="str">
        <f>HYPERLINK("https://media.infra-m.ru/1303/1303010/cover/1303010.jpg", "Обложка")</f>
        <v>Обложка</v>
      </c>
      <c r="V3445" s="8" t="s">
        <v>1184</v>
      </c>
      <c r="W3445" s="6"/>
      <c r="X3445" s="6"/>
      <c r="Y3445" s="6"/>
      <c r="Z3445" s="6"/>
      <c r="AA3445" s="6" t="s">
        <v>430</v>
      </c>
      <c r="AB3445" s="8"/>
      <c r="AC3445" s="27">
        <v>9785001561699</v>
      </c>
    </row>
    <row r="3446" spans="1:29" s="4" customFormat="1" ht="42" customHeight="1" x14ac:dyDescent="0.2">
      <c r="A3446" s="5">
        <v>0</v>
      </c>
      <c r="B3446" s="6" t="s">
        <v>20133</v>
      </c>
      <c r="C3446" s="7">
        <v>2592</v>
      </c>
      <c r="D3446" s="8" t="s">
        <v>20134</v>
      </c>
      <c r="E3446" s="8" t="s">
        <v>20135</v>
      </c>
      <c r="F3446" s="8" t="s">
        <v>20136</v>
      </c>
      <c r="G3446" s="6" t="s">
        <v>118</v>
      </c>
      <c r="H3446" s="6" t="s">
        <v>1644</v>
      </c>
      <c r="I3446" s="8"/>
      <c r="J3446" s="9">
        <v>1</v>
      </c>
      <c r="K3446" s="9">
        <v>568</v>
      </c>
      <c r="L3446" s="9">
        <v>2022</v>
      </c>
      <c r="M3446" s="8" t="s">
        <v>20137</v>
      </c>
      <c r="N3446" s="8" t="s">
        <v>37</v>
      </c>
      <c r="O3446" s="8" t="s">
        <v>233</v>
      </c>
      <c r="P3446" s="6" t="s">
        <v>306</v>
      </c>
      <c r="Q3446" s="8" t="s">
        <v>52</v>
      </c>
      <c r="R3446" s="10" t="s">
        <v>3516</v>
      </c>
      <c r="S3446" s="11"/>
      <c r="T3446" s="6"/>
      <c r="U3446" s="15" t="str">
        <f>HYPERLINK("https://media.infra-m.ru/1857/1857817/cover/1857817.jpg", "Обложка")</f>
        <v>Обложка</v>
      </c>
      <c r="V3446" s="8" t="s">
        <v>5117</v>
      </c>
      <c r="W3446" s="6"/>
      <c r="X3446" s="6"/>
      <c r="Y3446" s="6"/>
      <c r="Z3446" s="6"/>
      <c r="AA3446" s="6" t="s">
        <v>2240</v>
      </c>
      <c r="AB3446" s="8"/>
      <c r="AC3446" s="27">
        <v>9785977605052</v>
      </c>
    </row>
    <row r="3447" spans="1:29" s="4" customFormat="1" ht="51.9" customHeight="1" x14ac:dyDescent="0.2">
      <c r="A3447" s="5">
        <v>0</v>
      </c>
      <c r="B3447" s="6" t="s">
        <v>20138</v>
      </c>
      <c r="C3447" s="7">
        <v>2340</v>
      </c>
      <c r="D3447" s="8" t="s">
        <v>20139</v>
      </c>
      <c r="E3447" s="8" t="s">
        <v>20140</v>
      </c>
      <c r="F3447" s="8" t="s">
        <v>20141</v>
      </c>
      <c r="G3447" s="6" t="s">
        <v>118</v>
      </c>
      <c r="H3447" s="6" t="s">
        <v>34</v>
      </c>
      <c r="I3447" s="8" t="s">
        <v>304</v>
      </c>
      <c r="J3447" s="9">
        <v>1</v>
      </c>
      <c r="K3447" s="9">
        <v>624</v>
      </c>
      <c r="L3447" s="9">
        <v>2019</v>
      </c>
      <c r="M3447" s="8" t="s">
        <v>20142</v>
      </c>
      <c r="N3447" s="8" t="s">
        <v>37</v>
      </c>
      <c r="O3447" s="8" t="s">
        <v>233</v>
      </c>
      <c r="P3447" s="6" t="s">
        <v>306</v>
      </c>
      <c r="Q3447" s="8" t="s">
        <v>52</v>
      </c>
      <c r="R3447" s="10" t="s">
        <v>20143</v>
      </c>
      <c r="S3447" s="11" t="s">
        <v>20144</v>
      </c>
      <c r="T3447" s="6"/>
      <c r="U3447" s="15" t="str">
        <f>HYPERLINK("https://media.infra-m.ru/0996/0996147/cover/996147.jpg", "Обложка")</f>
        <v>Обложка</v>
      </c>
      <c r="V3447" s="8" t="s">
        <v>247</v>
      </c>
      <c r="W3447" s="6"/>
      <c r="X3447" s="6"/>
      <c r="Y3447" s="6"/>
      <c r="Z3447" s="6"/>
      <c r="AA3447" s="6" t="s">
        <v>1031</v>
      </c>
      <c r="AB3447" s="8"/>
      <c r="AC3447" s="27">
        <v>9785160125206</v>
      </c>
    </row>
    <row r="3448" spans="1:29" s="4" customFormat="1" ht="42" customHeight="1" x14ac:dyDescent="0.2">
      <c r="A3448" s="5">
        <v>0</v>
      </c>
      <c r="B3448" s="6" t="s">
        <v>20145</v>
      </c>
      <c r="C3448" s="7">
        <v>1668</v>
      </c>
      <c r="D3448" s="8" t="s">
        <v>20146</v>
      </c>
      <c r="E3448" s="8" t="s">
        <v>20147</v>
      </c>
      <c r="F3448" s="8" t="s">
        <v>20136</v>
      </c>
      <c r="G3448" s="6" t="s">
        <v>60</v>
      </c>
      <c r="H3448" s="6" t="s">
        <v>1644</v>
      </c>
      <c r="I3448" s="8"/>
      <c r="J3448" s="9">
        <v>1</v>
      </c>
      <c r="K3448" s="9">
        <v>560</v>
      </c>
      <c r="L3448" s="9">
        <v>2018</v>
      </c>
      <c r="M3448" s="8" t="s">
        <v>20148</v>
      </c>
      <c r="N3448" s="8" t="s">
        <v>37</v>
      </c>
      <c r="O3448" s="8" t="s">
        <v>233</v>
      </c>
      <c r="P3448" s="6" t="s">
        <v>306</v>
      </c>
      <c r="Q3448" s="8" t="s">
        <v>52</v>
      </c>
      <c r="R3448" s="10" t="s">
        <v>3516</v>
      </c>
      <c r="S3448" s="11"/>
      <c r="T3448" s="6"/>
      <c r="U3448" s="15" t="str">
        <f>HYPERLINK("https://media.infra-m.ru/0959/0959867/cover/959867.jpg", "Обложка")</f>
        <v>Обложка</v>
      </c>
      <c r="V3448" s="8" t="s">
        <v>5117</v>
      </c>
      <c r="W3448" s="6"/>
      <c r="X3448" s="6"/>
      <c r="Y3448" s="6"/>
      <c r="Z3448" s="6"/>
      <c r="AA3448" s="6" t="s">
        <v>99</v>
      </c>
      <c r="AB3448" s="8"/>
      <c r="AC3448" s="27">
        <v>9785977604666</v>
      </c>
    </row>
    <row r="3449" spans="1:29" s="4" customFormat="1" ht="51.9" customHeight="1" x14ac:dyDescent="0.2">
      <c r="A3449" s="5">
        <v>0</v>
      </c>
      <c r="B3449" s="6" t="s">
        <v>20149</v>
      </c>
      <c r="C3449" s="7">
        <v>2524.8000000000002</v>
      </c>
      <c r="D3449" s="8" t="s">
        <v>20150</v>
      </c>
      <c r="E3449" s="8" t="s">
        <v>20151</v>
      </c>
      <c r="F3449" s="8" t="s">
        <v>20152</v>
      </c>
      <c r="G3449" s="6" t="s">
        <v>60</v>
      </c>
      <c r="H3449" s="6" t="s">
        <v>34</v>
      </c>
      <c r="I3449" s="8" t="s">
        <v>504</v>
      </c>
      <c r="J3449" s="9">
        <v>1</v>
      </c>
      <c r="K3449" s="9">
        <v>447</v>
      </c>
      <c r="L3449" s="9">
        <v>2024</v>
      </c>
      <c r="M3449" s="8" t="s">
        <v>20153</v>
      </c>
      <c r="N3449" s="8" t="s">
        <v>37</v>
      </c>
      <c r="O3449" s="8" t="s">
        <v>233</v>
      </c>
      <c r="P3449" s="6" t="s">
        <v>306</v>
      </c>
      <c r="Q3449" s="8" t="s">
        <v>500</v>
      </c>
      <c r="R3449" s="10" t="s">
        <v>5320</v>
      </c>
      <c r="S3449" s="11" t="s">
        <v>20154</v>
      </c>
      <c r="T3449" s="6"/>
      <c r="U3449" s="15" t="str">
        <f>HYPERLINK("https://media.infra-m.ru/2145/2145105/cover/2145105.jpg", "Обложка")</f>
        <v>Обложка</v>
      </c>
      <c r="V3449" s="8" t="s">
        <v>247</v>
      </c>
      <c r="W3449" s="6"/>
      <c r="X3449" s="6"/>
      <c r="Y3449" s="6"/>
      <c r="Z3449" s="6"/>
      <c r="AA3449" s="6" t="s">
        <v>430</v>
      </c>
      <c r="AB3449" s="8"/>
      <c r="AC3449" s="27">
        <v>9785160163253</v>
      </c>
    </row>
    <row r="3450" spans="1:29" s="4" customFormat="1" ht="51.9" customHeight="1" x14ac:dyDescent="0.2">
      <c r="A3450" s="5">
        <v>0</v>
      </c>
      <c r="B3450" s="6" t="s">
        <v>20155</v>
      </c>
      <c r="C3450" s="7">
        <v>3592.8</v>
      </c>
      <c r="D3450" s="8" t="s">
        <v>20156</v>
      </c>
      <c r="E3450" s="8" t="s">
        <v>20157</v>
      </c>
      <c r="F3450" s="8" t="s">
        <v>20158</v>
      </c>
      <c r="G3450" s="6" t="s">
        <v>118</v>
      </c>
      <c r="H3450" s="6" t="s">
        <v>34</v>
      </c>
      <c r="I3450" s="8" t="s">
        <v>2025</v>
      </c>
      <c r="J3450" s="9">
        <v>1</v>
      </c>
      <c r="K3450" s="9">
        <v>582</v>
      </c>
      <c r="L3450" s="9">
        <v>2026</v>
      </c>
      <c r="M3450" s="8" t="s">
        <v>20159</v>
      </c>
      <c r="N3450" s="8" t="s">
        <v>37</v>
      </c>
      <c r="O3450" s="8" t="s">
        <v>233</v>
      </c>
      <c r="P3450" s="6" t="s">
        <v>306</v>
      </c>
      <c r="Q3450" s="8" t="s">
        <v>52</v>
      </c>
      <c r="R3450" s="10" t="s">
        <v>20143</v>
      </c>
      <c r="S3450" s="11" t="s">
        <v>20144</v>
      </c>
      <c r="T3450" s="6"/>
      <c r="U3450" s="15" t="str">
        <f>HYPERLINK("https://media.infra-m.ru/2224/2224031/cover/2224031.jpg", "Обложка")</f>
        <v>Обложка</v>
      </c>
      <c r="V3450" s="8" t="s">
        <v>247</v>
      </c>
      <c r="W3450" s="6"/>
      <c r="X3450" s="6"/>
      <c r="Y3450" s="6"/>
      <c r="Z3450" s="6"/>
      <c r="AA3450" s="6" t="s">
        <v>3841</v>
      </c>
      <c r="AB3450" s="8"/>
      <c r="AC3450" s="27">
        <v>9785160164427</v>
      </c>
    </row>
    <row r="3451" spans="1:29" s="4" customFormat="1" ht="51.9" customHeight="1" x14ac:dyDescent="0.2">
      <c r="A3451" s="5">
        <v>0</v>
      </c>
      <c r="B3451" s="6" t="s">
        <v>20160</v>
      </c>
      <c r="C3451" s="7">
        <v>1188</v>
      </c>
      <c r="D3451" s="8" t="s">
        <v>20161</v>
      </c>
      <c r="E3451" s="8" t="s">
        <v>20140</v>
      </c>
      <c r="F3451" s="8" t="s">
        <v>20162</v>
      </c>
      <c r="G3451" s="6" t="s">
        <v>118</v>
      </c>
      <c r="H3451" s="6" t="s">
        <v>34</v>
      </c>
      <c r="I3451" s="8" t="s">
        <v>504</v>
      </c>
      <c r="J3451" s="9">
        <v>1</v>
      </c>
      <c r="K3451" s="9">
        <v>265</v>
      </c>
      <c r="L3451" s="9">
        <v>2021</v>
      </c>
      <c r="M3451" s="8" t="s">
        <v>20163</v>
      </c>
      <c r="N3451" s="8" t="s">
        <v>37</v>
      </c>
      <c r="O3451" s="8" t="s">
        <v>233</v>
      </c>
      <c r="P3451" s="6" t="s">
        <v>306</v>
      </c>
      <c r="Q3451" s="8" t="s">
        <v>500</v>
      </c>
      <c r="R3451" s="10" t="s">
        <v>2033</v>
      </c>
      <c r="S3451" s="11" t="s">
        <v>20164</v>
      </c>
      <c r="T3451" s="6" t="s">
        <v>97</v>
      </c>
      <c r="U3451" s="15" t="str">
        <f>HYPERLINK("https://media.infra-m.ru/1239/1239253/cover/1239253.jpg", "Обложка")</f>
        <v>Обложка</v>
      </c>
      <c r="V3451" s="8" t="s">
        <v>644</v>
      </c>
      <c r="W3451" s="6"/>
      <c r="X3451" s="6"/>
      <c r="Y3451" s="6"/>
      <c r="Z3451" s="6"/>
      <c r="AA3451" s="6" t="s">
        <v>1117</v>
      </c>
      <c r="AB3451" s="8"/>
      <c r="AC3451" s="27">
        <v>9785160135830</v>
      </c>
    </row>
    <row r="3452" spans="1:29" s="4" customFormat="1" ht="42" customHeight="1" x14ac:dyDescent="0.2">
      <c r="A3452" s="5">
        <v>0</v>
      </c>
      <c r="B3452" s="6" t="s">
        <v>20165</v>
      </c>
      <c r="C3452" s="13">
        <v>960</v>
      </c>
      <c r="D3452" s="8" t="s">
        <v>20166</v>
      </c>
      <c r="E3452" s="8" t="s">
        <v>20167</v>
      </c>
      <c r="F3452" s="8" t="s">
        <v>20168</v>
      </c>
      <c r="G3452" s="6" t="s">
        <v>118</v>
      </c>
      <c r="H3452" s="6" t="s">
        <v>134</v>
      </c>
      <c r="I3452" s="8"/>
      <c r="J3452" s="9">
        <v>1</v>
      </c>
      <c r="K3452" s="9">
        <v>152</v>
      </c>
      <c r="L3452" s="9">
        <v>2025</v>
      </c>
      <c r="M3452" s="8" t="s">
        <v>20169</v>
      </c>
      <c r="N3452" s="8" t="s">
        <v>37</v>
      </c>
      <c r="O3452" s="8" t="s">
        <v>233</v>
      </c>
      <c r="P3452" s="6" t="s">
        <v>51</v>
      </c>
      <c r="Q3452" s="8" t="s">
        <v>52</v>
      </c>
      <c r="R3452" s="10" t="s">
        <v>20170</v>
      </c>
      <c r="S3452" s="11"/>
      <c r="T3452" s="6"/>
      <c r="U3452" s="15" t="str">
        <f>HYPERLINK("https://media.infra-m.ru/2163/2163998/cover/2163998.jpg", "Обложка")</f>
        <v>Обложка</v>
      </c>
      <c r="V3452" s="8" t="s">
        <v>1184</v>
      </c>
      <c r="W3452" s="6"/>
      <c r="X3452" s="6"/>
      <c r="Y3452" s="6"/>
      <c r="Z3452" s="6"/>
      <c r="AA3452" s="6" t="s">
        <v>157</v>
      </c>
      <c r="AB3452" s="8"/>
      <c r="AC3452" s="27">
        <v>9785001562658</v>
      </c>
    </row>
    <row r="3453" spans="1:29" s="4" customFormat="1" ht="51.9" customHeight="1" x14ac:dyDescent="0.2">
      <c r="A3453" s="5">
        <v>0</v>
      </c>
      <c r="B3453" s="6" t="s">
        <v>20171</v>
      </c>
      <c r="C3453" s="7">
        <v>1380</v>
      </c>
      <c r="D3453" s="8" t="s">
        <v>20172</v>
      </c>
      <c r="E3453" s="8" t="s">
        <v>20173</v>
      </c>
      <c r="F3453" s="8" t="s">
        <v>20174</v>
      </c>
      <c r="G3453" s="6" t="s">
        <v>60</v>
      </c>
      <c r="H3453" s="6" t="s">
        <v>34</v>
      </c>
      <c r="I3453" s="8" t="s">
        <v>253</v>
      </c>
      <c r="J3453" s="9">
        <v>1</v>
      </c>
      <c r="K3453" s="9">
        <v>293</v>
      </c>
      <c r="L3453" s="9">
        <v>2022</v>
      </c>
      <c r="M3453" s="8" t="s">
        <v>20175</v>
      </c>
      <c r="N3453" s="8" t="s">
        <v>37</v>
      </c>
      <c r="O3453" s="8" t="s">
        <v>233</v>
      </c>
      <c r="P3453" s="6" t="s">
        <v>306</v>
      </c>
      <c r="Q3453" s="8" t="s">
        <v>65</v>
      </c>
      <c r="R3453" s="10" t="s">
        <v>4058</v>
      </c>
      <c r="S3453" s="11" t="s">
        <v>20176</v>
      </c>
      <c r="T3453" s="6"/>
      <c r="U3453" s="15" t="str">
        <f>HYPERLINK("https://media.infra-m.ru/1836/1836225/cover/1836225.jpg", "Обложка")</f>
        <v>Обложка</v>
      </c>
      <c r="V3453" s="8" t="s">
        <v>396</v>
      </c>
      <c r="W3453" s="6"/>
      <c r="X3453" s="6"/>
      <c r="Y3453" s="6"/>
      <c r="Z3453" s="6"/>
      <c r="AA3453" s="6" t="s">
        <v>148</v>
      </c>
      <c r="AB3453" s="8"/>
      <c r="AC3453" s="27">
        <v>9785160172422</v>
      </c>
    </row>
    <row r="3454" spans="1:29" s="4" customFormat="1" ht="42" customHeight="1" x14ac:dyDescent="0.2">
      <c r="A3454" s="5">
        <v>0</v>
      </c>
      <c r="B3454" s="6" t="s">
        <v>20177</v>
      </c>
      <c r="C3454" s="7">
        <v>2316</v>
      </c>
      <c r="D3454" s="8" t="s">
        <v>20178</v>
      </c>
      <c r="E3454" s="8" t="s">
        <v>20167</v>
      </c>
      <c r="F3454" s="8" t="s">
        <v>20179</v>
      </c>
      <c r="G3454" s="6" t="s">
        <v>60</v>
      </c>
      <c r="H3454" s="6" t="s">
        <v>34</v>
      </c>
      <c r="I3454" s="8" t="s">
        <v>253</v>
      </c>
      <c r="J3454" s="9">
        <v>1</v>
      </c>
      <c r="K3454" s="9">
        <v>333</v>
      </c>
      <c r="L3454" s="9">
        <v>2026</v>
      </c>
      <c r="M3454" s="8" t="s">
        <v>20180</v>
      </c>
      <c r="N3454" s="8" t="s">
        <v>37</v>
      </c>
      <c r="O3454" s="8" t="s">
        <v>233</v>
      </c>
      <c r="P3454" s="6" t="s">
        <v>306</v>
      </c>
      <c r="Q3454" s="8" t="s">
        <v>65</v>
      </c>
      <c r="R3454" s="10" t="s">
        <v>20181</v>
      </c>
      <c r="S3454" s="11"/>
      <c r="T3454" s="6"/>
      <c r="U3454" s="15" t="str">
        <f>HYPERLINK("https://media.infra-m.ru/2223/2223651/cover/2223651.jpg", "Обложка")</f>
        <v>Обложка</v>
      </c>
      <c r="V3454" s="8" t="s">
        <v>5117</v>
      </c>
      <c r="W3454" s="6" t="s">
        <v>351</v>
      </c>
      <c r="X3454" s="6"/>
      <c r="Y3454" s="6"/>
      <c r="Z3454" s="6"/>
      <c r="AA3454" s="6" t="s">
        <v>187</v>
      </c>
      <c r="AB3454" s="8" t="s">
        <v>308</v>
      </c>
      <c r="AC3454" s="27">
        <v>9785160214122</v>
      </c>
    </row>
    <row r="3455" spans="1:29" s="4" customFormat="1" ht="42" customHeight="1" x14ac:dyDescent="0.2">
      <c r="A3455" s="5">
        <v>0</v>
      </c>
      <c r="B3455" s="6" t="s">
        <v>20182</v>
      </c>
      <c r="C3455" s="7">
        <v>1452</v>
      </c>
      <c r="D3455" s="8" t="s">
        <v>20183</v>
      </c>
      <c r="E3455" s="8" t="s">
        <v>20167</v>
      </c>
      <c r="F3455" s="8" t="s">
        <v>20184</v>
      </c>
      <c r="G3455" s="6" t="s">
        <v>60</v>
      </c>
      <c r="H3455" s="6" t="s">
        <v>34</v>
      </c>
      <c r="I3455" s="8" t="s">
        <v>253</v>
      </c>
      <c r="J3455" s="9">
        <v>1</v>
      </c>
      <c r="K3455" s="9">
        <v>254</v>
      </c>
      <c r="L3455" s="9">
        <v>2023</v>
      </c>
      <c r="M3455" s="8" t="s">
        <v>20185</v>
      </c>
      <c r="N3455" s="8" t="s">
        <v>37</v>
      </c>
      <c r="O3455" s="8" t="s">
        <v>233</v>
      </c>
      <c r="P3455" s="6" t="s">
        <v>306</v>
      </c>
      <c r="Q3455" s="8" t="s">
        <v>52</v>
      </c>
      <c r="R3455" s="10" t="s">
        <v>20186</v>
      </c>
      <c r="S3455" s="11"/>
      <c r="T3455" s="6"/>
      <c r="U3455" s="15" t="str">
        <f>HYPERLINK("https://media.infra-m.ru/1870/1870563/cover/1870563.jpg", "Обложка")</f>
        <v>Обложка</v>
      </c>
      <c r="V3455" s="8" t="s">
        <v>396</v>
      </c>
      <c r="W3455" s="6"/>
      <c r="X3455" s="6"/>
      <c r="Y3455" s="6"/>
      <c r="Z3455" s="6"/>
      <c r="AA3455" s="6" t="s">
        <v>157</v>
      </c>
      <c r="AB3455" s="8"/>
      <c r="AC3455" s="27">
        <v>9785160177236</v>
      </c>
    </row>
    <row r="3456" spans="1:29" s="4" customFormat="1" ht="51.9" customHeight="1" x14ac:dyDescent="0.2">
      <c r="A3456" s="5">
        <v>0</v>
      </c>
      <c r="B3456" s="6" t="s">
        <v>20187</v>
      </c>
      <c r="C3456" s="7">
        <v>2392.8000000000002</v>
      </c>
      <c r="D3456" s="8" t="s">
        <v>20188</v>
      </c>
      <c r="E3456" s="8" t="s">
        <v>20167</v>
      </c>
      <c r="F3456" s="8" t="s">
        <v>9929</v>
      </c>
      <c r="G3456" s="6" t="s">
        <v>118</v>
      </c>
      <c r="H3456" s="6" t="s">
        <v>241</v>
      </c>
      <c r="I3456" s="8" t="s">
        <v>13632</v>
      </c>
      <c r="J3456" s="9">
        <v>1</v>
      </c>
      <c r="K3456" s="9">
        <v>449</v>
      </c>
      <c r="L3456" s="9">
        <v>2020</v>
      </c>
      <c r="M3456" s="8" t="s">
        <v>20189</v>
      </c>
      <c r="N3456" s="8" t="s">
        <v>37</v>
      </c>
      <c r="O3456" s="8" t="s">
        <v>233</v>
      </c>
      <c r="P3456" s="6" t="s">
        <v>306</v>
      </c>
      <c r="Q3456" s="8" t="s">
        <v>500</v>
      </c>
      <c r="R3456" s="10" t="s">
        <v>20190</v>
      </c>
      <c r="S3456" s="11" t="s">
        <v>20191</v>
      </c>
      <c r="T3456" s="6"/>
      <c r="U3456" s="15" t="str">
        <f>HYPERLINK("https://media.infra-m.ru/2106/2106693/cover/2106693.jpg", "Обложка")</f>
        <v>Обложка</v>
      </c>
      <c r="V3456" s="8" t="s">
        <v>247</v>
      </c>
      <c r="W3456" s="6"/>
      <c r="X3456" s="6"/>
      <c r="Y3456" s="6"/>
      <c r="Z3456" s="6"/>
      <c r="AA3456" s="6" t="s">
        <v>115</v>
      </c>
      <c r="AB3456" s="8"/>
      <c r="AC3456" s="27">
        <v>9785955806136</v>
      </c>
    </row>
    <row r="3457" spans="1:29" s="4" customFormat="1" ht="42" customHeight="1" x14ac:dyDescent="0.2">
      <c r="A3457" s="5">
        <v>0</v>
      </c>
      <c r="B3457" s="6" t="s">
        <v>20192</v>
      </c>
      <c r="C3457" s="7">
        <v>2104.8000000000002</v>
      </c>
      <c r="D3457" s="8" t="s">
        <v>20193</v>
      </c>
      <c r="E3457" s="8" t="s">
        <v>20194</v>
      </c>
      <c r="F3457" s="8" t="s">
        <v>20195</v>
      </c>
      <c r="G3457" s="6" t="s">
        <v>60</v>
      </c>
      <c r="H3457" s="6" t="s">
        <v>34</v>
      </c>
      <c r="I3457" s="8" t="s">
        <v>10444</v>
      </c>
      <c r="J3457" s="9">
        <v>1</v>
      </c>
      <c r="K3457" s="9">
        <v>350</v>
      </c>
      <c r="L3457" s="9">
        <v>2025</v>
      </c>
      <c r="M3457" s="8" t="s">
        <v>20196</v>
      </c>
      <c r="N3457" s="8" t="s">
        <v>37</v>
      </c>
      <c r="O3457" s="8" t="s">
        <v>136</v>
      </c>
      <c r="P3457" s="6" t="s">
        <v>39</v>
      </c>
      <c r="Q3457" s="8" t="s">
        <v>40</v>
      </c>
      <c r="R3457" s="10" t="s">
        <v>1631</v>
      </c>
      <c r="S3457" s="11"/>
      <c r="T3457" s="6"/>
      <c r="U3457" s="15" t="str">
        <f>HYPERLINK("https://media.infra-m.ru/2172/2172248/cover/2172248.jpg", "Обложка")</f>
        <v>Обложка</v>
      </c>
      <c r="V3457" s="8" t="s">
        <v>2466</v>
      </c>
      <c r="W3457" s="6"/>
      <c r="X3457" s="6"/>
      <c r="Y3457" s="6"/>
      <c r="Z3457" s="6"/>
      <c r="AA3457" s="6" t="s">
        <v>43</v>
      </c>
      <c r="AB3457" s="8"/>
      <c r="AC3457" s="27">
        <v>9785160044170</v>
      </c>
    </row>
    <row r="3458" spans="1:29" s="4" customFormat="1" ht="44.1" customHeight="1" x14ac:dyDescent="0.2">
      <c r="A3458" s="5">
        <v>0</v>
      </c>
      <c r="B3458" s="6" t="s">
        <v>20197</v>
      </c>
      <c r="C3458" s="7">
        <v>1732.8</v>
      </c>
      <c r="D3458" s="8" t="s">
        <v>20198</v>
      </c>
      <c r="E3458" s="8" t="s">
        <v>20199</v>
      </c>
      <c r="F3458" s="8" t="s">
        <v>20200</v>
      </c>
      <c r="G3458" s="6" t="s">
        <v>33</v>
      </c>
      <c r="H3458" s="6" t="s">
        <v>34</v>
      </c>
      <c r="I3458" s="8" t="s">
        <v>35</v>
      </c>
      <c r="J3458" s="9">
        <v>1</v>
      </c>
      <c r="K3458" s="9">
        <v>312</v>
      </c>
      <c r="L3458" s="9">
        <v>2023</v>
      </c>
      <c r="M3458" s="8" t="s">
        <v>20201</v>
      </c>
      <c r="N3458" s="8" t="s">
        <v>37</v>
      </c>
      <c r="O3458" s="8" t="s">
        <v>233</v>
      </c>
      <c r="P3458" s="6" t="s">
        <v>39</v>
      </c>
      <c r="Q3458" s="8" t="s">
        <v>40</v>
      </c>
      <c r="R3458" s="10" t="s">
        <v>6648</v>
      </c>
      <c r="S3458" s="11"/>
      <c r="T3458" s="6"/>
      <c r="U3458" s="15" t="str">
        <f>HYPERLINK("https://media.infra-m.ru/2063/2063396/cover/2063396.jpg", "Обложка")</f>
        <v>Обложка</v>
      </c>
      <c r="V3458" s="8" t="s">
        <v>6642</v>
      </c>
      <c r="W3458" s="6"/>
      <c r="X3458" s="6"/>
      <c r="Y3458" s="6"/>
      <c r="Z3458" s="6"/>
      <c r="AA3458" s="6" t="s">
        <v>43</v>
      </c>
      <c r="AB3458" s="8"/>
      <c r="AC3458" s="27">
        <v>9785160053769</v>
      </c>
    </row>
    <row r="3459" spans="1:29" s="4" customFormat="1" ht="51.9" customHeight="1" x14ac:dyDescent="0.2">
      <c r="A3459" s="5">
        <v>0</v>
      </c>
      <c r="B3459" s="6" t="s">
        <v>20202</v>
      </c>
      <c r="C3459" s="7">
        <v>1360.8</v>
      </c>
      <c r="D3459" s="8" t="s">
        <v>20203</v>
      </c>
      <c r="E3459" s="8" t="s">
        <v>20204</v>
      </c>
      <c r="F3459" s="8" t="s">
        <v>20205</v>
      </c>
      <c r="G3459" s="6" t="s">
        <v>33</v>
      </c>
      <c r="H3459" s="6" t="s">
        <v>34</v>
      </c>
      <c r="I3459" s="8" t="s">
        <v>35</v>
      </c>
      <c r="J3459" s="9">
        <v>1</v>
      </c>
      <c r="K3459" s="9">
        <v>249</v>
      </c>
      <c r="L3459" s="9">
        <v>2023</v>
      </c>
      <c r="M3459" s="8" t="s">
        <v>20206</v>
      </c>
      <c r="N3459" s="8" t="s">
        <v>37</v>
      </c>
      <c r="O3459" s="8" t="s">
        <v>136</v>
      </c>
      <c r="P3459" s="6" t="s">
        <v>39</v>
      </c>
      <c r="Q3459" s="8" t="s">
        <v>40</v>
      </c>
      <c r="R3459" s="10" t="s">
        <v>20207</v>
      </c>
      <c r="S3459" s="11"/>
      <c r="T3459" s="6"/>
      <c r="U3459" s="15" t="str">
        <f>HYPERLINK("https://media.infra-m.ru/2006/2006938/cover/2006938.jpg", "Обложка")</f>
        <v>Обложка</v>
      </c>
      <c r="V3459" s="8" t="s">
        <v>247</v>
      </c>
      <c r="W3459" s="6"/>
      <c r="X3459" s="6"/>
      <c r="Y3459" s="6"/>
      <c r="Z3459" s="6"/>
      <c r="AA3459" s="6" t="s">
        <v>86</v>
      </c>
      <c r="AB3459" s="8"/>
      <c r="AC3459" s="27">
        <v>9785160137377</v>
      </c>
    </row>
    <row r="3460" spans="1:29" s="4" customFormat="1" ht="44.1" customHeight="1" x14ac:dyDescent="0.2">
      <c r="A3460" s="5">
        <v>0</v>
      </c>
      <c r="B3460" s="6" t="s">
        <v>20208</v>
      </c>
      <c r="C3460" s="7">
        <v>2556</v>
      </c>
      <c r="D3460" s="8" t="s">
        <v>20209</v>
      </c>
      <c r="E3460" s="8" t="s">
        <v>20210</v>
      </c>
      <c r="F3460" s="8" t="s">
        <v>20211</v>
      </c>
      <c r="G3460" s="6" t="s">
        <v>118</v>
      </c>
      <c r="H3460" s="6" t="s">
        <v>34</v>
      </c>
      <c r="I3460" s="8"/>
      <c r="J3460" s="9">
        <v>1</v>
      </c>
      <c r="K3460" s="9">
        <v>368</v>
      </c>
      <c r="L3460" s="9">
        <v>2026</v>
      </c>
      <c r="M3460" s="8" t="s">
        <v>20212</v>
      </c>
      <c r="N3460" s="8" t="s">
        <v>37</v>
      </c>
      <c r="O3460" s="8" t="s">
        <v>233</v>
      </c>
      <c r="P3460" s="6" t="s">
        <v>306</v>
      </c>
      <c r="Q3460" s="8" t="s">
        <v>52</v>
      </c>
      <c r="R3460" s="10" t="s">
        <v>3792</v>
      </c>
      <c r="S3460" s="11"/>
      <c r="T3460" s="6"/>
      <c r="U3460" s="15" t="str">
        <f>HYPERLINK("https://media.infra-m.ru/2260/2260416/cover/2260416.jpg", "Обложка")</f>
        <v>Обложка</v>
      </c>
      <c r="V3460" s="8" t="s">
        <v>1768</v>
      </c>
      <c r="W3460" s="6"/>
      <c r="X3460" s="6"/>
      <c r="Y3460" s="6"/>
      <c r="Z3460" s="6"/>
      <c r="AA3460" s="6" t="s">
        <v>2240</v>
      </c>
      <c r="AB3460" s="8"/>
      <c r="AC3460" s="27">
        <v>9785160222714</v>
      </c>
    </row>
    <row r="3461" spans="1:29" s="4" customFormat="1" ht="44.1" customHeight="1" x14ac:dyDescent="0.2">
      <c r="A3461" s="5">
        <v>0</v>
      </c>
      <c r="B3461" s="6" t="s">
        <v>20213</v>
      </c>
      <c r="C3461" s="7">
        <v>1560</v>
      </c>
      <c r="D3461" s="8" t="s">
        <v>20214</v>
      </c>
      <c r="E3461" s="8" t="s">
        <v>20215</v>
      </c>
      <c r="F3461" s="8" t="s">
        <v>20211</v>
      </c>
      <c r="G3461" s="6" t="s">
        <v>60</v>
      </c>
      <c r="H3461" s="6" t="s">
        <v>1644</v>
      </c>
      <c r="I3461" s="8"/>
      <c r="J3461" s="9">
        <v>6</v>
      </c>
      <c r="K3461" s="9">
        <v>688</v>
      </c>
      <c r="L3461" s="9">
        <v>2016</v>
      </c>
      <c r="M3461" s="8" t="s">
        <v>20216</v>
      </c>
      <c r="N3461" s="8" t="s">
        <v>37</v>
      </c>
      <c r="O3461" s="8" t="s">
        <v>233</v>
      </c>
      <c r="P3461" s="6" t="s">
        <v>306</v>
      </c>
      <c r="Q3461" s="8" t="s">
        <v>52</v>
      </c>
      <c r="R3461" s="10" t="s">
        <v>3792</v>
      </c>
      <c r="S3461" s="11"/>
      <c r="T3461" s="6" t="s">
        <v>97</v>
      </c>
      <c r="U3461" s="15" t="str">
        <f>HYPERLINK("https://media.infra-m.ru/0559/0559002/cover/559002.jpg", "Обложка")</f>
        <v>Обложка</v>
      </c>
      <c r="V3461" s="8" t="s">
        <v>1768</v>
      </c>
      <c r="W3461" s="6"/>
      <c r="X3461" s="6"/>
      <c r="Y3461" s="6"/>
      <c r="Z3461" s="6"/>
      <c r="AA3461" s="6" t="s">
        <v>274</v>
      </c>
      <c r="AB3461" s="8"/>
      <c r="AC3461" s="27">
        <v>9785977603508</v>
      </c>
    </row>
    <row r="3462" spans="1:29" s="4" customFormat="1" ht="51.9" customHeight="1" x14ac:dyDescent="0.2">
      <c r="A3462" s="5">
        <v>0</v>
      </c>
      <c r="B3462" s="6" t="s">
        <v>20217</v>
      </c>
      <c r="C3462" s="7">
        <v>1348.8</v>
      </c>
      <c r="D3462" s="8" t="s">
        <v>20218</v>
      </c>
      <c r="E3462" s="8" t="s">
        <v>20219</v>
      </c>
      <c r="F3462" s="8" t="s">
        <v>20220</v>
      </c>
      <c r="G3462" s="6" t="s">
        <v>118</v>
      </c>
      <c r="H3462" s="6" t="s">
        <v>34</v>
      </c>
      <c r="I3462" s="8" t="s">
        <v>271</v>
      </c>
      <c r="J3462" s="9">
        <v>1</v>
      </c>
      <c r="K3462" s="9">
        <v>216</v>
      </c>
      <c r="L3462" s="9">
        <v>2025</v>
      </c>
      <c r="M3462" s="8" t="s">
        <v>20221</v>
      </c>
      <c r="N3462" s="8" t="s">
        <v>37</v>
      </c>
      <c r="O3462" s="8" t="s">
        <v>233</v>
      </c>
      <c r="P3462" s="6" t="s">
        <v>51</v>
      </c>
      <c r="Q3462" s="8" t="s">
        <v>52</v>
      </c>
      <c r="R3462" s="10" t="s">
        <v>2086</v>
      </c>
      <c r="S3462" s="11" t="s">
        <v>20222</v>
      </c>
      <c r="T3462" s="6"/>
      <c r="U3462" s="15" t="str">
        <f>HYPERLINK("https://media.infra-m.ru/2194/2194351/cover/2194351.jpg", "Обложка")</f>
        <v>Обложка</v>
      </c>
      <c r="V3462" s="8" t="s">
        <v>1425</v>
      </c>
      <c r="W3462" s="6"/>
      <c r="X3462" s="6"/>
      <c r="Y3462" s="6"/>
      <c r="Z3462" s="6"/>
      <c r="AA3462" s="6" t="s">
        <v>8545</v>
      </c>
      <c r="AB3462" s="8"/>
      <c r="AC3462" s="27">
        <v>9785160127064</v>
      </c>
    </row>
    <row r="3463" spans="1:29" s="4" customFormat="1" ht="44.1" customHeight="1" x14ac:dyDescent="0.2">
      <c r="A3463" s="5">
        <v>0</v>
      </c>
      <c r="B3463" s="6" t="s">
        <v>20223</v>
      </c>
      <c r="C3463" s="7">
        <v>3564</v>
      </c>
      <c r="D3463" s="8" t="s">
        <v>20224</v>
      </c>
      <c r="E3463" s="8" t="s">
        <v>20225</v>
      </c>
      <c r="F3463" s="8" t="s">
        <v>20226</v>
      </c>
      <c r="G3463" s="6" t="s">
        <v>60</v>
      </c>
      <c r="H3463" s="6" t="s">
        <v>134</v>
      </c>
      <c r="I3463" s="8"/>
      <c r="J3463" s="9">
        <v>1</v>
      </c>
      <c r="K3463" s="9">
        <v>464</v>
      </c>
      <c r="L3463" s="9">
        <v>2024</v>
      </c>
      <c r="M3463" s="8" t="s">
        <v>20227</v>
      </c>
      <c r="N3463" s="8" t="s">
        <v>37</v>
      </c>
      <c r="O3463" s="8" t="s">
        <v>136</v>
      </c>
      <c r="P3463" s="6" t="s">
        <v>1689</v>
      </c>
      <c r="Q3463" s="8"/>
      <c r="R3463" s="10" t="s">
        <v>1262</v>
      </c>
      <c r="S3463" s="11"/>
      <c r="T3463" s="6"/>
      <c r="U3463" s="15" t="str">
        <f>HYPERLINK("https://media.infra-m.ru/2164/2164042/cover/2164042.jpg", "Обложка")</f>
        <v>Обложка</v>
      </c>
      <c r="V3463" s="8"/>
      <c r="W3463" s="6"/>
      <c r="X3463" s="6"/>
      <c r="Y3463" s="6"/>
      <c r="Z3463" s="6"/>
      <c r="AA3463" s="6" t="s">
        <v>76</v>
      </c>
      <c r="AB3463" s="8"/>
      <c r="AC3463" s="27">
        <v>9785001563808</v>
      </c>
    </row>
    <row r="3464" spans="1:29" s="4" customFormat="1" ht="51.9" customHeight="1" x14ac:dyDescent="0.2">
      <c r="A3464" s="5">
        <v>0</v>
      </c>
      <c r="B3464" s="6" t="s">
        <v>20228</v>
      </c>
      <c r="C3464" s="13">
        <v>928.8</v>
      </c>
      <c r="D3464" s="8" t="s">
        <v>20229</v>
      </c>
      <c r="E3464" s="8" t="s">
        <v>20230</v>
      </c>
      <c r="F3464" s="8" t="s">
        <v>20231</v>
      </c>
      <c r="G3464" s="6" t="s">
        <v>33</v>
      </c>
      <c r="H3464" s="6" t="s">
        <v>313</v>
      </c>
      <c r="I3464" s="8" t="s">
        <v>253</v>
      </c>
      <c r="J3464" s="9">
        <v>1</v>
      </c>
      <c r="K3464" s="9">
        <v>171</v>
      </c>
      <c r="L3464" s="9">
        <v>2023</v>
      </c>
      <c r="M3464" s="8" t="s">
        <v>20232</v>
      </c>
      <c r="N3464" s="8" t="s">
        <v>37</v>
      </c>
      <c r="O3464" s="8" t="s">
        <v>499</v>
      </c>
      <c r="P3464" s="6" t="s">
        <v>51</v>
      </c>
      <c r="Q3464" s="8" t="s">
        <v>52</v>
      </c>
      <c r="R3464" s="10" t="s">
        <v>13369</v>
      </c>
      <c r="S3464" s="11" t="s">
        <v>20099</v>
      </c>
      <c r="T3464" s="6"/>
      <c r="U3464" s="15" t="str">
        <f>HYPERLINK("https://media.infra-m.ru/2001/2001637/cover/2001637.jpg", "Обложка")</f>
        <v>Обложка</v>
      </c>
      <c r="V3464" s="8" t="s">
        <v>227</v>
      </c>
      <c r="W3464" s="6"/>
      <c r="X3464" s="6"/>
      <c r="Y3464" s="6"/>
      <c r="Z3464" s="6"/>
      <c r="AA3464" s="6" t="s">
        <v>99</v>
      </c>
      <c r="AB3464" s="8"/>
      <c r="AC3464" s="27">
        <v>9785369015896</v>
      </c>
    </row>
    <row r="3465" spans="1:29" s="4" customFormat="1" ht="51.9" customHeight="1" x14ac:dyDescent="0.2">
      <c r="A3465" s="5">
        <v>0</v>
      </c>
      <c r="B3465" s="6" t="s">
        <v>20233</v>
      </c>
      <c r="C3465" s="7">
        <v>2368.8000000000002</v>
      </c>
      <c r="D3465" s="8" t="s">
        <v>20234</v>
      </c>
      <c r="E3465" s="8" t="s">
        <v>20235</v>
      </c>
      <c r="F3465" s="8" t="s">
        <v>20236</v>
      </c>
      <c r="G3465" s="6" t="s">
        <v>118</v>
      </c>
      <c r="H3465" s="6" t="s">
        <v>34</v>
      </c>
      <c r="I3465" s="8" t="s">
        <v>304</v>
      </c>
      <c r="J3465" s="9">
        <v>1</v>
      </c>
      <c r="K3465" s="9">
        <v>379</v>
      </c>
      <c r="L3465" s="9">
        <v>2025</v>
      </c>
      <c r="M3465" s="8" t="s">
        <v>20237</v>
      </c>
      <c r="N3465" s="8" t="s">
        <v>37</v>
      </c>
      <c r="O3465" s="8" t="s">
        <v>233</v>
      </c>
      <c r="P3465" s="6" t="s">
        <v>306</v>
      </c>
      <c r="Q3465" s="8" t="s">
        <v>52</v>
      </c>
      <c r="R3465" s="10" t="s">
        <v>3008</v>
      </c>
      <c r="S3465" s="11" t="s">
        <v>5464</v>
      </c>
      <c r="T3465" s="6"/>
      <c r="U3465" s="15" t="str">
        <f>HYPERLINK("https://media.infra-m.ru/2194/2194361/cover/2194361.jpg", "Обложка")</f>
        <v>Обложка</v>
      </c>
      <c r="V3465" s="8" t="s">
        <v>247</v>
      </c>
      <c r="W3465" s="6"/>
      <c r="X3465" s="6"/>
      <c r="Y3465" s="6"/>
      <c r="Z3465" s="6"/>
      <c r="AA3465" s="6" t="s">
        <v>258</v>
      </c>
      <c r="AB3465" s="8"/>
      <c r="AC3465" s="27">
        <v>9785160187334</v>
      </c>
    </row>
    <row r="3466" spans="1:29" s="4" customFormat="1" ht="51.9" customHeight="1" x14ac:dyDescent="0.2">
      <c r="A3466" s="5">
        <v>0</v>
      </c>
      <c r="B3466" s="6" t="s">
        <v>20238</v>
      </c>
      <c r="C3466" s="13">
        <v>905.9</v>
      </c>
      <c r="D3466" s="8" t="s">
        <v>20239</v>
      </c>
      <c r="E3466" s="8" t="s">
        <v>20240</v>
      </c>
      <c r="F3466" s="8" t="s">
        <v>20241</v>
      </c>
      <c r="G3466" s="6" t="s">
        <v>60</v>
      </c>
      <c r="H3466" s="6" t="s">
        <v>241</v>
      </c>
      <c r="I3466" s="8"/>
      <c r="J3466" s="9">
        <v>1</v>
      </c>
      <c r="K3466" s="9">
        <v>256</v>
      </c>
      <c r="L3466" s="9">
        <v>2018</v>
      </c>
      <c r="M3466" s="8" t="s">
        <v>20242</v>
      </c>
      <c r="N3466" s="8" t="s">
        <v>37</v>
      </c>
      <c r="O3466" s="8" t="s">
        <v>233</v>
      </c>
      <c r="P3466" s="6" t="s">
        <v>51</v>
      </c>
      <c r="Q3466" s="8" t="s">
        <v>52</v>
      </c>
      <c r="R3466" s="10" t="s">
        <v>3008</v>
      </c>
      <c r="S3466" s="11"/>
      <c r="T3466" s="6"/>
      <c r="U3466" s="15" t="str">
        <f>HYPERLINK("https://media.infra-m.ru/0972/0972674/cover/972674.jpg", "Обложка")</f>
        <v>Обложка</v>
      </c>
      <c r="V3466" s="8" t="s">
        <v>247</v>
      </c>
      <c r="W3466" s="6"/>
      <c r="X3466" s="6"/>
      <c r="Y3466" s="6"/>
      <c r="Z3466" s="6"/>
      <c r="AA3466" s="6" t="s">
        <v>248</v>
      </c>
      <c r="AB3466" s="8"/>
      <c r="AC3466" s="27">
        <v>9785955803555</v>
      </c>
    </row>
    <row r="3467" spans="1:29" s="4" customFormat="1" ht="51.9" customHeight="1" x14ac:dyDescent="0.2">
      <c r="A3467" s="5">
        <v>0</v>
      </c>
      <c r="B3467" s="6" t="s">
        <v>20243</v>
      </c>
      <c r="C3467" s="7">
        <v>1696.8</v>
      </c>
      <c r="D3467" s="8" t="s">
        <v>20244</v>
      </c>
      <c r="E3467" s="8" t="s">
        <v>20245</v>
      </c>
      <c r="F3467" s="8" t="s">
        <v>20246</v>
      </c>
      <c r="G3467" s="6" t="s">
        <v>60</v>
      </c>
      <c r="H3467" s="6" t="s">
        <v>820</v>
      </c>
      <c r="I3467" s="8"/>
      <c r="J3467" s="9">
        <v>1</v>
      </c>
      <c r="K3467" s="9">
        <v>272</v>
      </c>
      <c r="L3467" s="9">
        <v>2025</v>
      </c>
      <c r="M3467" s="8" t="s">
        <v>20247</v>
      </c>
      <c r="N3467" s="8" t="s">
        <v>37</v>
      </c>
      <c r="O3467" s="8" t="s">
        <v>499</v>
      </c>
      <c r="P3467" s="6" t="s">
        <v>51</v>
      </c>
      <c r="Q3467" s="8" t="s">
        <v>52</v>
      </c>
      <c r="R3467" s="10" t="s">
        <v>2134</v>
      </c>
      <c r="S3467" s="11" t="s">
        <v>20248</v>
      </c>
      <c r="T3467" s="6"/>
      <c r="U3467" s="15" t="str">
        <f>HYPERLINK("https://media.infra-m.ru/2196/2196944/cover/2196944.jpg", "Обложка")</f>
        <v>Обложка</v>
      </c>
      <c r="V3467" s="8" t="s">
        <v>3428</v>
      </c>
      <c r="W3467" s="6"/>
      <c r="X3467" s="6"/>
      <c r="Y3467" s="6"/>
      <c r="Z3467" s="6"/>
      <c r="AA3467" s="6" t="s">
        <v>55</v>
      </c>
      <c r="AB3467" s="8"/>
      <c r="AC3467" s="27">
        <v>9785905554308</v>
      </c>
    </row>
    <row r="3468" spans="1:29" s="4" customFormat="1" ht="51.9" customHeight="1" x14ac:dyDescent="0.2">
      <c r="A3468" s="5">
        <v>0</v>
      </c>
      <c r="B3468" s="6" t="s">
        <v>20249</v>
      </c>
      <c r="C3468" s="7">
        <v>1260</v>
      </c>
      <c r="D3468" s="8" t="s">
        <v>20250</v>
      </c>
      <c r="E3468" s="8" t="s">
        <v>20251</v>
      </c>
      <c r="F3468" s="8" t="s">
        <v>20252</v>
      </c>
      <c r="G3468" s="6" t="s">
        <v>118</v>
      </c>
      <c r="H3468" s="6" t="s">
        <v>34</v>
      </c>
      <c r="I3468" s="8" t="s">
        <v>271</v>
      </c>
      <c r="J3468" s="9">
        <v>1</v>
      </c>
      <c r="K3468" s="9">
        <v>232</v>
      </c>
      <c r="L3468" s="9">
        <v>2023</v>
      </c>
      <c r="M3468" s="8" t="s">
        <v>20253</v>
      </c>
      <c r="N3468" s="8" t="s">
        <v>37</v>
      </c>
      <c r="O3468" s="8" t="s">
        <v>233</v>
      </c>
      <c r="P3468" s="6" t="s">
        <v>306</v>
      </c>
      <c r="Q3468" s="8" t="s">
        <v>52</v>
      </c>
      <c r="R3468" s="10" t="s">
        <v>20254</v>
      </c>
      <c r="S3468" s="11" t="s">
        <v>20255</v>
      </c>
      <c r="T3468" s="6"/>
      <c r="U3468" s="15" t="str">
        <f>HYPERLINK("https://media.infra-m.ru/1855/1855828/cover/1855828.jpg", "Обложка")</f>
        <v>Обложка</v>
      </c>
      <c r="V3468" s="8" t="s">
        <v>1505</v>
      </c>
      <c r="W3468" s="6"/>
      <c r="X3468" s="6"/>
      <c r="Y3468" s="6"/>
      <c r="Z3468" s="6"/>
      <c r="AA3468" s="6" t="s">
        <v>2240</v>
      </c>
      <c r="AB3468" s="8"/>
      <c r="AC3468" s="27">
        <v>9785160152080</v>
      </c>
    </row>
    <row r="3469" spans="1:29" s="4" customFormat="1" ht="42" customHeight="1" x14ac:dyDescent="0.2">
      <c r="A3469" s="5">
        <v>0</v>
      </c>
      <c r="B3469" s="6" t="s">
        <v>20256</v>
      </c>
      <c r="C3469" s="7">
        <v>1200</v>
      </c>
      <c r="D3469" s="8" t="s">
        <v>20257</v>
      </c>
      <c r="E3469" s="8" t="s">
        <v>20258</v>
      </c>
      <c r="F3469" s="8" t="s">
        <v>20259</v>
      </c>
      <c r="G3469" s="6" t="s">
        <v>33</v>
      </c>
      <c r="H3469" s="6" t="s">
        <v>1644</v>
      </c>
      <c r="I3469" s="8"/>
      <c r="J3469" s="9">
        <v>1</v>
      </c>
      <c r="K3469" s="9">
        <v>192</v>
      </c>
      <c r="L3469" s="9">
        <v>2025</v>
      </c>
      <c r="M3469" s="8" t="s">
        <v>20260</v>
      </c>
      <c r="N3469" s="8" t="s">
        <v>37</v>
      </c>
      <c r="O3469" s="8" t="s">
        <v>233</v>
      </c>
      <c r="P3469" s="6" t="s">
        <v>51</v>
      </c>
      <c r="Q3469" s="8" t="s">
        <v>500</v>
      </c>
      <c r="R3469" s="10" t="s">
        <v>1646</v>
      </c>
      <c r="S3469" s="11"/>
      <c r="T3469" s="6"/>
      <c r="U3469" s="15" t="str">
        <f>HYPERLINK("https://media.infra-m.ru/2202/2202021/cover/2202021.jpg", "Обложка")</f>
        <v>Обложка</v>
      </c>
      <c r="V3469" s="8" t="s">
        <v>1647</v>
      </c>
      <c r="W3469" s="6"/>
      <c r="X3469" s="6"/>
      <c r="Y3469" s="6"/>
      <c r="Z3469" s="6"/>
      <c r="AA3469" s="6" t="s">
        <v>779</v>
      </c>
      <c r="AB3469" s="8"/>
      <c r="AC3469" s="27">
        <v>9785977604284</v>
      </c>
    </row>
    <row r="3470" spans="1:29" s="4" customFormat="1" ht="51.9" customHeight="1" x14ac:dyDescent="0.2">
      <c r="A3470" s="5">
        <v>0</v>
      </c>
      <c r="B3470" s="6" t="s">
        <v>20261</v>
      </c>
      <c r="C3470" s="7">
        <v>1936.8</v>
      </c>
      <c r="D3470" s="8" t="s">
        <v>20262</v>
      </c>
      <c r="E3470" s="8" t="s">
        <v>20263</v>
      </c>
      <c r="F3470" s="8" t="s">
        <v>20264</v>
      </c>
      <c r="G3470" s="6" t="s">
        <v>118</v>
      </c>
      <c r="H3470" s="6" t="s">
        <v>34</v>
      </c>
      <c r="I3470" s="8" t="s">
        <v>253</v>
      </c>
      <c r="J3470" s="9">
        <v>1</v>
      </c>
      <c r="K3470" s="9">
        <v>278</v>
      </c>
      <c r="L3470" s="9">
        <v>2026</v>
      </c>
      <c r="M3470" s="8" t="s">
        <v>20265</v>
      </c>
      <c r="N3470" s="8" t="s">
        <v>37</v>
      </c>
      <c r="O3470" s="8" t="s">
        <v>233</v>
      </c>
      <c r="P3470" s="6" t="s">
        <v>306</v>
      </c>
      <c r="Q3470" s="8" t="s">
        <v>65</v>
      </c>
      <c r="R3470" s="10" t="s">
        <v>20254</v>
      </c>
      <c r="S3470" s="11" t="s">
        <v>20266</v>
      </c>
      <c r="T3470" s="6"/>
      <c r="U3470" s="15" t="str">
        <f>HYPERLINK("https://media.infra-m.ru/2251/2251531/cover/2251531.jpg", "Обложка")</f>
        <v>Обложка</v>
      </c>
      <c r="V3470" s="8" t="s">
        <v>1505</v>
      </c>
      <c r="W3470" s="6"/>
      <c r="X3470" s="6"/>
      <c r="Y3470" s="6"/>
      <c r="Z3470" s="6"/>
      <c r="AA3470" s="6" t="s">
        <v>779</v>
      </c>
      <c r="AB3470" s="8"/>
      <c r="AC3470" s="27">
        <v>9785160195407</v>
      </c>
    </row>
    <row r="3471" spans="1:29" s="4" customFormat="1" ht="51.9" customHeight="1" x14ac:dyDescent="0.2">
      <c r="A3471" s="5">
        <v>0</v>
      </c>
      <c r="B3471" s="6" t="s">
        <v>20267</v>
      </c>
      <c r="C3471" s="7">
        <v>4012.8</v>
      </c>
      <c r="D3471" s="8" t="s">
        <v>20268</v>
      </c>
      <c r="E3471" s="8" t="s">
        <v>20269</v>
      </c>
      <c r="F3471" s="8" t="s">
        <v>20270</v>
      </c>
      <c r="G3471" s="6" t="s">
        <v>60</v>
      </c>
      <c r="H3471" s="6" t="s">
        <v>1644</v>
      </c>
      <c r="I3471" s="8"/>
      <c r="J3471" s="9">
        <v>1</v>
      </c>
      <c r="K3471" s="9">
        <v>605</v>
      </c>
      <c r="L3471" s="9">
        <v>2027</v>
      </c>
      <c r="M3471" s="8" t="s">
        <v>20271</v>
      </c>
      <c r="N3471" s="8" t="s">
        <v>37</v>
      </c>
      <c r="O3471" s="8" t="s">
        <v>280</v>
      </c>
      <c r="P3471" s="6" t="s">
        <v>51</v>
      </c>
      <c r="Q3471" s="8"/>
      <c r="R3471" s="10" t="s">
        <v>20272</v>
      </c>
      <c r="S3471" s="11" t="s">
        <v>20273</v>
      </c>
      <c r="T3471" s="6"/>
      <c r="U3471" s="15" t="str">
        <f>HYPERLINK("https://media.infra-m.ru/2263/2263907/cover/2263907.jpg", "Обложка")</f>
        <v>Обложка</v>
      </c>
      <c r="V3471" s="8" t="s">
        <v>1768</v>
      </c>
      <c r="W3471" s="6"/>
      <c r="X3471" s="6"/>
      <c r="Y3471" s="6"/>
      <c r="Z3471" s="6"/>
      <c r="AA3471" s="6" t="s">
        <v>1015</v>
      </c>
      <c r="AB3471" s="8"/>
      <c r="AC3471" s="27">
        <v>9785977601375</v>
      </c>
    </row>
    <row r="3472" spans="1:29" s="4" customFormat="1" ht="44.1" customHeight="1" x14ac:dyDescent="0.2">
      <c r="A3472" s="5">
        <v>0</v>
      </c>
      <c r="B3472" s="6" t="s">
        <v>20274</v>
      </c>
      <c r="C3472" s="7">
        <v>1164</v>
      </c>
      <c r="D3472" s="8" t="s">
        <v>20275</v>
      </c>
      <c r="E3472" s="8" t="s">
        <v>20276</v>
      </c>
      <c r="F3472" s="8" t="s">
        <v>20277</v>
      </c>
      <c r="G3472" s="6" t="s">
        <v>33</v>
      </c>
      <c r="H3472" s="6" t="s">
        <v>34</v>
      </c>
      <c r="I3472" s="8" t="s">
        <v>35</v>
      </c>
      <c r="J3472" s="9">
        <v>1</v>
      </c>
      <c r="K3472" s="9">
        <v>179</v>
      </c>
      <c r="L3472" s="9">
        <v>2025</v>
      </c>
      <c r="M3472" s="8" t="s">
        <v>20278</v>
      </c>
      <c r="N3472" s="8" t="s">
        <v>37</v>
      </c>
      <c r="O3472" s="8" t="s">
        <v>136</v>
      </c>
      <c r="P3472" s="6" t="s">
        <v>39</v>
      </c>
      <c r="Q3472" s="8" t="s">
        <v>40</v>
      </c>
      <c r="R3472" s="10" t="s">
        <v>17324</v>
      </c>
      <c r="S3472" s="11"/>
      <c r="T3472" s="6"/>
      <c r="U3472" s="15" t="str">
        <f>HYPERLINK("https://media.infra-m.ru/2186/2186819/cover/2186819.jpg", "Обложка")</f>
        <v>Обложка</v>
      </c>
      <c r="V3472" s="8" t="s">
        <v>2001</v>
      </c>
      <c r="W3472" s="6"/>
      <c r="X3472" s="6"/>
      <c r="Y3472" s="6"/>
      <c r="Z3472" s="6"/>
      <c r="AA3472" s="6" t="s">
        <v>68</v>
      </c>
      <c r="AB3472" s="8"/>
      <c r="AC3472" s="27">
        <v>9785160206387</v>
      </c>
    </row>
    <row r="3473" spans="1:29" s="4" customFormat="1" ht="44.1" customHeight="1" x14ac:dyDescent="0.2">
      <c r="A3473" s="5">
        <v>0</v>
      </c>
      <c r="B3473" s="6" t="s">
        <v>20279</v>
      </c>
      <c r="C3473" s="7">
        <v>1500</v>
      </c>
      <c r="D3473" s="8" t="s">
        <v>20280</v>
      </c>
      <c r="E3473" s="8" t="s">
        <v>20281</v>
      </c>
      <c r="F3473" s="8" t="s">
        <v>20282</v>
      </c>
      <c r="G3473" s="6" t="s">
        <v>60</v>
      </c>
      <c r="H3473" s="6" t="s">
        <v>34</v>
      </c>
      <c r="I3473" s="8" t="s">
        <v>457</v>
      </c>
      <c r="J3473" s="9">
        <v>1</v>
      </c>
      <c r="K3473" s="9">
        <v>266</v>
      </c>
      <c r="L3473" s="9">
        <v>2023</v>
      </c>
      <c r="M3473" s="8" t="s">
        <v>20283</v>
      </c>
      <c r="N3473" s="8" t="s">
        <v>37</v>
      </c>
      <c r="O3473" s="8" t="s">
        <v>50</v>
      </c>
      <c r="P3473" s="6" t="s">
        <v>39</v>
      </c>
      <c r="Q3473" s="8" t="s">
        <v>40</v>
      </c>
      <c r="R3473" s="10" t="s">
        <v>20284</v>
      </c>
      <c r="S3473" s="11"/>
      <c r="T3473" s="6"/>
      <c r="U3473" s="15" t="str">
        <f>HYPERLINK("https://media.infra-m.ru/1895/1895951/cover/1895951.jpg", "Обложка")</f>
        <v>Обложка</v>
      </c>
      <c r="V3473" s="8" t="s">
        <v>247</v>
      </c>
      <c r="W3473" s="6"/>
      <c r="X3473" s="6"/>
      <c r="Y3473" s="6"/>
      <c r="Z3473" s="6"/>
      <c r="AA3473" s="6" t="s">
        <v>157</v>
      </c>
      <c r="AB3473" s="8"/>
      <c r="AC3473" s="27">
        <v>9785160178974</v>
      </c>
    </row>
    <row r="3474" spans="1:29" s="4" customFormat="1" ht="42" customHeight="1" x14ac:dyDescent="0.2">
      <c r="A3474" s="5">
        <v>0</v>
      </c>
      <c r="B3474" s="6" t="s">
        <v>20285</v>
      </c>
      <c r="C3474" s="7">
        <v>1188</v>
      </c>
      <c r="D3474" s="8" t="s">
        <v>20286</v>
      </c>
      <c r="E3474" s="8" t="s">
        <v>20287</v>
      </c>
      <c r="F3474" s="8" t="s">
        <v>20288</v>
      </c>
      <c r="G3474" s="6" t="s">
        <v>60</v>
      </c>
      <c r="H3474" s="6" t="s">
        <v>34</v>
      </c>
      <c r="I3474" s="8" t="s">
        <v>504</v>
      </c>
      <c r="J3474" s="9">
        <v>1</v>
      </c>
      <c r="K3474" s="9">
        <v>164</v>
      </c>
      <c r="L3474" s="9">
        <v>2026</v>
      </c>
      <c r="M3474" s="8" t="s">
        <v>20289</v>
      </c>
      <c r="N3474" s="8" t="s">
        <v>63</v>
      </c>
      <c r="O3474" s="8" t="s">
        <v>154</v>
      </c>
      <c r="P3474" s="6" t="s">
        <v>51</v>
      </c>
      <c r="Q3474" s="8" t="s">
        <v>500</v>
      </c>
      <c r="R3474" s="10" t="s">
        <v>20290</v>
      </c>
      <c r="S3474" s="11"/>
      <c r="T3474" s="6"/>
      <c r="U3474" s="15" t="str">
        <f>HYPERLINK("https://media.infra-m.ru/2205/2205350/cover/2205350.jpg", "Обложка")</f>
        <v>Обложка</v>
      </c>
      <c r="V3474" s="8" t="s">
        <v>14218</v>
      </c>
      <c r="W3474" s="6" t="s">
        <v>1382</v>
      </c>
      <c r="X3474" s="6"/>
      <c r="Y3474" s="6"/>
      <c r="Z3474" s="6"/>
      <c r="AA3474" s="6" t="s">
        <v>187</v>
      </c>
      <c r="AB3474" s="8" t="s">
        <v>308</v>
      </c>
      <c r="AC3474" s="27">
        <v>9785160209272</v>
      </c>
    </row>
    <row r="3475" spans="1:29" s="4" customFormat="1" ht="42" customHeight="1" x14ac:dyDescent="0.2">
      <c r="A3475" s="5">
        <v>0</v>
      </c>
      <c r="B3475" s="6" t="s">
        <v>20291</v>
      </c>
      <c r="C3475" s="13">
        <v>665.9</v>
      </c>
      <c r="D3475" s="8" t="s">
        <v>20292</v>
      </c>
      <c r="E3475" s="8" t="s">
        <v>20293</v>
      </c>
      <c r="F3475" s="8" t="s">
        <v>20294</v>
      </c>
      <c r="G3475" s="6" t="s">
        <v>33</v>
      </c>
      <c r="H3475" s="6" t="s">
        <v>1644</v>
      </c>
      <c r="I3475" s="8"/>
      <c r="J3475" s="9">
        <v>1</v>
      </c>
      <c r="K3475" s="9">
        <v>164</v>
      </c>
      <c r="L3475" s="9">
        <v>2020</v>
      </c>
      <c r="M3475" s="8" t="s">
        <v>20295</v>
      </c>
      <c r="N3475" s="8" t="s">
        <v>37</v>
      </c>
      <c r="O3475" s="8" t="s">
        <v>499</v>
      </c>
      <c r="P3475" s="6" t="s">
        <v>51</v>
      </c>
      <c r="Q3475" s="8" t="s">
        <v>52</v>
      </c>
      <c r="R3475" s="10" t="s">
        <v>20296</v>
      </c>
      <c r="S3475" s="11"/>
      <c r="T3475" s="6"/>
      <c r="U3475" s="15" t="str">
        <f>HYPERLINK("https://media.infra-m.ru/1045/1045792/cover/1045792.jpg", "Обложка")</f>
        <v>Обложка</v>
      </c>
      <c r="V3475" s="8" t="s">
        <v>6583</v>
      </c>
      <c r="W3475" s="6"/>
      <c r="X3475" s="6"/>
      <c r="Y3475" s="6"/>
      <c r="Z3475" s="6"/>
      <c r="AA3475" s="6" t="s">
        <v>99</v>
      </c>
      <c r="AB3475" s="8"/>
      <c r="AC3475" s="27">
        <v>9785977604598</v>
      </c>
    </row>
    <row r="3476" spans="1:29" s="4" customFormat="1" ht="42" customHeight="1" x14ac:dyDescent="0.2">
      <c r="A3476" s="5">
        <v>0</v>
      </c>
      <c r="B3476" s="6" t="s">
        <v>20297</v>
      </c>
      <c r="C3476" s="7">
        <v>1776</v>
      </c>
      <c r="D3476" s="8" t="s">
        <v>20298</v>
      </c>
      <c r="E3476" s="8" t="s">
        <v>20299</v>
      </c>
      <c r="F3476" s="8" t="s">
        <v>20300</v>
      </c>
      <c r="G3476" s="6" t="s">
        <v>33</v>
      </c>
      <c r="H3476" s="6" t="s">
        <v>34</v>
      </c>
      <c r="I3476" s="8" t="s">
        <v>35</v>
      </c>
      <c r="J3476" s="9">
        <v>1</v>
      </c>
      <c r="K3476" s="9">
        <v>306</v>
      </c>
      <c r="L3476" s="9">
        <v>2023</v>
      </c>
      <c r="M3476" s="8" t="s">
        <v>20301</v>
      </c>
      <c r="N3476" s="8" t="s">
        <v>37</v>
      </c>
      <c r="O3476" s="8" t="s">
        <v>280</v>
      </c>
      <c r="P3476" s="6" t="s">
        <v>39</v>
      </c>
      <c r="Q3476" s="8" t="s">
        <v>40</v>
      </c>
      <c r="R3476" s="10" t="s">
        <v>4875</v>
      </c>
      <c r="S3476" s="11"/>
      <c r="T3476" s="6"/>
      <c r="U3476" s="15" t="str">
        <f>HYPERLINK("https://media.infra-m.ru/1995/1995257/cover/1995257.jpg", "Обложка")</f>
        <v>Обложка</v>
      </c>
      <c r="V3476" s="8" t="s">
        <v>3196</v>
      </c>
      <c r="W3476" s="6"/>
      <c r="X3476" s="6"/>
      <c r="Y3476" s="6"/>
      <c r="Z3476" s="6"/>
      <c r="AA3476" s="6" t="s">
        <v>258</v>
      </c>
      <c r="AB3476" s="8"/>
      <c r="AC3476" s="27">
        <v>9785160164984</v>
      </c>
    </row>
    <row r="3477" spans="1:29" s="4" customFormat="1" ht="42" customHeight="1" x14ac:dyDescent="0.2">
      <c r="A3477" s="5">
        <v>0</v>
      </c>
      <c r="B3477" s="6" t="s">
        <v>20302</v>
      </c>
      <c r="C3477" s="7">
        <v>1308</v>
      </c>
      <c r="D3477" s="8" t="s">
        <v>20303</v>
      </c>
      <c r="E3477" s="8" t="s">
        <v>20304</v>
      </c>
      <c r="F3477" s="8" t="s">
        <v>20305</v>
      </c>
      <c r="G3477" s="6" t="s">
        <v>60</v>
      </c>
      <c r="H3477" s="6" t="s">
        <v>34</v>
      </c>
      <c r="I3477" s="8" t="s">
        <v>253</v>
      </c>
      <c r="J3477" s="9">
        <v>1</v>
      </c>
      <c r="K3477" s="9">
        <v>207</v>
      </c>
      <c r="L3477" s="9">
        <v>2025</v>
      </c>
      <c r="M3477" s="8" t="s">
        <v>20306</v>
      </c>
      <c r="N3477" s="8" t="s">
        <v>37</v>
      </c>
      <c r="O3477" s="8" t="s">
        <v>280</v>
      </c>
      <c r="P3477" s="6" t="s">
        <v>51</v>
      </c>
      <c r="Q3477" s="8" t="s">
        <v>52</v>
      </c>
      <c r="R3477" s="10" t="s">
        <v>20307</v>
      </c>
      <c r="S3477" s="11"/>
      <c r="T3477" s="6"/>
      <c r="U3477" s="15" t="str">
        <f>HYPERLINK("https://media.infra-m.ru/2132/2132108/cover/2132108.jpg", "Обложка")</f>
        <v>Обложка</v>
      </c>
      <c r="V3477" s="8" t="s">
        <v>7502</v>
      </c>
      <c r="W3477" s="6"/>
      <c r="X3477" s="6"/>
      <c r="Y3477" s="6"/>
      <c r="Z3477" s="6"/>
      <c r="AA3477" s="6" t="s">
        <v>917</v>
      </c>
      <c r="AB3477" s="8"/>
      <c r="AC3477" s="27">
        <v>9785160196459</v>
      </c>
    </row>
    <row r="3478" spans="1:29" s="4" customFormat="1" ht="51.9" customHeight="1" x14ac:dyDescent="0.2">
      <c r="A3478" s="5">
        <v>0</v>
      </c>
      <c r="B3478" s="6" t="s">
        <v>20308</v>
      </c>
      <c r="C3478" s="7">
        <v>1037.9000000000001</v>
      </c>
      <c r="D3478" s="8" t="s">
        <v>20309</v>
      </c>
      <c r="E3478" s="8" t="s">
        <v>20310</v>
      </c>
      <c r="F3478" s="8" t="s">
        <v>7525</v>
      </c>
      <c r="G3478" s="6" t="s">
        <v>118</v>
      </c>
      <c r="H3478" s="6" t="s">
        <v>34</v>
      </c>
      <c r="I3478" s="8" t="s">
        <v>271</v>
      </c>
      <c r="J3478" s="9">
        <v>1</v>
      </c>
      <c r="K3478" s="9">
        <v>193</v>
      </c>
      <c r="L3478" s="9">
        <v>2023</v>
      </c>
      <c r="M3478" s="8" t="s">
        <v>20311</v>
      </c>
      <c r="N3478" s="8" t="s">
        <v>37</v>
      </c>
      <c r="O3478" s="8" t="s">
        <v>280</v>
      </c>
      <c r="P3478" s="6" t="s">
        <v>51</v>
      </c>
      <c r="Q3478" s="8" t="s">
        <v>52</v>
      </c>
      <c r="R3478" s="10" t="s">
        <v>20307</v>
      </c>
      <c r="S3478" s="11" t="s">
        <v>20312</v>
      </c>
      <c r="T3478" s="6"/>
      <c r="U3478" s="15" t="str">
        <f>HYPERLINK("https://media.infra-m.ru/1974/1974381/cover/1974381.jpg", "Обложка")</f>
        <v>Обложка</v>
      </c>
      <c r="V3478" s="8" t="s">
        <v>7502</v>
      </c>
      <c r="W3478" s="6"/>
      <c r="X3478" s="6"/>
      <c r="Y3478" s="6"/>
      <c r="Z3478" s="6"/>
      <c r="AA3478" s="6" t="s">
        <v>86</v>
      </c>
      <c r="AB3478" s="8"/>
      <c r="AC3478" s="27">
        <v>9785160131702</v>
      </c>
    </row>
    <row r="3479" spans="1:29" s="4" customFormat="1" ht="51.9" customHeight="1" x14ac:dyDescent="0.2">
      <c r="A3479" s="5">
        <v>0</v>
      </c>
      <c r="B3479" s="6" t="s">
        <v>20313</v>
      </c>
      <c r="C3479" s="7">
        <v>2396.4</v>
      </c>
      <c r="D3479" s="8" t="s">
        <v>20314</v>
      </c>
      <c r="E3479" s="8" t="s">
        <v>20315</v>
      </c>
      <c r="F3479" s="8" t="s">
        <v>20316</v>
      </c>
      <c r="G3479" s="6" t="s">
        <v>60</v>
      </c>
      <c r="H3479" s="6" t="s">
        <v>5605</v>
      </c>
      <c r="I3479" s="8"/>
      <c r="J3479" s="9">
        <v>1</v>
      </c>
      <c r="K3479" s="9">
        <v>544</v>
      </c>
      <c r="L3479" s="9">
        <v>2025</v>
      </c>
      <c r="M3479" s="8" t="s">
        <v>20317</v>
      </c>
      <c r="N3479" s="8" t="s">
        <v>37</v>
      </c>
      <c r="O3479" s="8" t="s">
        <v>280</v>
      </c>
      <c r="P3479" s="6" t="s">
        <v>306</v>
      </c>
      <c r="Q3479" s="8" t="s">
        <v>52</v>
      </c>
      <c r="R3479" s="10" t="s">
        <v>20318</v>
      </c>
      <c r="S3479" s="11" t="s">
        <v>20319</v>
      </c>
      <c r="T3479" s="6"/>
      <c r="U3479" s="15" t="str">
        <f>HYPERLINK("https://media.infra-m.ru/2184/2184883/cover/2184883.jpg", "Обложка")</f>
        <v>Обложка</v>
      </c>
      <c r="V3479" s="8" t="s">
        <v>227</v>
      </c>
      <c r="W3479" s="6"/>
      <c r="X3479" s="6"/>
      <c r="Y3479" s="6"/>
      <c r="Z3479" s="6"/>
      <c r="AA3479" s="6" t="s">
        <v>129</v>
      </c>
      <c r="AB3479" s="8"/>
      <c r="AC3479" s="27">
        <v>9785160049700</v>
      </c>
    </row>
    <row r="3480" spans="1:29" s="4" customFormat="1" ht="51.9" customHeight="1" x14ac:dyDescent="0.2">
      <c r="A3480" s="5">
        <v>0</v>
      </c>
      <c r="B3480" s="6" t="s">
        <v>20320</v>
      </c>
      <c r="C3480" s="7">
        <v>2512.8000000000002</v>
      </c>
      <c r="D3480" s="8" t="s">
        <v>20321</v>
      </c>
      <c r="E3480" s="8" t="s">
        <v>20322</v>
      </c>
      <c r="F3480" s="8" t="s">
        <v>20323</v>
      </c>
      <c r="G3480" s="6" t="s">
        <v>60</v>
      </c>
      <c r="H3480" s="6" t="s">
        <v>5605</v>
      </c>
      <c r="I3480" s="8" t="s">
        <v>253</v>
      </c>
      <c r="J3480" s="9">
        <v>1</v>
      </c>
      <c r="K3480" s="9">
        <v>461</v>
      </c>
      <c r="L3480" s="9">
        <v>2024</v>
      </c>
      <c r="M3480" s="8" t="s">
        <v>20324</v>
      </c>
      <c r="N3480" s="8" t="s">
        <v>37</v>
      </c>
      <c r="O3480" s="8" t="s">
        <v>280</v>
      </c>
      <c r="P3480" s="6" t="s">
        <v>51</v>
      </c>
      <c r="Q3480" s="8" t="s">
        <v>52</v>
      </c>
      <c r="R3480" s="10" t="s">
        <v>20325</v>
      </c>
      <c r="S3480" s="11" t="s">
        <v>20326</v>
      </c>
      <c r="T3480" s="6"/>
      <c r="U3480" s="15" t="str">
        <f>HYPERLINK("https://media.infra-m.ru/2061/2061199/cover/2061199.jpg", "Обложка")</f>
        <v>Обложка</v>
      </c>
      <c r="V3480" s="8" t="s">
        <v>3196</v>
      </c>
      <c r="W3480" s="6"/>
      <c r="X3480" s="6"/>
      <c r="Y3480" s="6"/>
      <c r="Z3480" s="6"/>
      <c r="AA3480" s="6" t="s">
        <v>7159</v>
      </c>
      <c r="AB3480" s="8"/>
      <c r="AC3480" s="27">
        <v>9785160037158</v>
      </c>
    </row>
    <row r="3481" spans="1:29" s="4" customFormat="1" ht="51.9" customHeight="1" x14ac:dyDescent="0.2">
      <c r="A3481" s="5">
        <v>0</v>
      </c>
      <c r="B3481" s="6" t="s">
        <v>20327</v>
      </c>
      <c r="C3481" s="7">
        <v>1656</v>
      </c>
      <c r="D3481" s="8" t="s">
        <v>20328</v>
      </c>
      <c r="E3481" s="8" t="s">
        <v>20329</v>
      </c>
      <c r="F3481" s="8" t="s">
        <v>20330</v>
      </c>
      <c r="G3481" s="6" t="s">
        <v>118</v>
      </c>
      <c r="H3481" s="6" t="s">
        <v>34</v>
      </c>
      <c r="I3481" s="8" t="s">
        <v>253</v>
      </c>
      <c r="J3481" s="9">
        <v>1</v>
      </c>
      <c r="K3481" s="9">
        <v>238</v>
      </c>
      <c r="L3481" s="9">
        <v>2026</v>
      </c>
      <c r="M3481" s="8" t="s">
        <v>20331</v>
      </c>
      <c r="N3481" s="8" t="s">
        <v>37</v>
      </c>
      <c r="O3481" s="8" t="s">
        <v>83</v>
      </c>
      <c r="P3481" s="6" t="s">
        <v>51</v>
      </c>
      <c r="Q3481" s="8" t="s">
        <v>52</v>
      </c>
      <c r="R3481" s="10" t="s">
        <v>20332</v>
      </c>
      <c r="S3481" s="11" t="s">
        <v>20333</v>
      </c>
      <c r="T3481" s="6"/>
      <c r="U3481" s="15" t="str">
        <f>HYPERLINK("https://media.infra-m.ru/2258/2258371/cover/2258371.jpg", "Обложка")</f>
        <v>Обложка</v>
      </c>
      <c r="V3481" s="8" t="s">
        <v>396</v>
      </c>
      <c r="W3481" s="6"/>
      <c r="X3481" s="6"/>
      <c r="Y3481" s="6"/>
      <c r="Z3481" s="6"/>
      <c r="AA3481" s="6" t="s">
        <v>1506</v>
      </c>
      <c r="AB3481" s="8"/>
      <c r="AC3481" s="27">
        <v>9785160222349</v>
      </c>
    </row>
    <row r="3482" spans="1:29" s="4" customFormat="1" ht="51.9" customHeight="1" x14ac:dyDescent="0.2">
      <c r="A3482" s="5">
        <v>0</v>
      </c>
      <c r="B3482" s="6" t="s">
        <v>20334</v>
      </c>
      <c r="C3482" s="7">
        <v>2452.8000000000002</v>
      </c>
      <c r="D3482" s="8" t="s">
        <v>20335</v>
      </c>
      <c r="E3482" s="8" t="s">
        <v>20336</v>
      </c>
      <c r="F3482" s="8" t="s">
        <v>20337</v>
      </c>
      <c r="G3482" s="6" t="s">
        <v>118</v>
      </c>
      <c r="H3482" s="6" t="s">
        <v>34</v>
      </c>
      <c r="I3482" s="8" t="s">
        <v>504</v>
      </c>
      <c r="J3482" s="9">
        <v>1</v>
      </c>
      <c r="K3482" s="9">
        <v>352</v>
      </c>
      <c r="L3482" s="9">
        <v>2026</v>
      </c>
      <c r="M3482" s="8" t="s">
        <v>20338</v>
      </c>
      <c r="N3482" s="8" t="s">
        <v>37</v>
      </c>
      <c r="O3482" s="8" t="s">
        <v>280</v>
      </c>
      <c r="P3482" s="6" t="s">
        <v>306</v>
      </c>
      <c r="Q3482" s="8" t="s">
        <v>500</v>
      </c>
      <c r="R3482" s="10" t="s">
        <v>594</v>
      </c>
      <c r="S3482" s="11" t="s">
        <v>20339</v>
      </c>
      <c r="T3482" s="6" t="s">
        <v>97</v>
      </c>
      <c r="U3482" s="15" t="str">
        <f>HYPERLINK("https://media.infra-m.ru/2260/2260407/cover/2260407.jpg", "Обложка")</f>
        <v>Обложка</v>
      </c>
      <c r="V3482" s="8" t="s">
        <v>10238</v>
      </c>
      <c r="W3482" s="6"/>
      <c r="X3482" s="6"/>
      <c r="Y3482" s="6"/>
      <c r="Z3482" s="6"/>
      <c r="AA3482" s="6" t="s">
        <v>623</v>
      </c>
      <c r="AB3482" s="8"/>
      <c r="AC3482" s="27">
        <v>9785160121093</v>
      </c>
    </row>
    <row r="3483" spans="1:29" s="4" customFormat="1" ht="42" customHeight="1" x14ac:dyDescent="0.2">
      <c r="A3483" s="5">
        <v>0</v>
      </c>
      <c r="B3483" s="6" t="s">
        <v>20340</v>
      </c>
      <c r="C3483" s="7">
        <v>3192</v>
      </c>
      <c r="D3483" s="8" t="s">
        <v>20341</v>
      </c>
      <c r="E3483" s="8" t="s">
        <v>20342</v>
      </c>
      <c r="F3483" s="8" t="s">
        <v>6866</v>
      </c>
      <c r="G3483" s="6" t="s">
        <v>60</v>
      </c>
      <c r="H3483" s="6" t="s">
        <v>34</v>
      </c>
      <c r="I3483" s="8" t="s">
        <v>504</v>
      </c>
      <c r="J3483" s="9">
        <v>1</v>
      </c>
      <c r="K3483" s="9">
        <v>531</v>
      </c>
      <c r="L3483" s="9">
        <v>2025</v>
      </c>
      <c r="M3483" s="8" t="s">
        <v>20343</v>
      </c>
      <c r="N3483" s="8" t="s">
        <v>93</v>
      </c>
      <c r="O3483" s="8" t="s">
        <v>94</v>
      </c>
      <c r="P3483" s="6" t="s">
        <v>306</v>
      </c>
      <c r="Q3483" s="8" t="s">
        <v>500</v>
      </c>
      <c r="R3483" s="10" t="s">
        <v>20344</v>
      </c>
      <c r="S3483" s="11"/>
      <c r="T3483" s="6"/>
      <c r="U3483" s="15" t="str">
        <f>HYPERLINK("https://media.infra-m.ru/1859/1859858/cover/1859858.jpg", "Обложка")</f>
        <v>Обложка</v>
      </c>
      <c r="V3483" s="8" t="s">
        <v>227</v>
      </c>
      <c r="W3483" s="6"/>
      <c r="X3483" s="6"/>
      <c r="Y3483" s="6"/>
      <c r="Z3483" s="6"/>
      <c r="AA3483" s="6" t="s">
        <v>68</v>
      </c>
      <c r="AB3483" s="8"/>
      <c r="AC3483" s="27">
        <v>9785160175218</v>
      </c>
    </row>
    <row r="3484" spans="1:29" s="4" customFormat="1" ht="51.9" customHeight="1" x14ac:dyDescent="0.2">
      <c r="A3484" s="5">
        <v>0</v>
      </c>
      <c r="B3484" s="6" t="s">
        <v>20345</v>
      </c>
      <c r="C3484" s="7">
        <v>1096.8</v>
      </c>
      <c r="D3484" s="8" t="s">
        <v>20346</v>
      </c>
      <c r="E3484" s="8" t="s">
        <v>20347</v>
      </c>
      <c r="F3484" s="8" t="s">
        <v>20348</v>
      </c>
      <c r="G3484" s="6" t="s">
        <v>60</v>
      </c>
      <c r="H3484" s="6" t="s">
        <v>313</v>
      </c>
      <c r="I3484" s="8" t="s">
        <v>253</v>
      </c>
      <c r="J3484" s="9">
        <v>1</v>
      </c>
      <c r="K3484" s="9">
        <v>175</v>
      </c>
      <c r="L3484" s="9">
        <v>2026</v>
      </c>
      <c r="M3484" s="8" t="s">
        <v>20349</v>
      </c>
      <c r="N3484" s="8" t="s">
        <v>37</v>
      </c>
      <c r="O3484" s="8" t="s">
        <v>280</v>
      </c>
      <c r="P3484" s="6" t="s">
        <v>51</v>
      </c>
      <c r="Q3484" s="8" t="s">
        <v>52</v>
      </c>
      <c r="R3484" s="10" t="s">
        <v>20350</v>
      </c>
      <c r="S3484" s="11" t="s">
        <v>20351</v>
      </c>
      <c r="T3484" s="6"/>
      <c r="U3484" s="15" t="str">
        <f>HYPERLINK("https://media.infra-m.ru/2218/2218897/cover/2218897.jpg", "Обложка")</f>
        <v>Обложка</v>
      </c>
      <c r="V3484" s="8" t="s">
        <v>704</v>
      </c>
      <c r="W3484" s="6"/>
      <c r="X3484" s="6"/>
      <c r="Y3484" s="6"/>
      <c r="Z3484" s="6"/>
      <c r="AA3484" s="6" t="s">
        <v>1015</v>
      </c>
      <c r="AB3484" s="8"/>
      <c r="AC3484" s="27">
        <v>9785369006016</v>
      </c>
    </row>
    <row r="3485" spans="1:29" s="4" customFormat="1" ht="51.9" customHeight="1" x14ac:dyDescent="0.2">
      <c r="A3485" s="5">
        <v>0</v>
      </c>
      <c r="B3485" s="6" t="s">
        <v>20352</v>
      </c>
      <c r="C3485" s="7">
        <v>1780.8</v>
      </c>
      <c r="D3485" s="8" t="s">
        <v>20353</v>
      </c>
      <c r="E3485" s="8" t="s">
        <v>20354</v>
      </c>
      <c r="F3485" s="8" t="s">
        <v>8137</v>
      </c>
      <c r="G3485" s="6" t="s">
        <v>118</v>
      </c>
      <c r="H3485" s="6" t="s">
        <v>34</v>
      </c>
      <c r="I3485" s="8" t="s">
        <v>271</v>
      </c>
      <c r="J3485" s="9">
        <v>1</v>
      </c>
      <c r="K3485" s="9">
        <v>284</v>
      </c>
      <c r="L3485" s="9">
        <v>2026</v>
      </c>
      <c r="M3485" s="8" t="s">
        <v>20355</v>
      </c>
      <c r="N3485" s="8" t="s">
        <v>37</v>
      </c>
      <c r="O3485" s="8" t="s">
        <v>280</v>
      </c>
      <c r="P3485" s="6" t="s">
        <v>51</v>
      </c>
      <c r="Q3485" s="8" t="s">
        <v>52</v>
      </c>
      <c r="R3485" s="10" t="s">
        <v>20356</v>
      </c>
      <c r="S3485" s="11" t="s">
        <v>20357</v>
      </c>
      <c r="T3485" s="6"/>
      <c r="U3485" s="15" t="str">
        <f>HYPERLINK("https://media.infra-m.ru/2223/2223190/cover/2223190.jpg", "Обложка")</f>
        <v>Обложка</v>
      </c>
      <c r="V3485" s="8" t="s">
        <v>8139</v>
      </c>
      <c r="W3485" s="6"/>
      <c r="X3485" s="6"/>
      <c r="Y3485" s="6"/>
      <c r="Z3485" s="6"/>
      <c r="AA3485" s="6" t="s">
        <v>2311</v>
      </c>
      <c r="AB3485" s="8"/>
      <c r="AC3485" s="27">
        <v>9785160125176</v>
      </c>
    </row>
    <row r="3486" spans="1:29" s="4" customFormat="1" ht="51.9" customHeight="1" x14ac:dyDescent="0.2">
      <c r="A3486" s="5">
        <v>0</v>
      </c>
      <c r="B3486" s="6" t="s">
        <v>20358</v>
      </c>
      <c r="C3486" s="7">
        <v>1876.8</v>
      </c>
      <c r="D3486" s="8" t="s">
        <v>20359</v>
      </c>
      <c r="E3486" s="8" t="s">
        <v>20354</v>
      </c>
      <c r="F3486" s="8" t="s">
        <v>8137</v>
      </c>
      <c r="G3486" s="6" t="s">
        <v>118</v>
      </c>
      <c r="H3486" s="6" t="s">
        <v>34</v>
      </c>
      <c r="I3486" s="8" t="s">
        <v>263</v>
      </c>
      <c r="J3486" s="9">
        <v>1</v>
      </c>
      <c r="K3486" s="9">
        <v>284</v>
      </c>
      <c r="L3486" s="9">
        <v>2026</v>
      </c>
      <c r="M3486" s="8" t="s">
        <v>20360</v>
      </c>
      <c r="N3486" s="8" t="s">
        <v>37</v>
      </c>
      <c r="O3486" s="8" t="s">
        <v>280</v>
      </c>
      <c r="P3486" s="6" t="s">
        <v>51</v>
      </c>
      <c r="Q3486" s="8" t="s">
        <v>265</v>
      </c>
      <c r="R3486" s="10" t="s">
        <v>20361</v>
      </c>
      <c r="S3486" s="11" t="s">
        <v>14297</v>
      </c>
      <c r="T3486" s="6"/>
      <c r="U3486" s="15" t="str">
        <f>HYPERLINK("https://media.infra-m.ru/2224/2224139/cover/2224139.jpg", "Обложка")</f>
        <v>Обложка</v>
      </c>
      <c r="V3486" s="8" t="s">
        <v>8139</v>
      </c>
      <c r="W3486" s="6"/>
      <c r="X3486" s="6" t="s">
        <v>24</v>
      </c>
      <c r="Y3486" s="6"/>
      <c r="Z3486" s="6" t="s">
        <v>267</v>
      </c>
      <c r="AA3486" s="6" t="s">
        <v>1117</v>
      </c>
      <c r="AB3486" s="8"/>
      <c r="AC3486" s="27">
        <v>9785160148694</v>
      </c>
    </row>
    <row r="3487" spans="1:29" s="4" customFormat="1" ht="51.9" customHeight="1" x14ac:dyDescent="0.2">
      <c r="A3487" s="5">
        <v>0</v>
      </c>
      <c r="B3487" s="6" t="s">
        <v>20362</v>
      </c>
      <c r="C3487" s="7">
        <v>2416.8000000000002</v>
      </c>
      <c r="D3487" s="8" t="s">
        <v>20363</v>
      </c>
      <c r="E3487" s="8" t="s">
        <v>20354</v>
      </c>
      <c r="F3487" s="8" t="s">
        <v>20364</v>
      </c>
      <c r="G3487" s="6" t="s">
        <v>33</v>
      </c>
      <c r="H3487" s="6" t="s">
        <v>34</v>
      </c>
      <c r="I3487" s="8" t="s">
        <v>263</v>
      </c>
      <c r="J3487" s="9">
        <v>1</v>
      </c>
      <c r="K3487" s="9">
        <v>366</v>
      </c>
      <c r="L3487" s="9">
        <v>2026</v>
      </c>
      <c r="M3487" s="8" t="s">
        <v>20365</v>
      </c>
      <c r="N3487" s="8" t="s">
        <v>37</v>
      </c>
      <c r="O3487" s="8" t="s">
        <v>280</v>
      </c>
      <c r="P3487" s="6" t="s">
        <v>51</v>
      </c>
      <c r="Q3487" s="8" t="s">
        <v>265</v>
      </c>
      <c r="R3487" s="10" t="s">
        <v>20366</v>
      </c>
      <c r="S3487" s="11" t="s">
        <v>4567</v>
      </c>
      <c r="T3487" s="6"/>
      <c r="U3487" s="15" t="str">
        <f>HYPERLINK("https://media.infra-m.ru/2224/2224114/cover/2224114.jpg", "Обложка")</f>
        <v>Обложка</v>
      </c>
      <c r="V3487" s="8" t="s">
        <v>396</v>
      </c>
      <c r="W3487" s="6"/>
      <c r="X3487" s="6"/>
      <c r="Y3487" s="6"/>
      <c r="Z3487" s="6"/>
      <c r="AA3487" s="6" t="s">
        <v>3800</v>
      </c>
      <c r="AB3487" s="8"/>
      <c r="AC3487" s="27">
        <v>9785160161143</v>
      </c>
    </row>
    <row r="3488" spans="1:29" s="4" customFormat="1" ht="51.9" customHeight="1" x14ac:dyDescent="0.2">
      <c r="A3488" s="5">
        <v>0</v>
      </c>
      <c r="B3488" s="6" t="s">
        <v>20367</v>
      </c>
      <c r="C3488" s="7">
        <v>1144.8</v>
      </c>
      <c r="D3488" s="8" t="s">
        <v>20368</v>
      </c>
      <c r="E3488" s="8" t="s">
        <v>20369</v>
      </c>
      <c r="F3488" s="8" t="s">
        <v>20370</v>
      </c>
      <c r="G3488" s="6" t="s">
        <v>60</v>
      </c>
      <c r="H3488" s="6" t="s">
        <v>313</v>
      </c>
      <c r="I3488" s="8" t="s">
        <v>253</v>
      </c>
      <c r="J3488" s="9">
        <v>1</v>
      </c>
      <c r="K3488" s="9">
        <v>207</v>
      </c>
      <c r="L3488" s="9">
        <v>2024</v>
      </c>
      <c r="M3488" s="8" t="s">
        <v>20371</v>
      </c>
      <c r="N3488" s="8" t="s">
        <v>37</v>
      </c>
      <c r="O3488" s="8" t="s">
        <v>280</v>
      </c>
      <c r="P3488" s="6" t="s">
        <v>51</v>
      </c>
      <c r="Q3488" s="8" t="s">
        <v>500</v>
      </c>
      <c r="R3488" s="10" t="s">
        <v>3013</v>
      </c>
      <c r="S3488" s="11" t="s">
        <v>20372</v>
      </c>
      <c r="T3488" s="6"/>
      <c r="U3488" s="15" t="str">
        <f>HYPERLINK("https://media.infra-m.ru/2103/2103141/cover/2103141.jpg", "Обложка")</f>
        <v>Обложка</v>
      </c>
      <c r="V3488" s="8" t="s">
        <v>3196</v>
      </c>
      <c r="W3488" s="6"/>
      <c r="X3488" s="6"/>
      <c r="Y3488" s="6"/>
      <c r="Z3488" s="6"/>
      <c r="AA3488" s="6" t="s">
        <v>859</v>
      </c>
      <c r="AB3488" s="8"/>
      <c r="AC3488" s="27">
        <v>9785369012628</v>
      </c>
    </row>
    <row r="3489" spans="1:29" s="4" customFormat="1" ht="51.9" customHeight="1" x14ac:dyDescent="0.2">
      <c r="A3489" s="5">
        <v>0</v>
      </c>
      <c r="B3489" s="6" t="s">
        <v>20373</v>
      </c>
      <c r="C3489" s="7">
        <v>1672.8</v>
      </c>
      <c r="D3489" s="8" t="s">
        <v>20374</v>
      </c>
      <c r="E3489" s="8" t="s">
        <v>20375</v>
      </c>
      <c r="F3489" s="8" t="s">
        <v>20376</v>
      </c>
      <c r="G3489" s="6" t="s">
        <v>60</v>
      </c>
      <c r="H3489" s="6" t="s">
        <v>313</v>
      </c>
      <c r="I3489" s="8" t="s">
        <v>10656</v>
      </c>
      <c r="J3489" s="9">
        <v>1</v>
      </c>
      <c r="K3489" s="9">
        <v>304</v>
      </c>
      <c r="L3489" s="9">
        <v>2024</v>
      </c>
      <c r="M3489" s="8" t="s">
        <v>20377</v>
      </c>
      <c r="N3489" s="8" t="s">
        <v>37</v>
      </c>
      <c r="O3489" s="8" t="s">
        <v>280</v>
      </c>
      <c r="P3489" s="6" t="s">
        <v>51</v>
      </c>
      <c r="Q3489" s="8" t="s">
        <v>52</v>
      </c>
      <c r="R3489" s="10" t="s">
        <v>20378</v>
      </c>
      <c r="S3489" s="11" t="s">
        <v>20379</v>
      </c>
      <c r="T3489" s="6"/>
      <c r="U3489" s="15" t="str">
        <f>HYPERLINK("https://media.infra-m.ru/1981/1981672/cover/1981672.jpg", "Обложка")</f>
        <v>Обложка</v>
      </c>
      <c r="V3489" s="8" t="s">
        <v>3196</v>
      </c>
      <c r="W3489" s="6"/>
      <c r="X3489" s="6"/>
      <c r="Y3489" s="6"/>
      <c r="Z3489" s="6"/>
      <c r="AA3489" s="6" t="s">
        <v>718</v>
      </c>
      <c r="AB3489" s="8"/>
      <c r="AC3489" s="27">
        <v>9785369012079</v>
      </c>
    </row>
    <row r="3490" spans="1:29" s="4" customFormat="1" ht="51.9" customHeight="1" x14ac:dyDescent="0.2">
      <c r="A3490" s="5">
        <v>0</v>
      </c>
      <c r="B3490" s="6" t="s">
        <v>20380</v>
      </c>
      <c r="C3490" s="7">
        <v>1272</v>
      </c>
      <c r="D3490" s="8" t="s">
        <v>20381</v>
      </c>
      <c r="E3490" s="8" t="s">
        <v>20382</v>
      </c>
      <c r="F3490" s="8" t="s">
        <v>20383</v>
      </c>
      <c r="G3490" s="6" t="s">
        <v>118</v>
      </c>
      <c r="H3490" s="6" t="s">
        <v>34</v>
      </c>
      <c r="I3490" s="8" t="s">
        <v>253</v>
      </c>
      <c r="J3490" s="9">
        <v>1</v>
      </c>
      <c r="K3490" s="9">
        <v>192</v>
      </c>
      <c r="L3490" s="9">
        <v>2026</v>
      </c>
      <c r="M3490" s="8" t="s">
        <v>20384</v>
      </c>
      <c r="N3490" s="8" t="s">
        <v>37</v>
      </c>
      <c r="O3490" s="8" t="s">
        <v>280</v>
      </c>
      <c r="P3490" s="6" t="s">
        <v>51</v>
      </c>
      <c r="Q3490" s="8" t="s">
        <v>52</v>
      </c>
      <c r="R3490" s="10" t="s">
        <v>20385</v>
      </c>
      <c r="S3490" s="11" t="s">
        <v>20386</v>
      </c>
      <c r="T3490" s="6"/>
      <c r="U3490" s="15" t="str">
        <f>HYPERLINK("https://media.infra-m.ru/2231/2231454/cover/2231454.jpg", "Обложка")</f>
        <v>Обложка</v>
      </c>
      <c r="V3490" s="8" t="s">
        <v>396</v>
      </c>
      <c r="W3490" s="6"/>
      <c r="X3490" s="6"/>
      <c r="Y3490" s="6"/>
      <c r="Z3490" s="6"/>
      <c r="AA3490" s="6" t="s">
        <v>1506</v>
      </c>
      <c r="AB3490" s="8"/>
      <c r="AC3490" s="27">
        <v>9785160216683</v>
      </c>
    </row>
    <row r="3491" spans="1:29" s="4" customFormat="1" ht="51.9" customHeight="1" x14ac:dyDescent="0.2">
      <c r="A3491" s="5">
        <v>0</v>
      </c>
      <c r="B3491" s="6" t="s">
        <v>20387</v>
      </c>
      <c r="C3491" s="13">
        <v>856.8</v>
      </c>
      <c r="D3491" s="8" t="s">
        <v>20388</v>
      </c>
      <c r="E3491" s="8" t="s">
        <v>20389</v>
      </c>
      <c r="F3491" s="8" t="s">
        <v>20390</v>
      </c>
      <c r="G3491" s="6" t="s">
        <v>60</v>
      </c>
      <c r="H3491" s="6" t="s">
        <v>34</v>
      </c>
      <c r="I3491" s="8" t="s">
        <v>271</v>
      </c>
      <c r="J3491" s="9">
        <v>1</v>
      </c>
      <c r="K3491" s="9">
        <v>152</v>
      </c>
      <c r="L3491" s="9">
        <v>2024</v>
      </c>
      <c r="M3491" s="8" t="s">
        <v>20391</v>
      </c>
      <c r="N3491" s="8" t="s">
        <v>37</v>
      </c>
      <c r="O3491" s="8" t="s">
        <v>280</v>
      </c>
      <c r="P3491" s="6" t="s">
        <v>306</v>
      </c>
      <c r="Q3491" s="8" t="s">
        <v>52</v>
      </c>
      <c r="R3491" s="10" t="s">
        <v>20392</v>
      </c>
      <c r="S3491" s="11" t="s">
        <v>20393</v>
      </c>
      <c r="T3491" s="6"/>
      <c r="U3491" s="15" t="str">
        <f>HYPERLINK("https://media.infra-m.ru/1859/1859822/cover/1859822.jpg", "Обложка")</f>
        <v>Обложка</v>
      </c>
      <c r="V3491" s="8" t="s">
        <v>17344</v>
      </c>
      <c r="W3491" s="6"/>
      <c r="X3491" s="6"/>
      <c r="Y3491" s="6"/>
      <c r="Z3491" s="6"/>
      <c r="AA3491" s="6" t="s">
        <v>55</v>
      </c>
      <c r="AB3491" s="8"/>
      <c r="AC3491" s="27">
        <v>9785160062945</v>
      </c>
    </row>
    <row r="3492" spans="1:29" s="4" customFormat="1" ht="51.9" customHeight="1" x14ac:dyDescent="0.2">
      <c r="A3492" s="5">
        <v>0</v>
      </c>
      <c r="B3492" s="6" t="s">
        <v>20394</v>
      </c>
      <c r="C3492" s="7">
        <v>1368</v>
      </c>
      <c r="D3492" s="8" t="s">
        <v>20395</v>
      </c>
      <c r="E3492" s="8" t="s">
        <v>20396</v>
      </c>
      <c r="F3492" s="8" t="s">
        <v>20397</v>
      </c>
      <c r="G3492" s="6" t="s">
        <v>60</v>
      </c>
      <c r="H3492" s="6" t="s">
        <v>34</v>
      </c>
      <c r="I3492" s="8" t="s">
        <v>19704</v>
      </c>
      <c r="J3492" s="9">
        <v>1</v>
      </c>
      <c r="K3492" s="9">
        <v>195</v>
      </c>
      <c r="L3492" s="9">
        <v>2026</v>
      </c>
      <c r="M3492" s="8" t="s">
        <v>20398</v>
      </c>
      <c r="N3492" s="8" t="s">
        <v>37</v>
      </c>
      <c r="O3492" s="8" t="s">
        <v>280</v>
      </c>
      <c r="P3492" s="6" t="s">
        <v>51</v>
      </c>
      <c r="Q3492" s="8" t="s">
        <v>52</v>
      </c>
      <c r="R3492" s="10" t="s">
        <v>20399</v>
      </c>
      <c r="S3492" s="11" t="s">
        <v>20400</v>
      </c>
      <c r="T3492" s="6"/>
      <c r="U3492" s="15" t="str">
        <f>HYPERLINK("https://media.infra-m.ru/2242/2242110/cover/2242110.jpg", "Обложка")</f>
        <v>Обложка</v>
      </c>
      <c r="V3492" s="8" t="s">
        <v>11210</v>
      </c>
      <c r="W3492" s="6" t="s">
        <v>351</v>
      </c>
      <c r="X3492" s="6"/>
      <c r="Y3492" s="6"/>
      <c r="Z3492" s="6"/>
      <c r="AA3492" s="6" t="s">
        <v>187</v>
      </c>
      <c r="AB3492" s="8"/>
      <c r="AC3492" s="27">
        <v>9785160218984</v>
      </c>
    </row>
    <row r="3493" spans="1:29" s="4" customFormat="1" ht="51.9" customHeight="1" x14ac:dyDescent="0.2">
      <c r="A3493" s="5">
        <v>0</v>
      </c>
      <c r="B3493" s="6" t="s">
        <v>20401</v>
      </c>
      <c r="C3493" s="7">
        <v>1552.8</v>
      </c>
      <c r="D3493" s="8" t="s">
        <v>20402</v>
      </c>
      <c r="E3493" s="8" t="s">
        <v>20403</v>
      </c>
      <c r="F3493" s="8" t="s">
        <v>18621</v>
      </c>
      <c r="G3493" s="6" t="s">
        <v>118</v>
      </c>
      <c r="H3493" s="6" t="s">
        <v>241</v>
      </c>
      <c r="I3493" s="8" t="s">
        <v>271</v>
      </c>
      <c r="J3493" s="9">
        <v>1</v>
      </c>
      <c r="K3493" s="9">
        <v>236</v>
      </c>
      <c r="L3493" s="9">
        <v>2026</v>
      </c>
      <c r="M3493" s="8" t="s">
        <v>20404</v>
      </c>
      <c r="N3493" s="8" t="s">
        <v>37</v>
      </c>
      <c r="O3493" s="8" t="s">
        <v>280</v>
      </c>
      <c r="P3493" s="6" t="s">
        <v>306</v>
      </c>
      <c r="Q3493" s="8" t="s">
        <v>52</v>
      </c>
      <c r="R3493" s="10" t="s">
        <v>3115</v>
      </c>
      <c r="S3493" s="11" t="s">
        <v>20405</v>
      </c>
      <c r="T3493" s="6"/>
      <c r="U3493" s="15" t="str">
        <f>HYPERLINK("https://media.infra-m.ru/2233/2233535/cover/2233535.jpg", "Обложка")</f>
        <v>Обложка</v>
      </c>
      <c r="V3493" s="8" t="s">
        <v>6583</v>
      </c>
      <c r="W3493" s="6"/>
      <c r="X3493" s="6"/>
      <c r="Y3493" s="6"/>
      <c r="Z3493" s="6"/>
      <c r="AA3493" s="6" t="s">
        <v>779</v>
      </c>
      <c r="AB3493" s="8"/>
      <c r="AC3493" s="27">
        <v>9785955804804</v>
      </c>
    </row>
    <row r="3494" spans="1:29" s="4" customFormat="1" ht="42" customHeight="1" x14ac:dyDescent="0.2">
      <c r="A3494" s="5">
        <v>0</v>
      </c>
      <c r="B3494" s="6" t="s">
        <v>20406</v>
      </c>
      <c r="C3494" s="13">
        <v>996</v>
      </c>
      <c r="D3494" s="8" t="s">
        <v>20407</v>
      </c>
      <c r="E3494" s="8" t="s">
        <v>20403</v>
      </c>
      <c r="F3494" s="8" t="s">
        <v>20408</v>
      </c>
      <c r="G3494" s="6" t="s">
        <v>60</v>
      </c>
      <c r="H3494" s="6" t="s">
        <v>34</v>
      </c>
      <c r="I3494" s="8" t="s">
        <v>1248</v>
      </c>
      <c r="J3494" s="9">
        <v>1</v>
      </c>
      <c r="K3494" s="9">
        <v>146</v>
      </c>
      <c r="L3494" s="9">
        <v>2026</v>
      </c>
      <c r="M3494" s="8" t="s">
        <v>20409</v>
      </c>
      <c r="N3494" s="8" t="s">
        <v>37</v>
      </c>
      <c r="O3494" s="8" t="s">
        <v>280</v>
      </c>
      <c r="P3494" s="6" t="s">
        <v>51</v>
      </c>
      <c r="Q3494" s="8" t="s">
        <v>52</v>
      </c>
      <c r="R3494" s="10" t="s">
        <v>2711</v>
      </c>
      <c r="S3494" s="11"/>
      <c r="T3494" s="6"/>
      <c r="U3494" s="15" t="str">
        <f>HYPERLINK("https://media.infra-m.ru/2223/2223380/cover/2223380.jpg", "Обложка")</f>
        <v>Обложка</v>
      </c>
      <c r="V3494" s="8" t="s">
        <v>1083</v>
      </c>
      <c r="W3494" s="6" t="s">
        <v>186</v>
      </c>
      <c r="X3494" s="6"/>
      <c r="Y3494" s="6"/>
      <c r="Z3494" s="6"/>
      <c r="AA3494" s="6" t="s">
        <v>187</v>
      </c>
      <c r="AB3494" s="8"/>
      <c r="AC3494" s="27">
        <v>9785160213811</v>
      </c>
    </row>
    <row r="3495" spans="1:29" s="4" customFormat="1" ht="42" customHeight="1" x14ac:dyDescent="0.2">
      <c r="A3495" s="5">
        <v>0</v>
      </c>
      <c r="B3495" s="6" t="s">
        <v>20410</v>
      </c>
      <c r="C3495" s="7">
        <v>2028</v>
      </c>
      <c r="D3495" s="8" t="s">
        <v>20411</v>
      </c>
      <c r="E3495" s="8" t="s">
        <v>20403</v>
      </c>
      <c r="F3495" s="8" t="s">
        <v>20412</v>
      </c>
      <c r="G3495" s="6" t="s">
        <v>60</v>
      </c>
      <c r="H3495" s="6" t="s">
        <v>34</v>
      </c>
      <c r="I3495" s="8" t="s">
        <v>253</v>
      </c>
      <c r="J3495" s="9">
        <v>1</v>
      </c>
      <c r="K3495" s="9">
        <v>329</v>
      </c>
      <c r="L3495" s="9">
        <v>2025</v>
      </c>
      <c r="M3495" s="8" t="s">
        <v>20413</v>
      </c>
      <c r="N3495" s="8" t="s">
        <v>37</v>
      </c>
      <c r="O3495" s="8" t="s">
        <v>280</v>
      </c>
      <c r="P3495" s="6" t="s">
        <v>51</v>
      </c>
      <c r="Q3495" s="8" t="s">
        <v>52</v>
      </c>
      <c r="R3495" s="10" t="s">
        <v>20414</v>
      </c>
      <c r="S3495" s="11"/>
      <c r="T3495" s="6"/>
      <c r="U3495" s="15" t="str">
        <f>HYPERLINK("https://media.infra-m.ru/1896/1896454/cover/1896454.jpg", "Обложка")</f>
        <v>Обложка</v>
      </c>
      <c r="V3495" s="8" t="s">
        <v>14571</v>
      </c>
      <c r="W3495" s="6"/>
      <c r="X3495" s="6"/>
      <c r="Y3495" s="6"/>
      <c r="Z3495" s="6"/>
      <c r="AA3495" s="6" t="s">
        <v>68</v>
      </c>
      <c r="AB3495" s="8"/>
      <c r="AC3495" s="27">
        <v>9785160179070</v>
      </c>
    </row>
    <row r="3496" spans="1:29" s="4" customFormat="1" ht="51.9" customHeight="1" x14ac:dyDescent="0.2">
      <c r="A3496" s="5">
        <v>0</v>
      </c>
      <c r="B3496" s="6" t="s">
        <v>20415</v>
      </c>
      <c r="C3496" s="7">
        <v>3376.8</v>
      </c>
      <c r="D3496" s="8" t="s">
        <v>20416</v>
      </c>
      <c r="E3496" s="8" t="s">
        <v>20417</v>
      </c>
      <c r="F3496" s="8" t="s">
        <v>20418</v>
      </c>
      <c r="G3496" s="6" t="s">
        <v>60</v>
      </c>
      <c r="H3496" s="6" t="s">
        <v>1042</v>
      </c>
      <c r="I3496" s="8" t="s">
        <v>263</v>
      </c>
      <c r="J3496" s="9">
        <v>1</v>
      </c>
      <c r="K3496" s="9">
        <v>512</v>
      </c>
      <c r="L3496" s="9">
        <v>2026</v>
      </c>
      <c r="M3496" s="8" t="s">
        <v>20419</v>
      </c>
      <c r="N3496" s="8" t="s">
        <v>37</v>
      </c>
      <c r="O3496" s="8" t="s">
        <v>280</v>
      </c>
      <c r="P3496" s="6" t="s">
        <v>51</v>
      </c>
      <c r="Q3496" s="8" t="s">
        <v>265</v>
      </c>
      <c r="R3496" s="10" t="s">
        <v>20420</v>
      </c>
      <c r="S3496" s="11" t="s">
        <v>2814</v>
      </c>
      <c r="T3496" s="6"/>
      <c r="U3496" s="15" t="str">
        <f>HYPERLINK("https://media.infra-m.ru/2237/2237134/cover/2237134.jpg", "Обложка")</f>
        <v>Обложка</v>
      </c>
      <c r="V3496" s="8" t="s">
        <v>1505</v>
      </c>
      <c r="W3496" s="6"/>
      <c r="X3496" s="6"/>
      <c r="Y3496" s="6"/>
      <c r="Z3496" s="6" t="s">
        <v>267</v>
      </c>
      <c r="AA3496" s="6" t="s">
        <v>86</v>
      </c>
      <c r="AB3496" s="8"/>
      <c r="AC3496" s="27">
        <v>9785819907955</v>
      </c>
    </row>
    <row r="3497" spans="1:29" s="4" customFormat="1" ht="42" customHeight="1" x14ac:dyDescent="0.2">
      <c r="A3497" s="5">
        <v>0</v>
      </c>
      <c r="B3497" s="6" t="s">
        <v>20421</v>
      </c>
      <c r="C3497" s="7">
        <v>1824</v>
      </c>
      <c r="D3497" s="8" t="s">
        <v>20422</v>
      </c>
      <c r="E3497" s="8" t="s">
        <v>20423</v>
      </c>
      <c r="F3497" s="8" t="s">
        <v>20424</v>
      </c>
      <c r="G3497" s="6" t="s">
        <v>60</v>
      </c>
      <c r="H3497" s="6" t="s">
        <v>34</v>
      </c>
      <c r="I3497" s="8" t="s">
        <v>253</v>
      </c>
      <c r="J3497" s="9">
        <v>1</v>
      </c>
      <c r="K3497" s="9">
        <v>301</v>
      </c>
      <c r="L3497" s="9">
        <v>2025</v>
      </c>
      <c r="M3497" s="8" t="s">
        <v>20425</v>
      </c>
      <c r="N3497" s="8" t="s">
        <v>37</v>
      </c>
      <c r="O3497" s="8" t="s">
        <v>280</v>
      </c>
      <c r="P3497" s="6" t="s">
        <v>306</v>
      </c>
      <c r="Q3497" s="8" t="s">
        <v>52</v>
      </c>
      <c r="R3497" s="10" t="s">
        <v>2134</v>
      </c>
      <c r="S3497" s="11"/>
      <c r="T3497" s="6"/>
      <c r="U3497" s="15" t="str">
        <f>HYPERLINK("https://media.infra-m.ru/1020/1020046/cover/1020046.jpg", "Обложка")</f>
        <v>Обложка</v>
      </c>
      <c r="V3497" s="8" t="s">
        <v>20426</v>
      </c>
      <c r="W3497" s="6"/>
      <c r="X3497" s="6"/>
      <c r="Y3497" s="6"/>
      <c r="Z3497" s="6"/>
      <c r="AA3497" s="6" t="s">
        <v>68</v>
      </c>
      <c r="AB3497" s="8"/>
      <c r="AC3497" s="27">
        <v>9785160152110</v>
      </c>
    </row>
    <row r="3498" spans="1:29" s="4" customFormat="1" ht="51.9" customHeight="1" x14ac:dyDescent="0.2">
      <c r="A3498" s="5">
        <v>0</v>
      </c>
      <c r="B3498" s="6" t="s">
        <v>20427</v>
      </c>
      <c r="C3498" s="7">
        <v>1344</v>
      </c>
      <c r="D3498" s="8" t="s">
        <v>20428</v>
      </c>
      <c r="E3498" s="8" t="s">
        <v>20429</v>
      </c>
      <c r="F3498" s="8" t="s">
        <v>9040</v>
      </c>
      <c r="G3498" s="6" t="s">
        <v>118</v>
      </c>
      <c r="H3498" s="6" t="s">
        <v>34</v>
      </c>
      <c r="I3498" s="8" t="s">
        <v>263</v>
      </c>
      <c r="J3498" s="9">
        <v>1</v>
      </c>
      <c r="K3498" s="9">
        <v>209</v>
      </c>
      <c r="L3498" s="9">
        <v>2026</v>
      </c>
      <c r="M3498" s="8" t="s">
        <v>20430</v>
      </c>
      <c r="N3498" s="8" t="s">
        <v>243</v>
      </c>
      <c r="O3498" s="8" t="s">
        <v>244</v>
      </c>
      <c r="P3498" s="6" t="s">
        <v>51</v>
      </c>
      <c r="Q3498" s="8" t="s">
        <v>265</v>
      </c>
      <c r="R3498" s="10" t="s">
        <v>20431</v>
      </c>
      <c r="S3498" s="11" t="s">
        <v>20432</v>
      </c>
      <c r="T3498" s="6"/>
      <c r="U3498" s="15" t="str">
        <f>HYPERLINK("https://media.infra-m.ru/2216/2216350/cover/2216350.jpg", "Обложка")</f>
        <v>Обложка</v>
      </c>
      <c r="V3498" s="8" t="s">
        <v>227</v>
      </c>
      <c r="W3498" s="6"/>
      <c r="X3498" s="6" t="s">
        <v>24</v>
      </c>
      <c r="Y3498" s="6"/>
      <c r="Z3498" s="6"/>
      <c r="AA3498" s="6" t="s">
        <v>148</v>
      </c>
      <c r="AB3498" s="8"/>
      <c r="AC3498" s="27">
        <v>9785160173115</v>
      </c>
    </row>
    <row r="3499" spans="1:29" s="4" customFormat="1" ht="51.9" customHeight="1" x14ac:dyDescent="0.2">
      <c r="A3499" s="5">
        <v>0</v>
      </c>
      <c r="B3499" s="6" t="s">
        <v>20433</v>
      </c>
      <c r="C3499" s="7">
        <v>1600.8</v>
      </c>
      <c r="D3499" s="8" t="s">
        <v>20434</v>
      </c>
      <c r="E3499" s="8" t="s">
        <v>20435</v>
      </c>
      <c r="F3499" s="8" t="s">
        <v>20436</v>
      </c>
      <c r="G3499" s="6" t="s">
        <v>33</v>
      </c>
      <c r="H3499" s="6" t="s">
        <v>34</v>
      </c>
      <c r="I3499" s="8" t="s">
        <v>271</v>
      </c>
      <c r="J3499" s="9">
        <v>1</v>
      </c>
      <c r="K3499" s="9">
        <v>256</v>
      </c>
      <c r="L3499" s="9">
        <v>2024</v>
      </c>
      <c r="M3499" s="8" t="s">
        <v>20437</v>
      </c>
      <c r="N3499" s="8" t="s">
        <v>37</v>
      </c>
      <c r="O3499" s="8" t="s">
        <v>280</v>
      </c>
      <c r="P3499" s="6" t="s">
        <v>51</v>
      </c>
      <c r="Q3499" s="8" t="s">
        <v>52</v>
      </c>
      <c r="R3499" s="10" t="s">
        <v>20438</v>
      </c>
      <c r="S3499" s="11" t="s">
        <v>20439</v>
      </c>
      <c r="T3499" s="6"/>
      <c r="U3499" s="15" t="str">
        <f>HYPERLINK("https://media.infra-m.ru/2126/2126321/cover/2126321.jpg", "Обложка")</f>
        <v>Обложка</v>
      </c>
      <c r="V3499" s="8" t="s">
        <v>20440</v>
      </c>
      <c r="W3499" s="6"/>
      <c r="X3499" s="6"/>
      <c r="Y3499" s="6"/>
      <c r="Z3499" s="6"/>
      <c r="AA3499" s="6" t="s">
        <v>43</v>
      </c>
      <c r="AB3499" s="8"/>
      <c r="AC3499" s="27">
        <v>9785160050140</v>
      </c>
    </row>
    <row r="3500" spans="1:29" s="4" customFormat="1" ht="42" customHeight="1" x14ac:dyDescent="0.2">
      <c r="A3500" s="5">
        <v>0</v>
      </c>
      <c r="B3500" s="6" t="s">
        <v>20441</v>
      </c>
      <c r="C3500" s="7">
        <v>1612.8</v>
      </c>
      <c r="D3500" s="8" t="s">
        <v>20442</v>
      </c>
      <c r="E3500" s="8" t="s">
        <v>20443</v>
      </c>
      <c r="F3500" s="8" t="s">
        <v>14545</v>
      </c>
      <c r="G3500" s="6" t="s">
        <v>118</v>
      </c>
      <c r="H3500" s="6" t="s">
        <v>34</v>
      </c>
      <c r="I3500" s="8" t="s">
        <v>35</v>
      </c>
      <c r="J3500" s="9">
        <v>1</v>
      </c>
      <c r="K3500" s="9">
        <v>245</v>
      </c>
      <c r="L3500" s="9">
        <v>2026</v>
      </c>
      <c r="M3500" s="8" t="s">
        <v>20444</v>
      </c>
      <c r="N3500" s="8" t="s">
        <v>37</v>
      </c>
      <c r="O3500" s="8" t="s">
        <v>280</v>
      </c>
      <c r="P3500" s="6" t="s">
        <v>39</v>
      </c>
      <c r="Q3500" s="8" t="s">
        <v>40</v>
      </c>
      <c r="R3500" s="10" t="s">
        <v>20445</v>
      </c>
      <c r="S3500" s="11"/>
      <c r="T3500" s="6"/>
      <c r="U3500" s="15" t="str">
        <f>HYPERLINK("https://media.infra-m.ru/2233/2233022/cover/2233022.jpg", "Обложка")</f>
        <v>Обложка</v>
      </c>
      <c r="V3500" s="8" t="s">
        <v>2446</v>
      </c>
      <c r="W3500" s="6"/>
      <c r="X3500" s="6"/>
      <c r="Y3500" s="6"/>
      <c r="Z3500" s="6"/>
      <c r="AA3500" s="6" t="s">
        <v>779</v>
      </c>
      <c r="AB3500" s="8"/>
      <c r="AC3500" s="27">
        <v>9785160108902</v>
      </c>
    </row>
    <row r="3501" spans="1:29" s="4" customFormat="1" ht="51.9" customHeight="1" x14ac:dyDescent="0.2">
      <c r="A3501" s="5">
        <v>0</v>
      </c>
      <c r="B3501" s="6" t="s">
        <v>20446</v>
      </c>
      <c r="C3501" s="7">
        <v>2116.8000000000002</v>
      </c>
      <c r="D3501" s="8" t="s">
        <v>20447</v>
      </c>
      <c r="E3501" s="8" t="s">
        <v>20448</v>
      </c>
      <c r="F3501" s="8" t="s">
        <v>20449</v>
      </c>
      <c r="G3501" s="6" t="s">
        <v>60</v>
      </c>
      <c r="H3501" s="6" t="s">
        <v>5605</v>
      </c>
      <c r="I3501" s="8" t="s">
        <v>253</v>
      </c>
      <c r="J3501" s="9">
        <v>1</v>
      </c>
      <c r="K3501" s="9">
        <v>304</v>
      </c>
      <c r="L3501" s="9">
        <v>2027</v>
      </c>
      <c r="M3501" s="8" t="s">
        <v>20450</v>
      </c>
      <c r="N3501" s="8" t="s">
        <v>37</v>
      </c>
      <c r="O3501" s="8" t="s">
        <v>499</v>
      </c>
      <c r="P3501" s="6" t="s">
        <v>51</v>
      </c>
      <c r="Q3501" s="8" t="s">
        <v>52</v>
      </c>
      <c r="R3501" s="10" t="s">
        <v>20451</v>
      </c>
      <c r="S3501" s="11" t="s">
        <v>20452</v>
      </c>
      <c r="T3501" s="6"/>
      <c r="U3501" s="15" t="str">
        <f>HYPERLINK("https://media.infra-m.ru/2266/2266743/cover/2266743.jpg", "Обложка")</f>
        <v>Обложка</v>
      </c>
      <c r="V3501" s="8" t="s">
        <v>20453</v>
      </c>
      <c r="W3501" s="6"/>
      <c r="X3501" s="6"/>
      <c r="Y3501" s="6"/>
      <c r="Z3501" s="6"/>
      <c r="AA3501" s="6" t="s">
        <v>561</v>
      </c>
      <c r="AB3501" s="8"/>
      <c r="AC3501" s="27">
        <v>9785160034072</v>
      </c>
    </row>
    <row r="3502" spans="1:29" s="4" customFormat="1" ht="51.9" customHeight="1" x14ac:dyDescent="0.2">
      <c r="A3502" s="5">
        <v>0</v>
      </c>
      <c r="B3502" s="6" t="s">
        <v>20454</v>
      </c>
      <c r="C3502" s="7">
        <v>1072.8</v>
      </c>
      <c r="D3502" s="8" t="s">
        <v>20455</v>
      </c>
      <c r="E3502" s="8" t="s">
        <v>20456</v>
      </c>
      <c r="F3502" s="8" t="s">
        <v>20457</v>
      </c>
      <c r="G3502" s="6" t="s">
        <v>60</v>
      </c>
      <c r="H3502" s="6" t="s">
        <v>34</v>
      </c>
      <c r="I3502" s="8" t="s">
        <v>271</v>
      </c>
      <c r="J3502" s="9">
        <v>1</v>
      </c>
      <c r="K3502" s="9">
        <v>196</v>
      </c>
      <c r="L3502" s="9">
        <v>2023</v>
      </c>
      <c r="M3502" s="8" t="s">
        <v>20458</v>
      </c>
      <c r="N3502" s="8" t="s">
        <v>37</v>
      </c>
      <c r="O3502" s="8" t="s">
        <v>280</v>
      </c>
      <c r="P3502" s="6" t="s">
        <v>51</v>
      </c>
      <c r="Q3502" s="8" t="s">
        <v>52</v>
      </c>
      <c r="R3502" s="10" t="s">
        <v>20459</v>
      </c>
      <c r="S3502" s="11" t="s">
        <v>20460</v>
      </c>
      <c r="T3502" s="6"/>
      <c r="U3502" s="15" t="str">
        <f>HYPERLINK("https://media.infra-m.ru/2023/2023207/cover/2023207.jpg", "Обложка")</f>
        <v>Обложка</v>
      </c>
      <c r="V3502" s="8" t="s">
        <v>1030</v>
      </c>
      <c r="W3502" s="6"/>
      <c r="X3502" s="6"/>
      <c r="Y3502" s="6"/>
      <c r="Z3502" s="6"/>
      <c r="AA3502" s="6" t="s">
        <v>1256</v>
      </c>
      <c r="AB3502" s="8"/>
      <c r="AC3502" s="27">
        <v>9785160144887</v>
      </c>
    </row>
    <row r="3503" spans="1:29" s="4" customFormat="1" ht="51.9" customHeight="1" x14ac:dyDescent="0.2">
      <c r="A3503" s="5">
        <v>0</v>
      </c>
      <c r="B3503" s="6" t="s">
        <v>20461</v>
      </c>
      <c r="C3503" s="7">
        <v>2220</v>
      </c>
      <c r="D3503" s="8" t="s">
        <v>20462</v>
      </c>
      <c r="E3503" s="8" t="s">
        <v>20463</v>
      </c>
      <c r="F3503" s="8" t="s">
        <v>661</v>
      </c>
      <c r="G3503" s="6" t="s">
        <v>33</v>
      </c>
      <c r="H3503" s="6" t="s">
        <v>34</v>
      </c>
      <c r="I3503" s="8" t="s">
        <v>35</v>
      </c>
      <c r="J3503" s="9">
        <v>1</v>
      </c>
      <c r="K3503" s="9">
        <v>392</v>
      </c>
      <c r="L3503" s="9">
        <v>2024</v>
      </c>
      <c r="M3503" s="8" t="s">
        <v>20464</v>
      </c>
      <c r="N3503" s="8" t="s">
        <v>37</v>
      </c>
      <c r="O3503" s="8" t="s">
        <v>280</v>
      </c>
      <c r="P3503" s="6" t="s">
        <v>1689</v>
      </c>
      <c r="Q3503" s="8" t="s">
        <v>40</v>
      </c>
      <c r="R3503" s="10" t="s">
        <v>20465</v>
      </c>
      <c r="S3503" s="11"/>
      <c r="T3503" s="6"/>
      <c r="U3503" s="15" t="str">
        <f>HYPERLINK("https://media.infra-m.ru/2125/2125045/cover/2125045.jpg", "Обложка")</f>
        <v>Обложка</v>
      </c>
      <c r="V3503" s="8" t="s">
        <v>3196</v>
      </c>
      <c r="W3503" s="6"/>
      <c r="X3503" s="6"/>
      <c r="Y3503" s="6"/>
      <c r="Z3503" s="6"/>
      <c r="AA3503" s="6" t="s">
        <v>76</v>
      </c>
      <c r="AB3503" s="8"/>
      <c r="AC3503" s="27">
        <v>9785160195063</v>
      </c>
    </row>
    <row r="3504" spans="1:29" s="4" customFormat="1" ht="51.9" customHeight="1" x14ac:dyDescent="0.2">
      <c r="A3504" s="5">
        <v>0</v>
      </c>
      <c r="B3504" s="6" t="s">
        <v>20466</v>
      </c>
      <c r="C3504" s="7">
        <v>1740</v>
      </c>
      <c r="D3504" s="8" t="s">
        <v>20467</v>
      </c>
      <c r="E3504" s="8" t="s">
        <v>20468</v>
      </c>
      <c r="F3504" s="8" t="s">
        <v>9977</v>
      </c>
      <c r="G3504" s="6" t="s">
        <v>33</v>
      </c>
      <c r="H3504" s="6" t="s">
        <v>34</v>
      </c>
      <c r="I3504" s="8" t="s">
        <v>35</v>
      </c>
      <c r="J3504" s="9">
        <v>1</v>
      </c>
      <c r="K3504" s="9">
        <v>263</v>
      </c>
      <c r="L3504" s="9">
        <v>2026</v>
      </c>
      <c r="M3504" s="8" t="s">
        <v>20469</v>
      </c>
      <c r="N3504" s="8" t="s">
        <v>37</v>
      </c>
      <c r="O3504" s="8" t="s">
        <v>280</v>
      </c>
      <c r="P3504" s="6" t="s">
        <v>39</v>
      </c>
      <c r="Q3504" s="8" t="s">
        <v>40</v>
      </c>
      <c r="R3504" s="10" t="s">
        <v>20470</v>
      </c>
      <c r="S3504" s="11"/>
      <c r="T3504" s="6"/>
      <c r="U3504" s="15" t="str">
        <f>HYPERLINK("https://media.infra-m.ru/2246/2246051/cover/2246051.jpg", "Обложка")</f>
        <v>Обложка</v>
      </c>
      <c r="V3504" s="8" t="s">
        <v>3196</v>
      </c>
      <c r="W3504" s="6"/>
      <c r="X3504" s="6"/>
      <c r="Y3504" s="6"/>
      <c r="Z3504" s="6"/>
      <c r="AA3504" s="6" t="s">
        <v>55</v>
      </c>
      <c r="AB3504" s="8"/>
      <c r="AC3504" s="27">
        <v>9785160062358</v>
      </c>
    </row>
    <row r="3505" spans="1:29" s="4" customFormat="1" ht="44.1" customHeight="1" x14ac:dyDescent="0.2">
      <c r="A3505" s="5">
        <v>0</v>
      </c>
      <c r="B3505" s="6" t="s">
        <v>20471</v>
      </c>
      <c r="C3505" s="7">
        <v>1780.8</v>
      </c>
      <c r="D3505" s="8" t="s">
        <v>20472</v>
      </c>
      <c r="E3505" s="8" t="s">
        <v>20473</v>
      </c>
      <c r="F3505" s="8" t="s">
        <v>661</v>
      </c>
      <c r="G3505" s="6" t="s">
        <v>33</v>
      </c>
      <c r="H3505" s="6" t="s">
        <v>34</v>
      </c>
      <c r="I3505" s="8" t="s">
        <v>35</v>
      </c>
      <c r="J3505" s="9">
        <v>1</v>
      </c>
      <c r="K3505" s="9">
        <v>323</v>
      </c>
      <c r="L3505" s="9">
        <v>2024</v>
      </c>
      <c r="M3505" s="8" t="s">
        <v>20474</v>
      </c>
      <c r="N3505" s="8" t="s">
        <v>37</v>
      </c>
      <c r="O3505" s="8" t="s">
        <v>280</v>
      </c>
      <c r="P3505" s="6" t="s">
        <v>39</v>
      </c>
      <c r="Q3505" s="8" t="s">
        <v>40</v>
      </c>
      <c r="R3505" s="10" t="s">
        <v>20475</v>
      </c>
      <c r="S3505" s="11"/>
      <c r="T3505" s="6"/>
      <c r="U3505" s="15" t="str">
        <f>HYPERLINK("https://media.infra-m.ru/2125/2125077/cover/2125077.jpg", "Обложка")</f>
        <v>Обложка</v>
      </c>
      <c r="V3505" s="8" t="s">
        <v>3196</v>
      </c>
      <c r="W3505" s="6"/>
      <c r="X3505" s="6"/>
      <c r="Y3505" s="6"/>
      <c r="Z3505" s="6"/>
      <c r="AA3505" s="6" t="s">
        <v>430</v>
      </c>
      <c r="AB3505" s="8"/>
      <c r="AC3505" s="27">
        <v>9785160139241</v>
      </c>
    </row>
    <row r="3506" spans="1:29" s="4" customFormat="1" ht="51.9" customHeight="1" x14ac:dyDescent="0.2">
      <c r="A3506" s="5">
        <v>0</v>
      </c>
      <c r="B3506" s="6" t="s">
        <v>20476</v>
      </c>
      <c r="C3506" s="13">
        <v>998.4</v>
      </c>
      <c r="D3506" s="8" t="s">
        <v>20477</v>
      </c>
      <c r="E3506" s="8" t="s">
        <v>20478</v>
      </c>
      <c r="F3506" s="8" t="s">
        <v>9977</v>
      </c>
      <c r="G3506" s="6" t="s">
        <v>118</v>
      </c>
      <c r="H3506" s="6" t="s">
        <v>34</v>
      </c>
      <c r="I3506" s="8" t="s">
        <v>271</v>
      </c>
      <c r="J3506" s="9">
        <v>1</v>
      </c>
      <c r="K3506" s="9">
        <v>260</v>
      </c>
      <c r="L3506" s="9">
        <v>2019</v>
      </c>
      <c r="M3506" s="8" t="s">
        <v>20479</v>
      </c>
      <c r="N3506" s="8" t="s">
        <v>37</v>
      </c>
      <c r="O3506" s="8" t="s">
        <v>280</v>
      </c>
      <c r="P3506" s="6" t="s">
        <v>51</v>
      </c>
      <c r="Q3506" s="8" t="s">
        <v>52</v>
      </c>
      <c r="R3506" s="10" t="s">
        <v>20480</v>
      </c>
      <c r="S3506" s="11" t="s">
        <v>20481</v>
      </c>
      <c r="T3506" s="6"/>
      <c r="U3506" s="15" t="str">
        <f>HYPERLINK("https://media.infra-m.ru/1001/1001585/cover/1001585.jpg", "Обложка")</f>
        <v>Обложка</v>
      </c>
      <c r="V3506" s="8" t="s">
        <v>3196</v>
      </c>
      <c r="W3506" s="6"/>
      <c r="X3506" s="6"/>
      <c r="Y3506" s="6"/>
      <c r="Z3506" s="6"/>
      <c r="AA3506" s="6" t="s">
        <v>623</v>
      </c>
      <c r="AB3506" s="8"/>
      <c r="AC3506" s="27">
        <v>9785160118451</v>
      </c>
    </row>
    <row r="3507" spans="1:29" s="4" customFormat="1" ht="51.9" customHeight="1" x14ac:dyDescent="0.2">
      <c r="A3507" s="5">
        <v>0</v>
      </c>
      <c r="B3507" s="6" t="s">
        <v>20482</v>
      </c>
      <c r="C3507" s="7">
        <v>1504.8</v>
      </c>
      <c r="D3507" s="8" t="s">
        <v>20483</v>
      </c>
      <c r="E3507" s="8" t="s">
        <v>20484</v>
      </c>
      <c r="F3507" s="8" t="s">
        <v>20485</v>
      </c>
      <c r="G3507" s="6" t="s">
        <v>118</v>
      </c>
      <c r="H3507" s="6" t="s">
        <v>34</v>
      </c>
      <c r="I3507" s="8" t="s">
        <v>271</v>
      </c>
      <c r="J3507" s="9">
        <v>1</v>
      </c>
      <c r="K3507" s="9">
        <v>251</v>
      </c>
      <c r="L3507" s="9">
        <v>2025</v>
      </c>
      <c r="M3507" s="8" t="s">
        <v>20486</v>
      </c>
      <c r="N3507" s="8" t="s">
        <v>37</v>
      </c>
      <c r="O3507" s="8" t="s">
        <v>280</v>
      </c>
      <c r="P3507" s="6" t="s">
        <v>51</v>
      </c>
      <c r="Q3507" s="8" t="s">
        <v>52</v>
      </c>
      <c r="R3507" s="10" t="s">
        <v>20480</v>
      </c>
      <c r="S3507" s="11" t="s">
        <v>20487</v>
      </c>
      <c r="T3507" s="6"/>
      <c r="U3507" s="15" t="str">
        <f>HYPERLINK("https://media.infra-m.ru/2192/2192230/cover/2192230.jpg", "Обложка")</f>
        <v>Обложка</v>
      </c>
      <c r="V3507" s="8" t="s">
        <v>3196</v>
      </c>
      <c r="W3507" s="6"/>
      <c r="X3507" s="6"/>
      <c r="Y3507" s="6"/>
      <c r="Z3507" s="6"/>
      <c r="AA3507" s="6" t="s">
        <v>3189</v>
      </c>
      <c r="AB3507" s="8"/>
      <c r="AC3507" s="27">
        <v>9785160171449</v>
      </c>
    </row>
    <row r="3508" spans="1:29" s="4" customFormat="1" ht="51.9" customHeight="1" x14ac:dyDescent="0.2">
      <c r="A3508" s="5">
        <v>0</v>
      </c>
      <c r="B3508" s="6" t="s">
        <v>20488</v>
      </c>
      <c r="C3508" s="7">
        <v>1528.8</v>
      </c>
      <c r="D3508" s="8" t="s">
        <v>20489</v>
      </c>
      <c r="E3508" s="8" t="s">
        <v>20490</v>
      </c>
      <c r="F3508" s="8" t="s">
        <v>20491</v>
      </c>
      <c r="G3508" s="6" t="s">
        <v>118</v>
      </c>
      <c r="H3508" s="6" t="s">
        <v>34</v>
      </c>
      <c r="I3508" s="8" t="s">
        <v>504</v>
      </c>
      <c r="J3508" s="9">
        <v>1</v>
      </c>
      <c r="K3508" s="9">
        <v>277</v>
      </c>
      <c r="L3508" s="9">
        <v>2023</v>
      </c>
      <c r="M3508" s="8" t="s">
        <v>20492</v>
      </c>
      <c r="N3508" s="8" t="s">
        <v>37</v>
      </c>
      <c r="O3508" s="8" t="s">
        <v>280</v>
      </c>
      <c r="P3508" s="6" t="s">
        <v>51</v>
      </c>
      <c r="Q3508" s="8" t="s">
        <v>500</v>
      </c>
      <c r="R3508" s="10" t="s">
        <v>20493</v>
      </c>
      <c r="S3508" s="11" t="s">
        <v>20494</v>
      </c>
      <c r="T3508" s="6"/>
      <c r="U3508" s="15" t="str">
        <f>HYPERLINK("https://media.infra-m.ru/1972/1972697/cover/1972697.jpg", "Обложка")</f>
        <v>Обложка</v>
      </c>
      <c r="V3508" s="8" t="s">
        <v>3196</v>
      </c>
      <c r="W3508" s="6"/>
      <c r="X3508" s="6"/>
      <c r="Y3508" s="6"/>
      <c r="Z3508" s="6"/>
      <c r="AA3508" s="6" t="s">
        <v>3841</v>
      </c>
      <c r="AB3508" s="8"/>
      <c r="AC3508" s="27">
        <v>9785160173047</v>
      </c>
    </row>
    <row r="3509" spans="1:29" s="4" customFormat="1" ht="42" customHeight="1" x14ac:dyDescent="0.2">
      <c r="A3509" s="5">
        <v>0</v>
      </c>
      <c r="B3509" s="6" t="s">
        <v>20495</v>
      </c>
      <c r="C3509" s="7">
        <v>1936.8</v>
      </c>
      <c r="D3509" s="8" t="s">
        <v>20496</v>
      </c>
      <c r="E3509" s="8" t="s">
        <v>20497</v>
      </c>
      <c r="F3509" s="8" t="s">
        <v>661</v>
      </c>
      <c r="G3509" s="6" t="s">
        <v>33</v>
      </c>
      <c r="H3509" s="6" t="s">
        <v>34</v>
      </c>
      <c r="I3509" s="8" t="s">
        <v>35</v>
      </c>
      <c r="J3509" s="9">
        <v>1</v>
      </c>
      <c r="K3509" s="9">
        <v>357</v>
      </c>
      <c r="L3509" s="9">
        <v>2023</v>
      </c>
      <c r="M3509" s="8" t="s">
        <v>20498</v>
      </c>
      <c r="N3509" s="8" t="s">
        <v>37</v>
      </c>
      <c r="O3509" s="8" t="s">
        <v>280</v>
      </c>
      <c r="P3509" s="6" t="s">
        <v>39</v>
      </c>
      <c r="Q3509" s="8" t="s">
        <v>40</v>
      </c>
      <c r="R3509" s="10" t="s">
        <v>20499</v>
      </c>
      <c r="S3509" s="11"/>
      <c r="T3509" s="6"/>
      <c r="U3509" s="15" t="str">
        <f>HYPERLINK("https://media.infra-m.ru/2006/2006910/cover/2006910.jpg", "Обложка")</f>
        <v>Обложка</v>
      </c>
      <c r="V3509" s="8" t="s">
        <v>3196</v>
      </c>
      <c r="W3509" s="6"/>
      <c r="X3509" s="6"/>
      <c r="Y3509" s="6"/>
      <c r="Z3509" s="6"/>
      <c r="AA3509" s="6" t="s">
        <v>86</v>
      </c>
      <c r="AB3509" s="8"/>
      <c r="AC3509" s="27">
        <v>9785160135700</v>
      </c>
    </row>
    <row r="3510" spans="1:29" s="4" customFormat="1" ht="51.9" customHeight="1" x14ac:dyDescent="0.2">
      <c r="A3510" s="5">
        <v>0</v>
      </c>
      <c r="B3510" s="6" t="s">
        <v>20500</v>
      </c>
      <c r="C3510" s="7">
        <v>1528.8</v>
      </c>
      <c r="D3510" s="8" t="s">
        <v>20501</v>
      </c>
      <c r="E3510" s="8" t="s">
        <v>20502</v>
      </c>
      <c r="F3510" s="8" t="s">
        <v>9977</v>
      </c>
      <c r="G3510" s="6" t="s">
        <v>33</v>
      </c>
      <c r="H3510" s="6" t="s">
        <v>34</v>
      </c>
      <c r="I3510" s="8" t="s">
        <v>35</v>
      </c>
      <c r="J3510" s="9">
        <v>1</v>
      </c>
      <c r="K3510" s="9">
        <v>277</v>
      </c>
      <c r="L3510" s="9">
        <v>2024</v>
      </c>
      <c r="M3510" s="8" t="s">
        <v>20503</v>
      </c>
      <c r="N3510" s="8" t="s">
        <v>37</v>
      </c>
      <c r="O3510" s="8" t="s">
        <v>280</v>
      </c>
      <c r="P3510" s="6" t="s">
        <v>39</v>
      </c>
      <c r="Q3510" s="8" t="s">
        <v>40</v>
      </c>
      <c r="R3510" s="10" t="s">
        <v>20504</v>
      </c>
      <c r="S3510" s="11"/>
      <c r="T3510" s="6"/>
      <c r="U3510" s="15" t="str">
        <f>HYPERLINK("https://media.infra-m.ru/2125/2125081/cover/2125081.jpg", "Обложка")</f>
        <v>Обложка</v>
      </c>
      <c r="V3510" s="8" t="s">
        <v>3196</v>
      </c>
      <c r="W3510" s="6"/>
      <c r="X3510" s="6"/>
      <c r="Y3510" s="6"/>
      <c r="Z3510" s="6"/>
      <c r="AA3510" s="6" t="s">
        <v>55</v>
      </c>
      <c r="AB3510" s="8"/>
      <c r="AC3510" s="27">
        <v>9785160062327</v>
      </c>
    </row>
    <row r="3511" spans="1:29" s="4" customFormat="1" ht="42" customHeight="1" x14ac:dyDescent="0.2">
      <c r="A3511" s="5">
        <v>0</v>
      </c>
      <c r="B3511" s="6" t="s">
        <v>20505</v>
      </c>
      <c r="C3511" s="7">
        <v>2236.8000000000002</v>
      </c>
      <c r="D3511" s="8" t="s">
        <v>20506</v>
      </c>
      <c r="E3511" s="8" t="s">
        <v>20507</v>
      </c>
      <c r="F3511" s="8" t="s">
        <v>9977</v>
      </c>
      <c r="G3511" s="6" t="s">
        <v>33</v>
      </c>
      <c r="H3511" s="6" t="s">
        <v>34</v>
      </c>
      <c r="I3511" s="8" t="s">
        <v>35</v>
      </c>
      <c r="J3511" s="9">
        <v>1</v>
      </c>
      <c r="K3511" s="9">
        <v>359</v>
      </c>
      <c r="L3511" s="9">
        <v>2024</v>
      </c>
      <c r="M3511" s="8" t="s">
        <v>20508</v>
      </c>
      <c r="N3511" s="8" t="s">
        <v>37</v>
      </c>
      <c r="O3511" s="8" t="s">
        <v>280</v>
      </c>
      <c r="P3511" s="6" t="s">
        <v>39</v>
      </c>
      <c r="Q3511" s="8" t="s">
        <v>40</v>
      </c>
      <c r="R3511" s="10" t="s">
        <v>20509</v>
      </c>
      <c r="S3511" s="11"/>
      <c r="T3511" s="6"/>
      <c r="U3511" s="15" t="str">
        <f>HYPERLINK("https://media.infra-m.ru/2125/2125082/cover/2125082.jpg", "Обложка")</f>
        <v>Обложка</v>
      </c>
      <c r="V3511" s="8" t="s">
        <v>3196</v>
      </c>
      <c r="W3511" s="6"/>
      <c r="X3511" s="6"/>
      <c r="Y3511" s="6"/>
      <c r="Z3511" s="6"/>
      <c r="AA3511" s="6" t="s">
        <v>55</v>
      </c>
      <c r="AB3511" s="8"/>
      <c r="AC3511" s="27">
        <v>9785160062341</v>
      </c>
    </row>
    <row r="3512" spans="1:29" s="4" customFormat="1" ht="44.1" customHeight="1" x14ac:dyDescent="0.2">
      <c r="A3512" s="5">
        <v>0</v>
      </c>
      <c r="B3512" s="6" t="s">
        <v>20510</v>
      </c>
      <c r="C3512" s="7">
        <v>1493.9</v>
      </c>
      <c r="D3512" s="8" t="s">
        <v>20511</v>
      </c>
      <c r="E3512" s="8" t="s">
        <v>20512</v>
      </c>
      <c r="F3512" s="8" t="s">
        <v>9977</v>
      </c>
      <c r="G3512" s="6" t="s">
        <v>33</v>
      </c>
      <c r="H3512" s="6" t="s">
        <v>34</v>
      </c>
      <c r="I3512" s="8" t="s">
        <v>35</v>
      </c>
      <c r="J3512" s="9">
        <v>1</v>
      </c>
      <c r="K3512" s="9">
        <v>319</v>
      </c>
      <c r="L3512" s="9">
        <v>2022</v>
      </c>
      <c r="M3512" s="8" t="s">
        <v>20513</v>
      </c>
      <c r="N3512" s="8" t="s">
        <v>37</v>
      </c>
      <c r="O3512" s="8" t="s">
        <v>280</v>
      </c>
      <c r="P3512" s="6" t="s">
        <v>39</v>
      </c>
      <c r="Q3512" s="8" t="s">
        <v>40</v>
      </c>
      <c r="R3512" s="10" t="s">
        <v>20514</v>
      </c>
      <c r="S3512" s="11"/>
      <c r="T3512" s="6"/>
      <c r="U3512" s="15" t="str">
        <f>HYPERLINK("https://media.infra-m.ru/1851/1851538/cover/1851538.jpg", "Обложка")</f>
        <v>Обложка</v>
      </c>
      <c r="V3512" s="8" t="s">
        <v>3196</v>
      </c>
      <c r="W3512" s="6"/>
      <c r="X3512" s="6"/>
      <c r="Y3512" s="6"/>
      <c r="Z3512" s="6"/>
      <c r="AA3512" s="6" t="s">
        <v>248</v>
      </c>
      <c r="AB3512" s="8"/>
      <c r="AC3512" s="27">
        <v>9785160095844</v>
      </c>
    </row>
    <row r="3513" spans="1:29" s="4" customFormat="1" ht="51.9" customHeight="1" x14ac:dyDescent="0.2">
      <c r="A3513" s="5">
        <v>0</v>
      </c>
      <c r="B3513" s="6" t="s">
        <v>20515</v>
      </c>
      <c r="C3513" s="7">
        <v>1524</v>
      </c>
      <c r="D3513" s="8" t="s">
        <v>20516</v>
      </c>
      <c r="E3513" s="8" t="s">
        <v>20517</v>
      </c>
      <c r="F3513" s="8" t="s">
        <v>20491</v>
      </c>
      <c r="G3513" s="6" t="s">
        <v>118</v>
      </c>
      <c r="H3513" s="6" t="s">
        <v>34</v>
      </c>
      <c r="I3513" s="8" t="s">
        <v>504</v>
      </c>
      <c r="J3513" s="9">
        <v>1</v>
      </c>
      <c r="K3513" s="9">
        <v>282</v>
      </c>
      <c r="L3513" s="9">
        <v>2022</v>
      </c>
      <c r="M3513" s="8" t="s">
        <v>20518</v>
      </c>
      <c r="N3513" s="8" t="s">
        <v>37</v>
      </c>
      <c r="O3513" s="8" t="s">
        <v>280</v>
      </c>
      <c r="P3513" s="6" t="s">
        <v>51</v>
      </c>
      <c r="Q3513" s="8" t="s">
        <v>500</v>
      </c>
      <c r="R3513" s="10" t="s">
        <v>20493</v>
      </c>
      <c r="S3513" s="11" t="s">
        <v>20519</v>
      </c>
      <c r="T3513" s="6"/>
      <c r="U3513" s="15" t="str">
        <f>HYPERLINK("https://media.infra-m.ru/1955/1955911/cover/1955911.jpg", "Обложка")</f>
        <v>Обложка</v>
      </c>
      <c r="V3513" s="8" t="s">
        <v>3196</v>
      </c>
      <c r="W3513" s="6"/>
      <c r="X3513" s="6"/>
      <c r="Y3513" s="6"/>
      <c r="Z3513" s="6"/>
      <c r="AA3513" s="6" t="s">
        <v>1117</v>
      </c>
      <c r="AB3513" s="8"/>
      <c r="AC3513" s="27">
        <v>9785160138282</v>
      </c>
    </row>
    <row r="3514" spans="1:29" s="4" customFormat="1" ht="51.9" customHeight="1" x14ac:dyDescent="0.2">
      <c r="A3514" s="5">
        <v>0</v>
      </c>
      <c r="B3514" s="6" t="s">
        <v>20520</v>
      </c>
      <c r="C3514" s="13">
        <v>845.9</v>
      </c>
      <c r="D3514" s="8" t="s">
        <v>20521</v>
      </c>
      <c r="E3514" s="8" t="s">
        <v>20522</v>
      </c>
      <c r="F3514" s="8" t="s">
        <v>661</v>
      </c>
      <c r="G3514" s="6" t="s">
        <v>60</v>
      </c>
      <c r="H3514" s="6" t="s">
        <v>5605</v>
      </c>
      <c r="I3514" s="8" t="s">
        <v>253</v>
      </c>
      <c r="J3514" s="9">
        <v>1</v>
      </c>
      <c r="K3514" s="9">
        <v>240</v>
      </c>
      <c r="L3514" s="9">
        <v>2018</v>
      </c>
      <c r="M3514" s="8" t="s">
        <v>20523</v>
      </c>
      <c r="N3514" s="8" t="s">
        <v>37</v>
      </c>
      <c r="O3514" s="8" t="s">
        <v>280</v>
      </c>
      <c r="P3514" s="6" t="s">
        <v>51</v>
      </c>
      <c r="Q3514" s="8" t="s">
        <v>500</v>
      </c>
      <c r="R3514" s="10" t="s">
        <v>20493</v>
      </c>
      <c r="S3514" s="11" t="s">
        <v>20524</v>
      </c>
      <c r="T3514" s="6"/>
      <c r="U3514" s="15" t="str">
        <f>HYPERLINK("https://media.infra-m.ru/0933/0933901/cover/933901.jpg", "Обложка")</f>
        <v>Обложка</v>
      </c>
      <c r="V3514" s="8" t="s">
        <v>3196</v>
      </c>
      <c r="W3514" s="6"/>
      <c r="X3514" s="6"/>
      <c r="Y3514" s="6"/>
      <c r="Z3514" s="6"/>
      <c r="AA3514" s="6" t="s">
        <v>769</v>
      </c>
      <c r="AB3514" s="8"/>
      <c r="AC3514" s="27">
        <v>9785160049458</v>
      </c>
    </row>
    <row r="3515" spans="1:29" s="4" customFormat="1" ht="51.9" customHeight="1" x14ac:dyDescent="0.2">
      <c r="A3515" s="5">
        <v>0</v>
      </c>
      <c r="B3515" s="6" t="s">
        <v>20525</v>
      </c>
      <c r="C3515" s="7">
        <v>1128</v>
      </c>
      <c r="D3515" s="8" t="s">
        <v>20526</v>
      </c>
      <c r="E3515" s="8" t="s">
        <v>20527</v>
      </c>
      <c r="F3515" s="8" t="s">
        <v>7238</v>
      </c>
      <c r="G3515" s="6" t="s">
        <v>118</v>
      </c>
      <c r="H3515" s="6" t="s">
        <v>34</v>
      </c>
      <c r="I3515" s="8" t="s">
        <v>271</v>
      </c>
      <c r="J3515" s="9">
        <v>1</v>
      </c>
      <c r="K3515" s="9">
        <v>202</v>
      </c>
      <c r="L3515" s="9">
        <v>2023</v>
      </c>
      <c r="M3515" s="8" t="s">
        <v>20528</v>
      </c>
      <c r="N3515" s="8" t="s">
        <v>37</v>
      </c>
      <c r="O3515" s="8" t="s">
        <v>280</v>
      </c>
      <c r="P3515" s="6" t="s">
        <v>51</v>
      </c>
      <c r="Q3515" s="8" t="s">
        <v>52</v>
      </c>
      <c r="R3515" s="10" t="s">
        <v>5391</v>
      </c>
      <c r="S3515" s="11" t="s">
        <v>20529</v>
      </c>
      <c r="T3515" s="6"/>
      <c r="U3515" s="15" t="str">
        <f>HYPERLINK("https://media.infra-m.ru/1960/1960113/cover/1960113.jpg", "Обложка")</f>
        <v>Обложка</v>
      </c>
      <c r="V3515" s="8" t="s">
        <v>227</v>
      </c>
      <c r="W3515" s="6"/>
      <c r="X3515" s="6"/>
      <c r="Y3515" s="6"/>
      <c r="Z3515" s="6"/>
      <c r="AA3515" s="6" t="s">
        <v>430</v>
      </c>
      <c r="AB3515" s="8"/>
      <c r="AC3515" s="27">
        <v>9785160155395</v>
      </c>
    </row>
    <row r="3516" spans="1:29" s="4" customFormat="1" ht="51.9" customHeight="1" x14ac:dyDescent="0.2">
      <c r="A3516" s="5">
        <v>0</v>
      </c>
      <c r="B3516" s="6" t="s">
        <v>20530</v>
      </c>
      <c r="C3516" s="13">
        <v>972</v>
      </c>
      <c r="D3516" s="8" t="s">
        <v>20531</v>
      </c>
      <c r="E3516" s="8" t="s">
        <v>20532</v>
      </c>
      <c r="F3516" s="8" t="s">
        <v>20533</v>
      </c>
      <c r="G3516" s="6" t="s">
        <v>33</v>
      </c>
      <c r="H3516" s="6" t="s">
        <v>34</v>
      </c>
      <c r="I3516" s="8" t="s">
        <v>16974</v>
      </c>
      <c r="J3516" s="9">
        <v>1</v>
      </c>
      <c r="K3516" s="9">
        <v>176</v>
      </c>
      <c r="L3516" s="9">
        <v>2024</v>
      </c>
      <c r="M3516" s="8" t="s">
        <v>20534</v>
      </c>
      <c r="N3516" s="8" t="s">
        <v>37</v>
      </c>
      <c r="O3516" s="8" t="s">
        <v>280</v>
      </c>
      <c r="P3516" s="6" t="s">
        <v>1837</v>
      </c>
      <c r="Q3516" s="8" t="s">
        <v>40</v>
      </c>
      <c r="R3516" s="10" t="s">
        <v>20535</v>
      </c>
      <c r="S3516" s="11"/>
      <c r="T3516" s="6"/>
      <c r="U3516" s="15" t="str">
        <f>HYPERLINK("https://media.infra-m.ru/2106/2106645/cover/2106645.jpg", "Обложка")</f>
        <v>Обложка</v>
      </c>
      <c r="V3516" s="8" t="s">
        <v>1798</v>
      </c>
      <c r="W3516" s="6"/>
      <c r="X3516" s="6"/>
      <c r="Y3516" s="6"/>
      <c r="Z3516" s="6"/>
      <c r="AA3516" s="6" t="s">
        <v>769</v>
      </c>
      <c r="AB3516" s="8"/>
      <c r="AC3516" s="27">
        <v>9785160097480</v>
      </c>
    </row>
    <row r="3517" spans="1:29" s="4" customFormat="1" ht="51.9" customHeight="1" x14ac:dyDescent="0.2">
      <c r="A3517" s="5">
        <v>0</v>
      </c>
      <c r="B3517" s="6" t="s">
        <v>20536</v>
      </c>
      <c r="C3517" s="13">
        <v>808.8</v>
      </c>
      <c r="D3517" s="8" t="s">
        <v>20537</v>
      </c>
      <c r="E3517" s="8" t="s">
        <v>20538</v>
      </c>
      <c r="F3517" s="8" t="s">
        <v>20539</v>
      </c>
      <c r="G3517" s="6" t="s">
        <v>60</v>
      </c>
      <c r="H3517" s="6" t="s">
        <v>34</v>
      </c>
      <c r="I3517" s="8" t="s">
        <v>504</v>
      </c>
      <c r="J3517" s="9">
        <v>1</v>
      </c>
      <c r="K3517" s="9">
        <v>148</v>
      </c>
      <c r="L3517" s="9">
        <v>2023</v>
      </c>
      <c r="M3517" s="8" t="s">
        <v>20540</v>
      </c>
      <c r="N3517" s="8" t="s">
        <v>37</v>
      </c>
      <c r="O3517" s="8" t="s">
        <v>280</v>
      </c>
      <c r="P3517" s="6" t="s">
        <v>51</v>
      </c>
      <c r="Q3517" s="8" t="s">
        <v>500</v>
      </c>
      <c r="R3517" s="10" t="s">
        <v>3208</v>
      </c>
      <c r="S3517" s="11" t="s">
        <v>19330</v>
      </c>
      <c r="T3517" s="6"/>
      <c r="U3517" s="15" t="str">
        <f>HYPERLINK("https://media.infra-m.ru/2006/2006939/cover/2006939.jpg", "Обложка")</f>
        <v>Обложка</v>
      </c>
      <c r="V3517" s="8" t="s">
        <v>3196</v>
      </c>
      <c r="W3517" s="6"/>
      <c r="X3517" s="6"/>
      <c r="Y3517" s="6"/>
      <c r="Z3517" s="6"/>
      <c r="AA3517" s="6" t="s">
        <v>115</v>
      </c>
      <c r="AB3517" s="8"/>
      <c r="AC3517" s="27">
        <v>9785160142470</v>
      </c>
    </row>
    <row r="3518" spans="1:29" s="4" customFormat="1" ht="51.9" customHeight="1" x14ac:dyDescent="0.2">
      <c r="A3518" s="5">
        <v>0</v>
      </c>
      <c r="B3518" s="6" t="s">
        <v>20541</v>
      </c>
      <c r="C3518" s="7">
        <v>1764</v>
      </c>
      <c r="D3518" s="8" t="s">
        <v>20542</v>
      </c>
      <c r="E3518" s="8" t="s">
        <v>20543</v>
      </c>
      <c r="F3518" s="8" t="s">
        <v>20544</v>
      </c>
      <c r="G3518" s="6" t="s">
        <v>118</v>
      </c>
      <c r="H3518" s="6" t="s">
        <v>34</v>
      </c>
      <c r="I3518" s="8" t="s">
        <v>263</v>
      </c>
      <c r="J3518" s="9">
        <v>1</v>
      </c>
      <c r="K3518" s="9">
        <v>267</v>
      </c>
      <c r="L3518" s="9">
        <v>2026</v>
      </c>
      <c r="M3518" s="8" t="s">
        <v>20545</v>
      </c>
      <c r="N3518" s="8" t="s">
        <v>37</v>
      </c>
      <c r="O3518" s="8" t="s">
        <v>280</v>
      </c>
      <c r="P3518" s="6" t="s">
        <v>51</v>
      </c>
      <c r="Q3518" s="8" t="s">
        <v>265</v>
      </c>
      <c r="R3518" s="10" t="s">
        <v>2200</v>
      </c>
      <c r="S3518" s="11"/>
      <c r="T3518" s="6"/>
      <c r="U3518" s="15" t="str">
        <f>HYPERLINK("https://media.infra-m.ru/2217/2217586/cover/2217586.jpg", "Обложка")</f>
        <v>Обложка</v>
      </c>
      <c r="V3518" s="8" t="s">
        <v>958</v>
      </c>
      <c r="W3518" s="6"/>
      <c r="X3518" s="6"/>
      <c r="Y3518" s="6"/>
      <c r="Z3518" s="6"/>
      <c r="AA3518" s="6" t="s">
        <v>157</v>
      </c>
      <c r="AB3518" s="8"/>
      <c r="AC3518" s="27">
        <v>9785160175010</v>
      </c>
    </row>
    <row r="3519" spans="1:29" s="4" customFormat="1" ht="44.1" customHeight="1" x14ac:dyDescent="0.2">
      <c r="A3519" s="5">
        <v>0</v>
      </c>
      <c r="B3519" s="6" t="s">
        <v>20546</v>
      </c>
      <c r="C3519" s="7">
        <v>2616</v>
      </c>
      <c r="D3519" s="8" t="s">
        <v>20547</v>
      </c>
      <c r="E3519" s="8" t="s">
        <v>20548</v>
      </c>
      <c r="F3519" s="8" t="s">
        <v>20549</v>
      </c>
      <c r="G3519" s="6" t="s">
        <v>60</v>
      </c>
      <c r="H3519" s="6" t="s">
        <v>34</v>
      </c>
      <c r="I3519" s="8" t="s">
        <v>599</v>
      </c>
      <c r="J3519" s="9">
        <v>1</v>
      </c>
      <c r="K3519" s="9">
        <v>474</v>
      </c>
      <c r="L3519" s="9">
        <v>2024</v>
      </c>
      <c r="M3519" s="8" t="s">
        <v>20550</v>
      </c>
      <c r="N3519" s="8" t="s">
        <v>37</v>
      </c>
      <c r="O3519" s="8" t="s">
        <v>280</v>
      </c>
      <c r="P3519" s="6" t="s">
        <v>601</v>
      </c>
      <c r="Q3519" s="8" t="s">
        <v>65</v>
      </c>
      <c r="R3519" s="10" t="s">
        <v>2053</v>
      </c>
      <c r="S3519" s="11"/>
      <c r="T3519" s="6"/>
      <c r="U3519" s="15" t="str">
        <f>HYPERLINK("https://media.infra-m.ru/2106/2106649/cover/2106649.jpg", "Обложка")</f>
        <v>Обложка</v>
      </c>
      <c r="V3519" s="8" t="s">
        <v>7920</v>
      </c>
      <c r="W3519" s="6"/>
      <c r="X3519" s="6"/>
      <c r="Y3519" s="6"/>
      <c r="Z3519" s="6"/>
      <c r="AA3519" s="6" t="s">
        <v>99</v>
      </c>
      <c r="AB3519" s="8"/>
      <c r="AC3519" s="27">
        <v>9785160122359</v>
      </c>
    </row>
    <row r="3520" spans="1:29" s="4" customFormat="1" ht="51.9" customHeight="1" x14ac:dyDescent="0.2">
      <c r="A3520" s="5">
        <v>0</v>
      </c>
      <c r="B3520" s="6" t="s">
        <v>20551</v>
      </c>
      <c r="C3520" s="7">
        <v>2116.8000000000002</v>
      </c>
      <c r="D3520" s="8" t="s">
        <v>20552</v>
      </c>
      <c r="E3520" s="8" t="s">
        <v>20512</v>
      </c>
      <c r="F3520" s="8" t="s">
        <v>20553</v>
      </c>
      <c r="G3520" s="6" t="s">
        <v>60</v>
      </c>
      <c r="H3520" s="6" t="s">
        <v>34</v>
      </c>
      <c r="I3520" s="8" t="s">
        <v>271</v>
      </c>
      <c r="J3520" s="9">
        <v>1</v>
      </c>
      <c r="K3520" s="9">
        <v>384</v>
      </c>
      <c r="L3520" s="9">
        <v>2024</v>
      </c>
      <c r="M3520" s="8" t="s">
        <v>20554</v>
      </c>
      <c r="N3520" s="8" t="s">
        <v>37</v>
      </c>
      <c r="O3520" s="8" t="s">
        <v>280</v>
      </c>
      <c r="P3520" s="6" t="s">
        <v>306</v>
      </c>
      <c r="Q3520" s="8" t="s">
        <v>52</v>
      </c>
      <c r="R3520" s="10" t="s">
        <v>16864</v>
      </c>
      <c r="S3520" s="11" t="s">
        <v>20555</v>
      </c>
      <c r="T3520" s="6"/>
      <c r="U3520" s="15" t="str">
        <f>HYPERLINK("https://media.infra-m.ru/2084/2084188/cover/2084188.jpg", "Обложка")</f>
        <v>Обложка</v>
      </c>
      <c r="V3520" s="8" t="s">
        <v>3087</v>
      </c>
      <c r="W3520" s="6"/>
      <c r="X3520" s="6"/>
      <c r="Y3520" s="6"/>
      <c r="Z3520" s="6"/>
      <c r="AA3520" s="6" t="s">
        <v>248</v>
      </c>
      <c r="AB3520" s="8"/>
      <c r="AC3520" s="27">
        <v>9785160093215</v>
      </c>
    </row>
    <row r="3521" spans="1:29" s="4" customFormat="1" ht="42" customHeight="1" x14ac:dyDescent="0.2">
      <c r="A3521" s="5">
        <v>0</v>
      </c>
      <c r="B3521" s="6" t="s">
        <v>20556</v>
      </c>
      <c r="C3521" s="7">
        <v>2148</v>
      </c>
      <c r="D3521" s="8" t="s">
        <v>20557</v>
      </c>
      <c r="E3521" s="8" t="s">
        <v>20512</v>
      </c>
      <c r="F3521" s="8" t="s">
        <v>20558</v>
      </c>
      <c r="G3521" s="6" t="s">
        <v>60</v>
      </c>
      <c r="H3521" s="6" t="s">
        <v>34</v>
      </c>
      <c r="I3521" s="8" t="s">
        <v>253</v>
      </c>
      <c r="J3521" s="9">
        <v>1</v>
      </c>
      <c r="K3521" s="9">
        <v>343</v>
      </c>
      <c r="L3521" s="9">
        <v>2025</v>
      </c>
      <c r="M3521" s="8" t="s">
        <v>20559</v>
      </c>
      <c r="N3521" s="8" t="s">
        <v>37</v>
      </c>
      <c r="O3521" s="8" t="s">
        <v>280</v>
      </c>
      <c r="P3521" s="6" t="s">
        <v>306</v>
      </c>
      <c r="Q3521" s="8" t="s">
        <v>65</v>
      </c>
      <c r="R3521" s="10" t="s">
        <v>357</v>
      </c>
      <c r="S3521" s="11"/>
      <c r="T3521" s="6"/>
      <c r="U3521" s="15" t="str">
        <f>HYPERLINK("https://media.infra-m.ru/2133/2133646/cover/2133646.jpg", "Обложка")</f>
        <v>Обложка</v>
      </c>
      <c r="V3521" s="8" t="s">
        <v>1425</v>
      </c>
      <c r="W3521" s="6"/>
      <c r="X3521" s="6"/>
      <c r="Y3521" s="6"/>
      <c r="Z3521" s="6"/>
      <c r="AA3521" s="6" t="s">
        <v>68</v>
      </c>
      <c r="AB3521" s="8"/>
      <c r="AC3521" s="27">
        <v>9785160196725</v>
      </c>
    </row>
    <row r="3522" spans="1:29" s="4" customFormat="1" ht="51.9" customHeight="1" x14ac:dyDescent="0.2">
      <c r="A3522" s="5">
        <v>0</v>
      </c>
      <c r="B3522" s="6" t="s">
        <v>20560</v>
      </c>
      <c r="C3522" s="7">
        <v>1728</v>
      </c>
      <c r="D3522" s="8" t="s">
        <v>20561</v>
      </c>
      <c r="E3522" s="8" t="s">
        <v>20562</v>
      </c>
      <c r="F3522" s="8" t="s">
        <v>20563</v>
      </c>
      <c r="G3522" s="6" t="s">
        <v>118</v>
      </c>
      <c r="H3522" s="6" t="s">
        <v>1644</v>
      </c>
      <c r="I3522" s="8"/>
      <c r="J3522" s="9">
        <v>1</v>
      </c>
      <c r="K3522" s="9">
        <v>288</v>
      </c>
      <c r="L3522" s="9">
        <v>2024</v>
      </c>
      <c r="M3522" s="8" t="s">
        <v>20564</v>
      </c>
      <c r="N3522" s="8" t="s">
        <v>37</v>
      </c>
      <c r="O3522" s="8" t="s">
        <v>280</v>
      </c>
      <c r="P3522" s="6" t="s">
        <v>306</v>
      </c>
      <c r="Q3522" s="8" t="s">
        <v>265</v>
      </c>
      <c r="R3522" s="10" t="s">
        <v>20565</v>
      </c>
      <c r="S3522" s="11" t="s">
        <v>20566</v>
      </c>
      <c r="T3522" s="6"/>
      <c r="U3522" s="15" t="str">
        <f>HYPERLINK("https://media.infra-m.ru/2125/2125913/cover/2125913.jpg", "Обложка")</f>
        <v>Обложка</v>
      </c>
      <c r="V3522" s="8" t="s">
        <v>2055</v>
      </c>
      <c r="W3522" s="6"/>
      <c r="X3522" s="6" t="s">
        <v>24</v>
      </c>
      <c r="Y3522" s="6"/>
      <c r="Z3522" s="6"/>
      <c r="AA3522" s="6" t="s">
        <v>1056</v>
      </c>
      <c r="AB3522" s="8"/>
      <c r="AC3522" s="27">
        <v>9785977600859</v>
      </c>
    </row>
    <row r="3523" spans="1:29" s="4" customFormat="1" ht="51.9" customHeight="1" x14ac:dyDescent="0.2">
      <c r="A3523" s="5">
        <v>0</v>
      </c>
      <c r="B3523" s="6" t="s">
        <v>20567</v>
      </c>
      <c r="C3523" s="7">
        <v>3540</v>
      </c>
      <c r="D3523" s="8" t="s">
        <v>20568</v>
      </c>
      <c r="E3523" s="8" t="s">
        <v>20569</v>
      </c>
      <c r="F3523" s="8" t="s">
        <v>20570</v>
      </c>
      <c r="G3523" s="6" t="s">
        <v>118</v>
      </c>
      <c r="H3523" s="6" t="s">
        <v>1644</v>
      </c>
      <c r="I3523" s="8"/>
      <c r="J3523" s="9">
        <v>1</v>
      </c>
      <c r="K3523" s="9">
        <v>656</v>
      </c>
      <c r="L3523" s="9">
        <v>2022</v>
      </c>
      <c r="M3523" s="8" t="s">
        <v>20571</v>
      </c>
      <c r="N3523" s="8" t="s">
        <v>37</v>
      </c>
      <c r="O3523" s="8" t="s">
        <v>280</v>
      </c>
      <c r="P3523" s="6" t="s">
        <v>306</v>
      </c>
      <c r="Q3523" s="8" t="s">
        <v>52</v>
      </c>
      <c r="R3523" s="10" t="s">
        <v>20572</v>
      </c>
      <c r="S3523" s="11" t="s">
        <v>20573</v>
      </c>
      <c r="T3523" s="6"/>
      <c r="U3523" s="15" t="str">
        <f>HYPERLINK("https://media.infra-m.ru/1836/1836393/cover/1836393.jpg", "Обложка")</f>
        <v>Обложка</v>
      </c>
      <c r="V3523" s="8" t="s">
        <v>2055</v>
      </c>
      <c r="W3523" s="6"/>
      <c r="X3523" s="6"/>
      <c r="Y3523" s="6"/>
      <c r="Z3523" s="6"/>
      <c r="AA3523" s="6" t="s">
        <v>20574</v>
      </c>
      <c r="AB3523" s="8"/>
      <c r="AC3523" s="27">
        <v>9785977603201</v>
      </c>
    </row>
    <row r="3524" spans="1:29" s="4" customFormat="1" ht="51.9" customHeight="1" x14ac:dyDescent="0.2">
      <c r="A3524" s="5">
        <v>0</v>
      </c>
      <c r="B3524" s="6" t="s">
        <v>20575</v>
      </c>
      <c r="C3524" s="7">
        <v>4680</v>
      </c>
      <c r="D3524" s="8" t="s">
        <v>20576</v>
      </c>
      <c r="E3524" s="8" t="s">
        <v>20577</v>
      </c>
      <c r="F3524" s="8" t="s">
        <v>20570</v>
      </c>
      <c r="G3524" s="6" t="s">
        <v>60</v>
      </c>
      <c r="H3524" s="6" t="s">
        <v>34</v>
      </c>
      <c r="I3524" s="8"/>
      <c r="J3524" s="9">
        <v>1</v>
      </c>
      <c r="K3524" s="9">
        <v>672</v>
      </c>
      <c r="L3524" s="9">
        <v>2027</v>
      </c>
      <c r="M3524" s="8" t="s">
        <v>20578</v>
      </c>
      <c r="N3524" s="8" t="s">
        <v>37</v>
      </c>
      <c r="O3524" s="8" t="s">
        <v>280</v>
      </c>
      <c r="P3524" s="6" t="s">
        <v>306</v>
      </c>
      <c r="Q3524" s="8" t="s">
        <v>52</v>
      </c>
      <c r="R3524" s="10" t="s">
        <v>20572</v>
      </c>
      <c r="S3524" s="11" t="s">
        <v>20573</v>
      </c>
      <c r="T3524" s="6"/>
      <c r="U3524" s="15" t="str">
        <f>HYPERLINK("https://media.infra-m.ru/2263/2263124/cover/2263124.jpg", "Обложка")</f>
        <v>Обложка</v>
      </c>
      <c r="V3524" s="8" t="s">
        <v>2055</v>
      </c>
      <c r="W3524" s="6"/>
      <c r="X3524" s="6"/>
      <c r="Y3524" s="6"/>
      <c r="Z3524" s="6"/>
      <c r="AA3524" s="6" t="s">
        <v>20579</v>
      </c>
      <c r="AB3524" s="8"/>
      <c r="AC3524" s="27">
        <v>9785160223599</v>
      </c>
    </row>
    <row r="3525" spans="1:29" s="4" customFormat="1" ht="51.9" customHeight="1" x14ac:dyDescent="0.2">
      <c r="A3525" s="5">
        <v>0</v>
      </c>
      <c r="B3525" s="6" t="s">
        <v>20580</v>
      </c>
      <c r="C3525" s="7">
        <v>2856</v>
      </c>
      <c r="D3525" s="8" t="s">
        <v>20581</v>
      </c>
      <c r="E3525" s="8" t="s">
        <v>20582</v>
      </c>
      <c r="F3525" s="8" t="s">
        <v>20563</v>
      </c>
      <c r="G3525" s="6" t="s">
        <v>118</v>
      </c>
      <c r="H3525" s="6" t="s">
        <v>34</v>
      </c>
      <c r="I3525" s="8"/>
      <c r="J3525" s="9">
        <v>1</v>
      </c>
      <c r="K3525" s="9">
        <v>432</v>
      </c>
      <c r="L3525" s="9">
        <v>2026</v>
      </c>
      <c r="M3525" s="8" t="s">
        <v>20583</v>
      </c>
      <c r="N3525" s="8" t="s">
        <v>37</v>
      </c>
      <c r="O3525" s="8" t="s">
        <v>280</v>
      </c>
      <c r="P3525" s="6" t="s">
        <v>306</v>
      </c>
      <c r="Q3525" s="8" t="s">
        <v>265</v>
      </c>
      <c r="R3525" s="10" t="s">
        <v>20565</v>
      </c>
      <c r="S3525" s="11" t="s">
        <v>20566</v>
      </c>
      <c r="T3525" s="6"/>
      <c r="U3525" s="15" t="str">
        <f>HYPERLINK("https://media.infra-m.ru/2243/2243220/cover/2243220.jpg", "Обложка")</f>
        <v>Обложка</v>
      </c>
      <c r="V3525" s="8" t="s">
        <v>2055</v>
      </c>
      <c r="W3525" s="6" t="s">
        <v>351</v>
      </c>
      <c r="X3525" s="6" t="s">
        <v>24</v>
      </c>
      <c r="Y3525" s="6"/>
      <c r="Z3525" s="6"/>
      <c r="AA3525" s="6" t="s">
        <v>3772</v>
      </c>
      <c r="AB3525" s="8"/>
      <c r="AC3525" s="27">
        <v>9785160219394</v>
      </c>
    </row>
    <row r="3526" spans="1:29" s="4" customFormat="1" ht="44.1" customHeight="1" x14ac:dyDescent="0.2">
      <c r="A3526" s="5">
        <v>0</v>
      </c>
      <c r="B3526" s="6" t="s">
        <v>20584</v>
      </c>
      <c r="C3526" s="7">
        <v>3348</v>
      </c>
      <c r="D3526" s="8" t="s">
        <v>20585</v>
      </c>
      <c r="E3526" s="8" t="s">
        <v>20512</v>
      </c>
      <c r="F3526" s="8" t="s">
        <v>20586</v>
      </c>
      <c r="G3526" s="6" t="s">
        <v>60</v>
      </c>
      <c r="H3526" s="6" t="s">
        <v>313</v>
      </c>
      <c r="I3526" s="8" t="s">
        <v>253</v>
      </c>
      <c r="J3526" s="9">
        <v>1</v>
      </c>
      <c r="K3526" s="9">
        <v>480</v>
      </c>
      <c r="L3526" s="9">
        <v>2026</v>
      </c>
      <c r="M3526" s="8" t="s">
        <v>20587</v>
      </c>
      <c r="N3526" s="8" t="s">
        <v>37</v>
      </c>
      <c r="O3526" s="8" t="s">
        <v>280</v>
      </c>
      <c r="P3526" s="6" t="s">
        <v>306</v>
      </c>
      <c r="Q3526" s="8" t="s">
        <v>52</v>
      </c>
      <c r="R3526" s="10" t="s">
        <v>20588</v>
      </c>
      <c r="S3526" s="11"/>
      <c r="T3526" s="6"/>
      <c r="U3526" s="15" t="str">
        <f>HYPERLINK("https://media.infra-m.ru/2258/2258023/cover/2258023.jpg", "Обложка")</f>
        <v>Обложка</v>
      </c>
      <c r="V3526" s="8" t="s">
        <v>644</v>
      </c>
      <c r="W3526" s="6"/>
      <c r="X3526" s="6"/>
      <c r="Y3526" s="6"/>
      <c r="Z3526" s="6"/>
      <c r="AA3526" s="6" t="s">
        <v>115</v>
      </c>
      <c r="AB3526" s="8"/>
      <c r="AC3526" s="27">
        <v>9785369018194</v>
      </c>
    </row>
    <row r="3527" spans="1:29" s="4" customFormat="1" ht="51.9" customHeight="1" x14ac:dyDescent="0.2">
      <c r="A3527" s="5">
        <v>0</v>
      </c>
      <c r="B3527" s="6" t="s">
        <v>20589</v>
      </c>
      <c r="C3527" s="7">
        <v>1900.8</v>
      </c>
      <c r="D3527" s="8" t="s">
        <v>20590</v>
      </c>
      <c r="E3527" s="8" t="s">
        <v>20512</v>
      </c>
      <c r="F3527" s="8" t="s">
        <v>18716</v>
      </c>
      <c r="G3527" s="6" t="s">
        <v>60</v>
      </c>
      <c r="H3527" s="6" t="s">
        <v>1042</v>
      </c>
      <c r="I3527" s="8" t="s">
        <v>263</v>
      </c>
      <c r="J3527" s="9">
        <v>1</v>
      </c>
      <c r="K3527" s="9">
        <v>304</v>
      </c>
      <c r="L3527" s="9">
        <v>2025</v>
      </c>
      <c r="M3527" s="8" t="s">
        <v>20591</v>
      </c>
      <c r="N3527" s="8" t="s">
        <v>37</v>
      </c>
      <c r="O3527" s="8" t="s">
        <v>280</v>
      </c>
      <c r="P3527" s="6" t="s">
        <v>51</v>
      </c>
      <c r="Q3527" s="8" t="s">
        <v>265</v>
      </c>
      <c r="R3527" s="10" t="s">
        <v>20592</v>
      </c>
      <c r="S3527" s="11" t="s">
        <v>4572</v>
      </c>
      <c r="T3527" s="6"/>
      <c r="U3527" s="15" t="str">
        <f>HYPERLINK("https://media.infra-m.ru/2202/2202174/cover/2202174.jpg", "Обложка")</f>
        <v>Обложка</v>
      </c>
      <c r="V3527" s="8" t="s">
        <v>1505</v>
      </c>
      <c r="W3527" s="6"/>
      <c r="X3527" s="6" t="s">
        <v>24</v>
      </c>
      <c r="Y3527" s="6"/>
      <c r="Z3527" s="6"/>
      <c r="AA3527" s="6" t="s">
        <v>13424</v>
      </c>
      <c r="AB3527" s="8"/>
      <c r="AC3527" s="27">
        <v>9785819901069</v>
      </c>
    </row>
    <row r="3528" spans="1:29" s="4" customFormat="1" ht="51.9" customHeight="1" x14ac:dyDescent="0.2">
      <c r="A3528" s="5">
        <v>0</v>
      </c>
      <c r="B3528" s="6" t="s">
        <v>20593</v>
      </c>
      <c r="C3528" s="7">
        <v>1972.8</v>
      </c>
      <c r="D3528" s="8" t="s">
        <v>20594</v>
      </c>
      <c r="E3528" s="8" t="s">
        <v>20512</v>
      </c>
      <c r="F3528" s="8" t="s">
        <v>20595</v>
      </c>
      <c r="G3528" s="6" t="s">
        <v>60</v>
      </c>
      <c r="H3528" s="6" t="s">
        <v>34</v>
      </c>
      <c r="I3528" s="8" t="s">
        <v>253</v>
      </c>
      <c r="J3528" s="9">
        <v>1</v>
      </c>
      <c r="K3528" s="9">
        <v>328</v>
      </c>
      <c r="L3528" s="9">
        <v>2025</v>
      </c>
      <c r="M3528" s="8" t="s">
        <v>20596</v>
      </c>
      <c r="N3528" s="8" t="s">
        <v>37</v>
      </c>
      <c r="O3528" s="8" t="s">
        <v>280</v>
      </c>
      <c r="P3528" s="6" t="s">
        <v>51</v>
      </c>
      <c r="Q3528" s="8" t="s">
        <v>52</v>
      </c>
      <c r="R3528" s="10" t="s">
        <v>370</v>
      </c>
      <c r="S3528" s="11" t="s">
        <v>16802</v>
      </c>
      <c r="T3528" s="6" t="s">
        <v>97</v>
      </c>
      <c r="U3528" s="15" t="str">
        <f>HYPERLINK("https://media.infra-m.ru/2186/2186900/cover/2186900.jpg", "Обложка")</f>
        <v>Обложка</v>
      </c>
      <c r="V3528" s="8" t="s">
        <v>6224</v>
      </c>
      <c r="W3528" s="6"/>
      <c r="X3528" s="6"/>
      <c r="Y3528" s="6"/>
      <c r="Z3528" s="6"/>
      <c r="AA3528" s="6" t="s">
        <v>1047</v>
      </c>
      <c r="AB3528" s="8"/>
      <c r="AC3528" s="27">
        <v>9785160095387</v>
      </c>
    </row>
    <row r="3529" spans="1:29" s="4" customFormat="1" ht="51.9" customHeight="1" x14ac:dyDescent="0.2">
      <c r="A3529" s="5">
        <v>0</v>
      </c>
      <c r="B3529" s="6" t="s">
        <v>20597</v>
      </c>
      <c r="C3529" s="7">
        <v>2136</v>
      </c>
      <c r="D3529" s="8" t="s">
        <v>20598</v>
      </c>
      <c r="E3529" s="8" t="s">
        <v>20562</v>
      </c>
      <c r="F3529" s="8" t="s">
        <v>20599</v>
      </c>
      <c r="G3529" s="6" t="s">
        <v>118</v>
      </c>
      <c r="H3529" s="6" t="s">
        <v>34</v>
      </c>
      <c r="I3529" s="8" t="s">
        <v>263</v>
      </c>
      <c r="J3529" s="9">
        <v>1</v>
      </c>
      <c r="K3529" s="9">
        <v>342</v>
      </c>
      <c r="L3529" s="9">
        <v>2025</v>
      </c>
      <c r="M3529" s="8" t="s">
        <v>20600</v>
      </c>
      <c r="N3529" s="8" t="s">
        <v>37</v>
      </c>
      <c r="O3529" s="8" t="s">
        <v>280</v>
      </c>
      <c r="P3529" s="6" t="s">
        <v>51</v>
      </c>
      <c r="Q3529" s="8" t="s">
        <v>265</v>
      </c>
      <c r="R3529" s="10" t="s">
        <v>2200</v>
      </c>
      <c r="S3529" s="11" t="s">
        <v>4567</v>
      </c>
      <c r="T3529" s="6"/>
      <c r="U3529" s="15" t="str">
        <f>HYPERLINK("https://media.infra-m.ru/2181/2181293/cover/2181293.jpg", "Обложка")</f>
        <v>Обложка</v>
      </c>
      <c r="V3529" s="8" t="s">
        <v>1505</v>
      </c>
      <c r="W3529" s="6"/>
      <c r="X3529" s="6"/>
      <c r="Y3529" s="6"/>
      <c r="Z3529" s="6"/>
      <c r="AA3529" s="6" t="s">
        <v>623</v>
      </c>
      <c r="AB3529" s="8"/>
      <c r="AC3529" s="27">
        <v>9785160122335</v>
      </c>
    </row>
    <row r="3530" spans="1:29" s="4" customFormat="1" ht="51.9" customHeight="1" x14ac:dyDescent="0.2">
      <c r="A3530" s="5">
        <v>0</v>
      </c>
      <c r="B3530" s="6" t="s">
        <v>20601</v>
      </c>
      <c r="C3530" s="7">
        <v>1696.8</v>
      </c>
      <c r="D3530" s="8" t="s">
        <v>20602</v>
      </c>
      <c r="E3530" s="8" t="s">
        <v>20512</v>
      </c>
      <c r="F3530" s="8" t="s">
        <v>20603</v>
      </c>
      <c r="G3530" s="6" t="s">
        <v>118</v>
      </c>
      <c r="H3530" s="6" t="s">
        <v>241</v>
      </c>
      <c r="I3530" s="8"/>
      <c r="J3530" s="9">
        <v>1</v>
      </c>
      <c r="K3530" s="9">
        <v>272</v>
      </c>
      <c r="L3530" s="9">
        <v>2025</v>
      </c>
      <c r="M3530" s="8" t="s">
        <v>20604</v>
      </c>
      <c r="N3530" s="8" t="s">
        <v>37</v>
      </c>
      <c r="O3530" s="8" t="s">
        <v>280</v>
      </c>
      <c r="P3530" s="6" t="s">
        <v>51</v>
      </c>
      <c r="Q3530" s="8" t="s">
        <v>52</v>
      </c>
      <c r="R3530" s="10" t="s">
        <v>20605</v>
      </c>
      <c r="S3530" s="11"/>
      <c r="T3530" s="6"/>
      <c r="U3530" s="15" t="str">
        <f>HYPERLINK("https://media.infra-m.ru/2084/2084189/cover/2084189.jpg", "Обложка")</f>
        <v>Обложка</v>
      </c>
      <c r="V3530" s="8" t="s">
        <v>1527</v>
      </c>
      <c r="W3530" s="6"/>
      <c r="X3530" s="6"/>
      <c r="Y3530" s="6"/>
      <c r="Z3530" s="6"/>
      <c r="AA3530" s="6" t="s">
        <v>274</v>
      </c>
      <c r="AB3530" s="8"/>
      <c r="AC3530" s="27">
        <v>9785955803654</v>
      </c>
    </row>
    <row r="3531" spans="1:29" s="4" customFormat="1" ht="51.9" customHeight="1" x14ac:dyDescent="0.2">
      <c r="A3531" s="5">
        <v>0</v>
      </c>
      <c r="B3531" s="6" t="s">
        <v>20606</v>
      </c>
      <c r="C3531" s="7">
        <v>1792.8</v>
      </c>
      <c r="D3531" s="8" t="s">
        <v>20607</v>
      </c>
      <c r="E3531" s="8" t="s">
        <v>20512</v>
      </c>
      <c r="F3531" s="8" t="s">
        <v>20603</v>
      </c>
      <c r="G3531" s="6" t="s">
        <v>118</v>
      </c>
      <c r="H3531" s="6" t="s">
        <v>241</v>
      </c>
      <c r="I3531" s="8" t="s">
        <v>263</v>
      </c>
      <c r="J3531" s="9">
        <v>1</v>
      </c>
      <c r="K3531" s="9">
        <v>272</v>
      </c>
      <c r="L3531" s="9">
        <v>2026</v>
      </c>
      <c r="M3531" s="8" t="s">
        <v>20608</v>
      </c>
      <c r="N3531" s="8" t="s">
        <v>37</v>
      </c>
      <c r="O3531" s="8" t="s">
        <v>280</v>
      </c>
      <c r="P3531" s="6" t="s">
        <v>51</v>
      </c>
      <c r="Q3531" s="8" t="s">
        <v>265</v>
      </c>
      <c r="R3531" s="10" t="s">
        <v>20609</v>
      </c>
      <c r="S3531" s="11" t="s">
        <v>20610</v>
      </c>
      <c r="T3531" s="6"/>
      <c r="U3531" s="15" t="str">
        <f>HYPERLINK("https://media.infra-m.ru/2224/2224143/cover/2224143.jpg", "Обложка")</f>
        <v>Обложка</v>
      </c>
      <c r="V3531" s="8" t="s">
        <v>1527</v>
      </c>
      <c r="W3531" s="6"/>
      <c r="X3531" s="6" t="s">
        <v>24</v>
      </c>
      <c r="Y3531" s="6"/>
      <c r="Z3531" s="6" t="s">
        <v>267</v>
      </c>
      <c r="AA3531" s="6" t="s">
        <v>115</v>
      </c>
      <c r="AB3531" s="8"/>
      <c r="AC3531" s="27">
        <v>9785955806273</v>
      </c>
    </row>
    <row r="3532" spans="1:29" s="4" customFormat="1" ht="51.9" customHeight="1" x14ac:dyDescent="0.2">
      <c r="A3532" s="5">
        <v>0</v>
      </c>
      <c r="B3532" s="6" t="s">
        <v>20611</v>
      </c>
      <c r="C3532" s="7">
        <v>1372.8</v>
      </c>
      <c r="D3532" s="8" t="s">
        <v>20612</v>
      </c>
      <c r="E3532" s="8" t="s">
        <v>20512</v>
      </c>
      <c r="F3532" s="8" t="s">
        <v>20613</v>
      </c>
      <c r="G3532" s="6" t="s">
        <v>118</v>
      </c>
      <c r="H3532" s="6" t="s">
        <v>34</v>
      </c>
      <c r="I3532" s="8" t="s">
        <v>263</v>
      </c>
      <c r="J3532" s="9">
        <v>1</v>
      </c>
      <c r="K3532" s="9">
        <v>197</v>
      </c>
      <c r="L3532" s="9">
        <v>2027</v>
      </c>
      <c r="M3532" s="8" t="s">
        <v>20614</v>
      </c>
      <c r="N3532" s="8" t="s">
        <v>37</v>
      </c>
      <c r="O3532" s="8" t="s">
        <v>280</v>
      </c>
      <c r="P3532" s="6" t="s">
        <v>51</v>
      </c>
      <c r="Q3532" s="8" t="s">
        <v>265</v>
      </c>
      <c r="R3532" s="10" t="s">
        <v>20615</v>
      </c>
      <c r="S3532" s="11" t="s">
        <v>20616</v>
      </c>
      <c r="T3532" s="6"/>
      <c r="U3532" s="15" t="str">
        <f>HYPERLINK("https://media.infra-m.ru/2263/2263952/cover/2263952.jpg", "Обложка")</f>
        <v>Обложка</v>
      </c>
      <c r="V3532" s="8" t="s">
        <v>657</v>
      </c>
      <c r="W3532" s="6"/>
      <c r="X3532" s="6" t="s">
        <v>24</v>
      </c>
      <c r="Y3532" s="6"/>
      <c r="Z3532" s="6"/>
      <c r="AA3532" s="6" t="s">
        <v>99</v>
      </c>
      <c r="AB3532" s="8"/>
      <c r="AC3532" s="27">
        <v>9785160124476</v>
      </c>
    </row>
    <row r="3533" spans="1:29" s="4" customFormat="1" ht="51.9" customHeight="1" x14ac:dyDescent="0.2">
      <c r="A3533" s="5">
        <v>0</v>
      </c>
      <c r="B3533" s="6" t="s">
        <v>20617</v>
      </c>
      <c r="C3533" s="7">
        <v>1600.8</v>
      </c>
      <c r="D3533" s="8" t="s">
        <v>20618</v>
      </c>
      <c r="E3533" s="8" t="s">
        <v>20562</v>
      </c>
      <c r="F3533" s="8" t="s">
        <v>13556</v>
      </c>
      <c r="G3533" s="6" t="s">
        <v>60</v>
      </c>
      <c r="H3533" s="6" t="s">
        <v>34</v>
      </c>
      <c r="I3533" s="8" t="s">
        <v>271</v>
      </c>
      <c r="J3533" s="9">
        <v>1</v>
      </c>
      <c r="K3533" s="9">
        <v>256</v>
      </c>
      <c r="L3533" s="9">
        <v>2025</v>
      </c>
      <c r="M3533" s="8" t="s">
        <v>20619</v>
      </c>
      <c r="N3533" s="8" t="s">
        <v>37</v>
      </c>
      <c r="O3533" s="8" t="s">
        <v>280</v>
      </c>
      <c r="P3533" s="6" t="s">
        <v>51</v>
      </c>
      <c r="Q3533" s="8" t="s">
        <v>52</v>
      </c>
      <c r="R3533" s="10" t="s">
        <v>20620</v>
      </c>
      <c r="S3533" s="11" t="s">
        <v>12055</v>
      </c>
      <c r="T3533" s="6"/>
      <c r="U3533" s="15" t="str">
        <f>HYPERLINK("https://media.infra-m.ru/2196/2196873/cover/2196873.jpg", "Обложка")</f>
        <v>Обложка</v>
      </c>
      <c r="V3533" s="8" t="s">
        <v>5964</v>
      </c>
      <c r="W3533" s="6"/>
      <c r="X3533" s="6" t="s">
        <v>24</v>
      </c>
      <c r="Y3533" s="6"/>
      <c r="Z3533" s="6"/>
      <c r="AA3533" s="6" t="s">
        <v>859</v>
      </c>
      <c r="AB3533" s="8"/>
      <c r="AC3533" s="27">
        <v>9785160064017</v>
      </c>
    </row>
    <row r="3534" spans="1:29" s="4" customFormat="1" ht="51.9" customHeight="1" x14ac:dyDescent="0.2">
      <c r="A3534" s="5">
        <v>0</v>
      </c>
      <c r="B3534" s="6" t="s">
        <v>20621</v>
      </c>
      <c r="C3534" s="7">
        <v>2296.8000000000002</v>
      </c>
      <c r="D3534" s="8" t="s">
        <v>20622</v>
      </c>
      <c r="E3534" s="8" t="s">
        <v>20623</v>
      </c>
      <c r="F3534" s="8" t="s">
        <v>5930</v>
      </c>
      <c r="G3534" s="6" t="s">
        <v>118</v>
      </c>
      <c r="H3534" s="6" t="s">
        <v>34</v>
      </c>
      <c r="I3534" s="8" t="s">
        <v>5931</v>
      </c>
      <c r="J3534" s="9">
        <v>1</v>
      </c>
      <c r="K3534" s="9">
        <v>367</v>
      </c>
      <c r="L3534" s="9">
        <v>2026</v>
      </c>
      <c r="M3534" s="8" t="s">
        <v>20624</v>
      </c>
      <c r="N3534" s="8" t="s">
        <v>37</v>
      </c>
      <c r="O3534" s="8" t="s">
        <v>280</v>
      </c>
      <c r="P3534" s="6" t="s">
        <v>51</v>
      </c>
      <c r="Q3534" s="8" t="s">
        <v>52</v>
      </c>
      <c r="R3534" s="10" t="s">
        <v>370</v>
      </c>
      <c r="S3534" s="11" t="s">
        <v>20625</v>
      </c>
      <c r="T3534" s="6"/>
      <c r="U3534" s="15" t="str">
        <f>HYPERLINK("https://media.infra-m.ru/2192/2192554/cover/2192554.jpg", "Обложка")</f>
        <v>Обложка</v>
      </c>
      <c r="V3534" s="8" t="s">
        <v>3196</v>
      </c>
      <c r="W3534" s="6"/>
      <c r="X3534" s="6"/>
      <c r="Y3534" s="6"/>
      <c r="Z3534" s="6"/>
      <c r="AA3534" s="6" t="s">
        <v>1375</v>
      </c>
      <c r="AB3534" s="8"/>
      <c r="AC3534" s="27">
        <v>9785160170176</v>
      </c>
    </row>
    <row r="3535" spans="1:29" s="4" customFormat="1" ht="51.9" customHeight="1" x14ac:dyDescent="0.2">
      <c r="A3535" s="5">
        <v>0</v>
      </c>
      <c r="B3535" s="6" t="s">
        <v>20626</v>
      </c>
      <c r="C3535" s="7">
        <v>2400</v>
      </c>
      <c r="D3535" s="8" t="s">
        <v>20627</v>
      </c>
      <c r="E3535" s="8" t="s">
        <v>20628</v>
      </c>
      <c r="F3535" s="8" t="s">
        <v>20629</v>
      </c>
      <c r="G3535" s="6" t="s">
        <v>60</v>
      </c>
      <c r="H3535" s="6" t="s">
        <v>34</v>
      </c>
      <c r="I3535" s="8" t="s">
        <v>253</v>
      </c>
      <c r="J3535" s="9">
        <v>1</v>
      </c>
      <c r="K3535" s="9">
        <v>363</v>
      </c>
      <c r="L3535" s="9">
        <v>2026</v>
      </c>
      <c r="M3535" s="8" t="s">
        <v>20630</v>
      </c>
      <c r="N3535" s="8" t="s">
        <v>37</v>
      </c>
      <c r="O3535" s="8" t="s">
        <v>280</v>
      </c>
      <c r="P3535" s="6" t="s">
        <v>51</v>
      </c>
      <c r="Q3535" s="8" t="s">
        <v>52</v>
      </c>
      <c r="R3535" s="10" t="s">
        <v>370</v>
      </c>
      <c r="S3535" s="11" t="s">
        <v>20631</v>
      </c>
      <c r="T3535" s="6"/>
      <c r="U3535" s="15" t="str">
        <f>HYPERLINK("https://media.infra-m.ru/2221/2221042/cover/2221042.jpg", "Обложка")</f>
        <v>Обложка</v>
      </c>
      <c r="V3535" s="8" t="s">
        <v>3196</v>
      </c>
      <c r="W3535" s="6" t="s">
        <v>342</v>
      </c>
      <c r="X3535" s="6"/>
      <c r="Y3535" s="6"/>
      <c r="Z3535" s="6"/>
      <c r="AA3535" s="6" t="s">
        <v>6893</v>
      </c>
      <c r="AB3535" s="8"/>
      <c r="AC3535" s="27">
        <v>9785160212791</v>
      </c>
    </row>
    <row r="3536" spans="1:29" s="4" customFormat="1" ht="42" customHeight="1" x14ac:dyDescent="0.2">
      <c r="A3536" s="5">
        <v>0</v>
      </c>
      <c r="B3536" s="6" t="s">
        <v>20632</v>
      </c>
      <c r="C3536" s="7">
        <v>1180.8</v>
      </c>
      <c r="D3536" s="8" t="s">
        <v>20633</v>
      </c>
      <c r="E3536" s="8" t="s">
        <v>20512</v>
      </c>
      <c r="F3536" s="8" t="s">
        <v>20634</v>
      </c>
      <c r="G3536" s="6" t="s">
        <v>60</v>
      </c>
      <c r="H3536" s="6" t="s">
        <v>34</v>
      </c>
      <c r="I3536" s="8" t="s">
        <v>263</v>
      </c>
      <c r="J3536" s="9">
        <v>1</v>
      </c>
      <c r="K3536" s="9">
        <v>169</v>
      </c>
      <c r="L3536" s="9">
        <v>2025</v>
      </c>
      <c r="M3536" s="8" t="s">
        <v>20635</v>
      </c>
      <c r="N3536" s="8" t="s">
        <v>37</v>
      </c>
      <c r="O3536" s="8" t="s">
        <v>280</v>
      </c>
      <c r="P3536" s="6" t="s">
        <v>51</v>
      </c>
      <c r="Q3536" s="8" t="s">
        <v>265</v>
      </c>
      <c r="R3536" s="10" t="s">
        <v>3777</v>
      </c>
      <c r="S3536" s="11"/>
      <c r="T3536" s="6"/>
      <c r="U3536" s="15" t="str">
        <f>HYPERLINK("https://media.infra-m.ru/2228/2228301/cover/2228301.jpg", "Обложка")</f>
        <v>Обложка</v>
      </c>
      <c r="V3536" s="8" t="s">
        <v>911</v>
      </c>
      <c r="W3536" s="6"/>
      <c r="X3536" s="6"/>
      <c r="Y3536" s="6"/>
      <c r="Z3536" s="6"/>
      <c r="AA3536" s="6" t="s">
        <v>68</v>
      </c>
      <c r="AB3536" s="8"/>
      <c r="AC3536" s="27">
        <v>9785160208282</v>
      </c>
    </row>
    <row r="3537" spans="1:29" s="4" customFormat="1" ht="51.9" customHeight="1" x14ac:dyDescent="0.2">
      <c r="A3537" s="5">
        <v>0</v>
      </c>
      <c r="B3537" s="6" t="s">
        <v>20636</v>
      </c>
      <c r="C3537" s="7">
        <v>1600.8</v>
      </c>
      <c r="D3537" s="8" t="s">
        <v>20637</v>
      </c>
      <c r="E3537" s="8" t="s">
        <v>20638</v>
      </c>
      <c r="F3537" s="8" t="s">
        <v>20639</v>
      </c>
      <c r="G3537" s="6" t="s">
        <v>60</v>
      </c>
      <c r="H3537" s="6" t="s">
        <v>5605</v>
      </c>
      <c r="I3537" s="8" t="s">
        <v>253</v>
      </c>
      <c r="J3537" s="9">
        <v>1</v>
      </c>
      <c r="K3537" s="9">
        <v>288</v>
      </c>
      <c r="L3537" s="9">
        <v>2024</v>
      </c>
      <c r="M3537" s="8" t="s">
        <v>20640</v>
      </c>
      <c r="N3537" s="8" t="s">
        <v>37</v>
      </c>
      <c r="O3537" s="8" t="s">
        <v>280</v>
      </c>
      <c r="P3537" s="6" t="s">
        <v>51</v>
      </c>
      <c r="Q3537" s="8" t="s">
        <v>52</v>
      </c>
      <c r="R3537" s="10" t="s">
        <v>20641</v>
      </c>
      <c r="S3537" s="11" t="s">
        <v>20642</v>
      </c>
      <c r="T3537" s="6"/>
      <c r="U3537" s="15" t="str">
        <f>HYPERLINK("https://media.infra-m.ru/2053/2053220/cover/2053220.jpg", "Обложка")</f>
        <v>Обложка</v>
      </c>
      <c r="V3537" s="8" t="s">
        <v>20643</v>
      </c>
      <c r="W3537" s="6"/>
      <c r="X3537" s="6"/>
      <c r="Y3537" s="6"/>
      <c r="Z3537" s="6"/>
      <c r="AA3537" s="6" t="s">
        <v>129</v>
      </c>
      <c r="AB3537" s="8"/>
      <c r="AC3537" s="27">
        <v>9785160045597</v>
      </c>
    </row>
    <row r="3538" spans="1:29" s="4" customFormat="1" ht="51.9" customHeight="1" x14ac:dyDescent="0.2">
      <c r="A3538" s="5">
        <v>0</v>
      </c>
      <c r="B3538" s="6" t="s">
        <v>20644</v>
      </c>
      <c r="C3538" s="7">
        <v>1000.8</v>
      </c>
      <c r="D3538" s="8" t="s">
        <v>20645</v>
      </c>
      <c r="E3538" s="8" t="s">
        <v>20646</v>
      </c>
      <c r="F3538" s="8" t="s">
        <v>20647</v>
      </c>
      <c r="G3538" s="6" t="s">
        <v>33</v>
      </c>
      <c r="H3538" s="6" t="s">
        <v>241</v>
      </c>
      <c r="I3538" s="8" t="s">
        <v>3496</v>
      </c>
      <c r="J3538" s="9">
        <v>1</v>
      </c>
      <c r="K3538" s="9">
        <v>160</v>
      </c>
      <c r="L3538" s="9">
        <v>2026</v>
      </c>
      <c r="M3538" s="8" t="s">
        <v>20648</v>
      </c>
      <c r="N3538" s="8" t="s">
        <v>63</v>
      </c>
      <c r="O3538" s="8" t="s">
        <v>154</v>
      </c>
      <c r="P3538" s="6" t="s">
        <v>39</v>
      </c>
      <c r="Q3538" s="8" t="s">
        <v>40</v>
      </c>
      <c r="R3538" s="10" t="s">
        <v>20649</v>
      </c>
      <c r="S3538" s="11"/>
      <c r="T3538" s="6" t="s">
        <v>97</v>
      </c>
      <c r="U3538" s="15" t="str">
        <f>HYPERLINK("https://media.infra-m.ru/2216/2216833/cover/2216833.jpg", "Обложка")</f>
        <v>Обложка</v>
      </c>
      <c r="V3538" s="8" t="s">
        <v>2389</v>
      </c>
      <c r="W3538" s="6"/>
      <c r="X3538" s="6"/>
      <c r="Y3538" s="6"/>
      <c r="Z3538" s="6"/>
      <c r="AA3538" s="6" t="s">
        <v>99</v>
      </c>
      <c r="AB3538" s="8"/>
      <c r="AC3538" s="27">
        <v>9785955805610</v>
      </c>
    </row>
    <row r="3539" spans="1:29" s="4" customFormat="1" ht="51.9" customHeight="1" x14ac:dyDescent="0.2">
      <c r="A3539" s="5">
        <v>0</v>
      </c>
      <c r="B3539" s="6" t="s">
        <v>20650</v>
      </c>
      <c r="C3539" s="13">
        <v>940.8</v>
      </c>
      <c r="D3539" s="8" t="s">
        <v>20651</v>
      </c>
      <c r="E3539" s="8" t="s">
        <v>20652</v>
      </c>
      <c r="F3539" s="8" t="s">
        <v>20653</v>
      </c>
      <c r="G3539" s="6" t="s">
        <v>33</v>
      </c>
      <c r="H3539" s="6" t="s">
        <v>34</v>
      </c>
      <c r="I3539" s="8" t="s">
        <v>35</v>
      </c>
      <c r="J3539" s="9">
        <v>1</v>
      </c>
      <c r="K3539" s="9">
        <v>150</v>
      </c>
      <c r="L3539" s="9">
        <v>2025</v>
      </c>
      <c r="M3539" s="8" t="s">
        <v>20654</v>
      </c>
      <c r="N3539" s="8" t="s">
        <v>63</v>
      </c>
      <c r="O3539" s="8" t="s">
        <v>126</v>
      </c>
      <c r="P3539" s="6" t="s">
        <v>39</v>
      </c>
      <c r="Q3539" s="8" t="s">
        <v>40</v>
      </c>
      <c r="R3539" s="10" t="s">
        <v>20655</v>
      </c>
      <c r="S3539" s="11"/>
      <c r="T3539" s="6"/>
      <c r="U3539" s="15" t="str">
        <f>HYPERLINK("https://media.infra-m.ru/2200/2200101/cover/2200101.jpg", "Обложка")</f>
        <v>Обложка</v>
      </c>
      <c r="V3539" s="8" t="s">
        <v>3595</v>
      </c>
      <c r="W3539" s="6"/>
      <c r="X3539" s="6"/>
      <c r="Y3539" s="6"/>
      <c r="Z3539" s="6"/>
      <c r="AA3539" s="6" t="s">
        <v>86</v>
      </c>
      <c r="AB3539" s="8"/>
      <c r="AC3539" s="27">
        <v>9785160141558</v>
      </c>
    </row>
    <row r="3540" spans="1:29" s="4" customFormat="1" ht="51.9" customHeight="1" x14ac:dyDescent="0.2">
      <c r="A3540" s="5">
        <v>0</v>
      </c>
      <c r="B3540" s="6" t="s">
        <v>20656</v>
      </c>
      <c r="C3540" s="7">
        <v>1240.8</v>
      </c>
      <c r="D3540" s="8" t="s">
        <v>20657</v>
      </c>
      <c r="E3540" s="8" t="s">
        <v>20658</v>
      </c>
      <c r="F3540" s="8" t="s">
        <v>20659</v>
      </c>
      <c r="G3540" s="6" t="s">
        <v>118</v>
      </c>
      <c r="H3540" s="6" t="s">
        <v>34</v>
      </c>
      <c r="I3540" s="8" t="s">
        <v>263</v>
      </c>
      <c r="J3540" s="9">
        <v>1</v>
      </c>
      <c r="K3540" s="9">
        <v>178</v>
      </c>
      <c r="L3540" s="9">
        <v>2026</v>
      </c>
      <c r="M3540" s="8" t="s">
        <v>20660</v>
      </c>
      <c r="N3540" s="8" t="s">
        <v>37</v>
      </c>
      <c r="O3540" s="8" t="s">
        <v>499</v>
      </c>
      <c r="P3540" s="6" t="s">
        <v>51</v>
      </c>
      <c r="Q3540" s="8" t="s">
        <v>265</v>
      </c>
      <c r="R3540" s="10" t="s">
        <v>14290</v>
      </c>
      <c r="S3540" s="11" t="s">
        <v>20661</v>
      </c>
      <c r="T3540" s="6"/>
      <c r="U3540" s="15" t="str">
        <f>HYPERLINK("https://media.infra-m.ru/2258/2258090/cover/2258090.jpg", "Обложка")</f>
        <v>Обложка</v>
      </c>
      <c r="V3540" s="8" t="s">
        <v>396</v>
      </c>
      <c r="W3540" s="6"/>
      <c r="X3540" s="6"/>
      <c r="Y3540" s="6"/>
      <c r="Z3540" s="6"/>
      <c r="AA3540" s="6" t="s">
        <v>896</v>
      </c>
      <c r="AB3540" s="8"/>
      <c r="AC3540" s="27">
        <v>9785160168463</v>
      </c>
    </row>
    <row r="3541" spans="1:29" s="4" customFormat="1" ht="51.9" customHeight="1" x14ac:dyDescent="0.2">
      <c r="A3541" s="5">
        <v>0</v>
      </c>
      <c r="B3541" s="6" t="s">
        <v>20662</v>
      </c>
      <c r="C3541" s="13">
        <v>660</v>
      </c>
      <c r="D3541" s="8" t="s">
        <v>20663</v>
      </c>
      <c r="E3541" s="8" t="s">
        <v>20664</v>
      </c>
      <c r="F3541" s="8" t="s">
        <v>20659</v>
      </c>
      <c r="G3541" s="6" t="s">
        <v>33</v>
      </c>
      <c r="H3541" s="6" t="s">
        <v>1042</v>
      </c>
      <c r="I3541" s="8" t="s">
        <v>401</v>
      </c>
      <c r="J3541" s="9">
        <v>1</v>
      </c>
      <c r="K3541" s="9">
        <v>152</v>
      </c>
      <c r="L3541" s="9">
        <v>2021</v>
      </c>
      <c r="M3541" s="8" t="s">
        <v>20665</v>
      </c>
      <c r="N3541" s="8" t="s">
        <v>37</v>
      </c>
      <c r="O3541" s="8" t="s">
        <v>499</v>
      </c>
      <c r="P3541" s="6" t="s">
        <v>51</v>
      </c>
      <c r="Q3541" s="8" t="s">
        <v>265</v>
      </c>
      <c r="R3541" s="10" t="s">
        <v>14290</v>
      </c>
      <c r="S3541" s="11" t="s">
        <v>20666</v>
      </c>
      <c r="T3541" s="6"/>
      <c r="U3541" s="15" t="str">
        <f>HYPERLINK("https://media.infra-m.ru/1234/1234626/cover/1234626.jpg", "Обложка")</f>
        <v>Обложка</v>
      </c>
      <c r="V3541" s="8" t="s">
        <v>396</v>
      </c>
      <c r="W3541" s="6"/>
      <c r="X3541" s="6"/>
      <c r="Y3541" s="6"/>
      <c r="Z3541" s="6"/>
      <c r="AA3541" s="6" t="s">
        <v>248</v>
      </c>
      <c r="AB3541" s="8"/>
      <c r="AC3541" s="27">
        <v>9785819909195</v>
      </c>
    </row>
    <row r="3542" spans="1:29" s="4" customFormat="1" ht="42" customHeight="1" x14ac:dyDescent="0.2">
      <c r="A3542" s="5">
        <v>0</v>
      </c>
      <c r="B3542" s="6" t="s">
        <v>20667</v>
      </c>
      <c r="C3542" s="7">
        <v>1252.8</v>
      </c>
      <c r="D3542" s="8" t="s">
        <v>20668</v>
      </c>
      <c r="E3542" s="8" t="s">
        <v>20669</v>
      </c>
      <c r="F3542" s="8" t="s">
        <v>20670</v>
      </c>
      <c r="G3542" s="6" t="s">
        <v>33</v>
      </c>
      <c r="H3542" s="6" t="s">
        <v>313</v>
      </c>
      <c r="I3542" s="8" t="s">
        <v>35</v>
      </c>
      <c r="J3542" s="9">
        <v>1</v>
      </c>
      <c r="K3542" s="9">
        <v>231</v>
      </c>
      <c r="L3542" s="9">
        <v>2023</v>
      </c>
      <c r="M3542" s="8" t="s">
        <v>20671</v>
      </c>
      <c r="N3542" s="8" t="s">
        <v>37</v>
      </c>
      <c r="O3542" s="8" t="s">
        <v>136</v>
      </c>
      <c r="P3542" s="6" t="s">
        <v>39</v>
      </c>
      <c r="Q3542" s="8" t="s">
        <v>40</v>
      </c>
      <c r="R3542" s="10" t="s">
        <v>1631</v>
      </c>
      <c r="S3542" s="11"/>
      <c r="T3542" s="6"/>
      <c r="U3542" s="15" t="str">
        <f>HYPERLINK("https://media.infra-m.ru/1911/1911111/cover/1911111.jpg", "Обложка")</f>
        <v>Обложка</v>
      </c>
      <c r="V3542" s="8" t="s">
        <v>1949</v>
      </c>
      <c r="W3542" s="6"/>
      <c r="X3542" s="6"/>
      <c r="Y3542" s="6"/>
      <c r="Z3542" s="6"/>
      <c r="AA3542" s="6" t="s">
        <v>404</v>
      </c>
      <c r="AB3542" s="8"/>
      <c r="AC3542" s="27">
        <v>9785369013359</v>
      </c>
    </row>
    <row r="3543" spans="1:29" s="4" customFormat="1" ht="42" customHeight="1" x14ac:dyDescent="0.2">
      <c r="A3543" s="5">
        <v>0</v>
      </c>
      <c r="B3543" s="6" t="s">
        <v>20672</v>
      </c>
      <c r="C3543" s="13">
        <v>977.9</v>
      </c>
      <c r="D3543" s="8" t="s">
        <v>20673</v>
      </c>
      <c r="E3543" s="8" t="s">
        <v>20674</v>
      </c>
      <c r="F3543" s="8" t="s">
        <v>20670</v>
      </c>
      <c r="G3543" s="6" t="s">
        <v>33</v>
      </c>
      <c r="H3543" s="6" t="s">
        <v>313</v>
      </c>
      <c r="I3543" s="8" t="s">
        <v>35</v>
      </c>
      <c r="J3543" s="9">
        <v>1</v>
      </c>
      <c r="K3543" s="9">
        <v>231</v>
      </c>
      <c r="L3543" s="9">
        <v>2020</v>
      </c>
      <c r="M3543" s="8" t="s">
        <v>20671</v>
      </c>
      <c r="N3543" s="8" t="s">
        <v>37</v>
      </c>
      <c r="O3543" s="8" t="s">
        <v>136</v>
      </c>
      <c r="P3543" s="6" t="s">
        <v>39</v>
      </c>
      <c r="Q3543" s="8" t="s">
        <v>40</v>
      </c>
      <c r="R3543" s="10" t="s">
        <v>1631</v>
      </c>
      <c r="S3543" s="11"/>
      <c r="T3543" s="6"/>
      <c r="U3543" s="15" t="str">
        <f>HYPERLINK("https://media.infra-m.ru/1081/1081381/cover/1081381.jpg", "Обложка")</f>
        <v>Обложка</v>
      </c>
      <c r="V3543" s="8" t="s">
        <v>1949</v>
      </c>
      <c r="W3543" s="6"/>
      <c r="X3543" s="6"/>
      <c r="Y3543" s="6"/>
      <c r="Z3543" s="6"/>
      <c r="AA3543" s="6" t="s">
        <v>248</v>
      </c>
      <c r="AB3543" s="8"/>
      <c r="AC3543" s="27">
        <v>9785369013359</v>
      </c>
    </row>
    <row r="3544" spans="1:29" s="4" customFormat="1" ht="42" customHeight="1" x14ac:dyDescent="0.2">
      <c r="A3544" s="5">
        <v>0</v>
      </c>
      <c r="B3544" s="6" t="s">
        <v>20675</v>
      </c>
      <c r="C3544" s="13">
        <v>564</v>
      </c>
      <c r="D3544" s="8" t="s">
        <v>20676</v>
      </c>
      <c r="E3544" s="8" t="s">
        <v>20677</v>
      </c>
      <c r="F3544" s="8" t="s">
        <v>20678</v>
      </c>
      <c r="G3544" s="6" t="s">
        <v>33</v>
      </c>
      <c r="H3544" s="6" t="s">
        <v>134</v>
      </c>
      <c r="I3544" s="8"/>
      <c r="J3544" s="9">
        <v>1</v>
      </c>
      <c r="K3544" s="9">
        <v>80</v>
      </c>
      <c r="L3544" s="9">
        <v>2026</v>
      </c>
      <c r="M3544" s="8" t="s">
        <v>20679</v>
      </c>
      <c r="N3544" s="8" t="s">
        <v>37</v>
      </c>
      <c r="O3544" s="8" t="s">
        <v>280</v>
      </c>
      <c r="P3544" s="6" t="s">
        <v>39</v>
      </c>
      <c r="Q3544" s="8" t="s">
        <v>40</v>
      </c>
      <c r="R3544" s="10" t="s">
        <v>20680</v>
      </c>
      <c r="S3544" s="11"/>
      <c r="T3544" s="6"/>
      <c r="U3544" s="15" t="str">
        <f>HYPERLINK("https://media.infra-m.ru/2258/2258738/cover/2258738.jpg", "Обложка")</f>
        <v>Обложка</v>
      </c>
      <c r="V3544" s="8" t="s">
        <v>1069</v>
      </c>
      <c r="W3544" s="6"/>
      <c r="X3544" s="6"/>
      <c r="Y3544" s="6"/>
      <c r="Z3544" s="6"/>
      <c r="AA3544" s="6" t="s">
        <v>99</v>
      </c>
      <c r="AB3544" s="8"/>
      <c r="AC3544" s="27">
        <v>9785917687780</v>
      </c>
    </row>
    <row r="3545" spans="1:29" s="4" customFormat="1" ht="44.1" customHeight="1" x14ac:dyDescent="0.2">
      <c r="A3545" s="5">
        <v>0</v>
      </c>
      <c r="B3545" s="6" t="s">
        <v>20681</v>
      </c>
      <c r="C3545" s="7">
        <v>1500</v>
      </c>
      <c r="D3545" s="8" t="s">
        <v>20682</v>
      </c>
      <c r="E3545" s="8" t="s">
        <v>20683</v>
      </c>
      <c r="F3545" s="8" t="s">
        <v>20684</v>
      </c>
      <c r="G3545" s="6" t="s">
        <v>60</v>
      </c>
      <c r="H3545" s="6" t="s">
        <v>34</v>
      </c>
      <c r="I3545" s="8" t="s">
        <v>35</v>
      </c>
      <c r="J3545" s="9">
        <v>1</v>
      </c>
      <c r="K3545" s="9">
        <v>220</v>
      </c>
      <c r="L3545" s="9">
        <v>2026</v>
      </c>
      <c r="M3545" s="8" t="s">
        <v>20685</v>
      </c>
      <c r="N3545" s="8" t="s">
        <v>37</v>
      </c>
      <c r="O3545" s="8" t="s">
        <v>136</v>
      </c>
      <c r="P3545" s="6" t="s">
        <v>39</v>
      </c>
      <c r="Q3545" s="8" t="s">
        <v>40</v>
      </c>
      <c r="R3545" s="10" t="s">
        <v>9992</v>
      </c>
      <c r="S3545" s="11"/>
      <c r="T3545" s="6"/>
      <c r="U3545" s="15" t="str">
        <f>HYPERLINK("https://media.infra-m.ru/2188/2188099/cover/2188099.jpg", "Обложка")</f>
        <v>Обложка</v>
      </c>
      <c r="V3545" s="8" t="s">
        <v>9227</v>
      </c>
      <c r="W3545" s="6"/>
      <c r="X3545" s="6"/>
      <c r="Y3545" s="6"/>
      <c r="Z3545" s="6"/>
      <c r="AA3545" s="6" t="s">
        <v>187</v>
      </c>
      <c r="AB3545" s="8"/>
      <c r="AC3545" s="27">
        <v>9785160206745</v>
      </c>
    </row>
    <row r="3546" spans="1:29" s="4" customFormat="1" ht="51.9" customHeight="1" x14ac:dyDescent="0.2">
      <c r="A3546" s="5">
        <v>0</v>
      </c>
      <c r="B3546" s="6" t="s">
        <v>20686</v>
      </c>
      <c r="C3546" s="7">
        <v>3232.8</v>
      </c>
      <c r="D3546" s="8" t="s">
        <v>20687</v>
      </c>
      <c r="E3546" s="8" t="s">
        <v>20688</v>
      </c>
      <c r="F3546" s="8" t="s">
        <v>17399</v>
      </c>
      <c r="G3546" s="6" t="s">
        <v>60</v>
      </c>
      <c r="H3546" s="6" t="s">
        <v>134</v>
      </c>
      <c r="I3546" s="8"/>
      <c r="J3546" s="9">
        <v>1</v>
      </c>
      <c r="K3546" s="9">
        <v>736</v>
      </c>
      <c r="L3546" s="9">
        <v>2026</v>
      </c>
      <c r="M3546" s="8" t="s">
        <v>20689</v>
      </c>
      <c r="N3546" s="8" t="s">
        <v>37</v>
      </c>
      <c r="O3546" s="8" t="s">
        <v>136</v>
      </c>
      <c r="P3546" s="6" t="s">
        <v>39</v>
      </c>
      <c r="Q3546" s="8" t="s">
        <v>40</v>
      </c>
      <c r="R3546" s="10" t="s">
        <v>1275</v>
      </c>
      <c r="S3546" s="11"/>
      <c r="T3546" s="6"/>
      <c r="U3546" s="15" t="str">
        <f>HYPERLINK("https://media.infra-m.ru/2225/2225677/cover/2225677.jpg", "Обложка")</f>
        <v>Обложка</v>
      </c>
      <c r="V3546" s="8" t="s">
        <v>657</v>
      </c>
      <c r="W3546" s="6"/>
      <c r="X3546" s="6"/>
      <c r="Y3546" s="6"/>
      <c r="Z3546" s="6"/>
      <c r="AA3546" s="6" t="s">
        <v>43</v>
      </c>
      <c r="AB3546" s="8"/>
      <c r="AC3546" s="27">
        <v>9785917682174</v>
      </c>
    </row>
    <row r="3547" spans="1:29" s="4" customFormat="1" ht="51.9" customHeight="1" x14ac:dyDescent="0.2">
      <c r="A3547" s="5">
        <v>0</v>
      </c>
      <c r="B3547" s="6" t="s">
        <v>20690</v>
      </c>
      <c r="C3547" s="7">
        <v>2044.8</v>
      </c>
      <c r="D3547" s="8" t="s">
        <v>20691</v>
      </c>
      <c r="E3547" s="8" t="s">
        <v>20692</v>
      </c>
      <c r="F3547" s="8" t="s">
        <v>14905</v>
      </c>
      <c r="G3547" s="6" t="s">
        <v>33</v>
      </c>
      <c r="H3547" s="6" t="s">
        <v>34</v>
      </c>
      <c r="I3547" s="8" t="s">
        <v>35</v>
      </c>
      <c r="J3547" s="9">
        <v>1</v>
      </c>
      <c r="K3547" s="9">
        <v>310</v>
      </c>
      <c r="L3547" s="9">
        <v>2026</v>
      </c>
      <c r="M3547" s="8" t="s">
        <v>20693</v>
      </c>
      <c r="N3547" s="8" t="s">
        <v>243</v>
      </c>
      <c r="O3547" s="8" t="s">
        <v>385</v>
      </c>
      <c r="P3547" s="6" t="s">
        <v>39</v>
      </c>
      <c r="Q3547" s="8" t="s">
        <v>40</v>
      </c>
      <c r="R3547" s="10" t="s">
        <v>378</v>
      </c>
      <c r="S3547" s="11"/>
      <c r="T3547" s="6"/>
      <c r="U3547" s="15" t="str">
        <f>HYPERLINK("https://media.infra-m.ru/2244/2244261/cover/2244261.jpg", "Обложка")</f>
        <v>Обложка</v>
      </c>
      <c r="V3547" s="8" t="s">
        <v>10380</v>
      </c>
      <c r="W3547" s="6"/>
      <c r="X3547" s="6"/>
      <c r="Y3547" s="6"/>
      <c r="Z3547" s="6"/>
      <c r="AA3547" s="6" t="s">
        <v>99</v>
      </c>
      <c r="AB3547" s="8"/>
      <c r="AC3547" s="27">
        <v>9785160193854</v>
      </c>
    </row>
    <row r="3548" spans="1:29" s="4" customFormat="1" ht="51.9" customHeight="1" x14ac:dyDescent="0.2">
      <c r="A3548" s="5">
        <v>0</v>
      </c>
      <c r="B3548" s="6" t="s">
        <v>20694</v>
      </c>
      <c r="C3548" s="7">
        <v>1380</v>
      </c>
      <c r="D3548" s="8" t="s">
        <v>20695</v>
      </c>
      <c r="E3548" s="8" t="s">
        <v>20692</v>
      </c>
      <c r="F3548" s="8" t="s">
        <v>14905</v>
      </c>
      <c r="G3548" s="6" t="s">
        <v>118</v>
      </c>
      <c r="H3548" s="6" t="s">
        <v>34</v>
      </c>
      <c r="I3548" s="8" t="s">
        <v>35</v>
      </c>
      <c r="J3548" s="9">
        <v>1</v>
      </c>
      <c r="K3548" s="9">
        <v>310</v>
      </c>
      <c r="L3548" s="9">
        <v>2021</v>
      </c>
      <c r="M3548" s="8" t="s">
        <v>20696</v>
      </c>
      <c r="N3548" s="8" t="s">
        <v>243</v>
      </c>
      <c r="O3548" s="8" t="s">
        <v>385</v>
      </c>
      <c r="P3548" s="6" t="s">
        <v>39</v>
      </c>
      <c r="Q3548" s="8" t="s">
        <v>40</v>
      </c>
      <c r="R3548" s="10" t="s">
        <v>378</v>
      </c>
      <c r="S3548" s="11"/>
      <c r="T3548" s="6"/>
      <c r="U3548" s="15" t="str">
        <f>HYPERLINK("https://media.infra-m.ru/1178/1178814/cover/1178814.jpg", "Обложка")</f>
        <v>Обложка</v>
      </c>
      <c r="V3548" s="8" t="s">
        <v>10380</v>
      </c>
      <c r="W3548" s="6"/>
      <c r="X3548" s="6"/>
      <c r="Y3548" s="6"/>
      <c r="Z3548" s="6"/>
      <c r="AA3548" s="6" t="s">
        <v>99</v>
      </c>
      <c r="AB3548" s="8"/>
      <c r="AC3548" s="27">
        <v>9785160123691</v>
      </c>
    </row>
    <row r="3549" spans="1:29" s="4" customFormat="1" ht="51.9" customHeight="1" x14ac:dyDescent="0.2">
      <c r="A3549" s="5">
        <v>0</v>
      </c>
      <c r="B3549" s="6" t="s">
        <v>20697</v>
      </c>
      <c r="C3549" s="7">
        <v>2844</v>
      </c>
      <c r="D3549" s="8" t="s">
        <v>20698</v>
      </c>
      <c r="E3549" s="8" t="s">
        <v>20699</v>
      </c>
      <c r="F3549" s="8" t="s">
        <v>20700</v>
      </c>
      <c r="G3549" s="6" t="s">
        <v>60</v>
      </c>
      <c r="H3549" s="6" t="s">
        <v>34</v>
      </c>
      <c r="I3549" s="8" t="s">
        <v>263</v>
      </c>
      <c r="J3549" s="9">
        <v>1</v>
      </c>
      <c r="K3549" s="9">
        <v>457</v>
      </c>
      <c r="L3549" s="9">
        <v>2026</v>
      </c>
      <c r="M3549" s="8" t="s">
        <v>20701</v>
      </c>
      <c r="N3549" s="8" t="s">
        <v>243</v>
      </c>
      <c r="O3549" s="8" t="s">
        <v>798</v>
      </c>
      <c r="P3549" s="6" t="s">
        <v>306</v>
      </c>
      <c r="Q3549" s="8" t="s">
        <v>265</v>
      </c>
      <c r="R3549" s="10" t="s">
        <v>20702</v>
      </c>
      <c r="S3549" s="11" t="s">
        <v>20703</v>
      </c>
      <c r="T3549" s="6"/>
      <c r="U3549" s="15" t="str">
        <f>HYPERLINK("https://media.infra-m.ru/2223/2223160/cover/2223160.jpg", "Обложка")</f>
        <v>Обложка</v>
      </c>
      <c r="V3549" s="8" t="s">
        <v>831</v>
      </c>
      <c r="W3549" s="6"/>
      <c r="X3549" s="6"/>
      <c r="Y3549" s="6"/>
      <c r="Z3549" s="6"/>
      <c r="AA3549" s="6" t="s">
        <v>561</v>
      </c>
      <c r="AB3549" s="8"/>
      <c r="AC3549" s="27">
        <v>9785160036311</v>
      </c>
    </row>
    <row r="3550" spans="1:29" s="4" customFormat="1" ht="51.9" customHeight="1" x14ac:dyDescent="0.2">
      <c r="A3550" s="5">
        <v>0</v>
      </c>
      <c r="B3550" s="6" t="s">
        <v>20704</v>
      </c>
      <c r="C3550" s="7">
        <v>2112</v>
      </c>
      <c r="D3550" s="8" t="s">
        <v>20705</v>
      </c>
      <c r="E3550" s="8" t="s">
        <v>20706</v>
      </c>
      <c r="F3550" s="8" t="s">
        <v>20707</v>
      </c>
      <c r="G3550" s="6" t="s">
        <v>118</v>
      </c>
      <c r="H3550" s="6" t="s">
        <v>34</v>
      </c>
      <c r="I3550" s="8" t="s">
        <v>263</v>
      </c>
      <c r="J3550" s="9">
        <v>1</v>
      </c>
      <c r="K3550" s="9">
        <v>320</v>
      </c>
      <c r="L3550" s="9">
        <v>2026</v>
      </c>
      <c r="M3550" s="8" t="s">
        <v>20708</v>
      </c>
      <c r="N3550" s="8" t="s">
        <v>243</v>
      </c>
      <c r="O3550" s="8" t="s">
        <v>758</v>
      </c>
      <c r="P3550" s="6" t="s">
        <v>306</v>
      </c>
      <c r="Q3550" s="8" t="s">
        <v>265</v>
      </c>
      <c r="R3550" s="10" t="s">
        <v>20709</v>
      </c>
      <c r="S3550" s="11" t="s">
        <v>20710</v>
      </c>
      <c r="T3550" s="6"/>
      <c r="U3550" s="15" t="str">
        <f>HYPERLINK("https://media.infra-m.ru/2212/2212629/cover/2212629.jpg", "Обложка")</f>
        <v>Обложка</v>
      </c>
      <c r="V3550" s="8" t="s">
        <v>831</v>
      </c>
      <c r="W3550" s="6"/>
      <c r="X3550" s="6" t="s">
        <v>24</v>
      </c>
      <c r="Y3550" s="6"/>
      <c r="Z3550" s="6"/>
      <c r="AA3550" s="6" t="s">
        <v>129</v>
      </c>
      <c r="AB3550" s="8"/>
      <c r="AC3550" s="27">
        <v>9785160215921</v>
      </c>
    </row>
    <row r="3551" spans="1:29" s="4" customFormat="1" ht="51.9" customHeight="1" x14ac:dyDescent="0.2">
      <c r="A3551" s="5">
        <v>0</v>
      </c>
      <c r="B3551" s="6" t="s">
        <v>20711</v>
      </c>
      <c r="C3551" s="7">
        <v>2212.8000000000002</v>
      </c>
      <c r="D3551" s="8" t="s">
        <v>20712</v>
      </c>
      <c r="E3551" s="8" t="s">
        <v>20706</v>
      </c>
      <c r="F3551" s="8" t="s">
        <v>20713</v>
      </c>
      <c r="G3551" s="6" t="s">
        <v>60</v>
      </c>
      <c r="H3551" s="6" t="s">
        <v>1795</v>
      </c>
      <c r="I3551" s="8" t="s">
        <v>2911</v>
      </c>
      <c r="J3551" s="9">
        <v>1</v>
      </c>
      <c r="K3551" s="9">
        <v>336</v>
      </c>
      <c r="L3551" s="9">
        <v>2026</v>
      </c>
      <c r="M3551" s="8" t="s">
        <v>20714</v>
      </c>
      <c r="N3551" s="8" t="s">
        <v>243</v>
      </c>
      <c r="O3551" s="8" t="s">
        <v>758</v>
      </c>
      <c r="P3551" s="6" t="s">
        <v>51</v>
      </c>
      <c r="Q3551" s="8" t="s">
        <v>265</v>
      </c>
      <c r="R3551" s="10" t="s">
        <v>20715</v>
      </c>
      <c r="S3551" s="11" t="s">
        <v>20716</v>
      </c>
      <c r="T3551" s="6"/>
      <c r="U3551" s="15" t="str">
        <f>HYPERLINK("https://media.infra-m.ru/2226/2226473/cover/2226473.jpg", "Обложка")</f>
        <v>Обложка</v>
      </c>
      <c r="V3551" s="8" t="s">
        <v>227</v>
      </c>
      <c r="W3551" s="6"/>
      <c r="X3551" s="6"/>
      <c r="Y3551" s="6"/>
      <c r="Z3551" s="6"/>
      <c r="AA3551" s="6" t="s">
        <v>561</v>
      </c>
      <c r="AB3551" s="8"/>
      <c r="AC3551" s="27">
        <v>9785982811677</v>
      </c>
    </row>
    <row r="3552" spans="1:29" s="4" customFormat="1" ht="42" customHeight="1" x14ac:dyDescent="0.2">
      <c r="A3552" s="5">
        <v>0</v>
      </c>
      <c r="B3552" s="6" t="s">
        <v>20717</v>
      </c>
      <c r="C3552" s="7">
        <v>3096</v>
      </c>
      <c r="D3552" s="8" t="s">
        <v>20718</v>
      </c>
      <c r="E3552" s="8" t="s">
        <v>20719</v>
      </c>
      <c r="F3552" s="8" t="s">
        <v>20720</v>
      </c>
      <c r="G3552" s="6" t="s">
        <v>60</v>
      </c>
      <c r="H3552" s="6" t="s">
        <v>34</v>
      </c>
      <c r="I3552" s="8" t="s">
        <v>35</v>
      </c>
      <c r="J3552" s="9">
        <v>1</v>
      </c>
      <c r="K3552" s="9">
        <v>468</v>
      </c>
      <c r="L3552" s="9">
        <v>2026</v>
      </c>
      <c r="M3552" s="8" t="s">
        <v>20721</v>
      </c>
      <c r="N3552" s="8" t="s">
        <v>243</v>
      </c>
      <c r="O3552" s="8" t="s">
        <v>758</v>
      </c>
      <c r="P3552" s="6" t="s">
        <v>39</v>
      </c>
      <c r="Q3552" s="8" t="s">
        <v>40</v>
      </c>
      <c r="R3552" s="10" t="s">
        <v>17217</v>
      </c>
      <c r="S3552" s="11"/>
      <c r="T3552" s="6"/>
      <c r="U3552" s="15" t="str">
        <f>HYPERLINK("https://media.infra-m.ru/2226/2226463/cover/2226463.jpg", "Обложка")</f>
        <v>Обложка</v>
      </c>
      <c r="V3552" s="8" t="s">
        <v>911</v>
      </c>
      <c r="W3552" s="6"/>
      <c r="X3552" s="6"/>
      <c r="Y3552" s="6"/>
      <c r="Z3552" s="6"/>
      <c r="AA3552" s="6" t="s">
        <v>129</v>
      </c>
      <c r="AB3552" s="8"/>
      <c r="AC3552" s="27">
        <v>9785160097527</v>
      </c>
    </row>
    <row r="3553" spans="1:29" s="4" customFormat="1" ht="51.9" customHeight="1" x14ac:dyDescent="0.2">
      <c r="A3553" s="5">
        <v>0</v>
      </c>
      <c r="B3553" s="6" t="s">
        <v>20722</v>
      </c>
      <c r="C3553" s="7">
        <v>2234.4</v>
      </c>
      <c r="D3553" s="8" t="s">
        <v>20723</v>
      </c>
      <c r="E3553" s="8" t="s">
        <v>20724</v>
      </c>
      <c r="F3553" s="8" t="s">
        <v>20725</v>
      </c>
      <c r="G3553" s="6" t="s">
        <v>118</v>
      </c>
      <c r="H3553" s="6" t="s">
        <v>34</v>
      </c>
      <c r="I3553" s="8" t="s">
        <v>263</v>
      </c>
      <c r="J3553" s="9">
        <v>1</v>
      </c>
      <c r="K3553" s="9">
        <v>260</v>
      </c>
      <c r="L3553" s="9">
        <v>2026</v>
      </c>
      <c r="M3553" s="8" t="s">
        <v>20726</v>
      </c>
      <c r="N3553" s="8" t="s">
        <v>243</v>
      </c>
      <c r="O3553" s="8" t="s">
        <v>758</v>
      </c>
      <c r="P3553" s="6" t="s">
        <v>51</v>
      </c>
      <c r="Q3553" s="8" t="s">
        <v>265</v>
      </c>
      <c r="R3553" s="10" t="s">
        <v>20727</v>
      </c>
      <c r="S3553" s="11" t="s">
        <v>20728</v>
      </c>
      <c r="T3553" s="6"/>
      <c r="U3553" s="15" t="str">
        <f>HYPERLINK("https://media.infra-m.ru/2237/2237133/cover/2237133.jpg", "Обложка")</f>
        <v>Обложка</v>
      </c>
      <c r="V3553" s="8" t="s">
        <v>217</v>
      </c>
      <c r="W3553" s="6"/>
      <c r="X3553" s="6"/>
      <c r="Y3553" s="6"/>
      <c r="Z3553" s="6" t="s">
        <v>267</v>
      </c>
      <c r="AA3553" s="6" t="s">
        <v>2240</v>
      </c>
      <c r="AB3553" s="8"/>
      <c r="AC3553" s="27">
        <v>9785160217406</v>
      </c>
    </row>
    <row r="3554" spans="1:29" s="4" customFormat="1" ht="42" customHeight="1" x14ac:dyDescent="0.2">
      <c r="A3554" s="5">
        <v>0</v>
      </c>
      <c r="B3554" s="6" t="s">
        <v>20729</v>
      </c>
      <c r="C3554" s="7">
        <v>1836</v>
      </c>
      <c r="D3554" s="8" t="s">
        <v>20730</v>
      </c>
      <c r="E3554" s="8" t="s">
        <v>20724</v>
      </c>
      <c r="F3554" s="8" t="s">
        <v>20725</v>
      </c>
      <c r="G3554" s="6" t="s">
        <v>118</v>
      </c>
      <c r="H3554" s="6" t="s">
        <v>241</v>
      </c>
      <c r="I3554" s="8" t="s">
        <v>271</v>
      </c>
      <c r="J3554" s="9">
        <v>1</v>
      </c>
      <c r="K3554" s="9">
        <v>260</v>
      </c>
      <c r="L3554" s="9">
        <v>2023</v>
      </c>
      <c r="M3554" s="8" t="s">
        <v>20731</v>
      </c>
      <c r="N3554" s="8" t="s">
        <v>243</v>
      </c>
      <c r="O3554" s="8" t="s">
        <v>758</v>
      </c>
      <c r="P3554" s="6" t="s">
        <v>51</v>
      </c>
      <c r="Q3554" s="8" t="s">
        <v>52</v>
      </c>
      <c r="R3554" s="10" t="s">
        <v>11597</v>
      </c>
      <c r="S3554" s="11"/>
      <c r="T3554" s="6"/>
      <c r="U3554" s="15" t="str">
        <f>HYPERLINK("https://media.infra-m.ru/1895/1895652/cover/1895652.jpg", "Обложка")</f>
        <v>Обложка</v>
      </c>
      <c r="V3554" s="8" t="s">
        <v>217</v>
      </c>
      <c r="W3554" s="6"/>
      <c r="X3554" s="6"/>
      <c r="Y3554" s="6"/>
      <c r="Z3554" s="6"/>
      <c r="AA3554" s="6" t="s">
        <v>874</v>
      </c>
      <c r="AB3554" s="8"/>
      <c r="AC3554" s="27">
        <v>9785955804262</v>
      </c>
    </row>
    <row r="3555" spans="1:29" s="4" customFormat="1" ht="51.9" customHeight="1" x14ac:dyDescent="0.2">
      <c r="A3555" s="5">
        <v>0</v>
      </c>
      <c r="B3555" s="6" t="s">
        <v>20732</v>
      </c>
      <c r="C3555" s="7">
        <v>2904</v>
      </c>
      <c r="D3555" s="8" t="s">
        <v>20733</v>
      </c>
      <c r="E3555" s="8" t="s">
        <v>20734</v>
      </c>
      <c r="F3555" s="8" t="s">
        <v>20735</v>
      </c>
      <c r="G3555" s="6" t="s">
        <v>60</v>
      </c>
      <c r="H3555" s="6" t="s">
        <v>34</v>
      </c>
      <c r="I3555" s="8" t="s">
        <v>253</v>
      </c>
      <c r="J3555" s="9">
        <v>1</v>
      </c>
      <c r="K3555" s="9">
        <v>440</v>
      </c>
      <c r="L3555" s="9">
        <v>2026</v>
      </c>
      <c r="M3555" s="8" t="s">
        <v>20736</v>
      </c>
      <c r="N3555" s="8" t="s">
        <v>243</v>
      </c>
      <c r="O3555" s="8" t="s">
        <v>758</v>
      </c>
      <c r="P3555" s="6" t="s">
        <v>306</v>
      </c>
      <c r="Q3555" s="8" t="s">
        <v>52</v>
      </c>
      <c r="R3555" s="10" t="s">
        <v>20737</v>
      </c>
      <c r="S3555" s="11" t="s">
        <v>20738</v>
      </c>
      <c r="T3555" s="6"/>
      <c r="U3555" s="15" t="str">
        <f>HYPERLINK("https://media.infra-m.ru/2233/2233797/cover/2233797.jpg", "Обложка")</f>
        <v>Обложка</v>
      </c>
      <c r="V3555" s="8" t="s">
        <v>761</v>
      </c>
      <c r="W3555" s="6"/>
      <c r="X3555" s="6"/>
      <c r="Y3555" s="6"/>
      <c r="Z3555" s="6"/>
      <c r="AA3555" s="6" t="s">
        <v>779</v>
      </c>
      <c r="AB3555" s="8"/>
      <c r="AC3555" s="27">
        <v>9785160218755</v>
      </c>
    </row>
    <row r="3556" spans="1:29" s="4" customFormat="1" ht="51.9" customHeight="1" x14ac:dyDescent="0.2">
      <c r="A3556" s="5">
        <v>0</v>
      </c>
      <c r="B3556" s="6" t="s">
        <v>20739</v>
      </c>
      <c r="C3556" s="7">
        <v>2760</v>
      </c>
      <c r="D3556" s="8" t="s">
        <v>20740</v>
      </c>
      <c r="E3556" s="8" t="s">
        <v>20734</v>
      </c>
      <c r="F3556" s="8" t="s">
        <v>20741</v>
      </c>
      <c r="G3556" s="6" t="s">
        <v>60</v>
      </c>
      <c r="H3556" s="6" t="s">
        <v>34</v>
      </c>
      <c r="I3556" s="8" t="s">
        <v>263</v>
      </c>
      <c r="J3556" s="9">
        <v>1</v>
      </c>
      <c r="K3556" s="9">
        <v>440</v>
      </c>
      <c r="L3556" s="9">
        <v>2026</v>
      </c>
      <c r="M3556" s="8" t="s">
        <v>20742</v>
      </c>
      <c r="N3556" s="8" t="s">
        <v>243</v>
      </c>
      <c r="O3556" s="8" t="s">
        <v>758</v>
      </c>
      <c r="P3556" s="6" t="s">
        <v>306</v>
      </c>
      <c r="Q3556" s="8" t="s">
        <v>265</v>
      </c>
      <c r="R3556" s="10" t="s">
        <v>20727</v>
      </c>
      <c r="S3556" s="11" t="s">
        <v>927</v>
      </c>
      <c r="T3556" s="6"/>
      <c r="U3556" s="15" t="str">
        <f>HYPERLINK("https://media.infra-m.ru/2222/2222598/cover/2222598.jpg", "Обложка")</f>
        <v>Обложка</v>
      </c>
      <c r="V3556" s="8" t="s">
        <v>761</v>
      </c>
      <c r="W3556" s="6"/>
      <c r="X3556" s="6"/>
      <c r="Y3556" s="6"/>
      <c r="Z3556" s="6" t="s">
        <v>267</v>
      </c>
      <c r="AA3556" s="6" t="s">
        <v>86</v>
      </c>
      <c r="AB3556" s="8"/>
      <c r="AC3556" s="27">
        <v>9785160139678</v>
      </c>
    </row>
    <row r="3557" spans="1:29" s="4" customFormat="1" ht="51.9" customHeight="1" x14ac:dyDescent="0.2">
      <c r="A3557" s="5">
        <v>0</v>
      </c>
      <c r="B3557" s="6" t="s">
        <v>20743</v>
      </c>
      <c r="C3557" s="7">
        <v>2112</v>
      </c>
      <c r="D3557" s="8" t="s">
        <v>20744</v>
      </c>
      <c r="E3557" s="8" t="s">
        <v>20745</v>
      </c>
      <c r="F3557" s="8" t="s">
        <v>20746</v>
      </c>
      <c r="G3557" s="6" t="s">
        <v>118</v>
      </c>
      <c r="H3557" s="6" t="s">
        <v>34</v>
      </c>
      <c r="I3557" s="8" t="s">
        <v>253</v>
      </c>
      <c r="J3557" s="9">
        <v>1</v>
      </c>
      <c r="K3557" s="9">
        <v>320</v>
      </c>
      <c r="L3557" s="9">
        <v>2026</v>
      </c>
      <c r="M3557" s="8" t="s">
        <v>20747</v>
      </c>
      <c r="N3557" s="8" t="s">
        <v>243</v>
      </c>
      <c r="O3557" s="8" t="s">
        <v>758</v>
      </c>
      <c r="P3557" s="6" t="s">
        <v>51</v>
      </c>
      <c r="Q3557" s="8" t="s">
        <v>52</v>
      </c>
      <c r="R3557" s="10" t="s">
        <v>20748</v>
      </c>
      <c r="S3557" s="11"/>
      <c r="T3557" s="6"/>
      <c r="U3557" s="15" t="str">
        <f>HYPERLINK("https://media.infra-m.ru/2219/2219568/cover/2219568.jpg", "Обложка")</f>
        <v>Обложка</v>
      </c>
      <c r="V3557" s="8" t="s">
        <v>761</v>
      </c>
      <c r="W3557" s="6"/>
      <c r="X3557" s="6"/>
      <c r="Y3557" s="6"/>
      <c r="Z3557" s="6"/>
      <c r="AA3557" s="6" t="s">
        <v>55</v>
      </c>
      <c r="AB3557" s="8"/>
      <c r="AC3557" s="27">
        <v>9785160195827</v>
      </c>
    </row>
    <row r="3558" spans="1:29" s="4" customFormat="1" ht="51.9" customHeight="1" x14ac:dyDescent="0.2">
      <c r="A3558" s="5">
        <v>0</v>
      </c>
      <c r="B3558" s="6" t="s">
        <v>20749</v>
      </c>
      <c r="C3558" s="7">
        <v>2868</v>
      </c>
      <c r="D3558" s="8" t="s">
        <v>20750</v>
      </c>
      <c r="E3558" s="8" t="s">
        <v>20751</v>
      </c>
      <c r="F3558" s="8" t="s">
        <v>20752</v>
      </c>
      <c r="G3558" s="6" t="s">
        <v>60</v>
      </c>
      <c r="H3558" s="6" t="s">
        <v>34</v>
      </c>
      <c r="I3558" s="8" t="s">
        <v>253</v>
      </c>
      <c r="J3558" s="9">
        <v>1</v>
      </c>
      <c r="K3558" s="9">
        <v>435</v>
      </c>
      <c r="L3558" s="9">
        <v>2026</v>
      </c>
      <c r="M3558" s="8" t="s">
        <v>20753</v>
      </c>
      <c r="N3558" s="8" t="s">
        <v>243</v>
      </c>
      <c r="O3558" s="8" t="s">
        <v>758</v>
      </c>
      <c r="P3558" s="6" t="s">
        <v>51</v>
      </c>
      <c r="Q3558" s="8" t="s">
        <v>52</v>
      </c>
      <c r="R3558" s="10" t="s">
        <v>20754</v>
      </c>
      <c r="S3558" s="11" t="s">
        <v>20755</v>
      </c>
      <c r="T3558" s="6"/>
      <c r="U3558" s="15" t="str">
        <f>HYPERLINK("https://media.infra-m.ru/2237/2237211/cover/2237211.jpg", "Обложка")</f>
        <v>Обложка</v>
      </c>
      <c r="V3558" s="8" t="s">
        <v>761</v>
      </c>
      <c r="W3558" s="6"/>
      <c r="X3558" s="6"/>
      <c r="Y3558" s="6"/>
      <c r="Z3558" s="6"/>
      <c r="AA3558" s="6" t="s">
        <v>115</v>
      </c>
      <c r="AB3558" s="8"/>
      <c r="AC3558" s="27">
        <v>9785160217529</v>
      </c>
    </row>
    <row r="3559" spans="1:29" s="4" customFormat="1" ht="51.9" customHeight="1" x14ac:dyDescent="0.2">
      <c r="A3559" s="5">
        <v>0</v>
      </c>
      <c r="B3559" s="6" t="s">
        <v>20756</v>
      </c>
      <c r="C3559" s="7">
        <v>2868</v>
      </c>
      <c r="D3559" s="8" t="s">
        <v>20757</v>
      </c>
      <c r="E3559" s="8" t="s">
        <v>20751</v>
      </c>
      <c r="F3559" s="8" t="s">
        <v>20752</v>
      </c>
      <c r="G3559" s="6" t="s">
        <v>60</v>
      </c>
      <c r="H3559" s="6" t="s">
        <v>34</v>
      </c>
      <c r="I3559" s="8" t="s">
        <v>263</v>
      </c>
      <c r="J3559" s="9">
        <v>1</v>
      </c>
      <c r="K3559" s="9">
        <v>435</v>
      </c>
      <c r="L3559" s="9">
        <v>2026</v>
      </c>
      <c r="M3559" s="8" t="s">
        <v>20758</v>
      </c>
      <c r="N3559" s="8" t="s">
        <v>243</v>
      </c>
      <c r="O3559" s="8" t="s">
        <v>758</v>
      </c>
      <c r="P3559" s="6" t="s">
        <v>51</v>
      </c>
      <c r="Q3559" s="8" t="s">
        <v>265</v>
      </c>
      <c r="R3559" s="10" t="s">
        <v>20759</v>
      </c>
      <c r="S3559" s="11"/>
      <c r="T3559" s="6"/>
      <c r="U3559" s="15" t="str">
        <f>HYPERLINK("https://media.infra-m.ru/2213/2213290/cover/2213290.jpg", "Обложка")</f>
        <v>Обложка</v>
      </c>
      <c r="V3559" s="8" t="s">
        <v>761</v>
      </c>
      <c r="W3559" s="6"/>
      <c r="X3559" s="6"/>
      <c r="Y3559" s="6"/>
      <c r="Z3559" s="6" t="s">
        <v>267</v>
      </c>
      <c r="AA3559" s="6" t="s">
        <v>1256</v>
      </c>
      <c r="AB3559" s="8"/>
      <c r="AC3559" s="27">
        <v>9785160154343</v>
      </c>
    </row>
    <row r="3560" spans="1:29" s="4" customFormat="1" ht="51.9" customHeight="1" x14ac:dyDescent="0.2">
      <c r="A3560" s="5">
        <v>0</v>
      </c>
      <c r="B3560" s="6" t="s">
        <v>20760</v>
      </c>
      <c r="C3560" s="7">
        <v>2212.8000000000002</v>
      </c>
      <c r="D3560" s="8" t="s">
        <v>20761</v>
      </c>
      <c r="E3560" s="8" t="s">
        <v>20762</v>
      </c>
      <c r="F3560" s="8" t="s">
        <v>20763</v>
      </c>
      <c r="G3560" s="6" t="s">
        <v>118</v>
      </c>
      <c r="H3560" s="6" t="s">
        <v>34</v>
      </c>
      <c r="I3560" s="8" t="s">
        <v>253</v>
      </c>
      <c r="J3560" s="9">
        <v>1</v>
      </c>
      <c r="K3560" s="9">
        <v>336</v>
      </c>
      <c r="L3560" s="9">
        <v>2026</v>
      </c>
      <c r="M3560" s="8" t="s">
        <v>20764</v>
      </c>
      <c r="N3560" s="8" t="s">
        <v>243</v>
      </c>
      <c r="O3560" s="8" t="s">
        <v>758</v>
      </c>
      <c r="P3560" s="6" t="s">
        <v>51</v>
      </c>
      <c r="Q3560" s="8" t="s">
        <v>52</v>
      </c>
      <c r="R3560" s="10" t="s">
        <v>20765</v>
      </c>
      <c r="S3560" s="11" t="s">
        <v>20766</v>
      </c>
      <c r="T3560" s="6"/>
      <c r="U3560" s="15" t="str">
        <f>HYPERLINK("https://media.infra-m.ru/2233/2233639/cover/2233639.jpg", "Обложка")</f>
        <v>Обложка</v>
      </c>
      <c r="V3560" s="8" t="s">
        <v>19012</v>
      </c>
      <c r="W3560" s="6"/>
      <c r="X3560" s="6"/>
      <c r="Y3560" s="6"/>
      <c r="Z3560" s="6"/>
      <c r="AA3560" s="6" t="s">
        <v>274</v>
      </c>
      <c r="AB3560" s="8"/>
      <c r="AC3560" s="27">
        <v>9785160197401</v>
      </c>
    </row>
    <row r="3561" spans="1:29" s="4" customFormat="1" ht="51.9" customHeight="1" x14ac:dyDescent="0.2">
      <c r="A3561" s="5">
        <v>0</v>
      </c>
      <c r="B3561" s="6" t="s">
        <v>20767</v>
      </c>
      <c r="C3561" s="7">
        <v>2208</v>
      </c>
      <c r="D3561" s="8" t="s">
        <v>20768</v>
      </c>
      <c r="E3561" s="8" t="s">
        <v>20762</v>
      </c>
      <c r="F3561" s="8" t="s">
        <v>20763</v>
      </c>
      <c r="G3561" s="6" t="s">
        <v>118</v>
      </c>
      <c r="H3561" s="6" t="s">
        <v>34</v>
      </c>
      <c r="I3561" s="8" t="s">
        <v>263</v>
      </c>
      <c r="J3561" s="9">
        <v>1</v>
      </c>
      <c r="K3561" s="9">
        <v>336</v>
      </c>
      <c r="L3561" s="9">
        <v>2026</v>
      </c>
      <c r="M3561" s="8" t="s">
        <v>20769</v>
      </c>
      <c r="N3561" s="8" t="s">
        <v>243</v>
      </c>
      <c r="O3561" s="8" t="s">
        <v>758</v>
      </c>
      <c r="P3561" s="6" t="s">
        <v>51</v>
      </c>
      <c r="Q3561" s="8" t="s">
        <v>265</v>
      </c>
      <c r="R3561" s="10" t="s">
        <v>20770</v>
      </c>
      <c r="S3561" s="11" t="s">
        <v>20771</v>
      </c>
      <c r="T3561" s="6"/>
      <c r="U3561" s="15" t="str">
        <f>HYPERLINK("https://media.infra-m.ru/2220/2220588/cover/2220588.jpg", "Обложка")</f>
        <v>Обложка</v>
      </c>
      <c r="V3561" s="8" t="s">
        <v>19012</v>
      </c>
      <c r="W3561" s="6"/>
      <c r="X3561" s="6"/>
      <c r="Y3561" s="6"/>
      <c r="Z3561" s="6" t="s">
        <v>267</v>
      </c>
      <c r="AA3561" s="6" t="s">
        <v>86</v>
      </c>
      <c r="AB3561" s="8"/>
      <c r="AC3561" s="27">
        <v>9785160139685</v>
      </c>
    </row>
    <row r="3562" spans="1:29" s="4" customFormat="1" ht="42" customHeight="1" x14ac:dyDescent="0.2">
      <c r="A3562" s="5">
        <v>0</v>
      </c>
      <c r="B3562" s="6" t="s">
        <v>20772</v>
      </c>
      <c r="C3562" s="7">
        <v>1344</v>
      </c>
      <c r="D3562" s="8" t="s">
        <v>20773</v>
      </c>
      <c r="E3562" s="8" t="s">
        <v>20774</v>
      </c>
      <c r="F3562" s="8" t="s">
        <v>20775</v>
      </c>
      <c r="G3562" s="6" t="s">
        <v>60</v>
      </c>
      <c r="H3562" s="6" t="s">
        <v>34</v>
      </c>
      <c r="I3562" s="8" t="s">
        <v>1248</v>
      </c>
      <c r="J3562" s="9">
        <v>1</v>
      </c>
      <c r="K3562" s="9">
        <v>203</v>
      </c>
      <c r="L3562" s="9">
        <v>2026</v>
      </c>
      <c r="M3562" s="8" t="s">
        <v>20776</v>
      </c>
      <c r="N3562" s="8" t="s">
        <v>243</v>
      </c>
      <c r="O3562" s="8" t="s">
        <v>758</v>
      </c>
      <c r="P3562" s="6" t="s">
        <v>51</v>
      </c>
      <c r="Q3562" s="8" t="s">
        <v>65</v>
      </c>
      <c r="R3562" s="10" t="s">
        <v>20777</v>
      </c>
      <c r="S3562" s="11"/>
      <c r="T3562" s="6"/>
      <c r="U3562" s="15" t="str">
        <f>HYPERLINK("https://media.infra-m.ru/2222/2222613/cover/2222613.jpg", "Обложка")</f>
        <v>Обложка</v>
      </c>
      <c r="V3562" s="8" t="s">
        <v>1083</v>
      </c>
      <c r="W3562" s="6" t="s">
        <v>342</v>
      </c>
      <c r="X3562" s="6"/>
      <c r="Y3562" s="6"/>
      <c r="Z3562" s="6"/>
      <c r="AA3562" s="6" t="s">
        <v>187</v>
      </c>
      <c r="AB3562" s="8"/>
      <c r="AC3562" s="27">
        <v>9785160213378</v>
      </c>
    </row>
    <row r="3563" spans="1:29" s="4" customFormat="1" ht="51.9" customHeight="1" x14ac:dyDescent="0.2">
      <c r="A3563" s="5">
        <v>0</v>
      </c>
      <c r="B3563" s="6" t="s">
        <v>20778</v>
      </c>
      <c r="C3563" s="7">
        <v>1728</v>
      </c>
      <c r="D3563" s="8" t="s">
        <v>20779</v>
      </c>
      <c r="E3563" s="8" t="s">
        <v>20780</v>
      </c>
      <c r="F3563" s="8" t="s">
        <v>20781</v>
      </c>
      <c r="G3563" s="6" t="s">
        <v>33</v>
      </c>
      <c r="H3563" s="6" t="s">
        <v>34</v>
      </c>
      <c r="I3563" s="8" t="s">
        <v>35</v>
      </c>
      <c r="J3563" s="9">
        <v>1</v>
      </c>
      <c r="K3563" s="9">
        <v>312</v>
      </c>
      <c r="L3563" s="9">
        <v>2023</v>
      </c>
      <c r="M3563" s="8" t="s">
        <v>20782</v>
      </c>
      <c r="N3563" s="8" t="s">
        <v>63</v>
      </c>
      <c r="O3563" s="8" t="s">
        <v>126</v>
      </c>
      <c r="P3563" s="6" t="s">
        <v>39</v>
      </c>
      <c r="Q3563" s="8" t="s">
        <v>40</v>
      </c>
      <c r="R3563" s="10" t="s">
        <v>20783</v>
      </c>
      <c r="S3563" s="11"/>
      <c r="T3563" s="6"/>
      <c r="U3563" s="15" t="str">
        <f>HYPERLINK("https://media.infra-m.ru/2019/2019753/cover/2019753.jpg", "Обложка")</f>
        <v>Обложка</v>
      </c>
      <c r="V3563" s="8" t="s">
        <v>546</v>
      </c>
      <c r="W3563" s="6"/>
      <c r="X3563" s="6"/>
      <c r="Y3563" s="6"/>
      <c r="Z3563" s="6"/>
      <c r="AA3563" s="6" t="s">
        <v>769</v>
      </c>
      <c r="AB3563" s="8"/>
      <c r="AC3563" s="27">
        <v>9785160103280</v>
      </c>
    </row>
    <row r="3564" spans="1:29" s="4" customFormat="1" ht="44.1" customHeight="1" x14ac:dyDescent="0.2">
      <c r="A3564" s="5">
        <v>0</v>
      </c>
      <c r="B3564" s="6" t="s">
        <v>20784</v>
      </c>
      <c r="C3564" s="7">
        <v>1264.8</v>
      </c>
      <c r="D3564" s="8" t="s">
        <v>20785</v>
      </c>
      <c r="E3564" s="8" t="s">
        <v>20786</v>
      </c>
      <c r="F3564" s="8" t="s">
        <v>20787</v>
      </c>
      <c r="G3564" s="6" t="s">
        <v>33</v>
      </c>
      <c r="H3564" s="6" t="s">
        <v>34</v>
      </c>
      <c r="I3564" s="8" t="s">
        <v>35</v>
      </c>
      <c r="J3564" s="9">
        <v>1</v>
      </c>
      <c r="K3564" s="9">
        <v>182</v>
      </c>
      <c r="L3564" s="9">
        <v>2027</v>
      </c>
      <c r="M3564" s="8" t="s">
        <v>20788</v>
      </c>
      <c r="N3564" s="8" t="s">
        <v>63</v>
      </c>
      <c r="O3564" s="8" t="s">
        <v>64</v>
      </c>
      <c r="P3564" s="6" t="s">
        <v>39</v>
      </c>
      <c r="Q3564" s="8" t="s">
        <v>40</v>
      </c>
      <c r="R3564" s="10" t="s">
        <v>20789</v>
      </c>
      <c r="S3564" s="11"/>
      <c r="T3564" s="6"/>
      <c r="U3564" s="15" t="str">
        <f>HYPERLINK("https://media.infra-m.ru/2261/2261667/cover/2261667.jpg", "Обложка")</f>
        <v>Обложка</v>
      </c>
      <c r="V3564" s="8" t="s">
        <v>19867</v>
      </c>
      <c r="W3564" s="6"/>
      <c r="X3564" s="6"/>
      <c r="Y3564" s="6"/>
      <c r="Z3564" s="6"/>
      <c r="AA3564" s="6" t="s">
        <v>148</v>
      </c>
      <c r="AB3564" s="8"/>
      <c r="AC3564" s="27">
        <v>9785160174914</v>
      </c>
    </row>
    <row r="3565" spans="1:29" s="4" customFormat="1" ht="51.9" customHeight="1" x14ac:dyDescent="0.2">
      <c r="A3565" s="5">
        <v>0</v>
      </c>
      <c r="B3565" s="6" t="s">
        <v>20790</v>
      </c>
      <c r="C3565" s="7">
        <v>1206</v>
      </c>
      <c r="D3565" s="8" t="s">
        <v>20791</v>
      </c>
      <c r="E3565" s="8" t="s">
        <v>20792</v>
      </c>
      <c r="F3565" s="8" t="s">
        <v>20793</v>
      </c>
      <c r="G3565" s="6" t="s">
        <v>60</v>
      </c>
      <c r="H3565" s="6" t="s">
        <v>134</v>
      </c>
      <c r="I3565" s="8"/>
      <c r="J3565" s="9">
        <v>1</v>
      </c>
      <c r="K3565" s="9">
        <v>156</v>
      </c>
      <c r="L3565" s="9">
        <v>2026</v>
      </c>
      <c r="M3565" s="8" t="s">
        <v>20794</v>
      </c>
      <c r="N3565" s="8" t="s">
        <v>37</v>
      </c>
      <c r="O3565" s="8" t="s">
        <v>136</v>
      </c>
      <c r="P3565" s="6" t="s">
        <v>39</v>
      </c>
      <c r="Q3565" s="8" t="s">
        <v>40</v>
      </c>
      <c r="R3565" s="10" t="s">
        <v>20795</v>
      </c>
      <c r="S3565" s="11"/>
      <c r="T3565" s="6"/>
      <c r="U3565" s="15" t="str">
        <f>HYPERLINK("https://media.infra-m.ru/2256/2256701/cover/2256701.jpg", "Обложка")</f>
        <v>Обложка</v>
      </c>
      <c r="V3565" s="8"/>
      <c r="W3565" s="6"/>
      <c r="X3565" s="6"/>
      <c r="Y3565" s="6"/>
      <c r="Z3565" s="6"/>
      <c r="AA3565" s="6" t="s">
        <v>187</v>
      </c>
      <c r="AB3565" s="8"/>
      <c r="AC3565" s="27">
        <v>9785001564850</v>
      </c>
    </row>
    <row r="3566" spans="1:29" s="4" customFormat="1" ht="42" customHeight="1" x14ac:dyDescent="0.2">
      <c r="A3566" s="5">
        <v>0</v>
      </c>
      <c r="B3566" s="6" t="s">
        <v>20796</v>
      </c>
      <c r="C3566" s="7">
        <v>1668</v>
      </c>
      <c r="D3566" s="8" t="s">
        <v>20797</v>
      </c>
      <c r="E3566" s="8" t="s">
        <v>20798</v>
      </c>
      <c r="F3566" s="8" t="s">
        <v>20799</v>
      </c>
      <c r="G3566" s="6" t="s">
        <v>118</v>
      </c>
      <c r="H3566" s="6" t="s">
        <v>34</v>
      </c>
      <c r="I3566" s="8" t="s">
        <v>35</v>
      </c>
      <c r="J3566" s="9">
        <v>1</v>
      </c>
      <c r="K3566" s="9">
        <v>396</v>
      </c>
      <c r="L3566" s="9">
        <v>2020</v>
      </c>
      <c r="M3566" s="8" t="s">
        <v>20800</v>
      </c>
      <c r="N3566" s="8" t="s">
        <v>243</v>
      </c>
      <c r="O3566" s="8" t="s">
        <v>244</v>
      </c>
      <c r="P3566" s="6" t="s">
        <v>39</v>
      </c>
      <c r="Q3566" s="8" t="s">
        <v>40</v>
      </c>
      <c r="R3566" s="10" t="s">
        <v>20801</v>
      </c>
      <c r="S3566" s="11"/>
      <c r="T3566" s="6"/>
      <c r="U3566" s="15" t="str">
        <f>HYPERLINK("https://media.infra-m.ru/1094/1094320/cover/1094320.jpg", "Обложка")</f>
        <v>Обложка</v>
      </c>
      <c r="V3566" s="8" t="s">
        <v>2398</v>
      </c>
      <c r="W3566" s="6"/>
      <c r="X3566" s="6"/>
      <c r="Y3566" s="6"/>
      <c r="Z3566" s="6"/>
      <c r="AA3566" s="6" t="s">
        <v>779</v>
      </c>
      <c r="AB3566" s="8"/>
      <c r="AC3566" s="27">
        <v>9785160118413</v>
      </c>
    </row>
    <row r="3567" spans="1:29" s="4" customFormat="1" ht="42" customHeight="1" x14ac:dyDescent="0.2">
      <c r="A3567" s="5">
        <v>0</v>
      </c>
      <c r="B3567" s="6" t="s">
        <v>20802</v>
      </c>
      <c r="C3567" s="7">
        <v>2184</v>
      </c>
      <c r="D3567" s="8" t="s">
        <v>20803</v>
      </c>
      <c r="E3567" s="8" t="s">
        <v>20798</v>
      </c>
      <c r="F3567" s="8" t="s">
        <v>20799</v>
      </c>
      <c r="G3567" s="6" t="s">
        <v>33</v>
      </c>
      <c r="H3567" s="6" t="s">
        <v>34</v>
      </c>
      <c r="I3567" s="8" t="s">
        <v>35</v>
      </c>
      <c r="J3567" s="9">
        <v>1</v>
      </c>
      <c r="K3567" s="9">
        <v>396</v>
      </c>
      <c r="L3567" s="9">
        <v>2024</v>
      </c>
      <c r="M3567" s="8" t="s">
        <v>20804</v>
      </c>
      <c r="N3567" s="8" t="s">
        <v>243</v>
      </c>
      <c r="O3567" s="8" t="s">
        <v>244</v>
      </c>
      <c r="P3567" s="6" t="s">
        <v>39</v>
      </c>
      <c r="Q3567" s="8" t="s">
        <v>40</v>
      </c>
      <c r="R3567" s="10" t="s">
        <v>20801</v>
      </c>
      <c r="S3567" s="11"/>
      <c r="T3567" s="6"/>
      <c r="U3567" s="15" t="str">
        <f>HYPERLINK("https://media.infra-m.ru/2124/2124915/cover/2124915.jpg", "Обложка")</f>
        <v>Обложка</v>
      </c>
      <c r="V3567" s="8" t="s">
        <v>2398</v>
      </c>
      <c r="W3567" s="6"/>
      <c r="X3567" s="6"/>
      <c r="Y3567" s="6"/>
      <c r="Z3567" s="6"/>
      <c r="AA3567" s="6" t="s">
        <v>779</v>
      </c>
      <c r="AB3567" s="8"/>
      <c r="AC3567" s="27">
        <v>9785160196428</v>
      </c>
    </row>
    <row r="3568" spans="1:29" s="4" customFormat="1" ht="42" customHeight="1" x14ac:dyDescent="0.2">
      <c r="A3568" s="5">
        <v>0</v>
      </c>
      <c r="B3568" s="6" t="s">
        <v>20805</v>
      </c>
      <c r="C3568" s="7">
        <v>1428</v>
      </c>
      <c r="D3568" s="8" t="s">
        <v>20806</v>
      </c>
      <c r="E3568" s="8" t="s">
        <v>20807</v>
      </c>
      <c r="F3568" s="8" t="s">
        <v>18516</v>
      </c>
      <c r="G3568" s="6" t="s">
        <v>33</v>
      </c>
      <c r="H3568" s="6" t="s">
        <v>34</v>
      </c>
      <c r="I3568" s="8" t="s">
        <v>35</v>
      </c>
      <c r="J3568" s="9">
        <v>1</v>
      </c>
      <c r="K3568" s="9">
        <v>239</v>
      </c>
      <c r="L3568" s="9">
        <v>2024</v>
      </c>
      <c r="M3568" s="8" t="s">
        <v>20808</v>
      </c>
      <c r="N3568" s="8" t="s">
        <v>37</v>
      </c>
      <c r="O3568" s="8" t="s">
        <v>233</v>
      </c>
      <c r="P3568" s="6" t="s">
        <v>39</v>
      </c>
      <c r="Q3568" s="8" t="s">
        <v>40</v>
      </c>
      <c r="R3568" s="10" t="s">
        <v>5320</v>
      </c>
      <c r="S3568" s="11"/>
      <c r="T3568" s="6"/>
      <c r="U3568" s="15" t="str">
        <f>HYPERLINK("https://media.infra-m.ru/2134/2134242/cover/2134242.jpg", "Обложка")</f>
        <v>Обложка</v>
      </c>
      <c r="V3568" s="8" t="s">
        <v>2446</v>
      </c>
      <c r="W3568" s="6"/>
      <c r="X3568" s="6"/>
      <c r="Y3568" s="6"/>
      <c r="Z3568" s="6"/>
      <c r="AA3568" s="6" t="s">
        <v>76</v>
      </c>
      <c r="AB3568" s="8"/>
      <c r="AC3568" s="27">
        <v>9785160197081</v>
      </c>
    </row>
    <row r="3569" spans="1:29" s="4" customFormat="1" ht="51.9" customHeight="1" x14ac:dyDescent="0.2">
      <c r="A3569" s="5">
        <v>0</v>
      </c>
      <c r="B3569" s="6" t="s">
        <v>20809</v>
      </c>
      <c r="C3569" s="7">
        <v>2640</v>
      </c>
      <c r="D3569" s="8" t="s">
        <v>20810</v>
      </c>
      <c r="E3569" s="8" t="s">
        <v>20811</v>
      </c>
      <c r="F3569" s="8" t="s">
        <v>20812</v>
      </c>
      <c r="G3569" s="6" t="s">
        <v>118</v>
      </c>
      <c r="H3569" s="6" t="s">
        <v>34</v>
      </c>
      <c r="I3569" s="8" t="s">
        <v>253</v>
      </c>
      <c r="J3569" s="9">
        <v>1</v>
      </c>
      <c r="K3569" s="9">
        <v>399</v>
      </c>
      <c r="L3569" s="9">
        <v>2026</v>
      </c>
      <c r="M3569" s="8" t="s">
        <v>20813</v>
      </c>
      <c r="N3569" s="8" t="s">
        <v>585</v>
      </c>
      <c r="O3569" s="8" t="s">
        <v>775</v>
      </c>
      <c r="P3569" s="6" t="s">
        <v>51</v>
      </c>
      <c r="Q3569" s="8" t="s">
        <v>65</v>
      </c>
      <c r="R3569" s="10" t="s">
        <v>20814</v>
      </c>
      <c r="S3569" s="11" t="s">
        <v>20815</v>
      </c>
      <c r="T3569" s="6"/>
      <c r="U3569" s="15" t="str">
        <f>HYPERLINK("https://media.infra-m.ru/2230/2230620/cover/2230620.jpg", "Обложка")</f>
        <v>Обложка</v>
      </c>
      <c r="V3569" s="8" t="s">
        <v>2537</v>
      </c>
      <c r="W3569" s="6"/>
      <c r="X3569" s="6" t="s">
        <v>24</v>
      </c>
      <c r="Y3569" s="6"/>
      <c r="Z3569" s="6"/>
      <c r="AA3569" s="6" t="s">
        <v>55</v>
      </c>
      <c r="AB3569" s="8"/>
      <c r="AC3569" s="27">
        <v>9785160064635</v>
      </c>
    </row>
    <row r="3570" spans="1:29" s="4" customFormat="1" ht="44.1" customHeight="1" x14ac:dyDescent="0.2">
      <c r="A3570" s="5">
        <v>0</v>
      </c>
      <c r="B3570" s="6" t="s">
        <v>20816</v>
      </c>
      <c r="C3570" s="7">
        <v>1188</v>
      </c>
      <c r="D3570" s="8" t="s">
        <v>20817</v>
      </c>
      <c r="E3570" s="8" t="s">
        <v>20818</v>
      </c>
      <c r="F3570" s="8" t="s">
        <v>20819</v>
      </c>
      <c r="G3570" s="6" t="s">
        <v>60</v>
      </c>
      <c r="H3570" s="6" t="s">
        <v>34</v>
      </c>
      <c r="I3570" s="8" t="s">
        <v>253</v>
      </c>
      <c r="J3570" s="9">
        <v>1</v>
      </c>
      <c r="K3570" s="9">
        <v>162</v>
      </c>
      <c r="L3570" s="9">
        <v>2026</v>
      </c>
      <c r="M3570" s="8" t="s">
        <v>20820</v>
      </c>
      <c r="N3570" s="8" t="s">
        <v>93</v>
      </c>
      <c r="O3570" s="8" t="s">
        <v>94</v>
      </c>
      <c r="P3570" s="6" t="s">
        <v>51</v>
      </c>
      <c r="Q3570" s="8" t="s">
        <v>52</v>
      </c>
      <c r="R3570" s="10" t="s">
        <v>20821</v>
      </c>
      <c r="S3570" s="11"/>
      <c r="T3570" s="6"/>
      <c r="U3570" s="15" t="str">
        <f>HYPERLINK("https://media.infra-m.ru/2222/2222815/cover/2222815.jpg", "Обложка")</f>
        <v>Обложка</v>
      </c>
      <c r="V3570" s="8" t="s">
        <v>292</v>
      </c>
      <c r="W3570" s="6" t="s">
        <v>547</v>
      </c>
      <c r="X3570" s="6"/>
      <c r="Y3570" s="6"/>
      <c r="Z3570" s="6"/>
      <c r="AA3570" s="6" t="s">
        <v>187</v>
      </c>
      <c r="AB3570" s="8" t="s">
        <v>2634</v>
      </c>
      <c r="AC3570" s="27">
        <v>9785160213590</v>
      </c>
    </row>
    <row r="3571" spans="1:29" s="4" customFormat="1" ht="51.9" customHeight="1" x14ac:dyDescent="0.2">
      <c r="A3571" s="5">
        <v>0</v>
      </c>
      <c r="B3571" s="6" t="s">
        <v>20822</v>
      </c>
      <c r="C3571" s="13">
        <v>720</v>
      </c>
      <c r="D3571" s="8" t="s">
        <v>20823</v>
      </c>
      <c r="E3571" s="8" t="s">
        <v>20824</v>
      </c>
      <c r="F3571" s="8" t="s">
        <v>20825</v>
      </c>
      <c r="G3571" s="6" t="s">
        <v>33</v>
      </c>
      <c r="H3571" s="6" t="s">
        <v>34</v>
      </c>
      <c r="I3571" s="8" t="s">
        <v>35</v>
      </c>
      <c r="J3571" s="9">
        <v>1</v>
      </c>
      <c r="K3571" s="9">
        <v>120</v>
      </c>
      <c r="L3571" s="9">
        <v>2024</v>
      </c>
      <c r="M3571" s="8" t="s">
        <v>20826</v>
      </c>
      <c r="N3571" s="8" t="s">
        <v>37</v>
      </c>
      <c r="O3571" s="8" t="s">
        <v>233</v>
      </c>
      <c r="P3571" s="6" t="s">
        <v>39</v>
      </c>
      <c r="Q3571" s="8" t="s">
        <v>40</v>
      </c>
      <c r="R3571" s="10" t="s">
        <v>20827</v>
      </c>
      <c r="S3571" s="11"/>
      <c r="T3571" s="6"/>
      <c r="U3571" s="15" t="str">
        <f>HYPERLINK("https://media.infra-m.ru/2157/2157175/cover/2157175.jpg", "Обложка")</f>
        <v>Обложка</v>
      </c>
      <c r="V3571" s="8" t="s">
        <v>1994</v>
      </c>
      <c r="W3571" s="6"/>
      <c r="X3571" s="6"/>
      <c r="Y3571" s="6"/>
      <c r="Z3571" s="6"/>
      <c r="AA3571" s="6" t="s">
        <v>274</v>
      </c>
      <c r="AB3571" s="8"/>
      <c r="AC3571" s="27">
        <v>9785160108650</v>
      </c>
    </row>
    <row r="3572" spans="1:29" s="4" customFormat="1" ht="42" customHeight="1" x14ac:dyDescent="0.2">
      <c r="A3572" s="5">
        <v>0</v>
      </c>
      <c r="B3572" s="6" t="s">
        <v>20828</v>
      </c>
      <c r="C3572" s="7">
        <v>1248</v>
      </c>
      <c r="D3572" s="8" t="s">
        <v>20829</v>
      </c>
      <c r="E3572" s="8" t="s">
        <v>20830</v>
      </c>
      <c r="F3572" s="8" t="s">
        <v>20831</v>
      </c>
      <c r="G3572" s="6" t="s">
        <v>33</v>
      </c>
      <c r="H3572" s="6" t="s">
        <v>34</v>
      </c>
      <c r="I3572" s="8" t="s">
        <v>35</v>
      </c>
      <c r="J3572" s="9">
        <v>1</v>
      </c>
      <c r="K3572" s="9">
        <v>231</v>
      </c>
      <c r="L3572" s="9">
        <v>2023</v>
      </c>
      <c r="M3572" s="8" t="s">
        <v>20832</v>
      </c>
      <c r="N3572" s="8" t="s">
        <v>37</v>
      </c>
      <c r="O3572" s="8" t="s">
        <v>233</v>
      </c>
      <c r="P3572" s="6" t="s">
        <v>39</v>
      </c>
      <c r="Q3572" s="8" t="s">
        <v>40</v>
      </c>
      <c r="R3572" s="10" t="s">
        <v>4087</v>
      </c>
      <c r="S3572" s="11"/>
      <c r="T3572" s="6" t="s">
        <v>97</v>
      </c>
      <c r="U3572" s="15" t="str">
        <f>HYPERLINK("https://media.infra-m.ru/1980/1980012/cover/1980012.jpg", "Обложка")</f>
        <v>Обложка</v>
      </c>
      <c r="V3572" s="8" t="s">
        <v>6224</v>
      </c>
      <c r="W3572" s="6"/>
      <c r="X3572" s="6"/>
      <c r="Y3572" s="6"/>
      <c r="Z3572" s="6"/>
      <c r="AA3572" s="6" t="s">
        <v>274</v>
      </c>
      <c r="AB3572" s="8"/>
      <c r="AC3572" s="27">
        <v>9785160102382</v>
      </c>
    </row>
    <row r="3573" spans="1:29" s="4" customFormat="1" ht="51.9" customHeight="1" x14ac:dyDescent="0.2">
      <c r="A3573" s="5">
        <v>0</v>
      </c>
      <c r="B3573" s="6" t="s">
        <v>20833</v>
      </c>
      <c r="C3573" s="13">
        <v>484.8</v>
      </c>
      <c r="D3573" s="8" t="s">
        <v>20834</v>
      </c>
      <c r="E3573" s="8" t="s">
        <v>20835</v>
      </c>
      <c r="F3573" s="8" t="s">
        <v>20836</v>
      </c>
      <c r="G3573" s="6" t="s">
        <v>33</v>
      </c>
      <c r="H3573" s="6" t="s">
        <v>34</v>
      </c>
      <c r="I3573" s="8" t="s">
        <v>35</v>
      </c>
      <c r="J3573" s="9">
        <v>1</v>
      </c>
      <c r="K3573" s="9">
        <v>88</v>
      </c>
      <c r="L3573" s="9">
        <v>2024</v>
      </c>
      <c r="M3573" s="8" t="s">
        <v>20837</v>
      </c>
      <c r="N3573" s="8" t="s">
        <v>243</v>
      </c>
      <c r="O3573" s="8" t="s">
        <v>244</v>
      </c>
      <c r="P3573" s="6" t="s">
        <v>39</v>
      </c>
      <c r="Q3573" s="8" t="s">
        <v>40</v>
      </c>
      <c r="R3573" s="10" t="s">
        <v>20838</v>
      </c>
      <c r="S3573" s="11"/>
      <c r="T3573" s="6"/>
      <c r="U3573" s="15" t="str">
        <f>HYPERLINK("https://media.infra-m.ru/2103/2103133/cover/2103133.jpg", "Обложка")</f>
        <v>Обложка</v>
      </c>
      <c r="V3573" s="8" t="s">
        <v>729</v>
      </c>
      <c r="W3573" s="6"/>
      <c r="X3573" s="6"/>
      <c r="Y3573" s="6"/>
      <c r="Z3573" s="6"/>
      <c r="AA3573" s="6" t="s">
        <v>55</v>
      </c>
      <c r="AB3573" s="8"/>
      <c r="AC3573" s="27">
        <v>9785160068909</v>
      </c>
    </row>
    <row r="3574" spans="1:29" s="4" customFormat="1" ht="44.1" customHeight="1" x14ac:dyDescent="0.2">
      <c r="A3574" s="5">
        <v>0</v>
      </c>
      <c r="B3574" s="6" t="s">
        <v>20839</v>
      </c>
      <c r="C3574" s="7">
        <v>1612.8</v>
      </c>
      <c r="D3574" s="8" t="s">
        <v>20840</v>
      </c>
      <c r="E3574" s="8" t="s">
        <v>20841</v>
      </c>
      <c r="F3574" s="8" t="s">
        <v>20842</v>
      </c>
      <c r="G3574" s="6" t="s">
        <v>60</v>
      </c>
      <c r="H3574" s="6" t="s">
        <v>34</v>
      </c>
      <c r="I3574" s="8" t="s">
        <v>271</v>
      </c>
      <c r="J3574" s="9">
        <v>1</v>
      </c>
      <c r="K3574" s="9">
        <v>292</v>
      </c>
      <c r="L3574" s="9">
        <v>2023</v>
      </c>
      <c r="M3574" s="8" t="s">
        <v>20843</v>
      </c>
      <c r="N3574" s="8" t="s">
        <v>585</v>
      </c>
      <c r="O3574" s="8" t="s">
        <v>775</v>
      </c>
      <c r="P3574" s="6" t="s">
        <v>51</v>
      </c>
      <c r="Q3574" s="8" t="s">
        <v>52</v>
      </c>
      <c r="R3574" s="10" t="s">
        <v>20844</v>
      </c>
      <c r="S3574" s="11"/>
      <c r="T3574" s="6"/>
      <c r="U3574" s="15" t="str">
        <f>HYPERLINK("https://media.infra-m.ru/1981/1981625/cover/1981625.jpg", "Обложка")</f>
        <v>Обложка</v>
      </c>
      <c r="V3574" s="8" t="s">
        <v>6147</v>
      </c>
      <c r="W3574" s="6"/>
      <c r="X3574" s="6"/>
      <c r="Y3574" s="6"/>
      <c r="Z3574" s="6"/>
      <c r="AA3574" s="6" t="s">
        <v>248</v>
      </c>
      <c r="AB3574" s="8"/>
      <c r="AC3574" s="27">
        <v>9785160095349</v>
      </c>
    </row>
    <row r="3575" spans="1:29" s="4" customFormat="1" ht="51.9" customHeight="1" x14ac:dyDescent="0.2">
      <c r="A3575" s="5">
        <v>0</v>
      </c>
      <c r="B3575" s="6" t="s">
        <v>20845</v>
      </c>
      <c r="C3575" s="7">
        <v>1684.8</v>
      </c>
      <c r="D3575" s="8" t="s">
        <v>20846</v>
      </c>
      <c r="E3575" s="8" t="s">
        <v>20847</v>
      </c>
      <c r="F3575" s="8" t="s">
        <v>20848</v>
      </c>
      <c r="G3575" s="6" t="s">
        <v>60</v>
      </c>
      <c r="H3575" s="6" t="s">
        <v>34</v>
      </c>
      <c r="I3575" s="8" t="s">
        <v>271</v>
      </c>
      <c r="J3575" s="9">
        <v>1</v>
      </c>
      <c r="K3575" s="9">
        <v>298</v>
      </c>
      <c r="L3575" s="9">
        <v>2024</v>
      </c>
      <c r="M3575" s="8" t="s">
        <v>20849</v>
      </c>
      <c r="N3575" s="8" t="s">
        <v>93</v>
      </c>
      <c r="O3575" s="8" t="s">
        <v>94</v>
      </c>
      <c r="P3575" s="6" t="s">
        <v>51</v>
      </c>
      <c r="Q3575" s="8" t="s">
        <v>52</v>
      </c>
      <c r="R3575" s="10" t="s">
        <v>20850</v>
      </c>
      <c r="S3575" s="11" t="s">
        <v>20851</v>
      </c>
      <c r="T3575" s="6"/>
      <c r="U3575" s="15" t="str">
        <f>HYPERLINK("https://media.infra-m.ru/2132/2132056/cover/2132056.jpg", "Обложка")</f>
        <v>Обложка</v>
      </c>
      <c r="V3575" s="8" t="s">
        <v>4038</v>
      </c>
      <c r="W3575" s="6"/>
      <c r="X3575" s="6"/>
      <c r="Y3575" s="6"/>
      <c r="Z3575" s="6"/>
      <c r="AA3575" s="6" t="s">
        <v>430</v>
      </c>
      <c r="AB3575" s="8"/>
      <c r="AC3575" s="27">
        <v>9785160155937</v>
      </c>
    </row>
    <row r="3576" spans="1:29" s="4" customFormat="1" ht="51.9" customHeight="1" x14ac:dyDescent="0.2">
      <c r="A3576" s="5">
        <v>0</v>
      </c>
      <c r="B3576" s="6" t="s">
        <v>20852</v>
      </c>
      <c r="C3576" s="13">
        <v>768</v>
      </c>
      <c r="D3576" s="8" t="s">
        <v>20853</v>
      </c>
      <c r="E3576" s="8" t="s">
        <v>20854</v>
      </c>
      <c r="F3576" s="8" t="s">
        <v>20855</v>
      </c>
      <c r="G3576" s="6" t="s">
        <v>33</v>
      </c>
      <c r="H3576" s="6" t="s">
        <v>34</v>
      </c>
      <c r="I3576" s="8" t="s">
        <v>253</v>
      </c>
      <c r="J3576" s="9">
        <v>1</v>
      </c>
      <c r="K3576" s="9">
        <v>116</v>
      </c>
      <c r="L3576" s="9">
        <v>2026</v>
      </c>
      <c r="M3576" s="8" t="s">
        <v>20856</v>
      </c>
      <c r="N3576" s="8" t="s">
        <v>585</v>
      </c>
      <c r="O3576" s="8" t="s">
        <v>775</v>
      </c>
      <c r="P3576" s="6" t="s">
        <v>51</v>
      </c>
      <c r="Q3576" s="8" t="s">
        <v>52</v>
      </c>
      <c r="R3576" s="10" t="s">
        <v>18053</v>
      </c>
      <c r="S3576" s="11" t="s">
        <v>20857</v>
      </c>
      <c r="T3576" s="6"/>
      <c r="U3576" s="15" t="str">
        <f>HYPERLINK("https://media.infra-m.ru/2230/2230656/cover/2230656.jpg", "Обложка")</f>
        <v>Обложка</v>
      </c>
      <c r="V3576" s="8" t="s">
        <v>7429</v>
      </c>
      <c r="W3576" s="6"/>
      <c r="X3576" s="6"/>
      <c r="Y3576" s="6"/>
      <c r="Z3576" s="6"/>
      <c r="AA3576" s="6" t="s">
        <v>623</v>
      </c>
      <c r="AB3576" s="8"/>
      <c r="AC3576" s="27">
        <v>9785160191294</v>
      </c>
    </row>
    <row r="3577" spans="1:29" s="4" customFormat="1" ht="51.9" customHeight="1" x14ac:dyDescent="0.2">
      <c r="A3577" s="5">
        <v>0</v>
      </c>
      <c r="B3577" s="6" t="s">
        <v>20858</v>
      </c>
      <c r="C3577" s="7">
        <v>1224</v>
      </c>
      <c r="D3577" s="8" t="s">
        <v>20859</v>
      </c>
      <c r="E3577" s="8" t="s">
        <v>20860</v>
      </c>
      <c r="F3577" s="8" t="s">
        <v>20861</v>
      </c>
      <c r="G3577" s="6" t="s">
        <v>33</v>
      </c>
      <c r="H3577" s="6" t="s">
        <v>48</v>
      </c>
      <c r="I3577" s="8" t="s">
        <v>253</v>
      </c>
      <c r="J3577" s="9">
        <v>1</v>
      </c>
      <c r="K3577" s="9">
        <v>175</v>
      </c>
      <c r="L3577" s="9">
        <v>2027</v>
      </c>
      <c r="M3577" s="8" t="s">
        <v>20862</v>
      </c>
      <c r="N3577" s="8" t="s">
        <v>93</v>
      </c>
      <c r="O3577" s="8" t="s">
        <v>94</v>
      </c>
      <c r="P3577" s="6" t="s">
        <v>105</v>
      </c>
      <c r="Q3577" s="8" t="s">
        <v>65</v>
      </c>
      <c r="R3577" s="10" t="s">
        <v>20863</v>
      </c>
      <c r="S3577" s="11" t="s">
        <v>20864</v>
      </c>
      <c r="T3577" s="6"/>
      <c r="U3577" s="15" t="str">
        <f>HYPERLINK("https://media.infra-m.ru/2266/2266150/cover/2266150.jpg", "Обложка")</f>
        <v>Обложка</v>
      </c>
      <c r="V3577" s="8" t="s">
        <v>9822</v>
      </c>
      <c r="W3577" s="6"/>
      <c r="X3577" s="6"/>
      <c r="Y3577" s="6"/>
      <c r="Z3577" s="6"/>
      <c r="AA3577" s="6" t="s">
        <v>274</v>
      </c>
      <c r="AB3577" s="8"/>
      <c r="AC3577" s="27">
        <v>9785000916322</v>
      </c>
    </row>
    <row r="3578" spans="1:29" s="4" customFormat="1" ht="51.9" customHeight="1" x14ac:dyDescent="0.2">
      <c r="A3578" s="5">
        <v>0</v>
      </c>
      <c r="B3578" s="6" t="s">
        <v>20865</v>
      </c>
      <c r="C3578" s="7">
        <v>1680</v>
      </c>
      <c r="D3578" s="8" t="s">
        <v>20866</v>
      </c>
      <c r="E3578" s="8" t="s">
        <v>20867</v>
      </c>
      <c r="F3578" s="8" t="s">
        <v>19028</v>
      </c>
      <c r="G3578" s="6" t="s">
        <v>118</v>
      </c>
      <c r="H3578" s="6" t="s">
        <v>34</v>
      </c>
      <c r="I3578" s="8" t="s">
        <v>263</v>
      </c>
      <c r="J3578" s="9">
        <v>1</v>
      </c>
      <c r="K3578" s="9">
        <v>240</v>
      </c>
      <c r="L3578" s="9">
        <v>2027</v>
      </c>
      <c r="M3578" s="8" t="s">
        <v>20868</v>
      </c>
      <c r="N3578" s="8" t="s">
        <v>93</v>
      </c>
      <c r="O3578" s="8" t="s">
        <v>94</v>
      </c>
      <c r="P3578" s="6" t="s">
        <v>51</v>
      </c>
      <c r="Q3578" s="8" t="s">
        <v>265</v>
      </c>
      <c r="R3578" s="10" t="s">
        <v>20869</v>
      </c>
      <c r="S3578" s="11" t="s">
        <v>9712</v>
      </c>
      <c r="T3578" s="6"/>
      <c r="U3578" s="15" t="str">
        <f>HYPERLINK("https://media.infra-m.ru/2266/2266132/cover/2266132.jpg", "Обложка")</f>
        <v>Обложка</v>
      </c>
      <c r="V3578" s="8" t="s">
        <v>1599</v>
      </c>
      <c r="W3578" s="6"/>
      <c r="X3578" s="6"/>
      <c r="Y3578" s="6"/>
      <c r="Z3578" s="6"/>
      <c r="AA3578" s="6" t="s">
        <v>859</v>
      </c>
      <c r="AB3578" s="8"/>
      <c r="AC3578" s="27">
        <v>9785160224398</v>
      </c>
    </row>
    <row r="3579" spans="1:29" s="4" customFormat="1" ht="42" customHeight="1" x14ac:dyDescent="0.2">
      <c r="A3579" s="5">
        <v>0</v>
      </c>
      <c r="B3579" s="6" t="s">
        <v>20870</v>
      </c>
      <c r="C3579" s="7">
        <v>3538.8</v>
      </c>
      <c r="D3579" s="8" t="s">
        <v>20871</v>
      </c>
      <c r="E3579" s="8" t="s">
        <v>20872</v>
      </c>
      <c r="F3579" s="8" t="s">
        <v>19008</v>
      </c>
      <c r="G3579" s="6" t="s">
        <v>60</v>
      </c>
      <c r="H3579" s="6" t="s">
        <v>34</v>
      </c>
      <c r="I3579" s="8" t="s">
        <v>263</v>
      </c>
      <c r="J3579" s="9">
        <v>1</v>
      </c>
      <c r="K3579" s="9">
        <v>471</v>
      </c>
      <c r="L3579" s="9">
        <v>2026</v>
      </c>
      <c r="M3579" s="8" t="s">
        <v>20873</v>
      </c>
      <c r="N3579" s="8" t="s">
        <v>93</v>
      </c>
      <c r="O3579" s="8" t="s">
        <v>9512</v>
      </c>
      <c r="P3579" s="6" t="s">
        <v>105</v>
      </c>
      <c r="Q3579" s="8" t="s">
        <v>265</v>
      </c>
      <c r="R3579" s="10" t="s">
        <v>20874</v>
      </c>
      <c r="S3579" s="11"/>
      <c r="T3579" s="6"/>
      <c r="U3579" s="15" t="str">
        <f>HYPERLINK("https://media.infra-m.ru/2196/2196566/cover/2196566.jpg", "Обложка")</f>
        <v>Обложка</v>
      </c>
      <c r="V3579" s="8" t="s">
        <v>19012</v>
      </c>
      <c r="W3579" s="6" t="s">
        <v>2565</v>
      </c>
      <c r="X3579" s="6"/>
      <c r="Y3579" s="6"/>
      <c r="Z3579" s="6"/>
      <c r="AA3579" s="6" t="s">
        <v>187</v>
      </c>
      <c r="AB3579" s="8" t="s">
        <v>9043</v>
      </c>
      <c r="AC3579" s="27">
        <v>9785160208121</v>
      </c>
    </row>
    <row r="3580" spans="1:29" s="4" customFormat="1" ht="44.1" customHeight="1" x14ac:dyDescent="0.2">
      <c r="A3580" s="5">
        <v>0</v>
      </c>
      <c r="B3580" s="6" t="s">
        <v>20875</v>
      </c>
      <c r="C3580" s="7">
        <v>1308</v>
      </c>
      <c r="D3580" s="8" t="s">
        <v>20876</v>
      </c>
      <c r="E3580" s="8" t="s">
        <v>20877</v>
      </c>
      <c r="F3580" s="8" t="s">
        <v>20878</v>
      </c>
      <c r="G3580" s="6" t="s">
        <v>118</v>
      </c>
      <c r="H3580" s="6" t="s">
        <v>34</v>
      </c>
      <c r="I3580" s="8" t="s">
        <v>263</v>
      </c>
      <c r="J3580" s="9">
        <v>1</v>
      </c>
      <c r="K3580" s="9">
        <v>187</v>
      </c>
      <c r="L3580" s="9">
        <v>2027</v>
      </c>
      <c r="M3580" s="8" t="s">
        <v>20879</v>
      </c>
      <c r="N3580" s="8" t="s">
        <v>93</v>
      </c>
      <c r="O3580" s="8" t="s">
        <v>9512</v>
      </c>
      <c r="P3580" s="6" t="s">
        <v>51</v>
      </c>
      <c r="Q3580" s="8" t="s">
        <v>265</v>
      </c>
      <c r="R3580" s="10" t="s">
        <v>19010</v>
      </c>
      <c r="S3580" s="11"/>
      <c r="T3580" s="6"/>
      <c r="U3580" s="15" t="str">
        <f>HYPERLINK("https://media.infra-m.ru/2271/2271255/cover/2271255.jpg", "Обложка")</f>
        <v>Обложка</v>
      </c>
      <c r="V3580" s="8" t="s">
        <v>20880</v>
      </c>
      <c r="W3580" s="6"/>
      <c r="X3580" s="6"/>
      <c r="Y3580" s="6"/>
      <c r="Z3580" s="6"/>
      <c r="AA3580" s="6" t="s">
        <v>1303</v>
      </c>
      <c r="AB3580" s="8"/>
      <c r="AC3580" s="27">
        <v>9785160178431</v>
      </c>
    </row>
    <row r="3581" spans="1:29" s="4" customFormat="1" ht="51.9" customHeight="1" x14ac:dyDescent="0.2">
      <c r="A3581" s="5">
        <v>0</v>
      </c>
      <c r="B3581" s="6" t="s">
        <v>20881</v>
      </c>
      <c r="C3581" s="7">
        <v>2100</v>
      </c>
      <c r="D3581" s="8" t="s">
        <v>20882</v>
      </c>
      <c r="E3581" s="8" t="s">
        <v>20883</v>
      </c>
      <c r="F3581" s="8" t="s">
        <v>20884</v>
      </c>
      <c r="G3581" s="6" t="s">
        <v>118</v>
      </c>
      <c r="H3581" s="6" t="s">
        <v>34</v>
      </c>
      <c r="I3581" s="8" t="s">
        <v>253</v>
      </c>
      <c r="J3581" s="9">
        <v>1</v>
      </c>
      <c r="K3581" s="9">
        <v>301</v>
      </c>
      <c r="L3581" s="9">
        <v>2027</v>
      </c>
      <c r="M3581" s="8" t="s">
        <v>20885</v>
      </c>
      <c r="N3581" s="8" t="s">
        <v>93</v>
      </c>
      <c r="O3581" s="8" t="s">
        <v>94</v>
      </c>
      <c r="P3581" s="6" t="s">
        <v>306</v>
      </c>
      <c r="Q3581" s="8" t="s">
        <v>52</v>
      </c>
      <c r="R3581" s="10" t="s">
        <v>11024</v>
      </c>
      <c r="S3581" s="11" t="s">
        <v>20886</v>
      </c>
      <c r="T3581" s="6"/>
      <c r="U3581" s="15" t="str">
        <f>HYPERLINK("https://media.infra-m.ru/2271/2271268/cover/2271268.jpg", "Обложка")</f>
        <v>Обложка</v>
      </c>
      <c r="V3581" s="8" t="s">
        <v>54</v>
      </c>
      <c r="W3581" s="6"/>
      <c r="X3581" s="6"/>
      <c r="Y3581" s="6"/>
      <c r="Z3581" s="6"/>
      <c r="AA3581" s="6" t="s">
        <v>2240</v>
      </c>
      <c r="AB3581" s="8"/>
      <c r="AC3581" s="27">
        <v>9785160209999</v>
      </c>
    </row>
    <row r="3582" spans="1:29" s="4" customFormat="1" ht="42" customHeight="1" x14ac:dyDescent="0.2">
      <c r="A3582" s="5">
        <v>0</v>
      </c>
      <c r="B3582" s="6" t="s">
        <v>20887</v>
      </c>
      <c r="C3582" s="7">
        <v>1564.8</v>
      </c>
      <c r="D3582" s="8" t="s">
        <v>20888</v>
      </c>
      <c r="E3582" s="8" t="s">
        <v>20889</v>
      </c>
      <c r="F3582" s="8" t="s">
        <v>20890</v>
      </c>
      <c r="G3582" s="6" t="s">
        <v>60</v>
      </c>
      <c r="H3582" s="6" t="s">
        <v>34</v>
      </c>
      <c r="I3582" s="8" t="s">
        <v>91</v>
      </c>
      <c r="J3582" s="9">
        <v>1</v>
      </c>
      <c r="K3582" s="9">
        <v>260</v>
      </c>
      <c r="L3582" s="9">
        <v>2024</v>
      </c>
      <c r="M3582" s="8" t="s">
        <v>20891</v>
      </c>
      <c r="N3582" s="8" t="s">
        <v>93</v>
      </c>
      <c r="O3582" s="8" t="s">
        <v>7500</v>
      </c>
      <c r="P3582" s="6" t="s">
        <v>51</v>
      </c>
      <c r="Q3582" s="8" t="s">
        <v>65</v>
      </c>
      <c r="R3582" s="10" t="s">
        <v>20892</v>
      </c>
      <c r="S3582" s="11"/>
      <c r="T3582" s="6"/>
      <c r="U3582" s="15" t="str">
        <f>HYPERLINK("https://media.infra-m.ru/2187/2187821/cover/2187821.jpg", "Обложка")</f>
        <v>Обложка</v>
      </c>
      <c r="V3582" s="8" t="s">
        <v>20893</v>
      </c>
      <c r="W3582" s="6"/>
      <c r="X3582" s="6"/>
      <c r="Y3582" s="6"/>
      <c r="Z3582" s="6"/>
      <c r="AA3582" s="6" t="s">
        <v>76</v>
      </c>
      <c r="AB3582" s="8" t="s">
        <v>944</v>
      </c>
      <c r="AC3582" s="27">
        <v>9785160194653</v>
      </c>
    </row>
    <row r="3583" spans="1:29" s="4" customFormat="1" ht="51.9" customHeight="1" x14ac:dyDescent="0.2">
      <c r="A3583" s="5">
        <v>0</v>
      </c>
      <c r="B3583" s="6" t="s">
        <v>20894</v>
      </c>
      <c r="C3583" s="7">
        <v>2628</v>
      </c>
      <c r="D3583" s="8" t="s">
        <v>20895</v>
      </c>
      <c r="E3583" s="8" t="s">
        <v>20896</v>
      </c>
      <c r="F3583" s="8" t="s">
        <v>19008</v>
      </c>
      <c r="G3583" s="6" t="s">
        <v>60</v>
      </c>
      <c r="H3583" s="6" t="s">
        <v>34</v>
      </c>
      <c r="I3583" s="8" t="s">
        <v>253</v>
      </c>
      <c r="J3583" s="9">
        <v>1</v>
      </c>
      <c r="K3583" s="9">
        <v>365</v>
      </c>
      <c r="L3583" s="9">
        <v>2027</v>
      </c>
      <c r="M3583" s="8" t="s">
        <v>20897</v>
      </c>
      <c r="N3583" s="8" t="s">
        <v>93</v>
      </c>
      <c r="O3583" s="8" t="s">
        <v>94</v>
      </c>
      <c r="P3583" s="6" t="s">
        <v>306</v>
      </c>
      <c r="Q3583" s="8" t="s">
        <v>52</v>
      </c>
      <c r="R3583" s="10" t="s">
        <v>11661</v>
      </c>
      <c r="S3583" s="11"/>
      <c r="T3583" s="6"/>
      <c r="U3583" s="15" t="str">
        <f>HYPERLINK("https://media.infra-m.ru/2223/2223652/cover/2223652.jpg", "Обложка")</f>
        <v>Обложка</v>
      </c>
      <c r="V3583" s="8" t="s">
        <v>19012</v>
      </c>
      <c r="W3583" s="6" t="s">
        <v>649</v>
      </c>
      <c r="X3583" s="6"/>
      <c r="Y3583" s="6"/>
      <c r="Z3583" s="6"/>
      <c r="AA3583" s="6" t="s">
        <v>420</v>
      </c>
      <c r="AB3583" s="8" t="s">
        <v>11878</v>
      </c>
      <c r="AC3583" s="27">
        <v>9785160214139</v>
      </c>
    </row>
    <row r="3584" spans="1:29" s="4" customFormat="1" ht="51.9" customHeight="1" x14ac:dyDescent="0.2">
      <c r="A3584" s="5">
        <v>0</v>
      </c>
      <c r="B3584" s="6" t="s">
        <v>20898</v>
      </c>
      <c r="C3584" s="13">
        <v>832.8</v>
      </c>
      <c r="D3584" s="8" t="s">
        <v>20899</v>
      </c>
      <c r="E3584" s="8" t="s">
        <v>20900</v>
      </c>
      <c r="F3584" s="8" t="s">
        <v>20878</v>
      </c>
      <c r="G3584" s="6" t="s">
        <v>60</v>
      </c>
      <c r="H3584" s="6" t="s">
        <v>34</v>
      </c>
      <c r="I3584" s="8" t="s">
        <v>271</v>
      </c>
      <c r="J3584" s="9">
        <v>1</v>
      </c>
      <c r="K3584" s="9">
        <v>198</v>
      </c>
      <c r="L3584" s="9">
        <v>2019</v>
      </c>
      <c r="M3584" s="8" t="s">
        <v>20901</v>
      </c>
      <c r="N3584" s="8" t="s">
        <v>93</v>
      </c>
      <c r="O3584" s="8" t="s">
        <v>94</v>
      </c>
      <c r="P3584" s="6" t="s">
        <v>51</v>
      </c>
      <c r="Q3584" s="8" t="s">
        <v>52</v>
      </c>
      <c r="R3584" s="10" t="s">
        <v>9352</v>
      </c>
      <c r="S3584" s="11" t="s">
        <v>20902</v>
      </c>
      <c r="T3584" s="6"/>
      <c r="U3584" s="15" t="str">
        <f>HYPERLINK("https://media.infra-m.ru/2081/2081987/cover/2081987.jpg", "Обложка")</f>
        <v>Обложка</v>
      </c>
      <c r="V3584" s="8" t="s">
        <v>20880</v>
      </c>
      <c r="W3584" s="6"/>
      <c r="X3584" s="6"/>
      <c r="Y3584" s="6"/>
      <c r="Z3584" s="6"/>
      <c r="AA3584" s="6" t="s">
        <v>2240</v>
      </c>
      <c r="AB3584" s="8"/>
      <c r="AC3584" s="27">
        <v>9785160140599</v>
      </c>
    </row>
    <row r="3585" spans="1:29" s="4" customFormat="1" ht="51.9" customHeight="1" x14ac:dyDescent="0.2">
      <c r="A3585" s="5">
        <v>0</v>
      </c>
      <c r="B3585" s="6" t="s">
        <v>20903</v>
      </c>
      <c r="C3585" s="13">
        <v>828</v>
      </c>
      <c r="D3585" s="8" t="s">
        <v>20904</v>
      </c>
      <c r="E3585" s="8" t="s">
        <v>20905</v>
      </c>
      <c r="F3585" s="8" t="s">
        <v>20906</v>
      </c>
      <c r="G3585" s="6" t="s">
        <v>118</v>
      </c>
      <c r="H3585" s="6" t="s">
        <v>34</v>
      </c>
      <c r="I3585" s="8" t="s">
        <v>253</v>
      </c>
      <c r="J3585" s="9">
        <v>1</v>
      </c>
      <c r="K3585" s="9">
        <v>120</v>
      </c>
      <c r="L3585" s="9">
        <v>2026</v>
      </c>
      <c r="M3585" s="8" t="s">
        <v>20907</v>
      </c>
      <c r="N3585" s="8" t="s">
        <v>93</v>
      </c>
      <c r="O3585" s="8" t="s">
        <v>94</v>
      </c>
      <c r="P3585" s="6" t="s">
        <v>51</v>
      </c>
      <c r="Q3585" s="8" t="s">
        <v>52</v>
      </c>
      <c r="R3585" s="10" t="s">
        <v>594</v>
      </c>
      <c r="S3585" s="11" t="s">
        <v>20908</v>
      </c>
      <c r="T3585" s="6"/>
      <c r="U3585" s="15" t="str">
        <f>HYPERLINK("https://media.infra-m.ru/2262/2262023/cover/2262023.jpg", "Обложка")</f>
        <v>Обложка</v>
      </c>
      <c r="V3585" s="8" t="s">
        <v>7031</v>
      </c>
      <c r="W3585" s="6"/>
      <c r="X3585" s="6"/>
      <c r="Y3585" s="6"/>
      <c r="Z3585" s="6"/>
      <c r="AA3585" s="6" t="s">
        <v>430</v>
      </c>
      <c r="AB3585" s="8"/>
      <c r="AC3585" s="27">
        <v>9785160223186</v>
      </c>
    </row>
    <row r="3586" spans="1:29" s="4" customFormat="1" ht="51.9" customHeight="1" x14ac:dyDescent="0.2">
      <c r="A3586" s="5">
        <v>0</v>
      </c>
      <c r="B3586" s="6" t="s">
        <v>20909</v>
      </c>
      <c r="C3586" s="7">
        <v>2032.8</v>
      </c>
      <c r="D3586" s="8" t="s">
        <v>20910</v>
      </c>
      <c r="E3586" s="8" t="s">
        <v>20911</v>
      </c>
      <c r="F3586" s="8" t="s">
        <v>20912</v>
      </c>
      <c r="G3586" s="6" t="s">
        <v>118</v>
      </c>
      <c r="H3586" s="6" t="s">
        <v>34</v>
      </c>
      <c r="I3586" s="8" t="s">
        <v>271</v>
      </c>
      <c r="J3586" s="9">
        <v>1</v>
      </c>
      <c r="K3586" s="9">
        <v>320</v>
      </c>
      <c r="L3586" s="9">
        <v>2026</v>
      </c>
      <c r="M3586" s="8" t="s">
        <v>20913</v>
      </c>
      <c r="N3586" s="8" t="s">
        <v>93</v>
      </c>
      <c r="O3586" s="8" t="s">
        <v>94</v>
      </c>
      <c r="P3586" s="6" t="s">
        <v>306</v>
      </c>
      <c r="Q3586" s="8" t="s">
        <v>52</v>
      </c>
      <c r="R3586" s="10" t="s">
        <v>20914</v>
      </c>
      <c r="S3586" s="11" t="s">
        <v>20915</v>
      </c>
      <c r="T3586" s="6"/>
      <c r="U3586" s="15" t="str">
        <f>HYPERLINK("https://media.infra-m.ru/2218/2218903/cover/2218903.jpg", "Обложка")</f>
        <v>Обложка</v>
      </c>
      <c r="V3586" s="8" t="s">
        <v>3177</v>
      </c>
      <c r="W3586" s="6"/>
      <c r="X3586" s="6"/>
      <c r="Y3586" s="6"/>
      <c r="Z3586" s="6"/>
      <c r="AA3586" s="6" t="s">
        <v>99</v>
      </c>
      <c r="AB3586" s="8"/>
      <c r="AC3586" s="27">
        <v>9785160123202</v>
      </c>
    </row>
    <row r="3587" spans="1:29" s="4" customFormat="1" ht="42" customHeight="1" x14ac:dyDescent="0.2">
      <c r="A3587" s="5">
        <v>0</v>
      </c>
      <c r="B3587" s="6" t="s">
        <v>20916</v>
      </c>
      <c r="C3587" s="7">
        <v>1788</v>
      </c>
      <c r="D3587" s="8" t="s">
        <v>20917</v>
      </c>
      <c r="E3587" s="8" t="s">
        <v>20918</v>
      </c>
      <c r="F3587" s="8" t="s">
        <v>3261</v>
      </c>
      <c r="G3587" s="6" t="s">
        <v>60</v>
      </c>
      <c r="H3587" s="6" t="s">
        <v>34</v>
      </c>
      <c r="I3587" s="8" t="s">
        <v>253</v>
      </c>
      <c r="J3587" s="9">
        <v>1</v>
      </c>
      <c r="K3587" s="9">
        <v>255</v>
      </c>
      <c r="L3587" s="9">
        <v>2026</v>
      </c>
      <c r="M3587" s="8" t="s">
        <v>20919</v>
      </c>
      <c r="N3587" s="8" t="s">
        <v>93</v>
      </c>
      <c r="O3587" s="8" t="s">
        <v>94</v>
      </c>
      <c r="P3587" s="6" t="s">
        <v>51</v>
      </c>
      <c r="Q3587" s="8" t="s">
        <v>65</v>
      </c>
      <c r="R3587" s="10" t="s">
        <v>1563</v>
      </c>
      <c r="S3587" s="11"/>
      <c r="T3587" s="6"/>
      <c r="U3587" s="15" t="str">
        <f>HYPERLINK("https://media.infra-m.ru/2215/2215195/cover/2215195.jpg", "Обложка")</f>
        <v>Обложка</v>
      </c>
      <c r="V3587" s="8" t="s">
        <v>3264</v>
      </c>
      <c r="W3587" s="6" t="s">
        <v>186</v>
      </c>
      <c r="X3587" s="6"/>
      <c r="Y3587" s="6"/>
      <c r="Z3587" s="6"/>
      <c r="AA3587" s="6" t="s">
        <v>187</v>
      </c>
      <c r="AB3587" s="8" t="s">
        <v>308</v>
      </c>
      <c r="AC3587" s="27">
        <v>9785160211374</v>
      </c>
    </row>
    <row r="3588" spans="1:29" s="4" customFormat="1" ht="51.9" customHeight="1" x14ac:dyDescent="0.2">
      <c r="A3588" s="5">
        <v>0</v>
      </c>
      <c r="B3588" s="6" t="s">
        <v>20920</v>
      </c>
      <c r="C3588" s="7">
        <v>1776</v>
      </c>
      <c r="D3588" s="8" t="s">
        <v>20921</v>
      </c>
      <c r="E3588" s="8" t="s">
        <v>20922</v>
      </c>
      <c r="F3588" s="8" t="s">
        <v>613</v>
      </c>
      <c r="G3588" s="6" t="s">
        <v>118</v>
      </c>
      <c r="H3588" s="6" t="s">
        <v>34</v>
      </c>
      <c r="I3588" s="8" t="s">
        <v>253</v>
      </c>
      <c r="J3588" s="9">
        <v>1</v>
      </c>
      <c r="K3588" s="9">
        <v>256</v>
      </c>
      <c r="L3588" s="9">
        <v>2026</v>
      </c>
      <c r="M3588" s="8" t="s">
        <v>20923</v>
      </c>
      <c r="N3588" s="8" t="s">
        <v>93</v>
      </c>
      <c r="O3588" s="8" t="s">
        <v>94</v>
      </c>
      <c r="P3588" s="6" t="s">
        <v>51</v>
      </c>
      <c r="Q3588" s="8" t="s">
        <v>52</v>
      </c>
      <c r="R3588" s="10" t="s">
        <v>20924</v>
      </c>
      <c r="S3588" s="11"/>
      <c r="T3588" s="6"/>
      <c r="U3588" s="15" t="str">
        <f>HYPERLINK("https://media.infra-m.ru/2256/2256958/cover/2256958.jpg", "Обложка")</f>
        <v>Обложка</v>
      </c>
      <c r="V3588" s="8" t="s">
        <v>617</v>
      </c>
      <c r="W3588" s="6"/>
      <c r="X3588" s="6"/>
      <c r="Y3588" s="6"/>
      <c r="Z3588" s="6"/>
      <c r="AA3588" s="6" t="s">
        <v>55</v>
      </c>
      <c r="AB3588" s="8"/>
      <c r="AC3588" s="27">
        <v>9785160188874</v>
      </c>
    </row>
    <row r="3589" spans="1:29" s="4" customFormat="1" ht="51.9" customHeight="1" x14ac:dyDescent="0.2">
      <c r="A3589" s="5">
        <v>0</v>
      </c>
      <c r="B3589" s="6" t="s">
        <v>20925</v>
      </c>
      <c r="C3589" s="7">
        <v>1816.8</v>
      </c>
      <c r="D3589" s="8" t="s">
        <v>20926</v>
      </c>
      <c r="E3589" s="8" t="s">
        <v>20927</v>
      </c>
      <c r="F3589" s="8" t="s">
        <v>20928</v>
      </c>
      <c r="G3589" s="6" t="s">
        <v>118</v>
      </c>
      <c r="H3589" s="6" t="s">
        <v>34</v>
      </c>
      <c r="I3589" s="8" t="s">
        <v>5350</v>
      </c>
      <c r="J3589" s="9">
        <v>1</v>
      </c>
      <c r="K3589" s="9">
        <v>255</v>
      </c>
      <c r="L3589" s="9">
        <v>2026</v>
      </c>
      <c r="M3589" s="8" t="s">
        <v>20929</v>
      </c>
      <c r="N3589" s="8" t="s">
        <v>37</v>
      </c>
      <c r="O3589" s="8" t="s">
        <v>136</v>
      </c>
      <c r="P3589" s="6" t="s">
        <v>306</v>
      </c>
      <c r="Q3589" s="8" t="s">
        <v>377</v>
      </c>
      <c r="R3589" s="10" t="s">
        <v>20930</v>
      </c>
      <c r="S3589" s="11" t="s">
        <v>20931</v>
      </c>
      <c r="T3589" s="6"/>
      <c r="U3589" s="15" t="str">
        <f>HYPERLINK("https://media.infra-m.ru/2230/2230662/cover/2230662.jpg", "Обложка")</f>
        <v>Обложка</v>
      </c>
      <c r="V3589" s="8" t="s">
        <v>1277</v>
      </c>
      <c r="W3589" s="6"/>
      <c r="X3589" s="6"/>
      <c r="Y3589" s="6"/>
      <c r="Z3589" s="6"/>
      <c r="AA3589" s="6" t="s">
        <v>157</v>
      </c>
      <c r="AB3589" s="8"/>
      <c r="AC3589" s="27">
        <v>9785160179322</v>
      </c>
    </row>
    <row r="3590" spans="1:29" s="4" customFormat="1" ht="51.9" customHeight="1" x14ac:dyDescent="0.2">
      <c r="A3590" s="5">
        <v>0</v>
      </c>
      <c r="B3590" s="6" t="s">
        <v>20932</v>
      </c>
      <c r="C3590" s="7">
        <v>1560</v>
      </c>
      <c r="D3590" s="8" t="s">
        <v>20933</v>
      </c>
      <c r="E3590" s="8" t="s">
        <v>20934</v>
      </c>
      <c r="F3590" s="8" t="s">
        <v>20935</v>
      </c>
      <c r="G3590" s="6" t="s">
        <v>33</v>
      </c>
      <c r="H3590" s="6" t="s">
        <v>134</v>
      </c>
      <c r="I3590" s="8"/>
      <c r="J3590" s="9">
        <v>1</v>
      </c>
      <c r="K3590" s="9">
        <v>224</v>
      </c>
      <c r="L3590" s="9">
        <v>2026</v>
      </c>
      <c r="M3590" s="8" t="s">
        <v>20936</v>
      </c>
      <c r="N3590" s="8" t="s">
        <v>37</v>
      </c>
      <c r="O3590" s="8" t="s">
        <v>136</v>
      </c>
      <c r="P3590" s="6" t="s">
        <v>39</v>
      </c>
      <c r="Q3590" s="8" t="s">
        <v>40</v>
      </c>
      <c r="R3590" s="10" t="s">
        <v>484</v>
      </c>
      <c r="S3590" s="11"/>
      <c r="T3590" s="6"/>
      <c r="U3590" s="15" t="str">
        <f>HYPERLINK("https://media.infra-m.ru/2242/2242259/cover/2242259.jpg", "Обложка")</f>
        <v>Обложка</v>
      </c>
      <c r="V3590" s="8" t="s">
        <v>1083</v>
      </c>
      <c r="W3590" s="6"/>
      <c r="X3590" s="6"/>
      <c r="Y3590" s="6"/>
      <c r="Z3590" s="6"/>
      <c r="AA3590" s="6" t="s">
        <v>1047</v>
      </c>
      <c r="AB3590" s="8"/>
      <c r="AC3590" s="27">
        <v>9785917682631</v>
      </c>
    </row>
    <row r="3591" spans="1:29" s="4" customFormat="1" ht="51.9" customHeight="1" x14ac:dyDescent="0.2">
      <c r="A3591" s="5">
        <v>0</v>
      </c>
      <c r="B3591" s="6" t="s">
        <v>20937</v>
      </c>
      <c r="C3591" s="7">
        <v>2176.8000000000002</v>
      </c>
      <c r="D3591" s="8" t="s">
        <v>20938</v>
      </c>
      <c r="E3591" s="8" t="s">
        <v>20939</v>
      </c>
      <c r="F3591" s="8" t="s">
        <v>20940</v>
      </c>
      <c r="G3591" s="6" t="s">
        <v>118</v>
      </c>
      <c r="H3591" s="6" t="s">
        <v>34</v>
      </c>
      <c r="I3591" s="8" t="s">
        <v>263</v>
      </c>
      <c r="J3591" s="9">
        <v>1</v>
      </c>
      <c r="K3591" s="9">
        <v>312</v>
      </c>
      <c r="L3591" s="9">
        <v>2027</v>
      </c>
      <c r="M3591" s="8" t="s">
        <v>20941</v>
      </c>
      <c r="N3591" s="8" t="s">
        <v>93</v>
      </c>
      <c r="O3591" s="8" t="s">
        <v>94</v>
      </c>
      <c r="P3591" s="6" t="s">
        <v>51</v>
      </c>
      <c r="Q3591" s="8" t="s">
        <v>265</v>
      </c>
      <c r="R3591" s="10" t="s">
        <v>20942</v>
      </c>
      <c r="S3591" s="11" t="s">
        <v>20943</v>
      </c>
      <c r="T3591" s="6"/>
      <c r="U3591" s="15" t="str">
        <f>HYPERLINK("https://media.infra-m.ru/2262/2262264/cover/2262264.jpg", "Обложка")</f>
        <v>Обложка</v>
      </c>
      <c r="V3591" s="8" t="s">
        <v>1599</v>
      </c>
      <c r="W3591" s="6"/>
      <c r="X3591" s="6"/>
      <c r="Y3591" s="6"/>
      <c r="Z3591" s="6" t="s">
        <v>267</v>
      </c>
      <c r="AA3591" s="6" t="s">
        <v>404</v>
      </c>
      <c r="AB3591" s="8"/>
      <c r="AC3591" s="27">
        <v>9785160139692</v>
      </c>
    </row>
    <row r="3592" spans="1:29" s="4" customFormat="1" ht="51.9" customHeight="1" x14ac:dyDescent="0.2">
      <c r="A3592" s="5">
        <v>0</v>
      </c>
      <c r="B3592" s="6" t="s">
        <v>20944</v>
      </c>
      <c r="C3592" s="7">
        <v>2068.8000000000002</v>
      </c>
      <c r="D3592" s="8" t="s">
        <v>20945</v>
      </c>
      <c r="E3592" s="8" t="s">
        <v>20939</v>
      </c>
      <c r="F3592" s="8" t="s">
        <v>20940</v>
      </c>
      <c r="G3592" s="6" t="s">
        <v>118</v>
      </c>
      <c r="H3592" s="6" t="s">
        <v>34</v>
      </c>
      <c r="I3592" s="8" t="s">
        <v>271</v>
      </c>
      <c r="J3592" s="9">
        <v>1</v>
      </c>
      <c r="K3592" s="9">
        <v>312</v>
      </c>
      <c r="L3592" s="9">
        <v>2026</v>
      </c>
      <c r="M3592" s="8" t="s">
        <v>20946</v>
      </c>
      <c r="N3592" s="8" t="s">
        <v>93</v>
      </c>
      <c r="O3592" s="8" t="s">
        <v>94</v>
      </c>
      <c r="P3592" s="6" t="s">
        <v>51</v>
      </c>
      <c r="Q3592" s="8" t="s">
        <v>52</v>
      </c>
      <c r="R3592" s="10" t="s">
        <v>2486</v>
      </c>
      <c r="S3592" s="11" t="s">
        <v>20947</v>
      </c>
      <c r="T3592" s="6"/>
      <c r="U3592" s="15" t="str">
        <f>HYPERLINK("https://media.infra-m.ru/2219/2219277/cover/2219277.jpg", "Обложка")</f>
        <v>Обложка</v>
      </c>
      <c r="V3592" s="8" t="s">
        <v>1599</v>
      </c>
      <c r="W3592" s="6"/>
      <c r="X3592" s="6"/>
      <c r="Y3592" s="6"/>
      <c r="Z3592" s="6"/>
      <c r="AA3592" s="6" t="s">
        <v>360</v>
      </c>
      <c r="AB3592" s="8"/>
      <c r="AC3592" s="27">
        <v>9785160113777</v>
      </c>
    </row>
    <row r="3593" spans="1:29" s="4" customFormat="1" ht="51.9" customHeight="1" x14ac:dyDescent="0.2">
      <c r="A3593" s="5">
        <v>0</v>
      </c>
      <c r="B3593" s="6" t="s">
        <v>20948</v>
      </c>
      <c r="C3593" s="7">
        <v>1452</v>
      </c>
      <c r="D3593" s="8" t="s">
        <v>20949</v>
      </c>
      <c r="E3593" s="8" t="s">
        <v>20950</v>
      </c>
      <c r="F3593" s="8" t="s">
        <v>20951</v>
      </c>
      <c r="G3593" s="6" t="s">
        <v>33</v>
      </c>
      <c r="H3593" s="6" t="s">
        <v>34</v>
      </c>
      <c r="I3593" s="8"/>
      <c r="J3593" s="9">
        <v>1</v>
      </c>
      <c r="K3593" s="9">
        <v>208</v>
      </c>
      <c r="L3593" s="9">
        <v>2027</v>
      </c>
      <c r="M3593" s="8" t="s">
        <v>20952</v>
      </c>
      <c r="N3593" s="8" t="s">
        <v>37</v>
      </c>
      <c r="O3593" s="8" t="s">
        <v>233</v>
      </c>
      <c r="P3593" s="6" t="s">
        <v>234</v>
      </c>
      <c r="Q3593" s="8" t="s">
        <v>749</v>
      </c>
      <c r="R3593" s="10" t="s">
        <v>20953</v>
      </c>
      <c r="S3593" s="11" t="s">
        <v>20954</v>
      </c>
      <c r="T3593" s="6"/>
      <c r="U3593" s="15" t="str">
        <f>HYPERLINK("https://media.infra-m.ru/2267/2267675/cover/2267675.jpg", "Обложка")</f>
        <v>Обложка</v>
      </c>
      <c r="V3593" s="8" t="s">
        <v>2055</v>
      </c>
      <c r="W3593" s="6"/>
      <c r="X3593" s="6" t="s">
        <v>24</v>
      </c>
      <c r="Y3593" s="6"/>
      <c r="Z3593" s="6"/>
      <c r="AA3593" s="6" t="s">
        <v>6584</v>
      </c>
      <c r="AB3593" s="8"/>
      <c r="AC3593" s="27">
        <v>9785160030685</v>
      </c>
    </row>
    <row r="3594" spans="1:29" s="4" customFormat="1" ht="51.9" customHeight="1" x14ac:dyDescent="0.2">
      <c r="A3594" s="5">
        <v>0</v>
      </c>
      <c r="B3594" s="6" t="s">
        <v>20955</v>
      </c>
      <c r="C3594" s="13">
        <v>892.8</v>
      </c>
      <c r="D3594" s="8" t="s">
        <v>20956</v>
      </c>
      <c r="E3594" s="8" t="s">
        <v>20957</v>
      </c>
      <c r="F3594" s="8" t="s">
        <v>20958</v>
      </c>
      <c r="G3594" s="6" t="s">
        <v>33</v>
      </c>
      <c r="H3594" s="6" t="s">
        <v>34</v>
      </c>
      <c r="I3594" s="8" t="s">
        <v>263</v>
      </c>
      <c r="J3594" s="9">
        <v>1</v>
      </c>
      <c r="K3594" s="9">
        <v>143</v>
      </c>
      <c r="L3594" s="9">
        <v>2025</v>
      </c>
      <c r="M3594" s="8" t="s">
        <v>20959</v>
      </c>
      <c r="N3594" s="8" t="s">
        <v>243</v>
      </c>
      <c r="O3594" s="8" t="s">
        <v>758</v>
      </c>
      <c r="P3594" s="6" t="s">
        <v>51</v>
      </c>
      <c r="Q3594" s="8" t="s">
        <v>265</v>
      </c>
      <c r="R3594" s="10" t="s">
        <v>15487</v>
      </c>
      <c r="S3594" s="11" t="s">
        <v>9263</v>
      </c>
      <c r="T3594" s="6"/>
      <c r="U3594" s="15" t="str">
        <f>HYPERLINK("https://media.infra-m.ru/2202/2202656/cover/2202656.jpg", "Обложка")</f>
        <v>Обложка</v>
      </c>
      <c r="V3594" s="8" t="s">
        <v>12351</v>
      </c>
      <c r="W3594" s="6"/>
      <c r="X3594" s="6"/>
      <c r="Y3594" s="6"/>
      <c r="Z3594" s="6" t="s">
        <v>267</v>
      </c>
      <c r="AA3594" s="6" t="s">
        <v>218</v>
      </c>
      <c r="AB3594" s="8"/>
      <c r="AC3594" s="27">
        <v>9785160149103</v>
      </c>
    </row>
    <row r="3595" spans="1:29" s="4" customFormat="1" ht="51.9" customHeight="1" x14ac:dyDescent="0.2">
      <c r="A3595" s="5">
        <v>0</v>
      </c>
      <c r="B3595" s="6" t="s">
        <v>20960</v>
      </c>
      <c r="C3595" s="13">
        <v>948</v>
      </c>
      <c r="D3595" s="8" t="s">
        <v>20961</v>
      </c>
      <c r="E3595" s="8" t="s">
        <v>20957</v>
      </c>
      <c r="F3595" s="8" t="s">
        <v>20962</v>
      </c>
      <c r="G3595" s="6" t="s">
        <v>33</v>
      </c>
      <c r="H3595" s="6" t="s">
        <v>34</v>
      </c>
      <c r="I3595" s="8" t="s">
        <v>253</v>
      </c>
      <c r="J3595" s="9">
        <v>1</v>
      </c>
      <c r="K3595" s="9">
        <v>143</v>
      </c>
      <c r="L3595" s="9">
        <v>2026</v>
      </c>
      <c r="M3595" s="8" t="s">
        <v>20963</v>
      </c>
      <c r="N3595" s="8" t="s">
        <v>243</v>
      </c>
      <c r="O3595" s="8" t="s">
        <v>758</v>
      </c>
      <c r="P3595" s="6" t="s">
        <v>51</v>
      </c>
      <c r="Q3595" s="8" t="s">
        <v>52</v>
      </c>
      <c r="R3595" s="10" t="s">
        <v>20964</v>
      </c>
      <c r="S3595" s="11" t="s">
        <v>20965</v>
      </c>
      <c r="T3595" s="6"/>
      <c r="U3595" s="15" t="str">
        <f>HYPERLINK("https://media.infra-m.ru/2226/2226484/cover/2226484.jpg", "Обложка")</f>
        <v>Обложка</v>
      </c>
      <c r="V3595" s="8" t="s">
        <v>12351</v>
      </c>
      <c r="W3595" s="6"/>
      <c r="X3595" s="6"/>
      <c r="Y3595" s="6"/>
      <c r="Z3595" s="6"/>
      <c r="AA3595" s="6" t="s">
        <v>859</v>
      </c>
      <c r="AB3595" s="8"/>
      <c r="AC3595" s="27">
        <v>9785160214733</v>
      </c>
    </row>
    <row r="3596" spans="1:29" s="4" customFormat="1" ht="42" customHeight="1" x14ac:dyDescent="0.2">
      <c r="A3596" s="5">
        <v>0</v>
      </c>
      <c r="B3596" s="6" t="s">
        <v>20966</v>
      </c>
      <c r="C3596" s="13">
        <v>876</v>
      </c>
      <c r="D3596" s="8" t="s">
        <v>20967</v>
      </c>
      <c r="E3596" s="8" t="s">
        <v>20968</v>
      </c>
      <c r="F3596" s="8" t="s">
        <v>20969</v>
      </c>
      <c r="G3596" s="6" t="s">
        <v>33</v>
      </c>
      <c r="H3596" s="6" t="s">
        <v>34</v>
      </c>
      <c r="I3596" s="8" t="s">
        <v>35</v>
      </c>
      <c r="J3596" s="9">
        <v>1</v>
      </c>
      <c r="K3596" s="9">
        <v>159</v>
      </c>
      <c r="L3596" s="9">
        <v>2024</v>
      </c>
      <c r="M3596" s="8" t="s">
        <v>20970</v>
      </c>
      <c r="N3596" s="8" t="s">
        <v>37</v>
      </c>
      <c r="O3596" s="8" t="s">
        <v>233</v>
      </c>
      <c r="P3596" s="6" t="s">
        <v>39</v>
      </c>
      <c r="Q3596" s="8" t="s">
        <v>40</v>
      </c>
      <c r="R3596" s="10" t="s">
        <v>3516</v>
      </c>
      <c r="S3596" s="11"/>
      <c r="T3596" s="6"/>
      <c r="U3596" s="15" t="str">
        <f>HYPERLINK("https://media.infra-m.ru/2053/2053192/cover/2053192.jpg", "Обложка")</f>
        <v>Обложка</v>
      </c>
      <c r="V3596" s="8" t="s">
        <v>9514</v>
      </c>
      <c r="W3596" s="6"/>
      <c r="X3596" s="6"/>
      <c r="Y3596" s="6"/>
      <c r="Z3596" s="6"/>
      <c r="AA3596" s="6" t="s">
        <v>99</v>
      </c>
      <c r="AB3596" s="8"/>
      <c r="AC3596" s="27">
        <v>9785160187549</v>
      </c>
    </row>
    <row r="3597" spans="1:29" s="4" customFormat="1" ht="42" customHeight="1" x14ac:dyDescent="0.2">
      <c r="A3597" s="5">
        <v>0</v>
      </c>
      <c r="B3597" s="6" t="s">
        <v>20971</v>
      </c>
      <c r="C3597" s="13">
        <v>665.9</v>
      </c>
      <c r="D3597" s="8" t="s">
        <v>20972</v>
      </c>
      <c r="E3597" s="8" t="s">
        <v>20968</v>
      </c>
      <c r="F3597" s="8" t="s">
        <v>20969</v>
      </c>
      <c r="G3597" s="6" t="s">
        <v>60</v>
      </c>
      <c r="H3597" s="6" t="s">
        <v>34</v>
      </c>
      <c r="I3597" s="8" t="s">
        <v>35</v>
      </c>
      <c r="J3597" s="9">
        <v>1</v>
      </c>
      <c r="K3597" s="9">
        <v>159</v>
      </c>
      <c r="L3597" s="9">
        <v>2020</v>
      </c>
      <c r="M3597" s="8" t="s">
        <v>20973</v>
      </c>
      <c r="N3597" s="8" t="s">
        <v>37</v>
      </c>
      <c r="O3597" s="8" t="s">
        <v>233</v>
      </c>
      <c r="P3597" s="6" t="s">
        <v>39</v>
      </c>
      <c r="Q3597" s="8" t="s">
        <v>40</v>
      </c>
      <c r="R3597" s="10" t="s">
        <v>3516</v>
      </c>
      <c r="S3597" s="11"/>
      <c r="T3597" s="6"/>
      <c r="U3597" s="15" t="str">
        <f>HYPERLINK("https://media.infra-m.ru/1045/1045782/cover/1045782.jpg", "Обложка")</f>
        <v>Обложка</v>
      </c>
      <c r="V3597" s="8" t="s">
        <v>9514</v>
      </c>
      <c r="W3597" s="6"/>
      <c r="X3597" s="6"/>
      <c r="Y3597" s="6"/>
      <c r="Z3597" s="6"/>
      <c r="AA3597" s="6" t="s">
        <v>99</v>
      </c>
      <c r="AB3597" s="8"/>
      <c r="AC3597" s="27">
        <v>9785160129396</v>
      </c>
    </row>
    <row r="3598" spans="1:29" s="4" customFormat="1" ht="51.9" customHeight="1" x14ac:dyDescent="0.2">
      <c r="A3598" s="5">
        <v>0</v>
      </c>
      <c r="B3598" s="6" t="s">
        <v>20974</v>
      </c>
      <c r="C3598" s="7">
        <v>1444.8</v>
      </c>
      <c r="D3598" s="8" t="s">
        <v>20975</v>
      </c>
      <c r="E3598" s="8" t="s">
        <v>20976</v>
      </c>
      <c r="F3598" s="8" t="s">
        <v>20977</v>
      </c>
      <c r="G3598" s="6" t="s">
        <v>118</v>
      </c>
      <c r="H3598" s="6" t="s">
        <v>34</v>
      </c>
      <c r="I3598" s="8" t="s">
        <v>263</v>
      </c>
      <c r="J3598" s="9">
        <v>1</v>
      </c>
      <c r="K3598" s="9">
        <v>219</v>
      </c>
      <c r="L3598" s="9">
        <v>2026</v>
      </c>
      <c r="M3598" s="8" t="s">
        <v>20978</v>
      </c>
      <c r="N3598" s="8" t="s">
        <v>93</v>
      </c>
      <c r="O3598" s="8" t="s">
        <v>94</v>
      </c>
      <c r="P3598" s="6" t="s">
        <v>306</v>
      </c>
      <c r="Q3598" s="8" t="s">
        <v>265</v>
      </c>
      <c r="R3598" s="10" t="s">
        <v>17001</v>
      </c>
      <c r="S3598" s="11" t="s">
        <v>20979</v>
      </c>
      <c r="T3598" s="6"/>
      <c r="U3598" s="15" t="str">
        <f>HYPERLINK("https://media.infra-m.ru/2253/2253954/cover/2253954.jpg", "Обложка")</f>
        <v>Обложка</v>
      </c>
      <c r="V3598" s="8" t="s">
        <v>1599</v>
      </c>
      <c r="W3598" s="6"/>
      <c r="X3598" s="6"/>
      <c r="Y3598" s="6"/>
      <c r="Z3598" s="6" t="s">
        <v>267</v>
      </c>
      <c r="AA3598" s="6" t="s">
        <v>86</v>
      </c>
      <c r="AB3598" s="8"/>
      <c r="AC3598" s="27">
        <v>9785160139708</v>
      </c>
    </row>
    <row r="3599" spans="1:29" s="4" customFormat="1" ht="51.9" customHeight="1" x14ac:dyDescent="0.2">
      <c r="A3599" s="5">
        <v>0</v>
      </c>
      <c r="B3599" s="6" t="s">
        <v>20980</v>
      </c>
      <c r="C3599" s="7">
        <v>1516.8</v>
      </c>
      <c r="D3599" s="8" t="s">
        <v>20981</v>
      </c>
      <c r="E3599" s="8" t="s">
        <v>20976</v>
      </c>
      <c r="F3599" s="8" t="s">
        <v>20977</v>
      </c>
      <c r="G3599" s="6" t="s">
        <v>118</v>
      </c>
      <c r="H3599" s="6" t="s">
        <v>34</v>
      </c>
      <c r="I3599" s="8" t="s">
        <v>271</v>
      </c>
      <c r="J3599" s="9">
        <v>1</v>
      </c>
      <c r="K3599" s="9">
        <v>219</v>
      </c>
      <c r="L3599" s="9">
        <v>2026</v>
      </c>
      <c r="M3599" s="8" t="s">
        <v>20982</v>
      </c>
      <c r="N3599" s="8" t="s">
        <v>93</v>
      </c>
      <c r="O3599" s="8" t="s">
        <v>94</v>
      </c>
      <c r="P3599" s="6" t="s">
        <v>306</v>
      </c>
      <c r="Q3599" s="8" t="s">
        <v>52</v>
      </c>
      <c r="R3599" s="10" t="s">
        <v>2486</v>
      </c>
      <c r="S3599" s="11" t="s">
        <v>2487</v>
      </c>
      <c r="T3599" s="6"/>
      <c r="U3599" s="15" t="str">
        <f>HYPERLINK("https://media.infra-m.ru/2251/2251365/cover/2251365.jpg", "Обложка")</f>
        <v>Обложка</v>
      </c>
      <c r="V3599" s="8" t="s">
        <v>1599</v>
      </c>
      <c r="W3599" s="6"/>
      <c r="X3599" s="6"/>
      <c r="Y3599" s="6"/>
      <c r="Z3599" s="6"/>
      <c r="AA3599" s="6" t="s">
        <v>779</v>
      </c>
      <c r="AB3599" s="8"/>
      <c r="AC3599" s="27">
        <v>9785160112718</v>
      </c>
    </row>
    <row r="3600" spans="1:29" s="4" customFormat="1" ht="51.9" customHeight="1" x14ac:dyDescent="0.2">
      <c r="A3600" s="5">
        <v>0</v>
      </c>
      <c r="B3600" s="6" t="s">
        <v>20983</v>
      </c>
      <c r="C3600" s="7">
        <v>1908</v>
      </c>
      <c r="D3600" s="8" t="s">
        <v>20984</v>
      </c>
      <c r="E3600" s="8" t="s">
        <v>20985</v>
      </c>
      <c r="F3600" s="8" t="s">
        <v>20986</v>
      </c>
      <c r="G3600" s="6" t="s">
        <v>33</v>
      </c>
      <c r="H3600" s="6" t="s">
        <v>34</v>
      </c>
      <c r="I3600" s="8" t="s">
        <v>35</v>
      </c>
      <c r="J3600" s="9">
        <v>1</v>
      </c>
      <c r="K3600" s="9">
        <v>334</v>
      </c>
      <c r="L3600" s="9">
        <v>2023</v>
      </c>
      <c r="M3600" s="8" t="s">
        <v>20987</v>
      </c>
      <c r="N3600" s="8" t="s">
        <v>37</v>
      </c>
      <c r="O3600" s="8" t="s">
        <v>233</v>
      </c>
      <c r="P3600" s="6" t="s">
        <v>39</v>
      </c>
      <c r="Q3600" s="8" t="s">
        <v>40</v>
      </c>
      <c r="R3600" s="10" t="s">
        <v>20988</v>
      </c>
      <c r="S3600" s="11"/>
      <c r="T3600" s="6"/>
      <c r="U3600" s="15" t="str">
        <f>HYPERLINK("https://media.infra-m.ru/1907/1907644/cover/1907644.jpg", "Обложка")</f>
        <v>Обложка</v>
      </c>
      <c r="V3600" s="8" t="s">
        <v>3787</v>
      </c>
      <c r="W3600" s="6"/>
      <c r="X3600" s="6"/>
      <c r="Y3600" s="6"/>
      <c r="Z3600" s="6"/>
      <c r="AA3600" s="6" t="s">
        <v>157</v>
      </c>
      <c r="AB3600" s="8"/>
      <c r="AC3600" s="27">
        <v>9785160180557</v>
      </c>
    </row>
    <row r="3601" spans="1:29" s="4" customFormat="1" ht="42" customHeight="1" x14ac:dyDescent="0.2">
      <c r="A3601" s="5">
        <v>0</v>
      </c>
      <c r="B3601" s="6" t="s">
        <v>20989</v>
      </c>
      <c r="C3601" s="13">
        <v>900</v>
      </c>
      <c r="D3601" s="8" t="s">
        <v>20990</v>
      </c>
      <c r="E3601" s="8" t="s">
        <v>20991</v>
      </c>
      <c r="F3601" s="8" t="s">
        <v>20992</v>
      </c>
      <c r="G3601" s="6" t="s">
        <v>33</v>
      </c>
      <c r="H3601" s="6" t="s">
        <v>34</v>
      </c>
      <c r="I3601" s="8" t="s">
        <v>35</v>
      </c>
      <c r="J3601" s="9">
        <v>1</v>
      </c>
      <c r="K3601" s="9">
        <v>128</v>
      </c>
      <c r="L3601" s="9">
        <v>2027</v>
      </c>
      <c r="M3601" s="8" t="s">
        <v>20993</v>
      </c>
      <c r="N3601" s="8" t="s">
        <v>243</v>
      </c>
      <c r="O3601" s="8" t="s">
        <v>329</v>
      </c>
      <c r="P3601" s="6" t="s">
        <v>39</v>
      </c>
      <c r="Q3601" s="8" t="s">
        <v>40</v>
      </c>
      <c r="R3601" s="10" t="s">
        <v>20994</v>
      </c>
      <c r="S3601" s="11"/>
      <c r="T3601" s="6"/>
      <c r="U3601" s="15" t="str">
        <f>HYPERLINK("https://media.infra-m.ru/2263/2263231/cover/2263231.jpg", "Обложка")</f>
        <v>Обложка</v>
      </c>
      <c r="V3601" s="8" t="s">
        <v>7175</v>
      </c>
      <c r="W3601" s="6"/>
      <c r="X3601" s="6"/>
      <c r="Y3601" s="6"/>
      <c r="Z3601" s="6"/>
      <c r="AA3601" s="6" t="s">
        <v>274</v>
      </c>
      <c r="AB3601" s="8"/>
      <c r="AC3601" s="27">
        <v>9785160099279</v>
      </c>
    </row>
    <row r="3602" spans="1:29" s="4" customFormat="1" ht="51.9" customHeight="1" x14ac:dyDescent="0.2">
      <c r="A3602" s="5">
        <v>0</v>
      </c>
      <c r="B3602" s="6" t="s">
        <v>20995</v>
      </c>
      <c r="C3602" s="7">
        <v>2508</v>
      </c>
      <c r="D3602" s="8" t="s">
        <v>20996</v>
      </c>
      <c r="E3602" s="8" t="s">
        <v>20997</v>
      </c>
      <c r="F3602" s="8" t="s">
        <v>20998</v>
      </c>
      <c r="G3602" s="6" t="s">
        <v>60</v>
      </c>
      <c r="H3602" s="6" t="s">
        <v>34</v>
      </c>
      <c r="I3602" s="8" t="s">
        <v>253</v>
      </c>
      <c r="J3602" s="9">
        <v>1</v>
      </c>
      <c r="K3602" s="9">
        <v>395</v>
      </c>
      <c r="L3602" s="9">
        <v>2025</v>
      </c>
      <c r="M3602" s="8" t="s">
        <v>20999</v>
      </c>
      <c r="N3602" s="8" t="s">
        <v>93</v>
      </c>
      <c r="O3602" s="8" t="s">
        <v>94</v>
      </c>
      <c r="P3602" s="6" t="s">
        <v>51</v>
      </c>
      <c r="Q3602" s="8" t="s">
        <v>1349</v>
      </c>
      <c r="R3602" s="10" t="s">
        <v>21000</v>
      </c>
      <c r="S3602" s="11" t="s">
        <v>21001</v>
      </c>
      <c r="T3602" s="6"/>
      <c r="U3602" s="15" t="str">
        <f>HYPERLINK("https://media.infra-m.ru/2171/2171110/cover/2171110.jpg", "Обложка")</f>
        <v>Обложка</v>
      </c>
      <c r="V3602" s="8" t="s">
        <v>247</v>
      </c>
      <c r="W3602" s="6"/>
      <c r="X3602" s="6"/>
      <c r="Y3602" s="6"/>
      <c r="Z3602" s="6"/>
      <c r="AA3602" s="6" t="s">
        <v>68</v>
      </c>
      <c r="AB3602" s="8"/>
      <c r="AC3602" s="27">
        <v>9785160203935</v>
      </c>
    </row>
    <row r="3603" spans="1:29" s="4" customFormat="1" ht="51.9" customHeight="1" x14ac:dyDescent="0.2">
      <c r="A3603" s="5">
        <v>0</v>
      </c>
      <c r="B3603" s="6" t="s">
        <v>21002</v>
      </c>
      <c r="C3603" s="7">
        <v>1276.8</v>
      </c>
      <c r="D3603" s="8" t="s">
        <v>21003</v>
      </c>
      <c r="E3603" s="8" t="s">
        <v>21004</v>
      </c>
      <c r="F3603" s="8" t="s">
        <v>21005</v>
      </c>
      <c r="G3603" s="6" t="s">
        <v>33</v>
      </c>
      <c r="H3603" s="6" t="s">
        <v>34</v>
      </c>
      <c r="I3603" s="8"/>
      <c r="J3603" s="9">
        <v>1</v>
      </c>
      <c r="K3603" s="9">
        <v>184</v>
      </c>
      <c r="L3603" s="9">
        <v>2026</v>
      </c>
      <c r="M3603" s="8" t="s">
        <v>21006</v>
      </c>
      <c r="N3603" s="8" t="s">
        <v>37</v>
      </c>
      <c r="O3603" s="8" t="s">
        <v>499</v>
      </c>
      <c r="P3603" s="6" t="s">
        <v>39</v>
      </c>
      <c r="Q3603" s="8" t="s">
        <v>749</v>
      </c>
      <c r="R3603" s="10" t="s">
        <v>21007</v>
      </c>
      <c r="S3603" s="11"/>
      <c r="T3603" s="6"/>
      <c r="U3603" s="15" t="str">
        <f>HYPERLINK("https://media.infra-m.ru/2262/2262026/cover/2262026.jpg", "Обложка")</f>
        <v>Обложка</v>
      </c>
      <c r="V3603" s="8" t="s">
        <v>67</v>
      </c>
      <c r="W3603" s="6"/>
      <c r="X3603" s="6"/>
      <c r="Y3603" s="6"/>
      <c r="Z3603" s="6"/>
      <c r="AA3603" s="6" t="s">
        <v>274</v>
      </c>
      <c r="AB3603" s="8"/>
      <c r="AC3603" s="27">
        <v>9785160098562</v>
      </c>
    </row>
    <row r="3604" spans="1:29" s="4" customFormat="1" ht="42" customHeight="1" x14ac:dyDescent="0.2">
      <c r="A3604" s="5">
        <v>0</v>
      </c>
      <c r="B3604" s="6" t="s">
        <v>21008</v>
      </c>
      <c r="C3604" s="13">
        <v>924</v>
      </c>
      <c r="D3604" s="8" t="s">
        <v>21009</v>
      </c>
      <c r="E3604" s="8" t="s">
        <v>21010</v>
      </c>
      <c r="F3604" s="8" t="s">
        <v>21011</v>
      </c>
      <c r="G3604" s="6" t="s">
        <v>33</v>
      </c>
      <c r="H3604" s="6" t="s">
        <v>34</v>
      </c>
      <c r="I3604" s="8" t="s">
        <v>2171</v>
      </c>
      <c r="J3604" s="9">
        <v>1</v>
      </c>
      <c r="K3604" s="9">
        <v>156</v>
      </c>
      <c r="L3604" s="9">
        <v>2023</v>
      </c>
      <c r="M3604" s="8" t="s">
        <v>21012</v>
      </c>
      <c r="N3604" s="8" t="s">
        <v>243</v>
      </c>
      <c r="O3604" s="8" t="s">
        <v>964</v>
      </c>
      <c r="P3604" s="6" t="s">
        <v>105</v>
      </c>
      <c r="Q3604" s="8" t="s">
        <v>65</v>
      </c>
      <c r="R3604" s="10" t="s">
        <v>7996</v>
      </c>
      <c r="S3604" s="11"/>
      <c r="T3604" s="6"/>
      <c r="U3604" s="15" t="str">
        <f>HYPERLINK("https://media.infra-m.ru/1149/1149636/cover/1149636.jpg", "Обложка")</f>
        <v>Обложка</v>
      </c>
      <c r="V3604" s="8" t="s">
        <v>2175</v>
      </c>
      <c r="W3604" s="6"/>
      <c r="X3604" s="6"/>
      <c r="Y3604" s="6"/>
      <c r="Z3604" s="6"/>
      <c r="AA3604" s="6" t="s">
        <v>115</v>
      </c>
      <c r="AB3604" s="8"/>
      <c r="AC3604" s="27">
        <v>9785160154190</v>
      </c>
    </row>
    <row r="3605" spans="1:29" s="4" customFormat="1" ht="42" customHeight="1" x14ac:dyDescent="0.2">
      <c r="A3605" s="5">
        <v>0</v>
      </c>
      <c r="B3605" s="6" t="s">
        <v>21013</v>
      </c>
      <c r="C3605" s="7">
        <v>1284</v>
      </c>
      <c r="D3605" s="8" t="s">
        <v>21014</v>
      </c>
      <c r="E3605" s="8" t="s">
        <v>21015</v>
      </c>
      <c r="F3605" s="8" t="s">
        <v>21016</v>
      </c>
      <c r="G3605" s="6" t="s">
        <v>60</v>
      </c>
      <c r="H3605" s="6" t="s">
        <v>34</v>
      </c>
      <c r="I3605" s="8" t="s">
        <v>504</v>
      </c>
      <c r="J3605" s="9">
        <v>1</v>
      </c>
      <c r="K3605" s="9">
        <v>234</v>
      </c>
      <c r="L3605" s="9">
        <v>2024</v>
      </c>
      <c r="M3605" s="8" t="s">
        <v>21017</v>
      </c>
      <c r="N3605" s="8" t="s">
        <v>93</v>
      </c>
      <c r="O3605" s="8" t="s">
        <v>94</v>
      </c>
      <c r="P3605" s="6" t="s">
        <v>51</v>
      </c>
      <c r="Q3605" s="8" t="s">
        <v>500</v>
      </c>
      <c r="R3605" s="10" t="s">
        <v>11673</v>
      </c>
      <c r="S3605" s="11"/>
      <c r="T3605" s="6"/>
      <c r="U3605" s="15" t="str">
        <f>HYPERLINK("https://media.infra-m.ru/1930/1930676/cover/1930676.jpg", "Обложка")</f>
        <v>Обложка</v>
      </c>
      <c r="V3605" s="8" t="s">
        <v>9514</v>
      </c>
      <c r="W3605" s="6"/>
      <c r="X3605" s="6"/>
      <c r="Y3605" s="6"/>
      <c r="Z3605" s="6"/>
      <c r="AA3605" s="6" t="s">
        <v>76</v>
      </c>
      <c r="AB3605" s="8"/>
      <c r="AC3605" s="27">
        <v>9785160182223</v>
      </c>
    </row>
    <row r="3606" spans="1:29" s="4" customFormat="1" ht="51.9" customHeight="1" x14ac:dyDescent="0.2">
      <c r="A3606" s="5">
        <v>0</v>
      </c>
      <c r="B3606" s="6" t="s">
        <v>21018</v>
      </c>
      <c r="C3606" s="7">
        <v>1020</v>
      </c>
      <c r="D3606" s="8" t="s">
        <v>21019</v>
      </c>
      <c r="E3606" s="8" t="s">
        <v>21020</v>
      </c>
      <c r="F3606" s="8" t="s">
        <v>21021</v>
      </c>
      <c r="G3606" s="6" t="s">
        <v>60</v>
      </c>
      <c r="H3606" s="6" t="s">
        <v>34</v>
      </c>
      <c r="I3606" s="8" t="s">
        <v>35</v>
      </c>
      <c r="J3606" s="9">
        <v>1</v>
      </c>
      <c r="K3606" s="9">
        <v>166</v>
      </c>
      <c r="L3606" s="9">
        <v>2023</v>
      </c>
      <c r="M3606" s="8" t="s">
        <v>21022</v>
      </c>
      <c r="N3606" s="8" t="s">
        <v>37</v>
      </c>
      <c r="O3606" s="8" t="s">
        <v>136</v>
      </c>
      <c r="P3606" s="6" t="s">
        <v>39</v>
      </c>
      <c r="Q3606" s="8" t="s">
        <v>40</v>
      </c>
      <c r="R3606" s="10" t="s">
        <v>21023</v>
      </c>
      <c r="S3606" s="11"/>
      <c r="T3606" s="6"/>
      <c r="U3606" s="15" t="str">
        <f>HYPERLINK("https://media.infra-m.ru/1921/1921368/cover/1921368.jpg", "Обложка")</f>
        <v>Обложка</v>
      </c>
      <c r="V3606" s="8" t="s">
        <v>17173</v>
      </c>
      <c r="W3606" s="6"/>
      <c r="X3606" s="6"/>
      <c r="Y3606" s="6"/>
      <c r="Z3606" s="6"/>
      <c r="AA3606" s="6" t="s">
        <v>157</v>
      </c>
      <c r="AB3606" s="8"/>
      <c r="AC3606" s="27">
        <v>9785160181981</v>
      </c>
    </row>
    <row r="3607" spans="1:29" s="4" customFormat="1" ht="51.9" customHeight="1" x14ac:dyDescent="0.2">
      <c r="A3607" s="5">
        <v>0</v>
      </c>
      <c r="B3607" s="6" t="s">
        <v>21024</v>
      </c>
      <c r="C3607" s="7">
        <v>1756.8</v>
      </c>
      <c r="D3607" s="8" t="s">
        <v>21025</v>
      </c>
      <c r="E3607" s="8" t="s">
        <v>21026</v>
      </c>
      <c r="F3607" s="8" t="s">
        <v>21027</v>
      </c>
      <c r="G3607" s="6" t="s">
        <v>60</v>
      </c>
      <c r="H3607" s="6" t="s">
        <v>34</v>
      </c>
      <c r="I3607" s="8" t="s">
        <v>271</v>
      </c>
      <c r="J3607" s="9">
        <v>1</v>
      </c>
      <c r="K3607" s="9">
        <v>318</v>
      </c>
      <c r="L3607" s="9">
        <v>2024</v>
      </c>
      <c r="M3607" s="8" t="s">
        <v>21028</v>
      </c>
      <c r="N3607" s="8" t="s">
        <v>243</v>
      </c>
      <c r="O3607" s="8" t="s">
        <v>329</v>
      </c>
      <c r="P3607" s="6" t="s">
        <v>51</v>
      </c>
      <c r="Q3607" s="8" t="s">
        <v>52</v>
      </c>
      <c r="R3607" s="10" t="s">
        <v>21029</v>
      </c>
      <c r="S3607" s="11"/>
      <c r="T3607" s="6"/>
      <c r="U3607" s="15" t="str">
        <f>HYPERLINK("https://media.infra-m.ru/2087/2087293/cover/2087293.jpg", "Обложка")</f>
        <v>Обложка</v>
      </c>
      <c r="V3607" s="8" t="s">
        <v>1083</v>
      </c>
      <c r="W3607" s="6"/>
      <c r="X3607" s="6"/>
      <c r="Y3607" s="6"/>
      <c r="Z3607" s="6"/>
      <c r="AA3607" s="6" t="s">
        <v>874</v>
      </c>
      <c r="AB3607" s="8"/>
      <c r="AC3607" s="27">
        <v>9785160101873</v>
      </c>
    </row>
    <row r="3608" spans="1:29" s="4" customFormat="1" ht="51.9" customHeight="1" x14ac:dyDescent="0.2">
      <c r="A3608" s="5">
        <v>0</v>
      </c>
      <c r="B3608" s="6" t="s">
        <v>21030</v>
      </c>
      <c r="C3608" s="7">
        <v>1458</v>
      </c>
      <c r="D3608" s="8" t="s">
        <v>21031</v>
      </c>
      <c r="E3608" s="8" t="s">
        <v>21032</v>
      </c>
      <c r="F3608" s="8" t="s">
        <v>15020</v>
      </c>
      <c r="G3608" s="6" t="s">
        <v>118</v>
      </c>
      <c r="H3608" s="6" t="s">
        <v>134</v>
      </c>
      <c r="I3608" s="8"/>
      <c r="J3608" s="9">
        <v>1</v>
      </c>
      <c r="K3608" s="9">
        <v>200</v>
      </c>
      <c r="L3608" s="9">
        <v>2027</v>
      </c>
      <c r="M3608" s="8" t="s">
        <v>21033</v>
      </c>
      <c r="N3608" s="8" t="s">
        <v>37</v>
      </c>
      <c r="O3608" s="8" t="s">
        <v>136</v>
      </c>
      <c r="P3608" s="6" t="s">
        <v>39</v>
      </c>
      <c r="Q3608" s="8" t="s">
        <v>40</v>
      </c>
      <c r="R3608" s="10" t="s">
        <v>4348</v>
      </c>
      <c r="S3608" s="11"/>
      <c r="T3608" s="6"/>
      <c r="U3608" s="15" t="str">
        <f>HYPERLINK("https://media.infra-m.ru/2261/2261510/cover/2261510.jpg", "Обложка")</f>
        <v>Обложка</v>
      </c>
      <c r="V3608" s="8" t="s">
        <v>546</v>
      </c>
      <c r="W3608" s="6"/>
      <c r="X3608" s="6"/>
      <c r="Y3608" s="6"/>
      <c r="Z3608" s="6"/>
      <c r="AA3608" s="6" t="s">
        <v>157</v>
      </c>
      <c r="AB3608" s="8"/>
      <c r="AC3608" s="27">
        <v>9785001563051</v>
      </c>
    </row>
    <row r="3609" spans="1:29" s="4" customFormat="1" ht="51.9" customHeight="1" x14ac:dyDescent="0.2">
      <c r="A3609" s="5">
        <v>0</v>
      </c>
      <c r="B3609" s="6" t="s">
        <v>21034</v>
      </c>
      <c r="C3609" s="7">
        <v>1008</v>
      </c>
      <c r="D3609" s="8" t="s">
        <v>21035</v>
      </c>
      <c r="E3609" s="8" t="s">
        <v>21036</v>
      </c>
      <c r="F3609" s="8" t="s">
        <v>21037</v>
      </c>
      <c r="G3609" s="6" t="s">
        <v>33</v>
      </c>
      <c r="H3609" s="6" t="s">
        <v>34</v>
      </c>
      <c r="I3609" s="8" t="s">
        <v>271</v>
      </c>
      <c r="J3609" s="9">
        <v>1</v>
      </c>
      <c r="K3609" s="9">
        <v>180</v>
      </c>
      <c r="L3609" s="9">
        <v>2023</v>
      </c>
      <c r="M3609" s="8" t="s">
        <v>21038</v>
      </c>
      <c r="N3609" s="8" t="s">
        <v>585</v>
      </c>
      <c r="O3609" s="8" t="s">
        <v>586</v>
      </c>
      <c r="P3609" s="6" t="s">
        <v>51</v>
      </c>
      <c r="Q3609" s="8" t="s">
        <v>52</v>
      </c>
      <c r="R3609" s="10" t="s">
        <v>21039</v>
      </c>
      <c r="S3609" s="11" t="s">
        <v>21040</v>
      </c>
      <c r="T3609" s="6"/>
      <c r="U3609" s="15" t="str">
        <f>HYPERLINK("https://media.infra-m.ru/1893/1893660/cover/1893660.jpg", "Обложка")</f>
        <v>Обложка</v>
      </c>
      <c r="V3609" s="8" t="s">
        <v>1157</v>
      </c>
      <c r="W3609" s="6"/>
      <c r="X3609" s="6"/>
      <c r="Y3609" s="6"/>
      <c r="Z3609" s="6"/>
      <c r="AA3609" s="6" t="s">
        <v>99</v>
      </c>
      <c r="AB3609" s="8"/>
      <c r="AC3609" s="27">
        <v>9785160120782</v>
      </c>
    </row>
    <row r="3610" spans="1:29" s="4" customFormat="1" ht="51.9" customHeight="1" x14ac:dyDescent="0.2">
      <c r="A3610" s="5">
        <v>0</v>
      </c>
      <c r="B3610" s="6" t="s">
        <v>21041</v>
      </c>
      <c r="C3610" s="7">
        <v>2896.8</v>
      </c>
      <c r="D3610" s="8" t="s">
        <v>21042</v>
      </c>
      <c r="E3610" s="8" t="s">
        <v>21043</v>
      </c>
      <c r="F3610" s="8" t="s">
        <v>21044</v>
      </c>
      <c r="G3610" s="6" t="s">
        <v>60</v>
      </c>
      <c r="H3610" s="6" t="s">
        <v>241</v>
      </c>
      <c r="I3610" s="8"/>
      <c r="J3610" s="9">
        <v>1</v>
      </c>
      <c r="K3610" s="9">
        <v>416</v>
      </c>
      <c r="L3610" s="9">
        <v>2027</v>
      </c>
      <c r="M3610" s="8" t="s">
        <v>21045</v>
      </c>
      <c r="N3610" s="8" t="s">
        <v>63</v>
      </c>
      <c r="O3610" s="8" t="s">
        <v>154</v>
      </c>
      <c r="P3610" s="6" t="s">
        <v>51</v>
      </c>
      <c r="Q3610" s="8" t="s">
        <v>52</v>
      </c>
      <c r="R3610" s="10" t="s">
        <v>2956</v>
      </c>
      <c r="S3610" s="11" t="s">
        <v>21046</v>
      </c>
      <c r="T3610" s="6"/>
      <c r="U3610" s="15" t="str">
        <f>HYPERLINK("https://media.infra-m.ru/2271/2271383/cover/2271383.jpg", "Обложка")</f>
        <v>Обложка</v>
      </c>
      <c r="V3610" s="8" t="s">
        <v>98</v>
      </c>
      <c r="W3610" s="6"/>
      <c r="X3610" s="6"/>
      <c r="Y3610" s="6"/>
      <c r="Z3610" s="6"/>
      <c r="AA3610" s="6" t="s">
        <v>55</v>
      </c>
      <c r="AB3610" s="8"/>
      <c r="AC3610" s="27">
        <v>9785955802763</v>
      </c>
    </row>
    <row r="3611" spans="1:29" s="4" customFormat="1" ht="42" customHeight="1" x14ac:dyDescent="0.2">
      <c r="A3611" s="5">
        <v>0</v>
      </c>
      <c r="B3611" s="6" t="s">
        <v>21047</v>
      </c>
      <c r="C3611" s="7">
        <v>1032</v>
      </c>
      <c r="D3611" s="8" t="s">
        <v>21048</v>
      </c>
      <c r="E3611" s="8" t="s">
        <v>21049</v>
      </c>
      <c r="F3611" s="8" t="s">
        <v>21050</v>
      </c>
      <c r="G3611" s="6" t="s">
        <v>118</v>
      </c>
      <c r="H3611" s="6" t="s">
        <v>34</v>
      </c>
      <c r="I3611" s="8" t="s">
        <v>35</v>
      </c>
      <c r="J3611" s="9">
        <v>1</v>
      </c>
      <c r="K3611" s="9">
        <v>219</v>
      </c>
      <c r="L3611" s="9">
        <v>2022</v>
      </c>
      <c r="M3611" s="8" t="s">
        <v>21051</v>
      </c>
      <c r="N3611" s="8" t="s">
        <v>37</v>
      </c>
      <c r="O3611" s="8" t="s">
        <v>136</v>
      </c>
      <c r="P3611" s="6" t="s">
        <v>39</v>
      </c>
      <c r="Q3611" s="8" t="s">
        <v>40</v>
      </c>
      <c r="R3611" s="10" t="s">
        <v>4087</v>
      </c>
      <c r="S3611" s="11"/>
      <c r="T3611" s="6"/>
      <c r="U3611" s="15" t="str">
        <f>HYPERLINK("https://media.infra-m.ru/1790/1790631/cover/1790631.jpg", "Обложка")</f>
        <v>Обложка</v>
      </c>
      <c r="V3611" s="8" t="s">
        <v>21052</v>
      </c>
      <c r="W3611" s="6"/>
      <c r="X3611" s="6"/>
      <c r="Y3611" s="6"/>
      <c r="Z3611" s="6"/>
      <c r="AA3611" s="6" t="s">
        <v>1117</v>
      </c>
      <c r="AB3611" s="8"/>
      <c r="AC3611" s="27">
        <v>9785160143064</v>
      </c>
    </row>
    <row r="3612" spans="1:29" s="4" customFormat="1" ht="42" customHeight="1" x14ac:dyDescent="0.2">
      <c r="A3612" s="5">
        <v>0</v>
      </c>
      <c r="B3612" s="6" t="s">
        <v>21053</v>
      </c>
      <c r="C3612" s="13">
        <v>816</v>
      </c>
      <c r="D3612" s="8" t="s">
        <v>21054</v>
      </c>
      <c r="E3612" s="8" t="s">
        <v>21055</v>
      </c>
      <c r="F3612" s="8" t="s">
        <v>21056</v>
      </c>
      <c r="G3612" s="6" t="s">
        <v>60</v>
      </c>
      <c r="H3612" s="6" t="s">
        <v>34</v>
      </c>
      <c r="I3612" s="8" t="s">
        <v>35</v>
      </c>
      <c r="J3612" s="9">
        <v>1</v>
      </c>
      <c r="K3612" s="9">
        <v>212</v>
      </c>
      <c r="L3612" s="9">
        <v>2018</v>
      </c>
      <c r="M3612" s="8" t="s">
        <v>21057</v>
      </c>
      <c r="N3612" s="8" t="s">
        <v>37</v>
      </c>
      <c r="O3612" s="8" t="s">
        <v>136</v>
      </c>
      <c r="P3612" s="6" t="s">
        <v>39</v>
      </c>
      <c r="Q3612" s="8" t="s">
        <v>40</v>
      </c>
      <c r="R3612" s="10" t="s">
        <v>4087</v>
      </c>
      <c r="S3612" s="11"/>
      <c r="T3612" s="6"/>
      <c r="U3612" s="15" t="str">
        <f>HYPERLINK("https://media.infra-m.ru/0966/0966592/cover/966592.jpg", "Обложка")</f>
        <v>Обложка</v>
      </c>
      <c r="V3612" s="8" t="s">
        <v>21052</v>
      </c>
      <c r="W3612" s="6"/>
      <c r="X3612" s="6"/>
      <c r="Y3612" s="6"/>
      <c r="Z3612" s="6"/>
      <c r="AA3612" s="6" t="s">
        <v>360</v>
      </c>
      <c r="AB3612" s="8"/>
      <c r="AC3612" s="27">
        <v>9785160113173</v>
      </c>
    </row>
    <row r="3613" spans="1:29" s="4" customFormat="1" ht="42" customHeight="1" x14ac:dyDescent="0.2">
      <c r="A3613" s="5">
        <v>0</v>
      </c>
      <c r="B3613" s="6" t="s">
        <v>21058</v>
      </c>
      <c r="C3613" s="7">
        <v>1404</v>
      </c>
      <c r="D3613" s="8" t="s">
        <v>21059</v>
      </c>
      <c r="E3613" s="8" t="s">
        <v>21060</v>
      </c>
      <c r="F3613" s="8" t="s">
        <v>21050</v>
      </c>
      <c r="G3613" s="6" t="s">
        <v>60</v>
      </c>
      <c r="H3613" s="6" t="s">
        <v>34</v>
      </c>
      <c r="I3613" s="8" t="s">
        <v>35</v>
      </c>
      <c r="J3613" s="9">
        <v>1</v>
      </c>
      <c r="K3613" s="9">
        <v>219</v>
      </c>
      <c r="L3613" s="9">
        <v>2025</v>
      </c>
      <c r="M3613" s="8" t="s">
        <v>21061</v>
      </c>
      <c r="N3613" s="8" t="s">
        <v>37</v>
      </c>
      <c r="O3613" s="8" t="s">
        <v>136</v>
      </c>
      <c r="P3613" s="6" t="s">
        <v>39</v>
      </c>
      <c r="Q3613" s="8" t="s">
        <v>40</v>
      </c>
      <c r="R3613" s="10" t="s">
        <v>4087</v>
      </c>
      <c r="S3613" s="11"/>
      <c r="T3613" s="6"/>
      <c r="U3613" s="15" t="str">
        <f>HYPERLINK("https://media.infra-m.ru/2169/2169734/cover/2169734.jpg", "Обложка")</f>
        <v>Обложка</v>
      </c>
      <c r="V3613" s="8" t="s">
        <v>21052</v>
      </c>
      <c r="W3613" s="6"/>
      <c r="X3613" s="6"/>
      <c r="Y3613" s="6"/>
      <c r="Z3613" s="6"/>
      <c r="AA3613" s="6" t="s">
        <v>2182</v>
      </c>
      <c r="AB3613" s="8"/>
      <c r="AC3613" s="27">
        <v>9785160203270</v>
      </c>
    </row>
    <row r="3614" spans="1:29" s="4" customFormat="1" ht="42" customHeight="1" x14ac:dyDescent="0.2">
      <c r="A3614" s="5">
        <v>0</v>
      </c>
      <c r="B3614" s="6" t="s">
        <v>21062</v>
      </c>
      <c r="C3614" s="13">
        <v>604.79999999999995</v>
      </c>
      <c r="D3614" s="8" t="s">
        <v>21063</v>
      </c>
      <c r="E3614" s="8" t="s">
        <v>21064</v>
      </c>
      <c r="F3614" s="8" t="s">
        <v>21065</v>
      </c>
      <c r="G3614" s="6" t="s">
        <v>33</v>
      </c>
      <c r="H3614" s="6" t="s">
        <v>48</v>
      </c>
      <c r="I3614" s="8"/>
      <c r="J3614" s="9">
        <v>1</v>
      </c>
      <c r="K3614" s="9">
        <v>88</v>
      </c>
      <c r="L3614" s="9">
        <v>2026</v>
      </c>
      <c r="M3614" s="8" t="s">
        <v>21066</v>
      </c>
      <c r="N3614" s="8" t="s">
        <v>63</v>
      </c>
      <c r="O3614" s="8" t="s">
        <v>154</v>
      </c>
      <c r="P3614" s="6" t="s">
        <v>51</v>
      </c>
      <c r="Q3614" s="8" t="s">
        <v>52</v>
      </c>
      <c r="R3614" s="10" t="s">
        <v>21067</v>
      </c>
      <c r="S3614" s="11"/>
      <c r="T3614" s="6"/>
      <c r="U3614" s="15" t="str">
        <f>HYPERLINK("https://media.infra-m.ru/2219/2219197/cover/2219197.jpg", "Обложка")</f>
        <v>Обложка</v>
      </c>
      <c r="V3614" s="8" t="s">
        <v>14218</v>
      </c>
      <c r="W3614" s="6"/>
      <c r="X3614" s="6"/>
      <c r="Y3614" s="6"/>
      <c r="Z3614" s="6"/>
      <c r="AA3614" s="6" t="s">
        <v>43</v>
      </c>
      <c r="AB3614" s="8"/>
      <c r="AC3614" s="27">
        <v>9785911346218</v>
      </c>
    </row>
    <row r="3615" spans="1:29" s="4" customFormat="1" ht="44.1" customHeight="1" x14ac:dyDescent="0.2">
      <c r="A3615" s="5">
        <v>0</v>
      </c>
      <c r="B3615" s="6" t="s">
        <v>21068</v>
      </c>
      <c r="C3615" s="7">
        <v>1096.8</v>
      </c>
      <c r="D3615" s="8" t="s">
        <v>21069</v>
      </c>
      <c r="E3615" s="8" t="s">
        <v>21070</v>
      </c>
      <c r="F3615" s="8" t="s">
        <v>21071</v>
      </c>
      <c r="G3615" s="6" t="s">
        <v>33</v>
      </c>
      <c r="H3615" s="6" t="s">
        <v>34</v>
      </c>
      <c r="I3615" s="8" t="s">
        <v>35</v>
      </c>
      <c r="J3615" s="9">
        <v>1</v>
      </c>
      <c r="K3615" s="9">
        <v>202</v>
      </c>
      <c r="L3615" s="9">
        <v>2023</v>
      </c>
      <c r="M3615" s="8" t="s">
        <v>21072</v>
      </c>
      <c r="N3615" s="8" t="s">
        <v>37</v>
      </c>
      <c r="O3615" s="8" t="s">
        <v>233</v>
      </c>
      <c r="P3615" s="6" t="s">
        <v>39</v>
      </c>
      <c r="Q3615" s="8" t="s">
        <v>40</v>
      </c>
      <c r="R3615" s="10" t="s">
        <v>21073</v>
      </c>
      <c r="S3615" s="11"/>
      <c r="T3615" s="6"/>
      <c r="U3615" s="15" t="str">
        <f>HYPERLINK("https://media.infra-m.ru/2045/2045967/cover/2045967.jpg", "Обложка")</f>
        <v>Обложка</v>
      </c>
      <c r="V3615" s="8" t="s">
        <v>11433</v>
      </c>
      <c r="W3615" s="6"/>
      <c r="X3615" s="6"/>
      <c r="Y3615" s="6"/>
      <c r="Z3615" s="6"/>
      <c r="AA3615" s="6" t="s">
        <v>115</v>
      </c>
      <c r="AB3615" s="8"/>
      <c r="AC3615" s="27">
        <v>9785160156811</v>
      </c>
    </row>
    <row r="3616" spans="1:29" s="4" customFormat="1" ht="44.1" customHeight="1" x14ac:dyDescent="0.2">
      <c r="A3616" s="5">
        <v>0</v>
      </c>
      <c r="B3616" s="6" t="s">
        <v>21074</v>
      </c>
      <c r="C3616" s="13">
        <v>629.9</v>
      </c>
      <c r="D3616" s="8" t="s">
        <v>21075</v>
      </c>
      <c r="E3616" s="8" t="s">
        <v>21076</v>
      </c>
      <c r="F3616" s="8" t="s">
        <v>21077</v>
      </c>
      <c r="G3616" s="6" t="s">
        <v>33</v>
      </c>
      <c r="H3616" s="6" t="s">
        <v>34</v>
      </c>
      <c r="I3616" s="8" t="s">
        <v>1081</v>
      </c>
      <c r="J3616" s="9">
        <v>1</v>
      </c>
      <c r="K3616" s="9">
        <v>116</v>
      </c>
      <c r="L3616" s="9">
        <v>2023</v>
      </c>
      <c r="M3616" s="8" t="s">
        <v>21078</v>
      </c>
      <c r="N3616" s="8" t="s">
        <v>37</v>
      </c>
      <c r="O3616" s="8" t="s">
        <v>233</v>
      </c>
      <c r="P3616" s="6" t="s">
        <v>39</v>
      </c>
      <c r="Q3616" s="8" t="s">
        <v>40</v>
      </c>
      <c r="R3616" s="10" t="s">
        <v>21079</v>
      </c>
      <c r="S3616" s="11"/>
      <c r="T3616" s="6"/>
      <c r="U3616" s="15" t="str">
        <f>HYPERLINK("https://media.infra-m.ru/2030/2030892/cover/2030892.jpg", "Обложка")</f>
        <v>Обложка</v>
      </c>
      <c r="V3616" s="8" t="s">
        <v>1083</v>
      </c>
      <c r="W3616" s="6"/>
      <c r="X3616" s="6"/>
      <c r="Y3616" s="6"/>
      <c r="Z3616" s="6"/>
      <c r="AA3616" s="6" t="s">
        <v>115</v>
      </c>
      <c r="AB3616" s="8"/>
      <c r="AC3616" s="27">
        <v>9785160147161</v>
      </c>
    </row>
    <row r="3617" spans="1:29" s="4" customFormat="1" ht="51.9" customHeight="1" x14ac:dyDescent="0.2">
      <c r="A3617" s="5">
        <v>0</v>
      </c>
      <c r="B3617" s="6" t="s">
        <v>21080</v>
      </c>
      <c r="C3617" s="7">
        <v>1236</v>
      </c>
      <c r="D3617" s="8" t="s">
        <v>21081</v>
      </c>
      <c r="E3617" s="8" t="s">
        <v>21082</v>
      </c>
      <c r="F3617" s="8" t="s">
        <v>21083</v>
      </c>
      <c r="G3617" s="6" t="s">
        <v>118</v>
      </c>
      <c r="H3617" s="6" t="s">
        <v>34</v>
      </c>
      <c r="I3617" s="8" t="s">
        <v>504</v>
      </c>
      <c r="J3617" s="9">
        <v>1</v>
      </c>
      <c r="K3617" s="9">
        <v>223</v>
      </c>
      <c r="L3617" s="9">
        <v>2024</v>
      </c>
      <c r="M3617" s="8" t="s">
        <v>21084</v>
      </c>
      <c r="N3617" s="8" t="s">
        <v>37</v>
      </c>
      <c r="O3617" s="8" t="s">
        <v>233</v>
      </c>
      <c r="P3617" s="6" t="s">
        <v>51</v>
      </c>
      <c r="Q3617" s="8" t="s">
        <v>500</v>
      </c>
      <c r="R3617" s="10" t="s">
        <v>21085</v>
      </c>
      <c r="S3617" s="11" t="s">
        <v>21086</v>
      </c>
      <c r="T3617" s="6"/>
      <c r="U3617" s="15" t="str">
        <f>HYPERLINK("https://media.infra-m.ru/2086/2086832/cover/2086832.jpg", "Обложка")</f>
        <v>Обложка</v>
      </c>
      <c r="V3617" s="8" t="s">
        <v>1425</v>
      </c>
      <c r="W3617" s="6"/>
      <c r="X3617" s="6"/>
      <c r="Y3617" s="6"/>
      <c r="Z3617" s="6"/>
      <c r="AA3617" s="6" t="s">
        <v>115</v>
      </c>
      <c r="AB3617" s="8"/>
      <c r="AC3617" s="27">
        <v>9785160138206</v>
      </c>
    </row>
    <row r="3618" spans="1:29" s="4" customFormat="1" ht="51.9" customHeight="1" x14ac:dyDescent="0.2">
      <c r="A3618" s="5">
        <v>0</v>
      </c>
      <c r="B3618" s="6" t="s">
        <v>21087</v>
      </c>
      <c r="C3618" s="7">
        <v>1768.8</v>
      </c>
      <c r="D3618" s="8" t="s">
        <v>21088</v>
      </c>
      <c r="E3618" s="8" t="s">
        <v>21089</v>
      </c>
      <c r="F3618" s="8" t="s">
        <v>21090</v>
      </c>
      <c r="G3618" s="6" t="s">
        <v>118</v>
      </c>
      <c r="H3618" s="6" t="s">
        <v>1042</v>
      </c>
      <c r="I3618" s="8" t="s">
        <v>271</v>
      </c>
      <c r="J3618" s="9">
        <v>1</v>
      </c>
      <c r="K3618" s="9">
        <v>320</v>
      </c>
      <c r="L3618" s="9">
        <v>2024</v>
      </c>
      <c r="M3618" s="8" t="s">
        <v>21091</v>
      </c>
      <c r="N3618" s="8" t="s">
        <v>243</v>
      </c>
      <c r="O3618" s="8" t="s">
        <v>758</v>
      </c>
      <c r="P3618" s="6" t="s">
        <v>306</v>
      </c>
      <c r="Q3618" s="8" t="s">
        <v>52</v>
      </c>
      <c r="R3618" s="10" t="s">
        <v>21092</v>
      </c>
      <c r="S3618" s="11" t="s">
        <v>21093</v>
      </c>
      <c r="T3618" s="6"/>
      <c r="U3618" s="15" t="str">
        <f>HYPERLINK("https://media.infra-m.ru/2056/2056801/cover/2056801.jpg", "Обложка")</f>
        <v>Обложка</v>
      </c>
      <c r="V3618" s="8" t="s">
        <v>227</v>
      </c>
      <c r="W3618" s="6"/>
      <c r="X3618" s="6"/>
      <c r="Y3618" s="6"/>
      <c r="Z3618" s="6"/>
      <c r="AA3618" s="6" t="s">
        <v>21094</v>
      </c>
      <c r="AB3618" s="8"/>
      <c r="AC3618" s="27">
        <v>9785819908525</v>
      </c>
    </row>
    <row r="3619" spans="1:29" s="4" customFormat="1" ht="51.9" customHeight="1" x14ac:dyDescent="0.2">
      <c r="A3619" s="5">
        <v>0</v>
      </c>
      <c r="B3619" s="6" t="s">
        <v>21095</v>
      </c>
      <c r="C3619" s="7">
        <v>1608</v>
      </c>
      <c r="D3619" s="8" t="s">
        <v>21096</v>
      </c>
      <c r="E3619" s="8" t="s">
        <v>21097</v>
      </c>
      <c r="F3619" s="8" t="s">
        <v>4721</v>
      </c>
      <c r="G3619" s="6" t="s">
        <v>118</v>
      </c>
      <c r="H3619" s="6" t="s">
        <v>34</v>
      </c>
      <c r="I3619" s="8" t="s">
        <v>253</v>
      </c>
      <c r="J3619" s="9">
        <v>1</v>
      </c>
      <c r="K3619" s="9">
        <v>242</v>
      </c>
      <c r="L3619" s="9">
        <v>2026</v>
      </c>
      <c r="M3619" s="8" t="s">
        <v>21098</v>
      </c>
      <c r="N3619" s="8" t="s">
        <v>63</v>
      </c>
      <c r="O3619" s="8" t="s">
        <v>9718</v>
      </c>
      <c r="P3619" s="6" t="s">
        <v>51</v>
      </c>
      <c r="Q3619" s="8" t="s">
        <v>500</v>
      </c>
      <c r="R3619" s="10" t="s">
        <v>21099</v>
      </c>
      <c r="S3619" s="11" t="s">
        <v>21100</v>
      </c>
      <c r="T3619" s="6"/>
      <c r="U3619" s="15" t="str">
        <f>HYPERLINK("https://media.infra-m.ru/2227/2227023/cover/2227023.jpg", "Обложка")</f>
        <v>Обложка</v>
      </c>
      <c r="V3619" s="8" t="s">
        <v>911</v>
      </c>
      <c r="W3619" s="6"/>
      <c r="X3619" s="6"/>
      <c r="Y3619" s="6"/>
      <c r="Z3619" s="6"/>
      <c r="AA3619" s="6" t="s">
        <v>430</v>
      </c>
      <c r="AB3619" s="8"/>
      <c r="AC3619" s="27">
        <v>9785160214870</v>
      </c>
    </row>
    <row r="3620" spans="1:29" s="4" customFormat="1" ht="51.9" customHeight="1" x14ac:dyDescent="0.2">
      <c r="A3620" s="5">
        <v>0</v>
      </c>
      <c r="B3620" s="6" t="s">
        <v>21101</v>
      </c>
      <c r="C3620" s="13">
        <v>676.8</v>
      </c>
      <c r="D3620" s="8" t="s">
        <v>21102</v>
      </c>
      <c r="E3620" s="8" t="s">
        <v>21103</v>
      </c>
      <c r="F3620" s="8" t="s">
        <v>21104</v>
      </c>
      <c r="G3620" s="6" t="s">
        <v>33</v>
      </c>
      <c r="H3620" s="6" t="s">
        <v>313</v>
      </c>
      <c r="I3620" s="8" t="s">
        <v>253</v>
      </c>
      <c r="J3620" s="9">
        <v>1</v>
      </c>
      <c r="K3620" s="9">
        <v>96</v>
      </c>
      <c r="L3620" s="9">
        <v>2026</v>
      </c>
      <c r="M3620" s="8" t="s">
        <v>21105</v>
      </c>
      <c r="N3620" s="8" t="s">
        <v>93</v>
      </c>
      <c r="O3620" s="8" t="s">
        <v>94</v>
      </c>
      <c r="P3620" s="6" t="s">
        <v>51</v>
      </c>
      <c r="Q3620" s="8" t="s">
        <v>65</v>
      </c>
      <c r="R3620" s="10" t="s">
        <v>21106</v>
      </c>
      <c r="S3620" s="11"/>
      <c r="T3620" s="6"/>
      <c r="U3620" s="15" t="str">
        <f>HYPERLINK("https://media.infra-m.ru/2221/2221272/cover/2221272.jpg", "Обложка")</f>
        <v>Обложка</v>
      </c>
      <c r="V3620" s="8" t="s">
        <v>10938</v>
      </c>
      <c r="W3620" s="6"/>
      <c r="X3620" s="6"/>
      <c r="Y3620" s="6"/>
      <c r="Z3620" s="6"/>
      <c r="AA3620" s="6" t="s">
        <v>99</v>
      </c>
      <c r="AB3620" s="8"/>
      <c r="AC3620" s="27">
        <v>9785369016480</v>
      </c>
    </row>
    <row r="3621" spans="1:29" s="4" customFormat="1" ht="51.9" customHeight="1" x14ac:dyDescent="0.2">
      <c r="A3621" s="5">
        <v>0</v>
      </c>
      <c r="B3621" s="6" t="s">
        <v>21107</v>
      </c>
      <c r="C3621" s="7">
        <v>2644.8</v>
      </c>
      <c r="D3621" s="8" t="s">
        <v>21108</v>
      </c>
      <c r="E3621" s="8" t="s">
        <v>21109</v>
      </c>
      <c r="F3621" s="8" t="s">
        <v>21110</v>
      </c>
      <c r="G3621" s="6" t="s">
        <v>60</v>
      </c>
      <c r="H3621" s="6" t="s">
        <v>1042</v>
      </c>
      <c r="I3621" s="8" t="s">
        <v>253</v>
      </c>
      <c r="J3621" s="9">
        <v>1</v>
      </c>
      <c r="K3621" s="9">
        <v>400</v>
      </c>
      <c r="L3621" s="9">
        <v>2026</v>
      </c>
      <c r="M3621" s="8" t="s">
        <v>21111</v>
      </c>
      <c r="N3621" s="8" t="s">
        <v>93</v>
      </c>
      <c r="O3621" s="8" t="s">
        <v>94</v>
      </c>
      <c r="P3621" s="6" t="s">
        <v>51</v>
      </c>
      <c r="Q3621" s="8" t="s">
        <v>500</v>
      </c>
      <c r="R3621" s="10" t="s">
        <v>21112</v>
      </c>
      <c r="S3621" s="11" t="s">
        <v>21113</v>
      </c>
      <c r="T3621" s="6"/>
      <c r="U3621" s="15" t="str">
        <f>HYPERLINK("https://media.infra-m.ru/2219/2219298/cover/2219298.jpg", "Обложка")</f>
        <v>Обложка</v>
      </c>
      <c r="V3621" s="8" t="s">
        <v>3428</v>
      </c>
      <c r="W3621" s="6"/>
      <c r="X3621" s="6"/>
      <c r="Y3621" s="6"/>
      <c r="Z3621" s="6"/>
      <c r="AA3621" s="6" t="s">
        <v>779</v>
      </c>
      <c r="AB3621" s="8"/>
      <c r="AC3621" s="27">
        <v>9785819908143</v>
      </c>
    </row>
    <row r="3622" spans="1:29" s="4" customFormat="1" ht="51.9" customHeight="1" x14ac:dyDescent="0.2">
      <c r="A3622" s="5">
        <v>0</v>
      </c>
      <c r="B3622" s="6" t="s">
        <v>21114</v>
      </c>
      <c r="C3622" s="7">
        <v>1692</v>
      </c>
      <c r="D3622" s="8" t="s">
        <v>21115</v>
      </c>
      <c r="E3622" s="8" t="s">
        <v>21116</v>
      </c>
      <c r="F3622" s="8" t="s">
        <v>16973</v>
      </c>
      <c r="G3622" s="6" t="s">
        <v>118</v>
      </c>
      <c r="H3622" s="6" t="s">
        <v>34</v>
      </c>
      <c r="I3622" s="8" t="s">
        <v>253</v>
      </c>
      <c r="J3622" s="9">
        <v>1</v>
      </c>
      <c r="K3622" s="9">
        <v>271</v>
      </c>
      <c r="L3622" s="9">
        <v>2026</v>
      </c>
      <c r="M3622" s="8" t="s">
        <v>21117</v>
      </c>
      <c r="N3622" s="8" t="s">
        <v>37</v>
      </c>
      <c r="O3622" s="8" t="s">
        <v>83</v>
      </c>
      <c r="P3622" s="6" t="s">
        <v>51</v>
      </c>
      <c r="Q3622" s="8" t="s">
        <v>500</v>
      </c>
      <c r="R3622" s="10" t="s">
        <v>21118</v>
      </c>
      <c r="S3622" s="11" t="s">
        <v>21119</v>
      </c>
      <c r="T3622" s="6"/>
      <c r="U3622" s="15" t="str">
        <f>HYPERLINK("https://media.infra-m.ru/2213/2213685/cover/2213685.jpg", "Обложка")</f>
        <v>Обложка</v>
      </c>
      <c r="V3622" s="8" t="s">
        <v>4409</v>
      </c>
      <c r="W3622" s="6"/>
      <c r="X3622" s="6"/>
      <c r="Y3622" s="6"/>
      <c r="Z3622" s="6"/>
      <c r="AA3622" s="6" t="s">
        <v>1389</v>
      </c>
      <c r="AB3622" s="8"/>
      <c r="AC3622" s="27">
        <v>9785160211183</v>
      </c>
    </row>
    <row r="3623" spans="1:29" s="4" customFormat="1" ht="51.9" customHeight="1" x14ac:dyDescent="0.2">
      <c r="A3623" s="5">
        <v>0</v>
      </c>
      <c r="B3623" s="6" t="s">
        <v>21120</v>
      </c>
      <c r="C3623" s="13">
        <v>929.9</v>
      </c>
      <c r="D3623" s="8" t="s">
        <v>21121</v>
      </c>
      <c r="E3623" s="8" t="s">
        <v>21122</v>
      </c>
      <c r="F3623" s="8" t="s">
        <v>21123</v>
      </c>
      <c r="G3623" s="6" t="s">
        <v>60</v>
      </c>
      <c r="H3623" s="6" t="s">
        <v>34</v>
      </c>
      <c r="I3623" s="8" t="s">
        <v>504</v>
      </c>
      <c r="J3623" s="9">
        <v>1</v>
      </c>
      <c r="K3623" s="9">
        <v>267</v>
      </c>
      <c r="L3623" s="9">
        <v>2018</v>
      </c>
      <c r="M3623" s="8" t="s">
        <v>21124</v>
      </c>
      <c r="N3623" s="8" t="s">
        <v>37</v>
      </c>
      <c r="O3623" s="8" t="s">
        <v>83</v>
      </c>
      <c r="P3623" s="6" t="s">
        <v>51</v>
      </c>
      <c r="Q3623" s="8" t="s">
        <v>500</v>
      </c>
      <c r="R3623" s="10" t="s">
        <v>21118</v>
      </c>
      <c r="S3623" s="11" t="s">
        <v>9050</v>
      </c>
      <c r="T3623" s="6"/>
      <c r="U3623" s="15" t="str">
        <f>HYPERLINK("https://media.infra-m.ru/0928/0928350/cover/928350.jpg", "Обложка")</f>
        <v>Обложка</v>
      </c>
      <c r="V3623" s="8" t="s">
        <v>4409</v>
      </c>
      <c r="W3623" s="6"/>
      <c r="X3623" s="6"/>
      <c r="Y3623" s="6"/>
      <c r="Z3623" s="6"/>
      <c r="AA3623" s="6" t="s">
        <v>2338</v>
      </c>
      <c r="AB3623" s="8"/>
      <c r="AC3623" s="27">
        <v>9785160092065</v>
      </c>
    </row>
    <row r="3624" spans="1:29" s="4" customFormat="1" ht="51.9" customHeight="1" x14ac:dyDescent="0.2">
      <c r="A3624" s="5">
        <v>0</v>
      </c>
      <c r="B3624" s="6" t="s">
        <v>21125</v>
      </c>
      <c r="C3624" s="7">
        <v>2800.8</v>
      </c>
      <c r="D3624" s="8" t="s">
        <v>21126</v>
      </c>
      <c r="E3624" s="8" t="s">
        <v>21127</v>
      </c>
      <c r="F3624" s="8" t="s">
        <v>21128</v>
      </c>
      <c r="G3624" s="6" t="s">
        <v>60</v>
      </c>
      <c r="H3624" s="6" t="s">
        <v>241</v>
      </c>
      <c r="I3624" s="8" t="s">
        <v>3496</v>
      </c>
      <c r="J3624" s="9">
        <v>1</v>
      </c>
      <c r="K3624" s="9">
        <v>448</v>
      </c>
      <c r="L3624" s="9">
        <v>2025</v>
      </c>
      <c r="M3624" s="8" t="s">
        <v>21129</v>
      </c>
      <c r="N3624" s="8" t="s">
        <v>243</v>
      </c>
      <c r="O3624" s="8" t="s">
        <v>244</v>
      </c>
      <c r="P3624" s="6" t="s">
        <v>39</v>
      </c>
      <c r="Q3624" s="8" t="s">
        <v>40</v>
      </c>
      <c r="R3624" s="10" t="s">
        <v>21130</v>
      </c>
      <c r="S3624" s="11"/>
      <c r="T3624" s="6"/>
      <c r="U3624" s="15" t="str">
        <f>HYPERLINK("https://media.infra-m.ru/2194/2194339/cover/2194339.jpg", "Обложка")</f>
        <v>Обложка</v>
      </c>
      <c r="V3624" s="8" t="s">
        <v>11288</v>
      </c>
      <c r="W3624" s="6"/>
      <c r="X3624" s="6"/>
      <c r="Y3624" s="6"/>
      <c r="Z3624" s="6"/>
      <c r="AA3624" s="6" t="s">
        <v>55</v>
      </c>
      <c r="AB3624" s="8"/>
      <c r="AC3624" s="27">
        <v>9785955803388</v>
      </c>
    </row>
    <row r="3625" spans="1:29" s="4" customFormat="1" ht="44.1" customHeight="1" x14ac:dyDescent="0.2">
      <c r="A3625" s="5">
        <v>0</v>
      </c>
      <c r="B3625" s="6" t="s">
        <v>21131</v>
      </c>
      <c r="C3625" s="13">
        <v>660</v>
      </c>
      <c r="D3625" s="8" t="s">
        <v>21132</v>
      </c>
      <c r="E3625" s="8" t="s">
        <v>21133</v>
      </c>
      <c r="F3625" s="8" t="s">
        <v>14562</v>
      </c>
      <c r="G3625" s="6" t="s">
        <v>33</v>
      </c>
      <c r="H3625" s="6" t="s">
        <v>34</v>
      </c>
      <c r="I3625" s="8" t="s">
        <v>35</v>
      </c>
      <c r="J3625" s="9">
        <v>1</v>
      </c>
      <c r="K3625" s="9">
        <v>121</v>
      </c>
      <c r="L3625" s="9">
        <v>2022</v>
      </c>
      <c r="M3625" s="8" t="s">
        <v>21134</v>
      </c>
      <c r="N3625" s="8" t="s">
        <v>37</v>
      </c>
      <c r="O3625" s="8" t="s">
        <v>280</v>
      </c>
      <c r="P3625" s="6" t="s">
        <v>39</v>
      </c>
      <c r="Q3625" s="8" t="s">
        <v>40</v>
      </c>
      <c r="R3625" s="10" t="s">
        <v>21135</v>
      </c>
      <c r="S3625" s="11"/>
      <c r="T3625" s="6"/>
      <c r="U3625" s="15" t="str">
        <f>HYPERLINK("https://media.infra-m.ru/1946/1946544/cover/1946544.jpg", "Обложка")</f>
        <v>Обложка</v>
      </c>
      <c r="V3625" s="8" t="s">
        <v>13059</v>
      </c>
      <c r="W3625" s="6"/>
      <c r="X3625" s="6"/>
      <c r="Y3625" s="6"/>
      <c r="Z3625" s="6"/>
      <c r="AA3625" s="6" t="s">
        <v>274</v>
      </c>
      <c r="AB3625" s="8"/>
      <c r="AC3625" s="27">
        <v>9785160106601</v>
      </c>
    </row>
    <row r="3626" spans="1:29" s="4" customFormat="1" ht="51.9" customHeight="1" x14ac:dyDescent="0.2">
      <c r="A3626" s="5">
        <v>0</v>
      </c>
      <c r="B3626" s="6" t="s">
        <v>21136</v>
      </c>
      <c r="C3626" s="7">
        <v>1900.8</v>
      </c>
      <c r="D3626" s="8" t="s">
        <v>21137</v>
      </c>
      <c r="E3626" s="8" t="s">
        <v>21138</v>
      </c>
      <c r="F3626" s="8" t="s">
        <v>21139</v>
      </c>
      <c r="G3626" s="6" t="s">
        <v>118</v>
      </c>
      <c r="H3626" s="6" t="s">
        <v>34</v>
      </c>
      <c r="I3626" s="8" t="s">
        <v>271</v>
      </c>
      <c r="J3626" s="9">
        <v>1</v>
      </c>
      <c r="K3626" s="9">
        <v>304</v>
      </c>
      <c r="L3626" s="9">
        <v>2025</v>
      </c>
      <c r="M3626" s="8" t="s">
        <v>21140</v>
      </c>
      <c r="N3626" s="8" t="s">
        <v>63</v>
      </c>
      <c r="O3626" s="8" t="s">
        <v>154</v>
      </c>
      <c r="P3626" s="6" t="s">
        <v>51</v>
      </c>
      <c r="Q3626" s="8" t="s">
        <v>52</v>
      </c>
      <c r="R3626" s="10" t="s">
        <v>21141</v>
      </c>
      <c r="S3626" s="11" t="s">
        <v>21142</v>
      </c>
      <c r="T3626" s="6"/>
      <c r="U3626" s="15" t="str">
        <f>HYPERLINK("https://media.infra-m.ru/2216/2216009/cover/2216009.jpg", "Обложка")</f>
        <v>Обложка</v>
      </c>
      <c r="V3626" s="8" t="s">
        <v>10325</v>
      </c>
      <c r="W3626" s="6"/>
      <c r="X3626" s="6"/>
      <c r="Y3626" s="6"/>
      <c r="Z3626" s="6"/>
      <c r="AA3626" s="6" t="s">
        <v>43</v>
      </c>
      <c r="AB3626" s="8"/>
      <c r="AC3626" s="27">
        <v>9785160060224</v>
      </c>
    </row>
    <row r="3627" spans="1:29" s="4" customFormat="1" ht="51.9" customHeight="1" x14ac:dyDescent="0.2">
      <c r="A3627" s="5">
        <v>0</v>
      </c>
      <c r="B3627" s="6" t="s">
        <v>21143</v>
      </c>
      <c r="C3627" s="7">
        <v>2044.8</v>
      </c>
      <c r="D3627" s="8" t="s">
        <v>21144</v>
      </c>
      <c r="E3627" s="8" t="s">
        <v>21145</v>
      </c>
      <c r="F3627" s="8" t="s">
        <v>21146</v>
      </c>
      <c r="G3627" s="6" t="s">
        <v>60</v>
      </c>
      <c r="H3627" s="6" t="s">
        <v>34</v>
      </c>
      <c r="I3627" s="8" t="s">
        <v>9737</v>
      </c>
      <c r="J3627" s="9">
        <v>1</v>
      </c>
      <c r="K3627" s="9">
        <v>327</v>
      </c>
      <c r="L3627" s="9">
        <v>2025</v>
      </c>
      <c r="M3627" s="8" t="s">
        <v>21147</v>
      </c>
      <c r="N3627" s="8" t="s">
        <v>585</v>
      </c>
      <c r="O3627" s="8" t="s">
        <v>586</v>
      </c>
      <c r="P3627" s="6" t="s">
        <v>51</v>
      </c>
      <c r="Q3627" s="8" t="s">
        <v>1349</v>
      </c>
      <c r="R3627" s="10" t="s">
        <v>21148</v>
      </c>
      <c r="S3627" s="11"/>
      <c r="T3627" s="6"/>
      <c r="U3627" s="15" t="str">
        <f>HYPERLINK("https://media.infra-m.ru/2196/2196954/cover/2196954.jpg", "Обложка")</f>
        <v>Обложка</v>
      </c>
      <c r="V3627" s="8" t="s">
        <v>7509</v>
      </c>
      <c r="W3627" s="6"/>
      <c r="X3627" s="6"/>
      <c r="Y3627" s="6"/>
      <c r="Z3627" s="6"/>
      <c r="AA3627" s="6" t="s">
        <v>55</v>
      </c>
      <c r="AB3627" s="8"/>
      <c r="AC3627" s="27">
        <v>9785160064642</v>
      </c>
    </row>
    <row r="3628" spans="1:29" s="4" customFormat="1" ht="51.9" customHeight="1" x14ac:dyDescent="0.2">
      <c r="A3628" s="5">
        <v>0</v>
      </c>
      <c r="B3628" s="6" t="s">
        <v>21149</v>
      </c>
      <c r="C3628" s="7">
        <v>2500.8000000000002</v>
      </c>
      <c r="D3628" s="8" t="s">
        <v>21150</v>
      </c>
      <c r="E3628" s="8" t="s">
        <v>21151</v>
      </c>
      <c r="F3628" s="8" t="s">
        <v>21152</v>
      </c>
      <c r="G3628" s="6" t="s">
        <v>60</v>
      </c>
      <c r="H3628" s="6" t="s">
        <v>34</v>
      </c>
      <c r="I3628" s="8" t="s">
        <v>504</v>
      </c>
      <c r="J3628" s="9">
        <v>1</v>
      </c>
      <c r="K3628" s="9">
        <v>379</v>
      </c>
      <c r="L3628" s="9">
        <v>2027</v>
      </c>
      <c r="M3628" s="8" t="s">
        <v>21153</v>
      </c>
      <c r="N3628" s="8" t="s">
        <v>243</v>
      </c>
      <c r="O3628" s="8" t="s">
        <v>1100</v>
      </c>
      <c r="P3628" s="6" t="s">
        <v>51</v>
      </c>
      <c r="Q3628" s="8" t="s">
        <v>500</v>
      </c>
      <c r="R3628" s="10" t="s">
        <v>21154</v>
      </c>
      <c r="S3628" s="11" t="s">
        <v>21155</v>
      </c>
      <c r="T3628" s="6"/>
      <c r="U3628" s="15" t="str">
        <f>HYPERLINK("https://media.infra-m.ru/2255/2255033/cover/2255033.jpg", "Обложка")</f>
        <v>Обложка</v>
      </c>
      <c r="V3628" s="8" t="s">
        <v>1030</v>
      </c>
      <c r="W3628" s="6"/>
      <c r="X3628" s="6"/>
      <c r="Y3628" s="6"/>
      <c r="Z3628" s="6"/>
      <c r="AA3628" s="6" t="s">
        <v>76</v>
      </c>
      <c r="AB3628" s="8"/>
      <c r="AC3628" s="27">
        <v>9785160182643</v>
      </c>
    </row>
    <row r="3629" spans="1:29" s="4" customFormat="1" ht="42" customHeight="1" x14ac:dyDescent="0.2">
      <c r="A3629" s="5">
        <v>0</v>
      </c>
      <c r="B3629" s="6" t="s">
        <v>21156</v>
      </c>
      <c r="C3629" s="7">
        <v>1500</v>
      </c>
      <c r="D3629" s="8" t="s">
        <v>21157</v>
      </c>
      <c r="E3629" s="8" t="s">
        <v>21158</v>
      </c>
      <c r="F3629" s="8" t="s">
        <v>21159</v>
      </c>
      <c r="G3629" s="6" t="s">
        <v>118</v>
      </c>
      <c r="H3629" s="6" t="s">
        <v>34</v>
      </c>
      <c r="I3629" s="8" t="s">
        <v>253</v>
      </c>
      <c r="J3629" s="9">
        <v>1</v>
      </c>
      <c r="K3629" s="9">
        <v>227</v>
      </c>
      <c r="L3629" s="9">
        <v>2026</v>
      </c>
      <c r="M3629" s="8" t="s">
        <v>21160</v>
      </c>
      <c r="N3629" s="8" t="s">
        <v>585</v>
      </c>
      <c r="O3629" s="8" t="s">
        <v>586</v>
      </c>
      <c r="P3629" s="6" t="s">
        <v>306</v>
      </c>
      <c r="Q3629" s="8" t="s">
        <v>1349</v>
      </c>
      <c r="R3629" s="10" t="s">
        <v>21161</v>
      </c>
      <c r="S3629" s="11"/>
      <c r="T3629" s="6"/>
      <c r="U3629" s="15" t="str">
        <f>HYPERLINK("https://media.infra-m.ru/2217/2217546/cover/2217546.jpg", "Обложка")</f>
        <v>Обложка</v>
      </c>
      <c r="V3629" s="8" t="s">
        <v>5902</v>
      </c>
      <c r="W3629" s="6"/>
      <c r="X3629" s="6"/>
      <c r="Y3629" s="6"/>
      <c r="Z3629" s="6"/>
      <c r="AA3629" s="6" t="s">
        <v>1256</v>
      </c>
      <c r="AB3629" s="8"/>
      <c r="AC3629" s="27">
        <v>9785160205090</v>
      </c>
    </row>
    <row r="3630" spans="1:29" s="4" customFormat="1" ht="42" customHeight="1" x14ac:dyDescent="0.2">
      <c r="A3630" s="5">
        <v>0</v>
      </c>
      <c r="B3630" s="6" t="s">
        <v>21162</v>
      </c>
      <c r="C3630" s="7">
        <v>2028</v>
      </c>
      <c r="D3630" s="8" t="s">
        <v>21163</v>
      </c>
      <c r="E3630" s="8" t="s">
        <v>21164</v>
      </c>
      <c r="F3630" s="8" t="s">
        <v>21165</v>
      </c>
      <c r="G3630" s="6" t="s">
        <v>60</v>
      </c>
      <c r="H3630" s="6" t="s">
        <v>34</v>
      </c>
      <c r="I3630" s="8" t="s">
        <v>253</v>
      </c>
      <c r="J3630" s="9">
        <v>1</v>
      </c>
      <c r="K3630" s="9">
        <v>300</v>
      </c>
      <c r="L3630" s="9">
        <v>2026</v>
      </c>
      <c r="M3630" s="8" t="s">
        <v>21166</v>
      </c>
      <c r="N3630" s="8" t="s">
        <v>63</v>
      </c>
      <c r="O3630" s="8" t="s">
        <v>126</v>
      </c>
      <c r="P3630" s="6" t="s">
        <v>306</v>
      </c>
      <c r="Q3630" s="8" t="s">
        <v>500</v>
      </c>
      <c r="R3630" s="10" t="s">
        <v>14616</v>
      </c>
      <c r="S3630" s="11"/>
      <c r="T3630" s="6"/>
      <c r="U3630" s="15" t="str">
        <f>HYPERLINK("https://media.infra-m.ru/2198/2198467/cover/2198467.jpg", "Обложка")</f>
        <v>Обложка</v>
      </c>
      <c r="V3630" s="8" t="s">
        <v>18741</v>
      </c>
      <c r="W3630" s="6" t="s">
        <v>1382</v>
      </c>
      <c r="X3630" s="6"/>
      <c r="Y3630" s="6"/>
      <c r="Z3630" s="6"/>
      <c r="AA3630" s="6" t="s">
        <v>187</v>
      </c>
      <c r="AB3630" s="8" t="s">
        <v>308</v>
      </c>
      <c r="AC3630" s="27">
        <v>9785160208329</v>
      </c>
    </row>
    <row r="3631" spans="1:29" s="4" customFormat="1" ht="44.1" customHeight="1" x14ac:dyDescent="0.2">
      <c r="A3631" s="5">
        <v>0</v>
      </c>
      <c r="B3631" s="6" t="s">
        <v>21167</v>
      </c>
      <c r="C3631" s="7">
        <v>1548</v>
      </c>
      <c r="D3631" s="8" t="s">
        <v>21168</v>
      </c>
      <c r="E3631" s="8" t="s">
        <v>21169</v>
      </c>
      <c r="F3631" s="8" t="s">
        <v>21170</v>
      </c>
      <c r="G3631" s="6" t="s">
        <v>60</v>
      </c>
      <c r="H3631" s="6" t="s">
        <v>34</v>
      </c>
      <c r="I3631" s="8" t="s">
        <v>253</v>
      </c>
      <c r="J3631" s="9">
        <v>1</v>
      </c>
      <c r="K3631" s="9">
        <v>239</v>
      </c>
      <c r="L3631" s="9">
        <v>2025</v>
      </c>
      <c r="M3631" s="8" t="s">
        <v>21171</v>
      </c>
      <c r="N3631" s="8" t="s">
        <v>37</v>
      </c>
      <c r="O3631" s="8" t="s">
        <v>233</v>
      </c>
      <c r="P3631" s="6" t="s">
        <v>51</v>
      </c>
      <c r="Q3631" s="8" t="s">
        <v>65</v>
      </c>
      <c r="R3631" s="10" t="s">
        <v>21172</v>
      </c>
      <c r="S3631" s="11"/>
      <c r="T3631" s="6"/>
      <c r="U3631" s="15" t="str">
        <f>HYPERLINK("https://media.infra-m.ru/2009/2009646/cover/2009646.jpg", "Обложка")</f>
        <v>Обложка</v>
      </c>
      <c r="V3631" s="8" t="s">
        <v>21173</v>
      </c>
      <c r="W3631" s="6"/>
      <c r="X3631" s="6"/>
      <c r="Y3631" s="6"/>
      <c r="Z3631" s="6"/>
      <c r="AA3631" s="6" t="s">
        <v>68</v>
      </c>
      <c r="AB3631" s="8"/>
      <c r="AC3631" s="27">
        <v>9785160184692</v>
      </c>
    </row>
    <row r="3632" spans="1:29" s="4" customFormat="1" ht="51.9" customHeight="1" x14ac:dyDescent="0.2">
      <c r="A3632" s="5">
        <v>0</v>
      </c>
      <c r="B3632" s="6" t="s">
        <v>21174</v>
      </c>
      <c r="C3632" s="7">
        <v>2044.8</v>
      </c>
      <c r="D3632" s="8" t="s">
        <v>21175</v>
      </c>
      <c r="E3632" s="8" t="s">
        <v>21176</v>
      </c>
      <c r="F3632" s="8" t="s">
        <v>21177</v>
      </c>
      <c r="G3632" s="6" t="s">
        <v>118</v>
      </c>
      <c r="H3632" s="6" t="s">
        <v>34</v>
      </c>
      <c r="I3632" s="8" t="s">
        <v>504</v>
      </c>
      <c r="J3632" s="9">
        <v>1</v>
      </c>
      <c r="K3632" s="9">
        <v>310</v>
      </c>
      <c r="L3632" s="9">
        <v>2026</v>
      </c>
      <c r="M3632" s="8" t="s">
        <v>21178</v>
      </c>
      <c r="N3632" s="8" t="s">
        <v>585</v>
      </c>
      <c r="O3632" s="8" t="s">
        <v>586</v>
      </c>
      <c r="P3632" s="6" t="s">
        <v>306</v>
      </c>
      <c r="Q3632" s="8" t="s">
        <v>500</v>
      </c>
      <c r="R3632" s="10" t="s">
        <v>21179</v>
      </c>
      <c r="S3632" s="11" t="s">
        <v>21180</v>
      </c>
      <c r="T3632" s="6"/>
      <c r="U3632" s="15" t="str">
        <f>HYPERLINK("https://media.infra-m.ru/2230/2230130/cover/2230130.jpg", "Обложка")</f>
        <v>Обложка</v>
      </c>
      <c r="V3632" s="8" t="s">
        <v>5117</v>
      </c>
      <c r="W3632" s="6"/>
      <c r="X3632" s="6"/>
      <c r="Y3632" s="6"/>
      <c r="Z3632" s="6"/>
      <c r="AA3632" s="6" t="s">
        <v>896</v>
      </c>
      <c r="AB3632" s="8"/>
      <c r="AC3632" s="27">
        <v>9785160173665</v>
      </c>
    </row>
    <row r="3633" spans="1:29" s="4" customFormat="1" ht="44.1" customHeight="1" x14ac:dyDescent="0.2">
      <c r="A3633" s="5">
        <v>0</v>
      </c>
      <c r="B3633" s="6" t="s">
        <v>21181</v>
      </c>
      <c r="C3633" s="7">
        <v>1488</v>
      </c>
      <c r="D3633" s="8" t="s">
        <v>21182</v>
      </c>
      <c r="E3633" s="8" t="s">
        <v>21183</v>
      </c>
      <c r="F3633" s="8" t="s">
        <v>21184</v>
      </c>
      <c r="G3633" s="6" t="s">
        <v>118</v>
      </c>
      <c r="H3633" s="6" t="s">
        <v>241</v>
      </c>
      <c r="I3633" s="8" t="s">
        <v>3496</v>
      </c>
      <c r="J3633" s="9">
        <v>18</v>
      </c>
      <c r="K3633" s="9">
        <v>350</v>
      </c>
      <c r="L3633" s="9">
        <v>2020</v>
      </c>
      <c r="M3633" s="8" t="s">
        <v>21185</v>
      </c>
      <c r="N3633" s="8" t="s">
        <v>63</v>
      </c>
      <c r="O3633" s="8" t="s">
        <v>126</v>
      </c>
      <c r="P3633" s="6" t="s">
        <v>39</v>
      </c>
      <c r="Q3633" s="8" t="s">
        <v>40</v>
      </c>
      <c r="R3633" s="10" t="s">
        <v>17255</v>
      </c>
      <c r="S3633" s="11"/>
      <c r="T3633" s="6"/>
      <c r="U3633" s="15" t="str">
        <f>HYPERLINK("https://media.infra-m.ru/1069/1069026/cover/1069026.jpg", "Обложка")</f>
        <v>Обложка</v>
      </c>
      <c r="V3633" s="8" t="s">
        <v>6059</v>
      </c>
      <c r="W3633" s="6"/>
      <c r="X3633" s="6"/>
      <c r="Y3633" s="6"/>
      <c r="Z3633" s="6"/>
      <c r="AA3633" s="6" t="s">
        <v>99</v>
      </c>
      <c r="AB3633" s="8"/>
      <c r="AC3633" s="27">
        <v>9785955805436</v>
      </c>
    </row>
    <row r="3634" spans="1:29" s="4" customFormat="1" ht="51.9" customHeight="1" x14ac:dyDescent="0.2">
      <c r="A3634" s="5">
        <v>0</v>
      </c>
      <c r="B3634" s="6" t="s">
        <v>21186</v>
      </c>
      <c r="C3634" s="7">
        <v>1392</v>
      </c>
      <c r="D3634" s="8" t="s">
        <v>21187</v>
      </c>
      <c r="E3634" s="8" t="s">
        <v>21188</v>
      </c>
      <c r="F3634" s="8" t="s">
        <v>21159</v>
      </c>
      <c r="G3634" s="6" t="s">
        <v>118</v>
      </c>
      <c r="H3634" s="6" t="s">
        <v>34</v>
      </c>
      <c r="I3634" s="8" t="s">
        <v>253</v>
      </c>
      <c r="J3634" s="9">
        <v>1</v>
      </c>
      <c r="K3634" s="9">
        <v>210</v>
      </c>
      <c r="L3634" s="9">
        <v>2026</v>
      </c>
      <c r="M3634" s="8" t="s">
        <v>21189</v>
      </c>
      <c r="N3634" s="8" t="s">
        <v>585</v>
      </c>
      <c r="O3634" s="8" t="s">
        <v>586</v>
      </c>
      <c r="P3634" s="6" t="s">
        <v>306</v>
      </c>
      <c r="Q3634" s="8" t="s">
        <v>52</v>
      </c>
      <c r="R3634" s="10" t="s">
        <v>14616</v>
      </c>
      <c r="S3634" s="11" t="s">
        <v>21190</v>
      </c>
      <c r="T3634" s="6"/>
      <c r="U3634" s="15" t="str">
        <f>HYPERLINK("https://media.infra-m.ru/2244/2244317/cover/2244317.jpg", "Обложка")</f>
        <v>Обложка</v>
      </c>
      <c r="V3634" s="8" t="s">
        <v>5902</v>
      </c>
      <c r="W3634" s="6"/>
      <c r="X3634" s="6"/>
      <c r="Y3634" s="6"/>
      <c r="Z3634" s="6"/>
      <c r="AA3634" s="6" t="s">
        <v>115</v>
      </c>
      <c r="AB3634" s="8"/>
      <c r="AC3634" s="27">
        <v>9785160220185</v>
      </c>
    </row>
    <row r="3635" spans="1:29" s="4" customFormat="1" ht="51.9" customHeight="1" x14ac:dyDescent="0.2">
      <c r="A3635" s="5">
        <v>0</v>
      </c>
      <c r="B3635" s="6" t="s">
        <v>21191</v>
      </c>
      <c r="C3635" s="7">
        <v>1708.8</v>
      </c>
      <c r="D3635" s="8" t="s">
        <v>21192</v>
      </c>
      <c r="E3635" s="8" t="s">
        <v>21193</v>
      </c>
      <c r="F3635" s="8" t="s">
        <v>21194</v>
      </c>
      <c r="G3635" s="6" t="s">
        <v>60</v>
      </c>
      <c r="H3635" s="6" t="s">
        <v>34</v>
      </c>
      <c r="I3635" s="8" t="s">
        <v>504</v>
      </c>
      <c r="J3635" s="9">
        <v>1</v>
      </c>
      <c r="K3635" s="9">
        <v>259</v>
      </c>
      <c r="L3635" s="9">
        <v>2026</v>
      </c>
      <c r="M3635" s="8" t="s">
        <v>21195</v>
      </c>
      <c r="N3635" s="8" t="s">
        <v>63</v>
      </c>
      <c r="O3635" s="8" t="s">
        <v>126</v>
      </c>
      <c r="P3635" s="6" t="s">
        <v>306</v>
      </c>
      <c r="Q3635" s="8" t="s">
        <v>500</v>
      </c>
      <c r="R3635" s="10" t="s">
        <v>21196</v>
      </c>
      <c r="S3635" s="11"/>
      <c r="T3635" s="6"/>
      <c r="U3635" s="15" t="str">
        <f>HYPERLINK("https://media.infra-m.ru/2234/2234092/cover/2234092.jpg", "Обложка")</f>
        <v>Обложка</v>
      </c>
      <c r="V3635" s="8" t="s">
        <v>4943</v>
      </c>
      <c r="W3635" s="6"/>
      <c r="X3635" s="6"/>
      <c r="Y3635" s="6"/>
      <c r="Z3635" s="6"/>
      <c r="AA3635" s="6" t="s">
        <v>157</v>
      </c>
      <c r="AB3635" s="8"/>
      <c r="AC3635" s="27">
        <v>9785160178318</v>
      </c>
    </row>
    <row r="3636" spans="1:29" s="4" customFormat="1" ht="42" customHeight="1" x14ac:dyDescent="0.2">
      <c r="A3636" s="5">
        <v>0</v>
      </c>
      <c r="B3636" s="6" t="s">
        <v>21197</v>
      </c>
      <c r="C3636" s="7">
        <v>1572</v>
      </c>
      <c r="D3636" s="8" t="s">
        <v>21198</v>
      </c>
      <c r="E3636" s="8" t="s">
        <v>21199</v>
      </c>
      <c r="F3636" s="8" t="s">
        <v>21200</v>
      </c>
      <c r="G3636" s="6" t="s">
        <v>60</v>
      </c>
      <c r="H3636" s="6" t="s">
        <v>34</v>
      </c>
      <c r="I3636" s="8" t="s">
        <v>35</v>
      </c>
      <c r="J3636" s="9">
        <v>1</v>
      </c>
      <c r="K3636" s="9">
        <v>239</v>
      </c>
      <c r="L3636" s="9">
        <v>2026</v>
      </c>
      <c r="M3636" s="8" t="s">
        <v>21201</v>
      </c>
      <c r="N3636" s="8" t="s">
        <v>243</v>
      </c>
      <c r="O3636" s="8" t="s">
        <v>385</v>
      </c>
      <c r="P3636" s="6" t="s">
        <v>39</v>
      </c>
      <c r="Q3636" s="8" t="s">
        <v>40</v>
      </c>
      <c r="R3636" s="10" t="s">
        <v>21202</v>
      </c>
      <c r="S3636" s="11"/>
      <c r="T3636" s="6"/>
      <c r="U3636" s="15" t="str">
        <f>HYPERLINK("https://media.infra-m.ru/2193/2193753/cover/2193753.jpg", "Обложка")</f>
        <v>Обложка</v>
      </c>
      <c r="V3636" s="8" t="s">
        <v>3177</v>
      </c>
      <c r="W3636" s="6"/>
      <c r="X3636" s="6"/>
      <c r="Y3636" s="6"/>
      <c r="Z3636" s="6"/>
      <c r="AA3636" s="6" t="s">
        <v>187</v>
      </c>
      <c r="AB3636" s="8"/>
      <c r="AC3636" s="27">
        <v>9785160207919</v>
      </c>
    </row>
    <row r="3637" spans="1:29" s="4" customFormat="1" ht="51.9" customHeight="1" x14ac:dyDescent="0.2">
      <c r="A3637" s="5">
        <v>0</v>
      </c>
      <c r="B3637" s="6" t="s">
        <v>21203</v>
      </c>
      <c r="C3637" s="7">
        <v>1068</v>
      </c>
      <c r="D3637" s="8" t="s">
        <v>21204</v>
      </c>
      <c r="E3637" s="8" t="s">
        <v>21205</v>
      </c>
      <c r="F3637" s="8" t="s">
        <v>21206</v>
      </c>
      <c r="G3637" s="6" t="s">
        <v>60</v>
      </c>
      <c r="H3637" s="6" t="s">
        <v>34</v>
      </c>
      <c r="I3637" s="8" t="s">
        <v>504</v>
      </c>
      <c r="J3637" s="9">
        <v>1</v>
      </c>
      <c r="K3637" s="9">
        <v>179</v>
      </c>
      <c r="L3637" s="9">
        <v>2023</v>
      </c>
      <c r="M3637" s="8" t="s">
        <v>21207</v>
      </c>
      <c r="N3637" s="8" t="s">
        <v>37</v>
      </c>
      <c r="O3637" s="8" t="s">
        <v>83</v>
      </c>
      <c r="P3637" s="6" t="s">
        <v>51</v>
      </c>
      <c r="Q3637" s="8" t="s">
        <v>500</v>
      </c>
      <c r="R3637" s="10" t="s">
        <v>21208</v>
      </c>
      <c r="S3637" s="11" t="s">
        <v>21209</v>
      </c>
      <c r="T3637" s="6"/>
      <c r="U3637" s="15" t="str">
        <f>HYPERLINK("https://media.infra-m.ru/1316/1316922/cover/1316922.jpg", "Обложка")</f>
        <v>Обложка</v>
      </c>
      <c r="V3637" s="8" t="s">
        <v>12691</v>
      </c>
      <c r="W3637" s="6"/>
      <c r="X3637" s="6"/>
      <c r="Y3637" s="6"/>
      <c r="Z3637" s="6"/>
      <c r="AA3637" s="6" t="s">
        <v>157</v>
      </c>
      <c r="AB3637" s="8"/>
      <c r="AC3637" s="27">
        <v>9785160168944</v>
      </c>
    </row>
    <row r="3638" spans="1:29" s="4" customFormat="1" ht="44.1" customHeight="1" x14ac:dyDescent="0.2">
      <c r="A3638" s="5">
        <v>0</v>
      </c>
      <c r="B3638" s="6" t="s">
        <v>21210</v>
      </c>
      <c r="C3638" s="7">
        <v>1852.8</v>
      </c>
      <c r="D3638" s="8" t="s">
        <v>21211</v>
      </c>
      <c r="E3638" s="8" t="s">
        <v>21212</v>
      </c>
      <c r="F3638" s="8" t="s">
        <v>21213</v>
      </c>
      <c r="G3638" s="6" t="s">
        <v>33</v>
      </c>
      <c r="H3638" s="6" t="s">
        <v>34</v>
      </c>
      <c r="I3638" s="8" t="s">
        <v>35</v>
      </c>
      <c r="J3638" s="9">
        <v>1</v>
      </c>
      <c r="K3638" s="9">
        <v>296</v>
      </c>
      <c r="L3638" s="9">
        <v>2025</v>
      </c>
      <c r="M3638" s="8" t="s">
        <v>21214</v>
      </c>
      <c r="N3638" s="8" t="s">
        <v>93</v>
      </c>
      <c r="O3638" s="8" t="s">
        <v>94</v>
      </c>
      <c r="P3638" s="6" t="s">
        <v>39</v>
      </c>
      <c r="Q3638" s="8" t="s">
        <v>40</v>
      </c>
      <c r="R3638" s="10" t="s">
        <v>21215</v>
      </c>
      <c r="S3638" s="11"/>
      <c r="T3638" s="6"/>
      <c r="U3638" s="15" t="str">
        <f>HYPERLINK("https://media.infra-m.ru/2202/2202587/cover/2202587.jpg", "Обложка")</f>
        <v>Обложка</v>
      </c>
      <c r="V3638" s="8" t="s">
        <v>6135</v>
      </c>
      <c r="W3638" s="6"/>
      <c r="X3638" s="6"/>
      <c r="Y3638" s="6"/>
      <c r="Z3638" s="6"/>
      <c r="AA3638" s="6" t="s">
        <v>86</v>
      </c>
      <c r="AB3638" s="8"/>
      <c r="AC3638" s="27">
        <v>9785160193588</v>
      </c>
    </row>
    <row r="3639" spans="1:29" s="4" customFormat="1" ht="44.1" customHeight="1" x14ac:dyDescent="0.2">
      <c r="A3639" s="5">
        <v>0</v>
      </c>
      <c r="B3639" s="6" t="s">
        <v>21216</v>
      </c>
      <c r="C3639" s="7">
        <v>1852.8</v>
      </c>
      <c r="D3639" s="8" t="s">
        <v>21217</v>
      </c>
      <c r="E3639" s="8" t="s">
        <v>21212</v>
      </c>
      <c r="F3639" s="8" t="s">
        <v>21213</v>
      </c>
      <c r="G3639" s="6" t="s">
        <v>60</v>
      </c>
      <c r="H3639" s="6" t="s">
        <v>34</v>
      </c>
      <c r="I3639" s="8" t="s">
        <v>35</v>
      </c>
      <c r="J3639" s="9">
        <v>1</v>
      </c>
      <c r="K3639" s="9">
        <v>296</v>
      </c>
      <c r="L3639" s="9">
        <v>2025</v>
      </c>
      <c r="M3639" s="8" t="s">
        <v>21218</v>
      </c>
      <c r="N3639" s="8" t="s">
        <v>93</v>
      </c>
      <c r="O3639" s="8" t="s">
        <v>94</v>
      </c>
      <c r="P3639" s="6" t="s">
        <v>39</v>
      </c>
      <c r="Q3639" s="8" t="s">
        <v>40</v>
      </c>
      <c r="R3639" s="10" t="s">
        <v>21215</v>
      </c>
      <c r="S3639" s="11"/>
      <c r="T3639" s="6"/>
      <c r="U3639" s="15" t="str">
        <f>HYPERLINK("https://media.infra-m.ru/2197/2197053/cover/2197053.jpg", "Обложка")</f>
        <v>Обложка</v>
      </c>
      <c r="V3639" s="8" t="s">
        <v>6135</v>
      </c>
      <c r="W3639" s="6"/>
      <c r="X3639" s="6"/>
      <c r="Y3639" s="6"/>
      <c r="Z3639" s="6"/>
      <c r="AA3639" s="6" t="s">
        <v>86</v>
      </c>
      <c r="AB3639" s="8"/>
      <c r="AC3639" s="27">
        <v>9785160129471</v>
      </c>
    </row>
    <row r="3640" spans="1:29" s="4" customFormat="1" ht="42" customHeight="1" x14ac:dyDescent="0.2">
      <c r="A3640" s="5">
        <v>0</v>
      </c>
      <c r="B3640" s="6" t="s">
        <v>21219</v>
      </c>
      <c r="C3640" s="7">
        <v>3312</v>
      </c>
      <c r="D3640" s="8" t="s">
        <v>21220</v>
      </c>
      <c r="E3640" s="8" t="s">
        <v>21221</v>
      </c>
      <c r="F3640" s="8" t="s">
        <v>10482</v>
      </c>
      <c r="G3640" s="6" t="s">
        <v>60</v>
      </c>
      <c r="H3640" s="6" t="s">
        <v>134</v>
      </c>
      <c r="I3640" s="8"/>
      <c r="J3640" s="9">
        <v>1</v>
      </c>
      <c r="K3640" s="9">
        <v>524</v>
      </c>
      <c r="L3640" s="9">
        <v>2026</v>
      </c>
      <c r="M3640" s="8" t="s">
        <v>21222</v>
      </c>
      <c r="N3640" s="8" t="s">
        <v>37</v>
      </c>
      <c r="O3640" s="8" t="s">
        <v>136</v>
      </c>
      <c r="P3640" s="6" t="s">
        <v>39</v>
      </c>
      <c r="Q3640" s="8" t="s">
        <v>40</v>
      </c>
      <c r="R3640" s="10" t="s">
        <v>21223</v>
      </c>
      <c r="S3640" s="11"/>
      <c r="T3640" s="6"/>
      <c r="U3640" s="15" t="str">
        <f>HYPERLINK("https://media.infra-m.ru/2218/2218764/cover/2218764.jpg", "Обложка")</f>
        <v>Обложка</v>
      </c>
      <c r="V3640" s="8" t="s">
        <v>9822</v>
      </c>
      <c r="W3640" s="6"/>
      <c r="X3640" s="6"/>
      <c r="Y3640" s="6"/>
      <c r="Z3640" s="6"/>
      <c r="AA3640" s="6" t="s">
        <v>1117</v>
      </c>
      <c r="AB3640" s="8"/>
      <c r="AC3640" s="27">
        <v>9785917689661</v>
      </c>
    </row>
    <row r="3641" spans="1:29" s="4" customFormat="1" ht="51.9" customHeight="1" x14ac:dyDescent="0.2">
      <c r="A3641" s="5">
        <v>0</v>
      </c>
      <c r="B3641" s="6" t="s">
        <v>21224</v>
      </c>
      <c r="C3641" s="13">
        <v>736.8</v>
      </c>
      <c r="D3641" s="8" t="s">
        <v>21225</v>
      </c>
      <c r="E3641" s="8" t="s">
        <v>21226</v>
      </c>
      <c r="F3641" s="8" t="s">
        <v>21227</v>
      </c>
      <c r="G3641" s="6" t="s">
        <v>33</v>
      </c>
      <c r="H3641" s="6" t="s">
        <v>34</v>
      </c>
      <c r="I3641" s="8" t="s">
        <v>504</v>
      </c>
      <c r="J3641" s="9">
        <v>1</v>
      </c>
      <c r="K3641" s="9">
        <v>123</v>
      </c>
      <c r="L3641" s="9">
        <v>2025</v>
      </c>
      <c r="M3641" s="8" t="s">
        <v>21228</v>
      </c>
      <c r="N3641" s="8" t="s">
        <v>37</v>
      </c>
      <c r="O3641" s="8" t="s">
        <v>280</v>
      </c>
      <c r="P3641" s="6" t="s">
        <v>51</v>
      </c>
      <c r="Q3641" s="8" t="s">
        <v>500</v>
      </c>
      <c r="R3641" s="10" t="s">
        <v>7627</v>
      </c>
      <c r="S3641" s="11" t="s">
        <v>21229</v>
      </c>
      <c r="T3641" s="6"/>
      <c r="U3641" s="15" t="str">
        <f>HYPERLINK("https://media.infra-m.ru/2170/2170941/cover/2170941.jpg", "Обложка")</f>
        <v>Обложка</v>
      </c>
      <c r="V3641" s="8" t="s">
        <v>7003</v>
      </c>
      <c r="W3641" s="6"/>
      <c r="X3641" s="6"/>
      <c r="Y3641" s="6"/>
      <c r="Z3641" s="6"/>
      <c r="AA3641" s="6" t="s">
        <v>779</v>
      </c>
      <c r="AB3641" s="8"/>
      <c r="AC3641" s="27">
        <v>9785160108094</v>
      </c>
    </row>
    <row r="3642" spans="1:29" s="4" customFormat="1" ht="42" customHeight="1" x14ac:dyDescent="0.2">
      <c r="A3642" s="5">
        <v>0</v>
      </c>
      <c r="B3642" s="6" t="s">
        <v>21230</v>
      </c>
      <c r="C3642" s="7">
        <v>1961.9</v>
      </c>
      <c r="D3642" s="8" t="s">
        <v>21231</v>
      </c>
      <c r="E3642" s="8" t="s">
        <v>21232</v>
      </c>
      <c r="F3642" s="8" t="s">
        <v>21233</v>
      </c>
      <c r="G3642" s="6" t="s">
        <v>60</v>
      </c>
      <c r="H3642" s="6" t="s">
        <v>34</v>
      </c>
      <c r="I3642" s="8" t="s">
        <v>1081</v>
      </c>
      <c r="J3642" s="9">
        <v>1</v>
      </c>
      <c r="K3642" s="9">
        <v>363</v>
      </c>
      <c r="L3642" s="9">
        <v>2023</v>
      </c>
      <c r="M3642" s="8" t="s">
        <v>21234</v>
      </c>
      <c r="N3642" s="8" t="s">
        <v>243</v>
      </c>
      <c r="O3642" s="8" t="s">
        <v>758</v>
      </c>
      <c r="P3642" s="6" t="s">
        <v>39</v>
      </c>
      <c r="Q3642" s="8" t="s">
        <v>40</v>
      </c>
      <c r="R3642" s="10" t="s">
        <v>21235</v>
      </c>
      <c r="S3642" s="11"/>
      <c r="T3642" s="6"/>
      <c r="U3642" s="15" t="str">
        <f>HYPERLINK("https://media.infra-m.ru/2006/2006891/cover/2006891.jpg", "Обложка")</f>
        <v>Обложка</v>
      </c>
      <c r="V3642" s="8" t="s">
        <v>1083</v>
      </c>
      <c r="W3642" s="6"/>
      <c r="X3642" s="6"/>
      <c r="Y3642" s="6"/>
      <c r="Z3642" s="6"/>
      <c r="AA3642" s="6" t="s">
        <v>86</v>
      </c>
      <c r="AB3642" s="8"/>
      <c r="AC3642" s="27">
        <v>9785160133621</v>
      </c>
    </row>
    <row r="3643" spans="1:29" s="4" customFormat="1" ht="51.9" customHeight="1" x14ac:dyDescent="0.2">
      <c r="A3643" s="5">
        <v>0</v>
      </c>
      <c r="B3643" s="6" t="s">
        <v>21236</v>
      </c>
      <c r="C3643" s="7">
        <v>1972.8</v>
      </c>
      <c r="D3643" s="8" t="s">
        <v>21237</v>
      </c>
      <c r="E3643" s="8" t="s">
        <v>21238</v>
      </c>
      <c r="F3643" s="8" t="s">
        <v>21239</v>
      </c>
      <c r="G3643" s="6" t="s">
        <v>60</v>
      </c>
      <c r="H3643" s="6" t="s">
        <v>34</v>
      </c>
      <c r="I3643" s="8" t="s">
        <v>504</v>
      </c>
      <c r="J3643" s="9">
        <v>1</v>
      </c>
      <c r="K3643" s="9">
        <v>351</v>
      </c>
      <c r="L3643" s="9">
        <v>2024</v>
      </c>
      <c r="M3643" s="8" t="s">
        <v>21240</v>
      </c>
      <c r="N3643" s="8" t="s">
        <v>93</v>
      </c>
      <c r="O3643" s="8" t="s">
        <v>94</v>
      </c>
      <c r="P3643" s="6" t="s">
        <v>51</v>
      </c>
      <c r="Q3643" s="8" t="s">
        <v>500</v>
      </c>
      <c r="R3643" s="10" t="s">
        <v>21241</v>
      </c>
      <c r="S3643" s="11" t="s">
        <v>21242</v>
      </c>
      <c r="T3643" s="6" t="s">
        <v>97</v>
      </c>
      <c r="U3643" s="15" t="str">
        <f>HYPERLINK("https://media.infra-m.ru/2139/2139103/cover/2139103.jpg", "Обложка")</f>
        <v>Обложка</v>
      </c>
      <c r="V3643" s="8" t="s">
        <v>10951</v>
      </c>
      <c r="W3643" s="6"/>
      <c r="X3643" s="6"/>
      <c r="Y3643" s="6"/>
      <c r="Z3643" s="6"/>
      <c r="AA3643" s="6" t="s">
        <v>115</v>
      </c>
      <c r="AB3643" s="8"/>
      <c r="AC3643" s="27">
        <v>9785160144061</v>
      </c>
    </row>
    <row r="3644" spans="1:29" s="4" customFormat="1" ht="51.9" customHeight="1" x14ac:dyDescent="0.2">
      <c r="A3644" s="5">
        <v>0</v>
      </c>
      <c r="B3644" s="6" t="s">
        <v>21243</v>
      </c>
      <c r="C3644" s="7">
        <v>1044</v>
      </c>
      <c r="D3644" s="8" t="s">
        <v>21244</v>
      </c>
      <c r="E3644" s="8" t="s">
        <v>21245</v>
      </c>
      <c r="F3644" s="8" t="s">
        <v>3764</v>
      </c>
      <c r="G3644" s="6" t="s">
        <v>33</v>
      </c>
      <c r="H3644" s="6" t="s">
        <v>34</v>
      </c>
      <c r="I3644" s="8" t="s">
        <v>35</v>
      </c>
      <c r="J3644" s="9">
        <v>1</v>
      </c>
      <c r="K3644" s="9">
        <v>234</v>
      </c>
      <c r="L3644" s="9">
        <v>2021</v>
      </c>
      <c r="M3644" s="8" t="s">
        <v>21246</v>
      </c>
      <c r="N3644" s="8" t="s">
        <v>37</v>
      </c>
      <c r="O3644" s="8" t="s">
        <v>233</v>
      </c>
      <c r="P3644" s="6" t="s">
        <v>39</v>
      </c>
      <c r="Q3644" s="8" t="s">
        <v>40</v>
      </c>
      <c r="R3644" s="10" t="s">
        <v>1170</v>
      </c>
      <c r="S3644" s="11"/>
      <c r="T3644" s="6"/>
      <c r="U3644" s="15" t="str">
        <f>HYPERLINK("https://media.infra-m.ru/1239/1239531/cover/1239531.jpg", "Обложка")</f>
        <v>Обложка</v>
      </c>
      <c r="V3644" s="8" t="s">
        <v>396</v>
      </c>
      <c r="W3644" s="6"/>
      <c r="X3644" s="6"/>
      <c r="Y3644" s="6"/>
      <c r="Z3644" s="6"/>
      <c r="AA3644" s="6" t="s">
        <v>2240</v>
      </c>
      <c r="AB3644" s="8"/>
      <c r="AC3644" s="27">
        <v>9785160149127</v>
      </c>
    </row>
    <row r="3645" spans="1:29" s="4" customFormat="1" ht="51.9" customHeight="1" x14ac:dyDescent="0.2">
      <c r="A3645" s="5">
        <v>0</v>
      </c>
      <c r="B3645" s="6" t="s">
        <v>21247</v>
      </c>
      <c r="C3645" s="7">
        <v>2112</v>
      </c>
      <c r="D3645" s="8" t="s">
        <v>21248</v>
      </c>
      <c r="E3645" s="8" t="s">
        <v>21249</v>
      </c>
      <c r="F3645" s="8" t="s">
        <v>21250</v>
      </c>
      <c r="G3645" s="6" t="s">
        <v>118</v>
      </c>
      <c r="H3645" s="6" t="s">
        <v>34</v>
      </c>
      <c r="I3645" s="8" t="s">
        <v>263</v>
      </c>
      <c r="J3645" s="9">
        <v>1</v>
      </c>
      <c r="K3645" s="9">
        <v>320</v>
      </c>
      <c r="L3645" s="9">
        <v>2026</v>
      </c>
      <c r="M3645" s="8" t="s">
        <v>21251</v>
      </c>
      <c r="N3645" s="8" t="s">
        <v>243</v>
      </c>
      <c r="O3645" s="8" t="s">
        <v>244</v>
      </c>
      <c r="P3645" s="6" t="s">
        <v>51</v>
      </c>
      <c r="Q3645" s="8" t="s">
        <v>265</v>
      </c>
      <c r="R3645" s="10" t="s">
        <v>21252</v>
      </c>
      <c r="S3645" s="11" t="s">
        <v>21253</v>
      </c>
      <c r="T3645" s="6"/>
      <c r="U3645" s="15" t="str">
        <f>HYPERLINK("https://media.infra-m.ru/2254/2254315/cover/2254315.jpg", "Обложка")</f>
        <v>Обложка</v>
      </c>
      <c r="V3645" s="8" t="s">
        <v>644</v>
      </c>
      <c r="W3645" s="6"/>
      <c r="X3645" s="6"/>
      <c r="Y3645" s="6"/>
      <c r="Z3645" s="6" t="s">
        <v>267</v>
      </c>
      <c r="AA3645" s="6" t="s">
        <v>218</v>
      </c>
      <c r="AB3645" s="8"/>
      <c r="AC3645" s="27">
        <v>9785160221595</v>
      </c>
    </row>
    <row r="3646" spans="1:29" s="4" customFormat="1" ht="51.9" customHeight="1" x14ac:dyDescent="0.2">
      <c r="A3646" s="5">
        <v>0</v>
      </c>
      <c r="B3646" s="6" t="s">
        <v>21254</v>
      </c>
      <c r="C3646" s="7">
        <v>1768.8</v>
      </c>
      <c r="D3646" s="8" t="s">
        <v>21255</v>
      </c>
      <c r="E3646" s="8" t="s">
        <v>21249</v>
      </c>
      <c r="F3646" s="8" t="s">
        <v>21250</v>
      </c>
      <c r="G3646" s="6" t="s">
        <v>60</v>
      </c>
      <c r="H3646" s="6" t="s">
        <v>1042</v>
      </c>
      <c r="I3646" s="8" t="s">
        <v>253</v>
      </c>
      <c r="J3646" s="9">
        <v>1</v>
      </c>
      <c r="K3646" s="9">
        <v>320</v>
      </c>
      <c r="L3646" s="9">
        <v>2024</v>
      </c>
      <c r="M3646" s="8" t="s">
        <v>21256</v>
      </c>
      <c r="N3646" s="8" t="s">
        <v>243</v>
      </c>
      <c r="O3646" s="8" t="s">
        <v>244</v>
      </c>
      <c r="P3646" s="6" t="s">
        <v>51</v>
      </c>
      <c r="Q3646" s="8" t="s">
        <v>52</v>
      </c>
      <c r="R3646" s="10" t="s">
        <v>21257</v>
      </c>
      <c r="S3646" s="11" t="s">
        <v>21258</v>
      </c>
      <c r="T3646" s="6"/>
      <c r="U3646" s="15" t="str">
        <f>HYPERLINK("https://media.infra-m.ru/2079/2079645/cover/2079645.jpg", "Обложка")</f>
        <v>Обложка</v>
      </c>
      <c r="V3646" s="8" t="s">
        <v>644</v>
      </c>
      <c r="W3646" s="6"/>
      <c r="X3646" s="6"/>
      <c r="Y3646" s="6"/>
      <c r="Z3646" s="6"/>
      <c r="AA3646" s="6" t="s">
        <v>769</v>
      </c>
      <c r="AB3646" s="8"/>
      <c r="AC3646" s="27">
        <v>9785819904947</v>
      </c>
    </row>
    <row r="3647" spans="1:29" s="4" customFormat="1" ht="51.9" customHeight="1" x14ac:dyDescent="0.2">
      <c r="A3647" s="5">
        <v>0</v>
      </c>
      <c r="B3647" s="6" t="s">
        <v>21259</v>
      </c>
      <c r="C3647" s="13">
        <v>828</v>
      </c>
      <c r="D3647" s="8" t="s">
        <v>21260</v>
      </c>
      <c r="E3647" s="8" t="s">
        <v>21261</v>
      </c>
      <c r="F3647" s="8" t="s">
        <v>21083</v>
      </c>
      <c r="G3647" s="6" t="s">
        <v>118</v>
      </c>
      <c r="H3647" s="6" t="s">
        <v>34</v>
      </c>
      <c r="I3647" s="8" t="s">
        <v>504</v>
      </c>
      <c r="J3647" s="9">
        <v>1</v>
      </c>
      <c r="K3647" s="9">
        <v>154</v>
      </c>
      <c r="L3647" s="9">
        <v>2023</v>
      </c>
      <c r="M3647" s="8" t="s">
        <v>21262</v>
      </c>
      <c r="N3647" s="8" t="s">
        <v>37</v>
      </c>
      <c r="O3647" s="8" t="s">
        <v>83</v>
      </c>
      <c r="P3647" s="6" t="s">
        <v>51</v>
      </c>
      <c r="Q3647" s="8" t="s">
        <v>500</v>
      </c>
      <c r="R3647" s="10" t="s">
        <v>21263</v>
      </c>
      <c r="S3647" s="11" t="s">
        <v>21264</v>
      </c>
      <c r="T3647" s="6"/>
      <c r="U3647" s="15" t="str">
        <f>HYPERLINK("https://media.infra-m.ru/1933/1933154/cover/1933154.jpg", "Обложка")</f>
        <v>Обложка</v>
      </c>
      <c r="V3647" s="8" t="s">
        <v>1425</v>
      </c>
      <c r="W3647" s="6"/>
      <c r="X3647" s="6"/>
      <c r="Y3647" s="6"/>
      <c r="Z3647" s="6"/>
      <c r="AA3647" s="6" t="s">
        <v>99</v>
      </c>
      <c r="AB3647" s="8" t="s">
        <v>1317</v>
      </c>
      <c r="AC3647" s="27">
        <v>9785160124674</v>
      </c>
    </row>
    <row r="3648" spans="1:29" s="4" customFormat="1" ht="42" customHeight="1" x14ac:dyDescent="0.2">
      <c r="A3648" s="5">
        <v>0</v>
      </c>
      <c r="B3648" s="6" t="s">
        <v>21265</v>
      </c>
      <c r="C3648" s="7">
        <v>1252.8</v>
      </c>
      <c r="D3648" s="8" t="s">
        <v>21266</v>
      </c>
      <c r="E3648" s="8" t="s">
        <v>21267</v>
      </c>
      <c r="F3648" s="8" t="s">
        <v>21268</v>
      </c>
      <c r="G3648" s="6" t="s">
        <v>33</v>
      </c>
      <c r="H3648" s="6" t="s">
        <v>34</v>
      </c>
      <c r="I3648" s="8" t="s">
        <v>35</v>
      </c>
      <c r="J3648" s="9">
        <v>1</v>
      </c>
      <c r="K3648" s="9">
        <v>228</v>
      </c>
      <c r="L3648" s="9">
        <v>2024</v>
      </c>
      <c r="M3648" s="8" t="s">
        <v>21269</v>
      </c>
      <c r="N3648" s="8" t="s">
        <v>37</v>
      </c>
      <c r="O3648" s="8" t="s">
        <v>233</v>
      </c>
      <c r="P3648" s="6" t="s">
        <v>39</v>
      </c>
      <c r="Q3648" s="8" t="s">
        <v>40</v>
      </c>
      <c r="R3648" s="10" t="s">
        <v>14350</v>
      </c>
      <c r="S3648" s="11"/>
      <c r="T3648" s="6"/>
      <c r="U3648" s="15" t="str">
        <f>HYPERLINK("https://media.infra-m.ru/2103/2103137/cover/2103137.jpg", "Обложка")</f>
        <v>Обложка</v>
      </c>
      <c r="V3648" s="8" t="s">
        <v>546</v>
      </c>
      <c r="W3648" s="6"/>
      <c r="X3648" s="6"/>
      <c r="Y3648" s="6"/>
      <c r="Z3648" s="6"/>
      <c r="AA3648" s="6" t="s">
        <v>274</v>
      </c>
      <c r="AB3648" s="8"/>
      <c r="AC3648" s="27">
        <v>9785160113937</v>
      </c>
    </row>
    <row r="3649" spans="1:29" s="4" customFormat="1" ht="51.9" customHeight="1" x14ac:dyDescent="0.2">
      <c r="A3649" s="5">
        <v>0</v>
      </c>
      <c r="B3649" s="6" t="s">
        <v>21270</v>
      </c>
      <c r="C3649" s="7">
        <v>1952.4</v>
      </c>
      <c r="D3649" s="8" t="s">
        <v>21271</v>
      </c>
      <c r="E3649" s="8" t="s">
        <v>21272</v>
      </c>
      <c r="F3649" s="8" t="s">
        <v>21273</v>
      </c>
      <c r="G3649" s="6" t="s">
        <v>33</v>
      </c>
      <c r="H3649" s="6" t="s">
        <v>34</v>
      </c>
      <c r="I3649" s="8" t="s">
        <v>35</v>
      </c>
      <c r="J3649" s="9">
        <v>1</v>
      </c>
      <c r="K3649" s="9">
        <v>215</v>
      </c>
      <c r="L3649" s="9">
        <v>2026</v>
      </c>
      <c r="M3649" s="8" t="s">
        <v>21274</v>
      </c>
      <c r="N3649" s="8" t="s">
        <v>37</v>
      </c>
      <c r="O3649" s="8" t="s">
        <v>280</v>
      </c>
      <c r="P3649" s="6" t="s">
        <v>39</v>
      </c>
      <c r="Q3649" s="8" t="s">
        <v>40</v>
      </c>
      <c r="R3649" s="10" t="s">
        <v>21275</v>
      </c>
      <c r="S3649" s="11"/>
      <c r="T3649" s="6"/>
      <c r="U3649" s="15" t="str">
        <f>HYPERLINK("https://media.infra-m.ru/2250/2250922/cover/2250922.jpg", "Обложка")</f>
        <v>Обложка</v>
      </c>
      <c r="V3649" s="8" t="s">
        <v>644</v>
      </c>
      <c r="W3649" s="6"/>
      <c r="X3649" s="6"/>
      <c r="Y3649" s="6"/>
      <c r="Z3649" s="6"/>
      <c r="AA3649" s="6" t="s">
        <v>106</v>
      </c>
      <c r="AB3649" s="8"/>
      <c r="AC3649" s="27">
        <v>9785160196244</v>
      </c>
    </row>
    <row r="3650" spans="1:29" s="4" customFormat="1" ht="51.9" customHeight="1" x14ac:dyDescent="0.2">
      <c r="A3650" s="5">
        <v>0</v>
      </c>
      <c r="B3650" s="6" t="s">
        <v>21276</v>
      </c>
      <c r="C3650" s="7">
        <v>1496.4</v>
      </c>
      <c r="D3650" s="8" t="s">
        <v>21277</v>
      </c>
      <c r="E3650" s="8" t="s">
        <v>21278</v>
      </c>
      <c r="F3650" s="8" t="s">
        <v>21279</v>
      </c>
      <c r="G3650" s="6" t="s">
        <v>33</v>
      </c>
      <c r="H3650" s="6" t="s">
        <v>241</v>
      </c>
      <c r="I3650" s="8" t="s">
        <v>3496</v>
      </c>
      <c r="J3650" s="9">
        <v>1</v>
      </c>
      <c r="K3650" s="9">
        <v>208</v>
      </c>
      <c r="L3650" s="9">
        <v>2024</v>
      </c>
      <c r="M3650" s="8" t="s">
        <v>21280</v>
      </c>
      <c r="N3650" s="8" t="s">
        <v>37</v>
      </c>
      <c r="O3650" s="8" t="s">
        <v>280</v>
      </c>
      <c r="P3650" s="6" t="s">
        <v>39</v>
      </c>
      <c r="Q3650" s="8" t="s">
        <v>749</v>
      </c>
      <c r="R3650" s="10" t="s">
        <v>21275</v>
      </c>
      <c r="S3650" s="11"/>
      <c r="T3650" s="6"/>
      <c r="U3650" s="15" t="str">
        <f>HYPERLINK("https://media.infra-m.ru/2110/2110928/cover/2110928.jpg", "Обложка")</f>
        <v>Обложка</v>
      </c>
      <c r="V3650" s="8" t="s">
        <v>644</v>
      </c>
      <c r="W3650" s="6"/>
      <c r="X3650" s="6"/>
      <c r="Y3650" s="6"/>
      <c r="Z3650" s="6"/>
      <c r="AA3650" s="6" t="s">
        <v>129</v>
      </c>
      <c r="AB3650" s="8"/>
      <c r="AC3650" s="27">
        <v>9785955804002</v>
      </c>
    </row>
    <row r="3651" spans="1:29" s="4" customFormat="1" ht="42" customHeight="1" x14ac:dyDescent="0.2">
      <c r="A3651" s="5">
        <v>0</v>
      </c>
      <c r="B3651" s="6" t="s">
        <v>21281</v>
      </c>
      <c r="C3651" s="13">
        <v>965.9</v>
      </c>
      <c r="D3651" s="8" t="s">
        <v>21282</v>
      </c>
      <c r="E3651" s="8" t="s">
        <v>21283</v>
      </c>
      <c r="F3651" s="8" t="s">
        <v>21284</v>
      </c>
      <c r="G3651" s="6" t="s">
        <v>33</v>
      </c>
      <c r="H3651" s="6" t="s">
        <v>34</v>
      </c>
      <c r="I3651" s="8" t="s">
        <v>35</v>
      </c>
      <c r="J3651" s="9">
        <v>1</v>
      </c>
      <c r="K3651" s="9">
        <v>179</v>
      </c>
      <c r="L3651" s="9">
        <v>2023</v>
      </c>
      <c r="M3651" s="8" t="s">
        <v>21285</v>
      </c>
      <c r="N3651" s="8" t="s">
        <v>37</v>
      </c>
      <c r="O3651" s="8" t="s">
        <v>280</v>
      </c>
      <c r="P3651" s="6" t="s">
        <v>39</v>
      </c>
      <c r="Q3651" s="8" t="s">
        <v>40</v>
      </c>
      <c r="R3651" s="10" t="s">
        <v>3832</v>
      </c>
      <c r="S3651" s="11"/>
      <c r="T3651" s="6"/>
      <c r="U3651" s="15" t="str">
        <f>HYPERLINK("https://media.infra-m.ru/1964/1964973/cover/1964973.jpg", "Обложка")</f>
        <v>Обложка</v>
      </c>
      <c r="V3651" s="8" t="s">
        <v>396</v>
      </c>
      <c r="W3651" s="6"/>
      <c r="X3651" s="6"/>
      <c r="Y3651" s="6"/>
      <c r="Z3651" s="6"/>
      <c r="AA3651" s="6" t="s">
        <v>1256</v>
      </c>
      <c r="AB3651" s="8"/>
      <c r="AC3651" s="27">
        <v>9785160150529</v>
      </c>
    </row>
    <row r="3652" spans="1:29" s="4" customFormat="1" ht="51.9" customHeight="1" x14ac:dyDescent="0.2">
      <c r="A3652" s="5">
        <v>0</v>
      </c>
      <c r="B3652" s="6" t="s">
        <v>21286</v>
      </c>
      <c r="C3652" s="13">
        <v>972</v>
      </c>
      <c r="D3652" s="8" t="s">
        <v>21287</v>
      </c>
      <c r="E3652" s="8" t="s">
        <v>21288</v>
      </c>
      <c r="F3652" s="8" t="s">
        <v>2226</v>
      </c>
      <c r="G3652" s="6" t="s">
        <v>60</v>
      </c>
      <c r="H3652" s="6" t="s">
        <v>34</v>
      </c>
      <c r="I3652" s="8" t="s">
        <v>35</v>
      </c>
      <c r="J3652" s="9">
        <v>1</v>
      </c>
      <c r="K3652" s="9">
        <v>198</v>
      </c>
      <c r="L3652" s="9">
        <v>2022</v>
      </c>
      <c r="M3652" s="8" t="s">
        <v>21289</v>
      </c>
      <c r="N3652" s="8" t="s">
        <v>37</v>
      </c>
      <c r="O3652" s="8" t="s">
        <v>280</v>
      </c>
      <c r="P3652" s="6" t="s">
        <v>39</v>
      </c>
      <c r="Q3652" s="8" t="s">
        <v>40</v>
      </c>
      <c r="R3652" s="10" t="s">
        <v>21290</v>
      </c>
      <c r="S3652" s="11"/>
      <c r="T3652" s="6" t="s">
        <v>97</v>
      </c>
      <c r="U3652" s="15" t="str">
        <f>HYPERLINK("https://media.infra-m.ru/1842/1842566/cover/1842566.jpg", "Обложка")</f>
        <v>Обложка</v>
      </c>
      <c r="V3652" s="8" t="s">
        <v>396</v>
      </c>
      <c r="W3652" s="6"/>
      <c r="X3652" s="6"/>
      <c r="Y3652" s="6"/>
      <c r="Z3652" s="6"/>
      <c r="AA3652" s="6" t="s">
        <v>148</v>
      </c>
      <c r="AB3652" s="8" t="s">
        <v>1317</v>
      </c>
      <c r="AC3652" s="27">
        <v>9785160173184</v>
      </c>
    </row>
    <row r="3653" spans="1:29" s="4" customFormat="1" ht="44.1" customHeight="1" x14ac:dyDescent="0.2">
      <c r="A3653" s="5">
        <v>0</v>
      </c>
      <c r="B3653" s="6" t="s">
        <v>21291</v>
      </c>
      <c r="C3653" s="7">
        <v>1188</v>
      </c>
      <c r="D3653" s="8" t="s">
        <v>21292</v>
      </c>
      <c r="E3653" s="8" t="s">
        <v>21293</v>
      </c>
      <c r="F3653" s="8" t="s">
        <v>21294</v>
      </c>
      <c r="G3653" s="6" t="s">
        <v>33</v>
      </c>
      <c r="H3653" s="6" t="s">
        <v>34</v>
      </c>
      <c r="I3653" s="8" t="s">
        <v>35</v>
      </c>
      <c r="J3653" s="9">
        <v>1</v>
      </c>
      <c r="K3653" s="9">
        <v>219</v>
      </c>
      <c r="L3653" s="9">
        <v>2022</v>
      </c>
      <c r="M3653" s="8" t="s">
        <v>21295</v>
      </c>
      <c r="N3653" s="8" t="s">
        <v>37</v>
      </c>
      <c r="O3653" s="8" t="s">
        <v>233</v>
      </c>
      <c r="P3653" s="6" t="s">
        <v>39</v>
      </c>
      <c r="Q3653" s="8" t="s">
        <v>40</v>
      </c>
      <c r="R3653" s="10" t="s">
        <v>21296</v>
      </c>
      <c r="S3653" s="11"/>
      <c r="T3653" s="6"/>
      <c r="U3653" s="15" t="str">
        <f>HYPERLINK("https://media.infra-m.ru/1842/1842567/cover/1842567.jpg", "Обложка")</f>
        <v>Обложка</v>
      </c>
      <c r="V3653" s="8" t="s">
        <v>209</v>
      </c>
      <c r="W3653" s="6"/>
      <c r="X3653" s="6"/>
      <c r="Y3653" s="6"/>
      <c r="Z3653" s="6"/>
      <c r="AA3653" s="6" t="s">
        <v>148</v>
      </c>
      <c r="AB3653" s="8"/>
      <c r="AC3653" s="27">
        <v>9785160173191</v>
      </c>
    </row>
    <row r="3654" spans="1:29" s="4" customFormat="1" ht="42" customHeight="1" x14ac:dyDescent="0.2">
      <c r="A3654" s="5">
        <v>0</v>
      </c>
      <c r="B3654" s="6" t="s">
        <v>21297</v>
      </c>
      <c r="C3654" s="7">
        <v>1181.9000000000001</v>
      </c>
      <c r="D3654" s="8" t="s">
        <v>21298</v>
      </c>
      <c r="E3654" s="8" t="s">
        <v>21299</v>
      </c>
      <c r="F3654" s="8" t="s">
        <v>8137</v>
      </c>
      <c r="G3654" s="6" t="s">
        <v>118</v>
      </c>
      <c r="H3654" s="6" t="s">
        <v>34</v>
      </c>
      <c r="I3654" s="8" t="s">
        <v>35</v>
      </c>
      <c r="J3654" s="9">
        <v>1</v>
      </c>
      <c r="K3654" s="9">
        <v>218</v>
      </c>
      <c r="L3654" s="9">
        <v>2023</v>
      </c>
      <c r="M3654" s="8" t="s">
        <v>21300</v>
      </c>
      <c r="N3654" s="8" t="s">
        <v>585</v>
      </c>
      <c r="O3654" s="8" t="s">
        <v>775</v>
      </c>
      <c r="P3654" s="6" t="s">
        <v>39</v>
      </c>
      <c r="Q3654" s="8" t="s">
        <v>40</v>
      </c>
      <c r="R3654" s="10" t="s">
        <v>7774</v>
      </c>
      <c r="S3654" s="11"/>
      <c r="T3654" s="6"/>
      <c r="U3654" s="15" t="str">
        <f>HYPERLINK("https://media.infra-m.ru/1913/1913017/cover/1913017.jpg", "Обложка")</f>
        <v>Обложка</v>
      </c>
      <c r="V3654" s="8" t="s">
        <v>8139</v>
      </c>
      <c r="W3654" s="6"/>
      <c r="X3654" s="6"/>
      <c r="Y3654" s="6"/>
      <c r="Z3654" s="6"/>
      <c r="AA3654" s="6" t="s">
        <v>779</v>
      </c>
      <c r="AB3654" s="8"/>
      <c r="AC3654" s="27">
        <v>9785160118826</v>
      </c>
    </row>
    <row r="3655" spans="1:29" s="4" customFormat="1" ht="42" customHeight="1" x14ac:dyDescent="0.2">
      <c r="A3655" s="5">
        <v>0</v>
      </c>
      <c r="B3655" s="6" t="s">
        <v>21301</v>
      </c>
      <c r="C3655" s="7">
        <v>1212</v>
      </c>
      <c r="D3655" s="8" t="s">
        <v>21302</v>
      </c>
      <c r="E3655" s="8" t="s">
        <v>21299</v>
      </c>
      <c r="F3655" s="8" t="s">
        <v>8137</v>
      </c>
      <c r="G3655" s="6" t="s">
        <v>33</v>
      </c>
      <c r="H3655" s="6" t="s">
        <v>34</v>
      </c>
      <c r="I3655" s="8" t="s">
        <v>35</v>
      </c>
      <c r="J3655" s="9">
        <v>1</v>
      </c>
      <c r="K3655" s="9">
        <v>218</v>
      </c>
      <c r="L3655" s="9">
        <v>2023</v>
      </c>
      <c r="M3655" s="8" t="s">
        <v>21303</v>
      </c>
      <c r="N3655" s="8" t="s">
        <v>585</v>
      </c>
      <c r="O3655" s="8" t="s">
        <v>775</v>
      </c>
      <c r="P3655" s="6" t="s">
        <v>39</v>
      </c>
      <c r="Q3655" s="8" t="s">
        <v>40</v>
      </c>
      <c r="R3655" s="10" t="s">
        <v>7774</v>
      </c>
      <c r="S3655" s="11"/>
      <c r="T3655" s="6"/>
      <c r="U3655" s="15" t="str">
        <f>HYPERLINK("https://media.infra-m.ru/2126/2126517/cover/2126517.jpg", "Обложка")</f>
        <v>Обложка</v>
      </c>
      <c r="V3655" s="8" t="s">
        <v>8139</v>
      </c>
      <c r="W3655" s="6"/>
      <c r="X3655" s="6"/>
      <c r="Y3655" s="6"/>
      <c r="Z3655" s="6"/>
      <c r="AA3655" s="6" t="s">
        <v>779</v>
      </c>
      <c r="AB3655" s="8"/>
      <c r="AC3655" s="27">
        <v>9785160195414</v>
      </c>
    </row>
    <row r="3656" spans="1:29" s="4" customFormat="1" ht="42" customHeight="1" x14ac:dyDescent="0.2">
      <c r="A3656" s="5">
        <v>0</v>
      </c>
      <c r="B3656" s="6" t="s">
        <v>21304</v>
      </c>
      <c r="C3656" s="7">
        <v>1372.8</v>
      </c>
      <c r="D3656" s="8" t="s">
        <v>21305</v>
      </c>
      <c r="E3656" s="8" t="s">
        <v>21306</v>
      </c>
      <c r="F3656" s="8" t="s">
        <v>21307</v>
      </c>
      <c r="G3656" s="6" t="s">
        <v>33</v>
      </c>
      <c r="H3656" s="6" t="s">
        <v>34</v>
      </c>
      <c r="I3656" s="8" t="s">
        <v>35</v>
      </c>
      <c r="J3656" s="9">
        <v>1</v>
      </c>
      <c r="K3656" s="9">
        <v>248</v>
      </c>
      <c r="L3656" s="9">
        <v>2024</v>
      </c>
      <c r="M3656" s="8" t="s">
        <v>21308</v>
      </c>
      <c r="N3656" s="8" t="s">
        <v>37</v>
      </c>
      <c r="O3656" s="8" t="s">
        <v>233</v>
      </c>
      <c r="P3656" s="6" t="s">
        <v>39</v>
      </c>
      <c r="Q3656" s="8" t="s">
        <v>40</v>
      </c>
      <c r="R3656" s="10" t="s">
        <v>2033</v>
      </c>
      <c r="S3656" s="11"/>
      <c r="T3656" s="6"/>
      <c r="U3656" s="15" t="str">
        <f>HYPERLINK("https://media.infra-m.ru/2117/2117156/cover/2117156.jpg", "Обложка")</f>
        <v>Обложка</v>
      </c>
      <c r="V3656" s="8" t="s">
        <v>396</v>
      </c>
      <c r="W3656" s="6"/>
      <c r="X3656" s="6"/>
      <c r="Y3656" s="6"/>
      <c r="Z3656" s="6"/>
      <c r="AA3656" s="6" t="s">
        <v>55</v>
      </c>
      <c r="AB3656" s="8"/>
      <c r="AC3656" s="27">
        <v>9785160064741</v>
      </c>
    </row>
    <row r="3657" spans="1:29" s="4" customFormat="1" ht="51.9" customHeight="1" x14ac:dyDescent="0.2">
      <c r="A3657" s="5">
        <v>0</v>
      </c>
      <c r="B3657" s="6" t="s">
        <v>21309</v>
      </c>
      <c r="C3657" s="13">
        <v>708</v>
      </c>
      <c r="D3657" s="8" t="s">
        <v>21310</v>
      </c>
      <c r="E3657" s="8" t="s">
        <v>21311</v>
      </c>
      <c r="F3657" s="8" t="s">
        <v>21312</v>
      </c>
      <c r="G3657" s="6" t="s">
        <v>60</v>
      </c>
      <c r="H3657" s="6" t="s">
        <v>34</v>
      </c>
      <c r="I3657" s="8" t="s">
        <v>504</v>
      </c>
      <c r="J3657" s="9">
        <v>1</v>
      </c>
      <c r="K3657" s="9">
        <v>162</v>
      </c>
      <c r="L3657" s="9">
        <v>2017</v>
      </c>
      <c r="M3657" s="8" t="s">
        <v>21313</v>
      </c>
      <c r="N3657" s="8" t="s">
        <v>585</v>
      </c>
      <c r="O3657" s="8" t="s">
        <v>586</v>
      </c>
      <c r="P3657" s="6" t="s">
        <v>51</v>
      </c>
      <c r="Q3657" s="8" t="s">
        <v>500</v>
      </c>
      <c r="R3657" s="10" t="s">
        <v>21314</v>
      </c>
      <c r="S3657" s="11" t="s">
        <v>21315</v>
      </c>
      <c r="T3657" s="6" t="s">
        <v>97</v>
      </c>
      <c r="U3657" s="15" t="str">
        <f>HYPERLINK("https://media.infra-m.ru/0900/0900848/cover/900848.jpg", "Обложка")</f>
        <v>Обложка</v>
      </c>
      <c r="V3657" s="8" t="s">
        <v>7167</v>
      </c>
      <c r="W3657" s="6"/>
      <c r="X3657" s="6"/>
      <c r="Y3657" s="6"/>
      <c r="Z3657" s="6"/>
      <c r="AA3657" s="6" t="s">
        <v>99</v>
      </c>
      <c r="AB3657" s="8"/>
      <c r="AC3657" s="27">
        <v>9785160125916</v>
      </c>
    </row>
    <row r="3658" spans="1:29" s="4" customFormat="1" ht="51.9" customHeight="1" x14ac:dyDescent="0.2">
      <c r="A3658" s="5">
        <v>0</v>
      </c>
      <c r="B3658" s="6" t="s">
        <v>21316</v>
      </c>
      <c r="C3658" s="7">
        <v>1072.8</v>
      </c>
      <c r="D3658" s="8" t="s">
        <v>21317</v>
      </c>
      <c r="E3658" s="8" t="s">
        <v>21318</v>
      </c>
      <c r="F3658" s="8" t="s">
        <v>21312</v>
      </c>
      <c r="G3658" s="6" t="s">
        <v>118</v>
      </c>
      <c r="H3658" s="6" t="s">
        <v>34</v>
      </c>
      <c r="I3658" s="8" t="s">
        <v>504</v>
      </c>
      <c r="J3658" s="9">
        <v>1</v>
      </c>
      <c r="K3658" s="9">
        <v>162</v>
      </c>
      <c r="L3658" s="9">
        <v>2026</v>
      </c>
      <c r="M3658" s="8" t="s">
        <v>21313</v>
      </c>
      <c r="N3658" s="8" t="s">
        <v>585</v>
      </c>
      <c r="O3658" s="8" t="s">
        <v>586</v>
      </c>
      <c r="P3658" s="6" t="s">
        <v>51</v>
      </c>
      <c r="Q3658" s="8" t="s">
        <v>500</v>
      </c>
      <c r="R3658" s="10" t="s">
        <v>21314</v>
      </c>
      <c r="S3658" s="11" t="s">
        <v>21319</v>
      </c>
      <c r="T3658" s="6" t="s">
        <v>97</v>
      </c>
      <c r="U3658" s="15" t="str">
        <f>HYPERLINK("https://media.infra-m.ru/2219/2219295/cover/2219295.jpg", "Обложка")</f>
        <v>Обложка</v>
      </c>
      <c r="V3658" s="8" t="s">
        <v>7167</v>
      </c>
      <c r="W3658" s="6"/>
      <c r="X3658" s="6"/>
      <c r="Y3658" s="6"/>
      <c r="Z3658" s="6"/>
      <c r="AA3658" s="6" t="s">
        <v>2240</v>
      </c>
      <c r="AB3658" s="8"/>
      <c r="AC3658" s="27">
        <v>9785160125916</v>
      </c>
    </row>
    <row r="3659" spans="1:29" s="4" customFormat="1" ht="51.9" customHeight="1" x14ac:dyDescent="0.2">
      <c r="A3659" s="5">
        <v>0</v>
      </c>
      <c r="B3659" s="6" t="s">
        <v>21320</v>
      </c>
      <c r="C3659" s="7">
        <v>1560</v>
      </c>
      <c r="D3659" s="8" t="s">
        <v>21321</v>
      </c>
      <c r="E3659" s="8" t="s">
        <v>21322</v>
      </c>
      <c r="F3659" s="8" t="s">
        <v>21323</v>
      </c>
      <c r="G3659" s="6" t="s">
        <v>118</v>
      </c>
      <c r="H3659" s="6" t="s">
        <v>34</v>
      </c>
      <c r="I3659" s="8"/>
      <c r="J3659" s="9">
        <v>1</v>
      </c>
      <c r="K3659" s="9">
        <v>232</v>
      </c>
      <c r="L3659" s="9">
        <v>2021</v>
      </c>
      <c r="M3659" s="8" t="s">
        <v>21324</v>
      </c>
      <c r="N3659" s="8" t="s">
        <v>243</v>
      </c>
      <c r="O3659" s="8" t="s">
        <v>758</v>
      </c>
      <c r="P3659" s="6" t="s">
        <v>39</v>
      </c>
      <c r="Q3659" s="8" t="s">
        <v>40</v>
      </c>
      <c r="R3659" s="10" t="s">
        <v>11572</v>
      </c>
      <c r="S3659" s="11"/>
      <c r="T3659" s="6"/>
      <c r="U3659" s="15" t="str">
        <f>HYPERLINK("https://media.infra-m.ru/1473/1473437/cover/1473437.jpg", "Обложка")</f>
        <v>Обложка</v>
      </c>
      <c r="V3659" s="8" t="s">
        <v>21325</v>
      </c>
      <c r="W3659" s="6"/>
      <c r="X3659" s="6"/>
      <c r="Y3659" s="6"/>
      <c r="Z3659" s="6"/>
      <c r="AA3659" s="6" t="s">
        <v>430</v>
      </c>
      <c r="AB3659" s="8"/>
      <c r="AC3659" s="27">
        <v>9785160168142</v>
      </c>
    </row>
    <row r="3660" spans="1:29" s="4" customFormat="1" ht="51.9" customHeight="1" x14ac:dyDescent="0.2">
      <c r="A3660" s="5">
        <v>0</v>
      </c>
      <c r="B3660" s="6" t="s">
        <v>21326</v>
      </c>
      <c r="C3660" s="7">
        <v>1824</v>
      </c>
      <c r="D3660" s="8" t="s">
        <v>21327</v>
      </c>
      <c r="E3660" s="8" t="s">
        <v>21328</v>
      </c>
      <c r="F3660" s="8" t="s">
        <v>21329</v>
      </c>
      <c r="G3660" s="6" t="s">
        <v>60</v>
      </c>
      <c r="H3660" s="6" t="s">
        <v>34</v>
      </c>
      <c r="I3660" s="8" t="s">
        <v>1128</v>
      </c>
      <c r="J3660" s="9">
        <v>1</v>
      </c>
      <c r="K3660" s="9">
        <v>322</v>
      </c>
      <c r="L3660" s="9">
        <v>2024</v>
      </c>
      <c r="M3660" s="8" t="s">
        <v>21330</v>
      </c>
      <c r="N3660" s="8" t="s">
        <v>585</v>
      </c>
      <c r="O3660" s="8" t="s">
        <v>2472</v>
      </c>
      <c r="P3660" s="6" t="s">
        <v>51</v>
      </c>
      <c r="Q3660" s="8" t="s">
        <v>65</v>
      </c>
      <c r="R3660" s="10" t="s">
        <v>21331</v>
      </c>
      <c r="S3660" s="11" t="s">
        <v>21332</v>
      </c>
      <c r="T3660" s="6"/>
      <c r="U3660" s="15" t="str">
        <f>HYPERLINK("https://media.infra-m.ru/2123/2123823/cover/2123823.jpg", "Обложка")</f>
        <v>Обложка</v>
      </c>
      <c r="V3660" s="8" t="s">
        <v>1132</v>
      </c>
      <c r="W3660" s="6"/>
      <c r="X3660" s="6"/>
      <c r="Y3660" s="6"/>
      <c r="Z3660" s="6"/>
      <c r="AA3660" s="6" t="s">
        <v>76</v>
      </c>
      <c r="AB3660" s="8"/>
      <c r="AC3660" s="27">
        <v>9785160194820</v>
      </c>
    </row>
    <row r="3661" spans="1:29" s="4" customFormat="1" ht="51.9" customHeight="1" x14ac:dyDescent="0.2">
      <c r="A3661" s="5">
        <v>0</v>
      </c>
      <c r="B3661" s="6" t="s">
        <v>21333</v>
      </c>
      <c r="C3661" s="7">
        <v>2152.8000000000002</v>
      </c>
      <c r="D3661" s="8" t="s">
        <v>21334</v>
      </c>
      <c r="E3661" s="8" t="s">
        <v>21335</v>
      </c>
      <c r="F3661" s="8" t="s">
        <v>21336</v>
      </c>
      <c r="G3661" s="6" t="s">
        <v>118</v>
      </c>
      <c r="H3661" s="6" t="s">
        <v>34</v>
      </c>
      <c r="I3661" s="8" t="s">
        <v>271</v>
      </c>
      <c r="J3661" s="9">
        <v>1</v>
      </c>
      <c r="K3661" s="9">
        <v>383</v>
      </c>
      <c r="L3661" s="9">
        <v>2024</v>
      </c>
      <c r="M3661" s="8" t="s">
        <v>21337</v>
      </c>
      <c r="N3661" s="8" t="s">
        <v>243</v>
      </c>
      <c r="O3661" s="8" t="s">
        <v>244</v>
      </c>
      <c r="P3661" s="6" t="s">
        <v>51</v>
      </c>
      <c r="Q3661" s="8" t="s">
        <v>52</v>
      </c>
      <c r="R3661" s="10" t="s">
        <v>15367</v>
      </c>
      <c r="S3661" s="11" t="s">
        <v>21338</v>
      </c>
      <c r="T3661" s="6" t="s">
        <v>97</v>
      </c>
      <c r="U3661" s="15" t="str">
        <f>HYPERLINK("https://media.infra-m.ru/2084/2084190/cover/2084190.jpg", "Обложка")</f>
        <v>Обложка</v>
      </c>
      <c r="V3661" s="8" t="s">
        <v>247</v>
      </c>
      <c r="W3661" s="6"/>
      <c r="X3661" s="6"/>
      <c r="Y3661" s="6"/>
      <c r="Z3661" s="6"/>
      <c r="AA3661" s="6" t="s">
        <v>258</v>
      </c>
      <c r="AB3661" s="8"/>
      <c r="AC3661" s="27">
        <v>9785160155814</v>
      </c>
    </row>
    <row r="3662" spans="1:29" s="4" customFormat="1" ht="51.9" customHeight="1" x14ac:dyDescent="0.2">
      <c r="A3662" s="5">
        <v>0</v>
      </c>
      <c r="B3662" s="6" t="s">
        <v>21339</v>
      </c>
      <c r="C3662" s="13">
        <v>888</v>
      </c>
      <c r="D3662" s="8" t="s">
        <v>21340</v>
      </c>
      <c r="E3662" s="8" t="s">
        <v>21341</v>
      </c>
      <c r="F3662" s="8" t="s">
        <v>21342</v>
      </c>
      <c r="G3662" s="6" t="s">
        <v>118</v>
      </c>
      <c r="H3662" s="6" t="s">
        <v>34</v>
      </c>
      <c r="I3662" s="8" t="s">
        <v>271</v>
      </c>
      <c r="J3662" s="9">
        <v>1</v>
      </c>
      <c r="K3662" s="9">
        <v>256</v>
      </c>
      <c r="L3662" s="9">
        <v>2018</v>
      </c>
      <c r="M3662" s="8" t="s">
        <v>21343</v>
      </c>
      <c r="N3662" s="8" t="s">
        <v>243</v>
      </c>
      <c r="O3662" s="8" t="s">
        <v>244</v>
      </c>
      <c r="P3662" s="6" t="s">
        <v>51</v>
      </c>
      <c r="Q3662" s="8" t="s">
        <v>52</v>
      </c>
      <c r="R3662" s="10" t="s">
        <v>15367</v>
      </c>
      <c r="S3662" s="11" t="s">
        <v>16855</v>
      </c>
      <c r="T3662" s="6" t="s">
        <v>97</v>
      </c>
      <c r="U3662" s="15" t="str">
        <f>HYPERLINK("https://media.infra-m.ru/0922/0922736/cover/922736.jpg", "Обложка")</f>
        <v>Обложка</v>
      </c>
      <c r="V3662" s="8" t="s">
        <v>247</v>
      </c>
      <c r="W3662" s="6"/>
      <c r="X3662" s="6"/>
      <c r="Y3662" s="6"/>
      <c r="Z3662" s="6"/>
      <c r="AA3662" s="6" t="s">
        <v>99</v>
      </c>
      <c r="AB3662" s="8"/>
      <c r="AC3662" s="27">
        <v>9785160119168</v>
      </c>
    </row>
    <row r="3663" spans="1:29" s="4" customFormat="1" ht="51.9" customHeight="1" x14ac:dyDescent="0.2">
      <c r="A3663" s="5">
        <v>0</v>
      </c>
      <c r="B3663" s="6" t="s">
        <v>21344</v>
      </c>
      <c r="C3663" s="13">
        <v>900</v>
      </c>
      <c r="D3663" s="8" t="s">
        <v>21345</v>
      </c>
      <c r="E3663" s="8" t="s">
        <v>21346</v>
      </c>
      <c r="F3663" s="8" t="s">
        <v>21347</v>
      </c>
      <c r="G3663" s="6" t="s">
        <v>118</v>
      </c>
      <c r="H3663" s="6" t="s">
        <v>34</v>
      </c>
      <c r="I3663" s="8" t="s">
        <v>35</v>
      </c>
      <c r="J3663" s="9">
        <v>1</v>
      </c>
      <c r="K3663" s="9">
        <v>164</v>
      </c>
      <c r="L3663" s="9">
        <v>2024</v>
      </c>
      <c r="M3663" s="8" t="s">
        <v>21348</v>
      </c>
      <c r="N3663" s="8" t="s">
        <v>243</v>
      </c>
      <c r="O3663" s="8" t="s">
        <v>329</v>
      </c>
      <c r="P3663" s="6" t="s">
        <v>39</v>
      </c>
      <c r="Q3663" s="8" t="s">
        <v>40</v>
      </c>
      <c r="R3663" s="10" t="s">
        <v>21349</v>
      </c>
      <c r="S3663" s="11"/>
      <c r="T3663" s="6"/>
      <c r="U3663" s="15" t="str">
        <f>HYPERLINK("https://media.infra-m.ru/2098/2098521/cover/2098521.jpg", "Обложка")</f>
        <v>Обложка</v>
      </c>
      <c r="V3663" s="8" t="s">
        <v>21350</v>
      </c>
      <c r="W3663" s="6"/>
      <c r="X3663" s="6"/>
      <c r="Y3663" s="6"/>
      <c r="Z3663" s="6"/>
      <c r="AA3663" s="6" t="s">
        <v>115</v>
      </c>
      <c r="AB3663" s="8"/>
      <c r="AC3663" s="27">
        <v>9785160134079</v>
      </c>
    </row>
    <row r="3664" spans="1:29" s="4" customFormat="1" ht="51.9" customHeight="1" x14ac:dyDescent="0.2">
      <c r="A3664" s="5">
        <v>0</v>
      </c>
      <c r="B3664" s="6" t="s">
        <v>21351</v>
      </c>
      <c r="C3664" s="7">
        <v>2076</v>
      </c>
      <c r="D3664" s="8" t="s">
        <v>21352</v>
      </c>
      <c r="E3664" s="8" t="s">
        <v>21353</v>
      </c>
      <c r="F3664" s="8" t="s">
        <v>21354</v>
      </c>
      <c r="G3664" s="6" t="s">
        <v>118</v>
      </c>
      <c r="H3664" s="6" t="s">
        <v>34</v>
      </c>
      <c r="I3664" s="8" t="s">
        <v>271</v>
      </c>
      <c r="J3664" s="9">
        <v>1</v>
      </c>
      <c r="K3664" s="9">
        <v>384</v>
      </c>
      <c r="L3664" s="9">
        <v>2022</v>
      </c>
      <c r="M3664" s="8" t="s">
        <v>21355</v>
      </c>
      <c r="N3664" s="8" t="s">
        <v>37</v>
      </c>
      <c r="O3664" s="8" t="s">
        <v>280</v>
      </c>
      <c r="P3664" s="6" t="s">
        <v>51</v>
      </c>
      <c r="Q3664" s="8" t="s">
        <v>52</v>
      </c>
      <c r="R3664" s="10" t="s">
        <v>2237</v>
      </c>
      <c r="S3664" s="11" t="s">
        <v>21356</v>
      </c>
      <c r="T3664" s="6" t="s">
        <v>97</v>
      </c>
      <c r="U3664" s="15" t="str">
        <f>HYPERLINK("https://media.infra-m.ru/1947/1947403/cover/1947403.jpg", "Обложка")</f>
        <v>Обложка</v>
      </c>
      <c r="V3664" s="8" t="s">
        <v>2088</v>
      </c>
      <c r="W3664" s="6"/>
      <c r="X3664" s="6"/>
      <c r="Y3664" s="6"/>
      <c r="Z3664" s="6"/>
      <c r="AA3664" s="6" t="s">
        <v>248</v>
      </c>
      <c r="AB3664" s="8"/>
      <c r="AC3664" s="27">
        <v>9785160069142</v>
      </c>
    </row>
    <row r="3665" spans="1:29" s="4" customFormat="1" ht="51.9" customHeight="1" x14ac:dyDescent="0.2">
      <c r="A3665" s="5">
        <v>0</v>
      </c>
      <c r="B3665" s="6" t="s">
        <v>21357</v>
      </c>
      <c r="C3665" s="7">
        <v>1024.8</v>
      </c>
      <c r="D3665" s="8" t="s">
        <v>21358</v>
      </c>
      <c r="E3665" s="8" t="s">
        <v>21359</v>
      </c>
      <c r="F3665" s="8" t="s">
        <v>21360</v>
      </c>
      <c r="G3665" s="6" t="s">
        <v>33</v>
      </c>
      <c r="H3665" s="6" t="s">
        <v>34</v>
      </c>
      <c r="I3665" s="8" t="s">
        <v>271</v>
      </c>
      <c r="J3665" s="9">
        <v>1</v>
      </c>
      <c r="K3665" s="9">
        <v>185</v>
      </c>
      <c r="L3665" s="9">
        <v>2024</v>
      </c>
      <c r="M3665" s="8" t="s">
        <v>21361</v>
      </c>
      <c r="N3665" s="8" t="s">
        <v>37</v>
      </c>
      <c r="O3665" s="8" t="s">
        <v>280</v>
      </c>
      <c r="P3665" s="6" t="s">
        <v>51</v>
      </c>
      <c r="Q3665" s="8" t="s">
        <v>52</v>
      </c>
      <c r="R3665" s="10" t="s">
        <v>21362</v>
      </c>
      <c r="S3665" s="11" t="s">
        <v>21363</v>
      </c>
      <c r="T3665" s="6"/>
      <c r="U3665" s="15" t="str">
        <f>HYPERLINK("https://media.infra-m.ru/2079/2079634/cover/2079634.jpg", "Обложка")</f>
        <v>Обложка</v>
      </c>
      <c r="V3665" s="8" t="s">
        <v>247</v>
      </c>
      <c r="W3665" s="6"/>
      <c r="X3665" s="6"/>
      <c r="Y3665" s="6"/>
      <c r="Z3665" s="6"/>
      <c r="AA3665" s="6" t="s">
        <v>404</v>
      </c>
      <c r="AB3665" s="8"/>
      <c r="AC3665" s="27">
        <v>9785160130835</v>
      </c>
    </row>
    <row r="3666" spans="1:29" s="4" customFormat="1" ht="51.9" customHeight="1" x14ac:dyDescent="0.2">
      <c r="A3666" s="5">
        <v>0</v>
      </c>
      <c r="B3666" s="6" t="s">
        <v>21364</v>
      </c>
      <c r="C3666" s="7">
        <v>1505.9</v>
      </c>
      <c r="D3666" s="8" t="s">
        <v>21365</v>
      </c>
      <c r="E3666" s="8" t="s">
        <v>21366</v>
      </c>
      <c r="F3666" s="8" t="s">
        <v>21367</v>
      </c>
      <c r="G3666" s="6" t="s">
        <v>60</v>
      </c>
      <c r="H3666" s="6" t="s">
        <v>34</v>
      </c>
      <c r="I3666" s="8" t="s">
        <v>271</v>
      </c>
      <c r="J3666" s="9">
        <v>1</v>
      </c>
      <c r="K3666" s="9">
        <v>370</v>
      </c>
      <c r="L3666" s="9">
        <v>2020</v>
      </c>
      <c r="M3666" s="8" t="s">
        <v>21368</v>
      </c>
      <c r="N3666" s="8" t="s">
        <v>37</v>
      </c>
      <c r="O3666" s="8" t="s">
        <v>280</v>
      </c>
      <c r="P3666" s="6" t="s">
        <v>51</v>
      </c>
      <c r="Q3666" s="8" t="s">
        <v>52</v>
      </c>
      <c r="R3666" s="10" t="s">
        <v>21369</v>
      </c>
      <c r="S3666" s="11" t="s">
        <v>282</v>
      </c>
      <c r="T3666" s="6" t="s">
        <v>97</v>
      </c>
      <c r="U3666" s="15" t="str">
        <f>HYPERLINK("https://media.infra-m.ru/1068/1068925/cover/1068925.jpg", "Обложка")</f>
        <v>Обложка</v>
      </c>
      <c r="V3666" s="8" t="s">
        <v>247</v>
      </c>
      <c r="W3666" s="6"/>
      <c r="X3666" s="6"/>
      <c r="Y3666" s="6"/>
      <c r="Z3666" s="6"/>
      <c r="AA3666" s="6" t="s">
        <v>360</v>
      </c>
      <c r="AB3666" s="8"/>
      <c r="AC3666" s="27">
        <v>9785160117034</v>
      </c>
    </row>
    <row r="3667" spans="1:29" s="4" customFormat="1" ht="51.9" customHeight="1" x14ac:dyDescent="0.2">
      <c r="A3667" s="5">
        <v>0</v>
      </c>
      <c r="B3667" s="6" t="s">
        <v>21370</v>
      </c>
      <c r="C3667" s="7">
        <v>1368</v>
      </c>
      <c r="D3667" s="8" t="s">
        <v>21371</v>
      </c>
      <c r="E3667" s="8" t="s">
        <v>21372</v>
      </c>
      <c r="F3667" s="8" t="s">
        <v>21373</v>
      </c>
      <c r="G3667" s="6" t="s">
        <v>118</v>
      </c>
      <c r="H3667" s="6" t="s">
        <v>34</v>
      </c>
      <c r="I3667" s="8" t="s">
        <v>253</v>
      </c>
      <c r="J3667" s="9">
        <v>1</v>
      </c>
      <c r="K3667" s="9">
        <v>246</v>
      </c>
      <c r="L3667" s="9">
        <v>2023</v>
      </c>
      <c r="M3667" s="8" t="s">
        <v>21374</v>
      </c>
      <c r="N3667" s="8" t="s">
        <v>585</v>
      </c>
      <c r="O3667" s="8" t="s">
        <v>775</v>
      </c>
      <c r="P3667" s="6" t="s">
        <v>51</v>
      </c>
      <c r="Q3667" s="8" t="s">
        <v>65</v>
      </c>
      <c r="R3667" s="10" t="s">
        <v>21375</v>
      </c>
      <c r="S3667" s="11" t="s">
        <v>21376</v>
      </c>
      <c r="T3667" s="6"/>
      <c r="U3667" s="15" t="str">
        <f>HYPERLINK("https://media.infra-m.ru/1995/1995338/cover/1995338.jpg", "Обложка")</f>
        <v>Обложка</v>
      </c>
      <c r="V3667" s="8" t="s">
        <v>21377</v>
      </c>
      <c r="W3667" s="6"/>
      <c r="X3667" s="6"/>
      <c r="Y3667" s="6"/>
      <c r="Z3667" s="6"/>
      <c r="AA3667" s="6" t="s">
        <v>148</v>
      </c>
      <c r="AB3667" s="8"/>
      <c r="AC3667" s="27">
        <v>9785160185224</v>
      </c>
    </row>
    <row r="3668" spans="1:29" s="4" customFormat="1" ht="51.9" customHeight="1" x14ac:dyDescent="0.2">
      <c r="A3668" s="5">
        <v>0</v>
      </c>
      <c r="B3668" s="6" t="s">
        <v>21378</v>
      </c>
      <c r="C3668" s="7">
        <v>1553.9</v>
      </c>
      <c r="D3668" s="8" t="s">
        <v>21379</v>
      </c>
      <c r="E3668" s="8" t="s">
        <v>21380</v>
      </c>
      <c r="F3668" s="8" t="s">
        <v>21381</v>
      </c>
      <c r="G3668" s="6" t="s">
        <v>60</v>
      </c>
      <c r="H3668" s="6" t="s">
        <v>48</v>
      </c>
      <c r="I3668" s="8" t="s">
        <v>253</v>
      </c>
      <c r="J3668" s="9">
        <v>1</v>
      </c>
      <c r="K3668" s="9">
        <v>512</v>
      </c>
      <c r="L3668" s="9">
        <v>2017</v>
      </c>
      <c r="M3668" s="8" t="s">
        <v>21382</v>
      </c>
      <c r="N3668" s="8" t="s">
        <v>37</v>
      </c>
      <c r="O3668" s="8" t="s">
        <v>207</v>
      </c>
      <c r="P3668" s="6" t="s">
        <v>51</v>
      </c>
      <c r="Q3668" s="8" t="s">
        <v>52</v>
      </c>
      <c r="R3668" s="10" t="s">
        <v>11463</v>
      </c>
      <c r="S3668" s="11" t="s">
        <v>21383</v>
      </c>
      <c r="T3668" s="6"/>
      <c r="U3668" s="15" t="str">
        <f>HYPERLINK("https://media.infra-m.ru/0529/0529324/cover/529324.jpg", "Обложка")</f>
        <v>Обложка</v>
      </c>
      <c r="V3668" s="8" t="s">
        <v>15508</v>
      </c>
      <c r="W3668" s="6"/>
      <c r="X3668" s="6"/>
      <c r="Y3668" s="6"/>
      <c r="Z3668" s="6"/>
      <c r="AA3668" s="6" t="s">
        <v>21384</v>
      </c>
      <c r="AB3668" s="8"/>
      <c r="AC3668" s="27">
        <v>5819902343</v>
      </c>
    </row>
    <row r="3669" spans="1:29" s="4" customFormat="1" ht="51.9" customHeight="1" x14ac:dyDescent="0.2">
      <c r="A3669" s="5">
        <v>0</v>
      </c>
      <c r="B3669" s="6" t="s">
        <v>21385</v>
      </c>
      <c r="C3669" s="7">
        <v>2724</v>
      </c>
      <c r="D3669" s="8" t="s">
        <v>21386</v>
      </c>
      <c r="E3669" s="8" t="s">
        <v>21387</v>
      </c>
      <c r="F3669" s="8" t="s">
        <v>21388</v>
      </c>
      <c r="G3669" s="6" t="s">
        <v>60</v>
      </c>
      <c r="H3669" s="6" t="s">
        <v>34</v>
      </c>
      <c r="I3669" s="8" t="s">
        <v>253</v>
      </c>
      <c r="J3669" s="9">
        <v>1</v>
      </c>
      <c r="K3669" s="9">
        <v>484</v>
      </c>
      <c r="L3669" s="9">
        <v>2025</v>
      </c>
      <c r="M3669" s="8" t="s">
        <v>21389</v>
      </c>
      <c r="N3669" s="8" t="s">
        <v>37</v>
      </c>
      <c r="O3669" s="8" t="s">
        <v>207</v>
      </c>
      <c r="P3669" s="6" t="s">
        <v>51</v>
      </c>
      <c r="Q3669" s="8" t="s">
        <v>52</v>
      </c>
      <c r="R3669" s="10" t="s">
        <v>11463</v>
      </c>
      <c r="S3669" s="11" t="s">
        <v>21390</v>
      </c>
      <c r="T3669" s="6"/>
      <c r="U3669" s="15" t="str">
        <f>HYPERLINK("https://media.infra-m.ru/2155/2155997/cover/2155997.jpg", "Обложка")</f>
        <v>Обложка</v>
      </c>
      <c r="V3669" s="8" t="s">
        <v>15508</v>
      </c>
      <c r="W3669" s="6"/>
      <c r="X3669" s="6"/>
      <c r="Y3669" s="6"/>
      <c r="Z3669" s="6"/>
      <c r="AA3669" s="6" t="s">
        <v>8708</v>
      </c>
      <c r="AB3669" s="8"/>
      <c r="AC3669" s="27">
        <v>9785160200538</v>
      </c>
    </row>
    <row r="3670" spans="1:29" s="4" customFormat="1" ht="51.9" customHeight="1" x14ac:dyDescent="0.2">
      <c r="A3670" s="5">
        <v>0</v>
      </c>
      <c r="B3670" s="6" t="s">
        <v>21391</v>
      </c>
      <c r="C3670" s="7">
        <v>1620</v>
      </c>
      <c r="D3670" s="8" t="s">
        <v>21392</v>
      </c>
      <c r="E3670" s="8" t="s">
        <v>21393</v>
      </c>
      <c r="F3670" s="8" t="s">
        <v>21394</v>
      </c>
      <c r="G3670" s="6" t="s">
        <v>118</v>
      </c>
      <c r="H3670" s="6" t="s">
        <v>34</v>
      </c>
      <c r="I3670" s="8" t="s">
        <v>253</v>
      </c>
      <c r="J3670" s="9">
        <v>1</v>
      </c>
      <c r="K3670" s="9">
        <v>264</v>
      </c>
      <c r="L3670" s="9">
        <v>2025</v>
      </c>
      <c r="M3670" s="8" t="s">
        <v>21395</v>
      </c>
      <c r="N3670" s="8" t="s">
        <v>243</v>
      </c>
      <c r="O3670" s="8" t="s">
        <v>1100</v>
      </c>
      <c r="P3670" s="6" t="s">
        <v>306</v>
      </c>
      <c r="Q3670" s="8" t="s">
        <v>65</v>
      </c>
      <c r="R3670" s="10" t="s">
        <v>21396</v>
      </c>
      <c r="S3670" s="11" t="s">
        <v>21397</v>
      </c>
      <c r="T3670" s="6" t="s">
        <v>97</v>
      </c>
      <c r="U3670" s="15" t="str">
        <f>HYPERLINK("https://media.infra-m.ru/2191/2191268/cover/2191268.jpg", "Обложка")</f>
        <v>Обложка</v>
      </c>
      <c r="V3670" s="8" t="s">
        <v>809</v>
      </c>
      <c r="W3670" s="6"/>
      <c r="X3670" s="6"/>
      <c r="Y3670" s="6"/>
      <c r="Z3670" s="6"/>
      <c r="AA3670" s="6" t="s">
        <v>274</v>
      </c>
      <c r="AB3670" s="8"/>
      <c r="AC3670" s="27">
        <v>9785160185507</v>
      </c>
    </row>
    <row r="3671" spans="1:29" s="4" customFormat="1" ht="51.9" customHeight="1" x14ac:dyDescent="0.2">
      <c r="A3671" s="5">
        <v>0</v>
      </c>
      <c r="B3671" s="6" t="s">
        <v>21398</v>
      </c>
      <c r="C3671" s="7">
        <v>2068.8000000000002</v>
      </c>
      <c r="D3671" s="8" t="s">
        <v>21399</v>
      </c>
      <c r="E3671" s="8" t="s">
        <v>21400</v>
      </c>
      <c r="F3671" s="8" t="s">
        <v>21401</v>
      </c>
      <c r="G3671" s="6" t="s">
        <v>118</v>
      </c>
      <c r="H3671" s="6" t="s">
        <v>34</v>
      </c>
      <c r="I3671" s="8" t="s">
        <v>263</v>
      </c>
      <c r="J3671" s="9">
        <v>1</v>
      </c>
      <c r="K3671" s="9">
        <v>331</v>
      </c>
      <c r="L3671" s="9">
        <v>2025</v>
      </c>
      <c r="M3671" s="8" t="s">
        <v>21402</v>
      </c>
      <c r="N3671" s="8" t="s">
        <v>243</v>
      </c>
      <c r="O3671" s="8" t="s">
        <v>244</v>
      </c>
      <c r="P3671" s="6" t="s">
        <v>51</v>
      </c>
      <c r="Q3671" s="8" t="s">
        <v>265</v>
      </c>
      <c r="R3671" s="10" t="s">
        <v>21403</v>
      </c>
      <c r="S3671" s="11" t="s">
        <v>21404</v>
      </c>
      <c r="T3671" s="6" t="s">
        <v>97</v>
      </c>
      <c r="U3671" s="15" t="str">
        <f>HYPERLINK("https://media.infra-m.ru/2201/2201205/cover/2201205.jpg", "Обложка")</f>
        <v>Обложка</v>
      </c>
      <c r="V3671" s="8" t="s">
        <v>21405</v>
      </c>
      <c r="W3671" s="6"/>
      <c r="X3671" s="6"/>
      <c r="Y3671" s="6"/>
      <c r="Z3671" s="6" t="s">
        <v>267</v>
      </c>
      <c r="AA3671" s="6" t="s">
        <v>1256</v>
      </c>
      <c r="AB3671" s="8"/>
      <c r="AC3671" s="27">
        <v>9785160155975</v>
      </c>
    </row>
    <row r="3672" spans="1:29" s="4" customFormat="1" ht="51.9" customHeight="1" x14ac:dyDescent="0.2">
      <c r="A3672" s="5">
        <v>0</v>
      </c>
      <c r="B3672" s="6" t="s">
        <v>21406</v>
      </c>
      <c r="C3672" s="7">
        <v>1049.9000000000001</v>
      </c>
      <c r="D3672" s="8" t="s">
        <v>21407</v>
      </c>
      <c r="E3672" s="8" t="s">
        <v>21408</v>
      </c>
      <c r="F3672" s="8" t="s">
        <v>21409</v>
      </c>
      <c r="G3672" s="6" t="s">
        <v>60</v>
      </c>
      <c r="H3672" s="6" t="s">
        <v>241</v>
      </c>
      <c r="I3672" s="8"/>
      <c r="J3672" s="9">
        <v>1</v>
      </c>
      <c r="K3672" s="9">
        <v>237</v>
      </c>
      <c r="L3672" s="9">
        <v>2020</v>
      </c>
      <c r="M3672" s="8" t="s">
        <v>21410</v>
      </c>
      <c r="N3672" s="8" t="s">
        <v>37</v>
      </c>
      <c r="O3672" s="8" t="s">
        <v>83</v>
      </c>
      <c r="P3672" s="6" t="s">
        <v>51</v>
      </c>
      <c r="Q3672" s="8" t="s">
        <v>52</v>
      </c>
      <c r="R3672" s="10" t="s">
        <v>21411</v>
      </c>
      <c r="S3672" s="11" t="s">
        <v>21412</v>
      </c>
      <c r="T3672" s="6"/>
      <c r="U3672" s="15" t="str">
        <f>HYPERLINK("https://media.infra-m.ru/1410/1410758/cover/1410758.jpg", "Обложка")</f>
        <v>Обложка</v>
      </c>
      <c r="V3672" s="8" t="s">
        <v>657</v>
      </c>
      <c r="W3672" s="6"/>
      <c r="X3672" s="6"/>
      <c r="Y3672" s="6"/>
      <c r="Z3672" s="6"/>
      <c r="AA3672" s="6" t="s">
        <v>43</v>
      </c>
      <c r="AB3672" s="8"/>
      <c r="AC3672" s="27">
        <v>9785955802367</v>
      </c>
    </row>
    <row r="3673" spans="1:29" s="4" customFormat="1" ht="51.9" customHeight="1" x14ac:dyDescent="0.2">
      <c r="A3673" s="5">
        <v>0</v>
      </c>
      <c r="B3673" s="6" t="s">
        <v>21413</v>
      </c>
      <c r="C3673" s="7">
        <v>1768.8</v>
      </c>
      <c r="D3673" s="8" t="s">
        <v>21414</v>
      </c>
      <c r="E3673" s="8" t="s">
        <v>21415</v>
      </c>
      <c r="F3673" s="8" t="s">
        <v>21416</v>
      </c>
      <c r="G3673" s="6" t="s">
        <v>118</v>
      </c>
      <c r="H3673" s="6" t="s">
        <v>34</v>
      </c>
      <c r="I3673" s="8" t="s">
        <v>271</v>
      </c>
      <c r="J3673" s="9">
        <v>1</v>
      </c>
      <c r="K3673" s="9">
        <v>268</v>
      </c>
      <c r="L3673" s="9">
        <v>2026</v>
      </c>
      <c r="M3673" s="8" t="s">
        <v>21417</v>
      </c>
      <c r="N3673" s="8" t="s">
        <v>37</v>
      </c>
      <c r="O3673" s="8" t="s">
        <v>83</v>
      </c>
      <c r="P3673" s="6" t="s">
        <v>51</v>
      </c>
      <c r="Q3673" s="8" t="s">
        <v>52</v>
      </c>
      <c r="R3673" s="10" t="s">
        <v>21411</v>
      </c>
      <c r="S3673" s="11" t="s">
        <v>21418</v>
      </c>
      <c r="T3673" s="6"/>
      <c r="U3673" s="15" t="str">
        <f>HYPERLINK("https://media.infra-m.ru/2230/2230137/cover/2230137.jpg", "Обложка")</f>
        <v>Обложка</v>
      </c>
      <c r="V3673" s="8" t="s">
        <v>657</v>
      </c>
      <c r="W3673" s="6"/>
      <c r="X3673" s="6"/>
      <c r="Y3673" s="6"/>
      <c r="Z3673" s="6"/>
      <c r="AA3673" s="6" t="s">
        <v>896</v>
      </c>
      <c r="AB3673" s="8"/>
      <c r="AC3673" s="27">
        <v>9785160167602</v>
      </c>
    </row>
    <row r="3674" spans="1:29" s="4" customFormat="1" ht="42" customHeight="1" x14ac:dyDescent="0.2">
      <c r="A3674" s="5">
        <v>0</v>
      </c>
      <c r="B3674" s="6" t="s">
        <v>21419</v>
      </c>
      <c r="C3674" s="7">
        <v>2104.8000000000002</v>
      </c>
      <c r="D3674" s="8" t="s">
        <v>21420</v>
      </c>
      <c r="E3674" s="8" t="s">
        <v>21421</v>
      </c>
      <c r="F3674" s="8" t="s">
        <v>21422</v>
      </c>
      <c r="G3674" s="6" t="s">
        <v>60</v>
      </c>
      <c r="H3674" s="6" t="s">
        <v>34</v>
      </c>
      <c r="I3674" s="8" t="s">
        <v>271</v>
      </c>
      <c r="J3674" s="9">
        <v>1</v>
      </c>
      <c r="K3674" s="9">
        <v>381</v>
      </c>
      <c r="L3674" s="9">
        <v>2024</v>
      </c>
      <c r="M3674" s="8" t="s">
        <v>21423</v>
      </c>
      <c r="N3674" s="8" t="s">
        <v>37</v>
      </c>
      <c r="O3674" s="8" t="s">
        <v>83</v>
      </c>
      <c r="P3674" s="6" t="s">
        <v>51</v>
      </c>
      <c r="Q3674" s="8" t="s">
        <v>52</v>
      </c>
      <c r="R3674" s="10" t="s">
        <v>6011</v>
      </c>
      <c r="S3674" s="11"/>
      <c r="T3674" s="6" t="s">
        <v>97</v>
      </c>
      <c r="U3674" s="15" t="str">
        <f>HYPERLINK("https://media.infra-m.ru/2087/2087740/cover/2087740.jpg", "Обложка")</f>
        <v>Обложка</v>
      </c>
      <c r="V3674" s="8" t="s">
        <v>9869</v>
      </c>
      <c r="W3674" s="6"/>
      <c r="X3674" s="6"/>
      <c r="Y3674" s="6"/>
      <c r="Z3674" s="6"/>
      <c r="AA3674" s="6" t="s">
        <v>274</v>
      </c>
      <c r="AB3674" s="8"/>
      <c r="AC3674" s="27">
        <v>9785160104447</v>
      </c>
    </row>
    <row r="3675" spans="1:29" s="4" customFormat="1" ht="51.9" customHeight="1" x14ac:dyDescent="0.2">
      <c r="A3675" s="5">
        <v>0</v>
      </c>
      <c r="B3675" s="6" t="s">
        <v>21424</v>
      </c>
      <c r="C3675" s="13">
        <v>892.8</v>
      </c>
      <c r="D3675" s="8" t="s">
        <v>21425</v>
      </c>
      <c r="E3675" s="8" t="s">
        <v>21426</v>
      </c>
      <c r="F3675" s="8" t="s">
        <v>21427</v>
      </c>
      <c r="G3675" s="6" t="s">
        <v>33</v>
      </c>
      <c r="H3675" s="6" t="s">
        <v>820</v>
      </c>
      <c r="I3675" s="8" t="s">
        <v>271</v>
      </c>
      <c r="J3675" s="9">
        <v>1</v>
      </c>
      <c r="K3675" s="9">
        <v>144</v>
      </c>
      <c r="L3675" s="9">
        <v>2025</v>
      </c>
      <c r="M3675" s="8" t="s">
        <v>21428</v>
      </c>
      <c r="N3675" s="8" t="s">
        <v>243</v>
      </c>
      <c r="O3675" s="8" t="s">
        <v>1100</v>
      </c>
      <c r="P3675" s="6" t="s">
        <v>51</v>
      </c>
      <c r="Q3675" s="8" t="s">
        <v>52</v>
      </c>
      <c r="R3675" s="10" t="s">
        <v>21429</v>
      </c>
      <c r="S3675" s="11" t="s">
        <v>21430</v>
      </c>
      <c r="T3675" s="6"/>
      <c r="U3675" s="15" t="str">
        <f>HYPERLINK("https://media.infra-m.ru/2194/2194387/cover/2194387.jpg", "Обложка")</f>
        <v>Обложка</v>
      </c>
      <c r="V3675" s="8" t="s">
        <v>2475</v>
      </c>
      <c r="W3675" s="6"/>
      <c r="X3675" s="6"/>
      <c r="Y3675" s="6"/>
      <c r="Z3675" s="6"/>
      <c r="AA3675" s="6" t="s">
        <v>248</v>
      </c>
      <c r="AB3675" s="8"/>
      <c r="AC3675" s="27">
        <v>9785905554636</v>
      </c>
    </row>
    <row r="3676" spans="1:29" s="4" customFormat="1" ht="51.9" customHeight="1" x14ac:dyDescent="0.2">
      <c r="A3676" s="5">
        <v>0</v>
      </c>
      <c r="B3676" s="6" t="s">
        <v>21431</v>
      </c>
      <c r="C3676" s="13">
        <v>624</v>
      </c>
      <c r="D3676" s="8" t="s">
        <v>21432</v>
      </c>
      <c r="E3676" s="8" t="s">
        <v>21433</v>
      </c>
      <c r="F3676" s="8" t="s">
        <v>21434</v>
      </c>
      <c r="G3676" s="6" t="s">
        <v>33</v>
      </c>
      <c r="H3676" s="6" t="s">
        <v>34</v>
      </c>
      <c r="I3676" s="8" t="s">
        <v>271</v>
      </c>
      <c r="J3676" s="9">
        <v>1</v>
      </c>
      <c r="K3676" s="9">
        <v>112</v>
      </c>
      <c r="L3676" s="9">
        <v>2023</v>
      </c>
      <c r="M3676" s="8" t="s">
        <v>21435</v>
      </c>
      <c r="N3676" s="8" t="s">
        <v>585</v>
      </c>
      <c r="O3676" s="8" t="s">
        <v>775</v>
      </c>
      <c r="P3676" s="6" t="s">
        <v>51</v>
      </c>
      <c r="Q3676" s="8" t="s">
        <v>52</v>
      </c>
      <c r="R3676" s="10" t="s">
        <v>21436</v>
      </c>
      <c r="S3676" s="11" t="s">
        <v>21437</v>
      </c>
      <c r="T3676" s="6"/>
      <c r="U3676" s="15" t="str">
        <f>HYPERLINK("https://media.infra-m.ru/1893/1893973/cover/1893973.jpg", "Обложка")</f>
        <v>Обложка</v>
      </c>
      <c r="V3676" s="8" t="s">
        <v>631</v>
      </c>
      <c r="W3676" s="6"/>
      <c r="X3676" s="6"/>
      <c r="Y3676" s="6"/>
      <c r="Z3676" s="6"/>
      <c r="AA3676" s="6" t="s">
        <v>779</v>
      </c>
      <c r="AB3676" s="8"/>
      <c r="AC3676" s="27">
        <v>9785160165004</v>
      </c>
    </row>
    <row r="3677" spans="1:29" s="4" customFormat="1" ht="51.9" customHeight="1" x14ac:dyDescent="0.2">
      <c r="A3677" s="5">
        <v>0</v>
      </c>
      <c r="B3677" s="6" t="s">
        <v>21438</v>
      </c>
      <c r="C3677" s="13">
        <v>976.8</v>
      </c>
      <c r="D3677" s="8" t="s">
        <v>21439</v>
      </c>
      <c r="E3677" s="8" t="s">
        <v>21440</v>
      </c>
      <c r="F3677" s="8" t="s">
        <v>21441</v>
      </c>
      <c r="G3677" s="6" t="s">
        <v>60</v>
      </c>
      <c r="H3677" s="6" t="s">
        <v>34</v>
      </c>
      <c r="I3677" s="8" t="s">
        <v>7198</v>
      </c>
      <c r="J3677" s="9">
        <v>1</v>
      </c>
      <c r="K3677" s="9">
        <v>149</v>
      </c>
      <c r="L3677" s="9">
        <v>2026</v>
      </c>
      <c r="M3677" s="8" t="s">
        <v>21442</v>
      </c>
      <c r="N3677" s="8" t="s">
        <v>585</v>
      </c>
      <c r="O3677" s="8" t="s">
        <v>667</v>
      </c>
      <c r="P3677" s="6" t="s">
        <v>51</v>
      </c>
      <c r="Q3677" s="8" t="s">
        <v>52</v>
      </c>
      <c r="R3677" s="10" t="s">
        <v>21443</v>
      </c>
      <c r="S3677" s="11" t="s">
        <v>21444</v>
      </c>
      <c r="T3677" s="6"/>
      <c r="U3677" s="15" t="str">
        <f>HYPERLINK("https://media.infra-m.ru/2239/2239126/cover/2239126.jpg", "Обложка")</f>
        <v>Обложка</v>
      </c>
      <c r="V3677" s="8" t="s">
        <v>1083</v>
      </c>
      <c r="W3677" s="6"/>
      <c r="X3677" s="6"/>
      <c r="Y3677" s="6"/>
      <c r="Z3677" s="6"/>
      <c r="AA3677" s="6" t="s">
        <v>86</v>
      </c>
      <c r="AB3677" s="8"/>
      <c r="AC3677" s="27">
        <v>9785160133027</v>
      </c>
    </row>
    <row r="3678" spans="1:29" s="4" customFormat="1" ht="44.1" customHeight="1" x14ac:dyDescent="0.2">
      <c r="A3678" s="5">
        <v>0</v>
      </c>
      <c r="B3678" s="6" t="s">
        <v>21445</v>
      </c>
      <c r="C3678" s="13">
        <v>984</v>
      </c>
      <c r="D3678" s="8" t="s">
        <v>21446</v>
      </c>
      <c r="E3678" s="8" t="s">
        <v>21447</v>
      </c>
      <c r="F3678" s="8" t="s">
        <v>21448</v>
      </c>
      <c r="G3678" s="6" t="s">
        <v>33</v>
      </c>
      <c r="H3678" s="6" t="s">
        <v>34</v>
      </c>
      <c r="I3678" s="8" t="s">
        <v>35</v>
      </c>
      <c r="J3678" s="9">
        <v>1</v>
      </c>
      <c r="K3678" s="9">
        <v>163</v>
      </c>
      <c r="L3678" s="9">
        <v>2024</v>
      </c>
      <c r="M3678" s="8" t="s">
        <v>21449</v>
      </c>
      <c r="N3678" s="8" t="s">
        <v>37</v>
      </c>
      <c r="O3678" s="8" t="s">
        <v>136</v>
      </c>
      <c r="P3678" s="6" t="s">
        <v>39</v>
      </c>
      <c r="Q3678" s="8" t="s">
        <v>40</v>
      </c>
      <c r="R3678" s="10" t="s">
        <v>21450</v>
      </c>
      <c r="S3678" s="11"/>
      <c r="T3678" s="6"/>
      <c r="U3678" s="15" t="str">
        <f>HYPERLINK("https://media.infra-m.ru/2139/2139177/cover/2139177.jpg", "Обложка")</f>
        <v>Обложка</v>
      </c>
      <c r="V3678" s="8" t="s">
        <v>292</v>
      </c>
      <c r="W3678" s="6"/>
      <c r="X3678" s="6"/>
      <c r="Y3678" s="6"/>
      <c r="Z3678" s="6"/>
      <c r="AA3678" s="6" t="s">
        <v>76</v>
      </c>
      <c r="AB3678" s="8"/>
      <c r="AC3678" s="27">
        <v>9785160198231</v>
      </c>
    </row>
    <row r="3679" spans="1:29" s="4" customFormat="1" ht="51.9" customHeight="1" x14ac:dyDescent="0.2">
      <c r="A3679" s="5">
        <v>0</v>
      </c>
      <c r="B3679" s="6" t="s">
        <v>21451</v>
      </c>
      <c r="C3679" s="7">
        <v>2297.9</v>
      </c>
      <c r="D3679" s="8" t="s">
        <v>21452</v>
      </c>
      <c r="E3679" s="8" t="s">
        <v>21453</v>
      </c>
      <c r="F3679" s="8" t="s">
        <v>21454</v>
      </c>
      <c r="G3679" s="6" t="s">
        <v>60</v>
      </c>
      <c r="H3679" s="6" t="s">
        <v>34</v>
      </c>
      <c r="I3679" s="8" t="s">
        <v>271</v>
      </c>
      <c r="J3679" s="9">
        <v>1</v>
      </c>
      <c r="K3679" s="9">
        <v>491</v>
      </c>
      <c r="L3679" s="9">
        <v>2022</v>
      </c>
      <c r="M3679" s="8" t="s">
        <v>21455</v>
      </c>
      <c r="N3679" s="8" t="s">
        <v>37</v>
      </c>
      <c r="O3679" s="8" t="s">
        <v>280</v>
      </c>
      <c r="P3679" s="6" t="s">
        <v>39</v>
      </c>
      <c r="Q3679" s="8" t="s">
        <v>52</v>
      </c>
      <c r="R3679" s="10" t="s">
        <v>21456</v>
      </c>
      <c r="S3679" s="11"/>
      <c r="T3679" s="6"/>
      <c r="U3679" s="15" t="str">
        <f>HYPERLINK("https://media.infra-m.ru/1841/1841677/cover/1841677.jpg", "Обложка")</f>
        <v>Обложка</v>
      </c>
      <c r="V3679" s="8" t="s">
        <v>7509</v>
      </c>
      <c r="W3679" s="6"/>
      <c r="X3679" s="6"/>
      <c r="Y3679" s="6"/>
      <c r="Z3679" s="6"/>
      <c r="AA3679" s="6" t="s">
        <v>129</v>
      </c>
      <c r="AB3679" s="8"/>
      <c r="AC3679" s="27">
        <v>9785160049625</v>
      </c>
    </row>
    <row r="3680" spans="1:29" s="4" customFormat="1" ht="51.9" customHeight="1" x14ac:dyDescent="0.2">
      <c r="A3680" s="5">
        <v>0</v>
      </c>
      <c r="B3680" s="6" t="s">
        <v>21457</v>
      </c>
      <c r="C3680" s="7">
        <v>1408.8</v>
      </c>
      <c r="D3680" s="8" t="s">
        <v>21458</v>
      </c>
      <c r="E3680" s="8" t="s">
        <v>21459</v>
      </c>
      <c r="F3680" s="8" t="s">
        <v>21460</v>
      </c>
      <c r="G3680" s="6" t="s">
        <v>60</v>
      </c>
      <c r="H3680" s="6" t="s">
        <v>34</v>
      </c>
      <c r="I3680" s="8" t="s">
        <v>504</v>
      </c>
      <c r="J3680" s="9">
        <v>1</v>
      </c>
      <c r="K3680" s="9">
        <v>256</v>
      </c>
      <c r="L3680" s="9">
        <v>2018</v>
      </c>
      <c r="M3680" s="8" t="s">
        <v>21461</v>
      </c>
      <c r="N3680" s="8" t="s">
        <v>37</v>
      </c>
      <c r="O3680" s="8" t="s">
        <v>280</v>
      </c>
      <c r="P3680" s="6" t="s">
        <v>51</v>
      </c>
      <c r="Q3680" s="8" t="s">
        <v>500</v>
      </c>
      <c r="R3680" s="10" t="s">
        <v>21462</v>
      </c>
      <c r="S3680" s="11"/>
      <c r="T3680" s="6"/>
      <c r="U3680" s="15" t="str">
        <f>HYPERLINK("https://media.infra-m.ru/0960/0960026/cover/960026.jpg", "Обложка")</f>
        <v>Обложка</v>
      </c>
      <c r="V3680" s="8" t="s">
        <v>7509</v>
      </c>
      <c r="W3680" s="6"/>
      <c r="X3680" s="6"/>
      <c r="Y3680" s="6"/>
      <c r="Z3680" s="6"/>
      <c r="AA3680" s="6" t="s">
        <v>248</v>
      </c>
      <c r="AB3680" s="8"/>
      <c r="AC3680" s="27">
        <v>9789854756264</v>
      </c>
    </row>
    <row r="3681" spans="1:29" s="4" customFormat="1" ht="51.9" customHeight="1" x14ac:dyDescent="0.2">
      <c r="A3681" s="5">
        <v>0</v>
      </c>
      <c r="B3681" s="6" t="s">
        <v>21463</v>
      </c>
      <c r="C3681" s="7">
        <v>2218.8000000000002</v>
      </c>
      <c r="D3681" s="8" t="s">
        <v>21464</v>
      </c>
      <c r="E3681" s="8" t="s">
        <v>21465</v>
      </c>
      <c r="F3681" s="8" t="s">
        <v>21466</v>
      </c>
      <c r="G3681" s="6" t="s">
        <v>60</v>
      </c>
      <c r="H3681" s="6" t="s">
        <v>34</v>
      </c>
      <c r="I3681" s="8" t="s">
        <v>375</v>
      </c>
      <c r="J3681" s="9">
        <v>1</v>
      </c>
      <c r="K3681" s="9">
        <v>192</v>
      </c>
      <c r="L3681" s="9">
        <v>2024</v>
      </c>
      <c r="M3681" s="8" t="s">
        <v>21467</v>
      </c>
      <c r="N3681" s="8" t="s">
        <v>585</v>
      </c>
      <c r="O3681" s="8" t="s">
        <v>2472</v>
      </c>
      <c r="P3681" s="6" t="s">
        <v>51</v>
      </c>
      <c r="Q3681" s="8" t="s">
        <v>65</v>
      </c>
      <c r="R3681" s="10" t="s">
        <v>17896</v>
      </c>
      <c r="S3681" s="11" t="s">
        <v>21468</v>
      </c>
      <c r="T3681" s="6"/>
      <c r="U3681" s="15" t="str">
        <f>HYPERLINK("https://media.infra-m.ru/2150/2150313/cover/2150313.jpg", "Обложка")</f>
        <v>Обложка</v>
      </c>
      <c r="V3681" s="8" t="s">
        <v>379</v>
      </c>
      <c r="W3681" s="6"/>
      <c r="X3681" s="6"/>
      <c r="Y3681" s="6"/>
      <c r="Z3681" s="6"/>
      <c r="AA3681" s="6" t="s">
        <v>76</v>
      </c>
      <c r="AB3681" s="8"/>
      <c r="AC3681" s="27">
        <v>9785160199849</v>
      </c>
    </row>
    <row r="3682" spans="1:29" s="4" customFormat="1" ht="42" customHeight="1" x14ac:dyDescent="0.2">
      <c r="A3682" s="5">
        <v>0</v>
      </c>
      <c r="B3682" s="6" t="s">
        <v>21469</v>
      </c>
      <c r="C3682" s="7">
        <v>1612.8</v>
      </c>
      <c r="D3682" s="8" t="s">
        <v>21470</v>
      </c>
      <c r="E3682" s="8" t="s">
        <v>21471</v>
      </c>
      <c r="F3682" s="8" t="s">
        <v>21472</v>
      </c>
      <c r="G3682" s="6" t="s">
        <v>118</v>
      </c>
      <c r="H3682" s="6" t="s">
        <v>1795</v>
      </c>
      <c r="I3682" s="8" t="s">
        <v>21473</v>
      </c>
      <c r="J3682" s="9">
        <v>1</v>
      </c>
      <c r="K3682" s="9">
        <v>244</v>
      </c>
      <c r="L3682" s="9">
        <v>2026</v>
      </c>
      <c r="M3682" s="8" t="s">
        <v>21474</v>
      </c>
      <c r="N3682" s="8" t="s">
        <v>585</v>
      </c>
      <c r="O3682" s="8" t="s">
        <v>775</v>
      </c>
      <c r="P3682" s="6" t="s">
        <v>306</v>
      </c>
      <c r="Q3682" s="8" t="s">
        <v>500</v>
      </c>
      <c r="R3682" s="10" t="s">
        <v>18053</v>
      </c>
      <c r="S3682" s="11"/>
      <c r="T3682" s="6" t="s">
        <v>97</v>
      </c>
      <c r="U3682" s="15" t="str">
        <f>HYPERLINK("https://media.infra-m.ru/2238/2238480/cover/2238480.jpg", "Обложка")</f>
        <v>Обложка</v>
      </c>
      <c r="V3682" s="8" t="s">
        <v>3109</v>
      </c>
      <c r="W3682" s="6"/>
      <c r="X3682" s="6"/>
      <c r="Y3682" s="6"/>
      <c r="Z3682" s="6"/>
      <c r="AA3682" s="6" t="s">
        <v>779</v>
      </c>
      <c r="AB3682" s="8"/>
      <c r="AC3682" s="27">
        <v>9785982814357</v>
      </c>
    </row>
    <row r="3683" spans="1:29" s="4" customFormat="1" ht="51.9" customHeight="1" x14ac:dyDescent="0.2">
      <c r="A3683" s="5">
        <v>0</v>
      </c>
      <c r="B3683" s="6" t="s">
        <v>21475</v>
      </c>
      <c r="C3683" s="7">
        <v>1888.8</v>
      </c>
      <c r="D3683" s="8" t="s">
        <v>21476</v>
      </c>
      <c r="E3683" s="8" t="s">
        <v>21477</v>
      </c>
      <c r="F3683" s="8" t="s">
        <v>21478</v>
      </c>
      <c r="G3683" s="6" t="s">
        <v>118</v>
      </c>
      <c r="H3683" s="6" t="s">
        <v>34</v>
      </c>
      <c r="I3683" s="8" t="s">
        <v>504</v>
      </c>
      <c r="J3683" s="9">
        <v>1</v>
      </c>
      <c r="K3683" s="9">
        <v>272</v>
      </c>
      <c r="L3683" s="9">
        <v>2026</v>
      </c>
      <c r="M3683" s="8" t="s">
        <v>21479</v>
      </c>
      <c r="N3683" s="8" t="s">
        <v>63</v>
      </c>
      <c r="O3683" s="8" t="s">
        <v>126</v>
      </c>
      <c r="P3683" s="6" t="s">
        <v>51</v>
      </c>
      <c r="Q3683" s="8" t="s">
        <v>500</v>
      </c>
      <c r="R3683" s="10" t="s">
        <v>9551</v>
      </c>
      <c r="S3683" s="11" t="s">
        <v>21480</v>
      </c>
      <c r="T3683" s="6"/>
      <c r="U3683" s="15" t="str">
        <f>HYPERLINK("https://media.infra-m.ru/2246/2246855/cover/2246855.jpg", "Обложка")</f>
        <v>Обложка</v>
      </c>
      <c r="V3683" s="8" t="s">
        <v>16500</v>
      </c>
      <c r="W3683" s="6"/>
      <c r="X3683" s="6"/>
      <c r="Y3683" s="6"/>
      <c r="Z3683" s="6"/>
      <c r="AA3683" s="6" t="s">
        <v>248</v>
      </c>
      <c r="AB3683" s="8"/>
      <c r="AC3683" s="27">
        <v>9785160152448</v>
      </c>
    </row>
    <row r="3684" spans="1:29" s="4" customFormat="1" ht="51.9" customHeight="1" x14ac:dyDescent="0.2">
      <c r="A3684" s="5">
        <v>0</v>
      </c>
      <c r="B3684" s="6" t="s">
        <v>21481</v>
      </c>
      <c r="C3684" s="7">
        <v>1444.8</v>
      </c>
      <c r="D3684" s="8" t="s">
        <v>21482</v>
      </c>
      <c r="E3684" s="8" t="s">
        <v>21483</v>
      </c>
      <c r="F3684" s="8" t="s">
        <v>21484</v>
      </c>
      <c r="G3684" s="6" t="s">
        <v>118</v>
      </c>
      <c r="H3684" s="6" t="s">
        <v>34</v>
      </c>
      <c r="I3684" s="8" t="s">
        <v>2171</v>
      </c>
      <c r="J3684" s="9">
        <v>1</v>
      </c>
      <c r="K3684" s="9">
        <v>238</v>
      </c>
      <c r="L3684" s="9">
        <v>2024</v>
      </c>
      <c r="M3684" s="8" t="s">
        <v>21485</v>
      </c>
      <c r="N3684" s="8" t="s">
        <v>243</v>
      </c>
      <c r="O3684" s="8" t="s">
        <v>964</v>
      </c>
      <c r="P3684" s="6" t="s">
        <v>51</v>
      </c>
      <c r="Q3684" s="8" t="s">
        <v>65</v>
      </c>
      <c r="R3684" s="10" t="s">
        <v>21486</v>
      </c>
      <c r="S3684" s="11"/>
      <c r="T3684" s="6"/>
      <c r="U3684" s="15" t="str">
        <f>HYPERLINK("https://media.infra-m.ru/2103/2103720/cover/2103720.jpg", "Обложка")</f>
        <v>Обложка</v>
      </c>
      <c r="V3684" s="8" t="s">
        <v>2175</v>
      </c>
      <c r="W3684" s="6"/>
      <c r="X3684" s="6"/>
      <c r="Y3684" s="6"/>
      <c r="Z3684" s="6"/>
      <c r="AA3684" s="6" t="s">
        <v>430</v>
      </c>
      <c r="AB3684" s="8"/>
      <c r="AC3684" s="27">
        <v>9785160157344</v>
      </c>
    </row>
    <row r="3685" spans="1:29" s="4" customFormat="1" ht="42" customHeight="1" x14ac:dyDescent="0.2">
      <c r="A3685" s="5">
        <v>0</v>
      </c>
      <c r="B3685" s="6" t="s">
        <v>21487</v>
      </c>
      <c r="C3685" s="7">
        <v>1404</v>
      </c>
      <c r="D3685" s="8" t="s">
        <v>21488</v>
      </c>
      <c r="E3685" s="8" t="s">
        <v>21489</v>
      </c>
      <c r="F3685" s="8" t="s">
        <v>21490</v>
      </c>
      <c r="G3685" s="6" t="s">
        <v>33</v>
      </c>
      <c r="H3685" s="6" t="s">
        <v>34</v>
      </c>
      <c r="I3685" s="8" t="s">
        <v>35</v>
      </c>
      <c r="J3685" s="9">
        <v>1</v>
      </c>
      <c r="K3685" s="9">
        <v>248</v>
      </c>
      <c r="L3685" s="9">
        <v>2024</v>
      </c>
      <c r="M3685" s="8" t="s">
        <v>21491</v>
      </c>
      <c r="N3685" s="8" t="s">
        <v>37</v>
      </c>
      <c r="O3685" s="8" t="s">
        <v>233</v>
      </c>
      <c r="P3685" s="6" t="s">
        <v>39</v>
      </c>
      <c r="Q3685" s="8" t="s">
        <v>40</v>
      </c>
      <c r="R3685" s="10" t="s">
        <v>21492</v>
      </c>
      <c r="S3685" s="11"/>
      <c r="T3685" s="6"/>
      <c r="U3685" s="15" t="str">
        <f>HYPERLINK("https://media.infra-m.ru/2099/2099010/cover/2099010.jpg", "Обложка")</f>
        <v>Обложка</v>
      </c>
      <c r="V3685" s="8" t="s">
        <v>1505</v>
      </c>
      <c r="W3685" s="6"/>
      <c r="X3685" s="6"/>
      <c r="Y3685" s="6"/>
      <c r="Z3685" s="6"/>
      <c r="AA3685" s="6" t="s">
        <v>76</v>
      </c>
      <c r="AB3685" s="8"/>
      <c r="AC3685" s="27">
        <v>9785160192376</v>
      </c>
    </row>
    <row r="3686" spans="1:29" s="4" customFormat="1" ht="51.9" customHeight="1" x14ac:dyDescent="0.2">
      <c r="A3686" s="5">
        <v>0</v>
      </c>
      <c r="B3686" s="6" t="s">
        <v>21493</v>
      </c>
      <c r="C3686" s="7">
        <v>1656</v>
      </c>
      <c r="D3686" s="8" t="s">
        <v>21494</v>
      </c>
      <c r="E3686" s="8" t="s">
        <v>21495</v>
      </c>
      <c r="F3686" s="8" t="s">
        <v>21496</v>
      </c>
      <c r="G3686" s="6" t="s">
        <v>118</v>
      </c>
      <c r="H3686" s="6" t="s">
        <v>34</v>
      </c>
      <c r="I3686" s="8" t="s">
        <v>1081</v>
      </c>
      <c r="J3686" s="9">
        <v>1</v>
      </c>
      <c r="K3686" s="9">
        <v>260</v>
      </c>
      <c r="L3686" s="9">
        <v>2026</v>
      </c>
      <c r="M3686" s="8" t="s">
        <v>21497</v>
      </c>
      <c r="N3686" s="8" t="s">
        <v>243</v>
      </c>
      <c r="O3686" s="8" t="s">
        <v>933</v>
      </c>
      <c r="P3686" s="6" t="s">
        <v>39</v>
      </c>
      <c r="Q3686" s="8" t="s">
        <v>40</v>
      </c>
      <c r="R3686" s="10" t="s">
        <v>21498</v>
      </c>
      <c r="S3686" s="11"/>
      <c r="T3686" s="6"/>
      <c r="U3686" s="15" t="str">
        <f>HYPERLINK("https://media.infra-m.ru/2218/2218840/cover/2218840.jpg", "Обложка")</f>
        <v>Обложка</v>
      </c>
      <c r="V3686" s="8" t="s">
        <v>1083</v>
      </c>
      <c r="W3686" s="6"/>
      <c r="X3686" s="6"/>
      <c r="Y3686" s="6"/>
      <c r="Z3686" s="6"/>
      <c r="AA3686" s="6" t="s">
        <v>86</v>
      </c>
      <c r="AB3686" s="8"/>
      <c r="AC3686" s="27">
        <v>9785160173245</v>
      </c>
    </row>
    <row r="3687" spans="1:29" s="4" customFormat="1" ht="51.9" customHeight="1" x14ac:dyDescent="0.2">
      <c r="A3687" s="5">
        <v>0</v>
      </c>
      <c r="B3687" s="6" t="s">
        <v>21499</v>
      </c>
      <c r="C3687" s="7">
        <v>1044</v>
      </c>
      <c r="D3687" s="8" t="s">
        <v>21500</v>
      </c>
      <c r="E3687" s="8" t="s">
        <v>21501</v>
      </c>
      <c r="F3687" s="8" t="s">
        <v>21502</v>
      </c>
      <c r="G3687" s="6" t="s">
        <v>33</v>
      </c>
      <c r="H3687" s="6" t="s">
        <v>34</v>
      </c>
      <c r="I3687" s="8" t="s">
        <v>19365</v>
      </c>
      <c r="J3687" s="9">
        <v>1</v>
      </c>
      <c r="K3687" s="9">
        <v>194</v>
      </c>
      <c r="L3687" s="9">
        <v>2022</v>
      </c>
      <c r="M3687" s="8" t="s">
        <v>21503</v>
      </c>
      <c r="N3687" s="8" t="s">
        <v>585</v>
      </c>
      <c r="O3687" s="8" t="s">
        <v>1518</v>
      </c>
      <c r="P3687" s="6" t="s">
        <v>51</v>
      </c>
      <c r="Q3687" s="8" t="s">
        <v>52</v>
      </c>
      <c r="R3687" s="10" t="s">
        <v>21504</v>
      </c>
      <c r="S3687" s="11" t="s">
        <v>21505</v>
      </c>
      <c r="T3687" s="6"/>
      <c r="U3687" s="15" t="str">
        <f>HYPERLINK("https://media.infra-m.ru/1947/1947390/cover/1947390.jpg", "Обложка")</f>
        <v>Обложка</v>
      </c>
      <c r="V3687" s="8" t="s">
        <v>2398</v>
      </c>
      <c r="W3687" s="6"/>
      <c r="X3687" s="6"/>
      <c r="Y3687" s="6"/>
      <c r="Z3687" s="6"/>
      <c r="AA3687" s="6" t="s">
        <v>779</v>
      </c>
      <c r="AB3687" s="8"/>
      <c r="AC3687" s="27">
        <v>9785160118130</v>
      </c>
    </row>
    <row r="3688" spans="1:29" s="4" customFormat="1" ht="42" customHeight="1" x14ac:dyDescent="0.2">
      <c r="A3688" s="5">
        <v>0</v>
      </c>
      <c r="B3688" s="6" t="s">
        <v>21506</v>
      </c>
      <c r="C3688" s="7">
        <v>2668.8</v>
      </c>
      <c r="D3688" s="8" t="s">
        <v>21507</v>
      </c>
      <c r="E3688" s="8" t="s">
        <v>21508</v>
      </c>
      <c r="F3688" s="8" t="s">
        <v>21509</v>
      </c>
      <c r="G3688" s="6" t="s">
        <v>118</v>
      </c>
      <c r="H3688" s="6" t="s">
        <v>820</v>
      </c>
      <c r="I3688" s="8"/>
      <c r="J3688" s="9">
        <v>1</v>
      </c>
      <c r="K3688" s="9">
        <v>384</v>
      </c>
      <c r="L3688" s="9">
        <v>2027</v>
      </c>
      <c r="M3688" s="8" t="s">
        <v>21510</v>
      </c>
      <c r="N3688" s="8" t="s">
        <v>243</v>
      </c>
      <c r="O3688" s="8" t="s">
        <v>244</v>
      </c>
      <c r="P3688" s="6" t="s">
        <v>306</v>
      </c>
      <c r="Q3688" s="8" t="s">
        <v>52</v>
      </c>
      <c r="R3688" s="10" t="s">
        <v>3008</v>
      </c>
      <c r="S3688" s="11"/>
      <c r="T3688" s="6"/>
      <c r="U3688" s="15" t="str">
        <f>HYPERLINK("https://media.infra-m.ru/2271/2271831/cover/2271831.jpg", "Обложка")</f>
        <v>Обложка</v>
      </c>
      <c r="V3688" s="8" t="s">
        <v>396</v>
      </c>
      <c r="W3688" s="6"/>
      <c r="X3688" s="6"/>
      <c r="Y3688" s="6"/>
      <c r="Z3688" s="6"/>
      <c r="AA3688" s="6" t="s">
        <v>779</v>
      </c>
      <c r="AB3688" s="8"/>
      <c r="AC3688" s="27">
        <v>9785905554247</v>
      </c>
    </row>
    <row r="3689" spans="1:29" s="4" customFormat="1" ht="51.9" customHeight="1" x14ac:dyDescent="0.2">
      <c r="A3689" s="5">
        <v>0</v>
      </c>
      <c r="B3689" s="6" t="s">
        <v>21511</v>
      </c>
      <c r="C3689" s="7">
        <v>1108.8</v>
      </c>
      <c r="D3689" s="8" t="s">
        <v>21512</v>
      </c>
      <c r="E3689" s="8" t="s">
        <v>21508</v>
      </c>
      <c r="F3689" s="8" t="s">
        <v>21513</v>
      </c>
      <c r="G3689" s="6" t="s">
        <v>118</v>
      </c>
      <c r="H3689" s="6" t="s">
        <v>34</v>
      </c>
      <c r="I3689" s="8" t="s">
        <v>271</v>
      </c>
      <c r="J3689" s="9">
        <v>1</v>
      </c>
      <c r="K3689" s="9">
        <v>203</v>
      </c>
      <c r="L3689" s="9">
        <v>2023</v>
      </c>
      <c r="M3689" s="8" t="s">
        <v>21514</v>
      </c>
      <c r="N3689" s="8" t="s">
        <v>37</v>
      </c>
      <c r="O3689" s="8" t="s">
        <v>280</v>
      </c>
      <c r="P3689" s="6" t="s">
        <v>51</v>
      </c>
      <c r="Q3689" s="8" t="s">
        <v>52</v>
      </c>
      <c r="R3689" s="10" t="s">
        <v>357</v>
      </c>
      <c r="S3689" s="11" t="s">
        <v>21515</v>
      </c>
      <c r="T3689" s="6"/>
      <c r="U3689" s="15" t="str">
        <f>HYPERLINK("https://media.infra-m.ru/1962/1962491/cover/1962491.jpg", "Обложка")</f>
        <v>Обложка</v>
      </c>
      <c r="V3689" s="8" t="s">
        <v>2522</v>
      </c>
      <c r="W3689" s="6"/>
      <c r="X3689" s="6"/>
      <c r="Y3689" s="6"/>
      <c r="Z3689" s="6"/>
      <c r="AA3689" s="6" t="s">
        <v>115</v>
      </c>
      <c r="AB3689" s="8"/>
      <c r="AC3689" s="27">
        <v>9785160123080</v>
      </c>
    </row>
    <row r="3690" spans="1:29" s="4" customFormat="1" ht="51.9" customHeight="1" x14ac:dyDescent="0.2">
      <c r="A3690" s="5">
        <v>0</v>
      </c>
      <c r="B3690" s="6" t="s">
        <v>21516</v>
      </c>
      <c r="C3690" s="7">
        <v>1752</v>
      </c>
      <c r="D3690" s="8" t="s">
        <v>21517</v>
      </c>
      <c r="E3690" s="8" t="s">
        <v>21518</v>
      </c>
      <c r="F3690" s="8" t="s">
        <v>21519</v>
      </c>
      <c r="G3690" s="6" t="s">
        <v>118</v>
      </c>
      <c r="H3690" s="6" t="s">
        <v>313</v>
      </c>
      <c r="I3690" s="8" t="s">
        <v>271</v>
      </c>
      <c r="J3690" s="9">
        <v>1</v>
      </c>
      <c r="K3690" s="9">
        <v>270</v>
      </c>
      <c r="L3690" s="9">
        <v>2026</v>
      </c>
      <c r="M3690" s="8" t="s">
        <v>21520</v>
      </c>
      <c r="N3690" s="8" t="s">
        <v>585</v>
      </c>
      <c r="O3690" s="8" t="s">
        <v>667</v>
      </c>
      <c r="P3690" s="6" t="s">
        <v>51</v>
      </c>
      <c r="Q3690" s="8" t="s">
        <v>52</v>
      </c>
      <c r="R3690" s="10" t="s">
        <v>21521</v>
      </c>
      <c r="S3690" s="11" t="s">
        <v>21522</v>
      </c>
      <c r="T3690" s="6"/>
      <c r="U3690" s="15" t="str">
        <f>HYPERLINK("https://media.infra-m.ru/2218/2218830/cover/2218830.jpg", "Обложка")</f>
        <v>Обложка</v>
      </c>
      <c r="V3690" s="8" t="s">
        <v>761</v>
      </c>
      <c r="W3690" s="6"/>
      <c r="X3690" s="6"/>
      <c r="Y3690" s="6"/>
      <c r="Z3690" s="6"/>
      <c r="AA3690" s="6" t="s">
        <v>43</v>
      </c>
      <c r="AB3690" s="8"/>
      <c r="AC3690" s="27">
        <v>9785369010372</v>
      </c>
    </row>
    <row r="3691" spans="1:29" s="4" customFormat="1" ht="42" customHeight="1" x14ac:dyDescent="0.2">
      <c r="A3691" s="5">
        <v>0</v>
      </c>
      <c r="B3691" s="6" t="s">
        <v>21523</v>
      </c>
      <c r="C3691" s="13">
        <v>676.8</v>
      </c>
      <c r="D3691" s="8" t="s">
        <v>21524</v>
      </c>
      <c r="E3691" s="8" t="s">
        <v>21525</v>
      </c>
      <c r="F3691" s="8" t="s">
        <v>21526</v>
      </c>
      <c r="G3691" s="6" t="s">
        <v>33</v>
      </c>
      <c r="H3691" s="6" t="s">
        <v>34</v>
      </c>
      <c r="I3691" s="8" t="s">
        <v>35</v>
      </c>
      <c r="J3691" s="9">
        <v>1</v>
      </c>
      <c r="K3691" s="9">
        <v>96</v>
      </c>
      <c r="L3691" s="9">
        <v>2027</v>
      </c>
      <c r="M3691" s="8" t="s">
        <v>21527</v>
      </c>
      <c r="N3691" s="8" t="s">
        <v>37</v>
      </c>
      <c r="O3691" s="8" t="s">
        <v>233</v>
      </c>
      <c r="P3691" s="6" t="s">
        <v>39</v>
      </c>
      <c r="Q3691" s="8" t="s">
        <v>40</v>
      </c>
      <c r="R3691" s="10" t="s">
        <v>3516</v>
      </c>
      <c r="S3691" s="11"/>
      <c r="T3691" s="6"/>
      <c r="U3691" s="15" t="str">
        <f>HYPERLINK("https://media.infra-m.ru/2255/2255092/cover/2255092.jpg", "Обложка")</f>
        <v>Обложка</v>
      </c>
      <c r="V3691" s="8" t="s">
        <v>21528</v>
      </c>
      <c r="W3691" s="6"/>
      <c r="X3691" s="6"/>
      <c r="Y3691" s="6"/>
      <c r="Z3691" s="6"/>
      <c r="AA3691" s="6" t="s">
        <v>86</v>
      </c>
      <c r="AB3691" s="8"/>
      <c r="AC3691" s="27">
        <v>9785160135915</v>
      </c>
    </row>
    <row r="3692" spans="1:29" s="4" customFormat="1" ht="44.1" customHeight="1" x14ac:dyDescent="0.2">
      <c r="A3692" s="5">
        <v>0</v>
      </c>
      <c r="B3692" s="6" t="s">
        <v>21529</v>
      </c>
      <c r="C3692" s="7">
        <v>1829.9</v>
      </c>
      <c r="D3692" s="8" t="s">
        <v>21530</v>
      </c>
      <c r="E3692" s="8" t="s">
        <v>21531</v>
      </c>
      <c r="F3692" s="8" t="s">
        <v>21532</v>
      </c>
      <c r="G3692" s="6" t="s">
        <v>33</v>
      </c>
      <c r="H3692" s="6" t="s">
        <v>34</v>
      </c>
      <c r="I3692" s="8" t="s">
        <v>35</v>
      </c>
      <c r="J3692" s="9">
        <v>1</v>
      </c>
      <c r="K3692" s="9">
        <v>338</v>
      </c>
      <c r="L3692" s="9">
        <v>2023</v>
      </c>
      <c r="M3692" s="8" t="s">
        <v>21533</v>
      </c>
      <c r="N3692" s="8" t="s">
        <v>37</v>
      </c>
      <c r="O3692" s="8" t="s">
        <v>280</v>
      </c>
      <c r="P3692" s="6" t="s">
        <v>39</v>
      </c>
      <c r="Q3692" s="8" t="s">
        <v>40</v>
      </c>
      <c r="R3692" s="10" t="s">
        <v>2053</v>
      </c>
      <c r="S3692" s="11"/>
      <c r="T3692" s="6"/>
      <c r="U3692" s="15" t="str">
        <f>HYPERLINK("https://media.infra-m.ru/1965/1965767/cover/1965767.jpg", "Обложка")</f>
        <v>Обложка</v>
      </c>
      <c r="V3692" s="8" t="s">
        <v>247</v>
      </c>
      <c r="W3692" s="6"/>
      <c r="X3692" s="6"/>
      <c r="Y3692" s="6"/>
      <c r="Z3692" s="6"/>
      <c r="AA3692" s="6" t="s">
        <v>115</v>
      </c>
      <c r="AB3692" s="8"/>
      <c r="AC3692" s="27">
        <v>9785160152868</v>
      </c>
    </row>
    <row r="3693" spans="1:29" s="4" customFormat="1" ht="51.9" customHeight="1" x14ac:dyDescent="0.2">
      <c r="A3693" s="5">
        <v>0</v>
      </c>
      <c r="B3693" s="6" t="s">
        <v>21534</v>
      </c>
      <c r="C3693" s="7">
        <v>1152</v>
      </c>
      <c r="D3693" s="8" t="s">
        <v>21535</v>
      </c>
      <c r="E3693" s="8" t="s">
        <v>21536</v>
      </c>
      <c r="F3693" s="8" t="s">
        <v>21537</v>
      </c>
      <c r="G3693" s="6" t="s">
        <v>118</v>
      </c>
      <c r="H3693" s="6" t="s">
        <v>134</v>
      </c>
      <c r="I3693" s="8"/>
      <c r="J3693" s="9">
        <v>1</v>
      </c>
      <c r="K3693" s="9">
        <v>160</v>
      </c>
      <c r="L3693" s="9">
        <v>2027</v>
      </c>
      <c r="M3693" s="8" t="s">
        <v>21538</v>
      </c>
      <c r="N3693" s="8" t="s">
        <v>37</v>
      </c>
      <c r="O3693" s="8" t="s">
        <v>280</v>
      </c>
      <c r="P3693" s="6" t="s">
        <v>39</v>
      </c>
      <c r="Q3693" s="8" t="s">
        <v>40</v>
      </c>
      <c r="R3693" s="10" t="s">
        <v>1150</v>
      </c>
      <c r="S3693" s="11"/>
      <c r="T3693" s="6"/>
      <c r="U3693" s="15" t="str">
        <f>HYPERLINK("https://media.infra-m.ru/2271/2271262/cover/2271262.jpg", "Обложка")</f>
        <v>Обложка</v>
      </c>
      <c r="V3693" s="8" t="s">
        <v>1768</v>
      </c>
      <c r="W3693" s="6"/>
      <c r="X3693" s="6"/>
      <c r="Y3693" s="6"/>
      <c r="Z3693" s="6"/>
      <c r="AA3693" s="6" t="s">
        <v>86</v>
      </c>
      <c r="AB3693" s="8"/>
      <c r="AC3693" s="27">
        <v>9785917689371</v>
      </c>
    </row>
    <row r="3694" spans="1:29" s="4" customFormat="1" ht="51.9" customHeight="1" x14ac:dyDescent="0.2">
      <c r="A3694" s="5">
        <v>0</v>
      </c>
      <c r="B3694" s="6" t="s">
        <v>21539</v>
      </c>
      <c r="C3694" s="13">
        <v>900</v>
      </c>
      <c r="D3694" s="8" t="s">
        <v>21540</v>
      </c>
      <c r="E3694" s="8" t="s">
        <v>21541</v>
      </c>
      <c r="F3694" s="8" t="s">
        <v>21542</v>
      </c>
      <c r="G3694" s="6" t="s">
        <v>33</v>
      </c>
      <c r="H3694" s="6" t="s">
        <v>34</v>
      </c>
      <c r="I3694" s="8" t="s">
        <v>504</v>
      </c>
      <c r="J3694" s="9">
        <v>1</v>
      </c>
      <c r="K3694" s="9">
        <v>162</v>
      </c>
      <c r="L3694" s="9">
        <v>2024</v>
      </c>
      <c r="M3694" s="8" t="s">
        <v>21543</v>
      </c>
      <c r="N3694" s="8" t="s">
        <v>243</v>
      </c>
      <c r="O3694" s="8" t="s">
        <v>798</v>
      </c>
      <c r="P3694" s="6" t="s">
        <v>51</v>
      </c>
      <c r="Q3694" s="8" t="s">
        <v>500</v>
      </c>
      <c r="R3694" s="10" t="s">
        <v>6735</v>
      </c>
      <c r="S3694" s="11" t="s">
        <v>21544</v>
      </c>
      <c r="T3694" s="6"/>
      <c r="U3694" s="15" t="str">
        <f>HYPERLINK("https://media.infra-m.ru/2135/2135821/cover/2135821.jpg", "Обложка")</f>
        <v>Обложка</v>
      </c>
      <c r="V3694" s="8" t="s">
        <v>831</v>
      </c>
      <c r="W3694" s="6"/>
      <c r="X3694" s="6"/>
      <c r="Y3694" s="6"/>
      <c r="Z3694" s="6"/>
      <c r="AA3694" s="6" t="s">
        <v>779</v>
      </c>
      <c r="AB3694" s="8"/>
      <c r="AC3694" s="27">
        <v>9785160106748</v>
      </c>
    </row>
    <row r="3695" spans="1:29" s="4" customFormat="1" ht="51.9" customHeight="1" x14ac:dyDescent="0.2">
      <c r="A3695" s="5">
        <v>0</v>
      </c>
      <c r="B3695" s="6" t="s">
        <v>21545</v>
      </c>
      <c r="C3695" s="7">
        <v>1224</v>
      </c>
      <c r="D3695" s="8" t="s">
        <v>21546</v>
      </c>
      <c r="E3695" s="8" t="s">
        <v>21547</v>
      </c>
      <c r="F3695" s="8" t="s">
        <v>21548</v>
      </c>
      <c r="G3695" s="6" t="s">
        <v>118</v>
      </c>
      <c r="H3695" s="6" t="s">
        <v>34</v>
      </c>
      <c r="I3695" s="8" t="s">
        <v>271</v>
      </c>
      <c r="J3695" s="9">
        <v>1</v>
      </c>
      <c r="K3695" s="9">
        <v>227</v>
      </c>
      <c r="L3695" s="9">
        <v>2023</v>
      </c>
      <c r="M3695" s="8" t="s">
        <v>21549</v>
      </c>
      <c r="N3695" s="8" t="s">
        <v>37</v>
      </c>
      <c r="O3695" s="8" t="s">
        <v>280</v>
      </c>
      <c r="P3695" s="6" t="s">
        <v>51</v>
      </c>
      <c r="Q3695" s="8" t="s">
        <v>52</v>
      </c>
      <c r="R3695" s="10" t="s">
        <v>2053</v>
      </c>
      <c r="S3695" s="11" t="s">
        <v>282</v>
      </c>
      <c r="T3695" s="6"/>
      <c r="U3695" s="15" t="str">
        <f>HYPERLINK("https://media.infra-m.ru/1897/1897693/cover/1897693.jpg", "Обложка")</f>
        <v>Обложка</v>
      </c>
      <c r="V3695" s="8" t="s">
        <v>831</v>
      </c>
      <c r="W3695" s="6"/>
      <c r="X3695" s="6"/>
      <c r="Y3695" s="6"/>
      <c r="Z3695" s="6"/>
      <c r="AA3695" s="6" t="s">
        <v>779</v>
      </c>
      <c r="AB3695" s="8"/>
      <c r="AC3695" s="27">
        <v>9785160117355</v>
      </c>
    </row>
    <row r="3696" spans="1:29" s="4" customFormat="1" ht="51.9" customHeight="1" x14ac:dyDescent="0.2">
      <c r="A3696" s="5">
        <v>0</v>
      </c>
      <c r="B3696" s="6" t="s">
        <v>21550</v>
      </c>
      <c r="C3696" s="7">
        <v>1540.8</v>
      </c>
      <c r="D3696" s="8" t="s">
        <v>21551</v>
      </c>
      <c r="E3696" s="8" t="s">
        <v>21547</v>
      </c>
      <c r="F3696" s="8" t="s">
        <v>21552</v>
      </c>
      <c r="G3696" s="6" t="s">
        <v>118</v>
      </c>
      <c r="H3696" s="6" t="s">
        <v>34</v>
      </c>
      <c r="I3696" s="8" t="s">
        <v>271</v>
      </c>
      <c r="J3696" s="9">
        <v>1</v>
      </c>
      <c r="K3696" s="9">
        <v>222</v>
      </c>
      <c r="L3696" s="9">
        <v>2027</v>
      </c>
      <c r="M3696" s="8" t="s">
        <v>21553</v>
      </c>
      <c r="N3696" s="8" t="s">
        <v>37</v>
      </c>
      <c r="O3696" s="8" t="s">
        <v>280</v>
      </c>
      <c r="P3696" s="6" t="s">
        <v>51</v>
      </c>
      <c r="Q3696" s="8" t="s">
        <v>52</v>
      </c>
      <c r="R3696" s="10" t="s">
        <v>2237</v>
      </c>
      <c r="S3696" s="11" t="s">
        <v>2238</v>
      </c>
      <c r="T3696" s="6" t="s">
        <v>97</v>
      </c>
      <c r="U3696" s="15" t="str">
        <f>HYPERLINK("https://media.infra-m.ru/2272/2272168/cover/2272168.jpg", "Обложка")</f>
        <v>Обложка</v>
      </c>
      <c r="V3696" s="8" t="s">
        <v>16903</v>
      </c>
      <c r="W3696" s="6"/>
      <c r="X3696" s="6"/>
      <c r="Y3696" s="6"/>
      <c r="Z3696" s="6"/>
      <c r="AA3696" s="6" t="s">
        <v>274</v>
      </c>
      <c r="AB3696" s="8"/>
      <c r="AC3696" s="27">
        <v>9785160104959</v>
      </c>
    </row>
    <row r="3697" spans="1:29" s="4" customFormat="1" ht="42" customHeight="1" x14ac:dyDescent="0.2">
      <c r="A3697" s="5">
        <v>0</v>
      </c>
      <c r="B3697" s="6" t="s">
        <v>21554</v>
      </c>
      <c r="C3697" s="7">
        <v>1320</v>
      </c>
      <c r="D3697" s="8" t="s">
        <v>21555</v>
      </c>
      <c r="E3697" s="8" t="s">
        <v>21556</v>
      </c>
      <c r="F3697" s="8" t="s">
        <v>21557</v>
      </c>
      <c r="G3697" s="6" t="s">
        <v>60</v>
      </c>
      <c r="H3697" s="6" t="s">
        <v>34</v>
      </c>
      <c r="I3697" s="8" t="s">
        <v>263</v>
      </c>
      <c r="J3697" s="9">
        <v>1</v>
      </c>
      <c r="K3697" s="9">
        <v>180</v>
      </c>
      <c r="L3697" s="9">
        <v>2026</v>
      </c>
      <c r="M3697" s="8" t="s">
        <v>21558</v>
      </c>
      <c r="N3697" s="8" t="s">
        <v>63</v>
      </c>
      <c r="O3697" s="8" t="s">
        <v>181</v>
      </c>
      <c r="P3697" s="6" t="s">
        <v>51</v>
      </c>
      <c r="Q3697" s="8" t="s">
        <v>265</v>
      </c>
      <c r="R3697" s="10" t="s">
        <v>21559</v>
      </c>
      <c r="S3697" s="11"/>
      <c r="T3697" s="6"/>
      <c r="U3697" s="15" t="str">
        <f>HYPERLINK("https://media.infra-m.ru/2195/2195140/cover/2195140.jpg", "Обложка")</f>
        <v>Обложка</v>
      </c>
      <c r="V3697" s="8" t="s">
        <v>21560</v>
      </c>
      <c r="W3697" s="6" t="s">
        <v>342</v>
      </c>
      <c r="X3697" s="6"/>
      <c r="Y3697" s="6"/>
      <c r="Z3697" s="6"/>
      <c r="AA3697" s="6" t="s">
        <v>187</v>
      </c>
      <c r="AB3697" s="8"/>
      <c r="AC3697" s="27">
        <v>9785160207988</v>
      </c>
    </row>
    <row r="3698" spans="1:29" s="4" customFormat="1" ht="51.9" customHeight="1" x14ac:dyDescent="0.2">
      <c r="A3698" s="5">
        <v>0</v>
      </c>
      <c r="B3698" s="6" t="s">
        <v>21561</v>
      </c>
      <c r="C3698" s="13">
        <v>700.8</v>
      </c>
      <c r="D3698" s="8" t="s">
        <v>21562</v>
      </c>
      <c r="E3698" s="8" t="s">
        <v>21563</v>
      </c>
      <c r="F3698" s="8" t="s">
        <v>21564</v>
      </c>
      <c r="G3698" s="6" t="s">
        <v>33</v>
      </c>
      <c r="H3698" s="6" t="s">
        <v>34</v>
      </c>
      <c r="I3698" s="8" t="s">
        <v>271</v>
      </c>
      <c r="J3698" s="9">
        <v>1</v>
      </c>
      <c r="K3698" s="9">
        <v>124</v>
      </c>
      <c r="L3698" s="9">
        <v>2024</v>
      </c>
      <c r="M3698" s="8" t="s">
        <v>21565</v>
      </c>
      <c r="N3698" s="8" t="s">
        <v>243</v>
      </c>
      <c r="O3698" s="8" t="s">
        <v>798</v>
      </c>
      <c r="P3698" s="6" t="s">
        <v>51</v>
      </c>
      <c r="Q3698" s="8" t="s">
        <v>52</v>
      </c>
      <c r="R3698" s="10" t="s">
        <v>7812</v>
      </c>
      <c r="S3698" s="11" t="s">
        <v>21566</v>
      </c>
      <c r="T3698" s="6"/>
      <c r="U3698" s="15" t="str">
        <f>HYPERLINK("https://media.infra-m.ru/2108/2108573/cover/2108573.jpg", "Обложка")</f>
        <v>Обложка</v>
      </c>
      <c r="V3698" s="8" t="s">
        <v>3864</v>
      </c>
      <c r="W3698" s="6"/>
      <c r="X3698" s="6"/>
      <c r="Y3698" s="6"/>
      <c r="Z3698" s="6"/>
      <c r="AA3698" s="6" t="s">
        <v>115</v>
      </c>
      <c r="AB3698" s="8"/>
      <c r="AC3698" s="27">
        <v>9785160147352</v>
      </c>
    </row>
    <row r="3699" spans="1:29" s="4" customFormat="1" ht="42" customHeight="1" x14ac:dyDescent="0.2">
      <c r="A3699" s="5">
        <v>0</v>
      </c>
      <c r="B3699" s="6" t="s">
        <v>21567</v>
      </c>
      <c r="C3699" s="7">
        <v>1072.8</v>
      </c>
      <c r="D3699" s="8" t="s">
        <v>21568</v>
      </c>
      <c r="E3699" s="8" t="s">
        <v>21569</v>
      </c>
      <c r="F3699" s="8" t="s">
        <v>21570</v>
      </c>
      <c r="G3699" s="6" t="s">
        <v>33</v>
      </c>
      <c r="H3699" s="6" t="s">
        <v>34</v>
      </c>
      <c r="I3699" s="8" t="s">
        <v>1081</v>
      </c>
      <c r="J3699" s="9">
        <v>1</v>
      </c>
      <c r="K3699" s="9">
        <v>168</v>
      </c>
      <c r="L3699" s="9">
        <v>2026</v>
      </c>
      <c r="M3699" s="8" t="s">
        <v>21571</v>
      </c>
      <c r="N3699" s="8" t="s">
        <v>37</v>
      </c>
      <c r="O3699" s="8" t="s">
        <v>290</v>
      </c>
      <c r="P3699" s="6" t="s">
        <v>39</v>
      </c>
      <c r="Q3699" s="8" t="s">
        <v>40</v>
      </c>
      <c r="R3699" s="10" t="s">
        <v>21572</v>
      </c>
      <c r="S3699" s="11"/>
      <c r="T3699" s="6"/>
      <c r="U3699" s="15" t="str">
        <f>HYPERLINK("https://media.infra-m.ru/2219/2219573/cover/2219573.jpg", "Обложка")</f>
        <v>Обложка</v>
      </c>
      <c r="V3699" s="8" t="s">
        <v>1083</v>
      </c>
      <c r="W3699" s="6"/>
      <c r="X3699" s="6"/>
      <c r="Y3699" s="6"/>
      <c r="Z3699" s="6"/>
      <c r="AA3699" s="6" t="s">
        <v>99</v>
      </c>
      <c r="AB3699" s="8"/>
      <c r="AC3699" s="27">
        <v>9785160163116</v>
      </c>
    </row>
    <row r="3700" spans="1:29" s="4" customFormat="1" ht="33" customHeight="1" x14ac:dyDescent="0.2">
      <c r="A3700" s="5">
        <v>0</v>
      </c>
      <c r="B3700" s="6" t="s">
        <v>21573</v>
      </c>
      <c r="C3700" s="13">
        <v>660</v>
      </c>
      <c r="D3700" s="8" t="s">
        <v>21574</v>
      </c>
      <c r="E3700" s="8" t="s">
        <v>21569</v>
      </c>
      <c r="F3700" s="8" t="s">
        <v>21570</v>
      </c>
      <c r="G3700" s="6" t="s">
        <v>60</v>
      </c>
      <c r="H3700" s="6" t="s">
        <v>34</v>
      </c>
      <c r="I3700" s="8" t="s">
        <v>1081</v>
      </c>
      <c r="J3700" s="9">
        <v>1</v>
      </c>
      <c r="K3700" s="9">
        <v>168</v>
      </c>
      <c r="L3700" s="9">
        <v>2018</v>
      </c>
      <c r="M3700" s="8" t="s">
        <v>21575</v>
      </c>
      <c r="N3700" s="8" t="s">
        <v>37</v>
      </c>
      <c r="O3700" s="8" t="s">
        <v>290</v>
      </c>
      <c r="P3700" s="6" t="s">
        <v>39</v>
      </c>
      <c r="Q3700" s="8" t="s">
        <v>40</v>
      </c>
      <c r="R3700" s="10" t="s">
        <v>21572</v>
      </c>
      <c r="S3700" s="11"/>
      <c r="T3700" s="6"/>
      <c r="U3700" s="12"/>
      <c r="V3700" s="8" t="s">
        <v>1083</v>
      </c>
      <c r="W3700" s="6"/>
      <c r="X3700" s="6"/>
      <c r="Y3700" s="6"/>
      <c r="Z3700" s="6"/>
      <c r="AA3700" s="6" t="s">
        <v>99</v>
      </c>
      <c r="AB3700" s="8"/>
      <c r="AC3700" s="27">
        <v>9785160129068</v>
      </c>
    </row>
    <row r="3701" spans="1:29" s="4" customFormat="1" ht="51.9" customHeight="1" x14ac:dyDescent="0.2">
      <c r="A3701" s="5">
        <v>0</v>
      </c>
      <c r="B3701" s="6" t="s">
        <v>21576</v>
      </c>
      <c r="C3701" s="7">
        <v>3592.8</v>
      </c>
      <c r="D3701" s="8" t="s">
        <v>21577</v>
      </c>
      <c r="E3701" s="8" t="s">
        <v>21578</v>
      </c>
      <c r="F3701" s="8" t="s">
        <v>21579</v>
      </c>
      <c r="G3701" s="6" t="s">
        <v>60</v>
      </c>
      <c r="H3701" s="6" t="s">
        <v>34</v>
      </c>
      <c r="I3701" s="8" t="s">
        <v>253</v>
      </c>
      <c r="J3701" s="9">
        <v>1</v>
      </c>
      <c r="K3701" s="9">
        <v>768</v>
      </c>
      <c r="L3701" s="9">
        <v>2027</v>
      </c>
      <c r="M3701" s="8" t="s">
        <v>21580</v>
      </c>
      <c r="N3701" s="8" t="s">
        <v>37</v>
      </c>
      <c r="O3701" s="8" t="s">
        <v>83</v>
      </c>
      <c r="P3701" s="6" t="s">
        <v>306</v>
      </c>
      <c r="Q3701" s="8" t="s">
        <v>65</v>
      </c>
      <c r="R3701" s="10" t="s">
        <v>21581</v>
      </c>
      <c r="S3701" s="11" t="s">
        <v>21582</v>
      </c>
      <c r="T3701" s="6"/>
      <c r="U3701" s="15" t="str">
        <f>HYPERLINK("https://media.infra-m.ru/2251/2251402/cover/2251402.jpg", "Обложка")</f>
        <v>Обложка</v>
      </c>
      <c r="V3701" s="8" t="s">
        <v>21583</v>
      </c>
      <c r="W3701" s="6"/>
      <c r="X3701" s="6"/>
      <c r="Y3701" s="6"/>
      <c r="Z3701" s="6"/>
      <c r="AA3701" s="6" t="s">
        <v>1007</v>
      </c>
      <c r="AB3701" s="8"/>
      <c r="AC3701" s="27">
        <v>9785160189130</v>
      </c>
    </row>
    <row r="3702" spans="1:29" s="4" customFormat="1" ht="51.9" customHeight="1" x14ac:dyDescent="0.2">
      <c r="A3702" s="5">
        <v>0</v>
      </c>
      <c r="B3702" s="6" t="s">
        <v>21584</v>
      </c>
      <c r="C3702" s="7">
        <v>1900.8</v>
      </c>
      <c r="D3702" s="8" t="s">
        <v>21585</v>
      </c>
      <c r="E3702" s="8" t="s">
        <v>21586</v>
      </c>
      <c r="F3702" s="8" t="s">
        <v>21587</v>
      </c>
      <c r="G3702" s="6" t="s">
        <v>118</v>
      </c>
      <c r="H3702" s="6" t="s">
        <v>1042</v>
      </c>
      <c r="I3702" s="8" t="s">
        <v>263</v>
      </c>
      <c r="J3702" s="9">
        <v>1</v>
      </c>
      <c r="K3702" s="9">
        <v>304</v>
      </c>
      <c r="L3702" s="9">
        <v>2025</v>
      </c>
      <c r="M3702" s="8" t="s">
        <v>21588</v>
      </c>
      <c r="N3702" s="8" t="s">
        <v>37</v>
      </c>
      <c r="O3702" s="8" t="s">
        <v>499</v>
      </c>
      <c r="P3702" s="6" t="s">
        <v>306</v>
      </c>
      <c r="Q3702" s="8" t="s">
        <v>265</v>
      </c>
      <c r="R3702" s="10" t="s">
        <v>21589</v>
      </c>
      <c r="S3702" s="11" t="s">
        <v>21590</v>
      </c>
      <c r="T3702" s="6"/>
      <c r="U3702" s="15" t="str">
        <f>HYPERLINK("https://media.infra-m.ru/2205/2205949/cover/2205949.jpg", "Обложка")</f>
        <v>Обложка</v>
      </c>
      <c r="V3702" s="8" t="s">
        <v>396</v>
      </c>
      <c r="W3702" s="6"/>
      <c r="X3702" s="6"/>
      <c r="Y3702" s="6"/>
      <c r="Z3702" s="6" t="s">
        <v>267</v>
      </c>
      <c r="AA3702" s="6" t="s">
        <v>86</v>
      </c>
      <c r="AB3702" s="8"/>
      <c r="AC3702" s="27">
        <v>9785819907962</v>
      </c>
    </row>
    <row r="3703" spans="1:29" s="4" customFormat="1" ht="44.1" customHeight="1" x14ac:dyDescent="0.2">
      <c r="A3703" s="5">
        <v>0</v>
      </c>
      <c r="B3703" s="6" t="s">
        <v>21591</v>
      </c>
      <c r="C3703" s="7">
        <v>2008.8</v>
      </c>
      <c r="D3703" s="8" t="s">
        <v>21592</v>
      </c>
      <c r="E3703" s="8" t="s">
        <v>21586</v>
      </c>
      <c r="F3703" s="8" t="s">
        <v>21593</v>
      </c>
      <c r="G3703" s="6" t="s">
        <v>60</v>
      </c>
      <c r="H3703" s="6" t="s">
        <v>1042</v>
      </c>
      <c r="I3703" s="8" t="s">
        <v>253</v>
      </c>
      <c r="J3703" s="9">
        <v>1</v>
      </c>
      <c r="K3703" s="9">
        <v>304</v>
      </c>
      <c r="L3703" s="9">
        <v>2026</v>
      </c>
      <c r="M3703" s="8" t="s">
        <v>21594</v>
      </c>
      <c r="N3703" s="8" t="s">
        <v>37</v>
      </c>
      <c r="O3703" s="8" t="s">
        <v>499</v>
      </c>
      <c r="P3703" s="6" t="s">
        <v>306</v>
      </c>
      <c r="Q3703" s="8" t="s">
        <v>52</v>
      </c>
      <c r="R3703" s="10" t="s">
        <v>5054</v>
      </c>
      <c r="S3703" s="11"/>
      <c r="T3703" s="6"/>
      <c r="U3703" s="15" t="str">
        <f>HYPERLINK("https://media.infra-m.ru/2203/2203291/cover/2203291.jpg", "Обложка")</f>
        <v>Обложка</v>
      </c>
      <c r="V3703" s="8" t="s">
        <v>396</v>
      </c>
      <c r="W3703" s="6"/>
      <c r="X3703" s="6"/>
      <c r="Y3703" s="6"/>
      <c r="Z3703" s="6"/>
      <c r="AA3703" s="6" t="s">
        <v>55</v>
      </c>
      <c r="AB3703" s="8"/>
      <c r="AC3703" s="27">
        <v>9785819905265</v>
      </c>
    </row>
    <row r="3704" spans="1:29" s="4" customFormat="1" ht="51.9" customHeight="1" x14ac:dyDescent="0.2">
      <c r="A3704" s="5">
        <v>0</v>
      </c>
      <c r="B3704" s="6" t="s">
        <v>21595</v>
      </c>
      <c r="C3704" s="7">
        <v>1156.8</v>
      </c>
      <c r="D3704" s="8" t="s">
        <v>21596</v>
      </c>
      <c r="E3704" s="8" t="s">
        <v>21597</v>
      </c>
      <c r="F3704" s="8" t="s">
        <v>3585</v>
      </c>
      <c r="G3704" s="6" t="s">
        <v>33</v>
      </c>
      <c r="H3704" s="6" t="s">
        <v>34</v>
      </c>
      <c r="I3704" s="8" t="s">
        <v>35</v>
      </c>
      <c r="J3704" s="9">
        <v>1</v>
      </c>
      <c r="K3704" s="9">
        <v>176</v>
      </c>
      <c r="L3704" s="9">
        <v>2026</v>
      </c>
      <c r="M3704" s="8" t="s">
        <v>21598</v>
      </c>
      <c r="N3704" s="8" t="s">
        <v>585</v>
      </c>
      <c r="O3704" s="8" t="s">
        <v>667</v>
      </c>
      <c r="P3704" s="6" t="s">
        <v>39</v>
      </c>
      <c r="Q3704" s="8" t="s">
        <v>40</v>
      </c>
      <c r="R3704" s="10" t="s">
        <v>21599</v>
      </c>
      <c r="S3704" s="11"/>
      <c r="T3704" s="6"/>
      <c r="U3704" s="15" t="str">
        <f>HYPERLINK("https://media.infra-m.ru/2233/2233390/cover/2233390.jpg", "Обложка")</f>
        <v>Обложка</v>
      </c>
      <c r="V3704" s="8" t="s">
        <v>3588</v>
      </c>
      <c r="W3704" s="6"/>
      <c r="X3704" s="6"/>
      <c r="Y3704" s="6"/>
      <c r="Z3704" s="6"/>
      <c r="AA3704" s="6" t="s">
        <v>1256</v>
      </c>
      <c r="AB3704" s="8" t="s">
        <v>1317</v>
      </c>
      <c r="AC3704" s="27">
        <v>9785160147987</v>
      </c>
    </row>
    <row r="3705" spans="1:29" s="4" customFormat="1" ht="51.9" customHeight="1" x14ac:dyDescent="0.2">
      <c r="A3705" s="5">
        <v>0</v>
      </c>
      <c r="B3705" s="6" t="s">
        <v>21600</v>
      </c>
      <c r="C3705" s="7">
        <v>3386.4</v>
      </c>
      <c r="D3705" s="8" t="s">
        <v>21601</v>
      </c>
      <c r="E3705" s="8" t="s">
        <v>21602</v>
      </c>
      <c r="F3705" s="8" t="s">
        <v>21603</v>
      </c>
      <c r="G3705" s="6" t="s">
        <v>60</v>
      </c>
      <c r="H3705" s="6" t="s">
        <v>1042</v>
      </c>
      <c r="I3705" s="8" t="s">
        <v>263</v>
      </c>
      <c r="J3705" s="9">
        <v>1</v>
      </c>
      <c r="K3705" s="9">
        <v>417</v>
      </c>
      <c r="L3705" s="9">
        <v>2025</v>
      </c>
      <c r="M3705" s="8" t="s">
        <v>21604</v>
      </c>
      <c r="N3705" s="8" t="s">
        <v>243</v>
      </c>
      <c r="O3705" s="8" t="s">
        <v>964</v>
      </c>
      <c r="P3705" s="6" t="s">
        <v>51</v>
      </c>
      <c r="Q3705" s="8" t="s">
        <v>265</v>
      </c>
      <c r="R3705" s="10" t="s">
        <v>9637</v>
      </c>
      <c r="S3705" s="11" t="s">
        <v>21605</v>
      </c>
      <c r="T3705" s="6"/>
      <c r="U3705" s="15" t="str">
        <f>HYPERLINK("https://media.infra-m.ru/2208/2208981/cover/2208981.jpg", "Обложка")</f>
        <v>Обложка</v>
      </c>
      <c r="V3705" s="8" t="s">
        <v>16298</v>
      </c>
      <c r="W3705" s="6"/>
      <c r="X3705" s="6"/>
      <c r="Y3705" s="6"/>
      <c r="Z3705" s="6" t="s">
        <v>267</v>
      </c>
      <c r="AA3705" s="6" t="s">
        <v>86</v>
      </c>
      <c r="AB3705" s="8"/>
      <c r="AC3705" s="27">
        <v>9785819907979</v>
      </c>
    </row>
    <row r="3706" spans="1:29" s="4" customFormat="1" ht="51.9" customHeight="1" x14ac:dyDescent="0.2">
      <c r="A3706" s="5">
        <v>0</v>
      </c>
      <c r="B3706" s="6" t="s">
        <v>21606</v>
      </c>
      <c r="C3706" s="7">
        <v>2918.4</v>
      </c>
      <c r="D3706" s="8" t="s">
        <v>21607</v>
      </c>
      <c r="E3706" s="8" t="s">
        <v>21602</v>
      </c>
      <c r="F3706" s="8" t="s">
        <v>21608</v>
      </c>
      <c r="G3706" s="6" t="s">
        <v>118</v>
      </c>
      <c r="H3706" s="6" t="s">
        <v>1042</v>
      </c>
      <c r="I3706" s="8" t="s">
        <v>271</v>
      </c>
      <c r="J3706" s="9">
        <v>1</v>
      </c>
      <c r="K3706" s="9">
        <v>417</v>
      </c>
      <c r="L3706" s="9">
        <v>2023</v>
      </c>
      <c r="M3706" s="8" t="s">
        <v>21609</v>
      </c>
      <c r="N3706" s="8" t="s">
        <v>243</v>
      </c>
      <c r="O3706" s="8" t="s">
        <v>964</v>
      </c>
      <c r="P3706" s="6" t="s">
        <v>51</v>
      </c>
      <c r="Q3706" s="8" t="s">
        <v>52</v>
      </c>
      <c r="R3706" s="10" t="s">
        <v>21610</v>
      </c>
      <c r="S3706" s="11" t="s">
        <v>21611</v>
      </c>
      <c r="T3706" s="6"/>
      <c r="U3706" s="15" t="str">
        <f>HYPERLINK("https://media.infra-m.ru/1978/1978088/cover/1978088.jpg", "Обложка")</f>
        <v>Обложка</v>
      </c>
      <c r="V3706" s="8" t="s">
        <v>16298</v>
      </c>
      <c r="W3706" s="6"/>
      <c r="X3706" s="6"/>
      <c r="Y3706" s="6"/>
      <c r="Z3706" s="6"/>
      <c r="AA3706" s="6" t="s">
        <v>248</v>
      </c>
      <c r="AB3706" s="8"/>
      <c r="AC3706" s="27">
        <v>9785819908044</v>
      </c>
    </row>
    <row r="3707" spans="1:29" s="4" customFormat="1" ht="51.9" customHeight="1" x14ac:dyDescent="0.2">
      <c r="A3707" s="5">
        <v>0</v>
      </c>
      <c r="B3707" s="6" t="s">
        <v>21612</v>
      </c>
      <c r="C3707" s="13">
        <v>593.9</v>
      </c>
      <c r="D3707" s="8" t="s">
        <v>21613</v>
      </c>
      <c r="E3707" s="8" t="s">
        <v>21614</v>
      </c>
      <c r="F3707" s="8" t="s">
        <v>21360</v>
      </c>
      <c r="G3707" s="6" t="s">
        <v>33</v>
      </c>
      <c r="H3707" s="6" t="s">
        <v>5605</v>
      </c>
      <c r="I3707" s="8" t="s">
        <v>253</v>
      </c>
      <c r="J3707" s="9">
        <v>24</v>
      </c>
      <c r="K3707" s="9">
        <v>184</v>
      </c>
      <c r="L3707" s="9">
        <v>2017</v>
      </c>
      <c r="M3707" s="8" t="s">
        <v>21615</v>
      </c>
      <c r="N3707" s="8" t="s">
        <v>37</v>
      </c>
      <c r="O3707" s="8" t="s">
        <v>280</v>
      </c>
      <c r="P3707" s="6" t="s">
        <v>51</v>
      </c>
      <c r="Q3707" s="8" t="s">
        <v>52</v>
      </c>
      <c r="R3707" s="10" t="s">
        <v>21362</v>
      </c>
      <c r="S3707" s="11"/>
      <c r="T3707" s="6"/>
      <c r="U3707" s="15" t="str">
        <f>HYPERLINK("https://media.infra-m.ru/0558/0558416/cover/558416.jpg", "Обложка")</f>
        <v>Обложка</v>
      </c>
      <c r="V3707" s="8" t="s">
        <v>247</v>
      </c>
      <c r="W3707" s="6"/>
      <c r="X3707" s="6"/>
      <c r="Y3707" s="6"/>
      <c r="Z3707" s="6"/>
      <c r="AA3707" s="6" t="s">
        <v>129</v>
      </c>
      <c r="AB3707" s="8"/>
      <c r="AC3707" s="27">
        <v>9785160045153</v>
      </c>
    </row>
    <row r="3708" spans="1:29" s="4" customFormat="1" ht="51.9" customHeight="1" x14ac:dyDescent="0.2">
      <c r="A3708" s="5">
        <v>0</v>
      </c>
      <c r="B3708" s="6" t="s">
        <v>21616</v>
      </c>
      <c r="C3708" s="7">
        <v>1644</v>
      </c>
      <c r="D3708" s="8" t="s">
        <v>21617</v>
      </c>
      <c r="E3708" s="8" t="s">
        <v>21618</v>
      </c>
      <c r="F3708" s="8" t="s">
        <v>21619</v>
      </c>
      <c r="G3708" s="6" t="s">
        <v>33</v>
      </c>
      <c r="H3708" s="6" t="s">
        <v>34</v>
      </c>
      <c r="I3708" s="8" t="s">
        <v>35</v>
      </c>
      <c r="J3708" s="9">
        <v>1</v>
      </c>
      <c r="K3708" s="9">
        <v>304</v>
      </c>
      <c r="L3708" s="9">
        <v>2023</v>
      </c>
      <c r="M3708" s="8" t="s">
        <v>21620</v>
      </c>
      <c r="N3708" s="8" t="s">
        <v>37</v>
      </c>
      <c r="O3708" s="8" t="s">
        <v>280</v>
      </c>
      <c r="P3708" s="6" t="s">
        <v>39</v>
      </c>
      <c r="Q3708" s="8" t="s">
        <v>40</v>
      </c>
      <c r="R3708" s="10" t="s">
        <v>13012</v>
      </c>
      <c r="S3708" s="11"/>
      <c r="T3708" s="6"/>
      <c r="U3708" s="15" t="str">
        <f>HYPERLINK("https://media.infra-m.ru/1875/1875454/cover/1875454.jpg", "Обложка")</f>
        <v>Обложка</v>
      </c>
      <c r="V3708" s="8" t="s">
        <v>247</v>
      </c>
      <c r="W3708" s="6"/>
      <c r="X3708" s="6"/>
      <c r="Y3708" s="6"/>
      <c r="Z3708" s="6"/>
      <c r="AA3708" s="6" t="s">
        <v>157</v>
      </c>
      <c r="AB3708" s="8"/>
      <c r="AC3708" s="27">
        <v>9785160177830</v>
      </c>
    </row>
    <row r="3709" spans="1:29" s="4" customFormat="1" ht="51.9" customHeight="1" x14ac:dyDescent="0.2">
      <c r="A3709" s="5">
        <v>0</v>
      </c>
      <c r="B3709" s="6" t="s">
        <v>21621</v>
      </c>
      <c r="C3709" s="7">
        <v>2284.8000000000002</v>
      </c>
      <c r="D3709" s="8" t="s">
        <v>21622</v>
      </c>
      <c r="E3709" s="8" t="s">
        <v>21623</v>
      </c>
      <c r="F3709" s="8" t="s">
        <v>21624</v>
      </c>
      <c r="G3709" s="6" t="s">
        <v>33</v>
      </c>
      <c r="H3709" s="6" t="s">
        <v>34</v>
      </c>
      <c r="I3709" s="8" t="s">
        <v>35</v>
      </c>
      <c r="J3709" s="9">
        <v>1</v>
      </c>
      <c r="K3709" s="9">
        <v>347</v>
      </c>
      <c r="L3709" s="9">
        <v>2026</v>
      </c>
      <c r="M3709" s="8" t="s">
        <v>21625</v>
      </c>
      <c r="N3709" s="8" t="s">
        <v>243</v>
      </c>
      <c r="O3709" s="8" t="s">
        <v>244</v>
      </c>
      <c r="P3709" s="6" t="s">
        <v>39</v>
      </c>
      <c r="Q3709" s="8" t="s">
        <v>40</v>
      </c>
      <c r="R3709" s="10" t="s">
        <v>21626</v>
      </c>
      <c r="S3709" s="11"/>
      <c r="T3709" s="6"/>
      <c r="U3709" s="15" t="str">
        <f>HYPERLINK("https://media.infra-m.ru/2238/2238379/cover/2238379.jpg", "Обложка")</f>
        <v>Обложка</v>
      </c>
      <c r="V3709" s="8" t="s">
        <v>6090</v>
      </c>
      <c r="W3709" s="6"/>
      <c r="X3709" s="6"/>
      <c r="Y3709" s="6"/>
      <c r="Z3709" s="6"/>
      <c r="AA3709" s="6" t="s">
        <v>157</v>
      </c>
      <c r="AB3709" s="8" t="s">
        <v>6422</v>
      </c>
      <c r="AC3709" s="27">
        <v>9785160180175</v>
      </c>
    </row>
    <row r="3710" spans="1:29" s="4" customFormat="1" ht="42" customHeight="1" x14ac:dyDescent="0.2">
      <c r="A3710" s="5">
        <v>0</v>
      </c>
      <c r="B3710" s="6" t="s">
        <v>21627</v>
      </c>
      <c r="C3710" s="7">
        <v>1692</v>
      </c>
      <c r="D3710" s="8" t="s">
        <v>21628</v>
      </c>
      <c r="E3710" s="8" t="s">
        <v>21629</v>
      </c>
      <c r="F3710" s="8" t="s">
        <v>21630</v>
      </c>
      <c r="G3710" s="6" t="s">
        <v>60</v>
      </c>
      <c r="H3710" s="6" t="s">
        <v>34</v>
      </c>
      <c r="I3710" s="8" t="s">
        <v>1248</v>
      </c>
      <c r="J3710" s="9">
        <v>1</v>
      </c>
      <c r="K3710" s="9">
        <v>255</v>
      </c>
      <c r="L3710" s="9">
        <v>2026</v>
      </c>
      <c r="M3710" s="8" t="s">
        <v>21631</v>
      </c>
      <c r="N3710" s="8" t="s">
        <v>243</v>
      </c>
      <c r="O3710" s="8" t="s">
        <v>244</v>
      </c>
      <c r="P3710" s="6" t="s">
        <v>51</v>
      </c>
      <c r="Q3710" s="8" t="s">
        <v>65</v>
      </c>
      <c r="R3710" s="10" t="s">
        <v>12977</v>
      </c>
      <c r="S3710" s="11"/>
      <c r="T3710" s="6"/>
      <c r="U3710" s="15" t="str">
        <f>HYPERLINK("https://media.infra-m.ru/2222/2222614/cover/2222614.jpg", "Обложка")</f>
        <v>Обложка</v>
      </c>
      <c r="V3710" s="8" t="s">
        <v>1083</v>
      </c>
      <c r="W3710" s="6" t="s">
        <v>342</v>
      </c>
      <c r="X3710" s="6"/>
      <c r="Y3710" s="6"/>
      <c r="Z3710" s="6"/>
      <c r="AA3710" s="6" t="s">
        <v>187</v>
      </c>
      <c r="AB3710" s="8"/>
      <c r="AC3710" s="27">
        <v>9785160213385</v>
      </c>
    </row>
    <row r="3711" spans="1:29" s="4" customFormat="1" ht="51.9" customHeight="1" x14ac:dyDescent="0.2">
      <c r="A3711" s="5">
        <v>0</v>
      </c>
      <c r="B3711" s="6" t="s">
        <v>21632</v>
      </c>
      <c r="C3711" s="7">
        <v>3124.8</v>
      </c>
      <c r="D3711" s="8" t="s">
        <v>21633</v>
      </c>
      <c r="E3711" s="8" t="s">
        <v>21634</v>
      </c>
      <c r="F3711" s="8" t="s">
        <v>21635</v>
      </c>
      <c r="G3711" s="6" t="s">
        <v>60</v>
      </c>
      <c r="H3711" s="6" t="s">
        <v>34</v>
      </c>
      <c r="I3711" s="8" t="s">
        <v>253</v>
      </c>
      <c r="J3711" s="9">
        <v>1</v>
      </c>
      <c r="K3711" s="9">
        <v>474</v>
      </c>
      <c r="L3711" s="9">
        <v>2026</v>
      </c>
      <c r="M3711" s="8" t="s">
        <v>21636</v>
      </c>
      <c r="N3711" s="8" t="s">
        <v>585</v>
      </c>
      <c r="O3711" s="8" t="s">
        <v>775</v>
      </c>
      <c r="P3711" s="6" t="s">
        <v>306</v>
      </c>
      <c r="Q3711" s="8" t="s">
        <v>65</v>
      </c>
      <c r="R3711" s="10" t="s">
        <v>21637</v>
      </c>
      <c r="S3711" s="11" t="s">
        <v>21638</v>
      </c>
      <c r="T3711" s="6"/>
      <c r="U3711" s="15" t="str">
        <f>HYPERLINK("https://media.infra-m.ru/2243/2243590/cover/2243590.jpg", "Обложка")</f>
        <v>Обложка</v>
      </c>
      <c r="V3711" s="8" t="s">
        <v>1647</v>
      </c>
      <c r="W3711" s="6"/>
      <c r="X3711" s="6"/>
      <c r="Y3711" s="6"/>
      <c r="Z3711" s="6"/>
      <c r="AA3711" s="6" t="s">
        <v>115</v>
      </c>
      <c r="AB3711" s="8"/>
      <c r="AC3711" s="27">
        <v>9785160185156</v>
      </c>
    </row>
    <row r="3712" spans="1:29" s="4" customFormat="1" ht="42" customHeight="1" x14ac:dyDescent="0.2">
      <c r="A3712" s="5">
        <v>0</v>
      </c>
      <c r="B3712" s="6" t="s">
        <v>21639</v>
      </c>
      <c r="C3712" s="13">
        <v>948</v>
      </c>
      <c r="D3712" s="8" t="s">
        <v>21640</v>
      </c>
      <c r="E3712" s="8" t="s">
        <v>21641</v>
      </c>
      <c r="F3712" s="8" t="s">
        <v>21642</v>
      </c>
      <c r="G3712" s="6" t="s">
        <v>118</v>
      </c>
      <c r="H3712" s="6" t="s">
        <v>34</v>
      </c>
      <c r="I3712" s="8" t="s">
        <v>35</v>
      </c>
      <c r="J3712" s="9">
        <v>1</v>
      </c>
      <c r="K3712" s="9">
        <v>202</v>
      </c>
      <c r="L3712" s="9">
        <v>2022</v>
      </c>
      <c r="M3712" s="8" t="s">
        <v>21643</v>
      </c>
      <c r="N3712" s="8" t="s">
        <v>37</v>
      </c>
      <c r="O3712" s="8" t="s">
        <v>233</v>
      </c>
      <c r="P3712" s="6" t="s">
        <v>39</v>
      </c>
      <c r="Q3712" s="8" t="s">
        <v>40</v>
      </c>
      <c r="R3712" s="10" t="s">
        <v>3008</v>
      </c>
      <c r="S3712" s="11"/>
      <c r="T3712" s="6"/>
      <c r="U3712" s="15" t="str">
        <f>HYPERLINK("https://media.infra-m.ru/1739/1739247/cover/1739247.jpg", "Обложка")</f>
        <v>Обложка</v>
      </c>
      <c r="V3712" s="8" t="s">
        <v>16850</v>
      </c>
      <c r="W3712" s="6"/>
      <c r="X3712" s="6"/>
      <c r="Y3712" s="6"/>
      <c r="Z3712" s="6"/>
      <c r="AA3712" s="6" t="s">
        <v>86</v>
      </c>
      <c r="AB3712" s="8"/>
      <c r="AC3712" s="27">
        <v>9785160130965</v>
      </c>
    </row>
    <row r="3713" spans="1:29" s="4" customFormat="1" ht="51.9" customHeight="1" x14ac:dyDescent="0.2">
      <c r="A3713" s="5">
        <v>0</v>
      </c>
      <c r="B3713" s="6" t="s">
        <v>21644</v>
      </c>
      <c r="C3713" s="7">
        <v>3476.4</v>
      </c>
      <c r="D3713" s="8" t="s">
        <v>21645</v>
      </c>
      <c r="E3713" s="8" t="s">
        <v>21646</v>
      </c>
      <c r="F3713" s="8" t="s">
        <v>21647</v>
      </c>
      <c r="G3713" s="6" t="s">
        <v>60</v>
      </c>
      <c r="H3713" s="6" t="s">
        <v>1644</v>
      </c>
      <c r="I3713" s="8" t="s">
        <v>1904</v>
      </c>
      <c r="J3713" s="9">
        <v>1</v>
      </c>
      <c r="K3713" s="9">
        <v>512</v>
      </c>
      <c r="L3713" s="9">
        <v>2025</v>
      </c>
      <c r="M3713" s="8" t="s">
        <v>21648</v>
      </c>
      <c r="N3713" s="8" t="s">
        <v>585</v>
      </c>
      <c r="O3713" s="8" t="s">
        <v>667</v>
      </c>
      <c r="P3713" s="6" t="s">
        <v>306</v>
      </c>
      <c r="Q3713" s="8" t="s">
        <v>52</v>
      </c>
      <c r="R3713" s="10" t="s">
        <v>21649</v>
      </c>
      <c r="S3713" s="11" t="s">
        <v>21650</v>
      </c>
      <c r="T3713" s="6"/>
      <c r="U3713" s="15" t="str">
        <f>HYPERLINK("https://media.infra-m.ru/2141/2141345/cover/2141345.jpg", "Обложка")</f>
        <v>Обложка</v>
      </c>
      <c r="V3713" s="8" t="s">
        <v>12056</v>
      </c>
      <c r="W3713" s="6"/>
      <c r="X3713" s="6"/>
      <c r="Y3713" s="6"/>
      <c r="Z3713" s="6"/>
      <c r="AA3713" s="6" t="s">
        <v>1015</v>
      </c>
      <c r="AB3713" s="8"/>
      <c r="AC3713" s="27">
        <v>9785977601535</v>
      </c>
    </row>
    <row r="3714" spans="1:29" s="4" customFormat="1" ht="51.9" customHeight="1" x14ac:dyDescent="0.2">
      <c r="A3714" s="5">
        <v>0</v>
      </c>
      <c r="B3714" s="6" t="s">
        <v>21651</v>
      </c>
      <c r="C3714" s="7">
        <v>2068.8000000000002</v>
      </c>
      <c r="D3714" s="8" t="s">
        <v>21652</v>
      </c>
      <c r="E3714" s="8" t="s">
        <v>21653</v>
      </c>
      <c r="F3714" s="8" t="s">
        <v>12287</v>
      </c>
      <c r="G3714" s="6" t="s">
        <v>118</v>
      </c>
      <c r="H3714" s="6" t="s">
        <v>34</v>
      </c>
      <c r="I3714" s="8" t="s">
        <v>271</v>
      </c>
      <c r="J3714" s="9">
        <v>1</v>
      </c>
      <c r="K3714" s="9">
        <v>344</v>
      </c>
      <c r="L3714" s="9">
        <v>2025</v>
      </c>
      <c r="M3714" s="8" t="s">
        <v>21654</v>
      </c>
      <c r="N3714" s="8" t="s">
        <v>37</v>
      </c>
      <c r="O3714" s="8" t="s">
        <v>233</v>
      </c>
      <c r="P3714" s="6" t="s">
        <v>51</v>
      </c>
      <c r="Q3714" s="8" t="s">
        <v>52</v>
      </c>
      <c r="R3714" s="10" t="s">
        <v>2033</v>
      </c>
      <c r="S3714" s="11" t="s">
        <v>21655</v>
      </c>
      <c r="T3714" s="6"/>
      <c r="U3714" s="15" t="str">
        <f>HYPERLINK("https://media.infra-m.ru/2185/2185909/cover/2185909.jpg", "Обложка")</f>
        <v>Обложка</v>
      </c>
      <c r="V3714" s="8" t="s">
        <v>546</v>
      </c>
      <c r="W3714" s="6"/>
      <c r="X3714" s="6"/>
      <c r="Y3714" s="6"/>
      <c r="Z3714" s="6"/>
      <c r="AA3714" s="6" t="s">
        <v>718</v>
      </c>
      <c r="AB3714" s="8"/>
      <c r="AC3714" s="27">
        <v>9785160057484</v>
      </c>
    </row>
    <row r="3715" spans="1:29" s="4" customFormat="1" ht="51.9" customHeight="1" x14ac:dyDescent="0.2">
      <c r="A3715" s="5">
        <v>0</v>
      </c>
      <c r="B3715" s="6" t="s">
        <v>21656</v>
      </c>
      <c r="C3715" s="13">
        <v>924</v>
      </c>
      <c r="D3715" s="8" t="s">
        <v>21657</v>
      </c>
      <c r="E3715" s="8" t="s">
        <v>21658</v>
      </c>
      <c r="F3715" s="8" t="s">
        <v>21659</v>
      </c>
      <c r="G3715" s="6" t="s">
        <v>118</v>
      </c>
      <c r="H3715" s="6" t="s">
        <v>34</v>
      </c>
      <c r="I3715" s="8" t="s">
        <v>271</v>
      </c>
      <c r="J3715" s="9">
        <v>1</v>
      </c>
      <c r="K3715" s="9">
        <v>166</v>
      </c>
      <c r="L3715" s="9">
        <v>2023</v>
      </c>
      <c r="M3715" s="8" t="s">
        <v>21660</v>
      </c>
      <c r="N3715" s="8" t="s">
        <v>63</v>
      </c>
      <c r="O3715" s="8" t="s">
        <v>64</v>
      </c>
      <c r="P3715" s="6" t="s">
        <v>51</v>
      </c>
      <c r="Q3715" s="8" t="s">
        <v>65</v>
      </c>
      <c r="R3715" s="10" t="s">
        <v>21661</v>
      </c>
      <c r="S3715" s="11" t="s">
        <v>21662</v>
      </c>
      <c r="T3715" s="6"/>
      <c r="U3715" s="15" t="str">
        <f>HYPERLINK("https://media.infra-m.ru/2111/2111335/cover/2111335.jpg", "Обложка")</f>
        <v>Обложка</v>
      </c>
      <c r="V3715" s="8" t="s">
        <v>5250</v>
      </c>
      <c r="W3715" s="6"/>
      <c r="X3715" s="6"/>
      <c r="Y3715" s="6"/>
      <c r="Z3715" s="6"/>
      <c r="AA3715" s="6" t="s">
        <v>115</v>
      </c>
      <c r="AB3715" s="8"/>
      <c r="AC3715" s="27">
        <v>9785160137988</v>
      </c>
    </row>
    <row r="3716" spans="1:29" s="4" customFormat="1" ht="44.1" customHeight="1" x14ac:dyDescent="0.2">
      <c r="A3716" s="5">
        <v>0</v>
      </c>
      <c r="B3716" s="6" t="s">
        <v>21663</v>
      </c>
      <c r="C3716" s="7">
        <v>1032</v>
      </c>
      <c r="D3716" s="8" t="s">
        <v>21664</v>
      </c>
      <c r="E3716" s="8" t="s">
        <v>21665</v>
      </c>
      <c r="F3716" s="8" t="s">
        <v>21666</v>
      </c>
      <c r="G3716" s="6" t="s">
        <v>33</v>
      </c>
      <c r="H3716" s="6" t="s">
        <v>34</v>
      </c>
      <c r="I3716" s="8" t="s">
        <v>35</v>
      </c>
      <c r="J3716" s="9">
        <v>1</v>
      </c>
      <c r="K3716" s="9">
        <v>276</v>
      </c>
      <c r="L3716" s="9">
        <v>2019</v>
      </c>
      <c r="M3716" s="8" t="s">
        <v>21667</v>
      </c>
      <c r="N3716" s="8" t="s">
        <v>243</v>
      </c>
      <c r="O3716" s="8" t="s">
        <v>244</v>
      </c>
      <c r="P3716" s="6" t="s">
        <v>39</v>
      </c>
      <c r="Q3716" s="8" t="s">
        <v>40</v>
      </c>
      <c r="R3716" s="10" t="s">
        <v>21668</v>
      </c>
      <c r="S3716" s="11"/>
      <c r="T3716" s="6"/>
      <c r="U3716" s="15" t="str">
        <f>HYPERLINK("https://media.infra-m.ru/0982/0982547/cover/982547.jpg", "Обложка")</f>
        <v>Обложка</v>
      </c>
      <c r="V3716" s="8" t="s">
        <v>227</v>
      </c>
      <c r="W3716" s="6"/>
      <c r="X3716" s="6"/>
      <c r="Y3716" s="6"/>
      <c r="Z3716" s="6"/>
      <c r="AA3716" s="6" t="s">
        <v>55</v>
      </c>
      <c r="AB3716" s="8"/>
      <c r="AC3716" s="27">
        <v>9785160097732</v>
      </c>
    </row>
    <row r="3717" spans="1:29" s="4" customFormat="1" ht="51.9" customHeight="1" x14ac:dyDescent="0.2">
      <c r="A3717" s="5">
        <v>0</v>
      </c>
      <c r="B3717" s="6" t="s">
        <v>21669</v>
      </c>
      <c r="C3717" s="7">
        <v>1008</v>
      </c>
      <c r="D3717" s="8" t="s">
        <v>21670</v>
      </c>
      <c r="E3717" s="8" t="s">
        <v>21671</v>
      </c>
      <c r="F3717" s="8" t="s">
        <v>21672</v>
      </c>
      <c r="G3717" s="6" t="s">
        <v>118</v>
      </c>
      <c r="H3717" s="6" t="s">
        <v>241</v>
      </c>
      <c r="I3717" s="8"/>
      <c r="J3717" s="9">
        <v>1</v>
      </c>
      <c r="K3717" s="9">
        <v>168</v>
      </c>
      <c r="L3717" s="9">
        <v>2024</v>
      </c>
      <c r="M3717" s="8" t="s">
        <v>21673</v>
      </c>
      <c r="N3717" s="8" t="s">
        <v>243</v>
      </c>
      <c r="O3717" s="8" t="s">
        <v>244</v>
      </c>
      <c r="P3717" s="6" t="s">
        <v>306</v>
      </c>
      <c r="Q3717" s="8" t="s">
        <v>52</v>
      </c>
      <c r="R3717" s="10" t="s">
        <v>21674</v>
      </c>
      <c r="S3717" s="11"/>
      <c r="T3717" s="6"/>
      <c r="U3717" s="15" t="str">
        <f>HYPERLINK("https://media.infra-m.ru/2122/2122966/cover/2122966.jpg", "Обложка")</f>
        <v>Обложка</v>
      </c>
      <c r="V3717" s="8" t="s">
        <v>247</v>
      </c>
      <c r="W3717" s="6"/>
      <c r="X3717" s="6"/>
      <c r="Y3717" s="6"/>
      <c r="Z3717" s="6"/>
      <c r="AA3717" s="6" t="s">
        <v>779</v>
      </c>
      <c r="AB3717" s="8"/>
      <c r="AC3717" s="27">
        <v>9785955804903</v>
      </c>
    </row>
    <row r="3718" spans="1:29" s="4" customFormat="1" ht="42" customHeight="1" x14ac:dyDescent="0.2">
      <c r="A3718" s="5">
        <v>0</v>
      </c>
      <c r="B3718" s="6" t="s">
        <v>21675</v>
      </c>
      <c r="C3718" s="13">
        <v>756</v>
      </c>
      <c r="D3718" s="8" t="s">
        <v>21676</v>
      </c>
      <c r="E3718" s="8" t="s">
        <v>21677</v>
      </c>
      <c r="F3718" s="8" t="s">
        <v>21678</v>
      </c>
      <c r="G3718" s="6" t="s">
        <v>33</v>
      </c>
      <c r="H3718" s="6" t="s">
        <v>34</v>
      </c>
      <c r="I3718" s="8" t="s">
        <v>1248</v>
      </c>
      <c r="J3718" s="9">
        <v>1</v>
      </c>
      <c r="K3718" s="9">
        <v>108</v>
      </c>
      <c r="L3718" s="9">
        <v>2026</v>
      </c>
      <c r="M3718" s="8" t="s">
        <v>21679</v>
      </c>
      <c r="N3718" s="8" t="s">
        <v>585</v>
      </c>
      <c r="O3718" s="8" t="s">
        <v>586</v>
      </c>
      <c r="P3718" s="6" t="s">
        <v>51</v>
      </c>
      <c r="Q3718" s="8" t="s">
        <v>52</v>
      </c>
      <c r="R3718" s="10" t="s">
        <v>21680</v>
      </c>
      <c r="S3718" s="11"/>
      <c r="T3718" s="6"/>
      <c r="U3718" s="15" t="str">
        <f>HYPERLINK("https://media.infra-m.ru/2222/2222615/cover/2222615.jpg", "Обложка")</f>
        <v>Обложка</v>
      </c>
      <c r="V3718" s="8" t="s">
        <v>1083</v>
      </c>
      <c r="W3718" s="6" t="s">
        <v>342</v>
      </c>
      <c r="X3718" s="6"/>
      <c r="Y3718" s="6"/>
      <c r="Z3718" s="6"/>
      <c r="AA3718" s="6" t="s">
        <v>187</v>
      </c>
      <c r="AB3718" s="8"/>
      <c r="AC3718" s="27">
        <v>9785160213408</v>
      </c>
    </row>
    <row r="3719" spans="1:29" s="4" customFormat="1" ht="51.9" customHeight="1" x14ac:dyDescent="0.2">
      <c r="A3719" s="5">
        <v>0</v>
      </c>
      <c r="B3719" s="6" t="s">
        <v>21681</v>
      </c>
      <c r="C3719" s="7">
        <v>1612.8</v>
      </c>
      <c r="D3719" s="8" t="s">
        <v>21682</v>
      </c>
      <c r="E3719" s="8" t="s">
        <v>21683</v>
      </c>
      <c r="F3719" s="8" t="s">
        <v>21684</v>
      </c>
      <c r="G3719" s="6" t="s">
        <v>118</v>
      </c>
      <c r="H3719" s="6" t="s">
        <v>34</v>
      </c>
      <c r="I3719" s="8" t="s">
        <v>271</v>
      </c>
      <c r="J3719" s="9">
        <v>1</v>
      </c>
      <c r="K3719" s="9">
        <v>259</v>
      </c>
      <c r="L3719" s="9">
        <v>2025</v>
      </c>
      <c r="M3719" s="8" t="s">
        <v>21685</v>
      </c>
      <c r="N3719" s="8" t="s">
        <v>243</v>
      </c>
      <c r="O3719" s="8" t="s">
        <v>758</v>
      </c>
      <c r="P3719" s="6" t="s">
        <v>306</v>
      </c>
      <c r="Q3719" s="8" t="s">
        <v>52</v>
      </c>
      <c r="R3719" s="10" t="s">
        <v>7911</v>
      </c>
      <c r="S3719" s="11" t="s">
        <v>21686</v>
      </c>
      <c r="T3719" s="6" t="s">
        <v>97</v>
      </c>
      <c r="U3719" s="15" t="str">
        <f>HYPERLINK("https://media.infra-m.ru/2161/2161681/cover/2161681.jpg", "Обложка")</f>
        <v>Обложка</v>
      </c>
      <c r="V3719" s="8" t="s">
        <v>1206</v>
      </c>
      <c r="W3719" s="6"/>
      <c r="X3719" s="6"/>
      <c r="Y3719" s="6"/>
      <c r="Z3719" s="6"/>
      <c r="AA3719" s="6" t="s">
        <v>779</v>
      </c>
      <c r="AB3719" s="8"/>
      <c r="AC3719" s="27">
        <v>9785160109169</v>
      </c>
    </row>
    <row r="3720" spans="1:29" s="4" customFormat="1" ht="51.9" customHeight="1" x14ac:dyDescent="0.2">
      <c r="A3720" s="5">
        <v>0</v>
      </c>
      <c r="B3720" s="6" t="s">
        <v>21687</v>
      </c>
      <c r="C3720" s="7">
        <v>2488.8000000000002</v>
      </c>
      <c r="D3720" s="8" t="s">
        <v>21688</v>
      </c>
      <c r="E3720" s="8" t="s">
        <v>21689</v>
      </c>
      <c r="F3720" s="8" t="s">
        <v>21690</v>
      </c>
      <c r="G3720" s="6" t="s">
        <v>60</v>
      </c>
      <c r="H3720" s="6" t="s">
        <v>820</v>
      </c>
      <c r="I3720" s="8"/>
      <c r="J3720" s="9">
        <v>1</v>
      </c>
      <c r="K3720" s="9">
        <v>352</v>
      </c>
      <c r="L3720" s="9">
        <v>2027</v>
      </c>
      <c r="M3720" s="8" t="s">
        <v>21691</v>
      </c>
      <c r="N3720" s="8" t="s">
        <v>585</v>
      </c>
      <c r="O3720" s="8" t="s">
        <v>775</v>
      </c>
      <c r="P3720" s="6" t="s">
        <v>51</v>
      </c>
      <c r="Q3720" s="8" t="s">
        <v>52</v>
      </c>
      <c r="R3720" s="10" t="s">
        <v>21692</v>
      </c>
      <c r="S3720" s="11" t="s">
        <v>21693</v>
      </c>
      <c r="T3720" s="6"/>
      <c r="U3720" s="15" t="str">
        <f>HYPERLINK("https://media.infra-m.ru/2271/2271612/cover/2271612.jpg", "Обложка")</f>
        <v>Обложка</v>
      </c>
      <c r="V3720" s="8"/>
      <c r="W3720" s="6"/>
      <c r="X3720" s="6"/>
      <c r="Y3720" s="6"/>
      <c r="Z3720" s="6"/>
      <c r="AA3720" s="6" t="s">
        <v>248</v>
      </c>
      <c r="AB3720" s="8"/>
      <c r="AC3720" s="27">
        <v>9785905554544</v>
      </c>
    </row>
    <row r="3721" spans="1:29" s="4" customFormat="1" ht="51.9" customHeight="1" x14ac:dyDescent="0.2">
      <c r="A3721" s="5">
        <v>0</v>
      </c>
      <c r="B3721" s="6" t="s">
        <v>21694</v>
      </c>
      <c r="C3721" s="7">
        <v>1900.8</v>
      </c>
      <c r="D3721" s="8" t="s">
        <v>21695</v>
      </c>
      <c r="E3721" s="8" t="s">
        <v>21696</v>
      </c>
      <c r="F3721" s="8" t="s">
        <v>21697</v>
      </c>
      <c r="G3721" s="6" t="s">
        <v>118</v>
      </c>
      <c r="H3721" s="6" t="s">
        <v>34</v>
      </c>
      <c r="I3721" s="8" t="s">
        <v>271</v>
      </c>
      <c r="J3721" s="9">
        <v>1</v>
      </c>
      <c r="K3721" s="9">
        <v>273</v>
      </c>
      <c r="L3721" s="9">
        <v>2027</v>
      </c>
      <c r="M3721" s="8" t="s">
        <v>21698</v>
      </c>
      <c r="N3721" s="8" t="s">
        <v>243</v>
      </c>
      <c r="O3721" s="8" t="s">
        <v>329</v>
      </c>
      <c r="P3721" s="6" t="s">
        <v>51</v>
      </c>
      <c r="Q3721" s="8" t="s">
        <v>52</v>
      </c>
      <c r="R3721" s="10" t="s">
        <v>21699</v>
      </c>
      <c r="S3721" s="11" t="s">
        <v>21700</v>
      </c>
      <c r="T3721" s="6"/>
      <c r="U3721" s="15" t="str">
        <f>HYPERLINK("https://media.infra-m.ru/2260/2260544/cover/2260544.jpg", "Обложка")</f>
        <v>Обложка</v>
      </c>
      <c r="V3721" s="8" t="s">
        <v>227</v>
      </c>
      <c r="W3721" s="6"/>
      <c r="X3721" s="6"/>
      <c r="Y3721" s="6"/>
      <c r="Z3721" s="6"/>
      <c r="AA3721" s="6" t="s">
        <v>55</v>
      </c>
      <c r="AB3721" s="8"/>
      <c r="AC3721" s="27">
        <v>9785160067698</v>
      </c>
    </row>
    <row r="3722" spans="1:29" s="4" customFormat="1" ht="44.1" customHeight="1" x14ac:dyDescent="0.2">
      <c r="A3722" s="5">
        <v>0</v>
      </c>
      <c r="B3722" s="6" t="s">
        <v>21701</v>
      </c>
      <c r="C3722" s="7">
        <v>2256</v>
      </c>
      <c r="D3722" s="8" t="s">
        <v>21702</v>
      </c>
      <c r="E3722" s="8" t="s">
        <v>21703</v>
      </c>
      <c r="F3722" s="8" t="s">
        <v>21704</v>
      </c>
      <c r="G3722" s="6" t="s">
        <v>118</v>
      </c>
      <c r="H3722" s="6" t="s">
        <v>34</v>
      </c>
      <c r="I3722" s="8" t="s">
        <v>253</v>
      </c>
      <c r="J3722" s="9">
        <v>1</v>
      </c>
      <c r="K3722" s="9">
        <v>341</v>
      </c>
      <c r="L3722" s="9">
        <v>2026</v>
      </c>
      <c r="M3722" s="8" t="s">
        <v>21705</v>
      </c>
      <c r="N3722" s="8" t="s">
        <v>243</v>
      </c>
      <c r="O3722" s="8" t="s">
        <v>329</v>
      </c>
      <c r="P3722" s="6" t="s">
        <v>306</v>
      </c>
      <c r="Q3722" s="8" t="s">
        <v>377</v>
      </c>
      <c r="R3722" s="10" t="s">
        <v>21706</v>
      </c>
      <c r="S3722" s="11"/>
      <c r="T3722" s="6"/>
      <c r="U3722" s="15" t="str">
        <f>HYPERLINK("https://media.infra-m.ru/2233/2233963/cover/2233963.jpg", "Обложка")</f>
        <v>Обложка</v>
      </c>
      <c r="V3722" s="8" t="s">
        <v>12235</v>
      </c>
      <c r="W3722" s="6"/>
      <c r="X3722" s="6"/>
      <c r="Y3722" s="6"/>
      <c r="Z3722" s="6"/>
      <c r="AA3722" s="6" t="s">
        <v>76</v>
      </c>
      <c r="AB3722" s="8"/>
      <c r="AC3722" s="27">
        <v>9785160217031</v>
      </c>
    </row>
    <row r="3723" spans="1:29" s="4" customFormat="1" ht="51.9" customHeight="1" x14ac:dyDescent="0.2">
      <c r="A3723" s="5">
        <v>0</v>
      </c>
      <c r="B3723" s="6" t="s">
        <v>21707</v>
      </c>
      <c r="C3723" s="7">
        <v>2224.8000000000002</v>
      </c>
      <c r="D3723" s="8" t="s">
        <v>21708</v>
      </c>
      <c r="E3723" s="8" t="s">
        <v>21709</v>
      </c>
      <c r="F3723" s="8" t="s">
        <v>21710</v>
      </c>
      <c r="G3723" s="6" t="s">
        <v>118</v>
      </c>
      <c r="H3723" s="6" t="s">
        <v>34</v>
      </c>
      <c r="I3723" s="8" t="s">
        <v>253</v>
      </c>
      <c r="J3723" s="9">
        <v>1</v>
      </c>
      <c r="K3723" s="9">
        <v>337</v>
      </c>
      <c r="L3723" s="9">
        <v>2026</v>
      </c>
      <c r="M3723" s="8" t="s">
        <v>21711</v>
      </c>
      <c r="N3723" s="8" t="s">
        <v>243</v>
      </c>
      <c r="O3723" s="8" t="s">
        <v>329</v>
      </c>
      <c r="P3723" s="6" t="s">
        <v>306</v>
      </c>
      <c r="Q3723" s="8" t="s">
        <v>65</v>
      </c>
      <c r="R3723" s="10" t="s">
        <v>21712</v>
      </c>
      <c r="S3723" s="11" t="s">
        <v>21713</v>
      </c>
      <c r="T3723" s="6"/>
      <c r="U3723" s="15" t="str">
        <f>HYPERLINK("https://media.infra-m.ru/2224/2224227/cover/2224227.jpg", "Обложка")</f>
        <v>Обложка</v>
      </c>
      <c r="V3723" s="8" t="s">
        <v>631</v>
      </c>
      <c r="W3723" s="6"/>
      <c r="X3723" s="6"/>
      <c r="Y3723" s="6"/>
      <c r="Z3723" s="6"/>
      <c r="AA3723" s="6" t="s">
        <v>43</v>
      </c>
      <c r="AB3723" s="8"/>
      <c r="AC3723" s="27">
        <v>9785160188829</v>
      </c>
    </row>
    <row r="3724" spans="1:29" s="4" customFormat="1" ht="51.9" customHeight="1" x14ac:dyDescent="0.2">
      <c r="A3724" s="5">
        <v>0</v>
      </c>
      <c r="B3724" s="6" t="s">
        <v>21714</v>
      </c>
      <c r="C3724" s="7">
        <v>1836</v>
      </c>
      <c r="D3724" s="8" t="s">
        <v>21715</v>
      </c>
      <c r="E3724" s="8" t="s">
        <v>21716</v>
      </c>
      <c r="F3724" s="8" t="s">
        <v>21717</v>
      </c>
      <c r="G3724" s="6" t="s">
        <v>118</v>
      </c>
      <c r="H3724" s="6" t="s">
        <v>34</v>
      </c>
      <c r="I3724" s="8" t="s">
        <v>263</v>
      </c>
      <c r="J3724" s="9">
        <v>1</v>
      </c>
      <c r="K3724" s="9">
        <v>264</v>
      </c>
      <c r="L3724" s="9">
        <v>2027</v>
      </c>
      <c r="M3724" s="8" t="s">
        <v>21718</v>
      </c>
      <c r="N3724" s="8" t="s">
        <v>243</v>
      </c>
      <c r="O3724" s="8" t="s">
        <v>329</v>
      </c>
      <c r="P3724" s="6" t="s">
        <v>51</v>
      </c>
      <c r="Q3724" s="8" t="s">
        <v>265</v>
      </c>
      <c r="R3724" s="10" t="s">
        <v>21719</v>
      </c>
      <c r="S3724" s="11" t="s">
        <v>21720</v>
      </c>
      <c r="T3724" s="6"/>
      <c r="U3724" s="15" t="str">
        <f>HYPERLINK("https://media.infra-m.ru/2266/2266090/cover/2266090.jpg", "Обложка")</f>
        <v>Обложка</v>
      </c>
      <c r="V3724" s="8" t="s">
        <v>843</v>
      </c>
      <c r="W3724" s="6"/>
      <c r="X3724" s="6" t="s">
        <v>24</v>
      </c>
      <c r="Y3724" s="6"/>
      <c r="Z3724" s="6" t="s">
        <v>882</v>
      </c>
      <c r="AA3724" s="6" t="s">
        <v>2240</v>
      </c>
      <c r="AB3724" s="8"/>
      <c r="AC3724" s="27">
        <v>9785160151076</v>
      </c>
    </row>
    <row r="3725" spans="1:29" s="4" customFormat="1" ht="51.9" customHeight="1" x14ac:dyDescent="0.2">
      <c r="A3725" s="5">
        <v>0</v>
      </c>
      <c r="B3725" s="6" t="s">
        <v>21721</v>
      </c>
      <c r="C3725" s="7">
        <v>1464</v>
      </c>
      <c r="D3725" s="8" t="s">
        <v>21722</v>
      </c>
      <c r="E3725" s="8" t="s">
        <v>21716</v>
      </c>
      <c r="F3725" s="8" t="s">
        <v>21717</v>
      </c>
      <c r="G3725" s="6" t="s">
        <v>118</v>
      </c>
      <c r="H3725" s="6" t="s">
        <v>34</v>
      </c>
      <c r="I3725" s="8" t="s">
        <v>253</v>
      </c>
      <c r="J3725" s="9">
        <v>1</v>
      </c>
      <c r="K3725" s="9">
        <v>264</v>
      </c>
      <c r="L3725" s="9">
        <v>2024</v>
      </c>
      <c r="M3725" s="8" t="s">
        <v>21723</v>
      </c>
      <c r="N3725" s="8" t="s">
        <v>243</v>
      </c>
      <c r="O3725" s="8" t="s">
        <v>329</v>
      </c>
      <c r="P3725" s="6" t="s">
        <v>51</v>
      </c>
      <c r="Q3725" s="8" t="s">
        <v>65</v>
      </c>
      <c r="R3725" s="10" t="s">
        <v>21724</v>
      </c>
      <c r="S3725" s="11" t="s">
        <v>21725</v>
      </c>
      <c r="T3725" s="6"/>
      <c r="U3725" s="15" t="str">
        <f>HYPERLINK("https://media.infra-m.ru/2079/2079283/cover/2079283.jpg", "Обложка")</f>
        <v>Обложка</v>
      </c>
      <c r="V3725" s="8" t="s">
        <v>843</v>
      </c>
      <c r="W3725" s="6"/>
      <c r="X3725" s="6" t="s">
        <v>24</v>
      </c>
      <c r="Y3725" s="6"/>
      <c r="Z3725" s="6"/>
      <c r="AA3725" s="6" t="s">
        <v>404</v>
      </c>
      <c r="AB3725" s="8"/>
      <c r="AC3725" s="27">
        <v>9785160189604</v>
      </c>
    </row>
    <row r="3726" spans="1:29" s="4" customFormat="1" ht="51.9" customHeight="1" x14ac:dyDescent="0.2">
      <c r="A3726" s="5">
        <v>0</v>
      </c>
      <c r="B3726" s="6" t="s">
        <v>21726</v>
      </c>
      <c r="C3726" s="7">
        <v>1992</v>
      </c>
      <c r="D3726" s="8" t="s">
        <v>21727</v>
      </c>
      <c r="E3726" s="8" t="s">
        <v>21728</v>
      </c>
      <c r="F3726" s="8" t="s">
        <v>21729</v>
      </c>
      <c r="G3726" s="6" t="s">
        <v>118</v>
      </c>
      <c r="H3726" s="6" t="s">
        <v>34</v>
      </c>
      <c r="I3726" s="8" t="s">
        <v>6963</v>
      </c>
      <c r="J3726" s="9">
        <v>1</v>
      </c>
      <c r="K3726" s="9">
        <v>301</v>
      </c>
      <c r="L3726" s="9">
        <v>2026</v>
      </c>
      <c r="M3726" s="8" t="s">
        <v>21730</v>
      </c>
      <c r="N3726" s="8" t="s">
        <v>243</v>
      </c>
      <c r="O3726" s="8" t="s">
        <v>329</v>
      </c>
      <c r="P3726" s="6" t="s">
        <v>306</v>
      </c>
      <c r="Q3726" s="8" t="s">
        <v>65</v>
      </c>
      <c r="R3726" s="10" t="s">
        <v>21731</v>
      </c>
      <c r="S3726" s="11" t="s">
        <v>21732</v>
      </c>
      <c r="T3726" s="6"/>
      <c r="U3726" s="15" t="str">
        <f>HYPERLINK("https://media.infra-m.ru/2229/2229313/cover/2229313.jpg", "Обложка")</f>
        <v>Обложка</v>
      </c>
      <c r="V3726" s="8"/>
      <c r="W3726" s="6"/>
      <c r="X3726" s="6"/>
      <c r="Y3726" s="6"/>
      <c r="Z3726" s="6"/>
      <c r="AA3726" s="6" t="s">
        <v>430</v>
      </c>
      <c r="AB3726" s="8"/>
      <c r="AC3726" s="27">
        <v>9785160155463</v>
      </c>
    </row>
    <row r="3727" spans="1:29" s="4" customFormat="1" ht="51.9" customHeight="1" x14ac:dyDescent="0.2">
      <c r="A3727" s="5">
        <v>0</v>
      </c>
      <c r="B3727" s="6" t="s">
        <v>21733</v>
      </c>
      <c r="C3727" s="7">
        <v>3448.8</v>
      </c>
      <c r="D3727" s="8" t="s">
        <v>21734</v>
      </c>
      <c r="E3727" s="8" t="s">
        <v>21728</v>
      </c>
      <c r="F3727" s="8" t="s">
        <v>21735</v>
      </c>
      <c r="G3727" s="6" t="s">
        <v>118</v>
      </c>
      <c r="H3727" s="6" t="s">
        <v>34</v>
      </c>
      <c r="I3727" s="8" t="s">
        <v>6963</v>
      </c>
      <c r="J3727" s="9">
        <v>1</v>
      </c>
      <c r="K3727" s="9">
        <v>523</v>
      </c>
      <c r="L3727" s="9">
        <v>2026</v>
      </c>
      <c r="M3727" s="8" t="s">
        <v>21736</v>
      </c>
      <c r="N3727" s="8" t="s">
        <v>243</v>
      </c>
      <c r="O3727" s="8" t="s">
        <v>329</v>
      </c>
      <c r="P3727" s="6" t="s">
        <v>306</v>
      </c>
      <c r="Q3727" s="8" t="s">
        <v>65</v>
      </c>
      <c r="R3727" s="10" t="s">
        <v>21737</v>
      </c>
      <c r="S3727" s="11" t="s">
        <v>21738</v>
      </c>
      <c r="T3727" s="6"/>
      <c r="U3727" s="15" t="str">
        <f>HYPERLINK("https://media.infra-m.ru/2224/2224168/cover/2224168.jpg", "Обложка")</f>
        <v>Обложка</v>
      </c>
      <c r="V3727" s="8" t="s">
        <v>867</v>
      </c>
      <c r="W3727" s="6"/>
      <c r="X3727" s="6"/>
      <c r="Y3727" s="6"/>
      <c r="Z3727" s="6"/>
      <c r="AA3727" s="6" t="s">
        <v>115</v>
      </c>
      <c r="AB3727" s="8"/>
      <c r="AC3727" s="27">
        <v>9785160150482</v>
      </c>
    </row>
    <row r="3728" spans="1:29" s="4" customFormat="1" ht="51.9" customHeight="1" x14ac:dyDescent="0.2">
      <c r="A3728" s="5">
        <v>0</v>
      </c>
      <c r="B3728" s="6" t="s">
        <v>21739</v>
      </c>
      <c r="C3728" s="7">
        <v>1288.8</v>
      </c>
      <c r="D3728" s="8" t="s">
        <v>21740</v>
      </c>
      <c r="E3728" s="8" t="s">
        <v>21741</v>
      </c>
      <c r="F3728" s="8" t="s">
        <v>21742</v>
      </c>
      <c r="G3728" s="6" t="s">
        <v>118</v>
      </c>
      <c r="H3728" s="6" t="s">
        <v>34</v>
      </c>
      <c r="I3728" s="8"/>
      <c r="J3728" s="9">
        <v>1</v>
      </c>
      <c r="K3728" s="9">
        <v>196</v>
      </c>
      <c r="L3728" s="9">
        <v>2026</v>
      </c>
      <c r="M3728" s="8" t="s">
        <v>21743</v>
      </c>
      <c r="N3728" s="8" t="s">
        <v>243</v>
      </c>
      <c r="O3728" s="8" t="s">
        <v>329</v>
      </c>
      <c r="P3728" s="6" t="s">
        <v>51</v>
      </c>
      <c r="Q3728" s="8" t="s">
        <v>52</v>
      </c>
      <c r="R3728" s="10" t="s">
        <v>21744</v>
      </c>
      <c r="S3728" s="11" t="s">
        <v>21745</v>
      </c>
      <c r="T3728" s="6"/>
      <c r="U3728" s="15" t="str">
        <f>HYPERLINK("https://media.infra-m.ru/2239/2239134/cover/2239134.jpg", "Обложка")</f>
        <v>Обложка</v>
      </c>
      <c r="V3728" s="8" t="s">
        <v>21746</v>
      </c>
      <c r="W3728" s="6"/>
      <c r="X3728" s="6"/>
      <c r="Y3728" s="6"/>
      <c r="Z3728" s="6"/>
      <c r="AA3728" s="6" t="s">
        <v>623</v>
      </c>
      <c r="AB3728" s="8"/>
      <c r="AC3728" s="27">
        <v>9785160123240</v>
      </c>
    </row>
    <row r="3729" spans="1:29" s="4" customFormat="1" ht="51.9" customHeight="1" x14ac:dyDescent="0.2">
      <c r="A3729" s="5">
        <v>0</v>
      </c>
      <c r="B3729" s="6" t="s">
        <v>21747</v>
      </c>
      <c r="C3729" s="7">
        <v>1560</v>
      </c>
      <c r="D3729" s="8" t="s">
        <v>21748</v>
      </c>
      <c r="E3729" s="8" t="s">
        <v>21741</v>
      </c>
      <c r="F3729" s="8" t="s">
        <v>21749</v>
      </c>
      <c r="G3729" s="6" t="s">
        <v>118</v>
      </c>
      <c r="H3729" s="6" t="s">
        <v>34</v>
      </c>
      <c r="I3729" s="8" t="s">
        <v>263</v>
      </c>
      <c r="J3729" s="9">
        <v>1</v>
      </c>
      <c r="K3729" s="9">
        <v>224</v>
      </c>
      <c r="L3729" s="9">
        <v>2027</v>
      </c>
      <c r="M3729" s="8" t="s">
        <v>21750</v>
      </c>
      <c r="N3729" s="8" t="s">
        <v>243</v>
      </c>
      <c r="O3729" s="8" t="s">
        <v>329</v>
      </c>
      <c r="P3729" s="6" t="s">
        <v>51</v>
      </c>
      <c r="Q3729" s="8" t="s">
        <v>265</v>
      </c>
      <c r="R3729" s="10" t="s">
        <v>21751</v>
      </c>
      <c r="S3729" s="11" t="s">
        <v>18815</v>
      </c>
      <c r="T3729" s="6"/>
      <c r="U3729" s="15" t="str">
        <f>HYPERLINK("https://media.infra-m.ru/2265/2265443/cover/2265443.jpg", "Обложка")</f>
        <v>Обложка</v>
      </c>
      <c r="V3729" s="8" t="s">
        <v>247</v>
      </c>
      <c r="W3729" s="6"/>
      <c r="X3729" s="6" t="s">
        <v>24</v>
      </c>
      <c r="Y3729" s="6"/>
      <c r="Z3729" s="6"/>
      <c r="AA3729" s="6" t="s">
        <v>874</v>
      </c>
      <c r="AB3729" s="8"/>
      <c r="AC3729" s="27">
        <v>9785160211435</v>
      </c>
    </row>
    <row r="3730" spans="1:29" s="4" customFormat="1" ht="51.9" customHeight="1" x14ac:dyDescent="0.2">
      <c r="A3730" s="5">
        <v>0</v>
      </c>
      <c r="B3730" s="6" t="s">
        <v>21752</v>
      </c>
      <c r="C3730" s="7">
        <v>1960.8</v>
      </c>
      <c r="D3730" s="8" t="s">
        <v>21753</v>
      </c>
      <c r="E3730" s="8" t="s">
        <v>21754</v>
      </c>
      <c r="F3730" s="8" t="s">
        <v>21755</v>
      </c>
      <c r="G3730" s="6" t="s">
        <v>118</v>
      </c>
      <c r="H3730" s="6" t="s">
        <v>820</v>
      </c>
      <c r="I3730" s="8" t="s">
        <v>263</v>
      </c>
      <c r="J3730" s="9">
        <v>1</v>
      </c>
      <c r="K3730" s="9">
        <v>312</v>
      </c>
      <c r="L3730" s="9">
        <v>2026</v>
      </c>
      <c r="M3730" s="8" t="s">
        <v>21756</v>
      </c>
      <c r="N3730" s="8" t="s">
        <v>243</v>
      </c>
      <c r="O3730" s="8" t="s">
        <v>329</v>
      </c>
      <c r="P3730" s="6" t="s">
        <v>306</v>
      </c>
      <c r="Q3730" s="8" t="s">
        <v>265</v>
      </c>
      <c r="R3730" s="10" t="s">
        <v>21757</v>
      </c>
      <c r="S3730" s="11"/>
      <c r="T3730" s="6"/>
      <c r="U3730" s="15" t="str">
        <f>HYPERLINK("https://media.infra-m.ru/2222/2222967/cover/2222967.jpg", "Обложка")</f>
        <v>Обложка</v>
      </c>
      <c r="V3730" s="8" t="s">
        <v>2398</v>
      </c>
      <c r="W3730" s="6"/>
      <c r="X3730" s="6" t="s">
        <v>24</v>
      </c>
      <c r="Y3730" s="6"/>
      <c r="Z3730" s="6"/>
      <c r="AA3730" s="6" t="s">
        <v>99</v>
      </c>
      <c r="AB3730" s="8"/>
      <c r="AC3730" s="27">
        <v>9785906923158</v>
      </c>
    </row>
    <row r="3731" spans="1:29" s="4" customFormat="1" ht="51.9" customHeight="1" x14ac:dyDescent="0.2">
      <c r="A3731" s="5">
        <v>0</v>
      </c>
      <c r="B3731" s="6" t="s">
        <v>21758</v>
      </c>
      <c r="C3731" s="7">
        <v>3916.8</v>
      </c>
      <c r="D3731" s="8" t="s">
        <v>21759</v>
      </c>
      <c r="E3731" s="8" t="s">
        <v>21760</v>
      </c>
      <c r="F3731" s="8" t="s">
        <v>21761</v>
      </c>
      <c r="G3731" s="6" t="s">
        <v>60</v>
      </c>
      <c r="H3731" s="6" t="s">
        <v>48</v>
      </c>
      <c r="I3731" s="8" t="s">
        <v>253</v>
      </c>
      <c r="J3731" s="9">
        <v>1</v>
      </c>
      <c r="K3731" s="9">
        <v>432</v>
      </c>
      <c r="L3731" s="9">
        <v>2027</v>
      </c>
      <c r="M3731" s="8" t="s">
        <v>21762</v>
      </c>
      <c r="N3731" s="8" t="s">
        <v>243</v>
      </c>
      <c r="O3731" s="8" t="s">
        <v>329</v>
      </c>
      <c r="P3731" s="6" t="s">
        <v>306</v>
      </c>
      <c r="Q3731" s="8" t="s">
        <v>52</v>
      </c>
      <c r="R3731" s="10" t="s">
        <v>21763</v>
      </c>
      <c r="S3731" s="11"/>
      <c r="T3731" s="6"/>
      <c r="U3731" s="15" t="str">
        <f>HYPERLINK("https://media.infra-m.ru/2271/2271613/cover/2271613.jpg", "Обложка")</f>
        <v>Обложка</v>
      </c>
      <c r="V3731" s="8" t="s">
        <v>831</v>
      </c>
      <c r="W3731" s="6"/>
      <c r="X3731" s="6"/>
      <c r="Y3731" s="6"/>
      <c r="Z3731" s="6"/>
      <c r="AA3731" s="6" t="s">
        <v>874</v>
      </c>
      <c r="AB3731" s="8"/>
      <c r="AC3731" s="27">
        <v>9785000916384</v>
      </c>
    </row>
    <row r="3732" spans="1:29" s="4" customFormat="1" ht="51.9" customHeight="1" x14ac:dyDescent="0.2">
      <c r="A3732" s="5">
        <v>0</v>
      </c>
      <c r="B3732" s="6" t="s">
        <v>21764</v>
      </c>
      <c r="C3732" s="7">
        <v>2520</v>
      </c>
      <c r="D3732" s="8" t="s">
        <v>21765</v>
      </c>
      <c r="E3732" s="8" t="s">
        <v>21760</v>
      </c>
      <c r="F3732" s="8" t="s">
        <v>2301</v>
      </c>
      <c r="G3732" s="6" t="s">
        <v>118</v>
      </c>
      <c r="H3732" s="6" t="s">
        <v>34</v>
      </c>
      <c r="I3732" s="8" t="s">
        <v>263</v>
      </c>
      <c r="J3732" s="9">
        <v>1</v>
      </c>
      <c r="K3732" s="9">
        <v>363</v>
      </c>
      <c r="L3732" s="9">
        <v>2026</v>
      </c>
      <c r="M3732" s="8" t="s">
        <v>21766</v>
      </c>
      <c r="N3732" s="8" t="s">
        <v>243</v>
      </c>
      <c r="O3732" s="8" t="s">
        <v>329</v>
      </c>
      <c r="P3732" s="6" t="s">
        <v>306</v>
      </c>
      <c r="Q3732" s="8" t="s">
        <v>265</v>
      </c>
      <c r="R3732" s="10" t="s">
        <v>21767</v>
      </c>
      <c r="S3732" s="11" t="s">
        <v>444</v>
      </c>
      <c r="T3732" s="6"/>
      <c r="U3732" s="15" t="str">
        <f>HYPERLINK("https://media.infra-m.ru/2262/2262007/cover/2262007.jpg", "Обложка")</f>
        <v>Обложка</v>
      </c>
      <c r="V3732" s="8" t="s">
        <v>247</v>
      </c>
      <c r="W3732" s="6"/>
      <c r="X3732" s="6" t="s">
        <v>24</v>
      </c>
      <c r="Y3732" s="6"/>
      <c r="Z3732" s="6"/>
      <c r="AA3732" s="6" t="s">
        <v>1303</v>
      </c>
      <c r="AB3732" s="8"/>
      <c r="AC3732" s="27">
        <v>9785160168111</v>
      </c>
    </row>
    <row r="3733" spans="1:29" s="4" customFormat="1" ht="42" customHeight="1" x14ac:dyDescent="0.2">
      <c r="A3733" s="5">
        <v>0</v>
      </c>
      <c r="B3733" s="6" t="s">
        <v>21768</v>
      </c>
      <c r="C3733" s="7">
        <v>2004</v>
      </c>
      <c r="D3733" s="8" t="s">
        <v>21769</v>
      </c>
      <c r="E3733" s="8" t="s">
        <v>21760</v>
      </c>
      <c r="F3733" s="8" t="s">
        <v>2301</v>
      </c>
      <c r="G3733" s="6" t="s">
        <v>60</v>
      </c>
      <c r="H3733" s="6" t="s">
        <v>34</v>
      </c>
      <c r="I3733" s="8" t="s">
        <v>253</v>
      </c>
      <c r="J3733" s="9">
        <v>1</v>
      </c>
      <c r="K3733" s="9">
        <v>363</v>
      </c>
      <c r="L3733" s="9">
        <v>2023</v>
      </c>
      <c r="M3733" s="8" t="s">
        <v>21770</v>
      </c>
      <c r="N3733" s="8" t="s">
        <v>243</v>
      </c>
      <c r="O3733" s="8" t="s">
        <v>329</v>
      </c>
      <c r="P3733" s="6" t="s">
        <v>306</v>
      </c>
      <c r="Q3733" s="8" t="s">
        <v>65</v>
      </c>
      <c r="R3733" s="10" t="s">
        <v>21771</v>
      </c>
      <c r="S3733" s="11"/>
      <c r="T3733" s="6"/>
      <c r="U3733" s="15" t="str">
        <f>HYPERLINK("https://media.infra-m.ru/1243/1243101/cover/1243101.jpg", "Обложка")</f>
        <v>Обложка</v>
      </c>
      <c r="V3733" s="8" t="s">
        <v>247</v>
      </c>
      <c r="W3733" s="6"/>
      <c r="X3733" s="6"/>
      <c r="Y3733" s="6"/>
      <c r="Z3733" s="6" t="s">
        <v>3974</v>
      </c>
      <c r="AA3733" s="6" t="s">
        <v>1303</v>
      </c>
      <c r="AB3733" s="8"/>
      <c r="AC3733" s="27">
        <v>9785160168357</v>
      </c>
    </row>
    <row r="3734" spans="1:29" s="4" customFormat="1" ht="51.9" customHeight="1" x14ac:dyDescent="0.2">
      <c r="A3734" s="5">
        <v>0</v>
      </c>
      <c r="B3734" s="6" t="s">
        <v>21772</v>
      </c>
      <c r="C3734" s="7">
        <v>2244</v>
      </c>
      <c r="D3734" s="8" t="s">
        <v>21773</v>
      </c>
      <c r="E3734" s="8" t="s">
        <v>21774</v>
      </c>
      <c r="F3734" s="8" t="s">
        <v>21775</v>
      </c>
      <c r="G3734" s="6" t="s">
        <v>60</v>
      </c>
      <c r="H3734" s="6" t="s">
        <v>34</v>
      </c>
      <c r="I3734" s="8"/>
      <c r="J3734" s="9">
        <v>1</v>
      </c>
      <c r="K3734" s="9">
        <v>415</v>
      </c>
      <c r="L3734" s="9">
        <v>2022</v>
      </c>
      <c r="M3734" s="8" t="s">
        <v>21776</v>
      </c>
      <c r="N3734" s="8" t="s">
        <v>243</v>
      </c>
      <c r="O3734" s="8" t="s">
        <v>329</v>
      </c>
      <c r="P3734" s="6" t="s">
        <v>306</v>
      </c>
      <c r="Q3734" s="8" t="s">
        <v>265</v>
      </c>
      <c r="R3734" s="10" t="s">
        <v>21767</v>
      </c>
      <c r="S3734" s="11" t="s">
        <v>444</v>
      </c>
      <c r="T3734" s="6"/>
      <c r="U3734" s="15" t="str">
        <f>HYPERLINK("https://media.infra-m.ru/2037/2037420/cover/2037420.jpg", "Обложка")</f>
        <v>Обложка</v>
      </c>
      <c r="V3734" s="8" t="s">
        <v>1505</v>
      </c>
      <c r="W3734" s="6"/>
      <c r="X3734" s="6" t="s">
        <v>24</v>
      </c>
      <c r="Y3734" s="6"/>
      <c r="Z3734" s="6"/>
      <c r="AA3734" s="6" t="s">
        <v>1506</v>
      </c>
      <c r="AB3734" s="8"/>
      <c r="AC3734" s="27">
        <v>9785160135724</v>
      </c>
    </row>
    <row r="3735" spans="1:29" s="4" customFormat="1" ht="51.9" customHeight="1" x14ac:dyDescent="0.2">
      <c r="A3735" s="5">
        <v>0</v>
      </c>
      <c r="B3735" s="6" t="s">
        <v>21777</v>
      </c>
      <c r="C3735" s="7">
        <v>1408.8</v>
      </c>
      <c r="D3735" s="8" t="s">
        <v>21778</v>
      </c>
      <c r="E3735" s="8" t="s">
        <v>21774</v>
      </c>
      <c r="F3735" s="8" t="s">
        <v>21779</v>
      </c>
      <c r="G3735" s="6" t="s">
        <v>118</v>
      </c>
      <c r="H3735" s="6" t="s">
        <v>34</v>
      </c>
      <c r="I3735" s="8" t="s">
        <v>263</v>
      </c>
      <c r="J3735" s="9">
        <v>1</v>
      </c>
      <c r="K3735" s="9">
        <v>256</v>
      </c>
      <c r="L3735" s="9">
        <v>2023</v>
      </c>
      <c r="M3735" s="8" t="s">
        <v>21780</v>
      </c>
      <c r="N3735" s="8" t="s">
        <v>243</v>
      </c>
      <c r="O3735" s="8" t="s">
        <v>329</v>
      </c>
      <c r="P3735" s="6" t="s">
        <v>51</v>
      </c>
      <c r="Q3735" s="8" t="s">
        <v>265</v>
      </c>
      <c r="R3735" s="10" t="s">
        <v>21781</v>
      </c>
      <c r="S3735" s="11" t="s">
        <v>21782</v>
      </c>
      <c r="T3735" s="6" t="s">
        <v>97</v>
      </c>
      <c r="U3735" s="15" t="str">
        <f>HYPERLINK("https://media.infra-m.ru/1913/1913595/cover/1913595.jpg", "Обложка")</f>
        <v>Обложка</v>
      </c>
      <c r="V3735" s="8" t="s">
        <v>4368</v>
      </c>
      <c r="W3735" s="6"/>
      <c r="X3735" s="6" t="s">
        <v>24</v>
      </c>
      <c r="Y3735" s="6"/>
      <c r="Z3735" s="6" t="s">
        <v>267</v>
      </c>
      <c r="AA3735" s="6" t="s">
        <v>115</v>
      </c>
      <c r="AB3735" s="8"/>
      <c r="AC3735" s="27">
        <v>9785160139647</v>
      </c>
    </row>
    <row r="3736" spans="1:29" s="4" customFormat="1" ht="51.9" customHeight="1" x14ac:dyDescent="0.2">
      <c r="A3736" s="5">
        <v>0</v>
      </c>
      <c r="B3736" s="6" t="s">
        <v>21783</v>
      </c>
      <c r="C3736" s="7">
        <v>3544.8</v>
      </c>
      <c r="D3736" s="8" t="s">
        <v>21784</v>
      </c>
      <c r="E3736" s="8" t="s">
        <v>21785</v>
      </c>
      <c r="F3736" s="8" t="s">
        <v>21786</v>
      </c>
      <c r="G3736" s="6" t="s">
        <v>60</v>
      </c>
      <c r="H3736" s="6" t="s">
        <v>48</v>
      </c>
      <c r="I3736" s="8" t="s">
        <v>253</v>
      </c>
      <c r="J3736" s="9">
        <v>1</v>
      </c>
      <c r="K3736" s="9">
        <v>522</v>
      </c>
      <c r="L3736" s="9">
        <v>2026</v>
      </c>
      <c r="M3736" s="8" t="s">
        <v>21787</v>
      </c>
      <c r="N3736" s="8" t="s">
        <v>243</v>
      </c>
      <c r="O3736" s="8" t="s">
        <v>329</v>
      </c>
      <c r="P3736" s="6" t="s">
        <v>306</v>
      </c>
      <c r="Q3736" s="8" t="s">
        <v>52</v>
      </c>
      <c r="R3736" s="10" t="s">
        <v>21788</v>
      </c>
      <c r="S3736" s="11" t="s">
        <v>21789</v>
      </c>
      <c r="T3736" s="6"/>
      <c r="U3736" s="15" t="str">
        <f>HYPERLINK("https://media.infra-m.ru/2260/2260486/cover/2260486.jpg", "Обложка")</f>
        <v>Обложка</v>
      </c>
      <c r="V3736" s="8" t="s">
        <v>831</v>
      </c>
      <c r="W3736" s="6"/>
      <c r="X3736" s="6"/>
      <c r="Y3736" s="6"/>
      <c r="Z3736" s="6"/>
      <c r="AA3736" s="6" t="s">
        <v>1117</v>
      </c>
      <c r="AB3736" s="8"/>
      <c r="AC3736" s="27">
        <v>9785000917909</v>
      </c>
    </row>
    <row r="3737" spans="1:29" s="4" customFormat="1" ht="51.9" customHeight="1" x14ac:dyDescent="0.2">
      <c r="A3737" s="5">
        <v>0</v>
      </c>
      <c r="B3737" s="6" t="s">
        <v>21790</v>
      </c>
      <c r="C3737" s="7">
        <v>2812.8</v>
      </c>
      <c r="D3737" s="8" t="s">
        <v>21791</v>
      </c>
      <c r="E3737" s="8" t="s">
        <v>21792</v>
      </c>
      <c r="F3737" s="8" t="s">
        <v>21793</v>
      </c>
      <c r="G3737" s="6" t="s">
        <v>118</v>
      </c>
      <c r="H3737" s="6" t="s">
        <v>34</v>
      </c>
      <c r="I3737" s="8" t="s">
        <v>271</v>
      </c>
      <c r="J3737" s="9">
        <v>1</v>
      </c>
      <c r="K3737" s="9">
        <v>427</v>
      </c>
      <c r="L3737" s="9">
        <v>2027</v>
      </c>
      <c r="M3737" s="8" t="s">
        <v>21794</v>
      </c>
      <c r="N3737" s="8" t="s">
        <v>243</v>
      </c>
      <c r="O3737" s="8" t="s">
        <v>1100</v>
      </c>
      <c r="P3737" s="6" t="s">
        <v>51</v>
      </c>
      <c r="Q3737" s="8" t="s">
        <v>52</v>
      </c>
      <c r="R3737" s="10" t="s">
        <v>19663</v>
      </c>
      <c r="S3737" s="11" t="s">
        <v>21795</v>
      </c>
      <c r="T3737" s="6" t="s">
        <v>97</v>
      </c>
      <c r="U3737" s="15" t="str">
        <f>HYPERLINK("https://media.infra-m.ru/2257/2257589/cover/2257589.jpg", "Обложка")</f>
        <v>Обложка</v>
      </c>
      <c r="V3737" s="8" t="s">
        <v>1030</v>
      </c>
      <c r="W3737" s="6"/>
      <c r="X3737" s="6"/>
      <c r="Y3737" s="6"/>
      <c r="Z3737" s="6"/>
      <c r="AA3737" s="6" t="s">
        <v>248</v>
      </c>
      <c r="AB3737" s="8"/>
      <c r="AC3737" s="27">
        <v>9785160043401</v>
      </c>
    </row>
    <row r="3738" spans="1:29" s="4" customFormat="1" ht="51.9" customHeight="1" x14ac:dyDescent="0.2">
      <c r="A3738" s="5">
        <v>0</v>
      </c>
      <c r="B3738" s="6" t="s">
        <v>21796</v>
      </c>
      <c r="C3738" s="7">
        <v>1300.8</v>
      </c>
      <c r="D3738" s="8" t="s">
        <v>21797</v>
      </c>
      <c r="E3738" s="8" t="s">
        <v>21798</v>
      </c>
      <c r="F3738" s="8" t="s">
        <v>21799</v>
      </c>
      <c r="G3738" s="6" t="s">
        <v>118</v>
      </c>
      <c r="H3738" s="6" t="s">
        <v>34</v>
      </c>
      <c r="I3738" s="8" t="s">
        <v>263</v>
      </c>
      <c r="J3738" s="9">
        <v>1</v>
      </c>
      <c r="K3738" s="9">
        <v>208</v>
      </c>
      <c r="L3738" s="9">
        <v>2026</v>
      </c>
      <c r="M3738" s="8" t="s">
        <v>21800</v>
      </c>
      <c r="N3738" s="8" t="s">
        <v>243</v>
      </c>
      <c r="O3738" s="8" t="s">
        <v>1100</v>
      </c>
      <c r="P3738" s="6" t="s">
        <v>51</v>
      </c>
      <c r="Q3738" s="8" t="s">
        <v>265</v>
      </c>
      <c r="R3738" s="10" t="s">
        <v>21801</v>
      </c>
      <c r="S3738" s="11" t="s">
        <v>21802</v>
      </c>
      <c r="T3738" s="6"/>
      <c r="U3738" s="15" t="str">
        <f>HYPERLINK("https://media.infra-m.ru/2218/2218722/cover/2218722.jpg", "Обложка")</f>
        <v>Обложка</v>
      </c>
      <c r="V3738" s="8" t="s">
        <v>1030</v>
      </c>
      <c r="W3738" s="6"/>
      <c r="X3738" s="6"/>
      <c r="Y3738" s="6"/>
      <c r="Z3738" s="6" t="s">
        <v>267</v>
      </c>
      <c r="AA3738" s="6" t="s">
        <v>86</v>
      </c>
      <c r="AB3738" s="8"/>
      <c r="AC3738" s="27">
        <v>9785160139722</v>
      </c>
    </row>
    <row r="3739" spans="1:29" s="4" customFormat="1" ht="51.9" customHeight="1" x14ac:dyDescent="0.2">
      <c r="A3739" s="5">
        <v>0</v>
      </c>
      <c r="B3739" s="6" t="s">
        <v>21803</v>
      </c>
      <c r="C3739" s="7">
        <v>1152</v>
      </c>
      <c r="D3739" s="8" t="s">
        <v>21804</v>
      </c>
      <c r="E3739" s="8" t="s">
        <v>21798</v>
      </c>
      <c r="F3739" s="8" t="s">
        <v>21805</v>
      </c>
      <c r="G3739" s="6" t="s">
        <v>118</v>
      </c>
      <c r="H3739" s="6" t="s">
        <v>34</v>
      </c>
      <c r="I3739" s="8" t="s">
        <v>271</v>
      </c>
      <c r="J3739" s="9">
        <v>1</v>
      </c>
      <c r="K3739" s="9">
        <v>208</v>
      </c>
      <c r="L3739" s="9">
        <v>2023</v>
      </c>
      <c r="M3739" s="8" t="s">
        <v>21806</v>
      </c>
      <c r="N3739" s="8" t="s">
        <v>243</v>
      </c>
      <c r="O3739" s="8" t="s">
        <v>1100</v>
      </c>
      <c r="P3739" s="6" t="s">
        <v>51</v>
      </c>
      <c r="Q3739" s="8" t="s">
        <v>52</v>
      </c>
      <c r="R3739" s="10" t="s">
        <v>21807</v>
      </c>
      <c r="S3739" s="11" t="s">
        <v>21808</v>
      </c>
      <c r="T3739" s="6"/>
      <c r="U3739" s="15" t="str">
        <f>HYPERLINK("https://media.infra-m.ru/2125/2125019/cover/2125019.jpg", "Обложка")</f>
        <v>Обложка</v>
      </c>
      <c r="V3739" s="8" t="s">
        <v>1030</v>
      </c>
      <c r="W3739" s="6"/>
      <c r="X3739" s="6"/>
      <c r="Y3739" s="6"/>
      <c r="Z3739" s="6"/>
      <c r="AA3739" s="6" t="s">
        <v>779</v>
      </c>
      <c r="AB3739" s="8"/>
      <c r="AC3739" s="27">
        <v>9785160111506</v>
      </c>
    </row>
    <row r="3740" spans="1:29" s="4" customFormat="1" ht="51.9" customHeight="1" x14ac:dyDescent="0.2">
      <c r="A3740" s="5">
        <v>0</v>
      </c>
      <c r="B3740" s="6" t="s">
        <v>21809</v>
      </c>
      <c r="C3740" s="7">
        <v>3868.8</v>
      </c>
      <c r="D3740" s="8" t="s">
        <v>21810</v>
      </c>
      <c r="E3740" s="8" t="s">
        <v>21811</v>
      </c>
      <c r="F3740" s="8" t="s">
        <v>21812</v>
      </c>
      <c r="G3740" s="6" t="s">
        <v>118</v>
      </c>
      <c r="H3740" s="6" t="s">
        <v>34</v>
      </c>
      <c r="I3740" s="8" t="s">
        <v>271</v>
      </c>
      <c r="J3740" s="9">
        <v>1</v>
      </c>
      <c r="K3740" s="9">
        <v>585</v>
      </c>
      <c r="L3740" s="9">
        <v>2026</v>
      </c>
      <c r="M3740" s="8" t="s">
        <v>21813</v>
      </c>
      <c r="N3740" s="8" t="s">
        <v>243</v>
      </c>
      <c r="O3740" s="8" t="s">
        <v>1100</v>
      </c>
      <c r="P3740" s="6" t="s">
        <v>306</v>
      </c>
      <c r="Q3740" s="8" t="s">
        <v>52</v>
      </c>
      <c r="R3740" s="10" t="s">
        <v>2479</v>
      </c>
      <c r="S3740" s="11" t="s">
        <v>21814</v>
      </c>
      <c r="T3740" s="6"/>
      <c r="U3740" s="15" t="str">
        <f>HYPERLINK("https://media.infra-m.ru/2239/2239892/cover/2239892.jpg", "Обложка")</f>
        <v>Обложка</v>
      </c>
      <c r="V3740" s="8" t="s">
        <v>21815</v>
      </c>
      <c r="W3740" s="6"/>
      <c r="X3740" s="6"/>
      <c r="Y3740" s="6"/>
      <c r="Z3740" s="6"/>
      <c r="AA3740" s="6" t="s">
        <v>55</v>
      </c>
      <c r="AB3740" s="8"/>
      <c r="AC3740" s="27">
        <v>9785160057040</v>
      </c>
    </row>
    <row r="3741" spans="1:29" s="4" customFormat="1" ht="51.9" customHeight="1" x14ac:dyDescent="0.2">
      <c r="A3741" s="5">
        <v>0</v>
      </c>
      <c r="B3741" s="6" t="s">
        <v>21816</v>
      </c>
      <c r="C3741" s="7">
        <v>2524.8000000000002</v>
      </c>
      <c r="D3741" s="8" t="s">
        <v>21817</v>
      </c>
      <c r="E3741" s="8" t="s">
        <v>21818</v>
      </c>
      <c r="F3741" s="8" t="s">
        <v>21819</v>
      </c>
      <c r="G3741" s="6" t="s">
        <v>118</v>
      </c>
      <c r="H3741" s="6" t="s">
        <v>34</v>
      </c>
      <c r="I3741" s="8" t="s">
        <v>271</v>
      </c>
      <c r="J3741" s="9">
        <v>1</v>
      </c>
      <c r="K3741" s="9">
        <v>383</v>
      </c>
      <c r="L3741" s="9">
        <v>2026</v>
      </c>
      <c r="M3741" s="8" t="s">
        <v>21820</v>
      </c>
      <c r="N3741" s="8" t="s">
        <v>243</v>
      </c>
      <c r="O3741" s="8" t="s">
        <v>1100</v>
      </c>
      <c r="P3741" s="6" t="s">
        <v>306</v>
      </c>
      <c r="Q3741" s="8" t="s">
        <v>52</v>
      </c>
      <c r="R3741" s="10" t="s">
        <v>5837</v>
      </c>
      <c r="S3741" s="11" t="s">
        <v>21821</v>
      </c>
      <c r="T3741" s="6"/>
      <c r="U3741" s="15" t="str">
        <f>HYPERLINK("https://media.infra-m.ru/2245/2245999/cover/2245999.jpg", "Обложка")</f>
        <v>Обложка</v>
      </c>
      <c r="V3741" s="8" t="s">
        <v>5048</v>
      </c>
      <c r="W3741" s="6"/>
      <c r="X3741" s="6"/>
      <c r="Y3741" s="6"/>
      <c r="Z3741" s="6"/>
      <c r="AA3741" s="6" t="s">
        <v>779</v>
      </c>
      <c r="AB3741" s="8"/>
      <c r="AC3741" s="27">
        <v>9785160111865</v>
      </c>
    </row>
    <row r="3742" spans="1:29" s="4" customFormat="1" ht="51.9" customHeight="1" x14ac:dyDescent="0.2">
      <c r="A3742" s="5">
        <v>0</v>
      </c>
      <c r="B3742" s="6" t="s">
        <v>21822</v>
      </c>
      <c r="C3742" s="7">
        <v>2520</v>
      </c>
      <c r="D3742" s="8" t="s">
        <v>21823</v>
      </c>
      <c r="E3742" s="8" t="s">
        <v>21818</v>
      </c>
      <c r="F3742" s="8" t="s">
        <v>21819</v>
      </c>
      <c r="G3742" s="6" t="s">
        <v>118</v>
      </c>
      <c r="H3742" s="6" t="s">
        <v>34</v>
      </c>
      <c r="I3742" s="8" t="s">
        <v>263</v>
      </c>
      <c r="J3742" s="9">
        <v>1</v>
      </c>
      <c r="K3742" s="9">
        <v>383</v>
      </c>
      <c r="L3742" s="9">
        <v>2026</v>
      </c>
      <c r="M3742" s="8" t="s">
        <v>21824</v>
      </c>
      <c r="N3742" s="8" t="s">
        <v>243</v>
      </c>
      <c r="O3742" s="8" t="s">
        <v>1100</v>
      </c>
      <c r="P3742" s="6" t="s">
        <v>306</v>
      </c>
      <c r="Q3742" s="8" t="s">
        <v>265</v>
      </c>
      <c r="R3742" s="10" t="s">
        <v>21825</v>
      </c>
      <c r="S3742" s="11" t="s">
        <v>21826</v>
      </c>
      <c r="T3742" s="6"/>
      <c r="U3742" s="15" t="str">
        <f>HYPERLINK("https://media.infra-m.ru/2231/2231765/cover/2231765.jpg", "Обложка")</f>
        <v>Обложка</v>
      </c>
      <c r="V3742" s="8" t="s">
        <v>5048</v>
      </c>
      <c r="W3742" s="6"/>
      <c r="X3742" s="6"/>
      <c r="Y3742" s="6"/>
      <c r="Z3742" s="6" t="s">
        <v>267</v>
      </c>
      <c r="AA3742" s="6" t="s">
        <v>86</v>
      </c>
      <c r="AB3742" s="8"/>
      <c r="AC3742" s="27">
        <v>9785160139739</v>
      </c>
    </row>
    <row r="3743" spans="1:29" s="4" customFormat="1" ht="51.9" customHeight="1" x14ac:dyDescent="0.2">
      <c r="A3743" s="5">
        <v>0</v>
      </c>
      <c r="B3743" s="6" t="s">
        <v>21827</v>
      </c>
      <c r="C3743" s="7">
        <v>1492.8</v>
      </c>
      <c r="D3743" s="8" t="s">
        <v>21828</v>
      </c>
      <c r="E3743" s="8" t="s">
        <v>21829</v>
      </c>
      <c r="F3743" s="8" t="s">
        <v>21830</v>
      </c>
      <c r="G3743" s="6" t="s">
        <v>60</v>
      </c>
      <c r="H3743" s="6" t="s">
        <v>134</v>
      </c>
      <c r="I3743" s="8"/>
      <c r="J3743" s="9">
        <v>1</v>
      </c>
      <c r="K3743" s="9">
        <v>128</v>
      </c>
      <c r="L3743" s="9">
        <v>2026</v>
      </c>
      <c r="M3743" s="8" t="s">
        <v>21831</v>
      </c>
      <c r="N3743" s="8" t="s">
        <v>37</v>
      </c>
      <c r="O3743" s="8" t="s">
        <v>136</v>
      </c>
      <c r="P3743" s="6" t="s">
        <v>39</v>
      </c>
      <c r="Q3743" s="8" t="s">
        <v>40</v>
      </c>
      <c r="R3743" s="10" t="s">
        <v>21832</v>
      </c>
      <c r="S3743" s="11"/>
      <c r="T3743" s="6"/>
      <c r="U3743" s="15" t="str">
        <f>HYPERLINK("https://media.infra-m.ru/2238/2238876/cover/2238876.jpg", "Обложка")</f>
        <v>Обложка</v>
      </c>
      <c r="V3743" s="8"/>
      <c r="W3743" s="6"/>
      <c r="X3743" s="6"/>
      <c r="Y3743" s="6"/>
      <c r="Z3743" s="6"/>
      <c r="AA3743" s="6" t="s">
        <v>157</v>
      </c>
      <c r="AB3743" s="8"/>
      <c r="AC3743" s="27">
        <v>9785001563006</v>
      </c>
    </row>
    <row r="3744" spans="1:29" s="4" customFormat="1" ht="44.1" customHeight="1" x14ac:dyDescent="0.2">
      <c r="A3744" s="5">
        <v>0</v>
      </c>
      <c r="B3744" s="6" t="s">
        <v>21833</v>
      </c>
      <c r="C3744" s="7">
        <v>2165.9</v>
      </c>
      <c r="D3744" s="8" t="s">
        <v>21834</v>
      </c>
      <c r="E3744" s="8" t="s">
        <v>21835</v>
      </c>
      <c r="F3744" s="8" t="s">
        <v>21836</v>
      </c>
      <c r="G3744" s="6" t="s">
        <v>60</v>
      </c>
      <c r="H3744" s="6" t="s">
        <v>134</v>
      </c>
      <c r="I3744" s="8"/>
      <c r="J3744" s="9">
        <v>1</v>
      </c>
      <c r="K3744" s="9">
        <v>464</v>
      </c>
      <c r="L3744" s="9">
        <v>2022</v>
      </c>
      <c r="M3744" s="8" t="s">
        <v>21837</v>
      </c>
      <c r="N3744" s="8" t="s">
        <v>37</v>
      </c>
      <c r="O3744" s="8" t="s">
        <v>136</v>
      </c>
      <c r="P3744" s="6" t="s">
        <v>39</v>
      </c>
      <c r="Q3744" s="8" t="s">
        <v>40</v>
      </c>
      <c r="R3744" s="10" t="s">
        <v>6217</v>
      </c>
      <c r="S3744" s="11"/>
      <c r="T3744" s="6"/>
      <c r="U3744" s="15" t="str">
        <f>HYPERLINK("https://media.infra-m.ru/1837/1837927/cover/1837927.jpg", "Обложка")</f>
        <v>Обложка</v>
      </c>
      <c r="V3744" s="8" t="s">
        <v>6114</v>
      </c>
      <c r="W3744" s="6"/>
      <c r="X3744" s="6"/>
      <c r="Y3744" s="6"/>
      <c r="Z3744" s="6"/>
      <c r="AA3744" s="6" t="s">
        <v>1015</v>
      </c>
      <c r="AB3744" s="8"/>
      <c r="AC3744" s="27">
        <v>9785917681283</v>
      </c>
    </row>
    <row r="3745" spans="1:29" s="4" customFormat="1" ht="42" customHeight="1" x14ac:dyDescent="0.2">
      <c r="A3745" s="5">
        <v>0</v>
      </c>
      <c r="B3745" s="6" t="s">
        <v>21838</v>
      </c>
      <c r="C3745" s="13">
        <v>660</v>
      </c>
      <c r="D3745" s="8" t="s">
        <v>21839</v>
      </c>
      <c r="E3745" s="8" t="s">
        <v>21840</v>
      </c>
      <c r="F3745" s="8" t="s">
        <v>21841</v>
      </c>
      <c r="G3745" s="6" t="s">
        <v>33</v>
      </c>
      <c r="H3745" s="6" t="s">
        <v>34</v>
      </c>
      <c r="I3745" s="8" t="s">
        <v>35</v>
      </c>
      <c r="J3745" s="9">
        <v>1</v>
      </c>
      <c r="K3745" s="9">
        <v>120</v>
      </c>
      <c r="L3745" s="9">
        <v>2024</v>
      </c>
      <c r="M3745" s="8" t="s">
        <v>21842</v>
      </c>
      <c r="N3745" s="8" t="s">
        <v>37</v>
      </c>
      <c r="O3745" s="8" t="s">
        <v>280</v>
      </c>
      <c r="P3745" s="6" t="s">
        <v>39</v>
      </c>
      <c r="Q3745" s="8" t="s">
        <v>40</v>
      </c>
      <c r="R3745" s="10" t="s">
        <v>1646</v>
      </c>
      <c r="S3745" s="11"/>
      <c r="T3745" s="6"/>
      <c r="U3745" s="15" t="str">
        <f>HYPERLINK("https://media.infra-m.ru/2117/2117138/cover/2117138.jpg", "Обложка")</f>
        <v>Обложка</v>
      </c>
      <c r="V3745" s="8" t="s">
        <v>21843</v>
      </c>
      <c r="W3745" s="6"/>
      <c r="X3745" s="6"/>
      <c r="Y3745" s="6"/>
      <c r="Z3745" s="6"/>
      <c r="AA3745" s="6" t="s">
        <v>248</v>
      </c>
      <c r="AB3745" s="8"/>
      <c r="AC3745" s="27">
        <v>9785160096988</v>
      </c>
    </row>
    <row r="3746" spans="1:29" s="4" customFormat="1" ht="51.9" customHeight="1" x14ac:dyDescent="0.2">
      <c r="A3746" s="5">
        <v>0</v>
      </c>
      <c r="B3746" s="6" t="s">
        <v>21844</v>
      </c>
      <c r="C3746" s="13">
        <v>605.9</v>
      </c>
      <c r="D3746" s="8" t="s">
        <v>21845</v>
      </c>
      <c r="E3746" s="8" t="s">
        <v>21846</v>
      </c>
      <c r="F3746" s="8" t="s">
        <v>21847</v>
      </c>
      <c r="G3746" s="6" t="s">
        <v>33</v>
      </c>
      <c r="H3746" s="6" t="s">
        <v>48</v>
      </c>
      <c r="I3746" s="8" t="s">
        <v>271</v>
      </c>
      <c r="J3746" s="9">
        <v>1</v>
      </c>
      <c r="K3746" s="9">
        <v>111</v>
      </c>
      <c r="L3746" s="9">
        <v>2023</v>
      </c>
      <c r="M3746" s="8" t="s">
        <v>21848</v>
      </c>
      <c r="N3746" s="8" t="s">
        <v>243</v>
      </c>
      <c r="O3746" s="8" t="s">
        <v>758</v>
      </c>
      <c r="P3746" s="6" t="s">
        <v>51</v>
      </c>
      <c r="Q3746" s="8" t="s">
        <v>52</v>
      </c>
      <c r="R3746" s="10" t="s">
        <v>17217</v>
      </c>
      <c r="S3746" s="11" t="s">
        <v>21093</v>
      </c>
      <c r="T3746" s="6"/>
      <c r="U3746" s="15" t="str">
        <f>HYPERLINK("https://media.infra-m.ru/2044/2044331/cover/2044331.jpg", "Обложка")</f>
        <v>Обложка</v>
      </c>
      <c r="V3746" s="8" t="s">
        <v>21849</v>
      </c>
      <c r="W3746" s="6"/>
      <c r="X3746" s="6"/>
      <c r="Y3746" s="6"/>
      <c r="Z3746" s="6"/>
      <c r="AA3746" s="6" t="s">
        <v>55</v>
      </c>
      <c r="AB3746" s="8"/>
      <c r="AC3746" s="27">
        <v>9785911346867</v>
      </c>
    </row>
    <row r="3747" spans="1:29" s="4" customFormat="1" ht="42" customHeight="1" x14ac:dyDescent="0.2">
      <c r="A3747" s="5">
        <v>0</v>
      </c>
      <c r="B3747" s="6" t="s">
        <v>21850</v>
      </c>
      <c r="C3747" s="13">
        <v>891</v>
      </c>
      <c r="D3747" s="8" t="s">
        <v>21851</v>
      </c>
      <c r="E3747" s="8" t="s">
        <v>21852</v>
      </c>
      <c r="F3747" s="8" t="s">
        <v>21853</v>
      </c>
      <c r="G3747" s="6" t="s">
        <v>60</v>
      </c>
      <c r="H3747" s="6" t="s">
        <v>134</v>
      </c>
      <c r="I3747" s="8"/>
      <c r="J3747" s="9">
        <v>20</v>
      </c>
      <c r="K3747" s="9">
        <v>240</v>
      </c>
      <c r="L3747" s="9">
        <v>2017</v>
      </c>
      <c r="M3747" s="8" t="s">
        <v>21854</v>
      </c>
      <c r="N3747" s="8" t="s">
        <v>37</v>
      </c>
      <c r="O3747" s="8" t="s">
        <v>136</v>
      </c>
      <c r="P3747" s="6" t="s">
        <v>39</v>
      </c>
      <c r="Q3747" s="8" t="s">
        <v>40</v>
      </c>
      <c r="R3747" s="10" t="s">
        <v>1631</v>
      </c>
      <c r="S3747" s="11"/>
      <c r="T3747" s="6"/>
      <c r="U3747" s="15" t="str">
        <f>HYPERLINK("https://media.infra-m.ru/2080/2080200/cover/2080200.jpg", "Обложка")</f>
        <v>Обложка</v>
      </c>
      <c r="V3747" s="8" t="s">
        <v>1069</v>
      </c>
      <c r="W3747" s="6"/>
      <c r="X3747" s="6"/>
      <c r="Y3747" s="6"/>
      <c r="Z3747" s="6"/>
      <c r="AA3747" s="6" t="s">
        <v>779</v>
      </c>
      <c r="AB3747" s="8"/>
      <c r="AC3747" s="27">
        <v>9785917687575</v>
      </c>
    </row>
    <row r="3748" spans="1:29" s="4" customFormat="1" ht="42" customHeight="1" x14ac:dyDescent="0.2">
      <c r="A3748" s="5">
        <v>0</v>
      </c>
      <c r="B3748" s="6" t="s">
        <v>21855</v>
      </c>
      <c r="C3748" s="7">
        <v>1180.8</v>
      </c>
      <c r="D3748" s="8" t="s">
        <v>21856</v>
      </c>
      <c r="E3748" s="8" t="s">
        <v>21857</v>
      </c>
      <c r="F3748" s="8" t="s">
        <v>21858</v>
      </c>
      <c r="G3748" s="6" t="s">
        <v>60</v>
      </c>
      <c r="H3748" s="6" t="s">
        <v>34</v>
      </c>
      <c r="I3748" s="8" t="s">
        <v>35</v>
      </c>
      <c r="J3748" s="9">
        <v>1</v>
      </c>
      <c r="K3748" s="9">
        <v>171</v>
      </c>
      <c r="L3748" s="9">
        <v>2025</v>
      </c>
      <c r="M3748" s="8" t="s">
        <v>21859</v>
      </c>
      <c r="N3748" s="8" t="s">
        <v>37</v>
      </c>
      <c r="O3748" s="8" t="s">
        <v>280</v>
      </c>
      <c r="P3748" s="6" t="s">
        <v>39</v>
      </c>
      <c r="Q3748" s="8" t="s">
        <v>40</v>
      </c>
      <c r="R3748" s="10" t="s">
        <v>1576</v>
      </c>
      <c r="S3748" s="11"/>
      <c r="T3748" s="6"/>
      <c r="U3748" s="15" t="str">
        <f>HYPERLINK("https://media.infra-m.ru/2228/2228038/cover/2228038.jpg", "Обложка")</f>
        <v>Обложка</v>
      </c>
      <c r="V3748" s="8" t="s">
        <v>1083</v>
      </c>
      <c r="W3748" s="6"/>
      <c r="X3748" s="6"/>
      <c r="Y3748" s="6"/>
      <c r="Z3748" s="6"/>
      <c r="AA3748" s="6" t="s">
        <v>68</v>
      </c>
      <c r="AB3748" s="8" t="s">
        <v>308</v>
      </c>
      <c r="AC3748" s="27">
        <v>9785160208909</v>
      </c>
    </row>
    <row r="3749" spans="1:29" s="4" customFormat="1" ht="42" customHeight="1" x14ac:dyDescent="0.2">
      <c r="A3749" s="5">
        <v>0</v>
      </c>
      <c r="B3749" s="6" t="s">
        <v>21860</v>
      </c>
      <c r="C3749" s="13">
        <v>876</v>
      </c>
      <c r="D3749" s="8" t="s">
        <v>21861</v>
      </c>
      <c r="E3749" s="8" t="s">
        <v>21862</v>
      </c>
      <c r="F3749" s="8" t="s">
        <v>21863</v>
      </c>
      <c r="G3749" s="6" t="s">
        <v>118</v>
      </c>
      <c r="H3749" s="6" t="s">
        <v>34</v>
      </c>
      <c r="I3749" s="8" t="s">
        <v>35</v>
      </c>
      <c r="J3749" s="9">
        <v>1</v>
      </c>
      <c r="K3749" s="9">
        <v>207</v>
      </c>
      <c r="L3749" s="9">
        <v>2020</v>
      </c>
      <c r="M3749" s="8" t="s">
        <v>21864</v>
      </c>
      <c r="N3749" s="8" t="s">
        <v>37</v>
      </c>
      <c r="O3749" s="8" t="s">
        <v>280</v>
      </c>
      <c r="P3749" s="6" t="s">
        <v>39</v>
      </c>
      <c r="Q3749" s="8" t="s">
        <v>40</v>
      </c>
      <c r="R3749" s="10" t="s">
        <v>21865</v>
      </c>
      <c r="S3749" s="11"/>
      <c r="T3749" s="6"/>
      <c r="U3749" s="15" t="str">
        <f>HYPERLINK("https://media.infra-m.ru/1079/1079863/cover/1079863.jpg", "Обложка")</f>
        <v>Обложка</v>
      </c>
      <c r="V3749" s="8" t="s">
        <v>4448</v>
      </c>
      <c r="W3749" s="6"/>
      <c r="X3749" s="6"/>
      <c r="Y3749" s="6"/>
      <c r="Z3749" s="6"/>
      <c r="AA3749" s="6" t="s">
        <v>99</v>
      </c>
      <c r="AB3749" s="8"/>
      <c r="AC3749" s="27">
        <v>9785160128702</v>
      </c>
    </row>
    <row r="3750" spans="1:29" s="4" customFormat="1" ht="51.9" customHeight="1" x14ac:dyDescent="0.2">
      <c r="A3750" s="5">
        <v>0</v>
      </c>
      <c r="B3750" s="6" t="s">
        <v>21866</v>
      </c>
      <c r="C3750" s="7">
        <v>1860</v>
      </c>
      <c r="D3750" s="8" t="s">
        <v>21867</v>
      </c>
      <c r="E3750" s="8" t="s">
        <v>21868</v>
      </c>
      <c r="F3750" s="8" t="s">
        <v>21869</v>
      </c>
      <c r="G3750" s="6" t="s">
        <v>118</v>
      </c>
      <c r="H3750" s="6" t="s">
        <v>34</v>
      </c>
      <c r="I3750" s="8" t="s">
        <v>253</v>
      </c>
      <c r="J3750" s="9">
        <v>1</v>
      </c>
      <c r="K3750" s="9">
        <v>336</v>
      </c>
      <c r="L3750" s="9">
        <v>2024</v>
      </c>
      <c r="M3750" s="8" t="s">
        <v>21870</v>
      </c>
      <c r="N3750" s="8" t="s">
        <v>243</v>
      </c>
      <c r="O3750" s="8" t="s">
        <v>798</v>
      </c>
      <c r="P3750" s="6" t="s">
        <v>51</v>
      </c>
      <c r="Q3750" s="8" t="s">
        <v>65</v>
      </c>
      <c r="R3750" s="10" t="s">
        <v>21871</v>
      </c>
      <c r="S3750" s="11" t="s">
        <v>21872</v>
      </c>
      <c r="T3750" s="6"/>
      <c r="U3750" s="15" t="str">
        <f>HYPERLINK("https://media.infra-m.ru/2013/2013693/cover/2013693.jpg", "Обложка")</f>
        <v>Обложка</v>
      </c>
      <c r="V3750" s="8" t="s">
        <v>21873</v>
      </c>
      <c r="W3750" s="6"/>
      <c r="X3750" s="6"/>
      <c r="Y3750" s="6"/>
      <c r="Z3750" s="6"/>
      <c r="AA3750" s="6" t="s">
        <v>360</v>
      </c>
      <c r="AB3750" s="8"/>
      <c r="AC3750" s="27">
        <v>9785160188331</v>
      </c>
    </row>
    <row r="3751" spans="1:29" s="4" customFormat="1" ht="51.9" customHeight="1" x14ac:dyDescent="0.2">
      <c r="A3751" s="5">
        <v>0</v>
      </c>
      <c r="B3751" s="6" t="s">
        <v>21874</v>
      </c>
      <c r="C3751" s="7">
        <v>4128</v>
      </c>
      <c r="D3751" s="8" t="s">
        <v>21875</v>
      </c>
      <c r="E3751" s="8" t="s">
        <v>21876</v>
      </c>
      <c r="F3751" s="8" t="s">
        <v>21877</v>
      </c>
      <c r="G3751" s="6" t="s">
        <v>60</v>
      </c>
      <c r="H3751" s="6" t="s">
        <v>34</v>
      </c>
      <c r="I3751" s="8" t="s">
        <v>253</v>
      </c>
      <c r="J3751" s="9">
        <v>1</v>
      </c>
      <c r="K3751" s="9">
        <v>704</v>
      </c>
      <c r="L3751" s="9">
        <v>2026</v>
      </c>
      <c r="M3751" s="8" t="s">
        <v>21878</v>
      </c>
      <c r="N3751" s="8" t="s">
        <v>243</v>
      </c>
      <c r="O3751" s="8" t="s">
        <v>329</v>
      </c>
      <c r="P3751" s="6" t="s">
        <v>306</v>
      </c>
      <c r="Q3751" s="8" t="s">
        <v>52</v>
      </c>
      <c r="R3751" s="10" t="s">
        <v>21879</v>
      </c>
      <c r="S3751" s="11" t="s">
        <v>21880</v>
      </c>
      <c r="T3751" s="6"/>
      <c r="U3751" s="15" t="str">
        <f>HYPERLINK("https://media.infra-m.ru/2244/2244323/cover/2244323.jpg", "Обложка")</f>
        <v>Обложка</v>
      </c>
      <c r="V3751" s="8" t="s">
        <v>21881</v>
      </c>
      <c r="W3751" s="6"/>
      <c r="X3751" s="6"/>
      <c r="Y3751" s="6"/>
      <c r="Z3751" s="6"/>
      <c r="AA3751" s="6" t="s">
        <v>404</v>
      </c>
      <c r="AB3751" s="8"/>
      <c r="AC3751" s="27">
        <v>9785160202549</v>
      </c>
    </row>
    <row r="3752" spans="1:29" s="4" customFormat="1" ht="51.9" customHeight="1" x14ac:dyDescent="0.2">
      <c r="A3752" s="5">
        <v>0</v>
      </c>
      <c r="B3752" s="6" t="s">
        <v>21882</v>
      </c>
      <c r="C3752" s="7">
        <v>1433.9</v>
      </c>
      <c r="D3752" s="8" t="s">
        <v>21883</v>
      </c>
      <c r="E3752" s="8" t="s">
        <v>21884</v>
      </c>
      <c r="F3752" s="8" t="s">
        <v>21877</v>
      </c>
      <c r="G3752" s="6" t="s">
        <v>60</v>
      </c>
      <c r="H3752" s="6" t="s">
        <v>34</v>
      </c>
      <c r="I3752" s="8" t="s">
        <v>271</v>
      </c>
      <c r="J3752" s="9">
        <v>1</v>
      </c>
      <c r="K3752" s="9">
        <v>704</v>
      </c>
      <c r="L3752" s="9">
        <v>2017</v>
      </c>
      <c r="M3752" s="8" t="s">
        <v>21885</v>
      </c>
      <c r="N3752" s="8" t="s">
        <v>243</v>
      </c>
      <c r="O3752" s="8" t="s">
        <v>329</v>
      </c>
      <c r="P3752" s="6" t="s">
        <v>306</v>
      </c>
      <c r="Q3752" s="8" t="s">
        <v>52</v>
      </c>
      <c r="R3752" s="10" t="s">
        <v>21879</v>
      </c>
      <c r="S3752" s="11" t="s">
        <v>21880</v>
      </c>
      <c r="T3752" s="6"/>
      <c r="U3752" s="12"/>
      <c r="V3752" s="8" t="s">
        <v>21881</v>
      </c>
      <c r="W3752" s="6"/>
      <c r="X3752" s="6"/>
      <c r="Y3752" s="6"/>
      <c r="Z3752" s="6"/>
      <c r="AA3752" s="6" t="s">
        <v>248</v>
      </c>
      <c r="AB3752" s="8"/>
      <c r="AC3752" s="27">
        <v>9785160094731</v>
      </c>
    </row>
    <row r="3753" spans="1:29" s="4" customFormat="1" ht="51.9" customHeight="1" x14ac:dyDescent="0.2">
      <c r="A3753" s="5">
        <v>0</v>
      </c>
      <c r="B3753" s="6" t="s">
        <v>21886</v>
      </c>
      <c r="C3753" s="7">
        <v>1504.8</v>
      </c>
      <c r="D3753" s="8" t="s">
        <v>21887</v>
      </c>
      <c r="E3753" s="8" t="s">
        <v>21888</v>
      </c>
      <c r="F3753" s="8" t="s">
        <v>21889</v>
      </c>
      <c r="G3753" s="6" t="s">
        <v>118</v>
      </c>
      <c r="H3753" s="6" t="s">
        <v>34</v>
      </c>
      <c r="I3753" s="8" t="s">
        <v>271</v>
      </c>
      <c r="J3753" s="9">
        <v>1</v>
      </c>
      <c r="K3753" s="9">
        <v>216</v>
      </c>
      <c r="L3753" s="9">
        <v>2027</v>
      </c>
      <c r="M3753" s="8" t="s">
        <v>21890</v>
      </c>
      <c r="N3753" s="8" t="s">
        <v>243</v>
      </c>
      <c r="O3753" s="8" t="s">
        <v>798</v>
      </c>
      <c r="P3753" s="6" t="s">
        <v>51</v>
      </c>
      <c r="Q3753" s="8" t="s">
        <v>52</v>
      </c>
      <c r="R3753" s="10" t="s">
        <v>7812</v>
      </c>
      <c r="S3753" s="11" t="s">
        <v>21891</v>
      </c>
      <c r="T3753" s="6"/>
      <c r="U3753" s="15" t="str">
        <f>HYPERLINK("https://media.infra-m.ru/2251/2251326/cover/2251326.jpg", "Обложка")</f>
        <v>Обложка</v>
      </c>
      <c r="V3753" s="8" t="s">
        <v>3398</v>
      </c>
      <c r="W3753" s="6"/>
      <c r="X3753" s="6"/>
      <c r="Y3753" s="6"/>
      <c r="Z3753" s="6"/>
      <c r="AA3753" s="6" t="s">
        <v>360</v>
      </c>
      <c r="AB3753" s="8"/>
      <c r="AC3753" s="27">
        <v>9785160118246</v>
      </c>
    </row>
    <row r="3754" spans="1:29" s="4" customFormat="1" ht="42" customHeight="1" x14ac:dyDescent="0.2">
      <c r="A3754" s="5">
        <v>0</v>
      </c>
      <c r="B3754" s="6" t="s">
        <v>21892</v>
      </c>
      <c r="C3754" s="13">
        <v>864</v>
      </c>
      <c r="D3754" s="8" t="s">
        <v>21893</v>
      </c>
      <c r="E3754" s="8" t="s">
        <v>21894</v>
      </c>
      <c r="F3754" s="8" t="s">
        <v>21895</v>
      </c>
      <c r="G3754" s="6" t="s">
        <v>33</v>
      </c>
      <c r="H3754" s="6" t="s">
        <v>34</v>
      </c>
      <c r="I3754" s="8" t="s">
        <v>2171</v>
      </c>
      <c r="J3754" s="9">
        <v>1</v>
      </c>
      <c r="K3754" s="9">
        <v>170</v>
      </c>
      <c r="L3754" s="9">
        <v>2022</v>
      </c>
      <c r="M3754" s="8" t="s">
        <v>21896</v>
      </c>
      <c r="N3754" s="8" t="s">
        <v>243</v>
      </c>
      <c r="O3754" s="8" t="s">
        <v>964</v>
      </c>
      <c r="P3754" s="6" t="s">
        <v>51</v>
      </c>
      <c r="Q3754" s="8" t="s">
        <v>377</v>
      </c>
      <c r="R3754" s="10" t="s">
        <v>21897</v>
      </c>
      <c r="S3754" s="11"/>
      <c r="T3754" s="6"/>
      <c r="U3754" s="15" t="str">
        <f>HYPERLINK("https://media.infra-m.ru/1864/1864100/cover/1864100.jpg", "Обложка")</f>
        <v>Обложка</v>
      </c>
      <c r="V3754" s="8" t="s">
        <v>217</v>
      </c>
      <c r="W3754" s="6"/>
      <c r="X3754" s="6"/>
      <c r="Y3754" s="6"/>
      <c r="Z3754" s="6"/>
      <c r="AA3754" s="6" t="s">
        <v>430</v>
      </c>
      <c r="AB3754" s="8"/>
      <c r="AC3754" s="27">
        <v>9785160154640</v>
      </c>
    </row>
    <row r="3755" spans="1:29" s="4" customFormat="1" ht="51.9" customHeight="1" x14ac:dyDescent="0.2">
      <c r="A3755" s="5">
        <v>0</v>
      </c>
      <c r="B3755" s="6" t="s">
        <v>21898</v>
      </c>
      <c r="C3755" s="7">
        <v>1889.9</v>
      </c>
      <c r="D3755" s="8" t="s">
        <v>21899</v>
      </c>
      <c r="E3755" s="8" t="s">
        <v>21900</v>
      </c>
      <c r="F3755" s="8" t="s">
        <v>21901</v>
      </c>
      <c r="G3755" s="6" t="s">
        <v>60</v>
      </c>
      <c r="H3755" s="6" t="s">
        <v>34</v>
      </c>
      <c r="I3755" s="8" t="s">
        <v>271</v>
      </c>
      <c r="J3755" s="9">
        <v>1</v>
      </c>
      <c r="K3755" s="9">
        <v>349</v>
      </c>
      <c r="L3755" s="9">
        <v>2023</v>
      </c>
      <c r="M3755" s="8" t="s">
        <v>21902</v>
      </c>
      <c r="N3755" s="8" t="s">
        <v>243</v>
      </c>
      <c r="O3755" s="8" t="s">
        <v>758</v>
      </c>
      <c r="P3755" s="6" t="s">
        <v>51</v>
      </c>
      <c r="Q3755" s="8" t="s">
        <v>52</v>
      </c>
      <c r="R3755" s="10" t="s">
        <v>21903</v>
      </c>
      <c r="S3755" s="11" t="s">
        <v>21904</v>
      </c>
      <c r="T3755" s="6" t="s">
        <v>97</v>
      </c>
      <c r="U3755" s="15" t="str">
        <f>HYPERLINK("https://media.infra-m.ru/1891/1891389/cover/1891389.jpg", "Обложка")</f>
        <v>Обложка</v>
      </c>
      <c r="V3755" s="8" t="s">
        <v>631</v>
      </c>
      <c r="W3755" s="6"/>
      <c r="X3755" s="6"/>
      <c r="Y3755" s="6"/>
      <c r="Z3755" s="6"/>
      <c r="AA3755" s="6" t="s">
        <v>248</v>
      </c>
      <c r="AB3755" s="8"/>
      <c r="AC3755" s="27">
        <v>9785160092188</v>
      </c>
    </row>
    <row r="3756" spans="1:29" s="4" customFormat="1" ht="51.9" customHeight="1" x14ac:dyDescent="0.2">
      <c r="A3756" s="5">
        <v>0</v>
      </c>
      <c r="B3756" s="6" t="s">
        <v>21905</v>
      </c>
      <c r="C3756" s="7">
        <v>3192</v>
      </c>
      <c r="D3756" s="8" t="s">
        <v>21906</v>
      </c>
      <c r="E3756" s="8" t="s">
        <v>21907</v>
      </c>
      <c r="F3756" s="8" t="s">
        <v>21908</v>
      </c>
      <c r="G3756" s="6" t="s">
        <v>60</v>
      </c>
      <c r="H3756" s="6" t="s">
        <v>313</v>
      </c>
      <c r="I3756" s="8" t="s">
        <v>253</v>
      </c>
      <c r="J3756" s="9">
        <v>1</v>
      </c>
      <c r="K3756" s="9">
        <v>512</v>
      </c>
      <c r="L3756" s="9">
        <v>2025</v>
      </c>
      <c r="M3756" s="8" t="s">
        <v>21909</v>
      </c>
      <c r="N3756" s="8" t="s">
        <v>585</v>
      </c>
      <c r="O3756" s="8" t="s">
        <v>667</v>
      </c>
      <c r="P3756" s="6" t="s">
        <v>306</v>
      </c>
      <c r="Q3756" s="8" t="s">
        <v>65</v>
      </c>
      <c r="R3756" s="10" t="s">
        <v>21910</v>
      </c>
      <c r="S3756" s="11" t="s">
        <v>21911</v>
      </c>
      <c r="T3756" s="6"/>
      <c r="U3756" s="15" t="str">
        <f>HYPERLINK("https://media.infra-m.ru/2199/2199934/cover/2199934.jpg", "Обложка")</f>
        <v>Обложка</v>
      </c>
      <c r="V3756" s="8" t="s">
        <v>801</v>
      </c>
      <c r="W3756" s="6"/>
      <c r="X3756" s="6"/>
      <c r="Y3756" s="6"/>
      <c r="Z3756" s="6"/>
      <c r="AA3756" s="6" t="s">
        <v>129</v>
      </c>
      <c r="AB3756" s="8"/>
      <c r="AC3756" s="27">
        <v>9785369007570</v>
      </c>
    </row>
    <row r="3757" spans="1:29" s="4" customFormat="1" ht="51.9" customHeight="1" x14ac:dyDescent="0.2">
      <c r="A3757" s="5">
        <v>0</v>
      </c>
      <c r="B3757" s="6" t="s">
        <v>21912</v>
      </c>
      <c r="C3757" s="7">
        <v>2152.8000000000002</v>
      </c>
      <c r="D3757" s="8" t="s">
        <v>21913</v>
      </c>
      <c r="E3757" s="8" t="s">
        <v>21907</v>
      </c>
      <c r="F3757" s="8" t="s">
        <v>21914</v>
      </c>
      <c r="G3757" s="6" t="s">
        <v>118</v>
      </c>
      <c r="H3757" s="6" t="s">
        <v>34</v>
      </c>
      <c r="I3757" s="8" t="s">
        <v>7198</v>
      </c>
      <c r="J3757" s="9">
        <v>1</v>
      </c>
      <c r="K3757" s="9">
        <v>345</v>
      </c>
      <c r="L3757" s="9">
        <v>2025</v>
      </c>
      <c r="M3757" s="8" t="s">
        <v>21915</v>
      </c>
      <c r="N3757" s="8" t="s">
        <v>585</v>
      </c>
      <c r="O3757" s="8" t="s">
        <v>667</v>
      </c>
      <c r="P3757" s="6" t="s">
        <v>51</v>
      </c>
      <c r="Q3757" s="8" t="s">
        <v>52</v>
      </c>
      <c r="R3757" s="10" t="s">
        <v>3479</v>
      </c>
      <c r="S3757" s="11" t="s">
        <v>21916</v>
      </c>
      <c r="T3757" s="6"/>
      <c r="U3757" s="15" t="str">
        <f>HYPERLINK("https://media.infra-m.ru/2208/2208985/cover/2208985.jpg", "Обложка")</f>
        <v>Обложка</v>
      </c>
      <c r="V3757" s="8" t="s">
        <v>1083</v>
      </c>
      <c r="W3757" s="6"/>
      <c r="X3757" s="6"/>
      <c r="Y3757" s="6"/>
      <c r="Z3757" s="6"/>
      <c r="AA3757" s="6" t="s">
        <v>86</v>
      </c>
      <c r="AB3757" s="8"/>
      <c r="AC3757" s="27">
        <v>9785160174297</v>
      </c>
    </row>
    <row r="3758" spans="1:29" s="4" customFormat="1" ht="51.9" customHeight="1" x14ac:dyDescent="0.2">
      <c r="A3758" s="5">
        <v>0</v>
      </c>
      <c r="B3758" s="6" t="s">
        <v>21917</v>
      </c>
      <c r="C3758" s="7">
        <v>1900.8</v>
      </c>
      <c r="D3758" s="8" t="s">
        <v>21918</v>
      </c>
      <c r="E3758" s="8" t="s">
        <v>21919</v>
      </c>
      <c r="F3758" s="8" t="s">
        <v>21920</v>
      </c>
      <c r="G3758" s="6" t="s">
        <v>60</v>
      </c>
      <c r="H3758" s="6" t="s">
        <v>1042</v>
      </c>
      <c r="I3758" s="8" t="s">
        <v>65</v>
      </c>
      <c r="J3758" s="9">
        <v>1</v>
      </c>
      <c r="K3758" s="9">
        <v>272</v>
      </c>
      <c r="L3758" s="9">
        <v>2027</v>
      </c>
      <c r="M3758" s="8" t="s">
        <v>21921</v>
      </c>
      <c r="N3758" s="8" t="s">
        <v>243</v>
      </c>
      <c r="O3758" s="8" t="s">
        <v>758</v>
      </c>
      <c r="P3758" s="6" t="s">
        <v>306</v>
      </c>
      <c r="Q3758" s="8" t="s">
        <v>265</v>
      </c>
      <c r="R3758" s="10" t="s">
        <v>21922</v>
      </c>
      <c r="S3758" s="11" t="s">
        <v>21923</v>
      </c>
      <c r="T3758" s="6"/>
      <c r="U3758" s="15" t="str">
        <f>HYPERLINK("https://media.infra-m.ru/2270/2270087/cover/2270087.jpg", "Обложка")</f>
        <v>Обложка</v>
      </c>
      <c r="V3758" s="8" t="s">
        <v>831</v>
      </c>
      <c r="W3758" s="6"/>
      <c r="X3758" s="6"/>
      <c r="Y3758" s="6"/>
      <c r="Z3758" s="6"/>
      <c r="AA3758" s="6" t="s">
        <v>274</v>
      </c>
      <c r="AB3758" s="8"/>
      <c r="AC3758" s="27">
        <v>9785819906194</v>
      </c>
    </row>
    <row r="3759" spans="1:29" s="4" customFormat="1" ht="51.9" customHeight="1" x14ac:dyDescent="0.2">
      <c r="A3759" s="5">
        <v>0</v>
      </c>
      <c r="B3759" s="6" t="s">
        <v>21924</v>
      </c>
      <c r="C3759" s="7">
        <v>2344.8000000000002</v>
      </c>
      <c r="D3759" s="8" t="s">
        <v>21925</v>
      </c>
      <c r="E3759" s="8" t="s">
        <v>21926</v>
      </c>
      <c r="F3759" s="8" t="s">
        <v>21927</v>
      </c>
      <c r="G3759" s="6" t="s">
        <v>118</v>
      </c>
      <c r="H3759" s="6" t="s">
        <v>241</v>
      </c>
      <c r="I3759" s="8" t="s">
        <v>217</v>
      </c>
      <c r="J3759" s="9">
        <v>1</v>
      </c>
      <c r="K3759" s="9">
        <v>376</v>
      </c>
      <c r="L3759" s="9">
        <v>2025</v>
      </c>
      <c r="M3759" s="8" t="s">
        <v>21928</v>
      </c>
      <c r="N3759" s="8" t="s">
        <v>243</v>
      </c>
      <c r="O3759" s="8" t="s">
        <v>964</v>
      </c>
      <c r="P3759" s="6" t="s">
        <v>51</v>
      </c>
      <c r="Q3759" s="8" t="s">
        <v>52</v>
      </c>
      <c r="R3759" s="10" t="s">
        <v>9434</v>
      </c>
      <c r="S3759" s="11" t="s">
        <v>21929</v>
      </c>
      <c r="T3759" s="6"/>
      <c r="U3759" s="15" t="str">
        <f>HYPERLINK("https://media.infra-m.ru/2196/2196910/cover/2196910.jpg", "Обложка")</f>
        <v>Обложка</v>
      </c>
      <c r="V3759" s="8" t="s">
        <v>217</v>
      </c>
      <c r="W3759" s="6"/>
      <c r="X3759" s="6"/>
      <c r="Y3759" s="6"/>
      <c r="Z3759" s="6"/>
      <c r="AA3759" s="6" t="s">
        <v>2240</v>
      </c>
      <c r="AB3759" s="8"/>
      <c r="AC3759" s="27">
        <v>9785955806099</v>
      </c>
    </row>
    <row r="3760" spans="1:29" s="4" customFormat="1" ht="42" customHeight="1" x14ac:dyDescent="0.2">
      <c r="A3760" s="5">
        <v>0</v>
      </c>
      <c r="B3760" s="6" t="s">
        <v>21930</v>
      </c>
      <c r="C3760" s="7">
        <v>1200</v>
      </c>
      <c r="D3760" s="8" t="s">
        <v>21931</v>
      </c>
      <c r="E3760" s="8" t="s">
        <v>21932</v>
      </c>
      <c r="F3760" s="8" t="s">
        <v>21927</v>
      </c>
      <c r="G3760" s="6" t="s">
        <v>60</v>
      </c>
      <c r="H3760" s="6" t="s">
        <v>241</v>
      </c>
      <c r="I3760" s="8"/>
      <c r="J3760" s="9">
        <v>1</v>
      </c>
      <c r="K3760" s="9">
        <v>343</v>
      </c>
      <c r="L3760" s="9">
        <v>2018</v>
      </c>
      <c r="M3760" s="8" t="s">
        <v>21933</v>
      </c>
      <c r="N3760" s="8" t="s">
        <v>243</v>
      </c>
      <c r="O3760" s="8" t="s">
        <v>964</v>
      </c>
      <c r="P3760" s="6" t="s">
        <v>51</v>
      </c>
      <c r="Q3760" s="8" t="s">
        <v>52</v>
      </c>
      <c r="R3760" s="10" t="s">
        <v>9434</v>
      </c>
      <c r="S3760" s="11"/>
      <c r="T3760" s="6" t="s">
        <v>97</v>
      </c>
      <c r="U3760" s="15" t="str">
        <f>HYPERLINK("https://media.infra-m.ru/0948/0948688/cover/948688.jpg", "Обложка")</f>
        <v>Обложка</v>
      </c>
      <c r="V3760" s="8" t="s">
        <v>217</v>
      </c>
      <c r="W3760" s="6"/>
      <c r="X3760" s="6"/>
      <c r="Y3760" s="6"/>
      <c r="Z3760" s="6"/>
      <c r="AA3760" s="6" t="s">
        <v>274</v>
      </c>
      <c r="AB3760" s="8"/>
      <c r="AC3760" s="27">
        <v>9785955804415</v>
      </c>
    </row>
    <row r="3761" spans="1:29" s="4" customFormat="1" ht="42" customHeight="1" x14ac:dyDescent="0.2">
      <c r="A3761" s="5">
        <v>0</v>
      </c>
      <c r="B3761" s="6" t="s">
        <v>21934</v>
      </c>
      <c r="C3761" s="7">
        <v>1296</v>
      </c>
      <c r="D3761" s="8" t="s">
        <v>21935</v>
      </c>
      <c r="E3761" s="8" t="s">
        <v>21936</v>
      </c>
      <c r="F3761" s="8" t="s">
        <v>21937</v>
      </c>
      <c r="G3761" s="6" t="s">
        <v>33</v>
      </c>
      <c r="H3761" s="6" t="s">
        <v>34</v>
      </c>
      <c r="I3761" s="8" t="s">
        <v>1081</v>
      </c>
      <c r="J3761" s="9">
        <v>1</v>
      </c>
      <c r="K3761" s="9">
        <v>195</v>
      </c>
      <c r="L3761" s="9">
        <v>2026</v>
      </c>
      <c r="M3761" s="8" t="s">
        <v>21938</v>
      </c>
      <c r="N3761" s="8" t="s">
        <v>243</v>
      </c>
      <c r="O3761" s="8" t="s">
        <v>758</v>
      </c>
      <c r="P3761" s="6" t="s">
        <v>39</v>
      </c>
      <c r="Q3761" s="8" t="s">
        <v>40</v>
      </c>
      <c r="R3761" s="10" t="s">
        <v>21939</v>
      </c>
      <c r="S3761" s="11"/>
      <c r="T3761" s="6"/>
      <c r="U3761" s="15" t="str">
        <f>HYPERLINK("https://media.infra-m.ru/2248/2248309/cover/2248309.jpg", "Обложка")</f>
        <v>Обложка</v>
      </c>
      <c r="V3761" s="8" t="s">
        <v>1083</v>
      </c>
      <c r="W3761" s="6"/>
      <c r="X3761" s="6"/>
      <c r="Y3761" s="6"/>
      <c r="Z3761" s="6"/>
      <c r="AA3761" s="6" t="s">
        <v>86</v>
      </c>
      <c r="AB3761" s="8"/>
      <c r="AC3761" s="27">
        <v>9785160163970</v>
      </c>
    </row>
    <row r="3762" spans="1:29" s="4" customFormat="1" ht="33" customHeight="1" x14ac:dyDescent="0.2">
      <c r="A3762" s="5">
        <v>0</v>
      </c>
      <c r="B3762" s="6" t="s">
        <v>21940</v>
      </c>
      <c r="C3762" s="13">
        <v>821.9</v>
      </c>
      <c r="D3762" s="8" t="s">
        <v>21941</v>
      </c>
      <c r="E3762" s="8" t="s">
        <v>21936</v>
      </c>
      <c r="F3762" s="8" t="s">
        <v>21937</v>
      </c>
      <c r="G3762" s="6" t="s">
        <v>60</v>
      </c>
      <c r="H3762" s="6" t="s">
        <v>34</v>
      </c>
      <c r="I3762" s="8" t="s">
        <v>1081</v>
      </c>
      <c r="J3762" s="9">
        <v>1</v>
      </c>
      <c r="K3762" s="9">
        <v>195</v>
      </c>
      <c r="L3762" s="9">
        <v>2020</v>
      </c>
      <c r="M3762" s="8" t="s">
        <v>21942</v>
      </c>
      <c r="N3762" s="8" t="s">
        <v>243</v>
      </c>
      <c r="O3762" s="8" t="s">
        <v>758</v>
      </c>
      <c r="P3762" s="6" t="s">
        <v>39</v>
      </c>
      <c r="Q3762" s="8" t="s">
        <v>40</v>
      </c>
      <c r="R3762" s="10" t="s">
        <v>21939</v>
      </c>
      <c r="S3762" s="11"/>
      <c r="T3762" s="6"/>
      <c r="U3762" s="12"/>
      <c r="V3762" s="8" t="s">
        <v>1083</v>
      </c>
      <c r="W3762" s="6"/>
      <c r="X3762" s="6"/>
      <c r="Y3762" s="6"/>
      <c r="Z3762" s="6"/>
      <c r="AA3762" s="6" t="s">
        <v>86</v>
      </c>
      <c r="AB3762" s="8"/>
      <c r="AC3762" s="27">
        <v>9785160133010</v>
      </c>
    </row>
    <row r="3763" spans="1:29" s="4" customFormat="1" ht="51.9" customHeight="1" x14ac:dyDescent="0.2">
      <c r="A3763" s="5">
        <v>0</v>
      </c>
      <c r="B3763" s="6" t="s">
        <v>21943</v>
      </c>
      <c r="C3763" s="7">
        <v>2392.8000000000002</v>
      </c>
      <c r="D3763" s="8" t="s">
        <v>21944</v>
      </c>
      <c r="E3763" s="8" t="s">
        <v>21945</v>
      </c>
      <c r="F3763" s="8" t="s">
        <v>21946</v>
      </c>
      <c r="G3763" s="6" t="s">
        <v>60</v>
      </c>
      <c r="H3763" s="6" t="s">
        <v>34</v>
      </c>
      <c r="I3763" s="8" t="s">
        <v>263</v>
      </c>
      <c r="J3763" s="9">
        <v>1</v>
      </c>
      <c r="K3763" s="9">
        <v>432</v>
      </c>
      <c r="L3763" s="9">
        <v>2024</v>
      </c>
      <c r="M3763" s="8" t="s">
        <v>21947</v>
      </c>
      <c r="N3763" s="8" t="s">
        <v>243</v>
      </c>
      <c r="O3763" s="8" t="s">
        <v>758</v>
      </c>
      <c r="P3763" s="6" t="s">
        <v>306</v>
      </c>
      <c r="Q3763" s="8" t="s">
        <v>265</v>
      </c>
      <c r="R3763" s="10" t="s">
        <v>21948</v>
      </c>
      <c r="S3763" s="11" t="s">
        <v>21949</v>
      </c>
      <c r="T3763" s="6"/>
      <c r="U3763" s="15" t="str">
        <f>HYPERLINK("https://media.infra-m.ru/1862/1862259/cover/1862259.jpg", "Обложка")</f>
        <v>Обложка</v>
      </c>
      <c r="V3763" s="8" t="s">
        <v>843</v>
      </c>
      <c r="W3763" s="6"/>
      <c r="X3763" s="6"/>
      <c r="Y3763" s="6"/>
      <c r="Z3763" s="6"/>
      <c r="AA3763" s="6" t="s">
        <v>4554</v>
      </c>
      <c r="AB3763" s="8"/>
      <c r="AC3763" s="27">
        <v>9785160091020</v>
      </c>
    </row>
    <row r="3764" spans="1:29" s="4" customFormat="1" ht="51.9" customHeight="1" x14ac:dyDescent="0.2">
      <c r="A3764" s="5">
        <v>0</v>
      </c>
      <c r="B3764" s="6" t="s">
        <v>21950</v>
      </c>
      <c r="C3764" s="13">
        <v>720</v>
      </c>
      <c r="D3764" s="8" t="s">
        <v>21951</v>
      </c>
      <c r="E3764" s="8" t="s">
        <v>21952</v>
      </c>
      <c r="F3764" s="8" t="s">
        <v>21953</v>
      </c>
      <c r="G3764" s="6" t="s">
        <v>33</v>
      </c>
      <c r="H3764" s="6" t="s">
        <v>34</v>
      </c>
      <c r="I3764" s="8" t="s">
        <v>35</v>
      </c>
      <c r="J3764" s="9">
        <v>1</v>
      </c>
      <c r="K3764" s="9">
        <v>123</v>
      </c>
      <c r="L3764" s="9">
        <v>2021</v>
      </c>
      <c r="M3764" s="8" t="s">
        <v>21954</v>
      </c>
      <c r="N3764" s="8" t="s">
        <v>243</v>
      </c>
      <c r="O3764" s="8" t="s">
        <v>758</v>
      </c>
      <c r="P3764" s="6" t="s">
        <v>39</v>
      </c>
      <c r="Q3764" s="8" t="s">
        <v>40</v>
      </c>
      <c r="R3764" s="10" t="s">
        <v>21955</v>
      </c>
      <c r="S3764" s="11"/>
      <c r="T3764" s="6"/>
      <c r="U3764" s="15" t="str">
        <f>HYPERLINK("https://media.infra-m.ru/1141/1141765/cover/1141765.jpg", "Обложка")</f>
        <v>Обложка</v>
      </c>
      <c r="V3764" s="8" t="s">
        <v>6135</v>
      </c>
      <c r="W3764" s="6"/>
      <c r="X3764" s="6"/>
      <c r="Y3764" s="6"/>
      <c r="Z3764" s="6"/>
      <c r="AA3764" s="6" t="s">
        <v>430</v>
      </c>
      <c r="AB3764" s="8"/>
      <c r="AC3764" s="27">
        <v>9785160164205</v>
      </c>
    </row>
    <row r="3765" spans="1:29" s="4" customFormat="1" ht="51.9" customHeight="1" x14ac:dyDescent="0.2">
      <c r="A3765" s="5">
        <v>0</v>
      </c>
      <c r="B3765" s="6" t="s">
        <v>21956</v>
      </c>
      <c r="C3765" s="7">
        <v>1896</v>
      </c>
      <c r="D3765" s="8" t="s">
        <v>21957</v>
      </c>
      <c r="E3765" s="8" t="s">
        <v>21958</v>
      </c>
      <c r="F3765" s="8" t="s">
        <v>21959</v>
      </c>
      <c r="G3765" s="6" t="s">
        <v>60</v>
      </c>
      <c r="H3765" s="6" t="s">
        <v>34</v>
      </c>
      <c r="I3765" s="8" t="s">
        <v>35</v>
      </c>
      <c r="J3765" s="9">
        <v>1</v>
      </c>
      <c r="K3765" s="9">
        <v>343</v>
      </c>
      <c r="L3765" s="9">
        <v>2023</v>
      </c>
      <c r="M3765" s="8" t="s">
        <v>21960</v>
      </c>
      <c r="N3765" s="8" t="s">
        <v>37</v>
      </c>
      <c r="O3765" s="8" t="s">
        <v>136</v>
      </c>
      <c r="P3765" s="6" t="s">
        <v>39</v>
      </c>
      <c r="Q3765" s="8" t="s">
        <v>40</v>
      </c>
      <c r="R3765" s="10" t="s">
        <v>21961</v>
      </c>
      <c r="S3765" s="11"/>
      <c r="T3765" s="6"/>
      <c r="U3765" s="15" t="str">
        <f>HYPERLINK("https://media.infra-m.ru/1921/1921387/cover/1921387.jpg", "Обложка")</f>
        <v>Обложка</v>
      </c>
      <c r="V3765" s="8" t="s">
        <v>21962</v>
      </c>
      <c r="W3765" s="6"/>
      <c r="X3765" s="6"/>
      <c r="Y3765" s="6"/>
      <c r="Z3765" s="6"/>
      <c r="AA3765" s="6" t="s">
        <v>157</v>
      </c>
      <c r="AB3765" s="8"/>
      <c r="AC3765" s="27">
        <v>9785160182049</v>
      </c>
    </row>
    <row r="3766" spans="1:29" s="4" customFormat="1" ht="51.9" customHeight="1" x14ac:dyDescent="0.2">
      <c r="A3766" s="5">
        <v>0</v>
      </c>
      <c r="B3766" s="6" t="s">
        <v>21963</v>
      </c>
      <c r="C3766" s="7">
        <v>2760</v>
      </c>
      <c r="D3766" s="8" t="s">
        <v>21964</v>
      </c>
      <c r="E3766" s="8" t="s">
        <v>21965</v>
      </c>
      <c r="F3766" s="8" t="s">
        <v>10732</v>
      </c>
      <c r="G3766" s="6" t="s">
        <v>60</v>
      </c>
      <c r="H3766" s="6" t="s">
        <v>34</v>
      </c>
      <c r="I3766" s="8" t="s">
        <v>253</v>
      </c>
      <c r="J3766" s="9">
        <v>1</v>
      </c>
      <c r="K3766" s="9">
        <v>418</v>
      </c>
      <c r="L3766" s="9">
        <v>2026</v>
      </c>
      <c r="M3766" s="8" t="s">
        <v>21966</v>
      </c>
      <c r="N3766" s="8" t="s">
        <v>37</v>
      </c>
      <c r="O3766" s="8" t="s">
        <v>233</v>
      </c>
      <c r="P3766" s="6" t="s">
        <v>306</v>
      </c>
      <c r="Q3766" s="8" t="s">
        <v>52</v>
      </c>
      <c r="R3766" s="10" t="s">
        <v>21967</v>
      </c>
      <c r="S3766" s="11" t="s">
        <v>21968</v>
      </c>
      <c r="T3766" s="6" t="s">
        <v>97</v>
      </c>
      <c r="U3766" s="15" t="str">
        <f>HYPERLINK("https://media.infra-m.ru/2244/2244336/cover/2244336.jpg", "Обложка")</f>
        <v>Обложка</v>
      </c>
      <c r="V3766" s="8" t="s">
        <v>4892</v>
      </c>
      <c r="W3766" s="6"/>
      <c r="X3766" s="6"/>
      <c r="Y3766" s="6"/>
      <c r="Z3766" s="6"/>
      <c r="AA3766" s="6" t="s">
        <v>115</v>
      </c>
      <c r="AB3766" s="8"/>
      <c r="AC3766" s="27">
        <v>9785160202600</v>
      </c>
    </row>
    <row r="3767" spans="1:29" s="4" customFormat="1" ht="42" customHeight="1" x14ac:dyDescent="0.2">
      <c r="A3767" s="5">
        <v>0</v>
      </c>
      <c r="B3767" s="6" t="s">
        <v>21969</v>
      </c>
      <c r="C3767" s="7">
        <v>1584</v>
      </c>
      <c r="D3767" s="8" t="s">
        <v>21970</v>
      </c>
      <c r="E3767" s="8" t="s">
        <v>21971</v>
      </c>
      <c r="F3767" s="8" t="s">
        <v>21972</v>
      </c>
      <c r="G3767" s="6" t="s">
        <v>60</v>
      </c>
      <c r="H3767" s="6" t="s">
        <v>134</v>
      </c>
      <c r="I3767" s="8"/>
      <c r="J3767" s="9">
        <v>1</v>
      </c>
      <c r="K3767" s="9">
        <v>288</v>
      </c>
      <c r="L3767" s="9">
        <v>2024</v>
      </c>
      <c r="M3767" s="8" t="s">
        <v>21973</v>
      </c>
      <c r="N3767" s="8" t="s">
        <v>37</v>
      </c>
      <c r="O3767" s="8" t="s">
        <v>207</v>
      </c>
      <c r="P3767" s="6" t="s">
        <v>39</v>
      </c>
      <c r="Q3767" s="8" t="s">
        <v>40</v>
      </c>
      <c r="R3767" s="10" t="s">
        <v>684</v>
      </c>
      <c r="S3767" s="11"/>
      <c r="T3767" s="6"/>
      <c r="U3767" s="15" t="str">
        <f>HYPERLINK("https://media.infra-m.ru/2123/2123874/cover/2123874.jpg", "Обложка")</f>
        <v>Обложка</v>
      </c>
      <c r="V3767" s="8" t="s">
        <v>138</v>
      </c>
      <c r="W3767" s="6"/>
      <c r="X3767" s="6"/>
      <c r="Y3767" s="6"/>
      <c r="Z3767" s="6"/>
      <c r="AA3767" s="6" t="s">
        <v>76</v>
      </c>
      <c r="AB3767" s="8"/>
      <c r="AC3767" s="27">
        <v>9785001563525</v>
      </c>
    </row>
    <row r="3768" spans="1:29" s="4" customFormat="1" ht="42" customHeight="1" x14ac:dyDescent="0.2">
      <c r="A3768" s="5">
        <v>0</v>
      </c>
      <c r="B3768" s="6" t="s">
        <v>21974</v>
      </c>
      <c r="C3768" s="7">
        <v>1968</v>
      </c>
      <c r="D3768" s="8" t="s">
        <v>21975</v>
      </c>
      <c r="E3768" s="8" t="s">
        <v>21976</v>
      </c>
      <c r="F3768" s="8" t="s">
        <v>21977</v>
      </c>
      <c r="G3768" s="6" t="s">
        <v>118</v>
      </c>
      <c r="H3768" s="6" t="s">
        <v>134</v>
      </c>
      <c r="I3768" s="8"/>
      <c r="J3768" s="9">
        <v>1</v>
      </c>
      <c r="K3768" s="9">
        <v>392</v>
      </c>
      <c r="L3768" s="9">
        <v>2022</v>
      </c>
      <c r="M3768" s="8" t="s">
        <v>21978</v>
      </c>
      <c r="N3768" s="8" t="s">
        <v>37</v>
      </c>
      <c r="O3768" s="8" t="s">
        <v>136</v>
      </c>
      <c r="P3768" s="6" t="s">
        <v>39</v>
      </c>
      <c r="Q3768" s="8" t="s">
        <v>40</v>
      </c>
      <c r="R3768" s="10" t="s">
        <v>1076</v>
      </c>
      <c r="S3768" s="11"/>
      <c r="T3768" s="6"/>
      <c r="U3768" s="15" t="str">
        <f>HYPERLINK("https://media.infra-m.ru/1872/1872516/cover/1872516.jpg", "Обложка")</f>
        <v>Обложка</v>
      </c>
      <c r="V3768" s="8" t="s">
        <v>138</v>
      </c>
      <c r="W3768" s="6"/>
      <c r="X3768" s="6"/>
      <c r="Y3768" s="6"/>
      <c r="Z3768" s="6"/>
      <c r="AA3768" s="6" t="s">
        <v>115</v>
      </c>
      <c r="AB3768" s="8"/>
      <c r="AC3768" s="27">
        <v>9785917689890</v>
      </c>
    </row>
    <row r="3769" spans="1:29" s="4" customFormat="1" ht="51.9" customHeight="1" x14ac:dyDescent="0.2">
      <c r="A3769" s="5">
        <v>0</v>
      </c>
      <c r="B3769" s="6" t="s">
        <v>21979</v>
      </c>
      <c r="C3769" s="7">
        <v>2208</v>
      </c>
      <c r="D3769" s="8" t="s">
        <v>21980</v>
      </c>
      <c r="E3769" s="8" t="s">
        <v>21981</v>
      </c>
      <c r="F3769" s="8" t="s">
        <v>21982</v>
      </c>
      <c r="G3769" s="6" t="s">
        <v>60</v>
      </c>
      <c r="H3769" s="6" t="s">
        <v>34</v>
      </c>
      <c r="I3769" s="8" t="s">
        <v>35</v>
      </c>
      <c r="J3769" s="9">
        <v>1</v>
      </c>
      <c r="K3769" s="9">
        <v>368</v>
      </c>
      <c r="L3769" s="9">
        <v>2024</v>
      </c>
      <c r="M3769" s="8" t="s">
        <v>21983</v>
      </c>
      <c r="N3769" s="8" t="s">
        <v>37</v>
      </c>
      <c r="O3769" s="8" t="s">
        <v>207</v>
      </c>
      <c r="P3769" s="6" t="s">
        <v>39</v>
      </c>
      <c r="Q3769" s="8" t="s">
        <v>40</v>
      </c>
      <c r="R3769" s="10" t="s">
        <v>21984</v>
      </c>
      <c r="S3769" s="11" t="s">
        <v>21985</v>
      </c>
      <c r="T3769" s="6"/>
      <c r="U3769" s="15" t="str">
        <f>HYPERLINK("https://media.infra-m.ru/2106/2106186/cover/2106186.jpg", "Обложка")</f>
        <v>Обложка</v>
      </c>
      <c r="V3769" s="8" t="s">
        <v>14688</v>
      </c>
      <c r="W3769" s="6"/>
      <c r="X3769" s="6"/>
      <c r="Y3769" s="6"/>
      <c r="Z3769" s="6"/>
      <c r="AA3769" s="6" t="s">
        <v>76</v>
      </c>
      <c r="AB3769" s="8"/>
      <c r="AC3769" s="27">
        <v>9785160193120</v>
      </c>
    </row>
    <row r="3770" spans="1:29" s="4" customFormat="1" ht="51.9" customHeight="1" x14ac:dyDescent="0.2">
      <c r="A3770" s="5">
        <v>0</v>
      </c>
      <c r="B3770" s="6" t="s">
        <v>21986</v>
      </c>
      <c r="C3770" s="7">
        <v>1492.8</v>
      </c>
      <c r="D3770" s="8" t="s">
        <v>21987</v>
      </c>
      <c r="E3770" s="8" t="s">
        <v>21988</v>
      </c>
      <c r="F3770" s="8" t="s">
        <v>21989</v>
      </c>
      <c r="G3770" s="6" t="s">
        <v>118</v>
      </c>
      <c r="H3770" s="6" t="s">
        <v>34</v>
      </c>
      <c r="I3770" s="8" t="s">
        <v>457</v>
      </c>
      <c r="J3770" s="9">
        <v>1</v>
      </c>
      <c r="K3770" s="9">
        <v>225</v>
      </c>
      <c r="L3770" s="9">
        <v>2026</v>
      </c>
      <c r="M3770" s="8" t="s">
        <v>21990</v>
      </c>
      <c r="N3770" s="8" t="s">
        <v>37</v>
      </c>
      <c r="O3770" s="8" t="s">
        <v>207</v>
      </c>
      <c r="P3770" s="6" t="s">
        <v>39</v>
      </c>
      <c r="Q3770" s="8" t="s">
        <v>40</v>
      </c>
      <c r="R3770" s="10" t="s">
        <v>21991</v>
      </c>
      <c r="S3770" s="11"/>
      <c r="T3770" s="6"/>
      <c r="U3770" s="15" t="str">
        <f>HYPERLINK("https://media.infra-m.ru/2224/2224132/cover/2224132.jpg", "Обложка")</f>
        <v>Обложка</v>
      </c>
      <c r="V3770" s="8" t="s">
        <v>247</v>
      </c>
      <c r="W3770" s="6"/>
      <c r="X3770" s="6"/>
      <c r="Y3770" s="6"/>
      <c r="Z3770" s="6"/>
      <c r="AA3770" s="6" t="s">
        <v>157</v>
      </c>
      <c r="AB3770" s="8"/>
      <c r="AC3770" s="27">
        <v>9785160178967</v>
      </c>
    </row>
    <row r="3771" spans="1:29" s="4" customFormat="1" ht="44.1" customHeight="1" x14ac:dyDescent="0.2">
      <c r="A3771" s="5">
        <v>0</v>
      </c>
      <c r="B3771" s="6" t="s">
        <v>21992</v>
      </c>
      <c r="C3771" s="13">
        <v>890.3</v>
      </c>
      <c r="D3771" s="8" t="s">
        <v>21993</v>
      </c>
      <c r="E3771" s="8" t="s">
        <v>21994</v>
      </c>
      <c r="F3771" s="8" t="s">
        <v>21995</v>
      </c>
      <c r="G3771" s="6" t="s">
        <v>60</v>
      </c>
      <c r="H3771" s="6" t="s">
        <v>134</v>
      </c>
      <c r="I3771" s="8"/>
      <c r="J3771" s="9">
        <v>1</v>
      </c>
      <c r="K3771" s="9">
        <v>176</v>
      </c>
      <c r="L3771" s="9">
        <v>2020</v>
      </c>
      <c r="M3771" s="8" t="s">
        <v>21996</v>
      </c>
      <c r="N3771" s="8" t="s">
        <v>37</v>
      </c>
      <c r="O3771" s="8" t="s">
        <v>136</v>
      </c>
      <c r="P3771" s="6" t="s">
        <v>39</v>
      </c>
      <c r="Q3771" s="8" t="s">
        <v>40</v>
      </c>
      <c r="R3771" s="10" t="s">
        <v>1955</v>
      </c>
      <c r="S3771" s="11"/>
      <c r="T3771" s="6"/>
      <c r="U3771" s="15" t="str">
        <f>HYPERLINK("https://media.infra-m.ru/1221/1221075/cover/1221075.jpg", "Обложка")</f>
        <v>Обложка</v>
      </c>
      <c r="V3771" s="8" t="s">
        <v>156</v>
      </c>
      <c r="W3771" s="6"/>
      <c r="X3771" s="6"/>
      <c r="Y3771" s="6"/>
      <c r="Z3771" s="6"/>
      <c r="AA3771" s="6" t="s">
        <v>1256</v>
      </c>
      <c r="AB3771" s="8"/>
      <c r="AC3771" s="27">
        <v>9785001561057</v>
      </c>
    </row>
    <row r="3772" spans="1:29" s="4" customFormat="1" ht="51.9" customHeight="1" x14ac:dyDescent="0.2">
      <c r="A3772" s="5">
        <v>0</v>
      </c>
      <c r="B3772" s="6" t="s">
        <v>21997</v>
      </c>
      <c r="C3772" s="7">
        <v>1596</v>
      </c>
      <c r="D3772" s="8" t="s">
        <v>21998</v>
      </c>
      <c r="E3772" s="8" t="s">
        <v>21999</v>
      </c>
      <c r="F3772" s="8" t="s">
        <v>4624</v>
      </c>
      <c r="G3772" s="6" t="s">
        <v>118</v>
      </c>
      <c r="H3772" s="6" t="s">
        <v>34</v>
      </c>
      <c r="I3772" s="8" t="s">
        <v>253</v>
      </c>
      <c r="J3772" s="9">
        <v>1</v>
      </c>
      <c r="K3772" s="9">
        <v>230</v>
      </c>
      <c r="L3772" s="9">
        <v>2027</v>
      </c>
      <c r="M3772" s="8" t="s">
        <v>22000</v>
      </c>
      <c r="N3772" s="8" t="s">
        <v>243</v>
      </c>
      <c r="O3772" s="8" t="s">
        <v>1100</v>
      </c>
      <c r="P3772" s="6" t="s">
        <v>105</v>
      </c>
      <c r="Q3772" s="8" t="s">
        <v>52</v>
      </c>
      <c r="R3772" s="10" t="s">
        <v>1858</v>
      </c>
      <c r="S3772" s="11" t="s">
        <v>22001</v>
      </c>
      <c r="T3772" s="6"/>
      <c r="U3772" s="15" t="str">
        <f>HYPERLINK("https://media.infra-m.ru/2262/2262662/cover/2262662.jpg", "Обложка")</f>
        <v>Обложка</v>
      </c>
      <c r="V3772" s="8" t="s">
        <v>1030</v>
      </c>
      <c r="W3772" s="6"/>
      <c r="X3772" s="6"/>
      <c r="Y3772" s="6"/>
      <c r="Z3772" s="6"/>
      <c r="AA3772" s="6" t="s">
        <v>896</v>
      </c>
      <c r="AB3772" s="8" t="s">
        <v>1317</v>
      </c>
      <c r="AC3772" s="27">
        <v>9785160223490</v>
      </c>
    </row>
    <row r="3773" spans="1:29" s="4" customFormat="1" ht="51.9" customHeight="1" x14ac:dyDescent="0.2">
      <c r="A3773" s="5">
        <v>0</v>
      </c>
      <c r="B3773" s="6" t="s">
        <v>22002</v>
      </c>
      <c r="C3773" s="13">
        <v>857.9</v>
      </c>
      <c r="D3773" s="8" t="s">
        <v>22003</v>
      </c>
      <c r="E3773" s="8" t="s">
        <v>22004</v>
      </c>
      <c r="F3773" s="8" t="s">
        <v>4624</v>
      </c>
      <c r="G3773" s="6" t="s">
        <v>60</v>
      </c>
      <c r="H3773" s="6" t="s">
        <v>34</v>
      </c>
      <c r="I3773" s="8" t="s">
        <v>271</v>
      </c>
      <c r="J3773" s="9">
        <v>1</v>
      </c>
      <c r="K3773" s="9">
        <v>190</v>
      </c>
      <c r="L3773" s="9">
        <v>2020</v>
      </c>
      <c r="M3773" s="8" t="s">
        <v>22005</v>
      </c>
      <c r="N3773" s="8" t="s">
        <v>243</v>
      </c>
      <c r="O3773" s="8" t="s">
        <v>1100</v>
      </c>
      <c r="P3773" s="6" t="s">
        <v>105</v>
      </c>
      <c r="Q3773" s="8" t="s">
        <v>52</v>
      </c>
      <c r="R3773" s="10" t="s">
        <v>1858</v>
      </c>
      <c r="S3773" s="11" t="s">
        <v>22001</v>
      </c>
      <c r="T3773" s="6" t="s">
        <v>97</v>
      </c>
      <c r="U3773" s="15" t="str">
        <f>HYPERLINK("https://media.infra-m.ru/1150/1150301/cover/1150301.jpg", "Обложка")</f>
        <v>Обложка</v>
      </c>
      <c r="V3773" s="8" t="s">
        <v>1030</v>
      </c>
      <c r="W3773" s="6"/>
      <c r="X3773" s="6"/>
      <c r="Y3773" s="6"/>
      <c r="Z3773" s="6"/>
      <c r="AA3773" s="6" t="s">
        <v>115</v>
      </c>
      <c r="AB3773" s="8" t="s">
        <v>1317</v>
      </c>
      <c r="AC3773" s="27">
        <v>9785160127514</v>
      </c>
    </row>
    <row r="3774" spans="1:29" s="4" customFormat="1" ht="51.9" customHeight="1" x14ac:dyDescent="0.2">
      <c r="A3774" s="5">
        <v>0</v>
      </c>
      <c r="B3774" s="6" t="s">
        <v>22006</v>
      </c>
      <c r="C3774" s="13">
        <v>948</v>
      </c>
      <c r="D3774" s="8" t="s">
        <v>22007</v>
      </c>
      <c r="E3774" s="8" t="s">
        <v>22008</v>
      </c>
      <c r="F3774" s="8" t="s">
        <v>4624</v>
      </c>
      <c r="G3774" s="6" t="s">
        <v>33</v>
      </c>
      <c r="H3774" s="6" t="s">
        <v>34</v>
      </c>
      <c r="I3774" s="8" t="s">
        <v>253</v>
      </c>
      <c r="J3774" s="9">
        <v>1</v>
      </c>
      <c r="K3774" s="9">
        <v>172</v>
      </c>
      <c r="L3774" s="9">
        <v>2024</v>
      </c>
      <c r="M3774" s="8" t="s">
        <v>22009</v>
      </c>
      <c r="N3774" s="8" t="s">
        <v>243</v>
      </c>
      <c r="O3774" s="8" t="s">
        <v>1100</v>
      </c>
      <c r="P3774" s="6" t="s">
        <v>51</v>
      </c>
      <c r="Q3774" s="8" t="s">
        <v>52</v>
      </c>
      <c r="R3774" s="10" t="s">
        <v>22010</v>
      </c>
      <c r="S3774" s="11" t="s">
        <v>22011</v>
      </c>
      <c r="T3774" s="6" t="s">
        <v>97</v>
      </c>
      <c r="U3774" s="15" t="str">
        <f>HYPERLINK("https://media.infra-m.ru/2099/2099076/cover/2099076.jpg", "Обложка")</f>
        <v>Обложка</v>
      </c>
      <c r="V3774" s="8" t="s">
        <v>1030</v>
      </c>
      <c r="W3774" s="6"/>
      <c r="X3774" s="6"/>
      <c r="Y3774" s="6"/>
      <c r="Z3774" s="6"/>
      <c r="AA3774" s="6" t="s">
        <v>274</v>
      </c>
      <c r="AB3774" s="8"/>
      <c r="AC3774" s="27">
        <v>9785160192390</v>
      </c>
    </row>
    <row r="3775" spans="1:29" s="4" customFormat="1" ht="51.9" customHeight="1" x14ac:dyDescent="0.2">
      <c r="A3775" s="5">
        <v>0</v>
      </c>
      <c r="B3775" s="6" t="s">
        <v>22012</v>
      </c>
      <c r="C3775" s="13">
        <v>773.9</v>
      </c>
      <c r="D3775" s="8" t="s">
        <v>22013</v>
      </c>
      <c r="E3775" s="8" t="s">
        <v>22014</v>
      </c>
      <c r="F3775" s="8" t="s">
        <v>22015</v>
      </c>
      <c r="G3775" s="6" t="s">
        <v>33</v>
      </c>
      <c r="H3775" s="6" t="s">
        <v>48</v>
      </c>
      <c r="I3775" s="8" t="s">
        <v>401</v>
      </c>
      <c r="J3775" s="9">
        <v>1</v>
      </c>
      <c r="K3775" s="9">
        <v>240</v>
      </c>
      <c r="L3775" s="9">
        <v>2017</v>
      </c>
      <c r="M3775" s="8" t="s">
        <v>22016</v>
      </c>
      <c r="N3775" s="8" t="s">
        <v>243</v>
      </c>
      <c r="O3775" s="8" t="s">
        <v>758</v>
      </c>
      <c r="P3775" s="6" t="s">
        <v>51</v>
      </c>
      <c r="Q3775" s="8" t="s">
        <v>265</v>
      </c>
      <c r="R3775" s="10" t="s">
        <v>22017</v>
      </c>
      <c r="S3775" s="11" t="s">
        <v>18811</v>
      </c>
      <c r="T3775" s="6"/>
      <c r="U3775" s="15" t="str">
        <f>HYPERLINK("https://media.infra-m.ru/0557/0557209/cover/557209.jpg", "Обложка")</f>
        <v>Обложка</v>
      </c>
      <c r="V3775" s="8" t="s">
        <v>396</v>
      </c>
      <c r="W3775" s="6"/>
      <c r="X3775" s="6" t="s">
        <v>24</v>
      </c>
      <c r="Y3775" s="6"/>
      <c r="Z3775" s="6"/>
      <c r="AA3775" s="6" t="s">
        <v>874</v>
      </c>
      <c r="AB3775" s="8"/>
      <c r="AC3775" s="27">
        <v>9785000910580</v>
      </c>
    </row>
    <row r="3776" spans="1:29" s="4" customFormat="1" ht="51.9" customHeight="1" x14ac:dyDescent="0.2">
      <c r="A3776" s="5">
        <v>0</v>
      </c>
      <c r="B3776" s="6" t="s">
        <v>22018</v>
      </c>
      <c r="C3776" s="7">
        <v>1584</v>
      </c>
      <c r="D3776" s="8" t="s">
        <v>22019</v>
      </c>
      <c r="E3776" s="8" t="s">
        <v>22014</v>
      </c>
      <c r="F3776" s="8" t="s">
        <v>22015</v>
      </c>
      <c r="G3776" s="6" t="s">
        <v>118</v>
      </c>
      <c r="H3776" s="6" t="s">
        <v>48</v>
      </c>
      <c r="I3776" s="8" t="s">
        <v>263</v>
      </c>
      <c r="J3776" s="9">
        <v>1</v>
      </c>
      <c r="K3776" s="9">
        <v>240</v>
      </c>
      <c r="L3776" s="9">
        <v>2026</v>
      </c>
      <c r="M3776" s="8" t="s">
        <v>22020</v>
      </c>
      <c r="N3776" s="8" t="s">
        <v>243</v>
      </c>
      <c r="O3776" s="8" t="s">
        <v>758</v>
      </c>
      <c r="P3776" s="6" t="s">
        <v>51</v>
      </c>
      <c r="Q3776" s="8" t="s">
        <v>265</v>
      </c>
      <c r="R3776" s="10" t="s">
        <v>22017</v>
      </c>
      <c r="S3776" s="11" t="s">
        <v>22021</v>
      </c>
      <c r="T3776" s="6"/>
      <c r="U3776" s="15" t="str">
        <f>HYPERLINK("https://media.infra-m.ru/2170/2170462/cover/2170462.jpg", "Обложка")</f>
        <v>Обложка</v>
      </c>
      <c r="V3776" s="8" t="s">
        <v>396</v>
      </c>
      <c r="W3776" s="6"/>
      <c r="X3776" s="6" t="s">
        <v>24</v>
      </c>
      <c r="Y3776" s="6"/>
      <c r="Z3776" s="6"/>
      <c r="AA3776" s="6" t="s">
        <v>874</v>
      </c>
      <c r="AB3776" s="8"/>
      <c r="AC3776" s="27">
        <v>9785160132877</v>
      </c>
    </row>
    <row r="3777" spans="1:29" s="4" customFormat="1" ht="42" customHeight="1" x14ac:dyDescent="0.2">
      <c r="A3777" s="5">
        <v>0</v>
      </c>
      <c r="B3777" s="6" t="s">
        <v>22022</v>
      </c>
      <c r="C3777" s="7">
        <v>2304</v>
      </c>
      <c r="D3777" s="8" t="s">
        <v>22023</v>
      </c>
      <c r="E3777" s="8" t="s">
        <v>22024</v>
      </c>
      <c r="F3777" s="8" t="s">
        <v>22025</v>
      </c>
      <c r="G3777" s="6" t="s">
        <v>60</v>
      </c>
      <c r="H3777" s="6" t="s">
        <v>34</v>
      </c>
      <c r="I3777" s="8" t="s">
        <v>253</v>
      </c>
      <c r="J3777" s="9">
        <v>1</v>
      </c>
      <c r="K3777" s="9">
        <v>381</v>
      </c>
      <c r="L3777" s="9">
        <v>2025</v>
      </c>
      <c r="M3777" s="8" t="s">
        <v>22026</v>
      </c>
      <c r="N3777" s="8" t="s">
        <v>585</v>
      </c>
      <c r="O3777" s="8" t="s">
        <v>2472</v>
      </c>
      <c r="P3777" s="6" t="s">
        <v>51</v>
      </c>
      <c r="Q3777" s="8" t="s">
        <v>52</v>
      </c>
      <c r="R3777" s="10" t="s">
        <v>4680</v>
      </c>
      <c r="S3777" s="11"/>
      <c r="T3777" s="6"/>
      <c r="U3777" s="15" t="str">
        <f>HYPERLINK("https://media.infra-m.ru/1938/1938076/cover/1938076.jpg", "Обложка")</f>
        <v>Обложка</v>
      </c>
      <c r="V3777" s="8" t="s">
        <v>22027</v>
      </c>
      <c r="W3777" s="6"/>
      <c r="X3777" s="6"/>
      <c r="Y3777" s="6"/>
      <c r="Z3777" s="6"/>
      <c r="AA3777" s="6" t="s">
        <v>68</v>
      </c>
      <c r="AB3777" s="8"/>
      <c r="AC3777" s="27">
        <v>9785160182452</v>
      </c>
    </row>
    <row r="3778" spans="1:29" s="4" customFormat="1" ht="51.9" customHeight="1" x14ac:dyDescent="0.2">
      <c r="A3778" s="5">
        <v>0</v>
      </c>
      <c r="B3778" s="6" t="s">
        <v>22028</v>
      </c>
      <c r="C3778" s="7">
        <v>1668</v>
      </c>
      <c r="D3778" s="8" t="s">
        <v>22029</v>
      </c>
      <c r="E3778" s="8" t="s">
        <v>22024</v>
      </c>
      <c r="F3778" s="8" t="s">
        <v>1524</v>
      </c>
      <c r="G3778" s="6" t="s">
        <v>118</v>
      </c>
      <c r="H3778" s="6" t="s">
        <v>34</v>
      </c>
      <c r="I3778" s="8" t="s">
        <v>253</v>
      </c>
      <c r="J3778" s="9">
        <v>1</v>
      </c>
      <c r="K3778" s="9">
        <v>239</v>
      </c>
      <c r="L3778" s="9">
        <v>2026</v>
      </c>
      <c r="M3778" s="8" t="s">
        <v>22030</v>
      </c>
      <c r="N3778" s="8" t="s">
        <v>585</v>
      </c>
      <c r="O3778" s="8" t="s">
        <v>2472</v>
      </c>
      <c r="P3778" s="6" t="s">
        <v>51</v>
      </c>
      <c r="Q3778" s="8" t="s">
        <v>52</v>
      </c>
      <c r="R3778" s="10" t="s">
        <v>6253</v>
      </c>
      <c r="S3778" s="11" t="s">
        <v>22031</v>
      </c>
      <c r="T3778" s="6"/>
      <c r="U3778" s="15" t="str">
        <f>HYPERLINK("https://media.infra-m.ru/2257/2257200/cover/2257200.jpg", "Обложка")</f>
        <v>Обложка</v>
      </c>
      <c r="V3778" s="8" t="s">
        <v>1527</v>
      </c>
      <c r="W3778" s="6"/>
      <c r="X3778" s="6"/>
      <c r="Y3778" s="6"/>
      <c r="Z3778" s="6"/>
      <c r="AA3778" s="6" t="s">
        <v>1256</v>
      </c>
      <c r="AB3778" s="8"/>
      <c r="AC3778" s="27">
        <v>9785160222004</v>
      </c>
    </row>
    <row r="3779" spans="1:29" s="4" customFormat="1" ht="51.9" customHeight="1" x14ac:dyDescent="0.2">
      <c r="A3779" s="5">
        <v>0</v>
      </c>
      <c r="B3779" s="6" t="s">
        <v>22032</v>
      </c>
      <c r="C3779" s="7">
        <v>1464</v>
      </c>
      <c r="D3779" s="8" t="s">
        <v>22033</v>
      </c>
      <c r="E3779" s="8" t="s">
        <v>22034</v>
      </c>
      <c r="F3779" s="8" t="s">
        <v>22035</v>
      </c>
      <c r="G3779" s="6" t="s">
        <v>118</v>
      </c>
      <c r="H3779" s="6" t="s">
        <v>34</v>
      </c>
      <c r="I3779" s="8" t="s">
        <v>253</v>
      </c>
      <c r="J3779" s="9">
        <v>1</v>
      </c>
      <c r="K3779" s="9">
        <v>263</v>
      </c>
      <c r="L3779" s="9">
        <v>2024</v>
      </c>
      <c r="M3779" s="8" t="s">
        <v>22036</v>
      </c>
      <c r="N3779" s="8" t="s">
        <v>585</v>
      </c>
      <c r="O3779" s="8" t="s">
        <v>2472</v>
      </c>
      <c r="P3779" s="6" t="s">
        <v>306</v>
      </c>
      <c r="Q3779" s="8" t="s">
        <v>65</v>
      </c>
      <c r="R3779" s="10" t="s">
        <v>22037</v>
      </c>
      <c r="S3779" s="11"/>
      <c r="T3779" s="6" t="s">
        <v>97</v>
      </c>
      <c r="U3779" s="15" t="str">
        <f>HYPERLINK("https://media.infra-m.ru/2079/2079284/cover/2079284.jpg", "Обложка")</f>
        <v>Обложка</v>
      </c>
      <c r="V3779" s="8" t="s">
        <v>2475</v>
      </c>
      <c r="W3779" s="6"/>
      <c r="X3779" s="6"/>
      <c r="Y3779" s="6"/>
      <c r="Z3779" s="6"/>
      <c r="AA3779" s="6" t="s">
        <v>115</v>
      </c>
      <c r="AB3779" s="8"/>
      <c r="AC3779" s="27">
        <v>9785160189598</v>
      </c>
    </row>
    <row r="3780" spans="1:29" s="4" customFormat="1" ht="51.9" customHeight="1" x14ac:dyDescent="0.2">
      <c r="A3780" s="5">
        <v>0</v>
      </c>
      <c r="B3780" s="6" t="s">
        <v>22038</v>
      </c>
      <c r="C3780" s="7">
        <v>1740</v>
      </c>
      <c r="D3780" s="8" t="s">
        <v>22039</v>
      </c>
      <c r="E3780" s="8" t="s">
        <v>22034</v>
      </c>
      <c r="F3780" s="8" t="s">
        <v>22035</v>
      </c>
      <c r="G3780" s="6" t="s">
        <v>118</v>
      </c>
      <c r="H3780" s="6" t="s">
        <v>34</v>
      </c>
      <c r="I3780" s="8" t="s">
        <v>263</v>
      </c>
      <c r="J3780" s="9">
        <v>1</v>
      </c>
      <c r="K3780" s="9">
        <v>263</v>
      </c>
      <c r="L3780" s="9">
        <v>2026</v>
      </c>
      <c r="M3780" s="8" t="s">
        <v>22040</v>
      </c>
      <c r="N3780" s="8" t="s">
        <v>585</v>
      </c>
      <c r="O3780" s="8" t="s">
        <v>2472</v>
      </c>
      <c r="P3780" s="6" t="s">
        <v>306</v>
      </c>
      <c r="Q3780" s="8" t="s">
        <v>265</v>
      </c>
      <c r="R3780" s="10" t="s">
        <v>22041</v>
      </c>
      <c r="S3780" s="11" t="s">
        <v>22042</v>
      </c>
      <c r="T3780" s="6" t="s">
        <v>97</v>
      </c>
      <c r="U3780" s="15" t="str">
        <f>HYPERLINK("https://media.infra-m.ru/2238/2238275/cover/2238275.jpg", "Обложка")</f>
        <v>Обложка</v>
      </c>
      <c r="V3780" s="8" t="s">
        <v>2475</v>
      </c>
      <c r="W3780" s="6"/>
      <c r="X3780" s="6"/>
      <c r="Y3780" s="6"/>
      <c r="Z3780" s="6" t="s">
        <v>882</v>
      </c>
      <c r="AA3780" s="6" t="s">
        <v>430</v>
      </c>
      <c r="AB3780" s="8"/>
      <c r="AC3780" s="27">
        <v>9785160164540</v>
      </c>
    </row>
    <row r="3781" spans="1:29" s="4" customFormat="1" ht="42" customHeight="1" x14ac:dyDescent="0.2">
      <c r="A3781" s="5">
        <v>0</v>
      </c>
      <c r="B3781" s="6" t="s">
        <v>22043</v>
      </c>
      <c r="C3781" s="7">
        <v>1428</v>
      </c>
      <c r="D3781" s="8" t="s">
        <v>22044</v>
      </c>
      <c r="E3781" s="8" t="s">
        <v>22034</v>
      </c>
      <c r="F3781" s="8" t="s">
        <v>22025</v>
      </c>
      <c r="G3781" s="6" t="s">
        <v>60</v>
      </c>
      <c r="H3781" s="6" t="s">
        <v>34</v>
      </c>
      <c r="I3781" s="8" t="s">
        <v>253</v>
      </c>
      <c r="J3781" s="9">
        <v>1</v>
      </c>
      <c r="K3781" s="9">
        <v>251</v>
      </c>
      <c r="L3781" s="9">
        <v>2024</v>
      </c>
      <c r="M3781" s="8" t="s">
        <v>22045</v>
      </c>
      <c r="N3781" s="8" t="s">
        <v>585</v>
      </c>
      <c r="O3781" s="8" t="s">
        <v>2472</v>
      </c>
      <c r="P3781" s="6" t="s">
        <v>306</v>
      </c>
      <c r="Q3781" s="8" t="s">
        <v>52</v>
      </c>
      <c r="R3781" s="10" t="s">
        <v>4680</v>
      </c>
      <c r="S3781" s="11"/>
      <c r="T3781" s="6"/>
      <c r="U3781" s="15" t="str">
        <f>HYPERLINK("https://media.infra-m.ru/1864/1864666/cover/1864666.jpg", "Обложка")</f>
        <v>Обложка</v>
      </c>
      <c r="V3781" s="8" t="s">
        <v>22027</v>
      </c>
      <c r="W3781" s="6"/>
      <c r="X3781" s="6"/>
      <c r="Y3781" s="6"/>
      <c r="Z3781" s="6"/>
      <c r="AA3781" s="6" t="s">
        <v>76</v>
      </c>
      <c r="AB3781" s="8"/>
      <c r="AC3781" s="27">
        <v>9785160176451</v>
      </c>
    </row>
    <row r="3782" spans="1:29" s="4" customFormat="1" ht="51.9" customHeight="1" x14ac:dyDescent="0.2">
      <c r="A3782" s="5">
        <v>0</v>
      </c>
      <c r="B3782" s="6" t="s">
        <v>22046</v>
      </c>
      <c r="C3782" s="7">
        <v>2428.8000000000002</v>
      </c>
      <c r="D3782" s="8" t="s">
        <v>22047</v>
      </c>
      <c r="E3782" s="8" t="s">
        <v>22048</v>
      </c>
      <c r="F3782" s="8" t="s">
        <v>4624</v>
      </c>
      <c r="G3782" s="6" t="s">
        <v>60</v>
      </c>
      <c r="H3782" s="6" t="s">
        <v>34</v>
      </c>
      <c r="I3782" s="8" t="s">
        <v>253</v>
      </c>
      <c r="J3782" s="9">
        <v>1</v>
      </c>
      <c r="K3782" s="9">
        <v>368</v>
      </c>
      <c r="L3782" s="9">
        <v>2026</v>
      </c>
      <c r="M3782" s="8" t="s">
        <v>22049</v>
      </c>
      <c r="N3782" s="8" t="s">
        <v>243</v>
      </c>
      <c r="O3782" s="8" t="s">
        <v>1100</v>
      </c>
      <c r="P3782" s="6" t="s">
        <v>306</v>
      </c>
      <c r="Q3782" s="8" t="s">
        <v>65</v>
      </c>
      <c r="R3782" s="10" t="s">
        <v>22050</v>
      </c>
      <c r="S3782" s="11" t="s">
        <v>22051</v>
      </c>
      <c r="T3782" s="6"/>
      <c r="U3782" s="15" t="str">
        <f>HYPERLINK("https://media.infra-m.ru/2234/2234431/cover/2234431.jpg", "Обложка")</f>
        <v>Обложка</v>
      </c>
      <c r="V3782" s="8" t="s">
        <v>1030</v>
      </c>
      <c r="W3782" s="6"/>
      <c r="X3782" s="6"/>
      <c r="Y3782" s="6"/>
      <c r="Z3782" s="6"/>
      <c r="AA3782" s="6" t="s">
        <v>106</v>
      </c>
      <c r="AB3782" s="8"/>
      <c r="AC3782" s="27">
        <v>9785160194714</v>
      </c>
    </row>
    <row r="3783" spans="1:29" s="4" customFormat="1" ht="42" customHeight="1" x14ac:dyDescent="0.2">
      <c r="A3783" s="5">
        <v>0</v>
      </c>
      <c r="B3783" s="6" t="s">
        <v>22052</v>
      </c>
      <c r="C3783" s="7">
        <v>1696.8</v>
      </c>
      <c r="D3783" s="8" t="s">
        <v>22053</v>
      </c>
      <c r="E3783" s="8" t="s">
        <v>22034</v>
      </c>
      <c r="F3783" s="8" t="s">
        <v>22054</v>
      </c>
      <c r="G3783" s="6" t="s">
        <v>60</v>
      </c>
      <c r="H3783" s="6" t="s">
        <v>34</v>
      </c>
      <c r="I3783" s="8" t="s">
        <v>271</v>
      </c>
      <c r="J3783" s="9">
        <v>1</v>
      </c>
      <c r="K3783" s="9">
        <v>272</v>
      </c>
      <c r="L3783" s="9">
        <v>2026</v>
      </c>
      <c r="M3783" s="8" t="s">
        <v>22055</v>
      </c>
      <c r="N3783" s="8" t="s">
        <v>243</v>
      </c>
      <c r="O3783" s="8" t="s">
        <v>1100</v>
      </c>
      <c r="P3783" s="6" t="s">
        <v>306</v>
      </c>
      <c r="Q3783" s="8" t="s">
        <v>52</v>
      </c>
      <c r="R3783" s="10" t="s">
        <v>22056</v>
      </c>
      <c r="S3783" s="11"/>
      <c r="T3783" s="6" t="s">
        <v>97</v>
      </c>
      <c r="U3783" s="15" t="str">
        <f>HYPERLINK("https://media.infra-m.ru/2221/2221326/cover/2221326.jpg", "Обложка")</f>
        <v>Обложка</v>
      </c>
      <c r="V3783" s="8" t="s">
        <v>1527</v>
      </c>
      <c r="W3783" s="6"/>
      <c r="X3783" s="6"/>
      <c r="Y3783" s="6"/>
      <c r="Z3783" s="6"/>
      <c r="AA3783" s="6" t="s">
        <v>274</v>
      </c>
      <c r="AB3783" s="8"/>
      <c r="AC3783" s="27">
        <v>9785160102504</v>
      </c>
    </row>
    <row r="3784" spans="1:29" s="4" customFormat="1" ht="51.9" customHeight="1" x14ac:dyDescent="0.2">
      <c r="A3784" s="5">
        <v>0</v>
      </c>
      <c r="B3784" s="6" t="s">
        <v>22057</v>
      </c>
      <c r="C3784" s="7">
        <v>1548</v>
      </c>
      <c r="D3784" s="8" t="s">
        <v>22058</v>
      </c>
      <c r="E3784" s="8" t="s">
        <v>22034</v>
      </c>
      <c r="F3784" s="8" t="s">
        <v>22059</v>
      </c>
      <c r="G3784" s="6" t="s">
        <v>33</v>
      </c>
      <c r="H3784" s="6" t="s">
        <v>34</v>
      </c>
      <c r="I3784" s="8" t="s">
        <v>253</v>
      </c>
      <c r="J3784" s="9">
        <v>1</v>
      </c>
      <c r="K3784" s="9">
        <v>286</v>
      </c>
      <c r="L3784" s="9">
        <v>2024</v>
      </c>
      <c r="M3784" s="8" t="s">
        <v>22060</v>
      </c>
      <c r="N3784" s="8" t="s">
        <v>585</v>
      </c>
      <c r="O3784" s="8" t="s">
        <v>2472</v>
      </c>
      <c r="P3784" s="6" t="s">
        <v>306</v>
      </c>
      <c r="Q3784" s="8" t="s">
        <v>52</v>
      </c>
      <c r="R3784" s="10" t="s">
        <v>22050</v>
      </c>
      <c r="S3784" s="11" t="s">
        <v>22051</v>
      </c>
      <c r="T3784" s="6"/>
      <c r="U3784" s="15" t="str">
        <f>HYPERLINK("https://media.infra-m.ru/2055/2055768/cover/2055768.jpg", "Обложка")</f>
        <v>Обложка</v>
      </c>
      <c r="V3784" s="8" t="s">
        <v>1030</v>
      </c>
      <c r="W3784" s="6"/>
      <c r="X3784" s="6"/>
      <c r="Y3784" s="6"/>
      <c r="Z3784" s="6"/>
      <c r="AA3784" s="6" t="s">
        <v>4554</v>
      </c>
      <c r="AB3784" s="8"/>
      <c r="AC3784" s="27">
        <v>9785160187648</v>
      </c>
    </row>
    <row r="3785" spans="1:29" s="4" customFormat="1" ht="51.9" customHeight="1" x14ac:dyDescent="0.2">
      <c r="A3785" s="5">
        <v>0</v>
      </c>
      <c r="B3785" s="6" t="s">
        <v>22061</v>
      </c>
      <c r="C3785" s="7">
        <v>1360.8</v>
      </c>
      <c r="D3785" s="8" t="s">
        <v>22062</v>
      </c>
      <c r="E3785" s="8" t="s">
        <v>22063</v>
      </c>
      <c r="F3785" s="8" t="s">
        <v>22064</v>
      </c>
      <c r="G3785" s="6" t="s">
        <v>118</v>
      </c>
      <c r="H3785" s="6" t="s">
        <v>34</v>
      </c>
      <c r="I3785" s="8" t="s">
        <v>253</v>
      </c>
      <c r="J3785" s="9">
        <v>1</v>
      </c>
      <c r="K3785" s="9">
        <v>195</v>
      </c>
      <c r="L3785" s="9">
        <v>2026</v>
      </c>
      <c r="M3785" s="8" t="s">
        <v>22065</v>
      </c>
      <c r="N3785" s="8" t="s">
        <v>585</v>
      </c>
      <c r="O3785" s="8" t="s">
        <v>2472</v>
      </c>
      <c r="P3785" s="6" t="s">
        <v>51</v>
      </c>
      <c r="Q3785" s="8" t="s">
        <v>65</v>
      </c>
      <c r="R3785" s="10" t="s">
        <v>22066</v>
      </c>
      <c r="S3785" s="11" t="s">
        <v>22067</v>
      </c>
      <c r="T3785" s="6"/>
      <c r="U3785" s="15" t="str">
        <f>HYPERLINK("https://media.infra-m.ru/2260/2260405/cover/2260405.jpg", "Обложка")</f>
        <v>Обложка</v>
      </c>
      <c r="V3785" s="8" t="s">
        <v>2475</v>
      </c>
      <c r="W3785" s="6"/>
      <c r="X3785" s="6"/>
      <c r="Y3785" s="6"/>
      <c r="Z3785" s="6"/>
      <c r="AA3785" s="6" t="s">
        <v>623</v>
      </c>
      <c r="AB3785" s="8"/>
      <c r="AC3785" s="27">
        <v>9785160185309</v>
      </c>
    </row>
    <row r="3786" spans="1:29" s="4" customFormat="1" ht="42" customHeight="1" x14ac:dyDescent="0.2">
      <c r="A3786" s="5">
        <v>0</v>
      </c>
      <c r="B3786" s="6" t="s">
        <v>22068</v>
      </c>
      <c r="C3786" s="7">
        <v>1276.8</v>
      </c>
      <c r="D3786" s="8" t="s">
        <v>22069</v>
      </c>
      <c r="E3786" s="8" t="s">
        <v>22070</v>
      </c>
      <c r="F3786" s="8" t="s">
        <v>22071</v>
      </c>
      <c r="G3786" s="6" t="s">
        <v>118</v>
      </c>
      <c r="H3786" s="6" t="s">
        <v>34</v>
      </c>
      <c r="I3786" s="8" t="s">
        <v>35</v>
      </c>
      <c r="J3786" s="9">
        <v>1</v>
      </c>
      <c r="K3786" s="9">
        <v>224</v>
      </c>
      <c r="L3786" s="9">
        <v>2025</v>
      </c>
      <c r="M3786" s="8" t="s">
        <v>22072</v>
      </c>
      <c r="N3786" s="8" t="s">
        <v>243</v>
      </c>
      <c r="O3786" s="8" t="s">
        <v>1100</v>
      </c>
      <c r="P3786" s="6" t="s">
        <v>39</v>
      </c>
      <c r="Q3786" s="8" t="s">
        <v>40</v>
      </c>
      <c r="R3786" s="10" t="s">
        <v>22073</v>
      </c>
      <c r="S3786" s="11"/>
      <c r="T3786" s="6"/>
      <c r="U3786" s="15" t="str">
        <f>HYPERLINK("https://media.infra-m.ru/2139/2139938/cover/2139938.jpg", "Обложка")</f>
        <v>Обложка</v>
      </c>
      <c r="V3786" s="8" t="s">
        <v>1030</v>
      </c>
      <c r="W3786" s="6"/>
      <c r="X3786" s="6"/>
      <c r="Y3786" s="6"/>
      <c r="Z3786" s="6"/>
      <c r="AA3786" s="6" t="s">
        <v>86</v>
      </c>
      <c r="AB3786" s="8"/>
      <c r="AC3786" s="27">
        <v>9785160136455</v>
      </c>
    </row>
    <row r="3787" spans="1:29" s="4" customFormat="1" ht="42" customHeight="1" x14ac:dyDescent="0.2">
      <c r="A3787" s="5">
        <v>0</v>
      </c>
      <c r="B3787" s="6" t="s">
        <v>22074</v>
      </c>
      <c r="C3787" s="7">
        <v>1344</v>
      </c>
      <c r="D3787" s="8" t="s">
        <v>22069</v>
      </c>
      <c r="E3787" s="8" t="s">
        <v>22070</v>
      </c>
      <c r="F3787" s="8" t="s">
        <v>22071</v>
      </c>
      <c r="G3787" s="6" t="s">
        <v>33</v>
      </c>
      <c r="H3787" s="6" t="s">
        <v>34</v>
      </c>
      <c r="I3787" s="8" t="s">
        <v>35</v>
      </c>
      <c r="J3787" s="9">
        <v>1</v>
      </c>
      <c r="K3787" s="9">
        <v>224</v>
      </c>
      <c r="L3787" s="9">
        <v>2025</v>
      </c>
      <c r="M3787" s="8" t="s">
        <v>22075</v>
      </c>
      <c r="N3787" s="8" t="s">
        <v>243</v>
      </c>
      <c r="O3787" s="8" t="s">
        <v>1100</v>
      </c>
      <c r="P3787" s="6" t="s">
        <v>39</v>
      </c>
      <c r="Q3787" s="8" t="s">
        <v>40</v>
      </c>
      <c r="R3787" s="10" t="s">
        <v>22073</v>
      </c>
      <c r="S3787" s="11"/>
      <c r="T3787" s="6"/>
      <c r="U3787" s="15" t="str">
        <f>HYPERLINK("https://media.infra-m.ru/2180/2180227/cover/2180227.jpg", "Обложка")</f>
        <v>Обложка</v>
      </c>
      <c r="V3787" s="8" t="s">
        <v>1030</v>
      </c>
      <c r="W3787" s="6"/>
      <c r="X3787" s="6"/>
      <c r="Y3787" s="6"/>
      <c r="Z3787" s="6"/>
      <c r="AA3787" s="6" t="s">
        <v>86</v>
      </c>
      <c r="AB3787" s="8"/>
      <c r="AC3787" s="27">
        <v>9785160205243</v>
      </c>
    </row>
    <row r="3788" spans="1:29" s="4" customFormat="1" ht="51.9" customHeight="1" x14ac:dyDescent="0.2">
      <c r="A3788" s="5">
        <v>0</v>
      </c>
      <c r="B3788" s="6" t="s">
        <v>22076</v>
      </c>
      <c r="C3788" s="7">
        <v>2220</v>
      </c>
      <c r="D3788" s="8" t="s">
        <v>22077</v>
      </c>
      <c r="E3788" s="8" t="s">
        <v>22078</v>
      </c>
      <c r="F3788" s="8" t="s">
        <v>22079</v>
      </c>
      <c r="G3788" s="6" t="s">
        <v>118</v>
      </c>
      <c r="H3788" s="6" t="s">
        <v>34</v>
      </c>
      <c r="I3788" s="8" t="s">
        <v>263</v>
      </c>
      <c r="J3788" s="9">
        <v>1</v>
      </c>
      <c r="K3788" s="9">
        <v>336</v>
      </c>
      <c r="L3788" s="9">
        <v>2026</v>
      </c>
      <c r="M3788" s="8" t="s">
        <v>22080</v>
      </c>
      <c r="N3788" s="8" t="s">
        <v>243</v>
      </c>
      <c r="O3788" s="8" t="s">
        <v>244</v>
      </c>
      <c r="P3788" s="6" t="s">
        <v>306</v>
      </c>
      <c r="Q3788" s="8" t="s">
        <v>265</v>
      </c>
      <c r="R3788" s="10" t="s">
        <v>22081</v>
      </c>
      <c r="S3788" s="11" t="s">
        <v>22082</v>
      </c>
      <c r="T3788" s="6" t="s">
        <v>97</v>
      </c>
      <c r="U3788" s="15" t="str">
        <f>HYPERLINK("https://media.infra-m.ru/2236/2236520/cover/2236520.jpg", "Обложка")</f>
        <v>Обложка</v>
      </c>
      <c r="V3788" s="8" t="s">
        <v>3413</v>
      </c>
      <c r="W3788" s="6"/>
      <c r="X3788" s="6" t="s">
        <v>24</v>
      </c>
      <c r="Y3788" s="6"/>
      <c r="Z3788" s="6" t="s">
        <v>267</v>
      </c>
      <c r="AA3788" s="6" t="s">
        <v>115</v>
      </c>
      <c r="AB3788" s="8"/>
      <c r="AC3788" s="27">
        <v>9785160153230</v>
      </c>
    </row>
    <row r="3789" spans="1:29" s="4" customFormat="1" ht="51.9" customHeight="1" x14ac:dyDescent="0.2">
      <c r="A3789" s="5">
        <v>0</v>
      </c>
      <c r="B3789" s="6" t="s">
        <v>22083</v>
      </c>
      <c r="C3789" s="7">
        <v>2092.8000000000002</v>
      </c>
      <c r="D3789" s="8" t="s">
        <v>22084</v>
      </c>
      <c r="E3789" s="8" t="s">
        <v>22078</v>
      </c>
      <c r="F3789" s="8" t="s">
        <v>22079</v>
      </c>
      <c r="G3789" s="6" t="s">
        <v>118</v>
      </c>
      <c r="H3789" s="6" t="s">
        <v>34</v>
      </c>
      <c r="I3789" s="8" t="s">
        <v>271</v>
      </c>
      <c r="J3789" s="9">
        <v>1</v>
      </c>
      <c r="K3789" s="9">
        <v>336</v>
      </c>
      <c r="L3789" s="9">
        <v>2026</v>
      </c>
      <c r="M3789" s="8" t="s">
        <v>22085</v>
      </c>
      <c r="N3789" s="8" t="s">
        <v>243</v>
      </c>
      <c r="O3789" s="8" t="s">
        <v>244</v>
      </c>
      <c r="P3789" s="6" t="s">
        <v>51</v>
      </c>
      <c r="Q3789" s="8" t="s">
        <v>52</v>
      </c>
      <c r="R3789" s="10" t="s">
        <v>22086</v>
      </c>
      <c r="S3789" s="11" t="s">
        <v>22087</v>
      </c>
      <c r="T3789" s="6" t="s">
        <v>97</v>
      </c>
      <c r="U3789" s="15" t="str">
        <f>HYPERLINK("https://media.infra-m.ru/2214/2214702/cover/2214702.jpg", "Обложка")</f>
        <v>Обложка</v>
      </c>
      <c r="V3789" s="8" t="s">
        <v>3413</v>
      </c>
      <c r="W3789" s="6"/>
      <c r="X3789" s="6"/>
      <c r="Y3789" s="6"/>
      <c r="Z3789" s="6"/>
      <c r="AA3789" s="6" t="s">
        <v>779</v>
      </c>
      <c r="AB3789" s="8"/>
      <c r="AC3789" s="27">
        <v>9785160099507</v>
      </c>
    </row>
    <row r="3790" spans="1:29" s="4" customFormat="1" ht="51.9" customHeight="1" x14ac:dyDescent="0.2">
      <c r="A3790" s="5">
        <v>0</v>
      </c>
      <c r="B3790" s="6" t="s">
        <v>22088</v>
      </c>
      <c r="C3790" s="7">
        <v>2568</v>
      </c>
      <c r="D3790" s="8" t="s">
        <v>22089</v>
      </c>
      <c r="E3790" s="8" t="s">
        <v>22090</v>
      </c>
      <c r="F3790" s="8" t="s">
        <v>22091</v>
      </c>
      <c r="G3790" s="6" t="s">
        <v>118</v>
      </c>
      <c r="H3790" s="6" t="s">
        <v>34</v>
      </c>
      <c r="I3790" s="8" t="s">
        <v>253</v>
      </c>
      <c r="J3790" s="9">
        <v>1</v>
      </c>
      <c r="K3790" s="9">
        <v>368</v>
      </c>
      <c r="L3790" s="9">
        <v>2026</v>
      </c>
      <c r="M3790" s="8" t="s">
        <v>22092</v>
      </c>
      <c r="N3790" s="8" t="s">
        <v>37</v>
      </c>
      <c r="O3790" s="8" t="s">
        <v>83</v>
      </c>
      <c r="P3790" s="6" t="s">
        <v>306</v>
      </c>
      <c r="Q3790" s="8" t="s">
        <v>52</v>
      </c>
      <c r="R3790" s="10" t="s">
        <v>14202</v>
      </c>
      <c r="S3790" s="11" t="s">
        <v>22093</v>
      </c>
      <c r="T3790" s="6"/>
      <c r="U3790" s="15" t="str">
        <f>HYPERLINK("https://media.infra-m.ru/2258/2258724/cover/2258724.jpg", "Обложка")</f>
        <v>Обложка</v>
      </c>
      <c r="V3790" s="8" t="s">
        <v>21583</v>
      </c>
      <c r="W3790" s="6"/>
      <c r="X3790" s="6"/>
      <c r="Y3790" s="6"/>
      <c r="Z3790" s="6"/>
      <c r="AA3790" s="6" t="s">
        <v>1031</v>
      </c>
      <c r="AB3790" s="8"/>
      <c r="AC3790" s="27">
        <v>9785160222332</v>
      </c>
    </row>
    <row r="3791" spans="1:29" s="4" customFormat="1" ht="51.9" customHeight="1" x14ac:dyDescent="0.2">
      <c r="A3791" s="5">
        <v>0</v>
      </c>
      <c r="B3791" s="6" t="s">
        <v>22094</v>
      </c>
      <c r="C3791" s="7">
        <v>1289.9000000000001</v>
      </c>
      <c r="D3791" s="8" t="s">
        <v>22095</v>
      </c>
      <c r="E3791" s="8" t="s">
        <v>22096</v>
      </c>
      <c r="F3791" s="8" t="s">
        <v>22097</v>
      </c>
      <c r="G3791" s="6" t="s">
        <v>60</v>
      </c>
      <c r="H3791" s="6" t="s">
        <v>5605</v>
      </c>
      <c r="I3791" s="8" t="s">
        <v>22098</v>
      </c>
      <c r="J3791" s="9">
        <v>14</v>
      </c>
      <c r="K3791" s="9">
        <v>368</v>
      </c>
      <c r="L3791" s="9">
        <v>2018</v>
      </c>
      <c r="M3791" s="8" t="s">
        <v>22099</v>
      </c>
      <c r="N3791" s="8" t="s">
        <v>37</v>
      </c>
      <c r="O3791" s="8" t="s">
        <v>83</v>
      </c>
      <c r="P3791" s="6" t="s">
        <v>306</v>
      </c>
      <c r="Q3791" s="8" t="s">
        <v>52</v>
      </c>
      <c r="R3791" s="10" t="s">
        <v>14202</v>
      </c>
      <c r="S3791" s="11" t="s">
        <v>22100</v>
      </c>
      <c r="T3791" s="6"/>
      <c r="U3791" s="15" t="str">
        <f>HYPERLINK("https://media.infra-m.ru/0927/0927412/cover/927412.jpg", "Обложка")</f>
        <v>Обложка</v>
      </c>
      <c r="V3791" s="8" t="s">
        <v>21583</v>
      </c>
      <c r="W3791" s="6"/>
      <c r="X3791" s="6"/>
      <c r="Y3791" s="6"/>
      <c r="Z3791" s="6"/>
      <c r="AA3791" s="6" t="s">
        <v>2304</v>
      </c>
      <c r="AB3791" s="8"/>
      <c r="AC3791" s="27">
        <v>5160022503</v>
      </c>
    </row>
    <row r="3792" spans="1:29" s="4" customFormat="1" ht="51.9" customHeight="1" x14ac:dyDescent="0.2">
      <c r="A3792" s="5">
        <v>0</v>
      </c>
      <c r="B3792" s="6" t="s">
        <v>22101</v>
      </c>
      <c r="C3792" s="7">
        <v>1852.8</v>
      </c>
      <c r="D3792" s="8" t="s">
        <v>22102</v>
      </c>
      <c r="E3792" s="8" t="s">
        <v>22103</v>
      </c>
      <c r="F3792" s="8" t="s">
        <v>22104</v>
      </c>
      <c r="G3792" s="6" t="s">
        <v>118</v>
      </c>
      <c r="H3792" s="6" t="s">
        <v>34</v>
      </c>
      <c r="I3792" s="8" t="s">
        <v>253</v>
      </c>
      <c r="J3792" s="9">
        <v>1</v>
      </c>
      <c r="K3792" s="9">
        <v>292</v>
      </c>
      <c r="L3792" s="9">
        <v>2026</v>
      </c>
      <c r="M3792" s="8" t="s">
        <v>22105</v>
      </c>
      <c r="N3792" s="8" t="s">
        <v>243</v>
      </c>
      <c r="O3792" s="8" t="s">
        <v>933</v>
      </c>
      <c r="P3792" s="6" t="s">
        <v>306</v>
      </c>
      <c r="Q3792" s="8" t="s">
        <v>52</v>
      </c>
      <c r="R3792" s="10" t="s">
        <v>22106</v>
      </c>
      <c r="S3792" s="11" t="s">
        <v>22107</v>
      </c>
      <c r="T3792" s="6"/>
      <c r="U3792" s="15" t="str">
        <f>HYPERLINK("https://media.infra-m.ru/2223/2223187/cover/2223187.jpg", "Обложка")</f>
        <v>Обложка</v>
      </c>
      <c r="V3792" s="8" t="s">
        <v>14780</v>
      </c>
      <c r="W3792" s="6"/>
      <c r="X3792" s="6"/>
      <c r="Y3792" s="6"/>
      <c r="Z3792" s="6"/>
      <c r="AA3792" s="6" t="s">
        <v>86</v>
      </c>
      <c r="AB3792" s="8"/>
      <c r="AC3792" s="27">
        <v>9785160188478</v>
      </c>
    </row>
    <row r="3793" spans="1:29" s="4" customFormat="1" ht="51.9" customHeight="1" x14ac:dyDescent="0.2">
      <c r="A3793" s="5">
        <v>0</v>
      </c>
      <c r="B3793" s="6" t="s">
        <v>22108</v>
      </c>
      <c r="C3793" s="7">
        <v>1924.8</v>
      </c>
      <c r="D3793" s="8" t="s">
        <v>22109</v>
      </c>
      <c r="E3793" s="8" t="s">
        <v>22103</v>
      </c>
      <c r="F3793" s="8" t="s">
        <v>22104</v>
      </c>
      <c r="G3793" s="6" t="s">
        <v>118</v>
      </c>
      <c r="H3793" s="6" t="s">
        <v>34</v>
      </c>
      <c r="I3793" s="8" t="s">
        <v>263</v>
      </c>
      <c r="J3793" s="9">
        <v>1</v>
      </c>
      <c r="K3793" s="9">
        <v>292</v>
      </c>
      <c r="L3793" s="9">
        <v>2026</v>
      </c>
      <c r="M3793" s="8" t="s">
        <v>22110</v>
      </c>
      <c r="N3793" s="8" t="s">
        <v>243</v>
      </c>
      <c r="O3793" s="8" t="s">
        <v>933</v>
      </c>
      <c r="P3793" s="6" t="s">
        <v>306</v>
      </c>
      <c r="Q3793" s="8" t="s">
        <v>265</v>
      </c>
      <c r="R3793" s="10" t="s">
        <v>22111</v>
      </c>
      <c r="S3793" s="11" t="s">
        <v>22112</v>
      </c>
      <c r="T3793" s="6"/>
      <c r="U3793" s="15" t="str">
        <f>HYPERLINK("https://media.infra-m.ru/2229/2229016/cover/2229016.jpg", "Обложка")</f>
        <v>Обложка</v>
      </c>
      <c r="V3793" s="8" t="s">
        <v>14780</v>
      </c>
      <c r="W3793" s="6"/>
      <c r="X3793" s="6" t="s">
        <v>24</v>
      </c>
      <c r="Y3793" s="6"/>
      <c r="Z3793" s="6" t="s">
        <v>267</v>
      </c>
      <c r="AA3793" s="6" t="s">
        <v>1256</v>
      </c>
      <c r="AB3793" s="8"/>
      <c r="AC3793" s="27">
        <v>9785160156132</v>
      </c>
    </row>
    <row r="3794" spans="1:29" s="4" customFormat="1" ht="51.9" customHeight="1" x14ac:dyDescent="0.2">
      <c r="A3794" s="5">
        <v>0</v>
      </c>
      <c r="B3794" s="6" t="s">
        <v>22113</v>
      </c>
      <c r="C3794" s="7">
        <v>1116</v>
      </c>
      <c r="D3794" s="8" t="s">
        <v>22114</v>
      </c>
      <c r="E3794" s="8" t="s">
        <v>22115</v>
      </c>
      <c r="F3794" s="8" t="s">
        <v>22116</v>
      </c>
      <c r="G3794" s="6" t="s">
        <v>118</v>
      </c>
      <c r="H3794" s="6" t="s">
        <v>34</v>
      </c>
      <c r="I3794" s="8" t="s">
        <v>253</v>
      </c>
      <c r="J3794" s="9">
        <v>1</v>
      </c>
      <c r="K3794" s="9">
        <v>160</v>
      </c>
      <c r="L3794" s="9">
        <v>2026</v>
      </c>
      <c r="M3794" s="8" t="s">
        <v>22117</v>
      </c>
      <c r="N3794" s="8" t="s">
        <v>37</v>
      </c>
      <c r="O3794" s="8" t="s">
        <v>233</v>
      </c>
      <c r="P3794" s="6" t="s">
        <v>51</v>
      </c>
      <c r="Q3794" s="8" t="s">
        <v>52</v>
      </c>
      <c r="R3794" s="10" t="s">
        <v>22118</v>
      </c>
      <c r="S3794" s="11"/>
      <c r="T3794" s="6"/>
      <c r="U3794" s="15" t="str">
        <f>HYPERLINK("https://media.infra-m.ru/2259/2259689/cover/2259689.jpg", "Обложка")</f>
        <v>Обложка</v>
      </c>
      <c r="V3794" s="8"/>
      <c r="W3794" s="6"/>
      <c r="X3794" s="6"/>
      <c r="Y3794" s="6"/>
      <c r="Z3794" s="6"/>
      <c r="AA3794" s="6" t="s">
        <v>1015</v>
      </c>
      <c r="AB3794" s="8"/>
      <c r="AC3794" s="27">
        <v>9785160222509</v>
      </c>
    </row>
    <row r="3795" spans="1:29" s="4" customFormat="1" ht="44.1" customHeight="1" x14ac:dyDescent="0.2">
      <c r="A3795" s="5">
        <v>0</v>
      </c>
      <c r="B3795" s="6" t="s">
        <v>22119</v>
      </c>
      <c r="C3795" s="7">
        <v>2212.8000000000002</v>
      </c>
      <c r="D3795" s="8" t="s">
        <v>22120</v>
      </c>
      <c r="E3795" s="8" t="s">
        <v>22121</v>
      </c>
      <c r="F3795" s="8" t="s">
        <v>18472</v>
      </c>
      <c r="G3795" s="6" t="s">
        <v>60</v>
      </c>
      <c r="H3795" s="6" t="s">
        <v>134</v>
      </c>
      <c r="I3795" s="8"/>
      <c r="J3795" s="9">
        <v>1</v>
      </c>
      <c r="K3795" s="9">
        <v>400</v>
      </c>
      <c r="L3795" s="9">
        <v>2023</v>
      </c>
      <c r="M3795" s="8" t="s">
        <v>22122</v>
      </c>
      <c r="N3795" s="8" t="s">
        <v>37</v>
      </c>
      <c r="O3795" s="8" t="s">
        <v>233</v>
      </c>
      <c r="P3795" s="6" t="s">
        <v>95</v>
      </c>
      <c r="Q3795" s="8" t="s">
        <v>52</v>
      </c>
      <c r="R3795" s="10" t="s">
        <v>18479</v>
      </c>
      <c r="S3795" s="11"/>
      <c r="T3795" s="6"/>
      <c r="U3795" s="15" t="str">
        <f>HYPERLINK("https://media.infra-m.ru/1900/1900860/cover/1900860.jpg", "Обложка")</f>
        <v>Обложка</v>
      </c>
      <c r="V3795" s="8" t="s">
        <v>546</v>
      </c>
      <c r="W3795" s="6"/>
      <c r="X3795" s="6"/>
      <c r="Y3795" s="6"/>
      <c r="Z3795" s="6"/>
      <c r="AA3795" s="6" t="s">
        <v>779</v>
      </c>
      <c r="AB3795" s="8"/>
      <c r="AC3795" s="27">
        <v>9785917688138</v>
      </c>
    </row>
    <row r="3796" spans="1:29" s="4" customFormat="1" ht="51.9" customHeight="1" x14ac:dyDescent="0.2">
      <c r="A3796" s="5">
        <v>0</v>
      </c>
      <c r="B3796" s="6" t="s">
        <v>22123</v>
      </c>
      <c r="C3796" s="7">
        <v>1156.8</v>
      </c>
      <c r="D3796" s="8" t="s">
        <v>22124</v>
      </c>
      <c r="E3796" s="8" t="s">
        <v>22125</v>
      </c>
      <c r="F3796" s="8" t="s">
        <v>22126</v>
      </c>
      <c r="G3796" s="6" t="s">
        <v>33</v>
      </c>
      <c r="H3796" s="6" t="s">
        <v>34</v>
      </c>
      <c r="I3796" s="8" t="s">
        <v>271</v>
      </c>
      <c r="J3796" s="9">
        <v>1</v>
      </c>
      <c r="K3796" s="9">
        <v>176</v>
      </c>
      <c r="L3796" s="9">
        <v>2026</v>
      </c>
      <c r="M3796" s="8" t="s">
        <v>22127</v>
      </c>
      <c r="N3796" s="8" t="s">
        <v>37</v>
      </c>
      <c r="O3796" s="8" t="s">
        <v>233</v>
      </c>
      <c r="P3796" s="6" t="s">
        <v>51</v>
      </c>
      <c r="Q3796" s="8" t="s">
        <v>52</v>
      </c>
      <c r="R3796" s="10" t="s">
        <v>18457</v>
      </c>
      <c r="S3796" s="11" t="s">
        <v>8993</v>
      </c>
      <c r="T3796" s="6"/>
      <c r="U3796" s="15" t="str">
        <f>HYPERLINK("https://media.infra-m.ru/2238/2238253/cover/2238253.jpg", "Обложка")</f>
        <v>Обложка</v>
      </c>
      <c r="V3796" s="8" t="s">
        <v>5117</v>
      </c>
      <c r="W3796" s="6"/>
      <c r="X3796" s="6"/>
      <c r="Y3796" s="6"/>
      <c r="Z3796" s="6"/>
      <c r="AA3796" s="6" t="s">
        <v>55</v>
      </c>
      <c r="AB3796" s="8"/>
      <c r="AC3796" s="27">
        <v>9785160057217</v>
      </c>
    </row>
    <row r="3797" spans="1:29" s="4" customFormat="1" ht="44.1" customHeight="1" x14ac:dyDescent="0.2">
      <c r="A3797" s="5">
        <v>0</v>
      </c>
      <c r="B3797" s="6" t="s">
        <v>22128</v>
      </c>
      <c r="C3797" s="7">
        <v>2388</v>
      </c>
      <c r="D3797" s="8" t="s">
        <v>22129</v>
      </c>
      <c r="E3797" s="8" t="s">
        <v>22121</v>
      </c>
      <c r="F3797" s="8" t="s">
        <v>18472</v>
      </c>
      <c r="G3797" s="6" t="s">
        <v>118</v>
      </c>
      <c r="H3797" s="6" t="s">
        <v>134</v>
      </c>
      <c r="I3797" s="8"/>
      <c r="J3797" s="9">
        <v>1</v>
      </c>
      <c r="K3797" s="9">
        <v>352</v>
      </c>
      <c r="L3797" s="9">
        <v>2026</v>
      </c>
      <c r="M3797" s="8" t="s">
        <v>22130</v>
      </c>
      <c r="N3797" s="8" t="s">
        <v>37</v>
      </c>
      <c r="O3797" s="8" t="s">
        <v>233</v>
      </c>
      <c r="P3797" s="6" t="s">
        <v>394</v>
      </c>
      <c r="Q3797" s="8" t="s">
        <v>52</v>
      </c>
      <c r="R3797" s="10" t="s">
        <v>18479</v>
      </c>
      <c r="S3797" s="11"/>
      <c r="T3797" s="6"/>
      <c r="U3797" s="15" t="str">
        <f>HYPERLINK("https://media.infra-m.ru/2255/2255710/cover/2255710.jpg", "Обложка")</f>
        <v>Обложка</v>
      </c>
      <c r="V3797" s="8" t="s">
        <v>546</v>
      </c>
      <c r="W3797" s="6"/>
      <c r="X3797" s="6"/>
      <c r="Y3797" s="6"/>
      <c r="Z3797" s="6"/>
      <c r="AA3797" s="6" t="s">
        <v>274</v>
      </c>
      <c r="AB3797" s="8"/>
      <c r="AC3797" s="27">
        <v>9785917686899</v>
      </c>
    </row>
    <row r="3798" spans="1:29" s="4" customFormat="1" ht="51.9" customHeight="1" x14ac:dyDescent="0.2">
      <c r="A3798" s="5">
        <v>0</v>
      </c>
      <c r="B3798" s="6" t="s">
        <v>22131</v>
      </c>
      <c r="C3798" s="7">
        <v>3312</v>
      </c>
      <c r="D3798" s="8" t="s">
        <v>22132</v>
      </c>
      <c r="E3798" s="8" t="s">
        <v>22121</v>
      </c>
      <c r="F3798" s="8" t="s">
        <v>22133</v>
      </c>
      <c r="G3798" s="6" t="s">
        <v>60</v>
      </c>
      <c r="H3798" s="6" t="s">
        <v>34</v>
      </c>
      <c r="I3798" s="8" t="s">
        <v>253</v>
      </c>
      <c r="J3798" s="9">
        <v>1</v>
      </c>
      <c r="K3798" s="9">
        <v>553</v>
      </c>
      <c r="L3798" s="9">
        <v>2026</v>
      </c>
      <c r="M3798" s="8" t="s">
        <v>22134</v>
      </c>
      <c r="N3798" s="8" t="s">
        <v>37</v>
      </c>
      <c r="O3798" s="8" t="s">
        <v>233</v>
      </c>
      <c r="P3798" s="6" t="s">
        <v>306</v>
      </c>
      <c r="Q3798" s="8" t="s">
        <v>52</v>
      </c>
      <c r="R3798" s="10" t="s">
        <v>22135</v>
      </c>
      <c r="S3798" s="11" t="s">
        <v>22136</v>
      </c>
      <c r="T3798" s="6"/>
      <c r="U3798" s="15" t="str">
        <f>HYPERLINK("https://media.infra-m.ru/2258/2258026/cover/2258026.jpg", "Обложка")</f>
        <v>Обложка</v>
      </c>
      <c r="V3798" s="8" t="s">
        <v>1192</v>
      </c>
      <c r="W3798" s="6"/>
      <c r="X3798" s="6"/>
      <c r="Y3798" s="6"/>
      <c r="Z3798" s="6"/>
      <c r="AA3798" s="6" t="s">
        <v>55</v>
      </c>
      <c r="AB3798" s="8"/>
      <c r="AC3798" s="27">
        <v>9785160222189</v>
      </c>
    </row>
    <row r="3799" spans="1:29" s="4" customFormat="1" ht="51.9" customHeight="1" x14ac:dyDescent="0.2">
      <c r="A3799" s="5">
        <v>0</v>
      </c>
      <c r="B3799" s="6" t="s">
        <v>22137</v>
      </c>
      <c r="C3799" s="7">
        <v>1480.8</v>
      </c>
      <c r="D3799" s="8" t="s">
        <v>22138</v>
      </c>
      <c r="E3799" s="8" t="s">
        <v>22121</v>
      </c>
      <c r="F3799" s="8" t="s">
        <v>18494</v>
      </c>
      <c r="G3799" s="6" t="s">
        <v>60</v>
      </c>
      <c r="H3799" s="6" t="s">
        <v>34</v>
      </c>
      <c r="I3799" s="8" t="s">
        <v>271</v>
      </c>
      <c r="J3799" s="9">
        <v>1</v>
      </c>
      <c r="K3799" s="9">
        <v>224</v>
      </c>
      <c r="L3799" s="9">
        <v>2026</v>
      </c>
      <c r="M3799" s="8" t="s">
        <v>22139</v>
      </c>
      <c r="N3799" s="8" t="s">
        <v>37</v>
      </c>
      <c r="O3799" s="8" t="s">
        <v>233</v>
      </c>
      <c r="P3799" s="6" t="s">
        <v>306</v>
      </c>
      <c r="Q3799" s="8" t="s">
        <v>52</v>
      </c>
      <c r="R3799" s="10" t="s">
        <v>22140</v>
      </c>
      <c r="S3799" s="11" t="s">
        <v>22141</v>
      </c>
      <c r="T3799" s="6"/>
      <c r="U3799" s="15" t="str">
        <f>HYPERLINK("https://media.infra-m.ru/2239/2239160/cover/2239160.jpg", "Обложка")</f>
        <v>Обложка</v>
      </c>
      <c r="V3799" s="8" t="s">
        <v>5964</v>
      </c>
      <c r="W3799" s="6"/>
      <c r="X3799" s="6"/>
      <c r="Y3799" s="6"/>
      <c r="Z3799" s="6"/>
      <c r="AA3799" s="6" t="s">
        <v>129</v>
      </c>
      <c r="AB3799" s="8"/>
      <c r="AC3799" s="27">
        <v>9785160049274</v>
      </c>
    </row>
    <row r="3800" spans="1:29" s="4" customFormat="1" ht="51.9" customHeight="1" x14ac:dyDescent="0.2">
      <c r="A3800" s="5">
        <v>0</v>
      </c>
      <c r="B3800" s="6" t="s">
        <v>22142</v>
      </c>
      <c r="C3800" s="7">
        <v>2176.8000000000002</v>
      </c>
      <c r="D3800" s="8" t="s">
        <v>22143</v>
      </c>
      <c r="E3800" s="8" t="s">
        <v>22121</v>
      </c>
      <c r="F3800" s="8" t="s">
        <v>12495</v>
      </c>
      <c r="G3800" s="6" t="s">
        <v>60</v>
      </c>
      <c r="H3800" s="6" t="s">
        <v>34</v>
      </c>
      <c r="I3800" s="8" t="s">
        <v>271</v>
      </c>
      <c r="J3800" s="9">
        <v>1</v>
      </c>
      <c r="K3800" s="9">
        <v>395</v>
      </c>
      <c r="L3800" s="9">
        <v>2024</v>
      </c>
      <c r="M3800" s="8" t="s">
        <v>22144</v>
      </c>
      <c r="N3800" s="8" t="s">
        <v>37</v>
      </c>
      <c r="O3800" s="8" t="s">
        <v>233</v>
      </c>
      <c r="P3800" s="6" t="s">
        <v>306</v>
      </c>
      <c r="Q3800" s="8" t="s">
        <v>52</v>
      </c>
      <c r="R3800" s="10" t="s">
        <v>22145</v>
      </c>
      <c r="S3800" s="11" t="s">
        <v>22146</v>
      </c>
      <c r="T3800" s="6"/>
      <c r="U3800" s="15" t="str">
        <f>HYPERLINK("https://media.infra-m.ru/2096/2096818/cover/2096818.jpg", "Обложка")</f>
        <v>Обложка</v>
      </c>
      <c r="V3800" s="8" t="s">
        <v>5117</v>
      </c>
      <c r="W3800" s="6"/>
      <c r="X3800" s="6"/>
      <c r="Y3800" s="6"/>
      <c r="Z3800" s="6"/>
      <c r="AA3800" s="6" t="s">
        <v>55</v>
      </c>
      <c r="AB3800" s="8"/>
      <c r="AC3800" s="27">
        <v>9785160054667</v>
      </c>
    </row>
    <row r="3801" spans="1:29" s="4" customFormat="1" ht="51.9" customHeight="1" x14ac:dyDescent="0.2">
      <c r="A3801" s="5">
        <v>0</v>
      </c>
      <c r="B3801" s="6" t="s">
        <v>22147</v>
      </c>
      <c r="C3801" s="7">
        <v>2896.8</v>
      </c>
      <c r="D3801" s="8" t="s">
        <v>22148</v>
      </c>
      <c r="E3801" s="8" t="s">
        <v>22121</v>
      </c>
      <c r="F3801" s="8" t="s">
        <v>22149</v>
      </c>
      <c r="G3801" s="6" t="s">
        <v>60</v>
      </c>
      <c r="H3801" s="6" t="s">
        <v>34</v>
      </c>
      <c r="I3801" s="8" t="s">
        <v>271</v>
      </c>
      <c r="J3801" s="9">
        <v>1</v>
      </c>
      <c r="K3801" s="9">
        <v>415</v>
      </c>
      <c r="L3801" s="9">
        <v>2027</v>
      </c>
      <c r="M3801" s="8" t="s">
        <v>22150</v>
      </c>
      <c r="N3801" s="8" t="s">
        <v>37</v>
      </c>
      <c r="O3801" s="8" t="s">
        <v>233</v>
      </c>
      <c r="P3801" s="6" t="s">
        <v>306</v>
      </c>
      <c r="Q3801" s="8" t="s">
        <v>52</v>
      </c>
      <c r="R3801" s="10" t="s">
        <v>18457</v>
      </c>
      <c r="S3801" s="11"/>
      <c r="T3801" s="6" t="s">
        <v>97</v>
      </c>
      <c r="U3801" s="15" t="str">
        <f>HYPERLINK("https://media.infra-m.ru/2266/2266120/cover/2266120.jpg", "Обложка")</f>
        <v>Обложка</v>
      </c>
      <c r="V3801" s="8" t="s">
        <v>396</v>
      </c>
      <c r="W3801" s="6"/>
      <c r="X3801" s="6"/>
      <c r="Y3801" s="6"/>
      <c r="Z3801" s="6"/>
      <c r="AA3801" s="6" t="s">
        <v>274</v>
      </c>
      <c r="AB3801" s="8"/>
      <c r="AC3801" s="27">
        <v>9785160061115</v>
      </c>
    </row>
    <row r="3802" spans="1:29" s="4" customFormat="1" ht="51.9" customHeight="1" x14ac:dyDescent="0.2">
      <c r="A3802" s="5">
        <v>0</v>
      </c>
      <c r="B3802" s="6" t="s">
        <v>22151</v>
      </c>
      <c r="C3802" s="7">
        <v>1636.8</v>
      </c>
      <c r="D3802" s="8" t="s">
        <v>22152</v>
      </c>
      <c r="E3802" s="8" t="s">
        <v>22121</v>
      </c>
      <c r="F3802" s="8" t="s">
        <v>22153</v>
      </c>
      <c r="G3802" s="6" t="s">
        <v>60</v>
      </c>
      <c r="H3802" s="6" t="s">
        <v>34</v>
      </c>
      <c r="I3802" s="8" t="s">
        <v>271</v>
      </c>
      <c r="J3802" s="9">
        <v>1</v>
      </c>
      <c r="K3802" s="9">
        <v>247</v>
      </c>
      <c r="L3802" s="9">
        <v>2026</v>
      </c>
      <c r="M3802" s="8" t="s">
        <v>22154</v>
      </c>
      <c r="N3802" s="8" t="s">
        <v>37</v>
      </c>
      <c r="O3802" s="8" t="s">
        <v>233</v>
      </c>
      <c r="P3802" s="6" t="s">
        <v>51</v>
      </c>
      <c r="Q3802" s="8" t="s">
        <v>52</v>
      </c>
      <c r="R3802" s="10" t="s">
        <v>13969</v>
      </c>
      <c r="S3802" s="11" t="s">
        <v>22155</v>
      </c>
      <c r="T3802" s="6"/>
      <c r="U3802" s="15" t="str">
        <f>HYPERLINK("https://media.infra-m.ru/2242/2242888/cover/2242888.jpg", "Обложка")</f>
        <v>Обложка</v>
      </c>
      <c r="V3802" s="8" t="s">
        <v>2075</v>
      </c>
      <c r="W3802" s="6"/>
      <c r="X3802" s="6"/>
      <c r="Y3802" s="6"/>
      <c r="Z3802" s="6"/>
      <c r="AA3802" s="6" t="s">
        <v>248</v>
      </c>
      <c r="AB3802" s="8"/>
      <c r="AC3802" s="27">
        <v>9785160061801</v>
      </c>
    </row>
    <row r="3803" spans="1:29" s="4" customFormat="1" ht="51.9" customHeight="1" x14ac:dyDescent="0.2">
      <c r="A3803" s="5">
        <v>0</v>
      </c>
      <c r="B3803" s="6" t="s">
        <v>22156</v>
      </c>
      <c r="C3803" s="7">
        <v>1500</v>
      </c>
      <c r="D3803" s="8" t="s">
        <v>22157</v>
      </c>
      <c r="E3803" s="8" t="s">
        <v>22121</v>
      </c>
      <c r="F3803" s="8" t="s">
        <v>22158</v>
      </c>
      <c r="G3803" s="6" t="s">
        <v>118</v>
      </c>
      <c r="H3803" s="6" t="s">
        <v>34</v>
      </c>
      <c r="I3803" s="8" t="s">
        <v>253</v>
      </c>
      <c r="J3803" s="9">
        <v>1</v>
      </c>
      <c r="K3803" s="9">
        <v>250</v>
      </c>
      <c r="L3803" s="9">
        <v>2025</v>
      </c>
      <c r="M3803" s="8" t="s">
        <v>22159</v>
      </c>
      <c r="N3803" s="8" t="s">
        <v>37</v>
      </c>
      <c r="O3803" s="8" t="s">
        <v>233</v>
      </c>
      <c r="P3803" s="6" t="s">
        <v>306</v>
      </c>
      <c r="Q3803" s="8" t="s">
        <v>52</v>
      </c>
      <c r="R3803" s="10" t="s">
        <v>6383</v>
      </c>
      <c r="S3803" s="11" t="s">
        <v>2238</v>
      </c>
      <c r="T3803" s="6"/>
      <c r="U3803" s="15" t="str">
        <f>HYPERLINK("https://media.infra-m.ru/2186/2186890/cover/2186890.jpg", "Обложка")</f>
        <v>Обложка</v>
      </c>
      <c r="V3803" s="8" t="s">
        <v>1768</v>
      </c>
      <c r="W3803" s="6"/>
      <c r="X3803" s="6"/>
      <c r="Y3803" s="6"/>
      <c r="Z3803" s="6"/>
      <c r="AA3803" s="6" t="s">
        <v>248</v>
      </c>
      <c r="AB3803" s="8"/>
      <c r="AC3803" s="27">
        <v>9785160206813</v>
      </c>
    </row>
    <row r="3804" spans="1:29" s="4" customFormat="1" ht="44.1" customHeight="1" x14ac:dyDescent="0.2">
      <c r="A3804" s="5">
        <v>0</v>
      </c>
      <c r="B3804" s="6" t="s">
        <v>22160</v>
      </c>
      <c r="C3804" s="13">
        <v>605.9</v>
      </c>
      <c r="D3804" s="8" t="s">
        <v>22161</v>
      </c>
      <c r="E3804" s="8" t="s">
        <v>22162</v>
      </c>
      <c r="F3804" s="8" t="s">
        <v>22163</v>
      </c>
      <c r="G3804" s="6" t="s">
        <v>33</v>
      </c>
      <c r="H3804" s="6" t="s">
        <v>34</v>
      </c>
      <c r="I3804" s="8" t="s">
        <v>35</v>
      </c>
      <c r="J3804" s="9">
        <v>1</v>
      </c>
      <c r="K3804" s="9">
        <v>112</v>
      </c>
      <c r="L3804" s="9">
        <v>2023</v>
      </c>
      <c r="M3804" s="8" t="s">
        <v>22164</v>
      </c>
      <c r="N3804" s="8" t="s">
        <v>37</v>
      </c>
      <c r="O3804" s="8" t="s">
        <v>233</v>
      </c>
      <c r="P3804" s="6" t="s">
        <v>39</v>
      </c>
      <c r="Q3804" s="8" t="s">
        <v>40</v>
      </c>
      <c r="R3804" s="10" t="s">
        <v>18479</v>
      </c>
      <c r="S3804" s="11"/>
      <c r="T3804" s="6"/>
      <c r="U3804" s="15" t="str">
        <f>HYPERLINK("https://media.infra-m.ru/2044/2044327/cover/2044327.jpg", "Обложка")</f>
        <v>Обложка</v>
      </c>
      <c r="V3804" s="8" t="s">
        <v>21052</v>
      </c>
      <c r="W3804" s="6"/>
      <c r="X3804" s="6"/>
      <c r="Y3804" s="6"/>
      <c r="Z3804" s="6"/>
      <c r="AA3804" s="6" t="s">
        <v>43</v>
      </c>
      <c r="AB3804" s="8"/>
      <c r="AC3804" s="27">
        <v>9785160056562</v>
      </c>
    </row>
    <row r="3805" spans="1:29" s="4" customFormat="1" ht="51.9" customHeight="1" x14ac:dyDescent="0.2">
      <c r="A3805" s="5">
        <v>0</v>
      </c>
      <c r="B3805" s="6" t="s">
        <v>22165</v>
      </c>
      <c r="C3805" s="7">
        <v>2308.8000000000002</v>
      </c>
      <c r="D3805" s="8" t="s">
        <v>22166</v>
      </c>
      <c r="E3805" s="8" t="s">
        <v>22167</v>
      </c>
      <c r="F3805" s="8" t="s">
        <v>22168</v>
      </c>
      <c r="G3805" s="6" t="s">
        <v>118</v>
      </c>
      <c r="H3805" s="6" t="s">
        <v>34</v>
      </c>
      <c r="I3805" s="8" t="s">
        <v>35</v>
      </c>
      <c r="J3805" s="9">
        <v>1</v>
      </c>
      <c r="K3805" s="9">
        <v>350</v>
      </c>
      <c r="L3805" s="9">
        <v>2026</v>
      </c>
      <c r="M3805" s="8" t="s">
        <v>22169</v>
      </c>
      <c r="N3805" s="8" t="s">
        <v>243</v>
      </c>
      <c r="O3805" s="8" t="s">
        <v>758</v>
      </c>
      <c r="P3805" s="6" t="s">
        <v>39</v>
      </c>
      <c r="Q3805" s="8" t="s">
        <v>40</v>
      </c>
      <c r="R3805" s="10" t="s">
        <v>22170</v>
      </c>
      <c r="S3805" s="11"/>
      <c r="T3805" s="6"/>
      <c r="U3805" s="15" t="str">
        <f>HYPERLINK("https://media.infra-m.ru/2249/2249524/cover/2249524.jpg", "Обложка")</f>
        <v>Обложка</v>
      </c>
      <c r="V3805" s="8" t="s">
        <v>7429</v>
      </c>
      <c r="W3805" s="6"/>
      <c r="X3805" s="6"/>
      <c r="Y3805" s="6"/>
      <c r="Z3805" s="6"/>
      <c r="AA3805" s="6" t="s">
        <v>430</v>
      </c>
      <c r="AB3805" s="8"/>
      <c r="AC3805" s="27">
        <v>9785160166452</v>
      </c>
    </row>
    <row r="3806" spans="1:29" s="4" customFormat="1" ht="42" customHeight="1" x14ac:dyDescent="0.2">
      <c r="A3806" s="5">
        <v>0</v>
      </c>
      <c r="B3806" s="6" t="s">
        <v>22171</v>
      </c>
      <c r="C3806" s="13">
        <v>708</v>
      </c>
      <c r="D3806" s="8" t="s">
        <v>22172</v>
      </c>
      <c r="E3806" s="8" t="s">
        <v>22173</v>
      </c>
      <c r="F3806" s="8" t="s">
        <v>22174</v>
      </c>
      <c r="G3806" s="6" t="s">
        <v>33</v>
      </c>
      <c r="H3806" s="6" t="s">
        <v>34</v>
      </c>
      <c r="I3806" s="8" t="s">
        <v>746</v>
      </c>
      <c r="J3806" s="9">
        <v>1</v>
      </c>
      <c r="K3806" s="9">
        <v>107</v>
      </c>
      <c r="L3806" s="9">
        <v>2026</v>
      </c>
      <c r="M3806" s="8" t="s">
        <v>22175</v>
      </c>
      <c r="N3806" s="8" t="s">
        <v>243</v>
      </c>
      <c r="O3806" s="8" t="s">
        <v>385</v>
      </c>
      <c r="P3806" s="6" t="s">
        <v>39</v>
      </c>
      <c r="Q3806" s="8" t="s">
        <v>40</v>
      </c>
      <c r="R3806" s="10" t="s">
        <v>378</v>
      </c>
      <c r="S3806" s="11"/>
      <c r="T3806" s="6"/>
      <c r="U3806" s="15" t="str">
        <f>HYPERLINK("https://media.infra-m.ru/2238/2238521/cover/2238521.jpg", "Обложка")</f>
        <v>Обложка</v>
      </c>
      <c r="V3806" s="8" t="s">
        <v>8054</v>
      </c>
      <c r="W3806" s="6"/>
      <c r="X3806" s="6"/>
      <c r="Y3806" s="6"/>
      <c r="Z3806" s="6"/>
      <c r="AA3806" s="6" t="s">
        <v>248</v>
      </c>
      <c r="AB3806" s="8"/>
      <c r="AC3806" s="27">
        <v>9785160097282</v>
      </c>
    </row>
    <row r="3807" spans="1:29" s="4" customFormat="1" ht="42" customHeight="1" x14ac:dyDescent="0.2">
      <c r="A3807" s="5">
        <v>0</v>
      </c>
      <c r="B3807" s="6" t="s">
        <v>22176</v>
      </c>
      <c r="C3807" s="7">
        <v>2568</v>
      </c>
      <c r="D3807" s="8" t="s">
        <v>22177</v>
      </c>
      <c r="E3807" s="8" t="s">
        <v>22178</v>
      </c>
      <c r="F3807" s="8" t="s">
        <v>22179</v>
      </c>
      <c r="G3807" s="6" t="s">
        <v>60</v>
      </c>
      <c r="H3807" s="6" t="s">
        <v>34</v>
      </c>
      <c r="I3807" s="8" t="s">
        <v>35</v>
      </c>
      <c r="J3807" s="9">
        <v>1</v>
      </c>
      <c r="K3807" s="9">
        <v>466</v>
      </c>
      <c r="L3807" s="9">
        <v>2024</v>
      </c>
      <c r="M3807" s="8" t="s">
        <v>22180</v>
      </c>
      <c r="N3807" s="8" t="s">
        <v>585</v>
      </c>
      <c r="O3807" s="8" t="s">
        <v>775</v>
      </c>
      <c r="P3807" s="6" t="s">
        <v>39</v>
      </c>
      <c r="Q3807" s="8" t="s">
        <v>40</v>
      </c>
      <c r="R3807" s="10" t="s">
        <v>22181</v>
      </c>
      <c r="S3807" s="11"/>
      <c r="T3807" s="6"/>
      <c r="U3807" s="15" t="str">
        <f>HYPERLINK("https://media.infra-m.ru/2122/2122430/cover/2122430.jpg", "Обложка")</f>
        <v>Обложка</v>
      </c>
      <c r="V3807" s="8" t="s">
        <v>7429</v>
      </c>
      <c r="W3807" s="6"/>
      <c r="X3807" s="6"/>
      <c r="Y3807" s="6"/>
      <c r="Z3807" s="6"/>
      <c r="AA3807" s="6" t="s">
        <v>148</v>
      </c>
      <c r="AB3807" s="8" t="s">
        <v>1743</v>
      </c>
      <c r="AC3807" s="27">
        <v>9785160173399</v>
      </c>
    </row>
    <row r="3808" spans="1:29" s="4" customFormat="1" ht="44.1" customHeight="1" x14ac:dyDescent="0.2">
      <c r="A3808" s="5">
        <v>0</v>
      </c>
      <c r="B3808" s="6" t="s">
        <v>22182</v>
      </c>
      <c r="C3808" s="13">
        <v>525.6</v>
      </c>
      <c r="D3808" s="8" t="s">
        <v>22183</v>
      </c>
      <c r="E3808" s="8" t="s">
        <v>22184</v>
      </c>
      <c r="F3808" s="8" t="s">
        <v>598</v>
      </c>
      <c r="G3808" s="6" t="s">
        <v>33</v>
      </c>
      <c r="H3808" s="6" t="s">
        <v>34</v>
      </c>
      <c r="I3808" s="8"/>
      <c r="J3808" s="9">
        <v>1</v>
      </c>
      <c r="K3808" s="9">
        <v>112</v>
      </c>
      <c r="L3808" s="9">
        <v>2026</v>
      </c>
      <c r="M3808" s="8" t="s">
        <v>22185</v>
      </c>
      <c r="N3808" s="8" t="s">
        <v>63</v>
      </c>
      <c r="O3808" s="8" t="s">
        <v>64</v>
      </c>
      <c r="P3808" s="6" t="s">
        <v>601</v>
      </c>
      <c r="Q3808" s="8" t="s">
        <v>3587</v>
      </c>
      <c r="R3808" s="10" t="s">
        <v>22186</v>
      </c>
      <c r="S3808" s="11"/>
      <c r="T3808" s="6"/>
      <c r="U3808" s="15" t="str">
        <f>HYPERLINK("https://media.infra-m.ru/2213/2213192/cover/2213192.jpg", "Обложка")</f>
        <v>Обложка</v>
      </c>
      <c r="V3808" s="8" t="s">
        <v>227</v>
      </c>
      <c r="W3808" s="6"/>
      <c r="X3808" s="6"/>
      <c r="Y3808" s="6"/>
      <c r="Z3808" s="6"/>
      <c r="AA3808" s="6" t="s">
        <v>16533</v>
      </c>
      <c r="AB3808" s="8"/>
      <c r="AC3808" s="27">
        <v>9785160031743</v>
      </c>
    </row>
    <row r="3809" spans="1:29" s="4" customFormat="1" ht="44.1" customHeight="1" x14ac:dyDescent="0.2">
      <c r="A3809" s="5">
        <v>0</v>
      </c>
      <c r="B3809" s="6" t="s">
        <v>22187</v>
      </c>
      <c r="C3809" s="7">
        <v>1032</v>
      </c>
      <c r="D3809" s="8" t="s">
        <v>22188</v>
      </c>
      <c r="E3809" s="8" t="s">
        <v>22189</v>
      </c>
      <c r="F3809" s="8" t="s">
        <v>22190</v>
      </c>
      <c r="G3809" s="6" t="s">
        <v>60</v>
      </c>
      <c r="H3809" s="6" t="s">
        <v>34</v>
      </c>
      <c r="I3809" s="8" t="s">
        <v>35</v>
      </c>
      <c r="J3809" s="9">
        <v>1</v>
      </c>
      <c r="K3809" s="9">
        <v>152</v>
      </c>
      <c r="L3809" s="9">
        <v>2025</v>
      </c>
      <c r="M3809" s="8" t="s">
        <v>22191</v>
      </c>
      <c r="N3809" s="8" t="s">
        <v>37</v>
      </c>
      <c r="O3809" s="8" t="s">
        <v>136</v>
      </c>
      <c r="P3809" s="6" t="s">
        <v>39</v>
      </c>
      <c r="Q3809" s="8" t="s">
        <v>40</v>
      </c>
      <c r="R3809" s="10" t="s">
        <v>15715</v>
      </c>
      <c r="S3809" s="11"/>
      <c r="T3809" s="6"/>
      <c r="U3809" s="15" t="str">
        <f>HYPERLINK("https://media.infra-m.ru/2176/2176627/cover/2176627.jpg", "Обложка")</f>
        <v>Обложка</v>
      </c>
      <c r="V3809" s="8" t="s">
        <v>4923</v>
      </c>
      <c r="W3809" s="6"/>
      <c r="X3809" s="6"/>
      <c r="Y3809" s="6"/>
      <c r="Z3809" s="6"/>
      <c r="AA3809" s="6" t="s">
        <v>68</v>
      </c>
      <c r="AB3809" s="8"/>
      <c r="AC3809" s="27">
        <v>9785160204741</v>
      </c>
    </row>
    <row r="3810" spans="1:29" s="4" customFormat="1" ht="51.9" customHeight="1" x14ac:dyDescent="0.2">
      <c r="A3810" s="5">
        <v>0</v>
      </c>
      <c r="B3810" s="6" t="s">
        <v>22192</v>
      </c>
      <c r="C3810" s="7">
        <v>1469.9</v>
      </c>
      <c r="D3810" s="8" t="s">
        <v>22193</v>
      </c>
      <c r="E3810" s="8" t="s">
        <v>22194</v>
      </c>
      <c r="F3810" s="8" t="s">
        <v>22195</v>
      </c>
      <c r="G3810" s="6" t="s">
        <v>60</v>
      </c>
      <c r="H3810" s="6" t="s">
        <v>134</v>
      </c>
      <c r="I3810" s="8"/>
      <c r="J3810" s="9">
        <v>1</v>
      </c>
      <c r="K3810" s="9">
        <v>272</v>
      </c>
      <c r="L3810" s="9">
        <v>2023</v>
      </c>
      <c r="M3810" s="8" t="s">
        <v>22196</v>
      </c>
      <c r="N3810" s="8" t="s">
        <v>37</v>
      </c>
      <c r="O3810" s="8" t="s">
        <v>83</v>
      </c>
      <c r="P3810" s="6" t="s">
        <v>39</v>
      </c>
      <c r="Q3810" s="8" t="s">
        <v>40</v>
      </c>
      <c r="R3810" s="10" t="s">
        <v>22197</v>
      </c>
      <c r="S3810" s="11"/>
      <c r="T3810" s="6"/>
      <c r="U3810" s="15" t="str">
        <f>HYPERLINK("https://media.infra-m.ru/1913/1913682/cover/1913682.jpg", "Обложка")</f>
        <v>Обложка</v>
      </c>
      <c r="V3810" s="8" t="s">
        <v>1339</v>
      </c>
      <c r="W3810" s="6"/>
      <c r="X3810" s="6"/>
      <c r="Y3810" s="6"/>
      <c r="Z3810" s="6"/>
      <c r="AA3810" s="6" t="s">
        <v>779</v>
      </c>
      <c r="AB3810" s="8"/>
      <c r="AC3810" s="27">
        <v>9785917687322</v>
      </c>
    </row>
    <row r="3811" spans="1:29" s="4" customFormat="1" ht="51.9" customHeight="1" x14ac:dyDescent="0.2">
      <c r="A3811" s="5">
        <v>0</v>
      </c>
      <c r="B3811" s="6" t="s">
        <v>22198</v>
      </c>
      <c r="C3811" s="7">
        <v>2760</v>
      </c>
      <c r="D3811" s="8" t="s">
        <v>22199</v>
      </c>
      <c r="E3811" s="8" t="s">
        <v>22200</v>
      </c>
      <c r="F3811" s="8" t="s">
        <v>22201</v>
      </c>
      <c r="G3811" s="6" t="s">
        <v>60</v>
      </c>
      <c r="H3811" s="6" t="s">
        <v>34</v>
      </c>
      <c r="I3811" s="8" t="s">
        <v>179</v>
      </c>
      <c r="J3811" s="9">
        <v>1</v>
      </c>
      <c r="K3811" s="9">
        <v>416</v>
      </c>
      <c r="L3811" s="9">
        <v>2026</v>
      </c>
      <c r="M3811" s="8" t="s">
        <v>22202</v>
      </c>
      <c r="N3811" s="8" t="s">
        <v>37</v>
      </c>
      <c r="O3811" s="8" t="s">
        <v>50</v>
      </c>
      <c r="P3811" s="6" t="s">
        <v>182</v>
      </c>
      <c r="Q3811" s="8" t="s">
        <v>65</v>
      </c>
      <c r="R3811" s="10" t="s">
        <v>22203</v>
      </c>
      <c r="S3811" s="11"/>
      <c r="T3811" s="6"/>
      <c r="U3811" s="15" t="str">
        <f>HYPERLINK("https://media.infra-m.ru/2230/2230146/cover/2230146.jpg", "Обложка")</f>
        <v>Обложка</v>
      </c>
      <c r="V3811" s="8" t="s">
        <v>20440</v>
      </c>
      <c r="W3811" s="6" t="s">
        <v>186</v>
      </c>
      <c r="X3811" s="6"/>
      <c r="Y3811" s="6"/>
      <c r="Z3811" s="6"/>
      <c r="AA3811" s="6" t="s">
        <v>650</v>
      </c>
      <c r="AB3811" s="8"/>
      <c r="AC3811" s="27">
        <v>9785160215471</v>
      </c>
    </row>
    <row r="3812" spans="1:29" s="4" customFormat="1" ht="51.9" customHeight="1" x14ac:dyDescent="0.2">
      <c r="A3812" s="5">
        <v>0</v>
      </c>
      <c r="B3812" s="6" t="s">
        <v>22204</v>
      </c>
      <c r="C3812" s="7">
        <v>2760</v>
      </c>
      <c r="D3812" s="8" t="s">
        <v>22205</v>
      </c>
      <c r="E3812" s="8" t="s">
        <v>22200</v>
      </c>
      <c r="F3812" s="8" t="s">
        <v>22206</v>
      </c>
      <c r="G3812" s="6" t="s">
        <v>60</v>
      </c>
      <c r="H3812" s="6" t="s">
        <v>34</v>
      </c>
      <c r="I3812" s="8" t="s">
        <v>263</v>
      </c>
      <c r="J3812" s="9">
        <v>1</v>
      </c>
      <c r="K3812" s="9">
        <v>418</v>
      </c>
      <c r="L3812" s="9">
        <v>2026</v>
      </c>
      <c r="M3812" s="8" t="s">
        <v>22207</v>
      </c>
      <c r="N3812" s="8" t="s">
        <v>37</v>
      </c>
      <c r="O3812" s="8" t="s">
        <v>50</v>
      </c>
      <c r="P3812" s="6" t="s">
        <v>51</v>
      </c>
      <c r="Q3812" s="8" t="s">
        <v>265</v>
      </c>
      <c r="R3812" s="10" t="s">
        <v>22208</v>
      </c>
      <c r="S3812" s="11" t="s">
        <v>22209</v>
      </c>
      <c r="T3812" s="6"/>
      <c r="U3812" s="15" t="str">
        <f>HYPERLINK("https://media.infra-m.ru/2227/2227184/cover/2227184.jpg", "Обложка")</f>
        <v>Обложка</v>
      </c>
      <c r="V3812" s="8" t="s">
        <v>20440</v>
      </c>
      <c r="W3812" s="6"/>
      <c r="X3812" s="6"/>
      <c r="Y3812" s="6"/>
      <c r="Z3812" s="6" t="s">
        <v>267</v>
      </c>
      <c r="AA3812" s="6" t="s">
        <v>404</v>
      </c>
      <c r="AB3812" s="8"/>
      <c r="AC3812" s="27">
        <v>9785160139746</v>
      </c>
    </row>
    <row r="3813" spans="1:29" s="4" customFormat="1" ht="51.9" customHeight="1" x14ac:dyDescent="0.2">
      <c r="A3813" s="5">
        <v>0</v>
      </c>
      <c r="B3813" s="6" t="s">
        <v>22210</v>
      </c>
      <c r="C3813" s="7">
        <v>2916</v>
      </c>
      <c r="D3813" s="8" t="s">
        <v>22211</v>
      </c>
      <c r="E3813" s="8" t="s">
        <v>22200</v>
      </c>
      <c r="F3813" s="8" t="s">
        <v>22201</v>
      </c>
      <c r="G3813" s="6" t="s">
        <v>60</v>
      </c>
      <c r="H3813" s="6" t="s">
        <v>34</v>
      </c>
      <c r="I3813" s="8" t="s">
        <v>253</v>
      </c>
      <c r="J3813" s="9">
        <v>1</v>
      </c>
      <c r="K3813" s="9">
        <v>418</v>
      </c>
      <c r="L3813" s="9">
        <v>2026</v>
      </c>
      <c r="M3813" s="8" t="s">
        <v>22212</v>
      </c>
      <c r="N3813" s="8" t="s">
        <v>37</v>
      </c>
      <c r="O3813" s="8" t="s">
        <v>50</v>
      </c>
      <c r="P3813" s="6" t="s">
        <v>51</v>
      </c>
      <c r="Q3813" s="8" t="s">
        <v>52</v>
      </c>
      <c r="R3813" s="10" t="s">
        <v>22213</v>
      </c>
      <c r="S3813" s="11" t="s">
        <v>22214</v>
      </c>
      <c r="T3813" s="6"/>
      <c r="U3813" s="15" t="str">
        <f>HYPERLINK("https://media.infra-m.ru/2258/2258705/cover/2258705.jpg", "Обложка")</f>
        <v>Обложка</v>
      </c>
      <c r="V3813" s="8" t="s">
        <v>20440</v>
      </c>
      <c r="W3813" s="6"/>
      <c r="X3813" s="6"/>
      <c r="Y3813" s="6"/>
      <c r="Z3813" s="6"/>
      <c r="AA3813" s="6" t="s">
        <v>623</v>
      </c>
      <c r="AB3813" s="8"/>
      <c r="AC3813" s="27">
        <v>9785160193861</v>
      </c>
    </row>
    <row r="3814" spans="1:29" s="4" customFormat="1" ht="51.9" customHeight="1" x14ac:dyDescent="0.2">
      <c r="A3814" s="5">
        <v>0</v>
      </c>
      <c r="B3814" s="6" t="s">
        <v>22215</v>
      </c>
      <c r="C3814" s="7">
        <v>1860</v>
      </c>
      <c r="D3814" s="8" t="s">
        <v>22216</v>
      </c>
      <c r="E3814" s="8" t="s">
        <v>22217</v>
      </c>
      <c r="F3814" s="8" t="s">
        <v>213</v>
      </c>
      <c r="G3814" s="6" t="s">
        <v>118</v>
      </c>
      <c r="H3814" s="6" t="s">
        <v>34</v>
      </c>
      <c r="I3814" s="8" t="s">
        <v>22218</v>
      </c>
      <c r="J3814" s="9">
        <v>1</v>
      </c>
      <c r="K3814" s="9">
        <v>281</v>
      </c>
      <c r="L3814" s="9">
        <v>2026</v>
      </c>
      <c r="M3814" s="8" t="s">
        <v>22219</v>
      </c>
      <c r="N3814" s="8" t="s">
        <v>37</v>
      </c>
      <c r="O3814" s="8" t="s">
        <v>50</v>
      </c>
      <c r="P3814" s="6" t="s">
        <v>51</v>
      </c>
      <c r="Q3814" s="8" t="s">
        <v>265</v>
      </c>
      <c r="R3814" s="10" t="s">
        <v>22220</v>
      </c>
      <c r="S3814" s="11" t="s">
        <v>22221</v>
      </c>
      <c r="T3814" s="6"/>
      <c r="U3814" s="15" t="str">
        <f>HYPERLINK("https://media.infra-m.ru/2254/2254629/cover/2254629.jpg", "Обложка")</f>
        <v>Обложка</v>
      </c>
      <c r="V3814" s="8" t="s">
        <v>217</v>
      </c>
      <c r="W3814" s="6"/>
      <c r="X3814" s="6"/>
      <c r="Y3814" s="6"/>
      <c r="Z3814" s="6"/>
      <c r="AA3814" s="6" t="s">
        <v>1256</v>
      </c>
      <c r="AB3814" s="8" t="s">
        <v>1418</v>
      </c>
      <c r="AC3814" s="27">
        <v>9785160152318</v>
      </c>
    </row>
    <row r="3815" spans="1:29" s="4" customFormat="1" ht="51.9" customHeight="1" x14ac:dyDescent="0.2">
      <c r="A3815" s="5">
        <v>0</v>
      </c>
      <c r="B3815" s="6" t="s">
        <v>22222</v>
      </c>
      <c r="C3815" s="7">
        <v>3796.8</v>
      </c>
      <c r="D3815" s="8" t="s">
        <v>22223</v>
      </c>
      <c r="E3815" s="8" t="s">
        <v>22224</v>
      </c>
      <c r="F3815" s="8" t="s">
        <v>22225</v>
      </c>
      <c r="G3815" s="6" t="s">
        <v>60</v>
      </c>
      <c r="H3815" s="6" t="s">
        <v>34</v>
      </c>
      <c r="I3815" s="8" t="s">
        <v>35</v>
      </c>
      <c r="J3815" s="9">
        <v>1</v>
      </c>
      <c r="K3815" s="9">
        <v>576</v>
      </c>
      <c r="L3815" s="9">
        <v>2026</v>
      </c>
      <c r="M3815" s="8" t="s">
        <v>22226</v>
      </c>
      <c r="N3815" s="8" t="s">
        <v>37</v>
      </c>
      <c r="O3815" s="8" t="s">
        <v>233</v>
      </c>
      <c r="P3815" s="6" t="s">
        <v>39</v>
      </c>
      <c r="Q3815" s="8" t="s">
        <v>40</v>
      </c>
      <c r="R3815" s="10" t="s">
        <v>22227</v>
      </c>
      <c r="S3815" s="11"/>
      <c r="T3815" s="6"/>
      <c r="U3815" s="15" t="str">
        <f>HYPERLINK("https://media.infra-m.ru/2247/2247891/cover/2247891.jpg", "Обложка")</f>
        <v>Обложка</v>
      </c>
      <c r="V3815" s="8" t="s">
        <v>2055</v>
      </c>
      <c r="W3815" s="6"/>
      <c r="X3815" s="6"/>
      <c r="Y3815" s="6"/>
      <c r="Z3815" s="6"/>
      <c r="AA3815" s="6" t="s">
        <v>148</v>
      </c>
      <c r="AB3815" s="8" t="s">
        <v>4423</v>
      </c>
      <c r="AC3815" s="27">
        <v>9785160174938</v>
      </c>
    </row>
    <row r="3816" spans="1:29" s="4" customFormat="1" ht="51.9" customHeight="1" x14ac:dyDescent="0.2">
      <c r="A3816" s="5">
        <v>0</v>
      </c>
      <c r="B3816" s="6" t="s">
        <v>22228</v>
      </c>
      <c r="C3816" s="7">
        <v>2308.8000000000002</v>
      </c>
      <c r="D3816" s="8" t="s">
        <v>22229</v>
      </c>
      <c r="E3816" s="8" t="s">
        <v>22230</v>
      </c>
      <c r="F3816" s="8" t="s">
        <v>22231</v>
      </c>
      <c r="G3816" s="6" t="s">
        <v>118</v>
      </c>
      <c r="H3816" s="6" t="s">
        <v>34</v>
      </c>
      <c r="I3816" s="8" t="s">
        <v>253</v>
      </c>
      <c r="J3816" s="9">
        <v>1</v>
      </c>
      <c r="K3816" s="9">
        <v>370</v>
      </c>
      <c r="L3816" s="9">
        <v>2026</v>
      </c>
      <c r="M3816" s="8" t="s">
        <v>22232</v>
      </c>
      <c r="N3816" s="8" t="s">
        <v>37</v>
      </c>
      <c r="O3816" s="8" t="s">
        <v>233</v>
      </c>
      <c r="P3816" s="6" t="s">
        <v>306</v>
      </c>
      <c r="Q3816" s="8" t="s">
        <v>52</v>
      </c>
      <c r="R3816" s="10" t="s">
        <v>2061</v>
      </c>
      <c r="S3816" s="11" t="s">
        <v>22233</v>
      </c>
      <c r="T3816" s="6" t="s">
        <v>97</v>
      </c>
      <c r="U3816" s="15" t="str">
        <f>HYPERLINK("https://media.infra-m.ru/2213/2213310/cover/2213310.jpg", "Обложка")</f>
        <v>Обложка</v>
      </c>
      <c r="V3816" s="8" t="s">
        <v>247</v>
      </c>
      <c r="W3816" s="6"/>
      <c r="X3816" s="6"/>
      <c r="Y3816" s="6"/>
      <c r="Z3816" s="6"/>
      <c r="AA3816" s="6" t="s">
        <v>99</v>
      </c>
      <c r="AB3816" s="8"/>
      <c r="AC3816" s="27">
        <v>9785160188966</v>
      </c>
    </row>
    <row r="3817" spans="1:29" s="4" customFormat="1" ht="51.9" customHeight="1" x14ac:dyDescent="0.2">
      <c r="A3817" s="5">
        <v>0</v>
      </c>
      <c r="B3817" s="6" t="s">
        <v>22234</v>
      </c>
      <c r="C3817" s="7">
        <v>2400</v>
      </c>
      <c r="D3817" s="8" t="s">
        <v>22235</v>
      </c>
      <c r="E3817" s="8" t="s">
        <v>22236</v>
      </c>
      <c r="F3817" s="8" t="s">
        <v>12220</v>
      </c>
      <c r="G3817" s="6" t="s">
        <v>118</v>
      </c>
      <c r="H3817" s="6" t="s">
        <v>1644</v>
      </c>
      <c r="I3817" s="8"/>
      <c r="J3817" s="9">
        <v>1</v>
      </c>
      <c r="K3817" s="9">
        <v>400</v>
      </c>
      <c r="L3817" s="9">
        <v>2024</v>
      </c>
      <c r="M3817" s="8" t="s">
        <v>22237</v>
      </c>
      <c r="N3817" s="8" t="s">
        <v>37</v>
      </c>
      <c r="O3817" s="8" t="s">
        <v>233</v>
      </c>
      <c r="P3817" s="6" t="s">
        <v>306</v>
      </c>
      <c r="Q3817" s="8" t="s">
        <v>52</v>
      </c>
      <c r="R3817" s="10" t="s">
        <v>22238</v>
      </c>
      <c r="S3817" s="11"/>
      <c r="T3817" s="6"/>
      <c r="U3817" s="15" t="str">
        <f>HYPERLINK("https://media.infra-m.ru/2156/2156902/cover/2156902.jpg", "Обложка")</f>
        <v>Обложка</v>
      </c>
      <c r="V3817" s="8" t="s">
        <v>396</v>
      </c>
      <c r="W3817" s="6"/>
      <c r="X3817" s="6"/>
      <c r="Y3817" s="6"/>
      <c r="Z3817" s="6"/>
      <c r="AA3817" s="6" t="s">
        <v>3721</v>
      </c>
      <c r="AB3817" s="8"/>
      <c r="AC3817" s="27">
        <v>9785977602662</v>
      </c>
    </row>
    <row r="3818" spans="1:29" s="4" customFormat="1" ht="51.9" customHeight="1" x14ac:dyDescent="0.2">
      <c r="A3818" s="5">
        <v>0</v>
      </c>
      <c r="B3818" s="6" t="s">
        <v>22239</v>
      </c>
      <c r="C3818" s="7">
        <v>1512</v>
      </c>
      <c r="D3818" s="8" t="s">
        <v>22240</v>
      </c>
      <c r="E3818" s="8" t="s">
        <v>22230</v>
      </c>
      <c r="F3818" s="8" t="s">
        <v>22241</v>
      </c>
      <c r="G3818" s="6" t="s">
        <v>33</v>
      </c>
      <c r="H3818" s="6" t="s">
        <v>313</v>
      </c>
      <c r="I3818" s="8" t="s">
        <v>253</v>
      </c>
      <c r="J3818" s="9">
        <v>1</v>
      </c>
      <c r="K3818" s="9">
        <v>228</v>
      </c>
      <c r="L3818" s="9">
        <v>2026</v>
      </c>
      <c r="M3818" s="8" t="s">
        <v>22242</v>
      </c>
      <c r="N3818" s="8" t="s">
        <v>37</v>
      </c>
      <c r="O3818" s="8" t="s">
        <v>233</v>
      </c>
      <c r="P3818" s="6" t="s">
        <v>306</v>
      </c>
      <c r="Q3818" s="8" t="s">
        <v>52</v>
      </c>
      <c r="R3818" s="10" t="s">
        <v>22243</v>
      </c>
      <c r="S3818" s="11"/>
      <c r="T3818" s="6" t="s">
        <v>97</v>
      </c>
      <c r="U3818" s="15" t="str">
        <f>HYPERLINK("https://media.infra-m.ru/2249/2249263/cover/2249263.jpg", "Обложка")</f>
        <v>Обложка</v>
      </c>
      <c r="V3818" s="8" t="s">
        <v>22244</v>
      </c>
      <c r="W3818" s="6"/>
      <c r="X3818" s="6"/>
      <c r="Y3818" s="6"/>
      <c r="Z3818" s="6"/>
      <c r="AA3818" s="6" t="s">
        <v>779</v>
      </c>
      <c r="AB3818" s="8"/>
      <c r="AC3818" s="27">
        <v>9785369015407</v>
      </c>
    </row>
    <row r="3819" spans="1:29" s="4" customFormat="1" ht="51.9" customHeight="1" x14ac:dyDescent="0.2">
      <c r="A3819" s="5">
        <v>0</v>
      </c>
      <c r="B3819" s="6" t="s">
        <v>22245</v>
      </c>
      <c r="C3819" s="7">
        <v>1488</v>
      </c>
      <c r="D3819" s="8" t="s">
        <v>22246</v>
      </c>
      <c r="E3819" s="8" t="s">
        <v>22230</v>
      </c>
      <c r="F3819" s="8" t="s">
        <v>22247</v>
      </c>
      <c r="G3819" s="6" t="s">
        <v>118</v>
      </c>
      <c r="H3819" s="6" t="s">
        <v>34</v>
      </c>
      <c r="I3819" s="8" t="s">
        <v>22248</v>
      </c>
      <c r="J3819" s="9">
        <v>1</v>
      </c>
      <c r="K3819" s="9">
        <v>275</v>
      </c>
      <c r="L3819" s="9">
        <v>2023</v>
      </c>
      <c r="M3819" s="8" t="s">
        <v>22249</v>
      </c>
      <c r="N3819" s="8" t="s">
        <v>37</v>
      </c>
      <c r="O3819" s="8" t="s">
        <v>233</v>
      </c>
      <c r="P3819" s="6" t="s">
        <v>306</v>
      </c>
      <c r="Q3819" s="8" t="s">
        <v>52</v>
      </c>
      <c r="R3819" s="10" t="s">
        <v>3008</v>
      </c>
      <c r="S3819" s="11" t="s">
        <v>22250</v>
      </c>
      <c r="T3819" s="6"/>
      <c r="U3819" s="15" t="str">
        <f>HYPERLINK("https://media.infra-m.ru/1894/1894755/cover/1894755.jpg", "Обложка")</f>
        <v>Обложка</v>
      </c>
      <c r="V3819" s="8" t="s">
        <v>13958</v>
      </c>
      <c r="W3819" s="6"/>
      <c r="X3819" s="6"/>
      <c r="Y3819" s="6"/>
      <c r="Z3819" s="6"/>
      <c r="AA3819" s="6" t="s">
        <v>430</v>
      </c>
      <c r="AB3819" s="8"/>
      <c r="AC3819" s="27">
        <v>9785160155319</v>
      </c>
    </row>
    <row r="3820" spans="1:29" s="4" customFormat="1" ht="51.9" customHeight="1" x14ac:dyDescent="0.2">
      <c r="A3820" s="5">
        <v>0</v>
      </c>
      <c r="B3820" s="6" t="s">
        <v>22251</v>
      </c>
      <c r="C3820" s="7">
        <v>1096.8</v>
      </c>
      <c r="D3820" s="8" t="s">
        <v>22252</v>
      </c>
      <c r="E3820" s="8" t="s">
        <v>22253</v>
      </c>
      <c r="F3820" s="8" t="s">
        <v>22254</v>
      </c>
      <c r="G3820" s="6" t="s">
        <v>118</v>
      </c>
      <c r="H3820" s="6" t="s">
        <v>34</v>
      </c>
      <c r="I3820" s="8" t="s">
        <v>2025</v>
      </c>
      <c r="J3820" s="9">
        <v>1</v>
      </c>
      <c r="K3820" s="9">
        <v>164</v>
      </c>
      <c r="L3820" s="9">
        <v>2026</v>
      </c>
      <c r="M3820" s="8" t="s">
        <v>22255</v>
      </c>
      <c r="N3820" s="8" t="s">
        <v>37</v>
      </c>
      <c r="O3820" s="8" t="s">
        <v>233</v>
      </c>
      <c r="P3820" s="6" t="s">
        <v>51</v>
      </c>
      <c r="Q3820" s="8" t="s">
        <v>52</v>
      </c>
      <c r="R3820" s="10" t="s">
        <v>3008</v>
      </c>
      <c r="S3820" s="11" t="s">
        <v>22256</v>
      </c>
      <c r="T3820" s="6"/>
      <c r="U3820" s="15" t="str">
        <f>HYPERLINK("https://media.infra-m.ru/2238/2238364/cover/2238364.jpg", "Обложка")</f>
        <v>Обложка</v>
      </c>
      <c r="V3820" s="8" t="s">
        <v>247</v>
      </c>
      <c r="W3820" s="6"/>
      <c r="X3820" s="6"/>
      <c r="Y3820" s="6"/>
      <c r="Z3820" s="6"/>
      <c r="AA3820" s="6" t="s">
        <v>218</v>
      </c>
      <c r="AB3820" s="8"/>
      <c r="AC3820" s="27">
        <v>9785160158068</v>
      </c>
    </row>
    <row r="3821" spans="1:29" s="4" customFormat="1" ht="42" customHeight="1" x14ac:dyDescent="0.2">
      <c r="A3821" s="5">
        <v>0</v>
      </c>
      <c r="B3821" s="6" t="s">
        <v>22257</v>
      </c>
      <c r="C3821" s="13">
        <v>432</v>
      </c>
      <c r="D3821" s="8" t="s">
        <v>22258</v>
      </c>
      <c r="E3821" s="8" t="s">
        <v>22230</v>
      </c>
      <c r="F3821" s="8" t="s">
        <v>22254</v>
      </c>
      <c r="G3821" s="6" t="s">
        <v>33</v>
      </c>
      <c r="H3821" s="6" t="s">
        <v>241</v>
      </c>
      <c r="I3821" s="8" t="s">
        <v>4439</v>
      </c>
      <c r="J3821" s="9">
        <v>1</v>
      </c>
      <c r="K3821" s="9">
        <v>136</v>
      </c>
      <c r="L3821" s="9">
        <v>2018</v>
      </c>
      <c r="M3821" s="8" t="s">
        <v>22259</v>
      </c>
      <c r="N3821" s="8" t="s">
        <v>37</v>
      </c>
      <c r="O3821" s="8" t="s">
        <v>83</v>
      </c>
      <c r="P3821" s="6" t="s">
        <v>394</v>
      </c>
      <c r="Q3821" s="8" t="s">
        <v>52</v>
      </c>
      <c r="R3821" s="10" t="s">
        <v>3008</v>
      </c>
      <c r="S3821" s="11"/>
      <c r="T3821" s="6"/>
      <c r="U3821" s="15" t="str">
        <f>HYPERLINK("https://media.infra-m.ru/0926/0926578/cover/926578.jpg", "Обложка")</f>
        <v>Обложка</v>
      </c>
      <c r="V3821" s="8" t="s">
        <v>247</v>
      </c>
      <c r="W3821" s="6"/>
      <c r="X3821" s="6"/>
      <c r="Y3821" s="6"/>
      <c r="Z3821" s="6"/>
      <c r="AA3821" s="6" t="s">
        <v>779</v>
      </c>
      <c r="AB3821" s="8"/>
      <c r="AC3821" s="27">
        <v>9785955804811</v>
      </c>
    </row>
    <row r="3822" spans="1:29" s="4" customFormat="1" ht="51.9" customHeight="1" x14ac:dyDescent="0.2">
      <c r="A3822" s="5">
        <v>0</v>
      </c>
      <c r="B3822" s="6" t="s">
        <v>22260</v>
      </c>
      <c r="C3822" s="7">
        <v>1440</v>
      </c>
      <c r="D3822" s="8" t="s">
        <v>22261</v>
      </c>
      <c r="E3822" s="8" t="s">
        <v>22230</v>
      </c>
      <c r="F3822" s="8" t="s">
        <v>22262</v>
      </c>
      <c r="G3822" s="6" t="s">
        <v>118</v>
      </c>
      <c r="H3822" s="6" t="s">
        <v>313</v>
      </c>
      <c r="I3822" s="8" t="s">
        <v>253</v>
      </c>
      <c r="J3822" s="9">
        <v>1</v>
      </c>
      <c r="K3822" s="9">
        <v>259</v>
      </c>
      <c r="L3822" s="9">
        <v>2023</v>
      </c>
      <c r="M3822" s="8" t="s">
        <v>22263</v>
      </c>
      <c r="N3822" s="8" t="s">
        <v>37</v>
      </c>
      <c r="O3822" s="8" t="s">
        <v>233</v>
      </c>
      <c r="P3822" s="6" t="s">
        <v>51</v>
      </c>
      <c r="Q3822" s="8" t="s">
        <v>52</v>
      </c>
      <c r="R3822" s="10" t="s">
        <v>22264</v>
      </c>
      <c r="S3822" s="11" t="s">
        <v>22265</v>
      </c>
      <c r="T3822" s="6"/>
      <c r="U3822" s="15" t="str">
        <f>HYPERLINK("https://media.infra-m.ru/2125/2125167/cover/2125167.jpg", "Обложка")</f>
        <v>Обложка</v>
      </c>
      <c r="V3822" s="8" t="s">
        <v>257</v>
      </c>
      <c r="W3822" s="6"/>
      <c r="X3822" s="6"/>
      <c r="Y3822" s="6"/>
      <c r="Z3822" s="6"/>
      <c r="AA3822" s="6" t="s">
        <v>99</v>
      </c>
      <c r="AB3822" s="8"/>
      <c r="AC3822" s="27">
        <v>9785369016206</v>
      </c>
    </row>
    <row r="3823" spans="1:29" s="4" customFormat="1" ht="51.9" customHeight="1" x14ac:dyDescent="0.2">
      <c r="A3823" s="5">
        <v>0</v>
      </c>
      <c r="B3823" s="6" t="s">
        <v>22266</v>
      </c>
      <c r="C3823" s="7">
        <v>2820</v>
      </c>
      <c r="D3823" s="8" t="s">
        <v>22267</v>
      </c>
      <c r="E3823" s="8" t="s">
        <v>22268</v>
      </c>
      <c r="F3823" s="8" t="s">
        <v>22269</v>
      </c>
      <c r="G3823" s="6" t="s">
        <v>60</v>
      </c>
      <c r="H3823" s="6" t="s">
        <v>34</v>
      </c>
      <c r="I3823" s="8" t="s">
        <v>253</v>
      </c>
      <c r="J3823" s="9">
        <v>1</v>
      </c>
      <c r="K3823" s="9">
        <v>452</v>
      </c>
      <c r="L3823" s="9">
        <v>2025</v>
      </c>
      <c r="M3823" s="8" t="s">
        <v>22270</v>
      </c>
      <c r="N3823" s="8" t="s">
        <v>37</v>
      </c>
      <c r="O3823" s="8" t="s">
        <v>233</v>
      </c>
      <c r="P3823" s="6" t="s">
        <v>306</v>
      </c>
      <c r="Q3823" s="8" t="s">
        <v>52</v>
      </c>
      <c r="R3823" s="10" t="s">
        <v>22271</v>
      </c>
      <c r="S3823" s="11" t="s">
        <v>22272</v>
      </c>
      <c r="T3823" s="6"/>
      <c r="U3823" s="15" t="str">
        <f>HYPERLINK("https://media.infra-m.ru/2157/2157179/cover/2157179.jpg", "Обложка")</f>
        <v>Обложка</v>
      </c>
      <c r="V3823" s="8" t="s">
        <v>657</v>
      </c>
      <c r="W3823" s="6"/>
      <c r="X3823" s="6"/>
      <c r="Y3823" s="6"/>
      <c r="Z3823" s="6"/>
      <c r="AA3823" s="6" t="s">
        <v>68</v>
      </c>
      <c r="AB3823" s="8" t="s">
        <v>12037</v>
      </c>
      <c r="AC3823" s="27">
        <v>9785160200712</v>
      </c>
    </row>
    <row r="3824" spans="1:29" s="4" customFormat="1" ht="51.9" customHeight="1" x14ac:dyDescent="0.2">
      <c r="A3824" s="5">
        <v>0</v>
      </c>
      <c r="B3824" s="6" t="s">
        <v>22273</v>
      </c>
      <c r="C3824" s="7">
        <v>2428.8000000000002</v>
      </c>
      <c r="D3824" s="8" t="s">
        <v>22274</v>
      </c>
      <c r="E3824" s="8" t="s">
        <v>22275</v>
      </c>
      <c r="F3824" s="8" t="s">
        <v>22276</v>
      </c>
      <c r="G3824" s="6" t="s">
        <v>118</v>
      </c>
      <c r="H3824" s="6" t="s">
        <v>34</v>
      </c>
      <c r="I3824" s="8" t="s">
        <v>253</v>
      </c>
      <c r="J3824" s="9">
        <v>1</v>
      </c>
      <c r="K3824" s="9">
        <v>369</v>
      </c>
      <c r="L3824" s="9">
        <v>2026</v>
      </c>
      <c r="M3824" s="8" t="s">
        <v>22277</v>
      </c>
      <c r="N3824" s="8" t="s">
        <v>37</v>
      </c>
      <c r="O3824" s="8" t="s">
        <v>233</v>
      </c>
      <c r="P3824" s="6" t="s">
        <v>306</v>
      </c>
      <c r="Q3824" s="8" t="s">
        <v>65</v>
      </c>
      <c r="R3824" s="10" t="s">
        <v>22278</v>
      </c>
      <c r="S3824" s="11" t="s">
        <v>22279</v>
      </c>
      <c r="T3824" s="6"/>
      <c r="U3824" s="15" t="str">
        <f>HYPERLINK("https://media.infra-m.ru/2250/2250832/cover/2250832.jpg", "Обложка")</f>
        <v>Обложка</v>
      </c>
      <c r="V3824" s="8" t="s">
        <v>2035</v>
      </c>
      <c r="W3824" s="6"/>
      <c r="X3824" s="6"/>
      <c r="Y3824" s="6"/>
      <c r="Z3824" s="6"/>
      <c r="AA3824" s="6" t="s">
        <v>7463</v>
      </c>
      <c r="AB3824" s="8"/>
      <c r="AC3824" s="27">
        <v>9785160185415</v>
      </c>
    </row>
    <row r="3825" spans="1:29" s="4" customFormat="1" ht="51.9" customHeight="1" x14ac:dyDescent="0.2">
      <c r="A3825" s="5">
        <v>0</v>
      </c>
      <c r="B3825" s="6" t="s">
        <v>22280</v>
      </c>
      <c r="C3825" s="7">
        <v>1596</v>
      </c>
      <c r="D3825" s="8" t="s">
        <v>22281</v>
      </c>
      <c r="E3825" s="8" t="s">
        <v>22282</v>
      </c>
      <c r="F3825" s="8" t="s">
        <v>8442</v>
      </c>
      <c r="G3825" s="6" t="s">
        <v>118</v>
      </c>
      <c r="H3825" s="6" t="s">
        <v>34</v>
      </c>
      <c r="I3825" s="8" t="s">
        <v>253</v>
      </c>
      <c r="J3825" s="9">
        <v>1</v>
      </c>
      <c r="K3825" s="9">
        <v>288</v>
      </c>
      <c r="L3825" s="9">
        <v>2024</v>
      </c>
      <c r="M3825" s="8" t="s">
        <v>22283</v>
      </c>
      <c r="N3825" s="8" t="s">
        <v>37</v>
      </c>
      <c r="O3825" s="8" t="s">
        <v>233</v>
      </c>
      <c r="P3825" s="6" t="s">
        <v>306</v>
      </c>
      <c r="Q3825" s="8" t="s">
        <v>52</v>
      </c>
      <c r="R3825" s="10" t="s">
        <v>5391</v>
      </c>
      <c r="S3825" s="11" t="s">
        <v>22284</v>
      </c>
      <c r="T3825" s="6"/>
      <c r="U3825" s="15" t="str">
        <f>HYPERLINK("https://media.infra-m.ru/2084/2084531/cover/2084531.jpg", "Обложка")</f>
        <v>Обложка</v>
      </c>
      <c r="V3825" s="8" t="s">
        <v>831</v>
      </c>
      <c r="W3825" s="6"/>
      <c r="X3825" s="6"/>
      <c r="Y3825" s="6"/>
      <c r="Z3825" s="6"/>
      <c r="AA3825" s="6" t="s">
        <v>360</v>
      </c>
      <c r="AB3825" s="8"/>
      <c r="AC3825" s="27">
        <v>9785160190570</v>
      </c>
    </row>
    <row r="3826" spans="1:29" s="4" customFormat="1" ht="51.9" customHeight="1" x14ac:dyDescent="0.2">
      <c r="A3826" s="5">
        <v>0</v>
      </c>
      <c r="B3826" s="6" t="s">
        <v>22285</v>
      </c>
      <c r="C3826" s="7">
        <v>1205.9000000000001</v>
      </c>
      <c r="D3826" s="8" t="s">
        <v>22286</v>
      </c>
      <c r="E3826" s="8" t="s">
        <v>22287</v>
      </c>
      <c r="F3826" s="8" t="s">
        <v>22276</v>
      </c>
      <c r="G3826" s="6" t="s">
        <v>60</v>
      </c>
      <c r="H3826" s="6" t="s">
        <v>34</v>
      </c>
      <c r="I3826" s="8" t="s">
        <v>271</v>
      </c>
      <c r="J3826" s="9">
        <v>1</v>
      </c>
      <c r="K3826" s="9">
        <v>344</v>
      </c>
      <c r="L3826" s="9">
        <v>2017</v>
      </c>
      <c r="M3826" s="8" t="s">
        <v>22288</v>
      </c>
      <c r="N3826" s="8" t="s">
        <v>37</v>
      </c>
      <c r="O3826" s="8" t="s">
        <v>233</v>
      </c>
      <c r="P3826" s="6" t="s">
        <v>306</v>
      </c>
      <c r="Q3826" s="8" t="s">
        <v>52</v>
      </c>
      <c r="R3826" s="10" t="s">
        <v>22278</v>
      </c>
      <c r="S3826" s="11" t="s">
        <v>22289</v>
      </c>
      <c r="T3826" s="6"/>
      <c r="U3826" s="15" t="str">
        <f>HYPERLINK("https://media.infra-m.ru/0895/0895221/cover/895221.jpg", "Обложка")</f>
        <v>Обложка</v>
      </c>
      <c r="V3826" s="8" t="s">
        <v>2035</v>
      </c>
      <c r="W3826" s="6"/>
      <c r="X3826" s="6"/>
      <c r="Y3826" s="6"/>
      <c r="Z3826" s="6"/>
      <c r="AA3826" s="6" t="s">
        <v>446</v>
      </c>
      <c r="AB3826" s="8"/>
      <c r="AC3826" s="27">
        <v>9785160098746</v>
      </c>
    </row>
    <row r="3827" spans="1:29" s="4" customFormat="1" ht="51.9" customHeight="1" x14ac:dyDescent="0.2">
      <c r="A3827" s="5">
        <v>0</v>
      </c>
      <c r="B3827" s="6" t="s">
        <v>22290</v>
      </c>
      <c r="C3827" s="7">
        <v>2296.8000000000002</v>
      </c>
      <c r="D3827" s="8" t="s">
        <v>22291</v>
      </c>
      <c r="E3827" s="8" t="s">
        <v>22268</v>
      </c>
      <c r="F3827" s="8" t="s">
        <v>22292</v>
      </c>
      <c r="G3827" s="6" t="s">
        <v>60</v>
      </c>
      <c r="H3827" s="6" t="s">
        <v>1644</v>
      </c>
      <c r="I3827" s="8"/>
      <c r="J3827" s="9">
        <v>8</v>
      </c>
      <c r="K3827" s="9">
        <v>416</v>
      </c>
      <c r="L3827" s="9">
        <v>2024</v>
      </c>
      <c r="M3827" s="8" t="s">
        <v>22293</v>
      </c>
      <c r="N3827" s="8" t="s">
        <v>37</v>
      </c>
      <c r="O3827" s="8" t="s">
        <v>233</v>
      </c>
      <c r="P3827" s="6" t="s">
        <v>51</v>
      </c>
      <c r="Q3827" s="8" t="s">
        <v>52</v>
      </c>
      <c r="R3827" s="10" t="s">
        <v>22294</v>
      </c>
      <c r="S3827" s="11"/>
      <c r="T3827" s="6"/>
      <c r="U3827" s="15" t="str">
        <f>HYPERLINK("https://media.infra-m.ru/2091/2091932/cover/2091932.jpg", "Обложка")</f>
        <v>Обложка</v>
      </c>
      <c r="V3827" s="8" t="s">
        <v>22295</v>
      </c>
      <c r="W3827" s="6"/>
      <c r="X3827" s="6"/>
      <c r="Y3827" s="6"/>
      <c r="Z3827" s="6"/>
      <c r="AA3827" s="6" t="s">
        <v>55</v>
      </c>
      <c r="AB3827" s="8"/>
      <c r="AC3827" s="27">
        <v>9785977602631</v>
      </c>
    </row>
    <row r="3828" spans="1:29" s="4" customFormat="1" ht="51.9" customHeight="1" x14ac:dyDescent="0.2">
      <c r="A3828" s="5">
        <v>0</v>
      </c>
      <c r="B3828" s="6" t="s">
        <v>22296</v>
      </c>
      <c r="C3828" s="7">
        <v>1985.9</v>
      </c>
      <c r="D3828" s="8" t="s">
        <v>22297</v>
      </c>
      <c r="E3828" s="8" t="s">
        <v>22268</v>
      </c>
      <c r="F3828" s="8" t="s">
        <v>22298</v>
      </c>
      <c r="G3828" s="6" t="s">
        <v>60</v>
      </c>
      <c r="H3828" s="6" t="s">
        <v>1042</v>
      </c>
      <c r="I3828" s="8" t="s">
        <v>253</v>
      </c>
      <c r="J3828" s="9">
        <v>1</v>
      </c>
      <c r="K3828" s="9">
        <v>368</v>
      </c>
      <c r="L3828" s="9">
        <v>2023</v>
      </c>
      <c r="M3828" s="8" t="s">
        <v>22299</v>
      </c>
      <c r="N3828" s="8" t="s">
        <v>37</v>
      </c>
      <c r="O3828" s="8" t="s">
        <v>233</v>
      </c>
      <c r="P3828" s="6" t="s">
        <v>51</v>
      </c>
      <c r="Q3828" s="8" t="s">
        <v>52</v>
      </c>
      <c r="R3828" s="10" t="s">
        <v>9170</v>
      </c>
      <c r="S3828" s="11" t="s">
        <v>22300</v>
      </c>
      <c r="T3828" s="6"/>
      <c r="U3828" s="15" t="str">
        <f>HYPERLINK("https://media.infra-m.ru/1913/1913685/cover/1913685.jpg", "Обложка")</f>
        <v>Обложка</v>
      </c>
      <c r="V3828" s="8" t="s">
        <v>831</v>
      </c>
      <c r="W3828" s="6"/>
      <c r="X3828" s="6"/>
      <c r="Y3828" s="6"/>
      <c r="Z3828" s="6"/>
      <c r="AA3828" s="6" t="s">
        <v>779</v>
      </c>
      <c r="AB3828" s="8"/>
      <c r="AC3828" s="27">
        <v>9785819906347</v>
      </c>
    </row>
    <row r="3829" spans="1:29" s="4" customFormat="1" ht="51.9" customHeight="1" x14ac:dyDescent="0.2">
      <c r="A3829" s="5">
        <v>0</v>
      </c>
      <c r="B3829" s="6" t="s">
        <v>22301</v>
      </c>
      <c r="C3829" s="7">
        <v>2592</v>
      </c>
      <c r="D3829" s="8" t="s">
        <v>22302</v>
      </c>
      <c r="E3829" s="8" t="s">
        <v>22303</v>
      </c>
      <c r="F3829" s="8" t="s">
        <v>22304</v>
      </c>
      <c r="G3829" s="6" t="s">
        <v>60</v>
      </c>
      <c r="H3829" s="6" t="s">
        <v>34</v>
      </c>
      <c r="I3829" s="8"/>
      <c r="J3829" s="9">
        <v>1</v>
      </c>
      <c r="K3829" s="9">
        <v>416</v>
      </c>
      <c r="L3829" s="9">
        <v>2026</v>
      </c>
      <c r="M3829" s="8" t="s">
        <v>22305</v>
      </c>
      <c r="N3829" s="8" t="s">
        <v>37</v>
      </c>
      <c r="O3829" s="8" t="s">
        <v>83</v>
      </c>
      <c r="P3829" s="6" t="s">
        <v>306</v>
      </c>
      <c r="Q3829" s="8" t="s">
        <v>500</v>
      </c>
      <c r="R3829" s="10" t="s">
        <v>22306</v>
      </c>
      <c r="S3829" s="11" t="s">
        <v>22307</v>
      </c>
      <c r="T3829" s="6"/>
      <c r="U3829" s="15" t="str">
        <f>HYPERLINK("https://media.infra-m.ru/2221/2221579/cover/2221579.jpg", "Обложка")</f>
        <v>Обложка</v>
      </c>
      <c r="V3829" s="8" t="s">
        <v>1647</v>
      </c>
      <c r="W3829" s="6"/>
      <c r="X3829" s="6"/>
      <c r="Y3829" s="6"/>
      <c r="Z3829" s="6"/>
      <c r="AA3829" s="6" t="s">
        <v>248</v>
      </c>
      <c r="AB3829" s="8"/>
      <c r="AC3829" s="27">
        <v>9785160213194</v>
      </c>
    </row>
    <row r="3830" spans="1:29" s="4" customFormat="1" ht="51.9" customHeight="1" x14ac:dyDescent="0.2">
      <c r="A3830" s="5">
        <v>0</v>
      </c>
      <c r="B3830" s="6" t="s">
        <v>22308</v>
      </c>
      <c r="C3830" s="7">
        <v>2952</v>
      </c>
      <c r="D3830" s="8" t="s">
        <v>22309</v>
      </c>
      <c r="E3830" s="8" t="s">
        <v>22310</v>
      </c>
      <c r="F3830" s="8" t="s">
        <v>22311</v>
      </c>
      <c r="G3830" s="6" t="s">
        <v>60</v>
      </c>
      <c r="H3830" s="6" t="s">
        <v>34</v>
      </c>
      <c r="I3830" s="8"/>
      <c r="J3830" s="9">
        <v>1</v>
      </c>
      <c r="K3830" s="9">
        <v>448</v>
      </c>
      <c r="L3830" s="9">
        <v>2026</v>
      </c>
      <c r="M3830" s="8" t="s">
        <v>22312</v>
      </c>
      <c r="N3830" s="8" t="s">
        <v>37</v>
      </c>
      <c r="O3830" s="8" t="s">
        <v>233</v>
      </c>
      <c r="P3830" s="6" t="s">
        <v>306</v>
      </c>
      <c r="Q3830" s="8" t="s">
        <v>52</v>
      </c>
      <c r="R3830" s="10" t="s">
        <v>22313</v>
      </c>
      <c r="S3830" s="11" t="s">
        <v>22314</v>
      </c>
      <c r="T3830" s="6" t="s">
        <v>97</v>
      </c>
      <c r="U3830" s="15" t="str">
        <f>HYPERLINK("https://media.infra-m.ru/2249/2249276/cover/2249276.jpg", "Обложка")</f>
        <v>Обложка</v>
      </c>
      <c r="V3830" s="8" t="s">
        <v>1647</v>
      </c>
      <c r="W3830" s="6"/>
      <c r="X3830" s="6"/>
      <c r="Y3830" s="6"/>
      <c r="Z3830" s="6"/>
      <c r="AA3830" s="6" t="s">
        <v>274</v>
      </c>
      <c r="AB3830" s="8"/>
      <c r="AC3830" s="27">
        <v>9785160220536</v>
      </c>
    </row>
    <row r="3831" spans="1:29" s="4" customFormat="1" ht="42" customHeight="1" x14ac:dyDescent="0.2">
      <c r="A3831" s="5">
        <v>0</v>
      </c>
      <c r="B3831" s="6" t="s">
        <v>22315</v>
      </c>
      <c r="C3831" s="13">
        <v>948</v>
      </c>
      <c r="D3831" s="8" t="s">
        <v>22316</v>
      </c>
      <c r="E3831" s="8" t="s">
        <v>22317</v>
      </c>
      <c r="F3831" s="8" t="s">
        <v>22318</v>
      </c>
      <c r="G3831" s="6" t="s">
        <v>33</v>
      </c>
      <c r="H3831" s="6" t="s">
        <v>34</v>
      </c>
      <c r="I3831" s="8" t="s">
        <v>35</v>
      </c>
      <c r="J3831" s="9">
        <v>1</v>
      </c>
      <c r="K3831" s="9">
        <v>195</v>
      </c>
      <c r="L3831" s="9">
        <v>2022</v>
      </c>
      <c r="M3831" s="8" t="s">
        <v>22319</v>
      </c>
      <c r="N3831" s="8" t="s">
        <v>63</v>
      </c>
      <c r="O3831" s="8" t="s">
        <v>126</v>
      </c>
      <c r="P3831" s="6" t="s">
        <v>39</v>
      </c>
      <c r="Q3831" s="8" t="s">
        <v>40</v>
      </c>
      <c r="R3831" s="10" t="s">
        <v>10423</v>
      </c>
      <c r="S3831" s="11"/>
      <c r="T3831" s="6"/>
      <c r="U3831" s="15" t="str">
        <f>HYPERLINK("https://media.infra-m.ru/1843/1843230/cover/1843230.jpg", "Обложка")</f>
        <v>Обложка</v>
      </c>
      <c r="V3831" s="8" t="s">
        <v>2088</v>
      </c>
      <c r="W3831" s="6"/>
      <c r="X3831" s="6"/>
      <c r="Y3831" s="6"/>
      <c r="Z3831" s="6"/>
      <c r="AA3831" s="6" t="s">
        <v>148</v>
      </c>
      <c r="AB3831" s="8"/>
      <c r="AC3831" s="27">
        <v>9785160173252</v>
      </c>
    </row>
    <row r="3832" spans="1:29" s="4" customFormat="1" ht="44.1" customHeight="1" x14ac:dyDescent="0.2">
      <c r="A3832" s="5">
        <v>0</v>
      </c>
      <c r="B3832" s="6" t="s">
        <v>22320</v>
      </c>
      <c r="C3832" s="13">
        <v>664.8</v>
      </c>
      <c r="D3832" s="8" t="s">
        <v>22321</v>
      </c>
      <c r="E3832" s="8" t="s">
        <v>22322</v>
      </c>
      <c r="F3832" s="8" t="s">
        <v>22323</v>
      </c>
      <c r="G3832" s="6" t="s">
        <v>33</v>
      </c>
      <c r="H3832" s="6" t="s">
        <v>34</v>
      </c>
      <c r="I3832" s="8" t="s">
        <v>35</v>
      </c>
      <c r="J3832" s="9">
        <v>1</v>
      </c>
      <c r="K3832" s="9">
        <v>121</v>
      </c>
      <c r="L3832" s="9">
        <v>2024</v>
      </c>
      <c r="M3832" s="8" t="s">
        <v>22324</v>
      </c>
      <c r="N3832" s="8" t="s">
        <v>37</v>
      </c>
      <c r="O3832" s="8" t="s">
        <v>233</v>
      </c>
      <c r="P3832" s="6" t="s">
        <v>39</v>
      </c>
      <c r="Q3832" s="8" t="s">
        <v>40</v>
      </c>
      <c r="R3832" s="10" t="s">
        <v>3008</v>
      </c>
      <c r="S3832" s="11"/>
      <c r="T3832" s="6"/>
      <c r="U3832" s="15" t="str">
        <f>HYPERLINK("https://media.infra-m.ru/2109/2109534/cover/2109534.jpg", "Обложка")</f>
        <v>Обложка</v>
      </c>
      <c r="V3832" s="8" t="s">
        <v>7167</v>
      </c>
      <c r="W3832" s="6"/>
      <c r="X3832" s="6"/>
      <c r="Y3832" s="6"/>
      <c r="Z3832" s="6"/>
      <c r="AA3832" s="6" t="s">
        <v>99</v>
      </c>
      <c r="AB3832" s="8"/>
      <c r="AC3832" s="27">
        <v>9785160130101</v>
      </c>
    </row>
    <row r="3833" spans="1:29" s="4" customFormat="1" ht="42" customHeight="1" x14ac:dyDescent="0.2">
      <c r="A3833" s="5">
        <v>0</v>
      </c>
      <c r="B3833" s="6" t="s">
        <v>22325</v>
      </c>
      <c r="C3833" s="13">
        <v>977.9</v>
      </c>
      <c r="D3833" s="8" t="s">
        <v>22326</v>
      </c>
      <c r="E3833" s="8" t="s">
        <v>22327</v>
      </c>
      <c r="F3833" s="8" t="s">
        <v>22328</v>
      </c>
      <c r="G3833" s="6" t="s">
        <v>33</v>
      </c>
      <c r="H3833" s="6" t="s">
        <v>1644</v>
      </c>
      <c r="I3833" s="8" t="s">
        <v>1904</v>
      </c>
      <c r="J3833" s="9">
        <v>1</v>
      </c>
      <c r="K3833" s="9">
        <v>304</v>
      </c>
      <c r="L3833" s="9">
        <v>2018</v>
      </c>
      <c r="M3833" s="8" t="s">
        <v>22329</v>
      </c>
      <c r="N3833" s="8" t="s">
        <v>37</v>
      </c>
      <c r="O3833" s="8" t="s">
        <v>233</v>
      </c>
      <c r="P3833" s="6" t="s">
        <v>51</v>
      </c>
      <c r="Q3833" s="8" t="s">
        <v>52</v>
      </c>
      <c r="R3833" s="10" t="s">
        <v>20181</v>
      </c>
      <c r="S3833" s="11"/>
      <c r="T3833" s="6"/>
      <c r="U3833" s="15" t="str">
        <f>HYPERLINK("https://media.infra-m.ru/0959/0959993/cover/959993.jpg", "Обложка")</f>
        <v>Обложка</v>
      </c>
      <c r="V3833" s="8" t="s">
        <v>4448</v>
      </c>
      <c r="W3833" s="6"/>
      <c r="X3833" s="6"/>
      <c r="Y3833" s="6"/>
      <c r="Z3833" s="6"/>
      <c r="AA3833" s="6" t="s">
        <v>248</v>
      </c>
      <c r="AB3833" s="8"/>
      <c r="AC3833" s="27">
        <v>9785977603225</v>
      </c>
    </row>
    <row r="3834" spans="1:29" s="4" customFormat="1" ht="44.1" customHeight="1" x14ac:dyDescent="0.2">
      <c r="A3834" s="5">
        <v>0</v>
      </c>
      <c r="B3834" s="6" t="s">
        <v>22330</v>
      </c>
      <c r="C3834" s="7">
        <v>1180.8</v>
      </c>
      <c r="D3834" s="8" t="s">
        <v>22331</v>
      </c>
      <c r="E3834" s="8" t="s">
        <v>22332</v>
      </c>
      <c r="F3834" s="8" t="s">
        <v>22333</v>
      </c>
      <c r="G3834" s="6" t="s">
        <v>33</v>
      </c>
      <c r="H3834" s="6" t="s">
        <v>34</v>
      </c>
      <c r="I3834" s="8" t="s">
        <v>35</v>
      </c>
      <c r="J3834" s="9">
        <v>1</v>
      </c>
      <c r="K3834" s="9">
        <v>170</v>
      </c>
      <c r="L3834" s="9">
        <v>2027</v>
      </c>
      <c r="M3834" s="8" t="s">
        <v>22334</v>
      </c>
      <c r="N3834" s="8" t="s">
        <v>63</v>
      </c>
      <c r="O3834" s="8" t="s">
        <v>64</v>
      </c>
      <c r="P3834" s="6" t="s">
        <v>39</v>
      </c>
      <c r="Q3834" s="8" t="s">
        <v>40</v>
      </c>
      <c r="R3834" s="10" t="s">
        <v>22335</v>
      </c>
      <c r="S3834" s="11"/>
      <c r="T3834" s="6"/>
      <c r="U3834" s="15" t="str">
        <f>HYPERLINK("https://media.infra-m.ru/2268/2268370/cover/2268370.jpg", "Обложка")</f>
        <v>Обложка</v>
      </c>
      <c r="V3834" s="8" t="s">
        <v>6450</v>
      </c>
      <c r="W3834" s="6"/>
      <c r="X3834" s="6"/>
      <c r="Y3834" s="6"/>
      <c r="Z3834" s="6"/>
      <c r="AA3834" s="6" t="s">
        <v>430</v>
      </c>
      <c r="AB3834" s="8"/>
      <c r="AC3834" s="27">
        <v>9785160161075</v>
      </c>
    </row>
    <row r="3835" spans="1:29" s="4" customFormat="1" ht="42" customHeight="1" x14ac:dyDescent="0.2">
      <c r="A3835" s="5">
        <v>0</v>
      </c>
      <c r="B3835" s="6" t="s">
        <v>22336</v>
      </c>
      <c r="C3835" s="7">
        <v>1504.8</v>
      </c>
      <c r="D3835" s="8" t="s">
        <v>22337</v>
      </c>
      <c r="E3835" s="8" t="s">
        <v>22338</v>
      </c>
      <c r="F3835" s="8" t="s">
        <v>22339</v>
      </c>
      <c r="G3835" s="6" t="s">
        <v>60</v>
      </c>
      <c r="H3835" s="6" t="s">
        <v>134</v>
      </c>
      <c r="I3835" s="8"/>
      <c r="J3835" s="9">
        <v>1</v>
      </c>
      <c r="K3835" s="9">
        <v>272</v>
      </c>
      <c r="L3835" s="9">
        <v>2023</v>
      </c>
      <c r="M3835" s="8" t="s">
        <v>22340</v>
      </c>
      <c r="N3835" s="8" t="s">
        <v>37</v>
      </c>
      <c r="O3835" s="8" t="s">
        <v>136</v>
      </c>
      <c r="P3835" s="6" t="s">
        <v>39</v>
      </c>
      <c r="Q3835" s="8" t="s">
        <v>40</v>
      </c>
      <c r="R3835" s="10" t="s">
        <v>684</v>
      </c>
      <c r="S3835" s="11"/>
      <c r="T3835" s="6"/>
      <c r="U3835" s="15" t="str">
        <f>HYPERLINK("https://media.infra-m.ru/1915/1915914/cover/1915914.jpg", "Обложка")</f>
        <v>Обложка</v>
      </c>
      <c r="V3835" s="8" t="s">
        <v>1069</v>
      </c>
      <c r="W3835" s="6"/>
      <c r="X3835" s="6"/>
      <c r="Y3835" s="6"/>
      <c r="Z3835" s="6"/>
      <c r="AA3835" s="6" t="s">
        <v>274</v>
      </c>
      <c r="AB3835" s="8"/>
      <c r="AC3835" s="27">
        <v>9785917685670</v>
      </c>
    </row>
    <row r="3836" spans="1:29" s="4" customFormat="1" ht="51.9" customHeight="1" x14ac:dyDescent="0.2">
      <c r="A3836" s="5">
        <v>0</v>
      </c>
      <c r="B3836" s="6" t="s">
        <v>22341</v>
      </c>
      <c r="C3836" s="13">
        <v>696</v>
      </c>
      <c r="D3836" s="8" t="s">
        <v>22342</v>
      </c>
      <c r="E3836" s="8" t="s">
        <v>22343</v>
      </c>
      <c r="F3836" s="8" t="s">
        <v>22344</v>
      </c>
      <c r="G3836" s="6" t="s">
        <v>33</v>
      </c>
      <c r="H3836" s="6" t="s">
        <v>34</v>
      </c>
      <c r="I3836" s="8" t="s">
        <v>35</v>
      </c>
      <c r="J3836" s="9">
        <v>1</v>
      </c>
      <c r="K3836" s="9">
        <v>118</v>
      </c>
      <c r="L3836" s="9">
        <v>2024</v>
      </c>
      <c r="M3836" s="8" t="s">
        <v>22345</v>
      </c>
      <c r="N3836" s="8" t="s">
        <v>63</v>
      </c>
      <c r="O3836" s="8" t="s">
        <v>126</v>
      </c>
      <c r="P3836" s="6" t="s">
        <v>39</v>
      </c>
      <c r="Q3836" s="8" t="s">
        <v>40</v>
      </c>
      <c r="R3836" s="10" t="s">
        <v>22346</v>
      </c>
      <c r="S3836" s="11"/>
      <c r="T3836" s="6"/>
      <c r="U3836" s="15" t="str">
        <f>HYPERLINK("https://media.infra-m.ru/2119/2119966/cover/2119966.jpg", "Обложка")</f>
        <v>Обложка</v>
      </c>
      <c r="V3836" s="8" t="s">
        <v>546</v>
      </c>
      <c r="W3836" s="6"/>
      <c r="X3836" s="6"/>
      <c r="Y3836" s="6"/>
      <c r="Z3836" s="6"/>
      <c r="AA3836" s="6" t="s">
        <v>779</v>
      </c>
      <c r="AB3836" s="8"/>
      <c r="AC3836" s="27">
        <v>9785160113180</v>
      </c>
    </row>
    <row r="3837" spans="1:29" s="4" customFormat="1" ht="51.9" customHeight="1" x14ac:dyDescent="0.2">
      <c r="A3837" s="5">
        <v>0</v>
      </c>
      <c r="B3837" s="6" t="s">
        <v>22347</v>
      </c>
      <c r="C3837" s="7">
        <v>2076</v>
      </c>
      <c r="D3837" s="8" t="s">
        <v>22348</v>
      </c>
      <c r="E3837" s="8" t="s">
        <v>22349</v>
      </c>
      <c r="F3837" s="8" t="s">
        <v>22350</v>
      </c>
      <c r="G3837" s="6" t="s">
        <v>33</v>
      </c>
      <c r="H3837" s="6" t="s">
        <v>313</v>
      </c>
      <c r="I3837" s="8" t="s">
        <v>35</v>
      </c>
      <c r="J3837" s="9">
        <v>1</v>
      </c>
      <c r="K3837" s="9">
        <v>298</v>
      </c>
      <c r="L3837" s="9">
        <v>2027</v>
      </c>
      <c r="M3837" s="8" t="s">
        <v>22351</v>
      </c>
      <c r="N3837" s="8" t="s">
        <v>37</v>
      </c>
      <c r="O3837" s="8" t="s">
        <v>50</v>
      </c>
      <c r="P3837" s="6" t="s">
        <v>39</v>
      </c>
      <c r="Q3837" s="8" t="s">
        <v>40</v>
      </c>
      <c r="R3837" s="10" t="s">
        <v>22352</v>
      </c>
      <c r="S3837" s="11"/>
      <c r="T3837" s="6"/>
      <c r="U3837" s="15" t="str">
        <f>HYPERLINK("https://media.infra-m.ru/2270/2270329/cover/2270329.jpg", "Обложка")</f>
        <v>Обложка</v>
      </c>
      <c r="V3837" s="8" t="s">
        <v>128</v>
      </c>
      <c r="W3837" s="6"/>
      <c r="X3837" s="6"/>
      <c r="Y3837" s="6"/>
      <c r="Z3837" s="6"/>
      <c r="AA3837" s="6" t="s">
        <v>248</v>
      </c>
      <c r="AB3837" s="8"/>
      <c r="AC3837" s="27">
        <v>9785369012727</v>
      </c>
    </row>
    <row r="3838" spans="1:29" s="4" customFormat="1" ht="51.9" customHeight="1" x14ac:dyDescent="0.2">
      <c r="A3838" s="5">
        <v>0</v>
      </c>
      <c r="B3838" s="6" t="s">
        <v>22353</v>
      </c>
      <c r="C3838" s="7">
        <v>2256</v>
      </c>
      <c r="D3838" s="8" t="s">
        <v>22354</v>
      </c>
      <c r="E3838" s="8" t="s">
        <v>22355</v>
      </c>
      <c r="F3838" s="8" t="s">
        <v>22350</v>
      </c>
      <c r="G3838" s="6" t="s">
        <v>33</v>
      </c>
      <c r="H3838" s="6" t="s">
        <v>34</v>
      </c>
      <c r="I3838" s="8" t="s">
        <v>35</v>
      </c>
      <c r="J3838" s="9">
        <v>1</v>
      </c>
      <c r="K3838" s="9">
        <v>324</v>
      </c>
      <c r="L3838" s="9">
        <v>2027</v>
      </c>
      <c r="M3838" s="8" t="s">
        <v>22356</v>
      </c>
      <c r="N3838" s="8" t="s">
        <v>63</v>
      </c>
      <c r="O3838" s="8" t="s">
        <v>126</v>
      </c>
      <c r="P3838" s="6" t="s">
        <v>39</v>
      </c>
      <c r="Q3838" s="8" t="s">
        <v>40</v>
      </c>
      <c r="R3838" s="10" t="s">
        <v>22357</v>
      </c>
      <c r="S3838" s="11"/>
      <c r="T3838" s="6"/>
      <c r="U3838" s="15" t="str">
        <f>HYPERLINK("https://media.infra-m.ru/2268/2268369/cover/2268369.jpg", "Обложка")</f>
        <v>Обложка</v>
      </c>
      <c r="V3838" s="8" t="s">
        <v>128</v>
      </c>
      <c r="W3838" s="6"/>
      <c r="X3838" s="6"/>
      <c r="Y3838" s="6"/>
      <c r="Z3838" s="6"/>
      <c r="AA3838" s="6" t="s">
        <v>430</v>
      </c>
      <c r="AB3838" s="8"/>
      <c r="AC3838" s="27">
        <v>9785160168548</v>
      </c>
    </row>
    <row r="3839" spans="1:29" s="4" customFormat="1" ht="42" customHeight="1" x14ac:dyDescent="0.2">
      <c r="A3839" s="5">
        <v>0</v>
      </c>
      <c r="B3839" s="6" t="s">
        <v>22358</v>
      </c>
      <c r="C3839" s="13">
        <v>918</v>
      </c>
      <c r="D3839" s="8" t="s">
        <v>22359</v>
      </c>
      <c r="E3839" s="8" t="s">
        <v>22360</v>
      </c>
      <c r="F3839" s="8"/>
      <c r="G3839" s="6" t="s">
        <v>21</v>
      </c>
      <c r="H3839" s="6" t="s">
        <v>134</v>
      </c>
      <c r="I3839" s="8"/>
      <c r="J3839" s="9">
        <v>1</v>
      </c>
      <c r="K3839" s="9">
        <v>112</v>
      </c>
      <c r="L3839" s="9">
        <v>2021</v>
      </c>
      <c r="M3839" s="8" t="s">
        <v>22361</v>
      </c>
      <c r="N3839" s="8" t="s">
        <v>37</v>
      </c>
      <c r="O3839" s="8" t="s">
        <v>136</v>
      </c>
      <c r="P3839" s="6" t="s">
        <v>39</v>
      </c>
      <c r="Q3839" s="8" t="s">
        <v>40</v>
      </c>
      <c r="R3839" s="10" t="s">
        <v>684</v>
      </c>
      <c r="S3839" s="11"/>
      <c r="T3839" s="6"/>
      <c r="U3839" s="15" t="str">
        <f>HYPERLINK("https://media.infra-m.ru/1551/1551062/cover/1551062.jpg", "Обложка")</f>
        <v>Обложка</v>
      </c>
      <c r="V3839" s="8"/>
      <c r="W3839" s="6"/>
      <c r="X3839" s="6"/>
      <c r="Y3839" s="6"/>
      <c r="Z3839" s="6"/>
      <c r="AA3839" s="6" t="s">
        <v>430</v>
      </c>
      <c r="AB3839" s="8"/>
      <c r="AC3839" s="27">
        <v>9785001561682</v>
      </c>
    </row>
    <row r="3840" spans="1:29" s="4" customFormat="1" ht="42" customHeight="1" x14ac:dyDescent="0.2">
      <c r="A3840" s="5">
        <v>0</v>
      </c>
      <c r="B3840" s="6" t="s">
        <v>22362</v>
      </c>
      <c r="C3840" s="13">
        <v>864</v>
      </c>
      <c r="D3840" s="8" t="s">
        <v>22363</v>
      </c>
      <c r="E3840" s="8" t="s">
        <v>22364</v>
      </c>
      <c r="F3840" s="8" t="s">
        <v>22365</v>
      </c>
      <c r="G3840" s="6" t="s">
        <v>33</v>
      </c>
      <c r="H3840" s="6" t="s">
        <v>34</v>
      </c>
      <c r="I3840" s="8"/>
      <c r="J3840" s="9">
        <v>1</v>
      </c>
      <c r="K3840" s="9">
        <v>125</v>
      </c>
      <c r="L3840" s="9">
        <v>2026</v>
      </c>
      <c r="M3840" s="8" t="s">
        <v>22366</v>
      </c>
      <c r="N3840" s="8" t="s">
        <v>243</v>
      </c>
      <c r="O3840" s="8" t="s">
        <v>933</v>
      </c>
      <c r="P3840" s="6" t="s">
        <v>39</v>
      </c>
      <c r="Q3840" s="8" t="s">
        <v>40</v>
      </c>
      <c r="R3840" s="10" t="s">
        <v>22367</v>
      </c>
      <c r="S3840" s="11"/>
      <c r="T3840" s="6"/>
      <c r="U3840" s="15" t="str">
        <f>HYPERLINK("https://media.infra-m.ru/2250/2250663/cover/2250663.jpg", "Обложка")</f>
        <v>Обложка</v>
      </c>
      <c r="V3840" s="8" t="s">
        <v>217</v>
      </c>
      <c r="W3840" s="6"/>
      <c r="X3840" s="6"/>
      <c r="Y3840" s="6"/>
      <c r="Z3840" s="6"/>
      <c r="AA3840" s="6" t="s">
        <v>779</v>
      </c>
      <c r="AB3840" s="8"/>
      <c r="AC3840" s="27">
        <v>9785160222318</v>
      </c>
    </row>
    <row r="3841" spans="1:29" s="4" customFormat="1" ht="42" customHeight="1" x14ac:dyDescent="0.2">
      <c r="A3841" s="5">
        <v>0</v>
      </c>
      <c r="B3841" s="6" t="s">
        <v>22368</v>
      </c>
      <c r="C3841" s="13">
        <v>724.8</v>
      </c>
      <c r="D3841" s="8" t="s">
        <v>22369</v>
      </c>
      <c r="E3841" s="8" t="s">
        <v>22370</v>
      </c>
      <c r="F3841" s="8" t="s">
        <v>22371</v>
      </c>
      <c r="G3841" s="6" t="s">
        <v>33</v>
      </c>
      <c r="H3841" s="6" t="s">
        <v>313</v>
      </c>
      <c r="I3841" s="8" t="s">
        <v>10656</v>
      </c>
      <c r="J3841" s="9">
        <v>1</v>
      </c>
      <c r="K3841" s="9">
        <v>104</v>
      </c>
      <c r="L3841" s="9">
        <v>2026</v>
      </c>
      <c r="M3841" s="8" t="s">
        <v>22372</v>
      </c>
      <c r="N3841" s="8" t="s">
        <v>243</v>
      </c>
      <c r="O3841" s="8" t="s">
        <v>933</v>
      </c>
      <c r="P3841" s="6" t="s">
        <v>51</v>
      </c>
      <c r="Q3841" s="8" t="s">
        <v>52</v>
      </c>
      <c r="R3841" s="10" t="s">
        <v>15604</v>
      </c>
      <c r="S3841" s="11"/>
      <c r="T3841" s="6"/>
      <c r="U3841" s="15" t="str">
        <f>HYPERLINK("https://media.infra-m.ru/2261/2261737/cover/2261737.jpg", "Обложка")</f>
        <v>Обложка</v>
      </c>
      <c r="V3841" s="8" t="s">
        <v>22373</v>
      </c>
      <c r="W3841" s="6"/>
      <c r="X3841" s="6"/>
      <c r="Y3841" s="6"/>
      <c r="Z3841" s="6"/>
      <c r="AA3841" s="6" t="s">
        <v>55</v>
      </c>
      <c r="AB3841" s="8"/>
      <c r="AC3841" s="27">
        <v>9785369011843</v>
      </c>
    </row>
    <row r="3842" spans="1:29" s="4" customFormat="1" ht="51.9" customHeight="1" x14ac:dyDescent="0.2">
      <c r="A3842" s="5">
        <v>0</v>
      </c>
      <c r="B3842" s="6" t="s">
        <v>22374</v>
      </c>
      <c r="C3842" s="7">
        <v>2248.8000000000002</v>
      </c>
      <c r="D3842" s="8" t="s">
        <v>22375</v>
      </c>
      <c r="E3842" s="8" t="s">
        <v>22376</v>
      </c>
      <c r="F3842" s="8" t="s">
        <v>22377</v>
      </c>
      <c r="G3842" s="6" t="s">
        <v>60</v>
      </c>
      <c r="H3842" s="6" t="s">
        <v>34</v>
      </c>
      <c r="I3842" s="8" t="s">
        <v>253</v>
      </c>
      <c r="J3842" s="9">
        <v>1</v>
      </c>
      <c r="K3842" s="9">
        <v>340</v>
      </c>
      <c r="L3842" s="9">
        <v>2026</v>
      </c>
      <c r="M3842" s="8" t="s">
        <v>22378</v>
      </c>
      <c r="N3842" s="8" t="s">
        <v>37</v>
      </c>
      <c r="O3842" s="8" t="s">
        <v>280</v>
      </c>
      <c r="P3842" s="6" t="s">
        <v>306</v>
      </c>
      <c r="Q3842" s="8" t="s">
        <v>65</v>
      </c>
      <c r="R3842" s="10" t="s">
        <v>22379</v>
      </c>
      <c r="S3842" s="11"/>
      <c r="T3842" s="6"/>
      <c r="U3842" s="15" t="str">
        <f>HYPERLINK("https://media.infra-m.ru/2227/2227856/cover/2227856.jpg", "Обложка")</f>
        <v>Обложка</v>
      </c>
      <c r="V3842" s="8" t="s">
        <v>644</v>
      </c>
      <c r="W3842" s="6"/>
      <c r="X3842" s="6"/>
      <c r="Y3842" s="6"/>
      <c r="Z3842" s="6"/>
      <c r="AA3842" s="6" t="s">
        <v>76</v>
      </c>
      <c r="AB3842" s="8"/>
      <c r="AC3842" s="27">
        <v>9785160195506</v>
      </c>
    </row>
    <row r="3843" spans="1:29" s="4" customFormat="1" ht="51.9" customHeight="1" x14ac:dyDescent="0.2">
      <c r="A3843" s="5">
        <v>0</v>
      </c>
      <c r="B3843" s="6" t="s">
        <v>22380</v>
      </c>
      <c r="C3843" s="7">
        <v>2676</v>
      </c>
      <c r="D3843" s="8" t="s">
        <v>22381</v>
      </c>
      <c r="E3843" s="8" t="s">
        <v>22382</v>
      </c>
      <c r="F3843" s="8" t="s">
        <v>22377</v>
      </c>
      <c r="G3843" s="6" t="s">
        <v>60</v>
      </c>
      <c r="H3843" s="6" t="s">
        <v>34</v>
      </c>
      <c r="I3843" s="8" t="s">
        <v>253</v>
      </c>
      <c r="J3843" s="9">
        <v>1</v>
      </c>
      <c r="K3843" s="9">
        <v>367</v>
      </c>
      <c r="L3843" s="9">
        <v>2027</v>
      </c>
      <c r="M3843" s="8" t="s">
        <v>22383</v>
      </c>
      <c r="N3843" s="8" t="s">
        <v>37</v>
      </c>
      <c r="O3843" s="8" t="s">
        <v>280</v>
      </c>
      <c r="P3843" s="6" t="s">
        <v>306</v>
      </c>
      <c r="Q3843" s="8" t="s">
        <v>52</v>
      </c>
      <c r="R3843" s="10" t="s">
        <v>22384</v>
      </c>
      <c r="S3843" s="11"/>
      <c r="T3843" s="6"/>
      <c r="U3843" s="15" t="str">
        <f>HYPERLINK("https://media.infra-m.ru/2228/2228592/cover/2228592.jpg", "Обложка")</f>
        <v>Обложка</v>
      </c>
      <c r="V3843" s="8" t="s">
        <v>644</v>
      </c>
      <c r="W3843" s="6" t="s">
        <v>2115</v>
      </c>
      <c r="X3843" s="6"/>
      <c r="Y3843" s="6"/>
      <c r="Z3843" s="6"/>
      <c r="AA3843" s="6" t="s">
        <v>420</v>
      </c>
      <c r="AB3843" s="8" t="s">
        <v>308</v>
      </c>
      <c r="AC3843" s="27">
        <v>9785160215228</v>
      </c>
    </row>
    <row r="3844" spans="1:29" s="4" customFormat="1" ht="51.9" customHeight="1" x14ac:dyDescent="0.2">
      <c r="A3844" s="5">
        <v>0</v>
      </c>
      <c r="B3844" s="6" t="s">
        <v>22385</v>
      </c>
      <c r="C3844" s="7">
        <v>1932</v>
      </c>
      <c r="D3844" s="8" t="s">
        <v>22386</v>
      </c>
      <c r="E3844" s="8" t="s">
        <v>22387</v>
      </c>
      <c r="F3844" s="8" t="s">
        <v>22388</v>
      </c>
      <c r="G3844" s="6" t="s">
        <v>118</v>
      </c>
      <c r="H3844" s="6" t="s">
        <v>34</v>
      </c>
      <c r="I3844" s="8" t="s">
        <v>253</v>
      </c>
      <c r="J3844" s="9">
        <v>1</v>
      </c>
      <c r="K3844" s="9">
        <v>342</v>
      </c>
      <c r="L3844" s="9">
        <v>2024</v>
      </c>
      <c r="M3844" s="8" t="s">
        <v>22389</v>
      </c>
      <c r="N3844" s="8" t="s">
        <v>37</v>
      </c>
      <c r="O3844" s="8" t="s">
        <v>280</v>
      </c>
      <c r="P3844" s="6" t="s">
        <v>306</v>
      </c>
      <c r="Q3844" s="8" t="s">
        <v>52</v>
      </c>
      <c r="R3844" s="10" t="s">
        <v>22390</v>
      </c>
      <c r="S3844" s="11"/>
      <c r="T3844" s="6"/>
      <c r="U3844" s="15" t="str">
        <f>HYPERLINK("https://media.infra-m.ru/2150/2150305/cover/2150305.jpg", "Обложка")</f>
        <v>Обложка</v>
      </c>
      <c r="V3844" s="8" t="s">
        <v>644</v>
      </c>
      <c r="W3844" s="6"/>
      <c r="X3844" s="6"/>
      <c r="Y3844" s="6"/>
      <c r="Z3844" s="6"/>
      <c r="AA3844" s="6" t="s">
        <v>157</v>
      </c>
      <c r="AB3844" s="8"/>
      <c r="AC3844" s="27">
        <v>9785160179940</v>
      </c>
    </row>
    <row r="3845" spans="1:29" s="4" customFormat="1" ht="51.9" customHeight="1" x14ac:dyDescent="0.2">
      <c r="A3845" s="5">
        <v>0</v>
      </c>
      <c r="B3845" s="6" t="s">
        <v>22391</v>
      </c>
      <c r="C3845" s="7">
        <v>1104</v>
      </c>
      <c r="D3845" s="8" t="s">
        <v>22392</v>
      </c>
      <c r="E3845" s="8" t="s">
        <v>22393</v>
      </c>
      <c r="F3845" s="8" t="s">
        <v>22394</v>
      </c>
      <c r="G3845" s="6" t="s">
        <v>33</v>
      </c>
      <c r="H3845" s="6" t="s">
        <v>313</v>
      </c>
      <c r="I3845" s="8"/>
      <c r="J3845" s="9">
        <v>1</v>
      </c>
      <c r="K3845" s="9">
        <v>203</v>
      </c>
      <c r="L3845" s="9">
        <v>2023</v>
      </c>
      <c r="M3845" s="8" t="s">
        <v>22395</v>
      </c>
      <c r="N3845" s="8" t="s">
        <v>37</v>
      </c>
      <c r="O3845" s="8" t="s">
        <v>207</v>
      </c>
      <c r="P3845" s="6" t="s">
        <v>306</v>
      </c>
      <c r="Q3845" s="8" t="s">
        <v>52</v>
      </c>
      <c r="R3845" s="10" t="s">
        <v>22396</v>
      </c>
      <c r="S3845" s="11"/>
      <c r="T3845" s="6"/>
      <c r="U3845" s="15" t="str">
        <f>HYPERLINK("https://media.infra-m.ru/1048/1048326/cover/1048326.jpg", "Обложка")</f>
        <v>Обложка</v>
      </c>
      <c r="V3845" s="8" t="s">
        <v>15265</v>
      </c>
      <c r="W3845" s="6"/>
      <c r="X3845" s="6"/>
      <c r="Y3845" s="6"/>
      <c r="Z3845" s="6"/>
      <c r="AA3845" s="6" t="s">
        <v>99</v>
      </c>
      <c r="AB3845" s="8"/>
      <c r="AC3845" s="27">
        <v>9785369016213</v>
      </c>
    </row>
    <row r="3846" spans="1:29" s="4" customFormat="1" ht="51.9" customHeight="1" x14ac:dyDescent="0.2">
      <c r="A3846" s="5">
        <v>0</v>
      </c>
      <c r="B3846" s="6" t="s">
        <v>22397</v>
      </c>
      <c r="C3846" s="7">
        <v>2044.8</v>
      </c>
      <c r="D3846" s="8" t="s">
        <v>22398</v>
      </c>
      <c r="E3846" s="8" t="s">
        <v>22399</v>
      </c>
      <c r="F3846" s="8" t="s">
        <v>22400</v>
      </c>
      <c r="G3846" s="6" t="s">
        <v>118</v>
      </c>
      <c r="H3846" s="6" t="s">
        <v>241</v>
      </c>
      <c r="I3846" s="8" t="s">
        <v>253</v>
      </c>
      <c r="J3846" s="9">
        <v>1</v>
      </c>
      <c r="K3846" s="9">
        <v>310</v>
      </c>
      <c r="L3846" s="9">
        <v>2026</v>
      </c>
      <c r="M3846" s="8" t="s">
        <v>22401</v>
      </c>
      <c r="N3846" s="8" t="s">
        <v>243</v>
      </c>
      <c r="O3846" s="8" t="s">
        <v>244</v>
      </c>
      <c r="P3846" s="6" t="s">
        <v>51</v>
      </c>
      <c r="Q3846" s="8" t="s">
        <v>52</v>
      </c>
      <c r="R3846" s="10" t="s">
        <v>9182</v>
      </c>
      <c r="S3846" s="11" t="s">
        <v>22402</v>
      </c>
      <c r="T3846" s="6" t="s">
        <v>97</v>
      </c>
      <c r="U3846" s="15" t="str">
        <f>HYPERLINK("https://media.infra-m.ru/2233/2233533/cover/2233533.jpg", "Обложка")</f>
        <v>Обложка</v>
      </c>
      <c r="V3846" s="8" t="s">
        <v>247</v>
      </c>
      <c r="W3846" s="6"/>
      <c r="X3846" s="6"/>
      <c r="Y3846" s="6"/>
      <c r="Z3846" s="6"/>
      <c r="AA3846" s="6" t="s">
        <v>561</v>
      </c>
      <c r="AB3846" s="8"/>
      <c r="AC3846" s="27">
        <v>9785955801087</v>
      </c>
    </row>
    <row r="3847" spans="1:29" s="4" customFormat="1" ht="44.1" customHeight="1" x14ac:dyDescent="0.2">
      <c r="A3847" s="5">
        <v>0</v>
      </c>
      <c r="B3847" s="6" t="s">
        <v>22403</v>
      </c>
      <c r="C3847" s="7">
        <v>1428</v>
      </c>
      <c r="D3847" s="8" t="s">
        <v>22404</v>
      </c>
      <c r="E3847" s="8" t="s">
        <v>22405</v>
      </c>
      <c r="F3847" s="8" t="s">
        <v>22406</v>
      </c>
      <c r="G3847" s="6" t="s">
        <v>33</v>
      </c>
      <c r="H3847" s="6" t="s">
        <v>34</v>
      </c>
      <c r="I3847" s="8" t="s">
        <v>35</v>
      </c>
      <c r="J3847" s="9">
        <v>1</v>
      </c>
      <c r="K3847" s="9">
        <v>205</v>
      </c>
      <c r="L3847" s="9">
        <v>2026</v>
      </c>
      <c r="M3847" s="8" t="s">
        <v>22407</v>
      </c>
      <c r="N3847" s="8" t="s">
        <v>585</v>
      </c>
      <c r="O3847" s="8" t="s">
        <v>667</v>
      </c>
      <c r="P3847" s="6" t="s">
        <v>39</v>
      </c>
      <c r="Q3847" s="8" t="s">
        <v>40</v>
      </c>
      <c r="R3847" s="10" t="s">
        <v>22408</v>
      </c>
      <c r="S3847" s="11"/>
      <c r="T3847" s="6"/>
      <c r="U3847" s="15" t="str">
        <f>HYPERLINK("https://media.infra-m.ru/2242/2242165/cover/2242165.jpg", "Обложка")</f>
        <v>Обложка</v>
      </c>
      <c r="V3847" s="8" t="s">
        <v>217</v>
      </c>
      <c r="W3847" s="6" t="s">
        <v>649</v>
      </c>
      <c r="X3847" s="6"/>
      <c r="Y3847" s="6"/>
      <c r="Z3847" s="6"/>
      <c r="AA3847" s="6" t="s">
        <v>187</v>
      </c>
      <c r="AB3847" s="8"/>
      <c r="AC3847" s="27">
        <v>9785160219073</v>
      </c>
    </row>
    <row r="3848" spans="1:29" s="4" customFormat="1" ht="44.1" customHeight="1" x14ac:dyDescent="0.2">
      <c r="A3848" s="5">
        <v>0</v>
      </c>
      <c r="B3848" s="6" t="s">
        <v>22409</v>
      </c>
      <c r="C3848" s="7">
        <v>1370.4</v>
      </c>
      <c r="D3848" s="8" t="s">
        <v>22410</v>
      </c>
      <c r="E3848" s="8" t="s">
        <v>22411</v>
      </c>
      <c r="F3848" s="8" t="s">
        <v>22412</v>
      </c>
      <c r="G3848" s="6" t="s">
        <v>118</v>
      </c>
      <c r="H3848" s="6" t="s">
        <v>34</v>
      </c>
      <c r="I3848" s="8" t="s">
        <v>1081</v>
      </c>
      <c r="J3848" s="9">
        <v>1</v>
      </c>
      <c r="K3848" s="9">
        <v>194</v>
      </c>
      <c r="L3848" s="9">
        <v>2023</v>
      </c>
      <c r="M3848" s="8" t="s">
        <v>22413</v>
      </c>
      <c r="N3848" s="8" t="s">
        <v>243</v>
      </c>
      <c r="O3848" s="8" t="s">
        <v>758</v>
      </c>
      <c r="P3848" s="6" t="s">
        <v>39</v>
      </c>
      <c r="Q3848" s="8" t="s">
        <v>40</v>
      </c>
      <c r="R3848" s="10" t="s">
        <v>22414</v>
      </c>
      <c r="S3848" s="11"/>
      <c r="T3848" s="6"/>
      <c r="U3848" s="15" t="str">
        <f>HYPERLINK("https://media.infra-m.ru/2006/2006877/cover/2006877.jpg", "Обложка")</f>
        <v>Обложка</v>
      </c>
      <c r="V3848" s="8" t="s">
        <v>1083</v>
      </c>
      <c r="W3848" s="6"/>
      <c r="X3848" s="6"/>
      <c r="Y3848" s="6"/>
      <c r="Z3848" s="6"/>
      <c r="AA3848" s="6" t="s">
        <v>86</v>
      </c>
      <c r="AB3848" s="8"/>
      <c r="AC3848" s="27">
        <v>9785160133218</v>
      </c>
    </row>
    <row r="3849" spans="1:29" s="4" customFormat="1" ht="51.9" customHeight="1" x14ac:dyDescent="0.2">
      <c r="A3849" s="5">
        <v>0</v>
      </c>
      <c r="B3849" s="6" t="s">
        <v>22415</v>
      </c>
      <c r="C3849" s="7">
        <v>2194.8000000000002</v>
      </c>
      <c r="D3849" s="8" t="s">
        <v>22416</v>
      </c>
      <c r="E3849" s="8" t="s">
        <v>22417</v>
      </c>
      <c r="F3849" s="8" t="s">
        <v>22418</v>
      </c>
      <c r="G3849" s="6" t="s">
        <v>118</v>
      </c>
      <c r="H3849" s="6" t="s">
        <v>34</v>
      </c>
      <c r="I3849" s="8" t="s">
        <v>253</v>
      </c>
      <c r="J3849" s="9">
        <v>1</v>
      </c>
      <c r="K3849" s="9">
        <v>350</v>
      </c>
      <c r="L3849" s="9">
        <v>2025</v>
      </c>
      <c r="M3849" s="8" t="s">
        <v>22419</v>
      </c>
      <c r="N3849" s="8" t="s">
        <v>243</v>
      </c>
      <c r="O3849" s="8" t="s">
        <v>964</v>
      </c>
      <c r="P3849" s="6" t="s">
        <v>51</v>
      </c>
      <c r="Q3849" s="8" t="s">
        <v>52</v>
      </c>
      <c r="R3849" s="10" t="s">
        <v>22420</v>
      </c>
      <c r="S3849" s="11" t="s">
        <v>22421</v>
      </c>
      <c r="T3849" s="6"/>
      <c r="U3849" s="15" t="str">
        <f>HYPERLINK("https://media.infra-m.ru/2202/2202836/cover/2202836.jpg", "Обложка")</f>
        <v>Обложка</v>
      </c>
      <c r="V3849" s="8" t="s">
        <v>7509</v>
      </c>
      <c r="W3849" s="6"/>
      <c r="X3849" s="6"/>
      <c r="Y3849" s="6"/>
      <c r="Z3849" s="6"/>
      <c r="AA3849" s="6" t="s">
        <v>274</v>
      </c>
      <c r="AB3849" s="8"/>
      <c r="AC3849" s="27">
        <v>9785160210216</v>
      </c>
    </row>
    <row r="3850" spans="1:29" s="4" customFormat="1" ht="51.9" customHeight="1" x14ac:dyDescent="0.2">
      <c r="A3850" s="5">
        <v>0</v>
      </c>
      <c r="B3850" s="6" t="s">
        <v>22422</v>
      </c>
      <c r="C3850" s="7">
        <v>3580.8</v>
      </c>
      <c r="D3850" s="8" t="s">
        <v>22423</v>
      </c>
      <c r="E3850" s="8" t="s">
        <v>22424</v>
      </c>
      <c r="F3850" s="8" t="s">
        <v>22425</v>
      </c>
      <c r="G3850" s="6" t="s">
        <v>60</v>
      </c>
      <c r="H3850" s="6" t="s">
        <v>34</v>
      </c>
      <c r="I3850" s="8" t="s">
        <v>253</v>
      </c>
      <c r="J3850" s="9">
        <v>1</v>
      </c>
      <c r="K3850" s="9">
        <v>543</v>
      </c>
      <c r="L3850" s="9">
        <v>2026</v>
      </c>
      <c r="M3850" s="8" t="s">
        <v>22426</v>
      </c>
      <c r="N3850" s="8" t="s">
        <v>243</v>
      </c>
      <c r="O3850" s="8" t="s">
        <v>964</v>
      </c>
      <c r="P3850" s="6" t="s">
        <v>51</v>
      </c>
      <c r="Q3850" s="8" t="s">
        <v>52</v>
      </c>
      <c r="R3850" s="10" t="s">
        <v>22427</v>
      </c>
      <c r="S3850" s="11" t="s">
        <v>22428</v>
      </c>
      <c r="T3850" s="6"/>
      <c r="U3850" s="15" t="str">
        <f>HYPERLINK("https://media.infra-m.ru/2237/2237631/cover/2237631.jpg", "Обложка")</f>
        <v>Обложка</v>
      </c>
      <c r="V3850" s="8" t="s">
        <v>7509</v>
      </c>
      <c r="W3850" s="6"/>
      <c r="X3850" s="6"/>
      <c r="Y3850" s="6"/>
      <c r="Z3850" s="6"/>
      <c r="AA3850" s="6" t="s">
        <v>43</v>
      </c>
      <c r="AB3850" s="8"/>
      <c r="AC3850" s="27">
        <v>9785160055145</v>
      </c>
    </row>
    <row r="3851" spans="1:29" s="4" customFormat="1" ht="51.9" customHeight="1" x14ac:dyDescent="0.2">
      <c r="A3851" s="5">
        <v>0</v>
      </c>
      <c r="B3851" s="6" t="s">
        <v>22429</v>
      </c>
      <c r="C3851" s="7">
        <v>1960.8</v>
      </c>
      <c r="D3851" s="8" t="s">
        <v>22430</v>
      </c>
      <c r="E3851" s="8" t="s">
        <v>22431</v>
      </c>
      <c r="F3851" s="8" t="s">
        <v>22432</v>
      </c>
      <c r="G3851" s="6" t="s">
        <v>60</v>
      </c>
      <c r="H3851" s="6" t="s">
        <v>34</v>
      </c>
      <c r="I3851" s="8" t="s">
        <v>271</v>
      </c>
      <c r="J3851" s="9">
        <v>1</v>
      </c>
      <c r="K3851" s="9">
        <v>296</v>
      </c>
      <c r="L3851" s="9">
        <v>2026</v>
      </c>
      <c r="M3851" s="8" t="s">
        <v>22433</v>
      </c>
      <c r="N3851" s="8" t="s">
        <v>243</v>
      </c>
      <c r="O3851" s="8" t="s">
        <v>964</v>
      </c>
      <c r="P3851" s="6" t="s">
        <v>51</v>
      </c>
      <c r="Q3851" s="8" t="s">
        <v>52</v>
      </c>
      <c r="R3851" s="10" t="s">
        <v>22434</v>
      </c>
      <c r="S3851" s="11" t="s">
        <v>22435</v>
      </c>
      <c r="T3851" s="6"/>
      <c r="U3851" s="15" t="str">
        <f>HYPERLINK("https://media.infra-m.ru/2245/2245982/cover/2245982.jpg", "Обложка")</f>
        <v>Обложка</v>
      </c>
      <c r="V3851" s="8" t="s">
        <v>7509</v>
      </c>
      <c r="W3851" s="6"/>
      <c r="X3851" s="6"/>
      <c r="Y3851" s="6"/>
      <c r="Z3851" s="6"/>
      <c r="AA3851" s="6" t="s">
        <v>86</v>
      </c>
      <c r="AB3851" s="8"/>
      <c r="AC3851" s="27">
        <v>9785160137728</v>
      </c>
    </row>
    <row r="3852" spans="1:29" s="4" customFormat="1" ht="42" customHeight="1" x14ac:dyDescent="0.2">
      <c r="A3852" s="5">
        <v>0</v>
      </c>
      <c r="B3852" s="6" t="s">
        <v>22436</v>
      </c>
      <c r="C3852" s="13">
        <v>605.9</v>
      </c>
      <c r="D3852" s="8" t="s">
        <v>22437</v>
      </c>
      <c r="E3852" s="8" t="s">
        <v>22438</v>
      </c>
      <c r="F3852" s="8" t="s">
        <v>22439</v>
      </c>
      <c r="G3852" s="6" t="s">
        <v>60</v>
      </c>
      <c r="H3852" s="6" t="s">
        <v>34</v>
      </c>
      <c r="I3852" s="8" t="s">
        <v>1081</v>
      </c>
      <c r="J3852" s="9">
        <v>1</v>
      </c>
      <c r="K3852" s="9">
        <v>143</v>
      </c>
      <c r="L3852" s="9">
        <v>2020</v>
      </c>
      <c r="M3852" s="8" t="s">
        <v>22440</v>
      </c>
      <c r="N3852" s="8" t="s">
        <v>243</v>
      </c>
      <c r="O3852" s="8" t="s">
        <v>244</v>
      </c>
      <c r="P3852" s="6" t="s">
        <v>39</v>
      </c>
      <c r="Q3852" s="8" t="s">
        <v>40</v>
      </c>
      <c r="R3852" s="10" t="s">
        <v>22441</v>
      </c>
      <c r="S3852" s="11"/>
      <c r="T3852" s="6"/>
      <c r="U3852" s="15" t="str">
        <f>HYPERLINK("https://media.infra-m.ru/1045/1045739/cover/1045739.jpg", "Обложка")</f>
        <v>Обложка</v>
      </c>
      <c r="V3852" s="8" t="s">
        <v>1083</v>
      </c>
      <c r="W3852" s="6"/>
      <c r="X3852" s="6"/>
      <c r="Y3852" s="6"/>
      <c r="Z3852" s="6"/>
      <c r="AA3852" s="6" t="s">
        <v>86</v>
      </c>
      <c r="AB3852" s="8"/>
      <c r="AC3852" s="27">
        <v>9785160133034</v>
      </c>
    </row>
    <row r="3853" spans="1:29" s="4" customFormat="1" ht="42" customHeight="1" x14ac:dyDescent="0.2">
      <c r="A3853" s="5">
        <v>0</v>
      </c>
      <c r="B3853" s="6" t="s">
        <v>22442</v>
      </c>
      <c r="C3853" s="13">
        <v>792</v>
      </c>
      <c r="D3853" s="8" t="s">
        <v>22443</v>
      </c>
      <c r="E3853" s="8" t="s">
        <v>22438</v>
      </c>
      <c r="F3853" s="8" t="s">
        <v>22439</v>
      </c>
      <c r="G3853" s="6" t="s">
        <v>33</v>
      </c>
      <c r="H3853" s="6" t="s">
        <v>34</v>
      </c>
      <c r="I3853" s="8" t="s">
        <v>1081</v>
      </c>
      <c r="J3853" s="9">
        <v>1</v>
      </c>
      <c r="K3853" s="9">
        <v>143</v>
      </c>
      <c r="L3853" s="9">
        <v>2024</v>
      </c>
      <c r="M3853" s="8" t="s">
        <v>22444</v>
      </c>
      <c r="N3853" s="8" t="s">
        <v>243</v>
      </c>
      <c r="O3853" s="8" t="s">
        <v>244</v>
      </c>
      <c r="P3853" s="6" t="s">
        <v>39</v>
      </c>
      <c r="Q3853" s="8" t="s">
        <v>40</v>
      </c>
      <c r="R3853" s="10" t="s">
        <v>22441</v>
      </c>
      <c r="S3853" s="11"/>
      <c r="T3853" s="6"/>
      <c r="U3853" s="15" t="str">
        <f>HYPERLINK("https://media.infra-m.ru/2081/2081065/cover/2081065.jpg", "Обложка")</f>
        <v>Обложка</v>
      </c>
      <c r="V3853" s="8" t="s">
        <v>1083</v>
      </c>
      <c r="W3853" s="6"/>
      <c r="X3853" s="6"/>
      <c r="Y3853" s="6"/>
      <c r="Z3853" s="6"/>
      <c r="AA3853" s="6" t="s">
        <v>86</v>
      </c>
      <c r="AB3853" s="8"/>
      <c r="AC3853" s="27">
        <v>9785160189772</v>
      </c>
    </row>
    <row r="3854" spans="1:29" s="4" customFormat="1" ht="51.9" customHeight="1" x14ac:dyDescent="0.2">
      <c r="A3854" s="5">
        <v>0</v>
      </c>
      <c r="B3854" s="6" t="s">
        <v>22445</v>
      </c>
      <c r="C3854" s="7">
        <v>1876.8</v>
      </c>
      <c r="D3854" s="8" t="s">
        <v>22446</v>
      </c>
      <c r="E3854" s="8" t="s">
        <v>22447</v>
      </c>
      <c r="F3854" s="8" t="s">
        <v>22448</v>
      </c>
      <c r="G3854" s="6" t="s">
        <v>60</v>
      </c>
      <c r="H3854" s="6" t="s">
        <v>34</v>
      </c>
      <c r="I3854" s="8" t="s">
        <v>7625</v>
      </c>
      <c r="J3854" s="9">
        <v>1</v>
      </c>
      <c r="K3854" s="9">
        <v>346</v>
      </c>
      <c r="L3854" s="9">
        <v>2023</v>
      </c>
      <c r="M3854" s="8" t="s">
        <v>22449</v>
      </c>
      <c r="N3854" s="8" t="s">
        <v>243</v>
      </c>
      <c r="O3854" s="8" t="s">
        <v>964</v>
      </c>
      <c r="P3854" s="6" t="s">
        <v>51</v>
      </c>
      <c r="Q3854" s="8" t="s">
        <v>377</v>
      </c>
      <c r="R3854" s="10" t="s">
        <v>22450</v>
      </c>
      <c r="S3854" s="11" t="s">
        <v>22451</v>
      </c>
      <c r="T3854" s="6"/>
      <c r="U3854" s="15" t="str">
        <f>HYPERLINK("https://media.infra-m.ru/1911/1911131/cover/1911131.jpg", "Обложка")</f>
        <v>Обложка</v>
      </c>
      <c r="V3854" s="8" t="s">
        <v>1083</v>
      </c>
      <c r="W3854" s="6"/>
      <c r="X3854" s="6"/>
      <c r="Y3854" s="6"/>
      <c r="Z3854" s="6"/>
      <c r="AA3854" s="6" t="s">
        <v>404</v>
      </c>
      <c r="AB3854" s="8"/>
      <c r="AC3854" s="27">
        <v>9785160133317</v>
      </c>
    </row>
    <row r="3855" spans="1:29" s="4" customFormat="1" ht="44.1" customHeight="1" x14ac:dyDescent="0.2">
      <c r="A3855" s="5">
        <v>0</v>
      </c>
      <c r="B3855" s="6" t="s">
        <v>22452</v>
      </c>
      <c r="C3855" s="7">
        <v>1637.9</v>
      </c>
      <c r="D3855" s="8" t="s">
        <v>22453</v>
      </c>
      <c r="E3855" s="8" t="s">
        <v>22454</v>
      </c>
      <c r="F3855" s="8" t="s">
        <v>22455</v>
      </c>
      <c r="G3855" s="6" t="s">
        <v>33</v>
      </c>
      <c r="H3855" s="6" t="s">
        <v>48</v>
      </c>
      <c r="I3855" s="8" t="s">
        <v>253</v>
      </c>
      <c r="J3855" s="9">
        <v>1</v>
      </c>
      <c r="K3855" s="9">
        <v>304</v>
      </c>
      <c r="L3855" s="9">
        <v>2023</v>
      </c>
      <c r="M3855" s="8" t="s">
        <v>22456</v>
      </c>
      <c r="N3855" s="8" t="s">
        <v>37</v>
      </c>
      <c r="O3855" s="8" t="s">
        <v>499</v>
      </c>
      <c r="P3855" s="6" t="s">
        <v>51</v>
      </c>
      <c r="Q3855" s="8" t="s">
        <v>52</v>
      </c>
      <c r="R3855" s="10" t="s">
        <v>22457</v>
      </c>
      <c r="S3855" s="11"/>
      <c r="T3855" s="6"/>
      <c r="U3855" s="15" t="str">
        <f>HYPERLINK("https://media.infra-m.ru/2044/2044341/cover/2044341.jpg", "Обложка")</f>
        <v>Обложка</v>
      </c>
      <c r="V3855" s="8" t="s">
        <v>227</v>
      </c>
      <c r="W3855" s="6"/>
      <c r="X3855" s="6"/>
      <c r="Y3855" s="6"/>
      <c r="Z3855" s="6"/>
      <c r="AA3855" s="6" t="s">
        <v>55</v>
      </c>
      <c r="AB3855" s="8"/>
      <c r="AC3855" s="27">
        <v>9785911346751</v>
      </c>
    </row>
    <row r="3856" spans="1:29" s="4" customFormat="1" ht="44.1" customHeight="1" x14ac:dyDescent="0.2">
      <c r="A3856" s="5">
        <v>0</v>
      </c>
      <c r="B3856" s="6" t="s">
        <v>22458</v>
      </c>
      <c r="C3856" s="7">
        <v>1264.8</v>
      </c>
      <c r="D3856" s="8" t="s">
        <v>22459</v>
      </c>
      <c r="E3856" s="8" t="s">
        <v>22460</v>
      </c>
      <c r="F3856" s="8" t="s">
        <v>22461</v>
      </c>
      <c r="G3856" s="6" t="s">
        <v>60</v>
      </c>
      <c r="H3856" s="6" t="s">
        <v>241</v>
      </c>
      <c r="I3856" s="8"/>
      <c r="J3856" s="9">
        <v>1</v>
      </c>
      <c r="K3856" s="9">
        <v>192</v>
      </c>
      <c r="L3856" s="9">
        <v>2026</v>
      </c>
      <c r="M3856" s="8" t="s">
        <v>22462</v>
      </c>
      <c r="N3856" s="8" t="s">
        <v>37</v>
      </c>
      <c r="O3856" s="8" t="s">
        <v>233</v>
      </c>
      <c r="P3856" s="6" t="s">
        <v>51</v>
      </c>
      <c r="Q3856" s="8" t="s">
        <v>500</v>
      </c>
      <c r="R3856" s="10" t="s">
        <v>22463</v>
      </c>
      <c r="S3856" s="11"/>
      <c r="T3856" s="6"/>
      <c r="U3856" s="15" t="str">
        <f>HYPERLINK("https://media.infra-m.ru/2234/2234337/cover/2234337.jpg", "Обложка")</f>
        <v>Обложка</v>
      </c>
      <c r="V3856" s="8" t="s">
        <v>227</v>
      </c>
      <c r="W3856" s="6"/>
      <c r="X3856" s="6"/>
      <c r="Y3856" s="6"/>
      <c r="Z3856" s="6"/>
      <c r="AA3856" s="6" t="s">
        <v>248</v>
      </c>
      <c r="AB3856" s="8"/>
      <c r="AC3856" s="27">
        <v>9785955803418</v>
      </c>
    </row>
    <row r="3857" spans="1:29" s="4" customFormat="1" ht="51.9" customHeight="1" x14ac:dyDescent="0.2">
      <c r="A3857" s="5">
        <v>0</v>
      </c>
      <c r="B3857" s="6" t="s">
        <v>22464</v>
      </c>
      <c r="C3857" s="7">
        <v>2124</v>
      </c>
      <c r="D3857" s="8" t="s">
        <v>22465</v>
      </c>
      <c r="E3857" s="8" t="s">
        <v>22466</v>
      </c>
      <c r="F3857" s="8" t="s">
        <v>22467</v>
      </c>
      <c r="G3857" s="6" t="s">
        <v>60</v>
      </c>
      <c r="H3857" s="6" t="s">
        <v>34</v>
      </c>
      <c r="I3857" s="8" t="s">
        <v>253</v>
      </c>
      <c r="J3857" s="9">
        <v>1</v>
      </c>
      <c r="K3857" s="9">
        <v>347</v>
      </c>
      <c r="L3857" s="9">
        <v>2025</v>
      </c>
      <c r="M3857" s="8" t="s">
        <v>22468</v>
      </c>
      <c r="N3857" s="8" t="s">
        <v>585</v>
      </c>
      <c r="O3857" s="8" t="s">
        <v>667</v>
      </c>
      <c r="P3857" s="6" t="s">
        <v>306</v>
      </c>
      <c r="Q3857" s="8" t="s">
        <v>65</v>
      </c>
      <c r="R3857" s="10" t="s">
        <v>22469</v>
      </c>
      <c r="S3857" s="11"/>
      <c r="T3857" s="6"/>
      <c r="U3857" s="15" t="str">
        <f>HYPERLINK("https://media.infra-m.ru/2049/2049708/cover/2049708.jpg", "Обложка")</f>
        <v>Обложка</v>
      </c>
      <c r="V3857" s="8" t="s">
        <v>1357</v>
      </c>
      <c r="W3857" s="6"/>
      <c r="X3857" s="6"/>
      <c r="Y3857" s="6"/>
      <c r="Z3857" s="6"/>
      <c r="AA3857" s="6" t="s">
        <v>68</v>
      </c>
      <c r="AB3857" s="8"/>
      <c r="AC3857" s="27">
        <v>9785160187099</v>
      </c>
    </row>
    <row r="3858" spans="1:29" s="4" customFormat="1" ht="42" customHeight="1" x14ac:dyDescent="0.2">
      <c r="A3858" s="5">
        <v>0</v>
      </c>
      <c r="B3858" s="6" t="s">
        <v>22470</v>
      </c>
      <c r="C3858" s="13">
        <v>864</v>
      </c>
      <c r="D3858" s="8" t="s">
        <v>22471</v>
      </c>
      <c r="E3858" s="8" t="s">
        <v>22472</v>
      </c>
      <c r="F3858" s="8" t="s">
        <v>22473</v>
      </c>
      <c r="G3858" s="6" t="s">
        <v>33</v>
      </c>
      <c r="H3858" s="6" t="s">
        <v>34</v>
      </c>
      <c r="I3858" s="8" t="s">
        <v>35</v>
      </c>
      <c r="J3858" s="9">
        <v>1</v>
      </c>
      <c r="K3858" s="9">
        <v>154</v>
      </c>
      <c r="L3858" s="9">
        <v>2023</v>
      </c>
      <c r="M3858" s="8" t="s">
        <v>22474</v>
      </c>
      <c r="N3858" s="8" t="s">
        <v>585</v>
      </c>
      <c r="O3858" s="8" t="s">
        <v>775</v>
      </c>
      <c r="P3858" s="6" t="s">
        <v>39</v>
      </c>
      <c r="Q3858" s="8" t="s">
        <v>40</v>
      </c>
      <c r="R3858" s="10" t="s">
        <v>22475</v>
      </c>
      <c r="S3858" s="11"/>
      <c r="T3858" s="6"/>
      <c r="U3858" s="15" t="str">
        <f>HYPERLINK("https://media.infra-m.ru/2125/2125466/cover/2125466.jpg", "Обложка")</f>
        <v>Обложка</v>
      </c>
      <c r="V3858" s="8" t="s">
        <v>3595</v>
      </c>
      <c r="W3858" s="6"/>
      <c r="X3858" s="6"/>
      <c r="Y3858" s="6"/>
      <c r="Z3858" s="6"/>
      <c r="AA3858" s="6" t="s">
        <v>86</v>
      </c>
      <c r="AB3858" s="8"/>
      <c r="AC3858" s="27">
        <v>9785160138220</v>
      </c>
    </row>
    <row r="3859" spans="1:29" s="4" customFormat="1" ht="42" customHeight="1" x14ac:dyDescent="0.2">
      <c r="A3859" s="5">
        <v>0</v>
      </c>
      <c r="B3859" s="6" t="s">
        <v>22476</v>
      </c>
      <c r="C3859" s="7">
        <v>1444.8</v>
      </c>
      <c r="D3859" s="8" t="s">
        <v>22477</v>
      </c>
      <c r="E3859" s="8" t="s">
        <v>22478</v>
      </c>
      <c r="F3859" s="8" t="s">
        <v>22479</v>
      </c>
      <c r="G3859" s="6" t="s">
        <v>33</v>
      </c>
      <c r="H3859" s="6" t="s">
        <v>34</v>
      </c>
      <c r="I3859" s="8" t="s">
        <v>457</v>
      </c>
      <c r="J3859" s="9">
        <v>1</v>
      </c>
      <c r="K3859" s="9">
        <v>219</v>
      </c>
      <c r="L3859" s="9">
        <v>2026</v>
      </c>
      <c r="M3859" s="8" t="s">
        <v>22480</v>
      </c>
      <c r="N3859" s="8" t="s">
        <v>37</v>
      </c>
      <c r="O3859" s="8" t="s">
        <v>233</v>
      </c>
      <c r="P3859" s="6" t="s">
        <v>39</v>
      </c>
      <c r="Q3859" s="8" t="s">
        <v>40</v>
      </c>
      <c r="R3859" s="10" t="s">
        <v>22481</v>
      </c>
      <c r="S3859" s="11"/>
      <c r="T3859" s="6"/>
      <c r="U3859" s="15" t="str">
        <f>HYPERLINK("https://media.infra-m.ru/2234/2234460/cover/2234460.jpg", "Обложка")</f>
        <v>Обложка</v>
      </c>
      <c r="V3859" s="8" t="s">
        <v>247</v>
      </c>
      <c r="W3859" s="6"/>
      <c r="X3859" s="6"/>
      <c r="Y3859" s="6"/>
      <c r="Z3859" s="6"/>
      <c r="AA3859" s="6" t="s">
        <v>1015</v>
      </c>
      <c r="AB3859" s="8"/>
      <c r="AC3859" s="27">
        <v>9785160158396</v>
      </c>
    </row>
    <row r="3860" spans="1:29" s="4" customFormat="1" ht="51.9" customHeight="1" x14ac:dyDescent="0.2">
      <c r="A3860" s="5">
        <v>0</v>
      </c>
      <c r="B3860" s="6" t="s">
        <v>22482</v>
      </c>
      <c r="C3860" s="13">
        <v>317.89999999999998</v>
      </c>
      <c r="D3860" s="8" t="s">
        <v>22483</v>
      </c>
      <c r="E3860" s="8" t="s">
        <v>22484</v>
      </c>
      <c r="F3860" s="8" t="s">
        <v>22485</v>
      </c>
      <c r="G3860" s="6" t="s">
        <v>33</v>
      </c>
      <c r="H3860" s="6" t="s">
        <v>34</v>
      </c>
      <c r="I3860" s="8" t="s">
        <v>271</v>
      </c>
      <c r="J3860" s="9">
        <v>1</v>
      </c>
      <c r="K3860" s="9">
        <v>79</v>
      </c>
      <c r="L3860" s="9">
        <v>2020</v>
      </c>
      <c r="M3860" s="8" t="s">
        <v>22486</v>
      </c>
      <c r="N3860" s="8" t="s">
        <v>37</v>
      </c>
      <c r="O3860" s="8" t="s">
        <v>233</v>
      </c>
      <c r="P3860" s="6" t="s">
        <v>51</v>
      </c>
      <c r="Q3860" s="8" t="s">
        <v>52</v>
      </c>
      <c r="R3860" s="10" t="s">
        <v>22487</v>
      </c>
      <c r="S3860" s="11"/>
      <c r="T3860" s="6"/>
      <c r="U3860" s="15" t="str">
        <f>HYPERLINK("https://media.infra-m.ru/1079/1079871/cover/1079871.jpg", "Обложка")</f>
        <v>Обложка</v>
      </c>
      <c r="V3860" s="8" t="s">
        <v>247</v>
      </c>
      <c r="W3860" s="6"/>
      <c r="X3860" s="6"/>
      <c r="Y3860" s="6"/>
      <c r="Z3860" s="6"/>
      <c r="AA3860" s="6" t="s">
        <v>43</v>
      </c>
      <c r="AB3860" s="8"/>
      <c r="AC3860" s="27">
        <v>9785160053806</v>
      </c>
    </row>
    <row r="3861" spans="1:29" s="4" customFormat="1" ht="51.9" customHeight="1" x14ac:dyDescent="0.2">
      <c r="A3861" s="5">
        <v>0</v>
      </c>
      <c r="B3861" s="6" t="s">
        <v>22488</v>
      </c>
      <c r="C3861" s="13">
        <v>640.79999999999995</v>
      </c>
      <c r="D3861" s="8" t="s">
        <v>22489</v>
      </c>
      <c r="E3861" s="8" t="s">
        <v>22490</v>
      </c>
      <c r="F3861" s="8" t="s">
        <v>22491</v>
      </c>
      <c r="G3861" s="6" t="s">
        <v>118</v>
      </c>
      <c r="H3861" s="6" t="s">
        <v>34</v>
      </c>
      <c r="I3861" s="8" t="s">
        <v>271</v>
      </c>
      <c r="J3861" s="9">
        <v>1</v>
      </c>
      <c r="K3861" s="9">
        <v>103</v>
      </c>
      <c r="L3861" s="9">
        <v>2025</v>
      </c>
      <c r="M3861" s="8" t="s">
        <v>22492</v>
      </c>
      <c r="N3861" s="8" t="s">
        <v>37</v>
      </c>
      <c r="O3861" s="8" t="s">
        <v>233</v>
      </c>
      <c r="P3861" s="6" t="s">
        <v>51</v>
      </c>
      <c r="Q3861" s="8" t="s">
        <v>52</v>
      </c>
      <c r="R3861" s="10" t="s">
        <v>22487</v>
      </c>
      <c r="S3861" s="11" t="s">
        <v>22493</v>
      </c>
      <c r="T3861" s="6"/>
      <c r="U3861" s="15" t="str">
        <f>HYPERLINK("https://media.infra-m.ru/2192/2192207/cover/2192207.jpg", "Обложка")</f>
        <v>Обложка</v>
      </c>
      <c r="V3861" s="8" t="s">
        <v>247</v>
      </c>
      <c r="W3861" s="6"/>
      <c r="X3861" s="6"/>
      <c r="Y3861" s="6"/>
      <c r="Z3861" s="6"/>
      <c r="AA3861" s="6" t="s">
        <v>258</v>
      </c>
      <c r="AB3861" s="8"/>
      <c r="AC3861" s="27">
        <v>9785160165165</v>
      </c>
    </row>
    <row r="3862" spans="1:29" s="4" customFormat="1" ht="44.1" customHeight="1" x14ac:dyDescent="0.2">
      <c r="A3862" s="5">
        <v>0</v>
      </c>
      <c r="B3862" s="6" t="s">
        <v>22494</v>
      </c>
      <c r="C3862" s="7">
        <v>1397.9</v>
      </c>
      <c r="D3862" s="8" t="s">
        <v>22495</v>
      </c>
      <c r="E3862" s="8" t="s">
        <v>22496</v>
      </c>
      <c r="F3862" s="8" t="s">
        <v>22497</v>
      </c>
      <c r="G3862" s="6" t="s">
        <v>60</v>
      </c>
      <c r="H3862" s="6" t="s">
        <v>34</v>
      </c>
      <c r="I3862" s="8" t="s">
        <v>1081</v>
      </c>
      <c r="J3862" s="9">
        <v>1</v>
      </c>
      <c r="K3862" s="9">
        <v>259</v>
      </c>
      <c r="L3862" s="9">
        <v>2023</v>
      </c>
      <c r="M3862" s="8" t="s">
        <v>22498</v>
      </c>
      <c r="N3862" s="8" t="s">
        <v>37</v>
      </c>
      <c r="O3862" s="8" t="s">
        <v>233</v>
      </c>
      <c r="P3862" s="6" t="s">
        <v>39</v>
      </c>
      <c r="Q3862" s="8" t="s">
        <v>40</v>
      </c>
      <c r="R3862" s="10" t="s">
        <v>5331</v>
      </c>
      <c r="S3862" s="11"/>
      <c r="T3862" s="6"/>
      <c r="U3862" s="15" t="str">
        <f>HYPERLINK("https://media.infra-m.ru/2006/2006869/cover/2006869.jpg", "Обложка")</f>
        <v>Обложка</v>
      </c>
      <c r="V3862" s="8" t="s">
        <v>1083</v>
      </c>
      <c r="W3862" s="6"/>
      <c r="X3862" s="6"/>
      <c r="Y3862" s="6"/>
      <c r="Z3862" s="6"/>
      <c r="AA3862" s="6" t="s">
        <v>86</v>
      </c>
      <c r="AB3862" s="8"/>
      <c r="AC3862" s="27">
        <v>9785160133041</v>
      </c>
    </row>
    <row r="3863" spans="1:29" s="4" customFormat="1" ht="51.9" customHeight="1" x14ac:dyDescent="0.2">
      <c r="A3863" s="5">
        <v>0</v>
      </c>
      <c r="B3863" s="6" t="s">
        <v>22499</v>
      </c>
      <c r="C3863" s="7">
        <v>2045.9</v>
      </c>
      <c r="D3863" s="8" t="s">
        <v>22500</v>
      </c>
      <c r="E3863" s="8" t="s">
        <v>22501</v>
      </c>
      <c r="F3863" s="8" t="s">
        <v>22502</v>
      </c>
      <c r="G3863" s="6" t="s">
        <v>118</v>
      </c>
      <c r="H3863" s="6" t="s">
        <v>34</v>
      </c>
      <c r="I3863" s="8" t="s">
        <v>35</v>
      </c>
      <c r="J3863" s="9">
        <v>1</v>
      </c>
      <c r="K3863" s="9">
        <v>436</v>
      </c>
      <c r="L3863" s="9">
        <v>2022</v>
      </c>
      <c r="M3863" s="8" t="s">
        <v>22503</v>
      </c>
      <c r="N3863" s="8" t="s">
        <v>243</v>
      </c>
      <c r="O3863" s="8" t="s">
        <v>798</v>
      </c>
      <c r="P3863" s="6" t="s">
        <v>39</v>
      </c>
      <c r="Q3863" s="8" t="s">
        <v>40</v>
      </c>
      <c r="R3863" s="10" t="s">
        <v>22504</v>
      </c>
      <c r="S3863" s="11" t="s">
        <v>22505</v>
      </c>
      <c r="T3863" s="6"/>
      <c r="U3863" s="15" t="str">
        <f>HYPERLINK("https://media.infra-m.ru/1853/1853672/cover/1853672.jpg", "Обложка")</f>
        <v>Обложка</v>
      </c>
      <c r="V3863" s="8" t="s">
        <v>16903</v>
      </c>
      <c r="W3863" s="6"/>
      <c r="X3863" s="6"/>
      <c r="Y3863" s="6"/>
      <c r="Z3863" s="6"/>
      <c r="AA3863" s="6" t="s">
        <v>115</v>
      </c>
      <c r="AB3863" s="8"/>
      <c r="AC3863" s="27">
        <v>9785160146157</v>
      </c>
    </row>
    <row r="3864" spans="1:29" s="4" customFormat="1" ht="51.9" customHeight="1" x14ac:dyDescent="0.2">
      <c r="A3864" s="5">
        <v>0</v>
      </c>
      <c r="B3864" s="6" t="s">
        <v>22506</v>
      </c>
      <c r="C3864" s="7">
        <v>2388</v>
      </c>
      <c r="D3864" s="8" t="s">
        <v>22507</v>
      </c>
      <c r="E3864" s="8" t="s">
        <v>22508</v>
      </c>
      <c r="F3864" s="8" t="s">
        <v>22509</v>
      </c>
      <c r="G3864" s="6" t="s">
        <v>60</v>
      </c>
      <c r="H3864" s="6" t="s">
        <v>34</v>
      </c>
      <c r="I3864" s="8" t="s">
        <v>35</v>
      </c>
      <c r="J3864" s="9">
        <v>1</v>
      </c>
      <c r="K3864" s="9">
        <v>439</v>
      </c>
      <c r="L3864" s="9">
        <v>2023</v>
      </c>
      <c r="M3864" s="8" t="s">
        <v>22510</v>
      </c>
      <c r="N3864" s="8" t="s">
        <v>243</v>
      </c>
      <c r="O3864" s="8" t="s">
        <v>798</v>
      </c>
      <c r="P3864" s="6" t="s">
        <v>39</v>
      </c>
      <c r="Q3864" s="8" t="s">
        <v>40</v>
      </c>
      <c r="R3864" s="10" t="s">
        <v>22504</v>
      </c>
      <c r="S3864" s="11" t="s">
        <v>22505</v>
      </c>
      <c r="T3864" s="6"/>
      <c r="U3864" s="15" t="str">
        <f>HYPERLINK("https://media.infra-m.ru/1979/1979935/cover/1979935.jpg", "Обложка")</f>
        <v>Обложка</v>
      </c>
      <c r="V3864" s="8" t="s">
        <v>809</v>
      </c>
      <c r="W3864" s="6"/>
      <c r="X3864" s="6"/>
      <c r="Y3864" s="6"/>
      <c r="Z3864" s="6"/>
      <c r="AA3864" s="6" t="s">
        <v>896</v>
      </c>
      <c r="AB3864" s="8"/>
      <c r="AC3864" s="27">
        <v>9785160174419</v>
      </c>
    </row>
    <row r="3865" spans="1:29" s="4" customFormat="1" ht="44.1" customHeight="1" x14ac:dyDescent="0.2">
      <c r="A3865" s="5">
        <v>0</v>
      </c>
      <c r="B3865" s="6" t="s">
        <v>22511</v>
      </c>
      <c r="C3865" s="7">
        <v>1397.9</v>
      </c>
      <c r="D3865" s="8" t="s">
        <v>22512</v>
      </c>
      <c r="E3865" s="8" t="s">
        <v>22513</v>
      </c>
      <c r="F3865" s="8" t="s">
        <v>22514</v>
      </c>
      <c r="G3865" s="6" t="s">
        <v>118</v>
      </c>
      <c r="H3865" s="6" t="s">
        <v>34</v>
      </c>
      <c r="I3865" s="8" t="s">
        <v>35</v>
      </c>
      <c r="J3865" s="9">
        <v>1</v>
      </c>
      <c r="K3865" s="9">
        <v>258</v>
      </c>
      <c r="L3865" s="9">
        <v>2023</v>
      </c>
      <c r="M3865" s="8" t="s">
        <v>22515</v>
      </c>
      <c r="N3865" s="8" t="s">
        <v>37</v>
      </c>
      <c r="O3865" s="8" t="s">
        <v>136</v>
      </c>
      <c r="P3865" s="6" t="s">
        <v>39</v>
      </c>
      <c r="Q3865" s="8" t="s">
        <v>40</v>
      </c>
      <c r="R3865" s="10" t="s">
        <v>1631</v>
      </c>
      <c r="S3865" s="11"/>
      <c r="T3865" s="6"/>
      <c r="U3865" s="15" t="str">
        <f>HYPERLINK("https://media.infra-m.ru/2006/2006907/cover/2006907.jpg", "Обложка")</f>
        <v>Обложка</v>
      </c>
      <c r="V3865" s="8" t="s">
        <v>1949</v>
      </c>
      <c r="W3865" s="6"/>
      <c r="X3865" s="6"/>
      <c r="Y3865" s="6"/>
      <c r="Z3865" s="6"/>
      <c r="AA3865" s="6" t="s">
        <v>86</v>
      </c>
      <c r="AB3865" s="8"/>
      <c r="AC3865" s="27">
        <v>9785160136103</v>
      </c>
    </row>
    <row r="3866" spans="1:29" s="4" customFormat="1" ht="51.9" customHeight="1" x14ac:dyDescent="0.2">
      <c r="A3866" s="5">
        <v>0</v>
      </c>
      <c r="B3866" s="6" t="s">
        <v>22516</v>
      </c>
      <c r="C3866" s="7">
        <v>1168.8</v>
      </c>
      <c r="D3866" s="8" t="s">
        <v>22517</v>
      </c>
      <c r="E3866" s="8" t="s">
        <v>22518</v>
      </c>
      <c r="F3866" s="8" t="s">
        <v>22519</v>
      </c>
      <c r="G3866" s="6" t="s">
        <v>118</v>
      </c>
      <c r="H3866" s="6" t="s">
        <v>34</v>
      </c>
      <c r="I3866" s="8" t="s">
        <v>253</v>
      </c>
      <c r="J3866" s="9">
        <v>1</v>
      </c>
      <c r="K3866" s="9">
        <v>178</v>
      </c>
      <c r="L3866" s="9">
        <v>2026</v>
      </c>
      <c r="M3866" s="8" t="s">
        <v>22520</v>
      </c>
      <c r="N3866" s="8" t="s">
        <v>243</v>
      </c>
      <c r="O3866" s="8" t="s">
        <v>933</v>
      </c>
      <c r="P3866" s="6" t="s">
        <v>51</v>
      </c>
      <c r="Q3866" s="8" t="s">
        <v>52</v>
      </c>
      <c r="R3866" s="10" t="s">
        <v>22521</v>
      </c>
      <c r="S3866" s="11" t="s">
        <v>22522</v>
      </c>
      <c r="T3866" s="6"/>
      <c r="U3866" s="15" t="str">
        <f>HYPERLINK("https://media.infra-m.ru/2243/2243114/cover/2243114.jpg", "Обложка")</f>
        <v>Обложка</v>
      </c>
      <c r="V3866" s="8" t="s">
        <v>7003</v>
      </c>
      <c r="W3866" s="6"/>
      <c r="X3866" s="6"/>
      <c r="Y3866" s="6"/>
      <c r="Z3866" s="6"/>
      <c r="AA3866" s="6" t="s">
        <v>115</v>
      </c>
      <c r="AB3866" s="8"/>
      <c r="AC3866" s="27">
        <v>9785160195261</v>
      </c>
    </row>
    <row r="3867" spans="1:29" s="4" customFormat="1" ht="51.9" customHeight="1" x14ac:dyDescent="0.2">
      <c r="A3867" s="5">
        <v>0</v>
      </c>
      <c r="B3867" s="6" t="s">
        <v>22523</v>
      </c>
      <c r="C3867" s="7">
        <v>1488</v>
      </c>
      <c r="D3867" s="8" t="s">
        <v>22524</v>
      </c>
      <c r="E3867" s="8" t="s">
        <v>22525</v>
      </c>
      <c r="F3867" s="8" t="s">
        <v>4643</v>
      </c>
      <c r="G3867" s="6" t="s">
        <v>60</v>
      </c>
      <c r="H3867" s="6" t="s">
        <v>34</v>
      </c>
      <c r="I3867" s="8" t="s">
        <v>35</v>
      </c>
      <c r="J3867" s="9">
        <v>1</v>
      </c>
      <c r="K3867" s="9">
        <v>241</v>
      </c>
      <c r="L3867" s="9">
        <v>2024</v>
      </c>
      <c r="M3867" s="8" t="s">
        <v>22526</v>
      </c>
      <c r="N3867" s="8" t="s">
        <v>243</v>
      </c>
      <c r="O3867" s="8" t="s">
        <v>798</v>
      </c>
      <c r="P3867" s="6" t="s">
        <v>39</v>
      </c>
      <c r="Q3867" s="8" t="s">
        <v>40</v>
      </c>
      <c r="R3867" s="10" t="s">
        <v>4645</v>
      </c>
      <c r="S3867" s="11"/>
      <c r="T3867" s="6"/>
      <c r="U3867" s="15" t="str">
        <f>HYPERLINK("https://media.infra-m.ru/2124/2124804/cover/2124804.jpg", "Обложка")</f>
        <v>Обложка</v>
      </c>
      <c r="V3867" s="8" t="s">
        <v>761</v>
      </c>
      <c r="W3867" s="6"/>
      <c r="X3867" s="6"/>
      <c r="Y3867" s="6"/>
      <c r="Z3867" s="6"/>
      <c r="AA3867" s="6" t="s">
        <v>76</v>
      </c>
      <c r="AB3867" s="8"/>
      <c r="AC3867" s="27">
        <v>9785160194936</v>
      </c>
    </row>
    <row r="3868" spans="1:29" s="4" customFormat="1" ht="51.9" customHeight="1" x14ac:dyDescent="0.2">
      <c r="A3868" s="5">
        <v>0</v>
      </c>
      <c r="B3868" s="6" t="s">
        <v>22527</v>
      </c>
      <c r="C3868" s="7">
        <v>1380</v>
      </c>
      <c r="D3868" s="8" t="s">
        <v>22528</v>
      </c>
      <c r="E3868" s="8" t="s">
        <v>22529</v>
      </c>
      <c r="F3868" s="8" t="s">
        <v>22530</v>
      </c>
      <c r="G3868" s="6" t="s">
        <v>33</v>
      </c>
      <c r="H3868" s="6" t="s">
        <v>34</v>
      </c>
      <c r="I3868" s="8" t="s">
        <v>35</v>
      </c>
      <c r="J3868" s="9">
        <v>1</v>
      </c>
      <c r="K3868" s="9">
        <v>265</v>
      </c>
      <c r="L3868" s="9">
        <v>2022</v>
      </c>
      <c r="M3868" s="8" t="s">
        <v>22531</v>
      </c>
      <c r="N3868" s="8" t="s">
        <v>243</v>
      </c>
      <c r="O3868" s="8" t="s">
        <v>964</v>
      </c>
      <c r="P3868" s="6" t="s">
        <v>39</v>
      </c>
      <c r="Q3868" s="8" t="s">
        <v>40</v>
      </c>
      <c r="R3868" s="10" t="s">
        <v>22532</v>
      </c>
      <c r="S3868" s="11"/>
      <c r="T3868" s="6"/>
      <c r="U3868" s="15" t="str">
        <f>HYPERLINK("https://media.infra-m.ru/1860/1860140/cover/1860140.jpg", "Обложка")</f>
        <v>Обложка</v>
      </c>
      <c r="V3868" s="8" t="s">
        <v>15551</v>
      </c>
      <c r="W3868" s="6"/>
      <c r="X3868" s="6"/>
      <c r="Y3868" s="6"/>
      <c r="Z3868" s="6"/>
      <c r="AA3868" s="6" t="s">
        <v>148</v>
      </c>
      <c r="AB3868" s="8" t="s">
        <v>1743</v>
      </c>
      <c r="AC3868" s="27">
        <v>9785160175324</v>
      </c>
    </row>
    <row r="3869" spans="1:29" s="4" customFormat="1" ht="51.9" customHeight="1" x14ac:dyDescent="0.2">
      <c r="A3869" s="5">
        <v>0</v>
      </c>
      <c r="B3869" s="6" t="s">
        <v>22533</v>
      </c>
      <c r="C3869" s="7">
        <v>1368</v>
      </c>
      <c r="D3869" s="8" t="s">
        <v>22534</v>
      </c>
      <c r="E3869" s="8" t="s">
        <v>22535</v>
      </c>
      <c r="F3869" s="8" t="s">
        <v>22530</v>
      </c>
      <c r="G3869" s="6" t="s">
        <v>60</v>
      </c>
      <c r="H3869" s="6" t="s">
        <v>34</v>
      </c>
      <c r="I3869" s="8" t="s">
        <v>263</v>
      </c>
      <c r="J3869" s="9">
        <v>1</v>
      </c>
      <c r="K3869" s="9">
        <v>333</v>
      </c>
      <c r="L3869" s="9">
        <v>2020</v>
      </c>
      <c r="M3869" s="8" t="s">
        <v>22536</v>
      </c>
      <c r="N3869" s="8" t="s">
        <v>243</v>
      </c>
      <c r="O3869" s="8" t="s">
        <v>244</v>
      </c>
      <c r="P3869" s="6" t="s">
        <v>51</v>
      </c>
      <c r="Q3869" s="8" t="s">
        <v>265</v>
      </c>
      <c r="R3869" s="10" t="s">
        <v>22537</v>
      </c>
      <c r="S3869" s="11" t="s">
        <v>22538</v>
      </c>
      <c r="T3869" s="6"/>
      <c r="U3869" s="15" t="str">
        <f>HYPERLINK("https://media.infra-m.ru/1084/1084915/cover/1084915.jpg", "Обложка")</f>
        <v>Обложка</v>
      </c>
      <c r="V3869" s="8" t="s">
        <v>15551</v>
      </c>
      <c r="W3869" s="6"/>
      <c r="X3869" s="6"/>
      <c r="Y3869" s="6"/>
      <c r="Z3869" s="6" t="s">
        <v>267</v>
      </c>
      <c r="AA3869" s="6" t="s">
        <v>1256</v>
      </c>
      <c r="AB3869" s="8"/>
      <c r="AC3869" s="27">
        <v>9785160161624</v>
      </c>
    </row>
    <row r="3870" spans="1:29" s="4" customFormat="1" ht="51.9" customHeight="1" x14ac:dyDescent="0.2">
      <c r="A3870" s="5">
        <v>0</v>
      </c>
      <c r="B3870" s="6" t="s">
        <v>22539</v>
      </c>
      <c r="C3870" s="7">
        <v>2758.8</v>
      </c>
      <c r="D3870" s="8" t="s">
        <v>22540</v>
      </c>
      <c r="E3870" s="8" t="s">
        <v>22541</v>
      </c>
      <c r="F3870" s="8" t="s">
        <v>22530</v>
      </c>
      <c r="G3870" s="6" t="s">
        <v>118</v>
      </c>
      <c r="H3870" s="6" t="s">
        <v>34</v>
      </c>
      <c r="I3870" s="8" t="s">
        <v>253</v>
      </c>
      <c r="J3870" s="9">
        <v>1</v>
      </c>
      <c r="K3870" s="9">
        <v>334</v>
      </c>
      <c r="L3870" s="9">
        <v>2027</v>
      </c>
      <c r="M3870" s="8" t="s">
        <v>22542</v>
      </c>
      <c r="N3870" s="8" t="s">
        <v>243</v>
      </c>
      <c r="O3870" s="8" t="s">
        <v>244</v>
      </c>
      <c r="P3870" s="6" t="s">
        <v>51</v>
      </c>
      <c r="Q3870" s="8" t="s">
        <v>52</v>
      </c>
      <c r="R3870" s="10" t="s">
        <v>22543</v>
      </c>
      <c r="S3870" s="11" t="s">
        <v>22544</v>
      </c>
      <c r="T3870" s="6"/>
      <c r="U3870" s="15" t="str">
        <f>HYPERLINK("https://media.infra-m.ru/2266/2266522/cover/2266522.jpg", "Обложка")</f>
        <v>Обложка</v>
      </c>
      <c r="V3870" s="8" t="s">
        <v>15551</v>
      </c>
      <c r="W3870" s="6"/>
      <c r="X3870" s="6"/>
      <c r="Y3870" s="6"/>
      <c r="Z3870" s="6"/>
      <c r="AA3870" s="6" t="s">
        <v>115</v>
      </c>
      <c r="AB3870" s="8"/>
      <c r="AC3870" s="27">
        <v>9785160212463</v>
      </c>
    </row>
    <row r="3871" spans="1:29" s="4" customFormat="1" ht="42" customHeight="1" x14ac:dyDescent="0.2">
      <c r="A3871" s="5">
        <v>0</v>
      </c>
      <c r="B3871" s="6" t="s">
        <v>22545</v>
      </c>
      <c r="C3871" s="13">
        <v>660</v>
      </c>
      <c r="D3871" s="8" t="s">
        <v>22546</v>
      </c>
      <c r="E3871" s="8" t="s">
        <v>22547</v>
      </c>
      <c r="F3871" s="8" t="s">
        <v>5879</v>
      </c>
      <c r="G3871" s="6" t="s">
        <v>33</v>
      </c>
      <c r="H3871" s="6" t="s">
        <v>34</v>
      </c>
      <c r="I3871" s="8" t="s">
        <v>35</v>
      </c>
      <c r="J3871" s="9">
        <v>1</v>
      </c>
      <c r="K3871" s="9">
        <v>162</v>
      </c>
      <c r="L3871" s="9">
        <v>2019</v>
      </c>
      <c r="M3871" s="8" t="s">
        <v>22548</v>
      </c>
      <c r="N3871" s="8" t="s">
        <v>243</v>
      </c>
      <c r="O3871" s="8" t="s">
        <v>329</v>
      </c>
      <c r="P3871" s="6" t="s">
        <v>39</v>
      </c>
      <c r="Q3871" s="8" t="s">
        <v>40</v>
      </c>
      <c r="R3871" s="10" t="s">
        <v>22549</v>
      </c>
      <c r="S3871" s="11"/>
      <c r="T3871" s="6"/>
      <c r="U3871" s="15" t="str">
        <f>HYPERLINK("https://media.infra-m.ru/0961/0961837/cover/961837.jpg", "Обложка")</f>
        <v>Обложка</v>
      </c>
      <c r="V3871" s="8" t="s">
        <v>5882</v>
      </c>
      <c r="W3871" s="6"/>
      <c r="X3871" s="6"/>
      <c r="Y3871" s="6"/>
      <c r="Z3871" s="6"/>
      <c r="AA3871" s="6" t="s">
        <v>115</v>
      </c>
      <c r="AB3871" s="8"/>
      <c r="AC3871" s="27">
        <v>9785160140292</v>
      </c>
    </row>
    <row r="3872" spans="1:29" s="4" customFormat="1" ht="51.9" customHeight="1" x14ac:dyDescent="0.2">
      <c r="A3872" s="5">
        <v>0</v>
      </c>
      <c r="B3872" s="6" t="s">
        <v>22550</v>
      </c>
      <c r="C3872" s="7">
        <v>1428</v>
      </c>
      <c r="D3872" s="8" t="s">
        <v>22551</v>
      </c>
      <c r="E3872" s="8" t="s">
        <v>22552</v>
      </c>
      <c r="F3872" s="8" t="s">
        <v>22553</v>
      </c>
      <c r="G3872" s="6" t="s">
        <v>33</v>
      </c>
      <c r="H3872" s="6" t="s">
        <v>34</v>
      </c>
      <c r="I3872" s="8" t="s">
        <v>35</v>
      </c>
      <c r="J3872" s="9">
        <v>1</v>
      </c>
      <c r="K3872" s="9">
        <v>249</v>
      </c>
      <c r="L3872" s="9">
        <v>2022</v>
      </c>
      <c r="M3872" s="8" t="s">
        <v>22554</v>
      </c>
      <c r="N3872" s="8" t="s">
        <v>243</v>
      </c>
      <c r="O3872" s="8" t="s">
        <v>758</v>
      </c>
      <c r="P3872" s="6" t="s">
        <v>39</v>
      </c>
      <c r="Q3872" s="8" t="s">
        <v>40</v>
      </c>
      <c r="R3872" s="10" t="s">
        <v>22555</v>
      </c>
      <c r="S3872" s="11"/>
      <c r="T3872" s="6"/>
      <c r="U3872" s="15" t="str">
        <f>HYPERLINK("https://media.infra-m.ru/1865/1865376/cover/1865376.jpg", "Обложка")</f>
        <v>Обложка</v>
      </c>
      <c r="V3872" s="8" t="s">
        <v>3864</v>
      </c>
      <c r="W3872" s="6"/>
      <c r="X3872" s="6"/>
      <c r="Y3872" s="6"/>
      <c r="Z3872" s="6"/>
      <c r="AA3872" s="6" t="s">
        <v>148</v>
      </c>
      <c r="AB3872" s="8"/>
      <c r="AC3872" s="27">
        <v>9785160176550</v>
      </c>
    </row>
    <row r="3873" spans="1:29" s="4" customFormat="1" ht="42" customHeight="1" x14ac:dyDescent="0.2">
      <c r="A3873" s="5">
        <v>0</v>
      </c>
      <c r="B3873" s="6" t="s">
        <v>22556</v>
      </c>
      <c r="C3873" s="7">
        <v>1672.8</v>
      </c>
      <c r="D3873" s="8" t="s">
        <v>22557</v>
      </c>
      <c r="E3873" s="8" t="s">
        <v>22558</v>
      </c>
      <c r="F3873" s="8" t="s">
        <v>22559</v>
      </c>
      <c r="G3873" s="6" t="s">
        <v>60</v>
      </c>
      <c r="H3873" s="6" t="s">
        <v>34</v>
      </c>
      <c r="I3873" s="8" t="s">
        <v>1081</v>
      </c>
      <c r="J3873" s="9">
        <v>1</v>
      </c>
      <c r="K3873" s="9">
        <v>304</v>
      </c>
      <c r="L3873" s="9">
        <v>2024</v>
      </c>
      <c r="M3873" s="8" t="s">
        <v>22560</v>
      </c>
      <c r="N3873" s="8" t="s">
        <v>585</v>
      </c>
      <c r="O3873" s="8" t="s">
        <v>667</v>
      </c>
      <c r="P3873" s="6" t="s">
        <v>39</v>
      </c>
      <c r="Q3873" s="8" t="s">
        <v>40</v>
      </c>
      <c r="R3873" s="10" t="s">
        <v>22561</v>
      </c>
      <c r="S3873" s="11"/>
      <c r="T3873" s="6"/>
      <c r="U3873" s="15" t="str">
        <f>HYPERLINK("https://media.infra-m.ru/2124/2124916/cover/2124916.jpg", "Обложка")</f>
        <v>Обложка</v>
      </c>
      <c r="V3873" s="8" t="s">
        <v>227</v>
      </c>
      <c r="W3873" s="6"/>
      <c r="X3873" s="6"/>
      <c r="Y3873" s="6"/>
      <c r="Z3873" s="6"/>
      <c r="AA3873" s="6" t="s">
        <v>86</v>
      </c>
      <c r="AB3873" s="8"/>
      <c r="AC3873" s="27">
        <v>9785160134178</v>
      </c>
    </row>
    <row r="3874" spans="1:29" s="4" customFormat="1" ht="51.9" customHeight="1" x14ac:dyDescent="0.2">
      <c r="A3874" s="5">
        <v>0</v>
      </c>
      <c r="B3874" s="6" t="s">
        <v>22562</v>
      </c>
      <c r="C3874" s="7">
        <v>1056</v>
      </c>
      <c r="D3874" s="8" t="s">
        <v>22563</v>
      </c>
      <c r="E3874" s="8" t="s">
        <v>22564</v>
      </c>
      <c r="F3874" s="8" t="s">
        <v>22565</v>
      </c>
      <c r="G3874" s="6" t="s">
        <v>118</v>
      </c>
      <c r="H3874" s="6" t="s">
        <v>34</v>
      </c>
      <c r="I3874" s="8" t="s">
        <v>271</v>
      </c>
      <c r="J3874" s="9">
        <v>1</v>
      </c>
      <c r="K3874" s="9">
        <v>259</v>
      </c>
      <c r="L3874" s="9">
        <v>2020</v>
      </c>
      <c r="M3874" s="8" t="s">
        <v>22566</v>
      </c>
      <c r="N3874" s="8" t="s">
        <v>243</v>
      </c>
      <c r="O3874" s="8" t="s">
        <v>758</v>
      </c>
      <c r="P3874" s="6" t="s">
        <v>306</v>
      </c>
      <c r="Q3874" s="8" t="s">
        <v>500</v>
      </c>
      <c r="R3874" s="10" t="s">
        <v>16192</v>
      </c>
      <c r="S3874" s="11" t="s">
        <v>22567</v>
      </c>
      <c r="T3874" s="6"/>
      <c r="U3874" s="15" t="str">
        <f>HYPERLINK("https://media.infra-m.ru/1090/1090549/cover/1090549.jpg", "Обложка")</f>
        <v>Обложка</v>
      </c>
      <c r="V3874" s="8" t="s">
        <v>809</v>
      </c>
      <c r="W3874" s="6"/>
      <c r="X3874" s="6"/>
      <c r="Y3874" s="6"/>
      <c r="Z3874" s="6"/>
      <c r="AA3874" s="6" t="s">
        <v>404</v>
      </c>
      <c r="AB3874" s="8"/>
      <c r="AC3874" s="27">
        <v>9785160127347</v>
      </c>
    </row>
    <row r="3875" spans="1:29" s="4" customFormat="1" ht="42" customHeight="1" x14ac:dyDescent="0.2">
      <c r="A3875" s="5">
        <v>0</v>
      </c>
      <c r="B3875" s="6" t="s">
        <v>22568</v>
      </c>
      <c r="C3875" s="13">
        <v>852</v>
      </c>
      <c r="D3875" s="8" t="s">
        <v>22569</v>
      </c>
      <c r="E3875" s="8" t="s">
        <v>22570</v>
      </c>
      <c r="F3875" s="8" t="s">
        <v>22571</v>
      </c>
      <c r="G3875" s="6" t="s">
        <v>33</v>
      </c>
      <c r="H3875" s="6" t="s">
        <v>34</v>
      </c>
      <c r="I3875" s="8" t="s">
        <v>253</v>
      </c>
      <c r="J3875" s="9">
        <v>1</v>
      </c>
      <c r="K3875" s="9">
        <v>111</v>
      </c>
      <c r="L3875" s="9">
        <v>2024</v>
      </c>
      <c r="M3875" s="8" t="s">
        <v>22572</v>
      </c>
      <c r="N3875" s="8" t="s">
        <v>243</v>
      </c>
      <c r="O3875" s="8" t="s">
        <v>758</v>
      </c>
      <c r="P3875" s="6" t="s">
        <v>51</v>
      </c>
      <c r="Q3875" s="8" t="s">
        <v>52</v>
      </c>
      <c r="R3875" s="10" t="s">
        <v>22573</v>
      </c>
      <c r="S3875" s="11"/>
      <c r="T3875" s="6"/>
      <c r="U3875" s="15" t="str">
        <f>HYPERLINK("https://media.infra-m.ru/1851/1851518/cover/1851518.jpg", "Обложка")</f>
        <v>Обложка</v>
      </c>
      <c r="V3875" s="8" t="s">
        <v>8139</v>
      </c>
      <c r="W3875" s="6"/>
      <c r="X3875" s="6"/>
      <c r="Y3875" s="6"/>
      <c r="Z3875" s="6"/>
      <c r="AA3875" s="6" t="s">
        <v>76</v>
      </c>
      <c r="AB3875" s="8"/>
      <c r="AC3875" s="27">
        <v>9785160174020</v>
      </c>
    </row>
    <row r="3876" spans="1:29" s="4" customFormat="1" ht="44.1" customHeight="1" x14ac:dyDescent="0.2">
      <c r="A3876" s="5">
        <v>0</v>
      </c>
      <c r="B3876" s="6" t="s">
        <v>22574</v>
      </c>
      <c r="C3876" s="7">
        <v>2292</v>
      </c>
      <c r="D3876" s="8" t="s">
        <v>22575</v>
      </c>
      <c r="E3876" s="8" t="s">
        <v>22576</v>
      </c>
      <c r="F3876" s="8" t="s">
        <v>22577</v>
      </c>
      <c r="G3876" s="6" t="s">
        <v>60</v>
      </c>
      <c r="H3876" s="6" t="s">
        <v>34</v>
      </c>
      <c r="I3876" s="8" t="s">
        <v>35</v>
      </c>
      <c r="J3876" s="9">
        <v>1</v>
      </c>
      <c r="K3876" s="9">
        <v>408</v>
      </c>
      <c r="L3876" s="9">
        <v>2025</v>
      </c>
      <c r="M3876" s="8" t="s">
        <v>22578</v>
      </c>
      <c r="N3876" s="8" t="s">
        <v>243</v>
      </c>
      <c r="O3876" s="8" t="s">
        <v>244</v>
      </c>
      <c r="P3876" s="6" t="s">
        <v>39</v>
      </c>
      <c r="Q3876" s="8" t="s">
        <v>40</v>
      </c>
      <c r="R3876" s="10" t="s">
        <v>22579</v>
      </c>
      <c r="S3876" s="11"/>
      <c r="T3876" s="6"/>
      <c r="U3876" s="15" t="str">
        <f>HYPERLINK("https://media.infra-m.ru/2137/2137603/cover/2137603.jpg", "Обложка")</f>
        <v>Обложка</v>
      </c>
      <c r="V3876" s="8" t="s">
        <v>761</v>
      </c>
      <c r="W3876" s="6"/>
      <c r="X3876" s="6"/>
      <c r="Y3876" s="6"/>
      <c r="Z3876" s="6"/>
      <c r="AA3876" s="6" t="s">
        <v>68</v>
      </c>
      <c r="AB3876" s="8"/>
      <c r="AC3876" s="27">
        <v>9785160197906</v>
      </c>
    </row>
    <row r="3877" spans="1:29" s="4" customFormat="1" ht="51.9" customHeight="1" x14ac:dyDescent="0.2">
      <c r="A3877" s="5">
        <v>0</v>
      </c>
      <c r="B3877" s="6" t="s">
        <v>22580</v>
      </c>
      <c r="C3877" s="7">
        <v>1068</v>
      </c>
      <c r="D3877" s="8" t="s">
        <v>22581</v>
      </c>
      <c r="E3877" s="8" t="s">
        <v>22582</v>
      </c>
      <c r="F3877" s="8" t="s">
        <v>11430</v>
      </c>
      <c r="G3877" s="6" t="s">
        <v>33</v>
      </c>
      <c r="H3877" s="6" t="s">
        <v>34</v>
      </c>
      <c r="I3877" s="8" t="s">
        <v>35</v>
      </c>
      <c r="J3877" s="9">
        <v>1</v>
      </c>
      <c r="K3877" s="9">
        <v>243</v>
      </c>
      <c r="L3877" s="9">
        <v>2021</v>
      </c>
      <c r="M3877" s="8" t="s">
        <v>22583</v>
      </c>
      <c r="N3877" s="8" t="s">
        <v>37</v>
      </c>
      <c r="O3877" s="8" t="s">
        <v>233</v>
      </c>
      <c r="P3877" s="6" t="s">
        <v>39</v>
      </c>
      <c r="Q3877" s="8" t="s">
        <v>40</v>
      </c>
      <c r="R3877" s="10" t="s">
        <v>22584</v>
      </c>
      <c r="S3877" s="11"/>
      <c r="T3877" s="6"/>
      <c r="U3877" s="15" t="str">
        <f>HYPERLINK("https://media.infra-m.ru/1090/1090340/cover/1090340.jpg", "Обложка")</f>
        <v>Обложка</v>
      </c>
      <c r="V3877" s="8" t="s">
        <v>11433</v>
      </c>
      <c r="W3877" s="6"/>
      <c r="X3877" s="6"/>
      <c r="Y3877" s="6"/>
      <c r="Z3877" s="6"/>
      <c r="AA3877" s="6" t="s">
        <v>430</v>
      </c>
      <c r="AB3877" s="8"/>
      <c r="AC3877" s="27">
        <v>9785160162546</v>
      </c>
    </row>
    <row r="3878" spans="1:29" s="4" customFormat="1" ht="44.1" customHeight="1" x14ac:dyDescent="0.2">
      <c r="A3878" s="5">
        <v>0</v>
      </c>
      <c r="B3878" s="6" t="s">
        <v>22585</v>
      </c>
      <c r="C3878" s="7">
        <v>1272</v>
      </c>
      <c r="D3878" s="8" t="s">
        <v>22586</v>
      </c>
      <c r="E3878" s="8" t="s">
        <v>22587</v>
      </c>
      <c r="F3878" s="8" t="s">
        <v>5879</v>
      </c>
      <c r="G3878" s="6" t="s">
        <v>33</v>
      </c>
      <c r="H3878" s="6" t="s">
        <v>34</v>
      </c>
      <c r="I3878" s="8" t="s">
        <v>35</v>
      </c>
      <c r="J3878" s="9">
        <v>1</v>
      </c>
      <c r="K3878" s="9">
        <v>197</v>
      </c>
      <c r="L3878" s="9">
        <v>2026</v>
      </c>
      <c r="M3878" s="8" t="s">
        <v>22588</v>
      </c>
      <c r="N3878" s="8" t="s">
        <v>585</v>
      </c>
      <c r="O3878" s="8" t="s">
        <v>667</v>
      </c>
      <c r="P3878" s="6" t="s">
        <v>39</v>
      </c>
      <c r="Q3878" s="8" t="s">
        <v>40</v>
      </c>
      <c r="R3878" s="10" t="s">
        <v>22589</v>
      </c>
      <c r="S3878" s="11"/>
      <c r="T3878" s="6"/>
      <c r="U3878" s="15" t="str">
        <f>HYPERLINK("https://media.infra-m.ru/2206/2206484/cover/2206484.jpg", "Обложка")</f>
        <v>Обложка</v>
      </c>
      <c r="V3878" s="8" t="s">
        <v>5882</v>
      </c>
      <c r="W3878" s="6"/>
      <c r="X3878" s="6"/>
      <c r="Y3878" s="6"/>
      <c r="Z3878" s="6"/>
      <c r="AA3878" s="6" t="s">
        <v>187</v>
      </c>
      <c r="AB3878" s="8" t="s">
        <v>308</v>
      </c>
      <c r="AC3878" s="27">
        <v>9785160209388</v>
      </c>
    </row>
    <row r="3879" spans="1:29" s="4" customFormat="1" ht="44.1" customHeight="1" x14ac:dyDescent="0.2">
      <c r="A3879" s="5">
        <v>0</v>
      </c>
      <c r="B3879" s="6" t="s">
        <v>22590</v>
      </c>
      <c r="C3879" s="13">
        <v>684</v>
      </c>
      <c r="D3879" s="8" t="s">
        <v>22591</v>
      </c>
      <c r="E3879" s="8" t="s">
        <v>22592</v>
      </c>
      <c r="F3879" s="8" t="s">
        <v>22593</v>
      </c>
      <c r="G3879" s="6" t="s">
        <v>33</v>
      </c>
      <c r="H3879" s="6" t="s">
        <v>34</v>
      </c>
      <c r="I3879" s="8" t="s">
        <v>35</v>
      </c>
      <c r="J3879" s="9">
        <v>1</v>
      </c>
      <c r="K3879" s="9">
        <v>126</v>
      </c>
      <c r="L3879" s="9">
        <v>2023</v>
      </c>
      <c r="M3879" s="8" t="s">
        <v>22594</v>
      </c>
      <c r="N3879" s="8" t="s">
        <v>37</v>
      </c>
      <c r="O3879" s="8" t="s">
        <v>280</v>
      </c>
      <c r="P3879" s="6" t="s">
        <v>39</v>
      </c>
      <c r="Q3879" s="8" t="s">
        <v>40</v>
      </c>
      <c r="R3879" s="10" t="s">
        <v>22595</v>
      </c>
      <c r="S3879" s="11"/>
      <c r="T3879" s="6"/>
      <c r="U3879" s="15" t="str">
        <f>HYPERLINK("https://media.infra-m.ru/1896/1896463/cover/1896463.jpg", "Обложка")</f>
        <v>Обложка</v>
      </c>
      <c r="V3879" s="8" t="s">
        <v>831</v>
      </c>
      <c r="W3879" s="6"/>
      <c r="X3879" s="6"/>
      <c r="Y3879" s="6"/>
      <c r="Z3879" s="6"/>
      <c r="AA3879" s="6" t="s">
        <v>115</v>
      </c>
      <c r="AB3879" s="8"/>
      <c r="AC3879" s="27">
        <v>9785160148328</v>
      </c>
    </row>
    <row r="3880" spans="1:29" s="4" customFormat="1" ht="51.9" customHeight="1" x14ac:dyDescent="0.2">
      <c r="A3880" s="5">
        <v>0</v>
      </c>
      <c r="B3880" s="6" t="s">
        <v>22596</v>
      </c>
      <c r="C3880" s="7">
        <v>1144.8</v>
      </c>
      <c r="D3880" s="8" t="s">
        <v>22597</v>
      </c>
      <c r="E3880" s="8" t="s">
        <v>22598</v>
      </c>
      <c r="F3880" s="8" t="s">
        <v>22599</v>
      </c>
      <c r="G3880" s="6" t="s">
        <v>33</v>
      </c>
      <c r="H3880" s="6" t="s">
        <v>48</v>
      </c>
      <c r="I3880" s="8" t="s">
        <v>271</v>
      </c>
      <c r="J3880" s="9">
        <v>1</v>
      </c>
      <c r="K3880" s="9">
        <v>208</v>
      </c>
      <c r="L3880" s="9">
        <v>2024</v>
      </c>
      <c r="M3880" s="8" t="s">
        <v>22600</v>
      </c>
      <c r="N3880" s="8" t="s">
        <v>243</v>
      </c>
      <c r="O3880" s="8" t="s">
        <v>758</v>
      </c>
      <c r="P3880" s="6" t="s">
        <v>306</v>
      </c>
      <c r="Q3880" s="8" t="s">
        <v>52</v>
      </c>
      <c r="R3880" s="10" t="s">
        <v>17217</v>
      </c>
      <c r="S3880" s="11" t="s">
        <v>22601</v>
      </c>
      <c r="T3880" s="6"/>
      <c r="U3880" s="15" t="str">
        <f>HYPERLINK("https://media.infra-m.ru/2094/2094515/cover/2094515.jpg", "Обложка")</f>
        <v>Обложка</v>
      </c>
      <c r="V3880" s="8" t="s">
        <v>21849</v>
      </c>
      <c r="W3880" s="6"/>
      <c r="X3880" s="6"/>
      <c r="Y3880" s="6"/>
      <c r="Z3880" s="6"/>
      <c r="AA3880" s="6" t="s">
        <v>55</v>
      </c>
      <c r="AB3880" s="8"/>
      <c r="AC3880" s="27">
        <v>9785911347321</v>
      </c>
    </row>
    <row r="3881" spans="1:29" s="4" customFormat="1" ht="51.9" customHeight="1" x14ac:dyDescent="0.2">
      <c r="A3881" s="5">
        <v>0</v>
      </c>
      <c r="B3881" s="6" t="s">
        <v>22602</v>
      </c>
      <c r="C3881" s="7">
        <v>2340</v>
      </c>
      <c r="D3881" s="8" t="s">
        <v>22603</v>
      </c>
      <c r="E3881" s="8" t="s">
        <v>22604</v>
      </c>
      <c r="F3881" s="8" t="s">
        <v>22605</v>
      </c>
      <c r="G3881" s="6" t="s">
        <v>33</v>
      </c>
      <c r="H3881" s="6" t="s">
        <v>313</v>
      </c>
      <c r="I3881" s="8" t="s">
        <v>253</v>
      </c>
      <c r="J3881" s="9">
        <v>1</v>
      </c>
      <c r="K3881" s="9">
        <v>355</v>
      </c>
      <c r="L3881" s="9">
        <v>2026</v>
      </c>
      <c r="M3881" s="8" t="s">
        <v>22606</v>
      </c>
      <c r="N3881" s="8" t="s">
        <v>243</v>
      </c>
      <c r="O3881" s="8" t="s">
        <v>244</v>
      </c>
      <c r="P3881" s="6" t="s">
        <v>51</v>
      </c>
      <c r="Q3881" s="8" t="s">
        <v>52</v>
      </c>
      <c r="R3881" s="10" t="s">
        <v>22607</v>
      </c>
      <c r="S3881" s="11" t="s">
        <v>22608</v>
      </c>
      <c r="T3881" s="6"/>
      <c r="U3881" s="15" t="str">
        <f>HYPERLINK("https://media.infra-m.ru/2237/2237199/cover/2237199.jpg", "Обложка")</f>
        <v>Обложка</v>
      </c>
      <c r="V3881" s="8" t="s">
        <v>644</v>
      </c>
      <c r="W3881" s="6"/>
      <c r="X3881" s="6"/>
      <c r="Y3881" s="6"/>
      <c r="Z3881" s="6"/>
      <c r="AA3881" s="6" t="s">
        <v>2182</v>
      </c>
      <c r="AB3881" s="8"/>
      <c r="AC3881" s="27">
        <v>9785369019696</v>
      </c>
    </row>
    <row r="3882" spans="1:29" s="4" customFormat="1" ht="51.9" customHeight="1" x14ac:dyDescent="0.2">
      <c r="A3882" s="5">
        <v>0</v>
      </c>
      <c r="B3882" s="6" t="s">
        <v>22609</v>
      </c>
      <c r="C3882" s="7">
        <v>1740</v>
      </c>
      <c r="D3882" s="8" t="s">
        <v>22610</v>
      </c>
      <c r="E3882" s="8" t="s">
        <v>22611</v>
      </c>
      <c r="F3882" s="8" t="s">
        <v>22605</v>
      </c>
      <c r="G3882" s="6" t="s">
        <v>33</v>
      </c>
      <c r="H3882" s="6" t="s">
        <v>313</v>
      </c>
      <c r="I3882" s="8" t="s">
        <v>253</v>
      </c>
      <c r="J3882" s="9">
        <v>1</v>
      </c>
      <c r="K3882" s="9">
        <v>320</v>
      </c>
      <c r="L3882" s="9">
        <v>2023</v>
      </c>
      <c r="M3882" s="8" t="s">
        <v>22612</v>
      </c>
      <c r="N3882" s="8" t="s">
        <v>243</v>
      </c>
      <c r="O3882" s="8" t="s">
        <v>244</v>
      </c>
      <c r="P3882" s="6" t="s">
        <v>51</v>
      </c>
      <c r="Q3882" s="8" t="s">
        <v>52</v>
      </c>
      <c r="R3882" s="10" t="s">
        <v>22607</v>
      </c>
      <c r="S3882" s="11" t="s">
        <v>22608</v>
      </c>
      <c r="T3882" s="6" t="s">
        <v>97</v>
      </c>
      <c r="U3882" s="15" t="str">
        <f>HYPERLINK("https://media.infra-m.ru/2038/2038247/cover/2038247.jpg", "Обложка")</f>
        <v>Обложка</v>
      </c>
      <c r="V3882" s="8" t="s">
        <v>644</v>
      </c>
      <c r="W3882" s="6"/>
      <c r="X3882" s="6"/>
      <c r="Y3882" s="6"/>
      <c r="Z3882" s="6"/>
      <c r="AA3882" s="6" t="s">
        <v>1389</v>
      </c>
      <c r="AB3882" s="8"/>
      <c r="AC3882" s="27">
        <v>9785369018484</v>
      </c>
    </row>
    <row r="3883" spans="1:29" s="4" customFormat="1" ht="51.9" customHeight="1" x14ac:dyDescent="0.2">
      <c r="A3883" s="5">
        <v>0</v>
      </c>
      <c r="B3883" s="6" t="s">
        <v>22613</v>
      </c>
      <c r="C3883" s="7">
        <v>1780.8</v>
      </c>
      <c r="D3883" s="8" t="s">
        <v>22614</v>
      </c>
      <c r="E3883" s="8" t="s">
        <v>22615</v>
      </c>
      <c r="F3883" s="8" t="s">
        <v>22616</v>
      </c>
      <c r="G3883" s="6" t="s">
        <v>118</v>
      </c>
      <c r="H3883" s="6" t="s">
        <v>34</v>
      </c>
      <c r="I3883" s="8" t="s">
        <v>271</v>
      </c>
      <c r="J3883" s="9">
        <v>1</v>
      </c>
      <c r="K3883" s="9">
        <v>256</v>
      </c>
      <c r="L3883" s="9">
        <v>2027</v>
      </c>
      <c r="M3883" s="8" t="s">
        <v>22617</v>
      </c>
      <c r="N3883" s="8" t="s">
        <v>243</v>
      </c>
      <c r="O3883" s="8" t="s">
        <v>244</v>
      </c>
      <c r="P3883" s="6" t="s">
        <v>51</v>
      </c>
      <c r="Q3883" s="8" t="s">
        <v>52</v>
      </c>
      <c r="R3883" s="10" t="s">
        <v>902</v>
      </c>
      <c r="S3883" s="11" t="s">
        <v>22618</v>
      </c>
      <c r="T3883" s="6" t="s">
        <v>97</v>
      </c>
      <c r="U3883" s="15" t="str">
        <f>HYPERLINK("https://media.infra-m.ru/2138/2138834/cover/2138834.jpg", "Обложка")</f>
        <v>Обложка</v>
      </c>
      <c r="V3883" s="8" t="s">
        <v>1157</v>
      </c>
      <c r="W3883" s="6"/>
      <c r="X3883" s="6"/>
      <c r="Y3883" s="6"/>
      <c r="Z3883" s="6"/>
      <c r="AA3883" s="6" t="s">
        <v>779</v>
      </c>
      <c r="AB3883" s="8"/>
      <c r="AC3883" s="27">
        <v>9785160194226</v>
      </c>
    </row>
    <row r="3884" spans="1:29" s="4" customFormat="1" ht="51.9" customHeight="1" x14ac:dyDescent="0.2">
      <c r="A3884" s="5">
        <v>0</v>
      </c>
      <c r="B3884" s="6" t="s">
        <v>22619</v>
      </c>
      <c r="C3884" s="13">
        <v>948</v>
      </c>
      <c r="D3884" s="8" t="s">
        <v>22620</v>
      </c>
      <c r="E3884" s="8" t="s">
        <v>22621</v>
      </c>
      <c r="F3884" s="8" t="s">
        <v>22622</v>
      </c>
      <c r="G3884" s="6" t="s">
        <v>33</v>
      </c>
      <c r="H3884" s="6" t="s">
        <v>313</v>
      </c>
      <c r="I3884" s="8" t="s">
        <v>253</v>
      </c>
      <c r="J3884" s="9">
        <v>1</v>
      </c>
      <c r="K3884" s="9">
        <v>224</v>
      </c>
      <c r="L3884" s="9">
        <v>2019</v>
      </c>
      <c r="M3884" s="8" t="s">
        <v>22623</v>
      </c>
      <c r="N3884" s="8" t="s">
        <v>243</v>
      </c>
      <c r="O3884" s="8" t="s">
        <v>244</v>
      </c>
      <c r="P3884" s="6" t="s">
        <v>51</v>
      </c>
      <c r="Q3884" s="8" t="s">
        <v>52</v>
      </c>
      <c r="R3884" s="10" t="s">
        <v>22607</v>
      </c>
      <c r="S3884" s="11" t="s">
        <v>22608</v>
      </c>
      <c r="T3884" s="6" t="s">
        <v>97</v>
      </c>
      <c r="U3884" s="15" t="str">
        <f>HYPERLINK("https://media.infra-m.ru/0982/0982197/cover/982197.jpg", "Обложка")</f>
        <v>Обложка</v>
      </c>
      <c r="V3884" s="8" t="s">
        <v>644</v>
      </c>
      <c r="W3884" s="6"/>
      <c r="X3884" s="6"/>
      <c r="Y3884" s="6"/>
      <c r="Z3884" s="6"/>
      <c r="AA3884" s="6" t="s">
        <v>360</v>
      </c>
      <c r="AB3884" s="8"/>
      <c r="AC3884" s="27">
        <v>9785369015599</v>
      </c>
    </row>
    <row r="3885" spans="1:29" s="4" customFormat="1" ht="51.9" customHeight="1" x14ac:dyDescent="0.2">
      <c r="A3885" s="5">
        <v>0</v>
      </c>
      <c r="B3885" s="6" t="s">
        <v>22624</v>
      </c>
      <c r="C3885" s="7">
        <v>2764.8</v>
      </c>
      <c r="D3885" s="8" t="s">
        <v>22625</v>
      </c>
      <c r="E3885" s="8" t="s">
        <v>22626</v>
      </c>
      <c r="F3885" s="8" t="s">
        <v>22627</v>
      </c>
      <c r="G3885" s="6" t="s">
        <v>60</v>
      </c>
      <c r="H3885" s="6" t="s">
        <v>313</v>
      </c>
      <c r="I3885" s="8" t="s">
        <v>253</v>
      </c>
      <c r="J3885" s="9">
        <v>1</v>
      </c>
      <c r="K3885" s="9">
        <v>398</v>
      </c>
      <c r="L3885" s="9">
        <v>2027</v>
      </c>
      <c r="M3885" s="8" t="s">
        <v>22628</v>
      </c>
      <c r="N3885" s="8" t="s">
        <v>243</v>
      </c>
      <c r="O3885" s="8" t="s">
        <v>758</v>
      </c>
      <c r="P3885" s="6" t="s">
        <v>51</v>
      </c>
      <c r="Q3885" s="8" t="s">
        <v>52</v>
      </c>
      <c r="R3885" s="10" t="s">
        <v>22629</v>
      </c>
      <c r="S3885" s="11"/>
      <c r="T3885" s="6"/>
      <c r="U3885" s="15" t="str">
        <f>HYPERLINK("https://media.infra-m.ru/2269/2269981/cover/2269981.jpg", "Обложка")</f>
        <v>Обложка</v>
      </c>
      <c r="V3885" s="8" t="s">
        <v>227</v>
      </c>
      <c r="W3885" s="6"/>
      <c r="X3885" s="6"/>
      <c r="Y3885" s="6"/>
      <c r="Z3885" s="6"/>
      <c r="AA3885" s="6" t="s">
        <v>55</v>
      </c>
      <c r="AB3885" s="8"/>
      <c r="AC3885" s="27">
        <v>9785369011676</v>
      </c>
    </row>
    <row r="3886" spans="1:29" s="4" customFormat="1" ht="51.9" customHeight="1" x14ac:dyDescent="0.2">
      <c r="A3886" s="5">
        <v>0</v>
      </c>
      <c r="B3886" s="6" t="s">
        <v>22630</v>
      </c>
      <c r="C3886" s="7">
        <v>1972.8</v>
      </c>
      <c r="D3886" s="8" t="s">
        <v>22631</v>
      </c>
      <c r="E3886" s="8" t="s">
        <v>22632</v>
      </c>
      <c r="F3886" s="8" t="s">
        <v>22633</v>
      </c>
      <c r="G3886" s="6" t="s">
        <v>118</v>
      </c>
      <c r="H3886" s="6" t="s">
        <v>34</v>
      </c>
      <c r="I3886" s="8" t="s">
        <v>271</v>
      </c>
      <c r="J3886" s="9">
        <v>1</v>
      </c>
      <c r="K3886" s="9">
        <v>216</v>
      </c>
      <c r="L3886" s="9">
        <v>2026</v>
      </c>
      <c r="M3886" s="8" t="s">
        <v>22634</v>
      </c>
      <c r="N3886" s="8" t="s">
        <v>585</v>
      </c>
      <c r="O3886" s="8" t="s">
        <v>667</v>
      </c>
      <c r="P3886" s="6" t="s">
        <v>51</v>
      </c>
      <c r="Q3886" s="8" t="s">
        <v>52</v>
      </c>
      <c r="R3886" s="10" t="s">
        <v>22635</v>
      </c>
      <c r="S3886" s="11" t="s">
        <v>22636</v>
      </c>
      <c r="T3886" s="6"/>
      <c r="U3886" s="15" t="str">
        <f>HYPERLINK("https://media.infra-m.ru/2218/2218053/cover/2218053.jpg", "Обложка")</f>
        <v>Обложка</v>
      </c>
      <c r="V3886" s="8" t="s">
        <v>22637</v>
      </c>
      <c r="W3886" s="6"/>
      <c r="X3886" s="6"/>
      <c r="Y3886" s="6"/>
      <c r="Z3886" s="6"/>
      <c r="AA3886" s="6" t="s">
        <v>148</v>
      </c>
      <c r="AB3886" s="8"/>
      <c r="AC3886" s="27">
        <v>9785160172200</v>
      </c>
    </row>
    <row r="3887" spans="1:29" s="4" customFormat="1" ht="44.1" customHeight="1" x14ac:dyDescent="0.2">
      <c r="A3887" s="5">
        <v>0</v>
      </c>
      <c r="B3887" s="6" t="s">
        <v>22638</v>
      </c>
      <c r="C3887" s="13">
        <v>869.9</v>
      </c>
      <c r="D3887" s="8" t="s">
        <v>22639</v>
      </c>
      <c r="E3887" s="8" t="s">
        <v>22640</v>
      </c>
      <c r="F3887" s="8" t="s">
        <v>8165</v>
      </c>
      <c r="G3887" s="6" t="s">
        <v>60</v>
      </c>
      <c r="H3887" s="6" t="s">
        <v>134</v>
      </c>
      <c r="I3887" s="8" t="s">
        <v>8166</v>
      </c>
      <c r="J3887" s="9">
        <v>1</v>
      </c>
      <c r="K3887" s="9">
        <v>192</v>
      </c>
      <c r="L3887" s="9">
        <v>2022</v>
      </c>
      <c r="M3887" s="8" t="s">
        <v>22641</v>
      </c>
      <c r="N3887" s="8" t="s">
        <v>37</v>
      </c>
      <c r="O3887" s="8" t="s">
        <v>83</v>
      </c>
      <c r="P3887" s="6" t="s">
        <v>51</v>
      </c>
      <c r="Q3887" s="8" t="s">
        <v>52</v>
      </c>
      <c r="R3887" s="10" t="s">
        <v>22642</v>
      </c>
      <c r="S3887" s="11"/>
      <c r="T3887" s="6"/>
      <c r="U3887" s="15" t="str">
        <f>HYPERLINK("https://media.infra-m.ru/1853/1853514/cover/1853514.jpg", "Обложка")</f>
        <v>Обложка</v>
      </c>
      <c r="V3887" s="8" t="s">
        <v>3087</v>
      </c>
      <c r="W3887" s="6"/>
      <c r="X3887" s="6"/>
      <c r="Y3887" s="6"/>
      <c r="Z3887" s="6"/>
      <c r="AA3887" s="6" t="s">
        <v>248</v>
      </c>
      <c r="AB3887" s="8"/>
      <c r="AC3887" s="27">
        <v>9785917685335</v>
      </c>
    </row>
    <row r="3888" spans="1:29" s="4" customFormat="1" ht="51.9" customHeight="1" x14ac:dyDescent="0.2">
      <c r="A3888" s="5">
        <v>0</v>
      </c>
      <c r="B3888" s="6" t="s">
        <v>22643</v>
      </c>
      <c r="C3888" s="7">
        <v>2836.8</v>
      </c>
      <c r="D3888" s="8" t="s">
        <v>22644</v>
      </c>
      <c r="E3888" s="8" t="s">
        <v>22645</v>
      </c>
      <c r="F3888" s="8" t="s">
        <v>22646</v>
      </c>
      <c r="G3888" s="6" t="s">
        <v>60</v>
      </c>
      <c r="H3888" s="6" t="s">
        <v>34</v>
      </c>
      <c r="I3888" s="8" t="s">
        <v>35</v>
      </c>
      <c r="J3888" s="9">
        <v>1</v>
      </c>
      <c r="K3888" s="9">
        <v>430</v>
      </c>
      <c r="L3888" s="9">
        <v>2026</v>
      </c>
      <c r="M3888" s="8" t="s">
        <v>22647</v>
      </c>
      <c r="N3888" s="8" t="s">
        <v>37</v>
      </c>
      <c r="O3888" s="8" t="s">
        <v>280</v>
      </c>
      <c r="P3888" s="6" t="s">
        <v>39</v>
      </c>
      <c r="Q3888" s="8" t="s">
        <v>40</v>
      </c>
      <c r="R3888" s="10" t="s">
        <v>22648</v>
      </c>
      <c r="S3888" s="11"/>
      <c r="T3888" s="6"/>
      <c r="U3888" s="15" t="str">
        <f>HYPERLINK("https://media.infra-m.ru/2234/2234459/cover/2234459.jpg", "Обложка")</f>
        <v>Обложка</v>
      </c>
      <c r="V3888" s="8" t="s">
        <v>644</v>
      </c>
      <c r="W3888" s="6"/>
      <c r="X3888" s="6"/>
      <c r="Y3888" s="6"/>
      <c r="Z3888" s="6"/>
      <c r="AA3888" s="6" t="s">
        <v>561</v>
      </c>
      <c r="AB3888" s="8"/>
      <c r="AC3888" s="27">
        <v>9785160040905</v>
      </c>
    </row>
    <row r="3889" spans="1:29" s="4" customFormat="1" ht="44.1" customHeight="1" x14ac:dyDescent="0.2">
      <c r="A3889" s="5">
        <v>0</v>
      </c>
      <c r="B3889" s="6" t="s">
        <v>22649</v>
      </c>
      <c r="C3889" s="7">
        <v>1428</v>
      </c>
      <c r="D3889" s="8" t="s">
        <v>22650</v>
      </c>
      <c r="E3889" s="8" t="s">
        <v>22651</v>
      </c>
      <c r="F3889" s="8" t="s">
        <v>22652</v>
      </c>
      <c r="G3889" s="6" t="s">
        <v>33</v>
      </c>
      <c r="H3889" s="6" t="s">
        <v>34</v>
      </c>
      <c r="I3889" s="8" t="s">
        <v>35</v>
      </c>
      <c r="J3889" s="9">
        <v>1</v>
      </c>
      <c r="K3889" s="9">
        <v>202</v>
      </c>
      <c r="L3889" s="9">
        <v>2024</v>
      </c>
      <c r="M3889" s="8" t="s">
        <v>22653</v>
      </c>
      <c r="N3889" s="8" t="s">
        <v>243</v>
      </c>
      <c r="O3889" s="8" t="s">
        <v>758</v>
      </c>
      <c r="P3889" s="6" t="s">
        <v>39</v>
      </c>
      <c r="Q3889" s="8" t="s">
        <v>40</v>
      </c>
      <c r="R3889" s="10" t="s">
        <v>22654</v>
      </c>
      <c r="S3889" s="11"/>
      <c r="T3889" s="6"/>
      <c r="U3889" s="15" t="str">
        <f>HYPERLINK("https://media.infra-m.ru/2083/2083543/cover/2083543.jpg", "Обложка")</f>
        <v>Обложка</v>
      </c>
      <c r="V3889" s="8" t="s">
        <v>761</v>
      </c>
      <c r="W3889" s="6"/>
      <c r="X3889" s="6"/>
      <c r="Y3889" s="6"/>
      <c r="Z3889" s="6"/>
      <c r="AA3889" s="6" t="s">
        <v>76</v>
      </c>
      <c r="AB3889" s="8"/>
      <c r="AC3889" s="27">
        <v>9785160190334</v>
      </c>
    </row>
    <row r="3890" spans="1:29" s="4" customFormat="1" ht="51.9" customHeight="1" x14ac:dyDescent="0.2">
      <c r="A3890" s="5">
        <v>0</v>
      </c>
      <c r="B3890" s="6" t="s">
        <v>22655</v>
      </c>
      <c r="C3890" s="7">
        <v>1864.8</v>
      </c>
      <c r="D3890" s="8" t="s">
        <v>22656</v>
      </c>
      <c r="E3890" s="8" t="s">
        <v>22657</v>
      </c>
      <c r="F3890" s="8" t="s">
        <v>22658</v>
      </c>
      <c r="G3890" s="6" t="s">
        <v>60</v>
      </c>
      <c r="H3890" s="6" t="s">
        <v>34</v>
      </c>
      <c r="I3890" s="8" t="s">
        <v>35</v>
      </c>
      <c r="J3890" s="9">
        <v>1</v>
      </c>
      <c r="K3890" s="9">
        <v>299</v>
      </c>
      <c r="L3890" s="9">
        <v>2025</v>
      </c>
      <c r="M3890" s="8" t="s">
        <v>22659</v>
      </c>
      <c r="N3890" s="8" t="s">
        <v>37</v>
      </c>
      <c r="O3890" s="8" t="s">
        <v>280</v>
      </c>
      <c r="P3890" s="6" t="s">
        <v>39</v>
      </c>
      <c r="Q3890" s="8" t="s">
        <v>40</v>
      </c>
      <c r="R3890" s="10" t="s">
        <v>22660</v>
      </c>
      <c r="S3890" s="11"/>
      <c r="T3890" s="6"/>
      <c r="U3890" s="15" t="str">
        <f>HYPERLINK("https://media.infra-m.ru/2196/2196086/cover/2196086.jpg", "Обложка")</f>
        <v>Обложка</v>
      </c>
      <c r="V3890" s="8" t="s">
        <v>22661</v>
      </c>
      <c r="W3890" s="6"/>
      <c r="X3890" s="6"/>
      <c r="Y3890" s="6"/>
      <c r="Z3890" s="6"/>
      <c r="AA3890" s="6" t="s">
        <v>274</v>
      </c>
      <c r="AB3890" s="8"/>
      <c r="AC3890" s="27">
        <v>9785160102696</v>
      </c>
    </row>
    <row r="3891" spans="1:29" s="4" customFormat="1" ht="51.9" customHeight="1" x14ac:dyDescent="0.2">
      <c r="A3891" s="5">
        <v>0</v>
      </c>
      <c r="B3891" s="6" t="s">
        <v>22662</v>
      </c>
      <c r="C3891" s="7">
        <v>1116</v>
      </c>
      <c r="D3891" s="8" t="s">
        <v>22663</v>
      </c>
      <c r="E3891" s="8" t="s">
        <v>22664</v>
      </c>
      <c r="F3891" s="8" t="s">
        <v>4432</v>
      </c>
      <c r="G3891" s="6" t="s">
        <v>118</v>
      </c>
      <c r="H3891" s="6" t="s">
        <v>34</v>
      </c>
      <c r="I3891" s="8" t="s">
        <v>253</v>
      </c>
      <c r="J3891" s="9">
        <v>1</v>
      </c>
      <c r="K3891" s="9">
        <v>197</v>
      </c>
      <c r="L3891" s="9">
        <v>2024</v>
      </c>
      <c r="M3891" s="8" t="s">
        <v>22665</v>
      </c>
      <c r="N3891" s="8" t="s">
        <v>243</v>
      </c>
      <c r="O3891" s="8" t="s">
        <v>244</v>
      </c>
      <c r="P3891" s="6" t="s">
        <v>51</v>
      </c>
      <c r="Q3891" s="8" t="s">
        <v>52</v>
      </c>
      <c r="R3891" s="10" t="s">
        <v>357</v>
      </c>
      <c r="S3891" s="11" t="s">
        <v>21515</v>
      </c>
      <c r="T3891" s="6"/>
      <c r="U3891" s="15" t="str">
        <f>HYPERLINK("https://media.infra-m.ru/2147/2147812/cover/2147812.jpg", "Обложка")</f>
        <v>Обложка</v>
      </c>
      <c r="V3891" s="8" t="s">
        <v>247</v>
      </c>
      <c r="W3891" s="6"/>
      <c r="X3891" s="6"/>
      <c r="Y3891" s="6"/>
      <c r="Z3891" s="6"/>
      <c r="AA3891" s="6" t="s">
        <v>86</v>
      </c>
      <c r="AB3891" s="8"/>
      <c r="AC3891" s="27">
        <v>9785160199542</v>
      </c>
    </row>
    <row r="3892" spans="1:29" s="4" customFormat="1" ht="51.9" customHeight="1" x14ac:dyDescent="0.2">
      <c r="A3892" s="5">
        <v>0</v>
      </c>
      <c r="B3892" s="6" t="s">
        <v>22666</v>
      </c>
      <c r="C3892" s="13">
        <v>784.8</v>
      </c>
      <c r="D3892" s="8" t="s">
        <v>22667</v>
      </c>
      <c r="E3892" s="8" t="s">
        <v>22668</v>
      </c>
      <c r="F3892" s="8" t="s">
        <v>22669</v>
      </c>
      <c r="G3892" s="6" t="s">
        <v>33</v>
      </c>
      <c r="H3892" s="6" t="s">
        <v>313</v>
      </c>
      <c r="I3892" s="8" t="s">
        <v>253</v>
      </c>
      <c r="J3892" s="9">
        <v>1</v>
      </c>
      <c r="K3892" s="9">
        <v>142</v>
      </c>
      <c r="L3892" s="9">
        <v>2024</v>
      </c>
      <c r="M3892" s="8" t="s">
        <v>22670</v>
      </c>
      <c r="N3892" s="8" t="s">
        <v>243</v>
      </c>
      <c r="O3892" s="8" t="s">
        <v>758</v>
      </c>
      <c r="P3892" s="6" t="s">
        <v>51</v>
      </c>
      <c r="Q3892" s="8" t="s">
        <v>52</v>
      </c>
      <c r="R3892" s="10" t="s">
        <v>22671</v>
      </c>
      <c r="S3892" s="11" t="s">
        <v>22672</v>
      </c>
      <c r="T3892" s="6"/>
      <c r="U3892" s="15" t="str">
        <f>HYPERLINK("https://media.infra-m.ru/1981/1981694/cover/1981694.jpg", "Обложка")</f>
        <v>Обложка</v>
      </c>
      <c r="V3892" s="8" t="s">
        <v>12649</v>
      </c>
      <c r="W3892" s="6"/>
      <c r="X3892" s="6"/>
      <c r="Y3892" s="6"/>
      <c r="Z3892" s="6"/>
      <c r="AA3892" s="6" t="s">
        <v>859</v>
      </c>
      <c r="AB3892" s="8"/>
      <c r="AC3892" s="27">
        <v>9785369011942</v>
      </c>
    </row>
    <row r="3893" spans="1:29" s="4" customFormat="1" ht="51.9" customHeight="1" x14ac:dyDescent="0.2">
      <c r="A3893" s="5">
        <v>0</v>
      </c>
      <c r="B3893" s="6" t="s">
        <v>22673</v>
      </c>
      <c r="C3893" s="7">
        <v>1728</v>
      </c>
      <c r="D3893" s="8" t="s">
        <v>22674</v>
      </c>
      <c r="E3893" s="8" t="s">
        <v>22675</v>
      </c>
      <c r="F3893" s="8" t="s">
        <v>22676</v>
      </c>
      <c r="G3893" s="6" t="s">
        <v>118</v>
      </c>
      <c r="H3893" s="6" t="s">
        <v>34</v>
      </c>
      <c r="I3893" s="8" t="s">
        <v>253</v>
      </c>
      <c r="J3893" s="9">
        <v>1</v>
      </c>
      <c r="K3893" s="9">
        <v>260</v>
      </c>
      <c r="L3893" s="9">
        <v>2026</v>
      </c>
      <c r="M3893" s="8" t="s">
        <v>22677</v>
      </c>
      <c r="N3893" s="8" t="s">
        <v>243</v>
      </c>
      <c r="O3893" s="8" t="s">
        <v>758</v>
      </c>
      <c r="P3893" s="6" t="s">
        <v>306</v>
      </c>
      <c r="Q3893" s="8" t="s">
        <v>52</v>
      </c>
      <c r="R3893" s="10" t="s">
        <v>22678</v>
      </c>
      <c r="S3893" s="11" t="s">
        <v>22679</v>
      </c>
      <c r="T3893" s="6" t="s">
        <v>97</v>
      </c>
      <c r="U3893" s="15" t="str">
        <f>HYPERLINK("https://media.infra-m.ru/2238/2238252/cover/2238252.jpg", "Обложка")</f>
        <v>Обложка</v>
      </c>
      <c r="V3893" s="8" t="s">
        <v>831</v>
      </c>
      <c r="W3893" s="6"/>
      <c r="X3893" s="6"/>
      <c r="Y3893" s="6"/>
      <c r="Z3893" s="6"/>
      <c r="AA3893" s="6" t="s">
        <v>258</v>
      </c>
      <c r="AB3893" s="8"/>
      <c r="AC3893" s="27">
        <v>9785160222097</v>
      </c>
    </row>
    <row r="3894" spans="1:29" s="4" customFormat="1" ht="51.9" customHeight="1" x14ac:dyDescent="0.2">
      <c r="A3894" s="5">
        <v>0</v>
      </c>
      <c r="B3894" s="6" t="s">
        <v>22680</v>
      </c>
      <c r="C3894" s="13">
        <v>984</v>
      </c>
      <c r="D3894" s="8" t="s">
        <v>22681</v>
      </c>
      <c r="E3894" s="8" t="s">
        <v>22682</v>
      </c>
      <c r="F3894" s="8" t="s">
        <v>22676</v>
      </c>
      <c r="G3894" s="6" t="s">
        <v>118</v>
      </c>
      <c r="H3894" s="6" t="s">
        <v>34</v>
      </c>
      <c r="I3894" s="8" t="s">
        <v>271</v>
      </c>
      <c r="J3894" s="9">
        <v>1</v>
      </c>
      <c r="K3894" s="9">
        <v>255</v>
      </c>
      <c r="L3894" s="9">
        <v>2019</v>
      </c>
      <c r="M3894" s="8" t="s">
        <v>22683</v>
      </c>
      <c r="N3894" s="8" t="s">
        <v>243</v>
      </c>
      <c r="O3894" s="8" t="s">
        <v>758</v>
      </c>
      <c r="P3894" s="6" t="s">
        <v>306</v>
      </c>
      <c r="Q3894" s="8" t="s">
        <v>52</v>
      </c>
      <c r="R3894" s="10" t="s">
        <v>22678</v>
      </c>
      <c r="S3894" s="11" t="s">
        <v>22684</v>
      </c>
      <c r="T3894" s="6" t="s">
        <v>97</v>
      </c>
      <c r="U3894" s="15" t="str">
        <f>HYPERLINK("https://media.infra-m.ru/0989/0989195/cover/989195.jpg", "Обложка")</f>
        <v>Обложка</v>
      </c>
      <c r="V3894" s="8" t="s">
        <v>831</v>
      </c>
      <c r="W3894" s="6"/>
      <c r="X3894" s="6"/>
      <c r="Y3894" s="6"/>
      <c r="Z3894" s="6"/>
      <c r="AA3894" s="6" t="s">
        <v>779</v>
      </c>
      <c r="AB3894" s="8"/>
      <c r="AC3894" s="27">
        <v>9785160110301</v>
      </c>
    </row>
    <row r="3895" spans="1:29" s="4" customFormat="1" ht="42" customHeight="1" x14ac:dyDescent="0.2">
      <c r="A3895" s="5">
        <v>0</v>
      </c>
      <c r="B3895" s="6" t="s">
        <v>22685</v>
      </c>
      <c r="C3895" s="13">
        <v>773.9</v>
      </c>
      <c r="D3895" s="8" t="s">
        <v>22686</v>
      </c>
      <c r="E3895" s="8" t="s">
        <v>22687</v>
      </c>
      <c r="F3895" s="8" t="s">
        <v>22688</v>
      </c>
      <c r="G3895" s="6" t="s">
        <v>60</v>
      </c>
      <c r="H3895" s="6" t="s">
        <v>34</v>
      </c>
      <c r="I3895" s="8" t="s">
        <v>35</v>
      </c>
      <c r="J3895" s="9">
        <v>1</v>
      </c>
      <c r="K3895" s="9">
        <v>185</v>
      </c>
      <c r="L3895" s="9">
        <v>2020</v>
      </c>
      <c r="M3895" s="8" t="s">
        <v>22689</v>
      </c>
      <c r="N3895" s="8" t="s">
        <v>585</v>
      </c>
      <c r="O3895" s="8" t="s">
        <v>775</v>
      </c>
      <c r="P3895" s="6" t="s">
        <v>39</v>
      </c>
      <c r="Q3895" s="8" t="s">
        <v>40</v>
      </c>
      <c r="R3895" s="10" t="s">
        <v>22690</v>
      </c>
      <c r="S3895" s="11"/>
      <c r="T3895" s="6"/>
      <c r="U3895" s="15" t="str">
        <f>HYPERLINK("https://media.infra-m.ru/1047/1047186/cover/1047186.jpg", "Обложка")</f>
        <v>Обложка</v>
      </c>
      <c r="V3895" s="8" t="s">
        <v>22691</v>
      </c>
      <c r="W3895" s="6"/>
      <c r="X3895" s="6"/>
      <c r="Y3895" s="6"/>
      <c r="Z3895" s="6"/>
      <c r="AA3895" s="6" t="s">
        <v>99</v>
      </c>
      <c r="AB3895" s="8"/>
      <c r="AC3895" s="27">
        <v>9785160122663</v>
      </c>
    </row>
    <row r="3896" spans="1:29" s="4" customFormat="1" ht="42" customHeight="1" x14ac:dyDescent="0.2">
      <c r="A3896" s="5">
        <v>0</v>
      </c>
      <c r="B3896" s="6" t="s">
        <v>22692</v>
      </c>
      <c r="C3896" s="7">
        <v>1068</v>
      </c>
      <c r="D3896" s="8" t="s">
        <v>22693</v>
      </c>
      <c r="E3896" s="8" t="s">
        <v>22687</v>
      </c>
      <c r="F3896" s="8" t="s">
        <v>22688</v>
      </c>
      <c r="G3896" s="6" t="s">
        <v>33</v>
      </c>
      <c r="H3896" s="6" t="s">
        <v>34</v>
      </c>
      <c r="I3896" s="8" t="s">
        <v>35</v>
      </c>
      <c r="J3896" s="9">
        <v>1</v>
      </c>
      <c r="K3896" s="9">
        <v>185</v>
      </c>
      <c r="L3896" s="9">
        <v>2023</v>
      </c>
      <c r="M3896" s="8" t="s">
        <v>22694</v>
      </c>
      <c r="N3896" s="8" t="s">
        <v>585</v>
      </c>
      <c r="O3896" s="8" t="s">
        <v>775</v>
      </c>
      <c r="P3896" s="6" t="s">
        <v>39</v>
      </c>
      <c r="Q3896" s="8" t="s">
        <v>40</v>
      </c>
      <c r="R3896" s="10" t="s">
        <v>22690</v>
      </c>
      <c r="S3896" s="11"/>
      <c r="T3896" s="6"/>
      <c r="U3896" s="15" t="str">
        <f>HYPERLINK("https://media.infra-m.ru/2032/2032491/cover/2032491.jpg", "Обложка")</f>
        <v>Обложка</v>
      </c>
      <c r="V3896" s="8" t="s">
        <v>22691</v>
      </c>
      <c r="W3896" s="6"/>
      <c r="X3896" s="6"/>
      <c r="Y3896" s="6"/>
      <c r="Z3896" s="6"/>
      <c r="AA3896" s="6" t="s">
        <v>99</v>
      </c>
      <c r="AB3896" s="8"/>
      <c r="AC3896" s="27">
        <v>9785160186177</v>
      </c>
    </row>
    <row r="3897" spans="1:29" s="4" customFormat="1" ht="51.9" customHeight="1" x14ac:dyDescent="0.2">
      <c r="A3897" s="5">
        <v>0</v>
      </c>
      <c r="B3897" s="6" t="s">
        <v>22695</v>
      </c>
      <c r="C3897" s="7">
        <v>1504.8</v>
      </c>
      <c r="D3897" s="8" t="s">
        <v>22696</v>
      </c>
      <c r="E3897" s="8" t="s">
        <v>22697</v>
      </c>
      <c r="F3897" s="8" t="s">
        <v>22698</v>
      </c>
      <c r="G3897" s="6" t="s">
        <v>60</v>
      </c>
      <c r="H3897" s="6" t="s">
        <v>34</v>
      </c>
      <c r="I3897" s="8" t="s">
        <v>504</v>
      </c>
      <c r="J3897" s="9">
        <v>1</v>
      </c>
      <c r="K3897" s="9">
        <v>272</v>
      </c>
      <c r="L3897" s="9">
        <v>2024</v>
      </c>
      <c r="M3897" s="8" t="s">
        <v>22699</v>
      </c>
      <c r="N3897" s="8" t="s">
        <v>585</v>
      </c>
      <c r="O3897" s="8" t="s">
        <v>667</v>
      </c>
      <c r="P3897" s="6" t="s">
        <v>51</v>
      </c>
      <c r="Q3897" s="8" t="s">
        <v>52</v>
      </c>
      <c r="R3897" s="10" t="s">
        <v>22700</v>
      </c>
      <c r="S3897" s="11" t="s">
        <v>22701</v>
      </c>
      <c r="T3897" s="6"/>
      <c r="U3897" s="15" t="str">
        <f>HYPERLINK("https://media.infra-m.ru/2061/2061317/cover/2061317.jpg", "Обложка")</f>
        <v>Обложка</v>
      </c>
      <c r="V3897" s="8" t="s">
        <v>247</v>
      </c>
      <c r="W3897" s="6"/>
      <c r="X3897" s="6"/>
      <c r="Y3897" s="6"/>
      <c r="Z3897" s="6"/>
      <c r="AA3897" s="6" t="s">
        <v>718</v>
      </c>
      <c r="AB3897" s="8"/>
      <c r="AC3897" s="27">
        <v>9785160065977</v>
      </c>
    </row>
    <row r="3898" spans="1:29" s="4" customFormat="1" ht="51.9" customHeight="1" x14ac:dyDescent="0.2">
      <c r="A3898" s="5">
        <v>0</v>
      </c>
      <c r="B3898" s="6" t="s">
        <v>22702</v>
      </c>
      <c r="C3898" s="7">
        <v>1852.8</v>
      </c>
      <c r="D3898" s="8" t="s">
        <v>22703</v>
      </c>
      <c r="E3898" s="8" t="s">
        <v>22704</v>
      </c>
      <c r="F3898" s="8" t="s">
        <v>22705</v>
      </c>
      <c r="G3898" s="6" t="s">
        <v>60</v>
      </c>
      <c r="H3898" s="6" t="s">
        <v>34</v>
      </c>
      <c r="I3898" s="8" t="s">
        <v>271</v>
      </c>
      <c r="J3898" s="9">
        <v>1</v>
      </c>
      <c r="K3898" s="9">
        <v>336</v>
      </c>
      <c r="L3898" s="9">
        <v>2024</v>
      </c>
      <c r="M3898" s="8" t="s">
        <v>22706</v>
      </c>
      <c r="N3898" s="8" t="s">
        <v>37</v>
      </c>
      <c r="O3898" s="8" t="s">
        <v>233</v>
      </c>
      <c r="P3898" s="6" t="s">
        <v>51</v>
      </c>
      <c r="Q3898" s="8" t="s">
        <v>52</v>
      </c>
      <c r="R3898" s="10" t="s">
        <v>22707</v>
      </c>
      <c r="S3898" s="11" t="s">
        <v>22708</v>
      </c>
      <c r="T3898" s="6"/>
      <c r="U3898" s="15" t="str">
        <f>HYPERLINK("https://media.infra-m.ru/2102/2102174/cover/2102174.jpg", "Обложка")</f>
        <v>Обложка</v>
      </c>
      <c r="V3898" s="8" t="s">
        <v>1116</v>
      </c>
      <c r="W3898" s="6"/>
      <c r="X3898" s="6"/>
      <c r="Y3898" s="6"/>
      <c r="Z3898" s="6"/>
      <c r="AA3898" s="6" t="s">
        <v>55</v>
      </c>
      <c r="AB3898" s="8"/>
      <c r="AC3898" s="27">
        <v>9785160055602</v>
      </c>
    </row>
    <row r="3899" spans="1:29" s="4" customFormat="1" ht="51.9" customHeight="1" x14ac:dyDescent="0.2">
      <c r="A3899" s="5">
        <v>0</v>
      </c>
      <c r="B3899" s="6" t="s">
        <v>22709</v>
      </c>
      <c r="C3899" s="7">
        <v>1564.8</v>
      </c>
      <c r="D3899" s="8" t="s">
        <v>22710</v>
      </c>
      <c r="E3899" s="8" t="s">
        <v>22711</v>
      </c>
      <c r="F3899" s="8" t="s">
        <v>22712</v>
      </c>
      <c r="G3899" s="6" t="s">
        <v>118</v>
      </c>
      <c r="H3899" s="6" t="s">
        <v>34</v>
      </c>
      <c r="I3899" s="8" t="s">
        <v>22713</v>
      </c>
      <c r="J3899" s="9">
        <v>1</v>
      </c>
      <c r="K3899" s="9">
        <v>283</v>
      </c>
      <c r="L3899" s="9">
        <v>2024</v>
      </c>
      <c r="M3899" s="8" t="s">
        <v>22714</v>
      </c>
      <c r="N3899" s="8" t="s">
        <v>37</v>
      </c>
      <c r="O3899" s="8" t="s">
        <v>233</v>
      </c>
      <c r="P3899" s="6" t="s">
        <v>51</v>
      </c>
      <c r="Q3899" s="8" t="s">
        <v>500</v>
      </c>
      <c r="R3899" s="10" t="s">
        <v>22715</v>
      </c>
      <c r="S3899" s="11" t="s">
        <v>22716</v>
      </c>
      <c r="T3899" s="6"/>
      <c r="U3899" s="15" t="str">
        <f>HYPERLINK("https://media.infra-m.ru/2083/2083568/cover/2083568.jpg", "Обложка")</f>
        <v>Обложка</v>
      </c>
      <c r="V3899" s="8" t="s">
        <v>414</v>
      </c>
      <c r="W3899" s="6"/>
      <c r="X3899" s="6"/>
      <c r="Y3899" s="6"/>
      <c r="Z3899" s="6"/>
      <c r="AA3899" s="6" t="s">
        <v>430</v>
      </c>
      <c r="AB3899" s="8"/>
      <c r="AC3899" s="27">
        <v>9785160163147</v>
      </c>
    </row>
    <row r="3900" spans="1:29" s="4" customFormat="1" ht="51.9" customHeight="1" x14ac:dyDescent="0.2">
      <c r="A3900" s="5">
        <v>0</v>
      </c>
      <c r="B3900" s="6" t="s">
        <v>22717</v>
      </c>
      <c r="C3900" s="7">
        <v>1252.8</v>
      </c>
      <c r="D3900" s="8" t="s">
        <v>22718</v>
      </c>
      <c r="E3900" s="8" t="s">
        <v>22719</v>
      </c>
      <c r="F3900" s="8" t="s">
        <v>11430</v>
      </c>
      <c r="G3900" s="6" t="s">
        <v>60</v>
      </c>
      <c r="H3900" s="6" t="s">
        <v>34</v>
      </c>
      <c r="I3900" s="8" t="s">
        <v>504</v>
      </c>
      <c r="J3900" s="9">
        <v>1</v>
      </c>
      <c r="K3900" s="9">
        <v>171</v>
      </c>
      <c r="L3900" s="9">
        <v>2027</v>
      </c>
      <c r="M3900" s="8" t="s">
        <v>22720</v>
      </c>
      <c r="N3900" s="8" t="s">
        <v>37</v>
      </c>
      <c r="O3900" s="8" t="s">
        <v>233</v>
      </c>
      <c r="P3900" s="6" t="s">
        <v>51</v>
      </c>
      <c r="Q3900" s="8" t="s">
        <v>500</v>
      </c>
      <c r="R3900" s="10" t="s">
        <v>22721</v>
      </c>
      <c r="S3900" s="11" t="s">
        <v>22722</v>
      </c>
      <c r="T3900" s="6"/>
      <c r="U3900" s="15" t="str">
        <f>HYPERLINK("https://media.infra-m.ru/2233/2233620/cover/2233620.jpg", "Обложка")</f>
        <v>Обложка</v>
      </c>
      <c r="V3900" s="8" t="s">
        <v>11433</v>
      </c>
      <c r="W3900" s="6"/>
      <c r="X3900" s="6"/>
      <c r="Y3900" s="6"/>
      <c r="Z3900" s="6"/>
      <c r="AA3900" s="6" t="s">
        <v>148</v>
      </c>
      <c r="AB3900" s="8"/>
      <c r="AC3900" s="27">
        <v>9785160173092</v>
      </c>
    </row>
    <row r="3901" spans="1:29" s="4" customFormat="1" ht="51.9" customHeight="1" x14ac:dyDescent="0.2">
      <c r="A3901" s="5">
        <v>0</v>
      </c>
      <c r="B3901" s="6" t="s">
        <v>22723</v>
      </c>
      <c r="C3901" s="13">
        <v>748.8</v>
      </c>
      <c r="D3901" s="8" t="s">
        <v>22724</v>
      </c>
      <c r="E3901" s="8" t="s">
        <v>22725</v>
      </c>
      <c r="F3901" s="8" t="s">
        <v>22726</v>
      </c>
      <c r="G3901" s="6" t="s">
        <v>33</v>
      </c>
      <c r="H3901" s="6" t="s">
        <v>34</v>
      </c>
      <c r="I3901" s="8" t="s">
        <v>271</v>
      </c>
      <c r="J3901" s="9">
        <v>1</v>
      </c>
      <c r="K3901" s="9">
        <v>135</v>
      </c>
      <c r="L3901" s="9">
        <v>2024</v>
      </c>
      <c r="M3901" s="8" t="s">
        <v>22727</v>
      </c>
      <c r="N3901" s="8" t="s">
        <v>243</v>
      </c>
      <c r="O3901" s="8" t="s">
        <v>758</v>
      </c>
      <c r="P3901" s="6" t="s">
        <v>51</v>
      </c>
      <c r="Q3901" s="8" t="s">
        <v>52</v>
      </c>
      <c r="R3901" s="10" t="s">
        <v>13198</v>
      </c>
      <c r="S3901" s="11" t="s">
        <v>22728</v>
      </c>
      <c r="T3901" s="6"/>
      <c r="U3901" s="15" t="str">
        <f>HYPERLINK("https://media.infra-m.ru/2087/2087261/cover/2087261.jpg", "Обложка")</f>
        <v>Обложка</v>
      </c>
      <c r="V3901" s="8" t="s">
        <v>227</v>
      </c>
      <c r="W3901" s="6"/>
      <c r="X3901" s="6"/>
      <c r="Y3901" s="6"/>
      <c r="Z3901" s="6"/>
      <c r="AA3901" s="6" t="s">
        <v>779</v>
      </c>
      <c r="AB3901" s="8"/>
      <c r="AC3901" s="27">
        <v>9785160096506</v>
      </c>
    </row>
    <row r="3902" spans="1:29" s="4" customFormat="1" ht="51.9" customHeight="1" x14ac:dyDescent="0.2">
      <c r="A3902" s="5">
        <v>0</v>
      </c>
      <c r="B3902" s="6" t="s">
        <v>22729</v>
      </c>
      <c r="C3902" s="13">
        <v>900</v>
      </c>
      <c r="D3902" s="8" t="s">
        <v>22730</v>
      </c>
      <c r="E3902" s="8" t="s">
        <v>22731</v>
      </c>
      <c r="F3902" s="8" t="s">
        <v>22732</v>
      </c>
      <c r="G3902" s="6" t="s">
        <v>33</v>
      </c>
      <c r="H3902" s="6" t="s">
        <v>34</v>
      </c>
      <c r="I3902" s="8" t="s">
        <v>304</v>
      </c>
      <c r="J3902" s="9">
        <v>1</v>
      </c>
      <c r="K3902" s="9">
        <v>96</v>
      </c>
      <c r="L3902" s="9">
        <v>2026</v>
      </c>
      <c r="M3902" s="8" t="s">
        <v>22733</v>
      </c>
      <c r="N3902" s="8" t="s">
        <v>243</v>
      </c>
      <c r="O3902" s="8" t="s">
        <v>758</v>
      </c>
      <c r="P3902" s="6" t="s">
        <v>51</v>
      </c>
      <c r="Q3902" s="8" t="s">
        <v>52</v>
      </c>
      <c r="R3902" s="10" t="s">
        <v>22734</v>
      </c>
      <c r="S3902" s="11" t="s">
        <v>22735</v>
      </c>
      <c r="T3902" s="6" t="s">
        <v>97</v>
      </c>
      <c r="U3902" s="15" t="str">
        <f>HYPERLINK("https://media.infra-m.ru/2218/2218634/cover/2218634.jpg", "Обложка")</f>
        <v>Обложка</v>
      </c>
      <c r="V3902" s="8" t="s">
        <v>22736</v>
      </c>
      <c r="W3902" s="6"/>
      <c r="X3902" s="6"/>
      <c r="Y3902" s="6"/>
      <c r="Z3902" s="6"/>
      <c r="AA3902" s="6" t="s">
        <v>779</v>
      </c>
      <c r="AB3902" s="8"/>
      <c r="AC3902" s="27">
        <v>9785160107387</v>
      </c>
    </row>
    <row r="3903" spans="1:29" s="4" customFormat="1" ht="44.1" customHeight="1" x14ac:dyDescent="0.2">
      <c r="A3903" s="5">
        <v>0</v>
      </c>
      <c r="B3903" s="6" t="s">
        <v>22737</v>
      </c>
      <c r="C3903" s="7">
        <v>1080</v>
      </c>
      <c r="D3903" s="8" t="s">
        <v>22738</v>
      </c>
      <c r="E3903" s="8" t="s">
        <v>22739</v>
      </c>
      <c r="F3903" s="8" t="s">
        <v>22740</v>
      </c>
      <c r="G3903" s="6" t="s">
        <v>33</v>
      </c>
      <c r="H3903" s="6" t="s">
        <v>34</v>
      </c>
      <c r="I3903" s="8" t="s">
        <v>35</v>
      </c>
      <c r="J3903" s="9">
        <v>1</v>
      </c>
      <c r="K3903" s="9">
        <v>196</v>
      </c>
      <c r="L3903" s="9">
        <v>2023</v>
      </c>
      <c r="M3903" s="8" t="s">
        <v>22741</v>
      </c>
      <c r="N3903" s="8" t="s">
        <v>37</v>
      </c>
      <c r="O3903" s="8" t="s">
        <v>233</v>
      </c>
      <c r="P3903" s="6" t="s">
        <v>39</v>
      </c>
      <c r="Q3903" s="8" t="s">
        <v>40</v>
      </c>
      <c r="R3903" s="10" t="s">
        <v>22742</v>
      </c>
      <c r="S3903" s="11"/>
      <c r="T3903" s="6"/>
      <c r="U3903" s="15" t="str">
        <f>HYPERLINK("https://media.infra-m.ru/1870/1870591/cover/1870591.jpg", "Обложка")</f>
        <v>Обложка</v>
      </c>
      <c r="V3903" s="8" t="s">
        <v>247</v>
      </c>
      <c r="W3903" s="6"/>
      <c r="X3903" s="6"/>
      <c r="Y3903" s="6"/>
      <c r="Z3903" s="6"/>
      <c r="AA3903" s="6" t="s">
        <v>157</v>
      </c>
      <c r="AB3903" s="8"/>
      <c r="AC3903" s="27">
        <v>9785160177281</v>
      </c>
    </row>
    <row r="3904" spans="1:29" s="4" customFormat="1" ht="51.9" customHeight="1" x14ac:dyDescent="0.2">
      <c r="A3904" s="5">
        <v>0</v>
      </c>
      <c r="B3904" s="6" t="s">
        <v>22743</v>
      </c>
      <c r="C3904" s="7">
        <v>1312.8</v>
      </c>
      <c r="D3904" s="8" t="s">
        <v>22744</v>
      </c>
      <c r="E3904" s="8" t="s">
        <v>22745</v>
      </c>
      <c r="F3904" s="8" t="s">
        <v>3432</v>
      </c>
      <c r="G3904" s="6" t="s">
        <v>60</v>
      </c>
      <c r="H3904" s="6" t="s">
        <v>34</v>
      </c>
      <c r="I3904" s="8" t="s">
        <v>271</v>
      </c>
      <c r="J3904" s="9">
        <v>1</v>
      </c>
      <c r="K3904" s="9">
        <v>188</v>
      </c>
      <c r="L3904" s="9">
        <v>2027</v>
      </c>
      <c r="M3904" s="8" t="s">
        <v>22746</v>
      </c>
      <c r="N3904" s="8" t="s">
        <v>63</v>
      </c>
      <c r="O3904" s="8" t="s">
        <v>181</v>
      </c>
      <c r="P3904" s="6" t="s">
        <v>51</v>
      </c>
      <c r="Q3904" s="8" t="s">
        <v>52</v>
      </c>
      <c r="R3904" s="10" t="s">
        <v>3510</v>
      </c>
      <c r="S3904" s="11" t="s">
        <v>22747</v>
      </c>
      <c r="T3904" s="6"/>
      <c r="U3904" s="15" t="str">
        <f>HYPERLINK("https://media.infra-m.ru/2257/2257937/cover/2257937.jpg", "Обложка")</f>
        <v>Обложка</v>
      </c>
      <c r="V3904" s="8"/>
      <c r="W3904" s="6"/>
      <c r="X3904" s="6"/>
      <c r="Y3904" s="6"/>
      <c r="Z3904" s="6"/>
      <c r="AA3904" s="6" t="s">
        <v>430</v>
      </c>
      <c r="AB3904" s="8" t="s">
        <v>467</v>
      </c>
      <c r="AC3904" s="27">
        <v>9785160146799</v>
      </c>
    </row>
    <row r="3905" spans="1:29" s="4" customFormat="1" ht="51.9" customHeight="1" x14ac:dyDescent="0.2">
      <c r="A3905" s="5">
        <v>0</v>
      </c>
      <c r="B3905" s="6" t="s">
        <v>22748</v>
      </c>
      <c r="C3905" s="7">
        <v>2088</v>
      </c>
      <c r="D3905" s="8" t="s">
        <v>22749</v>
      </c>
      <c r="E3905" s="8" t="s">
        <v>22750</v>
      </c>
      <c r="F3905" s="8" t="s">
        <v>22751</v>
      </c>
      <c r="G3905" s="6" t="s">
        <v>118</v>
      </c>
      <c r="H3905" s="6" t="s">
        <v>34</v>
      </c>
      <c r="I3905" s="8" t="s">
        <v>1074</v>
      </c>
      <c r="J3905" s="9">
        <v>1</v>
      </c>
      <c r="K3905" s="9">
        <v>496</v>
      </c>
      <c r="L3905" s="9">
        <v>2020</v>
      </c>
      <c r="M3905" s="8" t="s">
        <v>22752</v>
      </c>
      <c r="N3905" s="8" t="s">
        <v>37</v>
      </c>
      <c r="O3905" s="8" t="s">
        <v>136</v>
      </c>
      <c r="P3905" s="6" t="s">
        <v>39</v>
      </c>
      <c r="Q3905" s="8" t="s">
        <v>40</v>
      </c>
      <c r="R3905" s="10" t="s">
        <v>22753</v>
      </c>
      <c r="S3905" s="11"/>
      <c r="T3905" s="6"/>
      <c r="U3905" s="15" t="str">
        <f>HYPERLINK("https://media.infra-m.ru/1077/1077360/cover/1077360.jpg", "Обложка")</f>
        <v>Обложка</v>
      </c>
      <c r="V3905" s="8" t="s">
        <v>6147</v>
      </c>
      <c r="W3905" s="6"/>
      <c r="X3905" s="6"/>
      <c r="Y3905" s="6"/>
      <c r="Z3905" s="6"/>
      <c r="AA3905" s="6" t="s">
        <v>86</v>
      </c>
      <c r="AB3905" s="8"/>
      <c r="AC3905" s="27">
        <v>9785160146911</v>
      </c>
    </row>
    <row r="3906" spans="1:29" s="4" customFormat="1" ht="42" customHeight="1" x14ac:dyDescent="0.2">
      <c r="A3906" s="5">
        <v>0</v>
      </c>
      <c r="B3906" s="6" t="s">
        <v>22754</v>
      </c>
      <c r="C3906" s="13">
        <v>744</v>
      </c>
      <c r="D3906" s="8" t="s">
        <v>22755</v>
      </c>
      <c r="E3906" s="8" t="s">
        <v>22756</v>
      </c>
      <c r="F3906" s="8" t="s">
        <v>22757</v>
      </c>
      <c r="G3906" s="6" t="s">
        <v>60</v>
      </c>
      <c r="H3906" s="6" t="s">
        <v>34</v>
      </c>
      <c r="I3906" s="8" t="s">
        <v>1074</v>
      </c>
      <c r="J3906" s="9">
        <v>1</v>
      </c>
      <c r="K3906" s="9">
        <v>152</v>
      </c>
      <c r="L3906" s="9">
        <v>2020</v>
      </c>
      <c r="M3906" s="8" t="s">
        <v>22758</v>
      </c>
      <c r="N3906" s="8" t="s">
        <v>37</v>
      </c>
      <c r="O3906" s="8" t="s">
        <v>136</v>
      </c>
      <c r="P3906" s="6" t="s">
        <v>3141</v>
      </c>
      <c r="Q3906" s="8" t="s">
        <v>40</v>
      </c>
      <c r="R3906" s="10" t="s">
        <v>8485</v>
      </c>
      <c r="S3906" s="11"/>
      <c r="T3906" s="6"/>
      <c r="U3906" s="15" t="str">
        <f>HYPERLINK("https://media.infra-m.ru/1080/1080398/cover/1080398.jpg", "Обложка")</f>
        <v>Обложка</v>
      </c>
      <c r="V3906" s="8" t="s">
        <v>138</v>
      </c>
      <c r="W3906" s="6"/>
      <c r="X3906" s="6"/>
      <c r="Y3906" s="6"/>
      <c r="Z3906" s="6"/>
      <c r="AA3906" s="6" t="s">
        <v>1256</v>
      </c>
      <c r="AB3906" s="8"/>
      <c r="AC3906" s="27">
        <v>9785160160764</v>
      </c>
    </row>
    <row r="3907" spans="1:29" s="4" customFormat="1" ht="44.1" customHeight="1" x14ac:dyDescent="0.2">
      <c r="A3907" s="5">
        <v>0</v>
      </c>
      <c r="B3907" s="6" t="s">
        <v>22759</v>
      </c>
      <c r="C3907" s="7">
        <v>2164.8000000000002</v>
      </c>
      <c r="D3907" s="8" t="s">
        <v>22760</v>
      </c>
      <c r="E3907" s="8" t="s">
        <v>22761</v>
      </c>
      <c r="F3907" s="8" t="s">
        <v>863</v>
      </c>
      <c r="G3907" s="6" t="s">
        <v>60</v>
      </c>
      <c r="H3907" s="6" t="s">
        <v>48</v>
      </c>
      <c r="I3907" s="8" t="s">
        <v>271</v>
      </c>
      <c r="J3907" s="9">
        <v>1</v>
      </c>
      <c r="K3907" s="9">
        <v>384</v>
      </c>
      <c r="L3907" s="9">
        <v>2024</v>
      </c>
      <c r="M3907" s="8" t="s">
        <v>22762</v>
      </c>
      <c r="N3907" s="8" t="s">
        <v>243</v>
      </c>
      <c r="O3907" s="8" t="s">
        <v>758</v>
      </c>
      <c r="P3907" s="6" t="s">
        <v>51</v>
      </c>
      <c r="Q3907" s="8" t="s">
        <v>52</v>
      </c>
      <c r="R3907" s="10" t="s">
        <v>822</v>
      </c>
      <c r="S3907" s="11"/>
      <c r="T3907" s="6"/>
      <c r="U3907" s="15" t="str">
        <f>HYPERLINK("https://media.infra-m.ru/2142/2142820/cover/2142820.jpg", "Обложка")</f>
        <v>Обложка</v>
      </c>
      <c r="V3907" s="8" t="s">
        <v>867</v>
      </c>
      <c r="W3907" s="6"/>
      <c r="X3907" s="6"/>
      <c r="Y3907" s="6"/>
      <c r="Z3907" s="6"/>
      <c r="AA3907" s="6" t="s">
        <v>274</v>
      </c>
      <c r="AB3907" s="8"/>
      <c r="AC3907" s="27">
        <v>9785911349509</v>
      </c>
    </row>
    <row r="3908" spans="1:29" s="4" customFormat="1" ht="42" customHeight="1" x14ac:dyDescent="0.2">
      <c r="A3908" s="5">
        <v>0</v>
      </c>
      <c r="B3908" s="6" t="s">
        <v>22763</v>
      </c>
      <c r="C3908" s="7">
        <v>3592.8</v>
      </c>
      <c r="D3908" s="8" t="s">
        <v>22764</v>
      </c>
      <c r="E3908" s="8" t="s">
        <v>22765</v>
      </c>
      <c r="F3908" s="8" t="s">
        <v>22766</v>
      </c>
      <c r="G3908" s="6" t="s">
        <v>60</v>
      </c>
      <c r="H3908" s="6" t="s">
        <v>34</v>
      </c>
      <c r="I3908" s="8" t="s">
        <v>35</v>
      </c>
      <c r="J3908" s="9">
        <v>1</v>
      </c>
      <c r="K3908" s="9">
        <v>593</v>
      </c>
      <c r="L3908" s="9">
        <v>2026</v>
      </c>
      <c r="M3908" s="8" t="s">
        <v>22767</v>
      </c>
      <c r="N3908" s="8" t="s">
        <v>37</v>
      </c>
      <c r="O3908" s="8" t="s">
        <v>83</v>
      </c>
      <c r="P3908" s="6" t="s">
        <v>39</v>
      </c>
      <c r="Q3908" s="8" t="s">
        <v>40</v>
      </c>
      <c r="R3908" s="10" t="s">
        <v>6480</v>
      </c>
      <c r="S3908" s="11"/>
      <c r="T3908" s="6"/>
      <c r="U3908" s="15" t="str">
        <f>HYPERLINK("https://media.infra-m.ru/2224/2224179/cover/2224179.jpg", "Обложка")</f>
        <v>Обложка</v>
      </c>
      <c r="V3908" s="8" t="s">
        <v>445</v>
      </c>
      <c r="W3908" s="6"/>
      <c r="X3908" s="6"/>
      <c r="Y3908" s="6"/>
      <c r="Z3908" s="6"/>
      <c r="AA3908" s="6" t="s">
        <v>1256</v>
      </c>
      <c r="AB3908" s="8"/>
      <c r="AC3908" s="27">
        <v>9785160158761</v>
      </c>
    </row>
    <row r="3909" spans="1:29" s="4" customFormat="1" ht="51.9" customHeight="1" x14ac:dyDescent="0.2">
      <c r="A3909" s="5">
        <v>0</v>
      </c>
      <c r="B3909" s="6" t="s">
        <v>22768</v>
      </c>
      <c r="C3909" s="7">
        <v>1620</v>
      </c>
      <c r="D3909" s="8" t="s">
        <v>22769</v>
      </c>
      <c r="E3909" s="8" t="s">
        <v>22770</v>
      </c>
      <c r="F3909" s="8" t="s">
        <v>22771</v>
      </c>
      <c r="G3909" s="6" t="s">
        <v>33</v>
      </c>
      <c r="H3909" s="6" t="s">
        <v>313</v>
      </c>
      <c r="I3909" s="8" t="s">
        <v>35</v>
      </c>
      <c r="J3909" s="9">
        <v>1</v>
      </c>
      <c r="K3909" s="9">
        <v>244</v>
      </c>
      <c r="L3909" s="9">
        <v>2022</v>
      </c>
      <c r="M3909" s="8" t="s">
        <v>22772</v>
      </c>
      <c r="N3909" s="8" t="s">
        <v>37</v>
      </c>
      <c r="O3909" s="8" t="s">
        <v>233</v>
      </c>
      <c r="P3909" s="6" t="s">
        <v>39</v>
      </c>
      <c r="Q3909" s="8" t="s">
        <v>40</v>
      </c>
      <c r="R3909" s="10" t="s">
        <v>22773</v>
      </c>
      <c r="S3909" s="11"/>
      <c r="T3909" s="6"/>
      <c r="U3909" s="15" t="str">
        <f>HYPERLINK("https://media.infra-m.ru/2234/2234102/cover/2234102.jpg", "Обложка")</f>
        <v>Обложка</v>
      </c>
      <c r="V3909" s="8" t="s">
        <v>2055</v>
      </c>
      <c r="W3909" s="6"/>
      <c r="X3909" s="6"/>
      <c r="Y3909" s="6"/>
      <c r="Z3909" s="6"/>
      <c r="AA3909" s="6" t="s">
        <v>99</v>
      </c>
      <c r="AB3909" s="8"/>
      <c r="AC3909" s="27">
        <v>9785369016541</v>
      </c>
    </row>
    <row r="3910" spans="1:29" s="4" customFormat="1" ht="42" customHeight="1" x14ac:dyDescent="0.2">
      <c r="A3910" s="5">
        <v>0</v>
      </c>
      <c r="B3910" s="6" t="s">
        <v>22774</v>
      </c>
      <c r="C3910" s="7">
        <v>1056</v>
      </c>
      <c r="D3910" s="8" t="s">
        <v>22775</v>
      </c>
      <c r="E3910" s="8" t="s">
        <v>22776</v>
      </c>
      <c r="F3910" s="8" t="s">
        <v>22777</v>
      </c>
      <c r="G3910" s="6" t="s">
        <v>118</v>
      </c>
      <c r="H3910" s="6" t="s">
        <v>134</v>
      </c>
      <c r="I3910" s="8"/>
      <c r="J3910" s="9">
        <v>1</v>
      </c>
      <c r="K3910" s="9">
        <v>176</v>
      </c>
      <c r="L3910" s="9">
        <v>2025</v>
      </c>
      <c r="M3910" s="8" t="s">
        <v>22778</v>
      </c>
      <c r="N3910" s="8" t="s">
        <v>37</v>
      </c>
      <c r="O3910" s="8" t="s">
        <v>136</v>
      </c>
      <c r="P3910" s="6" t="s">
        <v>39</v>
      </c>
      <c r="Q3910" s="8" t="s">
        <v>40</v>
      </c>
      <c r="R3910" s="10" t="s">
        <v>1255</v>
      </c>
      <c r="S3910" s="11"/>
      <c r="T3910" s="6"/>
      <c r="U3910" s="15" t="str">
        <f>HYPERLINK("https://media.infra-m.ru/2188/2188277/cover/2188277.jpg", "Обложка")</f>
        <v>Обложка</v>
      </c>
      <c r="V3910" s="8" t="s">
        <v>1184</v>
      </c>
      <c r="W3910" s="6"/>
      <c r="X3910" s="6"/>
      <c r="Y3910" s="6"/>
      <c r="Z3910" s="6"/>
      <c r="AA3910" s="6" t="s">
        <v>86</v>
      </c>
      <c r="AB3910" s="8"/>
      <c r="AC3910" s="27">
        <v>9785917688923</v>
      </c>
    </row>
    <row r="3911" spans="1:29" s="4" customFormat="1" ht="42" customHeight="1" x14ac:dyDescent="0.2">
      <c r="A3911" s="5">
        <v>0</v>
      </c>
      <c r="B3911" s="6" t="s">
        <v>22779</v>
      </c>
      <c r="C3911" s="13">
        <v>948</v>
      </c>
      <c r="D3911" s="8" t="s">
        <v>22780</v>
      </c>
      <c r="E3911" s="8" t="s">
        <v>22781</v>
      </c>
      <c r="F3911" s="8" t="s">
        <v>22782</v>
      </c>
      <c r="G3911" s="6" t="s">
        <v>60</v>
      </c>
      <c r="H3911" s="6" t="s">
        <v>313</v>
      </c>
      <c r="I3911" s="8"/>
      <c r="J3911" s="9">
        <v>1</v>
      </c>
      <c r="K3911" s="9">
        <v>225</v>
      </c>
      <c r="L3911" s="9">
        <v>2019</v>
      </c>
      <c r="M3911" s="8" t="s">
        <v>22783</v>
      </c>
      <c r="N3911" s="8" t="s">
        <v>585</v>
      </c>
      <c r="O3911" s="8" t="s">
        <v>2472</v>
      </c>
      <c r="P3911" s="6" t="s">
        <v>306</v>
      </c>
      <c r="Q3911" s="8" t="s">
        <v>52</v>
      </c>
      <c r="R3911" s="10" t="s">
        <v>22784</v>
      </c>
      <c r="S3911" s="11"/>
      <c r="T3911" s="6"/>
      <c r="U3911" s="15" t="str">
        <f>HYPERLINK("https://media.infra-m.ru/1019/1019421/cover/1019421.jpg", "Обложка")</f>
        <v>Обложка</v>
      </c>
      <c r="V3911" s="8" t="s">
        <v>5964</v>
      </c>
      <c r="W3911" s="6"/>
      <c r="X3911" s="6"/>
      <c r="Y3911" s="6"/>
      <c r="Z3911" s="6"/>
      <c r="AA3911" s="6" t="s">
        <v>86</v>
      </c>
      <c r="AB3911" s="8"/>
      <c r="AC3911" s="27">
        <v>9785369017319</v>
      </c>
    </row>
    <row r="3912" spans="1:29" s="4" customFormat="1" ht="42" customHeight="1" x14ac:dyDescent="0.2">
      <c r="A3912" s="5">
        <v>0</v>
      </c>
      <c r="B3912" s="6" t="s">
        <v>22785</v>
      </c>
      <c r="C3912" s="7">
        <v>1536</v>
      </c>
      <c r="D3912" s="8" t="s">
        <v>22786</v>
      </c>
      <c r="E3912" s="8" t="s">
        <v>22787</v>
      </c>
      <c r="F3912" s="8" t="s">
        <v>22782</v>
      </c>
      <c r="G3912" s="6" t="s">
        <v>118</v>
      </c>
      <c r="H3912" s="6" t="s">
        <v>313</v>
      </c>
      <c r="I3912" s="8" t="s">
        <v>253</v>
      </c>
      <c r="J3912" s="9">
        <v>1</v>
      </c>
      <c r="K3912" s="9">
        <v>235</v>
      </c>
      <c r="L3912" s="9">
        <v>2026</v>
      </c>
      <c r="M3912" s="8" t="s">
        <v>22788</v>
      </c>
      <c r="N3912" s="8" t="s">
        <v>585</v>
      </c>
      <c r="O3912" s="8" t="s">
        <v>2472</v>
      </c>
      <c r="P3912" s="6" t="s">
        <v>306</v>
      </c>
      <c r="Q3912" s="8" t="s">
        <v>52</v>
      </c>
      <c r="R3912" s="10" t="s">
        <v>22784</v>
      </c>
      <c r="S3912" s="11"/>
      <c r="T3912" s="6"/>
      <c r="U3912" s="15" t="str">
        <f>HYPERLINK("https://media.infra-m.ru/2199/2199640/cover/2199640.jpg", "Обложка")</f>
        <v>Обложка</v>
      </c>
      <c r="V3912" s="8" t="s">
        <v>5964</v>
      </c>
      <c r="W3912" s="6"/>
      <c r="X3912" s="6"/>
      <c r="Y3912" s="6"/>
      <c r="Z3912" s="6"/>
      <c r="AA3912" s="6" t="s">
        <v>258</v>
      </c>
      <c r="AB3912" s="8"/>
      <c r="AC3912" s="27">
        <v>9785369018576</v>
      </c>
    </row>
    <row r="3913" spans="1:29" s="4" customFormat="1" ht="51.9" customHeight="1" x14ac:dyDescent="0.2">
      <c r="A3913" s="5">
        <v>0</v>
      </c>
      <c r="B3913" s="6" t="s">
        <v>22789</v>
      </c>
      <c r="C3913" s="13">
        <v>984</v>
      </c>
      <c r="D3913" s="8" t="s">
        <v>22790</v>
      </c>
      <c r="E3913" s="8" t="s">
        <v>22791</v>
      </c>
      <c r="F3913" s="8" t="s">
        <v>22792</v>
      </c>
      <c r="G3913" s="6" t="s">
        <v>33</v>
      </c>
      <c r="H3913" s="6" t="s">
        <v>34</v>
      </c>
      <c r="I3913" s="8" t="s">
        <v>214</v>
      </c>
      <c r="J3913" s="9">
        <v>1</v>
      </c>
      <c r="K3913" s="9">
        <v>140</v>
      </c>
      <c r="L3913" s="9">
        <v>2027</v>
      </c>
      <c r="M3913" s="8" t="s">
        <v>22793</v>
      </c>
      <c r="N3913" s="8" t="s">
        <v>585</v>
      </c>
      <c r="O3913" s="8" t="s">
        <v>2472</v>
      </c>
      <c r="P3913" s="6" t="s">
        <v>39</v>
      </c>
      <c r="Q3913" s="8" t="s">
        <v>40</v>
      </c>
      <c r="R3913" s="10" t="s">
        <v>22794</v>
      </c>
      <c r="S3913" s="11"/>
      <c r="T3913" s="6"/>
      <c r="U3913" s="15" t="str">
        <f>HYPERLINK("https://media.infra-m.ru/2266/2266093/cover/2266093.jpg", "Обложка")</f>
        <v>Обложка</v>
      </c>
      <c r="V3913" s="8" t="s">
        <v>217</v>
      </c>
      <c r="W3913" s="6"/>
      <c r="X3913" s="6"/>
      <c r="Y3913" s="6"/>
      <c r="Z3913" s="6"/>
      <c r="AA3913" s="6" t="s">
        <v>1256</v>
      </c>
      <c r="AB3913" s="8" t="s">
        <v>7101</v>
      </c>
      <c r="AC3913" s="27">
        <v>9785160149134</v>
      </c>
    </row>
    <row r="3914" spans="1:29" s="4" customFormat="1" ht="51.9" customHeight="1" x14ac:dyDescent="0.2">
      <c r="A3914" s="5">
        <v>0</v>
      </c>
      <c r="B3914" s="6" t="s">
        <v>22795</v>
      </c>
      <c r="C3914" s="7">
        <v>1732.8</v>
      </c>
      <c r="D3914" s="8" t="s">
        <v>22796</v>
      </c>
      <c r="E3914" s="8" t="s">
        <v>22797</v>
      </c>
      <c r="F3914" s="8" t="s">
        <v>22798</v>
      </c>
      <c r="G3914" s="6" t="s">
        <v>33</v>
      </c>
      <c r="H3914" s="6" t="s">
        <v>34</v>
      </c>
      <c r="I3914" s="8" t="s">
        <v>271</v>
      </c>
      <c r="J3914" s="9">
        <v>1</v>
      </c>
      <c r="K3914" s="9">
        <v>263</v>
      </c>
      <c r="L3914" s="9">
        <v>2026</v>
      </c>
      <c r="M3914" s="8" t="s">
        <v>22799</v>
      </c>
      <c r="N3914" s="8" t="s">
        <v>585</v>
      </c>
      <c r="O3914" s="8" t="s">
        <v>2472</v>
      </c>
      <c r="P3914" s="6" t="s">
        <v>51</v>
      </c>
      <c r="Q3914" s="8" t="s">
        <v>52</v>
      </c>
      <c r="R3914" s="10" t="s">
        <v>22800</v>
      </c>
      <c r="S3914" s="11" t="s">
        <v>22801</v>
      </c>
      <c r="T3914" s="6"/>
      <c r="U3914" s="15" t="str">
        <f>HYPERLINK("https://media.infra-m.ru/2225/2225080/cover/2225080.jpg", "Обложка")</f>
        <v>Обложка</v>
      </c>
      <c r="V3914" s="8" t="s">
        <v>3087</v>
      </c>
      <c r="W3914" s="6"/>
      <c r="X3914" s="6"/>
      <c r="Y3914" s="6"/>
      <c r="Z3914" s="6"/>
      <c r="AA3914" s="6" t="s">
        <v>55</v>
      </c>
      <c r="AB3914" s="8"/>
      <c r="AC3914" s="27">
        <v>9785160057279</v>
      </c>
    </row>
    <row r="3915" spans="1:29" s="4" customFormat="1" ht="51.9" customHeight="1" x14ac:dyDescent="0.2">
      <c r="A3915" s="5">
        <v>0</v>
      </c>
      <c r="B3915" s="6" t="s">
        <v>22802</v>
      </c>
      <c r="C3915" s="13">
        <v>820.8</v>
      </c>
      <c r="D3915" s="8" t="s">
        <v>22803</v>
      </c>
      <c r="E3915" s="8" t="s">
        <v>22804</v>
      </c>
      <c r="F3915" s="8" t="s">
        <v>22805</v>
      </c>
      <c r="G3915" s="6" t="s">
        <v>60</v>
      </c>
      <c r="H3915" s="6" t="s">
        <v>34</v>
      </c>
      <c r="I3915" s="8" t="s">
        <v>5350</v>
      </c>
      <c r="J3915" s="9">
        <v>1</v>
      </c>
      <c r="K3915" s="9">
        <v>125</v>
      </c>
      <c r="L3915" s="9">
        <v>2026</v>
      </c>
      <c r="M3915" s="8" t="s">
        <v>22806</v>
      </c>
      <c r="N3915" s="8" t="s">
        <v>243</v>
      </c>
      <c r="O3915" s="8" t="s">
        <v>385</v>
      </c>
      <c r="P3915" s="6" t="s">
        <v>51</v>
      </c>
      <c r="Q3915" s="8" t="s">
        <v>377</v>
      </c>
      <c r="R3915" s="10" t="s">
        <v>17896</v>
      </c>
      <c r="S3915" s="11" t="s">
        <v>22807</v>
      </c>
      <c r="T3915" s="6"/>
      <c r="U3915" s="15" t="str">
        <f>HYPERLINK("https://media.infra-m.ru/2230/2230203/cover/2230203.jpg", "Обложка")</f>
        <v>Обложка</v>
      </c>
      <c r="V3915" s="8" t="s">
        <v>22808</v>
      </c>
      <c r="W3915" s="6"/>
      <c r="X3915" s="6"/>
      <c r="Y3915" s="6"/>
      <c r="Z3915" s="6"/>
      <c r="AA3915" s="6" t="s">
        <v>1256</v>
      </c>
      <c r="AB3915" s="8"/>
      <c r="AC3915" s="27">
        <v>9785160147314</v>
      </c>
    </row>
    <row r="3916" spans="1:29" s="4" customFormat="1" ht="51.9" customHeight="1" x14ac:dyDescent="0.2">
      <c r="A3916" s="5">
        <v>0</v>
      </c>
      <c r="B3916" s="6" t="s">
        <v>22809</v>
      </c>
      <c r="C3916" s="7">
        <v>1320</v>
      </c>
      <c r="D3916" s="8" t="s">
        <v>22810</v>
      </c>
      <c r="E3916" s="8" t="s">
        <v>22811</v>
      </c>
      <c r="F3916" s="8" t="s">
        <v>22812</v>
      </c>
      <c r="G3916" s="6" t="s">
        <v>33</v>
      </c>
      <c r="H3916" s="6" t="s">
        <v>34</v>
      </c>
      <c r="I3916" s="8" t="s">
        <v>35</v>
      </c>
      <c r="J3916" s="9">
        <v>1</v>
      </c>
      <c r="K3916" s="9">
        <v>210</v>
      </c>
      <c r="L3916" s="9">
        <v>2026</v>
      </c>
      <c r="M3916" s="8" t="s">
        <v>22813</v>
      </c>
      <c r="N3916" s="8" t="s">
        <v>37</v>
      </c>
      <c r="O3916" s="8" t="s">
        <v>83</v>
      </c>
      <c r="P3916" s="6" t="s">
        <v>39</v>
      </c>
      <c r="Q3916" s="8" t="s">
        <v>40</v>
      </c>
      <c r="R3916" s="10" t="s">
        <v>22814</v>
      </c>
      <c r="S3916" s="11"/>
      <c r="T3916" s="6"/>
      <c r="U3916" s="15" t="str">
        <f>HYPERLINK("https://media.infra-m.ru/2216/2216042/cover/2216042.jpg", "Обложка")</f>
        <v>Обложка</v>
      </c>
      <c r="V3916" s="8" t="s">
        <v>247</v>
      </c>
      <c r="W3916" s="6"/>
      <c r="X3916" s="6"/>
      <c r="Y3916" s="6"/>
      <c r="Z3916" s="6"/>
      <c r="AA3916" s="6" t="s">
        <v>1256</v>
      </c>
      <c r="AB3916" s="8"/>
      <c r="AC3916" s="27">
        <v>9785160158990</v>
      </c>
    </row>
    <row r="3917" spans="1:29" s="4" customFormat="1" ht="51.9" customHeight="1" x14ac:dyDescent="0.2">
      <c r="A3917" s="5">
        <v>0</v>
      </c>
      <c r="B3917" s="6" t="s">
        <v>22815</v>
      </c>
      <c r="C3917" s="7">
        <v>1528.8</v>
      </c>
      <c r="D3917" s="8" t="s">
        <v>22816</v>
      </c>
      <c r="E3917" s="8" t="s">
        <v>22817</v>
      </c>
      <c r="F3917" s="8" t="s">
        <v>22818</v>
      </c>
      <c r="G3917" s="6" t="s">
        <v>33</v>
      </c>
      <c r="H3917" s="6" t="s">
        <v>34</v>
      </c>
      <c r="I3917" s="8" t="s">
        <v>35</v>
      </c>
      <c r="J3917" s="9">
        <v>1</v>
      </c>
      <c r="K3917" s="9">
        <v>232</v>
      </c>
      <c r="L3917" s="9">
        <v>2026</v>
      </c>
      <c r="M3917" s="8" t="s">
        <v>22819</v>
      </c>
      <c r="N3917" s="8" t="s">
        <v>37</v>
      </c>
      <c r="O3917" s="8" t="s">
        <v>50</v>
      </c>
      <c r="P3917" s="6" t="s">
        <v>39</v>
      </c>
      <c r="Q3917" s="8" t="s">
        <v>40</v>
      </c>
      <c r="R3917" s="10" t="s">
        <v>22820</v>
      </c>
      <c r="S3917" s="11"/>
      <c r="T3917" s="6"/>
      <c r="U3917" s="15" t="str">
        <f>HYPERLINK("https://media.infra-m.ru/2226/2226521/cover/2226521.jpg", "Обложка")</f>
        <v>Обложка</v>
      </c>
      <c r="V3917" s="8" t="s">
        <v>227</v>
      </c>
      <c r="W3917" s="6"/>
      <c r="X3917" s="6"/>
      <c r="Y3917" s="6"/>
      <c r="Z3917" s="6"/>
      <c r="AA3917" s="6" t="s">
        <v>55</v>
      </c>
      <c r="AB3917" s="8"/>
      <c r="AC3917" s="27">
        <v>9785160064628</v>
      </c>
    </row>
    <row r="3918" spans="1:29" s="4" customFormat="1" ht="51.9" customHeight="1" x14ac:dyDescent="0.2">
      <c r="A3918" s="5">
        <v>0</v>
      </c>
      <c r="B3918" s="6" t="s">
        <v>22821</v>
      </c>
      <c r="C3918" s="7">
        <v>1492.8</v>
      </c>
      <c r="D3918" s="8" t="s">
        <v>22822</v>
      </c>
      <c r="E3918" s="8" t="s">
        <v>22823</v>
      </c>
      <c r="F3918" s="8" t="s">
        <v>22824</v>
      </c>
      <c r="G3918" s="6" t="s">
        <v>33</v>
      </c>
      <c r="H3918" s="6" t="s">
        <v>313</v>
      </c>
      <c r="I3918" s="8" t="s">
        <v>253</v>
      </c>
      <c r="J3918" s="9">
        <v>1</v>
      </c>
      <c r="K3918" s="9">
        <v>239</v>
      </c>
      <c r="L3918" s="9">
        <v>2025</v>
      </c>
      <c r="M3918" s="8" t="s">
        <v>22825</v>
      </c>
      <c r="N3918" s="8" t="s">
        <v>37</v>
      </c>
      <c r="O3918" s="8" t="s">
        <v>38</v>
      </c>
      <c r="P3918" s="6" t="s">
        <v>51</v>
      </c>
      <c r="Q3918" s="8" t="s">
        <v>52</v>
      </c>
      <c r="R3918" s="10" t="s">
        <v>22826</v>
      </c>
      <c r="S3918" s="11"/>
      <c r="T3918" s="6" t="s">
        <v>97</v>
      </c>
      <c r="U3918" s="15" t="str">
        <f>HYPERLINK("https://media.infra-m.ru/2213/2213123/cover/2213123.jpg", "Обложка")</f>
        <v>Обложка</v>
      </c>
      <c r="V3918" s="8" t="s">
        <v>22827</v>
      </c>
      <c r="W3918" s="6"/>
      <c r="X3918" s="6"/>
      <c r="Y3918" s="6"/>
      <c r="Z3918" s="6"/>
      <c r="AA3918" s="6" t="s">
        <v>859</v>
      </c>
      <c r="AB3918" s="8"/>
      <c r="AC3918" s="27">
        <v>9785369013007</v>
      </c>
    </row>
    <row r="3919" spans="1:29" s="4" customFormat="1" ht="51.9" customHeight="1" x14ac:dyDescent="0.2">
      <c r="A3919" s="5">
        <v>0</v>
      </c>
      <c r="B3919" s="6" t="s">
        <v>22828</v>
      </c>
      <c r="C3919" s="7">
        <v>1432.8</v>
      </c>
      <c r="D3919" s="8" t="s">
        <v>22829</v>
      </c>
      <c r="E3919" s="8" t="s">
        <v>22830</v>
      </c>
      <c r="F3919" s="8" t="s">
        <v>22831</v>
      </c>
      <c r="G3919" s="6" t="s">
        <v>60</v>
      </c>
      <c r="H3919" s="6" t="s">
        <v>241</v>
      </c>
      <c r="I3919" s="8"/>
      <c r="J3919" s="9">
        <v>1</v>
      </c>
      <c r="K3919" s="9">
        <v>216</v>
      </c>
      <c r="L3919" s="9">
        <v>2026</v>
      </c>
      <c r="M3919" s="8" t="s">
        <v>22832</v>
      </c>
      <c r="N3919" s="8" t="s">
        <v>37</v>
      </c>
      <c r="O3919" s="8" t="s">
        <v>38</v>
      </c>
      <c r="P3919" s="6" t="s">
        <v>4401</v>
      </c>
      <c r="Q3919" s="8" t="s">
        <v>40</v>
      </c>
      <c r="R3919" s="10" t="s">
        <v>22833</v>
      </c>
      <c r="S3919" s="11"/>
      <c r="T3919" s="6"/>
      <c r="U3919" s="15" t="str">
        <f>HYPERLINK("https://media.infra-m.ru/2244/2244717/cover/2244717.jpg", "Обложка")</f>
        <v>Обложка</v>
      </c>
      <c r="V3919" s="8" t="s">
        <v>247</v>
      </c>
      <c r="W3919" s="6"/>
      <c r="X3919" s="6"/>
      <c r="Y3919" s="6"/>
      <c r="Z3919" s="6"/>
      <c r="AA3919" s="6" t="s">
        <v>248</v>
      </c>
      <c r="AB3919" s="8"/>
      <c r="AC3919" s="27">
        <v>9785955803579</v>
      </c>
    </row>
    <row r="3920" spans="1:29" s="4" customFormat="1" ht="42" customHeight="1" x14ac:dyDescent="0.2">
      <c r="A3920" s="5">
        <v>0</v>
      </c>
      <c r="B3920" s="6" t="s">
        <v>22834</v>
      </c>
      <c r="C3920" s="7">
        <v>1888.8</v>
      </c>
      <c r="D3920" s="8" t="s">
        <v>22835</v>
      </c>
      <c r="E3920" s="8" t="s">
        <v>22836</v>
      </c>
      <c r="F3920" s="8" t="s">
        <v>22837</v>
      </c>
      <c r="G3920" s="6" t="s">
        <v>33</v>
      </c>
      <c r="H3920" s="6" t="s">
        <v>34</v>
      </c>
      <c r="I3920" s="8" t="s">
        <v>35</v>
      </c>
      <c r="J3920" s="9">
        <v>1</v>
      </c>
      <c r="K3920" s="9">
        <v>286</v>
      </c>
      <c r="L3920" s="9">
        <v>2026</v>
      </c>
      <c r="M3920" s="8" t="s">
        <v>22838</v>
      </c>
      <c r="N3920" s="8" t="s">
        <v>243</v>
      </c>
      <c r="O3920" s="8" t="s">
        <v>798</v>
      </c>
      <c r="P3920" s="6" t="s">
        <v>39</v>
      </c>
      <c r="Q3920" s="8" t="s">
        <v>40</v>
      </c>
      <c r="R3920" s="10" t="s">
        <v>6735</v>
      </c>
      <c r="S3920" s="11"/>
      <c r="T3920" s="6"/>
      <c r="U3920" s="15" t="str">
        <f>HYPERLINK("https://media.infra-m.ru/2234/2234101/cover/2234101.jpg", "Обложка")</f>
        <v>Обложка</v>
      </c>
      <c r="V3920" s="8" t="s">
        <v>7509</v>
      </c>
      <c r="W3920" s="6"/>
      <c r="X3920" s="6"/>
      <c r="Y3920" s="6"/>
      <c r="Z3920" s="6"/>
      <c r="AA3920" s="6" t="s">
        <v>115</v>
      </c>
      <c r="AB3920" s="8"/>
      <c r="AC3920" s="27">
        <v>9785160155296</v>
      </c>
    </row>
    <row r="3921" spans="1:29" s="4" customFormat="1" ht="51.9" customHeight="1" x14ac:dyDescent="0.2">
      <c r="A3921" s="5">
        <v>0</v>
      </c>
      <c r="B3921" s="6" t="s">
        <v>22839</v>
      </c>
      <c r="C3921" s="7">
        <v>1080</v>
      </c>
      <c r="D3921" s="8" t="s">
        <v>22840</v>
      </c>
      <c r="E3921" s="8" t="s">
        <v>22841</v>
      </c>
      <c r="F3921" s="8" t="s">
        <v>22842</v>
      </c>
      <c r="G3921" s="6" t="s">
        <v>60</v>
      </c>
      <c r="H3921" s="6" t="s">
        <v>34</v>
      </c>
      <c r="I3921" s="8" t="s">
        <v>1128</v>
      </c>
      <c r="J3921" s="9">
        <v>1</v>
      </c>
      <c r="K3921" s="9">
        <v>170</v>
      </c>
      <c r="L3921" s="9">
        <v>2024</v>
      </c>
      <c r="M3921" s="8" t="s">
        <v>22843</v>
      </c>
      <c r="N3921" s="8" t="s">
        <v>585</v>
      </c>
      <c r="O3921" s="8" t="s">
        <v>775</v>
      </c>
      <c r="P3921" s="6" t="s">
        <v>51</v>
      </c>
      <c r="Q3921" s="8" t="s">
        <v>65</v>
      </c>
      <c r="R3921" s="10" t="s">
        <v>10884</v>
      </c>
      <c r="S3921" s="11" t="s">
        <v>22844</v>
      </c>
      <c r="T3921" s="6"/>
      <c r="U3921" s="15" t="str">
        <f>HYPERLINK("https://media.infra-m.ru/2116/2116154/cover/2116154.jpg", "Обложка")</f>
        <v>Обложка</v>
      </c>
      <c r="V3921" s="8" t="s">
        <v>1132</v>
      </c>
      <c r="W3921" s="6"/>
      <c r="X3921" s="6"/>
      <c r="Y3921" s="6"/>
      <c r="Z3921" s="6"/>
      <c r="AA3921" s="6" t="s">
        <v>76</v>
      </c>
      <c r="AB3921" s="8"/>
      <c r="AC3921" s="27">
        <v>9785160193984</v>
      </c>
    </row>
    <row r="3922" spans="1:29" s="4" customFormat="1" ht="51.9" customHeight="1" x14ac:dyDescent="0.2">
      <c r="A3922" s="5">
        <v>0</v>
      </c>
      <c r="B3922" s="6" t="s">
        <v>22845</v>
      </c>
      <c r="C3922" s="7">
        <v>1780.8</v>
      </c>
      <c r="D3922" s="8" t="s">
        <v>22846</v>
      </c>
      <c r="E3922" s="8" t="s">
        <v>22847</v>
      </c>
      <c r="F3922" s="8" t="s">
        <v>16960</v>
      </c>
      <c r="G3922" s="6" t="s">
        <v>33</v>
      </c>
      <c r="H3922" s="6" t="s">
        <v>34</v>
      </c>
      <c r="I3922" s="8" t="s">
        <v>35</v>
      </c>
      <c r="J3922" s="9">
        <v>1</v>
      </c>
      <c r="K3922" s="9">
        <v>256</v>
      </c>
      <c r="L3922" s="9">
        <v>2027</v>
      </c>
      <c r="M3922" s="8" t="s">
        <v>22848</v>
      </c>
      <c r="N3922" s="8" t="s">
        <v>585</v>
      </c>
      <c r="O3922" s="8" t="s">
        <v>775</v>
      </c>
      <c r="P3922" s="6" t="s">
        <v>39</v>
      </c>
      <c r="Q3922" s="8" t="s">
        <v>40</v>
      </c>
      <c r="R3922" s="10" t="s">
        <v>9147</v>
      </c>
      <c r="S3922" s="11"/>
      <c r="T3922" s="6" t="s">
        <v>97</v>
      </c>
      <c r="U3922" s="15" t="str">
        <f>HYPERLINK("https://media.infra-m.ru/2263/2263009/cover/2263009.jpg", "Обложка")</f>
        <v>Обложка</v>
      </c>
      <c r="V3922" s="8" t="s">
        <v>16963</v>
      </c>
      <c r="W3922" s="6"/>
      <c r="X3922" s="6"/>
      <c r="Y3922" s="6"/>
      <c r="Z3922" s="6"/>
      <c r="AA3922" s="6" t="s">
        <v>115</v>
      </c>
      <c r="AB3922" s="8"/>
      <c r="AC3922" s="27">
        <v>9785160145495</v>
      </c>
    </row>
    <row r="3923" spans="1:29" s="4" customFormat="1" ht="51.9" customHeight="1" x14ac:dyDescent="0.2">
      <c r="A3923" s="5">
        <v>0</v>
      </c>
      <c r="B3923" s="6" t="s">
        <v>22849</v>
      </c>
      <c r="C3923" s="7">
        <v>1140</v>
      </c>
      <c r="D3923" s="8" t="s">
        <v>22850</v>
      </c>
      <c r="E3923" s="8" t="s">
        <v>22851</v>
      </c>
      <c r="F3923" s="8" t="s">
        <v>22852</v>
      </c>
      <c r="G3923" s="6" t="s">
        <v>33</v>
      </c>
      <c r="H3923" s="6" t="s">
        <v>34</v>
      </c>
      <c r="I3923" s="8" t="s">
        <v>35</v>
      </c>
      <c r="J3923" s="9">
        <v>1</v>
      </c>
      <c r="K3923" s="9">
        <v>205</v>
      </c>
      <c r="L3923" s="9">
        <v>2023</v>
      </c>
      <c r="M3923" s="8" t="s">
        <v>22853</v>
      </c>
      <c r="N3923" s="8" t="s">
        <v>93</v>
      </c>
      <c r="O3923" s="8" t="s">
        <v>94</v>
      </c>
      <c r="P3923" s="6" t="s">
        <v>39</v>
      </c>
      <c r="Q3923" s="8" t="s">
        <v>40</v>
      </c>
      <c r="R3923" s="10" t="s">
        <v>13759</v>
      </c>
      <c r="S3923" s="11"/>
      <c r="T3923" s="6" t="s">
        <v>97</v>
      </c>
      <c r="U3923" s="15" t="str">
        <f>HYPERLINK("https://media.infra-m.ru/2018/2018243/cover/2018243.jpg", "Обложка")</f>
        <v>Обложка</v>
      </c>
      <c r="V3923" s="8" t="s">
        <v>7920</v>
      </c>
      <c r="W3923" s="6"/>
      <c r="X3923" s="6"/>
      <c r="Y3923" s="6"/>
      <c r="Z3923" s="6"/>
      <c r="AA3923" s="6" t="s">
        <v>55</v>
      </c>
      <c r="AB3923" s="8"/>
      <c r="AC3923" s="27">
        <v>9785160065076</v>
      </c>
    </row>
    <row r="3924" spans="1:29" s="4" customFormat="1" ht="51.9" customHeight="1" x14ac:dyDescent="0.2">
      <c r="A3924" s="5">
        <v>0</v>
      </c>
      <c r="B3924" s="6" t="s">
        <v>22854</v>
      </c>
      <c r="C3924" s="7">
        <v>2496</v>
      </c>
      <c r="D3924" s="8" t="s">
        <v>22855</v>
      </c>
      <c r="E3924" s="8" t="s">
        <v>22856</v>
      </c>
      <c r="F3924" s="8" t="s">
        <v>22857</v>
      </c>
      <c r="G3924" s="6" t="s">
        <v>33</v>
      </c>
      <c r="H3924" s="6" t="s">
        <v>34</v>
      </c>
      <c r="I3924" s="8" t="s">
        <v>253</v>
      </c>
      <c r="J3924" s="9">
        <v>1</v>
      </c>
      <c r="K3924" s="9">
        <v>400</v>
      </c>
      <c r="L3924" s="9">
        <v>2025</v>
      </c>
      <c r="M3924" s="8" t="s">
        <v>22858</v>
      </c>
      <c r="N3924" s="8" t="s">
        <v>93</v>
      </c>
      <c r="O3924" s="8" t="s">
        <v>94</v>
      </c>
      <c r="P3924" s="6" t="s">
        <v>51</v>
      </c>
      <c r="Q3924" s="8" t="s">
        <v>65</v>
      </c>
      <c r="R3924" s="10" t="s">
        <v>22859</v>
      </c>
      <c r="S3924" s="11" t="s">
        <v>22860</v>
      </c>
      <c r="T3924" s="6"/>
      <c r="U3924" s="15" t="str">
        <f>HYPERLINK("https://media.infra-m.ru/2196/2196090/cover/2196090.jpg", "Обложка")</f>
        <v>Обложка</v>
      </c>
      <c r="V3924" s="8" t="s">
        <v>9822</v>
      </c>
      <c r="W3924" s="6"/>
      <c r="X3924" s="6"/>
      <c r="Y3924" s="6"/>
      <c r="Z3924" s="6"/>
      <c r="AA3924" s="6" t="s">
        <v>779</v>
      </c>
      <c r="AB3924" s="8"/>
      <c r="AC3924" s="27">
        <v>9785160188423</v>
      </c>
    </row>
    <row r="3925" spans="1:29" s="4" customFormat="1" ht="51.9" customHeight="1" x14ac:dyDescent="0.2">
      <c r="A3925" s="5">
        <v>0</v>
      </c>
      <c r="B3925" s="6" t="s">
        <v>22861</v>
      </c>
      <c r="C3925" s="7">
        <v>1164</v>
      </c>
      <c r="D3925" s="8" t="s">
        <v>22862</v>
      </c>
      <c r="E3925" s="8" t="s">
        <v>22863</v>
      </c>
      <c r="F3925" s="8" t="s">
        <v>22864</v>
      </c>
      <c r="G3925" s="6" t="s">
        <v>33</v>
      </c>
      <c r="H3925" s="6" t="s">
        <v>34</v>
      </c>
      <c r="I3925" s="8" t="s">
        <v>35</v>
      </c>
      <c r="J3925" s="9">
        <v>1</v>
      </c>
      <c r="K3925" s="9">
        <v>188</v>
      </c>
      <c r="L3925" s="9">
        <v>2025</v>
      </c>
      <c r="M3925" s="8" t="s">
        <v>22865</v>
      </c>
      <c r="N3925" s="8" t="s">
        <v>37</v>
      </c>
      <c r="O3925" s="8" t="s">
        <v>233</v>
      </c>
      <c r="P3925" s="6" t="s">
        <v>39</v>
      </c>
      <c r="Q3925" s="8" t="s">
        <v>40</v>
      </c>
      <c r="R3925" s="10" t="s">
        <v>22866</v>
      </c>
      <c r="S3925" s="11"/>
      <c r="T3925" s="6"/>
      <c r="U3925" s="15" t="str">
        <f>HYPERLINK("https://media.infra-m.ru/2132/2132121/cover/2132121.jpg", "Обложка")</f>
        <v>Обложка</v>
      </c>
      <c r="V3925" s="8" t="s">
        <v>1231</v>
      </c>
      <c r="W3925" s="6"/>
      <c r="X3925" s="6"/>
      <c r="Y3925" s="6"/>
      <c r="Z3925" s="6"/>
      <c r="AA3925" s="6" t="s">
        <v>68</v>
      </c>
      <c r="AB3925" s="8"/>
      <c r="AC3925" s="27">
        <v>9785160196497</v>
      </c>
    </row>
    <row r="3926" spans="1:29" s="4" customFormat="1" ht="44.1" customHeight="1" x14ac:dyDescent="0.2">
      <c r="A3926" s="5">
        <v>0</v>
      </c>
      <c r="B3926" s="6" t="s">
        <v>22867</v>
      </c>
      <c r="C3926" s="7">
        <v>1768.8</v>
      </c>
      <c r="D3926" s="8" t="s">
        <v>22868</v>
      </c>
      <c r="E3926" s="8" t="s">
        <v>22869</v>
      </c>
      <c r="F3926" s="8" t="s">
        <v>22870</v>
      </c>
      <c r="G3926" s="6" t="s">
        <v>33</v>
      </c>
      <c r="H3926" s="6" t="s">
        <v>313</v>
      </c>
      <c r="I3926" s="8" t="s">
        <v>35</v>
      </c>
      <c r="J3926" s="9">
        <v>1</v>
      </c>
      <c r="K3926" s="9">
        <v>268</v>
      </c>
      <c r="L3926" s="9">
        <v>2026</v>
      </c>
      <c r="M3926" s="8" t="s">
        <v>22871</v>
      </c>
      <c r="N3926" s="8" t="s">
        <v>243</v>
      </c>
      <c r="O3926" s="8" t="s">
        <v>798</v>
      </c>
      <c r="P3926" s="6" t="s">
        <v>39</v>
      </c>
      <c r="Q3926" s="8" t="s">
        <v>749</v>
      </c>
      <c r="R3926" s="10" t="s">
        <v>22872</v>
      </c>
      <c r="S3926" s="11"/>
      <c r="T3926" s="6"/>
      <c r="U3926" s="15" t="str">
        <f>HYPERLINK("https://media.infra-m.ru/2222/2222259/cover/2222259.jpg", "Обложка")</f>
        <v>Обложка</v>
      </c>
      <c r="V3926" s="8" t="s">
        <v>8022</v>
      </c>
      <c r="W3926" s="6"/>
      <c r="X3926" s="6"/>
      <c r="Y3926" s="6"/>
      <c r="Z3926" s="6"/>
      <c r="AA3926" s="6" t="s">
        <v>274</v>
      </c>
      <c r="AB3926" s="8"/>
      <c r="AC3926" s="27">
        <v>9785369013816</v>
      </c>
    </row>
    <row r="3927" spans="1:29" s="4" customFormat="1" ht="42" customHeight="1" x14ac:dyDescent="0.2">
      <c r="A3927" s="5">
        <v>0</v>
      </c>
      <c r="B3927" s="6" t="s">
        <v>22873</v>
      </c>
      <c r="C3927" s="7">
        <v>3060</v>
      </c>
      <c r="D3927" s="8" t="s">
        <v>22874</v>
      </c>
      <c r="E3927" s="8" t="s">
        <v>22875</v>
      </c>
      <c r="F3927" s="8" t="s">
        <v>22876</v>
      </c>
      <c r="G3927" s="6" t="s">
        <v>60</v>
      </c>
      <c r="H3927" s="6" t="s">
        <v>34</v>
      </c>
      <c r="I3927" s="8" t="s">
        <v>35</v>
      </c>
      <c r="J3927" s="9">
        <v>1</v>
      </c>
      <c r="K3927" s="9">
        <v>547</v>
      </c>
      <c r="L3927" s="9">
        <v>2024</v>
      </c>
      <c r="M3927" s="8" t="s">
        <v>22877</v>
      </c>
      <c r="N3927" s="8" t="s">
        <v>585</v>
      </c>
      <c r="O3927" s="8" t="s">
        <v>775</v>
      </c>
      <c r="P3927" s="6" t="s">
        <v>39</v>
      </c>
      <c r="Q3927" s="8" t="s">
        <v>40</v>
      </c>
      <c r="R3927" s="10" t="s">
        <v>22878</v>
      </c>
      <c r="S3927" s="11"/>
      <c r="T3927" s="6"/>
      <c r="U3927" s="15" t="str">
        <f>HYPERLINK("https://media.infra-m.ru/2056/2056726/cover/2056726.jpg", "Обложка")</f>
        <v>Обложка</v>
      </c>
      <c r="V3927" s="8" t="s">
        <v>22879</v>
      </c>
      <c r="W3927" s="6"/>
      <c r="X3927" s="6"/>
      <c r="Y3927" s="6"/>
      <c r="Z3927" s="6"/>
      <c r="AA3927" s="6" t="s">
        <v>76</v>
      </c>
      <c r="AB3927" s="8"/>
      <c r="AC3927" s="27">
        <v>9785160187785</v>
      </c>
    </row>
    <row r="3928" spans="1:29" s="4" customFormat="1" ht="42" customHeight="1" x14ac:dyDescent="0.2">
      <c r="A3928" s="5">
        <v>0</v>
      </c>
      <c r="B3928" s="6" t="s">
        <v>22880</v>
      </c>
      <c r="C3928" s="13">
        <v>912</v>
      </c>
      <c r="D3928" s="8" t="s">
        <v>22881</v>
      </c>
      <c r="E3928" s="8" t="s">
        <v>22882</v>
      </c>
      <c r="F3928" s="8" t="s">
        <v>22883</v>
      </c>
      <c r="G3928" s="6" t="s">
        <v>33</v>
      </c>
      <c r="H3928" s="6" t="s">
        <v>34</v>
      </c>
      <c r="I3928" s="8" t="s">
        <v>35</v>
      </c>
      <c r="J3928" s="9">
        <v>1</v>
      </c>
      <c r="K3928" s="9">
        <v>138</v>
      </c>
      <c r="L3928" s="9">
        <v>2026</v>
      </c>
      <c r="M3928" s="8" t="s">
        <v>22884</v>
      </c>
      <c r="N3928" s="8" t="s">
        <v>37</v>
      </c>
      <c r="O3928" s="8" t="s">
        <v>233</v>
      </c>
      <c r="P3928" s="6" t="s">
        <v>39</v>
      </c>
      <c r="Q3928" s="8" t="s">
        <v>40</v>
      </c>
      <c r="R3928" s="10" t="s">
        <v>1646</v>
      </c>
      <c r="S3928" s="11"/>
      <c r="T3928" s="6"/>
      <c r="U3928" s="15" t="str">
        <f>HYPERLINK("https://media.infra-m.ru/2253/2253846/cover/2253846.jpg", "Обложка")</f>
        <v>Обложка</v>
      </c>
      <c r="V3928" s="8" t="s">
        <v>396</v>
      </c>
      <c r="W3928" s="6"/>
      <c r="X3928" s="6"/>
      <c r="Y3928" s="6"/>
      <c r="Z3928" s="6"/>
      <c r="AA3928" s="6" t="s">
        <v>86</v>
      </c>
      <c r="AB3928" s="8"/>
      <c r="AC3928" s="27">
        <v>9785160136769</v>
      </c>
    </row>
    <row r="3929" spans="1:29" s="4" customFormat="1" ht="51.9" customHeight="1" x14ac:dyDescent="0.2">
      <c r="A3929" s="5">
        <v>0</v>
      </c>
      <c r="B3929" s="6" t="s">
        <v>22885</v>
      </c>
      <c r="C3929" s="7">
        <v>2040</v>
      </c>
      <c r="D3929" s="8" t="s">
        <v>22886</v>
      </c>
      <c r="E3929" s="8" t="s">
        <v>22887</v>
      </c>
      <c r="F3929" s="8" t="s">
        <v>22888</v>
      </c>
      <c r="G3929" s="6" t="s">
        <v>118</v>
      </c>
      <c r="H3929" s="6" t="s">
        <v>34</v>
      </c>
      <c r="I3929" s="8" t="s">
        <v>263</v>
      </c>
      <c r="J3929" s="9">
        <v>1</v>
      </c>
      <c r="K3929" s="9">
        <v>309</v>
      </c>
      <c r="L3929" s="9">
        <v>2026</v>
      </c>
      <c r="M3929" s="8" t="s">
        <v>22889</v>
      </c>
      <c r="N3929" s="8" t="s">
        <v>243</v>
      </c>
      <c r="O3929" s="8" t="s">
        <v>798</v>
      </c>
      <c r="P3929" s="6" t="s">
        <v>51</v>
      </c>
      <c r="Q3929" s="8" t="s">
        <v>265</v>
      </c>
      <c r="R3929" s="10" t="s">
        <v>22890</v>
      </c>
      <c r="S3929" s="11" t="s">
        <v>22891</v>
      </c>
      <c r="T3929" s="6"/>
      <c r="U3929" s="15" t="str">
        <f>HYPERLINK("https://media.infra-m.ru/2228/2228713/cover/2228713.jpg", "Обложка")</f>
        <v>Обложка</v>
      </c>
      <c r="V3929" s="8" t="s">
        <v>831</v>
      </c>
      <c r="W3929" s="6"/>
      <c r="X3929" s="6" t="s">
        <v>24</v>
      </c>
      <c r="Y3929" s="6"/>
      <c r="Z3929" s="6"/>
      <c r="AA3929" s="6" t="s">
        <v>43</v>
      </c>
      <c r="AB3929" s="8"/>
      <c r="AC3929" s="27">
        <v>9785160207612</v>
      </c>
    </row>
    <row r="3930" spans="1:29" s="4" customFormat="1" ht="51.9" customHeight="1" x14ac:dyDescent="0.2">
      <c r="A3930" s="5">
        <v>0</v>
      </c>
      <c r="B3930" s="6" t="s">
        <v>22892</v>
      </c>
      <c r="C3930" s="7">
        <v>1524</v>
      </c>
      <c r="D3930" s="8" t="s">
        <v>22893</v>
      </c>
      <c r="E3930" s="8" t="s">
        <v>22894</v>
      </c>
      <c r="F3930" s="8" t="s">
        <v>22895</v>
      </c>
      <c r="G3930" s="6" t="s">
        <v>118</v>
      </c>
      <c r="H3930" s="6" t="s">
        <v>34</v>
      </c>
      <c r="I3930" s="8" t="s">
        <v>7625</v>
      </c>
      <c r="J3930" s="9">
        <v>1</v>
      </c>
      <c r="K3930" s="9">
        <v>254</v>
      </c>
      <c r="L3930" s="9">
        <v>2025</v>
      </c>
      <c r="M3930" s="8" t="s">
        <v>22896</v>
      </c>
      <c r="N3930" s="8" t="s">
        <v>243</v>
      </c>
      <c r="O3930" s="8" t="s">
        <v>758</v>
      </c>
      <c r="P3930" s="6" t="s">
        <v>51</v>
      </c>
      <c r="Q3930" s="8" t="s">
        <v>377</v>
      </c>
      <c r="R3930" s="10" t="s">
        <v>4167</v>
      </c>
      <c r="S3930" s="11" t="s">
        <v>22897</v>
      </c>
      <c r="T3930" s="6"/>
      <c r="U3930" s="15" t="str">
        <f>HYPERLINK("https://media.infra-m.ru/2173/2173995/cover/2173995.jpg", "Обложка")</f>
        <v>Обложка</v>
      </c>
      <c r="V3930" s="8" t="s">
        <v>1083</v>
      </c>
      <c r="W3930" s="6"/>
      <c r="X3930" s="6"/>
      <c r="Y3930" s="6"/>
      <c r="Z3930" s="6"/>
      <c r="AA3930" s="6" t="s">
        <v>86</v>
      </c>
      <c r="AB3930" s="8"/>
      <c r="AC3930" s="27">
        <v>9785160160863</v>
      </c>
    </row>
    <row r="3931" spans="1:29" s="4" customFormat="1" ht="51.9" customHeight="1" x14ac:dyDescent="0.2">
      <c r="A3931" s="5">
        <v>0</v>
      </c>
      <c r="B3931" s="6" t="s">
        <v>22898</v>
      </c>
      <c r="C3931" s="7">
        <v>2388</v>
      </c>
      <c r="D3931" s="8" t="s">
        <v>22899</v>
      </c>
      <c r="E3931" s="8" t="s">
        <v>22900</v>
      </c>
      <c r="F3931" s="8" t="s">
        <v>22901</v>
      </c>
      <c r="G3931" s="6" t="s">
        <v>118</v>
      </c>
      <c r="H3931" s="6" t="s">
        <v>34</v>
      </c>
      <c r="I3931" s="8" t="s">
        <v>1248</v>
      </c>
      <c r="J3931" s="9">
        <v>1</v>
      </c>
      <c r="K3931" s="9">
        <v>400</v>
      </c>
      <c r="L3931" s="9">
        <v>2025</v>
      </c>
      <c r="M3931" s="8" t="s">
        <v>22902</v>
      </c>
      <c r="N3931" s="8" t="s">
        <v>243</v>
      </c>
      <c r="O3931" s="8" t="s">
        <v>758</v>
      </c>
      <c r="P3931" s="6" t="s">
        <v>51</v>
      </c>
      <c r="Q3931" s="8" t="s">
        <v>52</v>
      </c>
      <c r="R3931" s="10" t="s">
        <v>9434</v>
      </c>
      <c r="S3931" s="11" t="s">
        <v>22903</v>
      </c>
      <c r="T3931" s="6"/>
      <c r="U3931" s="15" t="str">
        <f>HYPERLINK("https://media.infra-m.ru/2186/2186408/cover/2186408.jpg", "Обложка")</f>
        <v>Обложка</v>
      </c>
      <c r="V3931" s="8"/>
      <c r="W3931" s="6"/>
      <c r="X3931" s="6"/>
      <c r="Y3931" s="6"/>
      <c r="Z3931" s="6"/>
      <c r="AA3931" s="6" t="s">
        <v>157</v>
      </c>
      <c r="AB3931" s="8"/>
      <c r="AC3931" s="27">
        <v>9785160206516</v>
      </c>
    </row>
    <row r="3932" spans="1:29" s="4" customFormat="1" ht="51.9" customHeight="1" x14ac:dyDescent="0.2">
      <c r="A3932" s="5">
        <v>0</v>
      </c>
      <c r="B3932" s="6" t="s">
        <v>22904</v>
      </c>
      <c r="C3932" s="7">
        <v>1480.8</v>
      </c>
      <c r="D3932" s="8" t="s">
        <v>22905</v>
      </c>
      <c r="E3932" s="8" t="s">
        <v>22906</v>
      </c>
      <c r="F3932" s="8" t="s">
        <v>22888</v>
      </c>
      <c r="G3932" s="6" t="s">
        <v>118</v>
      </c>
      <c r="H3932" s="6" t="s">
        <v>34</v>
      </c>
      <c r="I3932" s="8" t="s">
        <v>263</v>
      </c>
      <c r="J3932" s="9">
        <v>1</v>
      </c>
      <c r="K3932" s="9">
        <v>224</v>
      </c>
      <c r="L3932" s="9">
        <v>2026</v>
      </c>
      <c r="M3932" s="8" t="s">
        <v>22907</v>
      </c>
      <c r="N3932" s="8" t="s">
        <v>243</v>
      </c>
      <c r="O3932" s="8" t="s">
        <v>798</v>
      </c>
      <c r="P3932" s="6" t="s">
        <v>51</v>
      </c>
      <c r="Q3932" s="8" t="s">
        <v>265</v>
      </c>
      <c r="R3932" s="10" t="s">
        <v>22908</v>
      </c>
      <c r="S3932" s="11" t="s">
        <v>22909</v>
      </c>
      <c r="T3932" s="6"/>
      <c r="U3932" s="15" t="str">
        <f>HYPERLINK("https://media.infra-m.ru/2248/2248302/cover/2248302.jpg", "Обложка")</f>
        <v>Обложка</v>
      </c>
      <c r="V3932" s="8" t="s">
        <v>831</v>
      </c>
      <c r="W3932" s="6"/>
      <c r="X3932" s="6" t="s">
        <v>24</v>
      </c>
      <c r="Y3932" s="6"/>
      <c r="Z3932" s="6"/>
      <c r="AA3932" s="6" t="s">
        <v>43</v>
      </c>
      <c r="AB3932" s="8"/>
      <c r="AC3932" s="27">
        <v>9785160042992</v>
      </c>
    </row>
    <row r="3933" spans="1:29" s="4" customFormat="1" ht="42" customHeight="1" x14ac:dyDescent="0.2">
      <c r="A3933" s="5">
        <v>0</v>
      </c>
      <c r="B3933" s="6" t="s">
        <v>22910</v>
      </c>
      <c r="C3933" s="7">
        <v>1396.8</v>
      </c>
      <c r="D3933" s="8" t="s">
        <v>22911</v>
      </c>
      <c r="E3933" s="8" t="s">
        <v>22912</v>
      </c>
      <c r="F3933" s="8" t="s">
        <v>14638</v>
      </c>
      <c r="G3933" s="6" t="s">
        <v>60</v>
      </c>
      <c r="H3933" s="6" t="s">
        <v>34</v>
      </c>
      <c r="I3933" s="8" t="s">
        <v>271</v>
      </c>
      <c r="J3933" s="9">
        <v>1</v>
      </c>
      <c r="K3933" s="9">
        <v>200</v>
      </c>
      <c r="L3933" s="9">
        <v>2026</v>
      </c>
      <c r="M3933" s="8" t="s">
        <v>22913</v>
      </c>
      <c r="N3933" s="8" t="s">
        <v>243</v>
      </c>
      <c r="O3933" s="8" t="s">
        <v>798</v>
      </c>
      <c r="P3933" s="6" t="s">
        <v>51</v>
      </c>
      <c r="Q3933" s="8" t="s">
        <v>52</v>
      </c>
      <c r="R3933" s="10" t="s">
        <v>6735</v>
      </c>
      <c r="S3933" s="11"/>
      <c r="T3933" s="6"/>
      <c r="U3933" s="15" t="str">
        <f>HYPERLINK("https://media.infra-m.ru/2263/2263923/cover/2263923.jpg", "Обложка")</f>
        <v>Обложка</v>
      </c>
      <c r="V3933" s="8" t="s">
        <v>14640</v>
      </c>
      <c r="W3933" s="6"/>
      <c r="X3933" s="6"/>
      <c r="Y3933" s="6"/>
      <c r="Z3933" s="6"/>
      <c r="AA3933" s="6" t="s">
        <v>274</v>
      </c>
      <c r="AB3933" s="8"/>
      <c r="AC3933" s="27">
        <v>9785160102948</v>
      </c>
    </row>
    <row r="3934" spans="1:29" s="4" customFormat="1" ht="51.9" customHeight="1" x14ac:dyDescent="0.2">
      <c r="A3934" s="5">
        <v>0</v>
      </c>
      <c r="B3934" s="6" t="s">
        <v>22914</v>
      </c>
      <c r="C3934" s="7">
        <v>1692</v>
      </c>
      <c r="D3934" s="8" t="s">
        <v>22915</v>
      </c>
      <c r="E3934" s="8" t="s">
        <v>22916</v>
      </c>
      <c r="F3934" s="8" t="s">
        <v>22917</v>
      </c>
      <c r="G3934" s="6" t="s">
        <v>118</v>
      </c>
      <c r="H3934" s="6" t="s">
        <v>34</v>
      </c>
      <c r="I3934" s="8" t="s">
        <v>253</v>
      </c>
      <c r="J3934" s="9">
        <v>1</v>
      </c>
      <c r="K3934" s="9">
        <v>271</v>
      </c>
      <c r="L3934" s="9">
        <v>2025</v>
      </c>
      <c r="M3934" s="8" t="s">
        <v>22918</v>
      </c>
      <c r="N3934" s="8" t="s">
        <v>243</v>
      </c>
      <c r="O3934" s="8" t="s">
        <v>758</v>
      </c>
      <c r="P3934" s="6" t="s">
        <v>51</v>
      </c>
      <c r="Q3934" s="8" t="s">
        <v>52</v>
      </c>
      <c r="R3934" s="10" t="s">
        <v>9434</v>
      </c>
      <c r="S3934" s="11" t="s">
        <v>22919</v>
      </c>
      <c r="T3934" s="6"/>
      <c r="U3934" s="15" t="str">
        <f>HYPERLINK("https://media.infra-m.ru/2216/2216697/cover/2216697.jpg", "Обложка")</f>
        <v>Обложка</v>
      </c>
      <c r="V3934" s="8" t="s">
        <v>22920</v>
      </c>
      <c r="W3934" s="6"/>
      <c r="X3934" s="6"/>
      <c r="Y3934" s="6"/>
      <c r="Z3934" s="6"/>
      <c r="AA3934" s="6" t="s">
        <v>55</v>
      </c>
      <c r="AB3934" s="8"/>
      <c r="AC3934" s="27">
        <v>9785160211893</v>
      </c>
    </row>
    <row r="3935" spans="1:29" s="4" customFormat="1" ht="51.9" customHeight="1" x14ac:dyDescent="0.2">
      <c r="A3935" s="5">
        <v>0</v>
      </c>
      <c r="B3935" s="6" t="s">
        <v>22921</v>
      </c>
      <c r="C3935" s="7">
        <v>1884</v>
      </c>
      <c r="D3935" s="8" t="s">
        <v>22922</v>
      </c>
      <c r="E3935" s="8" t="s">
        <v>22916</v>
      </c>
      <c r="F3935" s="8" t="s">
        <v>22917</v>
      </c>
      <c r="G3935" s="6" t="s">
        <v>118</v>
      </c>
      <c r="H3935" s="6" t="s">
        <v>34</v>
      </c>
      <c r="I3935" s="8" t="s">
        <v>263</v>
      </c>
      <c r="J3935" s="9">
        <v>1</v>
      </c>
      <c r="K3935" s="9">
        <v>271</v>
      </c>
      <c r="L3935" s="9">
        <v>2026</v>
      </c>
      <c r="M3935" s="8" t="s">
        <v>22923</v>
      </c>
      <c r="N3935" s="8" t="s">
        <v>243</v>
      </c>
      <c r="O3935" s="8" t="s">
        <v>758</v>
      </c>
      <c r="P3935" s="6" t="s">
        <v>51</v>
      </c>
      <c r="Q3935" s="8" t="s">
        <v>265</v>
      </c>
      <c r="R3935" s="10" t="s">
        <v>22924</v>
      </c>
      <c r="S3935" s="11" t="s">
        <v>22925</v>
      </c>
      <c r="T3935" s="6"/>
      <c r="U3935" s="15" t="str">
        <f>HYPERLINK("https://media.infra-m.ru/2260/2260850/cover/2260850.jpg", "Обложка")</f>
        <v>Обложка</v>
      </c>
      <c r="V3935" s="8" t="s">
        <v>22920</v>
      </c>
      <c r="W3935" s="6"/>
      <c r="X3935" s="6" t="s">
        <v>24</v>
      </c>
      <c r="Y3935" s="6"/>
      <c r="Z3935" s="6" t="s">
        <v>267</v>
      </c>
      <c r="AA3935" s="6" t="s">
        <v>1256</v>
      </c>
      <c r="AB3935" s="8"/>
      <c r="AC3935" s="27">
        <v>9785160156118</v>
      </c>
    </row>
    <row r="3936" spans="1:29" s="4" customFormat="1" ht="42" customHeight="1" x14ac:dyDescent="0.2">
      <c r="A3936" s="5">
        <v>0</v>
      </c>
      <c r="B3936" s="6" t="s">
        <v>22926</v>
      </c>
      <c r="C3936" s="7">
        <v>2148</v>
      </c>
      <c r="D3936" s="8" t="s">
        <v>22927</v>
      </c>
      <c r="E3936" s="8" t="s">
        <v>22928</v>
      </c>
      <c r="F3936" s="8" t="s">
        <v>22929</v>
      </c>
      <c r="G3936" s="6" t="s">
        <v>60</v>
      </c>
      <c r="H3936" s="6" t="s">
        <v>34</v>
      </c>
      <c r="I3936" s="8" t="s">
        <v>253</v>
      </c>
      <c r="J3936" s="9">
        <v>1</v>
      </c>
      <c r="K3936" s="9">
        <v>311</v>
      </c>
      <c r="L3936" s="9">
        <v>2025</v>
      </c>
      <c r="M3936" s="8" t="s">
        <v>22930</v>
      </c>
      <c r="N3936" s="8" t="s">
        <v>243</v>
      </c>
      <c r="O3936" s="8" t="s">
        <v>758</v>
      </c>
      <c r="P3936" s="6" t="s">
        <v>601</v>
      </c>
      <c r="Q3936" s="8" t="s">
        <v>65</v>
      </c>
      <c r="R3936" s="10" t="s">
        <v>22931</v>
      </c>
      <c r="S3936" s="11"/>
      <c r="T3936" s="6"/>
      <c r="U3936" s="15" t="str">
        <f>HYPERLINK("https://media.infra-m.ru/1840/1840325/cover/1840325.jpg", "Обложка")</f>
        <v>Обложка</v>
      </c>
      <c r="V3936" s="8" t="s">
        <v>227</v>
      </c>
      <c r="W3936" s="6"/>
      <c r="X3936" s="6"/>
      <c r="Y3936" s="6"/>
      <c r="Z3936" s="6"/>
      <c r="AA3936" s="6" t="s">
        <v>76</v>
      </c>
      <c r="AB3936" s="8"/>
      <c r="AC3936" s="27">
        <v>9785160172897</v>
      </c>
    </row>
    <row r="3937" spans="1:29" s="4" customFormat="1" ht="51.9" customHeight="1" x14ac:dyDescent="0.2">
      <c r="A3937" s="5">
        <v>0</v>
      </c>
      <c r="B3937" s="6" t="s">
        <v>22932</v>
      </c>
      <c r="C3937" s="7">
        <v>3064.8</v>
      </c>
      <c r="D3937" s="8" t="s">
        <v>22933</v>
      </c>
      <c r="E3937" s="8" t="s">
        <v>22934</v>
      </c>
      <c r="F3937" s="8" t="s">
        <v>1932</v>
      </c>
      <c r="G3937" s="6" t="s">
        <v>60</v>
      </c>
      <c r="H3937" s="6" t="s">
        <v>34</v>
      </c>
      <c r="I3937" s="8" t="s">
        <v>263</v>
      </c>
      <c r="J3937" s="9">
        <v>1</v>
      </c>
      <c r="K3937" s="9">
        <v>464</v>
      </c>
      <c r="L3937" s="9">
        <v>2026</v>
      </c>
      <c r="M3937" s="8" t="s">
        <v>22935</v>
      </c>
      <c r="N3937" s="8" t="s">
        <v>243</v>
      </c>
      <c r="O3937" s="8" t="s">
        <v>758</v>
      </c>
      <c r="P3937" s="6" t="s">
        <v>51</v>
      </c>
      <c r="Q3937" s="8" t="s">
        <v>265</v>
      </c>
      <c r="R3937" s="10" t="s">
        <v>22936</v>
      </c>
      <c r="S3937" s="11" t="s">
        <v>22937</v>
      </c>
      <c r="T3937" s="6"/>
      <c r="U3937" s="15" t="str">
        <f>HYPERLINK("https://media.infra-m.ru/2230/2230630/cover/2230630.jpg", "Обложка")</f>
        <v>Обложка</v>
      </c>
      <c r="V3937" s="8" t="s">
        <v>227</v>
      </c>
      <c r="W3937" s="6"/>
      <c r="X3937" s="6"/>
      <c r="Y3937" s="6"/>
      <c r="Z3937" s="6"/>
      <c r="AA3937" s="6" t="s">
        <v>896</v>
      </c>
      <c r="AB3937" s="8"/>
      <c r="AC3937" s="27">
        <v>9785160177540</v>
      </c>
    </row>
    <row r="3938" spans="1:29" s="4" customFormat="1" ht="51.9" customHeight="1" x14ac:dyDescent="0.2">
      <c r="A3938" s="5">
        <v>0</v>
      </c>
      <c r="B3938" s="6" t="s">
        <v>22938</v>
      </c>
      <c r="C3938" s="7">
        <v>3288</v>
      </c>
      <c r="D3938" s="8" t="s">
        <v>22939</v>
      </c>
      <c r="E3938" s="8" t="s">
        <v>22940</v>
      </c>
      <c r="F3938" s="8" t="s">
        <v>22941</v>
      </c>
      <c r="G3938" s="6" t="s">
        <v>60</v>
      </c>
      <c r="H3938" s="6" t="s">
        <v>34</v>
      </c>
      <c r="I3938" s="8" t="s">
        <v>288</v>
      </c>
      <c r="J3938" s="9">
        <v>1</v>
      </c>
      <c r="K3938" s="9">
        <v>498</v>
      </c>
      <c r="L3938" s="9">
        <v>2026</v>
      </c>
      <c r="M3938" s="8" t="s">
        <v>22942</v>
      </c>
      <c r="N3938" s="8" t="s">
        <v>37</v>
      </c>
      <c r="O3938" s="8" t="s">
        <v>290</v>
      </c>
      <c r="P3938" s="6" t="s">
        <v>306</v>
      </c>
      <c r="Q3938" s="8" t="s">
        <v>65</v>
      </c>
      <c r="R3938" s="10" t="s">
        <v>22943</v>
      </c>
      <c r="S3938" s="11" t="s">
        <v>22944</v>
      </c>
      <c r="T3938" s="6" t="s">
        <v>97</v>
      </c>
      <c r="U3938" s="15" t="str">
        <f>HYPERLINK("https://media.infra-m.ru/2233/2233964/cover/2233964.jpg", "Обложка")</f>
        <v>Обложка</v>
      </c>
      <c r="V3938" s="8" t="s">
        <v>10985</v>
      </c>
      <c r="W3938" s="6"/>
      <c r="X3938" s="6"/>
      <c r="Y3938" s="6"/>
      <c r="Z3938" s="6"/>
      <c r="AA3938" s="6" t="s">
        <v>99</v>
      </c>
      <c r="AB3938" s="8" t="s">
        <v>493</v>
      </c>
      <c r="AC3938" s="27">
        <v>9785160181387</v>
      </c>
    </row>
    <row r="3939" spans="1:29" s="4" customFormat="1" ht="42" customHeight="1" x14ac:dyDescent="0.2">
      <c r="A3939" s="5">
        <v>0</v>
      </c>
      <c r="B3939" s="6" t="s">
        <v>22945</v>
      </c>
      <c r="C3939" s="13">
        <v>408</v>
      </c>
      <c r="D3939" s="8" t="s">
        <v>22946</v>
      </c>
      <c r="E3939" s="8" t="s">
        <v>22947</v>
      </c>
      <c r="F3939" s="8" t="s">
        <v>6770</v>
      </c>
      <c r="G3939" s="6" t="s">
        <v>33</v>
      </c>
      <c r="H3939" s="6" t="s">
        <v>34</v>
      </c>
      <c r="I3939" s="8" t="s">
        <v>6772</v>
      </c>
      <c r="J3939" s="9">
        <v>1</v>
      </c>
      <c r="K3939" s="9">
        <v>53</v>
      </c>
      <c r="L3939" s="9">
        <v>2023</v>
      </c>
      <c r="M3939" s="8" t="s">
        <v>22948</v>
      </c>
      <c r="N3939" s="8" t="s">
        <v>37</v>
      </c>
      <c r="O3939" s="8" t="s">
        <v>290</v>
      </c>
      <c r="P3939" s="6" t="s">
        <v>7146</v>
      </c>
      <c r="Q3939" s="8" t="s">
        <v>3587</v>
      </c>
      <c r="R3939" s="10" t="s">
        <v>22949</v>
      </c>
      <c r="S3939" s="11"/>
      <c r="T3939" s="6"/>
      <c r="U3939" s="15" t="str">
        <f>HYPERLINK("https://media.infra-m.ru/1903/1903314/cover/1903314.jpg", "Обложка")</f>
        <v>Обложка</v>
      </c>
      <c r="V3939" s="8"/>
      <c r="W3939" s="6"/>
      <c r="X3939" s="6"/>
      <c r="Y3939" s="6"/>
      <c r="Z3939" s="6"/>
      <c r="AA3939" s="6" t="s">
        <v>157</v>
      </c>
      <c r="AB3939" s="8"/>
      <c r="AC3939" s="27">
        <v>9785160180052</v>
      </c>
    </row>
    <row r="3940" spans="1:29" s="4" customFormat="1" ht="51.9" customHeight="1" x14ac:dyDescent="0.2">
      <c r="A3940" s="5">
        <v>0</v>
      </c>
      <c r="B3940" s="6" t="s">
        <v>22950</v>
      </c>
      <c r="C3940" s="7">
        <v>1312.8</v>
      </c>
      <c r="D3940" s="8" t="s">
        <v>22951</v>
      </c>
      <c r="E3940" s="8" t="s">
        <v>22952</v>
      </c>
      <c r="F3940" s="8" t="s">
        <v>22953</v>
      </c>
      <c r="G3940" s="6" t="s">
        <v>118</v>
      </c>
      <c r="H3940" s="6" t="s">
        <v>34</v>
      </c>
      <c r="I3940" s="8" t="s">
        <v>2171</v>
      </c>
      <c r="J3940" s="9">
        <v>1</v>
      </c>
      <c r="K3940" s="9">
        <v>188</v>
      </c>
      <c r="L3940" s="9">
        <v>2027</v>
      </c>
      <c r="M3940" s="8" t="s">
        <v>22954</v>
      </c>
      <c r="N3940" s="8" t="s">
        <v>243</v>
      </c>
      <c r="O3940" s="8" t="s">
        <v>964</v>
      </c>
      <c r="P3940" s="6" t="s">
        <v>51</v>
      </c>
      <c r="Q3940" s="8" t="s">
        <v>65</v>
      </c>
      <c r="R3940" s="10" t="s">
        <v>22955</v>
      </c>
      <c r="S3940" s="11"/>
      <c r="T3940" s="6"/>
      <c r="U3940" s="15" t="str">
        <f>HYPERLINK("https://media.infra-m.ru/2271/2271375/cover/2271375.jpg", "Обложка")</f>
        <v>Обложка</v>
      </c>
      <c r="V3940" s="8" t="s">
        <v>2175</v>
      </c>
      <c r="W3940" s="6"/>
      <c r="X3940" s="6"/>
      <c r="Y3940" s="6"/>
      <c r="Z3940" s="6"/>
      <c r="AA3940" s="6" t="s">
        <v>430</v>
      </c>
      <c r="AB3940" s="8"/>
      <c r="AC3940" s="27">
        <v>9785160163192</v>
      </c>
    </row>
    <row r="3941" spans="1:29" s="4" customFormat="1" ht="51.9" customHeight="1" x14ac:dyDescent="0.2">
      <c r="A3941" s="5">
        <v>0</v>
      </c>
      <c r="B3941" s="6" t="s">
        <v>22956</v>
      </c>
      <c r="C3941" s="7">
        <v>2164.8000000000002</v>
      </c>
      <c r="D3941" s="8" t="s">
        <v>22957</v>
      </c>
      <c r="E3941" s="8" t="s">
        <v>22958</v>
      </c>
      <c r="F3941" s="8" t="s">
        <v>22959</v>
      </c>
      <c r="G3941" s="6" t="s">
        <v>118</v>
      </c>
      <c r="H3941" s="6" t="s">
        <v>34</v>
      </c>
      <c r="I3941" s="8" t="s">
        <v>2171</v>
      </c>
      <c r="J3941" s="9">
        <v>1</v>
      </c>
      <c r="K3941" s="9">
        <v>328</v>
      </c>
      <c r="L3941" s="9">
        <v>2026</v>
      </c>
      <c r="M3941" s="8" t="s">
        <v>22960</v>
      </c>
      <c r="N3941" s="8" t="s">
        <v>243</v>
      </c>
      <c r="O3941" s="8" t="s">
        <v>964</v>
      </c>
      <c r="P3941" s="6" t="s">
        <v>1293</v>
      </c>
      <c r="Q3941" s="8" t="s">
        <v>65</v>
      </c>
      <c r="R3941" s="10" t="s">
        <v>22961</v>
      </c>
      <c r="S3941" s="11"/>
      <c r="T3941" s="6"/>
      <c r="U3941" s="15" t="str">
        <f>HYPERLINK("https://media.infra-m.ru/2232/2232612/cover/2232612.jpg", "Обложка")</f>
        <v>Обложка</v>
      </c>
      <c r="V3941" s="8" t="s">
        <v>2175</v>
      </c>
      <c r="W3941" s="6"/>
      <c r="X3941" s="6"/>
      <c r="Y3941" s="6"/>
      <c r="Z3941" s="6"/>
      <c r="AA3941" s="6" t="s">
        <v>115</v>
      </c>
      <c r="AB3941" s="8"/>
      <c r="AC3941" s="27">
        <v>9785160153360</v>
      </c>
    </row>
    <row r="3942" spans="1:29" s="4" customFormat="1" ht="51.9" customHeight="1" x14ac:dyDescent="0.2">
      <c r="A3942" s="5">
        <v>0</v>
      </c>
      <c r="B3942" s="6" t="s">
        <v>22962</v>
      </c>
      <c r="C3942" s="13">
        <v>960</v>
      </c>
      <c r="D3942" s="8" t="s">
        <v>22963</v>
      </c>
      <c r="E3942" s="8" t="s">
        <v>22964</v>
      </c>
      <c r="F3942" s="8" t="s">
        <v>22965</v>
      </c>
      <c r="G3942" s="6" t="s">
        <v>33</v>
      </c>
      <c r="H3942" s="6" t="s">
        <v>34</v>
      </c>
      <c r="I3942" s="8" t="s">
        <v>253</v>
      </c>
      <c r="J3942" s="9">
        <v>1</v>
      </c>
      <c r="K3942" s="9">
        <v>168</v>
      </c>
      <c r="L3942" s="9">
        <v>2024</v>
      </c>
      <c r="M3942" s="8" t="s">
        <v>22966</v>
      </c>
      <c r="N3942" s="8" t="s">
        <v>585</v>
      </c>
      <c r="O3942" s="8" t="s">
        <v>775</v>
      </c>
      <c r="P3942" s="6" t="s">
        <v>51</v>
      </c>
      <c r="Q3942" s="8" t="s">
        <v>52</v>
      </c>
      <c r="R3942" s="10" t="s">
        <v>22967</v>
      </c>
      <c r="S3942" s="11" t="s">
        <v>22968</v>
      </c>
      <c r="T3942" s="6"/>
      <c r="U3942" s="15" t="str">
        <f>HYPERLINK("https://media.infra-m.ru/2096/2096937/cover/2096937.jpg", "Обложка")</f>
        <v>Обложка</v>
      </c>
      <c r="V3942" s="8" t="s">
        <v>2382</v>
      </c>
      <c r="W3942" s="6"/>
      <c r="X3942" s="6" t="s">
        <v>24</v>
      </c>
      <c r="Y3942" s="6"/>
      <c r="Z3942" s="6"/>
      <c r="AA3942" s="6" t="s">
        <v>360</v>
      </c>
      <c r="AB3942" s="8"/>
      <c r="AC3942" s="27">
        <v>9785160192239</v>
      </c>
    </row>
    <row r="3943" spans="1:29" s="4" customFormat="1" ht="42" customHeight="1" x14ac:dyDescent="0.2">
      <c r="A3943" s="5">
        <v>0</v>
      </c>
      <c r="B3943" s="6" t="s">
        <v>22969</v>
      </c>
      <c r="C3943" s="7">
        <v>3110.4</v>
      </c>
      <c r="D3943" s="8" t="s">
        <v>22970</v>
      </c>
      <c r="E3943" s="8" t="s">
        <v>22971</v>
      </c>
      <c r="F3943" s="8" t="s">
        <v>22972</v>
      </c>
      <c r="G3943" s="6" t="s">
        <v>33</v>
      </c>
      <c r="H3943" s="6" t="s">
        <v>34</v>
      </c>
      <c r="I3943" s="8"/>
      <c r="J3943" s="9">
        <v>1</v>
      </c>
      <c r="K3943" s="9">
        <v>266</v>
      </c>
      <c r="L3943" s="9">
        <v>2026</v>
      </c>
      <c r="M3943" s="8" t="s">
        <v>22973</v>
      </c>
      <c r="N3943" s="8" t="s">
        <v>63</v>
      </c>
      <c r="O3943" s="8" t="s">
        <v>64</v>
      </c>
      <c r="P3943" s="6" t="s">
        <v>51</v>
      </c>
      <c r="Q3943" s="8" t="s">
        <v>52</v>
      </c>
      <c r="R3943" s="10" t="s">
        <v>3559</v>
      </c>
      <c r="S3943" s="11"/>
      <c r="T3943" s="6" t="s">
        <v>97</v>
      </c>
      <c r="U3943" s="15" t="str">
        <f>HYPERLINK("https://media.infra-m.ru/2255/2255709/cover/2255709.jpg", "Обложка")</f>
        <v>Обложка</v>
      </c>
      <c r="V3943" s="8" t="s">
        <v>217</v>
      </c>
      <c r="W3943" s="6"/>
      <c r="X3943" s="6"/>
      <c r="Y3943" s="6"/>
      <c r="Z3943" s="6"/>
      <c r="AA3943" s="6" t="s">
        <v>2311</v>
      </c>
      <c r="AB3943" s="8"/>
      <c r="AC3943" s="27">
        <v>9785160221588</v>
      </c>
    </row>
    <row r="3944" spans="1:29" s="4" customFormat="1" ht="51.9" customHeight="1" x14ac:dyDescent="0.2">
      <c r="A3944" s="5">
        <v>0</v>
      </c>
      <c r="B3944" s="6" t="s">
        <v>22974</v>
      </c>
      <c r="C3944" s="7">
        <v>1048.8</v>
      </c>
      <c r="D3944" s="8" t="s">
        <v>22975</v>
      </c>
      <c r="E3944" s="8" t="s">
        <v>22976</v>
      </c>
      <c r="F3944" s="8" t="s">
        <v>2509</v>
      </c>
      <c r="G3944" s="6" t="s">
        <v>33</v>
      </c>
      <c r="H3944" s="6" t="s">
        <v>34</v>
      </c>
      <c r="I3944" s="8" t="s">
        <v>253</v>
      </c>
      <c r="J3944" s="9">
        <v>1</v>
      </c>
      <c r="K3944" s="9">
        <v>158</v>
      </c>
      <c r="L3944" s="9">
        <v>2026</v>
      </c>
      <c r="M3944" s="8" t="s">
        <v>22977</v>
      </c>
      <c r="N3944" s="8" t="s">
        <v>243</v>
      </c>
      <c r="O3944" s="8" t="s">
        <v>385</v>
      </c>
      <c r="P3944" s="6" t="s">
        <v>51</v>
      </c>
      <c r="Q3944" s="8" t="s">
        <v>65</v>
      </c>
      <c r="R3944" s="10" t="s">
        <v>22978</v>
      </c>
      <c r="S3944" s="11" t="s">
        <v>22979</v>
      </c>
      <c r="T3944" s="6"/>
      <c r="U3944" s="15" t="str">
        <f>HYPERLINK("https://media.infra-m.ru/2224/2224161/cover/2224161.jpg", "Обложка")</f>
        <v>Обложка</v>
      </c>
      <c r="V3944" s="8" t="s">
        <v>2513</v>
      </c>
      <c r="W3944" s="6"/>
      <c r="X3944" s="6"/>
      <c r="Y3944" s="6"/>
      <c r="Z3944" s="6"/>
      <c r="AA3944" s="6" t="s">
        <v>248</v>
      </c>
      <c r="AB3944" s="8"/>
      <c r="AC3944" s="27">
        <v>9785160090528</v>
      </c>
    </row>
    <row r="3945" spans="1:29" s="4" customFormat="1" ht="51.9" customHeight="1" x14ac:dyDescent="0.2">
      <c r="A3945" s="5">
        <v>0</v>
      </c>
      <c r="B3945" s="6" t="s">
        <v>22980</v>
      </c>
      <c r="C3945" s="7">
        <v>2020.8</v>
      </c>
      <c r="D3945" s="8" t="s">
        <v>22981</v>
      </c>
      <c r="E3945" s="8" t="s">
        <v>22982</v>
      </c>
      <c r="F3945" s="8" t="s">
        <v>22983</v>
      </c>
      <c r="G3945" s="6" t="s">
        <v>118</v>
      </c>
      <c r="H3945" s="6" t="s">
        <v>34</v>
      </c>
      <c r="I3945" s="8" t="s">
        <v>271</v>
      </c>
      <c r="J3945" s="9">
        <v>1</v>
      </c>
      <c r="K3945" s="9">
        <v>307</v>
      </c>
      <c r="L3945" s="9">
        <v>2026</v>
      </c>
      <c r="M3945" s="8" t="s">
        <v>22984</v>
      </c>
      <c r="N3945" s="8" t="s">
        <v>243</v>
      </c>
      <c r="O3945" s="8" t="s">
        <v>1100</v>
      </c>
      <c r="P3945" s="6" t="s">
        <v>306</v>
      </c>
      <c r="Q3945" s="8" t="s">
        <v>52</v>
      </c>
      <c r="R3945" s="10" t="s">
        <v>22985</v>
      </c>
      <c r="S3945" s="11" t="s">
        <v>22986</v>
      </c>
      <c r="T3945" s="6"/>
      <c r="U3945" s="15" t="str">
        <f>HYPERLINK("https://media.infra-m.ru/2257/2257156/cover/2257156.jpg", "Обложка")</f>
        <v>Обложка</v>
      </c>
      <c r="V3945" s="8" t="s">
        <v>1030</v>
      </c>
      <c r="W3945" s="6"/>
      <c r="X3945" s="6"/>
      <c r="Y3945" s="6"/>
      <c r="Z3945" s="6"/>
      <c r="AA3945" s="6" t="s">
        <v>99</v>
      </c>
      <c r="AB3945" s="8"/>
      <c r="AC3945" s="27">
        <v>9785160123097</v>
      </c>
    </row>
    <row r="3946" spans="1:29" s="4" customFormat="1" ht="51.9" customHeight="1" x14ac:dyDescent="0.2">
      <c r="A3946" s="5">
        <v>0</v>
      </c>
      <c r="B3946" s="6" t="s">
        <v>22987</v>
      </c>
      <c r="C3946" s="7">
        <v>2028</v>
      </c>
      <c r="D3946" s="8" t="s">
        <v>22988</v>
      </c>
      <c r="E3946" s="8" t="s">
        <v>22982</v>
      </c>
      <c r="F3946" s="8" t="s">
        <v>22983</v>
      </c>
      <c r="G3946" s="6" t="s">
        <v>60</v>
      </c>
      <c r="H3946" s="6" t="s">
        <v>34</v>
      </c>
      <c r="I3946" s="8" t="s">
        <v>263</v>
      </c>
      <c r="J3946" s="9">
        <v>1</v>
      </c>
      <c r="K3946" s="9">
        <v>307</v>
      </c>
      <c r="L3946" s="9">
        <v>2026</v>
      </c>
      <c r="M3946" s="8" t="s">
        <v>22989</v>
      </c>
      <c r="N3946" s="8" t="s">
        <v>243</v>
      </c>
      <c r="O3946" s="8" t="s">
        <v>1100</v>
      </c>
      <c r="P3946" s="6" t="s">
        <v>306</v>
      </c>
      <c r="Q3946" s="8" t="s">
        <v>265</v>
      </c>
      <c r="R3946" s="10" t="s">
        <v>22990</v>
      </c>
      <c r="S3946" s="11" t="s">
        <v>22991</v>
      </c>
      <c r="T3946" s="6"/>
      <c r="U3946" s="15" t="str">
        <f>HYPERLINK("https://media.infra-m.ru/2257/2257202/cover/2257202.jpg", "Обложка")</f>
        <v>Обложка</v>
      </c>
      <c r="V3946" s="8" t="s">
        <v>1030</v>
      </c>
      <c r="W3946" s="6"/>
      <c r="X3946" s="6"/>
      <c r="Y3946" s="6"/>
      <c r="Z3946" s="6" t="s">
        <v>267</v>
      </c>
      <c r="AA3946" s="6" t="s">
        <v>148</v>
      </c>
      <c r="AB3946" s="8"/>
      <c r="AC3946" s="27">
        <v>9785160172286</v>
      </c>
    </row>
    <row r="3947" spans="1:29" s="4" customFormat="1" ht="51.9" customHeight="1" x14ac:dyDescent="0.2">
      <c r="A3947" s="5">
        <v>0</v>
      </c>
      <c r="B3947" s="6" t="s">
        <v>22992</v>
      </c>
      <c r="C3947" s="13">
        <v>984</v>
      </c>
      <c r="D3947" s="8" t="s">
        <v>22993</v>
      </c>
      <c r="E3947" s="8" t="s">
        <v>22994</v>
      </c>
      <c r="F3947" s="8" t="s">
        <v>22995</v>
      </c>
      <c r="G3947" s="6" t="s">
        <v>33</v>
      </c>
      <c r="H3947" s="6" t="s">
        <v>34</v>
      </c>
      <c r="I3947" s="8" t="s">
        <v>35</v>
      </c>
      <c r="J3947" s="9">
        <v>1</v>
      </c>
      <c r="K3947" s="9">
        <v>163</v>
      </c>
      <c r="L3947" s="9">
        <v>2025</v>
      </c>
      <c r="M3947" s="8" t="s">
        <v>22996</v>
      </c>
      <c r="N3947" s="8" t="s">
        <v>37</v>
      </c>
      <c r="O3947" s="8" t="s">
        <v>233</v>
      </c>
      <c r="P3947" s="6" t="s">
        <v>39</v>
      </c>
      <c r="Q3947" s="8" t="s">
        <v>40</v>
      </c>
      <c r="R3947" s="10" t="s">
        <v>22997</v>
      </c>
      <c r="S3947" s="11"/>
      <c r="T3947" s="6"/>
      <c r="U3947" s="15" t="str">
        <f>HYPERLINK("https://media.infra-m.ru/2164/2164000/cover/2164000.jpg", "Обложка")</f>
        <v>Обложка</v>
      </c>
      <c r="V3947" s="8" t="s">
        <v>1599</v>
      </c>
      <c r="W3947" s="6"/>
      <c r="X3947" s="6"/>
      <c r="Y3947" s="6"/>
      <c r="Z3947" s="6"/>
      <c r="AA3947" s="6" t="s">
        <v>1256</v>
      </c>
      <c r="AB3947" s="8"/>
      <c r="AC3947" s="27">
        <v>9785160157986</v>
      </c>
    </row>
    <row r="3948" spans="1:29" s="4" customFormat="1" ht="42" customHeight="1" x14ac:dyDescent="0.2">
      <c r="A3948" s="5">
        <v>0</v>
      </c>
      <c r="B3948" s="6" t="s">
        <v>22998</v>
      </c>
      <c r="C3948" s="13">
        <v>648</v>
      </c>
      <c r="D3948" s="8" t="s">
        <v>22999</v>
      </c>
      <c r="E3948" s="8" t="s">
        <v>23000</v>
      </c>
      <c r="F3948" s="8" t="s">
        <v>23001</v>
      </c>
      <c r="G3948" s="6" t="s">
        <v>33</v>
      </c>
      <c r="H3948" s="6" t="s">
        <v>34</v>
      </c>
      <c r="I3948" s="8" t="s">
        <v>35</v>
      </c>
      <c r="J3948" s="9">
        <v>1</v>
      </c>
      <c r="K3948" s="9">
        <v>108</v>
      </c>
      <c r="L3948" s="9">
        <v>2024</v>
      </c>
      <c r="M3948" s="8" t="s">
        <v>23002</v>
      </c>
      <c r="N3948" s="8" t="s">
        <v>37</v>
      </c>
      <c r="O3948" s="8" t="s">
        <v>136</v>
      </c>
      <c r="P3948" s="6" t="s">
        <v>39</v>
      </c>
      <c r="Q3948" s="8" t="s">
        <v>40</v>
      </c>
      <c r="R3948" s="10" t="s">
        <v>9577</v>
      </c>
      <c r="S3948" s="11"/>
      <c r="T3948" s="6"/>
      <c r="U3948" s="15" t="str">
        <f>HYPERLINK("https://media.infra-m.ru/2155/2155757/cover/2155757.jpg", "Обложка")</f>
        <v>Обложка</v>
      </c>
      <c r="V3948" s="8" t="s">
        <v>1483</v>
      </c>
      <c r="W3948" s="6"/>
      <c r="X3948" s="6"/>
      <c r="Y3948" s="6"/>
      <c r="Z3948" s="6"/>
      <c r="AA3948" s="6" t="s">
        <v>99</v>
      </c>
      <c r="AB3948" s="8"/>
      <c r="AC3948" s="27">
        <v>9785160127217</v>
      </c>
    </row>
    <row r="3949" spans="1:29" s="4" customFormat="1" ht="51.9" customHeight="1" x14ac:dyDescent="0.2">
      <c r="A3949" s="5">
        <v>0</v>
      </c>
      <c r="B3949" s="6" t="s">
        <v>23003</v>
      </c>
      <c r="C3949" s="13">
        <v>892.8</v>
      </c>
      <c r="D3949" s="8" t="s">
        <v>23004</v>
      </c>
      <c r="E3949" s="8" t="s">
        <v>23005</v>
      </c>
      <c r="F3949" s="8" t="s">
        <v>23006</v>
      </c>
      <c r="G3949" s="6" t="s">
        <v>33</v>
      </c>
      <c r="H3949" s="6" t="s">
        <v>34</v>
      </c>
      <c r="I3949" s="8" t="s">
        <v>35</v>
      </c>
      <c r="J3949" s="9">
        <v>1</v>
      </c>
      <c r="K3949" s="9">
        <v>144</v>
      </c>
      <c r="L3949" s="9">
        <v>2025</v>
      </c>
      <c r="M3949" s="8" t="s">
        <v>23007</v>
      </c>
      <c r="N3949" s="8" t="s">
        <v>37</v>
      </c>
      <c r="O3949" s="8" t="s">
        <v>280</v>
      </c>
      <c r="P3949" s="6" t="s">
        <v>39</v>
      </c>
      <c r="Q3949" s="8" t="s">
        <v>40</v>
      </c>
      <c r="R3949" s="10" t="s">
        <v>23008</v>
      </c>
      <c r="S3949" s="11"/>
      <c r="T3949" s="6"/>
      <c r="U3949" s="15" t="str">
        <f>HYPERLINK("https://media.infra-m.ru/2209/2209272/cover/2209272.jpg", "Обложка")</f>
        <v>Обложка</v>
      </c>
      <c r="V3949" s="8" t="s">
        <v>227</v>
      </c>
      <c r="W3949" s="6"/>
      <c r="X3949" s="6"/>
      <c r="Y3949" s="6"/>
      <c r="Z3949" s="6"/>
      <c r="AA3949" s="6" t="s">
        <v>129</v>
      </c>
      <c r="AB3949" s="8"/>
      <c r="AC3949" s="27">
        <v>9785160045238</v>
      </c>
    </row>
    <row r="3950" spans="1:29" s="4" customFormat="1" ht="51.9" customHeight="1" x14ac:dyDescent="0.2">
      <c r="A3950" s="5">
        <v>0</v>
      </c>
      <c r="B3950" s="6" t="s">
        <v>23009</v>
      </c>
      <c r="C3950" s="7">
        <v>2280</v>
      </c>
      <c r="D3950" s="8" t="s">
        <v>23010</v>
      </c>
      <c r="E3950" s="8" t="s">
        <v>23011</v>
      </c>
      <c r="F3950" s="8" t="s">
        <v>23012</v>
      </c>
      <c r="G3950" s="6" t="s">
        <v>118</v>
      </c>
      <c r="H3950" s="6" t="s">
        <v>34</v>
      </c>
      <c r="I3950" s="8" t="s">
        <v>253</v>
      </c>
      <c r="J3950" s="9">
        <v>1</v>
      </c>
      <c r="K3950" s="9">
        <v>346</v>
      </c>
      <c r="L3950" s="9">
        <v>2026</v>
      </c>
      <c r="M3950" s="8" t="s">
        <v>23013</v>
      </c>
      <c r="N3950" s="8" t="s">
        <v>37</v>
      </c>
      <c r="O3950" s="8" t="s">
        <v>280</v>
      </c>
      <c r="P3950" s="6" t="s">
        <v>51</v>
      </c>
      <c r="Q3950" s="8" t="s">
        <v>65</v>
      </c>
      <c r="R3950" s="10" t="s">
        <v>1728</v>
      </c>
      <c r="S3950" s="11" t="s">
        <v>15288</v>
      </c>
      <c r="T3950" s="6"/>
      <c r="U3950" s="15" t="str">
        <f>HYPERLINK("https://media.infra-m.ru/2243/2243318/cover/2243318.jpg", "Обложка")</f>
        <v>Обложка</v>
      </c>
      <c r="V3950" s="8" t="s">
        <v>644</v>
      </c>
      <c r="W3950" s="6"/>
      <c r="X3950" s="6"/>
      <c r="Y3950" s="6"/>
      <c r="Z3950" s="6"/>
      <c r="AA3950" s="6" t="s">
        <v>779</v>
      </c>
      <c r="AB3950" s="8"/>
      <c r="AC3950" s="27">
        <v>9785160186351</v>
      </c>
    </row>
    <row r="3951" spans="1:29" s="4" customFormat="1" ht="51.9" customHeight="1" x14ac:dyDescent="0.2">
      <c r="A3951" s="5">
        <v>0</v>
      </c>
      <c r="B3951" s="6" t="s">
        <v>23014</v>
      </c>
      <c r="C3951" s="7">
        <v>1548</v>
      </c>
      <c r="D3951" s="8" t="s">
        <v>23015</v>
      </c>
      <c r="E3951" s="8" t="s">
        <v>23016</v>
      </c>
      <c r="F3951" s="8" t="s">
        <v>23017</v>
      </c>
      <c r="G3951" s="6" t="s">
        <v>118</v>
      </c>
      <c r="H3951" s="6" t="s">
        <v>34</v>
      </c>
      <c r="I3951" s="8" t="s">
        <v>253</v>
      </c>
      <c r="J3951" s="9">
        <v>1</v>
      </c>
      <c r="K3951" s="9">
        <v>275</v>
      </c>
      <c r="L3951" s="9">
        <v>2024</v>
      </c>
      <c r="M3951" s="8" t="s">
        <v>23018</v>
      </c>
      <c r="N3951" s="8" t="s">
        <v>37</v>
      </c>
      <c r="O3951" s="8" t="s">
        <v>280</v>
      </c>
      <c r="P3951" s="6" t="s">
        <v>306</v>
      </c>
      <c r="Q3951" s="8" t="s">
        <v>65</v>
      </c>
      <c r="R3951" s="10" t="s">
        <v>11902</v>
      </c>
      <c r="S3951" s="11" t="s">
        <v>23019</v>
      </c>
      <c r="T3951" s="6" t="s">
        <v>97</v>
      </c>
      <c r="U3951" s="15" t="str">
        <f>HYPERLINK("https://media.infra-m.ru/2075/2075159/cover/2075159.jpg", "Обложка")</f>
        <v>Обложка</v>
      </c>
      <c r="V3951" s="8" t="s">
        <v>3109</v>
      </c>
      <c r="W3951" s="6"/>
      <c r="X3951" s="6"/>
      <c r="Y3951" s="6"/>
      <c r="Z3951" s="6"/>
      <c r="AA3951" s="6" t="s">
        <v>218</v>
      </c>
      <c r="AB3951" s="8"/>
      <c r="AC3951" s="27">
        <v>9785160188867</v>
      </c>
    </row>
    <row r="3952" spans="1:29" s="4" customFormat="1" ht="51.9" customHeight="1" x14ac:dyDescent="0.2">
      <c r="A3952" s="5">
        <v>0</v>
      </c>
      <c r="B3952" s="6" t="s">
        <v>23020</v>
      </c>
      <c r="C3952" s="7">
        <v>2092.8000000000002</v>
      </c>
      <c r="D3952" s="8" t="s">
        <v>23021</v>
      </c>
      <c r="E3952" s="8" t="s">
        <v>23022</v>
      </c>
      <c r="F3952" s="8" t="s">
        <v>23023</v>
      </c>
      <c r="G3952" s="6" t="s">
        <v>60</v>
      </c>
      <c r="H3952" s="6" t="s">
        <v>34</v>
      </c>
      <c r="I3952" s="8" t="s">
        <v>253</v>
      </c>
      <c r="J3952" s="9">
        <v>1</v>
      </c>
      <c r="K3952" s="9">
        <v>378</v>
      </c>
      <c r="L3952" s="9">
        <v>2024</v>
      </c>
      <c r="M3952" s="8" t="s">
        <v>23024</v>
      </c>
      <c r="N3952" s="8" t="s">
        <v>37</v>
      </c>
      <c r="O3952" s="8" t="s">
        <v>280</v>
      </c>
      <c r="P3952" s="6" t="s">
        <v>51</v>
      </c>
      <c r="Q3952" s="8" t="s">
        <v>52</v>
      </c>
      <c r="R3952" s="10" t="s">
        <v>21135</v>
      </c>
      <c r="S3952" s="11" t="s">
        <v>23025</v>
      </c>
      <c r="T3952" s="6"/>
      <c r="U3952" s="15" t="str">
        <f>HYPERLINK("https://media.infra-m.ru/2054/2054988/cover/2054988.jpg", "Обложка")</f>
        <v>Обложка</v>
      </c>
      <c r="V3952" s="8" t="s">
        <v>23026</v>
      </c>
      <c r="W3952" s="6"/>
      <c r="X3952" s="6"/>
      <c r="Y3952" s="6"/>
      <c r="Z3952" s="6"/>
      <c r="AA3952" s="6" t="s">
        <v>11623</v>
      </c>
      <c r="AB3952" s="8"/>
      <c r="AC3952" s="27">
        <v>9785160060484</v>
      </c>
    </row>
    <row r="3953" spans="1:29" s="4" customFormat="1" ht="42" customHeight="1" x14ac:dyDescent="0.2">
      <c r="A3953" s="5">
        <v>0</v>
      </c>
      <c r="B3953" s="6" t="s">
        <v>23027</v>
      </c>
      <c r="C3953" s="13">
        <v>953.9</v>
      </c>
      <c r="D3953" s="8" t="s">
        <v>23028</v>
      </c>
      <c r="E3953" s="8" t="s">
        <v>23029</v>
      </c>
      <c r="F3953" s="8" t="s">
        <v>23030</v>
      </c>
      <c r="G3953" s="6" t="s">
        <v>60</v>
      </c>
      <c r="H3953" s="6" t="s">
        <v>1795</v>
      </c>
      <c r="I3953" s="8" t="s">
        <v>23031</v>
      </c>
      <c r="J3953" s="9">
        <v>1</v>
      </c>
      <c r="K3953" s="9">
        <v>272</v>
      </c>
      <c r="L3953" s="9">
        <v>2017</v>
      </c>
      <c r="M3953" s="8" t="s">
        <v>23032</v>
      </c>
      <c r="N3953" s="8" t="s">
        <v>37</v>
      </c>
      <c r="O3953" s="8" t="s">
        <v>280</v>
      </c>
      <c r="P3953" s="6" t="s">
        <v>306</v>
      </c>
      <c r="Q3953" s="8" t="s">
        <v>52</v>
      </c>
      <c r="R3953" s="10" t="s">
        <v>11902</v>
      </c>
      <c r="S3953" s="11"/>
      <c r="T3953" s="6"/>
      <c r="U3953" s="15" t="str">
        <f>HYPERLINK("https://media.infra-m.ru/0772/0772502/cover/772502.jpg", "Обложка")</f>
        <v>Обложка</v>
      </c>
      <c r="V3953" s="8" t="s">
        <v>3109</v>
      </c>
      <c r="W3953" s="6"/>
      <c r="X3953" s="6"/>
      <c r="Y3953" s="6"/>
      <c r="Z3953" s="6"/>
      <c r="AA3953" s="6" t="s">
        <v>274</v>
      </c>
      <c r="AB3953" s="8"/>
      <c r="AC3953" s="27">
        <v>9785982814197</v>
      </c>
    </row>
    <row r="3954" spans="1:29" s="4" customFormat="1" ht="51.9" customHeight="1" x14ac:dyDescent="0.2">
      <c r="A3954" s="5">
        <v>0</v>
      </c>
      <c r="B3954" s="6" t="s">
        <v>23033</v>
      </c>
      <c r="C3954" s="7">
        <v>2813.9</v>
      </c>
      <c r="D3954" s="8" t="s">
        <v>23034</v>
      </c>
      <c r="E3954" s="8" t="s">
        <v>23029</v>
      </c>
      <c r="F3954" s="8" t="s">
        <v>23035</v>
      </c>
      <c r="G3954" s="6" t="s">
        <v>118</v>
      </c>
      <c r="H3954" s="6" t="s">
        <v>34</v>
      </c>
      <c r="I3954" s="8" t="s">
        <v>271</v>
      </c>
      <c r="J3954" s="9">
        <v>1</v>
      </c>
      <c r="K3954" s="9">
        <v>524</v>
      </c>
      <c r="L3954" s="9">
        <v>2022</v>
      </c>
      <c r="M3954" s="8" t="s">
        <v>23036</v>
      </c>
      <c r="N3954" s="8" t="s">
        <v>37</v>
      </c>
      <c r="O3954" s="8" t="s">
        <v>280</v>
      </c>
      <c r="P3954" s="6" t="s">
        <v>306</v>
      </c>
      <c r="Q3954" s="8" t="s">
        <v>52</v>
      </c>
      <c r="R3954" s="10" t="s">
        <v>23037</v>
      </c>
      <c r="S3954" s="11" t="s">
        <v>23038</v>
      </c>
      <c r="T3954" s="6"/>
      <c r="U3954" s="15" t="str">
        <f>HYPERLINK("https://media.infra-m.ru/1914/1914601/cover/1914601.jpg", "Обложка")</f>
        <v>Обложка</v>
      </c>
      <c r="V3954" s="8" t="s">
        <v>1505</v>
      </c>
      <c r="W3954" s="6"/>
      <c r="X3954" s="6"/>
      <c r="Y3954" s="6"/>
      <c r="Z3954" s="6"/>
      <c r="AA3954" s="6" t="s">
        <v>561</v>
      </c>
      <c r="AB3954" s="8"/>
      <c r="AC3954" s="27">
        <v>9785160035444</v>
      </c>
    </row>
    <row r="3955" spans="1:29" s="4" customFormat="1" ht="51.9" customHeight="1" x14ac:dyDescent="0.2">
      <c r="A3955" s="5">
        <v>0</v>
      </c>
      <c r="B3955" s="6" t="s">
        <v>23039</v>
      </c>
      <c r="C3955" s="7">
        <v>1572</v>
      </c>
      <c r="D3955" s="8" t="s">
        <v>23040</v>
      </c>
      <c r="E3955" s="8" t="s">
        <v>23029</v>
      </c>
      <c r="F3955" s="8" t="s">
        <v>23041</v>
      </c>
      <c r="G3955" s="6" t="s">
        <v>118</v>
      </c>
      <c r="H3955" s="6" t="s">
        <v>34</v>
      </c>
      <c r="I3955" s="8" t="s">
        <v>271</v>
      </c>
      <c r="J3955" s="9">
        <v>1</v>
      </c>
      <c r="K3955" s="9">
        <v>278</v>
      </c>
      <c r="L3955" s="9">
        <v>2023</v>
      </c>
      <c r="M3955" s="8" t="s">
        <v>23042</v>
      </c>
      <c r="N3955" s="8" t="s">
        <v>37</v>
      </c>
      <c r="O3955" s="8" t="s">
        <v>280</v>
      </c>
      <c r="P3955" s="6" t="s">
        <v>306</v>
      </c>
      <c r="Q3955" s="8" t="s">
        <v>52</v>
      </c>
      <c r="R3955" s="10" t="s">
        <v>6377</v>
      </c>
      <c r="S3955" s="11" t="s">
        <v>23043</v>
      </c>
      <c r="T3955" s="6"/>
      <c r="U3955" s="15" t="str">
        <f>HYPERLINK("https://media.infra-m.ru/1960/1960099/cover/1960099.jpg", "Обложка")</f>
        <v>Обложка</v>
      </c>
      <c r="V3955" s="8" t="s">
        <v>10412</v>
      </c>
      <c r="W3955" s="6"/>
      <c r="X3955" s="6"/>
      <c r="Y3955" s="6"/>
      <c r="Z3955" s="6"/>
      <c r="AA3955" s="6" t="s">
        <v>430</v>
      </c>
      <c r="AB3955" s="8"/>
      <c r="AC3955" s="27">
        <v>9785160165080</v>
      </c>
    </row>
    <row r="3956" spans="1:29" s="4" customFormat="1" ht="51.9" customHeight="1" x14ac:dyDescent="0.2">
      <c r="A3956" s="5">
        <v>0</v>
      </c>
      <c r="B3956" s="6" t="s">
        <v>23044</v>
      </c>
      <c r="C3956" s="7">
        <v>2364</v>
      </c>
      <c r="D3956" s="8" t="s">
        <v>23045</v>
      </c>
      <c r="E3956" s="8" t="s">
        <v>23046</v>
      </c>
      <c r="F3956" s="8" t="s">
        <v>23047</v>
      </c>
      <c r="G3956" s="6" t="s">
        <v>118</v>
      </c>
      <c r="H3956" s="6" t="s">
        <v>34</v>
      </c>
      <c r="I3956" s="8" t="s">
        <v>253</v>
      </c>
      <c r="J3956" s="9">
        <v>1</v>
      </c>
      <c r="K3956" s="9">
        <v>394</v>
      </c>
      <c r="L3956" s="9">
        <v>2025</v>
      </c>
      <c r="M3956" s="8" t="s">
        <v>23048</v>
      </c>
      <c r="N3956" s="8" t="s">
        <v>37</v>
      </c>
      <c r="O3956" s="8" t="s">
        <v>280</v>
      </c>
      <c r="P3956" s="6" t="s">
        <v>51</v>
      </c>
      <c r="Q3956" s="8" t="s">
        <v>52</v>
      </c>
      <c r="R3956" s="10" t="s">
        <v>23049</v>
      </c>
      <c r="S3956" s="11" t="s">
        <v>23050</v>
      </c>
      <c r="T3956" s="6"/>
      <c r="U3956" s="15" t="str">
        <f>HYPERLINK("https://media.infra-m.ru/2188/2188343/cover/2188343.jpg", "Обложка")</f>
        <v>Обложка</v>
      </c>
      <c r="V3956" s="8" t="s">
        <v>4892</v>
      </c>
      <c r="W3956" s="6"/>
      <c r="X3956" s="6"/>
      <c r="Y3956" s="6"/>
      <c r="Z3956" s="6"/>
      <c r="AA3956" s="6" t="s">
        <v>129</v>
      </c>
      <c r="AB3956" s="8"/>
      <c r="AC3956" s="27">
        <v>9785160207056</v>
      </c>
    </row>
    <row r="3957" spans="1:29" s="4" customFormat="1" ht="51.9" customHeight="1" x14ac:dyDescent="0.2">
      <c r="A3957" s="5">
        <v>0</v>
      </c>
      <c r="B3957" s="6" t="s">
        <v>23051</v>
      </c>
      <c r="C3957" s="7">
        <v>2388</v>
      </c>
      <c r="D3957" s="8" t="s">
        <v>23052</v>
      </c>
      <c r="E3957" s="8" t="s">
        <v>23053</v>
      </c>
      <c r="F3957" s="8" t="s">
        <v>20158</v>
      </c>
      <c r="G3957" s="6" t="s">
        <v>118</v>
      </c>
      <c r="H3957" s="6" t="s">
        <v>34</v>
      </c>
      <c r="I3957" s="8" t="s">
        <v>1753</v>
      </c>
      <c r="J3957" s="9">
        <v>1</v>
      </c>
      <c r="K3957" s="9">
        <v>451</v>
      </c>
      <c r="L3957" s="9">
        <v>2023</v>
      </c>
      <c r="M3957" s="8" t="s">
        <v>23054</v>
      </c>
      <c r="N3957" s="8" t="s">
        <v>37</v>
      </c>
      <c r="O3957" s="8" t="s">
        <v>233</v>
      </c>
      <c r="P3957" s="6" t="s">
        <v>306</v>
      </c>
      <c r="Q3957" s="8" t="s">
        <v>500</v>
      </c>
      <c r="R3957" s="10" t="s">
        <v>1576</v>
      </c>
      <c r="S3957" s="11" t="s">
        <v>6613</v>
      </c>
      <c r="T3957" s="6"/>
      <c r="U3957" s="15" t="str">
        <f>HYPERLINK("https://media.infra-m.ru/1905/1905624/cover/1905624.jpg", "Обложка")</f>
        <v>Обложка</v>
      </c>
      <c r="V3957" s="8" t="s">
        <v>247</v>
      </c>
      <c r="W3957" s="6"/>
      <c r="X3957" s="6"/>
      <c r="Y3957" s="6"/>
      <c r="Z3957" s="6"/>
      <c r="AA3957" s="6" t="s">
        <v>86</v>
      </c>
      <c r="AB3957" s="8"/>
      <c r="AC3957" s="27">
        <v>9785160123066</v>
      </c>
    </row>
    <row r="3958" spans="1:29" s="4" customFormat="1" ht="42" customHeight="1" x14ac:dyDescent="0.2">
      <c r="A3958" s="5">
        <v>0</v>
      </c>
      <c r="B3958" s="6" t="s">
        <v>23055</v>
      </c>
      <c r="C3958" s="13">
        <v>830.3</v>
      </c>
      <c r="D3958" s="8" t="s">
        <v>23056</v>
      </c>
      <c r="E3958" s="8" t="s">
        <v>23057</v>
      </c>
      <c r="F3958" s="8" t="s">
        <v>15890</v>
      </c>
      <c r="G3958" s="6" t="s">
        <v>60</v>
      </c>
      <c r="H3958" s="6" t="s">
        <v>134</v>
      </c>
      <c r="I3958" s="8"/>
      <c r="J3958" s="9">
        <v>10</v>
      </c>
      <c r="K3958" s="9">
        <v>320</v>
      </c>
      <c r="L3958" s="9">
        <v>2017</v>
      </c>
      <c r="M3958" s="8" t="s">
        <v>23058</v>
      </c>
      <c r="N3958" s="8" t="s">
        <v>23059</v>
      </c>
      <c r="O3958" s="8" t="s">
        <v>23060</v>
      </c>
      <c r="P3958" s="6" t="s">
        <v>10093</v>
      </c>
      <c r="Q3958" s="8"/>
      <c r="R3958" s="10" t="s">
        <v>14070</v>
      </c>
      <c r="S3958" s="11"/>
      <c r="T3958" s="6"/>
      <c r="U3958" s="15" t="str">
        <f>HYPERLINK("https://media.infra-m.ru/0872/0872840/cover/872840.jpg", "Обложка")</f>
        <v>Обложка</v>
      </c>
      <c r="V3958" s="8" t="s">
        <v>1647</v>
      </c>
      <c r="W3958" s="6"/>
      <c r="X3958" s="6"/>
      <c r="Y3958" s="6"/>
      <c r="Z3958" s="6"/>
      <c r="AA3958" s="6" t="s">
        <v>623</v>
      </c>
      <c r="AB3958" s="8"/>
      <c r="AC3958" s="27">
        <v>9785917688282</v>
      </c>
    </row>
    <row r="3959" spans="1:29" s="4" customFormat="1" ht="42" customHeight="1" x14ac:dyDescent="0.2">
      <c r="A3959" s="5">
        <v>0</v>
      </c>
      <c r="B3959" s="6" t="s">
        <v>23061</v>
      </c>
      <c r="C3959" s="7">
        <v>1120.8</v>
      </c>
      <c r="D3959" s="8" t="s">
        <v>23062</v>
      </c>
      <c r="E3959" s="8" t="s">
        <v>23063</v>
      </c>
      <c r="F3959" s="8" t="s">
        <v>23064</v>
      </c>
      <c r="G3959" s="6" t="s">
        <v>60</v>
      </c>
      <c r="H3959" s="6" t="s">
        <v>34</v>
      </c>
      <c r="I3959" s="8" t="s">
        <v>35</v>
      </c>
      <c r="J3959" s="9">
        <v>1</v>
      </c>
      <c r="K3959" s="9">
        <v>162</v>
      </c>
      <c r="L3959" s="9">
        <v>2027</v>
      </c>
      <c r="M3959" s="8" t="s">
        <v>23065</v>
      </c>
      <c r="N3959" s="8" t="s">
        <v>37</v>
      </c>
      <c r="O3959" s="8" t="s">
        <v>136</v>
      </c>
      <c r="P3959" s="6" t="s">
        <v>39</v>
      </c>
      <c r="Q3959" s="8" t="s">
        <v>40</v>
      </c>
      <c r="R3959" s="10" t="s">
        <v>684</v>
      </c>
      <c r="S3959" s="11"/>
      <c r="T3959" s="6"/>
      <c r="U3959" s="15" t="str">
        <f>HYPERLINK("https://media.infra-m.ru/2272/2272503/cover/2272503.jpg", "Обложка")</f>
        <v>Обложка</v>
      </c>
      <c r="V3959" s="8" t="s">
        <v>5162</v>
      </c>
      <c r="W3959" s="6"/>
      <c r="X3959" s="6"/>
      <c r="Y3959" s="6"/>
      <c r="Z3959" s="6"/>
      <c r="AA3959" s="6" t="s">
        <v>76</v>
      </c>
      <c r="AB3959" s="8"/>
      <c r="AC3959" s="27">
        <v>9785160188744</v>
      </c>
    </row>
    <row r="3960" spans="1:29" s="4" customFormat="1" ht="42" customHeight="1" x14ac:dyDescent="0.2">
      <c r="A3960" s="5">
        <v>0</v>
      </c>
      <c r="B3960" s="6" t="s">
        <v>23066</v>
      </c>
      <c r="C3960" s="7">
        <v>1368</v>
      </c>
      <c r="D3960" s="8" t="s">
        <v>23067</v>
      </c>
      <c r="E3960" s="8" t="s">
        <v>23068</v>
      </c>
      <c r="F3960" s="8" t="s">
        <v>23069</v>
      </c>
      <c r="G3960" s="6" t="s">
        <v>33</v>
      </c>
      <c r="H3960" s="6" t="s">
        <v>34</v>
      </c>
      <c r="I3960" s="8" t="s">
        <v>35</v>
      </c>
      <c r="J3960" s="9">
        <v>1</v>
      </c>
      <c r="K3960" s="9">
        <v>195</v>
      </c>
      <c r="L3960" s="9">
        <v>2027</v>
      </c>
      <c r="M3960" s="8" t="s">
        <v>23070</v>
      </c>
      <c r="N3960" s="8" t="s">
        <v>63</v>
      </c>
      <c r="O3960" s="8" t="s">
        <v>23071</v>
      </c>
      <c r="P3960" s="6" t="s">
        <v>39</v>
      </c>
      <c r="Q3960" s="8" t="s">
        <v>40</v>
      </c>
      <c r="R3960" s="10" t="s">
        <v>23072</v>
      </c>
      <c r="S3960" s="11"/>
      <c r="T3960" s="6"/>
      <c r="U3960" s="15" t="str">
        <f>HYPERLINK("https://media.infra-m.ru/2262/2262533/cover/2262533.jpg", "Обложка")</f>
        <v>Обложка</v>
      </c>
      <c r="V3960" s="8" t="s">
        <v>4368</v>
      </c>
      <c r="W3960" s="6"/>
      <c r="X3960" s="6"/>
      <c r="Y3960" s="6"/>
      <c r="Z3960" s="6"/>
      <c r="AA3960" s="6" t="s">
        <v>157</v>
      </c>
      <c r="AB3960" s="8"/>
      <c r="AC3960" s="27">
        <v>9785160187402</v>
      </c>
    </row>
    <row r="3961" spans="1:29" s="4" customFormat="1" ht="51.9" customHeight="1" x14ac:dyDescent="0.2">
      <c r="A3961" s="5">
        <v>0</v>
      </c>
      <c r="B3961" s="6" t="s">
        <v>23073</v>
      </c>
      <c r="C3961" s="13">
        <v>924</v>
      </c>
      <c r="D3961" s="8" t="s">
        <v>23074</v>
      </c>
      <c r="E3961" s="8" t="s">
        <v>23075</v>
      </c>
      <c r="F3961" s="8" t="s">
        <v>23076</v>
      </c>
      <c r="G3961" s="6" t="s">
        <v>118</v>
      </c>
      <c r="H3961" s="6" t="s">
        <v>34</v>
      </c>
      <c r="I3961" s="8" t="s">
        <v>253</v>
      </c>
      <c r="J3961" s="9">
        <v>1</v>
      </c>
      <c r="K3961" s="9">
        <v>166</v>
      </c>
      <c r="L3961" s="9">
        <v>2024</v>
      </c>
      <c r="M3961" s="8" t="s">
        <v>23077</v>
      </c>
      <c r="N3961" s="8" t="s">
        <v>63</v>
      </c>
      <c r="O3961" s="8" t="s">
        <v>181</v>
      </c>
      <c r="P3961" s="6" t="s">
        <v>105</v>
      </c>
      <c r="Q3961" s="8" t="s">
        <v>65</v>
      </c>
      <c r="R3961" s="10" t="s">
        <v>23078</v>
      </c>
      <c r="S3961" s="11" t="s">
        <v>23079</v>
      </c>
      <c r="T3961" s="6"/>
      <c r="U3961" s="15" t="str">
        <f>HYPERLINK("https://media.infra-m.ru/2111/2111911/cover/2111911.jpg", "Обложка")</f>
        <v>Обложка</v>
      </c>
      <c r="V3961" s="8" t="s">
        <v>322</v>
      </c>
      <c r="W3961" s="6"/>
      <c r="X3961" s="6"/>
      <c r="Y3961" s="6"/>
      <c r="Z3961" s="6"/>
      <c r="AA3961" s="6" t="s">
        <v>1256</v>
      </c>
      <c r="AB3961" s="8"/>
      <c r="AC3961" s="27">
        <v>9785160193694</v>
      </c>
    </row>
    <row r="3962" spans="1:29" s="4" customFormat="1" ht="51.9" customHeight="1" x14ac:dyDescent="0.2">
      <c r="A3962" s="5">
        <v>0</v>
      </c>
      <c r="B3962" s="6" t="s">
        <v>23080</v>
      </c>
      <c r="C3962" s="13">
        <v>732</v>
      </c>
      <c r="D3962" s="8" t="s">
        <v>23081</v>
      </c>
      <c r="E3962" s="8" t="s">
        <v>23075</v>
      </c>
      <c r="F3962" s="8" t="s">
        <v>23076</v>
      </c>
      <c r="G3962" s="6" t="s">
        <v>118</v>
      </c>
      <c r="H3962" s="6" t="s">
        <v>34</v>
      </c>
      <c r="I3962" s="8" t="s">
        <v>263</v>
      </c>
      <c r="J3962" s="9">
        <v>1</v>
      </c>
      <c r="K3962" s="9">
        <v>166</v>
      </c>
      <c r="L3962" s="9">
        <v>2021</v>
      </c>
      <c r="M3962" s="8" t="s">
        <v>23082</v>
      </c>
      <c r="N3962" s="8" t="s">
        <v>63</v>
      </c>
      <c r="O3962" s="8" t="s">
        <v>181</v>
      </c>
      <c r="P3962" s="6" t="s">
        <v>105</v>
      </c>
      <c r="Q3962" s="8" t="s">
        <v>265</v>
      </c>
      <c r="R3962" s="10" t="s">
        <v>23083</v>
      </c>
      <c r="S3962" s="11" t="s">
        <v>23084</v>
      </c>
      <c r="T3962" s="6"/>
      <c r="U3962" s="15" t="str">
        <f>HYPERLINK("https://media.infra-m.ru/1203/1203960/cover/1203960.jpg", "Обложка")</f>
        <v>Обложка</v>
      </c>
      <c r="V3962" s="8" t="s">
        <v>322</v>
      </c>
      <c r="W3962" s="6"/>
      <c r="X3962" s="6"/>
      <c r="Y3962" s="6"/>
      <c r="Z3962" s="6" t="s">
        <v>882</v>
      </c>
      <c r="AA3962" s="6" t="s">
        <v>430</v>
      </c>
      <c r="AB3962" s="8"/>
      <c r="AC3962" s="27">
        <v>9785160166391</v>
      </c>
    </row>
    <row r="3963" spans="1:29" s="4" customFormat="1" ht="51.9" customHeight="1" x14ac:dyDescent="0.2">
      <c r="A3963" s="5">
        <v>0</v>
      </c>
      <c r="B3963" s="6" t="s">
        <v>23085</v>
      </c>
      <c r="C3963" s="7">
        <v>1584</v>
      </c>
      <c r="D3963" s="8" t="s">
        <v>23086</v>
      </c>
      <c r="E3963" s="8" t="s">
        <v>23087</v>
      </c>
      <c r="F3963" s="8" t="s">
        <v>23088</v>
      </c>
      <c r="G3963" s="6" t="s">
        <v>33</v>
      </c>
      <c r="H3963" s="6" t="s">
        <v>34</v>
      </c>
      <c r="I3963" s="8" t="s">
        <v>35</v>
      </c>
      <c r="J3963" s="9">
        <v>1</v>
      </c>
      <c r="K3963" s="9">
        <v>240</v>
      </c>
      <c r="L3963" s="9">
        <v>2026</v>
      </c>
      <c r="M3963" s="8" t="s">
        <v>23089</v>
      </c>
      <c r="N3963" s="8" t="s">
        <v>63</v>
      </c>
      <c r="O3963" s="8" t="s">
        <v>23071</v>
      </c>
      <c r="P3963" s="6" t="s">
        <v>39</v>
      </c>
      <c r="Q3963" s="8" t="s">
        <v>40</v>
      </c>
      <c r="R3963" s="10" t="s">
        <v>23090</v>
      </c>
      <c r="S3963" s="11"/>
      <c r="T3963" s="6"/>
      <c r="U3963" s="15" t="str">
        <f>HYPERLINK("https://media.infra-m.ru/2231/2231240/cover/2231240.jpg", "Обложка")</f>
        <v>Обложка</v>
      </c>
      <c r="V3963" s="8" t="s">
        <v>350</v>
      </c>
      <c r="W3963" s="6"/>
      <c r="X3963" s="6"/>
      <c r="Y3963" s="6"/>
      <c r="Z3963" s="6"/>
      <c r="AA3963" s="6" t="s">
        <v>218</v>
      </c>
      <c r="AB3963" s="8"/>
      <c r="AC3963" s="27">
        <v>9785160158846</v>
      </c>
    </row>
    <row r="3964" spans="1:29" s="4" customFormat="1" ht="51.9" customHeight="1" x14ac:dyDescent="0.2">
      <c r="A3964" s="5">
        <v>0</v>
      </c>
      <c r="B3964" s="6" t="s">
        <v>23091</v>
      </c>
      <c r="C3964" s="13">
        <v>780</v>
      </c>
      <c r="D3964" s="8" t="s">
        <v>23092</v>
      </c>
      <c r="E3964" s="8" t="s">
        <v>23093</v>
      </c>
      <c r="F3964" s="8" t="s">
        <v>23094</v>
      </c>
      <c r="G3964" s="6" t="s">
        <v>33</v>
      </c>
      <c r="H3964" s="6" t="s">
        <v>34</v>
      </c>
      <c r="I3964" s="8" t="s">
        <v>1081</v>
      </c>
      <c r="J3964" s="9">
        <v>1</v>
      </c>
      <c r="K3964" s="9">
        <v>117</v>
      </c>
      <c r="L3964" s="9">
        <v>2026</v>
      </c>
      <c r="M3964" s="8" t="s">
        <v>23095</v>
      </c>
      <c r="N3964" s="8" t="s">
        <v>243</v>
      </c>
      <c r="O3964" s="8" t="s">
        <v>244</v>
      </c>
      <c r="P3964" s="6" t="s">
        <v>39</v>
      </c>
      <c r="Q3964" s="8" t="s">
        <v>40</v>
      </c>
      <c r="R3964" s="10" t="s">
        <v>23096</v>
      </c>
      <c r="S3964" s="11"/>
      <c r="T3964" s="6"/>
      <c r="U3964" s="15" t="str">
        <f>HYPERLINK("https://media.infra-m.ru/2237/2237232/cover/2237232.jpg", "Обложка")</f>
        <v>Обложка</v>
      </c>
      <c r="V3964" s="8" t="s">
        <v>1083</v>
      </c>
      <c r="W3964" s="6"/>
      <c r="X3964" s="6"/>
      <c r="Y3964" s="6"/>
      <c r="Z3964" s="6"/>
      <c r="AA3964" s="6" t="s">
        <v>86</v>
      </c>
      <c r="AB3964" s="8"/>
      <c r="AC3964" s="27">
        <v>9785160218304</v>
      </c>
    </row>
    <row r="3965" spans="1:29" s="4" customFormat="1" ht="51.9" customHeight="1" x14ac:dyDescent="0.2">
      <c r="A3965" s="5">
        <v>0</v>
      </c>
      <c r="B3965" s="6" t="s">
        <v>23097</v>
      </c>
      <c r="C3965" s="13">
        <v>876</v>
      </c>
      <c r="D3965" s="8" t="s">
        <v>23098</v>
      </c>
      <c r="E3965" s="8" t="s">
        <v>23099</v>
      </c>
      <c r="F3965" s="8" t="s">
        <v>23100</v>
      </c>
      <c r="G3965" s="6" t="s">
        <v>60</v>
      </c>
      <c r="H3965" s="6" t="s">
        <v>34</v>
      </c>
      <c r="I3965" s="8" t="s">
        <v>253</v>
      </c>
      <c r="J3965" s="9">
        <v>1</v>
      </c>
      <c r="K3965" s="9">
        <v>137</v>
      </c>
      <c r="L3965" s="9">
        <v>2025</v>
      </c>
      <c r="M3965" s="8" t="s">
        <v>23101</v>
      </c>
      <c r="N3965" s="8" t="s">
        <v>37</v>
      </c>
      <c r="O3965" s="8" t="s">
        <v>136</v>
      </c>
      <c r="P3965" s="6" t="s">
        <v>51</v>
      </c>
      <c r="Q3965" s="8" t="s">
        <v>65</v>
      </c>
      <c r="R3965" s="10" t="s">
        <v>23102</v>
      </c>
      <c r="S3965" s="11"/>
      <c r="T3965" s="6"/>
      <c r="U3965" s="15" t="str">
        <f>HYPERLINK("https://media.infra-m.ru/2170/2170987/cover/2170987.jpg", "Обложка")</f>
        <v>Обложка</v>
      </c>
      <c r="V3965" s="8" t="s">
        <v>23103</v>
      </c>
      <c r="W3965" s="6"/>
      <c r="X3965" s="6"/>
      <c r="Y3965" s="6"/>
      <c r="Z3965" s="6"/>
      <c r="AA3965" s="6" t="s">
        <v>68</v>
      </c>
      <c r="AB3965" s="8"/>
      <c r="AC3965" s="27">
        <v>9785160203850</v>
      </c>
    </row>
    <row r="3966" spans="1:29" s="4" customFormat="1" ht="51.9" customHeight="1" x14ac:dyDescent="0.2">
      <c r="A3966" s="5">
        <v>0</v>
      </c>
      <c r="B3966" s="6" t="s">
        <v>23104</v>
      </c>
      <c r="C3966" s="13">
        <v>864</v>
      </c>
      <c r="D3966" s="8" t="s">
        <v>23105</v>
      </c>
      <c r="E3966" s="8" t="s">
        <v>23106</v>
      </c>
      <c r="F3966" s="8" t="s">
        <v>23107</v>
      </c>
      <c r="G3966" s="6" t="s">
        <v>33</v>
      </c>
      <c r="H3966" s="6" t="s">
        <v>34</v>
      </c>
      <c r="I3966" s="8" t="s">
        <v>271</v>
      </c>
      <c r="J3966" s="9">
        <v>1</v>
      </c>
      <c r="K3966" s="9">
        <v>158</v>
      </c>
      <c r="L3966" s="9">
        <v>2023</v>
      </c>
      <c r="M3966" s="8" t="s">
        <v>23108</v>
      </c>
      <c r="N3966" s="8" t="s">
        <v>37</v>
      </c>
      <c r="O3966" s="8" t="s">
        <v>136</v>
      </c>
      <c r="P3966" s="6" t="s">
        <v>51</v>
      </c>
      <c r="Q3966" s="8" t="s">
        <v>52</v>
      </c>
      <c r="R3966" s="10" t="s">
        <v>11161</v>
      </c>
      <c r="S3966" s="11" t="s">
        <v>23109</v>
      </c>
      <c r="T3966" s="6"/>
      <c r="U3966" s="15" t="str">
        <f>HYPERLINK("https://media.infra-m.ru/1891/1891643/cover/1891643.jpg", "Обложка")</f>
        <v>Обложка</v>
      </c>
      <c r="V3966" s="8" t="s">
        <v>23110</v>
      </c>
      <c r="W3966" s="6"/>
      <c r="X3966" s="6"/>
      <c r="Y3966" s="6"/>
      <c r="Z3966" s="6"/>
      <c r="AA3966" s="6" t="s">
        <v>99</v>
      </c>
      <c r="AB3966" s="8"/>
      <c r="AC3966" s="27">
        <v>9785160119328</v>
      </c>
    </row>
    <row r="3967" spans="1:29" s="4" customFormat="1" ht="42" customHeight="1" x14ac:dyDescent="0.2">
      <c r="A3967" s="5">
        <v>0</v>
      </c>
      <c r="B3967" s="6" t="s">
        <v>23111</v>
      </c>
      <c r="C3967" s="7">
        <v>1752</v>
      </c>
      <c r="D3967" s="8" t="s">
        <v>23112</v>
      </c>
      <c r="E3967" s="8" t="s">
        <v>23113</v>
      </c>
      <c r="F3967" s="8" t="s">
        <v>23114</v>
      </c>
      <c r="G3967" s="6" t="s">
        <v>118</v>
      </c>
      <c r="H3967" s="6" t="s">
        <v>134</v>
      </c>
      <c r="I3967" s="8"/>
      <c r="J3967" s="9">
        <v>1</v>
      </c>
      <c r="K3967" s="9">
        <v>264</v>
      </c>
      <c r="L3967" s="9">
        <v>2026</v>
      </c>
      <c r="M3967" s="8" t="s">
        <v>23115</v>
      </c>
      <c r="N3967" s="8" t="s">
        <v>37</v>
      </c>
      <c r="O3967" s="8" t="s">
        <v>136</v>
      </c>
      <c r="P3967" s="6" t="s">
        <v>306</v>
      </c>
      <c r="Q3967" s="8" t="s">
        <v>52</v>
      </c>
      <c r="R3967" s="10" t="s">
        <v>1625</v>
      </c>
      <c r="S3967" s="11"/>
      <c r="T3967" s="6"/>
      <c r="U3967" s="15" t="str">
        <f>HYPERLINK("https://media.infra-m.ru/2244/2244189/cover/2244189.jpg", "Обложка")</f>
        <v>Обложка</v>
      </c>
      <c r="V3967" s="8" t="s">
        <v>23116</v>
      </c>
      <c r="W3967" s="6"/>
      <c r="X3967" s="6"/>
      <c r="Y3967" s="6"/>
      <c r="Z3967" s="6"/>
      <c r="AA3967" s="6" t="s">
        <v>8754</v>
      </c>
      <c r="AB3967" s="8"/>
      <c r="AC3967" s="27">
        <v>9785001562665</v>
      </c>
    </row>
    <row r="3968" spans="1:29" s="4" customFormat="1" ht="21.9" customHeight="1" x14ac:dyDescent="0.2">
      <c r="A3968" s="5">
        <v>0</v>
      </c>
      <c r="B3968" s="6" t="s">
        <v>23117</v>
      </c>
      <c r="C3968" s="13">
        <v>677.9</v>
      </c>
      <c r="D3968" s="8" t="s">
        <v>23118</v>
      </c>
      <c r="E3968" s="8" t="s">
        <v>23119</v>
      </c>
      <c r="F3968" s="8" t="s">
        <v>23114</v>
      </c>
      <c r="G3968" s="6" t="s">
        <v>7062</v>
      </c>
      <c r="H3968" s="6" t="s">
        <v>134</v>
      </c>
      <c r="I3968" s="8"/>
      <c r="J3968" s="9">
        <v>20</v>
      </c>
      <c r="K3968" s="9">
        <v>256</v>
      </c>
      <c r="L3968" s="9">
        <v>2015</v>
      </c>
      <c r="M3968" s="8" t="s">
        <v>23120</v>
      </c>
      <c r="N3968" s="8" t="s">
        <v>37</v>
      </c>
      <c r="O3968" s="8" t="s">
        <v>136</v>
      </c>
      <c r="P3968" s="6" t="s">
        <v>306</v>
      </c>
      <c r="Q3968" s="8" t="s">
        <v>52</v>
      </c>
      <c r="R3968" s="10" t="s">
        <v>1625</v>
      </c>
      <c r="S3968" s="11"/>
      <c r="T3968" s="6"/>
      <c r="U3968" s="12"/>
      <c r="V3968" s="8" t="s">
        <v>23116</v>
      </c>
      <c r="W3968" s="6"/>
      <c r="X3968" s="6"/>
      <c r="Y3968" s="6"/>
      <c r="Z3968" s="6"/>
      <c r="AA3968" s="6" t="s">
        <v>13489</v>
      </c>
      <c r="AB3968" s="8"/>
      <c r="AC3968" s="27">
        <v>9785917683218</v>
      </c>
    </row>
    <row r="3969" spans="1:29" s="4" customFormat="1" ht="51.9" customHeight="1" x14ac:dyDescent="0.2">
      <c r="A3969" s="5">
        <v>0</v>
      </c>
      <c r="B3969" s="6" t="s">
        <v>23121</v>
      </c>
      <c r="C3969" s="7">
        <v>2596.8000000000002</v>
      </c>
      <c r="D3969" s="8" t="s">
        <v>23122</v>
      </c>
      <c r="E3969" s="8" t="s">
        <v>23123</v>
      </c>
      <c r="F3969" s="8" t="s">
        <v>15807</v>
      </c>
      <c r="G3969" s="6" t="s">
        <v>118</v>
      </c>
      <c r="H3969" s="6" t="s">
        <v>313</v>
      </c>
      <c r="I3969" s="8" t="s">
        <v>253</v>
      </c>
      <c r="J3969" s="9">
        <v>1</v>
      </c>
      <c r="K3969" s="9">
        <v>480</v>
      </c>
      <c r="L3969" s="9">
        <v>2023</v>
      </c>
      <c r="M3969" s="8" t="s">
        <v>23124</v>
      </c>
      <c r="N3969" s="8" t="s">
        <v>37</v>
      </c>
      <c r="O3969" s="8" t="s">
        <v>136</v>
      </c>
      <c r="P3969" s="6" t="s">
        <v>51</v>
      </c>
      <c r="Q3969" s="8" t="s">
        <v>52</v>
      </c>
      <c r="R3969" s="10" t="s">
        <v>1625</v>
      </c>
      <c r="S3969" s="11" t="s">
        <v>23125</v>
      </c>
      <c r="T3969" s="6"/>
      <c r="U3969" s="15" t="str">
        <f>HYPERLINK("https://media.infra-m.ru/1976/1976180/cover/1976180.jpg", "Обложка")</f>
        <v>Обложка</v>
      </c>
      <c r="V3969" s="8" t="s">
        <v>257</v>
      </c>
      <c r="W3969" s="6"/>
      <c r="X3969" s="6"/>
      <c r="Y3969" s="6"/>
      <c r="Z3969" s="6"/>
      <c r="AA3969" s="6" t="s">
        <v>896</v>
      </c>
      <c r="AB3969" s="8"/>
      <c r="AC3969" s="27">
        <v>9785369017524</v>
      </c>
    </row>
    <row r="3970" spans="1:29" s="4" customFormat="1" ht="51.9" customHeight="1" x14ac:dyDescent="0.2">
      <c r="A3970" s="5">
        <v>0</v>
      </c>
      <c r="B3970" s="6" t="s">
        <v>23126</v>
      </c>
      <c r="C3970" s="13">
        <v>912</v>
      </c>
      <c r="D3970" s="8" t="s">
        <v>23127</v>
      </c>
      <c r="E3970" s="8" t="s">
        <v>23128</v>
      </c>
      <c r="F3970" s="8" t="s">
        <v>23129</v>
      </c>
      <c r="G3970" s="6" t="s">
        <v>118</v>
      </c>
      <c r="H3970" s="6" t="s">
        <v>1042</v>
      </c>
      <c r="I3970" s="8" t="s">
        <v>401</v>
      </c>
      <c r="J3970" s="9">
        <v>1</v>
      </c>
      <c r="K3970" s="9">
        <v>223</v>
      </c>
      <c r="L3970" s="9">
        <v>2020</v>
      </c>
      <c r="M3970" s="8" t="s">
        <v>23130</v>
      </c>
      <c r="N3970" s="8" t="s">
        <v>37</v>
      </c>
      <c r="O3970" s="8" t="s">
        <v>136</v>
      </c>
      <c r="P3970" s="6" t="s">
        <v>51</v>
      </c>
      <c r="Q3970" s="8" t="s">
        <v>265</v>
      </c>
      <c r="R3970" s="10" t="s">
        <v>479</v>
      </c>
      <c r="S3970" s="11" t="s">
        <v>23131</v>
      </c>
      <c r="T3970" s="6"/>
      <c r="U3970" s="15" t="str">
        <f>HYPERLINK("https://media.infra-m.ru/1099/1099269/cover/1099269.jpg", "Обложка")</f>
        <v>Обложка</v>
      </c>
      <c r="V3970" s="8" t="s">
        <v>657</v>
      </c>
      <c r="W3970" s="6"/>
      <c r="X3970" s="6"/>
      <c r="Y3970" s="6"/>
      <c r="Z3970" s="6"/>
      <c r="AA3970" s="6" t="s">
        <v>1037</v>
      </c>
      <c r="AB3970" s="8"/>
      <c r="AC3970" s="27">
        <v>9785819905869</v>
      </c>
    </row>
    <row r="3971" spans="1:29" s="4" customFormat="1" ht="51.9" customHeight="1" x14ac:dyDescent="0.2">
      <c r="A3971" s="5">
        <v>0</v>
      </c>
      <c r="B3971" s="6" t="s">
        <v>23132</v>
      </c>
      <c r="C3971" s="7">
        <v>1336.8</v>
      </c>
      <c r="D3971" s="8" t="s">
        <v>23133</v>
      </c>
      <c r="E3971" s="8" t="s">
        <v>23134</v>
      </c>
      <c r="F3971" s="8" t="s">
        <v>1367</v>
      </c>
      <c r="G3971" s="6" t="s">
        <v>60</v>
      </c>
      <c r="H3971" s="6" t="s">
        <v>34</v>
      </c>
      <c r="I3971" s="8" t="s">
        <v>263</v>
      </c>
      <c r="J3971" s="9">
        <v>1</v>
      </c>
      <c r="K3971" s="9">
        <v>222</v>
      </c>
      <c r="L3971" s="9">
        <v>2024</v>
      </c>
      <c r="M3971" s="8" t="s">
        <v>23135</v>
      </c>
      <c r="N3971" s="8" t="s">
        <v>37</v>
      </c>
      <c r="O3971" s="8" t="s">
        <v>136</v>
      </c>
      <c r="P3971" s="6" t="s">
        <v>51</v>
      </c>
      <c r="Q3971" s="8" t="s">
        <v>265</v>
      </c>
      <c r="R3971" s="10" t="s">
        <v>479</v>
      </c>
      <c r="S3971" s="11" t="s">
        <v>23131</v>
      </c>
      <c r="T3971" s="6"/>
      <c r="U3971" s="15" t="str">
        <f>HYPERLINK("https://media.infra-m.ru/1176/1176913/cover/1176913.jpg", "Обложка")</f>
        <v>Обложка</v>
      </c>
      <c r="V3971" s="8" t="s">
        <v>657</v>
      </c>
      <c r="W3971" s="6"/>
      <c r="X3971" s="6"/>
      <c r="Y3971" s="6"/>
      <c r="Z3971" s="6"/>
      <c r="AA3971" s="6" t="s">
        <v>1375</v>
      </c>
      <c r="AB3971" s="8"/>
      <c r="AC3971" s="27">
        <v>9785160162898</v>
      </c>
    </row>
    <row r="3972" spans="1:29" s="4" customFormat="1" ht="51.9" customHeight="1" x14ac:dyDescent="0.2">
      <c r="A3972" s="5">
        <v>0</v>
      </c>
      <c r="B3972" s="6" t="s">
        <v>23136</v>
      </c>
      <c r="C3972" s="7">
        <v>1384.8</v>
      </c>
      <c r="D3972" s="8" t="s">
        <v>23137</v>
      </c>
      <c r="E3972" s="8" t="s">
        <v>23128</v>
      </c>
      <c r="F3972" s="8" t="s">
        <v>23138</v>
      </c>
      <c r="G3972" s="6" t="s">
        <v>60</v>
      </c>
      <c r="H3972" s="6" t="s">
        <v>34</v>
      </c>
      <c r="I3972" s="8" t="s">
        <v>263</v>
      </c>
      <c r="J3972" s="9">
        <v>1</v>
      </c>
      <c r="K3972" s="9">
        <v>254</v>
      </c>
      <c r="L3972" s="9">
        <v>2023</v>
      </c>
      <c r="M3972" s="8" t="s">
        <v>23139</v>
      </c>
      <c r="N3972" s="8" t="s">
        <v>37</v>
      </c>
      <c r="O3972" s="8" t="s">
        <v>136</v>
      </c>
      <c r="P3972" s="6" t="s">
        <v>51</v>
      </c>
      <c r="Q3972" s="8" t="s">
        <v>265</v>
      </c>
      <c r="R3972" s="10" t="s">
        <v>479</v>
      </c>
      <c r="S3972" s="11" t="s">
        <v>23140</v>
      </c>
      <c r="T3972" s="6"/>
      <c r="U3972" s="15" t="str">
        <f>HYPERLINK("https://media.infra-m.ru/2021/2021431/cover/2021431.jpg", "Обложка")</f>
        <v>Обложка</v>
      </c>
      <c r="V3972" s="8" t="s">
        <v>23141</v>
      </c>
      <c r="W3972" s="6"/>
      <c r="X3972" s="6"/>
      <c r="Y3972" s="6"/>
      <c r="Z3972" s="6" t="s">
        <v>267</v>
      </c>
      <c r="AA3972" s="6" t="s">
        <v>1117</v>
      </c>
      <c r="AB3972" s="8"/>
      <c r="AC3972" s="27">
        <v>9785160139753</v>
      </c>
    </row>
    <row r="3973" spans="1:29" s="4" customFormat="1" ht="51.9" customHeight="1" x14ac:dyDescent="0.2">
      <c r="A3973" s="5">
        <v>0</v>
      </c>
      <c r="B3973" s="6" t="s">
        <v>23142</v>
      </c>
      <c r="C3973" s="7">
        <v>1764</v>
      </c>
      <c r="D3973" s="8" t="s">
        <v>23143</v>
      </c>
      <c r="E3973" s="8" t="s">
        <v>23128</v>
      </c>
      <c r="F3973" s="8" t="s">
        <v>23138</v>
      </c>
      <c r="G3973" s="6" t="s">
        <v>118</v>
      </c>
      <c r="H3973" s="6" t="s">
        <v>34</v>
      </c>
      <c r="I3973" s="8" t="s">
        <v>253</v>
      </c>
      <c r="J3973" s="9">
        <v>1</v>
      </c>
      <c r="K3973" s="9">
        <v>254</v>
      </c>
      <c r="L3973" s="9">
        <v>2026</v>
      </c>
      <c r="M3973" s="8" t="s">
        <v>23144</v>
      </c>
      <c r="N3973" s="8" t="s">
        <v>37</v>
      </c>
      <c r="O3973" s="8" t="s">
        <v>136</v>
      </c>
      <c r="P3973" s="6" t="s">
        <v>51</v>
      </c>
      <c r="Q3973" s="8" t="s">
        <v>52</v>
      </c>
      <c r="R3973" s="10" t="s">
        <v>11161</v>
      </c>
      <c r="S3973" s="11" t="s">
        <v>23145</v>
      </c>
      <c r="T3973" s="6"/>
      <c r="U3973" s="15" t="str">
        <f>HYPERLINK("https://media.infra-m.ru/2258/2258703/cover/2258703.jpg", "Обложка")</f>
        <v>Обложка</v>
      </c>
      <c r="V3973" s="8" t="s">
        <v>23141</v>
      </c>
      <c r="W3973" s="6"/>
      <c r="X3973" s="6"/>
      <c r="Y3973" s="6"/>
      <c r="Z3973" s="6"/>
      <c r="AA3973" s="6" t="s">
        <v>2311</v>
      </c>
      <c r="AB3973" s="8"/>
      <c r="AC3973" s="27">
        <v>9785160198705</v>
      </c>
    </row>
    <row r="3974" spans="1:29" s="4" customFormat="1" ht="51.9" customHeight="1" x14ac:dyDescent="0.2">
      <c r="A3974" s="5">
        <v>0</v>
      </c>
      <c r="B3974" s="6" t="s">
        <v>23146</v>
      </c>
      <c r="C3974" s="7">
        <v>1896</v>
      </c>
      <c r="D3974" s="8" t="s">
        <v>23147</v>
      </c>
      <c r="E3974" s="8" t="s">
        <v>23148</v>
      </c>
      <c r="F3974" s="8" t="s">
        <v>23149</v>
      </c>
      <c r="G3974" s="6" t="s">
        <v>118</v>
      </c>
      <c r="H3974" s="6" t="s">
        <v>134</v>
      </c>
      <c r="I3974" s="8"/>
      <c r="J3974" s="9">
        <v>1</v>
      </c>
      <c r="K3974" s="9">
        <v>272</v>
      </c>
      <c r="L3974" s="9">
        <v>2026</v>
      </c>
      <c r="M3974" s="8" t="s">
        <v>23150</v>
      </c>
      <c r="N3974" s="8" t="s">
        <v>37</v>
      </c>
      <c r="O3974" s="8" t="s">
        <v>136</v>
      </c>
      <c r="P3974" s="6" t="s">
        <v>394</v>
      </c>
      <c r="Q3974" s="8" t="s">
        <v>65</v>
      </c>
      <c r="R3974" s="10" t="s">
        <v>23151</v>
      </c>
      <c r="S3974" s="11"/>
      <c r="T3974" s="6"/>
      <c r="U3974" s="15" t="str">
        <f>HYPERLINK("https://media.infra-m.ru/2257/2257450/cover/2257450.jpg", "Обложка")</f>
        <v>Обложка</v>
      </c>
      <c r="V3974" s="8" t="s">
        <v>1184</v>
      </c>
      <c r="W3974" s="6"/>
      <c r="X3974" s="6"/>
      <c r="Y3974" s="6"/>
      <c r="Z3974" s="6"/>
      <c r="AA3974" s="6" t="s">
        <v>76</v>
      </c>
      <c r="AB3974" s="8"/>
      <c r="AC3974" s="27">
        <v>9785001563501</v>
      </c>
    </row>
    <row r="3975" spans="1:29" s="4" customFormat="1" ht="42" customHeight="1" x14ac:dyDescent="0.2">
      <c r="A3975" s="5">
        <v>0</v>
      </c>
      <c r="B3975" s="6" t="s">
        <v>23152</v>
      </c>
      <c r="C3975" s="7">
        <v>1896</v>
      </c>
      <c r="D3975" s="8" t="s">
        <v>23153</v>
      </c>
      <c r="E3975" s="8" t="s">
        <v>23148</v>
      </c>
      <c r="F3975" s="8" t="s">
        <v>23149</v>
      </c>
      <c r="G3975" s="6" t="s">
        <v>118</v>
      </c>
      <c r="H3975" s="6" t="s">
        <v>134</v>
      </c>
      <c r="I3975" s="8"/>
      <c r="J3975" s="9">
        <v>1</v>
      </c>
      <c r="K3975" s="9">
        <v>272</v>
      </c>
      <c r="L3975" s="9">
        <v>2027</v>
      </c>
      <c r="M3975" s="8" t="s">
        <v>23154</v>
      </c>
      <c r="N3975" s="8" t="s">
        <v>37</v>
      </c>
      <c r="O3975" s="8" t="s">
        <v>136</v>
      </c>
      <c r="P3975" s="6" t="s">
        <v>394</v>
      </c>
      <c r="Q3975" s="8" t="s">
        <v>265</v>
      </c>
      <c r="R3975" s="10" t="s">
        <v>13793</v>
      </c>
      <c r="S3975" s="11"/>
      <c r="T3975" s="6"/>
      <c r="U3975" s="15" t="str">
        <f>HYPERLINK("https://media.infra-m.ru/2269/2269009/cover/2269009.jpg", "Обложка")</f>
        <v>Обложка</v>
      </c>
      <c r="V3975" s="8" t="s">
        <v>1184</v>
      </c>
      <c r="W3975" s="6" t="s">
        <v>2115</v>
      </c>
      <c r="X3975" s="6"/>
      <c r="Y3975" s="6"/>
      <c r="Z3975" s="6"/>
      <c r="AA3975" s="6" t="s">
        <v>76</v>
      </c>
      <c r="AB3975" s="8"/>
      <c r="AC3975" s="27">
        <v>9785001565024</v>
      </c>
    </row>
    <row r="3976" spans="1:29" s="4" customFormat="1" ht="51.9" customHeight="1" x14ac:dyDescent="0.2">
      <c r="A3976" s="5">
        <v>0</v>
      </c>
      <c r="B3976" s="6" t="s">
        <v>23155</v>
      </c>
      <c r="C3976" s="7">
        <v>2692.8</v>
      </c>
      <c r="D3976" s="8" t="s">
        <v>23156</v>
      </c>
      <c r="E3976" s="8" t="s">
        <v>23157</v>
      </c>
      <c r="F3976" s="8" t="s">
        <v>23158</v>
      </c>
      <c r="G3976" s="6" t="s">
        <v>60</v>
      </c>
      <c r="H3976" s="6" t="s">
        <v>134</v>
      </c>
      <c r="I3976" s="8"/>
      <c r="J3976" s="9">
        <v>1</v>
      </c>
      <c r="K3976" s="9">
        <v>408</v>
      </c>
      <c r="L3976" s="9">
        <v>2026</v>
      </c>
      <c r="M3976" s="8" t="s">
        <v>23159</v>
      </c>
      <c r="N3976" s="8" t="s">
        <v>37</v>
      </c>
      <c r="O3976" s="8" t="s">
        <v>136</v>
      </c>
      <c r="P3976" s="6" t="s">
        <v>306</v>
      </c>
      <c r="Q3976" s="8" t="s">
        <v>52</v>
      </c>
      <c r="R3976" s="10" t="s">
        <v>1625</v>
      </c>
      <c r="S3976" s="11" t="s">
        <v>23160</v>
      </c>
      <c r="T3976" s="6"/>
      <c r="U3976" s="15" t="str">
        <f>HYPERLINK("https://media.infra-m.ru/2244/2244677/cover/2244677.jpg", "Обложка")</f>
        <v>Обложка</v>
      </c>
      <c r="V3976" s="8" t="s">
        <v>1184</v>
      </c>
      <c r="W3976" s="6"/>
      <c r="X3976" s="6"/>
      <c r="Y3976" s="6"/>
      <c r="Z3976" s="6"/>
      <c r="AA3976" s="6" t="s">
        <v>23161</v>
      </c>
      <c r="AB3976" s="8"/>
      <c r="AC3976" s="27">
        <v>9785001563716</v>
      </c>
    </row>
    <row r="3977" spans="1:29" s="4" customFormat="1" ht="51.9" customHeight="1" x14ac:dyDescent="0.2">
      <c r="A3977" s="5">
        <v>0</v>
      </c>
      <c r="B3977" s="6" t="s">
        <v>23162</v>
      </c>
      <c r="C3977" s="7">
        <v>1308</v>
      </c>
      <c r="D3977" s="8" t="s">
        <v>23163</v>
      </c>
      <c r="E3977" s="8" t="s">
        <v>23164</v>
      </c>
      <c r="F3977" s="8" t="s">
        <v>14441</v>
      </c>
      <c r="G3977" s="6" t="s">
        <v>60</v>
      </c>
      <c r="H3977" s="6" t="s">
        <v>34</v>
      </c>
      <c r="I3977" s="8" t="s">
        <v>253</v>
      </c>
      <c r="J3977" s="9">
        <v>1</v>
      </c>
      <c r="K3977" s="9">
        <v>184</v>
      </c>
      <c r="L3977" s="9">
        <v>2026</v>
      </c>
      <c r="M3977" s="8" t="s">
        <v>23165</v>
      </c>
      <c r="N3977" s="8" t="s">
        <v>37</v>
      </c>
      <c r="O3977" s="8" t="s">
        <v>136</v>
      </c>
      <c r="P3977" s="6" t="s">
        <v>51</v>
      </c>
      <c r="Q3977" s="8" t="s">
        <v>52</v>
      </c>
      <c r="R3977" s="10" t="s">
        <v>23166</v>
      </c>
      <c r="S3977" s="11"/>
      <c r="T3977" s="6"/>
      <c r="U3977" s="15" t="str">
        <f>HYPERLINK("https://media.infra-m.ru/2233/2233281/cover/2233281.jpg", "Обложка")</f>
        <v>Обложка</v>
      </c>
      <c r="V3977" s="8" t="s">
        <v>14444</v>
      </c>
      <c r="W3977" s="6" t="s">
        <v>351</v>
      </c>
      <c r="X3977" s="6"/>
      <c r="Y3977" s="6"/>
      <c r="Z3977" s="6"/>
      <c r="AA3977" s="6" t="s">
        <v>650</v>
      </c>
      <c r="AB3977" s="8" t="s">
        <v>308</v>
      </c>
      <c r="AC3977" s="27">
        <v>9785160216454</v>
      </c>
    </row>
    <row r="3978" spans="1:29" s="4" customFormat="1" ht="51.9" customHeight="1" x14ac:dyDescent="0.2">
      <c r="A3978" s="5">
        <v>0</v>
      </c>
      <c r="B3978" s="6" t="s">
        <v>23167</v>
      </c>
      <c r="C3978" s="7">
        <v>1168.8</v>
      </c>
      <c r="D3978" s="8" t="s">
        <v>23168</v>
      </c>
      <c r="E3978" s="8" t="s">
        <v>23148</v>
      </c>
      <c r="F3978" s="8" t="s">
        <v>14441</v>
      </c>
      <c r="G3978" s="6" t="s">
        <v>118</v>
      </c>
      <c r="H3978" s="6" t="s">
        <v>34</v>
      </c>
      <c r="I3978" s="8" t="s">
        <v>271</v>
      </c>
      <c r="J3978" s="9">
        <v>1</v>
      </c>
      <c r="K3978" s="9">
        <v>209</v>
      </c>
      <c r="L3978" s="9">
        <v>2023</v>
      </c>
      <c r="M3978" s="8" t="s">
        <v>23169</v>
      </c>
      <c r="N3978" s="8" t="s">
        <v>37</v>
      </c>
      <c r="O3978" s="8" t="s">
        <v>136</v>
      </c>
      <c r="P3978" s="6" t="s">
        <v>51</v>
      </c>
      <c r="Q3978" s="8" t="s">
        <v>52</v>
      </c>
      <c r="R3978" s="10" t="s">
        <v>23166</v>
      </c>
      <c r="S3978" s="11" t="s">
        <v>23170</v>
      </c>
      <c r="T3978" s="6"/>
      <c r="U3978" s="15" t="str">
        <f>HYPERLINK("https://media.infra-m.ru/2113/2113847/cover/2113847.jpg", "Обложка")</f>
        <v>Обложка</v>
      </c>
      <c r="V3978" s="8" t="s">
        <v>14444</v>
      </c>
      <c r="W3978" s="6"/>
      <c r="X3978" s="6"/>
      <c r="Y3978" s="6"/>
      <c r="Z3978" s="6"/>
      <c r="AA3978" s="6" t="s">
        <v>148</v>
      </c>
      <c r="AB3978" s="8" t="s">
        <v>308</v>
      </c>
      <c r="AC3978" s="27">
        <v>9785160172934</v>
      </c>
    </row>
    <row r="3979" spans="1:29" s="4" customFormat="1" ht="51.9" customHeight="1" x14ac:dyDescent="0.2">
      <c r="A3979" s="5">
        <v>0</v>
      </c>
      <c r="B3979" s="6" t="s">
        <v>23171</v>
      </c>
      <c r="C3979" s="7">
        <v>1176</v>
      </c>
      <c r="D3979" s="8" t="s">
        <v>23172</v>
      </c>
      <c r="E3979" s="8" t="s">
        <v>23148</v>
      </c>
      <c r="F3979" s="8" t="s">
        <v>14441</v>
      </c>
      <c r="G3979" s="6" t="s">
        <v>60</v>
      </c>
      <c r="H3979" s="6" t="s">
        <v>34</v>
      </c>
      <c r="I3979" s="8" t="s">
        <v>263</v>
      </c>
      <c r="J3979" s="9">
        <v>1</v>
      </c>
      <c r="K3979" s="9">
        <v>209</v>
      </c>
      <c r="L3979" s="9">
        <v>2023</v>
      </c>
      <c r="M3979" s="8" t="s">
        <v>23173</v>
      </c>
      <c r="N3979" s="8" t="s">
        <v>37</v>
      </c>
      <c r="O3979" s="8" t="s">
        <v>136</v>
      </c>
      <c r="P3979" s="6" t="s">
        <v>51</v>
      </c>
      <c r="Q3979" s="8" t="s">
        <v>265</v>
      </c>
      <c r="R3979" s="10" t="s">
        <v>479</v>
      </c>
      <c r="S3979" s="11" t="s">
        <v>23174</v>
      </c>
      <c r="T3979" s="6"/>
      <c r="U3979" s="15" t="str">
        <f>HYPERLINK("https://media.infra-m.ru/1903/1903981/cover/1903981.jpg", "Обложка")</f>
        <v>Обложка</v>
      </c>
      <c r="V3979" s="8" t="s">
        <v>14444</v>
      </c>
      <c r="W3979" s="6"/>
      <c r="X3979" s="6"/>
      <c r="Y3979" s="6"/>
      <c r="Z3979" s="6" t="s">
        <v>267</v>
      </c>
      <c r="AA3979" s="6" t="s">
        <v>157</v>
      </c>
      <c r="AB3979" s="8"/>
      <c r="AC3979" s="27">
        <v>9785160180168</v>
      </c>
    </row>
    <row r="3980" spans="1:29" s="4" customFormat="1" ht="51.9" customHeight="1" x14ac:dyDescent="0.2">
      <c r="A3980" s="5">
        <v>0</v>
      </c>
      <c r="B3980" s="6" t="s">
        <v>23175</v>
      </c>
      <c r="C3980" s="7">
        <v>2460</v>
      </c>
      <c r="D3980" s="8" t="s">
        <v>23176</v>
      </c>
      <c r="E3980" s="8" t="s">
        <v>23177</v>
      </c>
      <c r="F3980" s="8" t="s">
        <v>23138</v>
      </c>
      <c r="G3980" s="6" t="s">
        <v>118</v>
      </c>
      <c r="H3980" s="6" t="s">
        <v>34</v>
      </c>
      <c r="I3980" s="8" t="s">
        <v>253</v>
      </c>
      <c r="J3980" s="9">
        <v>1</v>
      </c>
      <c r="K3980" s="9">
        <v>353</v>
      </c>
      <c r="L3980" s="9">
        <v>2026</v>
      </c>
      <c r="M3980" s="8" t="s">
        <v>23178</v>
      </c>
      <c r="N3980" s="8" t="s">
        <v>37</v>
      </c>
      <c r="O3980" s="8" t="s">
        <v>136</v>
      </c>
      <c r="P3980" s="6" t="s">
        <v>306</v>
      </c>
      <c r="Q3980" s="8" t="s">
        <v>500</v>
      </c>
      <c r="R3980" s="10" t="s">
        <v>1275</v>
      </c>
      <c r="S3980" s="11" t="s">
        <v>23179</v>
      </c>
      <c r="T3980" s="6"/>
      <c r="U3980" s="15" t="str">
        <f>HYPERLINK("https://media.infra-m.ru/2258/2258367/cover/2258367.jpg", "Обложка")</f>
        <v>Обложка</v>
      </c>
      <c r="V3980" s="8" t="s">
        <v>23141</v>
      </c>
      <c r="W3980" s="6"/>
      <c r="X3980" s="6"/>
      <c r="Y3980" s="6"/>
      <c r="Z3980" s="6"/>
      <c r="AA3980" s="6" t="s">
        <v>86</v>
      </c>
      <c r="AB3980" s="8"/>
      <c r="AC3980" s="27">
        <v>9785160223384</v>
      </c>
    </row>
    <row r="3981" spans="1:29" s="4" customFormat="1" ht="42" customHeight="1" x14ac:dyDescent="0.2">
      <c r="A3981" s="5">
        <v>0</v>
      </c>
      <c r="B3981" s="6" t="s">
        <v>23180</v>
      </c>
      <c r="C3981" s="7">
        <v>1480.8</v>
      </c>
      <c r="D3981" s="8" t="s">
        <v>23181</v>
      </c>
      <c r="E3981" s="8" t="s">
        <v>23182</v>
      </c>
      <c r="F3981" s="8" t="s">
        <v>20678</v>
      </c>
      <c r="G3981" s="6" t="s">
        <v>118</v>
      </c>
      <c r="H3981" s="6" t="s">
        <v>134</v>
      </c>
      <c r="I3981" s="8"/>
      <c r="J3981" s="9">
        <v>1</v>
      </c>
      <c r="K3981" s="9">
        <v>224</v>
      </c>
      <c r="L3981" s="9">
        <v>2026</v>
      </c>
      <c r="M3981" s="8" t="s">
        <v>23183</v>
      </c>
      <c r="N3981" s="8" t="s">
        <v>37</v>
      </c>
      <c r="O3981" s="8" t="s">
        <v>136</v>
      </c>
      <c r="P3981" s="6" t="s">
        <v>39</v>
      </c>
      <c r="Q3981" s="8" t="s">
        <v>40</v>
      </c>
      <c r="R3981" s="10" t="s">
        <v>1076</v>
      </c>
      <c r="S3981" s="11"/>
      <c r="T3981" s="6"/>
      <c r="U3981" s="15" t="str">
        <f>HYPERLINK("https://media.infra-m.ru/2246/2246049/cover/2246049.jpg", "Обложка")</f>
        <v>Обложка</v>
      </c>
      <c r="V3981" s="8" t="s">
        <v>1069</v>
      </c>
      <c r="W3981" s="6"/>
      <c r="X3981" s="6"/>
      <c r="Y3981" s="6"/>
      <c r="Z3981" s="6"/>
      <c r="AA3981" s="6" t="s">
        <v>115</v>
      </c>
      <c r="AB3981" s="8"/>
      <c r="AC3981" s="27">
        <v>9785917686110</v>
      </c>
    </row>
    <row r="3982" spans="1:29" s="4" customFormat="1" ht="44.1" customHeight="1" x14ac:dyDescent="0.2">
      <c r="A3982" s="5">
        <v>0</v>
      </c>
      <c r="B3982" s="6" t="s">
        <v>23184</v>
      </c>
      <c r="C3982" s="7">
        <v>1260</v>
      </c>
      <c r="D3982" s="8" t="s">
        <v>23185</v>
      </c>
      <c r="E3982" s="8" t="s">
        <v>23177</v>
      </c>
      <c r="F3982" s="8" t="s">
        <v>23186</v>
      </c>
      <c r="G3982" s="6" t="s">
        <v>60</v>
      </c>
      <c r="H3982" s="6" t="s">
        <v>34</v>
      </c>
      <c r="I3982" s="8" t="s">
        <v>1248</v>
      </c>
      <c r="J3982" s="9">
        <v>1</v>
      </c>
      <c r="K3982" s="9">
        <v>190</v>
      </c>
      <c r="L3982" s="9">
        <v>2026</v>
      </c>
      <c r="M3982" s="8" t="s">
        <v>23187</v>
      </c>
      <c r="N3982" s="8" t="s">
        <v>37</v>
      </c>
      <c r="O3982" s="8" t="s">
        <v>280</v>
      </c>
      <c r="P3982" s="6" t="s">
        <v>51</v>
      </c>
      <c r="Q3982" s="8" t="s">
        <v>500</v>
      </c>
      <c r="R3982" s="10" t="s">
        <v>23188</v>
      </c>
      <c r="S3982" s="11"/>
      <c r="T3982" s="6"/>
      <c r="U3982" s="15" t="str">
        <f>HYPERLINK("https://media.infra-m.ru/2222/2222611/cover/2222611.jpg", "Обложка")</f>
        <v>Обложка</v>
      </c>
      <c r="V3982" s="8" t="s">
        <v>1083</v>
      </c>
      <c r="W3982" s="6" t="s">
        <v>342</v>
      </c>
      <c r="X3982" s="6"/>
      <c r="Y3982" s="6"/>
      <c r="Z3982" s="6"/>
      <c r="AA3982" s="6" t="s">
        <v>187</v>
      </c>
      <c r="AB3982" s="8"/>
      <c r="AC3982" s="27">
        <v>9785160213354</v>
      </c>
    </row>
    <row r="3983" spans="1:29" s="4" customFormat="1" ht="42" customHeight="1" x14ac:dyDescent="0.2">
      <c r="A3983" s="5">
        <v>0</v>
      </c>
      <c r="B3983" s="6" t="s">
        <v>23189</v>
      </c>
      <c r="C3983" s="7">
        <v>1792.8</v>
      </c>
      <c r="D3983" s="8" t="s">
        <v>23190</v>
      </c>
      <c r="E3983" s="8" t="s">
        <v>23191</v>
      </c>
      <c r="F3983" s="8" t="s">
        <v>23192</v>
      </c>
      <c r="G3983" s="6" t="s">
        <v>60</v>
      </c>
      <c r="H3983" s="6" t="s">
        <v>34</v>
      </c>
      <c r="I3983" s="8" t="s">
        <v>35</v>
      </c>
      <c r="J3983" s="9">
        <v>1</v>
      </c>
      <c r="K3983" s="9">
        <v>271</v>
      </c>
      <c r="L3983" s="9">
        <v>2026</v>
      </c>
      <c r="M3983" s="8" t="s">
        <v>23193</v>
      </c>
      <c r="N3983" s="8" t="s">
        <v>63</v>
      </c>
      <c r="O3983" s="8" t="s">
        <v>126</v>
      </c>
      <c r="P3983" s="6" t="s">
        <v>39</v>
      </c>
      <c r="Q3983" s="8" t="s">
        <v>40</v>
      </c>
      <c r="R3983" s="10" t="s">
        <v>7481</v>
      </c>
      <c r="S3983" s="11"/>
      <c r="T3983" s="6"/>
      <c r="U3983" s="15" t="str">
        <f>HYPERLINK("https://media.infra-m.ru/2248/2248307/cover/2248307.jpg", "Обложка")</f>
        <v>Обложка</v>
      </c>
      <c r="V3983" s="8" t="s">
        <v>1192</v>
      </c>
      <c r="W3983" s="6"/>
      <c r="X3983" s="6"/>
      <c r="Y3983" s="6"/>
      <c r="Z3983" s="6"/>
      <c r="AA3983" s="6" t="s">
        <v>68</v>
      </c>
      <c r="AB3983" s="8"/>
      <c r="AC3983" s="27">
        <v>9785160198774</v>
      </c>
    </row>
    <row r="3984" spans="1:29" s="4" customFormat="1" ht="51.9" customHeight="1" x14ac:dyDescent="0.2">
      <c r="A3984" s="5">
        <v>0</v>
      </c>
      <c r="B3984" s="6" t="s">
        <v>23194</v>
      </c>
      <c r="C3984" s="13">
        <v>528</v>
      </c>
      <c r="D3984" s="8" t="s">
        <v>23195</v>
      </c>
      <c r="E3984" s="8" t="s">
        <v>23196</v>
      </c>
      <c r="F3984" s="8" t="s">
        <v>23197</v>
      </c>
      <c r="G3984" s="6" t="s">
        <v>33</v>
      </c>
      <c r="H3984" s="6" t="s">
        <v>34</v>
      </c>
      <c r="I3984" s="8" t="s">
        <v>2171</v>
      </c>
      <c r="J3984" s="9">
        <v>1</v>
      </c>
      <c r="K3984" s="9">
        <v>49</v>
      </c>
      <c r="L3984" s="9">
        <v>2026</v>
      </c>
      <c r="M3984" s="8" t="s">
        <v>23198</v>
      </c>
      <c r="N3984" s="8" t="s">
        <v>243</v>
      </c>
      <c r="O3984" s="8" t="s">
        <v>964</v>
      </c>
      <c r="P3984" s="6" t="s">
        <v>105</v>
      </c>
      <c r="Q3984" s="8" t="s">
        <v>65</v>
      </c>
      <c r="R3984" s="10" t="s">
        <v>23199</v>
      </c>
      <c r="S3984" s="11"/>
      <c r="T3984" s="6"/>
      <c r="U3984" s="15" t="str">
        <f>HYPERLINK("https://media.infra-m.ru/2226/2226757/cover/2226757.jpg", "Обложка")</f>
        <v>Обложка</v>
      </c>
      <c r="V3984" s="8" t="s">
        <v>2175</v>
      </c>
      <c r="W3984" s="6"/>
      <c r="X3984" s="6"/>
      <c r="Y3984" s="6"/>
      <c r="Z3984" s="6"/>
      <c r="AA3984" s="6" t="s">
        <v>115</v>
      </c>
      <c r="AB3984" s="8"/>
      <c r="AC3984" s="27">
        <v>9785160154206</v>
      </c>
    </row>
    <row r="3985" spans="1:29" s="4" customFormat="1" ht="51.9" customHeight="1" x14ac:dyDescent="0.2">
      <c r="A3985" s="5">
        <v>0</v>
      </c>
      <c r="B3985" s="6" t="s">
        <v>23200</v>
      </c>
      <c r="C3985" s="7">
        <v>1180.8</v>
      </c>
      <c r="D3985" s="8" t="s">
        <v>23201</v>
      </c>
      <c r="E3985" s="8" t="s">
        <v>23202</v>
      </c>
      <c r="F3985" s="8" t="s">
        <v>23203</v>
      </c>
      <c r="G3985" s="6" t="s">
        <v>118</v>
      </c>
      <c r="H3985" s="6" t="s">
        <v>34</v>
      </c>
      <c r="I3985" s="8" t="s">
        <v>5790</v>
      </c>
      <c r="J3985" s="9">
        <v>1</v>
      </c>
      <c r="K3985" s="9">
        <v>167</v>
      </c>
      <c r="L3985" s="9">
        <v>2026</v>
      </c>
      <c r="M3985" s="8" t="s">
        <v>23204</v>
      </c>
      <c r="N3985" s="8" t="s">
        <v>243</v>
      </c>
      <c r="O3985" s="8" t="s">
        <v>964</v>
      </c>
      <c r="P3985" s="6" t="s">
        <v>394</v>
      </c>
      <c r="Q3985" s="8" t="s">
        <v>265</v>
      </c>
      <c r="R3985" s="10" t="s">
        <v>23205</v>
      </c>
      <c r="S3985" s="11" t="s">
        <v>23206</v>
      </c>
      <c r="T3985" s="6"/>
      <c r="U3985" s="15" t="str">
        <f>HYPERLINK("https://media.infra-m.ru/2226/2226755/cover/2226755.jpg", "Обложка")</f>
        <v>Обложка</v>
      </c>
      <c r="V3985" s="8" t="s">
        <v>2175</v>
      </c>
      <c r="W3985" s="6"/>
      <c r="X3985" s="6"/>
      <c r="Y3985" s="6"/>
      <c r="Z3985" s="6" t="s">
        <v>882</v>
      </c>
      <c r="AA3985" s="6" t="s">
        <v>430</v>
      </c>
      <c r="AB3985" s="8"/>
      <c r="AC3985" s="27">
        <v>9785160169194</v>
      </c>
    </row>
    <row r="3986" spans="1:29" s="4" customFormat="1" ht="42" customHeight="1" x14ac:dyDescent="0.2">
      <c r="A3986" s="5">
        <v>0</v>
      </c>
      <c r="B3986" s="6" t="s">
        <v>23207</v>
      </c>
      <c r="C3986" s="7">
        <v>1140</v>
      </c>
      <c r="D3986" s="8" t="s">
        <v>23208</v>
      </c>
      <c r="E3986" s="8" t="s">
        <v>23202</v>
      </c>
      <c r="F3986" s="8" t="s">
        <v>23209</v>
      </c>
      <c r="G3986" s="6" t="s">
        <v>118</v>
      </c>
      <c r="H3986" s="6" t="s">
        <v>34</v>
      </c>
      <c r="I3986" s="8" t="s">
        <v>2171</v>
      </c>
      <c r="J3986" s="9">
        <v>1</v>
      </c>
      <c r="K3986" s="9">
        <v>167</v>
      </c>
      <c r="L3986" s="9">
        <v>2026</v>
      </c>
      <c r="M3986" s="8" t="s">
        <v>23210</v>
      </c>
      <c r="N3986" s="8" t="s">
        <v>243</v>
      </c>
      <c r="O3986" s="8" t="s">
        <v>964</v>
      </c>
      <c r="P3986" s="6" t="s">
        <v>394</v>
      </c>
      <c r="Q3986" s="8" t="s">
        <v>65</v>
      </c>
      <c r="R3986" s="10" t="s">
        <v>7996</v>
      </c>
      <c r="S3986" s="11"/>
      <c r="T3986" s="6"/>
      <c r="U3986" s="15" t="str">
        <f>HYPERLINK("https://media.infra-m.ru/2231/2231217/cover/2231217.jpg", "Обложка")</f>
        <v>Обложка</v>
      </c>
      <c r="V3986" s="8" t="s">
        <v>2175</v>
      </c>
      <c r="W3986" s="6"/>
      <c r="X3986" s="6"/>
      <c r="Y3986" s="6"/>
      <c r="Z3986" s="6"/>
      <c r="AA3986" s="6" t="s">
        <v>115</v>
      </c>
      <c r="AB3986" s="8"/>
      <c r="AC3986" s="27">
        <v>9785160149455</v>
      </c>
    </row>
    <row r="3987" spans="1:29" s="4" customFormat="1" ht="51.9" customHeight="1" x14ac:dyDescent="0.2">
      <c r="A3987" s="5">
        <v>0</v>
      </c>
      <c r="B3987" s="6" t="s">
        <v>23211</v>
      </c>
      <c r="C3987" s="7">
        <v>1176</v>
      </c>
      <c r="D3987" s="8" t="s">
        <v>23212</v>
      </c>
      <c r="E3987" s="8" t="s">
        <v>23213</v>
      </c>
      <c r="F3987" s="8" t="s">
        <v>23214</v>
      </c>
      <c r="G3987" s="6" t="s">
        <v>118</v>
      </c>
      <c r="H3987" s="6" t="s">
        <v>34</v>
      </c>
      <c r="I3987" s="8" t="s">
        <v>271</v>
      </c>
      <c r="J3987" s="9">
        <v>1</v>
      </c>
      <c r="K3987" s="9">
        <v>218</v>
      </c>
      <c r="L3987" s="9">
        <v>2023</v>
      </c>
      <c r="M3987" s="8" t="s">
        <v>23215</v>
      </c>
      <c r="N3987" s="8" t="s">
        <v>243</v>
      </c>
      <c r="O3987" s="8" t="s">
        <v>758</v>
      </c>
      <c r="P3987" s="6" t="s">
        <v>51</v>
      </c>
      <c r="Q3987" s="8" t="s">
        <v>52</v>
      </c>
      <c r="R3987" s="10" t="s">
        <v>7934</v>
      </c>
      <c r="S3987" s="11" t="s">
        <v>23216</v>
      </c>
      <c r="T3987" s="6"/>
      <c r="U3987" s="15" t="str">
        <f>HYPERLINK("https://media.infra-m.ru/1938/1938027/cover/1938027.jpg", "Обложка")</f>
        <v>Обложка</v>
      </c>
      <c r="V3987" s="8" t="s">
        <v>359</v>
      </c>
      <c r="W3987" s="6"/>
      <c r="X3987" s="6"/>
      <c r="Y3987" s="6"/>
      <c r="Z3987" s="6"/>
      <c r="AA3987" s="6" t="s">
        <v>99</v>
      </c>
      <c r="AB3987" s="8"/>
      <c r="AC3987" s="27">
        <v>9785160123141</v>
      </c>
    </row>
    <row r="3988" spans="1:29" s="4" customFormat="1" ht="51.9" customHeight="1" x14ac:dyDescent="0.2">
      <c r="A3988" s="5">
        <v>0</v>
      </c>
      <c r="B3988" s="6" t="s">
        <v>23217</v>
      </c>
      <c r="C3988" s="13">
        <v>828</v>
      </c>
      <c r="D3988" s="8" t="s">
        <v>23218</v>
      </c>
      <c r="E3988" s="8" t="s">
        <v>23219</v>
      </c>
      <c r="F3988" s="8" t="s">
        <v>23220</v>
      </c>
      <c r="G3988" s="6" t="s">
        <v>33</v>
      </c>
      <c r="H3988" s="6" t="s">
        <v>34</v>
      </c>
      <c r="I3988" s="8" t="s">
        <v>7625</v>
      </c>
      <c r="J3988" s="9">
        <v>1</v>
      </c>
      <c r="K3988" s="9">
        <v>133</v>
      </c>
      <c r="L3988" s="9">
        <v>2025</v>
      </c>
      <c r="M3988" s="8" t="s">
        <v>23221</v>
      </c>
      <c r="N3988" s="8" t="s">
        <v>243</v>
      </c>
      <c r="O3988" s="8" t="s">
        <v>758</v>
      </c>
      <c r="P3988" s="6" t="s">
        <v>51</v>
      </c>
      <c r="Q3988" s="8" t="s">
        <v>377</v>
      </c>
      <c r="R3988" s="10" t="s">
        <v>4167</v>
      </c>
      <c r="S3988" s="11" t="s">
        <v>23222</v>
      </c>
      <c r="T3988" s="6"/>
      <c r="U3988" s="15" t="str">
        <f>HYPERLINK("https://media.infra-m.ru/2205/2205522/cover/2205522.jpg", "Обложка")</f>
        <v>Обложка</v>
      </c>
      <c r="V3988" s="8" t="s">
        <v>1083</v>
      </c>
      <c r="W3988" s="6"/>
      <c r="X3988" s="6"/>
      <c r="Y3988" s="6"/>
      <c r="Z3988" s="6"/>
      <c r="AA3988" s="6" t="s">
        <v>86</v>
      </c>
      <c r="AB3988" s="8"/>
      <c r="AC3988" s="27">
        <v>9785160209302</v>
      </c>
    </row>
    <row r="3989" spans="1:29" s="4" customFormat="1" ht="51.9" customHeight="1" x14ac:dyDescent="0.2">
      <c r="A3989" s="5">
        <v>0</v>
      </c>
      <c r="B3989" s="6" t="s">
        <v>23223</v>
      </c>
      <c r="C3989" s="7">
        <v>1588.8</v>
      </c>
      <c r="D3989" s="8" t="s">
        <v>23224</v>
      </c>
      <c r="E3989" s="8" t="s">
        <v>23225</v>
      </c>
      <c r="F3989" s="8" t="s">
        <v>23226</v>
      </c>
      <c r="G3989" s="6" t="s">
        <v>60</v>
      </c>
      <c r="H3989" s="6" t="s">
        <v>48</v>
      </c>
      <c r="I3989" s="8" t="s">
        <v>271</v>
      </c>
      <c r="J3989" s="9">
        <v>1</v>
      </c>
      <c r="K3989" s="9">
        <v>240</v>
      </c>
      <c r="L3989" s="9">
        <v>2026</v>
      </c>
      <c r="M3989" s="8" t="s">
        <v>23227</v>
      </c>
      <c r="N3989" s="8" t="s">
        <v>243</v>
      </c>
      <c r="O3989" s="8" t="s">
        <v>964</v>
      </c>
      <c r="P3989" s="6" t="s">
        <v>51</v>
      </c>
      <c r="Q3989" s="8" t="s">
        <v>65</v>
      </c>
      <c r="R3989" s="10" t="s">
        <v>23228</v>
      </c>
      <c r="S3989" s="11" t="s">
        <v>23229</v>
      </c>
      <c r="T3989" s="6"/>
      <c r="U3989" s="15" t="str">
        <f>HYPERLINK("https://media.infra-m.ru/2229/2229301/cover/2229301.jpg", "Обложка")</f>
        <v>Обложка</v>
      </c>
      <c r="V3989" s="8" t="s">
        <v>1055</v>
      </c>
      <c r="W3989" s="6"/>
      <c r="X3989" s="6"/>
      <c r="Y3989" s="6"/>
      <c r="Z3989" s="6"/>
      <c r="AA3989" s="6" t="s">
        <v>55</v>
      </c>
      <c r="AB3989" s="8"/>
      <c r="AC3989" s="27">
        <v>9785911347895</v>
      </c>
    </row>
    <row r="3990" spans="1:29" s="4" customFormat="1" ht="51.9" customHeight="1" x14ac:dyDescent="0.2">
      <c r="A3990" s="5">
        <v>0</v>
      </c>
      <c r="B3990" s="6" t="s">
        <v>23230</v>
      </c>
      <c r="C3990" s="7">
        <v>2092.8000000000002</v>
      </c>
      <c r="D3990" s="8" t="s">
        <v>23231</v>
      </c>
      <c r="E3990" s="8" t="s">
        <v>23232</v>
      </c>
      <c r="F3990" s="8" t="s">
        <v>23233</v>
      </c>
      <c r="G3990" s="6" t="s">
        <v>118</v>
      </c>
      <c r="H3990" s="6" t="s">
        <v>34</v>
      </c>
      <c r="I3990" s="8" t="s">
        <v>304</v>
      </c>
      <c r="J3990" s="9">
        <v>1</v>
      </c>
      <c r="K3990" s="9">
        <v>380</v>
      </c>
      <c r="L3990" s="9">
        <v>2024</v>
      </c>
      <c r="M3990" s="8" t="s">
        <v>23234</v>
      </c>
      <c r="N3990" s="8" t="s">
        <v>243</v>
      </c>
      <c r="O3990" s="8" t="s">
        <v>329</v>
      </c>
      <c r="P3990" s="6" t="s">
        <v>306</v>
      </c>
      <c r="Q3990" s="8" t="s">
        <v>52</v>
      </c>
      <c r="R3990" s="10" t="s">
        <v>23235</v>
      </c>
      <c r="S3990" s="11" t="s">
        <v>23236</v>
      </c>
      <c r="T3990" s="6"/>
      <c r="U3990" s="15" t="str">
        <f>HYPERLINK("https://media.infra-m.ru/2087/2087307/cover/2087307.jpg", "Обложка")</f>
        <v>Обложка</v>
      </c>
      <c r="V3990" s="8" t="s">
        <v>4368</v>
      </c>
      <c r="W3990" s="6"/>
      <c r="X3990" s="6"/>
      <c r="Y3990" s="6"/>
      <c r="Z3990" s="6"/>
      <c r="AA3990" s="6" t="s">
        <v>274</v>
      </c>
      <c r="AB3990" s="8"/>
      <c r="AC3990" s="27">
        <v>9785160102528</v>
      </c>
    </row>
    <row r="3991" spans="1:29" s="4" customFormat="1" ht="51.9" customHeight="1" x14ac:dyDescent="0.2">
      <c r="A3991" s="5">
        <v>0</v>
      </c>
      <c r="B3991" s="6" t="s">
        <v>23237</v>
      </c>
      <c r="C3991" s="7">
        <v>1128</v>
      </c>
      <c r="D3991" s="8" t="s">
        <v>23238</v>
      </c>
      <c r="E3991" s="8" t="s">
        <v>23239</v>
      </c>
      <c r="F3991" s="8" t="s">
        <v>23240</v>
      </c>
      <c r="G3991" s="6" t="s">
        <v>33</v>
      </c>
      <c r="H3991" s="6" t="s">
        <v>34</v>
      </c>
      <c r="I3991" s="8" t="s">
        <v>253</v>
      </c>
      <c r="J3991" s="9">
        <v>1</v>
      </c>
      <c r="K3991" s="9">
        <v>170</v>
      </c>
      <c r="L3991" s="9">
        <v>2026</v>
      </c>
      <c r="M3991" s="8" t="s">
        <v>23241</v>
      </c>
      <c r="N3991" s="8" t="s">
        <v>243</v>
      </c>
      <c r="O3991" s="8" t="s">
        <v>758</v>
      </c>
      <c r="P3991" s="6" t="s">
        <v>306</v>
      </c>
      <c r="Q3991" s="8" t="s">
        <v>52</v>
      </c>
      <c r="R3991" s="10" t="s">
        <v>23242</v>
      </c>
      <c r="S3991" s="11" t="s">
        <v>23243</v>
      </c>
      <c r="T3991" s="6"/>
      <c r="U3991" s="15" t="str">
        <f>HYPERLINK("https://media.infra-m.ru/2244/2244076/cover/2244076.jpg", "Обложка")</f>
        <v>Обложка</v>
      </c>
      <c r="V3991" s="8" t="s">
        <v>4943</v>
      </c>
      <c r="W3991" s="6"/>
      <c r="X3991" s="6"/>
      <c r="Y3991" s="6"/>
      <c r="Z3991" s="6"/>
      <c r="AA3991" s="6" t="s">
        <v>779</v>
      </c>
      <c r="AB3991" s="8"/>
      <c r="AC3991" s="27">
        <v>9785160219769</v>
      </c>
    </row>
    <row r="3992" spans="1:29" s="4" customFormat="1" ht="51.9" customHeight="1" x14ac:dyDescent="0.2">
      <c r="A3992" s="5">
        <v>0</v>
      </c>
      <c r="B3992" s="6" t="s">
        <v>23244</v>
      </c>
      <c r="C3992" s="7">
        <v>1336.8</v>
      </c>
      <c r="D3992" s="8" t="s">
        <v>23245</v>
      </c>
      <c r="E3992" s="8" t="s">
        <v>23246</v>
      </c>
      <c r="F3992" s="8" t="s">
        <v>23247</v>
      </c>
      <c r="G3992" s="6" t="s">
        <v>118</v>
      </c>
      <c r="H3992" s="6" t="s">
        <v>34</v>
      </c>
      <c r="I3992" s="8" t="s">
        <v>304</v>
      </c>
      <c r="J3992" s="9">
        <v>1</v>
      </c>
      <c r="K3992" s="9">
        <v>192</v>
      </c>
      <c r="L3992" s="9">
        <v>2027</v>
      </c>
      <c r="M3992" s="8" t="s">
        <v>23248</v>
      </c>
      <c r="N3992" s="8" t="s">
        <v>243</v>
      </c>
      <c r="O3992" s="8" t="s">
        <v>329</v>
      </c>
      <c r="P3992" s="6" t="s">
        <v>51</v>
      </c>
      <c r="Q3992" s="8" t="s">
        <v>52</v>
      </c>
      <c r="R3992" s="10" t="s">
        <v>19712</v>
      </c>
      <c r="S3992" s="11" t="s">
        <v>23249</v>
      </c>
      <c r="T3992" s="6"/>
      <c r="U3992" s="15" t="str">
        <f>HYPERLINK("https://media.infra-m.ru/2271/2271305/cover/2271305.jpg", "Обложка")</f>
        <v>Обложка</v>
      </c>
      <c r="V3992" s="8" t="s">
        <v>7003</v>
      </c>
      <c r="W3992" s="6"/>
      <c r="X3992" s="6"/>
      <c r="Y3992" s="6"/>
      <c r="Z3992" s="6"/>
      <c r="AA3992" s="6" t="s">
        <v>779</v>
      </c>
      <c r="AB3992" s="8"/>
      <c r="AC3992" s="27">
        <v>9785160109589</v>
      </c>
    </row>
    <row r="3993" spans="1:29" s="4" customFormat="1" ht="42" customHeight="1" x14ac:dyDescent="0.2">
      <c r="A3993" s="5">
        <v>0</v>
      </c>
      <c r="B3993" s="6" t="s">
        <v>23250</v>
      </c>
      <c r="C3993" s="13">
        <v>912</v>
      </c>
      <c r="D3993" s="8" t="s">
        <v>23251</v>
      </c>
      <c r="E3993" s="8" t="s">
        <v>23252</v>
      </c>
      <c r="F3993" s="8" t="s">
        <v>23253</v>
      </c>
      <c r="G3993" s="6" t="s">
        <v>118</v>
      </c>
      <c r="H3993" s="6" t="s">
        <v>241</v>
      </c>
      <c r="I3993" s="8" t="s">
        <v>241</v>
      </c>
      <c r="J3993" s="9">
        <v>1</v>
      </c>
      <c r="K3993" s="9">
        <v>167</v>
      </c>
      <c r="L3993" s="9">
        <v>2023</v>
      </c>
      <c r="M3993" s="8" t="s">
        <v>23254</v>
      </c>
      <c r="N3993" s="8" t="s">
        <v>243</v>
      </c>
      <c r="O3993" s="8" t="s">
        <v>758</v>
      </c>
      <c r="P3993" s="6" t="s">
        <v>51</v>
      </c>
      <c r="Q3993" s="8" t="s">
        <v>52</v>
      </c>
      <c r="R3993" s="10" t="s">
        <v>11597</v>
      </c>
      <c r="S3993" s="11"/>
      <c r="T3993" s="6" t="s">
        <v>97</v>
      </c>
      <c r="U3993" s="15" t="str">
        <f>HYPERLINK("https://media.infra-m.ru/1941/1941734/cover/1941734.jpg", "Обложка")</f>
        <v>Обложка</v>
      </c>
      <c r="V3993" s="8" t="s">
        <v>217</v>
      </c>
      <c r="W3993" s="6"/>
      <c r="X3993" s="6"/>
      <c r="Y3993" s="6"/>
      <c r="Z3993" s="6"/>
      <c r="AA3993" s="6" t="s">
        <v>274</v>
      </c>
      <c r="AB3993" s="8"/>
      <c r="AC3993" s="27">
        <v>9785955804309</v>
      </c>
    </row>
    <row r="3994" spans="1:29" s="4" customFormat="1" ht="44.1" customHeight="1" x14ac:dyDescent="0.2">
      <c r="A3994" s="5">
        <v>0</v>
      </c>
      <c r="B3994" s="6" t="s">
        <v>23255</v>
      </c>
      <c r="C3994" s="7">
        <v>1504.8</v>
      </c>
      <c r="D3994" s="8" t="s">
        <v>23256</v>
      </c>
      <c r="E3994" s="8" t="s">
        <v>23257</v>
      </c>
      <c r="F3994" s="8" t="s">
        <v>23258</v>
      </c>
      <c r="G3994" s="6" t="s">
        <v>60</v>
      </c>
      <c r="H3994" s="6" t="s">
        <v>34</v>
      </c>
      <c r="I3994" s="8" t="s">
        <v>253</v>
      </c>
      <c r="J3994" s="9">
        <v>1</v>
      </c>
      <c r="K3994" s="9">
        <v>220</v>
      </c>
      <c r="L3994" s="9">
        <v>2025</v>
      </c>
      <c r="M3994" s="8" t="s">
        <v>23259</v>
      </c>
      <c r="N3994" s="8" t="s">
        <v>243</v>
      </c>
      <c r="O3994" s="8" t="s">
        <v>933</v>
      </c>
      <c r="P3994" s="6" t="s">
        <v>51</v>
      </c>
      <c r="Q3994" s="8" t="s">
        <v>65</v>
      </c>
      <c r="R3994" s="10" t="s">
        <v>23260</v>
      </c>
      <c r="S3994" s="11"/>
      <c r="T3994" s="6"/>
      <c r="U3994" s="15" t="str">
        <f>HYPERLINK("https://media.infra-m.ru/2224/2224517/cover/2224517.jpg", "Обложка")</f>
        <v>Обложка</v>
      </c>
      <c r="V3994" s="8" t="s">
        <v>14780</v>
      </c>
      <c r="W3994" s="6"/>
      <c r="X3994" s="6"/>
      <c r="Y3994" s="6"/>
      <c r="Z3994" s="6"/>
      <c r="AA3994" s="6" t="s">
        <v>68</v>
      </c>
      <c r="AB3994" s="8"/>
      <c r="AC3994" s="27">
        <v>9785160195766</v>
      </c>
    </row>
    <row r="3995" spans="1:29" s="4" customFormat="1" ht="44.1" customHeight="1" x14ac:dyDescent="0.2">
      <c r="A3995" s="5">
        <v>0</v>
      </c>
      <c r="B3995" s="6" t="s">
        <v>23261</v>
      </c>
      <c r="C3995" s="13">
        <v>808.8</v>
      </c>
      <c r="D3995" s="8" t="s">
        <v>23262</v>
      </c>
      <c r="E3995" s="8" t="s">
        <v>23263</v>
      </c>
      <c r="F3995" s="8" t="s">
        <v>23264</v>
      </c>
      <c r="G3995" s="6" t="s">
        <v>33</v>
      </c>
      <c r="H3995" s="6" t="s">
        <v>241</v>
      </c>
      <c r="I3995" s="8" t="s">
        <v>3496</v>
      </c>
      <c r="J3995" s="9">
        <v>1</v>
      </c>
      <c r="K3995" s="9">
        <v>146</v>
      </c>
      <c r="L3995" s="9">
        <v>2024</v>
      </c>
      <c r="M3995" s="8" t="s">
        <v>23265</v>
      </c>
      <c r="N3995" s="8" t="s">
        <v>243</v>
      </c>
      <c r="O3995" s="8" t="s">
        <v>758</v>
      </c>
      <c r="P3995" s="6" t="s">
        <v>39</v>
      </c>
      <c r="Q3995" s="8" t="s">
        <v>749</v>
      </c>
      <c r="R3995" s="10" t="s">
        <v>23266</v>
      </c>
      <c r="S3995" s="11"/>
      <c r="T3995" s="6"/>
      <c r="U3995" s="15" t="str">
        <f>HYPERLINK("https://media.infra-m.ru/2102/2102718/cover/2102718.jpg", "Обложка")</f>
        <v>Обложка</v>
      </c>
      <c r="V3995" s="8" t="s">
        <v>217</v>
      </c>
      <c r="W3995" s="6"/>
      <c r="X3995" s="6"/>
      <c r="Y3995" s="6"/>
      <c r="Z3995" s="6"/>
      <c r="AA3995" s="6" t="s">
        <v>779</v>
      </c>
      <c r="AB3995" s="8"/>
      <c r="AC3995" s="27">
        <v>9785955804651</v>
      </c>
    </row>
    <row r="3996" spans="1:29" s="4" customFormat="1" ht="51.9" customHeight="1" x14ac:dyDescent="0.2">
      <c r="A3996" s="5">
        <v>0</v>
      </c>
      <c r="B3996" s="6" t="s">
        <v>23267</v>
      </c>
      <c r="C3996" s="13">
        <v>856.8</v>
      </c>
      <c r="D3996" s="8" t="s">
        <v>23268</v>
      </c>
      <c r="E3996" s="8" t="s">
        <v>23269</v>
      </c>
      <c r="F3996" s="8" t="s">
        <v>23270</v>
      </c>
      <c r="G3996" s="6" t="s">
        <v>33</v>
      </c>
      <c r="H3996" s="6" t="s">
        <v>48</v>
      </c>
      <c r="I3996" s="8" t="s">
        <v>271</v>
      </c>
      <c r="J3996" s="9">
        <v>1</v>
      </c>
      <c r="K3996" s="9">
        <v>127</v>
      </c>
      <c r="L3996" s="9">
        <v>2026</v>
      </c>
      <c r="M3996" s="8" t="s">
        <v>23271</v>
      </c>
      <c r="N3996" s="8" t="s">
        <v>243</v>
      </c>
      <c r="O3996" s="8" t="s">
        <v>758</v>
      </c>
      <c r="P3996" s="6" t="s">
        <v>51</v>
      </c>
      <c r="Q3996" s="8" t="s">
        <v>52</v>
      </c>
      <c r="R3996" s="10" t="s">
        <v>9434</v>
      </c>
      <c r="S3996" s="11" t="s">
        <v>23272</v>
      </c>
      <c r="T3996" s="6"/>
      <c r="U3996" s="15" t="str">
        <f>HYPERLINK("https://media.infra-m.ru/2244/2244077/cover/2244077.jpg", "Обложка")</f>
        <v>Обложка</v>
      </c>
      <c r="V3996" s="8" t="s">
        <v>13400</v>
      </c>
      <c r="W3996" s="6"/>
      <c r="X3996" s="6"/>
      <c r="Y3996" s="6"/>
      <c r="Z3996" s="6"/>
      <c r="AA3996" s="6" t="s">
        <v>55</v>
      </c>
      <c r="AB3996" s="8"/>
      <c r="AC3996" s="27">
        <v>9785000914861</v>
      </c>
    </row>
    <row r="3997" spans="1:29" s="4" customFormat="1" ht="51.9" customHeight="1" x14ac:dyDescent="0.2">
      <c r="A3997" s="5">
        <v>0</v>
      </c>
      <c r="B3997" s="6" t="s">
        <v>23273</v>
      </c>
      <c r="C3997" s="13">
        <v>689.9</v>
      </c>
      <c r="D3997" s="8" t="s">
        <v>23274</v>
      </c>
      <c r="E3997" s="8" t="s">
        <v>23269</v>
      </c>
      <c r="F3997" s="8" t="s">
        <v>23270</v>
      </c>
      <c r="G3997" s="6" t="s">
        <v>33</v>
      </c>
      <c r="H3997" s="6" t="s">
        <v>48</v>
      </c>
      <c r="I3997" s="8" t="s">
        <v>263</v>
      </c>
      <c r="J3997" s="9">
        <v>1</v>
      </c>
      <c r="K3997" s="9">
        <v>127</v>
      </c>
      <c r="L3997" s="9">
        <v>2023</v>
      </c>
      <c r="M3997" s="8" t="s">
        <v>23275</v>
      </c>
      <c r="N3997" s="8" t="s">
        <v>243</v>
      </c>
      <c r="O3997" s="8" t="s">
        <v>758</v>
      </c>
      <c r="P3997" s="6" t="s">
        <v>51</v>
      </c>
      <c r="Q3997" s="8" t="s">
        <v>265</v>
      </c>
      <c r="R3997" s="10" t="s">
        <v>23276</v>
      </c>
      <c r="S3997" s="11" t="s">
        <v>23277</v>
      </c>
      <c r="T3997" s="6"/>
      <c r="U3997" s="15" t="str">
        <f>HYPERLINK("https://media.infra-m.ru/2021/2021432/cover/2021432.jpg", "Обложка")</f>
        <v>Обложка</v>
      </c>
      <c r="V3997" s="8" t="s">
        <v>13400</v>
      </c>
      <c r="W3997" s="6"/>
      <c r="X3997" s="6"/>
      <c r="Y3997" s="6"/>
      <c r="Z3997" s="6" t="s">
        <v>267</v>
      </c>
      <c r="AA3997" s="6" t="s">
        <v>115</v>
      </c>
      <c r="AB3997" s="8"/>
      <c r="AC3997" s="27">
        <v>9785000915998</v>
      </c>
    </row>
    <row r="3998" spans="1:29" s="4" customFormat="1" ht="42" customHeight="1" x14ac:dyDescent="0.2">
      <c r="A3998" s="5">
        <v>0</v>
      </c>
      <c r="B3998" s="6" t="s">
        <v>23278</v>
      </c>
      <c r="C3998" s="7">
        <v>1996.8</v>
      </c>
      <c r="D3998" s="8" t="s">
        <v>23279</v>
      </c>
      <c r="E3998" s="8" t="s">
        <v>23280</v>
      </c>
      <c r="F3998" s="8" t="s">
        <v>23281</v>
      </c>
      <c r="G3998" s="6" t="s">
        <v>118</v>
      </c>
      <c r="H3998" s="6" t="s">
        <v>134</v>
      </c>
      <c r="I3998" s="8"/>
      <c r="J3998" s="9">
        <v>1</v>
      </c>
      <c r="K3998" s="9">
        <v>320</v>
      </c>
      <c r="L3998" s="9">
        <v>2025</v>
      </c>
      <c r="M3998" s="8" t="s">
        <v>23282</v>
      </c>
      <c r="N3998" s="8" t="s">
        <v>37</v>
      </c>
      <c r="O3998" s="8" t="s">
        <v>136</v>
      </c>
      <c r="P3998" s="6" t="s">
        <v>39</v>
      </c>
      <c r="Q3998" s="8" t="s">
        <v>40</v>
      </c>
      <c r="R3998" s="10" t="s">
        <v>23283</v>
      </c>
      <c r="S3998" s="11"/>
      <c r="T3998" s="6"/>
      <c r="U3998" s="15" t="str">
        <f>HYPERLINK("https://media.infra-m.ru/2208/2208441/cover/2208441.jpg", "Обложка")</f>
        <v>Обложка</v>
      </c>
      <c r="V3998" s="8" t="s">
        <v>1184</v>
      </c>
      <c r="W3998" s="6"/>
      <c r="X3998" s="6"/>
      <c r="Y3998" s="6"/>
      <c r="Z3998" s="6"/>
      <c r="AA3998" s="6" t="s">
        <v>1256</v>
      </c>
      <c r="AB3998" s="8"/>
      <c r="AC3998" s="27">
        <v>9785001560340</v>
      </c>
    </row>
    <row r="3999" spans="1:29" s="4" customFormat="1" ht="42" customHeight="1" x14ac:dyDescent="0.2">
      <c r="A3999" s="5">
        <v>0</v>
      </c>
      <c r="B3999" s="6" t="s">
        <v>23284</v>
      </c>
      <c r="C3999" s="13">
        <v>628.79999999999995</v>
      </c>
      <c r="D3999" s="8" t="s">
        <v>23285</v>
      </c>
      <c r="E3999" s="8" t="s">
        <v>23286</v>
      </c>
      <c r="F3999" s="8" t="s">
        <v>6215</v>
      </c>
      <c r="G3999" s="6" t="s">
        <v>6771</v>
      </c>
      <c r="H3999" s="6" t="s">
        <v>134</v>
      </c>
      <c r="I3999" s="8"/>
      <c r="J3999" s="9">
        <v>1</v>
      </c>
      <c r="K3999" s="9">
        <v>40</v>
      </c>
      <c r="L3999" s="9">
        <v>2026</v>
      </c>
      <c r="M3999" s="8" t="s">
        <v>23287</v>
      </c>
      <c r="N3999" s="8" t="s">
        <v>37</v>
      </c>
      <c r="O3999" s="8" t="s">
        <v>136</v>
      </c>
      <c r="P3999" s="6" t="s">
        <v>39</v>
      </c>
      <c r="Q3999" s="8" t="s">
        <v>40</v>
      </c>
      <c r="R3999" s="10" t="s">
        <v>1076</v>
      </c>
      <c r="S3999" s="11"/>
      <c r="T3999" s="6"/>
      <c r="U3999" s="15" t="str">
        <f>HYPERLINK("https://media.infra-m.ru/2221/2221833/cover/2221833.jpg", "Обложка")</f>
        <v>Обложка</v>
      </c>
      <c r="V3999" s="8" t="s">
        <v>1069</v>
      </c>
      <c r="W3999" s="6"/>
      <c r="X3999" s="6"/>
      <c r="Y3999" s="6"/>
      <c r="Z3999" s="6"/>
      <c r="AA3999" s="6" t="s">
        <v>274</v>
      </c>
      <c r="AB3999" s="8"/>
      <c r="AC3999" s="27">
        <v>9785917686516</v>
      </c>
    </row>
    <row r="4000" spans="1:29" s="4" customFormat="1" ht="44.1" customHeight="1" x14ac:dyDescent="0.2">
      <c r="A4000" s="5">
        <v>0</v>
      </c>
      <c r="B4000" s="6" t="s">
        <v>23288</v>
      </c>
      <c r="C4000" s="7">
        <v>1212</v>
      </c>
      <c r="D4000" s="8" t="s">
        <v>23289</v>
      </c>
      <c r="E4000" s="8" t="s">
        <v>23290</v>
      </c>
      <c r="F4000" s="8" t="s">
        <v>23291</v>
      </c>
      <c r="G4000" s="6" t="s">
        <v>118</v>
      </c>
      <c r="H4000" s="6" t="s">
        <v>1644</v>
      </c>
      <c r="I4000" s="8"/>
      <c r="J4000" s="9">
        <v>1</v>
      </c>
      <c r="K4000" s="9">
        <v>272</v>
      </c>
      <c r="L4000" s="9">
        <v>2021</v>
      </c>
      <c r="M4000" s="8" t="s">
        <v>23292</v>
      </c>
      <c r="N4000" s="8" t="s">
        <v>37</v>
      </c>
      <c r="O4000" s="8" t="s">
        <v>233</v>
      </c>
      <c r="P4000" s="6" t="s">
        <v>39</v>
      </c>
      <c r="Q4000" s="8" t="s">
        <v>40</v>
      </c>
      <c r="R4000" s="10" t="s">
        <v>18479</v>
      </c>
      <c r="S4000" s="11"/>
      <c r="T4000" s="6"/>
      <c r="U4000" s="15" t="str">
        <f>HYPERLINK("https://media.infra-m.ru/1146/1146800/cover/1146800.jpg", "Обложка")</f>
        <v>Обложка</v>
      </c>
      <c r="V4000" s="8" t="s">
        <v>247</v>
      </c>
      <c r="W4000" s="6"/>
      <c r="X4000" s="6"/>
      <c r="Y4000" s="6"/>
      <c r="Z4000" s="6"/>
      <c r="AA4000" s="6" t="s">
        <v>99</v>
      </c>
      <c r="AB4000" s="8"/>
      <c r="AC4000" s="27">
        <v>9785977604536</v>
      </c>
    </row>
    <row r="4001" spans="1:29" s="4" customFormat="1" ht="51.9" customHeight="1" x14ac:dyDescent="0.2">
      <c r="A4001" s="5">
        <v>0</v>
      </c>
      <c r="B4001" s="6" t="s">
        <v>23293</v>
      </c>
      <c r="C4001" s="7">
        <v>1576.8</v>
      </c>
      <c r="D4001" s="8" t="s">
        <v>23294</v>
      </c>
      <c r="E4001" s="8" t="s">
        <v>23295</v>
      </c>
      <c r="F4001" s="8" t="s">
        <v>23296</v>
      </c>
      <c r="G4001" s="6" t="s">
        <v>118</v>
      </c>
      <c r="H4001" s="6" t="s">
        <v>34</v>
      </c>
      <c r="I4001" s="8" t="s">
        <v>253</v>
      </c>
      <c r="J4001" s="9">
        <v>1</v>
      </c>
      <c r="K4001" s="9">
        <v>227</v>
      </c>
      <c r="L4001" s="9">
        <v>2027</v>
      </c>
      <c r="M4001" s="8" t="s">
        <v>23297</v>
      </c>
      <c r="N4001" s="8" t="s">
        <v>37</v>
      </c>
      <c r="O4001" s="8" t="s">
        <v>136</v>
      </c>
      <c r="P4001" s="6" t="s">
        <v>51</v>
      </c>
      <c r="Q4001" s="8" t="s">
        <v>500</v>
      </c>
      <c r="R4001" s="10" t="s">
        <v>23298</v>
      </c>
      <c r="S4001" s="11" t="s">
        <v>23299</v>
      </c>
      <c r="T4001" s="6"/>
      <c r="U4001" s="15" t="str">
        <f>HYPERLINK("https://media.infra-m.ru/2268/2268032/cover/2268032.jpg", "Обложка")</f>
        <v>Обложка</v>
      </c>
      <c r="V4001" s="8" t="s">
        <v>11240</v>
      </c>
      <c r="W4001" s="6"/>
      <c r="X4001" s="6"/>
      <c r="Y4001" s="6"/>
      <c r="Z4001" s="6"/>
      <c r="AA4001" s="6" t="s">
        <v>148</v>
      </c>
      <c r="AB4001" s="8"/>
      <c r="AC4001" s="27">
        <v>9785160206707</v>
      </c>
    </row>
    <row r="4002" spans="1:29" s="4" customFormat="1" ht="42" customHeight="1" x14ac:dyDescent="0.2">
      <c r="A4002" s="5">
        <v>0</v>
      </c>
      <c r="B4002" s="6" t="s">
        <v>23300</v>
      </c>
      <c r="C4002" s="13">
        <v>864</v>
      </c>
      <c r="D4002" s="8" t="s">
        <v>23301</v>
      </c>
      <c r="E4002" s="8" t="s">
        <v>23302</v>
      </c>
      <c r="F4002" s="8" t="s">
        <v>23303</v>
      </c>
      <c r="G4002" s="6" t="s">
        <v>33</v>
      </c>
      <c r="H4002" s="6" t="s">
        <v>34</v>
      </c>
      <c r="I4002" s="8" t="s">
        <v>35</v>
      </c>
      <c r="J4002" s="9">
        <v>1</v>
      </c>
      <c r="K4002" s="9">
        <v>160</v>
      </c>
      <c r="L4002" s="9">
        <v>2022</v>
      </c>
      <c r="M4002" s="8" t="s">
        <v>23304</v>
      </c>
      <c r="N4002" s="8" t="s">
        <v>37</v>
      </c>
      <c r="O4002" s="8" t="s">
        <v>233</v>
      </c>
      <c r="P4002" s="6" t="s">
        <v>39</v>
      </c>
      <c r="Q4002" s="8" t="s">
        <v>40</v>
      </c>
      <c r="R4002" s="10" t="s">
        <v>5320</v>
      </c>
      <c r="S4002" s="11"/>
      <c r="T4002" s="6"/>
      <c r="U4002" s="15" t="str">
        <f>HYPERLINK("https://media.infra-m.ru/1816/1816637/cover/1816637.jpg", "Обложка")</f>
        <v>Обложка</v>
      </c>
      <c r="V4002" s="8" t="s">
        <v>11736</v>
      </c>
      <c r="W4002" s="6"/>
      <c r="X4002" s="6"/>
      <c r="Y4002" s="6"/>
      <c r="Z4002" s="6"/>
      <c r="AA4002" s="6" t="s">
        <v>148</v>
      </c>
      <c r="AB4002" s="8"/>
      <c r="AC4002" s="27">
        <v>9785160171531</v>
      </c>
    </row>
    <row r="4003" spans="1:29" s="4" customFormat="1" ht="42" customHeight="1" x14ac:dyDescent="0.2">
      <c r="A4003" s="5">
        <v>0</v>
      </c>
      <c r="B4003" s="6" t="s">
        <v>23305</v>
      </c>
      <c r="C4003" s="13">
        <v>948</v>
      </c>
      <c r="D4003" s="8" t="s">
        <v>23306</v>
      </c>
      <c r="E4003" s="8" t="s">
        <v>23307</v>
      </c>
      <c r="F4003" s="8" t="s">
        <v>23308</v>
      </c>
      <c r="G4003" s="6" t="s">
        <v>118</v>
      </c>
      <c r="H4003" s="6" t="s">
        <v>313</v>
      </c>
      <c r="I4003" s="8"/>
      <c r="J4003" s="9">
        <v>1</v>
      </c>
      <c r="K4003" s="9">
        <v>174</v>
      </c>
      <c r="L4003" s="9">
        <v>2023</v>
      </c>
      <c r="M4003" s="8" t="s">
        <v>23309</v>
      </c>
      <c r="N4003" s="8" t="s">
        <v>37</v>
      </c>
      <c r="O4003" s="8" t="s">
        <v>233</v>
      </c>
      <c r="P4003" s="6" t="s">
        <v>51</v>
      </c>
      <c r="Q4003" s="8" t="s">
        <v>52</v>
      </c>
      <c r="R4003" s="10" t="s">
        <v>13969</v>
      </c>
      <c r="S4003" s="11"/>
      <c r="T4003" s="6"/>
      <c r="U4003" s="15" t="str">
        <f>HYPERLINK("https://media.infra-m.ru/1931/1931484/cover/1931484.jpg", "Обложка")</f>
        <v>Обложка</v>
      </c>
      <c r="V4003" s="8" t="s">
        <v>1878</v>
      </c>
      <c r="W4003" s="6"/>
      <c r="X4003" s="6"/>
      <c r="Y4003" s="6"/>
      <c r="Z4003" s="6"/>
      <c r="AA4003" s="6" t="s">
        <v>86</v>
      </c>
      <c r="AB4003" s="8"/>
      <c r="AC4003" s="27">
        <v>9785369017302</v>
      </c>
    </row>
    <row r="4004" spans="1:29" s="4" customFormat="1" ht="51.9" customHeight="1" x14ac:dyDescent="0.2">
      <c r="A4004" s="5">
        <v>0</v>
      </c>
      <c r="B4004" s="6" t="s">
        <v>23310</v>
      </c>
      <c r="C4004" s="13">
        <v>640.79999999999995</v>
      </c>
      <c r="D4004" s="8" t="s">
        <v>23311</v>
      </c>
      <c r="E4004" s="8" t="s">
        <v>23312</v>
      </c>
      <c r="F4004" s="8" t="s">
        <v>23313</v>
      </c>
      <c r="G4004" s="6" t="s">
        <v>33</v>
      </c>
      <c r="H4004" s="6" t="s">
        <v>313</v>
      </c>
      <c r="I4004" s="8" t="s">
        <v>253</v>
      </c>
      <c r="J4004" s="9">
        <v>1</v>
      </c>
      <c r="K4004" s="9">
        <v>76</v>
      </c>
      <c r="L4004" s="9">
        <v>2023</v>
      </c>
      <c r="M4004" s="8" t="s">
        <v>23314</v>
      </c>
      <c r="N4004" s="8" t="s">
        <v>37</v>
      </c>
      <c r="O4004" s="8" t="s">
        <v>233</v>
      </c>
      <c r="P4004" s="6" t="s">
        <v>51</v>
      </c>
      <c r="Q4004" s="8" t="s">
        <v>52</v>
      </c>
      <c r="R4004" s="10" t="s">
        <v>23315</v>
      </c>
      <c r="S4004" s="11" t="s">
        <v>23316</v>
      </c>
      <c r="T4004" s="6" t="s">
        <v>97</v>
      </c>
      <c r="U4004" s="15" t="str">
        <f>HYPERLINK("https://media.infra-m.ru/2115/2115325/cover/2115325.jpg", "Обложка")</f>
        <v>Обложка</v>
      </c>
      <c r="V4004" s="8" t="s">
        <v>5117</v>
      </c>
      <c r="W4004" s="6"/>
      <c r="X4004" s="6"/>
      <c r="Y4004" s="6"/>
      <c r="Z4004" s="6"/>
      <c r="AA4004" s="6" t="s">
        <v>4023</v>
      </c>
      <c r="AB4004" s="8"/>
      <c r="AC4004" s="27">
        <v>9785369019184</v>
      </c>
    </row>
    <row r="4005" spans="1:29" s="4" customFormat="1" ht="51.9" customHeight="1" x14ac:dyDescent="0.2">
      <c r="A4005" s="5">
        <v>0</v>
      </c>
      <c r="B4005" s="6" t="s">
        <v>23317</v>
      </c>
      <c r="C4005" s="13">
        <v>504</v>
      </c>
      <c r="D4005" s="8" t="s">
        <v>23318</v>
      </c>
      <c r="E4005" s="8" t="s">
        <v>23319</v>
      </c>
      <c r="F4005" s="8" t="s">
        <v>23313</v>
      </c>
      <c r="G4005" s="6" t="s">
        <v>33</v>
      </c>
      <c r="H4005" s="6" t="s">
        <v>313</v>
      </c>
      <c r="I4005" s="8" t="s">
        <v>253</v>
      </c>
      <c r="J4005" s="9">
        <v>1</v>
      </c>
      <c r="K4005" s="9">
        <v>87</v>
      </c>
      <c r="L4005" s="9">
        <v>2019</v>
      </c>
      <c r="M4005" s="8" t="s">
        <v>23320</v>
      </c>
      <c r="N4005" s="8" t="s">
        <v>37</v>
      </c>
      <c r="O4005" s="8" t="s">
        <v>233</v>
      </c>
      <c r="P4005" s="6" t="s">
        <v>51</v>
      </c>
      <c r="Q4005" s="8" t="s">
        <v>52</v>
      </c>
      <c r="R4005" s="10" t="s">
        <v>23315</v>
      </c>
      <c r="S4005" s="11" t="s">
        <v>23316</v>
      </c>
      <c r="T4005" s="6" t="s">
        <v>97</v>
      </c>
      <c r="U4005" s="15" t="str">
        <f>HYPERLINK("https://media.infra-m.ru/1027/1027034/cover/1027034.jpg", "Обложка")</f>
        <v>Обложка</v>
      </c>
      <c r="V4005" s="8" t="s">
        <v>5117</v>
      </c>
      <c r="W4005" s="6"/>
      <c r="X4005" s="6"/>
      <c r="Y4005" s="6"/>
      <c r="Z4005" s="6"/>
      <c r="AA4005" s="6" t="s">
        <v>623</v>
      </c>
      <c r="AB4005" s="8"/>
      <c r="AC4005" s="27">
        <v>9785369016527</v>
      </c>
    </row>
    <row r="4006" spans="1:29" s="4" customFormat="1" ht="51.9" customHeight="1" x14ac:dyDescent="0.2">
      <c r="A4006" s="5">
        <v>0</v>
      </c>
      <c r="B4006" s="6" t="s">
        <v>23321</v>
      </c>
      <c r="C4006" s="13">
        <v>780</v>
      </c>
      <c r="D4006" s="8" t="s">
        <v>23322</v>
      </c>
      <c r="E4006" s="8" t="s">
        <v>23323</v>
      </c>
      <c r="F4006" s="8" t="s">
        <v>23324</v>
      </c>
      <c r="G4006" s="6" t="s">
        <v>33</v>
      </c>
      <c r="H4006" s="6" t="s">
        <v>313</v>
      </c>
      <c r="I4006" s="8"/>
      <c r="J4006" s="9">
        <v>1</v>
      </c>
      <c r="K4006" s="9">
        <v>128</v>
      </c>
      <c r="L4006" s="9">
        <v>2024</v>
      </c>
      <c r="M4006" s="8" t="s">
        <v>23325</v>
      </c>
      <c r="N4006" s="8" t="s">
        <v>37</v>
      </c>
      <c r="O4006" s="8" t="s">
        <v>233</v>
      </c>
      <c r="P4006" s="6" t="s">
        <v>51</v>
      </c>
      <c r="Q4006" s="8" t="s">
        <v>265</v>
      </c>
      <c r="R4006" s="10" t="s">
        <v>23326</v>
      </c>
      <c r="S4006" s="11"/>
      <c r="T4006" s="6" t="s">
        <v>97</v>
      </c>
      <c r="U4006" s="15" t="str">
        <f>HYPERLINK("https://media.infra-m.ru/2068/2068173/cover/2068173.jpg", "Обложка")</f>
        <v>Обложка</v>
      </c>
      <c r="V4006" s="8" t="s">
        <v>5117</v>
      </c>
      <c r="W4006" s="6"/>
      <c r="X4006" s="6"/>
      <c r="Y4006" s="6"/>
      <c r="Z4006" s="6"/>
      <c r="AA4006" s="6" t="s">
        <v>106</v>
      </c>
      <c r="AB4006" s="8"/>
      <c r="AC4006" s="27">
        <v>9785369019337</v>
      </c>
    </row>
    <row r="4007" spans="1:29" s="4" customFormat="1" ht="51.9" customHeight="1" x14ac:dyDescent="0.2">
      <c r="A4007" s="5">
        <v>0</v>
      </c>
      <c r="B4007" s="6" t="s">
        <v>23327</v>
      </c>
      <c r="C4007" s="13">
        <v>936</v>
      </c>
      <c r="D4007" s="8" t="s">
        <v>23328</v>
      </c>
      <c r="E4007" s="8" t="s">
        <v>23329</v>
      </c>
      <c r="F4007" s="8" t="s">
        <v>23324</v>
      </c>
      <c r="G4007" s="6" t="s">
        <v>33</v>
      </c>
      <c r="H4007" s="6" t="s">
        <v>313</v>
      </c>
      <c r="I4007" s="8"/>
      <c r="J4007" s="9">
        <v>1</v>
      </c>
      <c r="K4007" s="9">
        <v>128</v>
      </c>
      <c r="L4007" s="9">
        <v>2026</v>
      </c>
      <c r="M4007" s="8" t="s">
        <v>23330</v>
      </c>
      <c r="N4007" s="8" t="s">
        <v>37</v>
      </c>
      <c r="O4007" s="8" t="s">
        <v>233</v>
      </c>
      <c r="P4007" s="6" t="s">
        <v>51</v>
      </c>
      <c r="Q4007" s="8" t="s">
        <v>265</v>
      </c>
      <c r="R4007" s="10" t="s">
        <v>23326</v>
      </c>
      <c r="S4007" s="11"/>
      <c r="T4007" s="6" t="s">
        <v>97</v>
      </c>
      <c r="U4007" s="15" t="str">
        <f>HYPERLINK("https://media.infra-m.ru/2243/2243695/cover/2243695.jpg", "Обложка")</f>
        <v>Обложка</v>
      </c>
      <c r="V4007" s="8" t="s">
        <v>5117</v>
      </c>
      <c r="W4007" s="6"/>
      <c r="X4007" s="6"/>
      <c r="Y4007" s="6"/>
      <c r="Z4007" s="6"/>
      <c r="AA4007" s="6" t="s">
        <v>1295</v>
      </c>
      <c r="AB4007" s="8"/>
      <c r="AC4007" s="27">
        <v>9785369019894</v>
      </c>
    </row>
    <row r="4008" spans="1:29" s="4" customFormat="1" ht="42" customHeight="1" x14ac:dyDescent="0.2">
      <c r="A4008" s="5">
        <v>0</v>
      </c>
      <c r="B4008" s="6" t="s">
        <v>23331</v>
      </c>
      <c r="C4008" s="7">
        <v>1888.8</v>
      </c>
      <c r="D4008" s="8" t="s">
        <v>23332</v>
      </c>
      <c r="E4008" s="8" t="s">
        <v>23333</v>
      </c>
      <c r="F4008" s="8" t="s">
        <v>23334</v>
      </c>
      <c r="G4008" s="6" t="s">
        <v>60</v>
      </c>
      <c r="H4008" s="6" t="s">
        <v>34</v>
      </c>
      <c r="I4008" s="8" t="s">
        <v>253</v>
      </c>
      <c r="J4008" s="9">
        <v>1</v>
      </c>
      <c r="K4008" s="9">
        <v>272</v>
      </c>
      <c r="L4008" s="9">
        <v>2027</v>
      </c>
      <c r="M4008" s="8" t="s">
        <v>23335</v>
      </c>
      <c r="N4008" s="8" t="s">
        <v>37</v>
      </c>
      <c r="O4008" s="8" t="s">
        <v>233</v>
      </c>
      <c r="P4008" s="6" t="s">
        <v>51</v>
      </c>
      <c r="Q4008" s="8" t="s">
        <v>65</v>
      </c>
      <c r="R4008" s="10" t="s">
        <v>3008</v>
      </c>
      <c r="S4008" s="11"/>
      <c r="T4008" s="6"/>
      <c r="U4008" s="15" t="str">
        <f>HYPERLINK("https://media.infra-m.ru/2262/2262624/cover/2262624.jpg", "Обложка")</f>
        <v>Обложка</v>
      </c>
      <c r="V4008" s="8" t="s">
        <v>546</v>
      </c>
      <c r="W4008" s="6"/>
      <c r="X4008" s="6"/>
      <c r="Y4008" s="6"/>
      <c r="Z4008" s="6"/>
      <c r="AA4008" s="6" t="s">
        <v>1295</v>
      </c>
      <c r="AB4008" s="8"/>
      <c r="AC4008" s="27">
        <v>9785160194233</v>
      </c>
    </row>
    <row r="4009" spans="1:29" s="4" customFormat="1" ht="51.9" customHeight="1" x14ac:dyDescent="0.2">
      <c r="A4009" s="5">
        <v>0</v>
      </c>
      <c r="B4009" s="6" t="s">
        <v>23336</v>
      </c>
      <c r="C4009" s="7">
        <v>1888.8</v>
      </c>
      <c r="D4009" s="8" t="s">
        <v>23337</v>
      </c>
      <c r="E4009" s="8" t="s">
        <v>23333</v>
      </c>
      <c r="F4009" s="8" t="s">
        <v>23334</v>
      </c>
      <c r="G4009" s="6" t="s">
        <v>118</v>
      </c>
      <c r="H4009" s="6" t="s">
        <v>34</v>
      </c>
      <c r="I4009" s="8" t="s">
        <v>263</v>
      </c>
      <c r="J4009" s="9">
        <v>1</v>
      </c>
      <c r="K4009" s="9">
        <v>272</v>
      </c>
      <c r="L4009" s="9">
        <v>2027</v>
      </c>
      <c r="M4009" s="8" t="s">
        <v>23338</v>
      </c>
      <c r="N4009" s="8" t="s">
        <v>37</v>
      </c>
      <c r="O4009" s="8" t="s">
        <v>233</v>
      </c>
      <c r="P4009" s="6" t="s">
        <v>51</v>
      </c>
      <c r="Q4009" s="8" t="s">
        <v>265</v>
      </c>
      <c r="R4009" s="10" t="s">
        <v>23339</v>
      </c>
      <c r="S4009" s="11"/>
      <c r="T4009" s="6"/>
      <c r="U4009" s="15" t="str">
        <f>HYPERLINK("https://media.infra-m.ru/2262/2262623/cover/2262623.jpg", "Обложка")</f>
        <v>Обложка</v>
      </c>
      <c r="V4009" s="8" t="s">
        <v>546</v>
      </c>
      <c r="W4009" s="6"/>
      <c r="X4009" s="6"/>
      <c r="Y4009" s="6"/>
      <c r="Z4009" s="6" t="s">
        <v>882</v>
      </c>
      <c r="AA4009" s="6" t="s">
        <v>1295</v>
      </c>
      <c r="AB4009" s="8"/>
      <c r="AC4009" s="27">
        <v>9785160194332</v>
      </c>
    </row>
    <row r="4010" spans="1:29" s="4" customFormat="1" ht="51.9" customHeight="1" x14ac:dyDescent="0.2">
      <c r="A4010" s="5">
        <v>0</v>
      </c>
      <c r="B4010" s="6" t="s">
        <v>23340</v>
      </c>
      <c r="C4010" s="13">
        <v>540</v>
      </c>
      <c r="D4010" s="8" t="s">
        <v>23341</v>
      </c>
      <c r="E4010" s="8" t="s">
        <v>23342</v>
      </c>
      <c r="F4010" s="8" t="s">
        <v>23324</v>
      </c>
      <c r="G4010" s="6" t="s">
        <v>33</v>
      </c>
      <c r="H4010" s="6" t="s">
        <v>313</v>
      </c>
      <c r="I4010" s="8"/>
      <c r="J4010" s="9">
        <v>1</v>
      </c>
      <c r="K4010" s="9">
        <v>118</v>
      </c>
      <c r="L4010" s="9">
        <v>2020</v>
      </c>
      <c r="M4010" s="8" t="s">
        <v>23343</v>
      </c>
      <c r="N4010" s="8" t="s">
        <v>37</v>
      </c>
      <c r="O4010" s="8" t="s">
        <v>233</v>
      </c>
      <c r="P4010" s="6" t="s">
        <v>51</v>
      </c>
      <c r="Q4010" s="8" t="s">
        <v>265</v>
      </c>
      <c r="R4010" s="10" t="s">
        <v>23326</v>
      </c>
      <c r="S4010" s="11"/>
      <c r="T4010" s="6" t="s">
        <v>97</v>
      </c>
      <c r="U4010" s="15" t="str">
        <f>HYPERLINK("https://media.infra-m.ru/1072/1072123/cover/1072123.jpg", "Обложка")</f>
        <v>Обложка</v>
      </c>
      <c r="V4010" s="8" t="s">
        <v>5117</v>
      </c>
      <c r="W4010" s="6"/>
      <c r="X4010" s="6"/>
      <c r="Y4010" s="6"/>
      <c r="Z4010" s="6"/>
      <c r="AA4010" s="6" t="s">
        <v>115</v>
      </c>
      <c r="AB4010" s="8"/>
      <c r="AC4010" s="27">
        <v>9785369017876</v>
      </c>
    </row>
    <row r="4011" spans="1:29" s="4" customFormat="1" ht="51.9" customHeight="1" x14ac:dyDescent="0.2">
      <c r="A4011" s="5">
        <v>0</v>
      </c>
      <c r="B4011" s="6" t="s">
        <v>23344</v>
      </c>
      <c r="C4011" s="7">
        <v>1332</v>
      </c>
      <c r="D4011" s="8" t="s">
        <v>23345</v>
      </c>
      <c r="E4011" s="8" t="s">
        <v>23346</v>
      </c>
      <c r="F4011" s="8" t="s">
        <v>23334</v>
      </c>
      <c r="G4011" s="6" t="s">
        <v>118</v>
      </c>
      <c r="H4011" s="6" t="s">
        <v>34</v>
      </c>
      <c r="I4011" s="8" t="s">
        <v>263</v>
      </c>
      <c r="J4011" s="9">
        <v>1</v>
      </c>
      <c r="K4011" s="9">
        <v>309</v>
      </c>
      <c r="L4011" s="9">
        <v>2021</v>
      </c>
      <c r="M4011" s="8" t="s">
        <v>23347</v>
      </c>
      <c r="N4011" s="8" t="s">
        <v>37</v>
      </c>
      <c r="O4011" s="8" t="s">
        <v>233</v>
      </c>
      <c r="P4011" s="6" t="s">
        <v>51</v>
      </c>
      <c r="Q4011" s="8" t="s">
        <v>265</v>
      </c>
      <c r="R4011" s="10" t="s">
        <v>23339</v>
      </c>
      <c r="S4011" s="11" t="s">
        <v>23348</v>
      </c>
      <c r="T4011" s="6"/>
      <c r="U4011" s="15" t="str">
        <f>HYPERLINK("https://media.infra-m.ru/1168/1168490/cover/1168490.jpg", "Обложка")</f>
        <v>Обложка</v>
      </c>
      <c r="V4011" s="8" t="s">
        <v>546</v>
      </c>
      <c r="W4011" s="6"/>
      <c r="X4011" s="6"/>
      <c r="Y4011" s="6"/>
      <c r="Z4011" s="6" t="s">
        <v>882</v>
      </c>
      <c r="AA4011" s="6" t="s">
        <v>430</v>
      </c>
      <c r="AB4011" s="8"/>
      <c r="AC4011" s="27">
        <v>9785160166315</v>
      </c>
    </row>
    <row r="4012" spans="1:29" s="4" customFormat="1" ht="51.9" customHeight="1" x14ac:dyDescent="0.2">
      <c r="A4012" s="5">
        <v>0</v>
      </c>
      <c r="B4012" s="6" t="s">
        <v>23349</v>
      </c>
      <c r="C4012" s="7">
        <v>1308</v>
      </c>
      <c r="D4012" s="8" t="s">
        <v>23350</v>
      </c>
      <c r="E4012" s="8" t="s">
        <v>23351</v>
      </c>
      <c r="F4012" s="8" t="s">
        <v>23334</v>
      </c>
      <c r="G4012" s="6" t="s">
        <v>60</v>
      </c>
      <c r="H4012" s="6" t="s">
        <v>34</v>
      </c>
      <c r="I4012" s="8" t="s">
        <v>504</v>
      </c>
      <c r="J4012" s="9">
        <v>1</v>
      </c>
      <c r="K4012" s="9">
        <v>262</v>
      </c>
      <c r="L4012" s="9">
        <v>2022</v>
      </c>
      <c r="M4012" s="8" t="s">
        <v>23352</v>
      </c>
      <c r="N4012" s="8" t="s">
        <v>37</v>
      </c>
      <c r="O4012" s="8" t="s">
        <v>233</v>
      </c>
      <c r="P4012" s="6" t="s">
        <v>51</v>
      </c>
      <c r="Q4012" s="8" t="s">
        <v>500</v>
      </c>
      <c r="R4012" s="10" t="s">
        <v>23353</v>
      </c>
      <c r="S4012" s="11" t="s">
        <v>23354</v>
      </c>
      <c r="T4012" s="6"/>
      <c r="U4012" s="15" t="str">
        <f>HYPERLINK("https://media.infra-m.ru/1413/1413930/cover/1413930.jpg", "Обложка")</f>
        <v>Обложка</v>
      </c>
      <c r="V4012" s="8" t="s">
        <v>546</v>
      </c>
      <c r="W4012" s="6"/>
      <c r="X4012" s="6"/>
      <c r="Y4012" s="6"/>
      <c r="Z4012" s="6"/>
      <c r="AA4012" s="6" t="s">
        <v>148</v>
      </c>
      <c r="AB4012" s="8"/>
      <c r="AC4012" s="27">
        <v>9785160169514</v>
      </c>
    </row>
    <row r="4013" spans="1:29" s="4" customFormat="1" ht="51.9" customHeight="1" x14ac:dyDescent="0.2">
      <c r="A4013" s="5">
        <v>0</v>
      </c>
      <c r="B4013" s="6" t="s">
        <v>23355</v>
      </c>
      <c r="C4013" s="7">
        <v>1673.9</v>
      </c>
      <c r="D4013" s="8" t="s">
        <v>23356</v>
      </c>
      <c r="E4013" s="8" t="s">
        <v>23351</v>
      </c>
      <c r="F4013" s="8" t="s">
        <v>23334</v>
      </c>
      <c r="G4013" s="6" t="s">
        <v>118</v>
      </c>
      <c r="H4013" s="6" t="s">
        <v>34</v>
      </c>
      <c r="I4013" s="8" t="s">
        <v>271</v>
      </c>
      <c r="J4013" s="9">
        <v>1</v>
      </c>
      <c r="K4013" s="9">
        <v>309</v>
      </c>
      <c r="L4013" s="9">
        <v>2023</v>
      </c>
      <c r="M4013" s="8" t="s">
        <v>23357</v>
      </c>
      <c r="N4013" s="8" t="s">
        <v>37</v>
      </c>
      <c r="O4013" s="8" t="s">
        <v>233</v>
      </c>
      <c r="P4013" s="6" t="s">
        <v>51</v>
      </c>
      <c r="Q4013" s="8" t="s">
        <v>52</v>
      </c>
      <c r="R4013" s="10" t="s">
        <v>3008</v>
      </c>
      <c r="S4013" s="11" t="s">
        <v>23358</v>
      </c>
      <c r="T4013" s="6"/>
      <c r="U4013" s="15" t="str">
        <f>HYPERLINK("https://media.infra-m.ru/2006/2006036/cover/2006036.jpg", "Обложка")</f>
        <v>Обложка</v>
      </c>
      <c r="V4013" s="8" t="s">
        <v>546</v>
      </c>
      <c r="W4013" s="6"/>
      <c r="X4013" s="6"/>
      <c r="Y4013" s="6"/>
      <c r="Z4013" s="6"/>
      <c r="AA4013" s="6" t="s">
        <v>115</v>
      </c>
      <c r="AB4013" s="8"/>
      <c r="AC4013" s="27">
        <v>9785160137803</v>
      </c>
    </row>
    <row r="4014" spans="1:29" s="4" customFormat="1" ht="51.9" customHeight="1" x14ac:dyDescent="0.2">
      <c r="A4014" s="5">
        <v>0</v>
      </c>
      <c r="B4014" s="6" t="s">
        <v>23359</v>
      </c>
      <c r="C4014" s="7">
        <v>1200</v>
      </c>
      <c r="D4014" s="8" t="s">
        <v>23360</v>
      </c>
      <c r="E4014" s="8" t="s">
        <v>23361</v>
      </c>
      <c r="F4014" s="8" t="s">
        <v>5040</v>
      </c>
      <c r="G4014" s="6" t="s">
        <v>118</v>
      </c>
      <c r="H4014" s="6" t="s">
        <v>313</v>
      </c>
      <c r="I4014" s="8" t="s">
        <v>253</v>
      </c>
      <c r="J4014" s="9">
        <v>1</v>
      </c>
      <c r="K4014" s="9">
        <v>208</v>
      </c>
      <c r="L4014" s="9">
        <v>2023</v>
      </c>
      <c r="M4014" s="8" t="s">
        <v>23362</v>
      </c>
      <c r="N4014" s="8" t="s">
        <v>37</v>
      </c>
      <c r="O4014" s="8" t="s">
        <v>233</v>
      </c>
      <c r="P4014" s="6" t="s">
        <v>51</v>
      </c>
      <c r="Q4014" s="8" t="s">
        <v>52</v>
      </c>
      <c r="R4014" s="10" t="s">
        <v>6383</v>
      </c>
      <c r="S4014" s="11"/>
      <c r="T4014" s="6"/>
      <c r="U4014" s="15" t="str">
        <f>HYPERLINK("https://media.infra-m.ru/2124/2124948/cover/2124948.jpg", "Обложка")</f>
        <v>Обложка</v>
      </c>
      <c r="V4014" s="8" t="s">
        <v>227</v>
      </c>
      <c r="W4014" s="6"/>
      <c r="X4014" s="6"/>
      <c r="Y4014" s="6"/>
      <c r="Z4014" s="6"/>
      <c r="AA4014" s="6" t="s">
        <v>5639</v>
      </c>
      <c r="AB4014" s="8"/>
      <c r="AC4014" s="27">
        <v>9785369019030</v>
      </c>
    </row>
    <row r="4015" spans="1:29" s="4" customFormat="1" ht="51.9" customHeight="1" x14ac:dyDescent="0.2">
      <c r="A4015" s="5">
        <v>0</v>
      </c>
      <c r="B4015" s="6" t="s">
        <v>23363</v>
      </c>
      <c r="C4015" s="13">
        <v>449.9</v>
      </c>
      <c r="D4015" s="8" t="s">
        <v>23364</v>
      </c>
      <c r="E4015" s="8" t="s">
        <v>23365</v>
      </c>
      <c r="F4015" s="8" t="s">
        <v>23366</v>
      </c>
      <c r="G4015" s="6" t="s">
        <v>60</v>
      </c>
      <c r="H4015" s="6" t="s">
        <v>313</v>
      </c>
      <c r="I4015" s="8" t="s">
        <v>253</v>
      </c>
      <c r="J4015" s="9">
        <v>20</v>
      </c>
      <c r="K4015" s="9">
        <v>205</v>
      </c>
      <c r="L4015" s="9">
        <v>2016</v>
      </c>
      <c r="M4015" s="8" t="s">
        <v>23367</v>
      </c>
      <c r="N4015" s="8" t="s">
        <v>37</v>
      </c>
      <c r="O4015" s="8" t="s">
        <v>233</v>
      </c>
      <c r="P4015" s="6" t="s">
        <v>51</v>
      </c>
      <c r="Q4015" s="8" t="s">
        <v>52</v>
      </c>
      <c r="R4015" s="10" t="s">
        <v>6383</v>
      </c>
      <c r="S4015" s="11"/>
      <c r="T4015" s="6"/>
      <c r="U4015" s="15" t="str">
        <f>HYPERLINK("https://media.infra-m.ru/0567/0567166/cover/567166.jpg", "Обложка")</f>
        <v>Обложка</v>
      </c>
      <c r="V4015" s="8" t="s">
        <v>227</v>
      </c>
      <c r="W4015" s="6"/>
      <c r="X4015" s="6"/>
      <c r="Y4015" s="6"/>
      <c r="Z4015" s="6"/>
      <c r="AA4015" s="6" t="s">
        <v>1123</v>
      </c>
      <c r="AB4015" s="8"/>
      <c r="AC4015" s="27">
        <v>9785369014257</v>
      </c>
    </row>
    <row r="4016" spans="1:29" s="4" customFormat="1" ht="51.9" customHeight="1" x14ac:dyDescent="0.2">
      <c r="A4016" s="5">
        <v>0</v>
      </c>
      <c r="B4016" s="6" t="s">
        <v>23368</v>
      </c>
      <c r="C4016" s="7">
        <v>1296</v>
      </c>
      <c r="D4016" s="8" t="s">
        <v>23369</v>
      </c>
      <c r="E4016" s="8" t="s">
        <v>23370</v>
      </c>
      <c r="F4016" s="8" t="s">
        <v>23334</v>
      </c>
      <c r="G4016" s="6" t="s">
        <v>118</v>
      </c>
      <c r="H4016" s="6" t="s">
        <v>34</v>
      </c>
      <c r="I4016" s="8" t="s">
        <v>271</v>
      </c>
      <c r="J4016" s="9">
        <v>1</v>
      </c>
      <c r="K4016" s="9">
        <v>235</v>
      </c>
      <c r="L4016" s="9">
        <v>2023</v>
      </c>
      <c r="M4016" s="8" t="s">
        <v>23371</v>
      </c>
      <c r="N4016" s="8" t="s">
        <v>37</v>
      </c>
      <c r="O4016" s="8" t="s">
        <v>233</v>
      </c>
      <c r="P4016" s="6" t="s">
        <v>306</v>
      </c>
      <c r="Q4016" s="8" t="s">
        <v>52</v>
      </c>
      <c r="R4016" s="10" t="s">
        <v>23372</v>
      </c>
      <c r="S4016" s="11" t="s">
        <v>23373</v>
      </c>
      <c r="T4016" s="6"/>
      <c r="U4016" s="15" t="str">
        <f>HYPERLINK("https://media.infra-m.ru/1931/1931498/cover/1931498.jpg", "Обложка")</f>
        <v>Обложка</v>
      </c>
      <c r="V4016" s="8" t="s">
        <v>546</v>
      </c>
      <c r="W4016" s="6"/>
      <c r="X4016" s="6"/>
      <c r="Y4016" s="6"/>
      <c r="Z4016" s="6"/>
      <c r="AA4016" s="6" t="s">
        <v>115</v>
      </c>
      <c r="AB4016" s="8"/>
      <c r="AC4016" s="27">
        <v>9785160137797</v>
      </c>
    </row>
    <row r="4017" spans="1:29" s="4" customFormat="1" ht="44.1" customHeight="1" x14ac:dyDescent="0.2">
      <c r="A4017" s="5">
        <v>0</v>
      </c>
      <c r="B4017" s="6" t="s">
        <v>23374</v>
      </c>
      <c r="C4017" s="7">
        <v>1440</v>
      </c>
      <c r="D4017" s="8" t="s">
        <v>23375</v>
      </c>
      <c r="E4017" s="8" t="s">
        <v>23376</v>
      </c>
      <c r="F4017" s="8" t="s">
        <v>23334</v>
      </c>
      <c r="G4017" s="6" t="s">
        <v>60</v>
      </c>
      <c r="H4017" s="6" t="s">
        <v>34</v>
      </c>
      <c r="I4017" s="8" t="s">
        <v>253</v>
      </c>
      <c r="J4017" s="9">
        <v>1</v>
      </c>
      <c r="K4017" s="9">
        <v>228</v>
      </c>
      <c r="L4017" s="9">
        <v>2025</v>
      </c>
      <c r="M4017" s="8" t="s">
        <v>23377</v>
      </c>
      <c r="N4017" s="8" t="s">
        <v>37</v>
      </c>
      <c r="O4017" s="8" t="s">
        <v>233</v>
      </c>
      <c r="P4017" s="6" t="s">
        <v>306</v>
      </c>
      <c r="Q4017" s="8" t="s">
        <v>65</v>
      </c>
      <c r="R4017" s="10" t="s">
        <v>23372</v>
      </c>
      <c r="S4017" s="11"/>
      <c r="T4017" s="6"/>
      <c r="U4017" s="15" t="str">
        <f>HYPERLINK("https://media.infra-m.ru/2122/2122898/cover/2122898.jpg", "Обложка")</f>
        <v>Обложка</v>
      </c>
      <c r="V4017" s="8" t="s">
        <v>546</v>
      </c>
      <c r="W4017" s="6"/>
      <c r="X4017" s="6"/>
      <c r="Y4017" s="6"/>
      <c r="Z4017" s="6"/>
      <c r="AA4017" s="6" t="s">
        <v>917</v>
      </c>
      <c r="AB4017" s="8"/>
      <c r="AC4017" s="27">
        <v>9785160194646</v>
      </c>
    </row>
    <row r="4018" spans="1:29" s="4" customFormat="1" ht="51.9" customHeight="1" x14ac:dyDescent="0.2">
      <c r="A4018" s="5">
        <v>0</v>
      </c>
      <c r="B4018" s="6" t="s">
        <v>23378</v>
      </c>
      <c r="C4018" s="7">
        <v>1512</v>
      </c>
      <c r="D4018" s="8" t="s">
        <v>23379</v>
      </c>
      <c r="E4018" s="8" t="s">
        <v>23376</v>
      </c>
      <c r="F4018" s="8" t="s">
        <v>23334</v>
      </c>
      <c r="G4018" s="6" t="s">
        <v>118</v>
      </c>
      <c r="H4018" s="6" t="s">
        <v>34</v>
      </c>
      <c r="I4018" s="8" t="s">
        <v>263</v>
      </c>
      <c r="J4018" s="9">
        <v>1</v>
      </c>
      <c r="K4018" s="9">
        <v>228</v>
      </c>
      <c r="L4018" s="9">
        <v>2026</v>
      </c>
      <c r="M4018" s="8" t="s">
        <v>23380</v>
      </c>
      <c r="N4018" s="8" t="s">
        <v>37</v>
      </c>
      <c r="O4018" s="8" t="s">
        <v>233</v>
      </c>
      <c r="P4018" s="6" t="s">
        <v>306</v>
      </c>
      <c r="Q4018" s="8" t="s">
        <v>265</v>
      </c>
      <c r="R4018" s="10" t="s">
        <v>23381</v>
      </c>
      <c r="S4018" s="11" t="s">
        <v>23382</v>
      </c>
      <c r="T4018" s="6"/>
      <c r="U4018" s="15" t="str">
        <f>HYPERLINK("https://media.infra-m.ru/2247/2247571/cover/2247571.jpg", "Обложка")</f>
        <v>Обложка</v>
      </c>
      <c r="V4018" s="8" t="s">
        <v>546</v>
      </c>
      <c r="W4018" s="6"/>
      <c r="X4018" s="6" t="s">
        <v>24</v>
      </c>
      <c r="Y4018" s="6"/>
      <c r="Z4018" s="6" t="s">
        <v>882</v>
      </c>
      <c r="AA4018" s="6" t="s">
        <v>917</v>
      </c>
      <c r="AB4018" s="8"/>
      <c r="AC4018" s="27">
        <v>9785160205717</v>
      </c>
    </row>
    <row r="4019" spans="1:29" s="4" customFormat="1" ht="51.9" customHeight="1" x14ac:dyDescent="0.2">
      <c r="A4019" s="5">
        <v>0</v>
      </c>
      <c r="B4019" s="6" t="s">
        <v>23383</v>
      </c>
      <c r="C4019" s="7">
        <v>1308</v>
      </c>
      <c r="D4019" s="8" t="s">
        <v>23384</v>
      </c>
      <c r="E4019" s="8" t="s">
        <v>23370</v>
      </c>
      <c r="F4019" s="8" t="s">
        <v>23334</v>
      </c>
      <c r="G4019" s="6" t="s">
        <v>118</v>
      </c>
      <c r="H4019" s="6" t="s">
        <v>34</v>
      </c>
      <c r="I4019" s="8" t="s">
        <v>263</v>
      </c>
      <c r="J4019" s="9">
        <v>1</v>
      </c>
      <c r="K4019" s="9">
        <v>235</v>
      </c>
      <c r="L4019" s="9">
        <v>2024</v>
      </c>
      <c r="M4019" s="8" t="s">
        <v>23385</v>
      </c>
      <c r="N4019" s="8" t="s">
        <v>37</v>
      </c>
      <c r="O4019" s="8" t="s">
        <v>233</v>
      </c>
      <c r="P4019" s="6" t="s">
        <v>306</v>
      </c>
      <c r="Q4019" s="8" t="s">
        <v>265</v>
      </c>
      <c r="R4019" s="10" t="s">
        <v>23381</v>
      </c>
      <c r="S4019" s="11" t="s">
        <v>23382</v>
      </c>
      <c r="T4019" s="6"/>
      <c r="U4019" s="15" t="str">
        <f>HYPERLINK("https://media.infra-m.ru/1981/1981652/cover/1981652.jpg", "Обложка")</f>
        <v>Обложка</v>
      </c>
      <c r="V4019" s="8" t="s">
        <v>546</v>
      </c>
      <c r="W4019" s="6"/>
      <c r="X4019" s="6" t="s">
        <v>24</v>
      </c>
      <c r="Y4019" s="6"/>
      <c r="Z4019" s="6" t="s">
        <v>882</v>
      </c>
      <c r="AA4019" s="6" t="s">
        <v>430</v>
      </c>
      <c r="AB4019" s="8"/>
      <c r="AC4019" s="27">
        <v>9785160167145</v>
      </c>
    </row>
    <row r="4020" spans="1:29" s="4" customFormat="1" ht="51.9" customHeight="1" x14ac:dyDescent="0.2">
      <c r="A4020" s="5">
        <v>0</v>
      </c>
      <c r="B4020" s="6" t="s">
        <v>23386</v>
      </c>
      <c r="C4020" s="7">
        <v>2940</v>
      </c>
      <c r="D4020" s="8" t="s">
        <v>23387</v>
      </c>
      <c r="E4020" s="8" t="s">
        <v>23370</v>
      </c>
      <c r="F4020" s="8" t="s">
        <v>23388</v>
      </c>
      <c r="G4020" s="6" t="s">
        <v>60</v>
      </c>
      <c r="H4020" s="6" t="s">
        <v>34</v>
      </c>
      <c r="I4020" s="8" t="s">
        <v>271</v>
      </c>
      <c r="J4020" s="9">
        <v>1</v>
      </c>
      <c r="K4020" s="9">
        <v>531</v>
      </c>
      <c r="L4020" s="9">
        <v>2024</v>
      </c>
      <c r="M4020" s="8" t="s">
        <v>23389</v>
      </c>
      <c r="N4020" s="8" t="s">
        <v>37</v>
      </c>
      <c r="O4020" s="8" t="s">
        <v>233</v>
      </c>
      <c r="P4020" s="6" t="s">
        <v>306</v>
      </c>
      <c r="Q4020" s="8" t="s">
        <v>52</v>
      </c>
      <c r="R4020" s="10" t="s">
        <v>23390</v>
      </c>
      <c r="S4020" s="11" t="s">
        <v>23391</v>
      </c>
      <c r="T4020" s="6" t="s">
        <v>97</v>
      </c>
      <c r="U4020" s="15" t="str">
        <f>HYPERLINK("https://media.infra-m.ru/2111/2111811/cover/2111811.jpg", "Обложка")</f>
        <v>Обложка</v>
      </c>
      <c r="V4020" s="8" t="s">
        <v>1683</v>
      </c>
      <c r="W4020" s="6"/>
      <c r="X4020" s="6"/>
      <c r="Y4020" s="6"/>
      <c r="Z4020" s="6"/>
      <c r="AA4020" s="6" t="s">
        <v>86</v>
      </c>
      <c r="AB4020" s="8"/>
      <c r="AC4020" s="27">
        <v>9785160133348</v>
      </c>
    </row>
    <row r="4021" spans="1:29" s="4" customFormat="1" ht="51.9" customHeight="1" x14ac:dyDescent="0.2">
      <c r="A4021" s="5">
        <v>0</v>
      </c>
      <c r="B4021" s="6" t="s">
        <v>23392</v>
      </c>
      <c r="C4021" s="7">
        <v>2440.8000000000002</v>
      </c>
      <c r="D4021" s="8" t="s">
        <v>23393</v>
      </c>
      <c r="E4021" s="8" t="s">
        <v>23370</v>
      </c>
      <c r="F4021" s="8" t="s">
        <v>23394</v>
      </c>
      <c r="G4021" s="6" t="s">
        <v>118</v>
      </c>
      <c r="H4021" s="6" t="s">
        <v>241</v>
      </c>
      <c r="I4021" s="8" t="s">
        <v>23395</v>
      </c>
      <c r="J4021" s="9">
        <v>1</v>
      </c>
      <c r="K4021" s="9">
        <v>391</v>
      </c>
      <c r="L4021" s="9">
        <v>2025</v>
      </c>
      <c r="M4021" s="8" t="s">
        <v>23396</v>
      </c>
      <c r="N4021" s="8" t="s">
        <v>37</v>
      </c>
      <c r="O4021" s="8" t="s">
        <v>233</v>
      </c>
      <c r="P4021" s="6" t="s">
        <v>51</v>
      </c>
      <c r="Q4021" s="8" t="s">
        <v>52</v>
      </c>
      <c r="R4021" s="10" t="s">
        <v>13969</v>
      </c>
      <c r="S4021" s="11" t="s">
        <v>23397</v>
      </c>
      <c r="T4021" s="6"/>
      <c r="U4021" s="15" t="str">
        <f>HYPERLINK("https://media.infra-m.ru/2212/2212132/cover/2212132.jpg", "Обложка")</f>
        <v>Обложка</v>
      </c>
      <c r="V4021" s="8" t="s">
        <v>247</v>
      </c>
      <c r="W4021" s="6"/>
      <c r="X4021" s="6"/>
      <c r="Y4021" s="6"/>
      <c r="Z4021" s="6"/>
      <c r="AA4021" s="6" t="s">
        <v>86</v>
      </c>
      <c r="AB4021" s="8"/>
      <c r="AC4021" s="27">
        <v>9785955805788</v>
      </c>
    </row>
    <row r="4022" spans="1:29" s="4" customFormat="1" ht="51.9" customHeight="1" x14ac:dyDescent="0.2">
      <c r="A4022" s="5">
        <v>0</v>
      </c>
      <c r="B4022" s="6" t="s">
        <v>23398</v>
      </c>
      <c r="C4022" s="7">
        <v>2440.8000000000002</v>
      </c>
      <c r="D4022" s="8" t="s">
        <v>23399</v>
      </c>
      <c r="E4022" s="8" t="s">
        <v>23370</v>
      </c>
      <c r="F4022" s="8" t="s">
        <v>23394</v>
      </c>
      <c r="G4022" s="6" t="s">
        <v>118</v>
      </c>
      <c r="H4022" s="6" t="s">
        <v>241</v>
      </c>
      <c r="I4022" s="8" t="s">
        <v>263</v>
      </c>
      <c r="J4022" s="9">
        <v>1</v>
      </c>
      <c r="K4022" s="9">
        <v>391</v>
      </c>
      <c r="L4022" s="9">
        <v>2024</v>
      </c>
      <c r="M4022" s="8" t="s">
        <v>23400</v>
      </c>
      <c r="N4022" s="8" t="s">
        <v>37</v>
      </c>
      <c r="O4022" s="8" t="s">
        <v>233</v>
      </c>
      <c r="P4022" s="6" t="s">
        <v>51</v>
      </c>
      <c r="Q4022" s="8" t="s">
        <v>265</v>
      </c>
      <c r="R4022" s="10" t="s">
        <v>23401</v>
      </c>
      <c r="S4022" s="11" t="s">
        <v>23402</v>
      </c>
      <c r="T4022" s="6"/>
      <c r="U4022" s="15" t="str">
        <f>HYPERLINK("https://media.infra-m.ru/2110/2110490/cover/2110490.jpg", "Обложка")</f>
        <v>Обложка</v>
      </c>
      <c r="V4022" s="8" t="s">
        <v>247</v>
      </c>
      <c r="W4022" s="6"/>
      <c r="X4022" s="6"/>
      <c r="Y4022" s="6"/>
      <c r="Z4022" s="6" t="s">
        <v>267</v>
      </c>
      <c r="AA4022" s="6" t="s">
        <v>115</v>
      </c>
      <c r="AB4022" s="8"/>
      <c r="AC4022" s="27">
        <v>9785955806433</v>
      </c>
    </row>
    <row r="4023" spans="1:29" s="4" customFormat="1" ht="51.9" customHeight="1" x14ac:dyDescent="0.2">
      <c r="A4023" s="5">
        <v>0</v>
      </c>
      <c r="B4023" s="6" t="s">
        <v>23403</v>
      </c>
      <c r="C4023" s="7">
        <v>2508</v>
      </c>
      <c r="D4023" s="8" t="s">
        <v>23404</v>
      </c>
      <c r="E4023" s="8" t="s">
        <v>23370</v>
      </c>
      <c r="F4023" s="8" t="s">
        <v>23405</v>
      </c>
      <c r="G4023" s="6" t="s">
        <v>60</v>
      </c>
      <c r="H4023" s="6" t="s">
        <v>34</v>
      </c>
      <c r="I4023" s="8" t="s">
        <v>263</v>
      </c>
      <c r="J4023" s="9">
        <v>1</v>
      </c>
      <c r="K4023" s="9">
        <v>397</v>
      </c>
      <c r="L4023" s="9">
        <v>2025</v>
      </c>
      <c r="M4023" s="8" t="s">
        <v>23406</v>
      </c>
      <c r="N4023" s="8" t="s">
        <v>37</v>
      </c>
      <c r="O4023" s="8" t="s">
        <v>233</v>
      </c>
      <c r="P4023" s="6" t="s">
        <v>51</v>
      </c>
      <c r="Q4023" s="8" t="s">
        <v>265</v>
      </c>
      <c r="R4023" s="10" t="s">
        <v>2200</v>
      </c>
      <c r="S4023" s="11"/>
      <c r="T4023" s="6"/>
      <c r="U4023" s="15" t="str">
        <f>HYPERLINK("https://media.infra-m.ru/2122/2122903/cover/2122903.jpg", "Обложка")</f>
        <v>Обложка</v>
      </c>
      <c r="V4023" s="8" t="s">
        <v>5555</v>
      </c>
      <c r="W4023" s="6"/>
      <c r="X4023" s="6"/>
      <c r="Y4023" s="6"/>
      <c r="Z4023" s="6"/>
      <c r="AA4023" s="6" t="s">
        <v>68</v>
      </c>
      <c r="AB4023" s="8" t="s">
        <v>3042</v>
      </c>
      <c r="AC4023" s="27">
        <v>9785160194660</v>
      </c>
    </row>
    <row r="4024" spans="1:29" s="4" customFormat="1" ht="51.9" customHeight="1" x14ac:dyDescent="0.2">
      <c r="A4024" s="5">
        <v>0</v>
      </c>
      <c r="B4024" s="6" t="s">
        <v>23407</v>
      </c>
      <c r="C4024" s="7">
        <v>1380</v>
      </c>
      <c r="D4024" s="8" t="s">
        <v>23408</v>
      </c>
      <c r="E4024" s="8" t="s">
        <v>23370</v>
      </c>
      <c r="F4024" s="8" t="s">
        <v>23409</v>
      </c>
      <c r="G4024" s="6" t="s">
        <v>118</v>
      </c>
      <c r="H4024" s="6" t="s">
        <v>34</v>
      </c>
      <c r="I4024" s="8" t="s">
        <v>263</v>
      </c>
      <c r="J4024" s="9">
        <v>1</v>
      </c>
      <c r="K4024" s="9">
        <v>249</v>
      </c>
      <c r="L4024" s="9">
        <v>2024</v>
      </c>
      <c r="M4024" s="8" t="s">
        <v>23410</v>
      </c>
      <c r="N4024" s="8" t="s">
        <v>37</v>
      </c>
      <c r="O4024" s="8" t="s">
        <v>233</v>
      </c>
      <c r="P4024" s="6" t="s">
        <v>51</v>
      </c>
      <c r="Q4024" s="8" t="s">
        <v>265</v>
      </c>
      <c r="R4024" s="10" t="s">
        <v>23401</v>
      </c>
      <c r="S4024" s="11" t="s">
        <v>23411</v>
      </c>
      <c r="T4024" s="6" t="s">
        <v>97</v>
      </c>
      <c r="U4024" s="15" t="str">
        <f>HYPERLINK("https://media.infra-m.ru/2096/2096329/cover/2096329.jpg", "Обложка")</f>
        <v>Обложка</v>
      </c>
      <c r="V4024" s="8" t="s">
        <v>1030</v>
      </c>
      <c r="W4024" s="6"/>
      <c r="X4024" s="6"/>
      <c r="Y4024" s="6"/>
      <c r="Z4024" s="6" t="s">
        <v>267</v>
      </c>
      <c r="AA4024" s="6" t="s">
        <v>1256</v>
      </c>
      <c r="AB4024" s="8"/>
      <c r="AC4024" s="27">
        <v>9785160156880</v>
      </c>
    </row>
    <row r="4025" spans="1:29" s="4" customFormat="1" ht="51.9" customHeight="1" x14ac:dyDescent="0.2">
      <c r="A4025" s="5">
        <v>0</v>
      </c>
      <c r="B4025" s="6" t="s">
        <v>23412</v>
      </c>
      <c r="C4025" s="7">
        <v>1536</v>
      </c>
      <c r="D4025" s="8" t="s">
        <v>23413</v>
      </c>
      <c r="E4025" s="8" t="s">
        <v>23370</v>
      </c>
      <c r="F4025" s="8" t="s">
        <v>23414</v>
      </c>
      <c r="G4025" s="6" t="s">
        <v>60</v>
      </c>
      <c r="H4025" s="6" t="s">
        <v>34</v>
      </c>
      <c r="I4025" s="8" t="s">
        <v>253</v>
      </c>
      <c r="J4025" s="9">
        <v>1</v>
      </c>
      <c r="K4025" s="9">
        <v>244</v>
      </c>
      <c r="L4025" s="9">
        <v>2025</v>
      </c>
      <c r="M4025" s="8" t="s">
        <v>23415</v>
      </c>
      <c r="N4025" s="8" t="s">
        <v>37</v>
      </c>
      <c r="O4025" s="8" t="s">
        <v>233</v>
      </c>
      <c r="P4025" s="6" t="s">
        <v>51</v>
      </c>
      <c r="Q4025" s="8" t="s">
        <v>65</v>
      </c>
      <c r="R4025" s="10" t="s">
        <v>23416</v>
      </c>
      <c r="S4025" s="11"/>
      <c r="T4025" s="6"/>
      <c r="U4025" s="15" t="str">
        <f>HYPERLINK("https://media.infra-m.ru/2116/2116158/cover/2116158.jpg", "Обложка")</f>
        <v>Обложка</v>
      </c>
      <c r="V4025" s="8" t="s">
        <v>4754</v>
      </c>
      <c r="W4025" s="6"/>
      <c r="X4025" s="6"/>
      <c r="Y4025" s="6"/>
      <c r="Z4025" s="6"/>
      <c r="AA4025" s="6" t="s">
        <v>68</v>
      </c>
      <c r="AB4025" s="8"/>
      <c r="AC4025" s="27">
        <v>9785160194004</v>
      </c>
    </row>
    <row r="4026" spans="1:29" s="4" customFormat="1" ht="51.9" customHeight="1" x14ac:dyDescent="0.2">
      <c r="A4026" s="5">
        <v>0</v>
      </c>
      <c r="B4026" s="6" t="s">
        <v>23417</v>
      </c>
      <c r="C4026" s="7">
        <v>1584</v>
      </c>
      <c r="D4026" s="8" t="s">
        <v>23418</v>
      </c>
      <c r="E4026" s="8" t="s">
        <v>23376</v>
      </c>
      <c r="F4026" s="8" t="s">
        <v>23414</v>
      </c>
      <c r="G4026" s="6" t="s">
        <v>60</v>
      </c>
      <c r="H4026" s="6" t="s">
        <v>34</v>
      </c>
      <c r="I4026" s="8" t="s">
        <v>263</v>
      </c>
      <c r="J4026" s="9">
        <v>1</v>
      </c>
      <c r="K4026" s="9">
        <v>247</v>
      </c>
      <c r="L4026" s="9">
        <v>2026</v>
      </c>
      <c r="M4026" s="8" t="s">
        <v>23419</v>
      </c>
      <c r="N4026" s="8" t="s">
        <v>37</v>
      </c>
      <c r="O4026" s="8" t="s">
        <v>233</v>
      </c>
      <c r="P4026" s="6" t="s">
        <v>51</v>
      </c>
      <c r="Q4026" s="8" t="s">
        <v>265</v>
      </c>
      <c r="R4026" s="10" t="s">
        <v>2200</v>
      </c>
      <c r="S4026" s="11"/>
      <c r="T4026" s="6"/>
      <c r="U4026" s="15" t="str">
        <f>HYPERLINK("https://media.infra-m.ru/2179/2179678/cover/2179678.jpg", "Обложка")</f>
        <v>Обложка</v>
      </c>
      <c r="V4026" s="8" t="s">
        <v>4754</v>
      </c>
      <c r="W4026" s="6"/>
      <c r="X4026" s="6"/>
      <c r="Y4026" s="6"/>
      <c r="Z4026" s="6" t="s">
        <v>882</v>
      </c>
      <c r="AA4026" s="6" t="s">
        <v>650</v>
      </c>
      <c r="AB4026" s="8"/>
      <c r="AC4026" s="27">
        <v>9785160205113</v>
      </c>
    </row>
    <row r="4027" spans="1:29" s="4" customFormat="1" ht="42" customHeight="1" x14ac:dyDescent="0.2">
      <c r="A4027" s="5">
        <v>0</v>
      </c>
      <c r="B4027" s="6" t="s">
        <v>23420</v>
      </c>
      <c r="C4027" s="7">
        <v>1764</v>
      </c>
      <c r="D4027" s="8" t="s">
        <v>23421</v>
      </c>
      <c r="E4027" s="8" t="s">
        <v>23422</v>
      </c>
      <c r="F4027" s="8" t="s">
        <v>23423</v>
      </c>
      <c r="G4027" s="6" t="s">
        <v>60</v>
      </c>
      <c r="H4027" s="6" t="s">
        <v>1644</v>
      </c>
      <c r="I4027" s="8"/>
      <c r="J4027" s="9">
        <v>1</v>
      </c>
      <c r="K4027" s="9">
        <v>432</v>
      </c>
      <c r="L4027" s="9">
        <v>2020</v>
      </c>
      <c r="M4027" s="8" t="s">
        <v>23424</v>
      </c>
      <c r="N4027" s="8" t="s">
        <v>37</v>
      </c>
      <c r="O4027" s="8" t="s">
        <v>233</v>
      </c>
      <c r="P4027" s="6" t="s">
        <v>306</v>
      </c>
      <c r="Q4027" s="8" t="s">
        <v>500</v>
      </c>
      <c r="R4027" s="10" t="s">
        <v>23425</v>
      </c>
      <c r="S4027" s="11"/>
      <c r="T4027" s="6"/>
      <c r="U4027" s="15" t="str">
        <f>HYPERLINK("https://media.infra-m.ru/1124/1124347/cover/1124347.jpg", "Обложка")</f>
        <v>Обложка</v>
      </c>
      <c r="V4027" s="8" t="s">
        <v>247</v>
      </c>
      <c r="W4027" s="6"/>
      <c r="X4027" s="6"/>
      <c r="Y4027" s="6"/>
      <c r="Z4027" s="6"/>
      <c r="AA4027" s="6" t="s">
        <v>86</v>
      </c>
      <c r="AB4027" s="8"/>
      <c r="AC4027" s="27">
        <v>9785977604734</v>
      </c>
    </row>
    <row r="4028" spans="1:29" s="4" customFormat="1" ht="51.9" customHeight="1" x14ac:dyDescent="0.2">
      <c r="A4028" s="5">
        <v>0</v>
      </c>
      <c r="B4028" s="6" t="s">
        <v>23426</v>
      </c>
      <c r="C4028" s="13">
        <v>420</v>
      </c>
      <c r="D4028" s="8" t="s">
        <v>23427</v>
      </c>
      <c r="E4028" s="8" t="s">
        <v>23428</v>
      </c>
      <c r="F4028" s="8" t="s">
        <v>23429</v>
      </c>
      <c r="G4028" s="6" t="s">
        <v>33</v>
      </c>
      <c r="H4028" s="6" t="s">
        <v>134</v>
      </c>
      <c r="I4028" s="8"/>
      <c r="J4028" s="9">
        <v>1</v>
      </c>
      <c r="K4028" s="9">
        <v>112</v>
      </c>
      <c r="L4028" s="9">
        <v>2019</v>
      </c>
      <c r="M4028" s="8" t="s">
        <v>23430</v>
      </c>
      <c r="N4028" s="8" t="s">
        <v>37</v>
      </c>
      <c r="O4028" s="8" t="s">
        <v>233</v>
      </c>
      <c r="P4028" s="6" t="s">
        <v>51</v>
      </c>
      <c r="Q4028" s="8" t="s">
        <v>52</v>
      </c>
      <c r="R4028" s="10" t="s">
        <v>4859</v>
      </c>
      <c r="S4028" s="11"/>
      <c r="T4028" s="6"/>
      <c r="U4028" s="15" t="str">
        <f>HYPERLINK("https://media.infra-m.ru/1008/1008624/cover/1008624.jpg", "Обложка")</f>
        <v>Обложка</v>
      </c>
      <c r="V4028" s="8" t="s">
        <v>1184</v>
      </c>
      <c r="W4028" s="6"/>
      <c r="X4028" s="6"/>
      <c r="Y4028" s="6"/>
      <c r="Z4028" s="6"/>
      <c r="AA4028" s="6" t="s">
        <v>115</v>
      </c>
      <c r="AB4028" s="8"/>
      <c r="AC4028" s="27">
        <v>9785917689999</v>
      </c>
    </row>
    <row r="4029" spans="1:29" s="4" customFormat="1" ht="51.9" customHeight="1" x14ac:dyDescent="0.2">
      <c r="A4029" s="5">
        <v>0</v>
      </c>
      <c r="B4029" s="6" t="s">
        <v>23431</v>
      </c>
      <c r="C4029" s="13">
        <v>641.9</v>
      </c>
      <c r="D4029" s="8" t="s">
        <v>23432</v>
      </c>
      <c r="E4029" s="8" t="s">
        <v>23433</v>
      </c>
      <c r="F4029" s="8" t="s">
        <v>23434</v>
      </c>
      <c r="G4029" s="6" t="s">
        <v>33</v>
      </c>
      <c r="H4029" s="6" t="s">
        <v>34</v>
      </c>
      <c r="I4029" s="8" t="s">
        <v>35</v>
      </c>
      <c r="J4029" s="9">
        <v>1</v>
      </c>
      <c r="K4029" s="9">
        <v>137</v>
      </c>
      <c r="L4029" s="9">
        <v>2022</v>
      </c>
      <c r="M4029" s="8" t="s">
        <v>23435</v>
      </c>
      <c r="N4029" s="8" t="s">
        <v>37</v>
      </c>
      <c r="O4029" s="8" t="s">
        <v>233</v>
      </c>
      <c r="P4029" s="6" t="s">
        <v>39</v>
      </c>
      <c r="Q4029" s="8" t="s">
        <v>40</v>
      </c>
      <c r="R4029" s="10" t="s">
        <v>23436</v>
      </c>
      <c r="S4029" s="11"/>
      <c r="T4029" s="6"/>
      <c r="U4029" s="15" t="str">
        <f>HYPERLINK("https://media.infra-m.ru/1850/1850647/cover/1850647.jpg", "Обложка")</f>
        <v>Обложка</v>
      </c>
      <c r="V4029" s="8" t="s">
        <v>247</v>
      </c>
      <c r="W4029" s="6"/>
      <c r="X4029" s="6"/>
      <c r="Y4029" s="6"/>
      <c r="Z4029" s="6"/>
      <c r="AA4029" s="6" t="s">
        <v>55</v>
      </c>
      <c r="AB4029" s="8"/>
      <c r="AC4029" s="27">
        <v>9785160092249</v>
      </c>
    </row>
    <row r="4030" spans="1:29" s="4" customFormat="1" ht="44.1" customHeight="1" x14ac:dyDescent="0.2">
      <c r="A4030" s="5">
        <v>0</v>
      </c>
      <c r="B4030" s="6" t="s">
        <v>23437</v>
      </c>
      <c r="C4030" s="13">
        <v>708</v>
      </c>
      <c r="D4030" s="8" t="s">
        <v>23438</v>
      </c>
      <c r="E4030" s="8" t="s">
        <v>23439</v>
      </c>
      <c r="F4030" s="8" t="s">
        <v>23440</v>
      </c>
      <c r="G4030" s="6" t="s">
        <v>33</v>
      </c>
      <c r="H4030" s="6" t="s">
        <v>34</v>
      </c>
      <c r="I4030" s="8" t="s">
        <v>35</v>
      </c>
      <c r="J4030" s="9">
        <v>1</v>
      </c>
      <c r="K4030" s="9">
        <v>127</v>
      </c>
      <c r="L4030" s="9">
        <v>2024</v>
      </c>
      <c r="M4030" s="8" t="s">
        <v>23441</v>
      </c>
      <c r="N4030" s="8" t="s">
        <v>37</v>
      </c>
      <c r="O4030" s="8" t="s">
        <v>233</v>
      </c>
      <c r="P4030" s="6" t="s">
        <v>39</v>
      </c>
      <c r="Q4030" s="8" t="s">
        <v>40</v>
      </c>
      <c r="R4030" s="10" t="s">
        <v>23442</v>
      </c>
      <c r="S4030" s="11"/>
      <c r="T4030" s="6"/>
      <c r="U4030" s="15" t="str">
        <f>HYPERLINK("https://media.infra-m.ru/2117/2117111/cover/2117111.jpg", "Обложка")</f>
        <v>Обложка</v>
      </c>
      <c r="V4030" s="8" t="s">
        <v>5117</v>
      </c>
      <c r="W4030" s="6"/>
      <c r="X4030" s="6"/>
      <c r="Y4030" s="6"/>
      <c r="Z4030" s="6"/>
      <c r="AA4030" s="6" t="s">
        <v>86</v>
      </c>
      <c r="AB4030" s="8"/>
      <c r="AC4030" s="27">
        <v>9785160145440</v>
      </c>
    </row>
    <row r="4031" spans="1:29" s="4" customFormat="1" ht="44.1" customHeight="1" x14ac:dyDescent="0.2">
      <c r="A4031" s="5">
        <v>0</v>
      </c>
      <c r="B4031" s="6" t="s">
        <v>23443</v>
      </c>
      <c r="C4031" s="7">
        <v>1336.8</v>
      </c>
      <c r="D4031" s="8" t="s">
        <v>23444</v>
      </c>
      <c r="E4031" s="8" t="s">
        <v>23445</v>
      </c>
      <c r="F4031" s="8" t="s">
        <v>23446</v>
      </c>
      <c r="G4031" s="6" t="s">
        <v>33</v>
      </c>
      <c r="H4031" s="6" t="s">
        <v>241</v>
      </c>
      <c r="I4031" s="8" t="s">
        <v>3496</v>
      </c>
      <c r="J4031" s="9">
        <v>1</v>
      </c>
      <c r="K4031" s="9">
        <v>246</v>
      </c>
      <c r="L4031" s="9">
        <v>2023</v>
      </c>
      <c r="M4031" s="8" t="s">
        <v>23447</v>
      </c>
      <c r="N4031" s="8" t="s">
        <v>37</v>
      </c>
      <c r="O4031" s="8" t="s">
        <v>233</v>
      </c>
      <c r="P4031" s="6" t="s">
        <v>39</v>
      </c>
      <c r="Q4031" s="8" t="s">
        <v>500</v>
      </c>
      <c r="R4031" s="10" t="s">
        <v>23448</v>
      </c>
      <c r="S4031" s="11"/>
      <c r="T4031" s="6"/>
      <c r="U4031" s="15" t="str">
        <f>HYPERLINK("https://media.infra-m.ru/2006/2006026/cover/2006026.jpg", "Обложка")</f>
        <v>Обложка</v>
      </c>
      <c r="V4031" s="8" t="s">
        <v>247</v>
      </c>
      <c r="W4031" s="6"/>
      <c r="X4031" s="6"/>
      <c r="Y4031" s="6"/>
      <c r="Z4031" s="6"/>
      <c r="AA4031" s="6" t="s">
        <v>99</v>
      </c>
      <c r="AB4031" s="8" t="s">
        <v>493</v>
      </c>
      <c r="AC4031" s="27">
        <v>9785955805498</v>
      </c>
    </row>
    <row r="4032" spans="1:29" s="4" customFormat="1" ht="42" customHeight="1" x14ac:dyDescent="0.2">
      <c r="A4032" s="5">
        <v>0</v>
      </c>
      <c r="B4032" s="6" t="s">
        <v>23449</v>
      </c>
      <c r="C4032" s="13">
        <v>545.9</v>
      </c>
      <c r="D4032" s="8" t="s">
        <v>23450</v>
      </c>
      <c r="E4032" s="8" t="s">
        <v>23451</v>
      </c>
      <c r="F4032" s="8" t="s">
        <v>23452</v>
      </c>
      <c r="G4032" s="6" t="s">
        <v>33</v>
      </c>
      <c r="H4032" s="6" t="s">
        <v>1644</v>
      </c>
      <c r="I4032" s="8"/>
      <c r="J4032" s="9">
        <v>1</v>
      </c>
      <c r="K4032" s="9">
        <v>152</v>
      </c>
      <c r="L4032" s="9">
        <v>2019</v>
      </c>
      <c r="M4032" s="8" t="s">
        <v>23453</v>
      </c>
      <c r="N4032" s="8" t="s">
        <v>37</v>
      </c>
      <c r="O4032" s="8" t="s">
        <v>233</v>
      </c>
      <c r="P4032" s="6" t="s">
        <v>51</v>
      </c>
      <c r="Q4032" s="8" t="s">
        <v>52</v>
      </c>
      <c r="R4032" s="10" t="s">
        <v>4058</v>
      </c>
      <c r="S4032" s="11"/>
      <c r="T4032" s="6"/>
      <c r="U4032" s="15" t="str">
        <f>HYPERLINK("https://media.infra-m.ru/1014/1014758/cover/1014758.jpg", "Обложка")</f>
        <v>Обложка</v>
      </c>
      <c r="V4032" s="8" t="s">
        <v>247</v>
      </c>
      <c r="W4032" s="6"/>
      <c r="X4032" s="6"/>
      <c r="Y4032" s="6"/>
      <c r="Z4032" s="6"/>
      <c r="AA4032" s="6" t="s">
        <v>248</v>
      </c>
      <c r="AB4032" s="8"/>
      <c r="AC4032" s="27">
        <v>9785977603324</v>
      </c>
    </row>
    <row r="4033" spans="1:29" s="4" customFormat="1" ht="51.9" customHeight="1" x14ac:dyDescent="0.2">
      <c r="A4033" s="5">
        <v>0</v>
      </c>
      <c r="B4033" s="6" t="s">
        <v>23454</v>
      </c>
      <c r="C4033" s="7">
        <v>1096.8</v>
      </c>
      <c r="D4033" s="8" t="s">
        <v>23455</v>
      </c>
      <c r="E4033" s="8" t="s">
        <v>23456</v>
      </c>
      <c r="F4033" s="8" t="s">
        <v>23457</v>
      </c>
      <c r="G4033" s="6" t="s">
        <v>60</v>
      </c>
      <c r="H4033" s="6" t="s">
        <v>241</v>
      </c>
      <c r="I4033" s="8"/>
      <c r="J4033" s="9">
        <v>1</v>
      </c>
      <c r="K4033" s="9">
        <v>198</v>
      </c>
      <c r="L4033" s="9">
        <v>2024</v>
      </c>
      <c r="M4033" s="8" t="s">
        <v>23458</v>
      </c>
      <c r="N4033" s="8" t="s">
        <v>37</v>
      </c>
      <c r="O4033" s="8" t="s">
        <v>233</v>
      </c>
      <c r="P4033" s="6" t="s">
        <v>51</v>
      </c>
      <c r="Q4033" s="8" t="s">
        <v>65</v>
      </c>
      <c r="R4033" s="10" t="s">
        <v>13969</v>
      </c>
      <c r="S4033" s="11" t="s">
        <v>23459</v>
      </c>
      <c r="T4033" s="6"/>
      <c r="U4033" s="15" t="str">
        <f>HYPERLINK("https://media.infra-m.ru/2079/2079169/cover/2079169.jpg", "Обложка")</f>
        <v>Обложка</v>
      </c>
      <c r="V4033" s="8" t="s">
        <v>227</v>
      </c>
      <c r="W4033" s="6"/>
      <c r="X4033" s="6"/>
      <c r="Y4033" s="6"/>
      <c r="Z4033" s="6"/>
      <c r="AA4033" s="6" t="s">
        <v>129</v>
      </c>
      <c r="AB4033" s="8"/>
      <c r="AC4033" s="27">
        <v>9785955801728</v>
      </c>
    </row>
    <row r="4034" spans="1:29" s="4" customFormat="1" ht="44.1" customHeight="1" x14ac:dyDescent="0.2">
      <c r="A4034" s="5">
        <v>0</v>
      </c>
      <c r="B4034" s="6" t="s">
        <v>23460</v>
      </c>
      <c r="C4034" s="7">
        <v>2388</v>
      </c>
      <c r="D4034" s="8" t="s">
        <v>23461</v>
      </c>
      <c r="E4034" s="8" t="s">
        <v>23462</v>
      </c>
      <c r="F4034" s="8" t="s">
        <v>23463</v>
      </c>
      <c r="G4034" s="6" t="s">
        <v>60</v>
      </c>
      <c r="H4034" s="6" t="s">
        <v>34</v>
      </c>
      <c r="I4034" s="8" t="s">
        <v>35</v>
      </c>
      <c r="J4034" s="9">
        <v>1</v>
      </c>
      <c r="K4034" s="9">
        <v>417</v>
      </c>
      <c r="L4034" s="9">
        <v>2023</v>
      </c>
      <c r="M4034" s="8" t="s">
        <v>23464</v>
      </c>
      <c r="N4034" s="8" t="s">
        <v>37</v>
      </c>
      <c r="O4034" s="8" t="s">
        <v>233</v>
      </c>
      <c r="P4034" s="6" t="s">
        <v>39</v>
      </c>
      <c r="Q4034" s="8" t="s">
        <v>40</v>
      </c>
      <c r="R4034" s="10" t="s">
        <v>23465</v>
      </c>
      <c r="S4034" s="11"/>
      <c r="T4034" s="6" t="s">
        <v>97</v>
      </c>
      <c r="U4034" s="15" t="str">
        <f>HYPERLINK("https://media.infra-m.ru/1871/1871165/cover/1871165.jpg", "Обложка")</f>
        <v>Обложка</v>
      </c>
      <c r="V4034" s="8" t="s">
        <v>21173</v>
      </c>
      <c r="W4034" s="6"/>
      <c r="X4034" s="6"/>
      <c r="Y4034" s="6"/>
      <c r="Z4034" s="6"/>
      <c r="AA4034" s="6" t="s">
        <v>157</v>
      </c>
      <c r="AB4034" s="8"/>
      <c r="AC4034" s="27">
        <v>9785160177397</v>
      </c>
    </row>
    <row r="4035" spans="1:29" s="4" customFormat="1" ht="42" customHeight="1" x14ac:dyDescent="0.2">
      <c r="A4035" s="5">
        <v>0</v>
      </c>
      <c r="B4035" s="6" t="s">
        <v>23466</v>
      </c>
      <c r="C4035" s="7">
        <v>2040</v>
      </c>
      <c r="D4035" s="8" t="s">
        <v>23467</v>
      </c>
      <c r="E4035" s="8" t="s">
        <v>23468</v>
      </c>
      <c r="F4035" s="8" t="s">
        <v>23469</v>
      </c>
      <c r="G4035" s="6" t="s">
        <v>118</v>
      </c>
      <c r="H4035" s="6" t="s">
        <v>313</v>
      </c>
      <c r="I4035" s="8"/>
      <c r="J4035" s="9">
        <v>1</v>
      </c>
      <c r="K4035" s="9">
        <v>583</v>
      </c>
      <c r="L4035" s="9">
        <v>2018</v>
      </c>
      <c r="M4035" s="8" t="s">
        <v>23470</v>
      </c>
      <c r="N4035" s="8" t="s">
        <v>37</v>
      </c>
      <c r="O4035" s="8" t="s">
        <v>233</v>
      </c>
      <c r="P4035" s="6" t="s">
        <v>306</v>
      </c>
      <c r="Q4035" s="8" t="s">
        <v>500</v>
      </c>
      <c r="R4035" s="10" t="s">
        <v>1576</v>
      </c>
      <c r="S4035" s="11"/>
      <c r="T4035" s="6" t="s">
        <v>97</v>
      </c>
      <c r="U4035" s="15" t="str">
        <f>HYPERLINK("https://media.infra-m.ru/0981/0981404/cover/981404.jpg", "Обложка")</f>
        <v>Обложка</v>
      </c>
      <c r="V4035" s="8" t="s">
        <v>2095</v>
      </c>
      <c r="W4035" s="6"/>
      <c r="X4035" s="6"/>
      <c r="Y4035" s="6"/>
      <c r="Z4035" s="6"/>
      <c r="AA4035" s="6" t="s">
        <v>779</v>
      </c>
      <c r="AB4035" s="8"/>
      <c r="AC4035" s="27">
        <v>9785369015773</v>
      </c>
    </row>
    <row r="4036" spans="1:29" s="4" customFormat="1" ht="42" customHeight="1" x14ac:dyDescent="0.2">
      <c r="A4036" s="5">
        <v>0</v>
      </c>
      <c r="B4036" s="6" t="s">
        <v>23471</v>
      </c>
      <c r="C4036" s="13">
        <v>904.8</v>
      </c>
      <c r="D4036" s="8" t="s">
        <v>23472</v>
      </c>
      <c r="E4036" s="8" t="s">
        <v>23473</v>
      </c>
      <c r="F4036" s="8" t="s">
        <v>23474</v>
      </c>
      <c r="G4036" s="6" t="s">
        <v>33</v>
      </c>
      <c r="H4036" s="6" t="s">
        <v>34</v>
      </c>
      <c r="I4036" s="8" t="s">
        <v>271</v>
      </c>
      <c r="J4036" s="9">
        <v>1</v>
      </c>
      <c r="K4036" s="9">
        <v>164</v>
      </c>
      <c r="L4036" s="9">
        <v>2024</v>
      </c>
      <c r="M4036" s="8" t="s">
        <v>23475</v>
      </c>
      <c r="N4036" s="8" t="s">
        <v>37</v>
      </c>
      <c r="O4036" s="8" t="s">
        <v>233</v>
      </c>
      <c r="P4036" s="6" t="s">
        <v>51</v>
      </c>
      <c r="Q4036" s="8" t="s">
        <v>52</v>
      </c>
      <c r="R4036" s="10" t="s">
        <v>1646</v>
      </c>
      <c r="S4036" s="11"/>
      <c r="T4036" s="6"/>
      <c r="U4036" s="15" t="str">
        <f>HYPERLINK("https://media.infra-m.ru/2084/2084849/cover/2084849.jpg", "Обложка")</f>
        <v>Обложка</v>
      </c>
      <c r="V4036" s="8" t="s">
        <v>657</v>
      </c>
      <c r="W4036" s="6"/>
      <c r="X4036" s="6"/>
      <c r="Y4036" s="6"/>
      <c r="Z4036" s="6"/>
      <c r="AA4036" s="6" t="s">
        <v>874</v>
      </c>
      <c r="AB4036" s="8"/>
      <c r="AC4036" s="27">
        <v>9785160103297</v>
      </c>
    </row>
    <row r="4037" spans="1:29" s="4" customFormat="1" ht="42" customHeight="1" x14ac:dyDescent="0.2">
      <c r="A4037" s="5">
        <v>0</v>
      </c>
      <c r="B4037" s="6" t="s">
        <v>23476</v>
      </c>
      <c r="C4037" s="7">
        <v>2788.8</v>
      </c>
      <c r="D4037" s="8" t="s">
        <v>23477</v>
      </c>
      <c r="E4037" s="8" t="s">
        <v>23478</v>
      </c>
      <c r="F4037" s="8" t="s">
        <v>23479</v>
      </c>
      <c r="G4037" s="6" t="s">
        <v>60</v>
      </c>
      <c r="H4037" s="6" t="s">
        <v>1644</v>
      </c>
      <c r="I4037" s="8"/>
      <c r="J4037" s="9">
        <v>1</v>
      </c>
      <c r="K4037" s="9">
        <v>448</v>
      </c>
      <c r="L4037" s="9">
        <v>2025</v>
      </c>
      <c r="M4037" s="8" t="s">
        <v>23480</v>
      </c>
      <c r="N4037" s="8" t="s">
        <v>37</v>
      </c>
      <c r="O4037" s="8" t="s">
        <v>233</v>
      </c>
      <c r="P4037" s="6" t="s">
        <v>306</v>
      </c>
      <c r="Q4037" s="8" t="s">
        <v>500</v>
      </c>
      <c r="R4037" s="10" t="s">
        <v>23481</v>
      </c>
      <c r="S4037" s="11"/>
      <c r="T4037" s="6"/>
      <c r="U4037" s="15" t="str">
        <f>HYPERLINK("https://media.infra-m.ru/2192/2192771/cover/2192771.jpg", "Обложка")</f>
        <v>Обложка</v>
      </c>
      <c r="V4037" s="8" t="s">
        <v>247</v>
      </c>
      <c r="W4037" s="6"/>
      <c r="X4037" s="6"/>
      <c r="Y4037" s="6"/>
      <c r="Z4037" s="6"/>
      <c r="AA4037" s="6" t="s">
        <v>115</v>
      </c>
      <c r="AB4037" s="8"/>
      <c r="AC4037" s="27">
        <v>9785977604949</v>
      </c>
    </row>
    <row r="4038" spans="1:29" s="4" customFormat="1" ht="51.9" customHeight="1" x14ac:dyDescent="0.2">
      <c r="A4038" s="5">
        <v>0</v>
      </c>
      <c r="B4038" s="6" t="s">
        <v>23482</v>
      </c>
      <c r="C4038" s="7">
        <v>1428</v>
      </c>
      <c r="D4038" s="8" t="s">
        <v>23483</v>
      </c>
      <c r="E4038" s="8" t="s">
        <v>23484</v>
      </c>
      <c r="F4038" s="8" t="s">
        <v>23485</v>
      </c>
      <c r="G4038" s="6" t="s">
        <v>60</v>
      </c>
      <c r="H4038" s="6" t="s">
        <v>34</v>
      </c>
      <c r="I4038" s="8" t="s">
        <v>253</v>
      </c>
      <c r="J4038" s="9">
        <v>1</v>
      </c>
      <c r="K4038" s="9">
        <v>254</v>
      </c>
      <c r="L4038" s="9">
        <v>2023</v>
      </c>
      <c r="M4038" s="8" t="s">
        <v>23486</v>
      </c>
      <c r="N4038" s="8" t="s">
        <v>37</v>
      </c>
      <c r="O4038" s="8" t="s">
        <v>233</v>
      </c>
      <c r="P4038" s="6" t="s">
        <v>306</v>
      </c>
      <c r="Q4038" s="8" t="s">
        <v>52</v>
      </c>
      <c r="R4038" s="10" t="s">
        <v>23487</v>
      </c>
      <c r="S4038" s="11"/>
      <c r="T4038" s="6"/>
      <c r="U4038" s="15" t="str">
        <f>HYPERLINK("https://media.infra-m.ru/1860/1860997/cover/1860997.jpg", "Обложка")</f>
        <v>Обложка</v>
      </c>
      <c r="V4038" s="8" t="s">
        <v>247</v>
      </c>
      <c r="W4038" s="6"/>
      <c r="X4038" s="6"/>
      <c r="Y4038" s="6"/>
      <c r="Z4038" s="6"/>
      <c r="AA4038" s="6" t="s">
        <v>157</v>
      </c>
      <c r="AB4038" s="8"/>
      <c r="AC4038" s="27">
        <v>9785160175577</v>
      </c>
    </row>
    <row r="4039" spans="1:29" s="4" customFormat="1" ht="42" customHeight="1" x14ac:dyDescent="0.2">
      <c r="A4039" s="5">
        <v>0</v>
      </c>
      <c r="B4039" s="6" t="s">
        <v>23488</v>
      </c>
      <c r="C4039" s="7">
        <v>1704</v>
      </c>
      <c r="D4039" s="8" t="s">
        <v>23489</v>
      </c>
      <c r="E4039" s="8" t="s">
        <v>23490</v>
      </c>
      <c r="F4039" s="8" t="s">
        <v>23491</v>
      </c>
      <c r="G4039" s="6" t="s">
        <v>118</v>
      </c>
      <c r="H4039" s="6" t="s">
        <v>1644</v>
      </c>
      <c r="I4039" s="8"/>
      <c r="J4039" s="9">
        <v>1</v>
      </c>
      <c r="K4039" s="9">
        <v>416</v>
      </c>
      <c r="L4039" s="9">
        <v>2020</v>
      </c>
      <c r="M4039" s="8" t="s">
        <v>23492</v>
      </c>
      <c r="N4039" s="8" t="s">
        <v>37</v>
      </c>
      <c r="O4039" s="8" t="s">
        <v>233</v>
      </c>
      <c r="P4039" s="6" t="s">
        <v>306</v>
      </c>
      <c r="Q4039" s="8" t="s">
        <v>52</v>
      </c>
      <c r="R4039" s="10" t="s">
        <v>13969</v>
      </c>
      <c r="S4039" s="11"/>
      <c r="T4039" s="6"/>
      <c r="U4039" s="15" t="str">
        <f>HYPERLINK("https://media.infra-m.ru/1047/1047314/cover/1047314.jpg", "Обложка")</f>
        <v>Обложка</v>
      </c>
      <c r="V4039" s="8" t="s">
        <v>247</v>
      </c>
      <c r="W4039" s="6"/>
      <c r="X4039" s="6"/>
      <c r="Y4039" s="6"/>
      <c r="Z4039" s="6"/>
      <c r="AA4039" s="6" t="s">
        <v>99</v>
      </c>
      <c r="AB4039" s="8"/>
      <c r="AC4039" s="27">
        <v>9785977604529</v>
      </c>
    </row>
    <row r="4040" spans="1:29" s="4" customFormat="1" ht="51.9" customHeight="1" x14ac:dyDescent="0.2">
      <c r="A4040" s="5">
        <v>0</v>
      </c>
      <c r="B4040" s="6" t="s">
        <v>23493</v>
      </c>
      <c r="C4040" s="13">
        <v>412.8</v>
      </c>
      <c r="D4040" s="8" t="s">
        <v>23494</v>
      </c>
      <c r="E4040" s="8" t="s">
        <v>23495</v>
      </c>
      <c r="F4040" s="8" t="s">
        <v>23496</v>
      </c>
      <c r="G4040" s="6" t="s">
        <v>6771</v>
      </c>
      <c r="H4040" s="6" t="s">
        <v>134</v>
      </c>
      <c r="I4040" s="8"/>
      <c r="J4040" s="9">
        <v>1</v>
      </c>
      <c r="K4040" s="9">
        <v>36</v>
      </c>
      <c r="L4040" s="9">
        <v>2025</v>
      </c>
      <c r="M4040" s="8" t="s">
        <v>23497</v>
      </c>
      <c r="N4040" s="8" t="s">
        <v>37</v>
      </c>
      <c r="O4040" s="8" t="s">
        <v>136</v>
      </c>
      <c r="P4040" s="6" t="s">
        <v>51</v>
      </c>
      <c r="Q4040" s="8" t="s">
        <v>52</v>
      </c>
      <c r="R4040" s="10" t="s">
        <v>23498</v>
      </c>
      <c r="S4040" s="11"/>
      <c r="T4040" s="6"/>
      <c r="U4040" s="15" t="str">
        <f>HYPERLINK("https://media.infra-m.ru/2205/2205547/cover/2205547.jpg", "Обложка")</f>
        <v>Обложка</v>
      </c>
      <c r="V4040" s="8" t="s">
        <v>1184</v>
      </c>
      <c r="W4040" s="6"/>
      <c r="X4040" s="6"/>
      <c r="Y4040" s="6"/>
      <c r="Z4040" s="6"/>
      <c r="AA4040" s="6" t="s">
        <v>115</v>
      </c>
      <c r="AB4040" s="8"/>
      <c r="AC4040" s="27">
        <v>9785917685595</v>
      </c>
    </row>
    <row r="4041" spans="1:29" s="4" customFormat="1" ht="42" customHeight="1" x14ac:dyDescent="0.2">
      <c r="A4041" s="5">
        <v>0</v>
      </c>
      <c r="B4041" s="6" t="s">
        <v>23499</v>
      </c>
      <c r="C4041" s="7">
        <v>1787.9</v>
      </c>
      <c r="D4041" s="8" t="s">
        <v>23500</v>
      </c>
      <c r="E4041" s="8" t="s">
        <v>23501</v>
      </c>
      <c r="F4041" s="8" t="s">
        <v>23502</v>
      </c>
      <c r="G4041" s="6" t="s">
        <v>60</v>
      </c>
      <c r="H4041" s="6" t="s">
        <v>134</v>
      </c>
      <c r="I4041" s="8"/>
      <c r="J4041" s="9">
        <v>1</v>
      </c>
      <c r="K4041" s="9">
        <v>388</v>
      </c>
      <c r="L4041" s="9">
        <v>2022</v>
      </c>
      <c r="M4041" s="8" t="s">
        <v>23503</v>
      </c>
      <c r="N4041" s="8" t="s">
        <v>37</v>
      </c>
      <c r="O4041" s="8" t="s">
        <v>136</v>
      </c>
      <c r="P4041" s="6" t="s">
        <v>306</v>
      </c>
      <c r="Q4041" s="8" t="s">
        <v>500</v>
      </c>
      <c r="R4041" s="10" t="s">
        <v>14752</v>
      </c>
      <c r="S4041" s="11"/>
      <c r="T4041" s="6"/>
      <c r="U4041" s="15" t="str">
        <f>HYPERLINK("https://media.infra-m.ru/1842/1842504/cover/1842504.jpg", "Обложка")</f>
        <v>Обложка</v>
      </c>
      <c r="V4041" s="8" t="s">
        <v>546</v>
      </c>
      <c r="W4041" s="6"/>
      <c r="X4041" s="6"/>
      <c r="Y4041" s="6"/>
      <c r="Z4041" s="6"/>
      <c r="AA4041" s="6" t="s">
        <v>148</v>
      </c>
      <c r="AB4041" s="8"/>
      <c r="AC4041" s="27">
        <v>9785001562122</v>
      </c>
    </row>
    <row r="4042" spans="1:29" s="4" customFormat="1" ht="51.9" customHeight="1" x14ac:dyDescent="0.2">
      <c r="A4042" s="5">
        <v>0</v>
      </c>
      <c r="B4042" s="6" t="s">
        <v>23504</v>
      </c>
      <c r="C4042" s="13">
        <v>456</v>
      </c>
      <c r="D4042" s="8" t="s">
        <v>23505</v>
      </c>
      <c r="E4042" s="8" t="s">
        <v>23506</v>
      </c>
      <c r="F4042" s="8" t="s">
        <v>23507</v>
      </c>
      <c r="G4042" s="6" t="s">
        <v>33</v>
      </c>
      <c r="H4042" s="6" t="s">
        <v>134</v>
      </c>
      <c r="I4042" s="8"/>
      <c r="J4042" s="9">
        <v>1</v>
      </c>
      <c r="K4042" s="9">
        <v>52</v>
      </c>
      <c r="L4042" s="9">
        <v>2026</v>
      </c>
      <c r="M4042" s="8" t="s">
        <v>23508</v>
      </c>
      <c r="N4042" s="8" t="s">
        <v>37</v>
      </c>
      <c r="O4042" s="8" t="s">
        <v>136</v>
      </c>
      <c r="P4042" s="6" t="s">
        <v>394</v>
      </c>
      <c r="Q4042" s="8" t="s">
        <v>52</v>
      </c>
      <c r="R4042" s="10" t="s">
        <v>1068</v>
      </c>
      <c r="S4042" s="11"/>
      <c r="T4042" s="6"/>
      <c r="U4042" s="15" t="str">
        <f>HYPERLINK("https://media.infra-m.ru/2235/2235140/cover/2235140.jpg", "Обложка")</f>
        <v>Обложка</v>
      </c>
      <c r="V4042" s="8" t="s">
        <v>1184</v>
      </c>
      <c r="W4042" s="6"/>
      <c r="X4042" s="6"/>
      <c r="Y4042" s="6"/>
      <c r="Z4042" s="6"/>
      <c r="AA4042" s="6" t="s">
        <v>115</v>
      </c>
      <c r="AB4042" s="8"/>
      <c r="AC4042" s="27">
        <v>9785917689968</v>
      </c>
    </row>
    <row r="4043" spans="1:29" s="4" customFormat="1" ht="51.9" customHeight="1" x14ac:dyDescent="0.2">
      <c r="A4043" s="5">
        <v>0</v>
      </c>
      <c r="B4043" s="6" t="s">
        <v>23509</v>
      </c>
      <c r="C4043" s="7">
        <v>1680</v>
      </c>
      <c r="D4043" s="8" t="s">
        <v>23510</v>
      </c>
      <c r="E4043" s="8" t="s">
        <v>23511</v>
      </c>
      <c r="F4043" s="8" t="s">
        <v>23512</v>
      </c>
      <c r="G4043" s="6" t="s">
        <v>118</v>
      </c>
      <c r="H4043" s="6" t="s">
        <v>134</v>
      </c>
      <c r="I4043" s="8"/>
      <c r="J4043" s="9">
        <v>1</v>
      </c>
      <c r="K4043" s="9">
        <v>240</v>
      </c>
      <c r="L4043" s="9">
        <v>2027</v>
      </c>
      <c r="M4043" s="8" t="s">
        <v>23513</v>
      </c>
      <c r="N4043" s="8" t="s">
        <v>37</v>
      </c>
      <c r="O4043" s="8" t="s">
        <v>136</v>
      </c>
      <c r="P4043" s="6" t="s">
        <v>306</v>
      </c>
      <c r="Q4043" s="8" t="s">
        <v>65</v>
      </c>
      <c r="R4043" s="10" t="s">
        <v>4109</v>
      </c>
      <c r="S4043" s="11"/>
      <c r="T4043" s="6"/>
      <c r="U4043" s="15" t="str">
        <f>HYPERLINK("https://media.infra-m.ru/2264/2264971/cover/2264971.jpg", "Обложка")</f>
        <v>Обложка</v>
      </c>
      <c r="V4043" s="8"/>
      <c r="W4043" s="6"/>
      <c r="X4043" s="6"/>
      <c r="Y4043" s="6"/>
      <c r="Z4043" s="6"/>
      <c r="AA4043" s="6" t="s">
        <v>76</v>
      </c>
      <c r="AB4043" s="8"/>
      <c r="AC4043" s="27">
        <v>9785001563327</v>
      </c>
    </row>
    <row r="4044" spans="1:29" s="4" customFormat="1" ht="42" customHeight="1" x14ac:dyDescent="0.2">
      <c r="A4044" s="5">
        <v>0</v>
      </c>
      <c r="B4044" s="6" t="s">
        <v>23514</v>
      </c>
      <c r="C4044" s="7">
        <v>1060.8</v>
      </c>
      <c r="D4044" s="8" t="s">
        <v>23515</v>
      </c>
      <c r="E4044" s="8" t="s">
        <v>23516</v>
      </c>
      <c r="F4044" s="8" t="s">
        <v>23496</v>
      </c>
      <c r="G4044" s="6" t="s">
        <v>60</v>
      </c>
      <c r="H4044" s="6" t="s">
        <v>134</v>
      </c>
      <c r="I4044" s="8" t="s">
        <v>263</v>
      </c>
      <c r="J4044" s="9">
        <v>1</v>
      </c>
      <c r="K4044" s="9">
        <v>152</v>
      </c>
      <c r="L4044" s="9">
        <v>2027</v>
      </c>
      <c r="M4044" s="8" t="s">
        <v>23517</v>
      </c>
      <c r="N4044" s="8" t="s">
        <v>37</v>
      </c>
      <c r="O4044" s="8" t="s">
        <v>136</v>
      </c>
      <c r="P4044" s="6" t="s">
        <v>306</v>
      </c>
      <c r="Q4044" s="8" t="s">
        <v>265</v>
      </c>
      <c r="R4044" s="10" t="s">
        <v>479</v>
      </c>
      <c r="S4044" s="11"/>
      <c r="T4044" s="6"/>
      <c r="U4044" s="15" t="str">
        <f>HYPERLINK("https://media.infra-m.ru/2272/2272581/cover/2272581.jpg", "Обложка")</f>
        <v>Обложка</v>
      </c>
      <c r="V4044" s="8" t="s">
        <v>1184</v>
      </c>
      <c r="W4044" s="6"/>
      <c r="X4044" s="6"/>
      <c r="Y4044" s="6"/>
      <c r="Z4044" s="6"/>
      <c r="AA4044" s="6" t="s">
        <v>106</v>
      </c>
      <c r="AB4044" s="8"/>
      <c r="AC4044" s="27">
        <v>9785001563235</v>
      </c>
    </row>
    <row r="4045" spans="1:29" s="4" customFormat="1" ht="42" customHeight="1" x14ac:dyDescent="0.2">
      <c r="A4045" s="5">
        <v>0</v>
      </c>
      <c r="B4045" s="6" t="s">
        <v>23518</v>
      </c>
      <c r="C4045" s="13">
        <v>821.9</v>
      </c>
      <c r="D4045" s="8" t="s">
        <v>23519</v>
      </c>
      <c r="E4045" s="8" t="s">
        <v>23511</v>
      </c>
      <c r="F4045" s="8" t="s">
        <v>23496</v>
      </c>
      <c r="G4045" s="6" t="s">
        <v>60</v>
      </c>
      <c r="H4045" s="6" t="s">
        <v>134</v>
      </c>
      <c r="I4045" s="8" t="s">
        <v>263</v>
      </c>
      <c r="J4045" s="9">
        <v>1</v>
      </c>
      <c r="K4045" s="9">
        <v>152</v>
      </c>
      <c r="L4045" s="9">
        <v>2023</v>
      </c>
      <c r="M4045" s="8" t="s">
        <v>23520</v>
      </c>
      <c r="N4045" s="8" t="s">
        <v>37</v>
      </c>
      <c r="O4045" s="8" t="s">
        <v>136</v>
      </c>
      <c r="P4045" s="6" t="s">
        <v>306</v>
      </c>
      <c r="Q4045" s="8" t="s">
        <v>265</v>
      </c>
      <c r="R4045" s="10" t="s">
        <v>479</v>
      </c>
      <c r="S4045" s="11"/>
      <c r="T4045" s="6"/>
      <c r="U4045" s="15" t="str">
        <f>HYPERLINK("https://media.infra-m.ru/1920/1920322/cover/1920322.jpg", "Обложка")</f>
        <v>Обложка</v>
      </c>
      <c r="V4045" s="8" t="s">
        <v>1184</v>
      </c>
      <c r="W4045" s="6"/>
      <c r="X4045" s="6"/>
      <c r="Y4045" s="6"/>
      <c r="Z4045" s="6"/>
      <c r="AA4045" s="6" t="s">
        <v>115</v>
      </c>
      <c r="AB4045" s="8"/>
      <c r="AC4045" s="27">
        <v>9785001560173</v>
      </c>
    </row>
    <row r="4046" spans="1:29" s="4" customFormat="1" ht="51.9" customHeight="1" x14ac:dyDescent="0.2">
      <c r="A4046" s="5">
        <v>0</v>
      </c>
      <c r="B4046" s="6" t="s">
        <v>23521</v>
      </c>
      <c r="C4046" s="7">
        <v>1452</v>
      </c>
      <c r="D4046" s="8" t="s">
        <v>23522</v>
      </c>
      <c r="E4046" s="8" t="s">
        <v>23511</v>
      </c>
      <c r="F4046" s="8" t="s">
        <v>23523</v>
      </c>
      <c r="G4046" s="6" t="s">
        <v>118</v>
      </c>
      <c r="H4046" s="6" t="s">
        <v>313</v>
      </c>
      <c r="I4046" s="8" t="s">
        <v>253</v>
      </c>
      <c r="J4046" s="9">
        <v>1</v>
      </c>
      <c r="K4046" s="9">
        <v>206</v>
      </c>
      <c r="L4046" s="9">
        <v>2026</v>
      </c>
      <c r="M4046" s="8" t="s">
        <v>23524</v>
      </c>
      <c r="N4046" s="8" t="s">
        <v>37</v>
      </c>
      <c r="O4046" s="8" t="s">
        <v>136</v>
      </c>
      <c r="P4046" s="6" t="s">
        <v>51</v>
      </c>
      <c r="Q4046" s="8" t="s">
        <v>377</v>
      </c>
      <c r="R4046" s="10" t="s">
        <v>1068</v>
      </c>
      <c r="S4046" s="11"/>
      <c r="T4046" s="6"/>
      <c r="U4046" s="15" t="str">
        <f>HYPERLINK("https://media.infra-m.ru/2254/2254165/cover/2254165.jpg", "Обложка")</f>
        <v>Обложка</v>
      </c>
      <c r="V4046" s="8" t="s">
        <v>1231</v>
      </c>
      <c r="W4046" s="6"/>
      <c r="X4046" s="6"/>
      <c r="Y4046" s="6"/>
      <c r="Z4046" s="6"/>
      <c r="AA4046" s="6" t="s">
        <v>1256</v>
      </c>
      <c r="AB4046" s="8"/>
      <c r="AC4046" s="27">
        <v>9785369018408</v>
      </c>
    </row>
    <row r="4047" spans="1:29" s="4" customFormat="1" ht="51.9" customHeight="1" x14ac:dyDescent="0.2">
      <c r="A4047" s="5">
        <v>0</v>
      </c>
      <c r="B4047" s="6" t="s">
        <v>23525</v>
      </c>
      <c r="C4047" s="7">
        <v>1692</v>
      </c>
      <c r="D4047" s="8" t="s">
        <v>23526</v>
      </c>
      <c r="E4047" s="8" t="s">
        <v>23527</v>
      </c>
      <c r="F4047" s="8" t="s">
        <v>23528</v>
      </c>
      <c r="G4047" s="6" t="s">
        <v>33</v>
      </c>
      <c r="H4047" s="6" t="s">
        <v>1644</v>
      </c>
      <c r="I4047" s="8"/>
      <c r="J4047" s="9">
        <v>1</v>
      </c>
      <c r="K4047" s="9">
        <v>256</v>
      </c>
      <c r="L4047" s="9">
        <v>2022</v>
      </c>
      <c r="M4047" s="8" t="s">
        <v>23529</v>
      </c>
      <c r="N4047" s="8" t="s">
        <v>37</v>
      </c>
      <c r="O4047" s="8" t="s">
        <v>233</v>
      </c>
      <c r="P4047" s="6" t="s">
        <v>306</v>
      </c>
      <c r="Q4047" s="8" t="s">
        <v>52</v>
      </c>
      <c r="R4047" s="10" t="s">
        <v>22140</v>
      </c>
      <c r="S4047" s="11"/>
      <c r="T4047" s="6"/>
      <c r="U4047" s="15" t="str">
        <f>HYPERLINK("https://media.infra-m.ru/2221/2221547/cover/2221547.jpg", "Обложка")</f>
        <v>Обложка</v>
      </c>
      <c r="V4047" s="8" t="s">
        <v>247</v>
      </c>
      <c r="W4047" s="6"/>
      <c r="X4047" s="6"/>
      <c r="Y4047" s="6"/>
      <c r="Z4047" s="6"/>
      <c r="AA4047" s="6" t="s">
        <v>274</v>
      </c>
      <c r="AB4047" s="8"/>
      <c r="AC4047" s="27">
        <v>9785977603720</v>
      </c>
    </row>
    <row r="4048" spans="1:29" s="4" customFormat="1" ht="42" customHeight="1" x14ac:dyDescent="0.2">
      <c r="A4048" s="5">
        <v>0</v>
      </c>
      <c r="B4048" s="6" t="s">
        <v>23530</v>
      </c>
      <c r="C4048" s="13">
        <v>924</v>
      </c>
      <c r="D4048" s="8" t="s">
        <v>23531</v>
      </c>
      <c r="E4048" s="8" t="s">
        <v>23532</v>
      </c>
      <c r="F4048" s="8" t="s">
        <v>23533</v>
      </c>
      <c r="G4048" s="6" t="s">
        <v>33</v>
      </c>
      <c r="H4048" s="6" t="s">
        <v>34</v>
      </c>
      <c r="I4048" s="8" t="s">
        <v>35</v>
      </c>
      <c r="J4048" s="9">
        <v>1</v>
      </c>
      <c r="K4048" s="9">
        <v>132</v>
      </c>
      <c r="L4048" s="9">
        <v>2022</v>
      </c>
      <c r="M4048" s="8" t="s">
        <v>23534</v>
      </c>
      <c r="N4048" s="8" t="s">
        <v>37</v>
      </c>
      <c r="O4048" s="8" t="s">
        <v>233</v>
      </c>
      <c r="P4048" s="6" t="s">
        <v>39</v>
      </c>
      <c r="Q4048" s="8" t="s">
        <v>40</v>
      </c>
      <c r="R4048" s="10" t="s">
        <v>5320</v>
      </c>
      <c r="S4048" s="11"/>
      <c r="T4048" s="6"/>
      <c r="U4048" s="15" t="str">
        <f>HYPERLINK("https://media.infra-m.ru/1864/1864970/cover/1864970.jpg", "Обложка")</f>
        <v>Обложка</v>
      </c>
      <c r="V4048" s="8" t="s">
        <v>23535</v>
      </c>
      <c r="W4048" s="6"/>
      <c r="X4048" s="6"/>
      <c r="Y4048" s="6"/>
      <c r="Z4048" s="6"/>
      <c r="AA4048" s="6" t="s">
        <v>430</v>
      </c>
      <c r="AB4048" s="8"/>
      <c r="AC4048" s="27">
        <v>9785160166735</v>
      </c>
    </row>
    <row r="4049" spans="1:29" s="4" customFormat="1" ht="44.1" customHeight="1" x14ac:dyDescent="0.2">
      <c r="A4049" s="5">
        <v>0</v>
      </c>
      <c r="B4049" s="6" t="s">
        <v>23536</v>
      </c>
      <c r="C4049" s="7">
        <v>1097.9000000000001</v>
      </c>
      <c r="D4049" s="8" t="s">
        <v>23537</v>
      </c>
      <c r="E4049" s="8" t="s">
        <v>23538</v>
      </c>
      <c r="F4049" s="8" t="s">
        <v>23539</v>
      </c>
      <c r="G4049" s="6" t="s">
        <v>60</v>
      </c>
      <c r="H4049" s="6" t="s">
        <v>34</v>
      </c>
      <c r="I4049" s="8" t="s">
        <v>35</v>
      </c>
      <c r="J4049" s="9">
        <v>1</v>
      </c>
      <c r="K4049" s="9">
        <v>203</v>
      </c>
      <c r="L4049" s="9">
        <v>2023</v>
      </c>
      <c r="M4049" s="8" t="s">
        <v>23540</v>
      </c>
      <c r="N4049" s="8" t="s">
        <v>37</v>
      </c>
      <c r="O4049" s="8" t="s">
        <v>233</v>
      </c>
      <c r="P4049" s="6" t="s">
        <v>39</v>
      </c>
      <c r="Q4049" s="8" t="s">
        <v>40</v>
      </c>
      <c r="R4049" s="10" t="s">
        <v>18479</v>
      </c>
      <c r="S4049" s="11"/>
      <c r="T4049" s="6"/>
      <c r="U4049" s="15" t="str">
        <f>HYPERLINK("https://media.infra-m.ru/1893/1893858/cover/1893858.jpg", "Обложка")</f>
        <v>Обложка</v>
      </c>
      <c r="V4049" s="8" t="s">
        <v>3693</v>
      </c>
      <c r="W4049" s="6"/>
      <c r="X4049" s="6"/>
      <c r="Y4049" s="6"/>
      <c r="Z4049" s="6"/>
      <c r="AA4049" s="6" t="s">
        <v>86</v>
      </c>
      <c r="AB4049" s="8"/>
      <c r="AC4049" s="27">
        <v>9785160134970</v>
      </c>
    </row>
    <row r="4050" spans="1:29" s="4" customFormat="1" ht="51.9" customHeight="1" x14ac:dyDescent="0.2">
      <c r="A4050" s="5">
        <v>0</v>
      </c>
      <c r="B4050" s="6" t="s">
        <v>23541</v>
      </c>
      <c r="C4050" s="7">
        <v>3228</v>
      </c>
      <c r="D4050" s="8" t="s">
        <v>23542</v>
      </c>
      <c r="E4050" s="8" t="s">
        <v>23543</v>
      </c>
      <c r="F4050" s="8" t="s">
        <v>23544</v>
      </c>
      <c r="G4050" s="6" t="s">
        <v>60</v>
      </c>
      <c r="H4050" s="6" t="s">
        <v>34</v>
      </c>
      <c r="I4050" s="8"/>
      <c r="J4050" s="9">
        <v>1</v>
      </c>
      <c r="K4050" s="9">
        <v>488</v>
      </c>
      <c r="L4050" s="9">
        <v>2026</v>
      </c>
      <c r="M4050" s="8" t="s">
        <v>23545</v>
      </c>
      <c r="N4050" s="8" t="s">
        <v>37</v>
      </c>
      <c r="O4050" s="8" t="s">
        <v>233</v>
      </c>
      <c r="P4050" s="6" t="s">
        <v>306</v>
      </c>
      <c r="Q4050" s="8" t="s">
        <v>65</v>
      </c>
      <c r="R4050" s="10" t="s">
        <v>23546</v>
      </c>
      <c r="S4050" s="11"/>
      <c r="T4050" s="6"/>
      <c r="U4050" s="15" t="str">
        <f>HYPERLINK("https://media.infra-m.ru/2222/2222665/cover/2222665.jpg", "Обложка")</f>
        <v>Обложка</v>
      </c>
      <c r="V4050" s="8" t="s">
        <v>247</v>
      </c>
      <c r="W4050" s="6"/>
      <c r="X4050" s="6"/>
      <c r="Y4050" s="6"/>
      <c r="Z4050" s="6"/>
      <c r="AA4050" s="6" t="s">
        <v>68</v>
      </c>
      <c r="AB4050" s="8"/>
      <c r="AC4050" s="27">
        <v>9785160208930</v>
      </c>
    </row>
    <row r="4051" spans="1:29" s="4" customFormat="1" ht="51.9" customHeight="1" x14ac:dyDescent="0.2">
      <c r="A4051" s="5">
        <v>0</v>
      </c>
      <c r="B4051" s="6" t="s">
        <v>23547</v>
      </c>
      <c r="C4051" s="7">
        <v>1332</v>
      </c>
      <c r="D4051" s="8" t="s">
        <v>23548</v>
      </c>
      <c r="E4051" s="8" t="s">
        <v>23549</v>
      </c>
      <c r="F4051" s="8" t="s">
        <v>23550</v>
      </c>
      <c r="G4051" s="6" t="s">
        <v>118</v>
      </c>
      <c r="H4051" s="6" t="s">
        <v>34</v>
      </c>
      <c r="I4051" s="8" t="s">
        <v>1753</v>
      </c>
      <c r="J4051" s="9">
        <v>1</v>
      </c>
      <c r="K4051" s="9">
        <v>236</v>
      </c>
      <c r="L4051" s="9">
        <v>2024</v>
      </c>
      <c r="M4051" s="8" t="s">
        <v>23551</v>
      </c>
      <c r="N4051" s="8" t="s">
        <v>37</v>
      </c>
      <c r="O4051" s="8" t="s">
        <v>280</v>
      </c>
      <c r="P4051" s="6" t="s">
        <v>51</v>
      </c>
      <c r="Q4051" s="8" t="s">
        <v>500</v>
      </c>
      <c r="R4051" s="10" t="s">
        <v>14350</v>
      </c>
      <c r="S4051" s="11" t="s">
        <v>23552</v>
      </c>
      <c r="T4051" s="6"/>
      <c r="U4051" s="15" t="str">
        <f>HYPERLINK("https://media.infra-m.ru/2073/2073480/cover/2073480.jpg", "Обложка")</f>
        <v>Обложка</v>
      </c>
      <c r="V4051" s="8" t="s">
        <v>247</v>
      </c>
      <c r="W4051" s="6"/>
      <c r="X4051" s="6"/>
      <c r="Y4051" s="6"/>
      <c r="Z4051" s="6"/>
      <c r="AA4051" s="6" t="s">
        <v>115</v>
      </c>
      <c r="AB4051" s="8"/>
      <c r="AC4051" s="27">
        <v>9785160171258</v>
      </c>
    </row>
    <row r="4052" spans="1:29" s="4" customFormat="1" ht="44.1" customHeight="1" x14ac:dyDescent="0.2">
      <c r="A4052" s="5">
        <v>0</v>
      </c>
      <c r="B4052" s="6" t="s">
        <v>23553</v>
      </c>
      <c r="C4052" s="7">
        <v>1740</v>
      </c>
      <c r="D4052" s="8" t="s">
        <v>23554</v>
      </c>
      <c r="E4052" s="8" t="s">
        <v>23555</v>
      </c>
      <c r="F4052" s="8" t="s">
        <v>23556</v>
      </c>
      <c r="G4052" s="6" t="s">
        <v>60</v>
      </c>
      <c r="H4052" s="6" t="s">
        <v>34</v>
      </c>
      <c r="I4052" s="8" t="s">
        <v>304</v>
      </c>
      <c r="J4052" s="9">
        <v>1</v>
      </c>
      <c r="K4052" s="9">
        <v>223</v>
      </c>
      <c r="L4052" s="9">
        <v>2026</v>
      </c>
      <c r="M4052" s="8" t="s">
        <v>23557</v>
      </c>
      <c r="N4052" s="8" t="s">
        <v>37</v>
      </c>
      <c r="O4052" s="8" t="s">
        <v>233</v>
      </c>
      <c r="P4052" s="6" t="s">
        <v>306</v>
      </c>
      <c r="Q4052" s="8" t="s">
        <v>65</v>
      </c>
      <c r="R4052" s="10" t="s">
        <v>2053</v>
      </c>
      <c r="S4052" s="11"/>
      <c r="T4052" s="6"/>
      <c r="U4052" s="15" t="str">
        <f>HYPERLINK("https://media.infra-m.ru/2207/2207926/cover/2207926.jpg", "Обложка")</f>
        <v>Обложка</v>
      </c>
      <c r="V4052" s="8" t="s">
        <v>247</v>
      </c>
      <c r="W4052" s="6" t="s">
        <v>2565</v>
      </c>
      <c r="X4052" s="6"/>
      <c r="Y4052" s="6"/>
      <c r="Z4052" s="6"/>
      <c r="AA4052" s="6" t="s">
        <v>650</v>
      </c>
      <c r="AB4052" s="8"/>
      <c r="AC4052" s="27">
        <v>9785160209609</v>
      </c>
    </row>
    <row r="4053" spans="1:29" s="4" customFormat="1" ht="51.9" customHeight="1" x14ac:dyDescent="0.2">
      <c r="A4053" s="5">
        <v>0</v>
      </c>
      <c r="B4053" s="6" t="s">
        <v>23558</v>
      </c>
      <c r="C4053" s="7">
        <v>1432.8</v>
      </c>
      <c r="D4053" s="8" t="s">
        <v>23559</v>
      </c>
      <c r="E4053" s="8" t="s">
        <v>23560</v>
      </c>
      <c r="F4053" s="8" t="s">
        <v>23556</v>
      </c>
      <c r="G4053" s="6" t="s">
        <v>118</v>
      </c>
      <c r="H4053" s="6" t="s">
        <v>34</v>
      </c>
      <c r="I4053" s="8" t="s">
        <v>2025</v>
      </c>
      <c r="J4053" s="9">
        <v>1</v>
      </c>
      <c r="K4053" s="9">
        <v>239</v>
      </c>
      <c r="L4053" s="9">
        <v>2025</v>
      </c>
      <c r="M4053" s="8" t="s">
        <v>23561</v>
      </c>
      <c r="N4053" s="8" t="s">
        <v>37</v>
      </c>
      <c r="O4053" s="8" t="s">
        <v>233</v>
      </c>
      <c r="P4053" s="6" t="s">
        <v>306</v>
      </c>
      <c r="Q4053" s="8" t="s">
        <v>52</v>
      </c>
      <c r="R4053" s="10" t="s">
        <v>2053</v>
      </c>
      <c r="S4053" s="11" t="s">
        <v>11766</v>
      </c>
      <c r="T4053" s="6"/>
      <c r="U4053" s="15" t="str">
        <f>HYPERLINK("https://media.infra-m.ru/2170/2170080/cover/2170080.jpg", "Обложка")</f>
        <v>Обложка</v>
      </c>
      <c r="V4053" s="8" t="s">
        <v>247</v>
      </c>
      <c r="W4053" s="6"/>
      <c r="X4053" s="6"/>
      <c r="Y4053" s="6"/>
      <c r="Z4053" s="6"/>
      <c r="AA4053" s="6" t="s">
        <v>148</v>
      </c>
      <c r="AB4053" s="8"/>
      <c r="AC4053" s="27">
        <v>9785160174013</v>
      </c>
    </row>
    <row r="4054" spans="1:29" s="4" customFormat="1" ht="51.9" customHeight="1" x14ac:dyDescent="0.2">
      <c r="A4054" s="5">
        <v>0</v>
      </c>
      <c r="B4054" s="6" t="s">
        <v>23562</v>
      </c>
      <c r="C4054" s="7">
        <v>1116</v>
      </c>
      <c r="D4054" s="8" t="s">
        <v>23563</v>
      </c>
      <c r="E4054" s="8" t="s">
        <v>23564</v>
      </c>
      <c r="F4054" s="8" t="s">
        <v>23565</v>
      </c>
      <c r="G4054" s="6" t="s">
        <v>118</v>
      </c>
      <c r="H4054" s="6" t="s">
        <v>134</v>
      </c>
      <c r="I4054" s="8"/>
      <c r="J4054" s="9">
        <v>1</v>
      </c>
      <c r="K4054" s="9">
        <v>160</v>
      </c>
      <c r="L4054" s="9">
        <v>2026</v>
      </c>
      <c r="M4054" s="8" t="s">
        <v>23566</v>
      </c>
      <c r="N4054" s="8" t="s">
        <v>37</v>
      </c>
      <c r="O4054" s="8" t="s">
        <v>136</v>
      </c>
      <c r="P4054" s="6" t="s">
        <v>51</v>
      </c>
      <c r="Q4054" s="8" t="s">
        <v>500</v>
      </c>
      <c r="R4054" s="10" t="s">
        <v>23567</v>
      </c>
      <c r="S4054" s="11"/>
      <c r="T4054" s="6"/>
      <c r="U4054" s="15" t="str">
        <f>HYPERLINK("https://media.infra-m.ru/2254/2254500/cover/2254500.jpg", "Обложка")</f>
        <v>Обложка</v>
      </c>
      <c r="V4054" s="8" t="s">
        <v>1184</v>
      </c>
      <c r="W4054" s="6"/>
      <c r="X4054" s="6"/>
      <c r="Y4054" s="6"/>
      <c r="Z4054" s="6"/>
      <c r="AA4054" s="6" t="s">
        <v>896</v>
      </c>
      <c r="AB4054" s="8"/>
      <c r="AC4054" s="27">
        <v>9785001561996</v>
      </c>
    </row>
    <row r="4055" spans="1:29" s="4" customFormat="1" ht="51.9" customHeight="1" x14ac:dyDescent="0.2">
      <c r="A4055" s="5">
        <v>0</v>
      </c>
      <c r="B4055" s="6" t="s">
        <v>23568</v>
      </c>
      <c r="C4055" s="13">
        <v>708</v>
      </c>
      <c r="D4055" s="8" t="s">
        <v>23569</v>
      </c>
      <c r="E4055" s="8" t="s">
        <v>23570</v>
      </c>
      <c r="F4055" s="8" t="s">
        <v>23565</v>
      </c>
      <c r="G4055" s="6" t="s">
        <v>60</v>
      </c>
      <c r="H4055" s="6" t="s">
        <v>134</v>
      </c>
      <c r="I4055" s="8" t="s">
        <v>263</v>
      </c>
      <c r="J4055" s="9">
        <v>1</v>
      </c>
      <c r="K4055" s="9">
        <v>160</v>
      </c>
      <c r="L4055" s="9">
        <v>2019</v>
      </c>
      <c r="M4055" s="8" t="s">
        <v>23571</v>
      </c>
      <c r="N4055" s="8" t="s">
        <v>37</v>
      </c>
      <c r="O4055" s="8" t="s">
        <v>136</v>
      </c>
      <c r="P4055" s="6" t="s">
        <v>51</v>
      </c>
      <c r="Q4055" s="8" t="s">
        <v>265</v>
      </c>
      <c r="R4055" s="10" t="s">
        <v>23572</v>
      </c>
      <c r="S4055" s="11"/>
      <c r="T4055" s="6"/>
      <c r="U4055" s="15" t="str">
        <f>HYPERLINK("https://media.infra-m.ru/1029/1029669/cover/1029669.jpg", "Обложка")</f>
        <v>Обложка</v>
      </c>
      <c r="V4055" s="8" t="s">
        <v>1184</v>
      </c>
      <c r="W4055" s="6"/>
      <c r="X4055" s="6"/>
      <c r="Y4055" s="6"/>
      <c r="Z4055" s="6" t="s">
        <v>5578</v>
      </c>
      <c r="AA4055" s="6" t="s">
        <v>115</v>
      </c>
      <c r="AB4055" s="8"/>
      <c r="AC4055" s="27">
        <v>9785001560128</v>
      </c>
    </row>
    <row r="4056" spans="1:29" s="4" customFormat="1" ht="51.9" customHeight="1" x14ac:dyDescent="0.2">
      <c r="A4056" s="5">
        <v>0</v>
      </c>
      <c r="B4056" s="6" t="s">
        <v>23573</v>
      </c>
      <c r="C4056" s="13">
        <v>780</v>
      </c>
      <c r="D4056" s="8" t="s">
        <v>23574</v>
      </c>
      <c r="E4056" s="8" t="s">
        <v>23570</v>
      </c>
      <c r="F4056" s="8" t="s">
        <v>23565</v>
      </c>
      <c r="G4056" s="6" t="s">
        <v>118</v>
      </c>
      <c r="H4056" s="6" t="s">
        <v>134</v>
      </c>
      <c r="I4056" s="8"/>
      <c r="J4056" s="9">
        <v>1</v>
      </c>
      <c r="K4056" s="9">
        <v>160</v>
      </c>
      <c r="L4056" s="9">
        <v>2021</v>
      </c>
      <c r="M4056" s="8" t="s">
        <v>23575</v>
      </c>
      <c r="N4056" s="8" t="s">
        <v>37</v>
      </c>
      <c r="O4056" s="8" t="s">
        <v>136</v>
      </c>
      <c r="P4056" s="6" t="s">
        <v>51</v>
      </c>
      <c r="Q4056" s="8" t="s">
        <v>500</v>
      </c>
      <c r="R4056" s="10" t="s">
        <v>23567</v>
      </c>
      <c r="S4056" s="11"/>
      <c r="T4056" s="6"/>
      <c r="U4056" s="15" t="str">
        <f>HYPERLINK("https://media.infra-m.ru/1224/1224742/cover/1224742.jpg", "Обложка")</f>
        <v>Обложка</v>
      </c>
      <c r="V4056" s="8" t="s">
        <v>1184</v>
      </c>
      <c r="W4056" s="6"/>
      <c r="X4056" s="6"/>
      <c r="Y4056" s="6"/>
      <c r="Z4056" s="6"/>
      <c r="AA4056" s="6" t="s">
        <v>86</v>
      </c>
      <c r="AB4056" s="8"/>
      <c r="AC4056" s="27">
        <v>9785917688817</v>
      </c>
    </row>
    <row r="4057" spans="1:29" s="4" customFormat="1" ht="51.9" customHeight="1" x14ac:dyDescent="0.2">
      <c r="A4057" s="5">
        <v>0</v>
      </c>
      <c r="B4057" s="6" t="s">
        <v>23576</v>
      </c>
      <c r="C4057" s="7">
        <v>1464</v>
      </c>
      <c r="D4057" s="8" t="s">
        <v>23577</v>
      </c>
      <c r="E4057" s="8" t="s">
        <v>23578</v>
      </c>
      <c r="F4057" s="8" t="s">
        <v>23579</v>
      </c>
      <c r="G4057" s="6" t="s">
        <v>33</v>
      </c>
      <c r="H4057" s="6" t="s">
        <v>34</v>
      </c>
      <c r="I4057" s="8" t="s">
        <v>35</v>
      </c>
      <c r="J4057" s="9">
        <v>1</v>
      </c>
      <c r="K4057" s="9">
        <v>270</v>
      </c>
      <c r="L4057" s="9">
        <v>2020</v>
      </c>
      <c r="M4057" s="8" t="s">
        <v>23580</v>
      </c>
      <c r="N4057" s="8" t="s">
        <v>37</v>
      </c>
      <c r="O4057" s="8" t="s">
        <v>233</v>
      </c>
      <c r="P4057" s="6" t="s">
        <v>39</v>
      </c>
      <c r="Q4057" s="8" t="s">
        <v>40</v>
      </c>
      <c r="R4057" s="10" t="s">
        <v>23581</v>
      </c>
      <c r="S4057" s="11"/>
      <c r="T4057" s="6"/>
      <c r="U4057" s="15" t="str">
        <f>HYPERLINK("https://media.infra-m.ru/1044/1044518/cover/1044518.jpg", "Обложка")</f>
        <v>Обложка</v>
      </c>
      <c r="V4057" s="8" t="s">
        <v>631</v>
      </c>
      <c r="W4057" s="6"/>
      <c r="X4057" s="6"/>
      <c r="Y4057" s="6"/>
      <c r="Z4057" s="6"/>
      <c r="AA4057" s="6" t="s">
        <v>43</v>
      </c>
      <c r="AB4057" s="8"/>
      <c r="AC4057" s="27">
        <v>9785160055978</v>
      </c>
    </row>
    <row r="4058" spans="1:29" s="4" customFormat="1" ht="42" customHeight="1" x14ac:dyDescent="0.2">
      <c r="A4058" s="5">
        <v>0</v>
      </c>
      <c r="B4058" s="6" t="s">
        <v>23582</v>
      </c>
      <c r="C4058" s="7">
        <v>2508</v>
      </c>
      <c r="D4058" s="8" t="s">
        <v>23583</v>
      </c>
      <c r="E4058" s="8" t="s">
        <v>23584</v>
      </c>
      <c r="F4058" s="8" t="s">
        <v>23585</v>
      </c>
      <c r="G4058" s="6" t="s">
        <v>60</v>
      </c>
      <c r="H4058" s="6" t="s">
        <v>34</v>
      </c>
      <c r="I4058" s="8" t="s">
        <v>5350</v>
      </c>
      <c r="J4058" s="9">
        <v>1</v>
      </c>
      <c r="K4058" s="9">
        <v>417</v>
      </c>
      <c r="L4058" s="9">
        <v>2024</v>
      </c>
      <c r="M4058" s="8" t="s">
        <v>23586</v>
      </c>
      <c r="N4058" s="8" t="s">
        <v>37</v>
      </c>
      <c r="O4058" s="8" t="s">
        <v>233</v>
      </c>
      <c r="P4058" s="6" t="s">
        <v>306</v>
      </c>
      <c r="Q4058" s="8" t="s">
        <v>65</v>
      </c>
      <c r="R4058" s="10" t="s">
        <v>14350</v>
      </c>
      <c r="S4058" s="11"/>
      <c r="T4058" s="6"/>
      <c r="U4058" s="15" t="str">
        <f>HYPERLINK("https://media.infra-m.ru/1978/1978020/cover/1978020.jpg", "Обложка")</f>
        <v>Обложка</v>
      </c>
      <c r="V4058" s="8" t="s">
        <v>1994</v>
      </c>
      <c r="W4058" s="6"/>
      <c r="X4058" s="6"/>
      <c r="Y4058" s="6"/>
      <c r="Z4058" s="6"/>
      <c r="AA4058" s="6" t="s">
        <v>76</v>
      </c>
      <c r="AB4058" s="8"/>
      <c r="AC4058" s="27">
        <v>9785160183312</v>
      </c>
    </row>
    <row r="4059" spans="1:29" s="4" customFormat="1" ht="51.9" customHeight="1" x14ac:dyDescent="0.2">
      <c r="A4059" s="5">
        <v>0</v>
      </c>
      <c r="B4059" s="6" t="s">
        <v>23587</v>
      </c>
      <c r="C4059" s="13">
        <v>816</v>
      </c>
      <c r="D4059" s="8" t="s">
        <v>23588</v>
      </c>
      <c r="E4059" s="8" t="s">
        <v>23589</v>
      </c>
      <c r="F4059" s="8" t="s">
        <v>23429</v>
      </c>
      <c r="G4059" s="6" t="s">
        <v>60</v>
      </c>
      <c r="H4059" s="6" t="s">
        <v>134</v>
      </c>
      <c r="I4059" s="8"/>
      <c r="J4059" s="9">
        <v>1</v>
      </c>
      <c r="K4059" s="9">
        <v>128</v>
      </c>
      <c r="L4059" s="9">
        <v>2024</v>
      </c>
      <c r="M4059" s="8" t="s">
        <v>23590</v>
      </c>
      <c r="N4059" s="8" t="s">
        <v>37</v>
      </c>
      <c r="O4059" s="8" t="s">
        <v>233</v>
      </c>
      <c r="P4059" s="6" t="s">
        <v>51</v>
      </c>
      <c r="Q4059" s="8" t="s">
        <v>52</v>
      </c>
      <c r="R4059" s="10" t="s">
        <v>4859</v>
      </c>
      <c r="S4059" s="11"/>
      <c r="T4059" s="6"/>
      <c r="U4059" s="15" t="str">
        <f>HYPERLINK("https://media.infra-m.ru/2082/2082010/cover/2082010.jpg", "Обложка")</f>
        <v>Обложка</v>
      </c>
      <c r="V4059" s="8" t="s">
        <v>1184</v>
      </c>
      <c r="W4059" s="6"/>
      <c r="X4059" s="6"/>
      <c r="Y4059" s="6"/>
      <c r="Z4059" s="6"/>
      <c r="AA4059" s="6" t="s">
        <v>106</v>
      </c>
      <c r="AB4059" s="8"/>
      <c r="AC4059" s="27">
        <v>9785001563242</v>
      </c>
    </row>
    <row r="4060" spans="1:29" s="4" customFormat="1" ht="44.1" customHeight="1" x14ac:dyDescent="0.2">
      <c r="A4060" s="5">
        <v>0</v>
      </c>
      <c r="B4060" s="6" t="s">
        <v>23591</v>
      </c>
      <c r="C4060" s="13">
        <v>808.8</v>
      </c>
      <c r="D4060" s="8" t="s">
        <v>23592</v>
      </c>
      <c r="E4060" s="8" t="s">
        <v>23593</v>
      </c>
      <c r="F4060" s="8" t="s">
        <v>23594</v>
      </c>
      <c r="G4060" s="6" t="s">
        <v>33</v>
      </c>
      <c r="H4060" s="6" t="s">
        <v>1644</v>
      </c>
      <c r="I4060" s="8"/>
      <c r="J4060" s="9">
        <v>1</v>
      </c>
      <c r="K4060" s="9">
        <v>148</v>
      </c>
      <c r="L4060" s="9">
        <v>2023</v>
      </c>
      <c r="M4060" s="8" t="s">
        <v>23595</v>
      </c>
      <c r="N4060" s="8" t="s">
        <v>37</v>
      </c>
      <c r="O4060" s="8" t="s">
        <v>233</v>
      </c>
      <c r="P4060" s="6" t="s">
        <v>51</v>
      </c>
      <c r="Q4060" s="8" t="s">
        <v>52</v>
      </c>
      <c r="R4060" s="10" t="s">
        <v>23596</v>
      </c>
      <c r="S4060" s="11"/>
      <c r="T4060" s="6"/>
      <c r="U4060" s="15" t="str">
        <f>HYPERLINK("https://media.infra-m.ru/2045/2045833/cover/2045833.jpg", "Обложка")</f>
        <v>Обложка</v>
      </c>
      <c r="V4060" s="8" t="s">
        <v>247</v>
      </c>
      <c r="W4060" s="6"/>
      <c r="X4060" s="6"/>
      <c r="Y4060" s="6"/>
      <c r="Z4060" s="6"/>
      <c r="AA4060" s="6" t="s">
        <v>115</v>
      </c>
      <c r="AB4060" s="8"/>
      <c r="AC4060" s="27">
        <v>9785977605014</v>
      </c>
    </row>
    <row r="4061" spans="1:29" s="4" customFormat="1" ht="51.9" customHeight="1" x14ac:dyDescent="0.2">
      <c r="A4061" s="5">
        <v>0</v>
      </c>
      <c r="B4061" s="6" t="s">
        <v>23597</v>
      </c>
      <c r="C4061" s="13">
        <v>581.9</v>
      </c>
      <c r="D4061" s="8" t="s">
        <v>23598</v>
      </c>
      <c r="E4061" s="8" t="s">
        <v>23599</v>
      </c>
      <c r="F4061" s="8" t="s">
        <v>23600</v>
      </c>
      <c r="G4061" s="6" t="s">
        <v>33</v>
      </c>
      <c r="H4061" s="6" t="s">
        <v>1644</v>
      </c>
      <c r="I4061" s="8" t="s">
        <v>4073</v>
      </c>
      <c r="J4061" s="9">
        <v>1</v>
      </c>
      <c r="K4061" s="9">
        <v>160</v>
      </c>
      <c r="L4061" s="9">
        <v>2019</v>
      </c>
      <c r="M4061" s="8" t="s">
        <v>23601</v>
      </c>
      <c r="N4061" s="8" t="s">
        <v>37</v>
      </c>
      <c r="O4061" s="8" t="s">
        <v>233</v>
      </c>
      <c r="P4061" s="6" t="s">
        <v>394</v>
      </c>
      <c r="Q4061" s="8" t="s">
        <v>500</v>
      </c>
      <c r="R4061" s="10" t="s">
        <v>23602</v>
      </c>
      <c r="S4061" s="11" t="s">
        <v>23603</v>
      </c>
      <c r="T4061" s="6"/>
      <c r="U4061" s="15" t="str">
        <f>HYPERLINK("https://media.infra-m.ru/1013/1013441/cover/1013441.jpg", "Обложка")</f>
        <v>Обложка</v>
      </c>
      <c r="V4061" s="8" t="s">
        <v>247</v>
      </c>
      <c r="W4061" s="6"/>
      <c r="X4061" s="6"/>
      <c r="Y4061" s="6"/>
      <c r="Z4061" s="6"/>
      <c r="AA4061" s="6" t="s">
        <v>248</v>
      </c>
      <c r="AB4061" s="8"/>
      <c r="AC4061" s="27">
        <v>9785977603003</v>
      </c>
    </row>
    <row r="4062" spans="1:29" s="4" customFormat="1" ht="51.9" customHeight="1" x14ac:dyDescent="0.2">
      <c r="A4062" s="5">
        <v>0</v>
      </c>
      <c r="B4062" s="6" t="s">
        <v>23604</v>
      </c>
      <c r="C4062" s="13">
        <v>972</v>
      </c>
      <c r="D4062" s="8" t="s">
        <v>23605</v>
      </c>
      <c r="E4062" s="8" t="s">
        <v>23606</v>
      </c>
      <c r="F4062" s="8" t="s">
        <v>23607</v>
      </c>
      <c r="G4062" s="6" t="s">
        <v>60</v>
      </c>
      <c r="H4062" s="6" t="s">
        <v>34</v>
      </c>
      <c r="I4062" s="8" t="s">
        <v>5350</v>
      </c>
      <c r="J4062" s="9">
        <v>1</v>
      </c>
      <c r="K4062" s="9">
        <v>221</v>
      </c>
      <c r="L4062" s="9">
        <v>2020</v>
      </c>
      <c r="M4062" s="8" t="s">
        <v>23608</v>
      </c>
      <c r="N4062" s="8" t="s">
        <v>37</v>
      </c>
      <c r="O4062" s="8" t="s">
        <v>233</v>
      </c>
      <c r="P4062" s="6" t="s">
        <v>51</v>
      </c>
      <c r="Q4062" s="8" t="s">
        <v>377</v>
      </c>
      <c r="R4062" s="10" t="s">
        <v>23609</v>
      </c>
      <c r="S4062" s="11" t="s">
        <v>23610</v>
      </c>
      <c r="T4062" s="6"/>
      <c r="U4062" s="15" t="str">
        <f>HYPERLINK("https://media.infra-m.ru/1048/1048562/cover/1048562.jpg", "Обложка")</f>
        <v>Обложка</v>
      </c>
      <c r="V4062" s="8" t="s">
        <v>911</v>
      </c>
      <c r="W4062" s="6"/>
      <c r="X4062" s="6"/>
      <c r="Y4062" s="6"/>
      <c r="Z4062" s="6"/>
      <c r="AA4062" s="6" t="s">
        <v>1256</v>
      </c>
      <c r="AB4062" s="8"/>
      <c r="AC4062" s="27">
        <v>9785160157252</v>
      </c>
    </row>
    <row r="4063" spans="1:29" s="4" customFormat="1" ht="51.9" customHeight="1" x14ac:dyDescent="0.2">
      <c r="A4063" s="5">
        <v>0</v>
      </c>
      <c r="B4063" s="6" t="s">
        <v>23611</v>
      </c>
      <c r="C4063" s="13">
        <v>672</v>
      </c>
      <c r="D4063" s="8" t="s">
        <v>23612</v>
      </c>
      <c r="E4063" s="8" t="s">
        <v>23613</v>
      </c>
      <c r="F4063" s="8" t="s">
        <v>23614</v>
      </c>
      <c r="G4063" s="6" t="s">
        <v>33</v>
      </c>
      <c r="H4063" s="6" t="s">
        <v>34</v>
      </c>
      <c r="I4063" s="8" t="s">
        <v>35</v>
      </c>
      <c r="J4063" s="9">
        <v>1</v>
      </c>
      <c r="K4063" s="9">
        <v>125</v>
      </c>
      <c r="L4063" s="9">
        <v>2022</v>
      </c>
      <c r="M4063" s="8" t="s">
        <v>23615</v>
      </c>
      <c r="N4063" s="8" t="s">
        <v>63</v>
      </c>
      <c r="O4063" s="8" t="s">
        <v>64</v>
      </c>
      <c r="P4063" s="6" t="s">
        <v>39</v>
      </c>
      <c r="Q4063" s="8" t="s">
        <v>40</v>
      </c>
      <c r="R4063" s="10" t="s">
        <v>23616</v>
      </c>
      <c r="S4063" s="11"/>
      <c r="T4063" s="6"/>
      <c r="U4063" s="15" t="str">
        <f>HYPERLINK("https://media.infra-m.ru/1851/1851553/cover/1851553.jpg", "Обложка")</f>
        <v>Обложка</v>
      </c>
      <c r="V4063" s="8"/>
      <c r="W4063" s="6"/>
      <c r="X4063" s="6"/>
      <c r="Y4063" s="6"/>
      <c r="Z4063" s="6"/>
      <c r="AA4063" s="6" t="s">
        <v>148</v>
      </c>
      <c r="AB4063" s="8"/>
      <c r="AC4063" s="27">
        <v>9785160174051</v>
      </c>
    </row>
    <row r="4064" spans="1:29" s="4" customFormat="1" ht="51.9" customHeight="1" x14ac:dyDescent="0.2">
      <c r="A4064" s="5">
        <v>0</v>
      </c>
      <c r="B4064" s="6" t="s">
        <v>23617</v>
      </c>
      <c r="C4064" s="7">
        <v>1992</v>
      </c>
      <c r="D4064" s="8" t="s">
        <v>23618</v>
      </c>
      <c r="E4064" s="8" t="s">
        <v>23619</v>
      </c>
      <c r="F4064" s="8" t="s">
        <v>19641</v>
      </c>
      <c r="G4064" s="6" t="s">
        <v>118</v>
      </c>
      <c r="H4064" s="6" t="s">
        <v>34</v>
      </c>
      <c r="I4064" s="8" t="s">
        <v>253</v>
      </c>
      <c r="J4064" s="9">
        <v>1</v>
      </c>
      <c r="K4064" s="9">
        <v>307</v>
      </c>
      <c r="L4064" s="9">
        <v>2026</v>
      </c>
      <c r="M4064" s="8" t="s">
        <v>23620</v>
      </c>
      <c r="N4064" s="8" t="s">
        <v>243</v>
      </c>
      <c r="O4064" s="8" t="s">
        <v>758</v>
      </c>
      <c r="P4064" s="6" t="s">
        <v>306</v>
      </c>
      <c r="Q4064" s="8" t="s">
        <v>500</v>
      </c>
      <c r="R4064" s="10" t="s">
        <v>23621</v>
      </c>
      <c r="S4064" s="11" t="s">
        <v>23622</v>
      </c>
      <c r="T4064" s="6"/>
      <c r="U4064" s="15" t="str">
        <f>HYPERLINK("https://media.infra-m.ru/2161/2161929/cover/2161929.jpg", "Обложка")</f>
        <v>Обложка</v>
      </c>
      <c r="V4064" s="8" t="s">
        <v>831</v>
      </c>
      <c r="W4064" s="6"/>
      <c r="X4064" s="6"/>
      <c r="Y4064" s="6"/>
      <c r="Z4064" s="6"/>
      <c r="AA4064" s="6" t="s">
        <v>115</v>
      </c>
      <c r="AB4064" s="8"/>
      <c r="AC4064" s="27">
        <v>9785160211077</v>
      </c>
    </row>
    <row r="4065" spans="1:29" s="4" customFormat="1" ht="42" customHeight="1" x14ac:dyDescent="0.2">
      <c r="A4065" s="5">
        <v>0</v>
      </c>
      <c r="B4065" s="6" t="s">
        <v>23623</v>
      </c>
      <c r="C4065" s="7">
        <v>1524</v>
      </c>
      <c r="D4065" s="8" t="s">
        <v>23624</v>
      </c>
      <c r="E4065" s="8" t="s">
        <v>23625</v>
      </c>
      <c r="F4065" s="8" t="s">
        <v>23626</v>
      </c>
      <c r="G4065" s="6" t="s">
        <v>118</v>
      </c>
      <c r="H4065" s="6" t="s">
        <v>34</v>
      </c>
      <c r="I4065" s="8" t="s">
        <v>35</v>
      </c>
      <c r="J4065" s="9">
        <v>1</v>
      </c>
      <c r="K4065" s="9">
        <v>277</v>
      </c>
      <c r="L4065" s="9">
        <v>2024</v>
      </c>
      <c r="M4065" s="8" t="s">
        <v>23627</v>
      </c>
      <c r="N4065" s="8" t="s">
        <v>585</v>
      </c>
      <c r="O4065" s="8" t="s">
        <v>775</v>
      </c>
      <c r="P4065" s="6" t="s">
        <v>39</v>
      </c>
      <c r="Q4065" s="8" t="s">
        <v>40</v>
      </c>
      <c r="R4065" s="10" t="s">
        <v>23628</v>
      </c>
      <c r="S4065" s="11"/>
      <c r="T4065" s="6"/>
      <c r="U4065" s="15" t="str">
        <f>HYPERLINK("https://media.infra-m.ru/2098/2098552/cover/2098552.jpg", "Обложка")</f>
        <v>Обложка</v>
      </c>
      <c r="V4065" s="8" t="s">
        <v>15325</v>
      </c>
      <c r="W4065" s="6"/>
      <c r="X4065" s="6"/>
      <c r="Y4065" s="6"/>
      <c r="Z4065" s="6"/>
      <c r="AA4065" s="6" t="s">
        <v>148</v>
      </c>
      <c r="AB4065" s="8" t="s">
        <v>4423</v>
      </c>
      <c r="AC4065" s="27">
        <v>9785160174891</v>
      </c>
    </row>
    <row r="4066" spans="1:29" s="4" customFormat="1" ht="51.9" customHeight="1" x14ac:dyDescent="0.2">
      <c r="A4066" s="5">
        <v>0</v>
      </c>
      <c r="B4066" s="6" t="s">
        <v>23629</v>
      </c>
      <c r="C4066" s="7">
        <v>2398.8000000000002</v>
      </c>
      <c r="D4066" s="8" t="s">
        <v>23630</v>
      </c>
      <c r="E4066" s="8" t="s">
        <v>23631</v>
      </c>
      <c r="F4066" s="8" t="s">
        <v>23632</v>
      </c>
      <c r="G4066" s="6" t="s">
        <v>60</v>
      </c>
      <c r="H4066" s="6" t="s">
        <v>34</v>
      </c>
      <c r="I4066" s="8" t="s">
        <v>35</v>
      </c>
      <c r="J4066" s="9">
        <v>1</v>
      </c>
      <c r="K4066" s="9">
        <v>225</v>
      </c>
      <c r="L4066" s="9">
        <v>2026</v>
      </c>
      <c r="M4066" s="8" t="s">
        <v>23633</v>
      </c>
      <c r="N4066" s="8" t="s">
        <v>243</v>
      </c>
      <c r="O4066" s="8" t="s">
        <v>758</v>
      </c>
      <c r="P4066" s="6" t="s">
        <v>39</v>
      </c>
      <c r="Q4066" s="8" t="s">
        <v>40</v>
      </c>
      <c r="R4066" s="10" t="s">
        <v>23634</v>
      </c>
      <c r="S4066" s="11"/>
      <c r="T4066" s="6"/>
      <c r="U4066" s="15" t="str">
        <f>HYPERLINK("https://media.infra-m.ru/2228/2228568/cover/2228568.jpg", "Обложка")</f>
        <v>Обложка</v>
      </c>
      <c r="V4066" s="8" t="s">
        <v>23635</v>
      </c>
      <c r="W4066" s="6" t="s">
        <v>649</v>
      </c>
      <c r="X4066" s="6"/>
      <c r="Y4066" s="6"/>
      <c r="Z4066" s="6"/>
      <c r="AA4066" s="6" t="s">
        <v>187</v>
      </c>
      <c r="AB4066" s="8" t="s">
        <v>308</v>
      </c>
      <c r="AC4066" s="27">
        <v>9785160215204</v>
      </c>
    </row>
    <row r="4067" spans="1:29" s="4" customFormat="1" ht="42" customHeight="1" x14ac:dyDescent="0.2">
      <c r="A4067" s="5">
        <v>0</v>
      </c>
      <c r="B4067" s="6" t="s">
        <v>23636</v>
      </c>
      <c r="C4067" s="7">
        <v>2332.8000000000002</v>
      </c>
      <c r="D4067" s="8" t="s">
        <v>23637</v>
      </c>
      <c r="E4067" s="8" t="s">
        <v>23638</v>
      </c>
      <c r="F4067" s="8" t="s">
        <v>5026</v>
      </c>
      <c r="G4067" s="6" t="s">
        <v>60</v>
      </c>
      <c r="H4067" s="6" t="s">
        <v>34</v>
      </c>
      <c r="I4067" s="8"/>
      <c r="J4067" s="9">
        <v>1</v>
      </c>
      <c r="K4067" s="9">
        <v>336</v>
      </c>
      <c r="L4067" s="9">
        <v>2026</v>
      </c>
      <c r="M4067" s="8" t="s">
        <v>23639</v>
      </c>
      <c r="N4067" s="8" t="s">
        <v>243</v>
      </c>
      <c r="O4067" s="8" t="s">
        <v>758</v>
      </c>
      <c r="P4067" s="6" t="s">
        <v>306</v>
      </c>
      <c r="Q4067" s="8" t="s">
        <v>52</v>
      </c>
      <c r="R4067" s="10" t="s">
        <v>7193</v>
      </c>
      <c r="S4067" s="11"/>
      <c r="T4067" s="6" t="s">
        <v>97</v>
      </c>
      <c r="U4067" s="15" t="str">
        <f>HYPERLINK("https://media.infra-m.ru/2222/2222244/cover/2222244.jpg", "Обложка")</f>
        <v>Обложка</v>
      </c>
      <c r="V4067" s="8" t="s">
        <v>1083</v>
      </c>
      <c r="W4067" s="6"/>
      <c r="X4067" s="6"/>
      <c r="Y4067" s="6"/>
      <c r="Z4067" s="6"/>
      <c r="AA4067" s="6" t="s">
        <v>874</v>
      </c>
      <c r="AB4067" s="8"/>
      <c r="AC4067" s="27">
        <v>9785160099873</v>
      </c>
    </row>
    <row r="4068" spans="1:29" s="4" customFormat="1" ht="51.9" customHeight="1" x14ac:dyDescent="0.2">
      <c r="A4068" s="5">
        <v>0</v>
      </c>
      <c r="B4068" s="6" t="s">
        <v>23640</v>
      </c>
      <c r="C4068" s="7">
        <v>2200.8000000000002</v>
      </c>
      <c r="D4068" s="8" t="s">
        <v>23641</v>
      </c>
      <c r="E4068" s="8" t="s">
        <v>23642</v>
      </c>
      <c r="F4068" s="8" t="s">
        <v>5026</v>
      </c>
      <c r="G4068" s="6" t="s">
        <v>118</v>
      </c>
      <c r="H4068" s="6" t="s">
        <v>34</v>
      </c>
      <c r="I4068" s="8" t="s">
        <v>7198</v>
      </c>
      <c r="J4068" s="9">
        <v>1</v>
      </c>
      <c r="K4068" s="9">
        <v>347</v>
      </c>
      <c r="L4068" s="9">
        <v>2026</v>
      </c>
      <c r="M4068" s="8" t="s">
        <v>23643</v>
      </c>
      <c r="N4068" s="8" t="s">
        <v>243</v>
      </c>
      <c r="O4068" s="8" t="s">
        <v>758</v>
      </c>
      <c r="P4068" s="6" t="s">
        <v>306</v>
      </c>
      <c r="Q4068" s="8" t="s">
        <v>52</v>
      </c>
      <c r="R4068" s="10" t="s">
        <v>23644</v>
      </c>
      <c r="S4068" s="11" t="s">
        <v>23645</v>
      </c>
      <c r="T4068" s="6"/>
      <c r="U4068" s="15" t="str">
        <f>HYPERLINK("https://media.infra-m.ru/2223/2223153/cover/2223153.jpg", "Обложка")</f>
        <v>Обложка</v>
      </c>
      <c r="V4068" s="8" t="s">
        <v>1083</v>
      </c>
      <c r="W4068" s="6"/>
      <c r="X4068" s="6"/>
      <c r="Y4068" s="6"/>
      <c r="Z4068" s="6"/>
      <c r="AA4068" s="6" t="s">
        <v>86</v>
      </c>
      <c r="AB4068" s="8"/>
      <c r="AC4068" s="27">
        <v>9785160167589</v>
      </c>
    </row>
    <row r="4069" spans="1:29" s="4" customFormat="1" ht="51.9" customHeight="1" x14ac:dyDescent="0.2">
      <c r="A4069" s="5">
        <v>0</v>
      </c>
      <c r="B4069" s="6" t="s">
        <v>23646</v>
      </c>
      <c r="C4069" s="7">
        <v>2952</v>
      </c>
      <c r="D4069" s="8" t="s">
        <v>23647</v>
      </c>
      <c r="E4069" s="8" t="s">
        <v>23648</v>
      </c>
      <c r="F4069" s="8" t="s">
        <v>5026</v>
      </c>
      <c r="G4069" s="6" t="s">
        <v>60</v>
      </c>
      <c r="H4069" s="6" t="s">
        <v>34</v>
      </c>
      <c r="I4069" s="8" t="s">
        <v>7625</v>
      </c>
      <c r="J4069" s="9">
        <v>1</v>
      </c>
      <c r="K4069" s="9">
        <v>409</v>
      </c>
      <c r="L4069" s="9">
        <v>2024</v>
      </c>
      <c r="M4069" s="8" t="s">
        <v>23649</v>
      </c>
      <c r="N4069" s="8" t="s">
        <v>243</v>
      </c>
      <c r="O4069" s="8" t="s">
        <v>758</v>
      </c>
      <c r="P4069" s="6" t="s">
        <v>306</v>
      </c>
      <c r="Q4069" s="8" t="s">
        <v>65</v>
      </c>
      <c r="R4069" s="10" t="s">
        <v>23650</v>
      </c>
      <c r="S4069" s="11" t="s">
        <v>23651</v>
      </c>
      <c r="T4069" s="6"/>
      <c r="U4069" s="15" t="str">
        <f>HYPERLINK("https://media.infra-m.ru/2119/2119921/cover/2119921.jpg", "Обложка")</f>
        <v>Обложка</v>
      </c>
      <c r="V4069" s="8" t="s">
        <v>1083</v>
      </c>
      <c r="W4069" s="6"/>
      <c r="X4069" s="6"/>
      <c r="Y4069" s="6"/>
      <c r="Z4069" s="6"/>
      <c r="AA4069" s="6" t="s">
        <v>148</v>
      </c>
      <c r="AB4069" s="8"/>
      <c r="AC4069" s="27">
        <v>9785160173863</v>
      </c>
    </row>
    <row r="4070" spans="1:29" s="4" customFormat="1" ht="42" customHeight="1" x14ac:dyDescent="0.2">
      <c r="A4070" s="5">
        <v>0</v>
      </c>
      <c r="B4070" s="6" t="s">
        <v>23652</v>
      </c>
      <c r="C4070" s="7">
        <v>2136</v>
      </c>
      <c r="D4070" s="8" t="s">
        <v>23653</v>
      </c>
      <c r="E4070" s="8" t="s">
        <v>23654</v>
      </c>
      <c r="F4070" s="8" t="s">
        <v>23655</v>
      </c>
      <c r="G4070" s="6" t="s">
        <v>118</v>
      </c>
      <c r="H4070" s="6" t="s">
        <v>34</v>
      </c>
      <c r="I4070" s="8" t="s">
        <v>35</v>
      </c>
      <c r="J4070" s="9">
        <v>1</v>
      </c>
      <c r="K4070" s="9">
        <v>306</v>
      </c>
      <c r="L4070" s="9">
        <v>2027</v>
      </c>
      <c r="M4070" s="8" t="s">
        <v>23656</v>
      </c>
      <c r="N4070" s="8" t="s">
        <v>63</v>
      </c>
      <c r="O4070" s="8" t="s">
        <v>181</v>
      </c>
      <c r="P4070" s="6" t="s">
        <v>39</v>
      </c>
      <c r="Q4070" s="8" t="s">
        <v>40</v>
      </c>
      <c r="R4070" s="10" t="s">
        <v>23657</v>
      </c>
      <c r="S4070" s="11"/>
      <c r="T4070" s="6"/>
      <c r="U4070" s="15" t="str">
        <f>HYPERLINK("https://media.infra-m.ru/2263/2263953/cover/2263953.jpg", "Обложка")</f>
        <v>Обложка</v>
      </c>
      <c r="V4070" s="8" t="s">
        <v>322</v>
      </c>
      <c r="W4070" s="6"/>
      <c r="X4070" s="6"/>
      <c r="Y4070" s="6"/>
      <c r="Z4070" s="6"/>
      <c r="AA4070" s="6" t="s">
        <v>779</v>
      </c>
      <c r="AB4070" s="8"/>
      <c r="AC4070" s="27">
        <v>9785160114590</v>
      </c>
    </row>
    <row r="4071" spans="1:29" s="4" customFormat="1" ht="51.9" customHeight="1" x14ac:dyDescent="0.2">
      <c r="A4071" s="5">
        <v>0</v>
      </c>
      <c r="B4071" s="6" t="s">
        <v>23658</v>
      </c>
      <c r="C4071" s="7">
        <v>1140</v>
      </c>
      <c r="D4071" s="8" t="s">
        <v>23659</v>
      </c>
      <c r="E4071" s="8" t="s">
        <v>23660</v>
      </c>
      <c r="F4071" s="8" t="s">
        <v>23661</v>
      </c>
      <c r="G4071" s="6" t="s">
        <v>118</v>
      </c>
      <c r="H4071" s="6" t="s">
        <v>34</v>
      </c>
      <c r="I4071" s="8" t="s">
        <v>253</v>
      </c>
      <c r="J4071" s="9">
        <v>1</v>
      </c>
      <c r="K4071" s="9">
        <v>163</v>
      </c>
      <c r="L4071" s="9">
        <v>2027</v>
      </c>
      <c r="M4071" s="8" t="s">
        <v>23662</v>
      </c>
      <c r="N4071" s="8" t="s">
        <v>243</v>
      </c>
      <c r="O4071" s="8" t="s">
        <v>385</v>
      </c>
      <c r="P4071" s="6" t="s">
        <v>51</v>
      </c>
      <c r="Q4071" s="8" t="s">
        <v>377</v>
      </c>
      <c r="R4071" s="10" t="s">
        <v>23663</v>
      </c>
      <c r="S4071" s="11" t="s">
        <v>23664</v>
      </c>
      <c r="T4071" s="6"/>
      <c r="U4071" s="15" t="str">
        <f>HYPERLINK("https://media.infra-m.ru/2263/2263373/cover/2263373.jpg", "Обложка")</f>
        <v>Обложка</v>
      </c>
      <c r="V4071" s="8" t="s">
        <v>23665</v>
      </c>
      <c r="W4071" s="6"/>
      <c r="X4071" s="6"/>
      <c r="Y4071" s="6"/>
      <c r="Z4071" s="6"/>
      <c r="AA4071" s="6" t="s">
        <v>404</v>
      </c>
      <c r="AB4071" s="8"/>
      <c r="AC4071" s="27">
        <v>9785160204154</v>
      </c>
    </row>
    <row r="4072" spans="1:29" s="4" customFormat="1" ht="44.1" customHeight="1" x14ac:dyDescent="0.2">
      <c r="A4072" s="5">
        <v>0</v>
      </c>
      <c r="B4072" s="6" t="s">
        <v>23666</v>
      </c>
      <c r="C4072" s="13">
        <v>359.9</v>
      </c>
      <c r="D4072" s="8" t="s">
        <v>23667</v>
      </c>
      <c r="E4072" s="8" t="s">
        <v>23668</v>
      </c>
      <c r="F4072" s="8" t="s">
        <v>23661</v>
      </c>
      <c r="G4072" s="6" t="s">
        <v>60</v>
      </c>
      <c r="H4072" s="6" t="s">
        <v>34</v>
      </c>
      <c r="I4072" s="8" t="s">
        <v>253</v>
      </c>
      <c r="J4072" s="9">
        <v>20</v>
      </c>
      <c r="K4072" s="9">
        <v>160</v>
      </c>
      <c r="L4072" s="9">
        <v>2014</v>
      </c>
      <c r="M4072" s="8" t="s">
        <v>23669</v>
      </c>
      <c r="N4072" s="8" t="s">
        <v>243</v>
      </c>
      <c r="O4072" s="8" t="s">
        <v>385</v>
      </c>
      <c r="P4072" s="6" t="s">
        <v>51</v>
      </c>
      <c r="Q4072" s="8" t="s">
        <v>52</v>
      </c>
      <c r="R4072" s="10" t="s">
        <v>23663</v>
      </c>
      <c r="S4072" s="11"/>
      <c r="T4072" s="6"/>
      <c r="U4072" s="15" t="str">
        <f>HYPERLINK("https://media.infra-m.ru/0410/0410734/cover/410734.jpg", "Обложка")</f>
        <v>Обложка</v>
      </c>
      <c r="V4072" s="8" t="s">
        <v>23665</v>
      </c>
      <c r="W4072" s="6"/>
      <c r="X4072" s="6"/>
      <c r="Y4072" s="6"/>
      <c r="Z4072" s="6"/>
      <c r="AA4072" s="6" t="s">
        <v>248</v>
      </c>
      <c r="AB4072" s="8"/>
      <c r="AC4072" s="27">
        <v>9785160068367</v>
      </c>
    </row>
    <row r="4073" spans="1:29" s="4" customFormat="1" ht="51.9" customHeight="1" x14ac:dyDescent="0.2">
      <c r="A4073" s="5">
        <v>0</v>
      </c>
      <c r="B4073" s="6" t="s">
        <v>23670</v>
      </c>
      <c r="C4073" s="7">
        <v>1536</v>
      </c>
      <c r="D4073" s="8" t="s">
        <v>23671</v>
      </c>
      <c r="E4073" s="8" t="s">
        <v>23672</v>
      </c>
      <c r="F4073" s="8" t="s">
        <v>23673</v>
      </c>
      <c r="G4073" s="6" t="s">
        <v>118</v>
      </c>
      <c r="H4073" s="6" t="s">
        <v>34</v>
      </c>
      <c r="I4073" s="8" t="s">
        <v>253</v>
      </c>
      <c r="J4073" s="9">
        <v>1</v>
      </c>
      <c r="K4073" s="9">
        <v>192</v>
      </c>
      <c r="L4073" s="9">
        <v>2027</v>
      </c>
      <c r="M4073" s="8" t="s">
        <v>23674</v>
      </c>
      <c r="N4073" s="8" t="s">
        <v>93</v>
      </c>
      <c r="O4073" s="8" t="s">
        <v>94</v>
      </c>
      <c r="P4073" s="6" t="s">
        <v>105</v>
      </c>
      <c r="Q4073" s="8" t="s">
        <v>52</v>
      </c>
      <c r="R4073" s="10" t="s">
        <v>23675</v>
      </c>
      <c r="S4073" s="11" t="s">
        <v>23676</v>
      </c>
      <c r="T4073" s="6"/>
      <c r="U4073" s="15" t="str">
        <f>HYPERLINK("https://media.infra-m.ru/2267/2267680/cover/2267680.jpg", "Обложка")</f>
        <v>Обложка</v>
      </c>
      <c r="V4073" s="8" t="s">
        <v>9822</v>
      </c>
      <c r="W4073" s="6"/>
      <c r="X4073" s="6"/>
      <c r="Y4073" s="6"/>
      <c r="Z4073" s="6"/>
      <c r="AA4073" s="6" t="s">
        <v>274</v>
      </c>
      <c r="AB4073" s="8"/>
      <c r="AC4073" s="27">
        <v>9785160216188</v>
      </c>
    </row>
    <row r="4074" spans="1:29" s="4" customFormat="1" ht="51.9" customHeight="1" x14ac:dyDescent="0.2">
      <c r="A4074" s="5">
        <v>0</v>
      </c>
      <c r="B4074" s="6" t="s">
        <v>23677</v>
      </c>
      <c r="C4074" s="13">
        <v>785.9</v>
      </c>
      <c r="D4074" s="8" t="s">
        <v>23678</v>
      </c>
      <c r="E4074" s="8" t="s">
        <v>23672</v>
      </c>
      <c r="F4074" s="8" t="s">
        <v>23673</v>
      </c>
      <c r="G4074" s="6" t="s">
        <v>33</v>
      </c>
      <c r="H4074" s="6" t="s">
        <v>48</v>
      </c>
      <c r="I4074" s="8" t="s">
        <v>271</v>
      </c>
      <c r="J4074" s="9">
        <v>1</v>
      </c>
      <c r="K4074" s="9">
        <v>192</v>
      </c>
      <c r="L4074" s="9">
        <v>2020</v>
      </c>
      <c r="M4074" s="8" t="s">
        <v>23679</v>
      </c>
      <c r="N4074" s="8" t="s">
        <v>93</v>
      </c>
      <c r="O4074" s="8" t="s">
        <v>94</v>
      </c>
      <c r="P4074" s="6" t="s">
        <v>105</v>
      </c>
      <c r="Q4074" s="8" t="s">
        <v>52</v>
      </c>
      <c r="R4074" s="10" t="s">
        <v>23675</v>
      </c>
      <c r="S4074" s="11" t="s">
        <v>23676</v>
      </c>
      <c r="T4074" s="6"/>
      <c r="U4074" s="15" t="str">
        <f>HYPERLINK("https://media.infra-m.ru/1081/1081927/cover/1081927.jpg", "Обложка")</f>
        <v>Обложка</v>
      </c>
      <c r="V4074" s="8" t="s">
        <v>9822</v>
      </c>
      <c r="W4074" s="6"/>
      <c r="X4074" s="6"/>
      <c r="Y4074" s="6"/>
      <c r="Z4074" s="6"/>
      <c r="AA4074" s="6" t="s">
        <v>274</v>
      </c>
      <c r="AB4074" s="8"/>
      <c r="AC4074" s="27">
        <v>9785000915202</v>
      </c>
    </row>
    <row r="4075" spans="1:29" s="4" customFormat="1" ht="51.9" customHeight="1" x14ac:dyDescent="0.2">
      <c r="A4075" s="5">
        <v>0</v>
      </c>
      <c r="B4075" s="6" t="s">
        <v>23680</v>
      </c>
      <c r="C4075" s="13">
        <v>996</v>
      </c>
      <c r="D4075" s="8" t="s">
        <v>23681</v>
      </c>
      <c r="E4075" s="8" t="s">
        <v>23682</v>
      </c>
      <c r="F4075" s="8" t="s">
        <v>23683</v>
      </c>
      <c r="G4075" s="6" t="s">
        <v>33</v>
      </c>
      <c r="H4075" s="6" t="s">
        <v>34</v>
      </c>
      <c r="I4075" s="8" t="s">
        <v>35</v>
      </c>
      <c r="J4075" s="9">
        <v>1</v>
      </c>
      <c r="K4075" s="9">
        <v>242</v>
      </c>
      <c r="L4075" s="9">
        <v>2018</v>
      </c>
      <c r="M4075" s="8" t="s">
        <v>23684</v>
      </c>
      <c r="N4075" s="8" t="s">
        <v>585</v>
      </c>
      <c r="O4075" s="8" t="s">
        <v>2472</v>
      </c>
      <c r="P4075" s="6" t="s">
        <v>39</v>
      </c>
      <c r="Q4075" s="8" t="s">
        <v>40</v>
      </c>
      <c r="R4075" s="10" t="s">
        <v>23685</v>
      </c>
      <c r="S4075" s="11"/>
      <c r="T4075" s="6" t="s">
        <v>97</v>
      </c>
      <c r="U4075" s="15" t="str">
        <f>HYPERLINK("https://media.infra-m.ru/0961/0961783/cover/961783.jpg", "Обложка")</f>
        <v>Обложка</v>
      </c>
      <c r="V4075" s="8" t="s">
        <v>227</v>
      </c>
      <c r="W4075" s="6"/>
      <c r="X4075" s="6"/>
      <c r="Y4075" s="6"/>
      <c r="Z4075" s="6"/>
      <c r="AA4075" s="6" t="s">
        <v>86</v>
      </c>
      <c r="AB4075" s="8"/>
      <c r="AC4075" s="27">
        <v>9785160140230</v>
      </c>
    </row>
    <row r="4076" spans="1:29" s="4" customFormat="1" ht="51.9" customHeight="1" x14ac:dyDescent="0.2">
      <c r="A4076" s="5">
        <v>0</v>
      </c>
      <c r="B4076" s="6" t="s">
        <v>23686</v>
      </c>
      <c r="C4076" s="7">
        <v>1932</v>
      </c>
      <c r="D4076" s="8" t="s">
        <v>23687</v>
      </c>
      <c r="E4076" s="8" t="s">
        <v>23688</v>
      </c>
      <c r="F4076" s="8" t="s">
        <v>23689</v>
      </c>
      <c r="G4076" s="6" t="s">
        <v>118</v>
      </c>
      <c r="H4076" s="6" t="s">
        <v>34</v>
      </c>
      <c r="I4076" s="8" t="s">
        <v>35</v>
      </c>
      <c r="J4076" s="9">
        <v>1</v>
      </c>
      <c r="K4076" s="9">
        <v>293</v>
      </c>
      <c r="L4076" s="9">
        <v>2026</v>
      </c>
      <c r="M4076" s="8" t="s">
        <v>23690</v>
      </c>
      <c r="N4076" s="8" t="s">
        <v>63</v>
      </c>
      <c r="O4076" s="8" t="s">
        <v>9718</v>
      </c>
      <c r="P4076" s="6" t="s">
        <v>39</v>
      </c>
      <c r="Q4076" s="8" t="s">
        <v>40</v>
      </c>
      <c r="R4076" s="10" t="s">
        <v>23691</v>
      </c>
      <c r="S4076" s="11"/>
      <c r="T4076" s="6"/>
      <c r="U4076" s="15" t="str">
        <f>HYPERLINK("https://media.infra-m.ru/2244/2244007/cover/2244007.jpg", "Обложка")</f>
        <v>Обложка</v>
      </c>
      <c r="V4076" s="8" t="s">
        <v>198</v>
      </c>
      <c r="W4076" s="6"/>
      <c r="X4076" s="6"/>
      <c r="Y4076" s="6"/>
      <c r="Z4076" s="6"/>
      <c r="AA4076" s="6" t="s">
        <v>68</v>
      </c>
      <c r="AB4076" s="8"/>
      <c r="AC4076" s="27">
        <v>9785160198767</v>
      </c>
    </row>
    <row r="4077" spans="1:29" s="4" customFormat="1" ht="51.9" customHeight="1" x14ac:dyDescent="0.2">
      <c r="A4077" s="5">
        <v>0</v>
      </c>
      <c r="B4077" s="6" t="s">
        <v>23692</v>
      </c>
      <c r="C4077" s="7">
        <v>1224</v>
      </c>
      <c r="D4077" s="8" t="s">
        <v>23693</v>
      </c>
      <c r="E4077" s="8" t="s">
        <v>23694</v>
      </c>
      <c r="F4077" s="8" t="s">
        <v>23695</v>
      </c>
      <c r="G4077" s="6" t="s">
        <v>60</v>
      </c>
      <c r="H4077" s="6" t="s">
        <v>34</v>
      </c>
      <c r="I4077" s="8" t="s">
        <v>253</v>
      </c>
      <c r="J4077" s="9">
        <v>1</v>
      </c>
      <c r="K4077" s="9">
        <v>175</v>
      </c>
      <c r="L4077" s="9">
        <v>2025</v>
      </c>
      <c r="M4077" s="8" t="s">
        <v>23696</v>
      </c>
      <c r="N4077" s="8" t="s">
        <v>63</v>
      </c>
      <c r="O4077" s="8" t="s">
        <v>9718</v>
      </c>
      <c r="P4077" s="6" t="s">
        <v>51</v>
      </c>
      <c r="Q4077" s="8" t="s">
        <v>52</v>
      </c>
      <c r="R4077" s="10" t="s">
        <v>23697</v>
      </c>
      <c r="S4077" s="11"/>
      <c r="T4077" s="6"/>
      <c r="U4077" s="15" t="str">
        <f>HYPERLINK("https://media.infra-m.ru/2162/2162067/cover/2162067.jpg", "Обложка")</f>
        <v>Обложка</v>
      </c>
      <c r="V4077" s="8" t="s">
        <v>198</v>
      </c>
      <c r="W4077" s="6"/>
      <c r="X4077" s="6"/>
      <c r="Y4077" s="6"/>
      <c r="Z4077" s="6"/>
      <c r="AA4077" s="6" t="s">
        <v>68</v>
      </c>
      <c r="AB4077" s="8" t="s">
        <v>14095</v>
      </c>
      <c r="AC4077" s="27">
        <v>9785160201702</v>
      </c>
    </row>
    <row r="4078" spans="1:29" s="4" customFormat="1" ht="42" customHeight="1" x14ac:dyDescent="0.2">
      <c r="A4078" s="5">
        <v>0</v>
      </c>
      <c r="B4078" s="6" t="s">
        <v>23698</v>
      </c>
      <c r="C4078" s="7">
        <v>1672.8</v>
      </c>
      <c r="D4078" s="8" t="s">
        <v>23699</v>
      </c>
      <c r="E4078" s="8" t="s">
        <v>23700</v>
      </c>
      <c r="F4078" s="8" t="s">
        <v>10252</v>
      </c>
      <c r="G4078" s="6" t="s">
        <v>118</v>
      </c>
      <c r="H4078" s="6" t="s">
        <v>34</v>
      </c>
      <c r="I4078" s="8" t="s">
        <v>10253</v>
      </c>
      <c r="J4078" s="9">
        <v>1</v>
      </c>
      <c r="K4078" s="9">
        <v>267</v>
      </c>
      <c r="L4078" s="9">
        <v>2025</v>
      </c>
      <c r="M4078" s="8" t="s">
        <v>23701</v>
      </c>
      <c r="N4078" s="8" t="s">
        <v>37</v>
      </c>
      <c r="O4078" s="8" t="s">
        <v>83</v>
      </c>
      <c r="P4078" s="6" t="s">
        <v>8120</v>
      </c>
      <c r="Q4078" s="8" t="s">
        <v>40</v>
      </c>
      <c r="R4078" s="10" t="s">
        <v>2007</v>
      </c>
      <c r="S4078" s="11"/>
      <c r="T4078" s="6"/>
      <c r="U4078" s="15" t="str">
        <f>HYPERLINK("https://media.infra-m.ru/2217/2217138/cover/2217138.jpg", "Обложка")</f>
        <v>Обложка</v>
      </c>
      <c r="V4078" s="8" t="s">
        <v>10256</v>
      </c>
      <c r="W4078" s="6"/>
      <c r="X4078" s="6"/>
      <c r="Y4078" s="6"/>
      <c r="Z4078" s="6"/>
      <c r="AA4078" s="6" t="s">
        <v>779</v>
      </c>
      <c r="AB4078" s="8"/>
      <c r="AC4078" s="27">
        <v>9785160102597</v>
      </c>
    </row>
    <row r="4079" spans="1:29" s="4" customFormat="1" ht="51.9" customHeight="1" x14ac:dyDescent="0.2">
      <c r="A4079" s="5">
        <v>0</v>
      </c>
      <c r="B4079" s="6" t="s">
        <v>23702</v>
      </c>
      <c r="C4079" s="7">
        <v>1248</v>
      </c>
      <c r="D4079" s="8" t="s">
        <v>23703</v>
      </c>
      <c r="E4079" s="8" t="s">
        <v>23704</v>
      </c>
      <c r="F4079" s="8" t="s">
        <v>23705</v>
      </c>
      <c r="G4079" s="6" t="s">
        <v>118</v>
      </c>
      <c r="H4079" s="6" t="s">
        <v>134</v>
      </c>
      <c r="I4079" s="8"/>
      <c r="J4079" s="9">
        <v>1</v>
      </c>
      <c r="K4079" s="9">
        <v>224</v>
      </c>
      <c r="L4079" s="9">
        <v>2024</v>
      </c>
      <c r="M4079" s="8" t="s">
        <v>23706</v>
      </c>
      <c r="N4079" s="8" t="s">
        <v>37</v>
      </c>
      <c r="O4079" s="8" t="s">
        <v>136</v>
      </c>
      <c r="P4079" s="6" t="s">
        <v>51</v>
      </c>
      <c r="Q4079" s="8" t="s">
        <v>52</v>
      </c>
      <c r="R4079" s="10" t="s">
        <v>1275</v>
      </c>
      <c r="S4079" s="11"/>
      <c r="T4079" s="6"/>
      <c r="U4079" s="15" t="str">
        <f>HYPERLINK("https://media.infra-m.ru/2118/2118058/cover/2118058.jpg", "Обложка")</f>
        <v>Обложка</v>
      </c>
      <c r="V4079" s="8" t="s">
        <v>11135</v>
      </c>
      <c r="W4079" s="6"/>
      <c r="X4079" s="6"/>
      <c r="Y4079" s="6"/>
      <c r="Z4079" s="6"/>
      <c r="AA4079" s="6" t="s">
        <v>2240</v>
      </c>
      <c r="AB4079" s="8"/>
      <c r="AC4079" s="27">
        <v>9785917689814</v>
      </c>
    </row>
    <row r="4080" spans="1:29" s="4" customFormat="1" ht="51.9" customHeight="1" x14ac:dyDescent="0.2">
      <c r="A4080" s="5">
        <v>0</v>
      </c>
      <c r="B4080" s="6" t="s">
        <v>23707</v>
      </c>
      <c r="C4080" s="7">
        <v>1588.8</v>
      </c>
      <c r="D4080" s="8" t="s">
        <v>23708</v>
      </c>
      <c r="E4080" s="8" t="s">
        <v>23709</v>
      </c>
      <c r="F4080" s="8" t="s">
        <v>23710</v>
      </c>
      <c r="G4080" s="6" t="s">
        <v>118</v>
      </c>
      <c r="H4080" s="6" t="s">
        <v>34</v>
      </c>
      <c r="I4080" s="8" t="s">
        <v>263</v>
      </c>
      <c r="J4080" s="9">
        <v>1</v>
      </c>
      <c r="K4080" s="9">
        <v>254</v>
      </c>
      <c r="L4080" s="9">
        <v>2026</v>
      </c>
      <c r="M4080" s="8" t="s">
        <v>23711</v>
      </c>
      <c r="N4080" s="8" t="s">
        <v>243</v>
      </c>
      <c r="O4080" s="8" t="s">
        <v>798</v>
      </c>
      <c r="P4080" s="6" t="s">
        <v>306</v>
      </c>
      <c r="Q4080" s="8" t="s">
        <v>265</v>
      </c>
      <c r="R4080" s="10" t="s">
        <v>23712</v>
      </c>
      <c r="S4080" s="11" t="s">
        <v>23713</v>
      </c>
      <c r="T4080" s="6"/>
      <c r="U4080" s="15" t="str">
        <f>HYPERLINK("https://media.infra-m.ru/2218/2218718/cover/2218718.jpg", "Обложка")</f>
        <v>Обложка</v>
      </c>
      <c r="V4080" s="8"/>
      <c r="W4080" s="6"/>
      <c r="X4080" s="6"/>
      <c r="Y4080" s="6"/>
      <c r="Z4080" s="6"/>
      <c r="AA4080" s="6" t="s">
        <v>561</v>
      </c>
      <c r="AB4080" s="8"/>
      <c r="AC4080" s="27">
        <v>9785160100463</v>
      </c>
    </row>
    <row r="4081" spans="1:29" s="4" customFormat="1" ht="44.1" customHeight="1" x14ac:dyDescent="0.2">
      <c r="A4081" s="5">
        <v>0</v>
      </c>
      <c r="B4081" s="6" t="s">
        <v>23714</v>
      </c>
      <c r="C4081" s="7">
        <v>1444.8</v>
      </c>
      <c r="D4081" s="8" t="s">
        <v>23715</v>
      </c>
      <c r="E4081" s="8" t="s">
        <v>23716</v>
      </c>
      <c r="F4081" s="8" t="s">
        <v>6770</v>
      </c>
      <c r="G4081" s="6" t="s">
        <v>33</v>
      </c>
      <c r="H4081" s="6" t="s">
        <v>34</v>
      </c>
      <c r="I4081" s="8" t="s">
        <v>6772</v>
      </c>
      <c r="J4081" s="9">
        <v>1</v>
      </c>
      <c r="K4081" s="9">
        <v>222</v>
      </c>
      <c r="L4081" s="9">
        <v>2026</v>
      </c>
      <c r="M4081" s="8" t="s">
        <v>23717</v>
      </c>
      <c r="N4081" s="8" t="s">
        <v>37</v>
      </c>
      <c r="O4081" s="8" t="s">
        <v>290</v>
      </c>
      <c r="P4081" s="6" t="s">
        <v>23718</v>
      </c>
      <c r="Q4081" s="8" t="s">
        <v>65</v>
      </c>
      <c r="R4081" s="10" t="s">
        <v>23719</v>
      </c>
      <c r="S4081" s="11"/>
      <c r="T4081" s="6"/>
      <c r="U4081" s="15" t="str">
        <f>HYPERLINK("https://media.infra-m.ru/2222/2222307/cover/2222307.jpg", "Обложка")</f>
        <v>Обложка</v>
      </c>
      <c r="V4081" s="8"/>
      <c r="W4081" s="6"/>
      <c r="X4081" s="6"/>
      <c r="Y4081" s="6"/>
      <c r="Z4081" s="6"/>
      <c r="AA4081" s="6" t="s">
        <v>157</v>
      </c>
      <c r="AB4081" s="8"/>
      <c r="AC4081" s="27">
        <v>9785160194530</v>
      </c>
    </row>
    <row r="4082" spans="1:29" s="4" customFormat="1" ht="51.9" customHeight="1" x14ac:dyDescent="0.2">
      <c r="A4082" s="5">
        <v>0</v>
      </c>
      <c r="B4082" s="6" t="s">
        <v>23720</v>
      </c>
      <c r="C4082" s="7">
        <v>2836.8</v>
      </c>
      <c r="D4082" s="8" t="s">
        <v>23721</v>
      </c>
      <c r="E4082" s="8" t="s">
        <v>23722</v>
      </c>
      <c r="F4082" s="8" t="s">
        <v>23723</v>
      </c>
      <c r="G4082" s="6" t="s">
        <v>60</v>
      </c>
      <c r="H4082" s="6" t="s">
        <v>34</v>
      </c>
      <c r="I4082" s="8" t="s">
        <v>253</v>
      </c>
      <c r="J4082" s="9">
        <v>1</v>
      </c>
      <c r="K4082" s="9">
        <v>454</v>
      </c>
      <c r="L4082" s="9">
        <v>2026</v>
      </c>
      <c r="M4082" s="8" t="s">
        <v>23724</v>
      </c>
      <c r="N4082" s="8" t="s">
        <v>243</v>
      </c>
      <c r="O4082" s="8" t="s">
        <v>385</v>
      </c>
      <c r="P4082" s="6" t="s">
        <v>95</v>
      </c>
      <c r="Q4082" s="8" t="s">
        <v>1349</v>
      </c>
      <c r="R4082" s="10" t="s">
        <v>23725</v>
      </c>
      <c r="S4082" s="11"/>
      <c r="T4082" s="6"/>
      <c r="U4082" s="15" t="str">
        <f>HYPERLINK("https://media.infra-m.ru/2221/2221056/cover/2221056.jpg", "Обложка")</f>
        <v>Обложка</v>
      </c>
      <c r="V4082" s="8" t="s">
        <v>18536</v>
      </c>
      <c r="W4082" s="6"/>
      <c r="X4082" s="6"/>
      <c r="Y4082" s="6"/>
      <c r="Z4082" s="6"/>
      <c r="AA4082" s="6" t="s">
        <v>115</v>
      </c>
      <c r="AB4082" s="8"/>
      <c r="AC4082" s="27">
        <v>9785160207292</v>
      </c>
    </row>
    <row r="4083" spans="1:29" s="4" customFormat="1" ht="42" customHeight="1" x14ac:dyDescent="0.2">
      <c r="A4083" s="5">
        <v>0</v>
      </c>
      <c r="B4083" s="6" t="s">
        <v>23726</v>
      </c>
      <c r="C4083" s="7">
        <v>1798.8</v>
      </c>
      <c r="D4083" s="8" t="s">
        <v>23727</v>
      </c>
      <c r="E4083" s="8" t="s">
        <v>23728</v>
      </c>
      <c r="F4083" s="8" t="s">
        <v>1479</v>
      </c>
      <c r="G4083" s="6" t="s">
        <v>118</v>
      </c>
      <c r="H4083" s="6" t="s">
        <v>34</v>
      </c>
      <c r="I4083" s="8" t="s">
        <v>288</v>
      </c>
      <c r="J4083" s="9">
        <v>1</v>
      </c>
      <c r="K4083" s="9">
        <v>255</v>
      </c>
      <c r="L4083" s="9">
        <v>2026</v>
      </c>
      <c r="M4083" s="8" t="s">
        <v>23729</v>
      </c>
      <c r="N4083" s="8" t="s">
        <v>37</v>
      </c>
      <c r="O4083" s="8" t="s">
        <v>290</v>
      </c>
      <c r="P4083" s="6" t="s">
        <v>51</v>
      </c>
      <c r="Q4083" s="8" t="s">
        <v>65</v>
      </c>
      <c r="R4083" s="10" t="s">
        <v>9801</v>
      </c>
      <c r="S4083" s="11"/>
      <c r="T4083" s="6"/>
      <c r="U4083" s="15" t="str">
        <f>HYPERLINK("https://media.infra-m.ru/2221/2221478/cover/2221478.jpg", "Обложка")</f>
        <v>Обложка</v>
      </c>
      <c r="V4083" s="8" t="s">
        <v>1483</v>
      </c>
      <c r="W4083" s="6"/>
      <c r="X4083" s="6"/>
      <c r="Y4083" s="6"/>
      <c r="Z4083" s="6"/>
      <c r="AA4083" s="6" t="s">
        <v>148</v>
      </c>
      <c r="AB4083" s="8"/>
      <c r="AC4083" s="27">
        <v>9785160178110</v>
      </c>
    </row>
    <row r="4084" spans="1:29" s="4" customFormat="1" ht="42" customHeight="1" x14ac:dyDescent="0.2">
      <c r="A4084" s="5">
        <v>0</v>
      </c>
      <c r="B4084" s="6" t="s">
        <v>23730</v>
      </c>
      <c r="C4084" s="7">
        <v>1704</v>
      </c>
      <c r="D4084" s="8" t="s">
        <v>23731</v>
      </c>
      <c r="E4084" s="8" t="s">
        <v>23732</v>
      </c>
      <c r="F4084" s="8" t="s">
        <v>10260</v>
      </c>
      <c r="G4084" s="6" t="s">
        <v>33</v>
      </c>
      <c r="H4084" s="6" t="s">
        <v>34</v>
      </c>
      <c r="I4084" s="8" t="s">
        <v>35</v>
      </c>
      <c r="J4084" s="9">
        <v>1</v>
      </c>
      <c r="K4084" s="9">
        <v>373</v>
      </c>
      <c r="L4084" s="9">
        <v>2022</v>
      </c>
      <c r="M4084" s="8" t="s">
        <v>23733</v>
      </c>
      <c r="N4084" s="8" t="s">
        <v>585</v>
      </c>
      <c r="O4084" s="8" t="s">
        <v>586</v>
      </c>
      <c r="P4084" s="6" t="s">
        <v>39</v>
      </c>
      <c r="Q4084" s="8" t="s">
        <v>40</v>
      </c>
      <c r="R4084" s="10" t="s">
        <v>23734</v>
      </c>
      <c r="S4084" s="11"/>
      <c r="T4084" s="6"/>
      <c r="U4084" s="15" t="str">
        <f>HYPERLINK("https://media.infra-m.ru/1831/1831655/cover/1831655.jpg", "Обложка")</f>
        <v>Обложка</v>
      </c>
      <c r="V4084" s="8" t="s">
        <v>10263</v>
      </c>
      <c r="W4084" s="6"/>
      <c r="X4084" s="6"/>
      <c r="Y4084" s="6"/>
      <c r="Z4084" s="6"/>
      <c r="AA4084" s="6" t="s">
        <v>148</v>
      </c>
      <c r="AB4084" s="8"/>
      <c r="AC4084" s="27">
        <v>9785160172231</v>
      </c>
    </row>
    <row r="4085" spans="1:29" s="4" customFormat="1" ht="51.9" customHeight="1" x14ac:dyDescent="0.2">
      <c r="A4085" s="5">
        <v>0</v>
      </c>
      <c r="B4085" s="6" t="s">
        <v>23735</v>
      </c>
      <c r="C4085" s="7">
        <v>1872</v>
      </c>
      <c r="D4085" s="8" t="s">
        <v>23736</v>
      </c>
      <c r="E4085" s="8" t="s">
        <v>23737</v>
      </c>
      <c r="F4085" s="8" t="s">
        <v>23738</v>
      </c>
      <c r="G4085" s="6" t="s">
        <v>118</v>
      </c>
      <c r="H4085" s="6" t="s">
        <v>34</v>
      </c>
      <c r="I4085" s="8" t="s">
        <v>271</v>
      </c>
      <c r="J4085" s="9">
        <v>1</v>
      </c>
      <c r="K4085" s="9">
        <v>345</v>
      </c>
      <c r="L4085" s="9">
        <v>2023</v>
      </c>
      <c r="M4085" s="8" t="s">
        <v>23739</v>
      </c>
      <c r="N4085" s="8" t="s">
        <v>585</v>
      </c>
      <c r="O4085" s="8" t="s">
        <v>775</v>
      </c>
      <c r="P4085" s="6" t="s">
        <v>306</v>
      </c>
      <c r="Q4085" s="8" t="s">
        <v>52</v>
      </c>
      <c r="R4085" s="10" t="s">
        <v>23740</v>
      </c>
      <c r="S4085" s="11" t="s">
        <v>23741</v>
      </c>
      <c r="T4085" s="6" t="s">
        <v>97</v>
      </c>
      <c r="U4085" s="15" t="str">
        <f>HYPERLINK("https://media.infra-m.ru/1971/1971059/cover/1971059.jpg", "Обложка")</f>
        <v>Обложка</v>
      </c>
      <c r="V4085" s="8" t="s">
        <v>18741</v>
      </c>
      <c r="W4085" s="6"/>
      <c r="X4085" s="6"/>
      <c r="Y4085" s="6"/>
      <c r="Z4085" s="6"/>
      <c r="AA4085" s="6" t="s">
        <v>115</v>
      </c>
      <c r="AB4085" s="8"/>
      <c r="AC4085" s="27">
        <v>9785160141534</v>
      </c>
    </row>
    <row r="4086" spans="1:29" s="4" customFormat="1" ht="51.9" customHeight="1" x14ac:dyDescent="0.2">
      <c r="A4086" s="5">
        <v>0</v>
      </c>
      <c r="B4086" s="6" t="s">
        <v>23742</v>
      </c>
      <c r="C4086" s="7">
        <v>1068</v>
      </c>
      <c r="D4086" s="8" t="s">
        <v>23743</v>
      </c>
      <c r="E4086" s="8" t="s">
        <v>23737</v>
      </c>
      <c r="F4086" s="8" t="s">
        <v>23744</v>
      </c>
      <c r="G4086" s="6" t="s">
        <v>118</v>
      </c>
      <c r="H4086" s="6" t="s">
        <v>48</v>
      </c>
      <c r="I4086" s="8"/>
      <c r="J4086" s="9">
        <v>1</v>
      </c>
      <c r="K4086" s="9">
        <v>192</v>
      </c>
      <c r="L4086" s="9">
        <v>2023</v>
      </c>
      <c r="M4086" s="8" t="s">
        <v>23745</v>
      </c>
      <c r="N4086" s="8" t="s">
        <v>585</v>
      </c>
      <c r="O4086" s="8" t="s">
        <v>775</v>
      </c>
      <c r="P4086" s="6" t="s">
        <v>51</v>
      </c>
      <c r="Q4086" s="8" t="s">
        <v>52</v>
      </c>
      <c r="R4086" s="10" t="s">
        <v>23746</v>
      </c>
      <c r="S4086" s="11" t="s">
        <v>23747</v>
      </c>
      <c r="T4086" s="6"/>
      <c r="U4086" s="15" t="str">
        <f>HYPERLINK("https://media.infra-m.ru/2124/2124366/cover/2124366.jpg", "Обложка")</f>
        <v>Обложка</v>
      </c>
      <c r="V4086" s="8" t="s">
        <v>809</v>
      </c>
      <c r="W4086" s="6"/>
      <c r="X4086" s="6"/>
      <c r="Y4086" s="6"/>
      <c r="Z4086" s="6"/>
      <c r="AA4086" s="6" t="s">
        <v>129</v>
      </c>
      <c r="AB4086" s="8"/>
      <c r="AC4086" s="27">
        <v>9785911344627</v>
      </c>
    </row>
    <row r="4087" spans="1:29" s="4" customFormat="1" ht="51.9" customHeight="1" x14ac:dyDescent="0.2">
      <c r="A4087" s="5">
        <v>0</v>
      </c>
      <c r="B4087" s="6" t="s">
        <v>23748</v>
      </c>
      <c r="C4087" s="7">
        <v>2152.8000000000002</v>
      </c>
      <c r="D4087" s="8" t="s">
        <v>23749</v>
      </c>
      <c r="E4087" s="8" t="s">
        <v>23737</v>
      </c>
      <c r="F4087" s="8" t="s">
        <v>23750</v>
      </c>
      <c r="G4087" s="6" t="s">
        <v>118</v>
      </c>
      <c r="H4087" s="6" t="s">
        <v>34</v>
      </c>
      <c r="I4087" s="8" t="s">
        <v>271</v>
      </c>
      <c r="J4087" s="9">
        <v>1</v>
      </c>
      <c r="K4087" s="9">
        <v>390</v>
      </c>
      <c r="L4087" s="9">
        <v>2024</v>
      </c>
      <c r="M4087" s="8" t="s">
        <v>23751</v>
      </c>
      <c r="N4087" s="8" t="s">
        <v>585</v>
      </c>
      <c r="O4087" s="8" t="s">
        <v>775</v>
      </c>
      <c r="P4087" s="6" t="s">
        <v>51</v>
      </c>
      <c r="Q4087" s="8" t="s">
        <v>52</v>
      </c>
      <c r="R4087" s="10" t="s">
        <v>23752</v>
      </c>
      <c r="S4087" s="11" t="s">
        <v>23753</v>
      </c>
      <c r="T4087" s="6"/>
      <c r="U4087" s="15" t="str">
        <f>HYPERLINK("https://media.infra-m.ru/2112/2112518/cover/2112518.jpg", "Обложка")</f>
        <v>Обложка</v>
      </c>
      <c r="V4087" s="8" t="s">
        <v>6224</v>
      </c>
      <c r="W4087" s="6"/>
      <c r="X4087" s="6"/>
      <c r="Y4087" s="6"/>
      <c r="Z4087" s="6"/>
      <c r="AA4087" s="6" t="s">
        <v>43</v>
      </c>
      <c r="AB4087" s="8"/>
      <c r="AC4087" s="27">
        <v>9785160051482</v>
      </c>
    </row>
    <row r="4088" spans="1:29" s="4" customFormat="1" ht="42" customHeight="1" x14ac:dyDescent="0.2">
      <c r="A4088" s="5">
        <v>0</v>
      </c>
      <c r="B4088" s="6" t="s">
        <v>23754</v>
      </c>
      <c r="C4088" s="7">
        <v>1204.8</v>
      </c>
      <c r="D4088" s="8" t="s">
        <v>23755</v>
      </c>
      <c r="E4088" s="8" t="s">
        <v>23756</v>
      </c>
      <c r="F4088" s="8" t="s">
        <v>23757</v>
      </c>
      <c r="G4088" s="6" t="s">
        <v>33</v>
      </c>
      <c r="H4088" s="6" t="s">
        <v>34</v>
      </c>
      <c r="I4088" s="8" t="s">
        <v>457</v>
      </c>
      <c r="J4088" s="9">
        <v>1</v>
      </c>
      <c r="K4088" s="9">
        <v>182</v>
      </c>
      <c r="L4088" s="9">
        <v>2026</v>
      </c>
      <c r="M4088" s="8" t="s">
        <v>23758</v>
      </c>
      <c r="N4088" s="8" t="s">
        <v>243</v>
      </c>
      <c r="O4088" s="8" t="s">
        <v>244</v>
      </c>
      <c r="P4088" s="6" t="s">
        <v>39</v>
      </c>
      <c r="Q4088" s="8" t="s">
        <v>40</v>
      </c>
      <c r="R4088" s="10" t="s">
        <v>14616</v>
      </c>
      <c r="S4088" s="11"/>
      <c r="T4088" s="6"/>
      <c r="U4088" s="15" t="str">
        <f>HYPERLINK("https://media.infra-m.ru/2238/2238266/cover/2238266.jpg", "Обложка")</f>
        <v>Обложка</v>
      </c>
      <c r="V4088" s="8" t="s">
        <v>546</v>
      </c>
      <c r="W4088" s="6"/>
      <c r="X4088" s="6"/>
      <c r="Y4088" s="6"/>
      <c r="Z4088" s="6"/>
      <c r="AA4088" s="6" t="s">
        <v>1256</v>
      </c>
      <c r="AB4088" s="8"/>
      <c r="AC4088" s="27">
        <v>9785160149202</v>
      </c>
    </row>
    <row r="4089" spans="1:29" s="4" customFormat="1" ht="44.1" customHeight="1" x14ac:dyDescent="0.2">
      <c r="A4089" s="5">
        <v>0</v>
      </c>
      <c r="B4089" s="6" t="s">
        <v>23759</v>
      </c>
      <c r="C4089" s="7">
        <v>1008</v>
      </c>
      <c r="D4089" s="8" t="s">
        <v>23760</v>
      </c>
      <c r="E4089" s="8" t="s">
        <v>23761</v>
      </c>
      <c r="F4089" s="8" t="s">
        <v>23762</v>
      </c>
      <c r="G4089" s="6" t="s">
        <v>33</v>
      </c>
      <c r="H4089" s="6" t="s">
        <v>34</v>
      </c>
      <c r="I4089" s="8" t="s">
        <v>35</v>
      </c>
      <c r="J4089" s="9">
        <v>1</v>
      </c>
      <c r="K4089" s="9">
        <v>145</v>
      </c>
      <c r="L4089" s="9">
        <v>2026</v>
      </c>
      <c r="M4089" s="8" t="s">
        <v>23763</v>
      </c>
      <c r="N4089" s="8" t="s">
        <v>93</v>
      </c>
      <c r="O4089" s="8" t="s">
        <v>94</v>
      </c>
      <c r="P4089" s="6" t="s">
        <v>39</v>
      </c>
      <c r="Q4089" s="8" t="s">
        <v>40</v>
      </c>
      <c r="R4089" s="10" t="s">
        <v>23764</v>
      </c>
      <c r="S4089" s="11"/>
      <c r="T4089" s="6"/>
      <c r="U4089" s="15" t="str">
        <f>HYPERLINK("https://media.infra-m.ru/2265/2265344/cover/2265344.jpg", "Обложка")</f>
        <v>Обложка</v>
      </c>
      <c r="V4089" s="8" t="s">
        <v>10238</v>
      </c>
      <c r="W4089" s="6"/>
      <c r="X4089" s="6"/>
      <c r="Y4089" s="6"/>
      <c r="Z4089" s="6"/>
      <c r="AA4089" s="6" t="s">
        <v>86</v>
      </c>
      <c r="AB4089" s="8"/>
      <c r="AC4089" s="27">
        <v>9785160136561</v>
      </c>
    </row>
    <row r="4090" spans="1:29" s="4" customFormat="1" ht="42" customHeight="1" x14ac:dyDescent="0.2">
      <c r="A4090" s="5">
        <v>0</v>
      </c>
      <c r="B4090" s="6" t="s">
        <v>23765</v>
      </c>
      <c r="C4090" s="7">
        <v>1644</v>
      </c>
      <c r="D4090" s="8" t="s">
        <v>23766</v>
      </c>
      <c r="E4090" s="8" t="s">
        <v>23767</v>
      </c>
      <c r="F4090" s="8" t="s">
        <v>23768</v>
      </c>
      <c r="G4090" s="6" t="s">
        <v>60</v>
      </c>
      <c r="H4090" s="6" t="s">
        <v>34</v>
      </c>
      <c r="I4090" s="8" t="s">
        <v>35</v>
      </c>
      <c r="J4090" s="9">
        <v>1</v>
      </c>
      <c r="K4090" s="9">
        <v>290</v>
      </c>
      <c r="L4090" s="9">
        <v>2024</v>
      </c>
      <c r="M4090" s="8" t="s">
        <v>23769</v>
      </c>
      <c r="N4090" s="8" t="s">
        <v>37</v>
      </c>
      <c r="O4090" s="8" t="s">
        <v>136</v>
      </c>
      <c r="P4090" s="6" t="s">
        <v>39</v>
      </c>
      <c r="Q4090" s="8" t="s">
        <v>40</v>
      </c>
      <c r="R4090" s="10" t="s">
        <v>684</v>
      </c>
      <c r="S4090" s="11"/>
      <c r="T4090" s="6"/>
      <c r="U4090" s="15" t="str">
        <f>HYPERLINK("https://media.infra-m.ru/2074/2074248/cover/2074248.jpg", "Обложка")</f>
        <v>Обложка</v>
      </c>
      <c r="V4090" s="8" t="s">
        <v>23770</v>
      </c>
      <c r="W4090" s="6"/>
      <c r="X4090" s="6"/>
      <c r="Y4090" s="6"/>
      <c r="Z4090" s="6"/>
      <c r="AA4090" s="6" t="s">
        <v>76</v>
      </c>
      <c r="AB4090" s="8"/>
      <c r="AC4090" s="27">
        <v>9785160188737</v>
      </c>
    </row>
    <row r="4091" spans="1:29" s="4" customFormat="1" ht="51.9" customHeight="1" x14ac:dyDescent="0.2">
      <c r="A4091" s="5">
        <v>0</v>
      </c>
      <c r="B4091" s="6" t="s">
        <v>23771</v>
      </c>
      <c r="C4091" s="7">
        <v>3544.8</v>
      </c>
      <c r="D4091" s="8" t="s">
        <v>23772</v>
      </c>
      <c r="E4091" s="8" t="s">
        <v>23773</v>
      </c>
      <c r="F4091" s="8" t="s">
        <v>661</v>
      </c>
      <c r="G4091" s="6" t="s">
        <v>60</v>
      </c>
      <c r="H4091" s="6" t="s">
        <v>34</v>
      </c>
      <c r="I4091" s="8" t="s">
        <v>3538</v>
      </c>
      <c r="J4091" s="9">
        <v>1</v>
      </c>
      <c r="K4091" s="9">
        <v>510</v>
      </c>
      <c r="L4091" s="9">
        <v>2027</v>
      </c>
      <c r="M4091" s="8" t="s">
        <v>23774</v>
      </c>
      <c r="N4091" s="8" t="s">
        <v>93</v>
      </c>
      <c r="O4091" s="8" t="s">
        <v>94</v>
      </c>
      <c r="P4091" s="6" t="s">
        <v>234</v>
      </c>
      <c r="Q4091" s="8" t="s">
        <v>1660</v>
      </c>
      <c r="R4091" s="10" t="s">
        <v>23775</v>
      </c>
      <c r="S4091" s="11" t="s">
        <v>23776</v>
      </c>
      <c r="T4091" s="6" t="s">
        <v>97</v>
      </c>
      <c r="U4091" s="15" t="str">
        <f>HYPERLINK("https://media.infra-m.ru/2263/2263548/cover/2263548.jpg", "Обложка")</f>
        <v>Обложка</v>
      </c>
      <c r="V4091" s="8" t="s">
        <v>3196</v>
      </c>
      <c r="W4091" s="6"/>
      <c r="X4091" s="6"/>
      <c r="Y4091" s="6"/>
      <c r="Z4091" s="6"/>
      <c r="AA4091" s="6" t="s">
        <v>4023</v>
      </c>
      <c r="AB4091" s="8"/>
      <c r="AC4091" s="27">
        <v>9785160179087</v>
      </c>
    </row>
    <row r="4092" spans="1:29" s="4" customFormat="1" ht="51.9" customHeight="1" x14ac:dyDescent="0.2">
      <c r="A4092" s="5">
        <v>0</v>
      </c>
      <c r="B4092" s="6" t="s">
        <v>23777</v>
      </c>
      <c r="C4092" s="7">
        <v>2177.9</v>
      </c>
      <c r="D4092" s="8" t="s">
        <v>23778</v>
      </c>
      <c r="E4092" s="8" t="s">
        <v>23779</v>
      </c>
      <c r="F4092" s="8" t="s">
        <v>9977</v>
      </c>
      <c r="G4092" s="6" t="s">
        <v>60</v>
      </c>
      <c r="H4092" s="6" t="s">
        <v>34</v>
      </c>
      <c r="I4092" s="8" t="s">
        <v>3538</v>
      </c>
      <c r="J4092" s="9">
        <v>1</v>
      </c>
      <c r="K4092" s="9">
        <v>477</v>
      </c>
      <c r="L4092" s="9">
        <v>2022</v>
      </c>
      <c r="M4092" s="8" t="s">
        <v>23780</v>
      </c>
      <c r="N4092" s="8" t="s">
        <v>37</v>
      </c>
      <c r="O4092" s="8" t="s">
        <v>280</v>
      </c>
      <c r="P4092" s="6" t="s">
        <v>234</v>
      </c>
      <c r="Q4092" s="8" t="s">
        <v>1660</v>
      </c>
      <c r="R4092" s="10" t="s">
        <v>23775</v>
      </c>
      <c r="S4092" s="11" t="s">
        <v>23781</v>
      </c>
      <c r="T4092" s="6"/>
      <c r="U4092" s="15" t="str">
        <f>HYPERLINK("https://media.infra-m.ru/1843/1843621/cover/1843621.jpg", "Обложка")</f>
        <v>Обложка</v>
      </c>
      <c r="V4092" s="8" t="s">
        <v>3196</v>
      </c>
      <c r="W4092" s="6"/>
      <c r="X4092" s="6"/>
      <c r="Y4092" s="6"/>
      <c r="Z4092" s="6"/>
      <c r="AA4092" s="6" t="s">
        <v>769</v>
      </c>
      <c r="AB4092" s="8"/>
      <c r="AC4092" s="27">
        <v>9785160050850</v>
      </c>
    </row>
    <row r="4093" spans="1:29" s="4" customFormat="1" ht="51.9" customHeight="1" x14ac:dyDescent="0.2">
      <c r="A4093" s="5">
        <v>0</v>
      </c>
      <c r="B4093" s="6" t="s">
        <v>23782</v>
      </c>
      <c r="C4093" s="7">
        <v>1536</v>
      </c>
      <c r="D4093" s="8" t="s">
        <v>23783</v>
      </c>
      <c r="E4093" s="8" t="s">
        <v>23784</v>
      </c>
      <c r="F4093" s="8" t="s">
        <v>23785</v>
      </c>
      <c r="G4093" s="6" t="s">
        <v>60</v>
      </c>
      <c r="H4093" s="6" t="s">
        <v>34</v>
      </c>
      <c r="I4093" s="8" t="s">
        <v>253</v>
      </c>
      <c r="J4093" s="9">
        <v>1</v>
      </c>
      <c r="K4093" s="9">
        <v>236</v>
      </c>
      <c r="L4093" s="9">
        <v>2025</v>
      </c>
      <c r="M4093" s="8" t="s">
        <v>23786</v>
      </c>
      <c r="N4093" s="8" t="s">
        <v>37</v>
      </c>
      <c r="O4093" s="8" t="s">
        <v>233</v>
      </c>
      <c r="P4093" s="6" t="s">
        <v>51</v>
      </c>
      <c r="Q4093" s="8" t="s">
        <v>500</v>
      </c>
      <c r="R4093" s="10" t="s">
        <v>23787</v>
      </c>
      <c r="S4093" s="11"/>
      <c r="T4093" s="6"/>
      <c r="U4093" s="15" t="str">
        <f>HYPERLINK("https://media.infra-m.ru/2146/2146048/cover/2146048.jpg", "Обложка")</f>
        <v>Обложка</v>
      </c>
      <c r="V4093" s="8" t="s">
        <v>13059</v>
      </c>
      <c r="W4093" s="6"/>
      <c r="X4093" s="6"/>
      <c r="Y4093" s="6"/>
      <c r="Z4093" s="6"/>
      <c r="AA4093" s="6" t="s">
        <v>68</v>
      </c>
      <c r="AB4093" s="8"/>
      <c r="AC4093" s="27">
        <v>9785160199344</v>
      </c>
    </row>
    <row r="4094" spans="1:29" s="4" customFormat="1" ht="44.1" customHeight="1" x14ac:dyDescent="0.2">
      <c r="A4094" s="5">
        <v>0</v>
      </c>
      <c r="B4094" s="6" t="s">
        <v>23788</v>
      </c>
      <c r="C4094" s="7">
        <v>1224</v>
      </c>
      <c r="D4094" s="8" t="s">
        <v>23789</v>
      </c>
      <c r="E4094" s="8" t="s">
        <v>23790</v>
      </c>
      <c r="F4094" s="8" t="s">
        <v>23791</v>
      </c>
      <c r="G4094" s="6" t="s">
        <v>60</v>
      </c>
      <c r="H4094" s="6" t="s">
        <v>34</v>
      </c>
      <c r="I4094" s="8" t="s">
        <v>1248</v>
      </c>
      <c r="J4094" s="9">
        <v>1</v>
      </c>
      <c r="K4094" s="9">
        <v>215</v>
      </c>
      <c r="L4094" s="9">
        <v>2024</v>
      </c>
      <c r="M4094" s="8" t="s">
        <v>23792</v>
      </c>
      <c r="N4094" s="8" t="s">
        <v>224</v>
      </c>
      <c r="O4094" s="8" t="s">
        <v>225</v>
      </c>
      <c r="P4094" s="6" t="s">
        <v>51</v>
      </c>
      <c r="Q4094" s="8" t="s">
        <v>65</v>
      </c>
      <c r="R4094" s="10" t="s">
        <v>23793</v>
      </c>
      <c r="S4094" s="11"/>
      <c r="T4094" s="6"/>
      <c r="U4094" s="15" t="str">
        <f>HYPERLINK("https://media.infra-m.ru/2130/2130478/cover/2130478.jpg", "Обложка")</f>
        <v>Обложка</v>
      </c>
      <c r="V4094" s="8" t="s">
        <v>1083</v>
      </c>
      <c r="W4094" s="6"/>
      <c r="X4094" s="6"/>
      <c r="Y4094" s="6"/>
      <c r="Z4094" s="6"/>
      <c r="AA4094" s="6" t="s">
        <v>76</v>
      </c>
      <c r="AB4094" s="8"/>
      <c r="AC4094" s="27">
        <v>9785160195896</v>
      </c>
    </row>
    <row r="4095" spans="1:29" s="4" customFormat="1" ht="44.1" customHeight="1" x14ac:dyDescent="0.2">
      <c r="A4095" s="5">
        <v>0</v>
      </c>
      <c r="B4095" s="6" t="s">
        <v>23794</v>
      </c>
      <c r="C4095" s="7">
        <v>1068</v>
      </c>
      <c r="D4095" s="8" t="s">
        <v>23795</v>
      </c>
      <c r="E4095" s="8" t="s">
        <v>23796</v>
      </c>
      <c r="F4095" s="8" t="s">
        <v>23797</v>
      </c>
      <c r="G4095" s="6" t="s">
        <v>60</v>
      </c>
      <c r="H4095" s="6" t="s">
        <v>34</v>
      </c>
      <c r="I4095" s="8" t="s">
        <v>1074</v>
      </c>
      <c r="J4095" s="9">
        <v>1</v>
      </c>
      <c r="K4095" s="9">
        <v>184</v>
      </c>
      <c r="L4095" s="9">
        <v>2023</v>
      </c>
      <c r="M4095" s="8" t="s">
        <v>23798</v>
      </c>
      <c r="N4095" s="8" t="s">
        <v>37</v>
      </c>
      <c r="O4095" s="8" t="s">
        <v>136</v>
      </c>
      <c r="P4095" s="6" t="s">
        <v>683</v>
      </c>
      <c r="Q4095" s="8" t="s">
        <v>40</v>
      </c>
      <c r="R4095" s="10" t="s">
        <v>23799</v>
      </c>
      <c r="S4095" s="11"/>
      <c r="T4095" s="6"/>
      <c r="U4095" s="15" t="str">
        <f>HYPERLINK("https://media.infra-m.ru/1913/1913257/cover/1913257.jpg", "Обложка")</f>
        <v>Обложка</v>
      </c>
      <c r="V4095" s="8" t="s">
        <v>138</v>
      </c>
      <c r="W4095" s="6"/>
      <c r="X4095" s="6"/>
      <c r="Y4095" s="6"/>
      <c r="Z4095" s="6"/>
      <c r="AA4095" s="6" t="s">
        <v>157</v>
      </c>
      <c r="AB4095" s="8"/>
      <c r="AC4095" s="27">
        <v>9785160181424</v>
      </c>
    </row>
    <row r="4096" spans="1:29" s="4" customFormat="1" ht="51.9" customHeight="1" x14ac:dyDescent="0.2">
      <c r="A4096" s="5">
        <v>0</v>
      </c>
      <c r="B4096" s="6" t="s">
        <v>23800</v>
      </c>
      <c r="C4096" s="7">
        <v>1104</v>
      </c>
      <c r="D4096" s="8" t="s">
        <v>23801</v>
      </c>
      <c r="E4096" s="8" t="s">
        <v>23802</v>
      </c>
      <c r="F4096" s="8" t="s">
        <v>23803</v>
      </c>
      <c r="G4096" s="6" t="s">
        <v>60</v>
      </c>
      <c r="H4096" s="6" t="s">
        <v>34</v>
      </c>
      <c r="I4096" s="8" t="s">
        <v>1074</v>
      </c>
      <c r="J4096" s="9">
        <v>1</v>
      </c>
      <c r="K4096" s="9">
        <v>192</v>
      </c>
      <c r="L4096" s="9">
        <v>2023</v>
      </c>
      <c r="M4096" s="8" t="s">
        <v>23804</v>
      </c>
      <c r="N4096" s="8" t="s">
        <v>37</v>
      </c>
      <c r="O4096" s="8" t="s">
        <v>136</v>
      </c>
      <c r="P4096" s="6" t="s">
        <v>683</v>
      </c>
      <c r="Q4096" s="8" t="s">
        <v>40</v>
      </c>
      <c r="R4096" s="10" t="s">
        <v>23805</v>
      </c>
      <c r="S4096" s="11"/>
      <c r="T4096" s="6"/>
      <c r="U4096" s="15" t="str">
        <f>HYPERLINK("https://media.infra-m.ru/1913/1913261/cover/1913261.jpg", "Обложка")</f>
        <v>Обложка</v>
      </c>
      <c r="V4096" s="8" t="s">
        <v>138</v>
      </c>
      <c r="W4096" s="6"/>
      <c r="X4096" s="6"/>
      <c r="Y4096" s="6"/>
      <c r="Z4096" s="6"/>
      <c r="AA4096" s="6" t="s">
        <v>157</v>
      </c>
      <c r="AB4096" s="8"/>
      <c r="AC4096" s="27">
        <v>9785160181431</v>
      </c>
    </row>
    <row r="4097" spans="1:29" s="4" customFormat="1" ht="44.1" customHeight="1" x14ac:dyDescent="0.2">
      <c r="A4097" s="5">
        <v>0</v>
      </c>
      <c r="B4097" s="6" t="s">
        <v>23806</v>
      </c>
      <c r="C4097" s="7">
        <v>1500</v>
      </c>
      <c r="D4097" s="8" t="s">
        <v>23807</v>
      </c>
      <c r="E4097" s="8" t="s">
        <v>23808</v>
      </c>
      <c r="F4097" s="8" t="s">
        <v>23809</v>
      </c>
      <c r="G4097" s="6" t="s">
        <v>33</v>
      </c>
      <c r="H4097" s="6" t="s">
        <v>34</v>
      </c>
      <c r="I4097" s="8" t="s">
        <v>35</v>
      </c>
      <c r="J4097" s="9">
        <v>1</v>
      </c>
      <c r="K4097" s="9">
        <v>279</v>
      </c>
      <c r="L4097" s="9">
        <v>2023</v>
      </c>
      <c r="M4097" s="8" t="s">
        <v>23810</v>
      </c>
      <c r="N4097" s="8" t="s">
        <v>243</v>
      </c>
      <c r="O4097" s="8" t="s">
        <v>1100</v>
      </c>
      <c r="P4097" s="6" t="s">
        <v>39</v>
      </c>
      <c r="Q4097" s="8" t="s">
        <v>40</v>
      </c>
      <c r="R4097" s="10" t="s">
        <v>1163</v>
      </c>
      <c r="S4097" s="11"/>
      <c r="T4097" s="6" t="s">
        <v>97</v>
      </c>
      <c r="U4097" s="15" t="str">
        <f>HYPERLINK("https://media.infra-m.ru/1970/1970297/cover/1970297.jpg", "Обложка")</f>
        <v>Обложка</v>
      </c>
      <c r="V4097" s="8" t="s">
        <v>1030</v>
      </c>
      <c r="W4097" s="6"/>
      <c r="X4097" s="6"/>
      <c r="Y4097" s="6"/>
      <c r="Z4097" s="6"/>
      <c r="AA4097" s="6" t="s">
        <v>115</v>
      </c>
      <c r="AB4097" s="8"/>
      <c r="AC4097" s="27">
        <v>9785160148052</v>
      </c>
    </row>
    <row r="4098" spans="1:29" s="4" customFormat="1" ht="42" customHeight="1" x14ac:dyDescent="0.2">
      <c r="A4098" s="5">
        <v>0</v>
      </c>
      <c r="B4098" s="6" t="s">
        <v>23811</v>
      </c>
      <c r="C4098" s="13">
        <v>900</v>
      </c>
      <c r="D4098" s="8" t="s">
        <v>23812</v>
      </c>
      <c r="E4098" s="8" t="s">
        <v>23813</v>
      </c>
      <c r="F4098" s="8" t="s">
        <v>23814</v>
      </c>
      <c r="G4098" s="6" t="s">
        <v>118</v>
      </c>
      <c r="H4098" s="6" t="s">
        <v>34</v>
      </c>
      <c r="I4098" s="8" t="s">
        <v>35</v>
      </c>
      <c r="J4098" s="9">
        <v>1</v>
      </c>
      <c r="K4098" s="9">
        <v>123</v>
      </c>
      <c r="L4098" s="9">
        <v>2025</v>
      </c>
      <c r="M4098" s="8" t="s">
        <v>23815</v>
      </c>
      <c r="N4098" s="8" t="s">
        <v>243</v>
      </c>
      <c r="O4098" s="8" t="s">
        <v>964</v>
      </c>
      <c r="P4098" s="6" t="s">
        <v>39</v>
      </c>
      <c r="Q4098" s="8" t="s">
        <v>65</v>
      </c>
      <c r="R4098" s="10" t="s">
        <v>23816</v>
      </c>
      <c r="S4098" s="11"/>
      <c r="T4098" s="6"/>
      <c r="U4098" s="15" t="str">
        <f>HYPERLINK("https://media.infra-m.ru/2211/2211117/cover/2211117.jpg", "Обложка")</f>
        <v>Обложка</v>
      </c>
      <c r="V4098" s="8" t="s">
        <v>3595</v>
      </c>
      <c r="W4098" s="6"/>
      <c r="X4098" s="6"/>
      <c r="Y4098" s="6"/>
      <c r="Z4098" s="6"/>
      <c r="AA4098" s="6" t="s">
        <v>157</v>
      </c>
      <c r="AB4098" s="8"/>
      <c r="AC4098" s="27">
        <v>9785160178233</v>
      </c>
    </row>
    <row r="4099" spans="1:29" s="4" customFormat="1" ht="44.1" customHeight="1" x14ac:dyDescent="0.2">
      <c r="A4099" s="5">
        <v>0</v>
      </c>
      <c r="B4099" s="6" t="s">
        <v>23817</v>
      </c>
      <c r="C4099" s="13">
        <v>892.8</v>
      </c>
      <c r="D4099" s="8" t="s">
        <v>23818</v>
      </c>
      <c r="E4099" s="8" t="s">
        <v>23819</v>
      </c>
      <c r="F4099" s="8" t="s">
        <v>23820</v>
      </c>
      <c r="G4099" s="6" t="s">
        <v>33</v>
      </c>
      <c r="H4099" s="6" t="s">
        <v>134</v>
      </c>
      <c r="I4099" s="8"/>
      <c r="J4099" s="9">
        <v>1</v>
      </c>
      <c r="K4099" s="9">
        <v>160</v>
      </c>
      <c r="L4099" s="9">
        <v>2024</v>
      </c>
      <c r="M4099" s="8" t="s">
        <v>23821</v>
      </c>
      <c r="N4099" s="8" t="s">
        <v>37</v>
      </c>
      <c r="O4099" s="8" t="s">
        <v>136</v>
      </c>
      <c r="P4099" s="6" t="s">
        <v>3141</v>
      </c>
      <c r="Q4099" s="8" t="s">
        <v>749</v>
      </c>
      <c r="R4099" s="10" t="s">
        <v>1625</v>
      </c>
      <c r="S4099" s="11"/>
      <c r="T4099" s="6"/>
      <c r="U4099" s="15" t="str">
        <f>HYPERLINK("https://media.infra-m.ru/1913/1913003/cover/1913003.jpg", "Обложка")</f>
        <v>Обложка</v>
      </c>
      <c r="V4099" s="8" t="s">
        <v>1184</v>
      </c>
      <c r="W4099" s="6"/>
      <c r="X4099" s="6"/>
      <c r="Y4099" s="6"/>
      <c r="Z4099" s="6"/>
      <c r="AA4099" s="6" t="s">
        <v>274</v>
      </c>
      <c r="AB4099" s="8"/>
      <c r="AC4099" s="27">
        <v>9785917686172</v>
      </c>
    </row>
    <row r="4100" spans="1:29" s="4" customFormat="1" ht="42" customHeight="1" x14ac:dyDescent="0.2">
      <c r="A4100" s="5">
        <v>0</v>
      </c>
      <c r="B4100" s="6" t="s">
        <v>23822</v>
      </c>
      <c r="C4100" s="7">
        <v>1248</v>
      </c>
      <c r="D4100" s="8" t="s">
        <v>23823</v>
      </c>
      <c r="E4100" s="8" t="s">
        <v>23824</v>
      </c>
      <c r="F4100" s="8" t="s">
        <v>23825</v>
      </c>
      <c r="G4100" s="6" t="s">
        <v>33</v>
      </c>
      <c r="H4100" s="6" t="s">
        <v>34</v>
      </c>
      <c r="I4100" s="8" t="s">
        <v>35</v>
      </c>
      <c r="J4100" s="9">
        <v>1</v>
      </c>
      <c r="K4100" s="9">
        <v>208</v>
      </c>
      <c r="L4100" s="9">
        <v>2024</v>
      </c>
      <c r="M4100" s="8" t="s">
        <v>23826</v>
      </c>
      <c r="N4100" s="8" t="s">
        <v>63</v>
      </c>
      <c r="O4100" s="8" t="s">
        <v>126</v>
      </c>
      <c r="P4100" s="6" t="s">
        <v>39</v>
      </c>
      <c r="Q4100" s="8" t="s">
        <v>40</v>
      </c>
      <c r="R4100" s="10" t="s">
        <v>23827</v>
      </c>
      <c r="S4100" s="11"/>
      <c r="T4100" s="6"/>
      <c r="U4100" s="15" t="str">
        <f>HYPERLINK("https://media.infra-m.ru/2010/2010447/cover/2010447.jpg", "Обложка")</f>
        <v>Обложка</v>
      </c>
      <c r="V4100" s="8" t="s">
        <v>1987</v>
      </c>
      <c r="W4100" s="6"/>
      <c r="X4100" s="6"/>
      <c r="Y4100" s="6"/>
      <c r="Z4100" s="6"/>
      <c r="AA4100" s="6" t="s">
        <v>76</v>
      </c>
      <c r="AB4100" s="8"/>
      <c r="AC4100" s="27">
        <v>9785160184814</v>
      </c>
    </row>
    <row r="4101" spans="1:29" s="4" customFormat="1" ht="51.9" customHeight="1" x14ac:dyDescent="0.2">
      <c r="A4101" s="5">
        <v>0</v>
      </c>
      <c r="B4101" s="6" t="s">
        <v>23828</v>
      </c>
      <c r="C4101" s="7">
        <v>1624.8</v>
      </c>
      <c r="D4101" s="8" t="s">
        <v>23829</v>
      </c>
      <c r="E4101" s="8" t="s">
        <v>23830</v>
      </c>
      <c r="F4101" s="8" t="s">
        <v>23831</v>
      </c>
      <c r="G4101" s="6" t="s">
        <v>33</v>
      </c>
      <c r="H4101" s="6" t="s">
        <v>34</v>
      </c>
      <c r="I4101" s="8" t="s">
        <v>271</v>
      </c>
      <c r="J4101" s="9">
        <v>1</v>
      </c>
      <c r="K4101" s="9">
        <v>271</v>
      </c>
      <c r="L4101" s="9">
        <v>2025</v>
      </c>
      <c r="M4101" s="8" t="s">
        <v>23832</v>
      </c>
      <c r="N4101" s="8" t="s">
        <v>243</v>
      </c>
      <c r="O4101" s="8" t="s">
        <v>964</v>
      </c>
      <c r="P4101" s="6" t="s">
        <v>51</v>
      </c>
      <c r="Q4101" s="8" t="s">
        <v>52</v>
      </c>
      <c r="R4101" s="10" t="s">
        <v>23833</v>
      </c>
      <c r="S4101" s="11" t="s">
        <v>23834</v>
      </c>
      <c r="T4101" s="6"/>
      <c r="U4101" s="15" t="str">
        <f>HYPERLINK("https://media.infra-m.ru/2188/2188743/cover/2188743.jpg", "Обложка")</f>
        <v>Обложка</v>
      </c>
      <c r="V4101" s="8" t="s">
        <v>23835</v>
      </c>
      <c r="W4101" s="6"/>
      <c r="X4101" s="6"/>
      <c r="Y4101" s="6"/>
      <c r="Z4101" s="6"/>
      <c r="AA4101" s="6" t="s">
        <v>129</v>
      </c>
      <c r="AB4101" s="8"/>
      <c r="AC4101" s="27">
        <v>9785160047577</v>
      </c>
    </row>
    <row r="4102" spans="1:29" s="4" customFormat="1" ht="42" customHeight="1" x14ac:dyDescent="0.2">
      <c r="A4102" s="5">
        <v>0</v>
      </c>
      <c r="B4102" s="6" t="s">
        <v>23836</v>
      </c>
      <c r="C4102" s="7">
        <v>1252.8</v>
      </c>
      <c r="D4102" s="8" t="s">
        <v>23837</v>
      </c>
      <c r="E4102" s="8" t="s">
        <v>23838</v>
      </c>
      <c r="F4102" s="8" t="s">
        <v>23839</v>
      </c>
      <c r="G4102" s="6" t="s">
        <v>60</v>
      </c>
      <c r="H4102" s="6" t="s">
        <v>34</v>
      </c>
      <c r="I4102" s="8" t="s">
        <v>253</v>
      </c>
      <c r="J4102" s="9">
        <v>1</v>
      </c>
      <c r="K4102" s="9">
        <v>171</v>
      </c>
      <c r="L4102" s="9">
        <v>2026</v>
      </c>
      <c r="M4102" s="8" t="s">
        <v>23840</v>
      </c>
      <c r="N4102" s="8" t="s">
        <v>585</v>
      </c>
      <c r="O4102" s="8" t="s">
        <v>586</v>
      </c>
      <c r="P4102" s="6" t="s">
        <v>51</v>
      </c>
      <c r="Q4102" s="8" t="s">
        <v>500</v>
      </c>
      <c r="R4102" s="10" t="s">
        <v>14616</v>
      </c>
      <c r="S4102" s="11"/>
      <c r="T4102" s="6"/>
      <c r="U4102" s="15" t="str">
        <f>HYPERLINK("https://media.infra-m.ru/2269/2269281/cover/2269281.jpg", "Обложка")</f>
        <v>Обложка</v>
      </c>
      <c r="V4102" s="8" t="s">
        <v>3428</v>
      </c>
      <c r="W4102" s="6"/>
      <c r="X4102" s="6"/>
      <c r="Y4102" s="6"/>
      <c r="Z4102" s="6"/>
      <c r="AA4102" s="6" t="s">
        <v>187</v>
      </c>
      <c r="AB4102" s="8" t="s">
        <v>11878</v>
      </c>
      <c r="AC4102" s="27">
        <v>9785160217888</v>
      </c>
    </row>
    <row r="4103" spans="1:29" s="4" customFormat="1" ht="51.9" customHeight="1" x14ac:dyDescent="0.2">
      <c r="A4103" s="5">
        <v>0</v>
      </c>
      <c r="B4103" s="6" t="s">
        <v>23841</v>
      </c>
      <c r="C4103" s="7">
        <v>3964.8</v>
      </c>
      <c r="D4103" s="8" t="s">
        <v>23842</v>
      </c>
      <c r="E4103" s="8" t="s">
        <v>23843</v>
      </c>
      <c r="F4103" s="8" t="s">
        <v>10001</v>
      </c>
      <c r="G4103" s="6" t="s">
        <v>60</v>
      </c>
      <c r="H4103" s="6" t="s">
        <v>134</v>
      </c>
      <c r="I4103" s="8"/>
      <c r="J4103" s="9">
        <v>1</v>
      </c>
      <c r="K4103" s="9">
        <v>656</v>
      </c>
      <c r="L4103" s="9">
        <v>2025</v>
      </c>
      <c r="M4103" s="8" t="s">
        <v>23844</v>
      </c>
      <c r="N4103" s="8" t="s">
        <v>37</v>
      </c>
      <c r="O4103" s="8" t="s">
        <v>136</v>
      </c>
      <c r="P4103" s="6" t="s">
        <v>39</v>
      </c>
      <c r="Q4103" s="8" t="s">
        <v>40</v>
      </c>
      <c r="R4103" s="10" t="s">
        <v>4348</v>
      </c>
      <c r="S4103" s="11"/>
      <c r="T4103" s="6"/>
      <c r="U4103" s="15" t="str">
        <f>HYPERLINK("https://media.infra-m.ru/2208/2208800/cover/2208800.jpg", "Обложка")</f>
        <v>Обложка</v>
      </c>
      <c r="V4103" s="8"/>
      <c r="W4103" s="6"/>
      <c r="X4103" s="6"/>
      <c r="Y4103" s="6"/>
      <c r="Z4103" s="6"/>
      <c r="AA4103" s="6" t="s">
        <v>23845</v>
      </c>
      <c r="AB4103" s="8"/>
      <c r="AC4103" s="27">
        <v>9785001563532</v>
      </c>
    </row>
    <row r="4104" spans="1:29" s="4" customFormat="1" ht="42" customHeight="1" x14ac:dyDescent="0.2">
      <c r="A4104" s="5">
        <v>0</v>
      </c>
      <c r="B4104" s="6" t="s">
        <v>23846</v>
      </c>
      <c r="C4104" s="7">
        <v>2292</v>
      </c>
      <c r="D4104" s="8" t="s">
        <v>23847</v>
      </c>
      <c r="E4104" s="8" t="s">
        <v>23848</v>
      </c>
      <c r="F4104" s="8" t="s">
        <v>4780</v>
      </c>
      <c r="G4104" s="6" t="s">
        <v>33</v>
      </c>
      <c r="H4104" s="6" t="s">
        <v>34</v>
      </c>
      <c r="I4104" s="8" t="s">
        <v>35</v>
      </c>
      <c r="J4104" s="9">
        <v>1</v>
      </c>
      <c r="K4104" s="9">
        <v>414</v>
      </c>
      <c r="L4104" s="9">
        <v>2023</v>
      </c>
      <c r="M4104" s="8" t="s">
        <v>23849</v>
      </c>
      <c r="N4104" s="8" t="s">
        <v>585</v>
      </c>
      <c r="O4104" s="8" t="s">
        <v>775</v>
      </c>
      <c r="P4104" s="6" t="s">
        <v>39</v>
      </c>
      <c r="Q4104" s="8" t="s">
        <v>40</v>
      </c>
      <c r="R4104" s="10" t="s">
        <v>23850</v>
      </c>
      <c r="S4104" s="11"/>
      <c r="T4104" s="6"/>
      <c r="U4104" s="15" t="str">
        <f>HYPERLINK("https://media.infra-m.ru/2125/2125894/cover/2125894.jpg", "Обложка")</f>
        <v>Обложка</v>
      </c>
      <c r="V4104" s="8" t="s">
        <v>4783</v>
      </c>
      <c r="W4104" s="6"/>
      <c r="X4104" s="6"/>
      <c r="Y4104" s="6"/>
      <c r="Z4104" s="6"/>
      <c r="AA4104" s="6" t="s">
        <v>1256</v>
      </c>
      <c r="AB4104" s="8"/>
      <c r="AC4104" s="27">
        <v>9785160157238</v>
      </c>
    </row>
    <row r="4105" spans="1:29" s="4" customFormat="1" ht="42" customHeight="1" x14ac:dyDescent="0.2">
      <c r="A4105" s="5">
        <v>0</v>
      </c>
      <c r="B4105" s="6" t="s">
        <v>23851</v>
      </c>
      <c r="C4105" s="7">
        <v>3112.8</v>
      </c>
      <c r="D4105" s="8" t="s">
        <v>23852</v>
      </c>
      <c r="E4105" s="8" t="s">
        <v>23853</v>
      </c>
      <c r="F4105" s="8" t="s">
        <v>23854</v>
      </c>
      <c r="G4105" s="6" t="s">
        <v>33</v>
      </c>
      <c r="H4105" s="6" t="s">
        <v>34</v>
      </c>
      <c r="I4105" s="8" t="s">
        <v>35</v>
      </c>
      <c r="J4105" s="9">
        <v>1</v>
      </c>
      <c r="K4105" s="9">
        <v>471</v>
      </c>
      <c r="L4105" s="9">
        <v>2026</v>
      </c>
      <c r="M4105" s="8" t="s">
        <v>23855</v>
      </c>
      <c r="N4105" s="8" t="s">
        <v>585</v>
      </c>
      <c r="O4105" s="8" t="s">
        <v>1518</v>
      </c>
      <c r="P4105" s="6" t="s">
        <v>39</v>
      </c>
      <c r="Q4105" s="8" t="s">
        <v>40</v>
      </c>
      <c r="R4105" s="10" t="s">
        <v>23856</v>
      </c>
      <c r="S4105" s="11"/>
      <c r="T4105" s="6"/>
      <c r="U4105" s="15" t="str">
        <f>HYPERLINK("https://media.infra-m.ru/2226/2226464/cover/2226464.jpg", "Обложка")</f>
        <v>Обложка</v>
      </c>
      <c r="V4105" s="8" t="s">
        <v>227</v>
      </c>
      <c r="W4105" s="6"/>
      <c r="X4105" s="6"/>
      <c r="Y4105" s="6"/>
      <c r="Z4105" s="6"/>
      <c r="AA4105" s="6" t="s">
        <v>779</v>
      </c>
      <c r="AB4105" s="8"/>
      <c r="AC4105" s="27">
        <v>9785160107578</v>
      </c>
    </row>
    <row r="4106" spans="1:29" s="4" customFormat="1" ht="51.9" customHeight="1" x14ac:dyDescent="0.2">
      <c r="A4106" s="5">
        <v>0</v>
      </c>
      <c r="B4106" s="6" t="s">
        <v>23857</v>
      </c>
      <c r="C4106" s="7">
        <v>1565.9</v>
      </c>
      <c r="D4106" s="8" t="s">
        <v>23858</v>
      </c>
      <c r="E4106" s="8" t="s">
        <v>23859</v>
      </c>
      <c r="F4106" s="8" t="s">
        <v>23860</v>
      </c>
      <c r="G4106" s="6" t="s">
        <v>60</v>
      </c>
      <c r="H4106" s="6" t="s">
        <v>1042</v>
      </c>
      <c r="I4106" s="8" t="s">
        <v>253</v>
      </c>
      <c r="J4106" s="9">
        <v>1</v>
      </c>
      <c r="K4106" s="9">
        <v>352</v>
      </c>
      <c r="L4106" s="9">
        <v>2022</v>
      </c>
      <c r="M4106" s="8" t="s">
        <v>23861</v>
      </c>
      <c r="N4106" s="8" t="s">
        <v>37</v>
      </c>
      <c r="O4106" s="8" t="s">
        <v>233</v>
      </c>
      <c r="P4106" s="6" t="s">
        <v>51</v>
      </c>
      <c r="Q4106" s="8" t="s">
        <v>52</v>
      </c>
      <c r="R4106" s="10" t="s">
        <v>23862</v>
      </c>
      <c r="S4106" s="11" t="s">
        <v>23863</v>
      </c>
      <c r="T4106" s="6"/>
      <c r="U4106" s="15" t="str">
        <f>HYPERLINK("https://media.infra-m.ru/1712/1712395/cover/1712395.jpg", "Обложка")</f>
        <v>Обложка</v>
      </c>
      <c r="V4106" s="8" t="s">
        <v>4892</v>
      </c>
      <c r="W4106" s="6"/>
      <c r="X4106" s="6"/>
      <c r="Y4106" s="6"/>
      <c r="Z4106" s="6"/>
      <c r="AA4106" s="6" t="s">
        <v>23864</v>
      </c>
      <c r="AB4106" s="8"/>
      <c r="AC4106" s="27">
        <v>9785819904442</v>
      </c>
    </row>
    <row r="4107" spans="1:29" s="4" customFormat="1" ht="42" customHeight="1" x14ac:dyDescent="0.2">
      <c r="A4107" s="5">
        <v>0</v>
      </c>
      <c r="B4107" s="6" t="s">
        <v>23865</v>
      </c>
      <c r="C4107" s="7">
        <v>1512</v>
      </c>
      <c r="D4107" s="8" t="s">
        <v>23866</v>
      </c>
      <c r="E4107" s="8" t="s">
        <v>23867</v>
      </c>
      <c r="F4107" s="8" t="s">
        <v>23868</v>
      </c>
      <c r="G4107" s="6" t="s">
        <v>118</v>
      </c>
      <c r="H4107" s="6" t="s">
        <v>34</v>
      </c>
      <c r="I4107" s="8" t="s">
        <v>35</v>
      </c>
      <c r="J4107" s="9">
        <v>1</v>
      </c>
      <c r="K4107" s="9">
        <v>300</v>
      </c>
      <c r="L4107" s="9">
        <v>2022</v>
      </c>
      <c r="M4107" s="8" t="s">
        <v>23869</v>
      </c>
      <c r="N4107" s="8" t="s">
        <v>585</v>
      </c>
      <c r="O4107" s="8" t="s">
        <v>586</v>
      </c>
      <c r="P4107" s="6" t="s">
        <v>39</v>
      </c>
      <c r="Q4107" s="8" t="s">
        <v>40</v>
      </c>
      <c r="R4107" s="10" t="s">
        <v>14616</v>
      </c>
      <c r="S4107" s="11"/>
      <c r="T4107" s="6"/>
      <c r="U4107" s="15" t="str">
        <f>HYPERLINK("https://media.infra-m.ru/1869/1869668/cover/1869668.jpg", "Обложка")</f>
        <v>Обложка</v>
      </c>
      <c r="V4107" s="8" t="s">
        <v>12056</v>
      </c>
      <c r="W4107" s="6"/>
      <c r="X4107" s="6"/>
      <c r="Y4107" s="6"/>
      <c r="Z4107" s="6"/>
      <c r="AA4107" s="6" t="s">
        <v>115</v>
      </c>
      <c r="AB4107" s="8"/>
      <c r="AC4107" s="27">
        <v>9785160146393</v>
      </c>
    </row>
    <row r="4108" spans="1:29" s="4" customFormat="1" ht="51.9" customHeight="1" x14ac:dyDescent="0.2">
      <c r="A4108" s="5">
        <v>0</v>
      </c>
      <c r="B4108" s="6" t="s">
        <v>23870</v>
      </c>
      <c r="C4108" s="7">
        <v>1524</v>
      </c>
      <c r="D4108" s="8" t="s">
        <v>23871</v>
      </c>
      <c r="E4108" s="8" t="s">
        <v>23872</v>
      </c>
      <c r="F4108" s="8" t="s">
        <v>23873</v>
      </c>
      <c r="G4108" s="6" t="s">
        <v>118</v>
      </c>
      <c r="H4108" s="6" t="s">
        <v>34</v>
      </c>
      <c r="I4108" s="8" t="s">
        <v>253</v>
      </c>
      <c r="J4108" s="9">
        <v>1</v>
      </c>
      <c r="K4108" s="9">
        <v>232</v>
      </c>
      <c r="L4108" s="9">
        <v>2026</v>
      </c>
      <c r="M4108" s="8" t="s">
        <v>23874</v>
      </c>
      <c r="N4108" s="8" t="s">
        <v>63</v>
      </c>
      <c r="O4108" s="8" t="s">
        <v>64</v>
      </c>
      <c r="P4108" s="6" t="s">
        <v>51</v>
      </c>
      <c r="Q4108" s="8" t="s">
        <v>500</v>
      </c>
      <c r="R4108" s="10" t="s">
        <v>23875</v>
      </c>
      <c r="S4108" s="11" t="s">
        <v>23876</v>
      </c>
      <c r="T4108" s="6"/>
      <c r="U4108" s="15" t="str">
        <f>HYPERLINK("https://media.infra-m.ru/2175/2175123/cover/2175123.jpg", "Обложка")</f>
        <v>Обложка</v>
      </c>
      <c r="V4108" s="8" t="s">
        <v>546</v>
      </c>
      <c r="W4108" s="6"/>
      <c r="X4108" s="6"/>
      <c r="Y4108" s="6"/>
      <c r="Z4108" s="6"/>
      <c r="AA4108" s="6" t="s">
        <v>1256</v>
      </c>
      <c r="AB4108" s="8"/>
      <c r="AC4108" s="27">
        <v>9785160216270</v>
      </c>
    </row>
    <row r="4109" spans="1:29" s="4" customFormat="1" ht="44.1" customHeight="1" x14ac:dyDescent="0.2">
      <c r="A4109" s="5">
        <v>0</v>
      </c>
      <c r="B4109" s="6" t="s">
        <v>23877</v>
      </c>
      <c r="C4109" s="7">
        <v>1428</v>
      </c>
      <c r="D4109" s="8" t="s">
        <v>23878</v>
      </c>
      <c r="E4109" s="8" t="s">
        <v>23879</v>
      </c>
      <c r="F4109" s="8" t="s">
        <v>21982</v>
      </c>
      <c r="G4109" s="6" t="s">
        <v>60</v>
      </c>
      <c r="H4109" s="6" t="s">
        <v>34</v>
      </c>
      <c r="I4109" s="8" t="s">
        <v>35</v>
      </c>
      <c r="J4109" s="9">
        <v>1</v>
      </c>
      <c r="K4109" s="9">
        <v>210</v>
      </c>
      <c r="L4109" s="9">
        <v>2026</v>
      </c>
      <c r="M4109" s="8" t="s">
        <v>23880</v>
      </c>
      <c r="N4109" s="8" t="s">
        <v>63</v>
      </c>
      <c r="O4109" s="8" t="s">
        <v>126</v>
      </c>
      <c r="P4109" s="6" t="s">
        <v>39</v>
      </c>
      <c r="Q4109" s="8" t="s">
        <v>40</v>
      </c>
      <c r="R4109" s="10" t="s">
        <v>23881</v>
      </c>
      <c r="S4109" s="11"/>
      <c r="T4109" s="6"/>
      <c r="U4109" s="15" t="str">
        <f>HYPERLINK("https://media.infra-m.ru/2197/2197057/cover/2197057.jpg", "Обложка")</f>
        <v>Обложка</v>
      </c>
      <c r="V4109" s="8" t="s">
        <v>14688</v>
      </c>
      <c r="W4109" s="6" t="s">
        <v>342</v>
      </c>
      <c r="X4109" s="6"/>
      <c r="Y4109" s="6"/>
      <c r="Z4109" s="6"/>
      <c r="AA4109" s="6" t="s">
        <v>187</v>
      </c>
      <c r="AB4109" s="8" t="s">
        <v>308</v>
      </c>
      <c r="AC4109" s="27">
        <v>9785160208176</v>
      </c>
    </row>
    <row r="4110" spans="1:29" s="4" customFormat="1" ht="51.9" customHeight="1" x14ac:dyDescent="0.2">
      <c r="A4110" s="5">
        <v>0</v>
      </c>
      <c r="B4110" s="6" t="s">
        <v>23882</v>
      </c>
      <c r="C4110" s="7">
        <v>3460.8</v>
      </c>
      <c r="D4110" s="8" t="s">
        <v>23883</v>
      </c>
      <c r="E4110" s="8" t="s">
        <v>23884</v>
      </c>
      <c r="F4110" s="8" t="s">
        <v>23885</v>
      </c>
      <c r="G4110" s="6" t="s">
        <v>118</v>
      </c>
      <c r="H4110" s="6" t="s">
        <v>313</v>
      </c>
      <c r="I4110" s="8" t="s">
        <v>10560</v>
      </c>
      <c r="J4110" s="9">
        <v>1</v>
      </c>
      <c r="K4110" s="9">
        <v>578</v>
      </c>
      <c r="L4110" s="9">
        <v>2025</v>
      </c>
      <c r="M4110" s="8" t="s">
        <v>23886</v>
      </c>
      <c r="N4110" s="8" t="s">
        <v>37</v>
      </c>
      <c r="O4110" s="8" t="s">
        <v>136</v>
      </c>
      <c r="P4110" s="6" t="s">
        <v>39</v>
      </c>
      <c r="Q4110" s="8" t="s">
        <v>40</v>
      </c>
      <c r="R4110" s="10" t="s">
        <v>23887</v>
      </c>
      <c r="S4110" s="11"/>
      <c r="T4110" s="6"/>
      <c r="U4110" s="15" t="str">
        <f>HYPERLINK("https://media.infra-m.ru/2172/2172405/cover/2172405.jpg", "Обложка")</f>
        <v>Обложка</v>
      </c>
      <c r="V4110" s="8" t="s">
        <v>1949</v>
      </c>
      <c r="W4110" s="6"/>
      <c r="X4110" s="6"/>
      <c r="Y4110" s="6"/>
      <c r="Z4110" s="6"/>
      <c r="AA4110" s="6" t="s">
        <v>430</v>
      </c>
      <c r="AB4110" s="8"/>
      <c r="AC4110" s="27">
        <v>9785369018743</v>
      </c>
    </row>
    <row r="4111" spans="1:29" s="4" customFormat="1" ht="51.9" customHeight="1" x14ac:dyDescent="0.2">
      <c r="A4111" s="5">
        <v>0</v>
      </c>
      <c r="B4111" s="6" t="s">
        <v>23888</v>
      </c>
      <c r="C4111" s="7">
        <v>2260.8000000000002</v>
      </c>
      <c r="D4111" s="8" t="s">
        <v>23889</v>
      </c>
      <c r="E4111" s="8" t="s">
        <v>23890</v>
      </c>
      <c r="F4111" s="8" t="s">
        <v>23891</v>
      </c>
      <c r="G4111" s="6" t="s">
        <v>118</v>
      </c>
      <c r="H4111" s="6" t="s">
        <v>34</v>
      </c>
      <c r="I4111" s="8" t="s">
        <v>253</v>
      </c>
      <c r="J4111" s="9">
        <v>1</v>
      </c>
      <c r="K4111" s="9">
        <v>363</v>
      </c>
      <c r="L4111" s="9">
        <v>2026</v>
      </c>
      <c r="M4111" s="8" t="s">
        <v>23892</v>
      </c>
      <c r="N4111" s="8" t="s">
        <v>37</v>
      </c>
      <c r="O4111" s="8" t="s">
        <v>233</v>
      </c>
      <c r="P4111" s="6" t="s">
        <v>51</v>
      </c>
      <c r="Q4111" s="8" t="s">
        <v>52</v>
      </c>
      <c r="R4111" s="10" t="s">
        <v>8477</v>
      </c>
      <c r="S4111" s="11" t="s">
        <v>23893</v>
      </c>
      <c r="T4111" s="6" t="s">
        <v>97</v>
      </c>
      <c r="U4111" s="15" t="str">
        <f>HYPERLINK("https://media.infra-m.ru/2213/2213311/cover/2213311.jpg", "Обложка")</f>
        <v>Обложка</v>
      </c>
      <c r="V4111" s="8" t="s">
        <v>247</v>
      </c>
      <c r="W4111" s="6"/>
      <c r="X4111" s="6"/>
      <c r="Y4111" s="6"/>
      <c r="Z4111" s="6"/>
      <c r="AA4111" s="6" t="s">
        <v>779</v>
      </c>
      <c r="AB4111" s="8"/>
      <c r="AC4111" s="27">
        <v>9785160192246</v>
      </c>
    </row>
    <row r="4112" spans="1:29" s="4" customFormat="1" ht="42" customHeight="1" x14ac:dyDescent="0.2">
      <c r="A4112" s="5">
        <v>0</v>
      </c>
      <c r="B4112" s="6" t="s">
        <v>23894</v>
      </c>
      <c r="C4112" s="7">
        <v>1312.8</v>
      </c>
      <c r="D4112" s="8" t="s">
        <v>23895</v>
      </c>
      <c r="E4112" s="8" t="s">
        <v>23896</v>
      </c>
      <c r="F4112" s="8" t="s">
        <v>23897</v>
      </c>
      <c r="G4112" s="6" t="s">
        <v>33</v>
      </c>
      <c r="H4112" s="6" t="s">
        <v>34</v>
      </c>
      <c r="I4112" s="8" t="s">
        <v>35</v>
      </c>
      <c r="J4112" s="9">
        <v>1</v>
      </c>
      <c r="K4112" s="9">
        <v>177</v>
      </c>
      <c r="L4112" s="9">
        <v>2026</v>
      </c>
      <c r="M4112" s="8" t="s">
        <v>23898</v>
      </c>
      <c r="N4112" s="8" t="s">
        <v>93</v>
      </c>
      <c r="O4112" s="8" t="s">
        <v>94</v>
      </c>
      <c r="P4112" s="6" t="s">
        <v>39</v>
      </c>
      <c r="Q4112" s="8" t="s">
        <v>40</v>
      </c>
      <c r="R4112" s="10" t="s">
        <v>23899</v>
      </c>
      <c r="S4112" s="11"/>
      <c r="T4112" s="6"/>
      <c r="U4112" s="15" t="str">
        <f>HYPERLINK("https://media.infra-m.ru/2265/2265339/cover/2265339.jpg", "Обложка")</f>
        <v>Обложка</v>
      </c>
      <c r="V4112" s="8" t="s">
        <v>12691</v>
      </c>
      <c r="W4112" s="6"/>
      <c r="X4112" s="6"/>
      <c r="Y4112" s="6"/>
      <c r="Z4112" s="6"/>
      <c r="AA4112" s="6" t="s">
        <v>187</v>
      </c>
      <c r="AB4112" s="8"/>
      <c r="AC4112" s="27">
        <v>9785160221830</v>
      </c>
    </row>
    <row r="4113" spans="1:29" s="4" customFormat="1" ht="44.1" customHeight="1" x14ac:dyDescent="0.2">
      <c r="A4113" s="5">
        <v>0</v>
      </c>
      <c r="B4113" s="6" t="s">
        <v>23900</v>
      </c>
      <c r="C4113" s="13">
        <v>684</v>
      </c>
      <c r="D4113" s="8" t="s">
        <v>23901</v>
      </c>
      <c r="E4113" s="8" t="s">
        <v>23902</v>
      </c>
      <c r="F4113" s="8" t="s">
        <v>7372</v>
      </c>
      <c r="G4113" s="6" t="s">
        <v>33</v>
      </c>
      <c r="H4113" s="6" t="s">
        <v>134</v>
      </c>
      <c r="I4113" s="8"/>
      <c r="J4113" s="9">
        <v>1</v>
      </c>
      <c r="K4113" s="9">
        <v>64</v>
      </c>
      <c r="L4113" s="9">
        <v>2027</v>
      </c>
      <c r="M4113" s="8" t="s">
        <v>23903</v>
      </c>
      <c r="N4113" s="8" t="s">
        <v>37</v>
      </c>
      <c r="O4113" s="8" t="s">
        <v>38</v>
      </c>
      <c r="P4113" s="6" t="s">
        <v>39</v>
      </c>
      <c r="Q4113" s="8" t="s">
        <v>40</v>
      </c>
      <c r="R4113" s="10" t="s">
        <v>8485</v>
      </c>
      <c r="S4113" s="11"/>
      <c r="T4113" s="6"/>
      <c r="U4113" s="15" t="str">
        <f>HYPERLINK("https://media.infra-m.ru/2267/2267093/cover/2267093.jpg", "Обложка")</f>
        <v>Обложка</v>
      </c>
      <c r="V4113" s="8" t="s">
        <v>1069</v>
      </c>
      <c r="W4113" s="6"/>
      <c r="X4113" s="6"/>
      <c r="Y4113" s="6"/>
      <c r="Z4113" s="6"/>
      <c r="AA4113" s="6" t="s">
        <v>430</v>
      </c>
      <c r="AB4113" s="8"/>
      <c r="AC4113" s="27">
        <v>9785001561583</v>
      </c>
    </row>
    <row r="4114" spans="1:29" s="4" customFormat="1" ht="51.9" customHeight="1" x14ac:dyDescent="0.2">
      <c r="A4114" s="5">
        <v>0</v>
      </c>
      <c r="B4114" s="6" t="s">
        <v>23904</v>
      </c>
      <c r="C4114" s="7">
        <v>1356</v>
      </c>
      <c r="D4114" s="8" t="s">
        <v>23905</v>
      </c>
      <c r="E4114" s="8" t="s">
        <v>23906</v>
      </c>
      <c r="F4114" s="8" t="s">
        <v>23907</v>
      </c>
      <c r="G4114" s="6" t="s">
        <v>118</v>
      </c>
      <c r="H4114" s="6" t="s">
        <v>34</v>
      </c>
      <c r="I4114" s="8" t="s">
        <v>35</v>
      </c>
      <c r="J4114" s="9">
        <v>1</v>
      </c>
      <c r="K4114" s="9">
        <v>194</v>
      </c>
      <c r="L4114" s="9">
        <v>2026</v>
      </c>
      <c r="M4114" s="8" t="s">
        <v>23908</v>
      </c>
      <c r="N4114" s="8" t="s">
        <v>37</v>
      </c>
      <c r="O4114" s="8" t="s">
        <v>233</v>
      </c>
      <c r="P4114" s="6" t="s">
        <v>39</v>
      </c>
      <c r="Q4114" s="8" t="s">
        <v>40</v>
      </c>
      <c r="R4114" s="10" t="s">
        <v>23909</v>
      </c>
      <c r="S4114" s="11"/>
      <c r="T4114" s="6"/>
      <c r="U4114" s="15" t="str">
        <f>HYPERLINK("https://media.infra-m.ru/2262/2262013/cover/2262013.jpg", "Обложка")</f>
        <v>Обложка</v>
      </c>
      <c r="V4114" s="8" t="s">
        <v>23910</v>
      </c>
      <c r="W4114" s="6"/>
      <c r="X4114" s="6"/>
      <c r="Y4114" s="6"/>
      <c r="Z4114" s="6"/>
      <c r="AA4114" s="6" t="s">
        <v>68</v>
      </c>
      <c r="AB4114" s="8"/>
      <c r="AC4114" s="27">
        <v>9785160201344</v>
      </c>
    </row>
    <row r="4115" spans="1:29" s="4" customFormat="1" ht="51.9" customHeight="1" x14ac:dyDescent="0.2">
      <c r="A4115" s="5">
        <v>0</v>
      </c>
      <c r="B4115" s="6" t="s">
        <v>23911</v>
      </c>
      <c r="C4115" s="7">
        <v>2008.8</v>
      </c>
      <c r="D4115" s="8" t="s">
        <v>23912</v>
      </c>
      <c r="E4115" s="8" t="s">
        <v>23913</v>
      </c>
      <c r="F4115" s="8" t="s">
        <v>23914</v>
      </c>
      <c r="G4115" s="6" t="s">
        <v>60</v>
      </c>
      <c r="H4115" s="6" t="s">
        <v>48</v>
      </c>
      <c r="I4115" s="8" t="s">
        <v>271</v>
      </c>
      <c r="J4115" s="9">
        <v>1</v>
      </c>
      <c r="K4115" s="9">
        <v>304</v>
      </c>
      <c r="L4115" s="9">
        <v>2026</v>
      </c>
      <c r="M4115" s="8" t="s">
        <v>23915</v>
      </c>
      <c r="N4115" s="8" t="s">
        <v>37</v>
      </c>
      <c r="O4115" s="8" t="s">
        <v>83</v>
      </c>
      <c r="P4115" s="6" t="s">
        <v>51</v>
      </c>
      <c r="Q4115" s="8" t="s">
        <v>52</v>
      </c>
      <c r="R4115" s="10" t="s">
        <v>23916</v>
      </c>
      <c r="S4115" s="11" t="s">
        <v>23917</v>
      </c>
      <c r="T4115" s="6"/>
      <c r="U4115" s="15" t="str">
        <f>HYPERLINK("https://media.infra-m.ru/2249/2249020/cover/2249020.jpg", "Обложка")</f>
        <v>Обложка</v>
      </c>
      <c r="V4115" s="8" t="s">
        <v>23918</v>
      </c>
      <c r="W4115" s="6"/>
      <c r="X4115" s="6"/>
      <c r="Y4115" s="6"/>
      <c r="Z4115" s="6"/>
      <c r="AA4115" s="6" t="s">
        <v>55</v>
      </c>
      <c r="AB4115" s="8"/>
      <c r="AC4115" s="27">
        <v>9785911347017</v>
      </c>
    </row>
    <row r="4116" spans="1:29" s="4" customFormat="1" ht="42" customHeight="1" x14ac:dyDescent="0.2">
      <c r="A4116" s="5">
        <v>0</v>
      </c>
      <c r="B4116" s="6" t="s">
        <v>23919</v>
      </c>
      <c r="C4116" s="7">
        <v>1192.8</v>
      </c>
      <c r="D4116" s="8" t="s">
        <v>23920</v>
      </c>
      <c r="E4116" s="8" t="s">
        <v>23921</v>
      </c>
      <c r="F4116" s="8" t="s">
        <v>23922</v>
      </c>
      <c r="G4116" s="6" t="s">
        <v>118</v>
      </c>
      <c r="H4116" s="6" t="s">
        <v>34</v>
      </c>
      <c r="I4116" s="8" t="s">
        <v>35</v>
      </c>
      <c r="J4116" s="9">
        <v>1</v>
      </c>
      <c r="K4116" s="9">
        <v>191</v>
      </c>
      <c r="L4116" s="9">
        <v>2025</v>
      </c>
      <c r="M4116" s="8" t="s">
        <v>23923</v>
      </c>
      <c r="N4116" s="8" t="s">
        <v>243</v>
      </c>
      <c r="O4116" s="8" t="s">
        <v>329</v>
      </c>
      <c r="P4116" s="6" t="s">
        <v>39</v>
      </c>
      <c r="Q4116" s="8" t="s">
        <v>40</v>
      </c>
      <c r="R4116" s="10" t="s">
        <v>23924</v>
      </c>
      <c r="S4116" s="11"/>
      <c r="T4116" s="6"/>
      <c r="U4116" s="15" t="str">
        <f>HYPERLINK("https://media.infra-m.ru/2185/2185366/cover/2185366.jpg", "Обложка")</f>
        <v>Обложка</v>
      </c>
      <c r="V4116" s="8" t="s">
        <v>4943</v>
      </c>
      <c r="W4116" s="6"/>
      <c r="X4116" s="6"/>
      <c r="Y4116" s="6"/>
      <c r="Z4116" s="6"/>
      <c r="AA4116" s="6" t="s">
        <v>115</v>
      </c>
      <c r="AB4116" s="8"/>
      <c r="AC4116" s="27">
        <v>9785160157719</v>
      </c>
    </row>
    <row r="4117" spans="1:29" s="4" customFormat="1" ht="51.9" customHeight="1" x14ac:dyDescent="0.2">
      <c r="A4117" s="5">
        <v>0</v>
      </c>
      <c r="B4117" s="6" t="s">
        <v>23925</v>
      </c>
      <c r="C4117" s="7">
        <v>2105.9</v>
      </c>
      <c r="D4117" s="8" t="s">
        <v>23926</v>
      </c>
      <c r="E4117" s="8" t="s">
        <v>23927</v>
      </c>
      <c r="F4117" s="8" t="s">
        <v>23928</v>
      </c>
      <c r="G4117" s="6" t="s">
        <v>60</v>
      </c>
      <c r="H4117" s="6" t="s">
        <v>34</v>
      </c>
      <c r="I4117" s="8" t="s">
        <v>271</v>
      </c>
      <c r="J4117" s="9">
        <v>1</v>
      </c>
      <c r="K4117" s="9">
        <v>839</v>
      </c>
      <c r="L4117" s="9">
        <v>2017</v>
      </c>
      <c r="M4117" s="8" t="s">
        <v>23929</v>
      </c>
      <c r="N4117" s="8" t="s">
        <v>37</v>
      </c>
      <c r="O4117" s="8" t="s">
        <v>233</v>
      </c>
      <c r="P4117" s="6" t="s">
        <v>306</v>
      </c>
      <c r="Q4117" s="8" t="s">
        <v>52</v>
      </c>
      <c r="R4117" s="10" t="s">
        <v>23930</v>
      </c>
      <c r="S4117" s="11" t="s">
        <v>23931</v>
      </c>
      <c r="T4117" s="6" t="s">
        <v>97</v>
      </c>
      <c r="U4117" s="15" t="str">
        <f>HYPERLINK("https://media.infra-m.ru/0927/0927433/cover/927433.jpg", "Обложка")</f>
        <v>Обложка</v>
      </c>
      <c r="V4117" s="8" t="s">
        <v>5693</v>
      </c>
      <c r="W4117" s="6"/>
      <c r="X4117" s="6"/>
      <c r="Y4117" s="6"/>
      <c r="Z4117" s="6"/>
      <c r="AA4117" s="6" t="s">
        <v>15559</v>
      </c>
      <c r="AB4117" s="8"/>
      <c r="AC4117" s="27">
        <v>9785160111155</v>
      </c>
    </row>
    <row r="4118" spans="1:29" s="4" customFormat="1" ht="51.9" customHeight="1" x14ac:dyDescent="0.2">
      <c r="A4118" s="5">
        <v>0</v>
      </c>
      <c r="B4118" s="6" t="s">
        <v>23932</v>
      </c>
      <c r="C4118" s="7">
        <v>2880</v>
      </c>
      <c r="D4118" s="8" t="s">
        <v>23933</v>
      </c>
      <c r="E4118" s="8" t="s">
        <v>23934</v>
      </c>
      <c r="F4118" s="8" t="s">
        <v>23935</v>
      </c>
      <c r="G4118" s="6" t="s">
        <v>60</v>
      </c>
      <c r="H4118" s="6" t="s">
        <v>34</v>
      </c>
      <c r="I4118" s="8" t="s">
        <v>253</v>
      </c>
      <c r="J4118" s="9">
        <v>1</v>
      </c>
      <c r="K4118" s="9">
        <v>806</v>
      </c>
      <c r="L4118" s="9">
        <v>2024</v>
      </c>
      <c r="M4118" s="8" t="s">
        <v>23936</v>
      </c>
      <c r="N4118" s="8" t="s">
        <v>37</v>
      </c>
      <c r="O4118" s="8" t="s">
        <v>233</v>
      </c>
      <c r="P4118" s="6" t="s">
        <v>306</v>
      </c>
      <c r="Q4118" s="8" t="s">
        <v>52</v>
      </c>
      <c r="R4118" s="10" t="s">
        <v>23930</v>
      </c>
      <c r="S4118" s="11" t="s">
        <v>23931</v>
      </c>
      <c r="T4118" s="6" t="s">
        <v>97</v>
      </c>
      <c r="U4118" s="15" t="str">
        <f>HYPERLINK("https://media.infra-m.ru/2140/2140270/cover/2140270.jpg", "Обложка")</f>
        <v>Обложка</v>
      </c>
      <c r="V4118" s="8" t="s">
        <v>5693</v>
      </c>
      <c r="W4118" s="6"/>
      <c r="X4118" s="6"/>
      <c r="Y4118" s="6"/>
      <c r="Z4118" s="6"/>
      <c r="AA4118" s="6" t="s">
        <v>11574</v>
      </c>
      <c r="AB4118" s="8"/>
      <c r="AC4118" s="27">
        <v>9785160199078</v>
      </c>
    </row>
    <row r="4119" spans="1:29" s="4" customFormat="1" ht="44.1" customHeight="1" x14ac:dyDescent="0.2">
      <c r="A4119" s="5">
        <v>0</v>
      </c>
      <c r="B4119" s="6" t="s">
        <v>23937</v>
      </c>
      <c r="C4119" s="7">
        <v>1948.8</v>
      </c>
      <c r="D4119" s="8" t="s">
        <v>23938</v>
      </c>
      <c r="E4119" s="8" t="s">
        <v>23939</v>
      </c>
      <c r="F4119" s="8" t="s">
        <v>23940</v>
      </c>
      <c r="G4119" s="6" t="s">
        <v>33</v>
      </c>
      <c r="H4119" s="6" t="s">
        <v>1644</v>
      </c>
      <c r="I4119" s="8" t="s">
        <v>1904</v>
      </c>
      <c r="J4119" s="9">
        <v>1</v>
      </c>
      <c r="K4119" s="9">
        <v>296</v>
      </c>
      <c r="L4119" s="9">
        <v>2026</v>
      </c>
      <c r="M4119" s="8" t="s">
        <v>23941</v>
      </c>
      <c r="N4119" s="8" t="s">
        <v>37</v>
      </c>
      <c r="O4119" s="8" t="s">
        <v>233</v>
      </c>
      <c r="P4119" s="6" t="s">
        <v>51</v>
      </c>
      <c r="Q4119" s="8" t="s">
        <v>52</v>
      </c>
      <c r="R4119" s="10" t="s">
        <v>1646</v>
      </c>
      <c r="S4119" s="11"/>
      <c r="T4119" s="6"/>
      <c r="U4119" s="15" t="str">
        <f>HYPERLINK("https://media.infra-m.ru/2243/2243078/cover/2243078.jpg", "Обложка")</f>
        <v>Обложка</v>
      </c>
      <c r="V4119" s="8" t="s">
        <v>4032</v>
      </c>
      <c r="W4119" s="6"/>
      <c r="X4119" s="6"/>
      <c r="Y4119" s="6"/>
      <c r="Z4119" s="6"/>
      <c r="AA4119" s="6" t="s">
        <v>55</v>
      </c>
      <c r="AB4119" s="8"/>
      <c r="AC4119" s="27">
        <v>9785977602808</v>
      </c>
    </row>
    <row r="4120" spans="1:29" s="4" customFormat="1" ht="42" customHeight="1" x14ac:dyDescent="0.2">
      <c r="A4120" s="5">
        <v>0</v>
      </c>
      <c r="B4120" s="6" t="s">
        <v>23942</v>
      </c>
      <c r="C4120" s="7">
        <v>2117.9</v>
      </c>
      <c r="D4120" s="8" t="s">
        <v>23943</v>
      </c>
      <c r="E4120" s="8" t="s">
        <v>23944</v>
      </c>
      <c r="F4120" s="8" t="s">
        <v>23945</v>
      </c>
      <c r="G4120" s="6" t="s">
        <v>60</v>
      </c>
      <c r="H4120" s="6" t="s">
        <v>34</v>
      </c>
      <c r="I4120" s="8" t="s">
        <v>1074</v>
      </c>
      <c r="J4120" s="9">
        <v>1</v>
      </c>
      <c r="K4120" s="9">
        <v>392</v>
      </c>
      <c r="L4120" s="9">
        <v>2023</v>
      </c>
      <c r="M4120" s="8" t="s">
        <v>23946</v>
      </c>
      <c r="N4120" s="8" t="s">
        <v>37</v>
      </c>
      <c r="O4120" s="8" t="s">
        <v>136</v>
      </c>
      <c r="P4120" s="6" t="s">
        <v>39</v>
      </c>
      <c r="Q4120" s="8" t="s">
        <v>40</v>
      </c>
      <c r="R4120" s="10" t="s">
        <v>1255</v>
      </c>
      <c r="S4120" s="11"/>
      <c r="T4120" s="6"/>
      <c r="U4120" s="15" t="str">
        <f>HYPERLINK("https://media.infra-m.ru/2030/2030893/cover/2030893.jpg", "Обложка")</f>
        <v>Обложка</v>
      </c>
      <c r="V4120" s="8" t="s">
        <v>138</v>
      </c>
      <c r="W4120" s="6"/>
      <c r="X4120" s="6"/>
      <c r="Y4120" s="6"/>
      <c r="Z4120" s="6"/>
      <c r="AA4120" s="6" t="s">
        <v>115</v>
      </c>
      <c r="AB4120" s="8"/>
      <c r="AC4120" s="27">
        <v>9785160146935</v>
      </c>
    </row>
    <row r="4121" spans="1:29" s="4" customFormat="1" ht="44.1" customHeight="1" x14ac:dyDescent="0.2">
      <c r="A4121" s="5">
        <v>0</v>
      </c>
      <c r="B4121" s="6" t="s">
        <v>23947</v>
      </c>
      <c r="C4121" s="7">
        <v>2544</v>
      </c>
      <c r="D4121" s="8" t="s">
        <v>23948</v>
      </c>
      <c r="E4121" s="8" t="s">
        <v>23949</v>
      </c>
      <c r="F4121" s="8" t="s">
        <v>23950</v>
      </c>
      <c r="G4121" s="6" t="s">
        <v>60</v>
      </c>
      <c r="H4121" s="6" t="s">
        <v>134</v>
      </c>
      <c r="I4121" s="8"/>
      <c r="J4121" s="9">
        <v>1</v>
      </c>
      <c r="K4121" s="9">
        <v>424</v>
      </c>
      <c r="L4121" s="9">
        <v>2025</v>
      </c>
      <c r="M4121" s="8" t="s">
        <v>23951</v>
      </c>
      <c r="N4121" s="8" t="s">
        <v>37</v>
      </c>
      <c r="O4121" s="8" t="s">
        <v>83</v>
      </c>
      <c r="P4121" s="6" t="s">
        <v>39</v>
      </c>
      <c r="Q4121" s="8" t="s">
        <v>1660</v>
      </c>
      <c r="R4121" s="10" t="s">
        <v>23952</v>
      </c>
      <c r="S4121" s="11"/>
      <c r="T4121" s="6"/>
      <c r="U4121" s="15" t="str">
        <f>HYPERLINK("https://media.infra-m.ru/2185/2185773/cover/2185773.jpg", "Обложка")</f>
        <v>Обложка</v>
      </c>
      <c r="V4121" s="8" t="s">
        <v>1184</v>
      </c>
      <c r="W4121" s="6"/>
      <c r="X4121" s="6"/>
      <c r="Y4121" s="6"/>
      <c r="Z4121" s="6"/>
      <c r="AA4121" s="6" t="s">
        <v>68</v>
      </c>
      <c r="AB4121" s="8"/>
      <c r="AC4121" s="27">
        <v>9785001564102</v>
      </c>
    </row>
    <row r="4122" spans="1:29" s="4" customFormat="1" ht="51.9" customHeight="1" x14ac:dyDescent="0.2">
      <c r="A4122" s="5">
        <v>0</v>
      </c>
      <c r="B4122" s="6" t="s">
        <v>23953</v>
      </c>
      <c r="C4122" s="7">
        <v>1260</v>
      </c>
      <c r="D4122" s="8" t="s">
        <v>23954</v>
      </c>
      <c r="E4122" s="8" t="s">
        <v>23955</v>
      </c>
      <c r="F4122" s="8" t="s">
        <v>23956</v>
      </c>
      <c r="G4122" s="6" t="s">
        <v>60</v>
      </c>
      <c r="H4122" s="6" t="s">
        <v>134</v>
      </c>
      <c r="I4122" s="8"/>
      <c r="J4122" s="9">
        <v>1</v>
      </c>
      <c r="K4122" s="9">
        <v>208</v>
      </c>
      <c r="L4122" s="9">
        <v>2025</v>
      </c>
      <c r="M4122" s="8" t="s">
        <v>23957</v>
      </c>
      <c r="N4122" s="8" t="s">
        <v>37</v>
      </c>
      <c r="O4122" s="8" t="s">
        <v>136</v>
      </c>
      <c r="P4122" s="6" t="s">
        <v>39</v>
      </c>
      <c r="Q4122" s="8" t="s">
        <v>40</v>
      </c>
      <c r="R4122" s="10" t="s">
        <v>10567</v>
      </c>
      <c r="S4122" s="11"/>
      <c r="T4122" s="6"/>
      <c r="U4122" s="15" t="str">
        <f>HYPERLINK("https://media.infra-m.ru/2162/2162254/cover/2162254.jpg", "Обложка")</f>
        <v>Обложка</v>
      </c>
      <c r="V4122" s="8" t="s">
        <v>23958</v>
      </c>
      <c r="W4122" s="6"/>
      <c r="X4122" s="6"/>
      <c r="Y4122" s="6"/>
      <c r="Z4122" s="6"/>
      <c r="AA4122" s="6" t="s">
        <v>68</v>
      </c>
      <c r="AB4122" s="8"/>
      <c r="AC4122" s="27">
        <v>9785001563884</v>
      </c>
    </row>
    <row r="4123" spans="1:29" s="4" customFormat="1" ht="51.9" customHeight="1" x14ac:dyDescent="0.2">
      <c r="A4123" s="5">
        <v>0</v>
      </c>
      <c r="B4123" s="6" t="s">
        <v>23959</v>
      </c>
      <c r="C4123" s="7">
        <v>1428</v>
      </c>
      <c r="D4123" s="8" t="s">
        <v>23960</v>
      </c>
      <c r="E4123" s="8" t="s">
        <v>23961</v>
      </c>
      <c r="F4123" s="8" t="s">
        <v>23962</v>
      </c>
      <c r="G4123" s="6" t="s">
        <v>60</v>
      </c>
      <c r="H4123" s="6" t="s">
        <v>134</v>
      </c>
      <c r="I4123" s="8"/>
      <c r="J4123" s="9">
        <v>1</v>
      </c>
      <c r="K4123" s="9">
        <v>212</v>
      </c>
      <c r="L4123" s="9">
        <v>2026</v>
      </c>
      <c r="M4123" s="8" t="s">
        <v>23963</v>
      </c>
      <c r="N4123" s="8" t="s">
        <v>37</v>
      </c>
      <c r="O4123" s="8" t="s">
        <v>136</v>
      </c>
      <c r="P4123" s="6" t="s">
        <v>39</v>
      </c>
      <c r="Q4123" s="8" t="s">
        <v>40</v>
      </c>
      <c r="R4123" s="10" t="s">
        <v>23964</v>
      </c>
      <c r="S4123" s="11"/>
      <c r="T4123" s="6"/>
      <c r="U4123" s="15" t="str">
        <f>HYPERLINK("https://media.infra-m.ru/2224/2224211/cover/2224211.jpg", "Обложка")</f>
        <v>Обложка</v>
      </c>
      <c r="V4123" s="8" t="s">
        <v>23958</v>
      </c>
      <c r="W4123" s="6" t="s">
        <v>1382</v>
      </c>
      <c r="X4123" s="6"/>
      <c r="Y4123" s="6"/>
      <c r="Z4123" s="6"/>
      <c r="AA4123" s="6" t="s">
        <v>187</v>
      </c>
      <c r="AB4123" s="8"/>
      <c r="AC4123" s="27">
        <v>9785001564621</v>
      </c>
    </row>
    <row r="4124" spans="1:29" s="4" customFormat="1" ht="51.9" customHeight="1" x14ac:dyDescent="0.2">
      <c r="A4124" s="5">
        <v>0</v>
      </c>
      <c r="B4124" s="6" t="s">
        <v>23965</v>
      </c>
      <c r="C4124" s="13">
        <v>900</v>
      </c>
      <c r="D4124" s="8" t="s">
        <v>23966</v>
      </c>
      <c r="E4124" s="8" t="s">
        <v>23967</v>
      </c>
      <c r="F4124" s="8" t="s">
        <v>23968</v>
      </c>
      <c r="G4124" s="6" t="s">
        <v>33</v>
      </c>
      <c r="H4124" s="6" t="s">
        <v>34</v>
      </c>
      <c r="I4124" s="8" t="s">
        <v>35</v>
      </c>
      <c r="J4124" s="9">
        <v>1</v>
      </c>
      <c r="K4124" s="9">
        <v>192</v>
      </c>
      <c r="L4124" s="9">
        <v>2021</v>
      </c>
      <c r="M4124" s="8" t="s">
        <v>23969</v>
      </c>
      <c r="N4124" s="8" t="s">
        <v>93</v>
      </c>
      <c r="O4124" s="8" t="s">
        <v>94</v>
      </c>
      <c r="P4124" s="6" t="s">
        <v>39</v>
      </c>
      <c r="Q4124" s="8" t="s">
        <v>40</v>
      </c>
      <c r="R4124" s="10" t="s">
        <v>23970</v>
      </c>
      <c r="S4124" s="11"/>
      <c r="T4124" s="6"/>
      <c r="U4124" s="15" t="str">
        <f>HYPERLINK("https://media.infra-m.ru/1371/1371146/cover/1371146.jpg", "Обложка")</f>
        <v>Обложка</v>
      </c>
      <c r="V4124" s="8" t="s">
        <v>4230</v>
      </c>
      <c r="W4124" s="6"/>
      <c r="X4124" s="6"/>
      <c r="Y4124" s="6"/>
      <c r="Z4124" s="6"/>
      <c r="AA4124" s="6" t="s">
        <v>430</v>
      </c>
      <c r="AB4124" s="8"/>
      <c r="AC4124" s="27">
        <v>9785160169118</v>
      </c>
    </row>
    <row r="4125" spans="1:29" s="4" customFormat="1" ht="42" customHeight="1" x14ac:dyDescent="0.2">
      <c r="A4125" s="5">
        <v>0</v>
      </c>
      <c r="B4125" s="6" t="s">
        <v>23971</v>
      </c>
      <c r="C4125" s="7">
        <v>1860</v>
      </c>
      <c r="D4125" s="8" t="s">
        <v>23972</v>
      </c>
      <c r="E4125" s="8" t="s">
        <v>23973</v>
      </c>
      <c r="F4125" s="8" t="s">
        <v>23974</v>
      </c>
      <c r="G4125" s="6" t="s">
        <v>118</v>
      </c>
      <c r="H4125" s="6" t="s">
        <v>134</v>
      </c>
      <c r="I4125" s="8"/>
      <c r="J4125" s="9">
        <v>1</v>
      </c>
      <c r="K4125" s="9">
        <v>344</v>
      </c>
      <c r="L4125" s="9">
        <v>2023</v>
      </c>
      <c r="M4125" s="8" t="s">
        <v>23975</v>
      </c>
      <c r="N4125" s="8" t="s">
        <v>37</v>
      </c>
      <c r="O4125" s="8" t="s">
        <v>136</v>
      </c>
      <c r="P4125" s="6" t="s">
        <v>39</v>
      </c>
      <c r="Q4125" s="8" t="s">
        <v>40</v>
      </c>
      <c r="R4125" s="10" t="s">
        <v>1625</v>
      </c>
      <c r="S4125" s="11"/>
      <c r="T4125" s="6"/>
      <c r="U4125" s="15" t="str">
        <f>HYPERLINK("https://media.infra-m.ru/1895/1895642/cover/1895642.jpg", "Обложка")</f>
        <v>Обложка</v>
      </c>
      <c r="V4125" s="8" t="s">
        <v>1069</v>
      </c>
      <c r="W4125" s="6"/>
      <c r="X4125" s="6"/>
      <c r="Y4125" s="6"/>
      <c r="Z4125" s="6"/>
      <c r="AA4125" s="6" t="s">
        <v>115</v>
      </c>
      <c r="AB4125" s="8"/>
      <c r="AC4125" s="27">
        <v>9785917686288</v>
      </c>
    </row>
    <row r="4126" spans="1:29" s="4" customFormat="1" ht="51.9" customHeight="1" x14ac:dyDescent="0.2">
      <c r="A4126" s="5">
        <v>0</v>
      </c>
      <c r="B4126" s="6" t="s">
        <v>23976</v>
      </c>
      <c r="C4126" s="7">
        <v>1996.8</v>
      </c>
      <c r="D4126" s="8" t="s">
        <v>23977</v>
      </c>
      <c r="E4126" s="8" t="s">
        <v>23978</v>
      </c>
      <c r="F4126" s="8" t="s">
        <v>23979</v>
      </c>
      <c r="G4126" s="6" t="s">
        <v>60</v>
      </c>
      <c r="H4126" s="6" t="s">
        <v>34</v>
      </c>
      <c r="I4126" s="8" t="s">
        <v>271</v>
      </c>
      <c r="J4126" s="9">
        <v>1</v>
      </c>
      <c r="K4126" s="9">
        <v>332</v>
      </c>
      <c r="L4126" s="9">
        <v>2025</v>
      </c>
      <c r="M4126" s="8" t="s">
        <v>23980</v>
      </c>
      <c r="N4126" s="8" t="s">
        <v>585</v>
      </c>
      <c r="O4126" s="8" t="s">
        <v>1518</v>
      </c>
      <c r="P4126" s="6" t="s">
        <v>51</v>
      </c>
      <c r="Q4126" s="8" t="s">
        <v>52</v>
      </c>
      <c r="R4126" s="10" t="s">
        <v>23981</v>
      </c>
      <c r="S4126" s="11" t="s">
        <v>23982</v>
      </c>
      <c r="T4126" s="6"/>
      <c r="U4126" s="15" t="str">
        <f>HYPERLINK("https://media.infra-m.ru/2186/2186884/cover/2186884.jpg", "Обложка")</f>
        <v>Обложка</v>
      </c>
      <c r="V4126" s="8" t="s">
        <v>2854</v>
      </c>
      <c r="W4126" s="6"/>
      <c r="X4126" s="6"/>
      <c r="Y4126" s="6"/>
      <c r="Z4126" s="6"/>
      <c r="AA4126" s="6" t="s">
        <v>274</v>
      </c>
      <c r="AB4126" s="8"/>
      <c r="AC4126" s="27">
        <v>9785160090559</v>
      </c>
    </row>
    <row r="4127" spans="1:29" s="4" customFormat="1" ht="51.9" customHeight="1" x14ac:dyDescent="0.2">
      <c r="A4127" s="5">
        <v>0</v>
      </c>
      <c r="B4127" s="6" t="s">
        <v>23983</v>
      </c>
      <c r="C4127" s="7">
        <v>1992</v>
      </c>
      <c r="D4127" s="8" t="s">
        <v>23984</v>
      </c>
      <c r="E4127" s="8" t="s">
        <v>23978</v>
      </c>
      <c r="F4127" s="8" t="s">
        <v>23979</v>
      </c>
      <c r="G4127" s="6" t="s">
        <v>60</v>
      </c>
      <c r="H4127" s="6" t="s">
        <v>34</v>
      </c>
      <c r="I4127" s="8" t="s">
        <v>263</v>
      </c>
      <c r="J4127" s="9">
        <v>1</v>
      </c>
      <c r="K4127" s="9">
        <v>332</v>
      </c>
      <c r="L4127" s="9">
        <v>2025</v>
      </c>
      <c r="M4127" s="8" t="s">
        <v>23985</v>
      </c>
      <c r="N4127" s="8" t="s">
        <v>585</v>
      </c>
      <c r="O4127" s="8" t="s">
        <v>1518</v>
      </c>
      <c r="P4127" s="6" t="s">
        <v>51</v>
      </c>
      <c r="Q4127" s="8" t="s">
        <v>265</v>
      </c>
      <c r="R4127" s="10" t="s">
        <v>23986</v>
      </c>
      <c r="S4127" s="11"/>
      <c r="T4127" s="6"/>
      <c r="U4127" s="15" t="str">
        <f>HYPERLINK("https://media.infra-m.ru/2175/2175111/cover/2175111.jpg", "Обложка")</f>
        <v>Обложка</v>
      </c>
      <c r="V4127" s="8" t="s">
        <v>2854</v>
      </c>
      <c r="W4127" s="6"/>
      <c r="X4127" s="6"/>
      <c r="Y4127" s="6"/>
      <c r="Z4127" s="6" t="s">
        <v>267</v>
      </c>
      <c r="AA4127" s="6" t="s">
        <v>68</v>
      </c>
      <c r="AB4127" s="8"/>
      <c r="AC4127" s="27">
        <v>9785160204659</v>
      </c>
    </row>
    <row r="4128" spans="1:29" s="4" customFormat="1" ht="51.9" customHeight="1" x14ac:dyDescent="0.2">
      <c r="A4128" s="5">
        <v>0</v>
      </c>
      <c r="B4128" s="6" t="s">
        <v>23987</v>
      </c>
      <c r="C4128" s="7">
        <v>3644.4</v>
      </c>
      <c r="D4128" s="8" t="s">
        <v>23988</v>
      </c>
      <c r="E4128" s="8" t="s">
        <v>23989</v>
      </c>
      <c r="F4128" s="8" t="s">
        <v>23990</v>
      </c>
      <c r="G4128" s="6" t="s">
        <v>60</v>
      </c>
      <c r="H4128" s="6" t="s">
        <v>34</v>
      </c>
      <c r="I4128" s="8" t="s">
        <v>2171</v>
      </c>
      <c r="J4128" s="9">
        <v>1</v>
      </c>
      <c r="K4128" s="9">
        <v>488</v>
      </c>
      <c r="L4128" s="9">
        <v>2026</v>
      </c>
      <c r="M4128" s="8" t="s">
        <v>23991</v>
      </c>
      <c r="N4128" s="8" t="s">
        <v>37</v>
      </c>
      <c r="O4128" s="8" t="s">
        <v>290</v>
      </c>
      <c r="P4128" s="6" t="s">
        <v>51</v>
      </c>
      <c r="Q4128" s="8" t="s">
        <v>65</v>
      </c>
      <c r="R4128" s="10" t="s">
        <v>23992</v>
      </c>
      <c r="S4128" s="11" t="s">
        <v>23993</v>
      </c>
      <c r="T4128" s="6"/>
      <c r="U4128" s="15" t="str">
        <f>HYPERLINK("https://media.infra-m.ru/2243/2243246/cover/2243246.jpg", "Обложка")</f>
        <v>Обложка</v>
      </c>
      <c r="V4128" s="8" t="s">
        <v>2175</v>
      </c>
      <c r="W4128" s="6"/>
      <c r="X4128" s="6"/>
      <c r="Y4128" s="6"/>
      <c r="Z4128" s="6"/>
      <c r="AA4128" s="6" t="s">
        <v>157</v>
      </c>
      <c r="AB4128" s="8"/>
      <c r="AC4128" s="27">
        <v>9785160186009</v>
      </c>
    </row>
    <row r="4129" spans="1:29" s="4" customFormat="1" ht="42" customHeight="1" x14ac:dyDescent="0.2">
      <c r="A4129" s="5">
        <v>0</v>
      </c>
      <c r="B4129" s="6" t="s">
        <v>23994</v>
      </c>
      <c r="C4129" s="7">
        <v>2376</v>
      </c>
      <c r="D4129" s="8" t="s">
        <v>23995</v>
      </c>
      <c r="E4129" s="8" t="s">
        <v>23996</v>
      </c>
      <c r="F4129" s="8"/>
      <c r="G4129" s="6" t="s">
        <v>33</v>
      </c>
      <c r="H4129" s="6" t="s">
        <v>34</v>
      </c>
      <c r="I4129" s="8"/>
      <c r="J4129" s="9">
        <v>1</v>
      </c>
      <c r="K4129" s="9">
        <v>52</v>
      </c>
      <c r="L4129" s="9">
        <v>2023</v>
      </c>
      <c r="M4129" s="8"/>
      <c r="N4129" s="8" t="s">
        <v>93</v>
      </c>
      <c r="O4129" s="8" t="s">
        <v>94</v>
      </c>
      <c r="P4129" s="6" t="s">
        <v>314</v>
      </c>
      <c r="Q4129" s="8"/>
      <c r="R4129" s="10"/>
      <c r="S4129" s="11"/>
      <c r="T4129" s="6"/>
      <c r="U4129" s="15" t="str">
        <f>HYPERLINK("https://media.infra-m.ru/1902/1902948/cover/1902948.jpg", "Обложка")</f>
        <v>Обложка</v>
      </c>
      <c r="V4129" s="8"/>
      <c r="W4129" s="6"/>
      <c r="X4129" s="6"/>
      <c r="Y4129" s="6"/>
      <c r="Z4129" s="6"/>
      <c r="AA4129" s="6" t="s">
        <v>55</v>
      </c>
      <c r="AB4129" s="8"/>
      <c r="AC4129" s="27"/>
    </row>
    <row r="4130" spans="1:29" s="4" customFormat="1" ht="42" customHeight="1" x14ac:dyDescent="0.2">
      <c r="A4130" s="5">
        <v>0</v>
      </c>
      <c r="B4130" s="6" t="s">
        <v>23997</v>
      </c>
      <c r="C4130" s="7">
        <v>2574</v>
      </c>
      <c r="D4130" s="8" t="s">
        <v>23998</v>
      </c>
      <c r="E4130" s="8" t="s">
        <v>23999</v>
      </c>
      <c r="F4130" s="8"/>
      <c r="G4130" s="6" t="s">
        <v>33</v>
      </c>
      <c r="H4130" s="6" t="s">
        <v>34</v>
      </c>
      <c r="I4130" s="8"/>
      <c r="J4130" s="9">
        <v>1</v>
      </c>
      <c r="K4130" s="9">
        <v>52</v>
      </c>
      <c r="L4130" s="9">
        <v>2026</v>
      </c>
      <c r="M4130" s="8"/>
      <c r="N4130" s="8" t="s">
        <v>93</v>
      </c>
      <c r="O4130" s="8" t="s">
        <v>94</v>
      </c>
      <c r="P4130" s="6" t="s">
        <v>314</v>
      </c>
      <c r="Q4130" s="8"/>
      <c r="R4130" s="10"/>
      <c r="S4130" s="11"/>
      <c r="T4130" s="6"/>
      <c r="U4130" s="15" t="str">
        <f>HYPERLINK("https://media.infra-m.ru/2228/2228165/cover/2228165.jpg", "Обложка")</f>
        <v>Обложка</v>
      </c>
      <c r="V4130" s="8"/>
      <c r="W4130" s="6" t="s">
        <v>649</v>
      </c>
      <c r="X4130" s="6"/>
      <c r="Y4130" s="6"/>
      <c r="Z4130" s="6"/>
      <c r="AA4130" s="6" t="s">
        <v>13424</v>
      </c>
      <c r="AB4130" s="8"/>
      <c r="AC4130" s="27"/>
    </row>
    <row r="4131" spans="1:29" s="4" customFormat="1" ht="51.9" customHeight="1" x14ac:dyDescent="0.2">
      <c r="A4131" s="5">
        <v>0</v>
      </c>
      <c r="B4131" s="6" t="s">
        <v>24000</v>
      </c>
      <c r="C4131" s="7">
        <v>1648.8</v>
      </c>
      <c r="D4131" s="8" t="s">
        <v>24001</v>
      </c>
      <c r="E4131" s="8" t="s">
        <v>24002</v>
      </c>
      <c r="F4131" s="8" t="s">
        <v>24003</v>
      </c>
      <c r="G4131" s="6" t="s">
        <v>60</v>
      </c>
      <c r="H4131" s="6" t="s">
        <v>34</v>
      </c>
      <c r="I4131" s="8" t="s">
        <v>253</v>
      </c>
      <c r="J4131" s="9">
        <v>1</v>
      </c>
      <c r="K4131" s="9">
        <v>250</v>
      </c>
      <c r="L4131" s="9">
        <v>2026</v>
      </c>
      <c r="M4131" s="8" t="s">
        <v>24004</v>
      </c>
      <c r="N4131" s="8" t="s">
        <v>243</v>
      </c>
      <c r="O4131" s="8" t="s">
        <v>329</v>
      </c>
      <c r="P4131" s="6" t="s">
        <v>51</v>
      </c>
      <c r="Q4131" s="8" t="s">
        <v>52</v>
      </c>
      <c r="R4131" s="10" t="s">
        <v>24005</v>
      </c>
      <c r="S4131" s="11"/>
      <c r="T4131" s="6"/>
      <c r="U4131" s="15" t="str">
        <f>HYPERLINK("https://media.infra-m.ru/2234/2234307/cover/2234307.jpg", "Обложка")</f>
        <v>Обложка</v>
      </c>
      <c r="V4131" s="8" t="s">
        <v>1030</v>
      </c>
      <c r="W4131" s="6"/>
      <c r="X4131" s="6"/>
      <c r="Y4131" s="6"/>
      <c r="Z4131" s="6"/>
      <c r="AA4131" s="6" t="s">
        <v>157</v>
      </c>
      <c r="AB4131" s="8"/>
      <c r="AC4131" s="27">
        <v>9785160177557</v>
      </c>
    </row>
    <row r="4132" spans="1:29" s="4" customFormat="1" ht="51.9" customHeight="1" x14ac:dyDescent="0.2">
      <c r="A4132" s="5">
        <v>0</v>
      </c>
      <c r="B4132" s="6" t="s">
        <v>24006</v>
      </c>
      <c r="C4132" s="7">
        <v>1468.8</v>
      </c>
      <c r="D4132" s="8" t="s">
        <v>24007</v>
      </c>
      <c r="E4132" s="8" t="s">
        <v>24008</v>
      </c>
      <c r="F4132" s="8" t="s">
        <v>24009</v>
      </c>
      <c r="G4132" s="6" t="s">
        <v>60</v>
      </c>
      <c r="H4132" s="6" t="s">
        <v>34</v>
      </c>
      <c r="I4132" s="8" t="s">
        <v>271</v>
      </c>
      <c r="J4132" s="9">
        <v>1</v>
      </c>
      <c r="K4132" s="9">
        <v>235</v>
      </c>
      <c r="L4132" s="9">
        <v>2025</v>
      </c>
      <c r="M4132" s="8" t="s">
        <v>24010</v>
      </c>
      <c r="N4132" s="8" t="s">
        <v>585</v>
      </c>
      <c r="O4132" s="8" t="s">
        <v>667</v>
      </c>
      <c r="P4132" s="6" t="s">
        <v>51</v>
      </c>
      <c r="Q4132" s="8" t="s">
        <v>52</v>
      </c>
      <c r="R4132" s="10" t="s">
        <v>24011</v>
      </c>
      <c r="S4132" s="11" t="s">
        <v>24012</v>
      </c>
      <c r="T4132" s="6"/>
      <c r="U4132" s="15" t="str">
        <f>HYPERLINK("https://media.infra-m.ru/2156/2156999/cover/2156999.jpg", "Обложка")</f>
        <v>Обложка</v>
      </c>
      <c r="V4132" s="8" t="s">
        <v>5882</v>
      </c>
      <c r="W4132" s="6"/>
      <c r="X4132" s="6"/>
      <c r="Y4132" s="6"/>
      <c r="Z4132" s="6"/>
      <c r="AA4132" s="6" t="s">
        <v>248</v>
      </c>
      <c r="AB4132" s="8"/>
      <c r="AC4132" s="27">
        <v>9785160067551</v>
      </c>
    </row>
    <row r="4133" spans="1:29" s="4" customFormat="1" ht="44.1" customHeight="1" x14ac:dyDescent="0.2">
      <c r="A4133" s="5">
        <v>0</v>
      </c>
      <c r="B4133" s="6" t="s">
        <v>24013</v>
      </c>
      <c r="C4133" s="13">
        <v>988.8</v>
      </c>
      <c r="D4133" s="8" t="s">
        <v>24014</v>
      </c>
      <c r="E4133" s="8" t="s">
        <v>24015</v>
      </c>
      <c r="F4133" s="8" t="s">
        <v>5879</v>
      </c>
      <c r="G4133" s="6" t="s">
        <v>60</v>
      </c>
      <c r="H4133" s="6" t="s">
        <v>34</v>
      </c>
      <c r="I4133" s="8" t="s">
        <v>263</v>
      </c>
      <c r="J4133" s="9">
        <v>1</v>
      </c>
      <c r="K4133" s="9">
        <v>142</v>
      </c>
      <c r="L4133" s="9">
        <v>2027</v>
      </c>
      <c r="M4133" s="8" t="s">
        <v>24016</v>
      </c>
      <c r="N4133" s="8" t="s">
        <v>585</v>
      </c>
      <c r="O4133" s="8" t="s">
        <v>667</v>
      </c>
      <c r="P4133" s="6" t="s">
        <v>51</v>
      </c>
      <c r="Q4133" s="8" t="s">
        <v>265</v>
      </c>
      <c r="R4133" s="10" t="s">
        <v>24017</v>
      </c>
      <c r="S4133" s="11"/>
      <c r="T4133" s="6"/>
      <c r="U4133" s="15" t="str">
        <f>HYPERLINK("https://media.infra-m.ru/2272/2272546/cover/2272546.jpg", "Обложка")</f>
        <v>Обложка</v>
      </c>
      <c r="V4133" s="8" t="s">
        <v>5882</v>
      </c>
      <c r="W4133" s="6"/>
      <c r="X4133" s="6"/>
      <c r="Y4133" s="6"/>
      <c r="Z4133" s="6"/>
      <c r="AA4133" s="6" t="s">
        <v>76</v>
      </c>
      <c r="AB4133" s="8"/>
      <c r="AC4133" s="27">
        <v>9785160189765</v>
      </c>
    </row>
    <row r="4134" spans="1:29" s="4" customFormat="1" ht="51.9" customHeight="1" x14ac:dyDescent="0.2">
      <c r="A4134" s="5">
        <v>0</v>
      </c>
      <c r="B4134" s="6" t="s">
        <v>24018</v>
      </c>
      <c r="C4134" s="7">
        <v>1036.8</v>
      </c>
      <c r="D4134" s="8" t="s">
        <v>24019</v>
      </c>
      <c r="E4134" s="8" t="s">
        <v>24020</v>
      </c>
      <c r="F4134" s="8" t="s">
        <v>24009</v>
      </c>
      <c r="G4134" s="6" t="s">
        <v>60</v>
      </c>
      <c r="H4134" s="6" t="s">
        <v>34</v>
      </c>
      <c r="I4134" s="8" t="s">
        <v>253</v>
      </c>
      <c r="J4134" s="9">
        <v>1</v>
      </c>
      <c r="K4134" s="9">
        <v>184</v>
      </c>
      <c r="L4134" s="9">
        <v>2024</v>
      </c>
      <c r="M4134" s="8" t="s">
        <v>24021</v>
      </c>
      <c r="N4134" s="8" t="s">
        <v>585</v>
      </c>
      <c r="O4134" s="8" t="s">
        <v>667</v>
      </c>
      <c r="P4134" s="6" t="s">
        <v>51</v>
      </c>
      <c r="Q4134" s="8" t="s">
        <v>52</v>
      </c>
      <c r="R4134" s="10" t="s">
        <v>7645</v>
      </c>
      <c r="S4134" s="11" t="s">
        <v>24012</v>
      </c>
      <c r="T4134" s="6"/>
      <c r="U4134" s="15" t="str">
        <f>HYPERLINK("https://media.infra-m.ru/2091/2091909/cover/2091909.jpg", "Обложка")</f>
        <v>Обложка</v>
      </c>
      <c r="V4134" s="8" t="s">
        <v>5882</v>
      </c>
      <c r="W4134" s="6"/>
      <c r="X4134" s="6"/>
      <c r="Y4134" s="6"/>
      <c r="Z4134" s="6"/>
      <c r="AA4134" s="6" t="s">
        <v>55</v>
      </c>
      <c r="AB4134" s="8"/>
      <c r="AC4134" s="27">
        <v>9785160057743</v>
      </c>
    </row>
    <row r="4135" spans="1:29" s="4" customFormat="1" ht="51.9" customHeight="1" x14ac:dyDescent="0.2">
      <c r="A4135" s="5">
        <v>0</v>
      </c>
      <c r="B4135" s="6" t="s">
        <v>24022</v>
      </c>
      <c r="C4135" s="13">
        <v>780</v>
      </c>
      <c r="D4135" s="8" t="s">
        <v>24023</v>
      </c>
      <c r="E4135" s="8" t="s">
        <v>24024</v>
      </c>
      <c r="F4135" s="8" t="s">
        <v>5879</v>
      </c>
      <c r="G4135" s="6" t="s">
        <v>118</v>
      </c>
      <c r="H4135" s="6" t="s">
        <v>34</v>
      </c>
      <c r="I4135" s="8" t="s">
        <v>253</v>
      </c>
      <c r="J4135" s="9">
        <v>1</v>
      </c>
      <c r="K4135" s="9">
        <v>117</v>
      </c>
      <c r="L4135" s="9">
        <v>2025</v>
      </c>
      <c r="M4135" s="8" t="s">
        <v>24025</v>
      </c>
      <c r="N4135" s="8" t="s">
        <v>585</v>
      </c>
      <c r="O4135" s="8" t="s">
        <v>667</v>
      </c>
      <c r="P4135" s="6" t="s">
        <v>51</v>
      </c>
      <c r="Q4135" s="8" t="s">
        <v>52</v>
      </c>
      <c r="R4135" s="10" t="s">
        <v>24026</v>
      </c>
      <c r="S4135" s="11" t="s">
        <v>24027</v>
      </c>
      <c r="T4135" s="6"/>
      <c r="U4135" s="15" t="str">
        <f>HYPERLINK("https://media.infra-m.ru/2164/2164374/cover/2164374.jpg", "Обложка")</f>
        <v>Обложка</v>
      </c>
      <c r="V4135" s="8" t="s">
        <v>5882</v>
      </c>
      <c r="W4135" s="6"/>
      <c r="X4135" s="6"/>
      <c r="Y4135" s="6"/>
      <c r="Z4135" s="6"/>
      <c r="AA4135" s="6" t="s">
        <v>430</v>
      </c>
      <c r="AB4135" s="8"/>
      <c r="AC4135" s="27">
        <v>9785160202532</v>
      </c>
    </row>
    <row r="4136" spans="1:29" s="4" customFormat="1" ht="51.9" customHeight="1" x14ac:dyDescent="0.2">
      <c r="A4136" s="5">
        <v>0</v>
      </c>
      <c r="B4136" s="6" t="s">
        <v>24028</v>
      </c>
      <c r="C4136" s="7">
        <v>1320</v>
      </c>
      <c r="D4136" s="8" t="s">
        <v>24029</v>
      </c>
      <c r="E4136" s="8" t="s">
        <v>24030</v>
      </c>
      <c r="F4136" s="8" t="s">
        <v>5879</v>
      </c>
      <c r="G4136" s="6" t="s">
        <v>118</v>
      </c>
      <c r="H4136" s="6" t="s">
        <v>34</v>
      </c>
      <c r="I4136" s="8" t="s">
        <v>271</v>
      </c>
      <c r="J4136" s="9">
        <v>1</v>
      </c>
      <c r="K4136" s="9">
        <v>220</v>
      </c>
      <c r="L4136" s="9">
        <v>2022</v>
      </c>
      <c r="M4136" s="8" t="s">
        <v>24031</v>
      </c>
      <c r="N4136" s="8" t="s">
        <v>585</v>
      </c>
      <c r="O4136" s="8" t="s">
        <v>667</v>
      </c>
      <c r="P4136" s="6" t="s">
        <v>51</v>
      </c>
      <c r="Q4136" s="8" t="s">
        <v>52</v>
      </c>
      <c r="R4136" s="10" t="s">
        <v>24026</v>
      </c>
      <c r="S4136" s="11" t="s">
        <v>24032</v>
      </c>
      <c r="T4136" s="6"/>
      <c r="U4136" s="15" t="str">
        <f>HYPERLINK("https://media.infra-m.ru/1947/1947418/cover/1947418.jpg", "Обложка")</f>
        <v>Обложка</v>
      </c>
      <c r="V4136" s="8" t="s">
        <v>5882</v>
      </c>
      <c r="W4136" s="6"/>
      <c r="X4136" s="6"/>
      <c r="Y4136" s="6"/>
      <c r="Z4136" s="6"/>
      <c r="AA4136" s="6" t="s">
        <v>148</v>
      </c>
      <c r="AB4136" s="8"/>
      <c r="AC4136" s="27">
        <v>9785160166124</v>
      </c>
    </row>
    <row r="4137" spans="1:29" s="4" customFormat="1" ht="44.1" customHeight="1" x14ac:dyDescent="0.2">
      <c r="A4137" s="5">
        <v>0</v>
      </c>
      <c r="B4137" s="6" t="s">
        <v>24033</v>
      </c>
      <c r="C4137" s="7">
        <v>1096.8</v>
      </c>
      <c r="D4137" s="8" t="s">
        <v>24034</v>
      </c>
      <c r="E4137" s="8" t="s">
        <v>24035</v>
      </c>
      <c r="F4137" s="8" t="s">
        <v>5879</v>
      </c>
      <c r="G4137" s="6" t="s">
        <v>118</v>
      </c>
      <c r="H4137" s="6" t="s">
        <v>34</v>
      </c>
      <c r="I4137" s="8" t="s">
        <v>253</v>
      </c>
      <c r="J4137" s="9">
        <v>1</v>
      </c>
      <c r="K4137" s="9">
        <v>131</v>
      </c>
      <c r="L4137" s="9">
        <v>2026</v>
      </c>
      <c r="M4137" s="8" t="s">
        <v>24036</v>
      </c>
      <c r="N4137" s="8" t="s">
        <v>585</v>
      </c>
      <c r="O4137" s="8" t="s">
        <v>667</v>
      </c>
      <c r="P4137" s="6" t="s">
        <v>51</v>
      </c>
      <c r="Q4137" s="8" t="s">
        <v>65</v>
      </c>
      <c r="R4137" s="10" t="s">
        <v>24037</v>
      </c>
      <c r="S4137" s="11"/>
      <c r="T4137" s="6"/>
      <c r="U4137" s="15" t="str">
        <f>HYPERLINK("https://media.infra-m.ru/2258/2258668/cover/2258668.jpg", "Обложка")</f>
        <v>Обложка</v>
      </c>
      <c r="V4137" s="8" t="s">
        <v>5882</v>
      </c>
      <c r="W4137" s="6"/>
      <c r="X4137" s="6"/>
      <c r="Y4137" s="6"/>
      <c r="Z4137" s="6"/>
      <c r="AA4137" s="6" t="s">
        <v>157</v>
      </c>
      <c r="AB4137" s="8"/>
      <c r="AC4137" s="27">
        <v>9785160183756</v>
      </c>
    </row>
    <row r="4138" spans="1:29" s="4" customFormat="1" ht="51.9" customHeight="1" x14ac:dyDescent="0.2">
      <c r="A4138" s="5">
        <v>0</v>
      </c>
      <c r="B4138" s="6" t="s">
        <v>24038</v>
      </c>
      <c r="C4138" s="13">
        <v>917.9</v>
      </c>
      <c r="D4138" s="8" t="s">
        <v>24039</v>
      </c>
      <c r="E4138" s="8" t="s">
        <v>24040</v>
      </c>
      <c r="F4138" s="8" t="s">
        <v>5879</v>
      </c>
      <c r="G4138" s="6" t="s">
        <v>60</v>
      </c>
      <c r="H4138" s="6" t="s">
        <v>34</v>
      </c>
      <c r="I4138" s="8" t="s">
        <v>263</v>
      </c>
      <c r="J4138" s="9">
        <v>1</v>
      </c>
      <c r="K4138" s="9">
        <v>148</v>
      </c>
      <c r="L4138" s="9">
        <v>2022</v>
      </c>
      <c r="M4138" s="8" t="s">
        <v>24041</v>
      </c>
      <c r="N4138" s="8" t="s">
        <v>585</v>
      </c>
      <c r="O4138" s="8" t="s">
        <v>667</v>
      </c>
      <c r="P4138" s="6" t="s">
        <v>51</v>
      </c>
      <c r="Q4138" s="8" t="s">
        <v>265</v>
      </c>
      <c r="R4138" s="10" t="s">
        <v>24042</v>
      </c>
      <c r="S4138" s="11" t="s">
        <v>24043</v>
      </c>
      <c r="T4138" s="6"/>
      <c r="U4138" s="15" t="str">
        <f>HYPERLINK("https://media.infra-m.ru/1904/1904395/cover/1904395.jpg", "Обложка")</f>
        <v>Обложка</v>
      </c>
      <c r="V4138" s="8" t="s">
        <v>5882</v>
      </c>
      <c r="W4138" s="6"/>
      <c r="X4138" s="6"/>
      <c r="Y4138" s="6"/>
      <c r="Z4138" s="6"/>
      <c r="AA4138" s="6" t="s">
        <v>148</v>
      </c>
      <c r="AB4138" s="8" t="s">
        <v>2697</v>
      </c>
      <c r="AC4138" s="27">
        <v>9785160177700</v>
      </c>
    </row>
    <row r="4139" spans="1:29" s="4" customFormat="1" ht="51.9" customHeight="1" x14ac:dyDescent="0.2">
      <c r="A4139" s="5">
        <v>0</v>
      </c>
      <c r="B4139" s="6" t="s">
        <v>24044</v>
      </c>
      <c r="C4139" s="7">
        <v>1176</v>
      </c>
      <c r="D4139" s="8" t="s">
        <v>24045</v>
      </c>
      <c r="E4139" s="8" t="s">
        <v>24046</v>
      </c>
      <c r="F4139" s="8" t="s">
        <v>24047</v>
      </c>
      <c r="G4139" s="6" t="s">
        <v>118</v>
      </c>
      <c r="H4139" s="6" t="s">
        <v>5605</v>
      </c>
      <c r="I4139" s="8" t="s">
        <v>253</v>
      </c>
      <c r="J4139" s="9">
        <v>1</v>
      </c>
      <c r="K4139" s="9">
        <v>172</v>
      </c>
      <c r="L4139" s="9">
        <v>2026</v>
      </c>
      <c r="M4139" s="8" t="s">
        <v>24048</v>
      </c>
      <c r="N4139" s="8" t="s">
        <v>585</v>
      </c>
      <c r="O4139" s="8" t="s">
        <v>667</v>
      </c>
      <c r="P4139" s="6" t="s">
        <v>51</v>
      </c>
      <c r="Q4139" s="8" t="s">
        <v>52</v>
      </c>
      <c r="R4139" s="10" t="s">
        <v>24049</v>
      </c>
      <c r="S4139" s="11" t="s">
        <v>24050</v>
      </c>
      <c r="T4139" s="6"/>
      <c r="U4139" s="15" t="str">
        <f>HYPERLINK("https://media.infra-m.ru/2223/2223531/cover/2223531.jpg", "Обложка")</f>
        <v>Обложка</v>
      </c>
      <c r="V4139" s="8" t="s">
        <v>761</v>
      </c>
      <c r="W4139" s="6"/>
      <c r="X4139" s="6"/>
      <c r="Y4139" s="6"/>
      <c r="Z4139" s="6"/>
      <c r="AA4139" s="6" t="s">
        <v>16533</v>
      </c>
      <c r="AB4139" s="8"/>
      <c r="AC4139" s="27">
        <v>9785160032733</v>
      </c>
    </row>
    <row r="4140" spans="1:29" s="4" customFormat="1" ht="51.9" customHeight="1" x14ac:dyDescent="0.2">
      <c r="A4140" s="5">
        <v>0</v>
      </c>
      <c r="B4140" s="6" t="s">
        <v>24051</v>
      </c>
      <c r="C4140" s="7">
        <v>1132.8</v>
      </c>
      <c r="D4140" s="8" t="s">
        <v>24052</v>
      </c>
      <c r="E4140" s="8" t="s">
        <v>24046</v>
      </c>
      <c r="F4140" s="8" t="s">
        <v>24053</v>
      </c>
      <c r="G4140" s="6" t="s">
        <v>118</v>
      </c>
      <c r="H4140" s="6" t="s">
        <v>34</v>
      </c>
      <c r="I4140" s="8" t="s">
        <v>263</v>
      </c>
      <c r="J4140" s="9">
        <v>1</v>
      </c>
      <c r="K4140" s="9">
        <v>172</v>
      </c>
      <c r="L4140" s="9">
        <v>2026</v>
      </c>
      <c r="M4140" s="8" t="s">
        <v>24054</v>
      </c>
      <c r="N4140" s="8" t="s">
        <v>585</v>
      </c>
      <c r="O4140" s="8" t="s">
        <v>667</v>
      </c>
      <c r="P4140" s="6" t="s">
        <v>51</v>
      </c>
      <c r="Q4140" s="8" t="s">
        <v>265</v>
      </c>
      <c r="R4140" s="10" t="s">
        <v>24055</v>
      </c>
      <c r="S4140" s="11" t="s">
        <v>24056</v>
      </c>
      <c r="T4140" s="6"/>
      <c r="U4140" s="15" t="str">
        <f>HYPERLINK("https://media.infra-m.ru/2238/2238043/cover/2238043.jpg", "Обложка")</f>
        <v>Обложка</v>
      </c>
      <c r="V4140" s="8" t="s">
        <v>761</v>
      </c>
      <c r="W4140" s="6"/>
      <c r="X4140" s="6"/>
      <c r="Y4140" s="6"/>
      <c r="Z4140" s="6" t="s">
        <v>267</v>
      </c>
      <c r="AA4140" s="6" t="s">
        <v>1117</v>
      </c>
      <c r="AB4140" s="8"/>
      <c r="AC4140" s="27">
        <v>9785160141473</v>
      </c>
    </row>
    <row r="4141" spans="1:29" s="4" customFormat="1" ht="51.9" customHeight="1" x14ac:dyDescent="0.2">
      <c r="A4141" s="5">
        <v>0</v>
      </c>
      <c r="B4141" s="6" t="s">
        <v>24057</v>
      </c>
      <c r="C4141" s="7">
        <v>1116</v>
      </c>
      <c r="D4141" s="8" t="s">
        <v>24058</v>
      </c>
      <c r="E4141" s="8" t="s">
        <v>24059</v>
      </c>
      <c r="F4141" s="8" t="s">
        <v>5879</v>
      </c>
      <c r="G4141" s="6" t="s">
        <v>60</v>
      </c>
      <c r="H4141" s="6" t="s">
        <v>34</v>
      </c>
      <c r="I4141" s="8" t="s">
        <v>1835</v>
      </c>
      <c r="J4141" s="9">
        <v>1</v>
      </c>
      <c r="K4141" s="9">
        <v>178</v>
      </c>
      <c r="L4141" s="9">
        <v>2025</v>
      </c>
      <c r="M4141" s="8" t="s">
        <v>24060</v>
      </c>
      <c r="N4141" s="8" t="s">
        <v>585</v>
      </c>
      <c r="O4141" s="8" t="s">
        <v>667</v>
      </c>
      <c r="P4141" s="6" t="s">
        <v>1837</v>
      </c>
      <c r="Q4141" s="8" t="s">
        <v>65</v>
      </c>
      <c r="R4141" s="10" t="s">
        <v>24061</v>
      </c>
      <c r="S4141" s="11"/>
      <c r="T4141" s="6"/>
      <c r="U4141" s="15" t="str">
        <f>HYPERLINK("https://media.infra-m.ru/2151/2151101/cover/2151101.jpg", "Обложка")</f>
        <v>Обложка</v>
      </c>
      <c r="V4141" s="8" t="s">
        <v>5882</v>
      </c>
      <c r="W4141" s="6"/>
      <c r="X4141" s="6"/>
      <c r="Y4141" s="6"/>
      <c r="Z4141" s="6"/>
      <c r="AA4141" s="6" t="s">
        <v>68</v>
      </c>
      <c r="AB4141" s="8"/>
      <c r="AC4141" s="27">
        <v>9785160200002</v>
      </c>
    </row>
    <row r="4142" spans="1:29" s="4" customFormat="1" ht="51.9" customHeight="1" x14ac:dyDescent="0.2">
      <c r="A4142" s="5">
        <v>0</v>
      </c>
      <c r="B4142" s="6" t="s">
        <v>24062</v>
      </c>
      <c r="C4142" s="7">
        <v>1716</v>
      </c>
      <c r="D4142" s="8" t="s">
        <v>24063</v>
      </c>
      <c r="E4142" s="8" t="s">
        <v>24064</v>
      </c>
      <c r="F4142" s="8" t="s">
        <v>24065</v>
      </c>
      <c r="G4142" s="6" t="s">
        <v>118</v>
      </c>
      <c r="H4142" s="6" t="s">
        <v>34</v>
      </c>
      <c r="I4142" s="8" t="s">
        <v>1248</v>
      </c>
      <c r="J4142" s="9">
        <v>1</v>
      </c>
      <c r="K4142" s="9">
        <v>259</v>
      </c>
      <c r="L4142" s="9">
        <v>2026</v>
      </c>
      <c r="M4142" s="8" t="s">
        <v>24066</v>
      </c>
      <c r="N4142" s="8" t="s">
        <v>243</v>
      </c>
      <c r="O4142" s="8" t="s">
        <v>329</v>
      </c>
      <c r="P4142" s="6" t="s">
        <v>306</v>
      </c>
      <c r="Q4142" s="8" t="s">
        <v>52</v>
      </c>
      <c r="R4142" s="10" t="s">
        <v>24067</v>
      </c>
      <c r="S4142" s="11" t="s">
        <v>24068</v>
      </c>
      <c r="T4142" s="6"/>
      <c r="U4142" s="15" t="str">
        <f>HYPERLINK("https://media.infra-m.ru/2246/2246654/cover/2246654.jpg", "Обложка")</f>
        <v>Обложка</v>
      </c>
      <c r="V4142" s="8" t="s">
        <v>1083</v>
      </c>
      <c r="W4142" s="6"/>
      <c r="X4142" s="6"/>
      <c r="Y4142" s="6"/>
      <c r="Z4142" s="6"/>
      <c r="AA4142" s="6" t="s">
        <v>14022</v>
      </c>
      <c r="AB4142" s="8"/>
      <c r="AC4142" s="27">
        <v>9785160192253</v>
      </c>
    </row>
    <row r="4143" spans="1:29" s="4" customFormat="1" ht="51.9" customHeight="1" x14ac:dyDescent="0.2">
      <c r="A4143" s="5">
        <v>0</v>
      </c>
      <c r="B4143" s="6" t="s">
        <v>24069</v>
      </c>
      <c r="C4143" s="7">
        <v>2196</v>
      </c>
      <c r="D4143" s="8" t="s">
        <v>24070</v>
      </c>
      <c r="E4143" s="8" t="s">
        <v>24059</v>
      </c>
      <c r="F4143" s="8" t="s">
        <v>5879</v>
      </c>
      <c r="G4143" s="6" t="s">
        <v>118</v>
      </c>
      <c r="H4143" s="6" t="s">
        <v>34</v>
      </c>
      <c r="I4143" s="8" t="s">
        <v>263</v>
      </c>
      <c r="J4143" s="9">
        <v>1</v>
      </c>
      <c r="K4143" s="9">
        <v>332</v>
      </c>
      <c r="L4143" s="9">
        <v>2026</v>
      </c>
      <c r="M4143" s="8" t="s">
        <v>24071</v>
      </c>
      <c r="N4143" s="8" t="s">
        <v>585</v>
      </c>
      <c r="O4143" s="8" t="s">
        <v>667</v>
      </c>
      <c r="P4143" s="6" t="s">
        <v>306</v>
      </c>
      <c r="Q4143" s="8" t="s">
        <v>265</v>
      </c>
      <c r="R4143" s="10" t="s">
        <v>24072</v>
      </c>
      <c r="S4143" s="11" t="s">
        <v>24073</v>
      </c>
      <c r="T4143" s="6"/>
      <c r="U4143" s="15" t="str">
        <f>HYPERLINK("https://media.infra-m.ru/2237/2237126/cover/2237126.jpg", "Обложка")</f>
        <v>Обложка</v>
      </c>
      <c r="V4143" s="8" t="s">
        <v>5882</v>
      </c>
      <c r="W4143" s="6"/>
      <c r="X4143" s="6"/>
      <c r="Y4143" s="6"/>
      <c r="Z4143" s="6"/>
      <c r="AA4143" s="6" t="s">
        <v>148</v>
      </c>
      <c r="AB4143" s="8" t="s">
        <v>2697</v>
      </c>
      <c r="AC4143" s="27">
        <v>9785160177717</v>
      </c>
    </row>
    <row r="4144" spans="1:29" s="4" customFormat="1" ht="51.9" customHeight="1" x14ac:dyDescent="0.2">
      <c r="A4144" s="5">
        <v>0</v>
      </c>
      <c r="B4144" s="6" t="s">
        <v>24074</v>
      </c>
      <c r="C4144" s="7">
        <v>2446.8000000000002</v>
      </c>
      <c r="D4144" s="8" t="s">
        <v>24075</v>
      </c>
      <c r="E4144" s="8" t="s">
        <v>24076</v>
      </c>
      <c r="F4144" s="8" t="s">
        <v>24053</v>
      </c>
      <c r="G4144" s="6" t="s">
        <v>118</v>
      </c>
      <c r="H4144" s="6" t="s">
        <v>34</v>
      </c>
      <c r="I4144" s="8" t="s">
        <v>253</v>
      </c>
      <c r="J4144" s="9">
        <v>1</v>
      </c>
      <c r="K4144" s="9">
        <v>285</v>
      </c>
      <c r="L4144" s="9">
        <v>2026</v>
      </c>
      <c r="M4144" s="8" t="s">
        <v>24077</v>
      </c>
      <c r="N4144" s="8" t="s">
        <v>585</v>
      </c>
      <c r="O4144" s="8" t="s">
        <v>667</v>
      </c>
      <c r="P4144" s="6" t="s">
        <v>306</v>
      </c>
      <c r="Q4144" s="8" t="s">
        <v>52</v>
      </c>
      <c r="R4144" s="10" t="s">
        <v>24078</v>
      </c>
      <c r="S4144" s="11" t="s">
        <v>24079</v>
      </c>
      <c r="T4144" s="6"/>
      <c r="U4144" s="15" t="str">
        <f>HYPERLINK("https://media.infra-m.ru/2238/2238037/cover/2238037.jpg", "Обложка")</f>
        <v>Обложка</v>
      </c>
      <c r="V4144" s="8" t="s">
        <v>761</v>
      </c>
      <c r="W4144" s="6"/>
      <c r="X4144" s="6"/>
      <c r="Y4144" s="6"/>
      <c r="Z4144" s="6"/>
      <c r="AA4144" s="6" t="s">
        <v>2189</v>
      </c>
      <c r="AB4144" s="8"/>
      <c r="AC4144" s="27">
        <v>9785160200071</v>
      </c>
    </row>
    <row r="4145" spans="1:29" s="4" customFormat="1" ht="42" customHeight="1" x14ac:dyDescent="0.2">
      <c r="A4145" s="5">
        <v>0</v>
      </c>
      <c r="B4145" s="6" t="s">
        <v>24080</v>
      </c>
      <c r="C4145" s="7">
        <v>2446.8000000000002</v>
      </c>
      <c r="D4145" s="8" t="s">
        <v>24081</v>
      </c>
      <c r="E4145" s="8" t="s">
        <v>24076</v>
      </c>
      <c r="F4145" s="8" t="s">
        <v>24053</v>
      </c>
      <c r="G4145" s="6" t="s">
        <v>118</v>
      </c>
      <c r="H4145" s="6" t="s">
        <v>34</v>
      </c>
      <c r="I4145" s="8" t="s">
        <v>263</v>
      </c>
      <c r="J4145" s="9">
        <v>1</v>
      </c>
      <c r="K4145" s="9">
        <v>285</v>
      </c>
      <c r="L4145" s="9">
        <v>2026</v>
      </c>
      <c r="M4145" s="8" t="s">
        <v>24082</v>
      </c>
      <c r="N4145" s="8" t="s">
        <v>585</v>
      </c>
      <c r="O4145" s="8" t="s">
        <v>667</v>
      </c>
      <c r="P4145" s="6" t="s">
        <v>306</v>
      </c>
      <c r="Q4145" s="8" t="s">
        <v>265</v>
      </c>
      <c r="R4145" s="10" t="s">
        <v>24083</v>
      </c>
      <c r="S4145" s="11"/>
      <c r="T4145" s="6"/>
      <c r="U4145" s="15" t="str">
        <f>HYPERLINK("https://media.infra-m.ru/2150/2150765/cover/2150765.jpg", "Обложка")</f>
        <v>Обложка</v>
      </c>
      <c r="V4145" s="8" t="s">
        <v>761</v>
      </c>
      <c r="W4145" s="6" t="s">
        <v>1382</v>
      </c>
      <c r="X4145" s="6"/>
      <c r="Y4145" s="6"/>
      <c r="Z4145" s="6" t="s">
        <v>267</v>
      </c>
      <c r="AA4145" s="6" t="s">
        <v>3772</v>
      </c>
      <c r="AB4145" s="8"/>
      <c r="AC4145" s="27">
        <v>9785160200354</v>
      </c>
    </row>
    <row r="4146" spans="1:29" s="4" customFormat="1" ht="44.1" customHeight="1" x14ac:dyDescent="0.2">
      <c r="A4146" s="5">
        <v>0</v>
      </c>
      <c r="B4146" s="6" t="s">
        <v>24084</v>
      </c>
      <c r="C4146" s="7">
        <v>1440</v>
      </c>
      <c r="D4146" s="8" t="s">
        <v>24085</v>
      </c>
      <c r="E4146" s="8" t="s">
        <v>24059</v>
      </c>
      <c r="F4146" s="8" t="s">
        <v>24086</v>
      </c>
      <c r="G4146" s="6" t="s">
        <v>118</v>
      </c>
      <c r="H4146" s="6" t="s">
        <v>34</v>
      </c>
      <c r="I4146" s="8" t="s">
        <v>263</v>
      </c>
      <c r="J4146" s="9">
        <v>1</v>
      </c>
      <c r="K4146" s="9">
        <v>248</v>
      </c>
      <c r="L4146" s="9">
        <v>2024</v>
      </c>
      <c r="M4146" s="8" t="s">
        <v>24087</v>
      </c>
      <c r="N4146" s="8" t="s">
        <v>585</v>
      </c>
      <c r="O4146" s="8" t="s">
        <v>667</v>
      </c>
      <c r="P4146" s="6" t="s">
        <v>51</v>
      </c>
      <c r="Q4146" s="8" t="s">
        <v>265</v>
      </c>
      <c r="R4146" s="10" t="s">
        <v>24083</v>
      </c>
      <c r="S4146" s="11"/>
      <c r="T4146" s="6"/>
      <c r="U4146" s="15" t="str">
        <f>HYPERLINK("https://media.infra-m.ru/2150/2150766/cover/2150766.jpg", "Обложка")</f>
        <v>Обложка</v>
      </c>
      <c r="V4146" s="8" t="s">
        <v>9227</v>
      </c>
      <c r="W4146" s="6"/>
      <c r="X4146" s="6"/>
      <c r="Y4146" s="6"/>
      <c r="Z4146" s="6" t="s">
        <v>882</v>
      </c>
      <c r="AA4146" s="6" t="s">
        <v>76</v>
      </c>
      <c r="AB4146" s="8"/>
      <c r="AC4146" s="27">
        <v>9785160199962</v>
      </c>
    </row>
    <row r="4147" spans="1:29" s="4" customFormat="1" ht="42" customHeight="1" x14ac:dyDescent="0.2">
      <c r="A4147" s="5">
        <v>0</v>
      </c>
      <c r="B4147" s="6" t="s">
        <v>24088</v>
      </c>
      <c r="C4147" s="7">
        <v>2270.4</v>
      </c>
      <c r="D4147" s="8" t="s">
        <v>24089</v>
      </c>
      <c r="E4147" s="8" t="s">
        <v>24059</v>
      </c>
      <c r="F4147" s="8" t="s">
        <v>7643</v>
      </c>
      <c r="G4147" s="6" t="s">
        <v>60</v>
      </c>
      <c r="H4147" s="6" t="s">
        <v>34</v>
      </c>
      <c r="I4147" s="8" t="s">
        <v>1248</v>
      </c>
      <c r="J4147" s="9">
        <v>1</v>
      </c>
      <c r="K4147" s="9">
        <v>291</v>
      </c>
      <c r="L4147" s="9">
        <v>2024</v>
      </c>
      <c r="M4147" s="8" t="s">
        <v>24090</v>
      </c>
      <c r="N4147" s="8" t="s">
        <v>585</v>
      </c>
      <c r="O4147" s="8" t="s">
        <v>667</v>
      </c>
      <c r="P4147" s="6" t="s">
        <v>306</v>
      </c>
      <c r="Q4147" s="8" t="s">
        <v>65</v>
      </c>
      <c r="R4147" s="10" t="s">
        <v>24091</v>
      </c>
      <c r="S4147" s="11"/>
      <c r="T4147" s="6"/>
      <c r="U4147" s="15" t="str">
        <f>HYPERLINK("https://media.infra-m.ru/2133/2133998/cover/2133998.jpg", "Обложка")</f>
        <v>Обложка</v>
      </c>
      <c r="V4147" s="8" t="s">
        <v>1083</v>
      </c>
      <c r="W4147" s="6"/>
      <c r="X4147" s="6"/>
      <c r="Y4147" s="6"/>
      <c r="Z4147" s="6"/>
      <c r="AA4147" s="6" t="s">
        <v>76</v>
      </c>
      <c r="AB4147" s="8"/>
      <c r="AC4147" s="27">
        <v>9785160196961</v>
      </c>
    </row>
    <row r="4148" spans="1:29" s="4" customFormat="1" ht="51.9" customHeight="1" x14ac:dyDescent="0.2">
      <c r="A4148" s="5">
        <v>0</v>
      </c>
      <c r="B4148" s="6" t="s">
        <v>24092</v>
      </c>
      <c r="C4148" s="13">
        <v>725.9</v>
      </c>
      <c r="D4148" s="8" t="s">
        <v>24093</v>
      </c>
      <c r="E4148" s="8" t="s">
        <v>24076</v>
      </c>
      <c r="F4148" s="8" t="s">
        <v>24094</v>
      </c>
      <c r="G4148" s="6" t="s">
        <v>33</v>
      </c>
      <c r="H4148" s="6" t="s">
        <v>34</v>
      </c>
      <c r="I4148" s="8" t="s">
        <v>7198</v>
      </c>
      <c r="J4148" s="9">
        <v>1</v>
      </c>
      <c r="K4148" s="9">
        <v>144</v>
      </c>
      <c r="L4148" s="9">
        <v>2022</v>
      </c>
      <c r="M4148" s="8" t="s">
        <v>24095</v>
      </c>
      <c r="N4148" s="8" t="s">
        <v>585</v>
      </c>
      <c r="O4148" s="8" t="s">
        <v>667</v>
      </c>
      <c r="P4148" s="6" t="s">
        <v>51</v>
      </c>
      <c r="Q4148" s="8" t="s">
        <v>52</v>
      </c>
      <c r="R4148" s="10" t="s">
        <v>24096</v>
      </c>
      <c r="S4148" s="11" t="s">
        <v>24097</v>
      </c>
      <c r="T4148" s="6"/>
      <c r="U4148" s="15" t="str">
        <f>HYPERLINK("https://media.infra-m.ru/1873/1873267/cover/1873267.jpg", "Обложка")</f>
        <v>Обложка</v>
      </c>
      <c r="V4148" s="8" t="s">
        <v>1083</v>
      </c>
      <c r="W4148" s="6"/>
      <c r="X4148" s="6"/>
      <c r="Y4148" s="6"/>
      <c r="Z4148" s="6"/>
      <c r="AA4148" s="6" t="s">
        <v>2311</v>
      </c>
      <c r="AB4148" s="8"/>
      <c r="AC4148" s="27">
        <v>9785160129648</v>
      </c>
    </row>
    <row r="4149" spans="1:29" s="4" customFormat="1" ht="51.9" customHeight="1" x14ac:dyDescent="0.2">
      <c r="A4149" s="5">
        <v>0</v>
      </c>
      <c r="B4149" s="6" t="s">
        <v>24098</v>
      </c>
      <c r="C4149" s="7">
        <v>1636.8</v>
      </c>
      <c r="D4149" s="8" t="s">
        <v>24099</v>
      </c>
      <c r="E4149" s="8" t="s">
        <v>24059</v>
      </c>
      <c r="F4149" s="8" t="s">
        <v>24086</v>
      </c>
      <c r="G4149" s="6" t="s">
        <v>118</v>
      </c>
      <c r="H4149" s="6" t="s">
        <v>34</v>
      </c>
      <c r="I4149" s="8" t="s">
        <v>253</v>
      </c>
      <c r="J4149" s="9">
        <v>1</v>
      </c>
      <c r="K4149" s="9">
        <v>248</v>
      </c>
      <c r="L4149" s="9">
        <v>2026</v>
      </c>
      <c r="M4149" s="8" t="s">
        <v>24100</v>
      </c>
      <c r="N4149" s="8" t="s">
        <v>585</v>
      </c>
      <c r="O4149" s="8" t="s">
        <v>667</v>
      </c>
      <c r="P4149" s="6" t="s">
        <v>51</v>
      </c>
      <c r="Q4149" s="8" t="s">
        <v>65</v>
      </c>
      <c r="R4149" s="10" t="s">
        <v>24078</v>
      </c>
      <c r="S4149" s="11" t="s">
        <v>24101</v>
      </c>
      <c r="T4149" s="6"/>
      <c r="U4149" s="15" t="str">
        <f>HYPERLINK("https://media.infra-m.ru/2251/2251090/cover/2251090.jpg", "Обложка")</f>
        <v>Обложка</v>
      </c>
      <c r="V4149" s="8" t="s">
        <v>9227</v>
      </c>
      <c r="W4149" s="6"/>
      <c r="X4149" s="6"/>
      <c r="Y4149" s="6"/>
      <c r="Z4149" s="6"/>
      <c r="AA4149" s="6" t="s">
        <v>55</v>
      </c>
      <c r="AB4149" s="8"/>
      <c r="AC4149" s="27">
        <v>9785160184388</v>
      </c>
    </row>
    <row r="4150" spans="1:29" s="4" customFormat="1" ht="51.9" customHeight="1" x14ac:dyDescent="0.2">
      <c r="A4150" s="5">
        <v>0</v>
      </c>
      <c r="B4150" s="6" t="s">
        <v>24102</v>
      </c>
      <c r="C4150" s="13">
        <v>672</v>
      </c>
      <c r="D4150" s="8" t="s">
        <v>24103</v>
      </c>
      <c r="E4150" s="8" t="s">
        <v>24104</v>
      </c>
      <c r="F4150" s="8" t="s">
        <v>24105</v>
      </c>
      <c r="G4150" s="6" t="s">
        <v>33</v>
      </c>
      <c r="H4150" s="6" t="s">
        <v>313</v>
      </c>
      <c r="I4150" s="8" t="s">
        <v>35</v>
      </c>
      <c r="J4150" s="9">
        <v>1</v>
      </c>
      <c r="K4150" s="9">
        <v>116</v>
      </c>
      <c r="L4150" s="9">
        <v>2024</v>
      </c>
      <c r="M4150" s="8" t="s">
        <v>24106</v>
      </c>
      <c r="N4150" s="8" t="s">
        <v>37</v>
      </c>
      <c r="O4150" s="8" t="s">
        <v>233</v>
      </c>
      <c r="P4150" s="6" t="s">
        <v>39</v>
      </c>
      <c r="Q4150" s="8" t="s">
        <v>749</v>
      </c>
      <c r="R4150" s="10" t="s">
        <v>24107</v>
      </c>
      <c r="S4150" s="11"/>
      <c r="T4150" s="6"/>
      <c r="U4150" s="15" t="str">
        <f>HYPERLINK("https://media.infra-m.ru/2119/2119095/cover/2119095.jpg", "Обложка")</f>
        <v>Обложка</v>
      </c>
      <c r="V4150" s="8" t="s">
        <v>2398</v>
      </c>
      <c r="W4150" s="6"/>
      <c r="X4150" s="6"/>
      <c r="Y4150" s="6"/>
      <c r="Z4150" s="6"/>
      <c r="AA4150" s="6" t="s">
        <v>248</v>
      </c>
      <c r="AB4150" s="8"/>
      <c r="AC4150" s="27">
        <v>9785369013182</v>
      </c>
    </row>
    <row r="4151" spans="1:29" s="4" customFormat="1" ht="51.9" customHeight="1" x14ac:dyDescent="0.2">
      <c r="A4151" s="5">
        <v>0</v>
      </c>
      <c r="B4151" s="6" t="s">
        <v>24108</v>
      </c>
      <c r="C4151" s="7">
        <v>1734</v>
      </c>
      <c r="D4151" s="8" t="s">
        <v>24109</v>
      </c>
      <c r="E4151" s="8" t="s">
        <v>24110</v>
      </c>
      <c r="F4151" s="8" t="s">
        <v>24111</v>
      </c>
      <c r="G4151" s="6" t="s">
        <v>33</v>
      </c>
      <c r="H4151" s="6" t="s">
        <v>820</v>
      </c>
      <c r="I4151" s="8"/>
      <c r="J4151" s="9">
        <v>1</v>
      </c>
      <c r="K4151" s="9">
        <v>170</v>
      </c>
      <c r="L4151" s="9">
        <v>2019</v>
      </c>
      <c r="M4151" s="8" t="s">
        <v>24112</v>
      </c>
      <c r="N4151" s="8" t="s">
        <v>63</v>
      </c>
      <c r="O4151" s="8" t="s">
        <v>181</v>
      </c>
      <c r="P4151" s="6" t="s">
        <v>51</v>
      </c>
      <c r="Q4151" s="8" t="s">
        <v>52</v>
      </c>
      <c r="R4151" s="10" t="s">
        <v>24113</v>
      </c>
      <c r="S4151" s="11"/>
      <c r="T4151" s="6"/>
      <c r="U4151" s="15" t="str">
        <f>HYPERLINK("https://media.infra-m.ru/0982/0982325/cover/982325.jpg", "Обложка")</f>
        <v>Обложка</v>
      </c>
      <c r="V4151" s="8" t="s">
        <v>2896</v>
      </c>
      <c r="W4151" s="6"/>
      <c r="X4151" s="6"/>
      <c r="Y4151" s="6"/>
      <c r="Z4151" s="6"/>
      <c r="AA4151" s="6" t="s">
        <v>274</v>
      </c>
      <c r="AB4151" s="8"/>
      <c r="AC4151" s="27">
        <v>9785905554896</v>
      </c>
    </row>
    <row r="4152" spans="1:29" s="4" customFormat="1" ht="44.1" customHeight="1" x14ac:dyDescent="0.2">
      <c r="A4152" s="5">
        <v>0</v>
      </c>
      <c r="B4152" s="6" t="s">
        <v>24114</v>
      </c>
      <c r="C4152" s="13">
        <v>552</v>
      </c>
      <c r="D4152" s="8" t="s">
        <v>24115</v>
      </c>
      <c r="E4152" s="8" t="s">
        <v>24116</v>
      </c>
      <c r="F4152" s="8" t="s">
        <v>24117</v>
      </c>
      <c r="G4152" s="6" t="s">
        <v>33</v>
      </c>
      <c r="H4152" s="6" t="s">
        <v>34</v>
      </c>
      <c r="I4152" s="8" t="s">
        <v>35</v>
      </c>
      <c r="J4152" s="9">
        <v>1</v>
      </c>
      <c r="K4152" s="9">
        <v>82</v>
      </c>
      <c r="L4152" s="9">
        <v>2026</v>
      </c>
      <c r="M4152" s="8" t="s">
        <v>24118</v>
      </c>
      <c r="N4152" s="8" t="s">
        <v>63</v>
      </c>
      <c r="O4152" s="8" t="s">
        <v>64</v>
      </c>
      <c r="P4152" s="6" t="s">
        <v>39</v>
      </c>
      <c r="Q4152" s="8" t="s">
        <v>40</v>
      </c>
      <c r="R4152" s="10" t="s">
        <v>24119</v>
      </c>
      <c r="S4152" s="11"/>
      <c r="T4152" s="6"/>
      <c r="U4152" s="15" t="str">
        <f>HYPERLINK("https://media.infra-m.ru/2253/2253804/cover/2253804.jpg", "Обложка")</f>
        <v>Обложка</v>
      </c>
      <c r="V4152" s="8" t="s">
        <v>54</v>
      </c>
      <c r="W4152" s="6"/>
      <c r="X4152" s="6"/>
      <c r="Y4152" s="6"/>
      <c r="Z4152" s="6"/>
      <c r="AA4152" s="6" t="s">
        <v>779</v>
      </c>
      <c r="AB4152" s="8"/>
      <c r="AC4152" s="27">
        <v>9785160112848</v>
      </c>
    </row>
    <row r="4153" spans="1:29" s="4" customFormat="1" ht="42" customHeight="1" x14ac:dyDescent="0.2">
      <c r="A4153" s="5">
        <v>0</v>
      </c>
      <c r="B4153" s="6" t="s">
        <v>24120</v>
      </c>
      <c r="C4153" s="7">
        <v>2148</v>
      </c>
      <c r="D4153" s="8" t="s">
        <v>24121</v>
      </c>
      <c r="E4153" s="8" t="s">
        <v>24122</v>
      </c>
      <c r="F4153" s="8" t="s">
        <v>24123</v>
      </c>
      <c r="G4153" s="6" t="s">
        <v>60</v>
      </c>
      <c r="H4153" s="6" t="s">
        <v>34</v>
      </c>
      <c r="I4153" s="8" t="s">
        <v>504</v>
      </c>
      <c r="J4153" s="9">
        <v>1</v>
      </c>
      <c r="K4153" s="9">
        <v>328</v>
      </c>
      <c r="L4153" s="9">
        <v>2025</v>
      </c>
      <c r="M4153" s="8" t="s">
        <v>24124</v>
      </c>
      <c r="N4153" s="8" t="s">
        <v>93</v>
      </c>
      <c r="O4153" s="8" t="s">
        <v>94</v>
      </c>
      <c r="P4153" s="6" t="s">
        <v>306</v>
      </c>
      <c r="Q4153" s="8" t="s">
        <v>500</v>
      </c>
      <c r="R4153" s="10" t="s">
        <v>16892</v>
      </c>
      <c r="S4153" s="11"/>
      <c r="T4153" s="6"/>
      <c r="U4153" s="15" t="str">
        <f>HYPERLINK("https://media.infra-m.ru/2137/2137696/cover/2137696.jpg", "Обложка")</f>
        <v>Обложка</v>
      </c>
      <c r="V4153" s="8" t="s">
        <v>1599</v>
      </c>
      <c r="W4153" s="6"/>
      <c r="X4153" s="6"/>
      <c r="Y4153" s="6"/>
      <c r="Z4153" s="6"/>
      <c r="AA4153" s="6" t="s">
        <v>76</v>
      </c>
      <c r="AB4153" s="8"/>
      <c r="AC4153" s="27">
        <v>9785160197975</v>
      </c>
    </row>
    <row r="4154" spans="1:29" s="4" customFormat="1" ht="42" customHeight="1" x14ac:dyDescent="0.2">
      <c r="A4154" s="5">
        <v>0</v>
      </c>
      <c r="B4154" s="6" t="s">
        <v>24125</v>
      </c>
      <c r="C4154" s="7">
        <v>1740</v>
      </c>
      <c r="D4154" s="8" t="s">
        <v>24126</v>
      </c>
      <c r="E4154" s="8" t="s">
        <v>24122</v>
      </c>
      <c r="F4154" s="8" t="s">
        <v>24123</v>
      </c>
      <c r="G4154" s="6" t="s">
        <v>60</v>
      </c>
      <c r="H4154" s="6" t="s">
        <v>34</v>
      </c>
      <c r="I4154" s="8" t="s">
        <v>253</v>
      </c>
      <c r="J4154" s="9">
        <v>1</v>
      </c>
      <c r="K4154" s="9">
        <v>272</v>
      </c>
      <c r="L4154" s="9">
        <v>2025</v>
      </c>
      <c r="M4154" s="8" t="s">
        <v>24127</v>
      </c>
      <c r="N4154" s="8" t="s">
        <v>93</v>
      </c>
      <c r="O4154" s="8" t="s">
        <v>94</v>
      </c>
      <c r="P4154" s="6" t="s">
        <v>306</v>
      </c>
      <c r="Q4154" s="8" t="s">
        <v>52</v>
      </c>
      <c r="R4154" s="10" t="s">
        <v>9419</v>
      </c>
      <c r="S4154" s="11"/>
      <c r="T4154" s="6"/>
      <c r="U4154" s="15" t="str">
        <f>HYPERLINK("https://media.infra-m.ru/2137/2137689/cover/2137689.jpg", "Обложка")</f>
        <v>Обложка</v>
      </c>
      <c r="V4154" s="8" t="s">
        <v>1599</v>
      </c>
      <c r="W4154" s="6"/>
      <c r="X4154" s="6"/>
      <c r="Y4154" s="6"/>
      <c r="Z4154" s="6"/>
      <c r="AA4154" s="6" t="s">
        <v>76</v>
      </c>
      <c r="AB4154" s="8"/>
      <c r="AC4154" s="27">
        <v>9785160197968</v>
      </c>
    </row>
    <row r="4155" spans="1:29" s="4" customFormat="1" ht="42" customHeight="1" x14ac:dyDescent="0.2">
      <c r="A4155" s="5">
        <v>0</v>
      </c>
      <c r="B4155" s="6" t="s">
        <v>24128</v>
      </c>
      <c r="C4155" s="7">
        <v>2116.8000000000002</v>
      </c>
      <c r="D4155" s="8" t="s">
        <v>24129</v>
      </c>
      <c r="E4155" s="8" t="s">
        <v>24130</v>
      </c>
      <c r="F4155" s="8" t="s">
        <v>24131</v>
      </c>
      <c r="G4155" s="6" t="s">
        <v>60</v>
      </c>
      <c r="H4155" s="6" t="s">
        <v>34</v>
      </c>
      <c r="I4155" s="8" t="s">
        <v>271</v>
      </c>
      <c r="J4155" s="9">
        <v>1</v>
      </c>
      <c r="K4155" s="9">
        <v>383</v>
      </c>
      <c r="L4155" s="9">
        <v>2024</v>
      </c>
      <c r="M4155" s="8" t="s">
        <v>24132</v>
      </c>
      <c r="N4155" s="8" t="s">
        <v>243</v>
      </c>
      <c r="O4155" s="8" t="s">
        <v>1100</v>
      </c>
      <c r="P4155" s="6" t="s">
        <v>306</v>
      </c>
      <c r="Q4155" s="8" t="s">
        <v>52</v>
      </c>
      <c r="R4155" s="10" t="s">
        <v>17775</v>
      </c>
      <c r="S4155" s="11"/>
      <c r="T4155" s="6" t="s">
        <v>97</v>
      </c>
      <c r="U4155" s="15" t="str">
        <f>HYPERLINK("https://media.infra-m.ru/2087/2087320/cover/2087320.jpg", "Обложка")</f>
        <v>Обложка</v>
      </c>
      <c r="V4155" s="8" t="s">
        <v>24133</v>
      </c>
      <c r="W4155" s="6"/>
      <c r="X4155" s="6"/>
      <c r="Y4155" s="6"/>
      <c r="Z4155" s="6"/>
      <c r="AA4155" s="6" t="s">
        <v>874</v>
      </c>
      <c r="AB4155" s="8"/>
      <c r="AC4155" s="27">
        <v>9785160104133</v>
      </c>
    </row>
    <row r="4156" spans="1:29" s="4" customFormat="1" ht="51.9" customHeight="1" x14ac:dyDescent="0.2">
      <c r="A4156" s="5">
        <v>0</v>
      </c>
      <c r="B4156" s="6" t="s">
        <v>24134</v>
      </c>
      <c r="C4156" s="7">
        <v>3756</v>
      </c>
      <c r="D4156" s="8" t="s">
        <v>24135</v>
      </c>
      <c r="E4156" s="8" t="s">
        <v>24136</v>
      </c>
      <c r="F4156" s="8" t="s">
        <v>24137</v>
      </c>
      <c r="G4156" s="6" t="s">
        <v>60</v>
      </c>
      <c r="H4156" s="6" t="s">
        <v>34</v>
      </c>
      <c r="I4156" s="8" t="s">
        <v>253</v>
      </c>
      <c r="J4156" s="9">
        <v>1</v>
      </c>
      <c r="K4156" s="9">
        <v>539</v>
      </c>
      <c r="L4156" s="9">
        <v>2027</v>
      </c>
      <c r="M4156" s="8" t="s">
        <v>24138</v>
      </c>
      <c r="N4156" s="8" t="s">
        <v>243</v>
      </c>
      <c r="O4156" s="8" t="s">
        <v>385</v>
      </c>
      <c r="P4156" s="6" t="s">
        <v>51</v>
      </c>
      <c r="Q4156" s="8" t="s">
        <v>377</v>
      </c>
      <c r="R4156" s="10" t="s">
        <v>24139</v>
      </c>
      <c r="S4156" s="11" t="s">
        <v>24140</v>
      </c>
      <c r="T4156" s="6"/>
      <c r="U4156" s="15" t="str">
        <f>HYPERLINK("https://media.infra-m.ru/2268/2268260/cover/2268260.jpg", "Обложка")</f>
        <v>Обложка</v>
      </c>
      <c r="V4156" s="8" t="s">
        <v>2529</v>
      </c>
      <c r="W4156" s="6"/>
      <c r="X4156" s="6"/>
      <c r="Y4156" s="6"/>
      <c r="Z4156" s="6"/>
      <c r="AA4156" s="6" t="s">
        <v>430</v>
      </c>
      <c r="AB4156" s="8"/>
      <c r="AC4156" s="27">
        <v>9785160208169</v>
      </c>
    </row>
    <row r="4157" spans="1:29" s="4" customFormat="1" ht="44.1" customHeight="1" x14ac:dyDescent="0.2">
      <c r="A4157" s="5">
        <v>0</v>
      </c>
      <c r="B4157" s="6" t="s">
        <v>24141</v>
      </c>
      <c r="C4157" s="7">
        <v>1428</v>
      </c>
      <c r="D4157" s="8" t="s">
        <v>24142</v>
      </c>
      <c r="E4157" s="8" t="s">
        <v>24143</v>
      </c>
      <c r="F4157" s="8" t="s">
        <v>24144</v>
      </c>
      <c r="G4157" s="6" t="s">
        <v>118</v>
      </c>
      <c r="H4157" s="6" t="s">
        <v>134</v>
      </c>
      <c r="I4157" s="8"/>
      <c r="J4157" s="9">
        <v>1</v>
      </c>
      <c r="K4157" s="9">
        <v>304</v>
      </c>
      <c r="L4157" s="9">
        <v>2022</v>
      </c>
      <c r="M4157" s="8" t="s">
        <v>24145</v>
      </c>
      <c r="N4157" s="8" t="s">
        <v>37</v>
      </c>
      <c r="O4157" s="8" t="s">
        <v>136</v>
      </c>
      <c r="P4157" s="6" t="s">
        <v>39</v>
      </c>
      <c r="Q4157" s="8" t="s">
        <v>40</v>
      </c>
      <c r="R4157" s="10" t="s">
        <v>24146</v>
      </c>
      <c r="S4157" s="11"/>
      <c r="T4157" s="6"/>
      <c r="U4157" s="15" t="str">
        <f>HYPERLINK("https://media.infra-m.ru/1840/1840904/cover/1840904.jpg", "Обложка")</f>
        <v>Обложка</v>
      </c>
      <c r="V4157" s="8" t="s">
        <v>138</v>
      </c>
      <c r="W4157" s="6"/>
      <c r="X4157" s="6"/>
      <c r="Y4157" s="6"/>
      <c r="Z4157" s="6"/>
      <c r="AA4157" s="6" t="s">
        <v>99</v>
      </c>
      <c r="AB4157" s="8"/>
      <c r="AC4157" s="27">
        <v>9785917688916</v>
      </c>
    </row>
    <row r="4158" spans="1:29" s="4" customFormat="1" ht="51.9" customHeight="1" x14ac:dyDescent="0.2">
      <c r="A4158" s="5">
        <v>0</v>
      </c>
      <c r="B4158" s="6" t="s">
        <v>24147</v>
      </c>
      <c r="C4158" s="7">
        <v>3168</v>
      </c>
      <c r="D4158" s="8" t="s">
        <v>24148</v>
      </c>
      <c r="E4158" s="8" t="s">
        <v>24149</v>
      </c>
      <c r="F4158" s="8" t="s">
        <v>24150</v>
      </c>
      <c r="G4158" s="6" t="s">
        <v>60</v>
      </c>
      <c r="H4158" s="6" t="s">
        <v>34</v>
      </c>
      <c r="I4158" s="8" t="s">
        <v>253</v>
      </c>
      <c r="J4158" s="9">
        <v>1</v>
      </c>
      <c r="K4158" s="9">
        <v>445</v>
      </c>
      <c r="L4158" s="9">
        <v>2027</v>
      </c>
      <c r="M4158" s="8" t="s">
        <v>24151</v>
      </c>
      <c r="N4158" s="8" t="s">
        <v>37</v>
      </c>
      <c r="O4158" s="8" t="s">
        <v>233</v>
      </c>
      <c r="P4158" s="6" t="s">
        <v>306</v>
      </c>
      <c r="Q4158" s="8" t="s">
        <v>65</v>
      </c>
      <c r="R4158" s="10" t="s">
        <v>24152</v>
      </c>
      <c r="S4158" s="11"/>
      <c r="T4158" s="6"/>
      <c r="U4158" s="15" t="str">
        <f>HYPERLINK("https://media.infra-m.ru/2250/2250000/cover/2250000.jpg", "Обложка")</f>
        <v>Обложка</v>
      </c>
      <c r="V4158" s="8" t="s">
        <v>1505</v>
      </c>
      <c r="W4158" s="6" t="s">
        <v>649</v>
      </c>
      <c r="X4158" s="6"/>
      <c r="Y4158" s="6"/>
      <c r="Z4158" s="6"/>
      <c r="AA4158" s="6" t="s">
        <v>420</v>
      </c>
      <c r="AB4158" s="8"/>
      <c r="AC4158" s="27">
        <v>9785160220659</v>
      </c>
    </row>
    <row r="4159" spans="1:29" s="4" customFormat="1" ht="44.1" customHeight="1" x14ac:dyDescent="0.2">
      <c r="A4159" s="5">
        <v>0</v>
      </c>
      <c r="B4159" s="6" t="s">
        <v>24153</v>
      </c>
      <c r="C4159" s="7">
        <v>1296</v>
      </c>
      <c r="D4159" s="8" t="s">
        <v>24154</v>
      </c>
      <c r="E4159" s="8" t="s">
        <v>24155</v>
      </c>
      <c r="F4159" s="8" t="s">
        <v>24156</v>
      </c>
      <c r="G4159" s="6" t="s">
        <v>118</v>
      </c>
      <c r="H4159" s="6" t="s">
        <v>134</v>
      </c>
      <c r="I4159" s="8"/>
      <c r="J4159" s="9">
        <v>1</v>
      </c>
      <c r="K4159" s="9">
        <v>208</v>
      </c>
      <c r="L4159" s="9">
        <v>2026</v>
      </c>
      <c r="M4159" s="8" t="s">
        <v>24157</v>
      </c>
      <c r="N4159" s="8" t="s">
        <v>37</v>
      </c>
      <c r="O4159" s="8" t="s">
        <v>136</v>
      </c>
      <c r="P4159" s="6" t="s">
        <v>39</v>
      </c>
      <c r="Q4159" s="8" t="s">
        <v>40</v>
      </c>
      <c r="R4159" s="10" t="s">
        <v>24158</v>
      </c>
      <c r="S4159" s="11"/>
      <c r="T4159" s="6"/>
      <c r="U4159" s="15" t="str">
        <f>HYPERLINK("https://media.infra-m.ru/2218/2218416/cover/2218416.jpg", "Обложка")</f>
        <v>Обложка</v>
      </c>
      <c r="V4159" s="8" t="s">
        <v>4923</v>
      </c>
      <c r="W4159" s="6"/>
      <c r="X4159" s="6"/>
      <c r="Y4159" s="6"/>
      <c r="Z4159" s="6"/>
      <c r="AA4159" s="6" t="s">
        <v>248</v>
      </c>
      <c r="AB4159" s="8"/>
      <c r="AC4159" s="27">
        <v>9785917684918</v>
      </c>
    </row>
    <row r="4160" spans="1:29" s="4" customFormat="1" ht="42" customHeight="1" x14ac:dyDescent="0.2">
      <c r="A4160" s="5">
        <v>0</v>
      </c>
      <c r="B4160" s="6" t="s">
        <v>24159</v>
      </c>
      <c r="C4160" s="7">
        <v>1104</v>
      </c>
      <c r="D4160" s="8" t="s">
        <v>24160</v>
      </c>
      <c r="E4160" s="8" t="s">
        <v>24161</v>
      </c>
      <c r="F4160" s="8" t="s">
        <v>1960</v>
      </c>
      <c r="G4160" s="6" t="s">
        <v>33</v>
      </c>
      <c r="H4160" s="6" t="s">
        <v>34</v>
      </c>
      <c r="I4160" s="8" t="s">
        <v>35</v>
      </c>
      <c r="J4160" s="9">
        <v>1</v>
      </c>
      <c r="K4160" s="9">
        <v>167</v>
      </c>
      <c r="L4160" s="9">
        <v>2026</v>
      </c>
      <c r="M4160" s="8" t="s">
        <v>24162</v>
      </c>
      <c r="N4160" s="8" t="s">
        <v>63</v>
      </c>
      <c r="O4160" s="8" t="s">
        <v>126</v>
      </c>
      <c r="P4160" s="6" t="s">
        <v>39</v>
      </c>
      <c r="Q4160" s="8" t="s">
        <v>40</v>
      </c>
      <c r="R4160" s="10" t="s">
        <v>5818</v>
      </c>
      <c r="S4160" s="11"/>
      <c r="T4160" s="6"/>
      <c r="U4160" s="15" t="str">
        <f>HYPERLINK("https://media.infra-m.ru/2239/2239879/cover/2239879.jpg", "Обложка")</f>
        <v>Обложка</v>
      </c>
      <c r="V4160" s="8" t="s">
        <v>227</v>
      </c>
      <c r="W4160" s="6"/>
      <c r="X4160" s="6"/>
      <c r="Y4160" s="6"/>
      <c r="Z4160" s="6"/>
      <c r="AA4160" s="6" t="s">
        <v>99</v>
      </c>
      <c r="AB4160" s="8" t="s">
        <v>493</v>
      </c>
      <c r="AC4160" s="27">
        <v>9785160169668</v>
      </c>
    </row>
    <row r="4161" spans="1:29" s="4" customFormat="1" ht="33" customHeight="1" x14ac:dyDescent="0.2">
      <c r="A4161" s="5">
        <v>0</v>
      </c>
      <c r="B4161" s="6" t="s">
        <v>24163</v>
      </c>
      <c r="C4161" s="13">
        <v>624</v>
      </c>
      <c r="D4161" s="8" t="s">
        <v>24164</v>
      </c>
      <c r="E4161" s="8" t="s">
        <v>24161</v>
      </c>
      <c r="F4161" s="8" t="s">
        <v>1960</v>
      </c>
      <c r="G4161" s="6" t="s">
        <v>60</v>
      </c>
      <c r="H4161" s="6" t="s">
        <v>34</v>
      </c>
      <c r="I4161" s="8" t="s">
        <v>35</v>
      </c>
      <c r="J4161" s="9">
        <v>1</v>
      </c>
      <c r="K4161" s="9">
        <v>167</v>
      </c>
      <c r="L4161" s="9">
        <v>2017</v>
      </c>
      <c r="M4161" s="8" t="s">
        <v>24165</v>
      </c>
      <c r="N4161" s="8" t="s">
        <v>63</v>
      </c>
      <c r="O4161" s="8" t="s">
        <v>126</v>
      </c>
      <c r="P4161" s="6" t="s">
        <v>39</v>
      </c>
      <c r="Q4161" s="8" t="s">
        <v>40</v>
      </c>
      <c r="R4161" s="10" t="s">
        <v>5818</v>
      </c>
      <c r="S4161" s="11"/>
      <c r="T4161" s="6"/>
      <c r="U4161" s="12"/>
      <c r="V4161" s="8" t="s">
        <v>227</v>
      </c>
      <c r="W4161" s="6"/>
      <c r="X4161" s="6"/>
      <c r="Y4161" s="6"/>
      <c r="Z4161" s="6"/>
      <c r="AA4161" s="6" t="s">
        <v>99</v>
      </c>
      <c r="AB4161" s="8" t="s">
        <v>493</v>
      </c>
      <c r="AC4161" s="27">
        <v>9785160128115</v>
      </c>
    </row>
    <row r="4162" spans="1:29" s="4" customFormat="1" ht="44.1" customHeight="1" x14ac:dyDescent="0.2">
      <c r="A4162" s="5">
        <v>0</v>
      </c>
      <c r="B4162" s="6" t="s">
        <v>24166</v>
      </c>
      <c r="C4162" s="7">
        <v>1764</v>
      </c>
      <c r="D4162" s="8" t="s">
        <v>24167</v>
      </c>
      <c r="E4162" s="8" t="s">
        <v>24168</v>
      </c>
      <c r="F4162" s="8" t="s">
        <v>24169</v>
      </c>
      <c r="G4162" s="6" t="s">
        <v>33</v>
      </c>
      <c r="H4162" s="6" t="s">
        <v>241</v>
      </c>
      <c r="I4162" s="8" t="s">
        <v>3496</v>
      </c>
      <c r="J4162" s="9">
        <v>1</v>
      </c>
      <c r="K4162" s="9">
        <v>320</v>
      </c>
      <c r="L4162" s="9">
        <v>2024</v>
      </c>
      <c r="M4162" s="8" t="s">
        <v>24170</v>
      </c>
      <c r="N4162" s="8" t="s">
        <v>585</v>
      </c>
      <c r="O4162" s="8" t="s">
        <v>775</v>
      </c>
      <c r="P4162" s="6" t="s">
        <v>39</v>
      </c>
      <c r="Q4162" s="8" t="s">
        <v>749</v>
      </c>
      <c r="R4162" s="10" t="s">
        <v>24171</v>
      </c>
      <c r="S4162" s="11"/>
      <c r="T4162" s="6"/>
      <c r="U4162" s="15" t="str">
        <f>HYPERLINK("https://media.infra-m.ru/0942/0942222/cover/942222.jpg", "Обложка")</f>
        <v>Обложка</v>
      </c>
      <c r="V4162" s="8" t="s">
        <v>217</v>
      </c>
      <c r="W4162" s="6"/>
      <c r="X4162" s="6"/>
      <c r="Y4162" s="6"/>
      <c r="Z4162" s="6"/>
      <c r="AA4162" s="6" t="s">
        <v>779</v>
      </c>
      <c r="AB4162" s="8"/>
      <c r="AC4162" s="27">
        <v>9785955804705</v>
      </c>
    </row>
    <row r="4163" spans="1:29" s="4" customFormat="1" ht="42" customHeight="1" x14ac:dyDescent="0.2">
      <c r="A4163" s="5">
        <v>0</v>
      </c>
      <c r="B4163" s="6" t="s">
        <v>24172</v>
      </c>
      <c r="C4163" s="13">
        <v>660</v>
      </c>
      <c r="D4163" s="8" t="s">
        <v>24173</v>
      </c>
      <c r="E4163" s="8" t="s">
        <v>24174</v>
      </c>
      <c r="F4163" s="8" t="s">
        <v>24175</v>
      </c>
      <c r="G4163" s="6" t="s">
        <v>60</v>
      </c>
      <c r="H4163" s="6" t="s">
        <v>34</v>
      </c>
      <c r="I4163" s="8" t="s">
        <v>5350</v>
      </c>
      <c r="J4163" s="9">
        <v>1</v>
      </c>
      <c r="K4163" s="9">
        <v>106</v>
      </c>
      <c r="L4163" s="9">
        <v>2021</v>
      </c>
      <c r="M4163" s="8" t="s">
        <v>24176</v>
      </c>
      <c r="N4163" s="8" t="s">
        <v>243</v>
      </c>
      <c r="O4163" s="8" t="s">
        <v>798</v>
      </c>
      <c r="P4163" s="6" t="s">
        <v>51</v>
      </c>
      <c r="Q4163" s="8" t="s">
        <v>377</v>
      </c>
      <c r="R4163" s="10" t="s">
        <v>3870</v>
      </c>
      <c r="S4163" s="11"/>
      <c r="T4163" s="6"/>
      <c r="U4163" s="15" t="str">
        <f>HYPERLINK("https://media.infra-m.ru/1201/1201340/cover/1201340.jpg", "Обложка")</f>
        <v>Обложка</v>
      </c>
      <c r="V4163" s="8" t="s">
        <v>3864</v>
      </c>
      <c r="W4163" s="6"/>
      <c r="X4163" s="6"/>
      <c r="Y4163" s="6"/>
      <c r="Z4163" s="6"/>
      <c r="AA4163" s="6" t="s">
        <v>430</v>
      </c>
      <c r="AB4163" s="8"/>
      <c r="AC4163" s="27">
        <v>9785160166339</v>
      </c>
    </row>
    <row r="4164" spans="1:29" s="4" customFormat="1" ht="42" customHeight="1" x14ac:dyDescent="0.2">
      <c r="A4164" s="5">
        <v>0</v>
      </c>
      <c r="B4164" s="6" t="s">
        <v>24177</v>
      </c>
      <c r="C4164" s="7">
        <v>1200</v>
      </c>
      <c r="D4164" s="8" t="s">
        <v>24178</v>
      </c>
      <c r="E4164" s="8" t="s">
        <v>24179</v>
      </c>
      <c r="F4164" s="8" t="s">
        <v>24180</v>
      </c>
      <c r="G4164" s="6" t="s">
        <v>33</v>
      </c>
      <c r="H4164" s="6" t="s">
        <v>34</v>
      </c>
      <c r="I4164" s="8" t="s">
        <v>111</v>
      </c>
      <c r="J4164" s="9">
        <v>1</v>
      </c>
      <c r="K4164" s="9">
        <v>182</v>
      </c>
      <c r="L4164" s="9">
        <v>2026</v>
      </c>
      <c r="M4164" s="8" t="s">
        <v>24181</v>
      </c>
      <c r="N4164" s="8" t="s">
        <v>243</v>
      </c>
      <c r="O4164" s="8" t="s">
        <v>385</v>
      </c>
      <c r="P4164" s="6" t="s">
        <v>39</v>
      </c>
      <c r="Q4164" s="8" t="s">
        <v>40</v>
      </c>
      <c r="R4164" s="10" t="s">
        <v>750</v>
      </c>
      <c r="S4164" s="11"/>
      <c r="T4164" s="6" t="s">
        <v>97</v>
      </c>
      <c r="U4164" s="15" t="str">
        <f>HYPERLINK("https://media.infra-m.ru/2225/2225041/cover/2225041.jpg", "Обложка")</f>
        <v>Обложка</v>
      </c>
      <c r="V4164" s="8" t="s">
        <v>414</v>
      </c>
      <c r="W4164" s="6"/>
      <c r="X4164" s="6"/>
      <c r="Y4164" s="6"/>
      <c r="Z4164" s="6"/>
      <c r="AA4164" s="6" t="s">
        <v>115</v>
      </c>
      <c r="AB4164" s="8"/>
      <c r="AC4164" s="27">
        <v>9785160167282</v>
      </c>
    </row>
    <row r="4165" spans="1:29" s="4" customFormat="1" ht="51.9" customHeight="1" x14ac:dyDescent="0.2">
      <c r="A4165" s="5">
        <v>0</v>
      </c>
      <c r="B4165" s="6" t="s">
        <v>24182</v>
      </c>
      <c r="C4165" s="7">
        <v>1704</v>
      </c>
      <c r="D4165" s="8" t="s">
        <v>24183</v>
      </c>
      <c r="E4165" s="8" t="s">
        <v>24184</v>
      </c>
      <c r="F4165" s="8" t="s">
        <v>10260</v>
      </c>
      <c r="G4165" s="6" t="s">
        <v>60</v>
      </c>
      <c r="H4165" s="6" t="s">
        <v>34</v>
      </c>
      <c r="I4165" s="8" t="s">
        <v>253</v>
      </c>
      <c r="J4165" s="9">
        <v>1</v>
      </c>
      <c r="K4165" s="9">
        <v>275</v>
      </c>
      <c r="L4165" s="9">
        <v>2024</v>
      </c>
      <c r="M4165" s="8" t="s">
        <v>24185</v>
      </c>
      <c r="N4165" s="8" t="s">
        <v>63</v>
      </c>
      <c r="O4165" s="8" t="s">
        <v>126</v>
      </c>
      <c r="P4165" s="6" t="s">
        <v>51</v>
      </c>
      <c r="Q4165" s="8" t="s">
        <v>65</v>
      </c>
      <c r="R4165" s="10" t="s">
        <v>24186</v>
      </c>
      <c r="S4165" s="11"/>
      <c r="T4165" s="6"/>
      <c r="U4165" s="15" t="str">
        <f>HYPERLINK("https://media.infra-m.ru/2030/2030897/cover/2030897.jpg", "Обложка")</f>
        <v>Обложка</v>
      </c>
      <c r="V4165" s="8" t="s">
        <v>10263</v>
      </c>
      <c r="W4165" s="6"/>
      <c r="X4165" s="6"/>
      <c r="Y4165" s="6"/>
      <c r="Z4165" s="6"/>
      <c r="AA4165" s="6" t="s">
        <v>76</v>
      </c>
      <c r="AB4165" s="8" t="s">
        <v>8822</v>
      </c>
      <c r="AC4165" s="27">
        <v>9785160185798</v>
      </c>
    </row>
    <row r="4166" spans="1:29" s="4" customFormat="1" ht="44.1" customHeight="1" x14ac:dyDescent="0.2">
      <c r="A4166" s="5">
        <v>0</v>
      </c>
      <c r="B4166" s="6" t="s">
        <v>24187</v>
      </c>
      <c r="C4166" s="7">
        <v>1428</v>
      </c>
      <c r="D4166" s="8" t="s">
        <v>24188</v>
      </c>
      <c r="E4166" s="8" t="s">
        <v>24189</v>
      </c>
      <c r="F4166" s="8" t="s">
        <v>5702</v>
      </c>
      <c r="G4166" s="6" t="s">
        <v>118</v>
      </c>
      <c r="H4166" s="6" t="s">
        <v>34</v>
      </c>
      <c r="I4166" s="8" t="s">
        <v>35</v>
      </c>
      <c r="J4166" s="9">
        <v>1</v>
      </c>
      <c r="K4166" s="9">
        <v>258</v>
      </c>
      <c r="L4166" s="9">
        <v>2024</v>
      </c>
      <c r="M4166" s="8" t="s">
        <v>24190</v>
      </c>
      <c r="N4166" s="8" t="s">
        <v>63</v>
      </c>
      <c r="O4166" s="8" t="s">
        <v>64</v>
      </c>
      <c r="P4166" s="6" t="s">
        <v>39</v>
      </c>
      <c r="Q4166" s="8" t="s">
        <v>40</v>
      </c>
      <c r="R4166" s="10" t="s">
        <v>24191</v>
      </c>
      <c r="S4166" s="11"/>
      <c r="T4166" s="6"/>
      <c r="U4166" s="15" t="str">
        <f>HYPERLINK("https://media.infra-m.ru/2115/2115738/cover/2115738.jpg", "Обложка")</f>
        <v>Обложка</v>
      </c>
      <c r="V4166" s="8" t="s">
        <v>1357</v>
      </c>
      <c r="W4166" s="6"/>
      <c r="X4166" s="6"/>
      <c r="Y4166" s="6"/>
      <c r="Z4166" s="6"/>
      <c r="AA4166" s="6" t="s">
        <v>2240</v>
      </c>
      <c r="AB4166" s="8"/>
      <c r="AC4166" s="27">
        <v>9785160137926</v>
      </c>
    </row>
    <row r="4167" spans="1:29" s="4" customFormat="1" ht="44.1" customHeight="1" x14ac:dyDescent="0.2">
      <c r="A4167" s="5">
        <v>0</v>
      </c>
      <c r="B4167" s="6" t="s">
        <v>24192</v>
      </c>
      <c r="C4167" s="13">
        <v>593.9</v>
      </c>
      <c r="D4167" s="8" t="s">
        <v>24193</v>
      </c>
      <c r="E4167" s="8" t="s">
        <v>24194</v>
      </c>
      <c r="F4167" s="8" t="s">
        <v>10552</v>
      </c>
      <c r="G4167" s="6" t="s">
        <v>33</v>
      </c>
      <c r="H4167" s="6" t="s">
        <v>34</v>
      </c>
      <c r="I4167" s="8" t="s">
        <v>271</v>
      </c>
      <c r="J4167" s="9">
        <v>1</v>
      </c>
      <c r="K4167" s="9">
        <v>101</v>
      </c>
      <c r="L4167" s="9">
        <v>2023</v>
      </c>
      <c r="M4167" s="8" t="s">
        <v>24195</v>
      </c>
      <c r="N4167" s="8" t="s">
        <v>37</v>
      </c>
      <c r="O4167" s="8" t="s">
        <v>83</v>
      </c>
      <c r="P4167" s="6" t="s">
        <v>51</v>
      </c>
      <c r="Q4167" s="8" t="s">
        <v>52</v>
      </c>
      <c r="R4167" s="10" t="s">
        <v>2214</v>
      </c>
      <c r="S4167" s="11"/>
      <c r="T4167" s="6"/>
      <c r="U4167" s="15" t="str">
        <f>HYPERLINK("https://media.infra-m.ru/1913/1913026/cover/1913026.jpg", "Обложка")</f>
        <v>Обложка</v>
      </c>
      <c r="V4167" s="8" t="s">
        <v>3087</v>
      </c>
      <c r="W4167" s="6"/>
      <c r="X4167" s="6"/>
      <c r="Y4167" s="6"/>
      <c r="Z4167" s="6"/>
      <c r="AA4167" s="6" t="s">
        <v>779</v>
      </c>
      <c r="AB4167" s="8"/>
      <c r="AC4167" s="27">
        <v>9785160110639</v>
      </c>
    </row>
    <row r="4168" spans="1:29" s="4" customFormat="1" ht="51.9" customHeight="1" x14ac:dyDescent="0.2">
      <c r="A4168" s="5">
        <v>0</v>
      </c>
      <c r="B4168" s="6" t="s">
        <v>24196</v>
      </c>
      <c r="C4168" s="7">
        <v>1456.8</v>
      </c>
      <c r="D4168" s="8" t="s">
        <v>24197</v>
      </c>
      <c r="E4168" s="8" t="s">
        <v>24198</v>
      </c>
      <c r="F4168" s="8" t="s">
        <v>24199</v>
      </c>
      <c r="G4168" s="6" t="s">
        <v>60</v>
      </c>
      <c r="H4168" s="6" t="s">
        <v>34</v>
      </c>
      <c r="I4168" s="8" t="s">
        <v>263</v>
      </c>
      <c r="J4168" s="9">
        <v>1</v>
      </c>
      <c r="K4168" s="9">
        <v>219</v>
      </c>
      <c r="L4168" s="9">
        <v>2024</v>
      </c>
      <c r="M4168" s="8" t="s">
        <v>24200</v>
      </c>
      <c r="N4168" s="8" t="s">
        <v>63</v>
      </c>
      <c r="O4168" s="8" t="s">
        <v>64</v>
      </c>
      <c r="P4168" s="6" t="s">
        <v>306</v>
      </c>
      <c r="Q4168" s="8" t="s">
        <v>265</v>
      </c>
      <c r="R4168" s="10" t="s">
        <v>24201</v>
      </c>
      <c r="S4168" s="11" t="s">
        <v>24202</v>
      </c>
      <c r="T4168" s="6"/>
      <c r="U4168" s="15" t="str">
        <f>HYPERLINK("https://media.infra-m.ru/2145/2145220/cover/2145220.jpg", "Обложка")</f>
        <v>Обложка</v>
      </c>
      <c r="V4168" s="8" t="s">
        <v>4448</v>
      </c>
      <c r="W4168" s="6"/>
      <c r="X4168" s="6"/>
      <c r="Y4168" s="6"/>
      <c r="Z4168" s="6"/>
      <c r="AA4168" s="6" t="s">
        <v>148</v>
      </c>
      <c r="AB4168" s="8" t="s">
        <v>17982</v>
      </c>
      <c r="AC4168" s="27">
        <v>9785160173221</v>
      </c>
    </row>
    <row r="4169" spans="1:29" s="4" customFormat="1" ht="51.9" customHeight="1" x14ac:dyDescent="0.2">
      <c r="A4169" s="5">
        <v>0</v>
      </c>
      <c r="B4169" s="6" t="s">
        <v>24203</v>
      </c>
      <c r="C4169" s="7">
        <v>2752.8</v>
      </c>
      <c r="D4169" s="8" t="s">
        <v>24204</v>
      </c>
      <c r="E4169" s="8" t="s">
        <v>24205</v>
      </c>
      <c r="F4169" s="8" t="s">
        <v>24206</v>
      </c>
      <c r="G4169" s="6" t="s">
        <v>60</v>
      </c>
      <c r="H4169" s="6" t="s">
        <v>34</v>
      </c>
      <c r="I4169" s="8" t="s">
        <v>263</v>
      </c>
      <c r="J4169" s="9">
        <v>1</v>
      </c>
      <c r="K4169" s="9">
        <v>471</v>
      </c>
      <c r="L4169" s="9">
        <v>2025</v>
      </c>
      <c r="M4169" s="8" t="s">
        <v>24207</v>
      </c>
      <c r="N4169" s="8" t="s">
        <v>63</v>
      </c>
      <c r="O4169" s="8" t="s">
        <v>64</v>
      </c>
      <c r="P4169" s="6" t="s">
        <v>51</v>
      </c>
      <c r="Q4169" s="8" t="s">
        <v>265</v>
      </c>
      <c r="R4169" s="10" t="s">
        <v>24208</v>
      </c>
      <c r="S4169" s="11" t="s">
        <v>20610</v>
      </c>
      <c r="T4169" s="6"/>
      <c r="U4169" s="15" t="str">
        <f>HYPERLINK("https://media.infra-m.ru/2188/2188882/cover/2188882.jpg", "Обложка")</f>
        <v>Обложка</v>
      </c>
      <c r="V4169" s="8" t="s">
        <v>831</v>
      </c>
      <c r="W4169" s="6"/>
      <c r="X4169" s="6"/>
      <c r="Y4169" s="6"/>
      <c r="Z4169" s="6" t="s">
        <v>267</v>
      </c>
      <c r="AA4169" s="6" t="s">
        <v>115</v>
      </c>
      <c r="AB4169" s="8"/>
      <c r="AC4169" s="27">
        <v>9785160153421</v>
      </c>
    </row>
    <row r="4170" spans="1:29" s="4" customFormat="1" ht="51.9" customHeight="1" x14ac:dyDescent="0.2">
      <c r="A4170" s="5">
        <v>0</v>
      </c>
      <c r="B4170" s="6" t="s">
        <v>24209</v>
      </c>
      <c r="C4170" s="7">
        <v>2520</v>
      </c>
      <c r="D4170" s="8" t="s">
        <v>24210</v>
      </c>
      <c r="E4170" s="8" t="s">
        <v>24205</v>
      </c>
      <c r="F4170" s="8" t="s">
        <v>24206</v>
      </c>
      <c r="G4170" s="6" t="s">
        <v>60</v>
      </c>
      <c r="H4170" s="6" t="s">
        <v>34</v>
      </c>
      <c r="I4170" s="8" t="s">
        <v>253</v>
      </c>
      <c r="J4170" s="9">
        <v>1</v>
      </c>
      <c r="K4170" s="9">
        <v>471</v>
      </c>
      <c r="L4170" s="9">
        <v>2024</v>
      </c>
      <c r="M4170" s="8" t="s">
        <v>24211</v>
      </c>
      <c r="N4170" s="8" t="s">
        <v>63</v>
      </c>
      <c r="O4170" s="8" t="s">
        <v>64</v>
      </c>
      <c r="P4170" s="6" t="s">
        <v>51</v>
      </c>
      <c r="Q4170" s="8" t="s">
        <v>52</v>
      </c>
      <c r="R4170" s="10" t="s">
        <v>3008</v>
      </c>
      <c r="S4170" s="11" t="s">
        <v>24212</v>
      </c>
      <c r="T4170" s="6"/>
      <c r="U4170" s="15" t="str">
        <f>HYPERLINK("https://media.infra-m.ru/2110/2110955/cover/2110955.jpg", "Обложка")</f>
        <v>Обложка</v>
      </c>
      <c r="V4170" s="8" t="s">
        <v>831</v>
      </c>
      <c r="W4170" s="6"/>
      <c r="X4170" s="6"/>
      <c r="Y4170" s="6"/>
      <c r="Z4170" s="6"/>
      <c r="AA4170" s="6" t="s">
        <v>115</v>
      </c>
      <c r="AB4170" s="8"/>
      <c r="AC4170" s="27">
        <v>9785160195018</v>
      </c>
    </row>
    <row r="4171" spans="1:29" s="4" customFormat="1" ht="51.9" customHeight="1" x14ac:dyDescent="0.2">
      <c r="A4171" s="5">
        <v>0</v>
      </c>
      <c r="B4171" s="6" t="s">
        <v>24213</v>
      </c>
      <c r="C4171" s="7">
        <v>1108.8</v>
      </c>
      <c r="D4171" s="8" t="s">
        <v>24214</v>
      </c>
      <c r="E4171" s="8" t="s">
        <v>24215</v>
      </c>
      <c r="F4171" s="8" t="s">
        <v>24216</v>
      </c>
      <c r="G4171" s="6" t="s">
        <v>21</v>
      </c>
      <c r="H4171" s="6" t="s">
        <v>820</v>
      </c>
      <c r="I4171" s="8"/>
      <c r="J4171" s="9">
        <v>1</v>
      </c>
      <c r="K4171" s="9">
        <v>176</v>
      </c>
      <c r="L4171" s="9">
        <v>2025</v>
      </c>
      <c r="M4171" s="8" t="s">
        <v>24217</v>
      </c>
      <c r="N4171" s="8" t="s">
        <v>63</v>
      </c>
      <c r="O4171" s="8" t="s">
        <v>64</v>
      </c>
      <c r="P4171" s="6" t="s">
        <v>51</v>
      </c>
      <c r="Q4171" s="8" t="s">
        <v>52</v>
      </c>
      <c r="R4171" s="10" t="s">
        <v>24218</v>
      </c>
      <c r="S4171" s="11"/>
      <c r="T4171" s="6"/>
      <c r="U4171" s="15" t="str">
        <f>HYPERLINK("https://media.infra-m.ru/2196/2196026/cover/2196026.jpg", "Обложка")</f>
        <v>Обложка</v>
      </c>
      <c r="V4171" s="8"/>
      <c r="W4171" s="6"/>
      <c r="X4171" s="6"/>
      <c r="Y4171" s="6"/>
      <c r="Z4171" s="6"/>
      <c r="AA4171" s="6" t="s">
        <v>248</v>
      </c>
      <c r="AB4171" s="8"/>
      <c r="AC4171" s="27">
        <v>9785905554414</v>
      </c>
    </row>
    <row r="4172" spans="1:29" s="4" customFormat="1" ht="51.9" customHeight="1" x14ac:dyDescent="0.2">
      <c r="A4172" s="5">
        <v>0</v>
      </c>
      <c r="B4172" s="6" t="s">
        <v>24219</v>
      </c>
      <c r="C4172" s="7">
        <v>1440</v>
      </c>
      <c r="D4172" s="8" t="s">
        <v>24220</v>
      </c>
      <c r="E4172" s="8" t="s">
        <v>24221</v>
      </c>
      <c r="F4172" s="8" t="s">
        <v>24222</v>
      </c>
      <c r="G4172" s="6" t="s">
        <v>118</v>
      </c>
      <c r="H4172" s="6" t="s">
        <v>34</v>
      </c>
      <c r="I4172" s="8" t="s">
        <v>2579</v>
      </c>
      <c r="J4172" s="9">
        <v>1</v>
      </c>
      <c r="K4172" s="9">
        <v>228</v>
      </c>
      <c r="L4172" s="9">
        <v>2026</v>
      </c>
      <c r="M4172" s="8" t="s">
        <v>24223</v>
      </c>
      <c r="N4172" s="8" t="s">
        <v>63</v>
      </c>
      <c r="O4172" s="8" t="s">
        <v>64</v>
      </c>
      <c r="P4172" s="6" t="s">
        <v>51</v>
      </c>
      <c r="Q4172" s="8" t="s">
        <v>52</v>
      </c>
      <c r="R4172" s="10" t="s">
        <v>24224</v>
      </c>
      <c r="S4172" s="11" t="s">
        <v>24225</v>
      </c>
      <c r="T4172" s="6"/>
      <c r="U4172" s="15" t="str">
        <f>HYPERLINK("https://media.infra-m.ru/2219/2219305/cover/2219305.jpg", "Обложка")</f>
        <v>Обложка</v>
      </c>
      <c r="V4172" s="8" t="s">
        <v>156</v>
      </c>
      <c r="W4172" s="6"/>
      <c r="X4172" s="6"/>
      <c r="Y4172" s="6"/>
      <c r="Z4172" s="6"/>
      <c r="AA4172" s="6" t="s">
        <v>1256</v>
      </c>
      <c r="AB4172" s="8"/>
      <c r="AC4172" s="27">
        <v>9785160215822</v>
      </c>
    </row>
    <row r="4173" spans="1:29" s="4" customFormat="1" ht="51.9" customHeight="1" x14ac:dyDescent="0.2">
      <c r="A4173" s="5">
        <v>0</v>
      </c>
      <c r="B4173" s="6" t="s">
        <v>24226</v>
      </c>
      <c r="C4173" s="7">
        <v>2000.4</v>
      </c>
      <c r="D4173" s="8" t="s">
        <v>24227</v>
      </c>
      <c r="E4173" s="8" t="s">
        <v>24228</v>
      </c>
      <c r="F4173" s="8" t="s">
        <v>24229</v>
      </c>
      <c r="G4173" s="6" t="s">
        <v>60</v>
      </c>
      <c r="H4173" s="6" t="s">
        <v>48</v>
      </c>
      <c r="I4173" s="8" t="s">
        <v>253</v>
      </c>
      <c r="J4173" s="9">
        <v>1</v>
      </c>
      <c r="K4173" s="9">
        <v>272</v>
      </c>
      <c r="L4173" s="9">
        <v>2024</v>
      </c>
      <c r="M4173" s="8" t="s">
        <v>24230</v>
      </c>
      <c r="N4173" s="8" t="s">
        <v>63</v>
      </c>
      <c r="O4173" s="8" t="s">
        <v>64</v>
      </c>
      <c r="P4173" s="6" t="s">
        <v>51</v>
      </c>
      <c r="Q4173" s="8" t="s">
        <v>65</v>
      </c>
      <c r="R4173" s="10" t="s">
        <v>24231</v>
      </c>
      <c r="S4173" s="11" t="s">
        <v>24232</v>
      </c>
      <c r="T4173" s="6"/>
      <c r="U4173" s="15" t="str">
        <f>HYPERLINK("https://media.infra-m.ru/1981/1981729/cover/1981729.jpg", "Обложка")</f>
        <v>Обложка</v>
      </c>
      <c r="V4173" s="8" t="s">
        <v>831</v>
      </c>
      <c r="W4173" s="6"/>
      <c r="X4173" s="6" t="s">
        <v>24</v>
      </c>
      <c r="Y4173" s="6"/>
      <c r="Z4173" s="6"/>
      <c r="AA4173" s="6" t="s">
        <v>55</v>
      </c>
      <c r="AB4173" s="8"/>
      <c r="AC4173" s="27">
        <v>9785911347284</v>
      </c>
    </row>
    <row r="4174" spans="1:29" s="4" customFormat="1" ht="51.9" customHeight="1" x14ac:dyDescent="0.2">
      <c r="A4174" s="5">
        <v>0</v>
      </c>
      <c r="B4174" s="6" t="s">
        <v>24233</v>
      </c>
      <c r="C4174" s="7">
        <v>2056.8000000000002</v>
      </c>
      <c r="D4174" s="8" t="s">
        <v>24234</v>
      </c>
      <c r="E4174" s="8" t="s">
        <v>24235</v>
      </c>
      <c r="F4174" s="8" t="s">
        <v>24236</v>
      </c>
      <c r="G4174" s="6" t="s">
        <v>60</v>
      </c>
      <c r="H4174" s="6" t="s">
        <v>34</v>
      </c>
      <c r="I4174" s="8" t="s">
        <v>271</v>
      </c>
      <c r="J4174" s="9">
        <v>1</v>
      </c>
      <c r="K4174" s="9">
        <v>343</v>
      </c>
      <c r="L4174" s="9">
        <v>2025</v>
      </c>
      <c r="M4174" s="8" t="s">
        <v>24237</v>
      </c>
      <c r="N4174" s="8" t="s">
        <v>63</v>
      </c>
      <c r="O4174" s="8" t="s">
        <v>64</v>
      </c>
      <c r="P4174" s="6" t="s">
        <v>306</v>
      </c>
      <c r="Q4174" s="8" t="s">
        <v>52</v>
      </c>
      <c r="R4174" s="10" t="s">
        <v>5260</v>
      </c>
      <c r="S4174" s="11" t="s">
        <v>24238</v>
      </c>
      <c r="T4174" s="6"/>
      <c r="U4174" s="15" t="str">
        <f>HYPERLINK("https://media.infra-m.ru/2184/2184953/cover/2184953.jpg", "Обложка")</f>
        <v>Обложка</v>
      </c>
      <c r="V4174" s="8" t="s">
        <v>4943</v>
      </c>
      <c r="W4174" s="6"/>
      <c r="X4174" s="6"/>
      <c r="Y4174" s="6"/>
      <c r="Z4174" s="6"/>
      <c r="AA4174" s="6" t="s">
        <v>8551</v>
      </c>
      <c r="AB4174" s="8"/>
      <c r="AC4174" s="27">
        <v>9785160151199</v>
      </c>
    </row>
    <row r="4175" spans="1:29" s="4" customFormat="1" ht="51.9" customHeight="1" x14ac:dyDescent="0.2">
      <c r="A4175" s="5">
        <v>0</v>
      </c>
      <c r="B4175" s="6" t="s">
        <v>24239</v>
      </c>
      <c r="C4175" s="7">
        <v>1349.9</v>
      </c>
      <c r="D4175" s="8" t="s">
        <v>24240</v>
      </c>
      <c r="E4175" s="8" t="s">
        <v>24241</v>
      </c>
      <c r="F4175" s="8" t="s">
        <v>24242</v>
      </c>
      <c r="G4175" s="6" t="s">
        <v>60</v>
      </c>
      <c r="H4175" s="6" t="s">
        <v>1795</v>
      </c>
      <c r="I4175" s="8" t="s">
        <v>1904</v>
      </c>
      <c r="J4175" s="9">
        <v>1</v>
      </c>
      <c r="K4175" s="9">
        <v>350</v>
      </c>
      <c r="L4175" s="9">
        <v>2019</v>
      </c>
      <c r="M4175" s="8" t="s">
        <v>24243</v>
      </c>
      <c r="N4175" s="8" t="s">
        <v>63</v>
      </c>
      <c r="O4175" s="8" t="s">
        <v>64</v>
      </c>
      <c r="P4175" s="6" t="s">
        <v>306</v>
      </c>
      <c r="Q4175" s="8" t="s">
        <v>52</v>
      </c>
      <c r="R4175" s="10" t="s">
        <v>5260</v>
      </c>
      <c r="S4175" s="11" t="s">
        <v>24244</v>
      </c>
      <c r="T4175" s="6"/>
      <c r="U4175" s="15" t="str">
        <f>HYPERLINK("https://media.infra-m.ru/0987/0987787/cover/987787.jpg", "Обложка")</f>
        <v>Обложка</v>
      </c>
      <c r="V4175" s="8" t="s">
        <v>4943</v>
      </c>
      <c r="W4175" s="6"/>
      <c r="X4175" s="6"/>
      <c r="Y4175" s="6"/>
      <c r="Z4175" s="6"/>
      <c r="AA4175" s="6" t="s">
        <v>15057</v>
      </c>
      <c r="AB4175" s="8"/>
      <c r="AC4175" s="27">
        <v>9785982813541</v>
      </c>
    </row>
    <row r="4176" spans="1:29" s="4" customFormat="1" ht="51.9" customHeight="1" x14ac:dyDescent="0.2">
      <c r="A4176" s="5">
        <v>0</v>
      </c>
      <c r="B4176" s="6" t="s">
        <v>24245</v>
      </c>
      <c r="C4176" s="7">
        <v>2076</v>
      </c>
      <c r="D4176" s="8" t="s">
        <v>24246</v>
      </c>
      <c r="E4176" s="8" t="s">
        <v>24247</v>
      </c>
      <c r="F4176" s="8" t="s">
        <v>24248</v>
      </c>
      <c r="G4176" s="6" t="s">
        <v>60</v>
      </c>
      <c r="H4176" s="6" t="s">
        <v>34</v>
      </c>
      <c r="I4176" s="8" t="s">
        <v>253</v>
      </c>
      <c r="J4176" s="9">
        <v>1</v>
      </c>
      <c r="K4176" s="9">
        <v>294</v>
      </c>
      <c r="L4176" s="9">
        <v>2026</v>
      </c>
      <c r="M4176" s="8" t="s">
        <v>24249</v>
      </c>
      <c r="N4176" s="8" t="s">
        <v>63</v>
      </c>
      <c r="O4176" s="8" t="s">
        <v>64</v>
      </c>
      <c r="P4176" s="6" t="s">
        <v>51</v>
      </c>
      <c r="Q4176" s="8" t="s">
        <v>65</v>
      </c>
      <c r="R4176" s="10" t="s">
        <v>24250</v>
      </c>
      <c r="S4176" s="11"/>
      <c r="T4176" s="6"/>
      <c r="U4176" s="15" t="str">
        <f>HYPERLINK("https://media.infra-m.ru/2200/2200759/cover/2200759.jpg", "Обложка")</f>
        <v>Обложка</v>
      </c>
      <c r="V4176" s="8" t="s">
        <v>4448</v>
      </c>
      <c r="W4176" s="6" t="s">
        <v>9380</v>
      </c>
      <c r="X4176" s="6"/>
      <c r="Y4176" s="6"/>
      <c r="Z4176" s="6"/>
      <c r="AA4176" s="6" t="s">
        <v>650</v>
      </c>
      <c r="AB4176" s="8"/>
      <c r="AC4176" s="27">
        <v>9785160208695</v>
      </c>
    </row>
    <row r="4177" spans="1:29" s="4" customFormat="1" ht="51.9" customHeight="1" x14ac:dyDescent="0.2">
      <c r="A4177" s="5">
        <v>0</v>
      </c>
      <c r="B4177" s="6" t="s">
        <v>24251</v>
      </c>
      <c r="C4177" s="7">
        <v>1644</v>
      </c>
      <c r="D4177" s="8" t="s">
        <v>24252</v>
      </c>
      <c r="E4177" s="8" t="s">
        <v>24253</v>
      </c>
      <c r="F4177" s="8" t="s">
        <v>24254</v>
      </c>
      <c r="G4177" s="6" t="s">
        <v>118</v>
      </c>
      <c r="H4177" s="6" t="s">
        <v>34</v>
      </c>
      <c r="I4177" s="8" t="s">
        <v>271</v>
      </c>
      <c r="J4177" s="9">
        <v>1</v>
      </c>
      <c r="K4177" s="9">
        <v>304</v>
      </c>
      <c r="L4177" s="9">
        <v>2023</v>
      </c>
      <c r="M4177" s="8" t="s">
        <v>24255</v>
      </c>
      <c r="N4177" s="8" t="s">
        <v>63</v>
      </c>
      <c r="O4177" s="8" t="s">
        <v>64</v>
      </c>
      <c r="P4177" s="6" t="s">
        <v>51</v>
      </c>
      <c r="Q4177" s="8" t="s">
        <v>65</v>
      </c>
      <c r="R4177" s="10" t="s">
        <v>24250</v>
      </c>
      <c r="S4177" s="11" t="s">
        <v>24256</v>
      </c>
      <c r="T4177" s="6"/>
      <c r="U4177" s="15" t="str">
        <f>HYPERLINK("https://media.infra-m.ru/1995/1995273/cover/1995273.jpg", "Обложка")</f>
        <v>Обложка</v>
      </c>
      <c r="V4177" s="8" t="s">
        <v>4448</v>
      </c>
      <c r="W4177" s="6"/>
      <c r="X4177" s="6"/>
      <c r="Y4177" s="6"/>
      <c r="Z4177" s="6"/>
      <c r="AA4177" s="6" t="s">
        <v>248</v>
      </c>
      <c r="AB4177" s="8"/>
      <c r="AC4177" s="27">
        <v>9785160183954</v>
      </c>
    </row>
    <row r="4178" spans="1:29" s="4" customFormat="1" ht="51.9" customHeight="1" x14ac:dyDescent="0.2">
      <c r="A4178" s="5">
        <v>0</v>
      </c>
      <c r="B4178" s="6" t="s">
        <v>24257</v>
      </c>
      <c r="C4178" s="7">
        <v>2320.8000000000002</v>
      </c>
      <c r="D4178" s="8" t="s">
        <v>24258</v>
      </c>
      <c r="E4178" s="8" t="s">
        <v>24259</v>
      </c>
      <c r="F4178" s="8" t="s">
        <v>24260</v>
      </c>
      <c r="G4178" s="6" t="s">
        <v>60</v>
      </c>
      <c r="H4178" s="6" t="s">
        <v>34</v>
      </c>
      <c r="I4178" s="8" t="s">
        <v>271</v>
      </c>
      <c r="J4178" s="9">
        <v>1</v>
      </c>
      <c r="K4178" s="9">
        <v>421</v>
      </c>
      <c r="L4178" s="9">
        <v>2023</v>
      </c>
      <c r="M4178" s="8" t="s">
        <v>24261</v>
      </c>
      <c r="N4178" s="8" t="s">
        <v>63</v>
      </c>
      <c r="O4178" s="8" t="s">
        <v>64</v>
      </c>
      <c r="P4178" s="6" t="s">
        <v>51</v>
      </c>
      <c r="Q4178" s="8" t="s">
        <v>52</v>
      </c>
      <c r="R4178" s="10" t="s">
        <v>20307</v>
      </c>
      <c r="S4178" s="11" t="s">
        <v>24262</v>
      </c>
      <c r="T4178" s="6"/>
      <c r="U4178" s="15" t="str">
        <f>HYPERLINK("https://media.infra-m.ru/2006/2006076/cover/2006076.jpg", "Обложка")</f>
        <v>Обложка</v>
      </c>
      <c r="V4178" s="8" t="s">
        <v>831</v>
      </c>
      <c r="W4178" s="6"/>
      <c r="X4178" s="6"/>
      <c r="Y4178" s="6"/>
      <c r="Z4178" s="6"/>
      <c r="AA4178" s="6" t="s">
        <v>430</v>
      </c>
      <c r="AB4178" s="8"/>
      <c r="AC4178" s="27">
        <v>9785160141770</v>
      </c>
    </row>
    <row r="4179" spans="1:29" s="4" customFormat="1" ht="51.9" customHeight="1" x14ac:dyDescent="0.2">
      <c r="A4179" s="5">
        <v>0</v>
      </c>
      <c r="B4179" s="6" t="s">
        <v>24263</v>
      </c>
      <c r="C4179" s="7">
        <v>2104.8000000000002</v>
      </c>
      <c r="D4179" s="8" t="s">
        <v>24264</v>
      </c>
      <c r="E4179" s="8" t="s">
        <v>24265</v>
      </c>
      <c r="F4179" s="8" t="s">
        <v>24248</v>
      </c>
      <c r="G4179" s="6" t="s">
        <v>118</v>
      </c>
      <c r="H4179" s="6" t="s">
        <v>34</v>
      </c>
      <c r="I4179" s="8" t="s">
        <v>271</v>
      </c>
      <c r="J4179" s="9">
        <v>1</v>
      </c>
      <c r="K4179" s="9">
        <v>302</v>
      </c>
      <c r="L4179" s="9">
        <v>2027</v>
      </c>
      <c r="M4179" s="8" t="s">
        <v>24266</v>
      </c>
      <c r="N4179" s="8" t="s">
        <v>63</v>
      </c>
      <c r="O4179" s="8" t="s">
        <v>64</v>
      </c>
      <c r="P4179" s="6" t="s">
        <v>306</v>
      </c>
      <c r="Q4179" s="8" t="s">
        <v>52</v>
      </c>
      <c r="R4179" s="10" t="s">
        <v>11492</v>
      </c>
      <c r="S4179" s="11" t="s">
        <v>24267</v>
      </c>
      <c r="T4179" s="6"/>
      <c r="U4179" s="15" t="str">
        <f>HYPERLINK("https://media.infra-m.ru/2264/2264648/cover/2264648.jpg", "Обложка")</f>
        <v>Обложка</v>
      </c>
      <c r="V4179" s="8" t="s">
        <v>4448</v>
      </c>
      <c r="W4179" s="6"/>
      <c r="X4179" s="6"/>
      <c r="Y4179" s="6"/>
      <c r="Z4179" s="6"/>
      <c r="AA4179" s="6" t="s">
        <v>561</v>
      </c>
      <c r="AB4179" s="8"/>
      <c r="AC4179" s="27">
        <v>9785160138312</v>
      </c>
    </row>
    <row r="4180" spans="1:29" s="4" customFormat="1" ht="51.9" customHeight="1" x14ac:dyDescent="0.2">
      <c r="A4180" s="5">
        <v>0</v>
      </c>
      <c r="B4180" s="6" t="s">
        <v>24268</v>
      </c>
      <c r="C4180" s="7">
        <v>2104.8000000000002</v>
      </c>
      <c r="D4180" s="8" t="s">
        <v>24269</v>
      </c>
      <c r="E4180" s="8" t="s">
        <v>24265</v>
      </c>
      <c r="F4180" s="8" t="s">
        <v>24248</v>
      </c>
      <c r="G4180" s="6" t="s">
        <v>118</v>
      </c>
      <c r="H4180" s="6" t="s">
        <v>34</v>
      </c>
      <c r="I4180" s="8" t="s">
        <v>263</v>
      </c>
      <c r="J4180" s="9">
        <v>1</v>
      </c>
      <c r="K4180" s="9">
        <v>302</v>
      </c>
      <c r="L4180" s="9">
        <v>2027</v>
      </c>
      <c r="M4180" s="8" t="s">
        <v>24270</v>
      </c>
      <c r="N4180" s="8" t="s">
        <v>63</v>
      </c>
      <c r="O4180" s="8" t="s">
        <v>64</v>
      </c>
      <c r="P4180" s="6" t="s">
        <v>306</v>
      </c>
      <c r="Q4180" s="8" t="s">
        <v>265</v>
      </c>
      <c r="R4180" s="10" t="s">
        <v>2813</v>
      </c>
      <c r="S4180" s="11" t="s">
        <v>24271</v>
      </c>
      <c r="T4180" s="6"/>
      <c r="U4180" s="15" t="str">
        <f>HYPERLINK("https://media.infra-m.ru/2264/2264649/cover/2264649.jpg", "Обложка")</f>
        <v>Обложка</v>
      </c>
      <c r="V4180" s="8" t="s">
        <v>4448</v>
      </c>
      <c r="W4180" s="6"/>
      <c r="X4180" s="6"/>
      <c r="Y4180" s="6"/>
      <c r="Z4180" s="6" t="s">
        <v>267</v>
      </c>
      <c r="AA4180" s="6" t="s">
        <v>430</v>
      </c>
      <c r="AB4180" s="8"/>
      <c r="AC4180" s="27">
        <v>9785160152387</v>
      </c>
    </row>
    <row r="4181" spans="1:29" s="4" customFormat="1" ht="51.9" customHeight="1" x14ac:dyDescent="0.2">
      <c r="A4181" s="5">
        <v>0</v>
      </c>
      <c r="B4181" s="6" t="s">
        <v>24272</v>
      </c>
      <c r="C4181" s="7">
        <v>1344</v>
      </c>
      <c r="D4181" s="8" t="s">
        <v>24273</v>
      </c>
      <c r="E4181" s="8" t="s">
        <v>24274</v>
      </c>
      <c r="F4181" s="8" t="s">
        <v>24222</v>
      </c>
      <c r="G4181" s="6" t="s">
        <v>118</v>
      </c>
      <c r="H4181" s="6" t="s">
        <v>34</v>
      </c>
      <c r="I4181" s="8" t="s">
        <v>271</v>
      </c>
      <c r="J4181" s="9">
        <v>1</v>
      </c>
      <c r="K4181" s="9">
        <v>247</v>
      </c>
      <c r="L4181" s="9">
        <v>2023</v>
      </c>
      <c r="M4181" s="8" t="s">
        <v>24275</v>
      </c>
      <c r="N4181" s="8" t="s">
        <v>63</v>
      </c>
      <c r="O4181" s="8" t="s">
        <v>64</v>
      </c>
      <c r="P4181" s="6" t="s">
        <v>306</v>
      </c>
      <c r="Q4181" s="8" t="s">
        <v>52</v>
      </c>
      <c r="R4181" s="10" t="s">
        <v>553</v>
      </c>
      <c r="S4181" s="11" t="s">
        <v>24276</v>
      </c>
      <c r="T4181" s="6"/>
      <c r="U4181" s="15" t="str">
        <f>HYPERLINK("https://media.infra-m.ru/1901/1901472/cover/1901472.jpg", "Обложка")</f>
        <v>Обложка</v>
      </c>
      <c r="V4181" s="8" t="s">
        <v>156</v>
      </c>
      <c r="W4181" s="6"/>
      <c r="X4181" s="6"/>
      <c r="Y4181" s="6"/>
      <c r="Z4181" s="6"/>
      <c r="AA4181" s="6" t="s">
        <v>115</v>
      </c>
      <c r="AB4181" s="8"/>
      <c r="AC4181" s="27">
        <v>9785160138411</v>
      </c>
    </row>
    <row r="4182" spans="1:29" s="4" customFormat="1" ht="51.9" customHeight="1" x14ac:dyDescent="0.2">
      <c r="A4182" s="5">
        <v>0</v>
      </c>
      <c r="B4182" s="6" t="s">
        <v>24277</v>
      </c>
      <c r="C4182" s="7">
        <v>1332</v>
      </c>
      <c r="D4182" s="8" t="s">
        <v>24278</v>
      </c>
      <c r="E4182" s="8" t="s">
        <v>24274</v>
      </c>
      <c r="F4182" s="8" t="s">
        <v>24222</v>
      </c>
      <c r="G4182" s="6" t="s">
        <v>118</v>
      </c>
      <c r="H4182" s="6" t="s">
        <v>34</v>
      </c>
      <c r="I4182" s="8" t="s">
        <v>5350</v>
      </c>
      <c r="J4182" s="9">
        <v>1</v>
      </c>
      <c r="K4182" s="9">
        <v>247</v>
      </c>
      <c r="L4182" s="9">
        <v>2023</v>
      </c>
      <c r="M4182" s="8" t="s">
        <v>24279</v>
      </c>
      <c r="N4182" s="8" t="s">
        <v>63</v>
      </c>
      <c r="O4182" s="8" t="s">
        <v>64</v>
      </c>
      <c r="P4182" s="6" t="s">
        <v>306</v>
      </c>
      <c r="Q4182" s="8" t="s">
        <v>377</v>
      </c>
      <c r="R4182" s="10" t="s">
        <v>24280</v>
      </c>
      <c r="S4182" s="11" t="s">
        <v>24281</v>
      </c>
      <c r="T4182" s="6"/>
      <c r="U4182" s="15" t="str">
        <f>HYPERLINK("https://media.infra-m.ru/1959/1959268/cover/1959268.jpg", "Обложка")</f>
        <v>Обложка</v>
      </c>
      <c r="V4182" s="8" t="s">
        <v>156</v>
      </c>
      <c r="W4182" s="6"/>
      <c r="X4182" s="6"/>
      <c r="Y4182" s="6"/>
      <c r="Z4182" s="6" t="s">
        <v>429</v>
      </c>
      <c r="AA4182" s="6" t="s">
        <v>430</v>
      </c>
      <c r="AB4182" s="8"/>
      <c r="AC4182" s="27">
        <v>9785160165448</v>
      </c>
    </row>
    <row r="4183" spans="1:29" s="4" customFormat="1" ht="51.9" customHeight="1" x14ac:dyDescent="0.2">
      <c r="A4183" s="5">
        <v>0</v>
      </c>
      <c r="B4183" s="6" t="s">
        <v>24282</v>
      </c>
      <c r="C4183" s="7">
        <v>1380</v>
      </c>
      <c r="D4183" s="8" t="s">
        <v>24283</v>
      </c>
      <c r="E4183" s="8" t="s">
        <v>24274</v>
      </c>
      <c r="F4183" s="8" t="s">
        <v>24222</v>
      </c>
      <c r="G4183" s="6" t="s">
        <v>118</v>
      </c>
      <c r="H4183" s="6" t="s">
        <v>34</v>
      </c>
      <c r="I4183" s="8" t="s">
        <v>263</v>
      </c>
      <c r="J4183" s="9">
        <v>1</v>
      </c>
      <c r="K4183" s="9">
        <v>247</v>
      </c>
      <c r="L4183" s="9">
        <v>2024</v>
      </c>
      <c r="M4183" s="8" t="s">
        <v>24284</v>
      </c>
      <c r="N4183" s="8" t="s">
        <v>63</v>
      </c>
      <c r="O4183" s="8" t="s">
        <v>64</v>
      </c>
      <c r="P4183" s="6" t="s">
        <v>306</v>
      </c>
      <c r="Q4183" s="8" t="s">
        <v>265</v>
      </c>
      <c r="R4183" s="10" t="s">
        <v>24285</v>
      </c>
      <c r="S4183" s="11" t="s">
        <v>24286</v>
      </c>
      <c r="T4183" s="6"/>
      <c r="U4183" s="15" t="str">
        <f>HYPERLINK("https://media.infra-m.ru/2076/2076901/cover/2076901.jpg", "Обложка")</f>
        <v>Обложка</v>
      </c>
      <c r="V4183" s="8" t="s">
        <v>156</v>
      </c>
      <c r="W4183" s="6"/>
      <c r="X4183" s="6"/>
      <c r="Y4183" s="6"/>
      <c r="Z4183" s="6" t="s">
        <v>267</v>
      </c>
      <c r="AA4183" s="6" t="s">
        <v>1256</v>
      </c>
      <c r="AB4183" s="8"/>
      <c r="AC4183" s="27">
        <v>9785160159980</v>
      </c>
    </row>
    <row r="4184" spans="1:29" s="4" customFormat="1" ht="42" customHeight="1" x14ac:dyDescent="0.2">
      <c r="A4184" s="5">
        <v>0</v>
      </c>
      <c r="B4184" s="6" t="s">
        <v>24287</v>
      </c>
      <c r="C4184" s="13">
        <v>708</v>
      </c>
      <c r="D4184" s="8" t="s">
        <v>24288</v>
      </c>
      <c r="E4184" s="8" t="s">
        <v>24289</v>
      </c>
      <c r="F4184" s="8" t="s">
        <v>24290</v>
      </c>
      <c r="G4184" s="6" t="s">
        <v>60</v>
      </c>
      <c r="H4184" s="6" t="s">
        <v>34</v>
      </c>
      <c r="I4184" s="8" t="s">
        <v>1081</v>
      </c>
      <c r="J4184" s="9">
        <v>1</v>
      </c>
      <c r="K4184" s="9">
        <v>188</v>
      </c>
      <c r="L4184" s="9">
        <v>2018</v>
      </c>
      <c r="M4184" s="8" t="s">
        <v>24291</v>
      </c>
      <c r="N4184" s="8" t="s">
        <v>585</v>
      </c>
      <c r="O4184" s="8" t="s">
        <v>1518</v>
      </c>
      <c r="P4184" s="6" t="s">
        <v>39</v>
      </c>
      <c r="Q4184" s="8" t="s">
        <v>40</v>
      </c>
      <c r="R4184" s="10" t="s">
        <v>23856</v>
      </c>
      <c r="S4184" s="11"/>
      <c r="T4184" s="6"/>
      <c r="U4184" s="15" t="str">
        <f>HYPERLINK("https://media.infra-m.ru/0926/0926153/cover/926153.jpg", "Обложка")</f>
        <v>Обложка</v>
      </c>
      <c r="V4184" s="8" t="s">
        <v>1083</v>
      </c>
      <c r="W4184" s="6"/>
      <c r="X4184" s="6"/>
      <c r="Y4184" s="6"/>
      <c r="Z4184" s="6"/>
      <c r="AA4184" s="6" t="s">
        <v>86</v>
      </c>
      <c r="AB4184" s="8"/>
      <c r="AC4184" s="27">
        <v>9785160133300</v>
      </c>
    </row>
    <row r="4185" spans="1:29" s="4" customFormat="1" ht="42" customHeight="1" x14ac:dyDescent="0.2">
      <c r="A4185" s="5">
        <v>0</v>
      </c>
      <c r="B4185" s="6" t="s">
        <v>24292</v>
      </c>
      <c r="C4185" s="7">
        <v>1044</v>
      </c>
      <c r="D4185" s="8" t="s">
        <v>24293</v>
      </c>
      <c r="E4185" s="8" t="s">
        <v>24289</v>
      </c>
      <c r="F4185" s="8" t="s">
        <v>24290</v>
      </c>
      <c r="G4185" s="6" t="s">
        <v>33</v>
      </c>
      <c r="H4185" s="6" t="s">
        <v>34</v>
      </c>
      <c r="I4185" s="8" t="s">
        <v>1081</v>
      </c>
      <c r="J4185" s="9">
        <v>1</v>
      </c>
      <c r="K4185" s="9">
        <v>188</v>
      </c>
      <c r="L4185" s="9">
        <v>2024</v>
      </c>
      <c r="M4185" s="8" t="s">
        <v>24294</v>
      </c>
      <c r="N4185" s="8" t="s">
        <v>585</v>
      </c>
      <c r="O4185" s="8" t="s">
        <v>1518</v>
      </c>
      <c r="P4185" s="6" t="s">
        <v>39</v>
      </c>
      <c r="Q4185" s="8" t="s">
        <v>40</v>
      </c>
      <c r="R4185" s="10" t="s">
        <v>23856</v>
      </c>
      <c r="S4185" s="11"/>
      <c r="T4185" s="6"/>
      <c r="U4185" s="15" t="str">
        <f>HYPERLINK("https://media.infra-m.ru/2075/2075124/cover/2075124.jpg", "Обложка")</f>
        <v>Обложка</v>
      </c>
      <c r="V4185" s="8" t="s">
        <v>1083</v>
      </c>
      <c r="W4185" s="6"/>
      <c r="X4185" s="6"/>
      <c r="Y4185" s="6"/>
      <c r="Z4185" s="6"/>
      <c r="AA4185" s="6" t="s">
        <v>86</v>
      </c>
      <c r="AB4185" s="8"/>
      <c r="AC4185" s="27">
        <v>9785160188904</v>
      </c>
    </row>
    <row r="4186" spans="1:29" s="4" customFormat="1" ht="42" customHeight="1" x14ac:dyDescent="0.2">
      <c r="A4186" s="5">
        <v>0</v>
      </c>
      <c r="B4186" s="6" t="s">
        <v>24295</v>
      </c>
      <c r="C4186" s="7">
        <v>1044</v>
      </c>
      <c r="D4186" s="8" t="s">
        <v>24296</v>
      </c>
      <c r="E4186" s="8" t="s">
        <v>24297</v>
      </c>
      <c r="F4186" s="8" t="s">
        <v>24298</v>
      </c>
      <c r="G4186" s="6" t="s">
        <v>118</v>
      </c>
      <c r="H4186" s="6" t="s">
        <v>34</v>
      </c>
      <c r="I4186" s="8" t="s">
        <v>35</v>
      </c>
      <c r="J4186" s="9">
        <v>1</v>
      </c>
      <c r="K4186" s="9">
        <v>158</v>
      </c>
      <c r="L4186" s="9">
        <v>2026</v>
      </c>
      <c r="M4186" s="8" t="s">
        <v>24299</v>
      </c>
      <c r="N4186" s="8" t="s">
        <v>243</v>
      </c>
      <c r="O4186" s="8" t="s">
        <v>1100</v>
      </c>
      <c r="P4186" s="6" t="s">
        <v>39</v>
      </c>
      <c r="Q4186" s="8" t="s">
        <v>40</v>
      </c>
      <c r="R4186" s="10" t="s">
        <v>2505</v>
      </c>
      <c r="S4186" s="11"/>
      <c r="T4186" s="6"/>
      <c r="U4186" s="15" t="str">
        <f>HYPERLINK("https://media.infra-m.ru/2247/2247505/cover/2247505.jpg", "Обложка")</f>
        <v>Обложка</v>
      </c>
      <c r="V4186" s="8" t="s">
        <v>2522</v>
      </c>
      <c r="W4186" s="6"/>
      <c r="X4186" s="6"/>
      <c r="Y4186" s="6"/>
      <c r="Z4186" s="6"/>
      <c r="AA4186" s="6" t="s">
        <v>779</v>
      </c>
      <c r="AB4186" s="8"/>
      <c r="AC4186" s="27">
        <v>9785160122083</v>
      </c>
    </row>
    <row r="4187" spans="1:29" s="4" customFormat="1" ht="44.1" customHeight="1" x14ac:dyDescent="0.2">
      <c r="A4187" s="5">
        <v>0</v>
      </c>
      <c r="B4187" s="6" t="s">
        <v>24300</v>
      </c>
      <c r="C4187" s="13">
        <v>605.9</v>
      </c>
      <c r="D4187" s="8" t="s">
        <v>24301</v>
      </c>
      <c r="E4187" s="8" t="s">
        <v>24302</v>
      </c>
      <c r="F4187" s="8" t="s">
        <v>24303</v>
      </c>
      <c r="G4187" s="6" t="s">
        <v>33</v>
      </c>
      <c r="H4187" s="6" t="s">
        <v>241</v>
      </c>
      <c r="I4187" s="8"/>
      <c r="J4187" s="9">
        <v>1</v>
      </c>
      <c r="K4187" s="9">
        <v>112</v>
      </c>
      <c r="L4187" s="9">
        <v>2023</v>
      </c>
      <c r="M4187" s="8" t="s">
        <v>24304</v>
      </c>
      <c r="N4187" s="8" t="s">
        <v>585</v>
      </c>
      <c r="O4187" s="8" t="s">
        <v>667</v>
      </c>
      <c r="P4187" s="6" t="s">
        <v>51</v>
      </c>
      <c r="Q4187" s="8" t="s">
        <v>52</v>
      </c>
      <c r="R4187" s="10" t="s">
        <v>24305</v>
      </c>
      <c r="S4187" s="11"/>
      <c r="T4187" s="6"/>
      <c r="U4187" s="15" t="str">
        <f>HYPERLINK("https://media.infra-m.ru/2044/2044339/cover/2044339.jpg", "Обложка")</f>
        <v>Обложка</v>
      </c>
      <c r="V4187" s="8" t="s">
        <v>7287</v>
      </c>
      <c r="W4187" s="6"/>
      <c r="X4187" s="6"/>
      <c r="Y4187" s="6"/>
      <c r="Z4187" s="6"/>
      <c r="AA4187" s="6" t="s">
        <v>55</v>
      </c>
      <c r="AB4187" s="8"/>
      <c r="AC4187" s="27">
        <v>9785955802800</v>
      </c>
    </row>
    <row r="4188" spans="1:29" s="4" customFormat="1" ht="51.9" customHeight="1" x14ac:dyDescent="0.2">
      <c r="A4188" s="5">
        <v>0</v>
      </c>
      <c r="B4188" s="6" t="s">
        <v>24306</v>
      </c>
      <c r="C4188" s="7">
        <v>1317.6</v>
      </c>
      <c r="D4188" s="8" t="s">
        <v>24307</v>
      </c>
      <c r="E4188" s="8" t="s">
        <v>24308</v>
      </c>
      <c r="F4188" s="8" t="s">
        <v>24309</v>
      </c>
      <c r="G4188" s="6" t="s">
        <v>33</v>
      </c>
      <c r="H4188" s="6" t="s">
        <v>820</v>
      </c>
      <c r="I4188" s="8"/>
      <c r="J4188" s="9">
        <v>1</v>
      </c>
      <c r="K4188" s="9">
        <v>256</v>
      </c>
      <c r="L4188" s="9">
        <v>2026</v>
      </c>
      <c r="M4188" s="8" t="s">
        <v>24310</v>
      </c>
      <c r="N4188" s="8" t="s">
        <v>585</v>
      </c>
      <c r="O4188" s="8" t="s">
        <v>1518</v>
      </c>
      <c r="P4188" s="6" t="s">
        <v>51</v>
      </c>
      <c r="Q4188" s="8" t="s">
        <v>65</v>
      </c>
      <c r="R4188" s="10" t="s">
        <v>24311</v>
      </c>
      <c r="S4188" s="11"/>
      <c r="T4188" s="6"/>
      <c r="U4188" s="15" t="str">
        <f>HYPERLINK("https://media.infra-m.ru/2227/2227010/cover/2227010.jpg", "Обложка")</f>
        <v>Обложка</v>
      </c>
      <c r="V4188" s="8" t="s">
        <v>54</v>
      </c>
      <c r="W4188" s="6"/>
      <c r="X4188" s="6" t="s">
        <v>24</v>
      </c>
      <c r="Y4188" s="6"/>
      <c r="Z4188" s="6"/>
      <c r="AA4188" s="6" t="s">
        <v>248</v>
      </c>
      <c r="AB4188" s="8"/>
      <c r="AC4188" s="27">
        <v>9785905554605</v>
      </c>
    </row>
    <row r="4189" spans="1:29" s="4" customFormat="1" ht="51.9" customHeight="1" x14ac:dyDescent="0.2">
      <c r="A4189" s="5">
        <v>0</v>
      </c>
      <c r="B4189" s="6" t="s">
        <v>24312</v>
      </c>
      <c r="C4189" s="7">
        <v>2164.8000000000002</v>
      </c>
      <c r="D4189" s="8" t="s">
        <v>24313</v>
      </c>
      <c r="E4189" s="8" t="s">
        <v>24314</v>
      </c>
      <c r="F4189" s="8" t="s">
        <v>24315</v>
      </c>
      <c r="G4189" s="6" t="s">
        <v>60</v>
      </c>
      <c r="H4189" s="6" t="s">
        <v>34</v>
      </c>
      <c r="I4189" s="8" t="s">
        <v>271</v>
      </c>
      <c r="J4189" s="9">
        <v>1</v>
      </c>
      <c r="K4189" s="9">
        <v>348</v>
      </c>
      <c r="L4189" s="9">
        <v>2026</v>
      </c>
      <c r="M4189" s="8" t="s">
        <v>24316</v>
      </c>
      <c r="N4189" s="8" t="s">
        <v>585</v>
      </c>
      <c r="O4189" s="8" t="s">
        <v>1518</v>
      </c>
      <c r="P4189" s="6" t="s">
        <v>306</v>
      </c>
      <c r="Q4189" s="8" t="s">
        <v>52</v>
      </c>
      <c r="R4189" s="10" t="s">
        <v>24317</v>
      </c>
      <c r="S4189" s="11" t="s">
        <v>24318</v>
      </c>
      <c r="T4189" s="6" t="s">
        <v>97</v>
      </c>
      <c r="U4189" s="15" t="str">
        <f>HYPERLINK("https://media.infra-m.ru/2214/2214602/cover/2214602.jpg", "Обложка")</f>
        <v>Обложка</v>
      </c>
      <c r="V4189" s="8" t="s">
        <v>831</v>
      </c>
      <c r="W4189" s="6"/>
      <c r="X4189" s="6"/>
      <c r="Y4189" s="6"/>
      <c r="Z4189" s="6"/>
      <c r="AA4189" s="6" t="s">
        <v>1303</v>
      </c>
      <c r="AB4189" s="8"/>
      <c r="AC4189" s="27">
        <v>9785160175539</v>
      </c>
    </row>
    <row r="4190" spans="1:29" s="4" customFormat="1" ht="51.9" customHeight="1" x14ac:dyDescent="0.2">
      <c r="A4190" s="5">
        <v>0</v>
      </c>
      <c r="B4190" s="6" t="s">
        <v>24319</v>
      </c>
      <c r="C4190" s="7">
        <v>1529.9</v>
      </c>
      <c r="D4190" s="8" t="s">
        <v>24320</v>
      </c>
      <c r="E4190" s="8" t="s">
        <v>24321</v>
      </c>
      <c r="F4190" s="8" t="s">
        <v>24322</v>
      </c>
      <c r="G4190" s="6" t="s">
        <v>118</v>
      </c>
      <c r="H4190" s="6" t="s">
        <v>34</v>
      </c>
      <c r="I4190" s="8" t="s">
        <v>271</v>
      </c>
      <c r="J4190" s="9">
        <v>1</v>
      </c>
      <c r="K4190" s="9">
        <v>336</v>
      </c>
      <c r="L4190" s="9">
        <v>2022</v>
      </c>
      <c r="M4190" s="8" t="s">
        <v>24323</v>
      </c>
      <c r="N4190" s="8" t="s">
        <v>585</v>
      </c>
      <c r="O4190" s="8" t="s">
        <v>1518</v>
      </c>
      <c r="P4190" s="6" t="s">
        <v>306</v>
      </c>
      <c r="Q4190" s="8" t="s">
        <v>52</v>
      </c>
      <c r="R4190" s="10" t="s">
        <v>24317</v>
      </c>
      <c r="S4190" s="11" t="s">
        <v>24324</v>
      </c>
      <c r="T4190" s="6" t="s">
        <v>97</v>
      </c>
      <c r="U4190" s="15" t="str">
        <f>HYPERLINK("https://media.infra-m.ru/1854/1854027/cover/1854027.jpg", "Обложка")</f>
        <v>Обложка</v>
      </c>
      <c r="V4190" s="8" t="s">
        <v>831</v>
      </c>
      <c r="W4190" s="6"/>
      <c r="X4190" s="6"/>
      <c r="Y4190" s="6"/>
      <c r="Z4190" s="6"/>
      <c r="AA4190" s="6" t="s">
        <v>99</v>
      </c>
      <c r="AB4190" s="8"/>
      <c r="AC4190" s="27">
        <v>9785160123233</v>
      </c>
    </row>
    <row r="4191" spans="1:29" s="4" customFormat="1" ht="51.9" customHeight="1" x14ac:dyDescent="0.2">
      <c r="A4191" s="5">
        <v>0</v>
      </c>
      <c r="B4191" s="6" t="s">
        <v>24325</v>
      </c>
      <c r="C4191" s="7">
        <v>2020.8</v>
      </c>
      <c r="D4191" s="8" t="s">
        <v>24326</v>
      </c>
      <c r="E4191" s="8" t="s">
        <v>24321</v>
      </c>
      <c r="F4191" s="8" t="s">
        <v>24327</v>
      </c>
      <c r="G4191" s="6" t="s">
        <v>60</v>
      </c>
      <c r="H4191" s="6" t="s">
        <v>1795</v>
      </c>
      <c r="I4191" s="8" t="s">
        <v>2911</v>
      </c>
      <c r="J4191" s="9">
        <v>1</v>
      </c>
      <c r="K4191" s="9">
        <v>336</v>
      </c>
      <c r="L4191" s="9">
        <v>2025</v>
      </c>
      <c r="M4191" s="8" t="s">
        <v>24328</v>
      </c>
      <c r="N4191" s="8" t="s">
        <v>585</v>
      </c>
      <c r="O4191" s="8" t="s">
        <v>1518</v>
      </c>
      <c r="P4191" s="6" t="s">
        <v>51</v>
      </c>
      <c r="Q4191" s="8" t="s">
        <v>265</v>
      </c>
      <c r="R4191" s="10" t="s">
        <v>24329</v>
      </c>
      <c r="S4191" s="11" t="s">
        <v>20716</v>
      </c>
      <c r="T4191" s="6"/>
      <c r="U4191" s="15" t="str">
        <f>HYPERLINK("https://media.infra-m.ru/2141/2141717/cover/2141717.jpg", "Обложка")</f>
        <v>Обложка</v>
      </c>
      <c r="V4191" s="8" t="s">
        <v>227</v>
      </c>
      <c r="W4191" s="6"/>
      <c r="X4191" s="6"/>
      <c r="Y4191" s="6"/>
      <c r="Z4191" s="6"/>
      <c r="AA4191" s="6" t="s">
        <v>561</v>
      </c>
      <c r="AB4191" s="8"/>
      <c r="AC4191" s="27">
        <v>9785982811875</v>
      </c>
    </row>
    <row r="4192" spans="1:29" s="4" customFormat="1" ht="51.9" customHeight="1" x14ac:dyDescent="0.2">
      <c r="A4192" s="5">
        <v>0</v>
      </c>
      <c r="B4192" s="6" t="s">
        <v>24330</v>
      </c>
      <c r="C4192" s="7">
        <v>1132.8</v>
      </c>
      <c r="D4192" s="8" t="s">
        <v>24331</v>
      </c>
      <c r="E4192" s="8" t="s">
        <v>24332</v>
      </c>
      <c r="F4192" s="8" t="s">
        <v>24333</v>
      </c>
      <c r="G4192" s="6" t="s">
        <v>118</v>
      </c>
      <c r="H4192" s="6" t="s">
        <v>34</v>
      </c>
      <c r="I4192" s="8" t="s">
        <v>24334</v>
      </c>
      <c r="J4192" s="9">
        <v>1</v>
      </c>
      <c r="K4192" s="9">
        <v>172</v>
      </c>
      <c r="L4192" s="9">
        <v>2026</v>
      </c>
      <c r="M4192" s="8" t="s">
        <v>24335</v>
      </c>
      <c r="N4192" s="8" t="s">
        <v>243</v>
      </c>
      <c r="O4192" s="8" t="s">
        <v>385</v>
      </c>
      <c r="P4192" s="6" t="s">
        <v>51</v>
      </c>
      <c r="Q4192" s="8" t="s">
        <v>377</v>
      </c>
      <c r="R4192" s="10" t="s">
        <v>24336</v>
      </c>
      <c r="S4192" s="11" t="s">
        <v>24337</v>
      </c>
      <c r="T4192" s="6"/>
      <c r="U4192" s="15" t="str">
        <f>HYPERLINK("https://media.infra-m.ru/2219/2219308/cover/2219308.jpg", "Обложка")</f>
        <v>Обложка</v>
      </c>
      <c r="V4192" s="8" t="s">
        <v>2154</v>
      </c>
      <c r="W4192" s="6"/>
      <c r="X4192" s="6"/>
      <c r="Y4192" s="6"/>
      <c r="Z4192" s="6"/>
      <c r="AA4192" s="6" t="s">
        <v>2240</v>
      </c>
      <c r="AB4192" s="8"/>
      <c r="AC4192" s="27">
        <v>9785160155111</v>
      </c>
    </row>
    <row r="4193" spans="1:29" s="4" customFormat="1" ht="51.9" customHeight="1" x14ac:dyDescent="0.2">
      <c r="A4193" s="5">
        <v>0</v>
      </c>
      <c r="B4193" s="6" t="s">
        <v>24338</v>
      </c>
      <c r="C4193" s="7">
        <v>1008</v>
      </c>
      <c r="D4193" s="8" t="s">
        <v>24339</v>
      </c>
      <c r="E4193" s="8" t="s">
        <v>24340</v>
      </c>
      <c r="F4193" s="8" t="s">
        <v>24341</v>
      </c>
      <c r="G4193" s="6" t="s">
        <v>118</v>
      </c>
      <c r="H4193" s="6" t="s">
        <v>34</v>
      </c>
      <c r="I4193" s="8" t="s">
        <v>253</v>
      </c>
      <c r="J4193" s="9">
        <v>1</v>
      </c>
      <c r="K4193" s="9">
        <v>160</v>
      </c>
      <c r="L4193" s="9">
        <v>2025</v>
      </c>
      <c r="M4193" s="8" t="s">
        <v>24342</v>
      </c>
      <c r="N4193" s="8" t="s">
        <v>243</v>
      </c>
      <c r="O4193" s="8" t="s">
        <v>385</v>
      </c>
      <c r="P4193" s="6" t="s">
        <v>51</v>
      </c>
      <c r="Q4193" s="8" t="s">
        <v>377</v>
      </c>
      <c r="R4193" s="10" t="s">
        <v>378</v>
      </c>
      <c r="S4193" s="11" t="s">
        <v>24343</v>
      </c>
      <c r="T4193" s="6"/>
      <c r="U4193" s="15" t="str">
        <f>HYPERLINK("https://media.infra-m.ru/2161/2161658/cover/2161658.jpg", "Обложка")</f>
        <v>Обложка</v>
      </c>
      <c r="V4193" s="8" t="s">
        <v>2154</v>
      </c>
      <c r="W4193" s="6"/>
      <c r="X4193" s="6"/>
      <c r="Y4193" s="6"/>
      <c r="Z4193" s="6"/>
      <c r="AA4193" s="6" t="s">
        <v>115</v>
      </c>
      <c r="AB4193" s="8"/>
      <c r="AC4193" s="27">
        <v>9785160208497</v>
      </c>
    </row>
    <row r="4194" spans="1:29" s="4" customFormat="1" ht="51.9" customHeight="1" x14ac:dyDescent="0.2">
      <c r="A4194" s="5">
        <v>0</v>
      </c>
      <c r="B4194" s="6" t="s">
        <v>24344</v>
      </c>
      <c r="C4194" s="13">
        <v>912</v>
      </c>
      <c r="D4194" s="8" t="s">
        <v>24345</v>
      </c>
      <c r="E4194" s="8" t="s">
        <v>24346</v>
      </c>
      <c r="F4194" s="8" t="s">
        <v>24347</v>
      </c>
      <c r="G4194" s="6" t="s">
        <v>33</v>
      </c>
      <c r="H4194" s="6" t="s">
        <v>34</v>
      </c>
      <c r="I4194" s="8" t="s">
        <v>253</v>
      </c>
      <c r="J4194" s="9">
        <v>1</v>
      </c>
      <c r="K4194" s="9">
        <v>137</v>
      </c>
      <c r="L4194" s="9">
        <v>2026</v>
      </c>
      <c r="M4194" s="8" t="s">
        <v>24348</v>
      </c>
      <c r="N4194" s="8" t="s">
        <v>243</v>
      </c>
      <c r="O4194" s="8" t="s">
        <v>385</v>
      </c>
      <c r="P4194" s="6" t="s">
        <v>51</v>
      </c>
      <c r="Q4194" s="8" t="s">
        <v>377</v>
      </c>
      <c r="R4194" s="10" t="s">
        <v>378</v>
      </c>
      <c r="S4194" s="11" t="s">
        <v>24349</v>
      </c>
      <c r="T4194" s="6"/>
      <c r="U4194" s="15" t="str">
        <f>HYPERLINK("https://media.infra-m.ru/2238/2238509/cover/2238509.jpg", "Обложка")</f>
        <v>Обложка</v>
      </c>
      <c r="V4194" s="8" t="s">
        <v>24350</v>
      </c>
      <c r="W4194" s="6"/>
      <c r="X4194" s="6"/>
      <c r="Y4194" s="6"/>
      <c r="Z4194" s="6"/>
      <c r="AA4194" s="6" t="s">
        <v>248</v>
      </c>
      <c r="AB4194" s="8"/>
      <c r="AC4194" s="27">
        <v>9785160218564</v>
      </c>
    </row>
    <row r="4195" spans="1:29" s="4" customFormat="1" ht="51.9" customHeight="1" x14ac:dyDescent="0.2">
      <c r="A4195" s="5">
        <v>0</v>
      </c>
      <c r="B4195" s="6" t="s">
        <v>24351</v>
      </c>
      <c r="C4195" s="7">
        <v>1252.8</v>
      </c>
      <c r="D4195" s="8" t="s">
        <v>24352</v>
      </c>
      <c r="E4195" s="8" t="s">
        <v>24353</v>
      </c>
      <c r="F4195" s="8" t="s">
        <v>24354</v>
      </c>
      <c r="G4195" s="6" t="s">
        <v>118</v>
      </c>
      <c r="H4195" s="6" t="s">
        <v>34</v>
      </c>
      <c r="I4195" s="8" t="s">
        <v>24355</v>
      </c>
      <c r="J4195" s="9">
        <v>1</v>
      </c>
      <c r="K4195" s="9">
        <v>207</v>
      </c>
      <c r="L4195" s="9">
        <v>2023</v>
      </c>
      <c r="M4195" s="8" t="s">
        <v>24356</v>
      </c>
      <c r="N4195" s="8" t="s">
        <v>243</v>
      </c>
      <c r="O4195" s="8" t="s">
        <v>385</v>
      </c>
      <c r="P4195" s="6" t="s">
        <v>39</v>
      </c>
      <c r="Q4195" s="8" t="s">
        <v>40</v>
      </c>
      <c r="R4195" s="10" t="s">
        <v>24357</v>
      </c>
      <c r="S4195" s="11"/>
      <c r="T4195" s="6"/>
      <c r="U4195" s="15" t="str">
        <f>HYPERLINK("https://media.infra-m.ru/2114/2114824/cover/2114824.jpg", "Обложка")</f>
        <v>Обложка</v>
      </c>
      <c r="V4195" s="8" t="s">
        <v>2154</v>
      </c>
      <c r="W4195" s="6"/>
      <c r="X4195" s="6"/>
      <c r="Y4195" s="6"/>
      <c r="Z4195" s="6"/>
      <c r="AA4195" s="6" t="s">
        <v>157</v>
      </c>
      <c r="AB4195" s="8" t="s">
        <v>1785</v>
      </c>
      <c r="AC4195" s="27">
        <v>9785160179735</v>
      </c>
    </row>
    <row r="4196" spans="1:29" s="4" customFormat="1" ht="51.9" customHeight="1" x14ac:dyDescent="0.2">
      <c r="A4196" s="5">
        <v>0</v>
      </c>
      <c r="B4196" s="6" t="s">
        <v>24358</v>
      </c>
      <c r="C4196" s="7">
        <v>1396.8</v>
      </c>
      <c r="D4196" s="8" t="s">
        <v>24359</v>
      </c>
      <c r="E4196" s="8" t="s">
        <v>24360</v>
      </c>
      <c r="F4196" s="8" t="s">
        <v>17226</v>
      </c>
      <c r="G4196" s="6" t="s">
        <v>33</v>
      </c>
      <c r="H4196" s="6" t="s">
        <v>34</v>
      </c>
      <c r="I4196" s="8" t="s">
        <v>35</v>
      </c>
      <c r="J4196" s="9">
        <v>1</v>
      </c>
      <c r="K4196" s="9">
        <v>201</v>
      </c>
      <c r="L4196" s="9">
        <v>2027</v>
      </c>
      <c r="M4196" s="8" t="s">
        <v>24361</v>
      </c>
      <c r="N4196" s="8" t="s">
        <v>37</v>
      </c>
      <c r="O4196" s="8" t="s">
        <v>207</v>
      </c>
      <c r="P4196" s="6" t="s">
        <v>39</v>
      </c>
      <c r="Q4196" s="8" t="s">
        <v>40</v>
      </c>
      <c r="R4196" s="10" t="s">
        <v>24362</v>
      </c>
      <c r="S4196" s="11"/>
      <c r="T4196" s="6"/>
      <c r="U4196" s="15" t="str">
        <f>HYPERLINK("https://media.infra-m.ru/2257/2257557/cover/2257557.jpg", "Обложка")</f>
        <v>Обложка</v>
      </c>
      <c r="V4196" s="8" t="s">
        <v>4473</v>
      </c>
      <c r="W4196" s="6"/>
      <c r="X4196" s="6"/>
      <c r="Y4196" s="6"/>
      <c r="Z4196" s="6"/>
      <c r="AA4196" s="6" t="s">
        <v>106</v>
      </c>
      <c r="AB4196" s="8"/>
      <c r="AC4196" s="27">
        <v>9785160189420</v>
      </c>
    </row>
    <row r="4197" spans="1:29" s="4" customFormat="1" ht="51.9" customHeight="1" x14ac:dyDescent="0.2">
      <c r="A4197" s="5">
        <v>0</v>
      </c>
      <c r="B4197" s="6" t="s">
        <v>24363</v>
      </c>
      <c r="C4197" s="13">
        <v>588</v>
      </c>
      <c r="D4197" s="8" t="s">
        <v>24364</v>
      </c>
      <c r="E4197" s="8" t="s">
        <v>24365</v>
      </c>
      <c r="F4197" s="8" t="s">
        <v>24366</v>
      </c>
      <c r="G4197" s="6" t="s">
        <v>33</v>
      </c>
      <c r="H4197" s="6" t="s">
        <v>34</v>
      </c>
      <c r="I4197" s="8"/>
      <c r="J4197" s="9">
        <v>1</v>
      </c>
      <c r="K4197" s="9">
        <v>163</v>
      </c>
      <c r="L4197" s="9">
        <v>2019</v>
      </c>
      <c r="M4197" s="8" t="s">
        <v>24367</v>
      </c>
      <c r="N4197" s="8" t="s">
        <v>37</v>
      </c>
      <c r="O4197" s="8" t="s">
        <v>207</v>
      </c>
      <c r="P4197" s="6" t="s">
        <v>748</v>
      </c>
      <c r="Q4197" s="8" t="s">
        <v>40</v>
      </c>
      <c r="R4197" s="10" t="s">
        <v>24362</v>
      </c>
      <c r="S4197" s="11"/>
      <c r="T4197" s="6"/>
      <c r="U4197" s="15" t="str">
        <f>HYPERLINK("https://media.infra-m.ru/1020/1020038/cover/1020038.jpg", "Обложка")</f>
        <v>Обложка</v>
      </c>
      <c r="V4197" s="8" t="s">
        <v>4473</v>
      </c>
      <c r="W4197" s="6"/>
      <c r="X4197" s="6"/>
      <c r="Y4197" s="6"/>
      <c r="Z4197" s="6"/>
      <c r="AA4197" s="6" t="s">
        <v>248</v>
      </c>
      <c r="AB4197" s="8"/>
      <c r="AC4197" s="27">
        <v>9785160100036</v>
      </c>
    </row>
    <row r="4198" spans="1:29" s="4" customFormat="1" ht="51.9" customHeight="1" x14ac:dyDescent="0.2">
      <c r="A4198" s="5">
        <v>0</v>
      </c>
      <c r="B4198" s="6" t="s">
        <v>24368</v>
      </c>
      <c r="C4198" s="13">
        <v>708</v>
      </c>
      <c r="D4198" s="8" t="s">
        <v>24369</v>
      </c>
      <c r="E4198" s="8" t="s">
        <v>24370</v>
      </c>
      <c r="F4198" s="8" t="s">
        <v>24371</v>
      </c>
      <c r="G4198" s="6" t="s">
        <v>33</v>
      </c>
      <c r="H4198" s="6" t="s">
        <v>34</v>
      </c>
      <c r="I4198" s="8" t="s">
        <v>2171</v>
      </c>
      <c r="J4198" s="9">
        <v>1</v>
      </c>
      <c r="K4198" s="9">
        <v>74</v>
      </c>
      <c r="L4198" s="9">
        <v>2026</v>
      </c>
      <c r="M4198" s="8" t="s">
        <v>24372</v>
      </c>
      <c r="N4198" s="8" t="s">
        <v>243</v>
      </c>
      <c r="O4198" s="8" t="s">
        <v>964</v>
      </c>
      <c r="P4198" s="6" t="s">
        <v>51</v>
      </c>
      <c r="Q4198" s="8" t="s">
        <v>65</v>
      </c>
      <c r="R4198" s="10" t="s">
        <v>24373</v>
      </c>
      <c r="S4198" s="11" t="s">
        <v>24374</v>
      </c>
      <c r="T4198" s="6"/>
      <c r="U4198" s="15" t="str">
        <f>HYPERLINK("https://media.infra-m.ru/2218/2218021/cover/2218021.jpg", "Обложка")</f>
        <v>Обложка</v>
      </c>
      <c r="V4198" s="8" t="s">
        <v>2175</v>
      </c>
      <c r="W4198" s="6"/>
      <c r="X4198" s="6"/>
      <c r="Y4198" s="6"/>
      <c r="Z4198" s="6"/>
      <c r="AA4198" s="6" t="s">
        <v>430</v>
      </c>
      <c r="AB4198" s="8"/>
      <c r="AC4198" s="27">
        <v>9785160167398</v>
      </c>
    </row>
    <row r="4199" spans="1:29" s="4" customFormat="1" ht="51.9" customHeight="1" x14ac:dyDescent="0.2">
      <c r="A4199" s="5">
        <v>0</v>
      </c>
      <c r="B4199" s="6" t="s">
        <v>24375</v>
      </c>
      <c r="C4199" s="7">
        <v>1024.8</v>
      </c>
      <c r="D4199" s="8" t="s">
        <v>24376</v>
      </c>
      <c r="E4199" s="8" t="s">
        <v>24377</v>
      </c>
      <c r="F4199" s="8" t="s">
        <v>24378</v>
      </c>
      <c r="G4199" s="6" t="s">
        <v>60</v>
      </c>
      <c r="H4199" s="6" t="s">
        <v>34</v>
      </c>
      <c r="I4199" s="8" t="s">
        <v>263</v>
      </c>
      <c r="J4199" s="9">
        <v>1</v>
      </c>
      <c r="K4199" s="9">
        <v>148</v>
      </c>
      <c r="L4199" s="9">
        <v>2027</v>
      </c>
      <c r="M4199" s="8" t="s">
        <v>24379</v>
      </c>
      <c r="N4199" s="8" t="s">
        <v>243</v>
      </c>
      <c r="O4199" s="8" t="s">
        <v>964</v>
      </c>
      <c r="P4199" s="6" t="s">
        <v>51</v>
      </c>
      <c r="Q4199" s="8" t="s">
        <v>265</v>
      </c>
      <c r="R4199" s="10" t="s">
        <v>24380</v>
      </c>
      <c r="S4199" s="11" t="s">
        <v>24381</v>
      </c>
      <c r="T4199" s="6"/>
      <c r="U4199" s="15" t="str">
        <f>HYPERLINK("https://media.infra-m.ru/2271/2271492/cover/2271492.jpg", "Обложка")</f>
        <v>Обложка</v>
      </c>
      <c r="V4199" s="8" t="s">
        <v>24382</v>
      </c>
      <c r="W4199" s="6"/>
      <c r="X4199" s="6"/>
      <c r="Y4199" s="6"/>
      <c r="Z4199" s="6"/>
      <c r="AA4199" s="6" t="s">
        <v>623</v>
      </c>
      <c r="AB4199" s="8"/>
      <c r="AC4199" s="27">
        <v>9785160127590</v>
      </c>
    </row>
    <row r="4200" spans="1:29" s="4" customFormat="1" ht="44.1" customHeight="1" x14ac:dyDescent="0.2">
      <c r="A4200" s="5">
        <v>0</v>
      </c>
      <c r="B4200" s="6" t="s">
        <v>24383</v>
      </c>
      <c r="C4200" s="7">
        <v>1300.8</v>
      </c>
      <c r="D4200" s="8" t="s">
        <v>24384</v>
      </c>
      <c r="E4200" s="8" t="s">
        <v>24385</v>
      </c>
      <c r="F4200" s="8" t="s">
        <v>24386</v>
      </c>
      <c r="G4200" s="6" t="s">
        <v>33</v>
      </c>
      <c r="H4200" s="6" t="s">
        <v>134</v>
      </c>
      <c r="I4200" s="8"/>
      <c r="J4200" s="9">
        <v>1</v>
      </c>
      <c r="K4200" s="9">
        <v>208</v>
      </c>
      <c r="L4200" s="9">
        <v>2025</v>
      </c>
      <c r="M4200" s="8" t="s">
        <v>24387</v>
      </c>
      <c r="N4200" s="8" t="s">
        <v>37</v>
      </c>
      <c r="O4200" s="8" t="s">
        <v>136</v>
      </c>
      <c r="P4200" s="6" t="s">
        <v>39</v>
      </c>
      <c r="Q4200" s="8" t="s">
        <v>40</v>
      </c>
      <c r="R4200" s="10" t="s">
        <v>572</v>
      </c>
      <c r="S4200" s="11"/>
      <c r="T4200" s="6"/>
      <c r="U4200" s="15" t="str">
        <f>HYPERLINK("https://media.infra-m.ru/2192/2192441/cover/2192441.jpg", "Обложка")</f>
        <v>Обложка</v>
      </c>
      <c r="V4200" s="8" t="s">
        <v>5902</v>
      </c>
      <c r="W4200" s="6"/>
      <c r="X4200" s="6"/>
      <c r="Y4200" s="6"/>
      <c r="Z4200" s="6"/>
      <c r="AA4200" s="6" t="s">
        <v>274</v>
      </c>
      <c r="AB4200" s="8"/>
      <c r="AC4200" s="27">
        <v>9785917685922</v>
      </c>
    </row>
    <row r="4201" spans="1:29" s="4" customFormat="1" ht="42" customHeight="1" x14ac:dyDescent="0.2">
      <c r="A4201" s="5">
        <v>0</v>
      </c>
      <c r="B4201" s="6" t="s">
        <v>24388</v>
      </c>
      <c r="C4201" s="13">
        <v>564</v>
      </c>
      <c r="D4201" s="8" t="s">
        <v>24389</v>
      </c>
      <c r="E4201" s="8" t="s">
        <v>24390</v>
      </c>
      <c r="F4201" s="8" t="s">
        <v>24391</v>
      </c>
      <c r="G4201" s="6" t="s">
        <v>33</v>
      </c>
      <c r="H4201" s="6" t="s">
        <v>34</v>
      </c>
      <c r="I4201" s="8" t="s">
        <v>746</v>
      </c>
      <c r="J4201" s="9">
        <v>1</v>
      </c>
      <c r="K4201" s="9">
        <v>77</v>
      </c>
      <c r="L4201" s="9">
        <v>2022</v>
      </c>
      <c r="M4201" s="8" t="s">
        <v>24392</v>
      </c>
      <c r="N4201" s="8" t="s">
        <v>243</v>
      </c>
      <c r="O4201" s="8" t="s">
        <v>385</v>
      </c>
      <c r="P4201" s="6" t="s">
        <v>601</v>
      </c>
      <c r="Q4201" s="8" t="s">
        <v>52</v>
      </c>
      <c r="R4201" s="10" t="s">
        <v>24393</v>
      </c>
      <c r="S4201" s="11"/>
      <c r="T4201" s="6"/>
      <c r="U4201" s="15" t="str">
        <f>HYPERLINK("https://media.infra-m.ru/1946/1946191/cover/1946191.jpg", "Обложка")</f>
        <v>Обложка</v>
      </c>
      <c r="V4201" s="8" t="s">
        <v>24394</v>
      </c>
      <c r="W4201" s="6"/>
      <c r="X4201" s="6"/>
      <c r="Y4201" s="6"/>
      <c r="Z4201" s="6"/>
      <c r="AA4201" s="6" t="s">
        <v>55</v>
      </c>
      <c r="AB4201" s="8"/>
      <c r="AC4201" s="27">
        <v>9785160066806</v>
      </c>
    </row>
    <row r="4202" spans="1:29" s="4" customFormat="1" ht="51.9" customHeight="1" x14ac:dyDescent="0.2">
      <c r="A4202" s="5">
        <v>0</v>
      </c>
      <c r="B4202" s="6" t="s">
        <v>24395</v>
      </c>
      <c r="C4202" s="13">
        <v>760.8</v>
      </c>
      <c r="D4202" s="8" t="s">
        <v>24396</v>
      </c>
      <c r="E4202" s="8" t="s">
        <v>24397</v>
      </c>
      <c r="F4202" s="8" t="s">
        <v>24398</v>
      </c>
      <c r="G4202" s="6" t="s">
        <v>33</v>
      </c>
      <c r="H4202" s="6" t="s">
        <v>34</v>
      </c>
      <c r="I4202" s="8" t="s">
        <v>253</v>
      </c>
      <c r="J4202" s="9">
        <v>1</v>
      </c>
      <c r="K4202" s="9">
        <v>129</v>
      </c>
      <c r="L4202" s="9">
        <v>2024</v>
      </c>
      <c r="M4202" s="8" t="s">
        <v>24399</v>
      </c>
      <c r="N4202" s="8" t="s">
        <v>243</v>
      </c>
      <c r="O4202" s="8" t="s">
        <v>758</v>
      </c>
      <c r="P4202" s="6" t="s">
        <v>51</v>
      </c>
      <c r="Q4202" s="8" t="s">
        <v>52</v>
      </c>
      <c r="R4202" s="10" t="s">
        <v>24400</v>
      </c>
      <c r="S4202" s="11" t="s">
        <v>24401</v>
      </c>
      <c r="T4202" s="6"/>
      <c r="U4202" s="15" t="str">
        <f>HYPERLINK("https://media.infra-m.ru/2155/2155744/cover/2155744.jpg", "Обложка")</f>
        <v>Обложка</v>
      </c>
      <c r="V4202" s="8" t="s">
        <v>359</v>
      </c>
      <c r="W4202" s="6"/>
      <c r="X4202" s="6"/>
      <c r="Y4202" s="6"/>
      <c r="Z4202" s="6"/>
      <c r="AA4202" s="6" t="s">
        <v>779</v>
      </c>
      <c r="AB4202" s="8"/>
      <c r="AC4202" s="27">
        <v>9785160187907</v>
      </c>
    </row>
    <row r="4203" spans="1:29" s="4" customFormat="1" ht="51.9" customHeight="1" x14ac:dyDescent="0.2">
      <c r="A4203" s="5">
        <v>0</v>
      </c>
      <c r="B4203" s="6" t="s">
        <v>24402</v>
      </c>
      <c r="C4203" s="7">
        <v>1560</v>
      </c>
      <c r="D4203" s="8" t="s">
        <v>24403</v>
      </c>
      <c r="E4203" s="8" t="s">
        <v>24404</v>
      </c>
      <c r="F4203" s="8" t="s">
        <v>24405</v>
      </c>
      <c r="G4203" s="6" t="s">
        <v>60</v>
      </c>
      <c r="H4203" s="6" t="s">
        <v>34</v>
      </c>
      <c r="I4203" s="8" t="s">
        <v>253</v>
      </c>
      <c r="J4203" s="9">
        <v>1</v>
      </c>
      <c r="K4203" s="9">
        <v>200</v>
      </c>
      <c r="L4203" s="9">
        <v>2026</v>
      </c>
      <c r="M4203" s="8" t="s">
        <v>24406</v>
      </c>
      <c r="N4203" s="8" t="s">
        <v>37</v>
      </c>
      <c r="O4203" s="8" t="s">
        <v>233</v>
      </c>
      <c r="P4203" s="6" t="s">
        <v>51</v>
      </c>
      <c r="Q4203" s="8" t="s">
        <v>65</v>
      </c>
      <c r="R4203" s="10" t="s">
        <v>24407</v>
      </c>
      <c r="S4203" s="11"/>
      <c r="T4203" s="6"/>
      <c r="U4203" s="15" t="str">
        <f>HYPERLINK("https://media.infra-m.ru/2215/2215196/cover/2215196.jpg", "Обложка")</f>
        <v>Обложка</v>
      </c>
      <c r="V4203" s="8" t="s">
        <v>644</v>
      </c>
      <c r="W4203" s="6" t="s">
        <v>186</v>
      </c>
      <c r="X4203" s="6"/>
      <c r="Y4203" s="6"/>
      <c r="Z4203" s="6"/>
      <c r="AA4203" s="6" t="s">
        <v>187</v>
      </c>
      <c r="AB4203" s="8" t="s">
        <v>308</v>
      </c>
      <c r="AC4203" s="27">
        <v>9785160211398</v>
      </c>
    </row>
    <row r="4204" spans="1:29" s="4" customFormat="1" ht="51.9" customHeight="1" x14ac:dyDescent="0.2">
      <c r="A4204" s="5">
        <v>0</v>
      </c>
      <c r="B4204" s="6" t="s">
        <v>24408</v>
      </c>
      <c r="C4204" s="7">
        <v>1324.8</v>
      </c>
      <c r="D4204" s="8" t="s">
        <v>24409</v>
      </c>
      <c r="E4204" s="8" t="s">
        <v>24410</v>
      </c>
      <c r="F4204" s="8" t="s">
        <v>24411</v>
      </c>
      <c r="G4204" s="6" t="s">
        <v>33</v>
      </c>
      <c r="H4204" s="6" t="s">
        <v>34</v>
      </c>
      <c r="I4204" s="8" t="s">
        <v>35</v>
      </c>
      <c r="J4204" s="9">
        <v>1</v>
      </c>
      <c r="K4204" s="9">
        <v>190</v>
      </c>
      <c r="L4204" s="9">
        <v>2027</v>
      </c>
      <c r="M4204" s="8" t="s">
        <v>24412</v>
      </c>
      <c r="N4204" s="8" t="s">
        <v>37</v>
      </c>
      <c r="O4204" s="8" t="s">
        <v>233</v>
      </c>
      <c r="P4204" s="6" t="s">
        <v>39</v>
      </c>
      <c r="Q4204" s="8" t="s">
        <v>40</v>
      </c>
      <c r="R4204" s="10" t="s">
        <v>24413</v>
      </c>
      <c r="S4204" s="11"/>
      <c r="T4204" s="6"/>
      <c r="U4204" s="15" t="str">
        <f>HYPERLINK("https://media.infra-m.ru/2257/2257137/cover/2257137.jpg", "Обложка")</f>
        <v>Обложка</v>
      </c>
      <c r="V4204" s="8" t="s">
        <v>8716</v>
      </c>
      <c r="W4204" s="6"/>
      <c r="X4204" s="6"/>
      <c r="Y4204" s="6"/>
      <c r="Z4204" s="6"/>
      <c r="AA4204" s="6" t="s">
        <v>1256</v>
      </c>
      <c r="AB4204" s="8"/>
      <c r="AC4204" s="27">
        <v>9785160160689</v>
      </c>
    </row>
    <row r="4205" spans="1:29" s="4" customFormat="1" ht="42" customHeight="1" x14ac:dyDescent="0.2">
      <c r="A4205" s="5">
        <v>0</v>
      </c>
      <c r="B4205" s="6" t="s">
        <v>24414</v>
      </c>
      <c r="C4205" s="13">
        <v>804</v>
      </c>
      <c r="D4205" s="8" t="s">
        <v>24415</v>
      </c>
      <c r="E4205" s="8" t="s">
        <v>24416</v>
      </c>
      <c r="F4205" s="8" t="s">
        <v>23614</v>
      </c>
      <c r="G4205" s="6" t="s">
        <v>33</v>
      </c>
      <c r="H4205" s="6" t="s">
        <v>34</v>
      </c>
      <c r="I4205" s="8" t="s">
        <v>35</v>
      </c>
      <c r="J4205" s="9">
        <v>1</v>
      </c>
      <c r="K4205" s="9">
        <v>141</v>
      </c>
      <c r="L4205" s="9">
        <v>2023</v>
      </c>
      <c r="M4205" s="8" t="s">
        <v>24417</v>
      </c>
      <c r="N4205" s="8" t="s">
        <v>63</v>
      </c>
      <c r="O4205" s="8" t="s">
        <v>64</v>
      </c>
      <c r="P4205" s="6" t="s">
        <v>39</v>
      </c>
      <c r="Q4205" s="8" t="s">
        <v>40</v>
      </c>
      <c r="R4205" s="10" t="s">
        <v>4898</v>
      </c>
      <c r="S4205" s="11"/>
      <c r="T4205" s="6"/>
      <c r="U4205" s="15" t="str">
        <f>HYPERLINK("https://media.infra-m.ru/1894/1894396/cover/1894396.jpg", "Обложка")</f>
        <v>Обложка</v>
      </c>
      <c r="V4205" s="8"/>
      <c r="W4205" s="6"/>
      <c r="X4205" s="6"/>
      <c r="Y4205" s="6"/>
      <c r="Z4205" s="6"/>
      <c r="AA4205" s="6" t="s">
        <v>157</v>
      </c>
      <c r="AB4205" s="8"/>
      <c r="AC4205" s="27">
        <v>9785160178820</v>
      </c>
    </row>
    <row r="4206" spans="1:29" s="4" customFormat="1" ht="51.9" customHeight="1" x14ac:dyDescent="0.2">
      <c r="A4206" s="5">
        <v>0</v>
      </c>
      <c r="B4206" s="6" t="s">
        <v>24418</v>
      </c>
      <c r="C4206" s="13">
        <v>977.9</v>
      </c>
      <c r="D4206" s="8" t="s">
        <v>24419</v>
      </c>
      <c r="E4206" s="8" t="s">
        <v>24420</v>
      </c>
      <c r="F4206" s="8" t="s">
        <v>24421</v>
      </c>
      <c r="G4206" s="6" t="s">
        <v>33</v>
      </c>
      <c r="H4206" s="6" t="s">
        <v>313</v>
      </c>
      <c r="I4206" s="8" t="s">
        <v>35</v>
      </c>
      <c r="J4206" s="9">
        <v>1</v>
      </c>
      <c r="K4206" s="9">
        <v>202</v>
      </c>
      <c r="L4206" s="9">
        <v>2022</v>
      </c>
      <c r="M4206" s="8" t="s">
        <v>24422</v>
      </c>
      <c r="N4206" s="8" t="s">
        <v>243</v>
      </c>
      <c r="O4206" s="8" t="s">
        <v>933</v>
      </c>
      <c r="P4206" s="6" t="s">
        <v>39</v>
      </c>
      <c r="Q4206" s="8" t="s">
        <v>40</v>
      </c>
      <c r="R4206" s="10" t="s">
        <v>24423</v>
      </c>
      <c r="S4206" s="11"/>
      <c r="T4206" s="6"/>
      <c r="U4206" s="15" t="str">
        <f>HYPERLINK("https://media.infra-m.ru/1855/1855613/cover/1855613.jpg", "Обложка")</f>
        <v>Обложка</v>
      </c>
      <c r="V4206" s="8" t="s">
        <v>24424</v>
      </c>
      <c r="W4206" s="6"/>
      <c r="X4206" s="6"/>
      <c r="Y4206" s="6"/>
      <c r="Z4206" s="6"/>
      <c r="AA4206" s="6" t="s">
        <v>779</v>
      </c>
      <c r="AB4206" s="8"/>
      <c r="AC4206" s="27">
        <v>9785369015506</v>
      </c>
    </row>
    <row r="4207" spans="1:29" s="4" customFormat="1" ht="42" customHeight="1" x14ac:dyDescent="0.2">
      <c r="A4207" s="5">
        <v>0</v>
      </c>
      <c r="B4207" s="6" t="s">
        <v>24425</v>
      </c>
      <c r="C4207" s="13">
        <v>789.6</v>
      </c>
      <c r="D4207" s="8" t="s">
        <v>24426</v>
      </c>
      <c r="E4207" s="8" t="s">
        <v>24427</v>
      </c>
      <c r="F4207" s="8" t="s">
        <v>24428</v>
      </c>
      <c r="G4207" s="6" t="s">
        <v>60</v>
      </c>
      <c r="H4207" s="6" t="s">
        <v>34</v>
      </c>
      <c r="I4207" s="8"/>
      <c r="J4207" s="9">
        <v>1</v>
      </c>
      <c r="K4207" s="9">
        <v>104</v>
      </c>
      <c r="L4207" s="9">
        <v>2023</v>
      </c>
      <c r="M4207" s="8" t="s">
        <v>24429</v>
      </c>
      <c r="N4207" s="8" t="s">
        <v>23059</v>
      </c>
      <c r="O4207" s="8" t="s">
        <v>23060</v>
      </c>
      <c r="P4207" s="6" t="s">
        <v>10093</v>
      </c>
      <c r="Q4207" s="8"/>
      <c r="R4207" s="10" t="s">
        <v>5704</v>
      </c>
      <c r="S4207" s="11"/>
      <c r="T4207" s="6"/>
      <c r="U4207" s="15" t="str">
        <f>HYPERLINK("https://media.infra-m.ru/2084/2084107/cover/2084107.jpg", "Обложка")</f>
        <v>Обложка</v>
      </c>
      <c r="V4207" s="8"/>
      <c r="W4207" s="6"/>
      <c r="X4207" s="6"/>
      <c r="Y4207" s="6"/>
      <c r="Z4207" s="6"/>
      <c r="AA4207" s="6" t="s">
        <v>157</v>
      </c>
      <c r="AB4207" s="8"/>
      <c r="AC4207" s="27">
        <v>9785160188034</v>
      </c>
    </row>
    <row r="4208" spans="1:29" s="4" customFormat="1" ht="42" customHeight="1" x14ac:dyDescent="0.2">
      <c r="A4208" s="5">
        <v>0</v>
      </c>
      <c r="B4208" s="6" t="s">
        <v>24430</v>
      </c>
      <c r="C4208" s="7">
        <v>1198.5999999999999</v>
      </c>
      <c r="D4208" s="8" t="s">
        <v>24431</v>
      </c>
      <c r="E4208" s="8" t="s">
        <v>24432</v>
      </c>
      <c r="F4208" s="8"/>
      <c r="G4208" s="6" t="s">
        <v>6771</v>
      </c>
      <c r="H4208" s="6" t="s">
        <v>34</v>
      </c>
      <c r="I4208" s="8"/>
      <c r="J4208" s="9">
        <v>20</v>
      </c>
      <c r="K4208" s="9">
        <v>40</v>
      </c>
      <c r="L4208" s="9">
        <v>2017</v>
      </c>
      <c r="M4208" s="8"/>
      <c r="N4208" s="8" t="s">
        <v>37</v>
      </c>
      <c r="O4208" s="8" t="s">
        <v>280</v>
      </c>
      <c r="P4208" s="6" t="s">
        <v>314</v>
      </c>
      <c r="Q4208" s="8" t="s">
        <v>40</v>
      </c>
      <c r="R4208" s="10" t="s">
        <v>24433</v>
      </c>
      <c r="S4208" s="11"/>
      <c r="T4208" s="6"/>
      <c r="U4208" s="15" t="str">
        <f>HYPERLINK("https://media.infra-m.ru/0882/0882652/cover/882652.jpg", "Обложка")</f>
        <v>Обложка</v>
      </c>
      <c r="V4208" s="8"/>
      <c r="W4208" s="6"/>
      <c r="X4208" s="6"/>
      <c r="Y4208" s="6"/>
      <c r="Z4208" s="6"/>
      <c r="AA4208" s="6"/>
      <c r="AB4208" s="8"/>
      <c r="AC4208" s="27"/>
    </row>
    <row r="4209" spans="1:29" s="4" customFormat="1" ht="42" customHeight="1" x14ac:dyDescent="0.2">
      <c r="A4209" s="5">
        <v>0</v>
      </c>
      <c r="B4209" s="6" t="s">
        <v>24434</v>
      </c>
      <c r="C4209" s="7">
        <v>1195.9000000000001</v>
      </c>
      <c r="D4209" s="8" t="s">
        <v>24435</v>
      </c>
      <c r="E4209" s="8" t="s">
        <v>24436</v>
      </c>
      <c r="F4209" s="8"/>
      <c r="G4209" s="6" t="s">
        <v>33</v>
      </c>
      <c r="H4209" s="6" t="s">
        <v>34</v>
      </c>
      <c r="I4209" s="8"/>
      <c r="J4209" s="9">
        <v>20</v>
      </c>
      <c r="K4209" s="9">
        <v>68</v>
      </c>
      <c r="L4209" s="9">
        <v>2017</v>
      </c>
      <c r="M4209" s="8"/>
      <c r="N4209" s="8" t="s">
        <v>37</v>
      </c>
      <c r="O4209" s="8" t="s">
        <v>50</v>
      </c>
      <c r="P4209" s="6" t="s">
        <v>314</v>
      </c>
      <c r="Q4209" s="8" t="s">
        <v>40</v>
      </c>
      <c r="R4209" s="10"/>
      <c r="S4209" s="11"/>
      <c r="T4209" s="6"/>
      <c r="U4209" s="15" t="str">
        <f>HYPERLINK("https://media.infra-m.ru/0882/0882671/cover/882671.jpg", "Обложка")</f>
        <v>Обложка</v>
      </c>
      <c r="V4209" s="8"/>
      <c r="W4209" s="6"/>
      <c r="X4209" s="6"/>
      <c r="Y4209" s="6"/>
      <c r="Z4209" s="6"/>
      <c r="AA4209" s="6"/>
      <c r="AB4209" s="8"/>
      <c r="AC4209" s="27"/>
    </row>
    <row r="4210" spans="1:29" s="4" customFormat="1" ht="42" customHeight="1" x14ac:dyDescent="0.2">
      <c r="A4210" s="5">
        <v>0</v>
      </c>
      <c r="B4210" s="6" t="s">
        <v>24437</v>
      </c>
      <c r="C4210" s="7">
        <v>1199.9000000000001</v>
      </c>
      <c r="D4210" s="8" t="s">
        <v>24438</v>
      </c>
      <c r="E4210" s="8" t="s">
        <v>24439</v>
      </c>
      <c r="F4210" s="8"/>
      <c r="G4210" s="6" t="s">
        <v>33</v>
      </c>
      <c r="H4210" s="6" t="s">
        <v>34</v>
      </c>
      <c r="I4210" s="8"/>
      <c r="J4210" s="9">
        <v>20</v>
      </c>
      <c r="K4210" s="9">
        <v>66</v>
      </c>
      <c r="L4210" s="9">
        <v>2017</v>
      </c>
      <c r="M4210" s="8"/>
      <c r="N4210" s="8" t="s">
        <v>37</v>
      </c>
      <c r="O4210" s="8" t="s">
        <v>233</v>
      </c>
      <c r="P4210" s="6" t="s">
        <v>314</v>
      </c>
      <c r="Q4210" s="8" t="s">
        <v>40</v>
      </c>
      <c r="R4210" s="10" t="s">
        <v>3832</v>
      </c>
      <c r="S4210" s="11"/>
      <c r="T4210" s="6"/>
      <c r="U4210" s="15" t="str">
        <f>HYPERLINK("https://media.infra-m.ru/0929/0929049/cover/929049.jpg", "Обложка")</f>
        <v>Обложка</v>
      </c>
      <c r="V4210" s="8"/>
      <c r="W4210" s="6"/>
      <c r="X4210" s="6"/>
      <c r="Y4210" s="6"/>
      <c r="Z4210" s="6"/>
      <c r="AA4210" s="6"/>
      <c r="AB4210" s="8"/>
      <c r="AC4210" s="27"/>
    </row>
    <row r="4211" spans="1:29" s="4" customFormat="1" ht="42" customHeight="1" x14ac:dyDescent="0.2">
      <c r="A4211" s="5">
        <v>0</v>
      </c>
      <c r="B4211" s="6" t="s">
        <v>24440</v>
      </c>
      <c r="C4211" s="7">
        <v>1198.5999999999999</v>
      </c>
      <c r="D4211" s="8" t="s">
        <v>24441</v>
      </c>
      <c r="E4211" s="8" t="s">
        <v>24442</v>
      </c>
      <c r="F4211" s="8"/>
      <c r="G4211" s="6" t="s">
        <v>33</v>
      </c>
      <c r="H4211" s="6" t="s">
        <v>34</v>
      </c>
      <c r="I4211" s="8"/>
      <c r="J4211" s="9">
        <v>20</v>
      </c>
      <c r="K4211" s="9">
        <v>66</v>
      </c>
      <c r="L4211" s="9">
        <v>2017</v>
      </c>
      <c r="M4211" s="8"/>
      <c r="N4211" s="8" t="s">
        <v>37</v>
      </c>
      <c r="O4211" s="8" t="s">
        <v>233</v>
      </c>
      <c r="P4211" s="6" t="s">
        <v>314</v>
      </c>
      <c r="Q4211" s="8" t="s">
        <v>40</v>
      </c>
      <c r="R4211" s="10"/>
      <c r="S4211" s="11"/>
      <c r="T4211" s="6"/>
      <c r="U4211" s="15" t="str">
        <f>HYPERLINK("https://media.infra-m.ru/0882/0882665/cover/882665.jpg", "Обложка")</f>
        <v>Обложка</v>
      </c>
      <c r="V4211" s="8"/>
      <c r="W4211" s="6"/>
      <c r="X4211" s="6"/>
      <c r="Y4211" s="6"/>
      <c r="Z4211" s="6"/>
      <c r="AA4211" s="6"/>
      <c r="AB4211" s="8"/>
      <c r="AC4211" s="27"/>
    </row>
    <row r="4212" spans="1:29" s="4" customFormat="1" ht="51.9" customHeight="1" x14ac:dyDescent="0.2">
      <c r="A4212" s="5">
        <v>0</v>
      </c>
      <c r="B4212" s="6" t="s">
        <v>24443</v>
      </c>
      <c r="C4212" s="13">
        <v>888</v>
      </c>
      <c r="D4212" s="8" t="s">
        <v>24444</v>
      </c>
      <c r="E4212" s="8" t="s">
        <v>24445</v>
      </c>
      <c r="F4212" s="8" t="s">
        <v>1960</v>
      </c>
      <c r="G4212" s="6" t="s">
        <v>33</v>
      </c>
      <c r="H4212" s="6" t="s">
        <v>34</v>
      </c>
      <c r="I4212" s="8" t="s">
        <v>35</v>
      </c>
      <c r="J4212" s="9">
        <v>1</v>
      </c>
      <c r="K4212" s="9">
        <v>202</v>
      </c>
      <c r="L4212" s="9">
        <v>2020</v>
      </c>
      <c r="M4212" s="8" t="s">
        <v>24446</v>
      </c>
      <c r="N4212" s="8" t="s">
        <v>37</v>
      </c>
      <c r="O4212" s="8" t="s">
        <v>233</v>
      </c>
      <c r="P4212" s="6" t="s">
        <v>39</v>
      </c>
      <c r="Q4212" s="8" t="s">
        <v>40</v>
      </c>
      <c r="R4212" s="10" t="s">
        <v>24447</v>
      </c>
      <c r="S4212" s="11"/>
      <c r="T4212" s="6"/>
      <c r="U4212" s="15" t="str">
        <f>HYPERLINK("https://media.infra-m.ru/1031/1031663/cover/1031663.jpg", "Обложка")</f>
        <v>Обложка</v>
      </c>
      <c r="V4212" s="8" t="s">
        <v>227</v>
      </c>
      <c r="W4212" s="6"/>
      <c r="X4212" s="6"/>
      <c r="Y4212" s="6"/>
      <c r="Z4212" s="6"/>
      <c r="AA4212" s="6" t="s">
        <v>1256</v>
      </c>
      <c r="AB4212" s="8"/>
      <c r="AC4212" s="27">
        <v>9785160154183</v>
      </c>
    </row>
    <row r="4213" spans="1:29" s="4" customFormat="1" ht="42" customHeight="1" x14ac:dyDescent="0.2">
      <c r="A4213" s="5">
        <v>0</v>
      </c>
      <c r="B4213" s="6" t="s">
        <v>24448</v>
      </c>
      <c r="C4213" s="7">
        <v>2344.8000000000002</v>
      </c>
      <c r="D4213" s="8" t="s">
        <v>24449</v>
      </c>
      <c r="E4213" s="8" t="s">
        <v>24450</v>
      </c>
      <c r="F4213" s="8" t="s">
        <v>24451</v>
      </c>
      <c r="G4213" s="6" t="s">
        <v>60</v>
      </c>
      <c r="H4213" s="6" t="s">
        <v>34</v>
      </c>
      <c r="I4213" s="8" t="s">
        <v>35</v>
      </c>
      <c r="J4213" s="9">
        <v>1</v>
      </c>
      <c r="K4213" s="9">
        <v>355</v>
      </c>
      <c r="L4213" s="9">
        <v>2026</v>
      </c>
      <c r="M4213" s="8" t="s">
        <v>24452</v>
      </c>
      <c r="N4213" s="8" t="s">
        <v>37</v>
      </c>
      <c r="O4213" s="8" t="s">
        <v>233</v>
      </c>
      <c r="P4213" s="6" t="s">
        <v>39</v>
      </c>
      <c r="Q4213" s="8" t="s">
        <v>40</v>
      </c>
      <c r="R4213" s="10" t="s">
        <v>3008</v>
      </c>
      <c r="S4213" s="11"/>
      <c r="T4213" s="6"/>
      <c r="U4213" s="15" t="str">
        <f>HYPERLINK("https://media.infra-m.ru/2239/2239486/cover/2239486.jpg", "Обложка")</f>
        <v>Обложка</v>
      </c>
      <c r="V4213" s="8" t="s">
        <v>2055</v>
      </c>
      <c r="W4213" s="6"/>
      <c r="X4213" s="6"/>
      <c r="Y4213" s="6"/>
      <c r="Z4213" s="6"/>
      <c r="AA4213" s="6" t="s">
        <v>1303</v>
      </c>
      <c r="AB4213" s="8"/>
      <c r="AC4213" s="27">
        <v>9785160189062</v>
      </c>
    </row>
    <row r="4214" spans="1:29" s="4" customFormat="1" ht="42" customHeight="1" x14ac:dyDescent="0.2">
      <c r="A4214" s="5">
        <v>0</v>
      </c>
      <c r="B4214" s="6" t="s">
        <v>24453</v>
      </c>
      <c r="C4214" s="7">
        <v>2200.8000000000002</v>
      </c>
      <c r="D4214" s="8" t="s">
        <v>24454</v>
      </c>
      <c r="E4214" s="8" t="s">
        <v>24455</v>
      </c>
      <c r="F4214" s="8" t="s">
        <v>24456</v>
      </c>
      <c r="G4214" s="6" t="s">
        <v>60</v>
      </c>
      <c r="H4214" s="6" t="s">
        <v>34</v>
      </c>
      <c r="I4214" s="8" t="s">
        <v>35</v>
      </c>
      <c r="J4214" s="9">
        <v>1</v>
      </c>
      <c r="K4214" s="9">
        <v>334</v>
      </c>
      <c r="L4214" s="9">
        <v>2026</v>
      </c>
      <c r="M4214" s="8" t="s">
        <v>24457</v>
      </c>
      <c r="N4214" s="8" t="s">
        <v>37</v>
      </c>
      <c r="O4214" s="8" t="s">
        <v>233</v>
      </c>
      <c r="P4214" s="6" t="s">
        <v>39</v>
      </c>
      <c r="Q4214" s="8" t="s">
        <v>40</v>
      </c>
      <c r="R4214" s="10" t="s">
        <v>5320</v>
      </c>
      <c r="S4214" s="11"/>
      <c r="T4214" s="6"/>
      <c r="U4214" s="15" t="str">
        <f>HYPERLINK("https://media.infra-m.ru/2239/2239493/cover/2239493.jpg", "Обложка")</f>
        <v>Обложка</v>
      </c>
      <c r="V4214" s="8" t="s">
        <v>2055</v>
      </c>
      <c r="W4214" s="6"/>
      <c r="X4214" s="6"/>
      <c r="Y4214" s="6"/>
      <c r="Z4214" s="6"/>
      <c r="AA4214" s="6" t="s">
        <v>1303</v>
      </c>
      <c r="AB4214" s="8"/>
      <c r="AC4214" s="27">
        <v>9785160179872</v>
      </c>
    </row>
    <row r="4215" spans="1:29" s="4" customFormat="1" ht="51.9" customHeight="1" x14ac:dyDescent="0.2">
      <c r="A4215" s="5">
        <v>0</v>
      </c>
      <c r="B4215" s="6" t="s">
        <v>24458</v>
      </c>
      <c r="C4215" s="7">
        <v>1164</v>
      </c>
      <c r="D4215" s="8" t="s">
        <v>24459</v>
      </c>
      <c r="E4215" s="8" t="s">
        <v>24460</v>
      </c>
      <c r="F4215" s="8" t="s">
        <v>24461</v>
      </c>
      <c r="G4215" s="6" t="s">
        <v>118</v>
      </c>
      <c r="H4215" s="6" t="s">
        <v>34</v>
      </c>
      <c r="I4215" s="8" t="s">
        <v>35</v>
      </c>
      <c r="J4215" s="9">
        <v>1</v>
      </c>
      <c r="K4215" s="9">
        <v>176</v>
      </c>
      <c r="L4215" s="9">
        <v>2026</v>
      </c>
      <c r="M4215" s="8" t="s">
        <v>24462</v>
      </c>
      <c r="N4215" s="8" t="s">
        <v>37</v>
      </c>
      <c r="O4215" s="8" t="s">
        <v>233</v>
      </c>
      <c r="P4215" s="6" t="s">
        <v>39</v>
      </c>
      <c r="Q4215" s="8" t="s">
        <v>40</v>
      </c>
      <c r="R4215" s="10" t="s">
        <v>24463</v>
      </c>
      <c r="S4215" s="11"/>
      <c r="T4215" s="6"/>
      <c r="U4215" s="15" t="str">
        <f>HYPERLINK("https://media.infra-m.ru/2239/2239098/cover/2239098.jpg", "Обложка")</f>
        <v>Обложка</v>
      </c>
      <c r="V4215" s="8" t="s">
        <v>2055</v>
      </c>
      <c r="W4215" s="6"/>
      <c r="X4215" s="6"/>
      <c r="Y4215" s="6"/>
      <c r="Z4215" s="6"/>
      <c r="AA4215" s="6" t="s">
        <v>157</v>
      </c>
      <c r="AB4215" s="8"/>
      <c r="AC4215" s="27">
        <v>9785160189079</v>
      </c>
    </row>
    <row r="4216" spans="1:29" s="4" customFormat="1" ht="42" customHeight="1" x14ac:dyDescent="0.2">
      <c r="A4216" s="5">
        <v>0</v>
      </c>
      <c r="B4216" s="6" t="s">
        <v>24464</v>
      </c>
      <c r="C4216" s="7">
        <v>2004</v>
      </c>
      <c r="D4216" s="8" t="s">
        <v>24465</v>
      </c>
      <c r="E4216" s="8" t="s">
        <v>24466</v>
      </c>
      <c r="F4216" s="8" t="s">
        <v>24451</v>
      </c>
      <c r="G4216" s="6" t="s">
        <v>118</v>
      </c>
      <c r="H4216" s="6" t="s">
        <v>34</v>
      </c>
      <c r="I4216" s="8" t="s">
        <v>35</v>
      </c>
      <c r="J4216" s="9">
        <v>1</v>
      </c>
      <c r="K4216" s="9">
        <v>363</v>
      </c>
      <c r="L4216" s="9">
        <v>2023</v>
      </c>
      <c r="M4216" s="8" t="s">
        <v>24467</v>
      </c>
      <c r="N4216" s="8" t="s">
        <v>37</v>
      </c>
      <c r="O4216" s="8" t="s">
        <v>233</v>
      </c>
      <c r="P4216" s="6" t="s">
        <v>1689</v>
      </c>
      <c r="Q4216" s="8" t="s">
        <v>40</v>
      </c>
      <c r="R4216" s="10" t="s">
        <v>3008</v>
      </c>
      <c r="S4216" s="11"/>
      <c r="T4216" s="6"/>
      <c r="U4216" s="15" t="str">
        <f>HYPERLINK("https://media.infra-m.ru/1896/1896439/cover/1896439.jpg", "Обложка")</f>
        <v>Обложка</v>
      </c>
      <c r="V4216" s="8" t="s">
        <v>2055</v>
      </c>
      <c r="W4216" s="6"/>
      <c r="X4216" s="6"/>
      <c r="Y4216" s="6"/>
      <c r="Z4216" s="6"/>
      <c r="AA4216" s="6" t="s">
        <v>99</v>
      </c>
      <c r="AB4216" s="8"/>
      <c r="AC4216" s="27">
        <v>9785160164885</v>
      </c>
    </row>
    <row r="4217" spans="1:29" s="4" customFormat="1" ht="42" customHeight="1" x14ac:dyDescent="0.2">
      <c r="A4217" s="5">
        <v>0</v>
      </c>
      <c r="B4217" s="6" t="s">
        <v>24468</v>
      </c>
      <c r="C4217" s="7">
        <v>2256</v>
      </c>
      <c r="D4217" s="8" t="s">
        <v>24469</v>
      </c>
      <c r="E4217" s="8" t="s">
        <v>24470</v>
      </c>
      <c r="F4217" s="8" t="s">
        <v>24471</v>
      </c>
      <c r="G4217" s="6" t="s">
        <v>60</v>
      </c>
      <c r="H4217" s="6" t="s">
        <v>34</v>
      </c>
      <c r="I4217" s="8" t="s">
        <v>35</v>
      </c>
      <c r="J4217" s="9">
        <v>1</v>
      </c>
      <c r="K4217" s="9">
        <v>409</v>
      </c>
      <c r="L4217" s="9">
        <v>2022</v>
      </c>
      <c r="M4217" s="8" t="s">
        <v>24472</v>
      </c>
      <c r="N4217" s="8" t="s">
        <v>37</v>
      </c>
      <c r="O4217" s="8" t="s">
        <v>233</v>
      </c>
      <c r="P4217" s="6" t="s">
        <v>39</v>
      </c>
      <c r="Q4217" s="8" t="s">
        <v>40</v>
      </c>
      <c r="R4217" s="10" t="s">
        <v>5320</v>
      </c>
      <c r="S4217" s="11"/>
      <c r="T4217" s="6" t="s">
        <v>97</v>
      </c>
      <c r="U4217" s="15" t="str">
        <f>HYPERLINK("https://media.infra-m.ru/1864/1864103/cover/1864103.jpg", "Обложка")</f>
        <v>Обложка</v>
      </c>
      <c r="V4217" s="8" t="s">
        <v>2055</v>
      </c>
      <c r="W4217" s="6"/>
      <c r="X4217" s="6"/>
      <c r="Y4217" s="6"/>
      <c r="Z4217" s="6"/>
      <c r="AA4217" s="6" t="s">
        <v>430</v>
      </c>
      <c r="AB4217" s="8"/>
      <c r="AC4217" s="27">
        <v>9785160167183</v>
      </c>
    </row>
    <row r="4218" spans="1:29" s="4" customFormat="1" ht="51.9" customHeight="1" x14ac:dyDescent="0.2">
      <c r="A4218" s="5">
        <v>0</v>
      </c>
      <c r="B4218" s="6" t="s">
        <v>24473</v>
      </c>
      <c r="C4218" s="7">
        <v>1092</v>
      </c>
      <c r="D4218" s="8" t="s">
        <v>24474</v>
      </c>
      <c r="E4218" s="8" t="s">
        <v>24475</v>
      </c>
      <c r="F4218" s="8" t="s">
        <v>3640</v>
      </c>
      <c r="G4218" s="6" t="s">
        <v>33</v>
      </c>
      <c r="H4218" s="6" t="s">
        <v>34</v>
      </c>
      <c r="I4218" s="8" t="s">
        <v>35</v>
      </c>
      <c r="J4218" s="9">
        <v>1</v>
      </c>
      <c r="K4218" s="9">
        <v>188</v>
      </c>
      <c r="L4218" s="9">
        <v>2024</v>
      </c>
      <c r="M4218" s="8" t="s">
        <v>24476</v>
      </c>
      <c r="N4218" s="8" t="s">
        <v>37</v>
      </c>
      <c r="O4218" s="8" t="s">
        <v>233</v>
      </c>
      <c r="P4218" s="6" t="s">
        <v>39</v>
      </c>
      <c r="Q4218" s="8" t="s">
        <v>40</v>
      </c>
      <c r="R4218" s="10" t="s">
        <v>24477</v>
      </c>
      <c r="S4218" s="11"/>
      <c r="T4218" s="6"/>
      <c r="U4218" s="15" t="str">
        <f>HYPERLINK("https://media.infra-m.ru/2021/2021345/cover/2021345.jpg", "Обложка")</f>
        <v>Обложка</v>
      </c>
      <c r="V4218" s="8" t="s">
        <v>631</v>
      </c>
      <c r="W4218" s="6"/>
      <c r="X4218" s="6"/>
      <c r="Y4218" s="6"/>
      <c r="Z4218" s="6"/>
      <c r="AA4218" s="6" t="s">
        <v>76</v>
      </c>
      <c r="AB4218" s="8"/>
      <c r="AC4218" s="27">
        <v>9785160185354</v>
      </c>
    </row>
    <row r="4219" spans="1:29" s="4" customFormat="1" ht="42" customHeight="1" x14ac:dyDescent="0.2">
      <c r="A4219" s="5">
        <v>0</v>
      </c>
      <c r="B4219" s="6" t="s">
        <v>24478</v>
      </c>
      <c r="C4219" s="7">
        <v>1956</v>
      </c>
      <c r="D4219" s="8" t="s">
        <v>24479</v>
      </c>
      <c r="E4219" s="8" t="s">
        <v>24480</v>
      </c>
      <c r="F4219" s="8" t="s">
        <v>24481</v>
      </c>
      <c r="G4219" s="6" t="s">
        <v>60</v>
      </c>
      <c r="H4219" s="6" t="s">
        <v>34</v>
      </c>
      <c r="I4219" s="8" t="s">
        <v>35</v>
      </c>
      <c r="J4219" s="9">
        <v>1</v>
      </c>
      <c r="K4219" s="9">
        <v>280</v>
      </c>
      <c r="L4219" s="9">
        <v>2026</v>
      </c>
      <c r="M4219" s="8" t="s">
        <v>24482</v>
      </c>
      <c r="N4219" s="8" t="s">
        <v>37</v>
      </c>
      <c r="O4219" s="8" t="s">
        <v>233</v>
      </c>
      <c r="P4219" s="6" t="s">
        <v>39</v>
      </c>
      <c r="Q4219" s="8" t="s">
        <v>40</v>
      </c>
      <c r="R4219" s="10" t="s">
        <v>12731</v>
      </c>
      <c r="S4219" s="11"/>
      <c r="T4219" s="6"/>
      <c r="U4219" s="15" t="str">
        <f>HYPERLINK("https://media.infra-m.ru/2251/2251248/cover/2251248.jpg", "Обложка")</f>
        <v>Обложка</v>
      </c>
      <c r="V4219" s="8" t="s">
        <v>644</v>
      </c>
      <c r="W4219" s="6" t="s">
        <v>649</v>
      </c>
      <c r="X4219" s="6"/>
      <c r="Y4219" s="6"/>
      <c r="Z4219" s="6"/>
      <c r="AA4219" s="6" t="s">
        <v>187</v>
      </c>
      <c r="AB4219" s="8"/>
      <c r="AC4219" s="27">
        <v>9785160220833</v>
      </c>
    </row>
    <row r="4220" spans="1:29" s="4" customFormat="1" ht="44.1" customHeight="1" x14ac:dyDescent="0.2">
      <c r="A4220" s="5">
        <v>0</v>
      </c>
      <c r="B4220" s="6" t="s">
        <v>24483</v>
      </c>
      <c r="C4220" s="7">
        <v>1848</v>
      </c>
      <c r="D4220" s="8" t="s">
        <v>24484</v>
      </c>
      <c r="E4220" s="8" t="s">
        <v>24485</v>
      </c>
      <c r="F4220" s="8" t="s">
        <v>24486</v>
      </c>
      <c r="G4220" s="6" t="s">
        <v>118</v>
      </c>
      <c r="H4220" s="6" t="s">
        <v>34</v>
      </c>
      <c r="I4220" s="8"/>
      <c r="J4220" s="9">
        <v>1</v>
      </c>
      <c r="K4220" s="9">
        <v>280</v>
      </c>
      <c r="L4220" s="9">
        <v>2026</v>
      </c>
      <c r="M4220" s="8" t="s">
        <v>24487</v>
      </c>
      <c r="N4220" s="8" t="s">
        <v>37</v>
      </c>
      <c r="O4220" s="8" t="s">
        <v>233</v>
      </c>
      <c r="P4220" s="6" t="s">
        <v>39</v>
      </c>
      <c r="Q4220" s="8" t="s">
        <v>40</v>
      </c>
      <c r="R4220" s="10" t="s">
        <v>459</v>
      </c>
      <c r="S4220" s="11"/>
      <c r="T4220" s="6"/>
      <c r="U4220" s="15" t="str">
        <f>HYPERLINK("https://media.infra-m.ru/2243/2243314/cover/2243314.jpg", "Обложка")</f>
        <v>Обложка</v>
      </c>
      <c r="V4220" s="8" t="s">
        <v>588</v>
      </c>
      <c r="W4220" s="6"/>
      <c r="X4220" s="6"/>
      <c r="Y4220" s="6"/>
      <c r="Z4220" s="6"/>
      <c r="AA4220" s="6" t="s">
        <v>157</v>
      </c>
      <c r="AB4220" s="8"/>
      <c r="AC4220" s="27">
        <v>9785160219554</v>
      </c>
    </row>
    <row r="4221" spans="1:29" s="4" customFormat="1" ht="51.9" customHeight="1" x14ac:dyDescent="0.2">
      <c r="A4221" s="5">
        <v>0</v>
      </c>
      <c r="B4221" s="6" t="s">
        <v>24488</v>
      </c>
      <c r="C4221" s="7">
        <v>1716</v>
      </c>
      <c r="D4221" s="8" t="s">
        <v>24489</v>
      </c>
      <c r="E4221" s="8" t="s">
        <v>24490</v>
      </c>
      <c r="F4221" s="8" t="s">
        <v>19910</v>
      </c>
      <c r="G4221" s="6" t="s">
        <v>60</v>
      </c>
      <c r="H4221" s="6" t="s">
        <v>134</v>
      </c>
      <c r="I4221" s="8"/>
      <c r="J4221" s="9">
        <v>1</v>
      </c>
      <c r="K4221" s="9">
        <v>268</v>
      </c>
      <c r="L4221" s="9">
        <v>2026</v>
      </c>
      <c r="M4221" s="8" t="s">
        <v>24491</v>
      </c>
      <c r="N4221" s="8" t="s">
        <v>37</v>
      </c>
      <c r="O4221" s="8" t="s">
        <v>136</v>
      </c>
      <c r="P4221" s="6" t="s">
        <v>39</v>
      </c>
      <c r="Q4221" s="8" t="s">
        <v>40</v>
      </c>
      <c r="R4221" s="10" t="s">
        <v>24492</v>
      </c>
      <c r="S4221" s="11"/>
      <c r="T4221" s="6"/>
      <c r="U4221" s="15" t="str">
        <f>HYPERLINK("https://media.infra-m.ru/2192/2192056/cover/2192056.jpg", "Обложка")</f>
        <v>Обложка</v>
      </c>
      <c r="V4221" s="8" t="s">
        <v>138</v>
      </c>
      <c r="W4221" s="6" t="s">
        <v>2565</v>
      </c>
      <c r="X4221" s="6"/>
      <c r="Y4221" s="6"/>
      <c r="Z4221" s="6"/>
      <c r="AA4221" s="6" t="s">
        <v>187</v>
      </c>
      <c r="AB4221" s="8"/>
      <c r="AC4221" s="27">
        <v>9785001564225</v>
      </c>
    </row>
    <row r="4222" spans="1:29" s="4" customFormat="1" ht="42" customHeight="1" x14ac:dyDescent="0.2">
      <c r="A4222" s="5">
        <v>0</v>
      </c>
      <c r="B4222" s="6" t="s">
        <v>24493</v>
      </c>
      <c r="C4222" s="7">
        <v>2716.8</v>
      </c>
      <c r="D4222" s="8" t="s">
        <v>24494</v>
      </c>
      <c r="E4222" s="8" t="s">
        <v>24495</v>
      </c>
      <c r="F4222" s="8" t="s">
        <v>24496</v>
      </c>
      <c r="G4222" s="6" t="s">
        <v>60</v>
      </c>
      <c r="H4222" s="6" t="s">
        <v>34</v>
      </c>
      <c r="I4222" s="8" t="s">
        <v>35</v>
      </c>
      <c r="J4222" s="9">
        <v>1</v>
      </c>
      <c r="K4222" s="9">
        <v>436</v>
      </c>
      <c r="L4222" s="9">
        <v>2026</v>
      </c>
      <c r="M4222" s="8" t="s">
        <v>24497</v>
      </c>
      <c r="N4222" s="8" t="s">
        <v>37</v>
      </c>
      <c r="O4222" s="8" t="s">
        <v>233</v>
      </c>
      <c r="P4222" s="6" t="s">
        <v>39</v>
      </c>
      <c r="Q4222" s="8" t="s">
        <v>40</v>
      </c>
      <c r="R4222" s="10" t="s">
        <v>5331</v>
      </c>
      <c r="S4222" s="11"/>
      <c r="T4222" s="6"/>
      <c r="U4222" s="15" t="str">
        <f>HYPERLINK("https://media.infra-m.ru/2214/2214484/cover/2214484.jpg", "Обложка")</f>
        <v>Обложка</v>
      </c>
      <c r="V4222" s="8" t="s">
        <v>227</v>
      </c>
      <c r="W4222" s="6"/>
      <c r="X4222" s="6"/>
      <c r="Y4222" s="6"/>
      <c r="Z4222" s="6"/>
      <c r="AA4222" s="6" t="s">
        <v>157</v>
      </c>
      <c r="AB4222" s="8"/>
      <c r="AC4222" s="27">
        <v>9785160180441</v>
      </c>
    </row>
    <row r="4223" spans="1:29" s="4" customFormat="1" ht="42" customHeight="1" x14ac:dyDescent="0.2">
      <c r="A4223" s="5">
        <v>0</v>
      </c>
      <c r="B4223" s="6" t="s">
        <v>24498</v>
      </c>
      <c r="C4223" s="7">
        <v>2212.8000000000002</v>
      </c>
      <c r="D4223" s="8" t="s">
        <v>24499</v>
      </c>
      <c r="E4223" s="8" t="s">
        <v>24500</v>
      </c>
      <c r="F4223" s="8" t="s">
        <v>24501</v>
      </c>
      <c r="G4223" s="6" t="s">
        <v>60</v>
      </c>
      <c r="H4223" s="6" t="s">
        <v>1644</v>
      </c>
      <c r="I4223" s="8" t="s">
        <v>24502</v>
      </c>
      <c r="J4223" s="9">
        <v>1</v>
      </c>
      <c r="K4223" s="9">
        <v>368</v>
      </c>
      <c r="L4223" s="9">
        <v>2023</v>
      </c>
      <c r="M4223" s="8" t="s">
        <v>24503</v>
      </c>
      <c r="N4223" s="8" t="s">
        <v>37</v>
      </c>
      <c r="O4223" s="8" t="s">
        <v>233</v>
      </c>
      <c r="P4223" s="6" t="s">
        <v>1689</v>
      </c>
      <c r="Q4223" s="8" t="s">
        <v>40</v>
      </c>
      <c r="R4223" s="10" t="s">
        <v>24504</v>
      </c>
      <c r="S4223" s="11"/>
      <c r="T4223" s="6"/>
      <c r="U4223" s="15" t="str">
        <f>HYPERLINK("https://media.infra-m.ru/2018/2018244/cover/2018244.jpg", "Обложка")</f>
        <v>Обложка</v>
      </c>
      <c r="V4223" s="8" t="s">
        <v>588</v>
      </c>
      <c r="W4223" s="6"/>
      <c r="X4223" s="6"/>
      <c r="Y4223" s="6"/>
      <c r="Z4223" s="6"/>
      <c r="AA4223" s="6" t="s">
        <v>248</v>
      </c>
      <c r="AB4223" s="8"/>
      <c r="AC4223" s="27">
        <v>9785977603065</v>
      </c>
    </row>
    <row r="4224" spans="1:29" s="4" customFormat="1" ht="51.9" customHeight="1" x14ac:dyDescent="0.2">
      <c r="A4224" s="5">
        <v>0</v>
      </c>
      <c r="B4224" s="6" t="s">
        <v>24505</v>
      </c>
      <c r="C4224" s="7">
        <v>3616.8</v>
      </c>
      <c r="D4224" s="8" t="s">
        <v>24506</v>
      </c>
      <c r="E4224" s="8" t="s">
        <v>24507</v>
      </c>
      <c r="F4224" s="8" t="s">
        <v>24508</v>
      </c>
      <c r="G4224" s="6" t="s">
        <v>60</v>
      </c>
      <c r="H4224" s="6" t="s">
        <v>5605</v>
      </c>
      <c r="I4224" s="8"/>
      <c r="J4224" s="9">
        <v>1</v>
      </c>
      <c r="K4224" s="9">
        <v>882</v>
      </c>
      <c r="L4224" s="9">
        <v>2026</v>
      </c>
      <c r="M4224" s="8" t="s">
        <v>24509</v>
      </c>
      <c r="N4224" s="8" t="s">
        <v>37</v>
      </c>
      <c r="O4224" s="8" t="s">
        <v>233</v>
      </c>
      <c r="P4224" s="6" t="s">
        <v>10998</v>
      </c>
      <c r="Q4224" s="8" t="s">
        <v>65</v>
      </c>
      <c r="R4224" s="10" t="s">
        <v>2068</v>
      </c>
      <c r="S4224" s="11"/>
      <c r="T4224" s="6"/>
      <c r="U4224" s="15" t="str">
        <f>HYPERLINK("https://media.infra-m.ru/2222/2222979/cover/2222979.jpg", "Обложка")</f>
        <v>Обложка</v>
      </c>
      <c r="V4224" s="8" t="s">
        <v>657</v>
      </c>
      <c r="W4224" s="6"/>
      <c r="X4224" s="6"/>
      <c r="Y4224" s="6"/>
      <c r="Z4224" s="6"/>
      <c r="AA4224" s="6" t="s">
        <v>16547</v>
      </c>
      <c r="AB4224" s="8"/>
      <c r="AC4224" s="27">
        <v>9785160041896</v>
      </c>
    </row>
    <row r="4225" spans="1:29" s="4" customFormat="1" ht="51.9" customHeight="1" x14ac:dyDescent="0.2">
      <c r="A4225" s="5">
        <v>0</v>
      </c>
      <c r="B4225" s="6" t="s">
        <v>24510</v>
      </c>
      <c r="C4225" s="7">
        <v>2556</v>
      </c>
      <c r="D4225" s="8" t="s">
        <v>24511</v>
      </c>
      <c r="E4225" s="8" t="s">
        <v>24512</v>
      </c>
      <c r="F4225" s="8" t="s">
        <v>24513</v>
      </c>
      <c r="G4225" s="6" t="s">
        <v>60</v>
      </c>
      <c r="H4225" s="6" t="s">
        <v>241</v>
      </c>
      <c r="I4225" s="8" t="s">
        <v>253</v>
      </c>
      <c r="J4225" s="9">
        <v>1</v>
      </c>
      <c r="K4225" s="9">
        <v>472</v>
      </c>
      <c r="L4225" s="9">
        <v>2023</v>
      </c>
      <c r="M4225" s="8" t="s">
        <v>24514</v>
      </c>
      <c r="N4225" s="8" t="s">
        <v>37</v>
      </c>
      <c r="O4225" s="8" t="s">
        <v>38</v>
      </c>
      <c r="P4225" s="6" t="s">
        <v>51</v>
      </c>
      <c r="Q4225" s="8" t="s">
        <v>65</v>
      </c>
      <c r="R4225" s="10" t="s">
        <v>14577</v>
      </c>
      <c r="S4225" s="11" t="s">
        <v>24515</v>
      </c>
      <c r="T4225" s="6"/>
      <c r="U4225" s="15" t="str">
        <f>HYPERLINK("https://media.infra-m.ru/2020/2020539/cover/2020539.jpg", "Обложка")</f>
        <v>Обложка</v>
      </c>
      <c r="V4225" s="8" t="s">
        <v>17277</v>
      </c>
      <c r="W4225" s="6"/>
      <c r="X4225" s="6"/>
      <c r="Y4225" s="6"/>
      <c r="Z4225" s="6"/>
      <c r="AA4225" s="6" t="s">
        <v>43</v>
      </c>
      <c r="AB4225" s="8"/>
      <c r="AC4225" s="27">
        <v>9785955802442</v>
      </c>
    </row>
    <row r="4226" spans="1:29" s="4" customFormat="1" ht="51.9" customHeight="1" x14ac:dyDescent="0.2">
      <c r="A4226" s="5">
        <v>0</v>
      </c>
      <c r="B4226" s="6" t="s">
        <v>24516</v>
      </c>
      <c r="C4226" s="7">
        <v>2640</v>
      </c>
      <c r="D4226" s="8" t="s">
        <v>24517</v>
      </c>
      <c r="E4226" s="8" t="s">
        <v>24518</v>
      </c>
      <c r="F4226" s="8" t="s">
        <v>24519</v>
      </c>
      <c r="G4226" s="6" t="s">
        <v>118</v>
      </c>
      <c r="H4226" s="6" t="s">
        <v>34</v>
      </c>
      <c r="I4226" s="8" t="s">
        <v>271</v>
      </c>
      <c r="J4226" s="9">
        <v>1</v>
      </c>
      <c r="K4226" s="9">
        <v>489</v>
      </c>
      <c r="L4226" s="9">
        <v>2023</v>
      </c>
      <c r="M4226" s="8" t="s">
        <v>24520</v>
      </c>
      <c r="N4226" s="8" t="s">
        <v>37</v>
      </c>
      <c r="O4226" s="8" t="s">
        <v>83</v>
      </c>
      <c r="P4226" s="6" t="s">
        <v>51</v>
      </c>
      <c r="Q4226" s="8" t="s">
        <v>52</v>
      </c>
      <c r="R4226" s="10" t="s">
        <v>4408</v>
      </c>
      <c r="S4226" s="11" t="s">
        <v>24521</v>
      </c>
      <c r="T4226" s="6" t="s">
        <v>97</v>
      </c>
      <c r="U4226" s="15" t="str">
        <f>HYPERLINK("https://media.infra-m.ru/1912/1912395/cover/1912395.jpg", "Обложка")</f>
        <v>Обложка</v>
      </c>
      <c r="V4226" s="8" t="s">
        <v>12594</v>
      </c>
      <c r="W4226" s="6"/>
      <c r="X4226" s="6"/>
      <c r="Y4226" s="6"/>
      <c r="Z4226" s="6"/>
      <c r="AA4226" s="6" t="s">
        <v>115</v>
      </c>
      <c r="AB4226" s="8"/>
      <c r="AC4226" s="27">
        <v>9785160141664</v>
      </c>
    </row>
    <row r="4227" spans="1:29" s="4" customFormat="1" ht="51.9" customHeight="1" x14ac:dyDescent="0.2">
      <c r="A4227" s="5">
        <v>0</v>
      </c>
      <c r="B4227" s="6" t="s">
        <v>24522</v>
      </c>
      <c r="C4227" s="7">
        <v>2152.8000000000002</v>
      </c>
      <c r="D4227" s="8" t="s">
        <v>24523</v>
      </c>
      <c r="E4227" s="8" t="s">
        <v>24524</v>
      </c>
      <c r="F4227" s="8" t="s">
        <v>24525</v>
      </c>
      <c r="G4227" s="6" t="s">
        <v>118</v>
      </c>
      <c r="H4227" s="6" t="s">
        <v>34</v>
      </c>
      <c r="I4227" s="8" t="s">
        <v>271</v>
      </c>
      <c r="J4227" s="9">
        <v>1</v>
      </c>
      <c r="K4227" s="9">
        <v>358</v>
      </c>
      <c r="L4227" s="9">
        <v>2024</v>
      </c>
      <c r="M4227" s="8" t="s">
        <v>24526</v>
      </c>
      <c r="N4227" s="8" t="s">
        <v>37</v>
      </c>
      <c r="O4227" s="8" t="s">
        <v>83</v>
      </c>
      <c r="P4227" s="6" t="s">
        <v>51</v>
      </c>
      <c r="Q4227" s="8" t="s">
        <v>52</v>
      </c>
      <c r="R4227" s="10" t="s">
        <v>24527</v>
      </c>
      <c r="S4227" s="11" t="s">
        <v>24528</v>
      </c>
      <c r="T4227" s="6" t="s">
        <v>97</v>
      </c>
      <c r="U4227" s="15" t="str">
        <f>HYPERLINK("https://media.infra-m.ru/2159/2159179/cover/2159179.jpg", "Обложка")</f>
        <v>Обложка</v>
      </c>
      <c r="V4227" s="8" t="s">
        <v>12594</v>
      </c>
      <c r="W4227" s="6"/>
      <c r="X4227" s="6"/>
      <c r="Y4227" s="6"/>
      <c r="Z4227" s="6"/>
      <c r="AA4227" s="6" t="s">
        <v>115</v>
      </c>
      <c r="AB4227" s="8"/>
      <c r="AC4227" s="27">
        <v>9785160142630</v>
      </c>
    </row>
    <row r="4228" spans="1:29" s="4" customFormat="1" ht="44.1" customHeight="1" x14ac:dyDescent="0.2">
      <c r="A4228" s="5">
        <v>0</v>
      </c>
      <c r="B4228" s="6" t="s">
        <v>24529</v>
      </c>
      <c r="C4228" s="7">
        <v>2784</v>
      </c>
      <c r="D4228" s="8" t="s">
        <v>24530</v>
      </c>
      <c r="E4228" s="8" t="s">
        <v>24531</v>
      </c>
      <c r="F4228" s="8" t="s">
        <v>24532</v>
      </c>
      <c r="G4228" s="6" t="s">
        <v>60</v>
      </c>
      <c r="H4228" s="6" t="s">
        <v>34</v>
      </c>
      <c r="I4228" s="8" t="s">
        <v>253</v>
      </c>
      <c r="J4228" s="9">
        <v>1</v>
      </c>
      <c r="K4228" s="9">
        <v>502</v>
      </c>
      <c r="L4228" s="9">
        <v>2024</v>
      </c>
      <c r="M4228" s="8" t="s">
        <v>24533</v>
      </c>
      <c r="N4228" s="8" t="s">
        <v>37</v>
      </c>
      <c r="O4228" s="8" t="s">
        <v>83</v>
      </c>
      <c r="P4228" s="6" t="s">
        <v>51</v>
      </c>
      <c r="Q4228" s="8" t="s">
        <v>65</v>
      </c>
      <c r="R4228" s="10" t="s">
        <v>15027</v>
      </c>
      <c r="S4228" s="11"/>
      <c r="T4228" s="6" t="s">
        <v>97</v>
      </c>
      <c r="U4228" s="15" t="str">
        <f>HYPERLINK("https://media.infra-m.ru/0997/0997106/cover/997106.jpg", "Обложка")</f>
        <v>Обложка</v>
      </c>
      <c r="V4228" s="8" t="s">
        <v>5801</v>
      </c>
      <c r="W4228" s="6"/>
      <c r="X4228" s="6"/>
      <c r="Y4228" s="6"/>
      <c r="Z4228" s="6"/>
      <c r="AA4228" s="6" t="s">
        <v>76</v>
      </c>
      <c r="AB4228" s="8"/>
      <c r="AC4228" s="27">
        <v>9785160146744</v>
      </c>
    </row>
    <row r="4229" spans="1:29" s="4" customFormat="1" ht="51.9" customHeight="1" x14ac:dyDescent="0.2">
      <c r="A4229" s="5">
        <v>0</v>
      </c>
      <c r="B4229" s="6" t="s">
        <v>24534</v>
      </c>
      <c r="C4229" s="7">
        <v>2208</v>
      </c>
      <c r="D4229" s="8" t="s">
        <v>24535</v>
      </c>
      <c r="E4229" s="8" t="s">
        <v>24536</v>
      </c>
      <c r="F4229" s="8" t="s">
        <v>24537</v>
      </c>
      <c r="G4229" s="6" t="s">
        <v>118</v>
      </c>
      <c r="H4229" s="6" t="s">
        <v>34</v>
      </c>
      <c r="I4229" s="8" t="s">
        <v>253</v>
      </c>
      <c r="J4229" s="9">
        <v>1</v>
      </c>
      <c r="K4229" s="9">
        <v>316</v>
      </c>
      <c r="L4229" s="9">
        <v>2026</v>
      </c>
      <c r="M4229" s="8" t="s">
        <v>24538</v>
      </c>
      <c r="N4229" s="8" t="s">
        <v>37</v>
      </c>
      <c r="O4229" s="8" t="s">
        <v>50</v>
      </c>
      <c r="P4229" s="6" t="s">
        <v>51</v>
      </c>
      <c r="Q4229" s="8" t="s">
        <v>65</v>
      </c>
      <c r="R4229" s="10" t="s">
        <v>24539</v>
      </c>
      <c r="S4229" s="11"/>
      <c r="T4229" s="6"/>
      <c r="U4229" s="15" t="str">
        <f>HYPERLINK("https://media.infra-m.ru/2260/2260131/cover/2260131.jpg", "Обложка")</f>
        <v>Обложка</v>
      </c>
      <c r="V4229" s="8" t="s">
        <v>24540</v>
      </c>
      <c r="W4229" s="6"/>
      <c r="X4229" s="6"/>
      <c r="Y4229" s="6"/>
      <c r="Z4229" s="6"/>
      <c r="AA4229" s="6" t="s">
        <v>68</v>
      </c>
      <c r="AB4229" s="8" t="s">
        <v>4718</v>
      </c>
      <c r="AC4229" s="27">
        <v>9785160198606</v>
      </c>
    </row>
    <row r="4230" spans="1:29" s="4" customFormat="1" ht="51.9" customHeight="1" x14ac:dyDescent="0.2">
      <c r="A4230" s="5">
        <v>0</v>
      </c>
      <c r="B4230" s="6" t="s">
        <v>24541</v>
      </c>
      <c r="C4230" s="7">
        <v>1192.8</v>
      </c>
      <c r="D4230" s="8" t="s">
        <v>24542</v>
      </c>
      <c r="E4230" s="8" t="s">
        <v>24543</v>
      </c>
      <c r="F4230" s="8" t="s">
        <v>24544</v>
      </c>
      <c r="G4230" s="6" t="s">
        <v>118</v>
      </c>
      <c r="H4230" s="6" t="s">
        <v>134</v>
      </c>
      <c r="I4230" s="8"/>
      <c r="J4230" s="9">
        <v>1</v>
      </c>
      <c r="K4230" s="9">
        <v>192</v>
      </c>
      <c r="L4230" s="9">
        <v>2025</v>
      </c>
      <c r="M4230" s="8" t="s">
        <v>24545</v>
      </c>
      <c r="N4230" s="8" t="s">
        <v>37</v>
      </c>
      <c r="O4230" s="8" t="s">
        <v>136</v>
      </c>
      <c r="P4230" s="6" t="s">
        <v>39</v>
      </c>
      <c r="Q4230" s="8" t="s">
        <v>40</v>
      </c>
      <c r="R4230" s="10" t="s">
        <v>24546</v>
      </c>
      <c r="S4230" s="11"/>
      <c r="T4230" s="6"/>
      <c r="U4230" s="15" t="str">
        <f>HYPERLINK("https://media.infra-m.ru/2192/2192711/cover/2192711.jpg", "Обложка")</f>
        <v>Обложка</v>
      </c>
      <c r="V4230" s="8" t="s">
        <v>138</v>
      </c>
      <c r="W4230" s="6"/>
      <c r="X4230" s="6"/>
      <c r="Y4230" s="6"/>
      <c r="Z4230" s="6"/>
      <c r="AA4230" s="6" t="s">
        <v>430</v>
      </c>
      <c r="AB4230" s="8"/>
      <c r="AC4230" s="27">
        <v>9785001561446</v>
      </c>
    </row>
    <row r="4231" spans="1:29" s="4" customFormat="1" ht="51.9" customHeight="1" x14ac:dyDescent="0.2">
      <c r="A4231" s="5">
        <v>0</v>
      </c>
      <c r="B4231" s="6" t="s">
        <v>24547</v>
      </c>
      <c r="C4231" s="7">
        <v>1680</v>
      </c>
      <c r="D4231" s="8" t="s">
        <v>24548</v>
      </c>
      <c r="E4231" s="8" t="s">
        <v>24549</v>
      </c>
      <c r="F4231" s="8" t="s">
        <v>24550</v>
      </c>
      <c r="G4231" s="6" t="s">
        <v>33</v>
      </c>
      <c r="H4231" s="6" t="s">
        <v>34</v>
      </c>
      <c r="I4231" s="8" t="s">
        <v>35</v>
      </c>
      <c r="J4231" s="9">
        <v>1</v>
      </c>
      <c r="K4231" s="9">
        <v>304</v>
      </c>
      <c r="L4231" s="9">
        <v>2024</v>
      </c>
      <c r="M4231" s="8" t="s">
        <v>24551</v>
      </c>
      <c r="N4231" s="8" t="s">
        <v>37</v>
      </c>
      <c r="O4231" s="8" t="s">
        <v>499</v>
      </c>
      <c r="P4231" s="6" t="s">
        <v>39</v>
      </c>
      <c r="Q4231" s="8" t="s">
        <v>40</v>
      </c>
      <c r="R4231" s="10" t="s">
        <v>24552</v>
      </c>
      <c r="S4231" s="11"/>
      <c r="T4231" s="6"/>
      <c r="U4231" s="15" t="str">
        <f>HYPERLINK("https://media.infra-m.ru/2117/2117113/cover/2117113.jpg", "Обложка")</f>
        <v>Обложка</v>
      </c>
      <c r="V4231" s="8" t="s">
        <v>20440</v>
      </c>
      <c r="W4231" s="6"/>
      <c r="X4231" s="6"/>
      <c r="Y4231" s="6"/>
      <c r="Z4231" s="6"/>
      <c r="AA4231" s="6" t="s">
        <v>129</v>
      </c>
      <c r="AB4231" s="8"/>
      <c r="AC4231" s="27">
        <v>9785160099941</v>
      </c>
    </row>
    <row r="4232" spans="1:29" s="4" customFormat="1" ht="42" customHeight="1" x14ac:dyDescent="0.2">
      <c r="A4232" s="5">
        <v>0</v>
      </c>
      <c r="B4232" s="6" t="s">
        <v>24553</v>
      </c>
      <c r="C4232" s="7">
        <v>1176</v>
      </c>
      <c r="D4232" s="8" t="s">
        <v>24554</v>
      </c>
      <c r="E4232" s="8" t="s">
        <v>24555</v>
      </c>
      <c r="F4232" s="8" t="s">
        <v>24556</v>
      </c>
      <c r="G4232" s="6" t="s">
        <v>60</v>
      </c>
      <c r="H4232" s="6" t="s">
        <v>34</v>
      </c>
      <c r="I4232" s="8" t="s">
        <v>35</v>
      </c>
      <c r="J4232" s="9">
        <v>1</v>
      </c>
      <c r="K4232" s="9">
        <v>181</v>
      </c>
      <c r="L4232" s="9">
        <v>2024</v>
      </c>
      <c r="M4232" s="8" t="s">
        <v>24557</v>
      </c>
      <c r="N4232" s="8" t="s">
        <v>93</v>
      </c>
      <c r="O4232" s="8" t="s">
        <v>94</v>
      </c>
      <c r="P4232" s="6" t="s">
        <v>39</v>
      </c>
      <c r="Q4232" s="8" t="s">
        <v>40</v>
      </c>
      <c r="R4232" s="10" t="s">
        <v>7833</v>
      </c>
      <c r="S4232" s="11"/>
      <c r="T4232" s="6"/>
      <c r="U4232" s="15" t="str">
        <f>HYPERLINK("https://media.infra-m.ru/2148/2148761/cover/2148761.jpg", "Обложка")</f>
        <v>Обложка</v>
      </c>
      <c r="V4232" s="8" t="s">
        <v>24558</v>
      </c>
      <c r="W4232" s="6"/>
      <c r="X4232" s="6"/>
      <c r="Y4232" s="6"/>
      <c r="Z4232" s="6"/>
      <c r="AA4232" s="6" t="s">
        <v>76</v>
      </c>
      <c r="AB4232" s="8"/>
      <c r="AC4232" s="27">
        <v>9785160199641</v>
      </c>
    </row>
    <row r="4233" spans="1:29" s="4" customFormat="1" ht="42" customHeight="1" x14ac:dyDescent="0.2">
      <c r="A4233" s="5">
        <v>0</v>
      </c>
      <c r="B4233" s="6" t="s">
        <v>24559</v>
      </c>
      <c r="C4233" s="7">
        <v>2388</v>
      </c>
      <c r="D4233" s="8" t="s">
        <v>24560</v>
      </c>
      <c r="E4233" s="8" t="s">
        <v>24561</v>
      </c>
      <c r="F4233" s="8" t="s">
        <v>24562</v>
      </c>
      <c r="G4233" s="6" t="s">
        <v>33</v>
      </c>
      <c r="H4233" s="6" t="s">
        <v>34</v>
      </c>
      <c r="I4233" s="8" t="s">
        <v>457</v>
      </c>
      <c r="J4233" s="9">
        <v>1</v>
      </c>
      <c r="K4233" s="9">
        <v>446</v>
      </c>
      <c r="L4233" s="9">
        <v>2022</v>
      </c>
      <c r="M4233" s="8" t="s">
        <v>24563</v>
      </c>
      <c r="N4233" s="8" t="s">
        <v>37</v>
      </c>
      <c r="O4233" s="8" t="s">
        <v>233</v>
      </c>
      <c r="P4233" s="6" t="s">
        <v>39</v>
      </c>
      <c r="Q4233" s="8" t="s">
        <v>40</v>
      </c>
      <c r="R4233" s="10" t="s">
        <v>5331</v>
      </c>
      <c r="S4233" s="11"/>
      <c r="T4233" s="6"/>
      <c r="U4233" s="15" t="str">
        <f>HYPERLINK("https://media.infra-m.ru/1862/1862597/cover/1862597.jpg", "Обложка")</f>
        <v>Обложка</v>
      </c>
      <c r="V4233" s="8" t="s">
        <v>247</v>
      </c>
      <c r="W4233" s="6"/>
      <c r="X4233" s="6"/>
      <c r="Y4233" s="6"/>
      <c r="Z4233" s="6"/>
      <c r="AA4233" s="6" t="s">
        <v>148</v>
      </c>
      <c r="AB4233" s="8"/>
      <c r="AC4233" s="27">
        <v>9785160175843</v>
      </c>
    </row>
    <row r="4234" spans="1:29" s="4" customFormat="1" ht="42" customHeight="1" x14ac:dyDescent="0.2">
      <c r="A4234" s="5">
        <v>0</v>
      </c>
      <c r="B4234" s="6" t="s">
        <v>24564</v>
      </c>
      <c r="C4234" s="7">
        <v>1476</v>
      </c>
      <c r="D4234" s="8" t="s">
        <v>24565</v>
      </c>
      <c r="E4234" s="8" t="s">
        <v>24566</v>
      </c>
      <c r="F4234" s="8" t="s">
        <v>4643</v>
      </c>
      <c r="G4234" s="6" t="s">
        <v>60</v>
      </c>
      <c r="H4234" s="6" t="s">
        <v>34</v>
      </c>
      <c r="I4234" s="8" t="s">
        <v>35</v>
      </c>
      <c r="J4234" s="9">
        <v>1</v>
      </c>
      <c r="K4234" s="9">
        <v>217</v>
      </c>
      <c r="L4234" s="9">
        <v>2025</v>
      </c>
      <c r="M4234" s="8" t="s">
        <v>24567</v>
      </c>
      <c r="N4234" s="8" t="s">
        <v>243</v>
      </c>
      <c r="O4234" s="8" t="s">
        <v>798</v>
      </c>
      <c r="P4234" s="6" t="s">
        <v>39</v>
      </c>
      <c r="Q4234" s="8" t="s">
        <v>40</v>
      </c>
      <c r="R4234" s="10" t="s">
        <v>24568</v>
      </c>
      <c r="S4234" s="11"/>
      <c r="T4234" s="6"/>
      <c r="U4234" s="15" t="str">
        <f>HYPERLINK("https://media.infra-m.ru/2195/2195508/cover/2195508.jpg", "Обложка")</f>
        <v>Обложка</v>
      </c>
      <c r="V4234" s="8" t="s">
        <v>761</v>
      </c>
      <c r="W4234" s="6"/>
      <c r="X4234" s="6"/>
      <c r="Y4234" s="6"/>
      <c r="Z4234" s="6"/>
      <c r="AA4234" s="6" t="s">
        <v>68</v>
      </c>
      <c r="AB4234" s="8"/>
      <c r="AC4234" s="27">
        <v>9785160208022</v>
      </c>
    </row>
    <row r="4235" spans="1:29" s="4" customFormat="1" ht="44.1" customHeight="1" x14ac:dyDescent="0.2">
      <c r="A4235" s="5">
        <v>0</v>
      </c>
      <c r="B4235" s="6" t="s">
        <v>24569</v>
      </c>
      <c r="C4235" s="13">
        <v>876</v>
      </c>
      <c r="D4235" s="8" t="s">
        <v>24570</v>
      </c>
      <c r="E4235" s="8" t="s">
        <v>24571</v>
      </c>
      <c r="F4235" s="8" t="s">
        <v>24572</v>
      </c>
      <c r="G4235" s="6" t="s">
        <v>118</v>
      </c>
      <c r="H4235" s="6" t="s">
        <v>241</v>
      </c>
      <c r="I4235" s="8" t="s">
        <v>3496</v>
      </c>
      <c r="J4235" s="9">
        <v>1</v>
      </c>
      <c r="K4235" s="9">
        <v>187</v>
      </c>
      <c r="L4235" s="9">
        <v>2022</v>
      </c>
      <c r="M4235" s="8" t="s">
        <v>24573</v>
      </c>
      <c r="N4235" s="8" t="s">
        <v>37</v>
      </c>
      <c r="O4235" s="8" t="s">
        <v>50</v>
      </c>
      <c r="P4235" s="6" t="s">
        <v>39</v>
      </c>
      <c r="Q4235" s="8" t="s">
        <v>749</v>
      </c>
      <c r="R4235" s="10" t="s">
        <v>24574</v>
      </c>
      <c r="S4235" s="11"/>
      <c r="T4235" s="6"/>
      <c r="U4235" s="15" t="str">
        <f>HYPERLINK("https://media.infra-m.ru/1836/1836583/cover/1836583.jpg", "Обложка")</f>
        <v>Обложка</v>
      </c>
      <c r="V4235" s="8" t="s">
        <v>10985</v>
      </c>
      <c r="W4235" s="6"/>
      <c r="X4235" s="6"/>
      <c r="Y4235" s="6"/>
      <c r="Z4235" s="6"/>
      <c r="AA4235" s="6" t="s">
        <v>779</v>
      </c>
      <c r="AB4235" s="8"/>
      <c r="AC4235" s="27">
        <v>9785955804491</v>
      </c>
    </row>
    <row r="4236" spans="1:29" s="4" customFormat="1" ht="51.9" customHeight="1" x14ac:dyDescent="0.2">
      <c r="A4236" s="5">
        <v>0</v>
      </c>
      <c r="B4236" s="6" t="s">
        <v>24575</v>
      </c>
      <c r="C4236" s="7">
        <v>1200</v>
      </c>
      <c r="D4236" s="8" t="s">
        <v>24576</v>
      </c>
      <c r="E4236" s="8" t="s">
        <v>24577</v>
      </c>
      <c r="F4236" s="8" t="s">
        <v>24578</v>
      </c>
      <c r="G4236" s="6" t="s">
        <v>60</v>
      </c>
      <c r="H4236" s="6" t="s">
        <v>34</v>
      </c>
      <c r="I4236" s="8" t="s">
        <v>1074</v>
      </c>
      <c r="J4236" s="9">
        <v>1</v>
      </c>
      <c r="K4236" s="9">
        <v>168</v>
      </c>
      <c r="L4236" s="9">
        <v>2027</v>
      </c>
      <c r="M4236" s="8" t="s">
        <v>24579</v>
      </c>
      <c r="N4236" s="8"/>
      <c r="O4236" s="8"/>
      <c r="P4236" s="6" t="s">
        <v>39</v>
      </c>
      <c r="Q4236" s="8" t="s">
        <v>40</v>
      </c>
      <c r="R4236" s="10" t="s">
        <v>24580</v>
      </c>
      <c r="S4236" s="11"/>
      <c r="T4236" s="6"/>
      <c r="U4236" s="15" t="str">
        <f>HYPERLINK("https://media.infra-m.ru/2236/2236120/cover/2236120.jpg", "Обложка")</f>
        <v>Обложка</v>
      </c>
      <c r="V4236" s="8" t="s">
        <v>138</v>
      </c>
      <c r="W4236" s="6" t="s">
        <v>649</v>
      </c>
      <c r="X4236" s="6"/>
      <c r="Y4236" s="6"/>
      <c r="Z4236" s="6"/>
      <c r="AA4236" s="6" t="s">
        <v>187</v>
      </c>
      <c r="AB4236" s="8"/>
      <c r="AC4236" s="27">
        <v>9785160217062</v>
      </c>
    </row>
    <row r="4237" spans="1:29" s="4" customFormat="1" ht="51.9" customHeight="1" x14ac:dyDescent="0.2">
      <c r="A4237" s="5">
        <v>0</v>
      </c>
      <c r="B4237" s="6" t="s">
        <v>24581</v>
      </c>
      <c r="C4237" s="7">
        <v>1488</v>
      </c>
      <c r="D4237" s="8" t="s">
        <v>24582</v>
      </c>
      <c r="E4237" s="8" t="s">
        <v>24583</v>
      </c>
      <c r="F4237" s="8" t="s">
        <v>24584</v>
      </c>
      <c r="G4237" s="6" t="s">
        <v>33</v>
      </c>
      <c r="H4237" s="6" t="s">
        <v>34</v>
      </c>
      <c r="I4237" s="8" t="s">
        <v>253</v>
      </c>
      <c r="J4237" s="9">
        <v>1</v>
      </c>
      <c r="K4237" s="9">
        <v>239</v>
      </c>
      <c r="L4237" s="9">
        <v>2026</v>
      </c>
      <c r="M4237" s="8" t="s">
        <v>24585</v>
      </c>
      <c r="N4237" s="8" t="s">
        <v>243</v>
      </c>
      <c r="O4237" s="8" t="s">
        <v>758</v>
      </c>
      <c r="P4237" s="6" t="s">
        <v>51</v>
      </c>
      <c r="Q4237" s="8" t="s">
        <v>52</v>
      </c>
      <c r="R4237" s="10" t="s">
        <v>24586</v>
      </c>
      <c r="S4237" s="11" t="s">
        <v>24587</v>
      </c>
      <c r="T4237" s="6"/>
      <c r="U4237" s="15" t="str">
        <f>HYPERLINK("https://media.infra-m.ru/2216/2216043/cover/2216043.jpg", "Обложка")</f>
        <v>Обложка</v>
      </c>
      <c r="V4237" s="8" t="s">
        <v>4409</v>
      </c>
      <c r="W4237" s="6"/>
      <c r="X4237" s="6"/>
      <c r="Y4237" s="6"/>
      <c r="Z4237" s="6"/>
      <c r="AA4237" s="6" t="s">
        <v>55</v>
      </c>
      <c r="AB4237" s="8"/>
      <c r="AC4237" s="27">
        <v>9785160211565</v>
      </c>
    </row>
    <row r="4238" spans="1:29" s="4" customFormat="1" ht="51.9" customHeight="1" x14ac:dyDescent="0.2">
      <c r="A4238" s="5">
        <v>0</v>
      </c>
      <c r="B4238" s="6" t="s">
        <v>24588</v>
      </c>
      <c r="C4238" s="7">
        <v>1380</v>
      </c>
      <c r="D4238" s="8" t="s">
        <v>24589</v>
      </c>
      <c r="E4238" s="8" t="s">
        <v>24590</v>
      </c>
      <c r="F4238" s="8" t="s">
        <v>24591</v>
      </c>
      <c r="G4238" s="6" t="s">
        <v>118</v>
      </c>
      <c r="H4238" s="6" t="s">
        <v>34</v>
      </c>
      <c r="I4238" s="8" t="s">
        <v>35</v>
      </c>
      <c r="J4238" s="9">
        <v>1</v>
      </c>
      <c r="K4238" s="9">
        <v>209</v>
      </c>
      <c r="L4238" s="9">
        <v>2026</v>
      </c>
      <c r="M4238" s="8" t="s">
        <v>24592</v>
      </c>
      <c r="N4238" s="8" t="s">
        <v>37</v>
      </c>
      <c r="O4238" s="8" t="s">
        <v>233</v>
      </c>
      <c r="P4238" s="6" t="s">
        <v>39</v>
      </c>
      <c r="Q4238" s="8" t="s">
        <v>40</v>
      </c>
      <c r="R4238" s="10" t="s">
        <v>24593</v>
      </c>
      <c r="S4238" s="11"/>
      <c r="T4238" s="6"/>
      <c r="U4238" s="15" t="str">
        <f>HYPERLINK("https://media.infra-m.ru/2233/2233980/cover/2233980.jpg", "Обложка")</f>
        <v>Обложка</v>
      </c>
      <c r="V4238" s="8" t="s">
        <v>546</v>
      </c>
      <c r="W4238" s="6"/>
      <c r="X4238" s="6"/>
      <c r="Y4238" s="6"/>
      <c r="Z4238" s="6"/>
      <c r="AA4238" s="6" t="s">
        <v>157</v>
      </c>
      <c r="AB4238" s="8"/>
      <c r="AC4238" s="27">
        <v>9785160184715</v>
      </c>
    </row>
    <row r="4239" spans="1:29" s="4" customFormat="1" ht="44.1" customHeight="1" x14ac:dyDescent="0.2">
      <c r="A4239" s="5">
        <v>0</v>
      </c>
      <c r="B4239" s="6" t="s">
        <v>24594</v>
      </c>
      <c r="C4239" s="7">
        <v>1800</v>
      </c>
      <c r="D4239" s="8" t="s">
        <v>24595</v>
      </c>
      <c r="E4239" s="8" t="s">
        <v>24596</v>
      </c>
      <c r="F4239" s="8" t="s">
        <v>24597</v>
      </c>
      <c r="G4239" s="6" t="s">
        <v>60</v>
      </c>
      <c r="H4239" s="6" t="s">
        <v>34</v>
      </c>
      <c r="I4239" s="8" t="s">
        <v>35</v>
      </c>
      <c r="J4239" s="9">
        <v>1</v>
      </c>
      <c r="K4239" s="9">
        <v>287</v>
      </c>
      <c r="L4239" s="9">
        <v>2024</v>
      </c>
      <c r="M4239" s="8" t="s">
        <v>24598</v>
      </c>
      <c r="N4239" s="8" t="s">
        <v>37</v>
      </c>
      <c r="O4239" s="8" t="s">
        <v>233</v>
      </c>
      <c r="P4239" s="6" t="s">
        <v>39</v>
      </c>
      <c r="Q4239" s="8" t="s">
        <v>40</v>
      </c>
      <c r="R4239" s="10" t="s">
        <v>235</v>
      </c>
      <c r="S4239" s="11"/>
      <c r="T4239" s="6"/>
      <c r="U4239" s="15" t="str">
        <f>HYPERLINK("https://media.infra-m.ru/2141/2141612/cover/2141612.jpg", "Обложка")</f>
        <v>Обложка</v>
      </c>
      <c r="V4239" s="8" t="s">
        <v>3871</v>
      </c>
      <c r="W4239" s="6"/>
      <c r="X4239" s="6"/>
      <c r="Y4239" s="6"/>
      <c r="Z4239" s="6"/>
      <c r="AA4239" s="6" t="s">
        <v>76</v>
      </c>
      <c r="AB4239" s="8" t="s">
        <v>3833</v>
      </c>
      <c r="AC4239" s="27">
        <v>9785160198736</v>
      </c>
    </row>
    <row r="4240" spans="1:29" s="4" customFormat="1" ht="44.1" customHeight="1" x14ac:dyDescent="0.2">
      <c r="A4240" s="5">
        <v>0</v>
      </c>
      <c r="B4240" s="6" t="s">
        <v>24599</v>
      </c>
      <c r="C4240" s="13">
        <v>780</v>
      </c>
      <c r="D4240" s="8" t="s">
        <v>24600</v>
      </c>
      <c r="E4240" s="8" t="s">
        <v>24601</v>
      </c>
      <c r="F4240" s="8" t="s">
        <v>24602</v>
      </c>
      <c r="G4240" s="6" t="s">
        <v>33</v>
      </c>
      <c r="H4240" s="6" t="s">
        <v>34</v>
      </c>
      <c r="I4240" s="8" t="s">
        <v>457</v>
      </c>
      <c r="J4240" s="9">
        <v>1</v>
      </c>
      <c r="K4240" s="9">
        <v>131</v>
      </c>
      <c r="L4240" s="9">
        <v>2022</v>
      </c>
      <c r="M4240" s="8" t="s">
        <v>24603</v>
      </c>
      <c r="N4240" s="8" t="s">
        <v>37</v>
      </c>
      <c r="O4240" s="8" t="s">
        <v>233</v>
      </c>
      <c r="P4240" s="6" t="s">
        <v>39</v>
      </c>
      <c r="Q4240" s="8" t="s">
        <v>40</v>
      </c>
      <c r="R4240" s="10" t="s">
        <v>24604</v>
      </c>
      <c r="S4240" s="11"/>
      <c r="T4240" s="6"/>
      <c r="U4240" s="15" t="str">
        <f>HYPERLINK("https://media.infra-m.ru/1863/1863098/cover/1863098.jpg", "Обложка")</f>
        <v>Обложка</v>
      </c>
      <c r="V4240" s="8" t="s">
        <v>247</v>
      </c>
      <c r="W4240" s="6"/>
      <c r="X4240" s="6"/>
      <c r="Y4240" s="6"/>
      <c r="Z4240" s="6"/>
      <c r="AA4240" s="6" t="s">
        <v>148</v>
      </c>
      <c r="AB4240" s="8"/>
      <c r="AC4240" s="27">
        <v>9785160176093</v>
      </c>
    </row>
    <row r="4241" spans="1:29" s="4" customFormat="1" ht="51.9" customHeight="1" x14ac:dyDescent="0.2">
      <c r="A4241" s="5">
        <v>0</v>
      </c>
      <c r="B4241" s="6" t="s">
        <v>24605</v>
      </c>
      <c r="C4241" s="13">
        <v>988.8</v>
      </c>
      <c r="D4241" s="8" t="s">
        <v>24606</v>
      </c>
      <c r="E4241" s="8" t="s">
        <v>24607</v>
      </c>
      <c r="F4241" s="8" t="s">
        <v>24608</v>
      </c>
      <c r="G4241" s="6" t="s">
        <v>33</v>
      </c>
      <c r="H4241" s="6" t="s">
        <v>48</v>
      </c>
      <c r="I4241" s="8" t="s">
        <v>253</v>
      </c>
      <c r="J4241" s="9">
        <v>1</v>
      </c>
      <c r="K4241" s="9">
        <v>159</v>
      </c>
      <c r="L4241" s="9">
        <v>2025</v>
      </c>
      <c r="M4241" s="8" t="s">
        <v>24609</v>
      </c>
      <c r="N4241" s="8" t="s">
        <v>585</v>
      </c>
      <c r="O4241" s="8" t="s">
        <v>775</v>
      </c>
      <c r="P4241" s="6" t="s">
        <v>51</v>
      </c>
      <c r="Q4241" s="8" t="s">
        <v>65</v>
      </c>
      <c r="R4241" s="10" t="s">
        <v>19712</v>
      </c>
      <c r="S4241" s="11" t="s">
        <v>24610</v>
      </c>
      <c r="T4241" s="6"/>
      <c r="U4241" s="15" t="str">
        <f>HYPERLINK("https://media.infra-m.ru/2194/2194368/cover/2194368.jpg", "Обложка")</f>
        <v>Обложка</v>
      </c>
      <c r="V4241" s="8" t="s">
        <v>704</v>
      </c>
      <c r="W4241" s="6"/>
      <c r="X4241" s="6"/>
      <c r="Y4241" s="6"/>
      <c r="Z4241" s="6"/>
      <c r="AA4241" s="6" t="s">
        <v>248</v>
      </c>
      <c r="AB4241" s="8"/>
      <c r="AC4241" s="27">
        <v>9785911348496</v>
      </c>
    </row>
    <row r="4242" spans="1:29" s="4" customFormat="1" ht="51.9" customHeight="1" x14ac:dyDescent="0.2">
      <c r="A4242" s="5">
        <v>0</v>
      </c>
      <c r="B4242" s="6" t="s">
        <v>24611</v>
      </c>
      <c r="C4242" s="7">
        <v>1788</v>
      </c>
      <c r="D4242" s="8" t="s">
        <v>24612</v>
      </c>
      <c r="E4242" s="8" t="s">
        <v>24613</v>
      </c>
      <c r="F4242" s="8" t="s">
        <v>24614</v>
      </c>
      <c r="G4242" s="6" t="s">
        <v>60</v>
      </c>
      <c r="H4242" s="6" t="s">
        <v>34</v>
      </c>
      <c r="I4242" s="8" t="s">
        <v>1128</v>
      </c>
      <c r="J4242" s="9">
        <v>1</v>
      </c>
      <c r="K4242" s="9">
        <v>321</v>
      </c>
      <c r="L4242" s="9">
        <v>2023</v>
      </c>
      <c r="M4242" s="8" t="s">
        <v>24615</v>
      </c>
      <c r="N4242" s="8" t="s">
        <v>585</v>
      </c>
      <c r="O4242" s="8" t="s">
        <v>775</v>
      </c>
      <c r="P4242" s="6" t="s">
        <v>51</v>
      </c>
      <c r="Q4242" s="8" t="s">
        <v>65</v>
      </c>
      <c r="R4242" s="10" t="s">
        <v>19712</v>
      </c>
      <c r="S4242" s="11" t="s">
        <v>24616</v>
      </c>
      <c r="T4242" s="6"/>
      <c r="U4242" s="15" t="str">
        <f>HYPERLINK("https://media.infra-m.ru/2065/2065488/cover/2065488.jpg", "Обложка")</f>
        <v>Обложка</v>
      </c>
      <c r="V4242" s="8" t="s">
        <v>1132</v>
      </c>
      <c r="W4242" s="6"/>
      <c r="X4242" s="6"/>
      <c r="Y4242" s="6"/>
      <c r="Z4242" s="6"/>
      <c r="AA4242" s="6" t="s">
        <v>157</v>
      </c>
      <c r="AB4242" s="8"/>
      <c r="AC4242" s="27">
        <v>9785160188256</v>
      </c>
    </row>
    <row r="4243" spans="1:29" s="4" customFormat="1" ht="51.9" customHeight="1" x14ac:dyDescent="0.2">
      <c r="A4243" s="5">
        <v>0</v>
      </c>
      <c r="B4243" s="6" t="s">
        <v>24617</v>
      </c>
      <c r="C4243" s="7">
        <v>2256</v>
      </c>
      <c r="D4243" s="8" t="s">
        <v>24618</v>
      </c>
      <c r="E4243" s="8" t="s">
        <v>24619</v>
      </c>
      <c r="F4243" s="8" t="s">
        <v>24620</v>
      </c>
      <c r="G4243" s="6" t="s">
        <v>60</v>
      </c>
      <c r="H4243" s="6" t="s">
        <v>34</v>
      </c>
      <c r="I4243" s="8" t="s">
        <v>1128</v>
      </c>
      <c r="J4243" s="9">
        <v>1</v>
      </c>
      <c r="K4243" s="9">
        <v>414</v>
      </c>
      <c r="L4243" s="9">
        <v>2023</v>
      </c>
      <c r="M4243" s="8" t="s">
        <v>24621</v>
      </c>
      <c r="N4243" s="8" t="s">
        <v>585</v>
      </c>
      <c r="O4243" s="8" t="s">
        <v>2472</v>
      </c>
      <c r="P4243" s="6" t="s">
        <v>51</v>
      </c>
      <c r="Q4243" s="8" t="s">
        <v>65</v>
      </c>
      <c r="R4243" s="10" t="s">
        <v>24622</v>
      </c>
      <c r="S4243" s="11" t="s">
        <v>24623</v>
      </c>
      <c r="T4243" s="6"/>
      <c r="U4243" s="15" t="str">
        <f>HYPERLINK("https://media.infra-m.ru/2001/2001722/cover/2001722.jpg", "Обложка")</f>
        <v>Обложка</v>
      </c>
      <c r="V4243" s="8" t="s">
        <v>1132</v>
      </c>
      <c r="W4243" s="6"/>
      <c r="X4243" s="6"/>
      <c r="Y4243" s="6"/>
      <c r="Z4243" s="6"/>
      <c r="AA4243" s="6" t="s">
        <v>157</v>
      </c>
      <c r="AB4243" s="8"/>
      <c r="AC4243" s="27">
        <v>9785160184166</v>
      </c>
    </row>
    <row r="4244" spans="1:29" s="4" customFormat="1" ht="51.9" customHeight="1" x14ac:dyDescent="0.2">
      <c r="A4244" s="5">
        <v>0</v>
      </c>
      <c r="B4244" s="6" t="s">
        <v>24624</v>
      </c>
      <c r="C4244" s="7">
        <v>1188</v>
      </c>
      <c r="D4244" s="8" t="s">
        <v>24625</v>
      </c>
      <c r="E4244" s="8" t="s">
        <v>24626</v>
      </c>
      <c r="F4244" s="8" t="s">
        <v>24627</v>
      </c>
      <c r="G4244" s="6" t="s">
        <v>60</v>
      </c>
      <c r="H4244" s="6" t="s">
        <v>34</v>
      </c>
      <c r="I4244" s="8" t="s">
        <v>253</v>
      </c>
      <c r="J4244" s="9">
        <v>1</v>
      </c>
      <c r="K4244" s="9">
        <v>190</v>
      </c>
      <c r="L4244" s="9">
        <v>2026</v>
      </c>
      <c r="M4244" s="8" t="s">
        <v>24628</v>
      </c>
      <c r="N4244" s="8" t="s">
        <v>585</v>
      </c>
      <c r="O4244" s="8" t="s">
        <v>2472</v>
      </c>
      <c r="P4244" s="6" t="s">
        <v>394</v>
      </c>
      <c r="Q4244" s="8" t="s">
        <v>52</v>
      </c>
      <c r="R4244" s="10" t="s">
        <v>24629</v>
      </c>
      <c r="S4244" s="11" t="s">
        <v>24630</v>
      </c>
      <c r="T4244" s="6"/>
      <c r="U4244" s="15" t="str">
        <f>HYPERLINK("https://media.infra-m.ru/2208/2208880/cover/2208880.jpg", "Обложка")</f>
        <v>Обложка</v>
      </c>
      <c r="V4244" s="8" t="s">
        <v>11307</v>
      </c>
      <c r="W4244" s="6"/>
      <c r="X4244" s="6"/>
      <c r="Y4244" s="6"/>
      <c r="Z4244" s="6"/>
      <c r="AA4244" s="6" t="s">
        <v>187</v>
      </c>
      <c r="AB4244" s="8"/>
      <c r="AC4244" s="27">
        <v>9785160209852</v>
      </c>
    </row>
    <row r="4245" spans="1:29" s="4" customFormat="1" ht="51.9" customHeight="1" x14ac:dyDescent="0.2">
      <c r="A4245" s="5">
        <v>0</v>
      </c>
      <c r="B4245" s="6" t="s">
        <v>24631</v>
      </c>
      <c r="C4245" s="7">
        <v>1320</v>
      </c>
      <c r="D4245" s="8" t="s">
        <v>24632</v>
      </c>
      <c r="E4245" s="8" t="s">
        <v>24626</v>
      </c>
      <c r="F4245" s="8" t="s">
        <v>24627</v>
      </c>
      <c r="G4245" s="6" t="s">
        <v>60</v>
      </c>
      <c r="H4245" s="6" t="s">
        <v>34</v>
      </c>
      <c r="I4245" s="8" t="s">
        <v>263</v>
      </c>
      <c r="J4245" s="9">
        <v>1</v>
      </c>
      <c r="K4245" s="9">
        <v>190</v>
      </c>
      <c r="L4245" s="9">
        <v>2025</v>
      </c>
      <c r="M4245" s="8" t="s">
        <v>24633</v>
      </c>
      <c r="N4245" s="8" t="s">
        <v>585</v>
      </c>
      <c r="O4245" s="8" t="s">
        <v>2472</v>
      </c>
      <c r="P4245" s="6" t="s">
        <v>394</v>
      </c>
      <c r="Q4245" s="8" t="s">
        <v>265</v>
      </c>
      <c r="R4245" s="10" t="s">
        <v>24634</v>
      </c>
      <c r="S4245" s="11" t="s">
        <v>24630</v>
      </c>
      <c r="T4245" s="6"/>
      <c r="U4245" s="15" t="str">
        <f>HYPERLINK("https://media.infra-m.ru/2180/2180373/cover/2180373.jpg", "Обложка")</f>
        <v>Обложка</v>
      </c>
      <c r="V4245" s="8" t="s">
        <v>11307</v>
      </c>
      <c r="W4245" s="6"/>
      <c r="X4245" s="6"/>
      <c r="Y4245" s="6"/>
      <c r="Z4245" s="6"/>
      <c r="AA4245" s="6" t="s">
        <v>68</v>
      </c>
      <c r="AB4245" s="8" t="s">
        <v>3366</v>
      </c>
      <c r="AC4245" s="27">
        <v>9785160205298</v>
      </c>
    </row>
    <row r="4246" spans="1:29" s="4" customFormat="1" ht="51.9" customHeight="1" x14ac:dyDescent="0.2">
      <c r="A4246" s="5">
        <v>0</v>
      </c>
      <c r="B4246" s="6" t="s">
        <v>24635</v>
      </c>
      <c r="C4246" s="7">
        <v>1188</v>
      </c>
      <c r="D4246" s="8" t="s">
        <v>24636</v>
      </c>
      <c r="E4246" s="8" t="s">
        <v>24637</v>
      </c>
      <c r="F4246" s="8" t="s">
        <v>24638</v>
      </c>
      <c r="G4246" s="6" t="s">
        <v>60</v>
      </c>
      <c r="H4246" s="6" t="s">
        <v>34</v>
      </c>
      <c r="I4246" s="8" t="s">
        <v>253</v>
      </c>
      <c r="J4246" s="9">
        <v>1</v>
      </c>
      <c r="K4246" s="9">
        <v>162</v>
      </c>
      <c r="L4246" s="9">
        <v>2025</v>
      </c>
      <c r="M4246" s="8" t="s">
        <v>24639</v>
      </c>
      <c r="N4246" s="8" t="s">
        <v>243</v>
      </c>
      <c r="O4246" s="8" t="s">
        <v>385</v>
      </c>
      <c r="P4246" s="6" t="s">
        <v>51</v>
      </c>
      <c r="Q4246" s="8" t="s">
        <v>377</v>
      </c>
      <c r="R4246" s="10" t="s">
        <v>24629</v>
      </c>
      <c r="S4246" s="11"/>
      <c r="T4246" s="6"/>
      <c r="U4246" s="15" t="str">
        <f>HYPERLINK("https://media.infra-m.ru/2162/2162062/cover/2162062.jpg", "Обложка")</f>
        <v>Обложка</v>
      </c>
      <c r="V4246" s="8" t="s">
        <v>8054</v>
      </c>
      <c r="W4246" s="6"/>
      <c r="X4246" s="6"/>
      <c r="Y4246" s="6"/>
      <c r="Z4246" s="6"/>
      <c r="AA4246" s="6" t="s">
        <v>68</v>
      </c>
      <c r="AB4246" s="8"/>
      <c r="AC4246" s="27">
        <v>9785160201658</v>
      </c>
    </row>
    <row r="4247" spans="1:29" s="4" customFormat="1" ht="42" customHeight="1" x14ac:dyDescent="0.2">
      <c r="A4247" s="5">
        <v>0</v>
      </c>
      <c r="B4247" s="6" t="s">
        <v>24640</v>
      </c>
      <c r="C4247" s="7">
        <v>1000.8</v>
      </c>
      <c r="D4247" s="8" t="s">
        <v>24641</v>
      </c>
      <c r="E4247" s="8" t="s">
        <v>24642</v>
      </c>
      <c r="F4247" s="8" t="s">
        <v>24643</v>
      </c>
      <c r="G4247" s="6" t="s">
        <v>60</v>
      </c>
      <c r="H4247" s="6" t="s">
        <v>1644</v>
      </c>
      <c r="I4247" s="8"/>
      <c r="J4247" s="9">
        <v>1</v>
      </c>
      <c r="K4247" s="9">
        <v>160</v>
      </c>
      <c r="L4247" s="9">
        <v>2025</v>
      </c>
      <c r="M4247" s="8" t="s">
        <v>24644</v>
      </c>
      <c r="N4247" s="8" t="s">
        <v>37</v>
      </c>
      <c r="O4247" s="8" t="s">
        <v>233</v>
      </c>
      <c r="P4247" s="6" t="s">
        <v>51</v>
      </c>
      <c r="Q4247" s="8" t="s">
        <v>52</v>
      </c>
      <c r="R4247" s="10" t="s">
        <v>3008</v>
      </c>
      <c r="S4247" s="11"/>
      <c r="T4247" s="6"/>
      <c r="U4247" s="15" t="str">
        <f>HYPERLINK("https://media.infra-m.ru/2192/2192776/cover/2192776.jpg", "Обложка")</f>
        <v>Обложка</v>
      </c>
      <c r="V4247" s="8" t="s">
        <v>5303</v>
      </c>
      <c r="W4247" s="6"/>
      <c r="X4247" s="6"/>
      <c r="Y4247" s="6"/>
      <c r="Z4247" s="6"/>
      <c r="AA4247" s="6" t="s">
        <v>430</v>
      </c>
      <c r="AB4247" s="8"/>
      <c r="AC4247" s="27">
        <v>9785977605359</v>
      </c>
    </row>
    <row r="4248" spans="1:29" s="4" customFormat="1" ht="42" customHeight="1" x14ac:dyDescent="0.2">
      <c r="A4248" s="5">
        <v>0</v>
      </c>
      <c r="B4248" s="6" t="s">
        <v>24645</v>
      </c>
      <c r="C4248" s="7">
        <v>2692.8</v>
      </c>
      <c r="D4248" s="8" t="s">
        <v>24646</v>
      </c>
      <c r="E4248" s="8" t="s">
        <v>24647</v>
      </c>
      <c r="F4248" s="8" t="s">
        <v>13486</v>
      </c>
      <c r="G4248" s="6" t="s">
        <v>21</v>
      </c>
      <c r="H4248" s="6" t="s">
        <v>134</v>
      </c>
      <c r="I4248" s="8"/>
      <c r="J4248" s="9">
        <v>1</v>
      </c>
      <c r="K4248" s="9">
        <v>432</v>
      </c>
      <c r="L4248" s="9">
        <v>2026</v>
      </c>
      <c r="M4248" s="8" t="s">
        <v>24648</v>
      </c>
      <c r="N4248" s="8" t="s">
        <v>37</v>
      </c>
      <c r="O4248" s="8" t="s">
        <v>136</v>
      </c>
      <c r="P4248" s="6" t="s">
        <v>39</v>
      </c>
      <c r="Q4248" s="8" t="s">
        <v>40</v>
      </c>
      <c r="R4248" s="10" t="s">
        <v>1625</v>
      </c>
      <c r="S4248" s="11"/>
      <c r="T4248" s="6"/>
      <c r="U4248" s="15" t="str">
        <f>HYPERLINK("https://media.infra-m.ru/2211/2211010/cover/2211010.jpg", "Обложка")</f>
        <v>Обложка</v>
      </c>
      <c r="V4248" s="8" t="s">
        <v>1184</v>
      </c>
      <c r="W4248" s="6"/>
      <c r="X4248" s="6"/>
      <c r="Y4248" s="6"/>
      <c r="Z4248" s="6"/>
      <c r="AA4248" s="6" t="s">
        <v>248</v>
      </c>
      <c r="AB4248" s="8"/>
      <c r="AC4248" s="27">
        <v>9785917684376</v>
      </c>
    </row>
    <row r="4249" spans="1:29" s="4" customFormat="1" ht="42" customHeight="1" x14ac:dyDescent="0.2">
      <c r="A4249" s="5">
        <v>0</v>
      </c>
      <c r="B4249" s="6" t="s">
        <v>24649</v>
      </c>
      <c r="C4249" s="7">
        <v>1336.8</v>
      </c>
      <c r="D4249" s="8" t="s">
        <v>24650</v>
      </c>
      <c r="E4249" s="8" t="s">
        <v>24651</v>
      </c>
      <c r="F4249" s="8" t="s">
        <v>24652</v>
      </c>
      <c r="G4249" s="6" t="s">
        <v>33</v>
      </c>
      <c r="H4249" s="6" t="s">
        <v>34</v>
      </c>
      <c r="I4249" s="8" t="s">
        <v>35</v>
      </c>
      <c r="J4249" s="9">
        <v>1</v>
      </c>
      <c r="K4249" s="9">
        <v>192</v>
      </c>
      <c r="L4249" s="9">
        <v>2027</v>
      </c>
      <c r="M4249" s="8" t="s">
        <v>24653</v>
      </c>
      <c r="N4249" s="8" t="s">
        <v>63</v>
      </c>
      <c r="O4249" s="8" t="s">
        <v>9718</v>
      </c>
      <c r="P4249" s="6" t="s">
        <v>39</v>
      </c>
      <c r="Q4249" s="8" t="s">
        <v>40</v>
      </c>
      <c r="R4249" s="10" t="s">
        <v>24654</v>
      </c>
      <c r="S4249" s="11"/>
      <c r="T4249" s="6"/>
      <c r="U4249" s="15" t="str">
        <f>HYPERLINK("https://media.infra-m.ru/2272/2272504/cover/2272504.jpg", "Обложка")</f>
        <v>Обложка</v>
      </c>
      <c r="V4249" s="8" t="s">
        <v>3693</v>
      </c>
      <c r="W4249" s="6"/>
      <c r="X4249" s="6"/>
      <c r="Y4249" s="6"/>
      <c r="Z4249" s="6"/>
      <c r="AA4249" s="6" t="s">
        <v>76</v>
      </c>
      <c r="AB4249" s="8"/>
      <c r="AC4249" s="27">
        <v>9785160188768</v>
      </c>
    </row>
    <row r="4250" spans="1:29" s="4" customFormat="1" ht="51.9" customHeight="1" x14ac:dyDescent="0.2">
      <c r="A4250" s="5">
        <v>0</v>
      </c>
      <c r="B4250" s="6" t="s">
        <v>24655</v>
      </c>
      <c r="C4250" s="7">
        <v>1068</v>
      </c>
      <c r="D4250" s="8" t="s">
        <v>24656</v>
      </c>
      <c r="E4250" s="8" t="s">
        <v>24657</v>
      </c>
      <c r="F4250" s="8" t="s">
        <v>24658</v>
      </c>
      <c r="G4250" s="6" t="s">
        <v>60</v>
      </c>
      <c r="H4250" s="6" t="s">
        <v>34</v>
      </c>
      <c r="I4250" s="8" t="s">
        <v>271</v>
      </c>
      <c r="J4250" s="9">
        <v>1</v>
      </c>
      <c r="K4250" s="9">
        <v>270</v>
      </c>
      <c r="L4250" s="9">
        <v>2018</v>
      </c>
      <c r="M4250" s="8" t="s">
        <v>24659</v>
      </c>
      <c r="N4250" s="8" t="s">
        <v>243</v>
      </c>
      <c r="O4250" s="8" t="s">
        <v>329</v>
      </c>
      <c r="P4250" s="6" t="s">
        <v>51</v>
      </c>
      <c r="Q4250" s="8" t="s">
        <v>52</v>
      </c>
      <c r="R4250" s="10" t="s">
        <v>24660</v>
      </c>
      <c r="S4250" s="11" t="s">
        <v>24661</v>
      </c>
      <c r="T4250" s="6"/>
      <c r="U4250" s="15" t="str">
        <f>HYPERLINK("https://media.infra-m.ru/0908/0908746/cover/908746.jpg", "Обложка")</f>
        <v>Обложка</v>
      </c>
      <c r="V4250" s="8" t="s">
        <v>831</v>
      </c>
      <c r="W4250" s="6"/>
      <c r="X4250" s="6"/>
      <c r="Y4250" s="6"/>
      <c r="Z4250" s="6"/>
      <c r="AA4250" s="6" t="s">
        <v>86</v>
      </c>
      <c r="AB4250" s="8"/>
      <c r="AC4250" s="27">
        <v>9785160130651</v>
      </c>
    </row>
    <row r="4251" spans="1:29" s="4" customFormat="1" ht="51.9" customHeight="1" x14ac:dyDescent="0.2">
      <c r="A4251" s="5">
        <v>0</v>
      </c>
      <c r="B4251" s="6" t="s">
        <v>24662</v>
      </c>
      <c r="C4251" s="13">
        <v>840</v>
      </c>
      <c r="D4251" s="8" t="s">
        <v>24663</v>
      </c>
      <c r="E4251" s="8" t="s">
        <v>24664</v>
      </c>
      <c r="F4251" s="8" t="s">
        <v>24665</v>
      </c>
      <c r="G4251" s="6" t="s">
        <v>33</v>
      </c>
      <c r="H4251" s="6" t="s">
        <v>34</v>
      </c>
      <c r="I4251" s="8" t="s">
        <v>504</v>
      </c>
      <c r="J4251" s="9">
        <v>1</v>
      </c>
      <c r="K4251" s="9">
        <v>153</v>
      </c>
      <c r="L4251" s="9">
        <v>2024</v>
      </c>
      <c r="M4251" s="8" t="s">
        <v>24666</v>
      </c>
      <c r="N4251" s="8" t="s">
        <v>37</v>
      </c>
      <c r="O4251" s="8" t="s">
        <v>280</v>
      </c>
      <c r="P4251" s="6" t="s">
        <v>51</v>
      </c>
      <c r="Q4251" s="8" t="s">
        <v>500</v>
      </c>
      <c r="R4251" s="10" t="s">
        <v>2053</v>
      </c>
      <c r="S4251" s="11" t="s">
        <v>24667</v>
      </c>
      <c r="T4251" s="6"/>
      <c r="U4251" s="15" t="str">
        <f>HYPERLINK("https://media.infra-m.ru/2080/2080780/cover/2080780.jpg", "Обложка")</f>
        <v>Обложка</v>
      </c>
      <c r="V4251" s="8" t="s">
        <v>5244</v>
      </c>
      <c r="W4251" s="6"/>
      <c r="X4251" s="6"/>
      <c r="Y4251" s="6"/>
      <c r="Z4251" s="6"/>
      <c r="AA4251" s="6" t="s">
        <v>779</v>
      </c>
      <c r="AB4251" s="8"/>
      <c r="AC4251" s="27">
        <v>9785160116266</v>
      </c>
    </row>
    <row r="4252" spans="1:29" s="4" customFormat="1" ht="51.9" customHeight="1" x14ac:dyDescent="0.2">
      <c r="A4252" s="5">
        <v>0</v>
      </c>
      <c r="B4252" s="6" t="s">
        <v>24668</v>
      </c>
      <c r="C4252" s="7">
        <v>2424</v>
      </c>
      <c r="D4252" s="8" t="s">
        <v>24669</v>
      </c>
      <c r="E4252" s="8" t="s">
        <v>24670</v>
      </c>
      <c r="F4252" s="8" t="s">
        <v>24671</v>
      </c>
      <c r="G4252" s="6" t="s">
        <v>118</v>
      </c>
      <c r="H4252" s="6" t="s">
        <v>34</v>
      </c>
      <c r="I4252" s="8" t="s">
        <v>253</v>
      </c>
      <c r="J4252" s="9">
        <v>1</v>
      </c>
      <c r="K4252" s="9">
        <v>348</v>
      </c>
      <c r="L4252" s="9">
        <v>2027</v>
      </c>
      <c r="M4252" s="8" t="s">
        <v>24672</v>
      </c>
      <c r="N4252" s="8" t="s">
        <v>37</v>
      </c>
      <c r="O4252" s="8" t="s">
        <v>233</v>
      </c>
      <c r="P4252" s="6" t="s">
        <v>306</v>
      </c>
      <c r="Q4252" s="8" t="s">
        <v>52</v>
      </c>
      <c r="R4252" s="10" t="s">
        <v>11915</v>
      </c>
      <c r="S4252" s="11" t="s">
        <v>24673</v>
      </c>
      <c r="T4252" s="6" t="s">
        <v>97</v>
      </c>
      <c r="U4252" s="15" t="str">
        <f>HYPERLINK("https://media.infra-m.ru/2264/2264722/cover/2264722.jpg", "Обложка")</f>
        <v>Обложка</v>
      </c>
      <c r="V4252" s="8" t="s">
        <v>396</v>
      </c>
      <c r="W4252" s="6"/>
      <c r="X4252" s="6"/>
      <c r="Y4252" s="6"/>
      <c r="Z4252" s="6"/>
      <c r="AA4252" s="6" t="s">
        <v>779</v>
      </c>
      <c r="AB4252" s="8"/>
      <c r="AC4252" s="27">
        <v>9785160195711</v>
      </c>
    </row>
    <row r="4253" spans="1:29" s="4" customFormat="1" ht="51.9" customHeight="1" x14ac:dyDescent="0.2">
      <c r="A4253" s="5">
        <v>0</v>
      </c>
      <c r="B4253" s="6" t="s">
        <v>24674</v>
      </c>
      <c r="C4253" s="13">
        <v>900</v>
      </c>
      <c r="D4253" s="8" t="s">
        <v>24675</v>
      </c>
      <c r="E4253" s="8" t="s">
        <v>24676</v>
      </c>
      <c r="F4253" s="8" t="s">
        <v>24677</v>
      </c>
      <c r="G4253" s="6" t="s">
        <v>118</v>
      </c>
      <c r="H4253" s="6" t="s">
        <v>34</v>
      </c>
      <c r="I4253" s="8" t="s">
        <v>504</v>
      </c>
      <c r="J4253" s="9">
        <v>1</v>
      </c>
      <c r="K4253" s="9">
        <v>201</v>
      </c>
      <c r="L4253" s="9">
        <v>2020</v>
      </c>
      <c r="M4253" s="8" t="s">
        <v>24678</v>
      </c>
      <c r="N4253" s="8" t="s">
        <v>37</v>
      </c>
      <c r="O4253" s="8" t="s">
        <v>280</v>
      </c>
      <c r="P4253" s="6" t="s">
        <v>51</v>
      </c>
      <c r="Q4253" s="8" t="s">
        <v>500</v>
      </c>
      <c r="R4253" s="10" t="s">
        <v>24679</v>
      </c>
      <c r="S4253" s="11" t="s">
        <v>24680</v>
      </c>
      <c r="T4253" s="6"/>
      <c r="U4253" s="15" t="str">
        <f>HYPERLINK("https://media.infra-m.ru/1074/1074344/cover/1074344.jpg", "Обложка")</f>
        <v>Обложка</v>
      </c>
      <c r="V4253" s="8" t="s">
        <v>657</v>
      </c>
      <c r="W4253" s="6"/>
      <c r="X4253" s="6"/>
      <c r="Y4253" s="6"/>
      <c r="Z4253" s="6"/>
      <c r="AA4253" s="6" t="s">
        <v>115</v>
      </c>
      <c r="AB4253" s="8"/>
      <c r="AC4253" s="27">
        <v>9785160140551</v>
      </c>
    </row>
    <row r="4254" spans="1:29" s="4" customFormat="1" ht="44.1" customHeight="1" x14ac:dyDescent="0.2">
      <c r="A4254" s="5">
        <v>0</v>
      </c>
      <c r="B4254" s="6" t="s">
        <v>24681</v>
      </c>
      <c r="C4254" s="7">
        <v>1200</v>
      </c>
      <c r="D4254" s="8" t="s">
        <v>24682</v>
      </c>
      <c r="E4254" s="8" t="s">
        <v>24683</v>
      </c>
      <c r="F4254" s="8" t="s">
        <v>24684</v>
      </c>
      <c r="G4254" s="6" t="s">
        <v>118</v>
      </c>
      <c r="H4254" s="6" t="s">
        <v>134</v>
      </c>
      <c r="I4254" s="8"/>
      <c r="J4254" s="9">
        <v>1</v>
      </c>
      <c r="K4254" s="9">
        <v>256</v>
      </c>
      <c r="L4254" s="9">
        <v>2022</v>
      </c>
      <c r="M4254" s="8" t="s">
        <v>24685</v>
      </c>
      <c r="N4254" s="8" t="s">
        <v>37</v>
      </c>
      <c r="O4254" s="8" t="s">
        <v>136</v>
      </c>
      <c r="P4254" s="6" t="s">
        <v>39</v>
      </c>
      <c r="Q4254" s="8" t="s">
        <v>40</v>
      </c>
      <c r="R4254" s="10" t="s">
        <v>8485</v>
      </c>
      <c r="S4254" s="11"/>
      <c r="T4254" s="6"/>
      <c r="U4254" s="15" t="str">
        <f>HYPERLINK("https://media.infra-m.ru/1864/1864286/cover/1864286.jpg", "Обложка")</f>
        <v>Обложка</v>
      </c>
      <c r="V4254" s="8" t="s">
        <v>1277</v>
      </c>
      <c r="W4254" s="6"/>
      <c r="X4254" s="6"/>
      <c r="Y4254" s="6"/>
      <c r="Z4254" s="6"/>
      <c r="AA4254" s="6" t="s">
        <v>430</v>
      </c>
      <c r="AB4254" s="8"/>
      <c r="AC4254" s="27">
        <v>9785001560890</v>
      </c>
    </row>
    <row r="4255" spans="1:29" s="4" customFormat="1" ht="51.9" customHeight="1" x14ac:dyDescent="0.2">
      <c r="A4255" s="5">
        <v>0</v>
      </c>
      <c r="B4255" s="6" t="s">
        <v>24686</v>
      </c>
      <c r="C4255" s="7">
        <v>1108.8</v>
      </c>
      <c r="D4255" s="8" t="s">
        <v>24687</v>
      </c>
      <c r="E4255" s="8" t="s">
        <v>24688</v>
      </c>
      <c r="F4255" s="8" t="s">
        <v>24689</v>
      </c>
      <c r="G4255" s="6" t="s">
        <v>33</v>
      </c>
      <c r="H4255" s="6" t="s">
        <v>134</v>
      </c>
      <c r="I4255" s="8"/>
      <c r="J4255" s="9">
        <v>1</v>
      </c>
      <c r="K4255" s="9">
        <v>176</v>
      </c>
      <c r="L4255" s="9">
        <v>2025</v>
      </c>
      <c r="M4255" s="8" t="s">
        <v>24690</v>
      </c>
      <c r="N4255" s="8" t="s">
        <v>37</v>
      </c>
      <c r="O4255" s="8" t="s">
        <v>136</v>
      </c>
      <c r="P4255" s="6" t="s">
        <v>39</v>
      </c>
      <c r="Q4255" s="8" t="s">
        <v>40</v>
      </c>
      <c r="R4255" s="10" t="s">
        <v>24691</v>
      </c>
      <c r="S4255" s="11"/>
      <c r="T4255" s="6"/>
      <c r="U4255" s="15" t="str">
        <f>HYPERLINK("https://media.infra-m.ru/2208/2208462/cover/2208462.jpg", "Обложка")</f>
        <v>Обложка</v>
      </c>
      <c r="V4255" s="8" t="s">
        <v>657</v>
      </c>
      <c r="W4255" s="6"/>
      <c r="X4255" s="6"/>
      <c r="Y4255" s="6"/>
      <c r="Z4255" s="6"/>
      <c r="AA4255" s="6" t="s">
        <v>248</v>
      </c>
      <c r="AB4255" s="8"/>
      <c r="AC4255" s="27">
        <v>9785917684871</v>
      </c>
    </row>
    <row r="4256" spans="1:29" s="4" customFormat="1" ht="42" customHeight="1" x14ac:dyDescent="0.2">
      <c r="A4256" s="5">
        <v>0</v>
      </c>
      <c r="B4256" s="6" t="s">
        <v>24692</v>
      </c>
      <c r="C4256" s="7">
        <v>3348</v>
      </c>
      <c r="D4256" s="8" t="s">
        <v>24693</v>
      </c>
      <c r="E4256" s="8" t="s">
        <v>24694</v>
      </c>
      <c r="F4256" s="8" t="s">
        <v>12214</v>
      </c>
      <c r="G4256" s="6" t="s">
        <v>60</v>
      </c>
      <c r="H4256" s="6" t="s">
        <v>134</v>
      </c>
      <c r="I4256" s="8"/>
      <c r="J4256" s="9">
        <v>1</v>
      </c>
      <c r="K4256" s="9">
        <v>536</v>
      </c>
      <c r="L4256" s="9">
        <v>2026</v>
      </c>
      <c r="M4256" s="8" t="s">
        <v>24695</v>
      </c>
      <c r="N4256" s="8" t="s">
        <v>37</v>
      </c>
      <c r="O4256" s="8" t="s">
        <v>136</v>
      </c>
      <c r="P4256" s="6" t="s">
        <v>39</v>
      </c>
      <c r="Q4256" s="8" t="s">
        <v>40</v>
      </c>
      <c r="R4256" s="10" t="s">
        <v>684</v>
      </c>
      <c r="S4256" s="11"/>
      <c r="T4256" s="6"/>
      <c r="U4256" s="15" t="str">
        <f>HYPERLINK("https://media.infra-m.ru/2219/2219400/cover/2219400.jpg", "Обложка")</f>
        <v>Обложка</v>
      </c>
      <c r="V4256" s="8" t="s">
        <v>1069</v>
      </c>
      <c r="W4256" s="6"/>
      <c r="X4256" s="6"/>
      <c r="Y4256" s="6"/>
      <c r="Z4256" s="6"/>
      <c r="AA4256" s="6" t="s">
        <v>1256</v>
      </c>
      <c r="AB4256" s="8"/>
      <c r="AC4256" s="27">
        <v>9785001561361</v>
      </c>
    </row>
    <row r="4257" spans="1:29" s="4" customFormat="1" ht="44.1" customHeight="1" x14ac:dyDescent="0.2">
      <c r="A4257" s="5">
        <v>0</v>
      </c>
      <c r="B4257" s="6" t="s">
        <v>24696</v>
      </c>
      <c r="C4257" s="7">
        <v>2644.8</v>
      </c>
      <c r="D4257" s="8" t="s">
        <v>24697</v>
      </c>
      <c r="E4257" s="8" t="s">
        <v>24698</v>
      </c>
      <c r="F4257" s="8" t="s">
        <v>24699</v>
      </c>
      <c r="G4257" s="6" t="s">
        <v>60</v>
      </c>
      <c r="H4257" s="6" t="s">
        <v>134</v>
      </c>
      <c r="I4257" s="8"/>
      <c r="J4257" s="9">
        <v>1</v>
      </c>
      <c r="K4257" s="9">
        <v>400</v>
      </c>
      <c r="L4257" s="9">
        <v>2026</v>
      </c>
      <c r="M4257" s="8" t="s">
        <v>24700</v>
      </c>
      <c r="N4257" s="8" t="s">
        <v>37</v>
      </c>
      <c r="O4257" s="8" t="s">
        <v>136</v>
      </c>
      <c r="P4257" s="6" t="s">
        <v>39</v>
      </c>
      <c r="Q4257" s="8" t="s">
        <v>40</v>
      </c>
      <c r="R4257" s="10" t="s">
        <v>24701</v>
      </c>
      <c r="S4257" s="11"/>
      <c r="T4257" s="6"/>
      <c r="U4257" s="15" t="str">
        <f>HYPERLINK("https://media.infra-m.ru/2236/2236279/cover/2236279.jpg", "Обложка")</f>
        <v>Обложка</v>
      </c>
      <c r="V4257" s="8" t="s">
        <v>657</v>
      </c>
      <c r="W4257" s="6"/>
      <c r="X4257" s="6"/>
      <c r="Y4257" s="6"/>
      <c r="Z4257" s="6"/>
      <c r="AA4257" s="6" t="s">
        <v>874</v>
      </c>
      <c r="AB4257" s="8"/>
      <c r="AC4257" s="27">
        <v>9785917686141</v>
      </c>
    </row>
    <row r="4258" spans="1:29" s="4" customFormat="1" ht="42" customHeight="1" x14ac:dyDescent="0.2">
      <c r="A4258" s="5">
        <v>0</v>
      </c>
      <c r="B4258" s="6" t="s">
        <v>24702</v>
      </c>
      <c r="C4258" s="7">
        <v>2760</v>
      </c>
      <c r="D4258" s="8" t="s">
        <v>24703</v>
      </c>
      <c r="E4258" s="8" t="s">
        <v>24704</v>
      </c>
      <c r="F4258" s="8" t="s">
        <v>24705</v>
      </c>
      <c r="G4258" s="6" t="s">
        <v>60</v>
      </c>
      <c r="H4258" s="6" t="s">
        <v>10998</v>
      </c>
      <c r="I4258" s="8"/>
      <c r="J4258" s="9">
        <v>1</v>
      </c>
      <c r="K4258" s="9">
        <v>480</v>
      </c>
      <c r="L4258" s="9">
        <v>2019</v>
      </c>
      <c r="M4258" s="8" t="s">
        <v>24706</v>
      </c>
      <c r="N4258" s="8" t="s">
        <v>224</v>
      </c>
      <c r="O4258" s="8" t="s">
        <v>11000</v>
      </c>
      <c r="P4258" s="6" t="s">
        <v>10998</v>
      </c>
      <c r="Q4258" s="8" t="s">
        <v>52</v>
      </c>
      <c r="R4258" s="10" t="s">
        <v>24707</v>
      </c>
      <c r="S4258" s="11"/>
      <c r="T4258" s="6"/>
      <c r="U4258" s="15" t="str">
        <f>HYPERLINK("https://media.infra-m.ru/1001/1001521/cover/1001521.jpg", "Обложка")</f>
        <v>Обложка</v>
      </c>
      <c r="V4258" s="8" t="s">
        <v>3087</v>
      </c>
      <c r="W4258" s="6"/>
      <c r="X4258" s="6"/>
      <c r="Y4258" s="6"/>
      <c r="Z4258" s="6"/>
      <c r="AA4258" s="6" t="s">
        <v>43</v>
      </c>
      <c r="AB4258" s="8"/>
      <c r="AC4258" s="27">
        <v>9785948020457</v>
      </c>
    </row>
    <row r="4259" spans="1:29" s="4" customFormat="1" ht="42" customHeight="1" x14ac:dyDescent="0.2">
      <c r="A4259" s="5">
        <v>0</v>
      </c>
      <c r="B4259" s="6" t="s">
        <v>24708</v>
      </c>
      <c r="C4259" s="7">
        <v>2760</v>
      </c>
      <c r="D4259" s="8" t="s">
        <v>24709</v>
      </c>
      <c r="E4259" s="8" t="s">
        <v>24710</v>
      </c>
      <c r="F4259" s="8" t="s">
        <v>24705</v>
      </c>
      <c r="G4259" s="6" t="s">
        <v>60</v>
      </c>
      <c r="H4259" s="6" t="s">
        <v>10998</v>
      </c>
      <c r="I4259" s="8"/>
      <c r="J4259" s="9">
        <v>1</v>
      </c>
      <c r="K4259" s="9">
        <v>480</v>
      </c>
      <c r="L4259" s="9">
        <v>2019</v>
      </c>
      <c r="M4259" s="8" t="s">
        <v>24711</v>
      </c>
      <c r="N4259" s="8" t="s">
        <v>224</v>
      </c>
      <c r="O4259" s="8" t="s">
        <v>11000</v>
      </c>
      <c r="P4259" s="6" t="s">
        <v>10998</v>
      </c>
      <c r="Q4259" s="8" t="s">
        <v>52</v>
      </c>
      <c r="R4259" s="10" t="s">
        <v>24707</v>
      </c>
      <c r="S4259" s="11"/>
      <c r="T4259" s="6"/>
      <c r="U4259" s="15" t="str">
        <f>HYPERLINK("https://media.infra-m.ru/1002/1002230/cover/1002230.jpg", "Обложка")</f>
        <v>Обложка</v>
      </c>
      <c r="V4259" s="8" t="s">
        <v>3087</v>
      </c>
      <c r="W4259" s="6"/>
      <c r="X4259" s="6"/>
      <c r="Y4259" s="6"/>
      <c r="Z4259" s="6"/>
      <c r="AA4259" s="6" t="s">
        <v>43</v>
      </c>
      <c r="AB4259" s="8"/>
      <c r="AC4259" s="27">
        <v>9785948020532</v>
      </c>
    </row>
    <row r="4260" spans="1:29" s="4" customFormat="1" ht="42" customHeight="1" x14ac:dyDescent="0.2">
      <c r="A4260" s="5">
        <v>0</v>
      </c>
      <c r="B4260" s="6" t="s">
        <v>24712</v>
      </c>
      <c r="C4260" s="7">
        <v>4196.3999999999996</v>
      </c>
      <c r="D4260" s="8" t="s">
        <v>24713</v>
      </c>
      <c r="E4260" s="8" t="s">
        <v>24714</v>
      </c>
      <c r="F4260" s="8" t="s">
        <v>24705</v>
      </c>
      <c r="G4260" s="6" t="s">
        <v>60</v>
      </c>
      <c r="H4260" s="6" t="s">
        <v>10998</v>
      </c>
      <c r="I4260" s="8"/>
      <c r="J4260" s="9">
        <v>1</v>
      </c>
      <c r="K4260" s="9">
        <v>480</v>
      </c>
      <c r="L4260" s="9">
        <v>2019</v>
      </c>
      <c r="M4260" s="8" t="s">
        <v>24715</v>
      </c>
      <c r="N4260" s="8" t="s">
        <v>224</v>
      </c>
      <c r="O4260" s="8" t="s">
        <v>11000</v>
      </c>
      <c r="P4260" s="6" t="s">
        <v>10998</v>
      </c>
      <c r="Q4260" s="8" t="s">
        <v>52</v>
      </c>
      <c r="R4260" s="10" t="s">
        <v>24707</v>
      </c>
      <c r="S4260" s="11"/>
      <c r="T4260" s="6"/>
      <c r="U4260" s="15" t="str">
        <f>HYPERLINK("https://media.infra-m.ru/1020/1020838/cover/1020838.jpg", "Обложка")</f>
        <v>Обложка</v>
      </c>
      <c r="V4260" s="8" t="s">
        <v>3087</v>
      </c>
      <c r="W4260" s="6"/>
      <c r="X4260" s="6"/>
      <c r="Y4260" s="6"/>
      <c r="Z4260" s="6"/>
      <c r="AA4260" s="6" t="s">
        <v>248</v>
      </c>
      <c r="AB4260" s="8"/>
      <c r="AC4260" s="27">
        <v>9785948020556</v>
      </c>
    </row>
    <row r="4261" spans="1:29" s="4" customFormat="1" ht="42" customHeight="1" x14ac:dyDescent="0.2">
      <c r="A4261" s="5">
        <v>0</v>
      </c>
      <c r="B4261" s="6" t="s">
        <v>24716</v>
      </c>
      <c r="C4261" s="7">
        <v>2760</v>
      </c>
      <c r="D4261" s="8" t="s">
        <v>24717</v>
      </c>
      <c r="E4261" s="8" t="s">
        <v>24718</v>
      </c>
      <c r="F4261" s="8" t="s">
        <v>24705</v>
      </c>
      <c r="G4261" s="6" t="s">
        <v>60</v>
      </c>
      <c r="H4261" s="6" t="s">
        <v>10998</v>
      </c>
      <c r="I4261" s="8"/>
      <c r="J4261" s="9">
        <v>1</v>
      </c>
      <c r="K4261" s="9">
        <v>496</v>
      </c>
      <c r="L4261" s="9">
        <v>2019</v>
      </c>
      <c r="M4261" s="8" t="s">
        <v>24719</v>
      </c>
      <c r="N4261" s="8" t="s">
        <v>224</v>
      </c>
      <c r="O4261" s="8" t="s">
        <v>11000</v>
      </c>
      <c r="P4261" s="6" t="s">
        <v>10998</v>
      </c>
      <c r="Q4261" s="8" t="s">
        <v>52</v>
      </c>
      <c r="R4261" s="10" t="s">
        <v>24707</v>
      </c>
      <c r="S4261" s="11"/>
      <c r="T4261" s="6"/>
      <c r="U4261" s="15" t="str">
        <f>HYPERLINK("https://media.infra-m.ru/1020/1020834/cover/1020834.jpg", "Обложка")</f>
        <v>Обложка</v>
      </c>
      <c r="V4261" s="8" t="s">
        <v>3087</v>
      </c>
      <c r="W4261" s="6"/>
      <c r="X4261" s="6"/>
      <c r="Y4261" s="6"/>
      <c r="Z4261" s="6"/>
      <c r="AA4261" s="6" t="s">
        <v>274</v>
      </c>
      <c r="AB4261" s="8"/>
      <c r="AC4261" s="27">
        <v>9785948020624</v>
      </c>
    </row>
    <row r="4262" spans="1:29" s="4" customFormat="1" ht="42" customHeight="1" x14ac:dyDescent="0.2">
      <c r="A4262" s="5">
        <v>0</v>
      </c>
      <c r="B4262" s="6" t="s">
        <v>24720</v>
      </c>
      <c r="C4262" s="7">
        <v>2760</v>
      </c>
      <c r="D4262" s="8" t="s">
        <v>24721</v>
      </c>
      <c r="E4262" s="8" t="s">
        <v>24722</v>
      </c>
      <c r="F4262" s="8" t="s">
        <v>24705</v>
      </c>
      <c r="G4262" s="6" t="s">
        <v>24723</v>
      </c>
      <c r="H4262" s="6" t="s">
        <v>10998</v>
      </c>
      <c r="I4262" s="8"/>
      <c r="J4262" s="9">
        <v>5</v>
      </c>
      <c r="K4262" s="9">
        <v>512</v>
      </c>
      <c r="L4262" s="9">
        <v>2019</v>
      </c>
      <c r="M4262" s="8" t="s">
        <v>24724</v>
      </c>
      <c r="N4262" s="8" t="s">
        <v>224</v>
      </c>
      <c r="O4262" s="8" t="s">
        <v>11000</v>
      </c>
      <c r="P4262" s="6" t="s">
        <v>10998</v>
      </c>
      <c r="Q4262" s="8" t="s">
        <v>13945</v>
      </c>
      <c r="R4262" s="10"/>
      <c r="S4262" s="11"/>
      <c r="T4262" s="6"/>
      <c r="U4262" s="15" t="str">
        <f>HYPERLINK("https://media.infra-m.ru/0782/0782857/cover/782857.jpg", "Обложка")</f>
        <v>Обложка</v>
      </c>
      <c r="V4262" s="8" t="s">
        <v>3087</v>
      </c>
      <c r="W4262" s="6"/>
      <c r="X4262" s="6"/>
      <c r="Y4262" s="6"/>
      <c r="Z4262" s="6"/>
      <c r="AA4262" s="6" t="s">
        <v>99</v>
      </c>
      <c r="AB4262" s="8"/>
      <c r="AC4262" s="27">
        <v>9785948020884</v>
      </c>
    </row>
    <row r="4263" spans="1:29" s="4" customFormat="1" ht="42" customHeight="1" x14ac:dyDescent="0.2">
      <c r="A4263" s="5">
        <v>0</v>
      </c>
      <c r="B4263" s="6" t="s">
        <v>24725</v>
      </c>
      <c r="C4263" s="7">
        <v>2760</v>
      </c>
      <c r="D4263" s="8" t="s">
        <v>24726</v>
      </c>
      <c r="E4263" s="8" t="s">
        <v>24727</v>
      </c>
      <c r="F4263" s="8" t="s">
        <v>24705</v>
      </c>
      <c r="G4263" s="6" t="s">
        <v>24728</v>
      </c>
      <c r="H4263" s="6" t="s">
        <v>10998</v>
      </c>
      <c r="I4263" s="8" t="s">
        <v>24729</v>
      </c>
      <c r="J4263" s="9">
        <v>5</v>
      </c>
      <c r="K4263" s="9">
        <v>480</v>
      </c>
      <c r="L4263" s="9">
        <v>2019</v>
      </c>
      <c r="M4263" s="8" t="s">
        <v>24730</v>
      </c>
      <c r="N4263" s="8" t="s">
        <v>224</v>
      </c>
      <c r="O4263" s="8" t="s">
        <v>11000</v>
      </c>
      <c r="P4263" s="6" t="s">
        <v>10998</v>
      </c>
      <c r="Q4263" s="8" t="s">
        <v>13945</v>
      </c>
      <c r="R4263" s="10"/>
      <c r="S4263" s="11"/>
      <c r="T4263" s="6"/>
      <c r="U4263" s="15" t="str">
        <f>HYPERLINK("https://media.infra-m.ru/0922/0922663/cover/922663.jpg", "Обложка")</f>
        <v>Обложка</v>
      </c>
      <c r="V4263" s="8" t="s">
        <v>3087</v>
      </c>
      <c r="W4263" s="6"/>
      <c r="X4263" s="6"/>
      <c r="Y4263" s="6"/>
      <c r="Z4263" s="6"/>
      <c r="AA4263" s="6" t="s">
        <v>86</v>
      </c>
      <c r="AB4263" s="8"/>
      <c r="AC4263" s="27">
        <v>9785948021034</v>
      </c>
    </row>
    <row r="4264" spans="1:29" s="4" customFormat="1" ht="51.9" customHeight="1" x14ac:dyDescent="0.2">
      <c r="A4264" s="5">
        <v>0</v>
      </c>
      <c r="B4264" s="6" t="s">
        <v>24731</v>
      </c>
      <c r="C4264" s="13">
        <v>648</v>
      </c>
      <c r="D4264" s="8" t="s">
        <v>24732</v>
      </c>
      <c r="E4264" s="8" t="s">
        <v>24733</v>
      </c>
      <c r="F4264" s="8" t="s">
        <v>6770</v>
      </c>
      <c r="G4264" s="6" t="s">
        <v>33</v>
      </c>
      <c r="H4264" s="6" t="s">
        <v>34</v>
      </c>
      <c r="I4264" s="8"/>
      <c r="J4264" s="9">
        <v>1</v>
      </c>
      <c r="K4264" s="9">
        <v>62</v>
      </c>
      <c r="L4264" s="9">
        <v>2026</v>
      </c>
      <c r="M4264" s="8" t="s">
        <v>24734</v>
      </c>
      <c r="N4264" s="8" t="s">
        <v>37</v>
      </c>
      <c r="O4264" s="8" t="s">
        <v>136</v>
      </c>
      <c r="P4264" s="6" t="s">
        <v>12117</v>
      </c>
      <c r="Q4264" s="8" t="s">
        <v>40</v>
      </c>
      <c r="R4264" s="10" t="s">
        <v>24735</v>
      </c>
      <c r="S4264" s="11"/>
      <c r="T4264" s="6"/>
      <c r="U4264" s="15" t="str">
        <f>HYPERLINK("https://media.infra-m.ru/2232/2232544/cover/2232544.jpg", "Обложка")</f>
        <v>Обложка</v>
      </c>
      <c r="V4264" s="8"/>
      <c r="W4264" s="6"/>
      <c r="X4264" s="6"/>
      <c r="Y4264" s="6"/>
      <c r="Z4264" s="6"/>
      <c r="AA4264" s="6" t="s">
        <v>106</v>
      </c>
      <c r="AB4264" s="8"/>
      <c r="AC4264" s="27">
        <v>9785160199535</v>
      </c>
    </row>
    <row r="4265" spans="1:29" s="4" customFormat="1" ht="51.9" customHeight="1" x14ac:dyDescent="0.2">
      <c r="A4265" s="5">
        <v>0</v>
      </c>
      <c r="B4265" s="6" t="s">
        <v>24736</v>
      </c>
      <c r="C4265" s="13">
        <v>672</v>
      </c>
      <c r="D4265" s="8" t="s">
        <v>24737</v>
      </c>
      <c r="E4265" s="8" t="s">
        <v>24738</v>
      </c>
      <c r="F4265" s="8" t="s">
        <v>6770</v>
      </c>
      <c r="G4265" s="6" t="s">
        <v>33</v>
      </c>
      <c r="H4265" s="6" t="s">
        <v>34</v>
      </c>
      <c r="I4265" s="8"/>
      <c r="J4265" s="9">
        <v>1</v>
      </c>
      <c r="K4265" s="9">
        <v>62</v>
      </c>
      <c r="L4265" s="9">
        <v>2027</v>
      </c>
      <c r="M4265" s="8" t="s">
        <v>24739</v>
      </c>
      <c r="N4265" s="8" t="s">
        <v>37</v>
      </c>
      <c r="O4265" s="8" t="s">
        <v>136</v>
      </c>
      <c r="P4265" s="6" t="s">
        <v>12117</v>
      </c>
      <c r="Q4265" s="8" t="s">
        <v>40</v>
      </c>
      <c r="R4265" s="10" t="s">
        <v>24735</v>
      </c>
      <c r="S4265" s="11"/>
      <c r="T4265" s="6"/>
      <c r="U4265" s="15" t="str">
        <f>HYPERLINK("https://media.infra-m.ru/2271/2271254/cover/2271254.jpg", "Обложка")</f>
        <v>Обложка</v>
      </c>
      <c r="V4265" s="8"/>
      <c r="W4265" s="6"/>
      <c r="X4265" s="6"/>
      <c r="Y4265" s="6" t="s">
        <v>4466</v>
      </c>
      <c r="Z4265" s="6"/>
      <c r="AA4265" s="6" t="s">
        <v>24740</v>
      </c>
      <c r="AB4265" s="8"/>
      <c r="AC4265" s="27">
        <v>9785160225432</v>
      </c>
    </row>
    <row r="4266" spans="1:29" s="4" customFormat="1" ht="51.9" customHeight="1" x14ac:dyDescent="0.2">
      <c r="A4266" s="5">
        <v>0</v>
      </c>
      <c r="B4266" s="6" t="s">
        <v>24741</v>
      </c>
      <c r="C4266" s="13">
        <v>492</v>
      </c>
      <c r="D4266" s="8" t="s">
        <v>24742</v>
      </c>
      <c r="E4266" s="8" t="s">
        <v>24743</v>
      </c>
      <c r="F4266" s="8" t="s">
        <v>6770</v>
      </c>
      <c r="G4266" s="6" t="s">
        <v>33</v>
      </c>
      <c r="H4266" s="6" t="s">
        <v>34</v>
      </c>
      <c r="I4266" s="8" t="s">
        <v>6772</v>
      </c>
      <c r="J4266" s="9">
        <v>1</v>
      </c>
      <c r="K4266" s="9">
        <v>61</v>
      </c>
      <c r="L4266" s="9">
        <v>2024</v>
      </c>
      <c r="M4266" s="8" t="s">
        <v>24744</v>
      </c>
      <c r="N4266" s="8" t="s">
        <v>37</v>
      </c>
      <c r="O4266" s="8" t="s">
        <v>136</v>
      </c>
      <c r="P4266" s="6" t="s">
        <v>12117</v>
      </c>
      <c r="Q4266" s="8" t="s">
        <v>40</v>
      </c>
      <c r="R4266" s="10" t="s">
        <v>24735</v>
      </c>
      <c r="S4266" s="11"/>
      <c r="T4266" s="6"/>
      <c r="U4266" s="15" t="str">
        <f>HYPERLINK("https://media.infra-m.ru/2102/2102672/cover/2102672.jpg", "Обложка")</f>
        <v>Обложка</v>
      </c>
      <c r="V4266" s="8"/>
      <c r="W4266" s="6"/>
      <c r="X4266" s="6"/>
      <c r="Y4266" s="6"/>
      <c r="Z4266" s="6"/>
      <c r="AA4266" s="6" t="s">
        <v>148</v>
      </c>
      <c r="AB4266" s="8"/>
      <c r="AC4266" s="27">
        <v>9785160177588</v>
      </c>
    </row>
    <row r="4267" spans="1:29" s="4" customFormat="1" ht="42" customHeight="1" x14ac:dyDescent="0.2">
      <c r="A4267" s="5">
        <v>0</v>
      </c>
      <c r="B4267" s="6" t="s">
        <v>24745</v>
      </c>
      <c r="C4267" s="7">
        <v>1068</v>
      </c>
      <c r="D4267" s="8" t="s">
        <v>24746</v>
      </c>
      <c r="E4267" s="8" t="s">
        <v>24747</v>
      </c>
      <c r="F4267" s="8" t="s">
        <v>24748</v>
      </c>
      <c r="G4267" s="6" t="s">
        <v>33</v>
      </c>
      <c r="H4267" s="6" t="s">
        <v>34</v>
      </c>
      <c r="I4267" s="8" t="s">
        <v>35</v>
      </c>
      <c r="J4267" s="9">
        <v>1</v>
      </c>
      <c r="K4267" s="9">
        <v>191</v>
      </c>
      <c r="L4267" s="9">
        <v>2023</v>
      </c>
      <c r="M4267" s="8" t="s">
        <v>24749</v>
      </c>
      <c r="N4267" s="8" t="s">
        <v>37</v>
      </c>
      <c r="O4267" s="8" t="s">
        <v>83</v>
      </c>
      <c r="P4267" s="6" t="s">
        <v>39</v>
      </c>
      <c r="Q4267" s="8" t="s">
        <v>40</v>
      </c>
      <c r="R4267" s="10" t="s">
        <v>24750</v>
      </c>
      <c r="S4267" s="11"/>
      <c r="T4267" s="6"/>
      <c r="U4267" s="15" t="str">
        <f>HYPERLINK("https://media.infra-m.ru/1876/1876937/cover/1876937.jpg", "Обложка")</f>
        <v>Обложка</v>
      </c>
      <c r="V4267" s="8" t="s">
        <v>24751</v>
      </c>
      <c r="W4267" s="6"/>
      <c r="X4267" s="6"/>
      <c r="Y4267" s="6"/>
      <c r="Z4267" s="6"/>
      <c r="AA4267" s="6" t="s">
        <v>157</v>
      </c>
      <c r="AB4267" s="8"/>
      <c r="AC4267" s="27">
        <v>9785160178097</v>
      </c>
    </row>
    <row r="4268" spans="1:29" s="4" customFormat="1" ht="42" customHeight="1" x14ac:dyDescent="0.2">
      <c r="A4268" s="5">
        <v>0</v>
      </c>
      <c r="B4268" s="6" t="s">
        <v>24752</v>
      </c>
      <c r="C4268" s="7">
        <v>1248</v>
      </c>
      <c r="D4268" s="8" t="s">
        <v>24753</v>
      </c>
      <c r="E4268" s="8" t="s">
        <v>24754</v>
      </c>
      <c r="F4268" s="8" t="s">
        <v>24755</v>
      </c>
      <c r="G4268" s="6" t="s">
        <v>33</v>
      </c>
      <c r="H4268" s="6" t="s">
        <v>34</v>
      </c>
      <c r="I4268" s="8" t="s">
        <v>10444</v>
      </c>
      <c r="J4268" s="9">
        <v>1</v>
      </c>
      <c r="K4268" s="9">
        <v>189</v>
      </c>
      <c r="L4268" s="9">
        <v>2026</v>
      </c>
      <c r="M4268" s="8" t="s">
        <v>24756</v>
      </c>
      <c r="N4268" s="8" t="s">
        <v>37</v>
      </c>
      <c r="O4268" s="8" t="s">
        <v>136</v>
      </c>
      <c r="P4268" s="6" t="s">
        <v>39</v>
      </c>
      <c r="Q4268" s="8" t="s">
        <v>40</v>
      </c>
      <c r="R4268" s="10" t="s">
        <v>1625</v>
      </c>
      <c r="S4268" s="11"/>
      <c r="T4268" s="6"/>
      <c r="U4268" s="15" t="str">
        <f>HYPERLINK("https://media.infra-m.ru/2231/2231728/cover/2231728.jpg", "Обложка")</f>
        <v>Обложка</v>
      </c>
      <c r="V4268" s="8" t="s">
        <v>9937</v>
      </c>
      <c r="W4268" s="6"/>
      <c r="X4268" s="6"/>
      <c r="Y4268" s="6"/>
      <c r="Z4268" s="6"/>
      <c r="AA4268" s="6" t="s">
        <v>1007</v>
      </c>
      <c r="AB4268" s="8"/>
      <c r="AC4268" s="27">
        <v>9785160097404</v>
      </c>
    </row>
    <row r="4269" spans="1:29" s="4" customFormat="1" ht="51.9" customHeight="1" x14ac:dyDescent="0.2">
      <c r="A4269" s="5">
        <v>0</v>
      </c>
      <c r="B4269" s="6" t="s">
        <v>24757</v>
      </c>
      <c r="C4269" s="13">
        <v>773.9</v>
      </c>
      <c r="D4269" s="8" t="s">
        <v>24758</v>
      </c>
      <c r="E4269" s="8" t="s">
        <v>24759</v>
      </c>
      <c r="F4269" s="8" t="s">
        <v>6770</v>
      </c>
      <c r="G4269" s="6" t="s">
        <v>33</v>
      </c>
      <c r="H4269" s="6" t="s">
        <v>34</v>
      </c>
      <c r="I4269" s="8" t="s">
        <v>6772</v>
      </c>
      <c r="J4269" s="9">
        <v>1</v>
      </c>
      <c r="K4269" s="9">
        <v>142</v>
      </c>
      <c r="L4269" s="9">
        <v>2023</v>
      </c>
      <c r="M4269" s="8" t="s">
        <v>24760</v>
      </c>
      <c r="N4269" s="8" t="s">
        <v>37</v>
      </c>
      <c r="O4269" s="8" t="s">
        <v>136</v>
      </c>
      <c r="P4269" s="6" t="s">
        <v>6774</v>
      </c>
      <c r="Q4269" s="8" t="s">
        <v>40</v>
      </c>
      <c r="R4269" s="10" t="s">
        <v>10567</v>
      </c>
      <c r="S4269" s="11"/>
      <c r="T4269" s="6"/>
      <c r="U4269" s="15" t="str">
        <f>HYPERLINK("https://media.infra-m.ru/2117/2117568/cover/2117568.jpg", "Обложка")</f>
        <v>Обложка</v>
      </c>
      <c r="V4269" s="8"/>
      <c r="W4269" s="6"/>
      <c r="X4269" s="6"/>
      <c r="Y4269" s="6"/>
      <c r="Z4269" s="6"/>
      <c r="AA4269" s="6" t="s">
        <v>430</v>
      </c>
      <c r="AB4269" s="8"/>
      <c r="AC4269" s="27">
        <v>9785160171692</v>
      </c>
    </row>
    <row r="4270" spans="1:29" s="4" customFormat="1" ht="44.1" customHeight="1" x14ac:dyDescent="0.2">
      <c r="A4270" s="5">
        <v>0</v>
      </c>
      <c r="B4270" s="6" t="s">
        <v>24761</v>
      </c>
      <c r="C4270" s="13">
        <v>653.9</v>
      </c>
      <c r="D4270" s="8" t="s">
        <v>24762</v>
      </c>
      <c r="E4270" s="8" t="s">
        <v>24763</v>
      </c>
      <c r="F4270" s="8" t="s">
        <v>21853</v>
      </c>
      <c r="G4270" s="6" t="s">
        <v>60</v>
      </c>
      <c r="H4270" s="6" t="s">
        <v>134</v>
      </c>
      <c r="I4270" s="8"/>
      <c r="J4270" s="9">
        <v>24</v>
      </c>
      <c r="K4270" s="9">
        <v>160</v>
      </c>
      <c r="L4270" s="9">
        <v>2019</v>
      </c>
      <c r="M4270" s="8" t="s">
        <v>24764</v>
      </c>
      <c r="N4270" s="8" t="s">
        <v>37</v>
      </c>
      <c r="O4270" s="8" t="s">
        <v>136</v>
      </c>
      <c r="P4270" s="6" t="s">
        <v>39</v>
      </c>
      <c r="Q4270" s="8" t="s">
        <v>40</v>
      </c>
      <c r="R4270" s="10" t="s">
        <v>24701</v>
      </c>
      <c r="S4270" s="11"/>
      <c r="T4270" s="6"/>
      <c r="U4270" s="15" t="str">
        <f>HYPERLINK("https://media.infra-m.ru/0995/0995438/cover/995438.jpg", "Обложка")</f>
        <v>Обложка</v>
      </c>
      <c r="V4270" s="8" t="s">
        <v>1069</v>
      </c>
      <c r="W4270" s="6"/>
      <c r="X4270" s="6"/>
      <c r="Y4270" s="6"/>
      <c r="Z4270" s="6"/>
      <c r="AA4270" s="6" t="s">
        <v>779</v>
      </c>
      <c r="AB4270" s="8"/>
      <c r="AC4270" s="27">
        <v>9785917686844</v>
      </c>
    </row>
    <row r="4271" spans="1:29" s="4" customFormat="1" ht="42" customHeight="1" x14ac:dyDescent="0.2">
      <c r="A4271" s="5">
        <v>0</v>
      </c>
      <c r="B4271" s="6" t="s">
        <v>24765</v>
      </c>
      <c r="C4271" s="13">
        <v>600</v>
      </c>
      <c r="D4271" s="8" t="s">
        <v>24766</v>
      </c>
      <c r="E4271" s="8" t="s">
        <v>24767</v>
      </c>
      <c r="F4271" s="8" t="s">
        <v>6770</v>
      </c>
      <c r="G4271" s="6" t="s">
        <v>33</v>
      </c>
      <c r="H4271" s="6" t="s">
        <v>34</v>
      </c>
      <c r="I4271" s="8" t="s">
        <v>6772</v>
      </c>
      <c r="J4271" s="9">
        <v>1</v>
      </c>
      <c r="K4271" s="9">
        <v>124</v>
      </c>
      <c r="L4271" s="9">
        <v>2024</v>
      </c>
      <c r="M4271" s="8" t="s">
        <v>24768</v>
      </c>
      <c r="N4271" s="8" t="s">
        <v>37</v>
      </c>
      <c r="O4271" s="8" t="s">
        <v>136</v>
      </c>
      <c r="P4271" s="6" t="s">
        <v>14955</v>
      </c>
      <c r="Q4271" s="8" t="s">
        <v>40</v>
      </c>
      <c r="R4271" s="10" t="s">
        <v>9801</v>
      </c>
      <c r="S4271" s="11"/>
      <c r="T4271" s="6"/>
      <c r="U4271" s="15" t="str">
        <f>HYPERLINK("https://media.infra-m.ru/2116/2116705/cover/2116705.jpg", "Обложка")</f>
        <v>Обложка</v>
      </c>
      <c r="V4271" s="8"/>
      <c r="W4271" s="6"/>
      <c r="X4271" s="6"/>
      <c r="Y4271" s="6"/>
      <c r="Z4271" s="6"/>
      <c r="AA4271" s="6" t="s">
        <v>106</v>
      </c>
      <c r="AB4271" s="8"/>
      <c r="AC4271" s="27">
        <v>9785160202952</v>
      </c>
    </row>
    <row r="4272" spans="1:29" s="4" customFormat="1" ht="42" customHeight="1" x14ac:dyDescent="0.2">
      <c r="A4272" s="5">
        <v>0</v>
      </c>
      <c r="B4272" s="6" t="s">
        <v>24769</v>
      </c>
      <c r="C4272" s="13">
        <v>408</v>
      </c>
      <c r="D4272" s="8" t="s">
        <v>24770</v>
      </c>
      <c r="E4272" s="8" t="s">
        <v>24771</v>
      </c>
      <c r="F4272" s="8" t="s">
        <v>6770</v>
      </c>
      <c r="G4272" s="6" t="s">
        <v>33</v>
      </c>
      <c r="H4272" s="6" t="s">
        <v>34</v>
      </c>
      <c r="I4272" s="8" t="s">
        <v>6772</v>
      </c>
      <c r="J4272" s="9">
        <v>1</v>
      </c>
      <c r="K4272" s="9">
        <v>115</v>
      </c>
      <c r="L4272" s="9">
        <v>2022</v>
      </c>
      <c r="M4272" s="8" t="s">
        <v>24772</v>
      </c>
      <c r="N4272" s="8" t="s">
        <v>37</v>
      </c>
      <c r="O4272" s="8" t="s">
        <v>136</v>
      </c>
      <c r="P4272" s="6" t="s">
        <v>14955</v>
      </c>
      <c r="Q4272" s="8" t="s">
        <v>40</v>
      </c>
      <c r="R4272" s="10" t="s">
        <v>9801</v>
      </c>
      <c r="S4272" s="11"/>
      <c r="T4272" s="6"/>
      <c r="U4272" s="15" t="str">
        <f>HYPERLINK("https://media.infra-m.ru/1898/1898210/cover/1898210.jpg", "Обложка")</f>
        <v>Обложка</v>
      </c>
      <c r="V4272" s="8"/>
      <c r="W4272" s="6"/>
      <c r="X4272" s="6"/>
      <c r="Y4272" s="6"/>
      <c r="Z4272" s="6"/>
      <c r="AA4272" s="6" t="s">
        <v>148</v>
      </c>
      <c r="AB4272" s="8"/>
      <c r="AC4272" s="27">
        <v>9785160179278</v>
      </c>
    </row>
    <row r="4273" spans="1:29" s="4" customFormat="1" ht="42" customHeight="1" x14ac:dyDescent="0.2">
      <c r="A4273" s="5">
        <v>0</v>
      </c>
      <c r="B4273" s="6" t="s">
        <v>24773</v>
      </c>
      <c r="C4273" s="13">
        <v>792</v>
      </c>
      <c r="D4273" s="8" t="s">
        <v>24774</v>
      </c>
      <c r="E4273" s="8" t="s">
        <v>24775</v>
      </c>
      <c r="F4273" s="8" t="s">
        <v>6770</v>
      </c>
      <c r="G4273" s="6" t="s">
        <v>33</v>
      </c>
      <c r="H4273" s="6" t="s">
        <v>34</v>
      </c>
      <c r="I4273" s="8" t="s">
        <v>6772</v>
      </c>
      <c r="J4273" s="9">
        <v>1</v>
      </c>
      <c r="K4273" s="9">
        <v>130</v>
      </c>
      <c r="L4273" s="9">
        <v>2025</v>
      </c>
      <c r="M4273" s="8" t="s">
        <v>24776</v>
      </c>
      <c r="N4273" s="8" t="s">
        <v>37</v>
      </c>
      <c r="O4273" s="8" t="s">
        <v>136</v>
      </c>
      <c r="P4273" s="6" t="s">
        <v>14955</v>
      </c>
      <c r="Q4273" s="8" t="s">
        <v>40</v>
      </c>
      <c r="R4273" s="10" t="s">
        <v>9801</v>
      </c>
      <c r="S4273" s="11"/>
      <c r="T4273" s="6"/>
      <c r="U4273" s="15" t="str">
        <f>HYPERLINK("https://media.infra-m.ru/2200/2200921/cover/2200921.jpg", "Обложка")</f>
        <v>Обложка</v>
      </c>
      <c r="V4273" s="8"/>
      <c r="W4273" s="6"/>
      <c r="X4273" s="6"/>
      <c r="Y4273" s="6"/>
      <c r="Z4273" s="6"/>
      <c r="AA4273" s="6" t="s">
        <v>1295</v>
      </c>
      <c r="AB4273" s="8"/>
      <c r="AC4273" s="27">
        <v>9785160208725</v>
      </c>
    </row>
    <row r="4274" spans="1:29" s="4" customFormat="1" ht="42" customHeight="1" x14ac:dyDescent="0.2">
      <c r="A4274" s="5">
        <v>0</v>
      </c>
      <c r="B4274" s="6" t="s">
        <v>24777</v>
      </c>
      <c r="C4274" s="13">
        <v>864</v>
      </c>
      <c r="D4274" s="8" t="s">
        <v>24778</v>
      </c>
      <c r="E4274" s="8" t="s">
        <v>24779</v>
      </c>
      <c r="F4274" s="8" t="s">
        <v>6770</v>
      </c>
      <c r="G4274" s="6" t="s">
        <v>33</v>
      </c>
      <c r="H4274" s="6" t="s">
        <v>34</v>
      </c>
      <c r="I4274" s="8" t="s">
        <v>6772</v>
      </c>
      <c r="J4274" s="9">
        <v>1</v>
      </c>
      <c r="K4274" s="9">
        <v>132</v>
      </c>
      <c r="L4274" s="9">
        <v>2026</v>
      </c>
      <c r="M4274" s="8" t="s">
        <v>24780</v>
      </c>
      <c r="N4274" s="8" t="s">
        <v>37</v>
      </c>
      <c r="O4274" s="8" t="s">
        <v>136</v>
      </c>
      <c r="P4274" s="6" t="s">
        <v>14955</v>
      </c>
      <c r="Q4274" s="8" t="s">
        <v>40</v>
      </c>
      <c r="R4274" s="10" t="s">
        <v>9801</v>
      </c>
      <c r="S4274" s="11"/>
      <c r="T4274" s="6"/>
      <c r="U4274" s="15" t="str">
        <f>HYPERLINK("https://media.infra-m.ru/2243/2243445/cover/2243445.jpg", "Обложка")</f>
        <v>Обложка</v>
      </c>
      <c r="V4274" s="8"/>
      <c r="W4274" s="6" t="s">
        <v>299</v>
      </c>
      <c r="X4274" s="6"/>
      <c r="Y4274" s="6"/>
      <c r="Z4274" s="6"/>
      <c r="AA4274" s="6" t="s">
        <v>1323</v>
      </c>
      <c r="AB4274" s="8"/>
      <c r="AC4274" s="27">
        <v>9785160219745</v>
      </c>
    </row>
    <row r="4275" spans="1:29" s="4" customFormat="1" ht="51.9" customHeight="1" x14ac:dyDescent="0.2">
      <c r="A4275" s="5">
        <v>0</v>
      </c>
      <c r="B4275" s="6" t="s">
        <v>24781</v>
      </c>
      <c r="C4275" s="7">
        <v>3336</v>
      </c>
      <c r="D4275" s="8" t="s">
        <v>24782</v>
      </c>
      <c r="E4275" s="8" t="s">
        <v>24783</v>
      </c>
      <c r="F4275" s="8" t="s">
        <v>24784</v>
      </c>
      <c r="G4275" s="6" t="s">
        <v>33</v>
      </c>
      <c r="H4275" s="6" t="s">
        <v>820</v>
      </c>
      <c r="I4275" s="8"/>
      <c r="J4275" s="9">
        <v>1</v>
      </c>
      <c r="K4275" s="9">
        <v>556</v>
      </c>
      <c r="L4275" s="9">
        <v>2025</v>
      </c>
      <c r="M4275" s="8" t="s">
        <v>24785</v>
      </c>
      <c r="N4275" s="8" t="s">
        <v>585</v>
      </c>
      <c r="O4275" s="8" t="s">
        <v>1518</v>
      </c>
      <c r="P4275" s="6" t="s">
        <v>306</v>
      </c>
      <c r="Q4275" s="8" t="s">
        <v>65</v>
      </c>
      <c r="R4275" s="10" t="s">
        <v>24786</v>
      </c>
      <c r="S4275" s="11"/>
      <c r="T4275" s="6"/>
      <c r="U4275" s="15" t="str">
        <f>HYPERLINK("https://media.infra-m.ru/2168/2168867/cover/2168867.jpg", "Обложка")</f>
        <v>Обложка</v>
      </c>
      <c r="V4275" s="8" t="s">
        <v>54</v>
      </c>
      <c r="W4275" s="6"/>
      <c r="X4275" s="6"/>
      <c r="Y4275" s="6"/>
      <c r="Z4275" s="6"/>
      <c r="AA4275" s="6" t="s">
        <v>248</v>
      </c>
      <c r="AB4275" s="8"/>
      <c r="AC4275" s="27">
        <v>9785905554407</v>
      </c>
    </row>
    <row r="4276" spans="1:29" s="4" customFormat="1" ht="42" customHeight="1" x14ac:dyDescent="0.2">
      <c r="A4276" s="5">
        <v>0</v>
      </c>
      <c r="B4276" s="6" t="s">
        <v>24787</v>
      </c>
      <c r="C4276" s="13">
        <v>360</v>
      </c>
      <c r="D4276" s="8" t="s">
        <v>24788</v>
      </c>
      <c r="E4276" s="8" t="s">
        <v>24789</v>
      </c>
      <c r="F4276" s="8" t="s">
        <v>6770</v>
      </c>
      <c r="G4276" s="6" t="s">
        <v>6771</v>
      </c>
      <c r="H4276" s="6" t="s">
        <v>34</v>
      </c>
      <c r="I4276" s="8"/>
      <c r="J4276" s="9">
        <v>1</v>
      </c>
      <c r="K4276" s="9">
        <v>60</v>
      </c>
      <c r="L4276" s="9">
        <v>2022</v>
      </c>
      <c r="M4276" s="8" t="s">
        <v>24790</v>
      </c>
      <c r="N4276" s="8" t="s">
        <v>37</v>
      </c>
      <c r="O4276" s="8" t="s">
        <v>136</v>
      </c>
      <c r="P4276" s="6" t="s">
        <v>6774</v>
      </c>
      <c r="Q4276" s="8" t="s">
        <v>40</v>
      </c>
      <c r="R4276" s="10" t="s">
        <v>24791</v>
      </c>
      <c r="S4276" s="11"/>
      <c r="T4276" s="6"/>
      <c r="U4276" s="15" t="str">
        <f>HYPERLINK("https://media.infra-m.ru/1850/1850144/cover/1850144.jpg", "Обложка")</f>
        <v>Обложка</v>
      </c>
      <c r="V4276" s="8"/>
      <c r="W4276" s="6"/>
      <c r="X4276" s="6"/>
      <c r="Y4276" s="6"/>
      <c r="Z4276" s="6"/>
      <c r="AA4276" s="6" t="s">
        <v>1256</v>
      </c>
      <c r="AB4276" s="8"/>
      <c r="AC4276" s="27">
        <v>9785160164816</v>
      </c>
    </row>
    <row r="4277" spans="1:29" s="4" customFormat="1" ht="42" customHeight="1" x14ac:dyDescent="0.2">
      <c r="A4277" s="5">
        <v>0</v>
      </c>
      <c r="B4277" s="6" t="s">
        <v>24792</v>
      </c>
      <c r="C4277" s="13">
        <v>276</v>
      </c>
      <c r="D4277" s="8" t="s">
        <v>24793</v>
      </c>
      <c r="E4277" s="8" t="s">
        <v>24794</v>
      </c>
      <c r="F4277" s="8" t="s">
        <v>6770</v>
      </c>
      <c r="G4277" s="6" t="s">
        <v>6771</v>
      </c>
      <c r="H4277" s="6" t="s">
        <v>34</v>
      </c>
      <c r="I4277" s="8"/>
      <c r="J4277" s="9">
        <v>1</v>
      </c>
      <c r="K4277" s="9">
        <v>40</v>
      </c>
      <c r="L4277" s="9">
        <v>2022</v>
      </c>
      <c r="M4277" s="8" t="s">
        <v>24795</v>
      </c>
      <c r="N4277" s="8" t="s">
        <v>37</v>
      </c>
      <c r="O4277" s="8" t="s">
        <v>136</v>
      </c>
      <c r="P4277" s="6" t="s">
        <v>6774</v>
      </c>
      <c r="Q4277" s="8" t="s">
        <v>40</v>
      </c>
      <c r="R4277" s="10" t="s">
        <v>24791</v>
      </c>
      <c r="S4277" s="11"/>
      <c r="T4277" s="6"/>
      <c r="U4277" s="15" t="str">
        <f>HYPERLINK("https://media.infra-m.ru/1850/1850145/cover/1850145.jpg", "Обложка")</f>
        <v>Обложка</v>
      </c>
      <c r="V4277" s="8"/>
      <c r="W4277" s="6"/>
      <c r="X4277" s="6"/>
      <c r="Y4277" s="6"/>
      <c r="Z4277" s="6"/>
      <c r="AA4277" s="6" t="s">
        <v>1256</v>
      </c>
      <c r="AB4277" s="8"/>
      <c r="AC4277" s="27">
        <v>9785160164823</v>
      </c>
    </row>
    <row r="4278" spans="1:29" s="4" customFormat="1" ht="51.9" customHeight="1" x14ac:dyDescent="0.2">
      <c r="A4278" s="5">
        <v>0</v>
      </c>
      <c r="B4278" s="6" t="s">
        <v>24796</v>
      </c>
      <c r="C4278" s="13">
        <v>156</v>
      </c>
      <c r="D4278" s="8" t="s">
        <v>24797</v>
      </c>
      <c r="E4278" s="8" t="s">
        <v>24798</v>
      </c>
      <c r="F4278" s="8" t="s">
        <v>6770</v>
      </c>
      <c r="G4278" s="6" t="s">
        <v>6771</v>
      </c>
      <c r="H4278" s="6" t="s">
        <v>34</v>
      </c>
      <c r="I4278" s="8"/>
      <c r="J4278" s="9">
        <v>1</v>
      </c>
      <c r="K4278" s="9">
        <v>16</v>
      </c>
      <c r="L4278" s="9">
        <v>2021</v>
      </c>
      <c r="M4278" s="8" t="s">
        <v>24799</v>
      </c>
      <c r="N4278" s="8" t="s">
        <v>37</v>
      </c>
      <c r="O4278" s="8" t="s">
        <v>136</v>
      </c>
      <c r="P4278" s="6" t="s">
        <v>6774</v>
      </c>
      <c r="Q4278" s="8" t="s">
        <v>40</v>
      </c>
      <c r="R4278" s="10" t="s">
        <v>24800</v>
      </c>
      <c r="S4278" s="11"/>
      <c r="T4278" s="6"/>
      <c r="U4278" s="15" t="str">
        <f>HYPERLINK("https://media.infra-m.ru/1245/1245961/cover/1245961.jpg", "Обложка")</f>
        <v>Обложка</v>
      </c>
      <c r="V4278" s="8"/>
      <c r="W4278" s="6"/>
      <c r="X4278" s="6"/>
      <c r="Y4278" s="6"/>
      <c r="Z4278" s="6"/>
      <c r="AA4278" s="6" t="s">
        <v>430</v>
      </c>
      <c r="AB4278" s="8"/>
      <c r="AC4278" s="27">
        <v>9785160168500</v>
      </c>
    </row>
    <row r="4279" spans="1:29" s="4" customFormat="1" ht="51.9" customHeight="1" x14ac:dyDescent="0.2">
      <c r="A4279" s="5">
        <v>0</v>
      </c>
      <c r="B4279" s="6" t="s">
        <v>24801</v>
      </c>
      <c r="C4279" s="13">
        <v>300</v>
      </c>
      <c r="D4279" s="8" t="s">
        <v>24802</v>
      </c>
      <c r="E4279" s="8" t="s">
        <v>24803</v>
      </c>
      <c r="F4279" s="8" t="s">
        <v>6770</v>
      </c>
      <c r="G4279" s="6" t="s">
        <v>33</v>
      </c>
      <c r="H4279" s="6" t="s">
        <v>34</v>
      </c>
      <c r="I4279" s="8" t="s">
        <v>6772</v>
      </c>
      <c r="J4279" s="9">
        <v>1</v>
      </c>
      <c r="K4279" s="9">
        <v>48</v>
      </c>
      <c r="L4279" s="9">
        <v>2021</v>
      </c>
      <c r="M4279" s="8" t="s">
        <v>24804</v>
      </c>
      <c r="N4279" s="8" t="s">
        <v>37</v>
      </c>
      <c r="O4279" s="8" t="s">
        <v>136</v>
      </c>
      <c r="P4279" s="6" t="s">
        <v>6774</v>
      </c>
      <c r="Q4279" s="8" t="s">
        <v>40</v>
      </c>
      <c r="R4279" s="10" t="s">
        <v>24805</v>
      </c>
      <c r="S4279" s="11"/>
      <c r="T4279" s="6"/>
      <c r="U4279" s="15" t="str">
        <f>HYPERLINK("https://media.infra-m.ru/1817/1817300/cover/1817300.jpg", "Обложка")</f>
        <v>Обложка</v>
      </c>
      <c r="V4279" s="8"/>
      <c r="W4279" s="6"/>
      <c r="X4279" s="6"/>
      <c r="Y4279" s="6"/>
      <c r="Z4279" s="6"/>
      <c r="AA4279" s="6" t="s">
        <v>430</v>
      </c>
      <c r="AB4279" s="8"/>
      <c r="AC4279" s="27">
        <v>9785160171708</v>
      </c>
    </row>
    <row r="4280" spans="1:29" s="4" customFormat="1" ht="51.9" customHeight="1" x14ac:dyDescent="0.2">
      <c r="A4280" s="5">
        <v>0</v>
      </c>
      <c r="B4280" s="6" t="s">
        <v>24806</v>
      </c>
      <c r="C4280" s="13">
        <v>950.3</v>
      </c>
      <c r="D4280" s="8" t="s">
        <v>24807</v>
      </c>
      <c r="E4280" s="8" t="s">
        <v>24808</v>
      </c>
      <c r="F4280" s="8" t="s">
        <v>24809</v>
      </c>
      <c r="G4280" s="6" t="s">
        <v>60</v>
      </c>
      <c r="H4280" s="6" t="s">
        <v>134</v>
      </c>
      <c r="I4280" s="8"/>
      <c r="J4280" s="9">
        <v>1</v>
      </c>
      <c r="K4280" s="9">
        <v>320</v>
      </c>
      <c r="L4280" s="9">
        <v>2018</v>
      </c>
      <c r="M4280" s="8" t="s">
        <v>24810</v>
      </c>
      <c r="N4280" s="8" t="s">
        <v>37</v>
      </c>
      <c r="O4280" s="8" t="s">
        <v>136</v>
      </c>
      <c r="P4280" s="6" t="s">
        <v>7146</v>
      </c>
      <c r="Q4280" s="8" t="s">
        <v>40</v>
      </c>
      <c r="R4280" s="10" t="s">
        <v>24811</v>
      </c>
      <c r="S4280" s="11"/>
      <c r="T4280" s="6"/>
      <c r="U4280" s="15" t="str">
        <f>HYPERLINK("https://media.infra-m.ru/0966/0966502/cover/966502.jpg", "Обложка")</f>
        <v>Обложка</v>
      </c>
      <c r="V4280" s="8" t="s">
        <v>24812</v>
      </c>
      <c r="W4280" s="6"/>
      <c r="X4280" s="6"/>
      <c r="Y4280" s="6"/>
      <c r="Z4280" s="6"/>
      <c r="AA4280" s="6" t="s">
        <v>274</v>
      </c>
      <c r="AB4280" s="8"/>
      <c r="AC4280" s="27">
        <v>9785917686202</v>
      </c>
    </row>
    <row r="4281" spans="1:29" s="4" customFormat="1" ht="42" customHeight="1" x14ac:dyDescent="0.2">
      <c r="A4281" s="5">
        <v>0</v>
      </c>
      <c r="B4281" s="6" t="s">
        <v>24813</v>
      </c>
      <c r="C4281" s="7">
        <v>2704.8</v>
      </c>
      <c r="D4281" s="8" t="s">
        <v>24814</v>
      </c>
      <c r="E4281" s="8" t="s">
        <v>24815</v>
      </c>
      <c r="F4281" s="8" t="s">
        <v>4386</v>
      </c>
      <c r="G4281" s="6" t="s">
        <v>60</v>
      </c>
      <c r="H4281" s="6" t="s">
        <v>48</v>
      </c>
      <c r="I4281" s="8" t="s">
        <v>253</v>
      </c>
      <c r="J4281" s="9">
        <v>1</v>
      </c>
      <c r="K4281" s="9">
        <v>432</v>
      </c>
      <c r="L4281" s="9">
        <v>2026</v>
      </c>
      <c r="M4281" s="8" t="s">
        <v>24816</v>
      </c>
      <c r="N4281" s="8" t="s">
        <v>37</v>
      </c>
      <c r="O4281" s="8" t="s">
        <v>50</v>
      </c>
      <c r="P4281" s="6" t="s">
        <v>51</v>
      </c>
      <c r="Q4281" s="8" t="s">
        <v>52</v>
      </c>
      <c r="R4281" s="10" t="s">
        <v>4382</v>
      </c>
      <c r="S4281" s="11"/>
      <c r="T4281" s="6"/>
      <c r="U4281" s="15" t="str">
        <f>HYPERLINK("https://media.infra-m.ru/2211/2211924/cover/2211924.jpg", "Обложка")</f>
        <v>Обложка</v>
      </c>
      <c r="V4281" s="8" t="s">
        <v>4389</v>
      </c>
      <c r="W4281" s="6"/>
      <c r="X4281" s="6"/>
      <c r="Y4281" s="6"/>
      <c r="Z4281" s="6"/>
      <c r="AA4281" s="6" t="s">
        <v>43</v>
      </c>
      <c r="AB4281" s="8"/>
      <c r="AC4281" s="27">
        <v>9785911345686</v>
      </c>
    </row>
    <row r="4282" spans="1:29" s="4" customFormat="1" ht="51.9" customHeight="1" x14ac:dyDescent="0.2">
      <c r="A4282" s="5">
        <v>0</v>
      </c>
      <c r="B4282" s="6" t="s">
        <v>24817</v>
      </c>
      <c r="C4282" s="7">
        <v>1480.8</v>
      </c>
      <c r="D4282" s="8" t="s">
        <v>24818</v>
      </c>
      <c r="E4282" s="8" t="s">
        <v>24819</v>
      </c>
      <c r="F4282" s="8" t="s">
        <v>4141</v>
      </c>
      <c r="G4282" s="6" t="s">
        <v>118</v>
      </c>
      <c r="H4282" s="6" t="s">
        <v>313</v>
      </c>
      <c r="I4282" s="8" t="s">
        <v>401</v>
      </c>
      <c r="J4282" s="9">
        <v>1</v>
      </c>
      <c r="K4282" s="9">
        <v>224</v>
      </c>
      <c r="L4282" s="9">
        <v>2026</v>
      </c>
      <c r="M4282" s="8" t="s">
        <v>24820</v>
      </c>
      <c r="N4282" s="8" t="s">
        <v>37</v>
      </c>
      <c r="O4282" s="8" t="s">
        <v>290</v>
      </c>
      <c r="P4282" s="6" t="s">
        <v>306</v>
      </c>
      <c r="Q4282" s="8" t="s">
        <v>265</v>
      </c>
      <c r="R4282" s="10" t="s">
        <v>24821</v>
      </c>
      <c r="S4282" s="11" t="s">
        <v>24822</v>
      </c>
      <c r="T4282" s="6"/>
      <c r="U4282" s="15" t="str">
        <f>HYPERLINK("https://media.infra-m.ru/2186/2186168/cover/2186168.jpg", "Обложка")</f>
        <v>Обложка</v>
      </c>
      <c r="V4282" s="8" t="s">
        <v>801</v>
      </c>
      <c r="W4282" s="6"/>
      <c r="X4282" s="6" t="s">
        <v>24</v>
      </c>
      <c r="Y4282" s="6"/>
      <c r="Z4282" s="6"/>
      <c r="AA4282" s="6" t="s">
        <v>2240</v>
      </c>
      <c r="AB4282" s="8"/>
      <c r="AC4282" s="27">
        <v>9785369017845</v>
      </c>
    </row>
    <row r="4283" spans="1:29" s="4" customFormat="1" ht="51.9" customHeight="1" x14ac:dyDescent="0.2">
      <c r="A4283" s="5">
        <v>0</v>
      </c>
      <c r="B4283" s="6" t="s">
        <v>24823</v>
      </c>
      <c r="C4283" s="7">
        <v>1380</v>
      </c>
      <c r="D4283" s="8" t="s">
        <v>24824</v>
      </c>
      <c r="E4283" s="8" t="s">
        <v>24825</v>
      </c>
      <c r="F4283" s="8" t="s">
        <v>24826</v>
      </c>
      <c r="G4283" s="6" t="s">
        <v>60</v>
      </c>
      <c r="H4283" s="6" t="s">
        <v>34</v>
      </c>
      <c r="I4283" s="8" t="s">
        <v>253</v>
      </c>
      <c r="J4283" s="9">
        <v>1</v>
      </c>
      <c r="K4283" s="9">
        <v>197</v>
      </c>
      <c r="L4283" s="9">
        <v>2026</v>
      </c>
      <c r="M4283" s="8" t="s">
        <v>24827</v>
      </c>
      <c r="N4283" s="8" t="s">
        <v>37</v>
      </c>
      <c r="O4283" s="8" t="s">
        <v>136</v>
      </c>
      <c r="P4283" s="6" t="s">
        <v>51</v>
      </c>
      <c r="Q4283" s="8" t="s">
        <v>65</v>
      </c>
      <c r="R4283" s="10" t="s">
        <v>24828</v>
      </c>
      <c r="S4283" s="11"/>
      <c r="T4283" s="6"/>
      <c r="U4283" s="15" t="str">
        <f>HYPERLINK("https://media.infra-m.ru/2211/2211136/cover/2211136.jpg", "Обложка")</f>
        <v>Обложка</v>
      </c>
      <c r="V4283" s="8" t="s">
        <v>292</v>
      </c>
      <c r="W4283" s="6" t="s">
        <v>186</v>
      </c>
      <c r="X4283" s="6"/>
      <c r="Y4283" s="6"/>
      <c r="Z4283" s="6"/>
      <c r="AA4283" s="6" t="s">
        <v>187</v>
      </c>
      <c r="AB4283" s="8"/>
      <c r="AC4283" s="27">
        <v>9785160210247</v>
      </c>
    </row>
    <row r="4284" spans="1:29" s="4" customFormat="1" ht="42" customHeight="1" x14ac:dyDescent="0.2">
      <c r="A4284" s="5">
        <v>0</v>
      </c>
      <c r="B4284" s="6" t="s">
        <v>24829</v>
      </c>
      <c r="C4284" s="7">
        <v>2268</v>
      </c>
      <c r="D4284" s="8" t="s">
        <v>24830</v>
      </c>
      <c r="E4284" s="8" t="s">
        <v>24831</v>
      </c>
      <c r="F4284" s="8" t="s">
        <v>24832</v>
      </c>
      <c r="G4284" s="6" t="s">
        <v>118</v>
      </c>
      <c r="H4284" s="6" t="s">
        <v>34</v>
      </c>
      <c r="I4284" s="8" t="s">
        <v>263</v>
      </c>
      <c r="J4284" s="9">
        <v>1</v>
      </c>
      <c r="K4284" s="9">
        <v>332</v>
      </c>
      <c r="L4284" s="9">
        <v>2026</v>
      </c>
      <c r="M4284" s="8" t="s">
        <v>24833</v>
      </c>
      <c r="N4284" s="8" t="s">
        <v>243</v>
      </c>
      <c r="O4284" s="8" t="s">
        <v>385</v>
      </c>
      <c r="P4284" s="6" t="s">
        <v>51</v>
      </c>
      <c r="Q4284" s="8" t="s">
        <v>265</v>
      </c>
      <c r="R4284" s="10" t="s">
        <v>24834</v>
      </c>
      <c r="S4284" s="11"/>
      <c r="T4284" s="6"/>
      <c r="U4284" s="15" t="str">
        <f>HYPERLINK("https://media.infra-m.ru/2232/2232552/cover/2232552.jpg", "Обложка")</f>
        <v>Обложка</v>
      </c>
      <c r="V4284" s="8" t="s">
        <v>24835</v>
      </c>
      <c r="W4284" s="6"/>
      <c r="X4284" s="6"/>
      <c r="Y4284" s="6"/>
      <c r="Z4284" s="6"/>
      <c r="AA4284" s="6" t="s">
        <v>68</v>
      </c>
      <c r="AB4284" s="8" t="s">
        <v>437</v>
      </c>
      <c r="AC4284" s="27">
        <v>9785160200873</v>
      </c>
    </row>
    <row r="4285" spans="1:29" s="4" customFormat="1" ht="51.9" customHeight="1" x14ac:dyDescent="0.2">
      <c r="A4285" s="5">
        <v>0</v>
      </c>
      <c r="B4285" s="6" t="s">
        <v>24836</v>
      </c>
      <c r="C4285" s="7">
        <v>1133.9000000000001</v>
      </c>
      <c r="D4285" s="8" t="s">
        <v>24837</v>
      </c>
      <c r="E4285" s="8" t="s">
        <v>24838</v>
      </c>
      <c r="F4285" s="8" t="s">
        <v>4141</v>
      </c>
      <c r="G4285" s="6" t="s">
        <v>60</v>
      </c>
      <c r="H4285" s="6" t="s">
        <v>313</v>
      </c>
      <c r="I4285" s="8" t="s">
        <v>401</v>
      </c>
      <c r="J4285" s="9">
        <v>1</v>
      </c>
      <c r="K4285" s="9">
        <v>325</v>
      </c>
      <c r="L4285" s="9">
        <v>2018</v>
      </c>
      <c r="M4285" s="8" t="s">
        <v>24839</v>
      </c>
      <c r="N4285" s="8" t="s">
        <v>37</v>
      </c>
      <c r="O4285" s="8" t="s">
        <v>290</v>
      </c>
      <c r="P4285" s="6" t="s">
        <v>306</v>
      </c>
      <c r="Q4285" s="8" t="s">
        <v>265</v>
      </c>
      <c r="R4285" s="10" t="s">
        <v>24821</v>
      </c>
      <c r="S4285" s="11" t="s">
        <v>24822</v>
      </c>
      <c r="T4285" s="6"/>
      <c r="U4285" s="15" t="str">
        <f>HYPERLINK("https://media.infra-m.ru/0958/0958539/cover/958539.jpg", "Обложка")</f>
        <v>Обложка</v>
      </c>
      <c r="V4285" s="8" t="s">
        <v>801</v>
      </c>
      <c r="W4285" s="6"/>
      <c r="X4285" s="6" t="s">
        <v>24</v>
      </c>
      <c r="Y4285" s="6"/>
      <c r="Z4285" s="6"/>
      <c r="AA4285" s="6" t="s">
        <v>248</v>
      </c>
      <c r="AB4285" s="8"/>
      <c r="AC4285" s="27">
        <v>9785369012338</v>
      </c>
    </row>
    <row r="4286" spans="1:29" s="4" customFormat="1" ht="42" customHeight="1" x14ac:dyDescent="0.2">
      <c r="A4286" s="5">
        <v>0</v>
      </c>
      <c r="B4286" s="6" t="s">
        <v>24840</v>
      </c>
      <c r="C4286" s="7">
        <v>1692</v>
      </c>
      <c r="D4286" s="8" t="s">
        <v>24841</v>
      </c>
      <c r="E4286" s="8" t="s">
        <v>24842</v>
      </c>
      <c r="F4286" s="8" t="s">
        <v>24843</v>
      </c>
      <c r="G4286" s="6" t="s">
        <v>60</v>
      </c>
      <c r="H4286" s="6" t="s">
        <v>34</v>
      </c>
      <c r="I4286" s="8" t="s">
        <v>263</v>
      </c>
      <c r="J4286" s="9">
        <v>1</v>
      </c>
      <c r="K4286" s="9">
        <v>246</v>
      </c>
      <c r="L4286" s="9">
        <v>2026</v>
      </c>
      <c r="M4286" s="8" t="s">
        <v>24844</v>
      </c>
      <c r="N4286" s="8" t="s">
        <v>243</v>
      </c>
      <c r="O4286" s="8" t="s">
        <v>964</v>
      </c>
      <c r="P4286" s="6" t="s">
        <v>306</v>
      </c>
      <c r="Q4286" s="8" t="s">
        <v>265</v>
      </c>
      <c r="R4286" s="10" t="s">
        <v>19618</v>
      </c>
      <c r="S4286" s="11"/>
      <c r="T4286" s="6"/>
      <c r="U4286" s="15" t="str">
        <f>HYPERLINK("https://media.infra-m.ru/2232/2232110/cover/2232110.jpg", "Обложка")</f>
        <v>Обложка</v>
      </c>
      <c r="V4286" s="8" t="s">
        <v>227</v>
      </c>
      <c r="W4286" s="6" t="s">
        <v>351</v>
      </c>
      <c r="X4286" s="6"/>
      <c r="Y4286" s="6"/>
      <c r="Z4286" s="6"/>
      <c r="AA4286" s="6" t="s">
        <v>187</v>
      </c>
      <c r="AB4286" s="8" t="s">
        <v>24845</v>
      </c>
      <c r="AC4286" s="27">
        <v>9785160216034</v>
      </c>
    </row>
    <row r="4287" spans="1:29" s="4" customFormat="1" ht="42" customHeight="1" x14ac:dyDescent="0.2">
      <c r="A4287" s="5">
        <v>0</v>
      </c>
      <c r="B4287" s="6" t="s">
        <v>24846</v>
      </c>
      <c r="C4287" s="7">
        <v>1032</v>
      </c>
      <c r="D4287" s="8" t="s">
        <v>24847</v>
      </c>
      <c r="E4287" s="8" t="s">
        <v>24848</v>
      </c>
      <c r="F4287" s="8" t="s">
        <v>24849</v>
      </c>
      <c r="G4287" s="6" t="s">
        <v>33</v>
      </c>
      <c r="H4287" s="6" t="s">
        <v>34</v>
      </c>
      <c r="I4287" s="8" t="s">
        <v>35</v>
      </c>
      <c r="J4287" s="9">
        <v>1</v>
      </c>
      <c r="K4287" s="9">
        <v>155</v>
      </c>
      <c r="L4287" s="9">
        <v>2026</v>
      </c>
      <c r="M4287" s="8" t="s">
        <v>24850</v>
      </c>
      <c r="N4287" s="8" t="s">
        <v>243</v>
      </c>
      <c r="O4287" s="8" t="s">
        <v>1100</v>
      </c>
      <c r="P4287" s="6" t="s">
        <v>39</v>
      </c>
      <c r="Q4287" s="8" t="s">
        <v>40</v>
      </c>
      <c r="R4287" s="10" t="s">
        <v>21154</v>
      </c>
      <c r="S4287" s="11"/>
      <c r="T4287" s="6"/>
      <c r="U4287" s="15" t="str">
        <f>HYPERLINK("https://media.infra-m.ru/2255/2255694/cover/2255694.jpg", "Обложка")</f>
        <v>Обложка</v>
      </c>
      <c r="V4287" s="8" t="s">
        <v>1030</v>
      </c>
      <c r="W4287" s="6"/>
      <c r="X4287" s="6"/>
      <c r="Y4287" s="6"/>
      <c r="Z4287" s="6"/>
      <c r="AA4287" s="6" t="s">
        <v>86</v>
      </c>
      <c r="AB4287" s="8"/>
      <c r="AC4287" s="27">
        <v>9785160143514</v>
      </c>
    </row>
    <row r="4288" spans="1:29" s="4" customFormat="1" ht="51.9" customHeight="1" x14ac:dyDescent="0.2">
      <c r="A4288" s="5">
        <v>0</v>
      </c>
      <c r="B4288" s="6" t="s">
        <v>24851</v>
      </c>
      <c r="C4288" s="7">
        <v>1877.9</v>
      </c>
      <c r="D4288" s="8" t="s">
        <v>24852</v>
      </c>
      <c r="E4288" s="8" t="s">
        <v>24853</v>
      </c>
      <c r="F4288" s="8" t="s">
        <v>24854</v>
      </c>
      <c r="G4288" s="6" t="s">
        <v>118</v>
      </c>
      <c r="H4288" s="6" t="s">
        <v>34</v>
      </c>
      <c r="I4288" s="8" t="s">
        <v>271</v>
      </c>
      <c r="J4288" s="9">
        <v>1</v>
      </c>
      <c r="K4288" s="9">
        <v>339</v>
      </c>
      <c r="L4288" s="9">
        <v>2023</v>
      </c>
      <c r="M4288" s="8" t="s">
        <v>24855</v>
      </c>
      <c r="N4288" s="8" t="s">
        <v>37</v>
      </c>
      <c r="O4288" s="8" t="s">
        <v>136</v>
      </c>
      <c r="P4288" s="6" t="s">
        <v>306</v>
      </c>
      <c r="Q4288" s="8" t="s">
        <v>52</v>
      </c>
      <c r="R4288" s="10" t="s">
        <v>4109</v>
      </c>
      <c r="S4288" s="11" t="s">
        <v>24856</v>
      </c>
      <c r="T4288" s="6"/>
      <c r="U4288" s="15" t="str">
        <f>HYPERLINK("https://media.infra-m.ru/2115/2115290/cover/2115290.jpg", "Обложка")</f>
        <v>Обложка</v>
      </c>
      <c r="V4288" s="8" t="s">
        <v>6135</v>
      </c>
      <c r="W4288" s="6"/>
      <c r="X4288" s="6"/>
      <c r="Y4288" s="6"/>
      <c r="Z4288" s="6"/>
      <c r="AA4288" s="6" t="s">
        <v>148</v>
      </c>
      <c r="AB4288" s="8"/>
      <c r="AC4288" s="27">
        <v>9785160166247</v>
      </c>
    </row>
    <row r="4289" spans="1:29" s="4" customFormat="1" ht="51.9" customHeight="1" x14ac:dyDescent="0.2">
      <c r="A4289" s="5">
        <v>0</v>
      </c>
      <c r="B4289" s="6" t="s">
        <v>24857</v>
      </c>
      <c r="C4289" s="7">
        <v>1356</v>
      </c>
      <c r="D4289" s="8" t="s">
        <v>24858</v>
      </c>
      <c r="E4289" s="8" t="s">
        <v>24859</v>
      </c>
      <c r="F4289" s="8" t="s">
        <v>1802</v>
      </c>
      <c r="G4289" s="6" t="s">
        <v>118</v>
      </c>
      <c r="H4289" s="6" t="s">
        <v>34</v>
      </c>
      <c r="I4289" s="8" t="s">
        <v>35</v>
      </c>
      <c r="J4289" s="9">
        <v>1</v>
      </c>
      <c r="K4289" s="9">
        <v>226</v>
      </c>
      <c r="L4289" s="9">
        <v>2025</v>
      </c>
      <c r="M4289" s="8" t="s">
        <v>24860</v>
      </c>
      <c r="N4289" s="8" t="s">
        <v>243</v>
      </c>
      <c r="O4289" s="8" t="s">
        <v>244</v>
      </c>
      <c r="P4289" s="6" t="s">
        <v>39</v>
      </c>
      <c r="Q4289" s="8" t="s">
        <v>40</v>
      </c>
      <c r="R4289" s="10" t="s">
        <v>24861</v>
      </c>
      <c r="S4289" s="11"/>
      <c r="T4289" s="6"/>
      <c r="U4289" s="15" t="str">
        <f>HYPERLINK("https://media.infra-m.ru/2171/2171257/cover/2171257.jpg", "Обложка")</f>
        <v>Обложка</v>
      </c>
      <c r="V4289" s="8" t="s">
        <v>1805</v>
      </c>
      <c r="W4289" s="6"/>
      <c r="X4289" s="6"/>
      <c r="Y4289" s="6"/>
      <c r="Z4289" s="6"/>
      <c r="AA4289" s="6" t="s">
        <v>157</v>
      </c>
      <c r="AB4289" s="8"/>
      <c r="AC4289" s="27">
        <v>9785160182513</v>
      </c>
    </row>
    <row r="4290" spans="1:29" s="4" customFormat="1" ht="51.9" customHeight="1" x14ac:dyDescent="0.2">
      <c r="A4290" s="5">
        <v>0</v>
      </c>
      <c r="B4290" s="6" t="s">
        <v>24862</v>
      </c>
      <c r="C4290" s="13">
        <v>904.8</v>
      </c>
      <c r="D4290" s="8" t="s">
        <v>24863</v>
      </c>
      <c r="E4290" s="8" t="s">
        <v>24864</v>
      </c>
      <c r="F4290" s="8" t="s">
        <v>24865</v>
      </c>
      <c r="G4290" s="6" t="s">
        <v>60</v>
      </c>
      <c r="H4290" s="6" t="s">
        <v>5605</v>
      </c>
      <c r="I4290" s="8" t="s">
        <v>253</v>
      </c>
      <c r="J4290" s="9">
        <v>1</v>
      </c>
      <c r="K4290" s="9">
        <v>144</v>
      </c>
      <c r="L4290" s="9">
        <v>2025</v>
      </c>
      <c r="M4290" s="8" t="s">
        <v>24866</v>
      </c>
      <c r="N4290" s="8" t="s">
        <v>37</v>
      </c>
      <c r="O4290" s="8" t="s">
        <v>233</v>
      </c>
      <c r="P4290" s="6" t="s">
        <v>306</v>
      </c>
      <c r="Q4290" s="8" t="s">
        <v>52</v>
      </c>
      <c r="R4290" s="10" t="s">
        <v>24867</v>
      </c>
      <c r="S4290" s="11" t="s">
        <v>12779</v>
      </c>
      <c r="T4290" s="6"/>
      <c r="U4290" s="15" t="str">
        <f>HYPERLINK("https://media.infra-m.ru/2193/2193743/cover/2193743.jpg", "Обложка")</f>
        <v>Обложка</v>
      </c>
      <c r="V4290" s="8" t="s">
        <v>18603</v>
      </c>
      <c r="W4290" s="6"/>
      <c r="X4290" s="6"/>
      <c r="Y4290" s="6"/>
      <c r="Z4290" s="6"/>
      <c r="AA4290" s="6" t="s">
        <v>129</v>
      </c>
      <c r="AB4290" s="8"/>
      <c r="AC4290" s="27">
        <v>9785160043869</v>
      </c>
    </row>
    <row r="4291" spans="1:29" s="4" customFormat="1" ht="42" customHeight="1" x14ac:dyDescent="0.2">
      <c r="A4291" s="5">
        <v>0</v>
      </c>
      <c r="B4291" s="6" t="s">
        <v>24868</v>
      </c>
      <c r="C4291" s="7">
        <v>1372.8</v>
      </c>
      <c r="D4291" s="8" t="s">
        <v>24869</v>
      </c>
      <c r="E4291" s="8" t="s">
        <v>24870</v>
      </c>
      <c r="F4291" s="8" t="s">
        <v>9391</v>
      </c>
      <c r="G4291" s="6" t="s">
        <v>118</v>
      </c>
      <c r="H4291" s="6" t="s">
        <v>34</v>
      </c>
      <c r="I4291" s="8" t="s">
        <v>288</v>
      </c>
      <c r="J4291" s="9">
        <v>1</v>
      </c>
      <c r="K4291" s="9">
        <v>198</v>
      </c>
      <c r="L4291" s="9">
        <v>2026</v>
      </c>
      <c r="M4291" s="8" t="s">
        <v>24871</v>
      </c>
      <c r="N4291" s="8" t="s">
        <v>37</v>
      </c>
      <c r="O4291" s="8" t="s">
        <v>136</v>
      </c>
      <c r="P4291" s="6" t="s">
        <v>51</v>
      </c>
      <c r="Q4291" s="8" t="s">
        <v>65</v>
      </c>
      <c r="R4291" s="10" t="s">
        <v>24872</v>
      </c>
      <c r="S4291" s="11"/>
      <c r="T4291" s="6"/>
      <c r="U4291" s="15" t="str">
        <f>HYPERLINK("https://media.infra-m.ru/2237/2237662/cover/2237662.jpg", "Обложка")</f>
        <v>Обложка</v>
      </c>
      <c r="V4291" s="8" t="s">
        <v>292</v>
      </c>
      <c r="W4291" s="6"/>
      <c r="X4291" s="6"/>
      <c r="Y4291" s="6"/>
      <c r="Z4291" s="6"/>
      <c r="AA4291" s="6" t="s">
        <v>68</v>
      </c>
      <c r="AB4291" s="8"/>
      <c r="AC4291" s="27">
        <v>9785160198965</v>
      </c>
    </row>
    <row r="4292" spans="1:29" s="4" customFormat="1" ht="51.9" customHeight="1" x14ac:dyDescent="0.2">
      <c r="A4292" s="5">
        <v>0</v>
      </c>
      <c r="B4292" s="6" t="s">
        <v>24873</v>
      </c>
      <c r="C4292" s="7">
        <v>1068</v>
      </c>
      <c r="D4292" s="8" t="s">
        <v>24874</v>
      </c>
      <c r="E4292" s="8" t="s">
        <v>24875</v>
      </c>
      <c r="F4292" s="8" t="s">
        <v>24876</v>
      </c>
      <c r="G4292" s="6" t="s">
        <v>33</v>
      </c>
      <c r="H4292" s="6" t="s">
        <v>34</v>
      </c>
      <c r="I4292" s="8" t="s">
        <v>35</v>
      </c>
      <c r="J4292" s="9">
        <v>1</v>
      </c>
      <c r="K4292" s="9">
        <v>164</v>
      </c>
      <c r="L4292" s="9">
        <v>2026</v>
      </c>
      <c r="M4292" s="8" t="s">
        <v>24877</v>
      </c>
      <c r="N4292" s="8" t="s">
        <v>37</v>
      </c>
      <c r="O4292" s="8" t="s">
        <v>136</v>
      </c>
      <c r="P4292" s="6" t="s">
        <v>39</v>
      </c>
      <c r="Q4292" s="8" t="s">
        <v>40</v>
      </c>
      <c r="R4292" s="10" t="s">
        <v>24878</v>
      </c>
      <c r="S4292" s="11"/>
      <c r="T4292" s="6"/>
      <c r="U4292" s="15" t="str">
        <f>HYPERLINK("https://media.infra-m.ru/2224/2224022/cover/2224022.jpg", "Обложка")</f>
        <v>Обложка</v>
      </c>
      <c r="V4292" s="8" t="s">
        <v>4923</v>
      </c>
      <c r="W4292" s="6" t="s">
        <v>186</v>
      </c>
      <c r="X4292" s="6"/>
      <c r="Y4292" s="6"/>
      <c r="Z4292" s="6"/>
      <c r="AA4292" s="6" t="s">
        <v>187</v>
      </c>
      <c r="AB4292" s="8" t="s">
        <v>308</v>
      </c>
      <c r="AC4292" s="27">
        <v>9785160214276</v>
      </c>
    </row>
    <row r="4293" spans="1:29" s="4" customFormat="1" ht="51.9" customHeight="1" x14ac:dyDescent="0.2">
      <c r="A4293" s="5">
        <v>0</v>
      </c>
      <c r="B4293" s="6" t="s">
        <v>24879</v>
      </c>
      <c r="C4293" s="13">
        <v>600</v>
      </c>
      <c r="D4293" s="8" t="s">
        <v>24880</v>
      </c>
      <c r="E4293" s="8" t="s">
        <v>24881</v>
      </c>
      <c r="F4293" s="8" t="s">
        <v>24882</v>
      </c>
      <c r="G4293" s="6" t="s">
        <v>33</v>
      </c>
      <c r="H4293" s="6" t="s">
        <v>34</v>
      </c>
      <c r="I4293" s="8" t="s">
        <v>35</v>
      </c>
      <c r="J4293" s="9">
        <v>1</v>
      </c>
      <c r="K4293" s="9">
        <v>85</v>
      </c>
      <c r="L4293" s="9">
        <v>2026</v>
      </c>
      <c r="M4293" s="8" t="s">
        <v>24883</v>
      </c>
      <c r="N4293" s="8" t="s">
        <v>37</v>
      </c>
      <c r="O4293" s="8" t="s">
        <v>136</v>
      </c>
      <c r="P4293" s="6" t="s">
        <v>39</v>
      </c>
      <c r="Q4293" s="8" t="s">
        <v>65</v>
      </c>
      <c r="R4293" s="10" t="s">
        <v>676</v>
      </c>
      <c r="S4293" s="11"/>
      <c r="T4293" s="6"/>
      <c r="U4293" s="15" t="str">
        <f>HYPERLINK("https://media.infra-m.ru/2244/2244468/cover/2244468.jpg", "Обложка")</f>
        <v>Обложка</v>
      </c>
      <c r="V4293" s="8" t="s">
        <v>67</v>
      </c>
      <c r="W4293" s="6"/>
      <c r="X4293" s="6"/>
      <c r="Y4293" s="6"/>
      <c r="Z4293" s="6"/>
      <c r="AA4293" s="6" t="s">
        <v>99</v>
      </c>
      <c r="AB4293" s="8"/>
      <c r="AC4293" s="27">
        <v>9785160127644</v>
      </c>
    </row>
    <row r="4294" spans="1:29" s="4" customFormat="1" ht="51.9" customHeight="1" x14ac:dyDescent="0.2">
      <c r="A4294" s="5">
        <v>0</v>
      </c>
      <c r="B4294" s="6" t="s">
        <v>24884</v>
      </c>
      <c r="C4294" s="7">
        <v>2752.8</v>
      </c>
      <c r="D4294" s="8" t="s">
        <v>24885</v>
      </c>
      <c r="E4294" s="8" t="s">
        <v>24886</v>
      </c>
      <c r="F4294" s="8" t="s">
        <v>13859</v>
      </c>
      <c r="G4294" s="6" t="s">
        <v>118</v>
      </c>
      <c r="H4294" s="6" t="s">
        <v>34</v>
      </c>
      <c r="I4294" s="8" t="s">
        <v>5350</v>
      </c>
      <c r="J4294" s="9">
        <v>1</v>
      </c>
      <c r="K4294" s="9">
        <v>395</v>
      </c>
      <c r="L4294" s="9">
        <v>2027</v>
      </c>
      <c r="M4294" s="8" t="s">
        <v>24887</v>
      </c>
      <c r="N4294" s="8" t="s">
        <v>37</v>
      </c>
      <c r="O4294" s="8" t="s">
        <v>136</v>
      </c>
      <c r="P4294" s="6" t="s">
        <v>306</v>
      </c>
      <c r="Q4294" s="8" t="s">
        <v>377</v>
      </c>
      <c r="R4294" s="10" t="s">
        <v>1653</v>
      </c>
      <c r="S4294" s="11" t="s">
        <v>24888</v>
      </c>
      <c r="T4294" s="6" t="s">
        <v>97</v>
      </c>
      <c r="U4294" s="15" t="str">
        <f>HYPERLINK("https://media.infra-m.ru/2262/2262693/cover/2262693.jpg", "Обложка")</f>
        <v>Обложка</v>
      </c>
      <c r="V4294" s="8" t="s">
        <v>657</v>
      </c>
      <c r="W4294" s="6"/>
      <c r="X4294" s="6"/>
      <c r="Y4294" s="6"/>
      <c r="Z4294" s="6"/>
      <c r="AA4294" s="6" t="s">
        <v>86</v>
      </c>
      <c r="AB4294" s="8"/>
      <c r="AC4294" s="27">
        <v>9785160130514</v>
      </c>
    </row>
    <row r="4295" spans="1:29" s="4" customFormat="1" ht="42" customHeight="1" x14ac:dyDescent="0.2">
      <c r="A4295" s="5">
        <v>0</v>
      </c>
      <c r="B4295" s="6" t="s">
        <v>24889</v>
      </c>
      <c r="C4295" s="7">
        <v>1020</v>
      </c>
      <c r="D4295" s="8" t="s">
        <v>24890</v>
      </c>
      <c r="E4295" s="8" t="s">
        <v>24891</v>
      </c>
      <c r="F4295" s="8" t="s">
        <v>24892</v>
      </c>
      <c r="G4295" s="6" t="s">
        <v>118</v>
      </c>
      <c r="H4295" s="6" t="s">
        <v>34</v>
      </c>
      <c r="I4295" s="8" t="s">
        <v>35</v>
      </c>
      <c r="J4295" s="9">
        <v>1</v>
      </c>
      <c r="K4295" s="9">
        <v>184</v>
      </c>
      <c r="L4295" s="9">
        <v>2024</v>
      </c>
      <c r="M4295" s="8" t="s">
        <v>24893</v>
      </c>
      <c r="N4295" s="8" t="s">
        <v>243</v>
      </c>
      <c r="O4295" s="8" t="s">
        <v>758</v>
      </c>
      <c r="P4295" s="6" t="s">
        <v>39</v>
      </c>
      <c r="Q4295" s="8" t="s">
        <v>40</v>
      </c>
      <c r="R4295" s="10" t="s">
        <v>11597</v>
      </c>
      <c r="S4295" s="11"/>
      <c r="T4295" s="6"/>
      <c r="U4295" s="15" t="str">
        <f>HYPERLINK("https://media.infra-m.ru/2117/2117136/cover/2117136.jpg", "Обложка")</f>
        <v>Обложка</v>
      </c>
      <c r="V4295" s="8" t="s">
        <v>843</v>
      </c>
      <c r="W4295" s="6"/>
      <c r="X4295" s="6"/>
      <c r="Y4295" s="6"/>
      <c r="Z4295" s="6"/>
      <c r="AA4295" s="6" t="s">
        <v>99</v>
      </c>
      <c r="AB4295" s="8"/>
      <c r="AC4295" s="27">
        <v>9785160129686</v>
      </c>
    </row>
    <row r="4296" spans="1:29" s="4" customFormat="1" ht="44.1" customHeight="1" x14ac:dyDescent="0.2">
      <c r="A4296" s="5">
        <v>0</v>
      </c>
      <c r="B4296" s="6" t="s">
        <v>24894</v>
      </c>
      <c r="C4296" s="7">
        <v>1044</v>
      </c>
      <c r="D4296" s="8" t="s">
        <v>24895</v>
      </c>
      <c r="E4296" s="8" t="s">
        <v>24896</v>
      </c>
      <c r="F4296" s="8" t="s">
        <v>24897</v>
      </c>
      <c r="G4296" s="6" t="s">
        <v>33</v>
      </c>
      <c r="H4296" s="6" t="s">
        <v>34</v>
      </c>
      <c r="I4296" s="8" t="s">
        <v>35</v>
      </c>
      <c r="J4296" s="9">
        <v>1</v>
      </c>
      <c r="K4296" s="9">
        <v>171</v>
      </c>
      <c r="L4296" s="9">
        <v>2023</v>
      </c>
      <c r="M4296" s="8" t="s">
        <v>24898</v>
      </c>
      <c r="N4296" s="8" t="s">
        <v>585</v>
      </c>
      <c r="O4296" s="8" t="s">
        <v>775</v>
      </c>
      <c r="P4296" s="6" t="s">
        <v>39</v>
      </c>
      <c r="Q4296" s="8" t="s">
        <v>40</v>
      </c>
      <c r="R4296" s="10" t="s">
        <v>24899</v>
      </c>
      <c r="S4296" s="11"/>
      <c r="T4296" s="6"/>
      <c r="U4296" s="15" t="str">
        <f>HYPERLINK("https://media.infra-m.ru/1993/1993656/cover/1993656.jpg", "Обложка")</f>
        <v>Обложка</v>
      </c>
      <c r="V4296" s="8" t="s">
        <v>24900</v>
      </c>
      <c r="W4296" s="6"/>
      <c r="X4296" s="6"/>
      <c r="Y4296" s="6"/>
      <c r="Z4296" s="6"/>
      <c r="AA4296" s="6" t="s">
        <v>157</v>
      </c>
      <c r="AB4296" s="8"/>
      <c r="AC4296" s="27">
        <v>9785160180069</v>
      </c>
    </row>
    <row r="4297" spans="1:29" s="4" customFormat="1" ht="51.9" customHeight="1" x14ac:dyDescent="0.2">
      <c r="A4297" s="5">
        <v>0</v>
      </c>
      <c r="B4297" s="6" t="s">
        <v>24901</v>
      </c>
      <c r="C4297" s="7">
        <v>1500</v>
      </c>
      <c r="D4297" s="8" t="s">
        <v>24902</v>
      </c>
      <c r="E4297" s="8" t="s">
        <v>24903</v>
      </c>
      <c r="F4297" s="8" t="s">
        <v>24904</v>
      </c>
      <c r="G4297" s="6" t="s">
        <v>60</v>
      </c>
      <c r="H4297" s="6" t="s">
        <v>34</v>
      </c>
      <c r="I4297" s="8" t="s">
        <v>35</v>
      </c>
      <c r="J4297" s="9">
        <v>1</v>
      </c>
      <c r="K4297" s="9">
        <v>237</v>
      </c>
      <c r="L4297" s="9">
        <v>2024</v>
      </c>
      <c r="M4297" s="8" t="s">
        <v>24905</v>
      </c>
      <c r="N4297" s="8" t="s">
        <v>37</v>
      </c>
      <c r="O4297" s="8" t="s">
        <v>233</v>
      </c>
      <c r="P4297" s="6" t="s">
        <v>39</v>
      </c>
      <c r="Q4297" s="8" t="s">
        <v>40</v>
      </c>
      <c r="R4297" s="10" t="s">
        <v>24906</v>
      </c>
      <c r="S4297" s="11"/>
      <c r="T4297" s="6"/>
      <c r="U4297" s="15" t="str">
        <f>HYPERLINK("https://media.infra-m.ru/1989/1989302/cover/1989302.jpg", "Обложка")</f>
        <v>Обложка</v>
      </c>
      <c r="V4297" s="8" t="s">
        <v>2035</v>
      </c>
      <c r="W4297" s="6"/>
      <c r="X4297" s="6"/>
      <c r="Y4297" s="6"/>
      <c r="Z4297" s="6"/>
      <c r="AA4297" s="6" t="s">
        <v>157</v>
      </c>
      <c r="AB4297" s="8"/>
      <c r="AC4297" s="27">
        <v>9785160183848</v>
      </c>
    </row>
    <row r="4298" spans="1:29" s="4" customFormat="1" ht="44.1" customHeight="1" x14ac:dyDescent="0.2">
      <c r="A4298" s="5">
        <v>0</v>
      </c>
      <c r="B4298" s="6" t="s">
        <v>24907</v>
      </c>
      <c r="C4298" s="7">
        <v>1812</v>
      </c>
      <c r="D4298" s="8" t="s">
        <v>24908</v>
      </c>
      <c r="E4298" s="8" t="s">
        <v>24909</v>
      </c>
      <c r="F4298" s="8" t="s">
        <v>24910</v>
      </c>
      <c r="G4298" s="6" t="s">
        <v>118</v>
      </c>
      <c r="H4298" s="6" t="s">
        <v>34</v>
      </c>
      <c r="I4298" s="8" t="s">
        <v>35</v>
      </c>
      <c r="J4298" s="9">
        <v>1</v>
      </c>
      <c r="K4298" s="9">
        <v>286</v>
      </c>
      <c r="L4298" s="9">
        <v>2024</v>
      </c>
      <c r="M4298" s="8" t="s">
        <v>24911</v>
      </c>
      <c r="N4298" s="8" t="s">
        <v>37</v>
      </c>
      <c r="O4298" s="8" t="s">
        <v>233</v>
      </c>
      <c r="P4298" s="6" t="s">
        <v>39</v>
      </c>
      <c r="Q4298" s="8" t="s">
        <v>40</v>
      </c>
      <c r="R4298" s="10" t="s">
        <v>1557</v>
      </c>
      <c r="S4298" s="11"/>
      <c r="T4298" s="6"/>
      <c r="U4298" s="15" t="str">
        <f>HYPERLINK("https://media.infra-m.ru/2128/2128035/cover/2128035.jpg", "Обложка")</f>
        <v>Обложка</v>
      </c>
      <c r="V4298" s="8" t="s">
        <v>4448</v>
      </c>
      <c r="W4298" s="6"/>
      <c r="X4298" s="6"/>
      <c r="Y4298" s="6"/>
      <c r="Z4298" s="6"/>
      <c r="AA4298" s="6" t="s">
        <v>148</v>
      </c>
      <c r="AB4298" s="8"/>
      <c r="AC4298" s="27">
        <v>9785160179902</v>
      </c>
    </row>
    <row r="4299" spans="1:29" s="4" customFormat="1" ht="51.9" customHeight="1" x14ac:dyDescent="0.2">
      <c r="A4299" s="5">
        <v>0</v>
      </c>
      <c r="B4299" s="6" t="s">
        <v>24912</v>
      </c>
      <c r="C4299" s="7">
        <v>1848</v>
      </c>
      <c r="D4299" s="8" t="s">
        <v>24913</v>
      </c>
      <c r="E4299" s="8" t="s">
        <v>24914</v>
      </c>
      <c r="F4299" s="8" t="s">
        <v>24915</v>
      </c>
      <c r="G4299" s="6" t="s">
        <v>118</v>
      </c>
      <c r="H4299" s="6" t="s">
        <v>34</v>
      </c>
      <c r="I4299" s="8" t="s">
        <v>271</v>
      </c>
      <c r="J4299" s="9">
        <v>1</v>
      </c>
      <c r="K4299" s="9">
        <v>302</v>
      </c>
      <c r="L4299" s="9">
        <v>2023</v>
      </c>
      <c r="M4299" s="8" t="s">
        <v>24916</v>
      </c>
      <c r="N4299" s="8" t="s">
        <v>243</v>
      </c>
      <c r="O4299" s="8" t="s">
        <v>758</v>
      </c>
      <c r="P4299" s="6" t="s">
        <v>51</v>
      </c>
      <c r="Q4299" s="8" t="s">
        <v>52</v>
      </c>
      <c r="R4299" s="10" t="s">
        <v>24917</v>
      </c>
      <c r="S4299" s="11" t="s">
        <v>24918</v>
      </c>
      <c r="T4299" s="6"/>
      <c r="U4299" s="15" t="str">
        <f>HYPERLINK("https://media.infra-m.ru/2128/2128018/cover/2128018.jpg", "Обложка")</f>
        <v>Обложка</v>
      </c>
      <c r="V4299" s="8" t="s">
        <v>6421</v>
      </c>
      <c r="W4299" s="6"/>
      <c r="X4299" s="6"/>
      <c r="Y4299" s="6"/>
      <c r="Z4299" s="6"/>
      <c r="AA4299" s="6" t="s">
        <v>157</v>
      </c>
      <c r="AB4299" s="8"/>
      <c r="AC4299" s="27">
        <v>9785160163246</v>
      </c>
    </row>
    <row r="4300" spans="1:29" s="4" customFormat="1" ht="42" customHeight="1" x14ac:dyDescent="0.2">
      <c r="A4300" s="5">
        <v>0</v>
      </c>
      <c r="B4300" s="6" t="s">
        <v>24919</v>
      </c>
      <c r="C4300" s="7">
        <v>1632</v>
      </c>
      <c r="D4300" s="8" t="s">
        <v>24920</v>
      </c>
      <c r="E4300" s="8" t="s">
        <v>24921</v>
      </c>
      <c r="F4300" s="8" t="s">
        <v>1802</v>
      </c>
      <c r="G4300" s="6" t="s">
        <v>60</v>
      </c>
      <c r="H4300" s="6" t="s">
        <v>34</v>
      </c>
      <c r="I4300" s="8" t="s">
        <v>35</v>
      </c>
      <c r="J4300" s="9">
        <v>1</v>
      </c>
      <c r="K4300" s="9">
        <v>272</v>
      </c>
      <c r="L4300" s="9">
        <v>2025</v>
      </c>
      <c r="M4300" s="8" t="s">
        <v>24922</v>
      </c>
      <c r="N4300" s="8" t="s">
        <v>37</v>
      </c>
      <c r="O4300" s="8" t="s">
        <v>136</v>
      </c>
      <c r="P4300" s="6" t="s">
        <v>39</v>
      </c>
      <c r="Q4300" s="8" t="s">
        <v>40</v>
      </c>
      <c r="R4300" s="10" t="s">
        <v>684</v>
      </c>
      <c r="S4300" s="11"/>
      <c r="T4300" s="6"/>
      <c r="U4300" s="15" t="str">
        <f>HYPERLINK("https://media.infra-m.ru/2141/2141616/cover/2141616.jpg", "Обложка")</f>
        <v>Обложка</v>
      </c>
      <c r="V4300" s="8" t="s">
        <v>1805</v>
      </c>
      <c r="W4300" s="6"/>
      <c r="X4300" s="6"/>
      <c r="Y4300" s="6"/>
      <c r="Z4300" s="6"/>
      <c r="AA4300" s="6" t="s">
        <v>68</v>
      </c>
      <c r="AB4300" s="8" t="s">
        <v>3833</v>
      </c>
      <c r="AC4300" s="27">
        <v>9785160198750</v>
      </c>
    </row>
    <row r="4301" spans="1:29" s="4" customFormat="1" ht="51.9" customHeight="1" x14ac:dyDescent="0.2">
      <c r="A4301" s="5">
        <v>0</v>
      </c>
      <c r="B4301" s="6" t="s">
        <v>24923</v>
      </c>
      <c r="C4301" s="7">
        <v>1468.8</v>
      </c>
      <c r="D4301" s="8" t="s">
        <v>24924</v>
      </c>
      <c r="E4301" s="8" t="s">
        <v>24925</v>
      </c>
      <c r="F4301" s="8" t="s">
        <v>3868</v>
      </c>
      <c r="G4301" s="6" t="s">
        <v>33</v>
      </c>
      <c r="H4301" s="6" t="s">
        <v>34</v>
      </c>
      <c r="I4301" s="8" t="s">
        <v>35</v>
      </c>
      <c r="J4301" s="9">
        <v>1</v>
      </c>
      <c r="K4301" s="9">
        <v>234</v>
      </c>
      <c r="L4301" s="9">
        <v>2026</v>
      </c>
      <c r="M4301" s="8" t="s">
        <v>24926</v>
      </c>
      <c r="N4301" s="8" t="s">
        <v>243</v>
      </c>
      <c r="O4301" s="8" t="s">
        <v>798</v>
      </c>
      <c r="P4301" s="6" t="s">
        <v>39</v>
      </c>
      <c r="Q4301" s="8" t="s">
        <v>40</v>
      </c>
      <c r="R4301" s="10" t="s">
        <v>24927</v>
      </c>
      <c r="S4301" s="11"/>
      <c r="T4301" s="6"/>
      <c r="U4301" s="15" t="str">
        <f>HYPERLINK("https://media.infra-m.ru/2218/2218508/cover/2218508.jpg", "Обложка")</f>
        <v>Обложка</v>
      </c>
      <c r="V4301" s="8" t="s">
        <v>3871</v>
      </c>
      <c r="W4301" s="6"/>
      <c r="X4301" s="6"/>
      <c r="Y4301" s="6"/>
      <c r="Z4301" s="6"/>
      <c r="AA4301" s="6" t="s">
        <v>779</v>
      </c>
      <c r="AB4301" s="8"/>
      <c r="AC4301" s="27">
        <v>9785160112831</v>
      </c>
    </row>
    <row r="4302" spans="1:29" s="4" customFormat="1" ht="51.9" customHeight="1" x14ac:dyDescent="0.2">
      <c r="A4302" s="5">
        <v>0</v>
      </c>
      <c r="B4302" s="6" t="s">
        <v>24928</v>
      </c>
      <c r="C4302" s="7">
        <v>1152</v>
      </c>
      <c r="D4302" s="8" t="s">
        <v>24929</v>
      </c>
      <c r="E4302" s="8" t="s">
        <v>24930</v>
      </c>
      <c r="F4302" s="8" t="s">
        <v>24931</v>
      </c>
      <c r="G4302" s="6" t="s">
        <v>118</v>
      </c>
      <c r="H4302" s="6" t="s">
        <v>134</v>
      </c>
      <c r="I4302" s="8"/>
      <c r="J4302" s="9">
        <v>1</v>
      </c>
      <c r="K4302" s="9">
        <v>208</v>
      </c>
      <c r="L4302" s="9">
        <v>2019</v>
      </c>
      <c r="M4302" s="8" t="s">
        <v>24932</v>
      </c>
      <c r="N4302" s="8" t="s">
        <v>37</v>
      </c>
      <c r="O4302" s="8" t="s">
        <v>136</v>
      </c>
      <c r="P4302" s="6" t="s">
        <v>51</v>
      </c>
      <c r="Q4302" s="8" t="s">
        <v>52</v>
      </c>
      <c r="R4302" s="10" t="s">
        <v>1068</v>
      </c>
      <c r="S4302" s="11"/>
      <c r="T4302" s="6"/>
      <c r="U4302" s="15" t="str">
        <f>HYPERLINK("https://media.infra-m.ru/0989/0989182/cover/989182.jpg", "Обложка")</f>
        <v>Обложка</v>
      </c>
      <c r="V4302" s="8" t="s">
        <v>1184</v>
      </c>
      <c r="W4302" s="6"/>
      <c r="X4302" s="6"/>
      <c r="Y4302" s="6"/>
      <c r="Z4302" s="6"/>
      <c r="AA4302" s="6" t="s">
        <v>99</v>
      </c>
      <c r="AB4302" s="8"/>
      <c r="AC4302" s="27">
        <v>9785917688039</v>
      </c>
    </row>
    <row r="4303" spans="1:29" s="4" customFormat="1" ht="51.9" customHeight="1" x14ac:dyDescent="0.2">
      <c r="A4303" s="5">
        <v>0</v>
      </c>
      <c r="B4303" s="6" t="s">
        <v>24933</v>
      </c>
      <c r="C4303" s="13">
        <v>736.8</v>
      </c>
      <c r="D4303" s="8" t="s">
        <v>24934</v>
      </c>
      <c r="E4303" s="8" t="s">
        <v>24935</v>
      </c>
      <c r="F4303" s="8" t="s">
        <v>24936</v>
      </c>
      <c r="G4303" s="6" t="s">
        <v>33</v>
      </c>
      <c r="H4303" s="6" t="s">
        <v>34</v>
      </c>
      <c r="I4303" s="8" t="s">
        <v>271</v>
      </c>
      <c r="J4303" s="9">
        <v>1</v>
      </c>
      <c r="K4303" s="9">
        <v>135</v>
      </c>
      <c r="L4303" s="9">
        <v>2023</v>
      </c>
      <c r="M4303" s="8" t="s">
        <v>24937</v>
      </c>
      <c r="N4303" s="8" t="s">
        <v>243</v>
      </c>
      <c r="O4303" s="8" t="s">
        <v>964</v>
      </c>
      <c r="P4303" s="6" t="s">
        <v>51</v>
      </c>
      <c r="Q4303" s="8" t="s">
        <v>52</v>
      </c>
      <c r="R4303" s="10" t="s">
        <v>24938</v>
      </c>
      <c r="S4303" s="11" t="s">
        <v>24939</v>
      </c>
      <c r="T4303" s="6"/>
      <c r="U4303" s="15" t="str">
        <f>HYPERLINK("https://media.infra-m.ru/1998/1998770/cover/1998770.jpg", "Обложка")</f>
        <v>Обложка</v>
      </c>
      <c r="V4303" s="8" t="s">
        <v>2398</v>
      </c>
      <c r="W4303" s="6"/>
      <c r="X4303" s="6"/>
      <c r="Y4303" s="6"/>
      <c r="Z4303" s="6"/>
      <c r="AA4303" s="6" t="s">
        <v>274</v>
      </c>
      <c r="AB4303" s="8"/>
      <c r="AC4303" s="27">
        <v>9785160103679</v>
      </c>
    </row>
    <row r="4304" spans="1:29" s="4" customFormat="1" ht="42" customHeight="1" x14ac:dyDescent="0.2">
      <c r="A4304" s="5">
        <v>0</v>
      </c>
      <c r="B4304" s="6" t="s">
        <v>24940</v>
      </c>
      <c r="C4304" s="7">
        <v>1144.8</v>
      </c>
      <c r="D4304" s="8" t="s">
        <v>24941</v>
      </c>
      <c r="E4304" s="8" t="s">
        <v>24942</v>
      </c>
      <c r="F4304" s="8" t="s">
        <v>24943</v>
      </c>
      <c r="G4304" s="6" t="s">
        <v>33</v>
      </c>
      <c r="H4304" s="6" t="s">
        <v>34</v>
      </c>
      <c r="I4304" s="8" t="s">
        <v>35</v>
      </c>
      <c r="J4304" s="9">
        <v>1</v>
      </c>
      <c r="K4304" s="9">
        <v>155</v>
      </c>
      <c r="L4304" s="9">
        <v>2026</v>
      </c>
      <c r="M4304" s="8" t="s">
        <v>24944</v>
      </c>
      <c r="N4304" s="8" t="s">
        <v>243</v>
      </c>
      <c r="O4304" s="8" t="s">
        <v>385</v>
      </c>
      <c r="P4304" s="6" t="s">
        <v>39</v>
      </c>
      <c r="Q4304" s="8" t="s">
        <v>40</v>
      </c>
      <c r="R4304" s="10" t="s">
        <v>378</v>
      </c>
      <c r="S4304" s="11"/>
      <c r="T4304" s="6"/>
      <c r="U4304" s="15" t="str">
        <f>HYPERLINK("https://media.infra-m.ru/2238/2238503/cover/2238503.jpg", "Обложка")</f>
        <v>Обложка</v>
      </c>
      <c r="V4304" s="8" t="s">
        <v>3329</v>
      </c>
      <c r="W4304" s="6"/>
      <c r="X4304" s="6"/>
      <c r="Y4304" s="6"/>
      <c r="Z4304" s="6"/>
      <c r="AA4304" s="6" t="s">
        <v>157</v>
      </c>
      <c r="AB4304" s="8"/>
      <c r="AC4304" s="27">
        <v>9785160182278</v>
      </c>
    </row>
    <row r="4305" spans="1:29" s="4" customFormat="1" ht="44.1" customHeight="1" x14ac:dyDescent="0.2">
      <c r="A4305" s="5">
        <v>0</v>
      </c>
      <c r="B4305" s="6" t="s">
        <v>24945</v>
      </c>
      <c r="C4305" s="13">
        <v>641.9</v>
      </c>
      <c r="D4305" s="8" t="s">
        <v>24946</v>
      </c>
      <c r="E4305" s="8" t="s">
        <v>24947</v>
      </c>
      <c r="F4305" s="8" t="s">
        <v>24948</v>
      </c>
      <c r="G4305" s="6" t="s">
        <v>33</v>
      </c>
      <c r="H4305" s="6" t="s">
        <v>241</v>
      </c>
      <c r="I4305" s="8" t="s">
        <v>3496</v>
      </c>
      <c r="J4305" s="9">
        <v>1</v>
      </c>
      <c r="K4305" s="9">
        <v>118</v>
      </c>
      <c r="L4305" s="9">
        <v>2023</v>
      </c>
      <c r="M4305" s="8" t="s">
        <v>24949</v>
      </c>
      <c r="N4305" s="8" t="s">
        <v>243</v>
      </c>
      <c r="O4305" s="8" t="s">
        <v>758</v>
      </c>
      <c r="P4305" s="6" t="s">
        <v>39</v>
      </c>
      <c r="Q4305" s="8" t="s">
        <v>40</v>
      </c>
      <c r="R4305" s="10" t="s">
        <v>822</v>
      </c>
      <c r="S4305" s="11"/>
      <c r="T4305" s="6"/>
      <c r="U4305" s="15" t="str">
        <f>HYPERLINK("https://media.infra-m.ru/2006/2006834/cover/2006834.jpg", "Обложка")</f>
        <v>Обложка</v>
      </c>
      <c r="V4305" s="8" t="s">
        <v>217</v>
      </c>
      <c r="W4305" s="6"/>
      <c r="X4305" s="6"/>
      <c r="Y4305" s="6"/>
      <c r="Z4305" s="6"/>
      <c r="AA4305" s="6" t="s">
        <v>86</v>
      </c>
      <c r="AB4305" s="8" t="s">
        <v>493</v>
      </c>
      <c r="AC4305" s="27">
        <v>9785955805917</v>
      </c>
    </row>
    <row r="4306" spans="1:29" s="4" customFormat="1" ht="51.9" customHeight="1" x14ac:dyDescent="0.2">
      <c r="A4306" s="5">
        <v>0</v>
      </c>
      <c r="B4306" s="6" t="s">
        <v>24950</v>
      </c>
      <c r="C4306" s="7">
        <v>1060.8</v>
      </c>
      <c r="D4306" s="8" t="s">
        <v>24951</v>
      </c>
      <c r="E4306" s="8" t="s">
        <v>24952</v>
      </c>
      <c r="F4306" s="8" t="s">
        <v>24953</v>
      </c>
      <c r="G4306" s="6" t="s">
        <v>60</v>
      </c>
      <c r="H4306" s="6" t="s">
        <v>34</v>
      </c>
      <c r="I4306" s="8" t="s">
        <v>504</v>
      </c>
      <c r="J4306" s="9">
        <v>1</v>
      </c>
      <c r="K4306" s="9">
        <v>192</v>
      </c>
      <c r="L4306" s="9">
        <v>2024</v>
      </c>
      <c r="M4306" s="8" t="s">
        <v>24954</v>
      </c>
      <c r="N4306" s="8" t="s">
        <v>243</v>
      </c>
      <c r="O4306" s="8" t="s">
        <v>244</v>
      </c>
      <c r="P4306" s="6" t="s">
        <v>51</v>
      </c>
      <c r="Q4306" s="8" t="s">
        <v>500</v>
      </c>
      <c r="R4306" s="10" t="s">
        <v>24955</v>
      </c>
      <c r="S4306" s="11" t="s">
        <v>24956</v>
      </c>
      <c r="T4306" s="6"/>
      <c r="U4306" s="15" t="str">
        <f>HYPERLINK("https://media.infra-m.ru/2125/2125066/cover/2125066.jpg", "Обложка")</f>
        <v>Обложка</v>
      </c>
      <c r="V4306" s="8" t="s">
        <v>5801</v>
      </c>
      <c r="W4306" s="6"/>
      <c r="X4306" s="6"/>
      <c r="Y4306" s="6"/>
      <c r="Z4306" s="6"/>
      <c r="AA4306" s="6" t="s">
        <v>430</v>
      </c>
      <c r="AB4306" s="8"/>
      <c r="AC4306" s="27">
        <v>9785160149707</v>
      </c>
    </row>
    <row r="4307" spans="1:29" s="4" customFormat="1" ht="51.9" customHeight="1" x14ac:dyDescent="0.2">
      <c r="A4307" s="5">
        <v>0</v>
      </c>
      <c r="B4307" s="6" t="s">
        <v>24957</v>
      </c>
      <c r="C4307" s="7">
        <v>1320</v>
      </c>
      <c r="D4307" s="8" t="s">
        <v>24958</v>
      </c>
      <c r="E4307" s="8" t="s">
        <v>24959</v>
      </c>
      <c r="F4307" s="8" t="s">
        <v>4643</v>
      </c>
      <c r="G4307" s="6" t="s">
        <v>60</v>
      </c>
      <c r="H4307" s="6" t="s">
        <v>34</v>
      </c>
      <c r="I4307" s="8" t="s">
        <v>35</v>
      </c>
      <c r="J4307" s="9">
        <v>1</v>
      </c>
      <c r="K4307" s="9">
        <v>224</v>
      </c>
      <c r="L4307" s="9">
        <v>2023</v>
      </c>
      <c r="M4307" s="8" t="s">
        <v>24960</v>
      </c>
      <c r="N4307" s="8" t="s">
        <v>243</v>
      </c>
      <c r="O4307" s="8" t="s">
        <v>798</v>
      </c>
      <c r="P4307" s="6" t="s">
        <v>39</v>
      </c>
      <c r="Q4307" s="8" t="s">
        <v>40</v>
      </c>
      <c r="R4307" s="10" t="s">
        <v>24961</v>
      </c>
      <c r="S4307" s="11"/>
      <c r="T4307" s="6"/>
      <c r="U4307" s="15" t="str">
        <f>HYPERLINK("https://media.infra-m.ru/1981/1981692/cover/1981692.jpg", "Обложка")</f>
        <v>Обложка</v>
      </c>
      <c r="V4307" s="8" t="s">
        <v>761</v>
      </c>
      <c r="W4307" s="6"/>
      <c r="X4307" s="6"/>
      <c r="Y4307" s="6"/>
      <c r="Z4307" s="6"/>
      <c r="AA4307" s="6" t="s">
        <v>157</v>
      </c>
      <c r="AB4307" s="8" t="s">
        <v>1806</v>
      </c>
      <c r="AC4307" s="27">
        <v>9785160183411</v>
      </c>
    </row>
    <row r="4308" spans="1:29" s="4" customFormat="1" ht="51.9" customHeight="1" x14ac:dyDescent="0.2">
      <c r="A4308" s="5">
        <v>0</v>
      </c>
      <c r="B4308" s="6" t="s">
        <v>24962</v>
      </c>
      <c r="C4308" s="7">
        <v>1560</v>
      </c>
      <c r="D4308" s="8" t="s">
        <v>24963</v>
      </c>
      <c r="E4308" s="8" t="s">
        <v>24964</v>
      </c>
      <c r="F4308" s="8" t="s">
        <v>24965</v>
      </c>
      <c r="G4308" s="6" t="s">
        <v>118</v>
      </c>
      <c r="H4308" s="6" t="s">
        <v>34</v>
      </c>
      <c r="I4308" s="8" t="s">
        <v>253</v>
      </c>
      <c r="J4308" s="9">
        <v>1</v>
      </c>
      <c r="K4308" s="9">
        <v>224</v>
      </c>
      <c r="L4308" s="9">
        <v>2027</v>
      </c>
      <c r="M4308" s="8" t="s">
        <v>24966</v>
      </c>
      <c r="N4308" s="8" t="s">
        <v>585</v>
      </c>
      <c r="O4308" s="8" t="s">
        <v>775</v>
      </c>
      <c r="P4308" s="6" t="s">
        <v>51</v>
      </c>
      <c r="Q4308" s="8" t="s">
        <v>377</v>
      </c>
      <c r="R4308" s="10" t="s">
        <v>4167</v>
      </c>
      <c r="S4308" s="11" t="s">
        <v>24967</v>
      </c>
      <c r="T4308" s="6"/>
      <c r="U4308" s="15" t="str">
        <f>HYPERLINK("https://media.infra-m.ru/2263/2263138/cover/2263138.jpg", "Обложка")</f>
        <v>Обложка</v>
      </c>
      <c r="V4308" s="8" t="s">
        <v>831</v>
      </c>
      <c r="W4308" s="6"/>
      <c r="X4308" s="6"/>
      <c r="Y4308" s="6"/>
      <c r="Z4308" s="6"/>
      <c r="AA4308" s="6" t="s">
        <v>779</v>
      </c>
      <c r="AB4308" s="8"/>
      <c r="AC4308" s="27">
        <v>9785160206592</v>
      </c>
    </row>
    <row r="4309" spans="1:29" s="4" customFormat="1" ht="51.9" customHeight="1" x14ac:dyDescent="0.2">
      <c r="A4309" s="5">
        <v>0</v>
      </c>
      <c r="B4309" s="6" t="s">
        <v>24968</v>
      </c>
      <c r="C4309" s="7">
        <v>3892.8</v>
      </c>
      <c r="D4309" s="8" t="s">
        <v>24969</v>
      </c>
      <c r="E4309" s="8" t="s">
        <v>24970</v>
      </c>
      <c r="F4309" s="8" t="s">
        <v>24971</v>
      </c>
      <c r="G4309" s="6" t="s">
        <v>60</v>
      </c>
      <c r="H4309" s="6" t="s">
        <v>5605</v>
      </c>
      <c r="I4309" s="8" t="s">
        <v>253</v>
      </c>
      <c r="J4309" s="9">
        <v>1</v>
      </c>
      <c r="K4309" s="9">
        <v>624</v>
      </c>
      <c r="L4309" s="9">
        <v>2025</v>
      </c>
      <c r="M4309" s="8" t="s">
        <v>24972</v>
      </c>
      <c r="N4309" s="8" t="s">
        <v>243</v>
      </c>
      <c r="O4309" s="8" t="s">
        <v>329</v>
      </c>
      <c r="P4309" s="6" t="s">
        <v>51</v>
      </c>
      <c r="Q4309" s="8" t="s">
        <v>52</v>
      </c>
      <c r="R4309" s="10" t="s">
        <v>24973</v>
      </c>
      <c r="S4309" s="11" t="s">
        <v>24974</v>
      </c>
      <c r="T4309" s="6"/>
      <c r="U4309" s="15" t="str">
        <f>HYPERLINK("https://media.infra-m.ru/1871/1871501/cover/1871501.jpg", "Обложка")</f>
        <v>Обложка</v>
      </c>
      <c r="V4309" s="8" t="s">
        <v>22920</v>
      </c>
      <c r="W4309" s="6"/>
      <c r="X4309" s="6"/>
      <c r="Y4309" s="6"/>
      <c r="Z4309" s="6"/>
      <c r="AA4309" s="6" t="s">
        <v>43</v>
      </c>
      <c r="AB4309" s="8"/>
      <c r="AC4309" s="27">
        <v>9785160052908</v>
      </c>
    </row>
    <row r="4310" spans="1:29" s="4" customFormat="1" ht="51.9" customHeight="1" x14ac:dyDescent="0.2">
      <c r="A4310" s="5">
        <v>0</v>
      </c>
      <c r="B4310" s="6" t="s">
        <v>24975</v>
      </c>
      <c r="C4310" s="7">
        <v>2268</v>
      </c>
      <c r="D4310" s="8" t="s">
        <v>24976</v>
      </c>
      <c r="E4310" s="8" t="s">
        <v>24977</v>
      </c>
      <c r="F4310" s="8" t="s">
        <v>24978</v>
      </c>
      <c r="G4310" s="6" t="s">
        <v>118</v>
      </c>
      <c r="H4310" s="6" t="s">
        <v>34</v>
      </c>
      <c r="I4310" s="8" t="s">
        <v>253</v>
      </c>
      <c r="J4310" s="9">
        <v>1</v>
      </c>
      <c r="K4310" s="9">
        <v>363</v>
      </c>
      <c r="L4310" s="9">
        <v>2026</v>
      </c>
      <c r="M4310" s="8" t="s">
        <v>24979</v>
      </c>
      <c r="N4310" s="8" t="s">
        <v>243</v>
      </c>
      <c r="O4310" s="8" t="s">
        <v>1100</v>
      </c>
      <c r="P4310" s="6" t="s">
        <v>306</v>
      </c>
      <c r="Q4310" s="8" t="s">
        <v>52</v>
      </c>
      <c r="R4310" s="10" t="s">
        <v>1858</v>
      </c>
      <c r="S4310" s="11" t="s">
        <v>24980</v>
      </c>
      <c r="T4310" s="6" t="s">
        <v>97</v>
      </c>
      <c r="U4310" s="15" t="str">
        <f>HYPERLINK("https://media.infra-m.ru/2214/2214876/cover/2214876.jpg", "Обложка")</f>
        <v>Обложка</v>
      </c>
      <c r="V4310" s="8" t="s">
        <v>19024</v>
      </c>
      <c r="W4310" s="6"/>
      <c r="X4310" s="6"/>
      <c r="Y4310" s="6"/>
      <c r="Z4310" s="6"/>
      <c r="AA4310" s="6" t="s">
        <v>274</v>
      </c>
      <c r="AB4310" s="8"/>
      <c r="AC4310" s="27">
        <v>9785160211442</v>
      </c>
    </row>
    <row r="4311" spans="1:29" s="4" customFormat="1" ht="51.9" customHeight="1" x14ac:dyDescent="0.2">
      <c r="A4311" s="5">
        <v>0</v>
      </c>
      <c r="B4311" s="6" t="s">
        <v>24981</v>
      </c>
      <c r="C4311" s="7">
        <v>2460</v>
      </c>
      <c r="D4311" s="8" t="s">
        <v>24982</v>
      </c>
      <c r="E4311" s="8" t="s">
        <v>24983</v>
      </c>
      <c r="F4311" s="8" t="s">
        <v>24984</v>
      </c>
      <c r="G4311" s="6" t="s">
        <v>118</v>
      </c>
      <c r="H4311" s="6" t="s">
        <v>34</v>
      </c>
      <c r="I4311" s="8" t="s">
        <v>263</v>
      </c>
      <c r="J4311" s="9">
        <v>1</v>
      </c>
      <c r="K4311" s="9">
        <v>373</v>
      </c>
      <c r="L4311" s="9">
        <v>2026</v>
      </c>
      <c r="M4311" s="8" t="s">
        <v>24985</v>
      </c>
      <c r="N4311" s="8" t="s">
        <v>243</v>
      </c>
      <c r="O4311" s="8" t="s">
        <v>758</v>
      </c>
      <c r="P4311" s="6" t="s">
        <v>51</v>
      </c>
      <c r="Q4311" s="8" t="s">
        <v>265</v>
      </c>
      <c r="R4311" s="10" t="s">
        <v>24986</v>
      </c>
      <c r="S4311" s="11" t="s">
        <v>24987</v>
      </c>
      <c r="T4311" s="6"/>
      <c r="U4311" s="15" t="str">
        <f>HYPERLINK("https://media.infra-m.ru/2217/2217984/cover/2217984.jpg", "Обложка")</f>
        <v>Обложка</v>
      </c>
      <c r="V4311" s="8" t="s">
        <v>4754</v>
      </c>
      <c r="W4311" s="6"/>
      <c r="X4311" s="6" t="s">
        <v>24</v>
      </c>
      <c r="Y4311" s="6"/>
      <c r="Z4311" s="6"/>
      <c r="AA4311" s="6" t="s">
        <v>2240</v>
      </c>
      <c r="AB4311" s="8"/>
      <c r="AC4311" s="27">
        <v>9785160141183</v>
      </c>
    </row>
    <row r="4312" spans="1:29" s="4" customFormat="1" ht="51.9" customHeight="1" x14ac:dyDescent="0.2">
      <c r="A4312" s="5">
        <v>0</v>
      </c>
      <c r="B4312" s="6" t="s">
        <v>24988</v>
      </c>
      <c r="C4312" s="7">
        <v>1248</v>
      </c>
      <c r="D4312" s="8" t="s">
        <v>24989</v>
      </c>
      <c r="E4312" s="8" t="s">
        <v>24990</v>
      </c>
      <c r="F4312" s="8" t="s">
        <v>24991</v>
      </c>
      <c r="G4312" s="6" t="s">
        <v>118</v>
      </c>
      <c r="H4312" s="6" t="s">
        <v>34</v>
      </c>
      <c r="I4312" s="8" t="s">
        <v>263</v>
      </c>
      <c r="J4312" s="9">
        <v>1</v>
      </c>
      <c r="K4312" s="9">
        <v>412</v>
      </c>
      <c r="L4312" s="9">
        <v>2018</v>
      </c>
      <c r="M4312" s="8" t="s">
        <v>24992</v>
      </c>
      <c r="N4312" s="8" t="s">
        <v>243</v>
      </c>
      <c r="O4312" s="8" t="s">
        <v>758</v>
      </c>
      <c r="P4312" s="6" t="s">
        <v>51</v>
      </c>
      <c r="Q4312" s="8" t="s">
        <v>265</v>
      </c>
      <c r="R4312" s="10" t="s">
        <v>24986</v>
      </c>
      <c r="S4312" s="11" t="s">
        <v>24993</v>
      </c>
      <c r="T4312" s="6"/>
      <c r="U4312" s="15" t="str">
        <f>HYPERLINK("https://media.infra-m.ru/0942/0942771/cover/942771.jpg", "Обложка")</f>
        <v>Обложка</v>
      </c>
      <c r="V4312" s="8" t="s">
        <v>4754</v>
      </c>
      <c r="W4312" s="6"/>
      <c r="X4312" s="6" t="s">
        <v>24</v>
      </c>
      <c r="Y4312" s="6"/>
      <c r="Z4312" s="6"/>
      <c r="AA4312" s="6" t="s">
        <v>1506</v>
      </c>
      <c r="AB4312" s="8"/>
      <c r="AC4312" s="27">
        <v>9785160138589</v>
      </c>
    </row>
    <row r="4313" spans="1:29" s="4" customFormat="1" ht="51.9" customHeight="1" x14ac:dyDescent="0.2">
      <c r="A4313" s="5">
        <v>0</v>
      </c>
      <c r="B4313" s="6" t="s">
        <v>24994</v>
      </c>
      <c r="C4313" s="7">
        <v>2080.8000000000002</v>
      </c>
      <c r="D4313" s="8" t="s">
        <v>24995</v>
      </c>
      <c r="E4313" s="8" t="s">
        <v>24996</v>
      </c>
      <c r="F4313" s="8" t="s">
        <v>24997</v>
      </c>
      <c r="G4313" s="6" t="s">
        <v>60</v>
      </c>
      <c r="H4313" s="6" t="s">
        <v>1042</v>
      </c>
      <c r="I4313" s="8" t="s">
        <v>401</v>
      </c>
      <c r="J4313" s="9">
        <v>1</v>
      </c>
      <c r="K4313" s="9">
        <v>368</v>
      </c>
      <c r="L4313" s="9">
        <v>2024</v>
      </c>
      <c r="M4313" s="8" t="s">
        <v>24998</v>
      </c>
      <c r="N4313" s="8" t="s">
        <v>243</v>
      </c>
      <c r="O4313" s="8" t="s">
        <v>758</v>
      </c>
      <c r="P4313" s="6" t="s">
        <v>306</v>
      </c>
      <c r="Q4313" s="8" t="s">
        <v>265</v>
      </c>
      <c r="R4313" s="10" t="s">
        <v>24999</v>
      </c>
      <c r="S4313" s="11" t="s">
        <v>25000</v>
      </c>
      <c r="T4313" s="6"/>
      <c r="U4313" s="15" t="str">
        <f>HYPERLINK("https://media.infra-m.ru/2103/2103205/cover/2103205.jpg", "Обложка")</f>
        <v>Обложка</v>
      </c>
      <c r="V4313" s="8" t="s">
        <v>831</v>
      </c>
      <c r="W4313" s="6"/>
      <c r="X4313" s="6"/>
      <c r="Y4313" s="6"/>
      <c r="Z4313" s="6"/>
      <c r="AA4313" s="6" t="s">
        <v>55</v>
      </c>
      <c r="AB4313" s="8"/>
      <c r="AC4313" s="27">
        <v>9785819905616</v>
      </c>
    </row>
    <row r="4314" spans="1:29" s="4" customFormat="1" ht="51.9" customHeight="1" x14ac:dyDescent="0.2">
      <c r="A4314" s="5">
        <v>0</v>
      </c>
      <c r="B4314" s="6" t="s">
        <v>25001</v>
      </c>
      <c r="C4314" s="7">
        <v>1356</v>
      </c>
      <c r="D4314" s="8" t="s">
        <v>25002</v>
      </c>
      <c r="E4314" s="8" t="s">
        <v>25003</v>
      </c>
      <c r="F4314" s="8" t="s">
        <v>25004</v>
      </c>
      <c r="G4314" s="6" t="s">
        <v>118</v>
      </c>
      <c r="H4314" s="6" t="s">
        <v>34</v>
      </c>
      <c r="I4314" s="8" t="s">
        <v>253</v>
      </c>
      <c r="J4314" s="9">
        <v>1</v>
      </c>
      <c r="K4314" s="9">
        <v>231</v>
      </c>
      <c r="L4314" s="9">
        <v>2024</v>
      </c>
      <c r="M4314" s="8" t="s">
        <v>25005</v>
      </c>
      <c r="N4314" s="8" t="s">
        <v>243</v>
      </c>
      <c r="O4314" s="8" t="s">
        <v>758</v>
      </c>
      <c r="P4314" s="6" t="s">
        <v>51</v>
      </c>
      <c r="Q4314" s="8" t="s">
        <v>52</v>
      </c>
      <c r="R4314" s="10" t="s">
        <v>25006</v>
      </c>
      <c r="S4314" s="11" t="s">
        <v>25007</v>
      </c>
      <c r="T4314" s="6"/>
      <c r="U4314" s="15" t="str">
        <f>HYPERLINK("https://media.infra-m.ru/2132/2132080/cover/2132080.jpg", "Обложка")</f>
        <v>Обложка</v>
      </c>
      <c r="V4314" s="8" t="s">
        <v>19024</v>
      </c>
      <c r="W4314" s="6"/>
      <c r="X4314" s="6"/>
      <c r="Y4314" s="6"/>
      <c r="Z4314" s="6"/>
      <c r="AA4314" s="6" t="s">
        <v>430</v>
      </c>
      <c r="AB4314" s="8"/>
      <c r="AC4314" s="27">
        <v>9785160199603</v>
      </c>
    </row>
    <row r="4315" spans="1:29" s="4" customFormat="1" ht="42" customHeight="1" x14ac:dyDescent="0.2">
      <c r="A4315" s="5">
        <v>0</v>
      </c>
      <c r="B4315" s="6" t="s">
        <v>25008</v>
      </c>
      <c r="C4315" s="7">
        <v>1308</v>
      </c>
      <c r="D4315" s="8" t="s">
        <v>25009</v>
      </c>
      <c r="E4315" s="8" t="s">
        <v>25003</v>
      </c>
      <c r="F4315" s="8" t="s">
        <v>25004</v>
      </c>
      <c r="G4315" s="6" t="s">
        <v>60</v>
      </c>
      <c r="H4315" s="6" t="s">
        <v>34</v>
      </c>
      <c r="I4315" s="8" t="s">
        <v>263</v>
      </c>
      <c r="J4315" s="9">
        <v>1</v>
      </c>
      <c r="K4315" s="9">
        <v>231</v>
      </c>
      <c r="L4315" s="9">
        <v>2024</v>
      </c>
      <c r="M4315" s="8" t="s">
        <v>25010</v>
      </c>
      <c r="N4315" s="8" t="s">
        <v>243</v>
      </c>
      <c r="O4315" s="8" t="s">
        <v>758</v>
      </c>
      <c r="P4315" s="6" t="s">
        <v>51</v>
      </c>
      <c r="Q4315" s="8" t="s">
        <v>265</v>
      </c>
      <c r="R4315" s="10" t="s">
        <v>25011</v>
      </c>
      <c r="S4315" s="11"/>
      <c r="T4315" s="6"/>
      <c r="U4315" s="15" t="str">
        <f>HYPERLINK("https://media.infra-m.ru/2147/2147814/cover/2147814.jpg", "Обложка")</f>
        <v>Обложка</v>
      </c>
      <c r="V4315" s="8" t="s">
        <v>19024</v>
      </c>
      <c r="W4315" s="6"/>
      <c r="X4315" s="6"/>
      <c r="Y4315" s="6"/>
      <c r="Z4315" s="6" t="s">
        <v>267</v>
      </c>
      <c r="AA4315" s="6" t="s">
        <v>76</v>
      </c>
      <c r="AB4315" s="8"/>
      <c r="AC4315" s="27">
        <v>9785160199559</v>
      </c>
    </row>
    <row r="4316" spans="1:29" s="4" customFormat="1" ht="51.9" customHeight="1" x14ac:dyDescent="0.2">
      <c r="A4316" s="5">
        <v>0</v>
      </c>
      <c r="B4316" s="6" t="s">
        <v>25012</v>
      </c>
      <c r="C4316" s="7">
        <v>1116</v>
      </c>
      <c r="D4316" s="8" t="s">
        <v>25013</v>
      </c>
      <c r="E4316" s="8" t="s">
        <v>25014</v>
      </c>
      <c r="F4316" s="8" t="s">
        <v>25015</v>
      </c>
      <c r="G4316" s="6" t="s">
        <v>60</v>
      </c>
      <c r="H4316" s="6" t="s">
        <v>34</v>
      </c>
      <c r="I4316" s="8" t="s">
        <v>1248</v>
      </c>
      <c r="J4316" s="9">
        <v>1</v>
      </c>
      <c r="K4316" s="9">
        <v>154</v>
      </c>
      <c r="L4316" s="9">
        <v>2026</v>
      </c>
      <c r="M4316" s="8" t="s">
        <v>25016</v>
      </c>
      <c r="N4316" s="8" t="s">
        <v>243</v>
      </c>
      <c r="O4316" s="8" t="s">
        <v>758</v>
      </c>
      <c r="P4316" s="6" t="s">
        <v>51</v>
      </c>
      <c r="Q4316" s="8" t="s">
        <v>65</v>
      </c>
      <c r="R4316" s="10" t="s">
        <v>25017</v>
      </c>
      <c r="S4316" s="11"/>
      <c r="T4316" s="6"/>
      <c r="U4316" s="15" t="str">
        <f>HYPERLINK("https://media.infra-m.ru/2223/2223540/cover/2223540.jpg", "Обложка")</f>
        <v>Обложка</v>
      </c>
      <c r="V4316" s="8" t="s">
        <v>1083</v>
      </c>
      <c r="W4316" s="6" t="s">
        <v>186</v>
      </c>
      <c r="X4316" s="6"/>
      <c r="Y4316" s="6"/>
      <c r="Z4316" s="6"/>
      <c r="AA4316" s="6" t="s">
        <v>187</v>
      </c>
      <c r="AB4316" s="8"/>
      <c r="AC4316" s="27">
        <v>9785160213903</v>
      </c>
    </row>
    <row r="4317" spans="1:29" s="4" customFormat="1" ht="42" customHeight="1" x14ac:dyDescent="0.2">
      <c r="A4317" s="5">
        <v>0</v>
      </c>
      <c r="B4317" s="6" t="s">
        <v>25018</v>
      </c>
      <c r="C4317" s="13">
        <v>972</v>
      </c>
      <c r="D4317" s="8" t="s">
        <v>25019</v>
      </c>
      <c r="E4317" s="8" t="s">
        <v>25020</v>
      </c>
      <c r="F4317" s="8" t="s">
        <v>25021</v>
      </c>
      <c r="G4317" s="6" t="s">
        <v>33</v>
      </c>
      <c r="H4317" s="6" t="s">
        <v>34</v>
      </c>
      <c r="I4317" s="8" t="s">
        <v>1081</v>
      </c>
      <c r="J4317" s="9">
        <v>1</v>
      </c>
      <c r="K4317" s="9">
        <v>155</v>
      </c>
      <c r="L4317" s="9">
        <v>2025</v>
      </c>
      <c r="M4317" s="8" t="s">
        <v>25022</v>
      </c>
      <c r="N4317" s="8" t="s">
        <v>243</v>
      </c>
      <c r="O4317" s="8" t="s">
        <v>758</v>
      </c>
      <c r="P4317" s="6" t="s">
        <v>39</v>
      </c>
      <c r="Q4317" s="8" t="s">
        <v>40</v>
      </c>
      <c r="R4317" s="10" t="s">
        <v>25023</v>
      </c>
      <c r="S4317" s="11"/>
      <c r="T4317" s="6"/>
      <c r="U4317" s="15" t="str">
        <f>HYPERLINK("https://media.infra-m.ru/2184/2184264/cover/2184264.jpg", "Обложка")</f>
        <v>Обложка</v>
      </c>
      <c r="V4317" s="8" t="s">
        <v>1083</v>
      </c>
      <c r="W4317" s="6"/>
      <c r="X4317" s="6"/>
      <c r="Y4317" s="6"/>
      <c r="Z4317" s="6"/>
      <c r="AA4317" s="6" t="s">
        <v>148</v>
      </c>
      <c r="AB4317" s="8"/>
      <c r="AC4317" s="27">
        <v>9785160172842</v>
      </c>
    </row>
    <row r="4318" spans="1:29" s="4" customFormat="1" ht="51.9" customHeight="1" x14ac:dyDescent="0.2">
      <c r="A4318" s="5">
        <v>0</v>
      </c>
      <c r="B4318" s="6" t="s">
        <v>25024</v>
      </c>
      <c r="C4318" s="7">
        <v>3196.8</v>
      </c>
      <c r="D4318" s="8" t="s">
        <v>25025</v>
      </c>
      <c r="E4318" s="8" t="s">
        <v>25026</v>
      </c>
      <c r="F4318" s="8" t="s">
        <v>25027</v>
      </c>
      <c r="G4318" s="6" t="s">
        <v>60</v>
      </c>
      <c r="H4318" s="6" t="s">
        <v>34</v>
      </c>
      <c r="I4318" s="8" t="s">
        <v>271</v>
      </c>
      <c r="J4318" s="9">
        <v>1</v>
      </c>
      <c r="K4318" s="9">
        <v>459</v>
      </c>
      <c r="L4318" s="9">
        <v>2026</v>
      </c>
      <c r="M4318" s="8" t="s">
        <v>25028</v>
      </c>
      <c r="N4318" s="8" t="s">
        <v>243</v>
      </c>
      <c r="O4318" s="8" t="s">
        <v>758</v>
      </c>
      <c r="P4318" s="6" t="s">
        <v>306</v>
      </c>
      <c r="Q4318" s="8" t="s">
        <v>52</v>
      </c>
      <c r="R4318" s="10" t="s">
        <v>19379</v>
      </c>
      <c r="S4318" s="11" t="s">
        <v>25029</v>
      </c>
      <c r="T4318" s="6"/>
      <c r="U4318" s="15" t="str">
        <f>HYPERLINK("https://media.infra-m.ru/2271/2271618/cover/2271618.jpg", "Обложка")</f>
        <v>Обложка</v>
      </c>
      <c r="V4318" s="8" t="s">
        <v>25030</v>
      </c>
      <c r="W4318" s="6"/>
      <c r="X4318" s="6"/>
      <c r="Y4318" s="6"/>
      <c r="Z4318" s="6"/>
      <c r="AA4318" s="6" t="s">
        <v>248</v>
      </c>
      <c r="AB4318" s="8"/>
      <c r="AC4318" s="27">
        <v>9785160093710</v>
      </c>
    </row>
    <row r="4319" spans="1:29" s="4" customFormat="1" ht="42" customHeight="1" x14ac:dyDescent="0.2">
      <c r="A4319" s="5">
        <v>0</v>
      </c>
      <c r="B4319" s="6" t="s">
        <v>25031</v>
      </c>
      <c r="C4319" s="7">
        <v>1836</v>
      </c>
      <c r="D4319" s="8" t="s">
        <v>25032</v>
      </c>
      <c r="E4319" s="8" t="s">
        <v>25033</v>
      </c>
      <c r="F4319" s="8" t="s">
        <v>25034</v>
      </c>
      <c r="G4319" s="6" t="s">
        <v>60</v>
      </c>
      <c r="H4319" s="6" t="s">
        <v>34</v>
      </c>
      <c r="I4319" s="8" t="s">
        <v>253</v>
      </c>
      <c r="J4319" s="9">
        <v>1</v>
      </c>
      <c r="K4319" s="9">
        <v>249</v>
      </c>
      <c r="L4319" s="9">
        <v>2027</v>
      </c>
      <c r="M4319" s="8" t="s">
        <v>25035</v>
      </c>
      <c r="N4319" s="8" t="s">
        <v>37</v>
      </c>
      <c r="O4319" s="8" t="s">
        <v>83</v>
      </c>
      <c r="P4319" s="6" t="s">
        <v>306</v>
      </c>
      <c r="Q4319" s="8" t="s">
        <v>500</v>
      </c>
      <c r="R4319" s="10" t="s">
        <v>25036</v>
      </c>
      <c r="S4319" s="11"/>
      <c r="T4319" s="6"/>
      <c r="U4319" s="15" t="str">
        <f>HYPERLINK("https://media.infra-m.ru/2234/2234129/cover/2234129.jpg", "Обложка")</f>
        <v>Обложка</v>
      </c>
      <c r="V4319" s="8" t="s">
        <v>396</v>
      </c>
      <c r="W4319" s="6" t="s">
        <v>2115</v>
      </c>
      <c r="X4319" s="6"/>
      <c r="Y4319" s="6"/>
      <c r="Z4319" s="6"/>
      <c r="AA4319" s="6" t="s">
        <v>420</v>
      </c>
      <c r="AB4319" s="8" t="s">
        <v>308</v>
      </c>
      <c r="AC4319" s="27">
        <v>9785160216744</v>
      </c>
    </row>
    <row r="4320" spans="1:29" s="4" customFormat="1" ht="51.9" customHeight="1" x14ac:dyDescent="0.2">
      <c r="A4320" s="5">
        <v>0</v>
      </c>
      <c r="B4320" s="6" t="s">
        <v>25037</v>
      </c>
      <c r="C4320" s="7">
        <v>2964</v>
      </c>
      <c r="D4320" s="8" t="s">
        <v>25038</v>
      </c>
      <c r="E4320" s="8" t="s">
        <v>25039</v>
      </c>
      <c r="F4320" s="8" t="s">
        <v>25040</v>
      </c>
      <c r="G4320" s="6" t="s">
        <v>60</v>
      </c>
      <c r="H4320" s="6" t="s">
        <v>34</v>
      </c>
      <c r="I4320" s="8" t="s">
        <v>263</v>
      </c>
      <c r="J4320" s="9">
        <v>1</v>
      </c>
      <c r="K4320" s="9">
        <v>448</v>
      </c>
      <c r="L4320" s="9">
        <v>2026</v>
      </c>
      <c r="M4320" s="8" t="s">
        <v>25041</v>
      </c>
      <c r="N4320" s="8" t="s">
        <v>243</v>
      </c>
      <c r="O4320" s="8" t="s">
        <v>758</v>
      </c>
      <c r="P4320" s="6" t="s">
        <v>51</v>
      </c>
      <c r="Q4320" s="8" t="s">
        <v>265</v>
      </c>
      <c r="R4320" s="10" t="s">
        <v>25042</v>
      </c>
      <c r="S4320" s="11" t="s">
        <v>25043</v>
      </c>
      <c r="T4320" s="6"/>
      <c r="U4320" s="15" t="str">
        <f>HYPERLINK("https://media.infra-m.ru/2253/2253948/cover/2253948.jpg", "Обложка")</f>
        <v>Обложка</v>
      </c>
      <c r="V4320" s="8" t="s">
        <v>10082</v>
      </c>
      <c r="W4320" s="6"/>
      <c r="X4320" s="6"/>
      <c r="Y4320" s="6"/>
      <c r="Z4320" s="6"/>
      <c r="AA4320" s="6" t="s">
        <v>115</v>
      </c>
      <c r="AB4320" s="8"/>
      <c r="AC4320" s="27">
        <v>9785160152196</v>
      </c>
    </row>
    <row r="4321" spans="1:29" s="4" customFormat="1" ht="51.9" customHeight="1" x14ac:dyDescent="0.2">
      <c r="A4321" s="5">
        <v>0</v>
      </c>
      <c r="B4321" s="6" t="s">
        <v>25044</v>
      </c>
      <c r="C4321" s="7">
        <v>1732.8</v>
      </c>
      <c r="D4321" s="8" t="s">
        <v>25045</v>
      </c>
      <c r="E4321" s="8" t="s">
        <v>25046</v>
      </c>
      <c r="F4321" s="8" t="s">
        <v>4643</v>
      </c>
      <c r="G4321" s="6" t="s">
        <v>118</v>
      </c>
      <c r="H4321" s="6" t="s">
        <v>34</v>
      </c>
      <c r="I4321" s="8" t="s">
        <v>504</v>
      </c>
      <c r="J4321" s="9">
        <v>1</v>
      </c>
      <c r="K4321" s="9">
        <v>262</v>
      </c>
      <c r="L4321" s="9">
        <v>2026</v>
      </c>
      <c r="M4321" s="8" t="s">
        <v>25047</v>
      </c>
      <c r="N4321" s="8" t="s">
        <v>585</v>
      </c>
      <c r="O4321" s="8" t="s">
        <v>775</v>
      </c>
      <c r="P4321" s="6" t="s">
        <v>51</v>
      </c>
      <c r="Q4321" s="8" t="s">
        <v>500</v>
      </c>
      <c r="R4321" s="10" t="s">
        <v>6728</v>
      </c>
      <c r="S4321" s="11" t="s">
        <v>25048</v>
      </c>
      <c r="T4321" s="6"/>
      <c r="U4321" s="15" t="str">
        <f>HYPERLINK("https://media.infra-m.ru/2226/2226477/cover/2226477.jpg", "Обложка")</f>
        <v>Обложка</v>
      </c>
      <c r="V4321" s="8" t="s">
        <v>761</v>
      </c>
      <c r="W4321" s="6"/>
      <c r="X4321" s="6"/>
      <c r="Y4321" s="6"/>
      <c r="Z4321" s="6"/>
      <c r="AA4321" s="6" t="s">
        <v>115</v>
      </c>
      <c r="AB4321" s="8"/>
      <c r="AC4321" s="27">
        <v>9785160145778</v>
      </c>
    </row>
    <row r="4322" spans="1:29" s="4" customFormat="1" ht="51.9" customHeight="1" x14ac:dyDescent="0.2">
      <c r="A4322" s="5">
        <v>0</v>
      </c>
      <c r="B4322" s="6" t="s">
        <v>25049</v>
      </c>
      <c r="C4322" s="13">
        <v>924</v>
      </c>
      <c r="D4322" s="8" t="s">
        <v>25050</v>
      </c>
      <c r="E4322" s="8" t="s">
        <v>25051</v>
      </c>
      <c r="F4322" s="8" t="s">
        <v>9040</v>
      </c>
      <c r="G4322" s="6" t="s">
        <v>60</v>
      </c>
      <c r="H4322" s="6" t="s">
        <v>34</v>
      </c>
      <c r="I4322" s="8" t="s">
        <v>263</v>
      </c>
      <c r="J4322" s="9">
        <v>1</v>
      </c>
      <c r="K4322" s="9">
        <v>184</v>
      </c>
      <c r="L4322" s="9">
        <v>2022</v>
      </c>
      <c r="M4322" s="8" t="s">
        <v>25052</v>
      </c>
      <c r="N4322" s="8" t="s">
        <v>243</v>
      </c>
      <c r="O4322" s="8" t="s">
        <v>244</v>
      </c>
      <c r="P4322" s="6" t="s">
        <v>51</v>
      </c>
      <c r="Q4322" s="8" t="s">
        <v>265</v>
      </c>
      <c r="R4322" s="10" t="s">
        <v>25053</v>
      </c>
      <c r="S4322" s="11" t="s">
        <v>25054</v>
      </c>
      <c r="T4322" s="6"/>
      <c r="U4322" s="15" t="str">
        <f>HYPERLINK("https://media.infra-m.ru/1846/1846131/cover/1846131.jpg", "Обложка")</f>
        <v>Обложка</v>
      </c>
      <c r="V4322" s="8"/>
      <c r="W4322" s="6"/>
      <c r="X4322" s="6"/>
      <c r="Y4322" s="6"/>
      <c r="Z4322" s="6"/>
      <c r="AA4322" s="6" t="s">
        <v>148</v>
      </c>
      <c r="AB4322" s="8"/>
      <c r="AC4322" s="27">
        <v>9785160173733</v>
      </c>
    </row>
    <row r="4323" spans="1:29" s="4" customFormat="1" ht="51.9" customHeight="1" x14ac:dyDescent="0.2">
      <c r="A4323" s="5">
        <v>0</v>
      </c>
      <c r="B4323" s="6" t="s">
        <v>25055</v>
      </c>
      <c r="C4323" s="13">
        <v>936</v>
      </c>
      <c r="D4323" s="8" t="s">
        <v>25056</v>
      </c>
      <c r="E4323" s="8" t="s">
        <v>25057</v>
      </c>
      <c r="F4323" s="8" t="s">
        <v>25058</v>
      </c>
      <c r="G4323" s="6" t="s">
        <v>33</v>
      </c>
      <c r="H4323" s="6" t="s">
        <v>34</v>
      </c>
      <c r="I4323" s="8" t="s">
        <v>35</v>
      </c>
      <c r="J4323" s="9">
        <v>1</v>
      </c>
      <c r="K4323" s="9">
        <v>173</v>
      </c>
      <c r="L4323" s="9">
        <v>2023</v>
      </c>
      <c r="M4323" s="8" t="s">
        <v>25059</v>
      </c>
      <c r="N4323" s="8" t="s">
        <v>243</v>
      </c>
      <c r="O4323" s="8" t="s">
        <v>1100</v>
      </c>
      <c r="P4323" s="6" t="s">
        <v>39</v>
      </c>
      <c r="Q4323" s="8" t="s">
        <v>40</v>
      </c>
      <c r="R4323" s="10" t="s">
        <v>25060</v>
      </c>
      <c r="S4323" s="11"/>
      <c r="T4323" s="6"/>
      <c r="U4323" s="15" t="str">
        <f>HYPERLINK("https://media.infra-m.ru/1911/1911160/cover/1911160.jpg", "Обложка")</f>
        <v>Обложка</v>
      </c>
      <c r="V4323" s="8" t="s">
        <v>1055</v>
      </c>
      <c r="W4323" s="6"/>
      <c r="X4323" s="6"/>
      <c r="Y4323" s="6"/>
      <c r="Z4323" s="6"/>
      <c r="AA4323" s="6" t="s">
        <v>248</v>
      </c>
      <c r="AB4323" s="8"/>
      <c r="AC4323" s="27">
        <v>9785160089829</v>
      </c>
    </row>
    <row r="4324" spans="1:29" s="4" customFormat="1" ht="51.9" customHeight="1" x14ac:dyDescent="0.2">
      <c r="A4324" s="5">
        <v>0</v>
      </c>
      <c r="B4324" s="6" t="s">
        <v>25061</v>
      </c>
      <c r="C4324" s="7">
        <v>2488.8000000000002</v>
      </c>
      <c r="D4324" s="8" t="s">
        <v>25062</v>
      </c>
      <c r="E4324" s="8" t="s">
        <v>25063</v>
      </c>
      <c r="F4324" s="8" t="s">
        <v>25064</v>
      </c>
      <c r="G4324" s="6" t="s">
        <v>118</v>
      </c>
      <c r="H4324" s="6" t="s">
        <v>34</v>
      </c>
      <c r="I4324" s="8" t="s">
        <v>9737</v>
      </c>
      <c r="J4324" s="9">
        <v>1</v>
      </c>
      <c r="K4324" s="9">
        <v>377</v>
      </c>
      <c r="L4324" s="9">
        <v>2026</v>
      </c>
      <c r="M4324" s="8" t="s">
        <v>25065</v>
      </c>
      <c r="N4324" s="8" t="s">
        <v>243</v>
      </c>
      <c r="O4324" s="8" t="s">
        <v>244</v>
      </c>
      <c r="P4324" s="6" t="s">
        <v>306</v>
      </c>
      <c r="Q4324" s="8" t="s">
        <v>1349</v>
      </c>
      <c r="R4324" s="10" t="s">
        <v>25066</v>
      </c>
      <c r="S4324" s="11" t="s">
        <v>25067</v>
      </c>
      <c r="T4324" s="6"/>
      <c r="U4324" s="15" t="str">
        <f>HYPERLINK("https://media.infra-m.ru/2237/2237108/cover/2237108.jpg", "Обложка")</f>
        <v>Обложка</v>
      </c>
      <c r="V4324" s="8" t="s">
        <v>16903</v>
      </c>
      <c r="W4324" s="6"/>
      <c r="X4324" s="6"/>
      <c r="Y4324" s="6"/>
      <c r="Z4324" s="6"/>
      <c r="AA4324" s="6" t="s">
        <v>258</v>
      </c>
      <c r="AB4324" s="8"/>
      <c r="AC4324" s="27">
        <v>9785160158709</v>
      </c>
    </row>
    <row r="4325" spans="1:29" s="4" customFormat="1" ht="51.9" customHeight="1" x14ac:dyDescent="0.2">
      <c r="A4325" s="5">
        <v>0</v>
      </c>
      <c r="B4325" s="6" t="s">
        <v>25068</v>
      </c>
      <c r="C4325" s="7">
        <v>1260</v>
      </c>
      <c r="D4325" s="8" t="s">
        <v>25069</v>
      </c>
      <c r="E4325" s="8" t="s">
        <v>25070</v>
      </c>
      <c r="F4325" s="8" t="s">
        <v>25071</v>
      </c>
      <c r="G4325" s="6" t="s">
        <v>118</v>
      </c>
      <c r="H4325" s="6" t="s">
        <v>34</v>
      </c>
      <c r="I4325" s="8" t="s">
        <v>271</v>
      </c>
      <c r="J4325" s="9">
        <v>1</v>
      </c>
      <c r="K4325" s="9">
        <v>326</v>
      </c>
      <c r="L4325" s="9">
        <v>2019</v>
      </c>
      <c r="M4325" s="8" t="s">
        <v>25072</v>
      </c>
      <c r="N4325" s="8" t="s">
        <v>243</v>
      </c>
      <c r="O4325" s="8" t="s">
        <v>244</v>
      </c>
      <c r="P4325" s="6" t="s">
        <v>306</v>
      </c>
      <c r="Q4325" s="8" t="s">
        <v>52</v>
      </c>
      <c r="R4325" s="10" t="s">
        <v>25066</v>
      </c>
      <c r="S4325" s="11" t="s">
        <v>25073</v>
      </c>
      <c r="T4325" s="6"/>
      <c r="U4325" s="15" t="str">
        <f>HYPERLINK("https://media.infra-m.ru/1025/1025509/cover/1025509.jpg", "Обложка")</f>
        <v>Обложка</v>
      </c>
      <c r="V4325" s="8" t="s">
        <v>16903</v>
      </c>
      <c r="W4325" s="6"/>
      <c r="X4325" s="6"/>
      <c r="Y4325" s="6"/>
      <c r="Z4325" s="6"/>
      <c r="AA4325" s="6" t="s">
        <v>86</v>
      </c>
      <c r="AB4325" s="8"/>
      <c r="AC4325" s="27">
        <v>9785160134611</v>
      </c>
    </row>
    <row r="4326" spans="1:29" s="4" customFormat="1" ht="51.9" customHeight="1" x14ac:dyDescent="0.2">
      <c r="A4326" s="5">
        <v>0</v>
      </c>
      <c r="B4326" s="6" t="s">
        <v>25074</v>
      </c>
      <c r="C4326" s="13">
        <v>820.8</v>
      </c>
      <c r="D4326" s="8" t="s">
        <v>25075</v>
      </c>
      <c r="E4326" s="8" t="s">
        <v>25076</v>
      </c>
      <c r="F4326" s="8" t="s">
        <v>7852</v>
      </c>
      <c r="G4326" s="6" t="s">
        <v>33</v>
      </c>
      <c r="H4326" s="6" t="s">
        <v>34</v>
      </c>
      <c r="I4326" s="8" t="s">
        <v>35</v>
      </c>
      <c r="J4326" s="9">
        <v>1</v>
      </c>
      <c r="K4326" s="9">
        <v>100</v>
      </c>
      <c r="L4326" s="9">
        <v>2023</v>
      </c>
      <c r="M4326" s="8" t="s">
        <v>25077</v>
      </c>
      <c r="N4326" s="8" t="s">
        <v>93</v>
      </c>
      <c r="O4326" s="8" t="s">
        <v>94</v>
      </c>
      <c r="P4326" s="6" t="s">
        <v>39</v>
      </c>
      <c r="Q4326" s="8" t="s">
        <v>40</v>
      </c>
      <c r="R4326" s="10" t="s">
        <v>7218</v>
      </c>
      <c r="S4326" s="11"/>
      <c r="T4326" s="6"/>
      <c r="U4326" s="15" t="str">
        <f>HYPERLINK("https://media.infra-m.ru/1976/1976165/cover/1976165.jpg", "Обложка")</f>
        <v>Обложка</v>
      </c>
      <c r="V4326" s="8" t="s">
        <v>7855</v>
      </c>
      <c r="W4326" s="6"/>
      <c r="X4326" s="6"/>
      <c r="Y4326" s="6"/>
      <c r="Z4326" s="6"/>
      <c r="AA4326" s="6" t="s">
        <v>2240</v>
      </c>
      <c r="AB4326" s="8"/>
      <c r="AC4326" s="27">
        <v>9785160153599</v>
      </c>
    </row>
    <row r="4327" spans="1:29" s="4" customFormat="1" ht="51.9" customHeight="1" x14ac:dyDescent="0.2">
      <c r="A4327" s="5">
        <v>0</v>
      </c>
      <c r="B4327" s="6" t="s">
        <v>25078</v>
      </c>
      <c r="C4327" s="7">
        <v>1260</v>
      </c>
      <c r="D4327" s="8" t="s">
        <v>25079</v>
      </c>
      <c r="E4327" s="8" t="s">
        <v>25080</v>
      </c>
      <c r="F4327" s="8" t="s">
        <v>25081</v>
      </c>
      <c r="G4327" s="6" t="s">
        <v>33</v>
      </c>
      <c r="H4327" s="6" t="s">
        <v>34</v>
      </c>
      <c r="I4327" s="8" t="s">
        <v>35</v>
      </c>
      <c r="J4327" s="9">
        <v>1</v>
      </c>
      <c r="K4327" s="9">
        <v>202</v>
      </c>
      <c r="L4327" s="9">
        <v>2026</v>
      </c>
      <c r="M4327" s="8" t="s">
        <v>25082</v>
      </c>
      <c r="N4327" s="8" t="s">
        <v>37</v>
      </c>
      <c r="O4327" s="8" t="s">
        <v>38</v>
      </c>
      <c r="P4327" s="6" t="s">
        <v>39</v>
      </c>
      <c r="Q4327" s="8" t="s">
        <v>40</v>
      </c>
      <c r="R4327" s="10" t="s">
        <v>25083</v>
      </c>
      <c r="S4327" s="11"/>
      <c r="T4327" s="6"/>
      <c r="U4327" s="15" t="str">
        <f>HYPERLINK("https://media.infra-m.ru/2219/2219569/cover/2219569.jpg", "Обложка")</f>
        <v>Обложка</v>
      </c>
      <c r="V4327" s="8" t="s">
        <v>25084</v>
      </c>
      <c r="W4327" s="6"/>
      <c r="X4327" s="6"/>
      <c r="Y4327" s="6"/>
      <c r="Z4327" s="6"/>
      <c r="AA4327" s="6" t="s">
        <v>157</v>
      </c>
      <c r="AB4327" s="8"/>
      <c r="AC4327" s="27">
        <v>9785160179384</v>
      </c>
    </row>
    <row r="4328" spans="1:29" s="4" customFormat="1" ht="44.1" customHeight="1" x14ac:dyDescent="0.2">
      <c r="A4328" s="5">
        <v>0</v>
      </c>
      <c r="B4328" s="6" t="s">
        <v>25085</v>
      </c>
      <c r="C4328" s="7">
        <v>1308</v>
      </c>
      <c r="D4328" s="8" t="s">
        <v>25086</v>
      </c>
      <c r="E4328" s="8" t="s">
        <v>25087</v>
      </c>
      <c r="F4328" s="8" t="s">
        <v>25088</v>
      </c>
      <c r="G4328" s="6" t="s">
        <v>60</v>
      </c>
      <c r="H4328" s="6" t="s">
        <v>34</v>
      </c>
      <c r="I4328" s="8" t="s">
        <v>35</v>
      </c>
      <c r="J4328" s="9">
        <v>1</v>
      </c>
      <c r="K4328" s="9">
        <v>182</v>
      </c>
      <c r="L4328" s="9">
        <v>2026</v>
      </c>
      <c r="M4328" s="8" t="s">
        <v>25089</v>
      </c>
      <c r="N4328" s="8" t="s">
        <v>93</v>
      </c>
      <c r="O4328" s="8" t="s">
        <v>94</v>
      </c>
      <c r="P4328" s="6" t="s">
        <v>39</v>
      </c>
      <c r="Q4328" s="8" t="s">
        <v>40</v>
      </c>
      <c r="R4328" s="10" t="s">
        <v>25090</v>
      </c>
      <c r="S4328" s="11"/>
      <c r="T4328" s="6"/>
      <c r="U4328" s="15" t="str">
        <f>HYPERLINK("https://media.infra-m.ru/2242/2242164/cover/2242164.jpg", "Обложка")</f>
        <v>Обложка</v>
      </c>
      <c r="V4328" s="8" t="s">
        <v>546</v>
      </c>
      <c r="W4328" s="6" t="s">
        <v>2115</v>
      </c>
      <c r="X4328" s="6"/>
      <c r="Y4328" s="6"/>
      <c r="Z4328" s="6"/>
      <c r="AA4328" s="6" t="s">
        <v>650</v>
      </c>
      <c r="AB4328" s="8"/>
      <c r="AC4328" s="27">
        <v>9785160219066</v>
      </c>
    </row>
    <row r="4329" spans="1:29" s="4" customFormat="1" ht="42" customHeight="1" x14ac:dyDescent="0.2">
      <c r="A4329" s="5">
        <v>0</v>
      </c>
      <c r="B4329" s="6" t="s">
        <v>25091</v>
      </c>
      <c r="C4329" s="7">
        <v>1080</v>
      </c>
      <c r="D4329" s="8" t="s">
        <v>25092</v>
      </c>
      <c r="E4329" s="8" t="s">
        <v>25093</v>
      </c>
      <c r="F4329" s="8" t="s">
        <v>25094</v>
      </c>
      <c r="G4329" s="6" t="s">
        <v>33</v>
      </c>
      <c r="H4329" s="6" t="s">
        <v>34</v>
      </c>
      <c r="I4329" s="8" t="s">
        <v>35</v>
      </c>
      <c r="J4329" s="9">
        <v>1</v>
      </c>
      <c r="K4329" s="9">
        <v>188</v>
      </c>
      <c r="L4329" s="9">
        <v>2024</v>
      </c>
      <c r="M4329" s="8" t="s">
        <v>25095</v>
      </c>
      <c r="N4329" s="8" t="s">
        <v>93</v>
      </c>
      <c r="O4329" s="8" t="s">
        <v>94</v>
      </c>
      <c r="P4329" s="6" t="s">
        <v>39</v>
      </c>
      <c r="Q4329" s="8" t="s">
        <v>40</v>
      </c>
      <c r="R4329" s="10" t="s">
        <v>25096</v>
      </c>
      <c r="S4329" s="11"/>
      <c r="T4329" s="6"/>
      <c r="U4329" s="15" t="str">
        <f>HYPERLINK("https://media.infra-m.ru/2086/2086355/cover/2086355.jpg", "Обложка")</f>
        <v>Обложка</v>
      </c>
      <c r="V4329" s="8" t="s">
        <v>25097</v>
      </c>
      <c r="W4329" s="6"/>
      <c r="X4329" s="6"/>
      <c r="Y4329" s="6"/>
      <c r="Z4329" s="6"/>
      <c r="AA4329" s="6" t="s">
        <v>76</v>
      </c>
      <c r="AB4329" s="8"/>
      <c r="AC4329" s="27">
        <v>9785160190969</v>
      </c>
    </row>
    <row r="4330" spans="1:29" s="4" customFormat="1" ht="42" customHeight="1" x14ac:dyDescent="0.2">
      <c r="A4330" s="5">
        <v>0</v>
      </c>
      <c r="B4330" s="6" t="s">
        <v>25098</v>
      </c>
      <c r="C4330" s="7">
        <v>1036.8</v>
      </c>
      <c r="D4330" s="8" t="s">
        <v>25099</v>
      </c>
      <c r="E4330" s="8" t="s">
        <v>25100</v>
      </c>
      <c r="F4330" s="8" t="s">
        <v>25101</v>
      </c>
      <c r="G4330" s="6" t="s">
        <v>33</v>
      </c>
      <c r="H4330" s="6" t="s">
        <v>34</v>
      </c>
      <c r="I4330" s="8" t="s">
        <v>35</v>
      </c>
      <c r="J4330" s="9">
        <v>1</v>
      </c>
      <c r="K4330" s="9">
        <v>166</v>
      </c>
      <c r="L4330" s="9">
        <v>2025</v>
      </c>
      <c r="M4330" s="8" t="s">
        <v>25102</v>
      </c>
      <c r="N4330" s="8" t="s">
        <v>93</v>
      </c>
      <c r="O4330" s="8" t="s">
        <v>94</v>
      </c>
      <c r="P4330" s="6" t="s">
        <v>39</v>
      </c>
      <c r="Q4330" s="8" t="s">
        <v>40</v>
      </c>
      <c r="R4330" s="10" t="s">
        <v>11024</v>
      </c>
      <c r="S4330" s="11"/>
      <c r="T4330" s="6"/>
      <c r="U4330" s="15" t="str">
        <f>HYPERLINK("https://media.infra-m.ru/2210/2210366/cover/2210366.jpg", "Обложка")</f>
        <v>Обложка</v>
      </c>
      <c r="V4330" s="8" t="s">
        <v>831</v>
      </c>
      <c r="W4330" s="6"/>
      <c r="X4330" s="6"/>
      <c r="Y4330" s="6"/>
      <c r="Z4330" s="6"/>
      <c r="AA4330" s="6" t="s">
        <v>115</v>
      </c>
      <c r="AB4330" s="8"/>
      <c r="AC4330" s="27">
        <v>9785160149349</v>
      </c>
    </row>
    <row r="4331" spans="1:29" s="4" customFormat="1" ht="42" customHeight="1" x14ac:dyDescent="0.2">
      <c r="A4331" s="5">
        <v>0</v>
      </c>
      <c r="B4331" s="6" t="s">
        <v>25103</v>
      </c>
      <c r="C4331" s="7">
        <v>2556</v>
      </c>
      <c r="D4331" s="8" t="s">
        <v>25104</v>
      </c>
      <c r="E4331" s="8" t="s">
        <v>25105</v>
      </c>
      <c r="F4331" s="8" t="s">
        <v>8153</v>
      </c>
      <c r="G4331" s="6" t="s">
        <v>118</v>
      </c>
      <c r="H4331" s="6" t="s">
        <v>34</v>
      </c>
      <c r="I4331" s="8" t="s">
        <v>35</v>
      </c>
      <c r="J4331" s="9">
        <v>1</v>
      </c>
      <c r="K4331" s="9">
        <v>387</v>
      </c>
      <c r="L4331" s="9">
        <v>2026</v>
      </c>
      <c r="M4331" s="8" t="s">
        <v>25106</v>
      </c>
      <c r="N4331" s="8" t="s">
        <v>93</v>
      </c>
      <c r="O4331" s="8" t="s">
        <v>94</v>
      </c>
      <c r="P4331" s="6" t="s">
        <v>39</v>
      </c>
      <c r="Q4331" s="8" t="s">
        <v>40</v>
      </c>
      <c r="R4331" s="10" t="s">
        <v>25107</v>
      </c>
      <c r="S4331" s="11"/>
      <c r="T4331" s="6"/>
      <c r="U4331" s="15" t="str">
        <f>HYPERLINK("https://media.infra-m.ru/2249/2249525/cover/2249525.jpg", "Обложка")</f>
        <v>Обложка</v>
      </c>
      <c r="V4331" s="8" t="s">
        <v>588</v>
      </c>
      <c r="W4331" s="6"/>
      <c r="X4331" s="6"/>
      <c r="Y4331" s="6"/>
      <c r="Z4331" s="6"/>
      <c r="AA4331" s="6" t="s">
        <v>76</v>
      </c>
      <c r="AB4331" s="8" t="s">
        <v>6422</v>
      </c>
      <c r="AC4331" s="27">
        <v>9785160182636</v>
      </c>
    </row>
    <row r="4332" spans="1:29" s="4" customFormat="1" ht="44.1" customHeight="1" x14ac:dyDescent="0.2">
      <c r="A4332" s="5">
        <v>0</v>
      </c>
      <c r="B4332" s="6" t="s">
        <v>25108</v>
      </c>
      <c r="C4332" s="7">
        <v>2304</v>
      </c>
      <c r="D4332" s="8" t="s">
        <v>25109</v>
      </c>
      <c r="E4332" s="8" t="s">
        <v>25110</v>
      </c>
      <c r="F4332" s="8" t="s">
        <v>8153</v>
      </c>
      <c r="G4332" s="6" t="s">
        <v>118</v>
      </c>
      <c r="H4332" s="6" t="s">
        <v>34</v>
      </c>
      <c r="I4332" s="8" t="s">
        <v>35</v>
      </c>
      <c r="J4332" s="9">
        <v>1</v>
      </c>
      <c r="K4332" s="9">
        <v>330</v>
      </c>
      <c r="L4332" s="9">
        <v>2026</v>
      </c>
      <c r="M4332" s="8" t="s">
        <v>25111</v>
      </c>
      <c r="N4332" s="8" t="s">
        <v>93</v>
      </c>
      <c r="O4332" s="8" t="s">
        <v>94</v>
      </c>
      <c r="P4332" s="6" t="s">
        <v>39</v>
      </c>
      <c r="Q4332" s="8" t="s">
        <v>40</v>
      </c>
      <c r="R4332" s="10" t="s">
        <v>25112</v>
      </c>
      <c r="S4332" s="11"/>
      <c r="T4332" s="6"/>
      <c r="U4332" s="15" t="str">
        <f>HYPERLINK("https://media.infra-m.ru/2260/2260344/cover/2260344.jpg", "Обложка")</f>
        <v>Обложка</v>
      </c>
      <c r="V4332" s="8" t="s">
        <v>588</v>
      </c>
      <c r="W4332" s="6"/>
      <c r="X4332" s="6"/>
      <c r="Y4332" s="6"/>
      <c r="Z4332" s="6"/>
      <c r="AA4332" s="6" t="s">
        <v>76</v>
      </c>
      <c r="AB4332" s="8"/>
      <c r="AC4332" s="27">
        <v>9785160183725</v>
      </c>
    </row>
    <row r="4333" spans="1:29" s="4" customFormat="1" ht="51.9" customHeight="1" x14ac:dyDescent="0.2">
      <c r="A4333" s="5">
        <v>0</v>
      </c>
      <c r="B4333" s="6" t="s">
        <v>25113</v>
      </c>
      <c r="C4333" s="7">
        <v>1120.8</v>
      </c>
      <c r="D4333" s="8" t="s">
        <v>25114</v>
      </c>
      <c r="E4333" s="8" t="s">
        <v>25115</v>
      </c>
      <c r="F4333" s="8" t="s">
        <v>13293</v>
      </c>
      <c r="G4333" s="6" t="s">
        <v>118</v>
      </c>
      <c r="H4333" s="6" t="s">
        <v>34</v>
      </c>
      <c r="I4333" s="8" t="s">
        <v>271</v>
      </c>
      <c r="J4333" s="9">
        <v>1</v>
      </c>
      <c r="K4333" s="9">
        <v>180</v>
      </c>
      <c r="L4333" s="9">
        <v>2025</v>
      </c>
      <c r="M4333" s="8" t="s">
        <v>25116</v>
      </c>
      <c r="N4333" s="8" t="s">
        <v>37</v>
      </c>
      <c r="O4333" s="8" t="s">
        <v>136</v>
      </c>
      <c r="P4333" s="6" t="s">
        <v>306</v>
      </c>
      <c r="Q4333" s="8" t="s">
        <v>52</v>
      </c>
      <c r="R4333" s="10" t="s">
        <v>25117</v>
      </c>
      <c r="S4333" s="11" t="s">
        <v>25118</v>
      </c>
      <c r="T4333" s="6"/>
      <c r="U4333" s="15" t="str">
        <f>HYPERLINK("https://media.infra-m.ru/2187/2187644/cover/2187644.jpg", "Обложка")</f>
        <v>Обложка</v>
      </c>
      <c r="V4333" s="8" t="s">
        <v>138</v>
      </c>
      <c r="W4333" s="6"/>
      <c r="X4333" s="6"/>
      <c r="Y4333" s="6"/>
      <c r="Z4333" s="6"/>
      <c r="AA4333" s="6" t="s">
        <v>99</v>
      </c>
      <c r="AB4333" s="8"/>
      <c r="AC4333" s="27">
        <v>9785160160962</v>
      </c>
    </row>
    <row r="4334" spans="1:29" s="4" customFormat="1" ht="51.9" customHeight="1" x14ac:dyDescent="0.2">
      <c r="A4334" s="5">
        <v>0</v>
      </c>
      <c r="B4334" s="6" t="s">
        <v>25119</v>
      </c>
      <c r="C4334" s="7">
        <v>1188</v>
      </c>
      <c r="D4334" s="8" t="s">
        <v>25120</v>
      </c>
      <c r="E4334" s="8" t="s">
        <v>25121</v>
      </c>
      <c r="F4334" s="8" t="s">
        <v>13293</v>
      </c>
      <c r="G4334" s="6" t="s">
        <v>60</v>
      </c>
      <c r="H4334" s="6" t="s">
        <v>34</v>
      </c>
      <c r="I4334" s="8" t="s">
        <v>253</v>
      </c>
      <c r="J4334" s="9">
        <v>1</v>
      </c>
      <c r="K4334" s="9">
        <v>185</v>
      </c>
      <c r="L4334" s="9">
        <v>2025</v>
      </c>
      <c r="M4334" s="8" t="s">
        <v>25122</v>
      </c>
      <c r="N4334" s="8" t="s">
        <v>37</v>
      </c>
      <c r="O4334" s="8" t="s">
        <v>136</v>
      </c>
      <c r="P4334" s="6" t="s">
        <v>306</v>
      </c>
      <c r="Q4334" s="8" t="s">
        <v>52</v>
      </c>
      <c r="R4334" s="10" t="s">
        <v>25117</v>
      </c>
      <c r="S4334" s="11"/>
      <c r="T4334" s="6"/>
      <c r="U4334" s="15" t="str">
        <f>HYPERLINK("https://media.infra-m.ru/2192/2192602/cover/2192602.jpg", "Обложка")</f>
        <v>Обложка</v>
      </c>
      <c r="V4334" s="8" t="s">
        <v>138</v>
      </c>
      <c r="W4334" s="6"/>
      <c r="X4334" s="6"/>
      <c r="Y4334" s="6"/>
      <c r="Z4334" s="6"/>
      <c r="AA4334" s="6" t="s">
        <v>917</v>
      </c>
      <c r="AB4334" s="8"/>
      <c r="AC4334" s="27">
        <v>9785160207674</v>
      </c>
    </row>
    <row r="4335" spans="1:29" s="4" customFormat="1" ht="51.9" customHeight="1" x14ac:dyDescent="0.2">
      <c r="A4335" s="5">
        <v>0</v>
      </c>
      <c r="B4335" s="6" t="s">
        <v>25123</v>
      </c>
      <c r="C4335" s="7">
        <v>1224</v>
      </c>
      <c r="D4335" s="8" t="s">
        <v>25124</v>
      </c>
      <c r="E4335" s="8" t="s">
        <v>25121</v>
      </c>
      <c r="F4335" s="8" t="s">
        <v>13293</v>
      </c>
      <c r="G4335" s="6" t="s">
        <v>118</v>
      </c>
      <c r="H4335" s="6" t="s">
        <v>34</v>
      </c>
      <c r="I4335" s="8" t="s">
        <v>263</v>
      </c>
      <c r="J4335" s="9">
        <v>1</v>
      </c>
      <c r="K4335" s="9">
        <v>185</v>
      </c>
      <c r="L4335" s="9">
        <v>2026</v>
      </c>
      <c r="M4335" s="8" t="s">
        <v>25125</v>
      </c>
      <c r="N4335" s="8" t="s">
        <v>37</v>
      </c>
      <c r="O4335" s="8" t="s">
        <v>136</v>
      </c>
      <c r="P4335" s="6" t="s">
        <v>306</v>
      </c>
      <c r="Q4335" s="8" t="s">
        <v>265</v>
      </c>
      <c r="R4335" s="10" t="s">
        <v>25126</v>
      </c>
      <c r="S4335" s="11"/>
      <c r="T4335" s="6"/>
      <c r="U4335" s="15" t="str">
        <f>HYPERLINK("https://media.infra-m.ru/2156/2156895/cover/2156895.jpg", "Обложка")</f>
        <v>Обложка</v>
      </c>
      <c r="V4335" s="8" t="s">
        <v>138</v>
      </c>
      <c r="W4335" s="6" t="s">
        <v>342</v>
      </c>
      <c r="X4335" s="6"/>
      <c r="Y4335" s="6"/>
      <c r="Z4335" s="6" t="s">
        <v>267</v>
      </c>
      <c r="AA4335" s="6" t="s">
        <v>650</v>
      </c>
      <c r="AB4335" s="8"/>
      <c r="AC4335" s="27">
        <v>9785160202020</v>
      </c>
    </row>
    <row r="4336" spans="1:29" s="4" customFormat="1" ht="51.9" customHeight="1" x14ac:dyDescent="0.2">
      <c r="A4336" s="5">
        <v>0</v>
      </c>
      <c r="B4336" s="6" t="s">
        <v>25127</v>
      </c>
      <c r="C4336" s="7">
        <v>2860.8</v>
      </c>
      <c r="D4336" s="8" t="s">
        <v>25128</v>
      </c>
      <c r="E4336" s="8" t="s">
        <v>25129</v>
      </c>
      <c r="F4336" s="8" t="s">
        <v>25130</v>
      </c>
      <c r="G4336" s="6" t="s">
        <v>60</v>
      </c>
      <c r="H4336" s="6" t="s">
        <v>34</v>
      </c>
      <c r="I4336" s="8" t="s">
        <v>10112</v>
      </c>
      <c r="J4336" s="9">
        <v>1</v>
      </c>
      <c r="K4336" s="9">
        <v>531</v>
      </c>
      <c r="L4336" s="9">
        <v>2023</v>
      </c>
      <c r="M4336" s="8" t="s">
        <v>25131</v>
      </c>
      <c r="N4336" s="8" t="s">
        <v>243</v>
      </c>
      <c r="O4336" s="8" t="s">
        <v>933</v>
      </c>
      <c r="P4336" s="6" t="s">
        <v>306</v>
      </c>
      <c r="Q4336" s="8" t="s">
        <v>500</v>
      </c>
      <c r="R4336" s="10" t="s">
        <v>6845</v>
      </c>
      <c r="S4336" s="11" t="s">
        <v>25132</v>
      </c>
      <c r="T4336" s="6"/>
      <c r="U4336" s="15" t="str">
        <f>HYPERLINK("https://media.infra-m.ru/2006/2006892/cover/2006892.jpg", "Обложка")</f>
        <v>Обложка</v>
      </c>
      <c r="V4336" s="8" t="s">
        <v>1083</v>
      </c>
      <c r="W4336" s="6"/>
      <c r="X4336" s="6"/>
      <c r="Y4336" s="6"/>
      <c r="Z4336" s="6"/>
      <c r="AA4336" s="6" t="s">
        <v>86</v>
      </c>
      <c r="AB4336" s="8"/>
      <c r="AC4336" s="27">
        <v>9785160133713</v>
      </c>
    </row>
    <row r="4337" spans="1:29" s="4" customFormat="1" ht="51.9" customHeight="1" x14ac:dyDescent="0.2">
      <c r="A4337" s="5">
        <v>0</v>
      </c>
      <c r="B4337" s="6" t="s">
        <v>25133</v>
      </c>
      <c r="C4337" s="7">
        <v>1384.8</v>
      </c>
      <c r="D4337" s="8" t="s">
        <v>25134</v>
      </c>
      <c r="E4337" s="8" t="s">
        <v>25135</v>
      </c>
      <c r="F4337" s="8" t="s">
        <v>25136</v>
      </c>
      <c r="G4337" s="6" t="s">
        <v>60</v>
      </c>
      <c r="H4337" s="6" t="s">
        <v>34</v>
      </c>
      <c r="I4337" s="8" t="s">
        <v>457</v>
      </c>
      <c r="J4337" s="9">
        <v>1</v>
      </c>
      <c r="K4337" s="9">
        <v>199</v>
      </c>
      <c r="L4337" s="9">
        <v>2027</v>
      </c>
      <c r="M4337" s="8" t="s">
        <v>25137</v>
      </c>
      <c r="N4337" s="8" t="s">
        <v>37</v>
      </c>
      <c r="O4337" s="8" t="s">
        <v>233</v>
      </c>
      <c r="P4337" s="6" t="s">
        <v>39</v>
      </c>
      <c r="Q4337" s="8" t="s">
        <v>40</v>
      </c>
      <c r="R4337" s="10" t="s">
        <v>4360</v>
      </c>
      <c r="S4337" s="11"/>
      <c r="T4337" s="6"/>
      <c r="U4337" s="15" t="str">
        <f>HYPERLINK("https://media.infra-m.ru/2263/2263632/cover/2263632.jpg", "Обложка")</f>
        <v>Обложка</v>
      </c>
      <c r="V4337" s="8" t="s">
        <v>247</v>
      </c>
      <c r="W4337" s="6"/>
      <c r="X4337" s="6"/>
      <c r="Y4337" s="6"/>
      <c r="Z4337" s="6"/>
      <c r="AA4337" s="6" t="s">
        <v>76</v>
      </c>
      <c r="AB4337" s="8"/>
      <c r="AC4337" s="27">
        <v>9785160198583</v>
      </c>
    </row>
    <row r="4338" spans="1:29" s="4" customFormat="1" ht="42" customHeight="1" x14ac:dyDescent="0.2">
      <c r="A4338" s="5">
        <v>0</v>
      </c>
      <c r="B4338" s="6" t="s">
        <v>25138</v>
      </c>
      <c r="C4338" s="7">
        <v>1632</v>
      </c>
      <c r="D4338" s="8" t="s">
        <v>25139</v>
      </c>
      <c r="E4338" s="8" t="s">
        <v>25140</v>
      </c>
      <c r="F4338" s="8" t="s">
        <v>25141</v>
      </c>
      <c r="G4338" s="6" t="s">
        <v>33</v>
      </c>
      <c r="H4338" s="6" t="s">
        <v>34</v>
      </c>
      <c r="I4338" s="8" t="s">
        <v>35</v>
      </c>
      <c r="J4338" s="9">
        <v>1</v>
      </c>
      <c r="K4338" s="9">
        <v>213</v>
      </c>
      <c r="L4338" s="9">
        <v>2025</v>
      </c>
      <c r="M4338" s="8" t="s">
        <v>25142</v>
      </c>
      <c r="N4338" s="8" t="s">
        <v>93</v>
      </c>
      <c r="O4338" s="8" t="s">
        <v>94</v>
      </c>
      <c r="P4338" s="6" t="s">
        <v>39</v>
      </c>
      <c r="Q4338" s="8" t="s">
        <v>40</v>
      </c>
      <c r="R4338" s="10" t="s">
        <v>21000</v>
      </c>
      <c r="S4338" s="11"/>
      <c r="T4338" s="6"/>
      <c r="U4338" s="15" t="str">
        <f>HYPERLINK("https://media.infra-m.ru/2213/2213008/cover/2213008.jpg", "Обложка")</f>
        <v>Обложка</v>
      </c>
      <c r="V4338" s="8" t="s">
        <v>3636</v>
      </c>
      <c r="W4338" s="6" t="s">
        <v>342</v>
      </c>
      <c r="X4338" s="6"/>
      <c r="Y4338" s="6"/>
      <c r="Z4338" s="6"/>
      <c r="AA4338" s="6" t="s">
        <v>68</v>
      </c>
      <c r="AB4338" s="8"/>
      <c r="AC4338" s="27">
        <v>9785160210872</v>
      </c>
    </row>
    <row r="4339" spans="1:29" s="4" customFormat="1" ht="51.9" customHeight="1" x14ac:dyDescent="0.2">
      <c r="A4339" s="5">
        <v>0</v>
      </c>
      <c r="B4339" s="6" t="s">
        <v>25143</v>
      </c>
      <c r="C4339" s="7">
        <v>2100</v>
      </c>
      <c r="D4339" s="8" t="s">
        <v>25144</v>
      </c>
      <c r="E4339" s="8" t="s">
        <v>25145</v>
      </c>
      <c r="F4339" s="8" t="s">
        <v>25146</v>
      </c>
      <c r="G4339" s="6" t="s">
        <v>60</v>
      </c>
      <c r="H4339" s="6" t="s">
        <v>34</v>
      </c>
      <c r="I4339" s="8" t="s">
        <v>457</v>
      </c>
      <c r="J4339" s="9">
        <v>1</v>
      </c>
      <c r="K4339" s="9">
        <v>365</v>
      </c>
      <c r="L4339" s="9">
        <v>2024</v>
      </c>
      <c r="M4339" s="8" t="s">
        <v>25147</v>
      </c>
      <c r="N4339" s="8" t="s">
        <v>37</v>
      </c>
      <c r="O4339" s="8" t="s">
        <v>233</v>
      </c>
      <c r="P4339" s="6" t="s">
        <v>39</v>
      </c>
      <c r="Q4339" s="8" t="s">
        <v>40</v>
      </c>
      <c r="R4339" s="10" t="s">
        <v>25148</v>
      </c>
      <c r="S4339" s="11"/>
      <c r="T4339" s="6"/>
      <c r="U4339" s="15" t="str">
        <f>HYPERLINK("https://media.infra-m.ru/2030/2030900/cover/2030900.jpg", "Обложка")</f>
        <v>Обложка</v>
      </c>
      <c r="V4339" s="8" t="s">
        <v>9565</v>
      </c>
      <c r="W4339" s="6"/>
      <c r="X4339" s="6"/>
      <c r="Y4339" s="6"/>
      <c r="Z4339" s="6"/>
      <c r="AA4339" s="6" t="s">
        <v>76</v>
      </c>
      <c r="AB4339" s="8" t="s">
        <v>2208</v>
      </c>
      <c r="AC4339" s="27">
        <v>9785160185828</v>
      </c>
    </row>
    <row r="4340" spans="1:29" s="4" customFormat="1" ht="44.1" customHeight="1" x14ac:dyDescent="0.2">
      <c r="A4340" s="5">
        <v>0</v>
      </c>
      <c r="B4340" s="6" t="s">
        <v>25149</v>
      </c>
      <c r="C4340" s="7">
        <v>3456</v>
      </c>
      <c r="D4340" s="8" t="s">
        <v>25150</v>
      </c>
      <c r="E4340" s="8" t="s">
        <v>25151</v>
      </c>
      <c r="F4340" s="8" t="s">
        <v>25152</v>
      </c>
      <c r="G4340" s="6" t="s">
        <v>60</v>
      </c>
      <c r="H4340" s="6" t="s">
        <v>134</v>
      </c>
      <c r="I4340" s="8"/>
      <c r="J4340" s="9">
        <v>1</v>
      </c>
      <c r="K4340" s="9">
        <v>496</v>
      </c>
      <c r="L4340" s="9">
        <v>2026</v>
      </c>
      <c r="M4340" s="8" t="s">
        <v>25153</v>
      </c>
      <c r="N4340" s="8" t="s">
        <v>37</v>
      </c>
      <c r="O4340" s="8" t="s">
        <v>136</v>
      </c>
      <c r="P4340" s="6" t="s">
        <v>306</v>
      </c>
      <c r="Q4340" s="8" t="s">
        <v>52</v>
      </c>
      <c r="R4340" s="10" t="s">
        <v>8859</v>
      </c>
      <c r="S4340" s="11"/>
      <c r="T4340" s="6"/>
      <c r="U4340" s="15" t="str">
        <f>HYPERLINK("https://media.infra-m.ru/2262/2262261/cover/2262261.jpg", "Обложка")</f>
        <v>Обложка</v>
      </c>
      <c r="V4340" s="8" t="s">
        <v>1184</v>
      </c>
      <c r="W4340" s="6"/>
      <c r="X4340" s="6"/>
      <c r="Y4340" s="6"/>
      <c r="Z4340" s="6"/>
      <c r="AA4340" s="6" t="s">
        <v>430</v>
      </c>
      <c r="AB4340" s="8"/>
      <c r="AC4340" s="27">
        <v>9785001561408</v>
      </c>
    </row>
    <row r="4341" spans="1:29" s="4" customFormat="1" ht="42" customHeight="1" x14ac:dyDescent="0.2">
      <c r="A4341" s="5">
        <v>0</v>
      </c>
      <c r="B4341" s="6" t="s">
        <v>25154</v>
      </c>
      <c r="C4341" s="7">
        <v>3000</v>
      </c>
      <c r="D4341" s="8" t="s">
        <v>25155</v>
      </c>
      <c r="E4341" s="8" t="s">
        <v>25156</v>
      </c>
      <c r="F4341" s="8" t="s">
        <v>23803</v>
      </c>
      <c r="G4341" s="6" t="s">
        <v>60</v>
      </c>
      <c r="H4341" s="6" t="s">
        <v>34</v>
      </c>
      <c r="I4341" s="8" t="s">
        <v>1074</v>
      </c>
      <c r="J4341" s="9">
        <v>1</v>
      </c>
      <c r="K4341" s="9">
        <v>456</v>
      </c>
      <c r="L4341" s="9">
        <v>2026</v>
      </c>
      <c r="M4341" s="8" t="s">
        <v>25157</v>
      </c>
      <c r="N4341" s="8" t="s">
        <v>37</v>
      </c>
      <c r="O4341" s="8" t="s">
        <v>136</v>
      </c>
      <c r="P4341" s="6" t="s">
        <v>3141</v>
      </c>
      <c r="Q4341" s="8" t="s">
        <v>40</v>
      </c>
      <c r="R4341" s="10" t="s">
        <v>1667</v>
      </c>
      <c r="S4341" s="11"/>
      <c r="T4341" s="6"/>
      <c r="U4341" s="15" t="str">
        <f>HYPERLINK("https://media.infra-m.ru/2226/2226510/cover/2226510.jpg", "Обложка")</f>
        <v>Обложка</v>
      </c>
      <c r="V4341" s="8" t="s">
        <v>138</v>
      </c>
      <c r="W4341" s="6"/>
      <c r="X4341" s="6"/>
      <c r="Y4341" s="6"/>
      <c r="Z4341" s="6"/>
      <c r="AA4341" s="6" t="s">
        <v>68</v>
      </c>
      <c r="AB4341" s="8"/>
      <c r="AC4341" s="27">
        <v>9785160204901</v>
      </c>
    </row>
    <row r="4342" spans="1:29" s="4" customFormat="1" ht="51.9" customHeight="1" x14ac:dyDescent="0.2">
      <c r="A4342" s="5">
        <v>0</v>
      </c>
      <c r="B4342" s="6" t="s">
        <v>25158</v>
      </c>
      <c r="C4342" s="7">
        <v>2872.8</v>
      </c>
      <c r="D4342" s="8" t="s">
        <v>25159</v>
      </c>
      <c r="E4342" s="8" t="s">
        <v>25160</v>
      </c>
      <c r="F4342" s="8" t="s">
        <v>25161</v>
      </c>
      <c r="G4342" s="6" t="s">
        <v>60</v>
      </c>
      <c r="H4342" s="6" t="s">
        <v>34</v>
      </c>
      <c r="I4342" s="8" t="s">
        <v>271</v>
      </c>
      <c r="J4342" s="9">
        <v>1</v>
      </c>
      <c r="K4342" s="9">
        <v>436</v>
      </c>
      <c r="L4342" s="9">
        <v>2026</v>
      </c>
      <c r="M4342" s="8" t="s">
        <v>25162</v>
      </c>
      <c r="N4342" s="8" t="s">
        <v>585</v>
      </c>
      <c r="O4342" s="8" t="s">
        <v>775</v>
      </c>
      <c r="P4342" s="6" t="s">
        <v>51</v>
      </c>
      <c r="Q4342" s="8" t="s">
        <v>52</v>
      </c>
      <c r="R4342" s="10" t="s">
        <v>23740</v>
      </c>
      <c r="S4342" s="11" t="s">
        <v>25163</v>
      </c>
      <c r="T4342" s="6"/>
      <c r="U4342" s="15" t="str">
        <f>HYPERLINK("https://media.infra-m.ru/2218/2218031/cover/2218031.jpg", "Обложка")</f>
        <v>Обложка</v>
      </c>
      <c r="V4342" s="8" t="s">
        <v>831</v>
      </c>
      <c r="W4342" s="6"/>
      <c r="X4342" s="6"/>
      <c r="Y4342" s="6"/>
      <c r="Z4342" s="6"/>
      <c r="AA4342" s="6" t="s">
        <v>115</v>
      </c>
      <c r="AB4342" s="8"/>
      <c r="AC4342" s="27">
        <v>9785160136967</v>
      </c>
    </row>
    <row r="4343" spans="1:29" s="4" customFormat="1" ht="42" customHeight="1" x14ac:dyDescent="0.2">
      <c r="A4343" s="5">
        <v>0</v>
      </c>
      <c r="B4343" s="6" t="s">
        <v>25164</v>
      </c>
      <c r="C4343" s="7">
        <v>1884</v>
      </c>
      <c r="D4343" s="8" t="s">
        <v>25165</v>
      </c>
      <c r="E4343" s="8" t="s">
        <v>25166</v>
      </c>
      <c r="F4343" s="8" t="s">
        <v>25167</v>
      </c>
      <c r="G4343" s="6" t="s">
        <v>33</v>
      </c>
      <c r="H4343" s="6" t="s">
        <v>34</v>
      </c>
      <c r="I4343" s="8" t="s">
        <v>35</v>
      </c>
      <c r="J4343" s="9">
        <v>1</v>
      </c>
      <c r="K4343" s="9">
        <v>271</v>
      </c>
      <c r="L4343" s="9">
        <v>2027</v>
      </c>
      <c r="M4343" s="8" t="s">
        <v>25168</v>
      </c>
      <c r="N4343" s="8" t="s">
        <v>63</v>
      </c>
      <c r="O4343" s="8" t="s">
        <v>64</v>
      </c>
      <c r="P4343" s="6" t="s">
        <v>39</v>
      </c>
      <c r="Q4343" s="8" t="s">
        <v>40</v>
      </c>
      <c r="R4343" s="10" t="s">
        <v>25169</v>
      </c>
      <c r="S4343" s="11"/>
      <c r="T4343" s="6"/>
      <c r="U4343" s="15" t="str">
        <f>HYPERLINK("https://media.infra-m.ru/2256/2256415/cover/2256415.jpg", "Обложка")</f>
        <v>Обложка</v>
      </c>
      <c r="V4343" s="8" t="s">
        <v>4038</v>
      </c>
      <c r="W4343" s="6"/>
      <c r="X4343" s="6"/>
      <c r="Y4343" s="6"/>
      <c r="Z4343" s="6"/>
      <c r="AA4343" s="6" t="s">
        <v>148</v>
      </c>
      <c r="AB4343" s="8"/>
      <c r="AC4343" s="27">
        <v>9785160176253</v>
      </c>
    </row>
    <row r="4344" spans="1:29" s="4" customFormat="1" ht="51.9" customHeight="1" x14ac:dyDescent="0.2">
      <c r="A4344" s="5">
        <v>0</v>
      </c>
      <c r="B4344" s="6" t="s">
        <v>25170</v>
      </c>
      <c r="C4344" s="7">
        <v>2212.8000000000002</v>
      </c>
      <c r="D4344" s="8" t="s">
        <v>25171</v>
      </c>
      <c r="E4344" s="8" t="s">
        <v>25172</v>
      </c>
      <c r="F4344" s="8" t="s">
        <v>25173</v>
      </c>
      <c r="G4344" s="6" t="s">
        <v>118</v>
      </c>
      <c r="H4344" s="6" t="s">
        <v>34</v>
      </c>
      <c r="I4344" s="8" t="s">
        <v>263</v>
      </c>
      <c r="J4344" s="9">
        <v>1</v>
      </c>
      <c r="K4344" s="9">
        <v>336</v>
      </c>
      <c r="L4344" s="9">
        <v>2026</v>
      </c>
      <c r="M4344" s="8" t="s">
        <v>25174</v>
      </c>
      <c r="N4344" s="8" t="s">
        <v>243</v>
      </c>
      <c r="O4344" s="8" t="s">
        <v>798</v>
      </c>
      <c r="P4344" s="6" t="s">
        <v>306</v>
      </c>
      <c r="Q4344" s="8" t="s">
        <v>265</v>
      </c>
      <c r="R4344" s="10" t="s">
        <v>25175</v>
      </c>
      <c r="S4344" s="11" t="s">
        <v>25176</v>
      </c>
      <c r="T4344" s="6"/>
      <c r="U4344" s="15" t="str">
        <f>HYPERLINK("https://media.infra-m.ru/2230/2230672/cover/2230672.jpg", "Обложка")</f>
        <v>Обложка</v>
      </c>
      <c r="V4344" s="8" t="s">
        <v>809</v>
      </c>
      <c r="W4344" s="6"/>
      <c r="X4344" s="6" t="s">
        <v>24</v>
      </c>
      <c r="Y4344" s="6"/>
      <c r="Z4344" s="6"/>
      <c r="AA4344" s="6" t="s">
        <v>4554</v>
      </c>
      <c r="AB4344" s="8"/>
      <c r="AC4344" s="27">
        <v>9785160047867</v>
      </c>
    </row>
    <row r="4345" spans="1:29" s="4" customFormat="1" ht="51.9" customHeight="1" x14ac:dyDescent="0.2">
      <c r="A4345" s="5">
        <v>0</v>
      </c>
      <c r="B4345" s="6" t="s">
        <v>25177</v>
      </c>
      <c r="C4345" s="7">
        <v>1188</v>
      </c>
      <c r="D4345" s="8" t="s">
        <v>25178</v>
      </c>
      <c r="E4345" s="8" t="s">
        <v>25179</v>
      </c>
      <c r="F4345" s="8" t="s">
        <v>25180</v>
      </c>
      <c r="G4345" s="6" t="s">
        <v>118</v>
      </c>
      <c r="H4345" s="6" t="s">
        <v>34</v>
      </c>
      <c r="I4345" s="8" t="s">
        <v>253</v>
      </c>
      <c r="J4345" s="9">
        <v>1</v>
      </c>
      <c r="K4345" s="9">
        <v>159</v>
      </c>
      <c r="L4345" s="9">
        <v>2026</v>
      </c>
      <c r="M4345" s="8" t="s">
        <v>25181</v>
      </c>
      <c r="N4345" s="8" t="s">
        <v>243</v>
      </c>
      <c r="O4345" s="8" t="s">
        <v>798</v>
      </c>
      <c r="P4345" s="6" t="s">
        <v>51</v>
      </c>
      <c r="Q4345" s="8" t="s">
        <v>65</v>
      </c>
      <c r="R4345" s="10" t="s">
        <v>22504</v>
      </c>
      <c r="S4345" s="11" t="s">
        <v>25182</v>
      </c>
      <c r="T4345" s="6"/>
      <c r="U4345" s="15" t="str">
        <f>HYPERLINK("https://media.infra-m.ru/2218/2218633/cover/2218633.jpg", "Обложка")</f>
        <v>Обложка</v>
      </c>
      <c r="V4345" s="8" t="s">
        <v>2446</v>
      </c>
      <c r="W4345" s="6"/>
      <c r="X4345" s="6"/>
      <c r="Y4345" s="6"/>
      <c r="Z4345" s="6"/>
      <c r="AA4345" s="6" t="s">
        <v>274</v>
      </c>
      <c r="AB4345" s="8"/>
      <c r="AC4345" s="27">
        <v>9785160212395</v>
      </c>
    </row>
    <row r="4346" spans="1:29" s="4" customFormat="1" ht="51.9" customHeight="1" x14ac:dyDescent="0.2">
      <c r="A4346" s="5">
        <v>0</v>
      </c>
      <c r="B4346" s="6" t="s">
        <v>25183</v>
      </c>
      <c r="C4346" s="7">
        <v>1258.8</v>
      </c>
      <c r="D4346" s="8" t="s">
        <v>25184</v>
      </c>
      <c r="E4346" s="8" t="s">
        <v>25179</v>
      </c>
      <c r="F4346" s="8" t="s">
        <v>25180</v>
      </c>
      <c r="G4346" s="6" t="s">
        <v>118</v>
      </c>
      <c r="H4346" s="6" t="s">
        <v>48</v>
      </c>
      <c r="I4346" s="8" t="s">
        <v>263</v>
      </c>
      <c r="J4346" s="9">
        <v>1</v>
      </c>
      <c r="K4346" s="9">
        <v>159</v>
      </c>
      <c r="L4346" s="9">
        <v>2026</v>
      </c>
      <c r="M4346" s="8" t="s">
        <v>25185</v>
      </c>
      <c r="N4346" s="8" t="s">
        <v>243</v>
      </c>
      <c r="O4346" s="8" t="s">
        <v>798</v>
      </c>
      <c r="P4346" s="6" t="s">
        <v>51</v>
      </c>
      <c r="Q4346" s="8" t="s">
        <v>265</v>
      </c>
      <c r="R4346" s="10" t="s">
        <v>25186</v>
      </c>
      <c r="S4346" s="11" t="s">
        <v>25187</v>
      </c>
      <c r="T4346" s="6"/>
      <c r="U4346" s="15" t="str">
        <f>HYPERLINK("https://media.infra-m.ru/2238/2238044/cover/2238044.jpg", "Обложка")</f>
        <v>Обложка</v>
      </c>
      <c r="V4346" s="8" t="s">
        <v>2446</v>
      </c>
      <c r="W4346" s="6"/>
      <c r="X4346" s="6"/>
      <c r="Y4346" s="6"/>
      <c r="Z4346" s="6" t="s">
        <v>882</v>
      </c>
      <c r="AA4346" s="6" t="s">
        <v>1256</v>
      </c>
      <c r="AB4346" s="8"/>
      <c r="AC4346" s="27">
        <v>9785000917114</v>
      </c>
    </row>
    <row r="4347" spans="1:29" s="4" customFormat="1" ht="51.9" customHeight="1" x14ac:dyDescent="0.2">
      <c r="A4347" s="5">
        <v>0</v>
      </c>
      <c r="B4347" s="6" t="s">
        <v>25188</v>
      </c>
      <c r="C4347" s="7">
        <v>1392</v>
      </c>
      <c r="D4347" s="8" t="s">
        <v>25189</v>
      </c>
      <c r="E4347" s="8" t="s">
        <v>25190</v>
      </c>
      <c r="F4347" s="8" t="s">
        <v>25191</v>
      </c>
      <c r="G4347" s="6" t="s">
        <v>118</v>
      </c>
      <c r="H4347" s="6" t="s">
        <v>34</v>
      </c>
      <c r="I4347" s="8" t="s">
        <v>263</v>
      </c>
      <c r="J4347" s="9">
        <v>1</v>
      </c>
      <c r="K4347" s="9">
        <v>232</v>
      </c>
      <c r="L4347" s="9">
        <v>2025</v>
      </c>
      <c r="M4347" s="8" t="s">
        <v>25192</v>
      </c>
      <c r="N4347" s="8" t="s">
        <v>243</v>
      </c>
      <c r="O4347" s="8" t="s">
        <v>964</v>
      </c>
      <c r="P4347" s="6" t="s">
        <v>51</v>
      </c>
      <c r="Q4347" s="8" t="s">
        <v>265</v>
      </c>
      <c r="R4347" s="10" t="s">
        <v>25193</v>
      </c>
      <c r="S4347" s="11" t="s">
        <v>25194</v>
      </c>
      <c r="T4347" s="6" t="s">
        <v>97</v>
      </c>
      <c r="U4347" s="15" t="str">
        <f>HYPERLINK("https://media.infra-m.ru/2180/2180553/cover/2180553.jpg", "Обложка")</f>
        <v>Обложка</v>
      </c>
      <c r="V4347" s="8" t="s">
        <v>217</v>
      </c>
      <c r="W4347" s="6"/>
      <c r="X4347" s="6"/>
      <c r="Y4347" s="6"/>
      <c r="Z4347" s="6" t="s">
        <v>3911</v>
      </c>
      <c r="AA4347" s="6" t="s">
        <v>1256</v>
      </c>
      <c r="AB4347" s="8"/>
      <c r="AC4347" s="27">
        <v>9785160153513</v>
      </c>
    </row>
    <row r="4348" spans="1:29" s="4" customFormat="1" ht="51.9" customHeight="1" x14ac:dyDescent="0.2">
      <c r="A4348" s="5">
        <v>0</v>
      </c>
      <c r="B4348" s="6" t="s">
        <v>25195</v>
      </c>
      <c r="C4348" s="7">
        <v>1980</v>
      </c>
      <c r="D4348" s="8" t="s">
        <v>25196</v>
      </c>
      <c r="E4348" s="8" t="s">
        <v>25197</v>
      </c>
      <c r="F4348" s="8" t="s">
        <v>25191</v>
      </c>
      <c r="G4348" s="6" t="s">
        <v>118</v>
      </c>
      <c r="H4348" s="6" t="s">
        <v>34</v>
      </c>
      <c r="I4348" s="8" t="s">
        <v>25198</v>
      </c>
      <c r="J4348" s="9">
        <v>1</v>
      </c>
      <c r="K4348" s="9">
        <v>300</v>
      </c>
      <c r="L4348" s="9">
        <v>2026</v>
      </c>
      <c r="M4348" s="8" t="s">
        <v>25199</v>
      </c>
      <c r="N4348" s="8" t="s">
        <v>243</v>
      </c>
      <c r="O4348" s="8" t="s">
        <v>964</v>
      </c>
      <c r="P4348" s="6" t="s">
        <v>51</v>
      </c>
      <c r="Q4348" s="8" t="s">
        <v>377</v>
      </c>
      <c r="R4348" s="10" t="s">
        <v>5787</v>
      </c>
      <c r="S4348" s="11" t="s">
        <v>25200</v>
      </c>
      <c r="T4348" s="6"/>
      <c r="U4348" s="15" t="str">
        <f>HYPERLINK("https://media.infra-m.ru/2231/2231218/cover/2231218.jpg", "Обложка")</f>
        <v>Обложка</v>
      </c>
      <c r="V4348" s="8" t="s">
        <v>217</v>
      </c>
      <c r="W4348" s="6"/>
      <c r="X4348" s="6"/>
      <c r="Y4348" s="6"/>
      <c r="Z4348" s="6"/>
      <c r="AA4348" s="6" t="s">
        <v>148</v>
      </c>
      <c r="AB4348" s="8"/>
      <c r="AC4348" s="27">
        <v>9785160174358</v>
      </c>
    </row>
    <row r="4349" spans="1:29" s="4" customFormat="1" ht="51.9" customHeight="1" x14ac:dyDescent="0.2">
      <c r="A4349" s="5">
        <v>0</v>
      </c>
      <c r="B4349" s="6" t="s">
        <v>25201</v>
      </c>
      <c r="C4349" s="7">
        <v>2316</v>
      </c>
      <c r="D4349" s="8" t="s">
        <v>25202</v>
      </c>
      <c r="E4349" s="8" t="s">
        <v>25203</v>
      </c>
      <c r="F4349" s="8" t="s">
        <v>25191</v>
      </c>
      <c r="G4349" s="6" t="s">
        <v>118</v>
      </c>
      <c r="H4349" s="6" t="s">
        <v>34</v>
      </c>
      <c r="I4349" s="8" t="s">
        <v>25198</v>
      </c>
      <c r="J4349" s="9">
        <v>1</v>
      </c>
      <c r="K4349" s="9">
        <v>350</v>
      </c>
      <c r="L4349" s="9">
        <v>2026</v>
      </c>
      <c r="M4349" s="8" t="s">
        <v>25204</v>
      </c>
      <c r="N4349" s="8" t="s">
        <v>243</v>
      </c>
      <c r="O4349" s="8" t="s">
        <v>964</v>
      </c>
      <c r="P4349" s="6" t="s">
        <v>51</v>
      </c>
      <c r="Q4349" s="8" t="s">
        <v>377</v>
      </c>
      <c r="R4349" s="10" t="s">
        <v>5787</v>
      </c>
      <c r="S4349" s="11" t="s">
        <v>25205</v>
      </c>
      <c r="T4349" s="6"/>
      <c r="U4349" s="15" t="str">
        <f>HYPERLINK("https://media.infra-m.ru/2231/2231142/cover/2231142.jpg", "Обложка")</f>
        <v>Обложка</v>
      </c>
      <c r="V4349" s="8" t="s">
        <v>217</v>
      </c>
      <c r="W4349" s="6"/>
      <c r="X4349" s="6"/>
      <c r="Y4349" s="6"/>
      <c r="Z4349" s="6"/>
      <c r="AA4349" s="6" t="s">
        <v>148</v>
      </c>
      <c r="AB4349" s="8"/>
      <c r="AC4349" s="27">
        <v>9785160215785</v>
      </c>
    </row>
    <row r="4350" spans="1:29" s="4" customFormat="1" ht="51.9" customHeight="1" x14ac:dyDescent="0.2">
      <c r="A4350" s="5">
        <v>0</v>
      </c>
      <c r="B4350" s="6" t="s">
        <v>25206</v>
      </c>
      <c r="C4350" s="7">
        <v>1984.8</v>
      </c>
      <c r="D4350" s="8" t="s">
        <v>25207</v>
      </c>
      <c r="E4350" s="8" t="s">
        <v>25208</v>
      </c>
      <c r="F4350" s="8" t="s">
        <v>25191</v>
      </c>
      <c r="G4350" s="6" t="s">
        <v>60</v>
      </c>
      <c r="H4350" s="6" t="s">
        <v>34</v>
      </c>
      <c r="I4350" s="8" t="s">
        <v>5350</v>
      </c>
      <c r="J4350" s="9">
        <v>1</v>
      </c>
      <c r="K4350" s="9">
        <v>299</v>
      </c>
      <c r="L4350" s="9">
        <v>2026</v>
      </c>
      <c r="M4350" s="8" t="s">
        <v>25209</v>
      </c>
      <c r="N4350" s="8" t="s">
        <v>243</v>
      </c>
      <c r="O4350" s="8" t="s">
        <v>964</v>
      </c>
      <c r="P4350" s="6" t="s">
        <v>51</v>
      </c>
      <c r="Q4350" s="8" t="s">
        <v>377</v>
      </c>
      <c r="R4350" s="10" t="s">
        <v>5787</v>
      </c>
      <c r="S4350" s="11" t="s">
        <v>25200</v>
      </c>
      <c r="T4350" s="6"/>
      <c r="U4350" s="15" t="str">
        <f>HYPERLINK("https://media.infra-m.ru/2213/2213690/cover/2213690.jpg", "Обложка")</f>
        <v>Обложка</v>
      </c>
      <c r="V4350" s="8" t="s">
        <v>217</v>
      </c>
      <c r="W4350" s="6"/>
      <c r="X4350" s="6"/>
      <c r="Y4350" s="6"/>
      <c r="Z4350" s="6"/>
      <c r="AA4350" s="6" t="s">
        <v>148</v>
      </c>
      <c r="AB4350" s="8"/>
      <c r="AC4350" s="27">
        <v>9785160174037</v>
      </c>
    </row>
    <row r="4351" spans="1:29" s="4" customFormat="1" ht="51.9" customHeight="1" x14ac:dyDescent="0.2">
      <c r="A4351" s="5">
        <v>0</v>
      </c>
      <c r="B4351" s="6" t="s">
        <v>25210</v>
      </c>
      <c r="C4351" s="7">
        <v>1476</v>
      </c>
      <c r="D4351" s="8" t="s">
        <v>25211</v>
      </c>
      <c r="E4351" s="8" t="s">
        <v>25212</v>
      </c>
      <c r="F4351" s="8" t="s">
        <v>25191</v>
      </c>
      <c r="G4351" s="6" t="s">
        <v>118</v>
      </c>
      <c r="H4351" s="6" t="s">
        <v>34</v>
      </c>
      <c r="I4351" s="8" t="s">
        <v>253</v>
      </c>
      <c r="J4351" s="9">
        <v>1</v>
      </c>
      <c r="K4351" s="9">
        <v>222</v>
      </c>
      <c r="L4351" s="9">
        <v>2026</v>
      </c>
      <c r="M4351" s="8" t="s">
        <v>25213</v>
      </c>
      <c r="N4351" s="8" t="s">
        <v>243</v>
      </c>
      <c r="O4351" s="8" t="s">
        <v>964</v>
      </c>
      <c r="P4351" s="6" t="s">
        <v>51</v>
      </c>
      <c r="Q4351" s="8" t="s">
        <v>377</v>
      </c>
      <c r="R4351" s="10" t="s">
        <v>5787</v>
      </c>
      <c r="S4351" s="11" t="s">
        <v>25200</v>
      </c>
      <c r="T4351" s="6"/>
      <c r="U4351" s="15" t="str">
        <f>HYPERLINK("https://media.infra-m.ru/2232/2232555/cover/2232555.jpg", "Обложка")</f>
        <v>Обложка</v>
      </c>
      <c r="V4351" s="8" t="s">
        <v>217</v>
      </c>
      <c r="W4351" s="6"/>
      <c r="X4351" s="6"/>
      <c r="Y4351" s="6"/>
      <c r="Z4351" s="6"/>
      <c r="AA4351" s="6" t="s">
        <v>148</v>
      </c>
      <c r="AB4351" s="8"/>
      <c r="AC4351" s="27">
        <v>9785160216317</v>
      </c>
    </row>
    <row r="4352" spans="1:29" s="4" customFormat="1" ht="51.9" customHeight="1" x14ac:dyDescent="0.2">
      <c r="A4352" s="5">
        <v>0</v>
      </c>
      <c r="B4352" s="6" t="s">
        <v>25214</v>
      </c>
      <c r="C4352" s="7">
        <v>2872.8</v>
      </c>
      <c r="D4352" s="8" t="s">
        <v>25215</v>
      </c>
      <c r="E4352" s="8" t="s">
        <v>25216</v>
      </c>
      <c r="F4352" s="8" t="s">
        <v>25191</v>
      </c>
      <c r="G4352" s="6" t="s">
        <v>118</v>
      </c>
      <c r="H4352" s="6" t="s">
        <v>34</v>
      </c>
      <c r="I4352" s="8" t="s">
        <v>5350</v>
      </c>
      <c r="J4352" s="9">
        <v>1</v>
      </c>
      <c r="K4352" s="9">
        <v>497</v>
      </c>
      <c r="L4352" s="9">
        <v>2024</v>
      </c>
      <c r="M4352" s="8" t="s">
        <v>25217</v>
      </c>
      <c r="N4352" s="8" t="s">
        <v>243</v>
      </c>
      <c r="O4352" s="8" t="s">
        <v>964</v>
      </c>
      <c r="P4352" s="6" t="s">
        <v>51</v>
      </c>
      <c r="Q4352" s="8" t="s">
        <v>377</v>
      </c>
      <c r="R4352" s="10" t="s">
        <v>5787</v>
      </c>
      <c r="S4352" s="11" t="s">
        <v>25218</v>
      </c>
      <c r="T4352" s="6"/>
      <c r="U4352" s="15" t="str">
        <f>HYPERLINK("https://media.infra-m.ru/2167/2167671/cover/2167671.jpg", "Обложка")</f>
        <v>Обложка</v>
      </c>
      <c r="V4352" s="8" t="s">
        <v>217</v>
      </c>
      <c r="W4352" s="6"/>
      <c r="X4352" s="6"/>
      <c r="Y4352" s="6"/>
      <c r="Z4352" s="6"/>
      <c r="AA4352" s="6" t="s">
        <v>148</v>
      </c>
      <c r="AB4352" s="8"/>
      <c r="AC4352" s="27">
        <v>9785160167404</v>
      </c>
    </row>
    <row r="4353" spans="1:29" s="4" customFormat="1" ht="51.9" customHeight="1" x14ac:dyDescent="0.2">
      <c r="A4353" s="5">
        <v>0</v>
      </c>
      <c r="B4353" s="6" t="s">
        <v>25219</v>
      </c>
      <c r="C4353" s="7">
        <v>2632.8</v>
      </c>
      <c r="D4353" s="8" t="s">
        <v>25220</v>
      </c>
      <c r="E4353" s="8" t="s">
        <v>25221</v>
      </c>
      <c r="F4353" s="8" t="s">
        <v>25191</v>
      </c>
      <c r="G4353" s="6" t="s">
        <v>118</v>
      </c>
      <c r="H4353" s="6" t="s">
        <v>34</v>
      </c>
      <c r="I4353" s="8" t="s">
        <v>263</v>
      </c>
      <c r="J4353" s="9">
        <v>1</v>
      </c>
      <c r="K4353" s="9">
        <v>399</v>
      </c>
      <c r="L4353" s="9">
        <v>2026</v>
      </c>
      <c r="M4353" s="8" t="s">
        <v>25222</v>
      </c>
      <c r="N4353" s="8" t="s">
        <v>243</v>
      </c>
      <c r="O4353" s="8" t="s">
        <v>964</v>
      </c>
      <c r="P4353" s="6" t="s">
        <v>51</v>
      </c>
      <c r="Q4353" s="8" t="s">
        <v>265</v>
      </c>
      <c r="R4353" s="10" t="s">
        <v>25223</v>
      </c>
      <c r="S4353" s="11" t="s">
        <v>25224</v>
      </c>
      <c r="T4353" s="6"/>
      <c r="U4353" s="15" t="str">
        <f>HYPERLINK("https://media.infra-m.ru/2239/2239919/cover/2239919.jpg", "Обложка")</f>
        <v>Обложка</v>
      </c>
      <c r="V4353" s="8" t="s">
        <v>217</v>
      </c>
      <c r="W4353" s="6"/>
      <c r="X4353" s="6"/>
      <c r="Y4353" s="6"/>
      <c r="Z4353" s="6" t="s">
        <v>3911</v>
      </c>
      <c r="AA4353" s="6" t="s">
        <v>430</v>
      </c>
      <c r="AB4353" s="8"/>
      <c r="AC4353" s="27">
        <v>9785160168166</v>
      </c>
    </row>
    <row r="4354" spans="1:29" s="4" customFormat="1" ht="51.9" customHeight="1" x14ac:dyDescent="0.2">
      <c r="A4354" s="5">
        <v>0</v>
      </c>
      <c r="B4354" s="6" t="s">
        <v>25225</v>
      </c>
      <c r="C4354" s="7">
        <v>2632.8</v>
      </c>
      <c r="D4354" s="8" t="s">
        <v>25226</v>
      </c>
      <c r="E4354" s="8" t="s">
        <v>25221</v>
      </c>
      <c r="F4354" s="8" t="s">
        <v>25191</v>
      </c>
      <c r="G4354" s="6" t="s">
        <v>118</v>
      </c>
      <c r="H4354" s="6" t="s">
        <v>34</v>
      </c>
      <c r="I4354" s="8" t="s">
        <v>253</v>
      </c>
      <c r="J4354" s="9">
        <v>1</v>
      </c>
      <c r="K4354" s="9">
        <v>399</v>
      </c>
      <c r="L4354" s="9">
        <v>2026</v>
      </c>
      <c r="M4354" s="8" t="s">
        <v>25227</v>
      </c>
      <c r="N4354" s="8" t="s">
        <v>243</v>
      </c>
      <c r="O4354" s="8" t="s">
        <v>964</v>
      </c>
      <c r="P4354" s="6" t="s">
        <v>51</v>
      </c>
      <c r="Q4354" s="8" t="s">
        <v>377</v>
      </c>
      <c r="R4354" s="10" t="s">
        <v>5787</v>
      </c>
      <c r="S4354" s="11" t="s">
        <v>25228</v>
      </c>
      <c r="T4354" s="6"/>
      <c r="U4354" s="15" t="str">
        <f>HYPERLINK("https://media.infra-m.ru/2239/2239920/cover/2239920.jpg", "Обложка")</f>
        <v>Обложка</v>
      </c>
      <c r="V4354" s="8" t="s">
        <v>217</v>
      </c>
      <c r="W4354" s="6"/>
      <c r="X4354" s="6"/>
      <c r="Y4354" s="6"/>
      <c r="Z4354" s="6"/>
      <c r="AA4354" s="6" t="s">
        <v>430</v>
      </c>
      <c r="AB4354" s="8"/>
      <c r="AC4354" s="27">
        <v>9785160202815</v>
      </c>
    </row>
    <row r="4355" spans="1:29" s="4" customFormat="1" ht="51.9" customHeight="1" x14ac:dyDescent="0.2">
      <c r="A4355" s="5">
        <v>0</v>
      </c>
      <c r="B4355" s="6" t="s">
        <v>25229</v>
      </c>
      <c r="C4355" s="7">
        <v>1528.8</v>
      </c>
      <c r="D4355" s="8" t="s">
        <v>25230</v>
      </c>
      <c r="E4355" s="8" t="s">
        <v>25190</v>
      </c>
      <c r="F4355" s="8" t="s">
        <v>25191</v>
      </c>
      <c r="G4355" s="6" t="s">
        <v>60</v>
      </c>
      <c r="H4355" s="6" t="s">
        <v>34</v>
      </c>
      <c r="I4355" s="8" t="s">
        <v>25198</v>
      </c>
      <c r="J4355" s="9">
        <v>1</v>
      </c>
      <c r="K4355" s="9">
        <v>232</v>
      </c>
      <c r="L4355" s="9">
        <v>2026</v>
      </c>
      <c r="M4355" s="8" t="s">
        <v>25231</v>
      </c>
      <c r="N4355" s="8" t="s">
        <v>243</v>
      </c>
      <c r="O4355" s="8" t="s">
        <v>964</v>
      </c>
      <c r="P4355" s="6" t="s">
        <v>51</v>
      </c>
      <c r="Q4355" s="8" t="s">
        <v>377</v>
      </c>
      <c r="R4355" s="10" t="s">
        <v>5787</v>
      </c>
      <c r="S4355" s="11" t="s">
        <v>25232</v>
      </c>
      <c r="T4355" s="6" t="s">
        <v>97</v>
      </c>
      <c r="U4355" s="15" t="str">
        <f>HYPERLINK("https://media.infra-m.ru/2230/2230639/cover/2230639.jpg", "Обложка")</f>
        <v>Обложка</v>
      </c>
      <c r="V4355" s="8" t="s">
        <v>217</v>
      </c>
      <c r="W4355" s="6"/>
      <c r="X4355" s="6"/>
      <c r="Y4355" s="6"/>
      <c r="Z4355" s="6"/>
      <c r="AA4355" s="6" t="s">
        <v>115</v>
      </c>
      <c r="AB4355" s="8"/>
      <c r="AC4355" s="27">
        <v>9785160148953</v>
      </c>
    </row>
    <row r="4356" spans="1:29" s="4" customFormat="1" ht="51.9" customHeight="1" x14ac:dyDescent="0.2">
      <c r="A4356" s="5">
        <v>0</v>
      </c>
      <c r="B4356" s="6" t="s">
        <v>25233</v>
      </c>
      <c r="C4356" s="7">
        <v>2236.8000000000002</v>
      </c>
      <c r="D4356" s="8" t="s">
        <v>25234</v>
      </c>
      <c r="E4356" s="8" t="s">
        <v>25235</v>
      </c>
      <c r="F4356" s="8" t="s">
        <v>25191</v>
      </c>
      <c r="G4356" s="6" t="s">
        <v>118</v>
      </c>
      <c r="H4356" s="6" t="s">
        <v>34</v>
      </c>
      <c r="I4356" s="8" t="s">
        <v>25198</v>
      </c>
      <c r="J4356" s="9">
        <v>1</v>
      </c>
      <c r="K4356" s="9">
        <v>372</v>
      </c>
      <c r="L4356" s="9">
        <v>2024</v>
      </c>
      <c r="M4356" s="8" t="s">
        <v>25236</v>
      </c>
      <c r="N4356" s="8" t="s">
        <v>243</v>
      </c>
      <c r="O4356" s="8" t="s">
        <v>964</v>
      </c>
      <c r="P4356" s="6" t="s">
        <v>51</v>
      </c>
      <c r="Q4356" s="8" t="s">
        <v>377</v>
      </c>
      <c r="R4356" s="10" t="s">
        <v>5787</v>
      </c>
      <c r="S4356" s="11" t="s">
        <v>25237</v>
      </c>
      <c r="T4356" s="6" t="s">
        <v>97</v>
      </c>
      <c r="U4356" s="15" t="str">
        <f>HYPERLINK("https://media.infra-m.ru/2167/2167673/cover/2167673.jpg", "Обложка")</f>
        <v>Обложка</v>
      </c>
      <c r="V4356" s="8" t="s">
        <v>217</v>
      </c>
      <c r="W4356" s="6"/>
      <c r="X4356" s="6"/>
      <c r="Y4356" s="6"/>
      <c r="Z4356" s="6"/>
      <c r="AA4356" s="6" t="s">
        <v>1256</v>
      </c>
      <c r="AB4356" s="8"/>
      <c r="AC4356" s="27">
        <v>9785160157399</v>
      </c>
    </row>
    <row r="4357" spans="1:29" s="4" customFormat="1" ht="51.9" customHeight="1" x14ac:dyDescent="0.2">
      <c r="A4357" s="5">
        <v>0</v>
      </c>
      <c r="B4357" s="6" t="s">
        <v>25238</v>
      </c>
      <c r="C4357" s="7">
        <v>2460</v>
      </c>
      <c r="D4357" s="8" t="s">
        <v>25239</v>
      </c>
      <c r="E4357" s="8" t="s">
        <v>25235</v>
      </c>
      <c r="F4357" s="8" t="s">
        <v>25191</v>
      </c>
      <c r="G4357" s="6" t="s">
        <v>118</v>
      </c>
      <c r="H4357" s="6" t="s">
        <v>34</v>
      </c>
      <c r="I4357" s="8" t="s">
        <v>22218</v>
      </c>
      <c r="J4357" s="9">
        <v>1</v>
      </c>
      <c r="K4357" s="9">
        <v>372</v>
      </c>
      <c r="L4357" s="9">
        <v>2026</v>
      </c>
      <c r="M4357" s="8" t="s">
        <v>25240</v>
      </c>
      <c r="N4357" s="8" t="s">
        <v>243</v>
      </c>
      <c r="O4357" s="8" t="s">
        <v>964</v>
      </c>
      <c r="P4357" s="6" t="s">
        <v>51</v>
      </c>
      <c r="Q4357" s="8" t="s">
        <v>265</v>
      </c>
      <c r="R4357" s="10" t="s">
        <v>25223</v>
      </c>
      <c r="S4357" s="11" t="s">
        <v>25241</v>
      </c>
      <c r="T4357" s="6" t="s">
        <v>97</v>
      </c>
      <c r="U4357" s="15" t="str">
        <f>HYPERLINK("https://media.infra-m.ru/2214/2214935/cover/2214935.jpg", "Обложка")</f>
        <v>Обложка</v>
      </c>
      <c r="V4357" s="8" t="s">
        <v>217</v>
      </c>
      <c r="W4357" s="6"/>
      <c r="X4357" s="6"/>
      <c r="Y4357" s="6"/>
      <c r="Z4357" s="6" t="s">
        <v>3911</v>
      </c>
      <c r="AA4357" s="6" t="s">
        <v>1256</v>
      </c>
      <c r="AB4357" s="8"/>
      <c r="AC4357" s="27">
        <v>9785160161525</v>
      </c>
    </row>
    <row r="4358" spans="1:29" s="4" customFormat="1" ht="42" customHeight="1" x14ac:dyDescent="0.2">
      <c r="A4358" s="5">
        <v>0</v>
      </c>
      <c r="B4358" s="6" t="s">
        <v>25242</v>
      </c>
      <c r="C4358" s="7">
        <v>1188</v>
      </c>
      <c r="D4358" s="8" t="s">
        <v>25243</v>
      </c>
      <c r="E4358" s="8" t="s">
        <v>25244</v>
      </c>
      <c r="F4358" s="8" t="s">
        <v>25245</v>
      </c>
      <c r="G4358" s="6" t="s">
        <v>118</v>
      </c>
      <c r="H4358" s="6" t="s">
        <v>34</v>
      </c>
      <c r="I4358" s="8" t="s">
        <v>35</v>
      </c>
      <c r="J4358" s="9">
        <v>1</v>
      </c>
      <c r="K4358" s="9">
        <v>202</v>
      </c>
      <c r="L4358" s="9">
        <v>2023</v>
      </c>
      <c r="M4358" s="8" t="s">
        <v>25246</v>
      </c>
      <c r="N4358" s="8" t="s">
        <v>243</v>
      </c>
      <c r="O4358" s="8" t="s">
        <v>385</v>
      </c>
      <c r="P4358" s="6" t="s">
        <v>39</v>
      </c>
      <c r="Q4358" s="8" t="s">
        <v>40</v>
      </c>
      <c r="R4358" s="10" t="s">
        <v>378</v>
      </c>
      <c r="S4358" s="11"/>
      <c r="T4358" s="6"/>
      <c r="U4358" s="15" t="str">
        <f>HYPERLINK("https://media.infra-m.ru/1971/1971053/cover/1971053.jpg", "Обложка")</f>
        <v>Обложка</v>
      </c>
      <c r="V4358" s="8" t="s">
        <v>8054</v>
      </c>
      <c r="W4358" s="6"/>
      <c r="X4358" s="6"/>
      <c r="Y4358" s="6"/>
      <c r="Z4358" s="6"/>
      <c r="AA4358" s="6" t="s">
        <v>115</v>
      </c>
      <c r="AB4358" s="8"/>
      <c r="AC4358" s="27">
        <v>9785160142227</v>
      </c>
    </row>
    <row r="4359" spans="1:29" s="4" customFormat="1" ht="42" customHeight="1" x14ac:dyDescent="0.2">
      <c r="A4359" s="5">
        <v>0</v>
      </c>
      <c r="B4359" s="6" t="s">
        <v>25247</v>
      </c>
      <c r="C4359" s="7">
        <v>1104</v>
      </c>
      <c r="D4359" s="8" t="s">
        <v>25248</v>
      </c>
      <c r="E4359" s="8" t="s">
        <v>25249</v>
      </c>
      <c r="F4359" s="8" t="s">
        <v>25250</v>
      </c>
      <c r="G4359" s="6" t="s">
        <v>33</v>
      </c>
      <c r="H4359" s="6" t="s">
        <v>34</v>
      </c>
      <c r="I4359" s="8" t="s">
        <v>35</v>
      </c>
      <c r="J4359" s="9">
        <v>1</v>
      </c>
      <c r="K4359" s="9">
        <v>195</v>
      </c>
      <c r="L4359" s="9">
        <v>2024</v>
      </c>
      <c r="M4359" s="8" t="s">
        <v>25251</v>
      </c>
      <c r="N4359" s="8" t="s">
        <v>93</v>
      </c>
      <c r="O4359" s="8" t="s">
        <v>94</v>
      </c>
      <c r="P4359" s="6" t="s">
        <v>39</v>
      </c>
      <c r="Q4359" s="8" t="s">
        <v>40</v>
      </c>
      <c r="R4359" s="10" t="s">
        <v>1563</v>
      </c>
      <c r="S4359" s="11"/>
      <c r="T4359" s="6"/>
      <c r="U4359" s="15" t="str">
        <f>HYPERLINK("https://media.infra-m.ru/1989/1989269/cover/1989269.jpg", "Обложка")</f>
        <v>Обложка</v>
      </c>
      <c r="V4359" s="8" t="s">
        <v>25252</v>
      </c>
      <c r="W4359" s="6"/>
      <c r="X4359" s="6"/>
      <c r="Y4359" s="6"/>
      <c r="Z4359" s="6"/>
      <c r="AA4359" s="6" t="s">
        <v>76</v>
      </c>
      <c r="AB4359" s="8"/>
      <c r="AC4359" s="27">
        <v>9785160183831</v>
      </c>
    </row>
    <row r="4360" spans="1:29" s="4" customFormat="1" ht="44.1" customHeight="1" x14ac:dyDescent="0.2">
      <c r="A4360" s="5">
        <v>0</v>
      </c>
      <c r="B4360" s="6" t="s">
        <v>25253</v>
      </c>
      <c r="C4360" s="7">
        <v>1308</v>
      </c>
      <c r="D4360" s="8" t="s">
        <v>25254</v>
      </c>
      <c r="E4360" s="8" t="s">
        <v>25255</v>
      </c>
      <c r="F4360" s="8" t="s">
        <v>25256</v>
      </c>
      <c r="G4360" s="6" t="s">
        <v>33</v>
      </c>
      <c r="H4360" s="6" t="s">
        <v>34</v>
      </c>
      <c r="I4360" s="8" t="s">
        <v>35</v>
      </c>
      <c r="J4360" s="9">
        <v>1</v>
      </c>
      <c r="K4360" s="9">
        <v>187</v>
      </c>
      <c r="L4360" s="9">
        <v>2027</v>
      </c>
      <c r="M4360" s="8" t="s">
        <v>25257</v>
      </c>
      <c r="N4360" s="8" t="s">
        <v>93</v>
      </c>
      <c r="O4360" s="8" t="s">
        <v>94</v>
      </c>
      <c r="P4360" s="6" t="s">
        <v>39</v>
      </c>
      <c r="Q4360" s="8" t="s">
        <v>40</v>
      </c>
      <c r="R4360" s="10" t="s">
        <v>25258</v>
      </c>
      <c r="S4360" s="11"/>
      <c r="T4360" s="6"/>
      <c r="U4360" s="15" t="str">
        <f>HYPERLINK("https://media.infra-m.ru/2266/2266136/cover/2266136.jpg", "Обложка")</f>
        <v>Обложка</v>
      </c>
      <c r="V4360" s="8" t="s">
        <v>23141</v>
      </c>
      <c r="W4360" s="6"/>
      <c r="X4360" s="6"/>
      <c r="Y4360" s="6"/>
      <c r="Z4360" s="6"/>
      <c r="AA4360" s="6" t="s">
        <v>76</v>
      </c>
      <c r="AB4360" s="8"/>
      <c r="AC4360" s="27">
        <v>9785160183824</v>
      </c>
    </row>
    <row r="4361" spans="1:29" s="4" customFormat="1" ht="42" customHeight="1" x14ac:dyDescent="0.2">
      <c r="A4361" s="5">
        <v>0</v>
      </c>
      <c r="B4361" s="6" t="s">
        <v>25259</v>
      </c>
      <c r="C4361" s="7">
        <v>1164</v>
      </c>
      <c r="D4361" s="8" t="s">
        <v>25260</v>
      </c>
      <c r="E4361" s="8" t="s">
        <v>25261</v>
      </c>
      <c r="F4361" s="8" t="s">
        <v>25262</v>
      </c>
      <c r="G4361" s="6" t="s">
        <v>118</v>
      </c>
      <c r="H4361" s="6" t="s">
        <v>34</v>
      </c>
      <c r="I4361" s="8" t="s">
        <v>91</v>
      </c>
      <c r="J4361" s="9">
        <v>1</v>
      </c>
      <c r="K4361" s="9">
        <v>167</v>
      </c>
      <c r="L4361" s="9">
        <v>2027</v>
      </c>
      <c r="M4361" s="8" t="s">
        <v>25263</v>
      </c>
      <c r="N4361" s="8" t="s">
        <v>93</v>
      </c>
      <c r="O4361" s="8" t="s">
        <v>94</v>
      </c>
      <c r="P4361" s="6" t="s">
        <v>1481</v>
      </c>
      <c r="Q4361" s="8" t="s">
        <v>52</v>
      </c>
      <c r="R4361" s="10" t="s">
        <v>25264</v>
      </c>
      <c r="S4361" s="11"/>
      <c r="T4361" s="6"/>
      <c r="U4361" s="15" t="str">
        <f>HYPERLINK("https://media.infra-m.ru/2198/2198506/cover/2198506.jpg", "Обложка")</f>
        <v>Обложка</v>
      </c>
      <c r="V4361" s="8" t="s">
        <v>1599</v>
      </c>
      <c r="W4361" s="6"/>
      <c r="X4361" s="6"/>
      <c r="Y4361" s="6"/>
      <c r="Z4361" s="6"/>
      <c r="AA4361" s="6" t="s">
        <v>115</v>
      </c>
      <c r="AB4361" s="8"/>
      <c r="AC4361" s="27">
        <v>9785160143033</v>
      </c>
    </row>
    <row r="4362" spans="1:29" s="4" customFormat="1" ht="51.9" customHeight="1" x14ac:dyDescent="0.2">
      <c r="A4362" s="5">
        <v>0</v>
      </c>
      <c r="B4362" s="6" t="s">
        <v>25265</v>
      </c>
      <c r="C4362" s="7">
        <v>2116.8000000000002</v>
      </c>
      <c r="D4362" s="8" t="s">
        <v>25266</v>
      </c>
      <c r="E4362" s="8" t="s">
        <v>25267</v>
      </c>
      <c r="F4362" s="8" t="s">
        <v>19008</v>
      </c>
      <c r="G4362" s="6" t="s">
        <v>118</v>
      </c>
      <c r="H4362" s="6" t="s">
        <v>34</v>
      </c>
      <c r="I4362" s="8" t="s">
        <v>263</v>
      </c>
      <c r="J4362" s="9">
        <v>1</v>
      </c>
      <c r="K4362" s="9">
        <v>320</v>
      </c>
      <c r="L4362" s="9">
        <v>2026</v>
      </c>
      <c r="M4362" s="8" t="s">
        <v>25268</v>
      </c>
      <c r="N4362" s="8" t="s">
        <v>93</v>
      </c>
      <c r="O4362" s="8" t="s">
        <v>94</v>
      </c>
      <c r="P4362" s="6" t="s">
        <v>105</v>
      </c>
      <c r="Q4362" s="8" t="s">
        <v>265</v>
      </c>
      <c r="R4362" s="10" t="s">
        <v>25269</v>
      </c>
      <c r="S4362" s="11" t="s">
        <v>25270</v>
      </c>
      <c r="T4362" s="6"/>
      <c r="U4362" s="15" t="str">
        <f>HYPERLINK("https://media.infra-m.ru/2232/2232605/cover/2232605.jpg", "Обложка")</f>
        <v>Обложка</v>
      </c>
      <c r="V4362" s="8" t="s">
        <v>19012</v>
      </c>
      <c r="W4362" s="6"/>
      <c r="X4362" s="6"/>
      <c r="Y4362" s="6"/>
      <c r="Z4362" s="6" t="s">
        <v>705</v>
      </c>
      <c r="AA4362" s="6" t="s">
        <v>2240</v>
      </c>
      <c r="AB4362" s="8"/>
      <c r="AC4362" s="27">
        <v>9785160144337</v>
      </c>
    </row>
    <row r="4363" spans="1:29" s="4" customFormat="1" ht="42" customHeight="1" x14ac:dyDescent="0.2">
      <c r="A4363" s="5">
        <v>0</v>
      </c>
      <c r="B4363" s="6" t="s">
        <v>25271</v>
      </c>
      <c r="C4363" s="7">
        <v>2112</v>
      </c>
      <c r="D4363" s="8" t="s">
        <v>25272</v>
      </c>
      <c r="E4363" s="8" t="s">
        <v>25267</v>
      </c>
      <c r="F4363" s="8" t="s">
        <v>19008</v>
      </c>
      <c r="G4363" s="6" t="s">
        <v>118</v>
      </c>
      <c r="H4363" s="6" t="s">
        <v>34</v>
      </c>
      <c r="I4363" s="8" t="s">
        <v>91</v>
      </c>
      <c r="J4363" s="9">
        <v>1</v>
      </c>
      <c r="K4363" s="9">
        <v>319</v>
      </c>
      <c r="L4363" s="9">
        <v>2026</v>
      </c>
      <c r="M4363" s="8" t="s">
        <v>25273</v>
      </c>
      <c r="N4363" s="8" t="s">
        <v>93</v>
      </c>
      <c r="O4363" s="8" t="s">
        <v>94</v>
      </c>
      <c r="P4363" s="6" t="s">
        <v>9745</v>
      </c>
      <c r="Q4363" s="8" t="s">
        <v>40</v>
      </c>
      <c r="R4363" s="10" t="s">
        <v>25274</v>
      </c>
      <c r="S4363" s="11"/>
      <c r="T4363" s="6"/>
      <c r="U4363" s="15" t="str">
        <f>HYPERLINK("https://media.infra-m.ru/2244/2244252/cover/2244252.jpg", "Обложка")</f>
        <v>Обложка</v>
      </c>
      <c r="V4363" s="8" t="s">
        <v>19012</v>
      </c>
      <c r="W4363" s="6"/>
      <c r="X4363" s="6"/>
      <c r="Y4363" s="6"/>
      <c r="Z4363" s="6"/>
      <c r="AA4363" s="6" t="s">
        <v>360</v>
      </c>
      <c r="AB4363" s="8"/>
      <c r="AC4363" s="27">
        <v>9785160114194</v>
      </c>
    </row>
    <row r="4364" spans="1:29" s="4" customFormat="1" ht="51.9" customHeight="1" x14ac:dyDescent="0.2">
      <c r="A4364" s="5">
        <v>0</v>
      </c>
      <c r="B4364" s="6" t="s">
        <v>25275</v>
      </c>
      <c r="C4364" s="7">
        <v>1948.8</v>
      </c>
      <c r="D4364" s="8" t="s">
        <v>25276</v>
      </c>
      <c r="E4364" s="8" t="s">
        <v>25277</v>
      </c>
      <c r="F4364" s="8" t="s">
        <v>19008</v>
      </c>
      <c r="G4364" s="6" t="s">
        <v>118</v>
      </c>
      <c r="H4364" s="6" t="s">
        <v>34</v>
      </c>
      <c r="I4364" s="8" t="s">
        <v>263</v>
      </c>
      <c r="J4364" s="9">
        <v>1</v>
      </c>
      <c r="K4364" s="9">
        <v>281</v>
      </c>
      <c r="L4364" s="9">
        <v>2027</v>
      </c>
      <c r="M4364" s="8" t="s">
        <v>25278</v>
      </c>
      <c r="N4364" s="8" t="s">
        <v>93</v>
      </c>
      <c r="O4364" s="8" t="s">
        <v>94</v>
      </c>
      <c r="P4364" s="6" t="s">
        <v>51</v>
      </c>
      <c r="Q4364" s="8" t="s">
        <v>265</v>
      </c>
      <c r="R4364" s="10" t="s">
        <v>25279</v>
      </c>
      <c r="S4364" s="11" t="s">
        <v>25280</v>
      </c>
      <c r="T4364" s="6"/>
      <c r="U4364" s="15" t="str">
        <f>HYPERLINK("https://media.infra-m.ru/2271/2271497/cover/2271497.jpg", "Обложка")</f>
        <v>Обложка</v>
      </c>
      <c r="V4364" s="8" t="s">
        <v>19012</v>
      </c>
      <c r="W4364" s="6"/>
      <c r="X4364" s="6"/>
      <c r="Y4364" s="6"/>
      <c r="Z4364" s="6" t="s">
        <v>705</v>
      </c>
      <c r="AA4364" s="6" t="s">
        <v>404</v>
      </c>
      <c r="AB4364" s="8"/>
      <c r="AC4364" s="27">
        <v>9785160139777</v>
      </c>
    </row>
    <row r="4365" spans="1:29" s="4" customFormat="1" ht="44.1" customHeight="1" x14ac:dyDescent="0.2">
      <c r="A4365" s="5">
        <v>0</v>
      </c>
      <c r="B4365" s="6" t="s">
        <v>25281</v>
      </c>
      <c r="C4365" s="7">
        <v>1188</v>
      </c>
      <c r="D4365" s="8" t="s">
        <v>25282</v>
      </c>
      <c r="E4365" s="8" t="s">
        <v>25283</v>
      </c>
      <c r="F4365" s="8" t="s">
        <v>25284</v>
      </c>
      <c r="G4365" s="6" t="s">
        <v>33</v>
      </c>
      <c r="H4365" s="6" t="s">
        <v>34</v>
      </c>
      <c r="I4365" s="8" t="s">
        <v>35</v>
      </c>
      <c r="J4365" s="9">
        <v>1</v>
      </c>
      <c r="K4365" s="9">
        <v>181</v>
      </c>
      <c r="L4365" s="9">
        <v>2025</v>
      </c>
      <c r="M4365" s="8" t="s">
        <v>25285</v>
      </c>
      <c r="N4365" s="8" t="s">
        <v>93</v>
      </c>
      <c r="O4365" s="8" t="s">
        <v>94</v>
      </c>
      <c r="P4365" s="6" t="s">
        <v>39</v>
      </c>
      <c r="Q4365" s="8" t="s">
        <v>40</v>
      </c>
      <c r="R4365" s="10" t="s">
        <v>25286</v>
      </c>
      <c r="S4365" s="11"/>
      <c r="T4365" s="6"/>
      <c r="U4365" s="15" t="str">
        <f>HYPERLINK("https://media.infra-m.ru/2186/2186795/cover/2186795.jpg", "Обложка")</f>
        <v>Обложка</v>
      </c>
      <c r="V4365" s="8" t="s">
        <v>1599</v>
      </c>
      <c r="W4365" s="6"/>
      <c r="X4365" s="6"/>
      <c r="Y4365" s="6"/>
      <c r="Z4365" s="6"/>
      <c r="AA4365" s="6" t="s">
        <v>68</v>
      </c>
      <c r="AB4365" s="8"/>
      <c r="AC4365" s="27">
        <v>9785160206356</v>
      </c>
    </row>
    <row r="4366" spans="1:29" s="4" customFormat="1" ht="44.1" customHeight="1" x14ac:dyDescent="0.2">
      <c r="A4366" s="5">
        <v>0</v>
      </c>
      <c r="B4366" s="6" t="s">
        <v>25287</v>
      </c>
      <c r="C4366" s="7">
        <v>1948.8</v>
      </c>
      <c r="D4366" s="8" t="s">
        <v>25288</v>
      </c>
      <c r="E4366" s="8" t="s">
        <v>25277</v>
      </c>
      <c r="F4366" s="8" t="s">
        <v>25289</v>
      </c>
      <c r="G4366" s="6" t="s">
        <v>118</v>
      </c>
      <c r="H4366" s="6" t="s">
        <v>34</v>
      </c>
      <c r="I4366" s="8" t="s">
        <v>91</v>
      </c>
      <c r="J4366" s="9">
        <v>1</v>
      </c>
      <c r="K4366" s="9">
        <v>281</v>
      </c>
      <c r="L4366" s="9">
        <v>2027</v>
      </c>
      <c r="M4366" s="8" t="s">
        <v>25290</v>
      </c>
      <c r="N4366" s="8" t="s">
        <v>93</v>
      </c>
      <c r="O4366" s="8" t="s">
        <v>9512</v>
      </c>
      <c r="P4366" s="6" t="s">
        <v>95</v>
      </c>
      <c r="Q4366" s="8" t="s">
        <v>749</v>
      </c>
      <c r="R4366" s="10" t="s">
        <v>25291</v>
      </c>
      <c r="S4366" s="11"/>
      <c r="T4366" s="6"/>
      <c r="U4366" s="15" t="str">
        <f>HYPERLINK("https://media.infra-m.ru/2271/2271498/cover/2271498.jpg", "Обложка")</f>
        <v>Обложка</v>
      </c>
      <c r="V4366" s="8" t="s">
        <v>19012</v>
      </c>
      <c r="W4366" s="6"/>
      <c r="X4366" s="6"/>
      <c r="Y4366" s="6"/>
      <c r="Z4366" s="6"/>
      <c r="AA4366" s="6" t="s">
        <v>360</v>
      </c>
      <c r="AB4366" s="8"/>
      <c r="AC4366" s="27">
        <v>9785160114200</v>
      </c>
    </row>
    <row r="4367" spans="1:29" s="4" customFormat="1" ht="51.9" customHeight="1" x14ac:dyDescent="0.2">
      <c r="A4367" s="5">
        <v>0</v>
      </c>
      <c r="B4367" s="6" t="s">
        <v>25292</v>
      </c>
      <c r="C4367" s="7">
        <v>1876.8</v>
      </c>
      <c r="D4367" s="8" t="s">
        <v>25293</v>
      </c>
      <c r="E4367" s="8" t="s">
        <v>25294</v>
      </c>
      <c r="F4367" s="8" t="s">
        <v>19008</v>
      </c>
      <c r="G4367" s="6" t="s">
        <v>118</v>
      </c>
      <c r="H4367" s="6" t="s">
        <v>34</v>
      </c>
      <c r="I4367" s="8" t="s">
        <v>253</v>
      </c>
      <c r="J4367" s="9">
        <v>1</v>
      </c>
      <c r="K4367" s="9">
        <v>285</v>
      </c>
      <c r="L4367" s="9">
        <v>2026</v>
      </c>
      <c r="M4367" s="8" t="s">
        <v>25295</v>
      </c>
      <c r="N4367" s="8" t="s">
        <v>93</v>
      </c>
      <c r="O4367" s="8" t="s">
        <v>94</v>
      </c>
      <c r="P4367" s="6" t="s">
        <v>51</v>
      </c>
      <c r="Q4367" s="8" t="s">
        <v>52</v>
      </c>
      <c r="R4367" s="10" t="s">
        <v>11024</v>
      </c>
      <c r="S4367" s="11" t="s">
        <v>25296</v>
      </c>
      <c r="T4367" s="6"/>
      <c r="U4367" s="15" t="str">
        <f>HYPERLINK("https://media.infra-m.ru/2237/2237112/cover/2237112.jpg", "Обложка")</f>
        <v>Обложка</v>
      </c>
      <c r="V4367" s="8" t="s">
        <v>19012</v>
      </c>
      <c r="W4367" s="6"/>
      <c r="X4367" s="6"/>
      <c r="Y4367" s="6"/>
      <c r="Z4367" s="6"/>
      <c r="AA4367" s="6" t="s">
        <v>430</v>
      </c>
      <c r="AB4367" s="8"/>
      <c r="AC4367" s="27">
        <v>9785160205526</v>
      </c>
    </row>
    <row r="4368" spans="1:29" s="4" customFormat="1" ht="42" customHeight="1" x14ac:dyDescent="0.2">
      <c r="A4368" s="5">
        <v>0</v>
      </c>
      <c r="B4368" s="6" t="s">
        <v>25297</v>
      </c>
      <c r="C4368" s="7">
        <v>1876.8</v>
      </c>
      <c r="D4368" s="8" t="s">
        <v>25298</v>
      </c>
      <c r="E4368" s="8" t="s">
        <v>25294</v>
      </c>
      <c r="F4368" s="8" t="s">
        <v>19008</v>
      </c>
      <c r="G4368" s="6" t="s">
        <v>60</v>
      </c>
      <c r="H4368" s="6" t="s">
        <v>34</v>
      </c>
      <c r="I4368" s="8" t="s">
        <v>263</v>
      </c>
      <c r="J4368" s="9">
        <v>1</v>
      </c>
      <c r="K4368" s="9">
        <v>285</v>
      </c>
      <c r="L4368" s="9">
        <v>2026</v>
      </c>
      <c r="M4368" s="8" t="s">
        <v>25299</v>
      </c>
      <c r="N4368" s="8" t="s">
        <v>93</v>
      </c>
      <c r="O4368" s="8" t="s">
        <v>94</v>
      </c>
      <c r="P4368" s="6" t="s">
        <v>51</v>
      </c>
      <c r="Q4368" s="8" t="s">
        <v>265</v>
      </c>
      <c r="R4368" s="10" t="s">
        <v>25300</v>
      </c>
      <c r="S4368" s="11"/>
      <c r="T4368" s="6"/>
      <c r="U4368" s="15" t="str">
        <f>HYPERLINK("https://media.infra-m.ru/2237/2237113/cover/2237113.jpg", "Обложка")</f>
        <v>Обложка</v>
      </c>
      <c r="V4368" s="8" t="s">
        <v>19012</v>
      </c>
      <c r="W4368" s="6"/>
      <c r="X4368" s="6"/>
      <c r="Y4368" s="6"/>
      <c r="Z4368" s="6" t="s">
        <v>267</v>
      </c>
      <c r="AA4368" s="6" t="s">
        <v>68</v>
      </c>
      <c r="AB4368" s="8"/>
      <c r="AC4368" s="27">
        <v>9785160205519</v>
      </c>
    </row>
    <row r="4369" spans="1:29" s="4" customFormat="1" ht="51.9" customHeight="1" x14ac:dyDescent="0.2">
      <c r="A4369" s="5">
        <v>0</v>
      </c>
      <c r="B4369" s="6" t="s">
        <v>25301</v>
      </c>
      <c r="C4369" s="7">
        <v>1120.8</v>
      </c>
      <c r="D4369" s="8" t="s">
        <v>25302</v>
      </c>
      <c r="E4369" s="8" t="s">
        <v>25303</v>
      </c>
      <c r="F4369" s="8" t="s">
        <v>20906</v>
      </c>
      <c r="G4369" s="6" t="s">
        <v>33</v>
      </c>
      <c r="H4369" s="6" t="s">
        <v>34</v>
      </c>
      <c r="I4369" s="8" t="s">
        <v>35</v>
      </c>
      <c r="J4369" s="9">
        <v>1</v>
      </c>
      <c r="K4369" s="9">
        <v>160</v>
      </c>
      <c r="L4369" s="9">
        <v>2026</v>
      </c>
      <c r="M4369" s="8" t="s">
        <v>25304</v>
      </c>
      <c r="N4369" s="8" t="s">
        <v>93</v>
      </c>
      <c r="O4369" s="8" t="s">
        <v>94</v>
      </c>
      <c r="P4369" s="6" t="s">
        <v>39</v>
      </c>
      <c r="Q4369" s="8" t="s">
        <v>40</v>
      </c>
      <c r="R4369" s="10" t="s">
        <v>25305</v>
      </c>
      <c r="S4369" s="11"/>
      <c r="T4369" s="6"/>
      <c r="U4369" s="15" t="str">
        <f>HYPERLINK("https://media.infra-m.ru/2244/2244307/cover/2244307.jpg", "Обложка")</f>
        <v>Обложка</v>
      </c>
      <c r="V4369" s="8" t="s">
        <v>7031</v>
      </c>
      <c r="W4369" s="6"/>
      <c r="X4369" s="6"/>
      <c r="Y4369" s="6"/>
      <c r="Z4369" s="6"/>
      <c r="AA4369" s="6" t="s">
        <v>157</v>
      </c>
      <c r="AB4369" s="8"/>
      <c r="AC4369" s="27">
        <v>9785160177403</v>
      </c>
    </row>
    <row r="4370" spans="1:29" s="4" customFormat="1" ht="44.1" customHeight="1" x14ac:dyDescent="0.2">
      <c r="A4370" s="5">
        <v>0</v>
      </c>
      <c r="B4370" s="6" t="s">
        <v>25306</v>
      </c>
      <c r="C4370" s="7">
        <v>1000.8</v>
      </c>
      <c r="D4370" s="8" t="s">
        <v>25307</v>
      </c>
      <c r="E4370" s="8" t="s">
        <v>25308</v>
      </c>
      <c r="F4370" s="8" t="s">
        <v>25309</v>
      </c>
      <c r="G4370" s="6" t="s">
        <v>60</v>
      </c>
      <c r="H4370" s="6" t="s">
        <v>34</v>
      </c>
      <c r="I4370" s="8" t="s">
        <v>91</v>
      </c>
      <c r="J4370" s="9">
        <v>1</v>
      </c>
      <c r="K4370" s="9">
        <v>152</v>
      </c>
      <c r="L4370" s="9">
        <v>2026</v>
      </c>
      <c r="M4370" s="8" t="s">
        <v>25310</v>
      </c>
      <c r="N4370" s="8" t="s">
        <v>93</v>
      </c>
      <c r="O4370" s="8" t="s">
        <v>94</v>
      </c>
      <c r="P4370" s="6" t="s">
        <v>9745</v>
      </c>
      <c r="Q4370" s="8" t="s">
        <v>65</v>
      </c>
      <c r="R4370" s="10" t="s">
        <v>25311</v>
      </c>
      <c r="S4370" s="11"/>
      <c r="T4370" s="6"/>
      <c r="U4370" s="15" t="str">
        <f>HYPERLINK("https://media.infra-m.ru/2244/2244254/cover/2244254.jpg", "Обложка")</f>
        <v>Обложка</v>
      </c>
      <c r="V4370" s="8" t="s">
        <v>657</v>
      </c>
      <c r="W4370" s="6"/>
      <c r="X4370" s="6"/>
      <c r="Y4370" s="6"/>
      <c r="Z4370" s="6"/>
      <c r="AA4370" s="6" t="s">
        <v>115</v>
      </c>
      <c r="AB4370" s="8"/>
      <c r="AC4370" s="27">
        <v>9785160147468</v>
      </c>
    </row>
    <row r="4371" spans="1:29" s="4" customFormat="1" ht="42" customHeight="1" x14ac:dyDescent="0.2">
      <c r="A4371" s="5">
        <v>0</v>
      </c>
      <c r="B4371" s="6" t="s">
        <v>25312</v>
      </c>
      <c r="C4371" s="7">
        <v>2152.8000000000002</v>
      </c>
      <c r="D4371" s="8" t="s">
        <v>25313</v>
      </c>
      <c r="E4371" s="8" t="s">
        <v>25314</v>
      </c>
      <c r="F4371" s="8" t="s">
        <v>3083</v>
      </c>
      <c r="G4371" s="6" t="s">
        <v>60</v>
      </c>
      <c r="H4371" s="6" t="s">
        <v>34</v>
      </c>
      <c r="I4371" s="8" t="s">
        <v>253</v>
      </c>
      <c r="J4371" s="9">
        <v>1</v>
      </c>
      <c r="K4371" s="9">
        <v>323</v>
      </c>
      <c r="L4371" s="9">
        <v>2025</v>
      </c>
      <c r="M4371" s="8" t="s">
        <v>25315</v>
      </c>
      <c r="N4371" s="8" t="s">
        <v>63</v>
      </c>
      <c r="O4371" s="8" t="s">
        <v>64</v>
      </c>
      <c r="P4371" s="6" t="s">
        <v>51</v>
      </c>
      <c r="Q4371" s="8" t="s">
        <v>65</v>
      </c>
      <c r="R4371" s="10" t="s">
        <v>553</v>
      </c>
      <c r="S4371" s="11"/>
      <c r="T4371" s="6"/>
      <c r="U4371" s="15" t="str">
        <f>HYPERLINK("https://media.infra-m.ru/2228/2228781/cover/2228781.jpg", "Обложка")</f>
        <v>Обложка</v>
      </c>
      <c r="V4371" s="8" t="s">
        <v>3087</v>
      </c>
      <c r="W4371" s="6"/>
      <c r="X4371" s="6"/>
      <c r="Y4371" s="6"/>
      <c r="Z4371" s="6"/>
      <c r="AA4371" s="6" t="s">
        <v>68</v>
      </c>
      <c r="AB4371" s="8"/>
      <c r="AC4371" s="27">
        <v>9785160205274</v>
      </c>
    </row>
    <row r="4372" spans="1:29" s="4" customFormat="1" ht="44.1" customHeight="1" x14ac:dyDescent="0.2">
      <c r="A4372" s="5">
        <v>0</v>
      </c>
      <c r="B4372" s="6" t="s">
        <v>25316</v>
      </c>
      <c r="C4372" s="7">
        <v>1056</v>
      </c>
      <c r="D4372" s="8" t="s">
        <v>25317</v>
      </c>
      <c r="E4372" s="8" t="s">
        <v>25318</v>
      </c>
      <c r="F4372" s="8" t="s">
        <v>25319</v>
      </c>
      <c r="G4372" s="6" t="s">
        <v>118</v>
      </c>
      <c r="H4372" s="6" t="s">
        <v>34</v>
      </c>
      <c r="I4372" s="8" t="s">
        <v>253</v>
      </c>
      <c r="J4372" s="9">
        <v>1</v>
      </c>
      <c r="K4372" s="9">
        <v>191</v>
      </c>
      <c r="L4372" s="9">
        <v>2024</v>
      </c>
      <c r="M4372" s="8" t="s">
        <v>25320</v>
      </c>
      <c r="N4372" s="8" t="s">
        <v>93</v>
      </c>
      <c r="O4372" s="8" t="s">
        <v>94</v>
      </c>
      <c r="P4372" s="6" t="s">
        <v>51</v>
      </c>
      <c r="Q4372" s="8" t="s">
        <v>52</v>
      </c>
      <c r="R4372" s="10" t="s">
        <v>25321</v>
      </c>
      <c r="S4372" s="11"/>
      <c r="T4372" s="6"/>
      <c r="U4372" s="15" t="str">
        <f>HYPERLINK("https://media.infra-m.ru/2098/2098498/cover/2098498.jpg", "Обложка")</f>
        <v>Обложка</v>
      </c>
      <c r="V4372" s="8" t="s">
        <v>1425</v>
      </c>
      <c r="W4372" s="6"/>
      <c r="X4372" s="6"/>
      <c r="Y4372" s="6"/>
      <c r="Z4372" s="6"/>
      <c r="AA4372" s="6" t="s">
        <v>86</v>
      </c>
      <c r="AB4372" s="8"/>
      <c r="AC4372" s="27">
        <v>9785160192666</v>
      </c>
    </row>
    <row r="4373" spans="1:29" s="4" customFormat="1" ht="51.9" customHeight="1" x14ac:dyDescent="0.2">
      <c r="A4373" s="5">
        <v>0</v>
      </c>
      <c r="B4373" s="6" t="s">
        <v>25322</v>
      </c>
      <c r="C4373" s="7">
        <v>1032</v>
      </c>
      <c r="D4373" s="8" t="s">
        <v>25323</v>
      </c>
      <c r="E4373" s="8" t="s">
        <v>25318</v>
      </c>
      <c r="F4373" s="8" t="s">
        <v>25319</v>
      </c>
      <c r="G4373" s="6" t="s">
        <v>118</v>
      </c>
      <c r="H4373" s="6" t="s">
        <v>34</v>
      </c>
      <c r="I4373" s="8" t="s">
        <v>263</v>
      </c>
      <c r="J4373" s="9">
        <v>1</v>
      </c>
      <c r="K4373" s="9">
        <v>191</v>
      </c>
      <c r="L4373" s="9">
        <v>2023</v>
      </c>
      <c r="M4373" s="8" t="s">
        <v>25324</v>
      </c>
      <c r="N4373" s="8" t="s">
        <v>93</v>
      </c>
      <c r="O4373" s="8" t="s">
        <v>94</v>
      </c>
      <c r="P4373" s="6" t="s">
        <v>51</v>
      </c>
      <c r="Q4373" s="8" t="s">
        <v>265</v>
      </c>
      <c r="R4373" s="10" t="s">
        <v>25325</v>
      </c>
      <c r="S4373" s="11" t="s">
        <v>25326</v>
      </c>
      <c r="T4373" s="6"/>
      <c r="U4373" s="15" t="str">
        <f>HYPERLINK("https://media.infra-m.ru/1920/1920366/cover/1920366.jpg", "Обложка")</f>
        <v>Обложка</v>
      </c>
      <c r="V4373" s="8" t="s">
        <v>1425</v>
      </c>
      <c r="W4373" s="6"/>
      <c r="X4373" s="6"/>
      <c r="Y4373" s="6"/>
      <c r="Z4373" s="6" t="s">
        <v>267</v>
      </c>
      <c r="AA4373" s="6" t="s">
        <v>157</v>
      </c>
      <c r="AB4373" s="8"/>
      <c r="AC4373" s="27">
        <v>9785160183152</v>
      </c>
    </row>
    <row r="4374" spans="1:29" s="4" customFormat="1" ht="44.1" customHeight="1" x14ac:dyDescent="0.2">
      <c r="A4374" s="5">
        <v>0</v>
      </c>
      <c r="B4374" s="6" t="s">
        <v>25327</v>
      </c>
      <c r="C4374" s="7">
        <v>1264.8</v>
      </c>
      <c r="D4374" s="8" t="s">
        <v>25328</v>
      </c>
      <c r="E4374" s="8" t="s">
        <v>25329</v>
      </c>
      <c r="F4374" s="8" t="s">
        <v>25330</v>
      </c>
      <c r="G4374" s="6" t="s">
        <v>60</v>
      </c>
      <c r="H4374" s="6" t="s">
        <v>34</v>
      </c>
      <c r="I4374" s="8" t="s">
        <v>253</v>
      </c>
      <c r="J4374" s="9">
        <v>1</v>
      </c>
      <c r="K4374" s="9">
        <v>182</v>
      </c>
      <c r="L4374" s="9">
        <v>2027</v>
      </c>
      <c r="M4374" s="8" t="s">
        <v>25331</v>
      </c>
      <c r="N4374" s="8" t="s">
        <v>585</v>
      </c>
      <c r="O4374" s="8" t="s">
        <v>775</v>
      </c>
      <c r="P4374" s="6" t="s">
        <v>51</v>
      </c>
      <c r="Q4374" s="8" t="s">
        <v>52</v>
      </c>
      <c r="R4374" s="10" t="s">
        <v>25332</v>
      </c>
      <c r="S4374" s="11"/>
      <c r="T4374" s="6"/>
      <c r="U4374" s="15" t="str">
        <f>HYPERLINK("https://media.infra-m.ru/2258/2258221/cover/2258221.jpg", "Обложка")</f>
        <v>Обложка</v>
      </c>
      <c r="V4374" s="8" t="s">
        <v>3087</v>
      </c>
      <c r="W4374" s="6"/>
      <c r="X4374" s="6"/>
      <c r="Y4374" s="6"/>
      <c r="Z4374" s="6"/>
      <c r="AA4374" s="6" t="s">
        <v>157</v>
      </c>
      <c r="AB4374" s="8"/>
      <c r="AC4374" s="27">
        <v>9785160171647</v>
      </c>
    </row>
    <row r="4375" spans="1:29" s="4" customFormat="1" ht="51.9" customHeight="1" x14ac:dyDescent="0.2">
      <c r="A4375" s="5">
        <v>0</v>
      </c>
      <c r="B4375" s="6" t="s">
        <v>25333</v>
      </c>
      <c r="C4375" s="7">
        <v>1552.8</v>
      </c>
      <c r="D4375" s="8" t="s">
        <v>25334</v>
      </c>
      <c r="E4375" s="8" t="s">
        <v>25335</v>
      </c>
      <c r="F4375" s="8" t="s">
        <v>25336</v>
      </c>
      <c r="G4375" s="6" t="s">
        <v>118</v>
      </c>
      <c r="H4375" s="6" t="s">
        <v>34</v>
      </c>
      <c r="I4375" s="8" t="s">
        <v>271</v>
      </c>
      <c r="J4375" s="9">
        <v>1</v>
      </c>
      <c r="K4375" s="9">
        <v>236</v>
      </c>
      <c r="L4375" s="9">
        <v>2026</v>
      </c>
      <c r="M4375" s="8" t="s">
        <v>25337</v>
      </c>
      <c r="N4375" s="8" t="s">
        <v>585</v>
      </c>
      <c r="O4375" s="8" t="s">
        <v>775</v>
      </c>
      <c r="P4375" s="6" t="s">
        <v>51</v>
      </c>
      <c r="Q4375" s="8" t="s">
        <v>52</v>
      </c>
      <c r="R4375" s="10" t="s">
        <v>25338</v>
      </c>
      <c r="S4375" s="11" t="s">
        <v>25339</v>
      </c>
      <c r="T4375" s="6"/>
      <c r="U4375" s="15" t="str">
        <f>HYPERLINK("https://media.infra-m.ru/2223/2223147/cover/2223147.jpg", "Обложка")</f>
        <v>Обложка</v>
      </c>
      <c r="V4375" s="8" t="s">
        <v>7429</v>
      </c>
      <c r="W4375" s="6"/>
      <c r="X4375" s="6" t="s">
        <v>24</v>
      </c>
      <c r="Y4375" s="6"/>
      <c r="Z4375" s="6"/>
      <c r="AA4375" s="6" t="s">
        <v>99</v>
      </c>
      <c r="AB4375" s="8"/>
      <c r="AC4375" s="27">
        <v>9785160121505</v>
      </c>
    </row>
    <row r="4376" spans="1:29" s="4" customFormat="1" ht="42" customHeight="1" x14ac:dyDescent="0.2">
      <c r="A4376" s="5">
        <v>0</v>
      </c>
      <c r="B4376" s="6" t="s">
        <v>25340</v>
      </c>
      <c r="C4376" s="13">
        <v>360</v>
      </c>
      <c r="D4376" s="8" t="s">
        <v>25341</v>
      </c>
      <c r="E4376" s="8" t="s">
        <v>25342</v>
      </c>
      <c r="F4376" s="8" t="s">
        <v>7607</v>
      </c>
      <c r="G4376" s="6" t="s">
        <v>33</v>
      </c>
      <c r="H4376" s="6" t="s">
        <v>34</v>
      </c>
      <c r="I4376" s="8"/>
      <c r="J4376" s="9">
        <v>1</v>
      </c>
      <c r="K4376" s="9">
        <v>154</v>
      </c>
      <c r="L4376" s="9">
        <v>2020</v>
      </c>
      <c r="M4376" s="8" t="s">
        <v>25343</v>
      </c>
      <c r="N4376" s="8" t="s">
        <v>585</v>
      </c>
      <c r="O4376" s="8" t="s">
        <v>775</v>
      </c>
      <c r="P4376" s="6" t="s">
        <v>25344</v>
      </c>
      <c r="Q4376" s="8" t="s">
        <v>52</v>
      </c>
      <c r="R4376" s="10" t="s">
        <v>18053</v>
      </c>
      <c r="S4376" s="11"/>
      <c r="T4376" s="6"/>
      <c r="U4376" s="15" t="str">
        <f>HYPERLINK("https://media.infra-m.ru/1036/1036427/cover/1036427.jpg", "Обложка")</f>
        <v>Обложка</v>
      </c>
      <c r="V4376" s="8" t="s">
        <v>3087</v>
      </c>
      <c r="W4376" s="6"/>
      <c r="X4376" s="6"/>
      <c r="Y4376" s="6"/>
      <c r="Z4376" s="6"/>
      <c r="AA4376" s="6" t="s">
        <v>779</v>
      </c>
      <c r="AB4376" s="8"/>
      <c r="AC4376" s="27">
        <v>9785160118239</v>
      </c>
    </row>
    <row r="4377" spans="1:29" s="4" customFormat="1" ht="51.9" customHeight="1" x14ac:dyDescent="0.2">
      <c r="A4377" s="5">
        <v>0</v>
      </c>
      <c r="B4377" s="6" t="s">
        <v>25345</v>
      </c>
      <c r="C4377" s="7">
        <v>3132</v>
      </c>
      <c r="D4377" s="8" t="s">
        <v>25346</v>
      </c>
      <c r="E4377" s="8" t="s">
        <v>25347</v>
      </c>
      <c r="F4377" s="8" t="s">
        <v>7607</v>
      </c>
      <c r="G4377" s="6" t="s">
        <v>60</v>
      </c>
      <c r="H4377" s="6" t="s">
        <v>34</v>
      </c>
      <c r="I4377" s="8" t="s">
        <v>253</v>
      </c>
      <c r="J4377" s="9">
        <v>1</v>
      </c>
      <c r="K4377" s="9">
        <v>474</v>
      </c>
      <c r="L4377" s="9">
        <v>2026</v>
      </c>
      <c r="M4377" s="8" t="s">
        <v>25348</v>
      </c>
      <c r="N4377" s="8" t="s">
        <v>585</v>
      </c>
      <c r="O4377" s="8" t="s">
        <v>775</v>
      </c>
      <c r="P4377" s="6" t="s">
        <v>306</v>
      </c>
      <c r="Q4377" s="8" t="s">
        <v>52</v>
      </c>
      <c r="R4377" s="10" t="s">
        <v>25349</v>
      </c>
      <c r="S4377" s="11" t="s">
        <v>25350</v>
      </c>
      <c r="T4377" s="6"/>
      <c r="U4377" s="15" t="str">
        <f>HYPERLINK("https://media.infra-m.ru/2255/2255474/cover/2255474.jpg", "Обложка")</f>
        <v>Обложка</v>
      </c>
      <c r="V4377" s="8" t="s">
        <v>3087</v>
      </c>
      <c r="W4377" s="6"/>
      <c r="X4377" s="6" t="s">
        <v>24</v>
      </c>
      <c r="Y4377" s="6"/>
      <c r="Z4377" s="6"/>
      <c r="AA4377" s="6" t="s">
        <v>623</v>
      </c>
      <c r="AB4377" s="8" t="s">
        <v>493</v>
      </c>
      <c r="AC4377" s="27">
        <v>9785160189451</v>
      </c>
    </row>
    <row r="4378" spans="1:29" s="4" customFormat="1" ht="42" customHeight="1" x14ac:dyDescent="0.2">
      <c r="A4378" s="5">
        <v>0</v>
      </c>
      <c r="B4378" s="6" t="s">
        <v>25351</v>
      </c>
      <c r="C4378" s="7">
        <v>1176</v>
      </c>
      <c r="D4378" s="8" t="s">
        <v>25352</v>
      </c>
      <c r="E4378" s="8" t="s">
        <v>25353</v>
      </c>
      <c r="F4378" s="8" t="s">
        <v>25354</v>
      </c>
      <c r="G4378" s="6" t="s">
        <v>118</v>
      </c>
      <c r="H4378" s="6" t="s">
        <v>34</v>
      </c>
      <c r="I4378" s="8" t="s">
        <v>35</v>
      </c>
      <c r="J4378" s="9">
        <v>1</v>
      </c>
      <c r="K4378" s="9">
        <v>251</v>
      </c>
      <c r="L4378" s="9">
        <v>2020</v>
      </c>
      <c r="M4378" s="8" t="s">
        <v>25355</v>
      </c>
      <c r="N4378" s="8" t="s">
        <v>37</v>
      </c>
      <c r="O4378" s="8" t="s">
        <v>83</v>
      </c>
      <c r="P4378" s="6" t="s">
        <v>39</v>
      </c>
      <c r="Q4378" s="8" t="s">
        <v>40</v>
      </c>
      <c r="R4378" s="10" t="s">
        <v>25356</v>
      </c>
      <c r="S4378" s="11"/>
      <c r="T4378" s="6"/>
      <c r="U4378" s="15" t="str">
        <f>HYPERLINK("https://media.infra-m.ru/1854/1854980/cover/1854980.jpg", "Обложка")</f>
        <v>Обложка</v>
      </c>
      <c r="V4378" s="8" t="s">
        <v>657</v>
      </c>
      <c r="W4378" s="6"/>
      <c r="X4378" s="6"/>
      <c r="Y4378" s="6"/>
      <c r="Z4378" s="6"/>
      <c r="AA4378" s="6" t="s">
        <v>99</v>
      </c>
      <c r="AB4378" s="8"/>
      <c r="AC4378" s="27">
        <v>9785160123783</v>
      </c>
    </row>
    <row r="4379" spans="1:29" s="4" customFormat="1" ht="42" customHeight="1" x14ac:dyDescent="0.2">
      <c r="A4379" s="5">
        <v>0</v>
      </c>
      <c r="B4379" s="6" t="s">
        <v>25357</v>
      </c>
      <c r="C4379" s="7">
        <v>1296</v>
      </c>
      <c r="D4379" s="8" t="s">
        <v>25358</v>
      </c>
      <c r="E4379" s="8" t="s">
        <v>25353</v>
      </c>
      <c r="F4379" s="8" t="s">
        <v>25354</v>
      </c>
      <c r="G4379" s="6" t="s">
        <v>33</v>
      </c>
      <c r="H4379" s="6" t="s">
        <v>34</v>
      </c>
      <c r="I4379" s="8" t="s">
        <v>35</v>
      </c>
      <c r="J4379" s="9">
        <v>1</v>
      </c>
      <c r="K4379" s="9">
        <v>251</v>
      </c>
      <c r="L4379" s="9">
        <v>2022</v>
      </c>
      <c r="M4379" s="8" t="s">
        <v>25359</v>
      </c>
      <c r="N4379" s="8" t="s">
        <v>37</v>
      </c>
      <c r="O4379" s="8" t="s">
        <v>83</v>
      </c>
      <c r="P4379" s="6" t="s">
        <v>39</v>
      </c>
      <c r="Q4379" s="8" t="s">
        <v>40</v>
      </c>
      <c r="R4379" s="10" t="s">
        <v>25356</v>
      </c>
      <c r="S4379" s="11"/>
      <c r="T4379" s="6"/>
      <c r="U4379" s="15" t="str">
        <f>HYPERLINK("https://media.infra-m.ru/1856/1856782/cover/1856782.jpg", "Обложка")</f>
        <v>Обложка</v>
      </c>
      <c r="V4379" s="8" t="s">
        <v>657</v>
      </c>
      <c r="W4379" s="6"/>
      <c r="X4379" s="6"/>
      <c r="Y4379" s="6"/>
      <c r="Z4379" s="6"/>
      <c r="AA4379" s="6" t="s">
        <v>99</v>
      </c>
      <c r="AB4379" s="8"/>
      <c r="AC4379" s="27">
        <v>9785160174785</v>
      </c>
    </row>
    <row r="4380" spans="1:29" s="4" customFormat="1" ht="42" customHeight="1" x14ac:dyDescent="0.2">
      <c r="A4380" s="5">
        <v>0</v>
      </c>
      <c r="B4380" s="6" t="s">
        <v>25360</v>
      </c>
      <c r="C4380" s="7">
        <v>1584</v>
      </c>
      <c r="D4380" s="8" t="s">
        <v>25361</v>
      </c>
      <c r="E4380" s="8" t="s">
        <v>25362</v>
      </c>
      <c r="F4380" s="8" t="s">
        <v>25354</v>
      </c>
      <c r="G4380" s="6" t="s">
        <v>60</v>
      </c>
      <c r="H4380" s="6" t="s">
        <v>34</v>
      </c>
      <c r="I4380" s="8" t="s">
        <v>35</v>
      </c>
      <c r="J4380" s="9">
        <v>1</v>
      </c>
      <c r="K4380" s="9">
        <v>264</v>
      </c>
      <c r="L4380" s="9">
        <v>2025</v>
      </c>
      <c r="M4380" s="8" t="s">
        <v>25363</v>
      </c>
      <c r="N4380" s="8" t="s">
        <v>37</v>
      </c>
      <c r="O4380" s="8" t="s">
        <v>83</v>
      </c>
      <c r="P4380" s="6" t="s">
        <v>39</v>
      </c>
      <c r="Q4380" s="8" t="s">
        <v>40</v>
      </c>
      <c r="R4380" s="10" t="s">
        <v>25356</v>
      </c>
      <c r="S4380" s="11"/>
      <c r="T4380" s="6"/>
      <c r="U4380" s="15" t="str">
        <f>HYPERLINK("https://media.infra-m.ru/2033/2033550/cover/2033550.jpg", "Обложка")</f>
        <v>Обложка</v>
      </c>
      <c r="V4380" s="8" t="s">
        <v>657</v>
      </c>
      <c r="W4380" s="6"/>
      <c r="X4380" s="6"/>
      <c r="Y4380" s="6"/>
      <c r="Z4380" s="6"/>
      <c r="AA4380" s="6" t="s">
        <v>917</v>
      </c>
      <c r="AB4380" s="8"/>
      <c r="AC4380" s="27">
        <v>9785160186146</v>
      </c>
    </row>
    <row r="4381" spans="1:29" s="4" customFormat="1" ht="51.9" customHeight="1" x14ac:dyDescent="0.2">
      <c r="A4381" s="5">
        <v>0</v>
      </c>
      <c r="B4381" s="6" t="s">
        <v>25364</v>
      </c>
      <c r="C4381" s="7">
        <v>2140.8000000000002</v>
      </c>
      <c r="D4381" s="8" t="s">
        <v>25365</v>
      </c>
      <c r="E4381" s="8" t="s">
        <v>25366</v>
      </c>
      <c r="F4381" s="8" t="s">
        <v>25367</v>
      </c>
      <c r="G4381" s="6" t="s">
        <v>118</v>
      </c>
      <c r="H4381" s="6" t="s">
        <v>34</v>
      </c>
      <c r="I4381" s="8" t="s">
        <v>271</v>
      </c>
      <c r="J4381" s="9">
        <v>1</v>
      </c>
      <c r="K4381" s="9">
        <v>344</v>
      </c>
      <c r="L4381" s="9">
        <v>2025</v>
      </c>
      <c r="M4381" s="8" t="s">
        <v>25368</v>
      </c>
      <c r="N4381" s="8" t="s">
        <v>243</v>
      </c>
      <c r="O4381" s="8" t="s">
        <v>1100</v>
      </c>
      <c r="P4381" s="6" t="s">
        <v>306</v>
      </c>
      <c r="Q4381" s="8" t="s">
        <v>52</v>
      </c>
      <c r="R4381" s="10" t="s">
        <v>4775</v>
      </c>
      <c r="S4381" s="11" t="s">
        <v>25369</v>
      </c>
      <c r="T4381" s="6"/>
      <c r="U4381" s="15" t="str">
        <f>HYPERLINK("https://media.infra-m.ru/2196/2196908/cover/2196908.jpg", "Обложка")</f>
        <v>Обложка</v>
      </c>
      <c r="V4381" s="8" t="s">
        <v>1527</v>
      </c>
      <c r="W4381" s="6"/>
      <c r="X4381" s="6"/>
      <c r="Y4381" s="6"/>
      <c r="Z4381" s="6"/>
      <c r="AA4381" s="6" t="s">
        <v>779</v>
      </c>
      <c r="AB4381" s="8"/>
      <c r="AC4381" s="27">
        <v>9785160108605</v>
      </c>
    </row>
    <row r="4382" spans="1:29" s="4" customFormat="1" ht="51.9" customHeight="1" x14ac:dyDescent="0.2">
      <c r="A4382" s="5">
        <v>0</v>
      </c>
      <c r="B4382" s="6" t="s">
        <v>25370</v>
      </c>
      <c r="C4382" s="7">
        <v>1824</v>
      </c>
      <c r="D4382" s="8" t="s">
        <v>25371</v>
      </c>
      <c r="E4382" s="8" t="s">
        <v>25372</v>
      </c>
      <c r="F4382" s="8" t="s">
        <v>25373</v>
      </c>
      <c r="G4382" s="6" t="s">
        <v>118</v>
      </c>
      <c r="H4382" s="6" t="s">
        <v>34</v>
      </c>
      <c r="I4382" s="8" t="s">
        <v>263</v>
      </c>
      <c r="J4382" s="9">
        <v>1</v>
      </c>
      <c r="K4382" s="9">
        <v>304</v>
      </c>
      <c r="L4382" s="9">
        <v>2025</v>
      </c>
      <c r="M4382" s="8" t="s">
        <v>25374</v>
      </c>
      <c r="N4382" s="8" t="s">
        <v>585</v>
      </c>
      <c r="O4382" s="8" t="s">
        <v>1518</v>
      </c>
      <c r="P4382" s="6" t="s">
        <v>51</v>
      </c>
      <c r="Q4382" s="8" t="s">
        <v>265</v>
      </c>
      <c r="R4382" s="10" t="s">
        <v>25375</v>
      </c>
      <c r="S4382" s="11"/>
      <c r="T4382" s="6"/>
      <c r="U4382" s="15" t="str">
        <f>HYPERLINK("https://media.infra-m.ru/2169/2169833/cover/2169833.jpg", "Обложка")</f>
        <v>Обложка</v>
      </c>
      <c r="V4382" s="8" t="s">
        <v>631</v>
      </c>
      <c r="W4382" s="6"/>
      <c r="X4382" s="6"/>
      <c r="Y4382" s="6"/>
      <c r="Z4382" s="6" t="s">
        <v>267</v>
      </c>
      <c r="AA4382" s="6" t="s">
        <v>917</v>
      </c>
      <c r="AB4382" s="8"/>
      <c r="AC4382" s="27">
        <v>9785160203454</v>
      </c>
    </row>
    <row r="4383" spans="1:29" s="4" customFormat="1" ht="51.9" customHeight="1" x14ac:dyDescent="0.2">
      <c r="A4383" s="5">
        <v>0</v>
      </c>
      <c r="B4383" s="6" t="s">
        <v>25376</v>
      </c>
      <c r="C4383" s="7">
        <v>1680</v>
      </c>
      <c r="D4383" s="8" t="s">
        <v>25377</v>
      </c>
      <c r="E4383" s="8" t="s">
        <v>25372</v>
      </c>
      <c r="F4383" s="8" t="s">
        <v>25373</v>
      </c>
      <c r="G4383" s="6" t="s">
        <v>118</v>
      </c>
      <c r="H4383" s="6" t="s">
        <v>34</v>
      </c>
      <c r="I4383" s="8" t="s">
        <v>253</v>
      </c>
      <c r="J4383" s="9">
        <v>1</v>
      </c>
      <c r="K4383" s="9">
        <v>304</v>
      </c>
      <c r="L4383" s="9">
        <v>2024</v>
      </c>
      <c r="M4383" s="8" t="s">
        <v>25378</v>
      </c>
      <c r="N4383" s="8" t="s">
        <v>585</v>
      </c>
      <c r="O4383" s="8" t="s">
        <v>1518</v>
      </c>
      <c r="P4383" s="6" t="s">
        <v>51</v>
      </c>
      <c r="Q4383" s="8" t="s">
        <v>52</v>
      </c>
      <c r="R4383" s="10" t="s">
        <v>25379</v>
      </c>
      <c r="S4383" s="11" t="s">
        <v>25380</v>
      </c>
      <c r="T4383" s="6"/>
      <c r="U4383" s="15" t="str">
        <f>HYPERLINK("https://media.infra-m.ru/2055/2055770/cover/2055770.jpg", "Обложка")</f>
        <v>Обложка</v>
      </c>
      <c r="V4383" s="8" t="s">
        <v>631</v>
      </c>
      <c r="W4383" s="6"/>
      <c r="X4383" s="6"/>
      <c r="Y4383" s="6"/>
      <c r="Z4383" s="6"/>
      <c r="AA4383" s="6" t="s">
        <v>218</v>
      </c>
      <c r="AB4383" s="8"/>
      <c r="AC4383" s="27">
        <v>9785160187655</v>
      </c>
    </row>
    <row r="4384" spans="1:29" s="4" customFormat="1" ht="51.9" customHeight="1" x14ac:dyDescent="0.2">
      <c r="A4384" s="5">
        <v>0</v>
      </c>
      <c r="B4384" s="6" t="s">
        <v>25381</v>
      </c>
      <c r="C4384" s="7">
        <v>1636.8</v>
      </c>
      <c r="D4384" s="8" t="s">
        <v>25382</v>
      </c>
      <c r="E4384" s="8" t="s">
        <v>25383</v>
      </c>
      <c r="F4384" s="8" t="s">
        <v>25384</v>
      </c>
      <c r="G4384" s="6" t="s">
        <v>60</v>
      </c>
      <c r="H4384" s="6" t="s">
        <v>34</v>
      </c>
      <c r="I4384" s="8" t="s">
        <v>271</v>
      </c>
      <c r="J4384" s="9">
        <v>1</v>
      </c>
      <c r="K4384" s="9">
        <v>272</v>
      </c>
      <c r="L4384" s="9">
        <v>2025</v>
      </c>
      <c r="M4384" s="8" t="s">
        <v>25385</v>
      </c>
      <c r="N4384" s="8" t="s">
        <v>37</v>
      </c>
      <c r="O4384" s="8" t="s">
        <v>207</v>
      </c>
      <c r="P4384" s="6" t="s">
        <v>306</v>
      </c>
      <c r="Q4384" s="8" t="s">
        <v>52</v>
      </c>
      <c r="R4384" s="10" t="s">
        <v>3679</v>
      </c>
      <c r="S4384" s="11" t="s">
        <v>25386</v>
      </c>
      <c r="T4384" s="6" t="s">
        <v>97</v>
      </c>
      <c r="U4384" s="15" t="str">
        <f>HYPERLINK("https://media.infra-m.ru/2173/2173543/cover/2173543.jpg", "Обложка")</f>
        <v>Обложка</v>
      </c>
      <c r="V4384" s="8" t="s">
        <v>1798</v>
      </c>
      <c r="W4384" s="6"/>
      <c r="X4384" s="6"/>
      <c r="Y4384" s="6"/>
      <c r="Z4384" s="6"/>
      <c r="AA4384" s="6" t="s">
        <v>248</v>
      </c>
      <c r="AB4384" s="8"/>
      <c r="AC4384" s="27">
        <v>9785160066691</v>
      </c>
    </row>
    <row r="4385" spans="1:29" s="4" customFormat="1" ht="51.9" customHeight="1" x14ac:dyDescent="0.2">
      <c r="A4385" s="5">
        <v>0</v>
      </c>
      <c r="B4385" s="6" t="s">
        <v>25387</v>
      </c>
      <c r="C4385" s="7">
        <v>2352</v>
      </c>
      <c r="D4385" s="8" t="s">
        <v>25388</v>
      </c>
      <c r="E4385" s="8" t="s">
        <v>25389</v>
      </c>
      <c r="F4385" s="8" t="s">
        <v>25390</v>
      </c>
      <c r="G4385" s="6" t="s">
        <v>60</v>
      </c>
      <c r="H4385" s="6" t="s">
        <v>34</v>
      </c>
      <c r="I4385" s="8" t="s">
        <v>263</v>
      </c>
      <c r="J4385" s="9">
        <v>1</v>
      </c>
      <c r="K4385" s="9">
        <v>425</v>
      </c>
      <c r="L4385" s="9">
        <v>2024</v>
      </c>
      <c r="M4385" s="8" t="s">
        <v>25391</v>
      </c>
      <c r="N4385" s="8" t="s">
        <v>93</v>
      </c>
      <c r="O4385" s="8" t="s">
        <v>94</v>
      </c>
      <c r="P4385" s="6" t="s">
        <v>306</v>
      </c>
      <c r="Q4385" s="8" t="s">
        <v>265</v>
      </c>
      <c r="R4385" s="10" t="s">
        <v>5974</v>
      </c>
      <c r="S4385" s="11" t="s">
        <v>25392</v>
      </c>
      <c r="T4385" s="6" t="s">
        <v>97</v>
      </c>
      <c r="U4385" s="15" t="str">
        <f>HYPERLINK("https://media.infra-m.ru/2102/2102690/cover/2102690.jpg", "Обложка")</f>
        <v>Обложка</v>
      </c>
      <c r="V4385" s="8" t="s">
        <v>25393</v>
      </c>
      <c r="W4385" s="6"/>
      <c r="X4385" s="6"/>
      <c r="Y4385" s="6"/>
      <c r="Z4385" s="6"/>
      <c r="AA4385" s="6" t="s">
        <v>623</v>
      </c>
      <c r="AB4385" s="8" t="s">
        <v>1418</v>
      </c>
      <c r="AC4385" s="27">
        <v>9785160125466</v>
      </c>
    </row>
    <row r="4386" spans="1:29" s="4" customFormat="1" ht="51.9" customHeight="1" x14ac:dyDescent="0.2">
      <c r="A4386" s="5">
        <v>0</v>
      </c>
      <c r="B4386" s="6" t="s">
        <v>25394</v>
      </c>
      <c r="C4386" s="7">
        <v>2992.8</v>
      </c>
      <c r="D4386" s="8" t="s">
        <v>25395</v>
      </c>
      <c r="E4386" s="8" t="s">
        <v>25396</v>
      </c>
      <c r="F4386" s="8" t="s">
        <v>25397</v>
      </c>
      <c r="G4386" s="6" t="s">
        <v>60</v>
      </c>
      <c r="H4386" s="6" t="s">
        <v>134</v>
      </c>
      <c r="I4386" s="8"/>
      <c r="J4386" s="9">
        <v>1</v>
      </c>
      <c r="K4386" s="9">
        <v>640</v>
      </c>
      <c r="L4386" s="9">
        <v>2026</v>
      </c>
      <c r="M4386" s="8" t="s">
        <v>25398</v>
      </c>
      <c r="N4386" s="8" t="s">
        <v>63</v>
      </c>
      <c r="O4386" s="8" t="s">
        <v>154</v>
      </c>
      <c r="P4386" s="6" t="s">
        <v>306</v>
      </c>
      <c r="Q4386" s="8" t="s">
        <v>65</v>
      </c>
      <c r="R4386" s="10" t="s">
        <v>25399</v>
      </c>
      <c r="S4386" s="11" t="s">
        <v>7158</v>
      </c>
      <c r="T4386" s="6"/>
      <c r="U4386" s="15" t="str">
        <f>HYPERLINK("https://media.infra-m.ru/2261/2261243/cover/2261243.jpg", "Обложка")</f>
        <v>Обложка</v>
      </c>
      <c r="V4386" s="8" t="s">
        <v>1184</v>
      </c>
      <c r="W4386" s="6"/>
      <c r="X4386" s="6"/>
      <c r="Y4386" s="6"/>
      <c r="Z4386" s="6"/>
      <c r="AA4386" s="6" t="s">
        <v>3391</v>
      </c>
      <c r="AB4386" s="8"/>
      <c r="AC4386" s="27">
        <v>9785917680866</v>
      </c>
    </row>
    <row r="4387" spans="1:29" s="4" customFormat="1" ht="51.9" customHeight="1" x14ac:dyDescent="0.2">
      <c r="A4387" s="5">
        <v>0</v>
      </c>
      <c r="B4387" s="6" t="s">
        <v>25400</v>
      </c>
      <c r="C4387" s="7">
        <v>2428.8000000000002</v>
      </c>
      <c r="D4387" s="8" t="s">
        <v>25401</v>
      </c>
      <c r="E4387" s="8" t="s">
        <v>25402</v>
      </c>
      <c r="F4387" s="8" t="s">
        <v>613</v>
      </c>
      <c r="G4387" s="6" t="s">
        <v>118</v>
      </c>
      <c r="H4387" s="6" t="s">
        <v>241</v>
      </c>
      <c r="I4387" s="8"/>
      <c r="J4387" s="9">
        <v>1</v>
      </c>
      <c r="K4387" s="9">
        <v>349</v>
      </c>
      <c r="L4387" s="9">
        <v>2026</v>
      </c>
      <c r="M4387" s="8" t="s">
        <v>25403</v>
      </c>
      <c r="N4387" s="8" t="s">
        <v>63</v>
      </c>
      <c r="O4387" s="8" t="s">
        <v>154</v>
      </c>
      <c r="P4387" s="6" t="s">
        <v>51</v>
      </c>
      <c r="Q4387" s="8" t="s">
        <v>52</v>
      </c>
      <c r="R4387" s="10" t="s">
        <v>25404</v>
      </c>
      <c r="S4387" s="11"/>
      <c r="T4387" s="6"/>
      <c r="U4387" s="15" t="str">
        <f>HYPERLINK("https://media.infra-m.ru/2261/2261241/cover/2261241.jpg", "Обложка")</f>
        <v>Обложка</v>
      </c>
      <c r="V4387" s="8" t="s">
        <v>617</v>
      </c>
      <c r="W4387" s="6"/>
      <c r="X4387" s="6"/>
      <c r="Y4387" s="6"/>
      <c r="Z4387" s="6"/>
      <c r="AA4387" s="6" t="s">
        <v>55</v>
      </c>
      <c r="AB4387" s="8"/>
      <c r="AC4387" s="27">
        <v>9785955802909</v>
      </c>
    </row>
    <row r="4388" spans="1:29" s="4" customFormat="1" ht="51.9" customHeight="1" x14ac:dyDescent="0.2">
      <c r="A4388" s="5">
        <v>0</v>
      </c>
      <c r="B4388" s="6" t="s">
        <v>25405</v>
      </c>
      <c r="C4388" s="13">
        <v>756</v>
      </c>
      <c r="D4388" s="8" t="s">
        <v>25406</v>
      </c>
      <c r="E4388" s="8" t="s">
        <v>25407</v>
      </c>
      <c r="F4388" s="8" t="s">
        <v>25408</v>
      </c>
      <c r="G4388" s="6" t="s">
        <v>118</v>
      </c>
      <c r="H4388" s="6" t="s">
        <v>241</v>
      </c>
      <c r="I4388" s="8"/>
      <c r="J4388" s="9">
        <v>1</v>
      </c>
      <c r="K4388" s="9">
        <v>196</v>
      </c>
      <c r="L4388" s="9">
        <v>2019</v>
      </c>
      <c r="M4388" s="8" t="s">
        <v>25409</v>
      </c>
      <c r="N4388" s="8" t="s">
        <v>63</v>
      </c>
      <c r="O4388" s="8" t="s">
        <v>154</v>
      </c>
      <c r="P4388" s="6" t="s">
        <v>51</v>
      </c>
      <c r="Q4388" s="8" t="s">
        <v>52</v>
      </c>
      <c r="R4388" s="10" t="s">
        <v>25410</v>
      </c>
      <c r="S4388" s="11"/>
      <c r="T4388" s="6"/>
      <c r="U4388" s="15" t="str">
        <f>HYPERLINK("https://media.infra-m.ru/0993/0993453/cover/993453.jpg", "Обложка")</f>
        <v>Обложка</v>
      </c>
      <c r="V4388" s="8" t="s">
        <v>1505</v>
      </c>
      <c r="W4388" s="6"/>
      <c r="X4388" s="6"/>
      <c r="Y4388" s="6"/>
      <c r="Z4388" s="6"/>
      <c r="AA4388" s="6" t="s">
        <v>8675</v>
      </c>
      <c r="AB4388" s="8"/>
      <c r="AC4388" s="27">
        <v>9785955804460</v>
      </c>
    </row>
    <row r="4389" spans="1:29" s="4" customFormat="1" ht="51.9" customHeight="1" x14ac:dyDescent="0.2">
      <c r="A4389" s="5">
        <v>0</v>
      </c>
      <c r="B4389" s="6" t="s">
        <v>25411</v>
      </c>
      <c r="C4389" s="7">
        <v>1368</v>
      </c>
      <c r="D4389" s="8" t="s">
        <v>25412</v>
      </c>
      <c r="E4389" s="8" t="s">
        <v>25413</v>
      </c>
      <c r="F4389" s="8" t="s">
        <v>25408</v>
      </c>
      <c r="G4389" s="6" t="s">
        <v>118</v>
      </c>
      <c r="H4389" s="6" t="s">
        <v>34</v>
      </c>
      <c r="I4389" s="8" t="s">
        <v>253</v>
      </c>
      <c r="J4389" s="9">
        <v>1</v>
      </c>
      <c r="K4389" s="9">
        <v>196</v>
      </c>
      <c r="L4389" s="9">
        <v>2027</v>
      </c>
      <c r="M4389" s="8" t="s">
        <v>25414</v>
      </c>
      <c r="N4389" s="8" t="s">
        <v>63</v>
      </c>
      <c r="O4389" s="8" t="s">
        <v>154</v>
      </c>
      <c r="P4389" s="6" t="s">
        <v>51</v>
      </c>
      <c r="Q4389" s="8" t="s">
        <v>52</v>
      </c>
      <c r="R4389" s="10" t="s">
        <v>25410</v>
      </c>
      <c r="S4389" s="11" t="s">
        <v>25415</v>
      </c>
      <c r="T4389" s="6"/>
      <c r="U4389" s="15" t="str">
        <f>HYPERLINK("https://media.infra-m.ru/2269/2269565/cover/2269565.jpg", "Обложка")</f>
        <v>Обложка</v>
      </c>
      <c r="V4389" s="8" t="s">
        <v>1505</v>
      </c>
      <c r="W4389" s="6"/>
      <c r="X4389" s="6"/>
      <c r="Y4389" s="6"/>
      <c r="Z4389" s="6"/>
      <c r="AA4389" s="6" t="s">
        <v>25416</v>
      </c>
      <c r="AB4389" s="8"/>
      <c r="AC4389" s="27">
        <v>9785160195599</v>
      </c>
    </row>
    <row r="4390" spans="1:29" s="4" customFormat="1" ht="51.9" customHeight="1" x14ac:dyDescent="0.2">
      <c r="A4390" s="5">
        <v>0</v>
      </c>
      <c r="B4390" s="6" t="s">
        <v>25417</v>
      </c>
      <c r="C4390" s="7">
        <v>1288.8</v>
      </c>
      <c r="D4390" s="8" t="s">
        <v>25418</v>
      </c>
      <c r="E4390" s="8" t="s">
        <v>25413</v>
      </c>
      <c r="F4390" s="8" t="s">
        <v>25408</v>
      </c>
      <c r="G4390" s="6" t="s">
        <v>118</v>
      </c>
      <c r="H4390" s="6" t="s">
        <v>34</v>
      </c>
      <c r="I4390" s="8" t="s">
        <v>263</v>
      </c>
      <c r="J4390" s="9">
        <v>1</v>
      </c>
      <c r="K4390" s="9">
        <v>196</v>
      </c>
      <c r="L4390" s="9">
        <v>2026</v>
      </c>
      <c r="M4390" s="8" t="s">
        <v>25419</v>
      </c>
      <c r="N4390" s="8" t="s">
        <v>63</v>
      </c>
      <c r="O4390" s="8" t="s">
        <v>154</v>
      </c>
      <c r="P4390" s="6" t="s">
        <v>51</v>
      </c>
      <c r="Q4390" s="8" t="s">
        <v>265</v>
      </c>
      <c r="R4390" s="10" t="s">
        <v>25420</v>
      </c>
      <c r="S4390" s="11" t="s">
        <v>25421</v>
      </c>
      <c r="T4390" s="6"/>
      <c r="U4390" s="15" t="str">
        <f>HYPERLINK("https://media.infra-m.ru/2242/2242909/cover/2242909.jpg", "Обложка")</f>
        <v>Обложка</v>
      </c>
      <c r="V4390" s="8" t="s">
        <v>1505</v>
      </c>
      <c r="W4390" s="6"/>
      <c r="X4390" s="6" t="s">
        <v>24</v>
      </c>
      <c r="Y4390" s="6"/>
      <c r="Z4390" s="6" t="s">
        <v>267</v>
      </c>
      <c r="AA4390" s="6" t="s">
        <v>25416</v>
      </c>
      <c r="AB4390" s="8"/>
      <c r="AC4390" s="27">
        <v>9785160153292</v>
      </c>
    </row>
    <row r="4391" spans="1:29" s="4" customFormat="1" ht="51.9" customHeight="1" x14ac:dyDescent="0.2">
      <c r="A4391" s="5">
        <v>0</v>
      </c>
      <c r="B4391" s="6" t="s">
        <v>25422</v>
      </c>
      <c r="C4391" s="7">
        <v>3924</v>
      </c>
      <c r="D4391" s="8" t="s">
        <v>25423</v>
      </c>
      <c r="E4391" s="8" t="s">
        <v>25424</v>
      </c>
      <c r="F4391" s="8" t="s">
        <v>16287</v>
      </c>
      <c r="G4391" s="6" t="s">
        <v>60</v>
      </c>
      <c r="H4391" s="6" t="s">
        <v>34</v>
      </c>
      <c r="I4391" s="8" t="s">
        <v>253</v>
      </c>
      <c r="J4391" s="9">
        <v>1</v>
      </c>
      <c r="K4391" s="9">
        <v>625</v>
      </c>
      <c r="L4391" s="9">
        <v>2026</v>
      </c>
      <c r="M4391" s="8" t="s">
        <v>25425</v>
      </c>
      <c r="N4391" s="8" t="s">
        <v>63</v>
      </c>
      <c r="O4391" s="8" t="s">
        <v>154</v>
      </c>
      <c r="P4391" s="6" t="s">
        <v>51</v>
      </c>
      <c r="Q4391" s="8" t="s">
        <v>52</v>
      </c>
      <c r="R4391" s="10" t="s">
        <v>25426</v>
      </c>
      <c r="S4391" s="11" t="s">
        <v>25427</v>
      </c>
      <c r="T4391" s="6"/>
      <c r="U4391" s="15" t="str">
        <f>HYPERLINK("https://media.infra-m.ru/2221/2221963/cover/2221963.jpg", "Обложка")</f>
        <v>Обложка</v>
      </c>
      <c r="V4391" s="8" t="s">
        <v>54</v>
      </c>
      <c r="W4391" s="6"/>
      <c r="X4391" s="6"/>
      <c r="Y4391" s="6"/>
      <c r="Z4391" s="6"/>
      <c r="AA4391" s="6" t="s">
        <v>896</v>
      </c>
      <c r="AB4391" s="8"/>
      <c r="AC4391" s="27">
        <v>9785160213316</v>
      </c>
    </row>
    <row r="4392" spans="1:29" s="4" customFormat="1" ht="51.9" customHeight="1" x14ac:dyDescent="0.2">
      <c r="A4392" s="5">
        <v>0</v>
      </c>
      <c r="B4392" s="6" t="s">
        <v>25428</v>
      </c>
      <c r="C4392" s="7">
        <v>3456</v>
      </c>
      <c r="D4392" s="8" t="s">
        <v>25429</v>
      </c>
      <c r="E4392" s="8" t="s">
        <v>25430</v>
      </c>
      <c r="F4392" s="8" t="s">
        <v>25431</v>
      </c>
      <c r="G4392" s="6" t="s">
        <v>60</v>
      </c>
      <c r="H4392" s="6" t="s">
        <v>34</v>
      </c>
      <c r="I4392" s="8" t="s">
        <v>253</v>
      </c>
      <c r="J4392" s="9">
        <v>1</v>
      </c>
      <c r="K4392" s="9">
        <v>496</v>
      </c>
      <c r="L4392" s="9">
        <v>2027</v>
      </c>
      <c r="M4392" s="8" t="s">
        <v>25432</v>
      </c>
      <c r="N4392" s="8" t="s">
        <v>63</v>
      </c>
      <c r="O4392" s="8" t="s">
        <v>154</v>
      </c>
      <c r="P4392" s="6" t="s">
        <v>51</v>
      </c>
      <c r="Q4392" s="8" t="s">
        <v>52</v>
      </c>
      <c r="R4392" s="10" t="s">
        <v>25433</v>
      </c>
      <c r="S4392" s="11" t="s">
        <v>25434</v>
      </c>
      <c r="T4392" s="6"/>
      <c r="U4392" s="15" t="str">
        <f>HYPERLINK("https://media.infra-m.ru/2262/2262694/cover/2262694.jpg", "Обложка")</f>
        <v>Обложка</v>
      </c>
      <c r="V4392" s="8" t="s">
        <v>9063</v>
      </c>
      <c r="W4392" s="6"/>
      <c r="X4392" s="6"/>
      <c r="Y4392" s="6"/>
      <c r="Z4392" s="6"/>
      <c r="AA4392" s="6" t="s">
        <v>404</v>
      </c>
      <c r="AB4392" s="8"/>
      <c r="AC4392" s="27">
        <v>9785160186856</v>
      </c>
    </row>
    <row r="4393" spans="1:29" s="4" customFormat="1" ht="51.9" customHeight="1" x14ac:dyDescent="0.2">
      <c r="A4393" s="5">
        <v>0</v>
      </c>
      <c r="B4393" s="6" t="s">
        <v>25435</v>
      </c>
      <c r="C4393" s="7">
        <v>1512</v>
      </c>
      <c r="D4393" s="8" t="s">
        <v>25436</v>
      </c>
      <c r="E4393" s="8" t="s">
        <v>25437</v>
      </c>
      <c r="F4393" s="8" t="s">
        <v>25438</v>
      </c>
      <c r="G4393" s="6" t="s">
        <v>118</v>
      </c>
      <c r="H4393" s="6" t="s">
        <v>34</v>
      </c>
      <c r="I4393" s="8" t="s">
        <v>253</v>
      </c>
      <c r="J4393" s="9">
        <v>1</v>
      </c>
      <c r="K4393" s="9">
        <v>236</v>
      </c>
      <c r="L4393" s="9">
        <v>2025</v>
      </c>
      <c r="M4393" s="8" t="s">
        <v>25439</v>
      </c>
      <c r="N4393" s="8" t="s">
        <v>37</v>
      </c>
      <c r="O4393" s="8" t="s">
        <v>83</v>
      </c>
      <c r="P4393" s="6" t="s">
        <v>51</v>
      </c>
      <c r="Q4393" s="8" t="s">
        <v>52</v>
      </c>
      <c r="R4393" s="10" t="s">
        <v>25440</v>
      </c>
      <c r="S4393" s="11" t="s">
        <v>25441</v>
      </c>
      <c r="T4393" s="6"/>
      <c r="U4393" s="15" t="str">
        <f>HYPERLINK("https://media.infra-m.ru/2204/2204121/cover/2204121.jpg", "Обложка")</f>
        <v>Обложка</v>
      </c>
      <c r="V4393" s="8" t="s">
        <v>1768</v>
      </c>
      <c r="W4393" s="6"/>
      <c r="X4393" s="6"/>
      <c r="Y4393" s="6"/>
      <c r="Z4393" s="6"/>
      <c r="AA4393" s="6" t="s">
        <v>15057</v>
      </c>
      <c r="AB4393" s="8"/>
      <c r="AC4393" s="27">
        <v>9785160196664</v>
      </c>
    </row>
    <row r="4394" spans="1:29" s="4" customFormat="1" ht="51.9" customHeight="1" x14ac:dyDescent="0.2">
      <c r="A4394" s="5">
        <v>0</v>
      </c>
      <c r="B4394" s="6" t="s">
        <v>25442</v>
      </c>
      <c r="C4394" s="7">
        <v>3480</v>
      </c>
      <c r="D4394" s="8" t="s">
        <v>25443</v>
      </c>
      <c r="E4394" s="8" t="s">
        <v>25444</v>
      </c>
      <c r="F4394" s="8" t="s">
        <v>25445</v>
      </c>
      <c r="G4394" s="6" t="s">
        <v>118</v>
      </c>
      <c r="H4394" s="6" t="s">
        <v>34</v>
      </c>
      <c r="I4394" s="8" t="s">
        <v>253</v>
      </c>
      <c r="J4394" s="9">
        <v>1</v>
      </c>
      <c r="K4394" s="9">
        <v>654</v>
      </c>
      <c r="L4394" s="9">
        <v>2023</v>
      </c>
      <c r="M4394" s="8" t="s">
        <v>25446</v>
      </c>
      <c r="N4394" s="8" t="s">
        <v>37</v>
      </c>
      <c r="O4394" s="8" t="s">
        <v>83</v>
      </c>
      <c r="P4394" s="6" t="s">
        <v>51</v>
      </c>
      <c r="Q4394" s="8" t="s">
        <v>52</v>
      </c>
      <c r="R4394" s="10" t="s">
        <v>25447</v>
      </c>
      <c r="S4394" s="11" t="s">
        <v>25448</v>
      </c>
      <c r="T4394" s="6"/>
      <c r="U4394" s="15" t="str">
        <f>HYPERLINK("https://media.infra-m.ru/1987/1987577/cover/1987577.jpg", "Обложка")</f>
        <v>Обложка</v>
      </c>
      <c r="V4394" s="8" t="s">
        <v>644</v>
      </c>
      <c r="W4394" s="6"/>
      <c r="X4394" s="6"/>
      <c r="Y4394" s="6"/>
      <c r="Z4394" s="6"/>
      <c r="AA4394" s="6" t="s">
        <v>12057</v>
      </c>
      <c r="AB4394" s="8"/>
      <c r="AC4394" s="27">
        <v>9785160183657</v>
      </c>
    </row>
    <row r="4395" spans="1:29" s="4" customFormat="1" ht="42" customHeight="1" x14ac:dyDescent="0.2">
      <c r="A4395" s="5">
        <v>0</v>
      </c>
      <c r="B4395" s="6" t="s">
        <v>25449</v>
      </c>
      <c r="C4395" s="13">
        <v>850.8</v>
      </c>
      <c r="D4395" s="8" t="s">
        <v>25450</v>
      </c>
      <c r="E4395" s="8" t="s">
        <v>25451</v>
      </c>
      <c r="F4395" s="8" t="s">
        <v>25452</v>
      </c>
      <c r="G4395" s="6" t="s">
        <v>33</v>
      </c>
      <c r="H4395" s="6" t="s">
        <v>34</v>
      </c>
      <c r="I4395" s="8" t="s">
        <v>2927</v>
      </c>
      <c r="J4395" s="9">
        <v>1</v>
      </c>
      <c r="K4395" s="9">
        <v>108</v>
      </c>
      <c r="L4395" s="9">
        <v>2026</v>
      </c>
      <c r="M4395" s="8" t="s">
        <v>25453</v>
      </c>
      <c r="N4395" s="8" t="s">
        <v>37</v>
      </c>
      <c r="O4395" s="8" t="s">
        <v>290</v>
      </c>
      <c r="P4395" s="6" t="s">
        <v>51</v>
      </c>
      <c r="Q4395" s="8" t="s">
        <v>65</v>
      </c>
      <c r="R4395" s="10" t="s">
        <v>25454</v>
      </c>
      <c r="S4395" s="11"/>
      <c r="T4395" s="6"/>
      <c r="U4395" s="15" t="str">
        <f>HYPERLINK("https://media.infra-m.ru/2221/2221952/cover/2221952.jpg", "Обложка")</f>
        <v>Обложка</v>
      </c>
      <c r="V4395" s="8" t="s">
        <v>1083</v>
      </c>
      <c r="W4395" s="6"/>
      <c r="X4395" s="6"/>
      <c r="Y4395" s="6"/>
      <c r="Z4395" s="6"/>
      <c r="AA4395" s="6" t="s">
        <v>99</v>
      </c>
      <c r="AB4395" s="8"/>
      <c r="AC4395" s="27">
        <v>9785160165899</v>
      </c>
    </row>
    <row r="4396" spans="1:29" s="4" customFormat="1" ht="51.9" customHeight="1" x14ac:dyDescent="0.2">
      <c r="A4396" s="5">
        <v>0</v>
      </c>
      <c r="B4396" s="6" t="s">
        <v>25455</v>
      </c>
      <c r="C4396" s="7">
        <v>2400</v>
      </c>
      <c r="D4396" s="8" t="s">
        <v>25456</v>
      </c>
      <c r="E4396" s="8" t="s">
        <v>25457</v>
      </c>
      <c r="F4396" s="8" t="s">
        <v>25458</v>
      </c>
      <c r="G4396" s="6" t="s">
        <v>118</v>
      </c>
      <c r="H4396" s="6" t="s">
        <v>34</v>
      </c>
      <c r="I4396" s="8" t="s">
        <v>2927</v>
      </c>
      <c r="J4396" s="9">
        <v>1</v>
      </c>
      <c r="K4396" s="9">
        <v>346</v>
      </c>
      <c r="L4396" s="9">
        <v>2027</v>
      </c>
      <c r="M4396" s="8" t="s">
        <v>25459</v>
      </c>
      <c r="N4396" s="8" t="s">
        <v>37</v>
      </c>
      <c r="O4396" s="8" t="s">
        <v>290</v>
      </c>
      <c r="P4396" s="6" t="s">
        <v>306</v>
      </c>
      <c r="Q4396" s="8" t="s">
        <v>65</v>
      </c>
      <c r="R4396" s="10" t="s">
        <v>25460</v>
      </c>
      <c r="S4396" s="11" t="s">
        <v>25461</v>
      </c>
      <c r="T4396" s="6"/>
      <c r="U4396" s="15" t="str">
        <f>HYPERLINK("https://media.infra-m.ru/2267/2267517/cover/2267517.jpg", "Обложка")</f>
        <v>Обложка</v>
      </c>
      <c r="V4396" s="8" t="s">
        <v>1083</v>
      </c>
      <c r="W4396" s="6"/>
      <c r="X4396" s="6"/>
      <c r="Y4396" s="6"/>
      <c r="Z4396" s="6"/>
      <c r="AA4396" s="6" t="s">
        <v>218</v>
      </c>
      <c r="AB4396" s="8"/>
      <c r="AC4396" s="27">
        <v>9785160159874</v>
      </c>
    </row>
    <row r="4397" spans="1:29" s="4" customFormat="1" ht="51.9" customHeight="1" x14ac:dyDescent="0.2">
      <c r="A4397" s="5">
        <v>0</v>
      </c>
      <c r="B4397" s="6" t="s">
        <v>25462</v>
      </c>
      <c r="C4397" s="7">
        <v>1312.8</v>
      </c>
      <c r="D4397" s="8" t="s">
        <v>25463</v>
      </c>
      <c r="E4397" s="8" t="s">
        <v>25464</v>
      </c>
      <c r="F4397" s="8" t="s">
        <v>25465</v>
      </c>
      <c r="G4397" s="6" t="s">
        <v>118</v>
      </c>
      <c r="H4397" s="6" t="s">
        <v>34</v>
      </c>
      <c r="I4397" s="8" t="s">
        <v>271</v>
      </c>
      <c r="J4397" s="9">
        <v>1</v>
      </c>
      <c r="K4397" s="9">
        <v>210</v>
      </c>
      <c r="L4397" s="9">
        <v>2025</v>
      </c>
      <c r="M4397" s="8" t="s">
        <v>25466</v>
      </c>
      <c r="N4397" s="8" t="s">
        <v>93</v>
      </c>
      <c r="O4397" s="8" t="s">
        <v>94</v>
      </c>
      <c r="P4397" s="6" t="s">
        <v>51</v>
      </c>
      <c r="Q4397" s="8" t="s">
        <v>52</v>
      </c>
      <c r="R4397" s="10" t="s">
        <v>1598</v>
      </c>
      <c r="S4397" s="11" t="s">
        <v>25467</v>
      </c>
      <c r="T4397" s="6"/>
      <c r="U4397" s="15" t="str">
        <f>HYPERLINK("https://media.infra-m.ru/2208/2208741/cover/2208741.jpg", "Обложка")</f>
        <v>Обложка</v>
      </c>
      <c r="V4397" s="8" t="s">
        <v>18386</v>
      </c>
      <c r="W4397" s="6"/>
      <c r="X4397" s="6"/>
      <c r="Y4397" s="6"/>
      <c r="Z4397" s="6"/>
      <c r="AA4397" s="6" t="s">
        <v>86</v>
      </c>
      <c r="AB4397" s="8"/>
      <c r="AC4397" s="27">
        <v>9785160134574</v>
      </c>
    </row>
    <row r="4398" spans="1:29" s="4" customFormat="1" ht="42" customHeight="1" x14ac:dyDescent="0.2">
      <c r="A4398" s="5">
        <v>0</v>
      </c>
      <c r="B4398" s="6" t="s">
        <v>25468</v>
      </c>
      <c r="C4398" s="7">
        <v>1260</v>
      </c>
      <c r="D4398" s="8" t="s">
        <v>25469</v>
      </c>
      <c r="E4398" s="8" t="s">
        <v>25464</v>
      </c>
      <c r="F4398" s="8" t="s">
        <v>25465</v>
      </c>
      <c r="G4398" s="6" t="s">
        <v>118</v>
      </c>
      <c r="H4398" s="6" t="s">
        <v>34</v>
      </c>
      <c r="I4398" s="8" t="s">
        <v>263</v>
      </c>
      <c r="J4398" s="9">
        <v>1</v>
      </c>
      <c r="K4398" s="9">
        <v>210</v>
      </c>
      <c r="L4398" s="9">
        <v>2025</v>
      </c>
      <c r="M4398" s="8" t="s">
        <v>25470</v>
      </c>
      <c r="N4398" s="8" t="s">
        <v>93</v>
      </c>
      <c r="O4398" s="8" t="s">
        <v>94</v>
      </c>
      <c r="P4398" s="6" t="s">
        <v>51</v>
      </c>
      <c r="Q4398" s="8" t="s">
        <v>265</v>
      </c>
      <c r="R4398" s="10" t="s">
        <v>25269</v>
      </c>
      <c r="S4398" s="11"/>
      <c r="T4398" s="6"/>
      <c r="U4398" s="15" t="str">
        <f>HYPERLINK("https://media.infra-m.ru/2169/2169281/cover/2169281.jpg", "Обложка")</f>
        <v>Обложка</v>
      </c>
      <c r="V4398" s="8" t="s">
        <v>18386</v>
      </c>
      <c r="W4398" s="6"/>
      <c r="X4398" s="6"/>
      <c r="Y4398" s="6"/>
      <c r="Z4398" s="6" t="s">
        <v>267</v>
      </c>
      <c r="AA4398" s="6" t="s">
        <v>68</v>
      </c>
      <c r="AB4398" s="8"/>
      <c r="AC4398" s="27">
        <v>9785160203133</v>
      </c>
    </row>
    <row r="4399" spans="1:29" s="4" customFormat="1" ht="42" customHeight="1" x14ac:dyDescent="0.2">
      <c r="A4399" s="5">
        <v>0</v>
      </c>
      <c r="B4399" s="6" t="s">
        <v>25471</v>
      </c>
      <c r="C4399" s="13">
        <v>936</v>
      </c>
      <c r="D4399" s="8" t="s">
        <v>25472</v>
      </c>
      <c r="E4399" s="8" t="s">
        <v>25473</v>
      </c>
      <c r="F4399" s="8" t="s">
        <v>10482</v>
      </c>
      <c r="G4399" s="6" t="s">
        <v>118</v>
      </c>
      <c r="H4399" s="6" t="s">
        <v>134</v>
      </c>
      <c r="I4399" s="8"/>
      <c r="J4399" s="9">
        <v>1</v>
      </c>
      <c r="K4399" s="9">
        <v>136</v>
      </c>
      <c r="L4399" s="9">
        <v>2026</v>
      </c>
      <c r="M4399" s="8" t="s">
        <v>25474</v>
      </c>
      <c r="N4399" s="8" t="s">
        <v>37</v>
      </c>
      <c r="O4399" s="8" t="s">
        <v>136</v>
      </c>
      <c r="P4399" s="6" t="s">
        <v>39</v>
      </c>
      <c r="Q4399" s="8" t="s">
        <v>40</v>
      </c>
      <c r="R4399" s="10" t="s">
        <v>21223</v>
      </c>
      <c r="S4399" s="11"/>
      <c r="T4399" s="6"/>
      <c r="U4399" s="15" t="str">
        <f>HYPERLINK("https://media.infra-m.ru/2207/2207037/cover/2207037.jpg", "Обложка")</f>
        <v>Обложка</v>
      </c>
      <c r="V4399" s="8" t="s">
        <v>9822</v>
      </c>
      <c r="W4399" s="6"/>
      <c r="X4399" s="6"/>
      <c r="Y4399" s="6"/>
      <c r="Z4399" s="6"/>
      <c r="AA4399" s="6" t="s">
        <v>115</v>
      </c>
      <c r="AB4399" s="8"/>
      <c r="AC4399" s="27">
        <v>9785917689678</v>
      </c>
    </row>
    <row r="4400" spans="1:29" s="4" customFormat="1" ht="51.9" customHeight="1" x14ac:dyDescent="0.2">
      <c r="A4400" s="5">
        <v>0</v>
      </c>
      <c r="B4400" s="6" t="s">
        <v>25475</v>
      </c>
      <c r="C4400" s="13">
        <v>425.9</v>
      </c>
      <c r="D4400" s="8" t="s">
        <v>25476</v>
      </c>
      <c r="E4400" s="8" t="s">
        <v>25477</v>
      </c>
      <c r="F4400" s="8" t="s">
        <v>25478</v>
      </c>
      <c r="G4400" s="6" t="s">
        <v>33</v>
      </c>
      <c r="H4400" s="6" t="s">
        <v>34</v>
      </c>
      <c r="I4400" s="8" t="s">
        <v>35</v>
      </c>
      <c r="J4400" s="9">
        <v>1</v>
      </c>
      <c r="K4400" s="9">
        <v>116</v>
      </c>
      <c r="L4400" s="9">
        <v>2018</v>
      </c>
      <c r="M4400" s="8" t="s">
        <v>25479</v>
      </c>
      <c r="N4400" s="8" t="s">
        <v>243</v>
      </c>
      <c r="O4400" s="8" t="s">
        <v>329</v>
      </c>
      <c r="P4400" s="6" t="s">
        <v>39</v>
      </c>
      <c r="Q4400" s="8" t="s">
        <v>40</v>
      </c>
      <c r="R4400" s="10" t="s">
        <v>25480</v>
      </c>
      <c r="S4400" s="11"/>
      <c r="T4400" s="6"/>
      <c r="U4400" s="15" t="str">
        <f>HYPERLINK("https://media.infra-m.ru/0947/0947760/cover/947760.jpg", "Обложка")</f>
        <v>Обложка</v>
      </c>
      <c r="V4400" s="8" t="s">
        <v>831</v>
      </c>
      <c r="W4400" s="6"/>
      <c r="X4400" s="6"/>
      <c r="Y4400" s="6"/>
      <c r="Z4400" s="6"/>
      <c r="AA4400" s="6" t="s">
        <v>274</v>
      </c>
      <c r="AB4400" s="8"/>
      <c r="AC4400" s="27">
        <v>9785160107660</v>
      </c>
    </row>
    <row r="4401" spans="1:29" s="4" customFormat="1" ht="51.9" customHeight="1" x14ac:dyDescent="0.2">
      <c r="A4401" s="5">
        <v>0</v>
      </c>
      <c r="B4401" s="6" t="s">
        <v>25481</v>
      </c>
      <c r="C4401" s="7">
        <v>1680</v>
      </c>
      <c r="D4401" s="8" t="s">
        <v>25482</v>
      </c>
      <c r="E4401" s="8" t="s">
        <v>25483</v>
      </c>
      <c r="F4401" s="8" t="s">
        <v>7408</v>
      </c>
      <c r="G4401" s="6" t="s">
        <v>33</v>
      </c>
      <c r="H4401" s="6" t="s">
        <v>34</v>
      </c>
      <c r="I4401" s="8" t="s">
        <v>35</v>
      </c>
      <c r="J4401" s="9">
        <v>1</v>
      </c>
      <c r="K4401" s="9">
        <v>367</v>
      </c>
      <c r="L4401" s="9">
        <v>2021</v>
      </c>
      <c r="M4401" s="8" t="s">
        <v>25484</v>
      </c>
      <c r="N4401" s="8" t="s">
        <v>37</v>
      </c>
      <c r="O4401" s="8" t="s">
        <v>136</v>
      </c>
      <c r="P4401" s="6" t="s">
        <v>39</v>
      </c>
      <c r="Q4401" s="8" t="s">
        <v>40</v>
      </c>
      <c r="R4401" s="10" t="s">
        <v>25485</v>
      </c>
      <c r="S4401" s="11"/>
      <c r="T4401" s="6"/>
      <c r="U4401" s="15" t="str">
        <f>HYPERLINK("https://media.infra-m.ru/1371/1371623/cover/1371623.jpg", "Обложка")</f>
        <v>Обложка</v>
      </c>
      <c r="V4401" s="8" t="s">
        <v>3243</v>
      </c>
      <c r="W4401" s="6"/>
      <c r="X4401" s="6"/>
      <c r="Y4401" s="6"/>
      <c r="Z4401" s="6"/>
      <c r="AA4401" s="6" t="s">
        <v>430</v>
      </c>
      <c r="AB4401" s="8"/>
      <c r="AC4401" s="27">
        <v>9785160169149</v>
      </c>
    </row>
    <row r="4402" spans="1:29" s="4" customFormat="1" ht="51.9" customHeight="1" x14ac:dyDescent="0.2">
      <c r="A4402" s="5">
        <v>0</v>
      </c>
      <c r="B4402" s="6" t="s">
        <v>25486</v>
      </c>
      <c r="C4402" s="7">
        <v>3876</v>
      </c>
      <c r="D4402" s="8" t="s">
        <v>25487</v>
      </c>
      <c r="E4402" s="8" t="s">
        <v>25488</v>
      </c>
      <c r="F4402" s="8" t="s">
        <v>13835</v>
      </c>
      <c r="G4402" s="6" t="s">
        <v>60</v>
      </c>
      <c r="H4402" s="6" t="s">
        <v>134</v>
      </c>
      <c r="I4402" s="8"/>
      <c r="J4402" s="9">
        <v>1</v>
      </c>
      <c r="K4402" s="9">
        <v>560</v>
      </c>
      <c r="L4402" s="9">
        <v>2027</v>
      </c>
      <c r="M4402" s="8" t="s">
        <v>25489</v>
      </c>
      <c r="N4402" s="8" t="s">
        <v>37</v>
      </c>
      <c r="O4402" s="8" t="s">
        <v>136</v>
      </c>
      <c r="P4402" s="6" t="s">
        <v>306</v>
      </c>
      <c r="Q4402" s="8" t="s">
        <v>52</v>
      </c>
      <c r="R4402" s="10" t="s">
        <v>10936</v>
      </c>
      <c r="S4402" s="11" t="s">
        <v>7158</v>
      </c>
      <c r="T4402" s="6"/>
      <c r="U4402" s="15" t="str">
        <f>HYPERLINK("https://media.infra-m.ru/2271/2271626/cover/2271626.jpg", "Обложка")</f>
        <v>Обложка</v>
      </c>
      <c r="V4402" s="8" t="s">
        <v>1069</v>
      </c>
      <c r="W4402" s="6"/>
      <c r="X4402" s="6"/>
      <c r="Y4402" s="6"/>
      <c r="Z4402" s="6"/>
      <c r="AA4402" s="6" t="s">
        <v>1716</v>
      </c>
      <c r="AB4402" s="8"/>
      <c r="AC4402" s="27">
        <v>9785917682389</v>
      </c>
    </row>
    <row r="4403" spans="1:29" s="4" customFormat="1" ht="42" customHeight="1" x14ac:dyDescent="0.2">
      <c r="A4403" s="5">
        <v>0</v>
      </c>
      <c r="B4403" s="6" t="s">
        <v>25490</v>
      </c>
      <c r="C4403" s="7">
        <v>2796</v>
      </c>
      <c r="D4403" s="8" t="s">
        <v>25491</v>
      </c>
      <c r="E4403" s="8" t="s">
        <v>25492</v>
      </c>
      <c r="F4403" s="8" t="s">
        <v>25493</v>
      </c>
      <c r="G4403" s="6" t="s">
        <v>60</v>
      </c>
      <c r="H4403" s="6" t="s">
        <v>134</v>
      </c>
      <c r="I4403" s="8"/>
      <c r="J4403" s="9">
        <v>1</v>
      </c>
      <c r="K4403" s="9">
        <v>448</v>
      </c>
      <c r="L4403" s="9">
        <v>2026</v>
      </c>
      <c r="M4403" s="8" t="s">
        <v>25494</v>
      </c>
      <c r="N4403" s="8" t="s">
        <v>37</v>
      </c>
      <c r="O4403" s="8" t="s">
        <v>136</v>
      </c>
      <c r="P4403" s="6" t="s">
        <v>39</v>
      </c>
      <c r="Q4403" s="8" t="s">
        <v>40</v>
      </c>
      <c r="R4403" s="10" t="s">
        <v>1631</v>
      </c>
      <c r="S4403" s="11"/>
      <c r="T4403" s="6"/>
      <c r="U4403" s="15" t="str">
        <f>HYPERLINK("https://media.infra-m.ru/2220/2220956/cover/2220956.jpg", "Обложка")</f>
        <v>Обложка</v>
      </c>
      <c r="V4403" s="8" t="s">
        <v>6114</v>
      </c>
      <c r="W4403" s="6"/>
      <c r="X4403" s="6"/>
      <c r="Y4403" s="6"/>
      <c r="Z4403" s="6"/>
      <c r="AA4403" s="6" t="s">
        <v>1047</v>
      </c>
      <c r="AB4403" s="8"/>
      <c r="AC4403" s="27">
        <v>9785917688077</v>
      </c>
    </row>
    <row r="4404" spans="1:29" s="4" customFormat="1" ht="42" customHeight="1" x14ac:dyDescent="0.2">
      <c r="A4404" s="5">
        <v>0</v>
      </c>
      <c r="B4404" s="6" t="s">
        <v>25495</v>
      </c>
      <c r="C4404" s="7">
        <v>5036.3999999999996</v>
      </c>
      <c r="D4404" s="8" t="s">
        <v>25496</v>
      </c>
      <c r="E4404" s="8" t="s">
        <v>25497</v>
      </c>
      <c r="F4404" s="8" t="s">
        <v>25498</v>
      </c>
      <c r="G4404" s="6" t="s">
        <v>60</v>
      </c>
      <c r="H4404" s="6" t="s">
        <v>1644</v>
      </c>
      <c r="I4404" s="8"/>
      <c r="J4404" s="9">
        <v>1</v>
      </c>
      <c r="K4404" s="9">
        <v>784</v>
      </c>
      <c r="L4404" s="9">
        <v>2023</v>
      </c>
      <c r="M4404" s="8" t="s">
        <v>25499</v>
      </c>
      <c r="N4404" s="8" t="s">
        <v>37</v>
      </c>
      <c r="O4404" s="8" t="s">
        <v>233</v>
      </c>
      <c r="P4404" s="6" t="s">
        <v>306</v>
      </c>
      <c r="Q4404" s="8" t="s">
        <v>52</v>
      </c>
      <c r="R4404" s="10" t="s">
        <v>1646</v>
      </c>
      <c r="S4404" s="11"/>
      <c r="T4404" s="6"/>
      <c r="U4404" s="15" t="str">
        <f>HYPERLINK("https://media.infra-m.ru/1862/1862617/cover/1862617.jpg", "Обложка")</f>
        <v>Обложка</v>
      </c>
      <c r="V4404" s="8" t="s">
        <v>3087</v>
      </c>
      <c r="W4404" s="6"/>
      <c r="X4404" s="6"/>
      <c r="Y4404" s="6"/>
      <c r="Z4404" s="6"/>
      <c r="AA4404" s="6" t="s">
        <v>99</v>
      </c>
      <c r="AB4404" s="8"/>
      <c r="AC4404" s="27">
        <v>9785977604697</v>
      </c>
    </row>
    <row r="4405" spans="1:29" s="4" customFormat="1" ht="51.9" customHeight="1" x14ac:dyDescent="0.2">
      <c r="A4405" s="5">
        <v>0</v>
      </c>
      <c r="B4405" s="6" t="s">
        <v>25500</v>
      </c>
      <c r="C4405" s="7">
        <v>1252.8</v>
      </c>
      <c r="D4405" s="8" t="s">
        <v>25501</v>
      </c>
      <c r="E4405" s="8" t="s">
        <v>25502</v>
      </c>
      <c r="F4405" s="8" t="s">
        <v>25503</v>
      </c>
      <c r="G4405" s="6" t="s">
        <v>60</v>
      </c>
      <c r="H4405" s="6" t="s">
        <v>1042</v>
      </c>
      <c r="I4405" s="8" t="s">
        <v>401</v>
      </c>
      <c r="J4405" s="9">
        <v>1</v>
      </c>
      <c r="K4405" s="9">
        <v>208</v>
      </c>
      <c r="L4405" s="9">
        <v>2025</v>
      </c>
      <c r="M4405" s="8" t="s">
        <v>25504</v>
      </c>
      <c r="N4405" s="8" t="s">
        <v>37</v>
      </c>
      <c r="O4405" s="8" t="s">
        <v>207</v>
      </c>
      <c r="P4405" s="6" t="s">
        <v>51</v>
      </c>
      <c r="Q4405" s="8" t="s">
        <v>265</v>
      </c>
      <c r="R4405" s="10" t="s">
        <v>19623</v>
      </c>
      <c r="S4405" s="11" t="s">
        <v>4572</v>
      </c>
      <c r="T4405" s="6"/>
      <c r="U4405" s="15" t="str">
        <f>HYPERLINK("https://media.infra-m.ru/2160/2160898/cover/2160898.jpg", "Обложка")</f>
        <v>Обложка</v>
      </c>
      <c r="V4405" s="8" t="s">
        <v>9155</v>
      </c>
      <c r="W4405" s="6"/>
      <c r="X4405" s="6"/>
      <c r="Y4405" s="6"/>
      <c r="Z4405" s="6"/>
      <c r="AA4405" s="6" t="s">
        <v>949</v>
      </c>
      <c r="AB4405" s="8"/>
      <c r="AC4405" s="27">
        <v>9785819902707</v>
      </c>
    </row>
    <row r="4406" spans="1:29" s="4" customFormat="1" ht="51.9" customHeight="1" x14ac:dyDescent="0.2">
      <c r="A4406" s="5">
        <v>0</v>
      </c>
      <c r="B4406" s="6" t="s">
        <v>25505</v>
      </c>
      <c r="C4406" s="7">
        <v>3352.8</v>
      </c>
      <c r="D4406" s="8" t="s">
        <v>25506</v>
      </c>
      <c r="E4406" s="8" t="s">
        <v>25507</v>
      </c>
      <c r="F4406" s="8" t="s">
        <v>25508</v>
      </c>
      <c r="G4406" s="6" t="s">
        <v>60</v>
      </c>
      <c r="H4406" s="6" t="s">
        <v>1644</v>
      </c>
      <c r="I4406" s="8"/>
      <c r="J4406" s="9">
        <v>1</v>
      </c>
      <c r="K4406" s="9">
        <v>608</v>
      </c>
      <c r="L4406" s="9">
        <v>2024</v>
      </c>
      <c r="M4406" s="8" t="s">
        <v>25509</v>
      </c>
      <c r="N4406" s="8" t="s">
        <v>37</v>
      </c>
      <c r="O4406" s="8" t="s">
        <v>207</v>
      </c>
      <c r="P4406" s="6" t="s">
        <v>306</v>
      </c>
      <c r="Q4406" s="8" t="s">
        <v>52</v>
      </c>
      <c r="R4406" s="10" t="s">
        <v>25510</v>
      </c>
      <c r="S4406" s="11" t="s">
        <v>25511</v>
      </c>
      <c r="T4406" s="6"/>
      <c r="U4406" s="15" t="str">
        <f>HYPERLINK("https://media.infra-m.ru/2056/2056632/cover/2056632.jpg", "Обложка")</f>
        <v>Обложка</v>
      </c>
      <c r="V4406" s="8" t="s">
        <v>5117</v>
      </c>
      <c r="W4406" s="6"/>
      <c r="X4406" s="6"/>
      <c r="Y4406" s="6"/>
      <c r="Z4406" s="6"/>
      <c r="AA4406" s="6" t="s">
        <v>6033</v>
      </c>
      <c r="AB4406" s="8"/>
      <c r="AC4406" s="27">
        <v>9785977600118</v>
      </c>
    </row>
    <row r="4407" spans="1:29" s="4" customFormat="1" ht="51.9" customHeight="1" x14ac:dyDescent="0.2">
      <c r="A4407" s="5">
        <v>0</v>
      </c>
      <c r="B4407" s="6" t="s">
        <v>25512</v>
      </c>
      <c r="C4407" s="7">
        <v>1796.4</v>
      </c>
      <c r="D4407" s="8" t="s">
        <v>25513</v>
      </c>
      <c r="E4407" s="8" t="s">
        <v>25502</v>
      </c>
      <c r="F4407" s="8" t="s">
        <v>25503</v>
      </c>
      <c r="G4407" s="6" t="s">
        <v>60</v>
      </c>
      <c r="H4407" s="6" t="s">
        <v>241</v>
      </c>
      <c r="I4407" s="8"/>
      <c r="J4407" s="9">
        <v>1</v>
      </c>
      <c r="K4407" s="9">
        <v>219</v>
      </c>
      <c r="L4407" s="9">
        <v>2026</v>
      </c>
      <c r="M4407" s="8" t="s">
        <v>25514</v>
      </c>
      <c r="N4407" s="8" t="s">
        <v>37</v>
      </c>
      <c r="O4407" s="8" t="s">
        <v>207</v>
      </c>
      <c r="P4407" s="6" t="s">
        <v>51</v>
      </c>
      <c r="Q4407" s="8" t="s">
        <v>52</v>
      </c>
      <c r="R4407" s="10" t="s">
        <v>5149</v>
      </c>
      <c r="S4407" s="11" t="s">
        <v>25515</v>
      </c>
      <c r="T4407" s="6"/>
      <c r="U4407" s="15" t="str">
        <f>HYPERLINK("https://media.infra-m.ru/2233/2233534/cover/2233534.jpg", "Обложка")</f>
        <v>Обложка</v>
      </c>
      <c r="V4407" s="8" t="s">
        <v>9155</v>
      </c>
      <c r="W4407" s="6"/>
      <c r="X4407" s="6"/>
      <c r="Y4407" s="6"/>
      <c r="Z4407" s="6"/>
      <c r="AA4407" s="6" t="s">
        <v>561</v>
      </c>
      <c r="AB4407" s="8"/>
      <c r="AC4407" s="27">
        <v>9785955801155</v>
      </c>
    </row>
    <row r="4408" spans="1:29" s="4" customFormat="1" ht="42" customHeight="1" x14ac:dyDescent="0.2">
      <c r="A4408" s="5">
        <v>0</v>
      </c>
      <c r="B4408" s="6" t="s">
        <v>25516</v>
      </c>
      <c r="C4408" s="7">
        <v>2856</v>
      </c>
      <c r="D4408" s="8" t="s">
        <v>25517</v>
      </c>
      <c r="E4408" s="8" t="s">
        <v>25518</v>
      </c>
      <c r="F4408" s="8" t="s">
        <v>25493</v>
      </c>
      <c r="G4408" s="6" t="s">
        <v>60</v>
      </c>
      <c r="H4408" s="6" t="s">
        <v>134</v>
      </c>
      <c r="I4408" s="8"/>
      <c r="J4408" s="9">
        <v>1</v>
      </c>
      <c r="K4408" s="9">
        <v>432</v>
      </c>
      <c r="L4408" s="9">
        <v>2026</v>
      </c>
      <c r="M4408" s="8" t="s">
        <v>25519</v>
      </c>
      <c r="N4408" s="8" t="s">
        <v>37</v>
      </c>
      <c r="O4408" s="8" t="s">
        <v>136</v>
      </c>
      <c r="P4408" s="6" t="s">
        <v>39</v>
      </c>
      <c r="Q4408" s="8" t="s">
        <v>40</v>
      </c>
      <c r="R4408" s="10" t="s">
        <v>1625</v>
      </c>
      <c r="S4408" s="11"/>
      <c r="T4408" s="6"/>
      <c r="U4408" s="15" t="str">
        <f>HYPERLINK("https://media.infra-m.ru/2248/2248487/cover/2248487.jpg", "Обложка")</f>
        <v>Обложка</v>
      </c>
      <c r="V4408" s="8" t="s">
        <v>6114</v>
      </c>
      <c r="W4408" s="6"/>
      <c r="X4408" s="6"/>
      <c r="Y4408" s="6"/>
      <c r="Z4408" s="6"/>
      <c r="AA4408" s="6" t="s">
        <v>1056</v>
      </c>
      <c r="AB4408" s="8"/>
      <c r="AC4408" s="27">
        <v>9785917680330</v>
      </c>
    </row>
    <row r="4409" spans="1:29" s="4" customFormat="1" ht="51.9" customHeight="1" x14ac:dyDescent="0.2">
      <c r="A4409" s="5">
        <v>0</v>
      </c>
      <c r="B4409" s="6" t="s">
        <v>25520</v>
      </c>
      <c r="C4409" s="7">
        <v>2100</v>
      </c>
      <c r="D4409" s="8" t="s">
        <v>25521</v>
      </c>
      <c r="E4409" s="8" t="s">
        <v>25522</v>
      </c>
      <c r="F4409" s="8" t="s">
        <v>25523</v>
      </c>
      <c r="G4409" s="6" t="s">
        <v>33</v>
      </c>
      <c r="H4409" s="6" t="s">
        <v>34</v>
      </c>
      <c r="I4409" s="8" t="s">
        <v>263</v>
      </c>
      <c r="J4409" s="9">
        <v>1</v>
      </c>
      <c r="K4409" s="9">
        <v>336</v>
      </c>
      <c r="L4409" s="9">
        <v>2026</v>
      </c>
      <c r="M4409" s="8" t="s">
        <v>25524</v>
      </c>
      <c r="N4409" s="8" t="s">
        <v>243</v>
      </c>
      <c r="O4409" s="8" t="s">
        <v>798</v>
      </c>
      <c r="P4409" s="6" t="s">
        <v>306</v>
      </c>
      <c r="Q4409" s="8" t="s">
        <v>265</v>
      </c>
      <c r="R4409" s="10" t="s">
        <v>25525</v>
      </c>
      <c r="S4409" s="11" t="s">
        <v>25526</v>
      </c>
      <c r="T4409" s="6"/>
      <c r="U4409" s="15" t="str">
        <f>HYPERLINK("https://media.infra-m.ru/2221/2221109/cover/2221109.jpg", "Обложка")</f>
        <v>Обложка</v>
      </c>
      <c r="V4409" s="8" t="s">
        <v>5951</v>
      </c>
      <c r="W4409" s="6"/>
      <c r="X4409" s="6"/>
      <c r="Y4409" s="6"/>
      <c r="Z4409" s="6"/>
      <c r="AA4409" s="6" t="s">
        <v>1007</v>
      </c>
      <c r="AB4409" s="8"/>
      <c r="AC4409" s="27">
        <v>9785160097411</v>
      </c>
    </row>
    <row r="4410" spans="1:29" s="4" customFormat="1" ht="51.9" customHeight="1" x14ac:dyDescent="0.2">
      <c r="A4410" s="5">
        <v>0</v>
      </c>
      <c r="B4410" s="6" t="s">
        <v>25527</v>
      </c>
      <c r="C4410" s="7">
        <v>1764</v>
      </c>
      <c r="D4410" s="8" t="s">
        <v>25528</v>
      </c>
      <c r="E4410" s="8" t="s">
        <v>25529</v>
      </c>
      <c r="F4410" s="8" t="s">
        <v>25530</v>
      </c>
      <c r="G4410" s="6" t="s">
        <v>118</v>
      </c>
      <c r="H4410" s="6" t="s">
        <v>34</v>
      </c>
      <c r="I4410" s="8" t="s">
        <v>271</v>
      </c>
      <c r="J4410" s="9">
        <v>1</v>
      </c>
      <c r="K4410" s="9">
        <v>319</v>
      </c>
      <c r="L4410" s="9">
        <v>2023</v>
      </c>
      <c r="M4410" s="8" t="s">
        <v>25531</v>
      </c>
      <c r="N4410" s="8" t="s">
        <v>585</v>
      </c>
      <c r="O4410" s="8" t="s">
        <v>667</v>
      </c>
      <c r="P4410" s="6" t="s">
        <v>51</v>
      </c>
      <c r="Q4410" s="8" t="s">
        <v>52</v>
      </c>
      <c r="R4410" s="10" t="s">
        <v>25532</v>
      </c>
      <c r="S4410" s="11" t="s">
        <v>25533</v>
      </c>
      <c r="T4410" s="6"/>
      <c r="U4410" s="15" t="str">
        <f>HYPERLINK("https://media.infra-m.ru/2126/2126629/cover/2126629.jpg", "Обложка")</f>
        <v>Обложка</v>
      </c>
      <c r="V4410" s="8" t="s">
        <v>3588</v>
      </c>
      <c r="W4410" s="6"/>
      <c r="X4410" s="6"/>
      <c r="Y4410" s="6"/>
      <c r="Z4410" s="6"/>
      <c r="AA4410" s="6" t="s">
        <v>86</v>
      </c>
      <c r="AB4410" s="8"/>
      <c r="AC4410" s="27">
        <v>9785160132624</v>
      </c>
    </row>
    <row r="4411" spans="1:29" s="4" customFormat="1" ht="51.9" customHeight="1" x14ac:dyDescent="0.2">
      <c r="A4411" s="5">
        <v>0</v>
      </c>
      <c r="B4411" s="6" t="s">
        <v>25534</v>
      </c>
      <c r="C4411" s="7">
        <v>1020</v>
      </c>
      <c r="D4411" s="8" t="s">
        <v>25535</v>
      </c>
      <c r="E4411" s="8" t="s">
        <v>25536</v>
      </c>
      <c r="F4411" s="8" t="s">
        <v>25537</v>
      </c>
      <c r="G4411" s="6" t="s">
        <v>118</v>
      </c>
      <c r="H4411" s="6" t="s">
        <v>34</v>
      </c>
      <c r="I4411" s="8" t="s">
        <v>253</v>
      </c>
      <c r="J4411" s="9">
        <v>1</v>
      </c>
      <c r="K4411" s="9">
        <v>131</v>
      </c>
      <c r="L4411" s="9">
        <v>2027</v>
      </c>
      <c r="M4411" s="8" t="s">
        <v>25538</v>
      </c>
      <c r="N4411" s="8" t="s">
        <v>243</v>
      </c>
      <c r="O4411" s="8" t="s">
        <v>385</v>
      </c>
      <c r="P4411" s="6" t="s">
        <v>105</v>
      </c>
      <c r="Q4411" s="8" t="s">
        <v>377</v>
      </c>
      <c r="R4411" s="10" t="s">
        <v>25539</v>
      </c>
      <c r="S4411" s="11" t="s">
        <v>25540</v>
      </c>
      <c r="T4411" s="6"/>
      <c r="U4411" s="15" t="str">
        <f>HYPERLINK("https://media.infra-m.ru/2271/2271481/cover/2271481.jpg", "Обложка")</f>
        <v>Обложка</v>
      </c>
      <c r="V4411" s="8" t="s">
        <v>2154</v>
      </c>
      <c r="W4411" s="6"/>
      <c r="X4411" s="6"/>
      <c r="Y4411" s="6"/>
      <c r="Z4411" s="6"/>
      <c r="AA4411" s="6" t="s">
        <v>2240</v>
      </c>
      <c r="AB4411" s="8"/>
      <c r="AC4411" s="27">
        <v>9785160216058</v>
      </c>
    </row>
    <row r="4412" spans="1:29" s="4" customFormat="1" ht="44.1" customHeight="1" x14ac:dyDescent="0.2">
      <c r="A4412" s="5">
        <v>0</v>
      </c>
      <c r="B4412" s="6" t="s">
        <v>25541</v>
      </c>
      <c r="C4412" s="13">
        <v>552</v>
      </c>
      <c r="D4412" s="8" t="s">
        <v>25542</v>
      </c>
      <c r="E4412" s="8" t="s">
        <v>25543</v>
      </c>
      <c r="F4412" s="8" t="s">
        <v>25544</v>
      </c>
      <c r="G4412" s="6" t="s">
        <v>33</v>
      </c>
      <c r="H4412" s="6" t="s">
        <v>34</v>
      </c>
      <c r="I4412" s="8" t="s">
        <v>2171</v>
      </c>
      <c r="J4412" s="9">
        <v>1</v>
      </c>
      <c r="K4412" s="9">
        <v>80</v>
      </c>
      <c r="L4412" s="9">
        <v>2026</v>
      </c>
      <c r="M4412" s="8" t="s">
        <v>25545</v>
      </c>
      <c r="N4412" s="8" t="s">
        <v>243</v>
      </c>
      <c r="O4412" s="8" t="s">
        <v>933</v>
      </c>
      <c r="P4412" s="6" t="s">
        <v>51</v>
      </c>
      <c r="Q4412" s="8" t="s">
        <v>52</v>
      </c>
      <c r="R4412" s="10" t="s">
        <v>25546</v>
      </c>
      <c r="S4412" s="11"/>
      <c r="T4412" s="6"/>
      <c r="U4412" s="15" t="str">
        <f>HYPERLINK("https://media.infra-m.ru/2254/2254521/cover/2254521.jpg", "Обложка")</f>
        <v>Обложка</v>
      </c>
      <c r="V4412" s="8" t="s">
        <v>2175</v>
      </c>
      <c r="W4412" s="6"/>
      <c r="X4412" s="6"/>
      <c r="Y4412" s="6"/>
      <c r="Z4412" s="6"/>
      <c r="AA4412" s="6" t="s">
        <v>115</v>
      </c>
      <c r="AB4412" s="8"/>
      <c r="AC4412" s="27">
        <v>9785160154213</v>
      </c>
    </row>
    <row r="4413" spans="1:29" s="4" customFormat="1" ht="51.9" customHeight="1" x14ac:dyDescent="0.2">
      <c r="A4413" s="5">
        <v>0</v>
      </c>
      <c r="B4413" s="6" t="s">
        <v>25547</v>
      </c>
      <c r="C4413" s="7">
        <v>1272</v>
      </c>
      <c r="D4413" s="8" t="s">
        <v>25548</v>
      </c>
      <c r="E4413" s="8" t="s">
        <v>25549</v>
      </c>
      <c r="F4413" s="8" t="s">
        <v>25550</v>
      </c>
      <c r="G4413" s="6" t="s">
        <v>118</v>
      </c>
      <c r="H4413" s="6" t="s">
        <v>34</v>
      </c>
      <c r="I4413" s="8" t="s">
        <v>253</v>
      </c>
      <c r="J4413" s="9">
        <v>1</v>
      </c>
      <c r="K4413" s="9">
        <v>210</v>
      </c>
      <c r="L4413" s="9">
        <v>2025</v>
      </c>
      <c r="M4413" s="8" t="s">
        <v>25551</v>
      </c>
      <c r="N4413" s="8" t="s">
        <v>243</v>
      </c>
      <c r="O4413" s="8" t="s">
        <v>758</v>
      </c>
      <c r="P4413" s="6" t="s">
        <v>51</v>
      </c>
      <c r="Q4413" s="8" t="s">
        <v>52</v>
      </c>
      <c r="R4413" s="10" t="s">
        <v>23856</v>
      </c>
      <c r="S4413" s="11" t="s">
        <v>25552</v>
      </c>
      <c r="T4413" s="6"/>
      <c r="U4413" s="15" t="str">
        <f>HYPERLINK("https://media.infra-m.ru/2168/2168866/cover/2168866.jpg", "Обложка")</f>
        <v>Обложка</v>
      </c>
      <c r="V4413" s="8" t="s">
        <v>1157</v>
      </c>
      <c r="W4413" s="6"/>
      <c r="X4413" s="6"/>
      <c r="Y4413" s="6"/>
      <c r="Z4413" s="6"/>
      <c r="AA4413" s="6" t="s">
        <v>218</v>
      </c>
      <c r="AB4413" s="8"/>
      <c r="AC4413" s="27">
        <v>9785160204239</v>
      </c>
    </row>
    <row r="4414" spans="1:29" s="4" customFormat="1" ht="51.9" customHeight="1" x14ac:dyDescent="0.2">
      <c r="A4414" s="5">
        <v>0</v>
      </c>
      <c r="B4414" s="6" t="s">
        <v>25553</v>
      </c>
      <c r="C4414" s="7">
        <v>1181.9000000000001</v>
      </c>
      <c r="D4414" s="8" t="s">
        <v>25554</v>
      </c>
      <c r="E4414" s="8" t="s">
        <v>25555</v>
      </c>
      <c r="F4414" s="8" t="s">
        <v>25556</v>
      </c>
      <c r="G4414" s="6" t="s">
        <v>60</v>
      </c>
      <c r="H4414" s="6" t="s">
        <v>34</v>
      </c>
      <c r="I4414" s="8" t="s">
        <v>271</v>
      </c>
      <c r="J4414" s="9">
        <v>1</v>
      </c>
      <c r="K4414" s="9">
        <v>447</v>
      </c>
      <c r="L4414" s="9">
        <v>2017</v>
      </c>
      <c r="M4414" s="8" t="s">
        <v>25557</v>
      </c>
      <c r="N4414" s="8" t="s">
        <v>585</v>
      </c>
      <c r="O4414" s="8" t="s">
        <v>1518</v>
      </c>
      <c r="P4414" s="6" t="s">
        <v>51</v>
      </c>
      <c r="Q4414" s="8" t="s">
        <v>52</v>
      </c>
      <c r="R4414" s="10" t="s">
        <v>23856</v>
      </c>
      <c r="S4414" s="11" t="s">
        <v>25558</v>
      </c>
      <c r="T4414" s="6"/>
      <c r="U4414" s="15" t="str">
        <f>HYPERLINK("https://media.infra-m.ru/0560/0560491/cover/560491.jpg", "Обложка")</f>
        <v>Обложка</v>
      </c>
      <c r="V4414" s="8" t="s">
        <v>25559</v>
      </c>
      <c r="W4414" s="6"/>
      <c r="X4414" s="6"/>
      <c r="Y4414" s="6"/>
      <c r="Z4414" s="6"/>
      <c r="AA4414" s="6" t="s">
        <v>274</v>
      </c>
      <c r="AB4414" s="8"/>
      <c r="AC4414" s="27">
        <v>9785160101866</v>
      </c>
    </row>
    <row r="4415" spans="1:29" s="4" customFormat="1" ht="51.9" customHeight="1" x14ac:dyDescent="0.2">
      <c r="A4415" s="5">
        <v>0</v>
      </c>
      <c r="B4415" s="6" t="s">
        <v>25560</v>
      </c>
      <c r="C4415" s="13">
        <v>996</v>
      </c>
      <c r="D4415" s="8" t="s">
        <v>25561</v>
      </c>
      <c r="E4415" s="8" t="s">
        <v>25562</v>
      </c>
      <c r="F4415" s="8" t="s">
        <v>25563</v>
      </c>
      <c r="G4415" s="6" t="s">
        <v>60</v>
      </c>
      <c r="H4415" s="6" t="s">
        <v>34</v>
      </c>
      <c r="I4415" s="8" t="s">
        <v>1128</v>
      </c>
      <c r="J4415" s="9">
        <v>1</v>
      </c>
      <c r="K4415" s="9">
        <v>178</v>
      </c>
      <c r="L4415" s="9">
        <v>2024</v>
      </c>
      <c r="M4415" s="8" t="s">
        <v>25564</v>
      </c>
      <c r="N4415" s="8" t="s">
        <v>585</v>
      </c>
      <c r="O4415" s="8" t="s">
        <v>1518</v>
      </c>
      <c r="P4415" s="6" t="s">
        <v>51</v>
      </c>
      <c r="Q4415" s="8" t="s">
        <v>65</v>
      </c>
      <c r="R4415" s="10" t="s">
        <v>25565</v>
      </c>
      <c r="S4415" s="11" t="s">
        <v>25566</v>
      </c>
      <c r="T4415" s="6"/>
      <c r="U4415" s="15" t="str">
        <f>HYPERLINK("https://media.infra-m.ru/2083/2083699/cover/2083699.jpg", "Обложка")</f>
        <v>Обложка</v>
      </c>
      <c r="V4415" s="8" t="s">
        <v>1132</v>
      </c>
      <c r="W4415" s="6"/>
      <c r="X4415" s="6"/>
      <c r="Y4415" s="6"/>
      <c r="Z4415" s="6"/>
      <c r="AA4415" s="6" t="s">
        <v>76</v>
      </c>
      <c r="AB4415" s="8"/>
      <c r="AC4415" s="27">
        <v>9785160190365</v>
      </c>
    </row>
    <row r="4416" spans="1:29" s="4" customFormat="1" ht="44.1" customHeight="1" x14ac:dyDescent="0.2">
      <c r="A4416" s="5">
        <v>0</v>
      </c>
      <c r="B4416" s="6" t="s">
        <v>25567</v>
      </c>
      <c r="C4416" s="7">
        <v>1272</v>
      </c>
      <c r="D4416" s="8" t="s">
        <v>25568</v>
      </c>
      <c r="E4416" s="8" t="s">
        <v>25569</v>
      </c>
      <c r="F4416" s="8" t="s">
        <v>25570</v>
      </c>
      <c r="G4416" s="6" t="s">
        <v>118</v>
      </c>
      <c r="H4416" s="6" t="s">
        <v>34</v>
      </c>
      <c r="I4416" s="8" t="s">
        <v>24334</v>
      </c>
      <c r="J4416" s="9">
        <v>1</v>
      </c>
      <c r="K4416" s="9">
        <v>196</v>
      </c>
      <c r="L4416" s="9">
        <v>2024</v>
      </c>
      <c r="M4416" s="8" t="s">
        <v>25571</v>
      </c>
      <c r="N4416" s="8" t="s">
        <v>243</v>
      </c>
      <c r="O4416" s="8" t="s">
        <v>385</v>
      </c>
      <c r="P4416" s="6" t="s">
        <v>51</v>
      </c>
      <c r="Q4416" s="8" t="s">
        <v>377</v>
      </c>
      <c r="R4416" s="10" t="s">
        <v>14901</v>
      </c>
      <c r="S4416" s="11"/>
      <c r="T4416" s="6"/>
      <c r="U4416" s="15" t="str">
        <f>HYPERLINK("https://media.infra-m.ru/2128/2128581/cover/2128581.jpg", "Обложка")</f>
        <v>Обложка</v>
      </c>
      <c r="V4416" s="8" t="s">
        <v>2154</v>
      </c>
      <c r="W4416" s="6"/>
      <c r="X4416" s="6"/>
      <c r="Y4416" s="6"/>
      <c r="Z4416" s="6"/>
      <c r="AA4416" s="6" t="s">
        <v>157</v>
      </c>
      <c r="AB4416" s="8" t="s">
        <v>6422</v>
      </c>
      <c r="AC4416" s="27">
        <v>9785160179391</v>
      </c>
    </row>
    <row r="4417" spans="1:29" s="4" customFormat="1" ht="42" customHeight="1" x14ac:dyDescent="0.2">
      <c r="A4417" s="5">
        <v>0</v>
      </c>
      <c r="B4417" s="6" t="s">
        <v>25572</v>
      </c>
      <c r="C4417" s="13">
        <v>688.8</v>
      </c>
      <c r="D4417" s="8" t="s">
        <v>25573</v>
      </c>
      <c r="E4417" s="8" t="s">
        <v>25574</v>
      </c>
      <c r="F4417" s="8" t="s">
        <v>25575</v>
      </c>
      <c r="G4417" s="6" t="s">
        <v>33</v>
      </c>
      <c r="H4417" s="6" t="s">
        <v>313</v>
      </c>
      <c r="I4417" s="8" t="s">
        <v>4700</v>
      </c>
      <c r="J4417" s="9">
        <v>1</v>
      </c>
      <c r="K4417" s="9">
        <v>155</v>
      </c>
      <c r="L4417" s="9">
        <v>2026</v>
      </c>
      <c r="M4417" s="8" t="s">
        <v>25576</v>
      </c>
      <c r="N4417" s="8" t="s">
        <v>243</v>
      </c>
      <c r="O4417" s="8" t="s">
        <v>385</v>
      </c>
      <c r="P4417" s="6" t="s">
        <v>51</v>
      </c>
      <c r="Q4417" s="8" t="s">
        <v>377</v>
      </c>
      <c r="R4417" s="10" t="s">
        <v>378</v>
      </c>
      <c r="S4417" s="11"/>
      <c r="T4417" s="6"/>
      <c r="U4417" s="15" t="str">
        <f>HYPERLINK("https://media.infra-m.ru/2223/2223700/cover/2223700.jpg", "Обложка")</f>
        <v>Обложка</v>
      </c>
      <c r="V4417" s="8"/>
      <c r="W4417" s="6"/>
      <c r="X4417" s="6"/>
      <c r="Y4417" s="6"/>
      <c r="Z4417" s="6"/>
      <c r="AA4417" s="6" t="s">
        <v>1506</v>
      </c>
      <c r="AB4417" s="8"/>
      <c r="AC4417" s="27">
        <v>5369000662</v>
      </c>
    </row>
    <row r="4418" spans="1:29" s="4" customFormat="1" ht="51.9" customHeight="1" x14ac:dyDescent="0.2">
      <c r="A4418" s="5">
        <v>0</v>
      </c>
      <c r="B4418" s="6" t="s">
        <v>25577</v>
      </c>
      <c r="C4418" s="7">
        <v>2352</v>
      </c>
      <c r="D4418" s="8" t="s">
        <v>25578</v>
      </c>
      <c r="E4418" s="8" t="s">
        <v>25579</v>
      </c>
      <c r="F4418" s="8" t="s">
        <v>25580</v>
      </c>
      <c r="G4418" s="6" t="s">
        <v>60</v>
      </c>
      <c r="H4418" s="6" t="s">
        <v>34</v>
      </c>
      <c r="I4418" s="8" t="s">
        <v>271</v>
      </c>
      <c r="J4418" s="9">
        <v>1</v>
      </c>
      <c r="K4418" s="9">
        <v>424</v>
      </c>
      <c r="L4418" s="9">
        <v>2023</v>
      </c>
      <c r="M4418" s="8" t="s">
        <v>25581</v>
      </c>
      <c r="N4418" s="8" t="s">
        <v>585</v>
      </c>
      <c r="O4418" s="8" t="s">
        <v>775</v>
      </c>
      <c r="P4418" s="6" t="s">
        <v>306</v>
      </c>
      <c r="Q4418" s="8" t="s">
        <v>52</v>
      </c>
      <c r="R4418" s="10" t="s">
        <v>25582</v>
      </c>
      <c r="S4418" s="11" t="s">
        <v>25583</v>
      </c>
      <c r="T4418" s="6" t="s">
        <v>97</v>
      </c>
      <c r="U4418" s="15" t="str">
        <f>HYPERLINK("https://media.infra-m.ru/2125/2125654/cover/2125654.jpg", "Обложка")</f>
        <v>Обложка</v>
      </c>
      <c r="V4418" s="8"/>
      <c r="W4418" s="6"/>
      <c r="X4418" s="6"/>
      <c r="Y4418" s="6"/>
      <c r="Z4418" s="6"/>
      <c r="AA4418" s="6" t="s">
        <v>779</v>
      </c>
      <c r="AB4418" s="8"/>
      <c r="AC4418" s="27">
        <v>9785160101422</v>
      </c>
    </row>
    <row r="4419" spans="1:29" s="4" customFormat="1" ht="42" customHeight="1" x14ac:dyDescent="0.2">
      <c r="A4419" s="5">
        <v>0</v>
      </c>
      <c r="B4419" s="6" t="s">
        <v>25584</v>
      </c>
      <c r="C4419" s="7">
        <v>1972.8</v>
      </c>
      <c r="D4419" s="8" t="s">
        <v>25585</v>
      </c>
      <c r="E4419" s="8" t="s">
        <v>25586</v>
      </c>
      <c r="F4419" s="8" t="s">
        <v>25587</v>
      </c>
      <c r="G4419" s="6" t="s">
        <v>118</v>
      </c>
      <c r="H4419" s="6" t="s">
        <v>34</v>
      </c>
      <c r="I4419" s="8" t="s">
        <v>253</v>
      </c>
      <c r="J4419" s="9">
        <v>1</v>
      </c>
      <c r="K4419" s="9">
        <v>299</v>
      </c>
      <c r="L4419" s="9">
        <v>2026</v>
      </c>
      <c r="M4419" s="8" t="s">
        <v>25588</v>
      </c>
      <c r="N4419" s="8" t="s">
        <v>585</v>
      </c>
      <c r="O4419" s="8" t="s">
        <v>775</v>
      </c>
      <c r="P4419" s="6" t="s">
        <v>1293</v>
      </c>
      <c r="Q4419" s="8" t="s">
        <v>52</v>
      </c>
      <c r="R4419" s="10" t="s">
        <v>25589</v>
      </c>
      <c r="S4419" s="11"/>
      <c r="T4419" s="6"/>
      <c r="U4419" s="15" t="str">
        <f>HYPERLINK("https://media.infra-m.ru/2244/2244199/cover/2244199.jpg", "Обложка")</f>
        <v>Обложка</v>
      </c>
      <c r="V4419" s="8" t="s">
        <v>164</v>
      </c>
      <c r="W4419" s="6"/>
      <c r="X4419" s="6"/>
      <c r="Y4419" s="6"/>
      <c r="Z4419" s="6"/>
      <c r="AA4419" s="6" t="s">
        <v>11623</v>
      </c>
      <c r="AB4419" s="8"/>
      <c r="AC4419" s="27">
        <v>9785160046846</v>
      </c>
    </row>
    <row r="4420" spans="1:29" s="4" customFormat="1" ht="51.9" customHeight="1" x14ac:dyDescent="0.2">
      <c r="A4420" s="5">
        <v>0</v>
      </c>
      <c r="B4420" s="6" t="s">
        <v>25590</v>
      </c>
      <c r="C4420" s="7">
        <v>2020.8</v>
      </c>
      <c r="D4420" s="8" t="s">
        <v>25591</v>
      </c>
      <c r="E4420" s="8" t="s">
        <v>25592</v>
      </c>
      <c r="F4420" s="8" t="s">
        <v>1002</v>
      </c>
      <c r="G4420" s="6" t="s">
        <v>118</v>
      </c>
      <c r="H4420" s="6" t="s">
        <v>48</v>
      </c>
      <c r="I4420" s="8" t="s">
        <v>263</v>
      </c>
      <c r="J4420" s="9">
        <v>1</v>
      </c>
      <c r="K4420" s="9">
        <v>336</v>
      </c>
      <c r="L4420" s="9">
        <v>2025</v>
      </c>
      <c r="M4420" s="8" t="s">
        <v>25593</v>
      </c>
      <c r="N4420" s="8" t="s">
        <v>585</v>
      </c>
      <c r="O4420" s="8" t="s">
        <v>775</v>
      </c>
      <c r="P4420" s="6" t="s">
        <v>306</v>
      </c>
      <c r="Q4420" s="8" t="s">
        <v>265</v>
      </c>
      <c r="R4420" s="10" t="s">
        <v>25594</v>
      </c>
      <c r="S4420" s="11" t="s">
        <v>19031</v>
      </c>
      <c r="T4420" s="6"/>
      <c r="U4420" s="15" t="str">
        <f>HYPERLINK("https://media.infra-m.ru/2185/2185906/cover/2185906.jpg", "Обложка")</f>
        <v>Обложка</v>
      </c>
      <c r="V4420" s="8" t="s">
        <v>1006</v>
      </c>
      <c r="W4420" s="6"/>
      <c r="X4420" s="6"/>
      <c r="Y4420" s="6"/>
      <c r="Z4420" s="6"/>
      <c r="AA4420" s="6" t="s">
        <v>874</v>
      </c>
      <c r="AB4420" s="8"/>
      <c r="AC4420" s="27">
        <v>9785000914694</v>
      </c>
    </row>
    <row r="4421" spans="1:29" s="4" customFormat="1" ht="51.9" customHeight="1" x14ac:dyDescent="0.2">
      <c r="A4421" s="5">
        <v>0</v>
      </c>
      <c r="B4421" s="6" t="s">
        <v>25595</v>
      </c>
      <c r="C4421" s="7">
        <v>3412.8</v>
      </c>
      <c r="D4421" s="8" t="s">
        <v>25596</v>
      </c>
      <c r="E4421" s="8" t="s">
        <v>25597</v>
      </c>
      <c r="F4421" s="8" t="s">
        <v>25598</v>
      </c>
      <c r="G4421" s="6" t="s">
        <v>60</v>
      </c>
      <c r="H4421" s="6" t="s">
        <v>34</v>
      </c>
      <c r="I4421" s="8" t="s">
        <v>271</v>
      </c>
      <c r="J4421" s="9">
        <v>1</v>
      </c>
      <c r="K4421" s="9">
        <v>518</v>
      </c>
      <c r="L4421" s="9">
        <v>2026</v>
      </c>
      <c r="M4421" s="8" t="s">
        <v>25599</v>
      </c>
      <c r="N4421" s="8" t="s">
        <v>37</v>
      </c>
      <c r="O4421" s="8" t="s">
        <v>233</v>
      </c>
      <c r="P4421" s="6" t="s">
        <v>306</v>
      </c>
      <c r="Q4421" s="8" t="s">
        <v>52</v>
      </c>
      <c r="R4421" s="10" t="s">
        <v>370</v>
      </c>
      <c r="S4421" s="11" t="s">
        <v>25600</v>
      </c>
      <c r="T4421" s="6"/>
      <c r="U4421" s="15" t="str">
        <f>HYPERLINK("https://media.infra-m.ru/2242/2242886/cover/2242886.jpg", "Обложка")</f>
        <v>Обложка</v>
      </c>
      <c r="V4421" s="8" t="s">
        <v>2854</v>
      </c>
      <c r="W4421" s="6"/>
      <c r="X4421" s="6"/>
      <c r="Y4421" s="6"/>
      <c r="Z4421" s="6"/>
      <c r="AA4421" s="6" t="s">
        <v>248</v>
      </c>
      <c r="AB4421" s="8"/>
      <c r="AC4421" s="27">
        <v>9785160092942</v>
      </c>
    </row>
    <row r="4422" spans="1:29" s="4" customFormat="1" ht="51.9" customHeight="1" x14ac:dyDescent="0.2">
      <c r="A4422" s="5">
        <v>0</v>
      </c>
      <c r="B4422" s="6" t="s">
        <v>25601</v>
      </c>
      <c r="C4422" s="7">
        <v>3292.8</v>
      </c>
      <c r="D4422" s="8" t="s">
        <v>25602</v>
      </c>
      <c r="E4422" s="8" t="s">
        <v>25603</v>
      </c>
      <c r="F4422" s="8" t="s">
        <v>25604</v>
      </c>
      <c r="G4422" s="6" t="s">
        <v>118</v>
      </c>
      <c r="H4422" s="6" t="s">
        <v>34</v>
      </c>
      <c r="I4422" s="8" t="s">
        <v>271</v>
      </c>
      <c r="J4422" s="9">
        <v>1</v>
      </c>
      <c r="K4422" s="9">
        <v>528</v>
      </c>
      <c r="L4422" s="9">
        <v>2026</v>
      </c>
      <c r="M4422" s="8" t="s">
        <v>25605</v>
      </c>
      <c r="N4422" s="8" t="s">
        <v>37</v>
      </c>
      <c r="O4422" s="8" t="s">
        <v>233</v>
      </c>
      <c r="P4422" s="6" t="s">
        <v>306</v>
      </c>
      <c r="Q4422" s="8" t="s">
        <v>52</v>
      </c>
      <c r="R4422" s="10" t="s">
        <v>2068</v>
      </c>
      <c r="S4422" s="11" t="s">
        <v>25606</v>
      </c>
      <c r="T4422" s="6" t="s">
        <v>97</v>
      </c>
      <c r="U4422" s="15" t="str">
        <f>HYPERLINK("https://media.infra-m.ru/2218/2218832/cover/2218832.jpg", "Обложка")</f>
        <v>Обложка</v>
      </c>
      <c r="V4422" s="8" t="s">
        <v>7553</v>
      </c>
      <c r="W4422" s="6"/>
      <c r="X4422" s="6"/>
      <c r="Y4422" s="6"/>
      <c r="Z4422" s="6"/>
      <c r="AA4422" s="6" t="s">
        <v>25607</v>
      </c>
      <c r="AB4422" s="8"/>
      <c r="AC4422" s="27">
        <v>9785160188645</v>
      </c>
    </row>
    <row r="4423" spans="1:29" s="4" customFormat="1" ht="51.9" customHeight="1" x14ac:dyDescent="0.2">
      <c r="A4423" s="5">
        <v>0</v>
      </c>
      <c r="B4423" s="6" t="s">
        <v>25608</v>
      </c>
      <c r="C4423" s="7">
        <v>3516</v>
      </c>
      <c r="D4423" s="8" t="s">
        <v>25609</v>
      </c>
      <c r="E4423" s="8" t="s">
        <v>25610</v>
      </c>
      <c r="F4423" s="8" t="s">
        <v>25604</v>
      </c>
      <c r="G4423" s="6" t="s">
        <v>60</v>
      </c>
      <c r="H4423" s="6" t="s">
        <v>34</v>
      </c>
      <c r="I4423" s="8" t="s">
        <v>253</v>
      </c>
      <c r="J4423" s="9">
        <v>1</v>
      </c>
      <c r="K4423" s="9">
        <v>532</v>
      </c>
      <c r="L4423" s="9">
        <v>2026</v>
      </c>
      <c r="M4423" s="8" t="s">
        <v>25611</v>
      </c>
      <c r="N4423" s="8" t="s">
        <v>37</v>
      </c>
      <c r="O4423" s="8" t="s">
        <v>233</v>
      </c>
      <c r="P4423" s="6" t="s">
        <v>306</v>
      </c>
      <c r="Q4423" s="8" t="s">
        <v>52</v>
      </c>
      <c r="R4423" s="10" t="s">
        <v>2068</v>
      </c>
      <c r="S4423" s="11"/>
      <c r="T4423" s="6" t="s">
        <v>97</v>
      </c>
      <c r="U4423" s="15" t="str">
        <f>HYPERLINK("https://media.infra-m.ru/2221/2221043/cover/2221043.jpg", "Обложка")</f>
        <v>Обложка</v>
      </c>
      <c r="V4423" s="8" t="s">
        <v>7553</v>
      </c>
      <c r="W4423" s="6" t="s">
        <v>351</v>
      </c>
      <c r="X4423" s="6"/>
      <c r="Y4423" s="6"/>
      <c r="Z4423" s="6"/>
      <c r="AA4423" s="6" t="s">
        <v>25612</v>
      </c>
      <c r="AB4423" s="8"/>
      <c r="AC4423" s="27">
        <v>9785160212807</v>
      </c>
    </row>
    <row r="4424" spans="1:29" s="4" customFormat="1" ht="51.9" customHeight="1" x14ac:dyDescent="0.2">
      <c r="A4424" s="5">
        <v>0</v>
      </c>
      <c r="B4424" s="6" t="s">
        <v>25613</v>
      </c>
      <c r="C4424" s="7">
        <v>3348</v>
      </c>
      <c r="D4424" s="8" t="s">
        <v>25614</v>
      </c>
      <c r="E4424" s="8" t="s">
        <v>25615</v>
      </c>
      <c r="F4424" s="8" t="s">
        <v>25616</v>
      </c>
      <c r="G4424" s="6" t="s">
        <v>60</v>
      </c>
      <c r="H4424" s="6" t="s">
        <v>34</v>
      </c>
      <c r="I4424" s="8" t="s">
        <v>253</v>
      </c>
      <c r="J4424" s="9">
        <v>1</v>
      </c>
      <c r="K4424" s="9">
        <v>479</v>
      </c>
      <c r="L4424" s="9">
        <v>2026</v>
      </c>
      <c r="M4424" s="8" t="s">
        <v>25617</v>
      </c>
      <c r="N4424" s="8" t="s">
        <v>243</v>
      </c>
      <c r="O4424" s="8" t="s">
        <v>758</v>
      </c>
      <c r="P4424" s="6" t="s">
        <v>306</v>
      </c>
      <c r="Q4424" s="8" t="s">
        <v>52</v>
      </c>
      <c r="R4424" s="10" t="s">
        <v>25618</v>
      </c>
      <c r="S4424" s="11" t="s">
        <v>25619</v>
      </c>
      <c r="T4424" s="6"/>
      <c r="U4424" s="15" t="str">
        <f>HYPERLINK("https://media.infra-m.ru/2261/2261226/cover/2261226.jpg", "Обложка")</f>
        <v>Обложка</v>
      </c>
      <c r="V4424" s="8" t="s">
        <v>5951</v>
      </c>
      <c r="W4424" s="6"/>
      <c r="X4424" s="6" t="s">
        <v>24</v>
      </c>
      <c r="Y4424" s="6"/>
      <c r="Z4424" s="6"/>
      <c r="AA4424" s="6" t="s">
        <v>360</v>
      </c>
      <c r="AB4424" s="8"/>
      <c r="AC4424" s="27">
        <v>9785160223070</v>
      </c>
    </row>
    <row r="4425" spans="1:29" s="4" customFormat="1" ht="51.9" customHeight="1" x14ac:dyDescent="0.2">
      <c r="A4425" s="5">
        <v>0</v>
      </c>
      <c r="B4425" s="6" t="s">
        <v>25620</v>
      </c>
      <c r="C4425" s="7">
        <v>1452</v>
      </c>
      <c r="D4425" s="8" t="s">
        <v>25621</v>
      </c>
      <c r="E4425" s="8" t="s">
        <v>25622</v>
      </c>
      <c r="F4425" s="8" t="s">
        <v>25623</v>
      </c>
      <c r="G4425" s="6" t="s">
        <v>118</v>
      </c>
      <c r="H4425" s="6" t="s">
        <v>34</v>
      </c>
      <c r="I4425" s="8" t="s">
        <v>253</v>
      </c>
      <c r="J4425" s="9">
        <v>1</v>
      </c>
      <c r="K4425" s="9">
        <v>208</v>
      </c>
      <c r="L4425" s="9">
        <v>2027</v>
      </c>
      <c r="M4425" s="8" t="s">
        <v>25624</v>
      </c>
      <c r="N4425" s="8" t="s">
        <v>243</v>
      </c>
      <c r="O4425" s="8" t="s">
        <v>758</v>
      </c>
      <c r="P4425" s="6" t="s">
        <v>51</v>
      </c>
      <c r="Q4425" s="8" t="s">
        <v>65</v>
      </c>
      <c r="R4425" s="10" t="s">
        <v>24400</v>
      </c>
      <c r="S4425" s="11" t="s">
        <v>25625</v>
      </c>
      <c r="T4425" s="6"/>
      <c r="U4425" s="15" t="str">
        <f>HYPERLINK("https://media.infra-m.ru/2268/2268362/cover/2268362.jpg", "Обложка")</f>
        <v>Обложка</v>
      </c>
      <c r="V4425" s="8" t="s">
        <v>3794</v>
      </c>
      <c r="W4425" s="6"/>
      <c r="X4425" s="6"/>
      <c r="Y4425" s="6"/>
      <c r="Z4425" s="6"/>
      <c r="AA4425" s="6" t="s">
        <v>1256</v>
      </c>
      <c r="AB4425" s="8" t="s">
        <v>2231</v>
      </c>
      <c r="AC4425" s="27">
        <v>9785160185231</v>
      </c>
    </row>
    <row r="4426" spans="1:29" s="4" customFormat="1" ht="51.9" customHeight="1" x14ac:dyDescent="0.2">
      <c r="A4426" s="5">
        <v>0</v>
      </c>
      <c r="B4426" s="6" t="s">
        <v>25626</v>
      </c>
      <c r="C4426" s="7">
        <v>1188</v>
      </c>
      <c r="D4426" s="8" t="s">
        <v>25627</v>
      </c>
      <c r="E4426" s="8" t="s">
        <v>25628</v>
      </c>
      <c r="F4426" s="8" t="s">
        <v>6770</v>
      </c>
      <c r="G4426" s="6" t="s">
        <v>60</v>
      </c>
      <c r="H4426" s="6" t="s">
        <v>34</v>
      </c>
      <c r="I4426" s="8" t="s">
        <v>6772</v>
      </c>
      <c r="J4426" s="9">
        <v>1</v>
      </c>
      <c r="K4426" s="9">
        <v>717</v>
      </c>
      <c r="L4426" s="9">
        <v>2024</v>
      </c>
      <c r="M4426" s="8" t="s">
        <v>25629</v>
      </c>
      <c r="N4426" s="8" t="s">
        <v>37</v>
      </c>
      <c r="O4426" s="8" t="s">
        <v>290</v>
      </c>
      <c r="P4426" s="6" t="s">
        <v>7146</v>
      </c>
      <c r="Q4426" s="8" t="s">
        <v>40</v>
      </c>
      <c r="R4426" s="10" t="s">
        <v>25630</v>
      </c>
      <c r="S4426" s="11"/>
      <c r="T4426" s="6"/>
      <c r="U4426" s="15" t="str">
        <f>HYPERLINK("https://media.infra-m.ru/2135/2135042/cover/2135042.jpg", "Обложка")</f>
        <v>Обложка</v>
      </c>
      <c r="V4426" s="8"/>
      <c r="W4426" s="6"/>
      <c r="X4426" s="6"/>
      <c r="Y4426" s="6"/>
      <c r="Z4426" s="6"/>
      <c r="AA4426" s="6" t="s">
        <v>20579</v>
      </c>
      <c r="AB4426" s="8"/>
      <c r="AC4426" s="27">
        <v>9785160184265</v>
      </c>
    </row>
    <row r="4427" spans="1:29" s="4" customFormat="1" ht="51.9" customHeight="1" x14ac:dyDescent="0.2">
      <c r="A4427" s="5">
        <v>0</v>
      </c>
      <c r="B4427" s="6" t="s">
        <v>25631</v>
      </c>
      <c r="C4427" s="7">
        <v>1440</v>
      </c>
      <c r="D4427" s="8" t="s">
        <v>25632</v>
      </c>
      <c r="E4427" s="8" t="s">
        <v>25633</v>
      </c>
      <c r="F4427" s="8" t="s">
        <v>6770</v>
      </c>
      <c r="G4427" s="6" t="s">
        <v>60</v>
      </c>
      <c r="H4427" s="6" t="s">
        <v>34</v>
      </c>
      <c r="I4427" s="8" t="s">
        <v>6772</v>
      </c>
      <c r="J4427" s="9">
        <v>1</v>
      </c>
      <c r="K4427" s="9">
        <v>724</v>
      </c>
      <c r="L4427" s="9">
        <v>2025</v>
      </c>
      <c r="M4427" s="8" t="s">
        <v>25634</v>
      </c>
      <c r="N4427" s="8" t="s">
        <v>37</v>
      </c>
      <c r="O4427" s="8" t="s">
        <v>290</v>
      </c>
      <c r="P4427" s="6" t="s">
        <v>7146</v>
      </c>
      <c r="Q4427" s="8" t="s">
        <v>40</v>
      </c>
      <c r="R4427" s="10" t="s">
        <v>25630</v>
      </c>
      <c r="S4427" s="11"/>
      <c r="T4427" s="6"/>
      <c r="U4427" s="15" t="str">
        <f>HYPERLINK("https://media.infra-m.ru/2186/2186439/cover/2186439.jpg", "Обложка")</f>
        <v>Обложка</v>
      </c>
      <c r="V4427" s="8"/>
      <c r="W4427" s="6"/>
      <c r="X4427" s="6"/>
      <c r="Y4427" s="6"/>
      <c r="Z4427" s="6"/>
      <c r="AA4427" s="6" t="s">
        <v>23845</v>
      </c>
      <c r="AB4427" s="8"/>
      <c r="AC4427" s="27">
        <v>9785160199399</v>
      </c>
    </row>
    <row r="4428" spans="1:29" s="4" customFormat="1" ht="51.9" customHeight="1" x14ac:dyDescent="0.2">
      <c r="A4428" s="5">
        <v>0</v>
      </c>
      <c r="B4428" s="6" t="s">
        <v>25635</v>
      </c>
      <c r="C4428" s="7">
        <v>1620</v>
      </c>
      <c r="D4428" s="8" t="s">
        <v>25636</v>
      </c>
      <c r="E4428" s="8" t="s">
        <v>25637</v>
      </c>
      <c r="F4428" s="8" t="s">
        <v>6770</v>
      </c>
      <c r="G4428" s="6" t="s">
        <v>60</v>
      </c>
      <c r="H4428" s="6" t="s">
        <v>34</v>
      </c>
      <c r="I4428" s="8" t="s">
        <v>6772</v>
      </c>
      <c r="J4428" s="9">
        <v>1</v>
      </c>
      <c r="K4428" s="9">
        <v>726</v>
      </c>
      <c r="L4428" s="9">
        <v>2026</v>
      </c>
      <c r="M4428" s="8" t="s">
        <v>25638</v>
      </c>
      <c r="N4428" s="8" t="s">
        <v>37</v>
      </c>
      <c r="O4428" s="8" t="s">
        <v>290</v>
      </c>
      <c r="P4428" s="6" t="s">
        <v>7146</v>
      </c>
      <c r="Q4428" s="8" t="s">
        <v>40</v>
      </c>
      <c r="R4428" s="10" t="s">
        <v>25630</v>
      </c>
      <c r="S4428" s="11"/>
      <c r="T4428" s="6"/>
      <c r="U4428" s="15" t="str">
        <f>HYPERLINK("https://media.infra-m.ru/2244/2244779/cover/2244779.jpg", "Обложка")</f>
        <v>Обложка</v>
      </c>
      <c r="V4428" s="8"/>
      <c r="W4428" s="6"/>
      <c r="X4428" s="6"/>
      <c r="Y4428" s="6"/>
      <c r="Z4428" s="6"/>
      <c r="AA4428" s="6" t="s">
        <v>8670</v>
      </c>
      <c r="AB4428" s="8"/>
      <c r="AC4428" s="27">
        <v>9785160215037</v>
      </c>
    </row>
    <row r="4429" spans="1:29" s="4" customFormat="1" ht="51.9" customHeight="1" x14ac:dyDescent="0.2">
      <c r="A4429" s="5">
        <v>0</v>
      </c>
      <c r="B4429" s="6" t="s">
        <v>25639</v>
      </c>
      <c r="C4429" s="13">
        <v>635.9</v>
      </c>
      <c r="D4429" s="8" t="s">
        <v>25640</v>
      </c>
      <c r="E4429" s="8" t="s">
        <v>25641</v>
      </c>
      <c r="F4429" s="8" t="s">
        <v>6770</v>
      </c>
      <c r="G4429" s="6" t="s">
        <v>118</v>
      </c>
      <c r="H4429" s="6" t="s">
        <v>34</v>
      </c>
      <c r="I4429" s="8" t="s">
        <v>6772</v>
      </c>
      <c r="J4429" s="9">
        <v>1</v>
      </c>
      <c r="K4429" s="9">
        <v>717</v>
      </c>
      <c r="L4429" s="9">
        <v>2021</v>
      </c>
      <c r="M4429" s="8" t="s">
        <v>25642</v>
      </c>
      <c r="N4429" s="8" t="s">
        <v>37</v>
      </c>
      <c r="O4429" s="8" t="s">
        <v>290</v>
      </c>
      <c r="P4429" s="6" t="s">
        <v>7146</v>
      </c>
      <c r="Q4429" s="8" t="s">
        <v>40</v>
      </c>
      <c r="R4429" s="10" t="s">
        <v>25630</v>
      </c>
      <c r="S4429" s="11"/>
      <c r="T4429" s="6"/>
      <c r="U4429" s="15" t="str">
        <f>HYPERLINK("https://media.infra-m.ru/1231/1231215/cover/1231215.jpg", "Обложка")</f>
        <v>Обложка</v>
      </c>
      <c r="V4429" s="8"/>
      <c r="W4429" s="6"/>
      <c r="X4429" s="6"/>
      <c r="Y4429" s="6"/>
      <c r="Z4429" s="6"/>
      <c r="AA4429" s="6" t="s">
        <v>10095</v>
      </c>
      <c r="AB4429" s="8"/>
      <c r="AC4429" s="27">
        <v>9785160170091</v>
      </c>
    </row>
    <row r="4430" spans="1:29" s="4" customFormat="1" ht="51.9" customHeight="1" x14ac:dyDescent="0.2">
      <c r="A4430" s="5">
        <v>0</v>
      </c>
      <c r="B4430" s="6" t="s">
        <v>25643</v>
      </c>
      <c r="C4430" s="13">
        <v>383.9</v>
      </c>
      <c r="D4430" s="8" t="s">
        <v>25644</v>
      </c>
      <c r="E4430" s="8" t="s">
        <v>25645</v>
      </c>
      <c r="F4430" s="8" t="s">
        <v>6770</v>
      </c>
      <c r="G4430" s="6" t="s">
        <v>60</v>
      </c>
      <c r="H4430" s="6" t="s">
        <v>34</v>
      </c>
      <c r="I4430" s="8"/>
      <c r="J4430" s="9">
        <v>10</v>
      </c>
      <c r="K4430" s="9">
        <v>696</v>
      </c>
      <c r="L4430" s="9">
        <v>2017</v>
      </c>
      <c r="M4430" s="8" t="s">
        <v>25646</v>
      </c>
      <c r="N4430" s="8" t="s">
        <v>37</v>
      </c>
      <c r="O4430" s="8" t="s">
        <v>290</v>
      </c>
      <c r="P4430" s="6" t="s">
        <v>7441</v>
      </c>
      <c r="Q4430" s="8" t="s">
        <v>65</v>
      </c>
      <c r="R4430" s="10" t="s">
        <v>25630</v>
      </c>
      <c r="S4430" s="11"/>
      <c r="T4430" s="6"/>
      <c r="U4430" s="15" t="str">
        <f>HYPERLINK("https://media.infra-m.ru/0882/0882928/cover/882928.jpg", "Обложка")</f>
        <v>Обложка</v>
      </c>
      <c r="V4430" s="8"/>
      <c r="W4430" s="6"/>
      <c r="X4430" s="6"/>
      <c r="Y4430" s="6"/>
      <c r="Z4430" s="6"/>
      <c r="AA4430" s="6" t="s">
        <v>99</v>
      </c>
      <c r="AB4430" s="8"/>
      <c r="AC4430" s="27">
        <v>9785160126876</v>
      </c>
    </row>
    <row r="4431" spans="1:29" s="4" customFormat="1" ht="42" customHeight="1" x14ac:dyDescent="0.2">
      <c r="A4431" s="5">
        <v>0</v>
      </c>
      <c r="B4431" s="6" t="s">
        <v>25647</v>
      </c>
      <c r="C4431" s="7">
        <v>3456</v>
      </c>
      <c r="D4431" s="8" t="s">
        <v>25648</v>
      </c>
      <c r="E4431" s="8" t="s">
        <v>25649</v>
      </c>
      <c r="F4431" s="8" t="s">
        <v>5797</v>
      </c>
      <c r="G4431" s="6" t="s">
        <v>60</v>
      </c>
      <c r="H4431" s="6" t="s">
        <v>34</v>
      </c>
      <c r="I4431" s="8" t="s">
        <v>253</v>
      </c>
      <c r="J4431" s="9">
        <v>1</v>
      </c>
      <c r="K4431" s="9">
        <v>425</v>
      </c>
      <c r="L4431" s="9">
        <v>2025</v>
      </c>
      <c r="M4431" s="8" t="s">
        <v>25650</v>
      </c>
      <c r="N4431" s="8" t="s">
        <v>585</v>
      </c>
      <c r="O4431" s="8" t="s">
        <v>667</v>
      </c>
      <c r="P4431" s="6" t="s">
        <v>306</v>
      </c>
      <c r="Q4431" s="8" t="s">
        <v>52</v>
      </c>
      <c r="R4431" s="10" t="s">
        <v>25651</v>
      </c>
      <c r="S4431" s="11"/>
      <c r="T4431" s="6"/>
      <c r="U4431" s="15" t="str">
        <f>HYPERLINK("https://media.infra-m.ru/2170/2170831/cover/2170831.jpg", "Обложка")</f>
        <v>Обложка</v>
      </c>
      <c r="V4431" s="8" t="s">
        <v>5801</v>
      </c>
      <c r="W4431" s="6"/>
      <c r="X4431" s="6"/>
      <c r="Y4431" s="6"/>
      <c r="Z4431" s="6"/>
      <c r="AA4431" s="6" t="s">
        <v>68</v>
      </c>
      <c r="AB4431" s="8" t="s">
        <v>3833</v>
      </c>
      <c r="AC4431" s="27">
        <v>9785160203768</v>
      </c>
    </row>
    <row r="4432" spans="1:29" s="4" customFormat="1" ht="51.9" customHeight="1" x14ac:dyDescent="0.2">
      <c r="A4432" s="5">
        <v>0</v>
      </c>
      <c r="B4432" s="6" t="s">
        <v>25652</v>
      </c>
      <c r="C4432" s="13">
        <v>768</v>
      </c>
      <c r="D4432" s="8" t="s">
        <v>25653</v>
      </c>
      <c r="E4432" s="8" t="s">
        <v>25654</v>
      </c>
      <c r="F4432" s="8" t="s">
        <v>23673</v>
      </c>
      <c r="G4432" s="6" t="s">
        <v>33</v>
      </c>
      <c r="H4432" s="6" t="s">
        <v>34</v>
      </c>
      <c r="I4432" s="8" t="s">
        <v>253</v>
      </c>
      <c r="J4432" s="9">
        <v>1</v>
      </c>
      <c r="K4432" s="9">
        <v>64</v>
      </c>
      <c r="L4432" s="9">
        <v>2026</v>
      </c>
      <c r="M4432" s="8" t="s">
        <v>25655</v>
      </c>
      <c r="N4432" s="8" t="s">
        <v>93</v>
      </c>
      <c r="O4432" s="8" t="s">
        <v>94</v>
      </c>
      <c r="P4432" s="6" t="s">
        <v>105</v>
      </c>
      <c r="Q4432" s="8" t="s">
        <v>65</v>
      </c>
      <c r="R4432" s="10" t="s">
        <v>9415</v>
      </c>
      <c r="S4432" s="11" t="s">
        <v>25656</v>
      </c>
      <c r="T4432" s="6"/>
      <c r="U4432" s="15" t="str">
        <f>HYPERLINK("https://media.infra-m.ru/2238/2238395/cover/2238395.jpg", "Обложка")</f>
        <v>Обложка</v>
      </c>
      <c r="V4432" s="8" t="s">
        <v>9822</v>
      </c>
      <c r="W4432" s="6"/>
      <c r="X4432" s="6"/>
      <c r="Y4432" s="6"/>
      <c r="Z4432" s="6"/>
      <c r="AA4432" s="6" t="s">
        <v>274</v>
      </c>
      <c r="AB4432" s="8"/>
      <c r="AC4432" s="27">
        <v>9785160217932</v>
      </c>
    </row>
    <row r="4433" spans="1:29" s="4" customFormat="1" ht="51.9" customHeight="1" x14ac:dyDescent="0.2">
      <c r="A4433" s="5">
        <v>0</v>
      </c>
      <c r="B4433" s="6" t="s">
        <v>25657</v>
      </c>
      <c r="C4433" s="13">
        <v>876</v>
      </c>
      <c r="D4433" s="8" t="s">
        <v>25658</v>
      </c>
      <c r="E4433" s="8" t="s">
        <v>25654</v>
      </c>
      <c r="F4433" s="8" t="s">
        <v>23673</v>
      </c>
      <c r="G4433" s="6" t="s">
        <v>33</v>
      </c>
      <c r="H4433" s="6" t="s">
        <v>34</v>
      </c>
      <c r="I4433" s="8" t="s">
        <v>263</v>
      </c>
      <c r="J4433" s="9">
        <v>1</v>
      </c>
      <c r="K4433" s="9">
        <v>64</v>
      </c>
      <c r="L4433" s="9">
        <v>2026</v>
      </c>
      <c r="M4433" s="8" t="s">
        <v>25659</v>
      </c>
      <c r="N4433" s="8" t="s">
        <v>93</v>
      </c>
      <c r="O4433" s="8" t="s">
        <v>94</v>
      </c>
      <c r="P4433" s="6" t="s">
        <v>105</v>
      </c>
      <c r="Q4433" s="8" t="s">
        <v>265</v>
      </c>
      <c r="R4433" s="10" t="s">
        <v>25660</v>
      </c>
      <c r="S4433" s="11"/>
      <c r="T4433" s="6"/>
      <c r="U4433" s="15" t="str">
        <f>HYPERLINK("https://media.infra-m.ru/2223/2223149/cover/2223149.jpg", "Обложка")</f>
        <v>Обложка</v>
      </c>
      <c r="V4433" s="8" t="s">
        <v>9822</v>
      </c>
      <c r="W4433" s="6"/>
      <c r="X4433" s="6"/>
      <c r="Y4433" s="6"/>
      <c r="Z4433" s="6" t="s">
        <v>882</v>
      </c>
      <c r="AA4433" s="6" t="s">
        <v>1256</v>
      </c>
      <c r="AB4433" s="8"/>
      <c r="AC4433" s="27">
        <v>9785160213774</v>
      </c>
    </row>
    <row r="4434" spans="1:29" s="4" customFormat="1" ht="51.9" customHeight="1" x14ac:dyDescent="0.2">
      <c r="A4434" s="5">
        <v>0</v>
      </c>
      <c r="B4434" s="6" t="s">
        <v>25661</v>
      </c>
      <c r="C4434" s="7">
        <v>1684.8</v>
      </c>
      <c r="D4434" s="8" t="s">
        <v>25662</v>
      </c>
      <c r="E4434" s="8" t="s">
        <v>25663</v>
      </c>
      <c r="F4434" s="8" t="s">
        <v>25664</v>
      </c>
      <c r="G4434" s="6" t="s">
        <v>60</v>
      </c>
      <c r="H4434" s="6" t="s">
        <v>34</v>
      </c>
      <c r="I4434" s="8" t="s">
        <v>271</v>
      </c>
      <c r="J4434" s="9">
        <v>1</v>
      </c>
      <c r="K4434" s="9">
        <v>304</v>
      </c>
      <c r="L4434" s="9">
        <v>2024</v>
      </c>
      <c r="M4434" s="8" t="s">
        <v>25665</v>
      </c>
      <c r="N4434" s="8" t="s">
        <v>37</v>
      </c>
      <c r="O4434" s="8" t="s">
        <v>280</v>
      </c>
      <c r="P4434" s="6" t="s">
        <v>306</v>
      </c>
      <c r="Q4434" s="8" t="s">
        <v>52</v>
      </c>
      <c r="R4434" s="10" t="s">
        <v>5260</v>
      </c>
      <c r="S4434" s="11" t="s">
        <v>25666</v>
      </c>
      <c r="T4434" s="6"/>
      <c r="U4434" s="15" t="str">
        <f>HYPERLINK("https://media.infra-m.ru/2053/2053231/cover/2053231.jpg", "Обложка")</f>
        <v>Обложка</v>
      </c>
      <c r="V4434" s="8" t="s">
        <v>657</v>
      </c>
      <c r="W4434" s="6"/>
      <c r="X4434" s="6"/>
      <c r="Y4434" s="6"/>
      <c r="Z4434" s="6"/>
      <c r="AA4434" s="6" t="s">
        <v>23864</v>
      </c>
      <c r="AB4434" s="8"/>
      <c r="AC4434" s="27">
        <v>9785160105369</v>
      </c>
    </row>
    <row r="4435" spans="1:29" s="4" customFormat="1" ht="51.9" customHeight="1" x14ac:dyDescent="0.2">
      <c r="A4435" s="5">
        <v>0</v>
      </c>
      <c r="B4435" s="6" t="s">
        <v>25667</v>
      </c>
      <c r="C4435" s="7">
        <v>1764</v>
      </c>
      <c r="D4435" s="8" t="s">
        <v>25668</v>
      </c>
      <c r="E4435" s="8" t="s">
        <v>25669</v>
      </c>
      <c r="F4435" s="8" t="s">
        <v>25670</v>
      </c>
      <c r="G4435" s="6" t="s">
        <v>118</v>
      </c>
      <c r="H4435" s="6" t="s">
        <v>34</v>
      </c>
      <c r="I4435" s="8" t="s">
        <v>954</v>
      </c>
      <c r="J4435" s="9">
        <v>1</v>
      </c>
      <c r="K4435" s="9">
        <v>267</v>
      </c>
      <c r="L4435" s="9">
        <v>2026</v>
      </c>
      <c r="M4435" s="8" t="s">
        <v>25671</v>
      </c>
      <c r="N4435" s="8" t="s">
        <v>37</v>
      </c>
      <c r="O4435" s="8" t="s">
        <v>290</v>
      </c>
      <c r="P4435" s="6" t="s">
        <v>51</v>
      </c>
      <c r="Q4435" s="8" t="s">
        <v>65</v>
      </c>
      <c r="R4435" s="10" t="s">
        <v>25672</v>
      </c>
      <c r="S4435" s="11" t="s">
        <v>957</v>
      </c>
      <c r="T4435" s="6"/>
      <c r="U4435" s="15" t="str">
        <f>HYPERLINK("https://media.infra-m.ru/2236/2236129/cover/2236129.jpg", "Обложка")</f>
        <v>Обложка</v>
      </c>
      <c r="V4435" s="8" t="s">
        <v>958</v>
      </c>
      <c r="W4435" s="6"/>
      <c r="X4435" s="6"/>
      <c r="Y4435" s="6"/>
      <c r="Z4435" s="6"/>
      <c r="AA4435" s="6" t="s">
        <v>115</v>
      </c>
      <c r="AB4435" s="8"/>
      <c r="AC4435" s="27">
        <v>9785160150291</v>
      </c>
    </row>
    <row r="4436" spans="1:29" s="4" customFormat="1" ht="42" customHeight="1" x14ac:dyDescent="0.2">
      <c r="A4436" s="5">
        <v>0</v>
      </c>
      <c r="B4436" s="6" t="s">
        <v>25673</v>
      </c>
      <c r="C4436" s="7">
        <v>1877.9</v>
      </c>
      <c r="D4436" s="8" t="s">
        <v>25674</v>
      </c>
      <c r="E4436" s="8" t="s">
        <v>25675</v>
      </c>
      <c r="F4436" s="8" t="s">
        <v>25676</v>
      </c>
      <c r="G4436" s="6" t="s">
        <v>60</v>
      </c>
      <c r="H4436" s="6" t="s">
        <v>34</v>
      </c>
      <c r="I4436" s="8" t="s">
        <v>1074</v>
      </c>
      <c r="J4436" s="9">
        <v>1</v>
      </c>
      <c r="K4436" s="9">
        <v>348</v>
      </c>
      <c r="L4436" s="9">
        <v>2023</v>
      </c>
      <c r="M4436" s="8" t="s">
        <v>25677</v>
      </c>
      <c r="N4436" s="8" t="s">
        <v>37</v>
      </c>
      <c r="O4436" s="8" t="s">
        <v>136</v>
      </c>
      <c r="P4436" s="6" t="s">
        <v>39</v>
      </c>
      <c r="Q4436" s="8" t="s">
        <v>40</v>
      </c>
      <c r="R4436" s="10" t="s">
        <v>21223</v>
      </c>
      <c r="S4436" s="11"/>
      <c r="T4436" s="6"/>
      <c r="U4436" s="15" t="str">
        <f>HYPERLINK("https://media.infra-m.ru/1976/1976148/cover/1976148.jpg", "Обложка")</f>
        <v>Обложка</v>
      </c>
      <c r="V4436" s="8" t="s">
        <v>138</v>
      </c>
      <c r="W4436" s="6"/>
      <c r="X4436" s="6"/>
      <c r="Y4436" s="6"/>
      <c r="Z4436" s="6"/>
      <c r="AA4436" s="6" t="s">
        <v>115</v>
      </c>
      <c r="AB4436" s="8"/>
      <c r="AC4436" s="27">
        <v>9785160151250</v>
      </c>
    </row>
    <row r="4437" spans="1:29" s="4" customFormat="1" ht="51.9" customHeight="1" x14ac:dyDescent="0.2">
      <c r="A4437" s="5">
        <v>0</v>
      </c>
      <c r="B4437" s="6" t="s">
        <v>25678</v>
      </c>
      <c r="C4437" s="7">
        <v>1104</v>
      </c>
      <c r="D4437" s="8" t="s">
        <v>25679</v>
      </c>
      <c r="E4437" s="8" t="s">
        <v>25680</v>
      </c>
      <c r="F4437" s="8" t="s">
        <v>25681</v>
      </c>
      <c r="G4437" s="6" t="s">
        <v>118</v>
      </c>
      <c r="H4437" s="6" t="s">
        <v>34</v>
      </c>
      <c r="I4437" s="8" t="s">
        <v>263</v>
      </c>
      <c r="J4437" s="9">
        <v>1</v>
      </c>
      <c r="K4437" s="9">
        <v>176</v>
      </c>
      <c r="L4437" s="9">
        <v>2026</v>
      </c>
      <c r="M4437" s="8" t="s">
        <v>25682</v>
      </c>
      <c r="N4437" s="8" t="s">
        <v>93</v>
      </c>
      <c r="O4437" s="8" t="s">
        <v>94</v>
      </c>
      <c r="P4437" s="6" t="s">
        <v>105</v>
      </c>
      <c r="Q4437" s="8" t="s">
        <v>265</v>
      </c>
      <c r="R4437" s="10" t="s">
        <v>25683</v>
      </c>
      <c r="S4437" s="11" t="s">
        <v>25684</v>
      </c>
      <c r="T4437" s="6"/>
      <c r="U4437" s="15" t="str">
        <f>HYPERLINK("https://media.infra-m.ru/2210/2210347/cover/2210347.jpg", "Обложка")</f>
        <v>Обложка</v>
      </c>
      <c r="V4437" s="8" t="s">
        <v>9822</v>
      </c>
      <c r="W4437" s="6"/>
      <c r="X4437" s="6"/>
      <c r="Y4437" s="6"/>
      <c r="Z4437" s="6" t="s">
        <v>5578</v>
      </c>
      <c r="AA4437" s="6" t="s">
        <v>1256</v>
      </c>
      <c r="AB4437" s="8"/>
      <c r="AC4437" s="27">
        <v>9785160211152</v>
      </c>
    </row>
    <row r="4438" spans="1:29" s="4" customFormat="1" ht="51.9" customHeight="1" x14ac:dyDescent="0.2">
      <c r="A4438" s="5">
        <v>0</v>
      </c>
      <c r="B4438" s="6" t="s">
        <v>25685</v>
      </c>
      <c r="C4438" s="13">
        <v>996</v>
      </c>
      <c r="D4438" s="8" t="s">
        <v>25686</v>
      </c>
      <c r="E4438" s="8" t="s">
        <v>25680</v>
      </c>
      <c r="F4438" s="8" t="s">
        <v>25681</v>
      </c>
      <c r="G4438" s="6" t="s">
        <v>33</v>
      </c>
      <c r="H4438" s="6" t="s">
        <v>34</v>
      </c>
      <c r="I4438" s="8" t="s">
        <v>504</v>
      </c>
      <c r="J4438" s="9">
        <v>1</v>
      </c>
      <c r="K4438" s="9">
        <v>176</v>
      </c>
      <c r="L4438" s="9">
        <v>2024</v>
      </c>
      <c r="M4438" s="8" t="s">
        <v>25687</v>
      </c>
      <c r="N4438" s="8" t="s">
        <v>93</v>
      </c>
      <c r="O4438" s="8" t="s">
        <v>94</v>
      </c>
      <c r="P4438" s="6" t="s">
        <v>105</v>
      </c>
      <c r="Q4438" s="8" t="s">
        <v>500</v>
      </c>
      <c r="R4438" s="10" t="s">
        <v>25688</v>
      </c>
      <c r="S4438" s="11" t="s">
        <v>25689</v>
      </c>
      <c r="T4438" s="6"/>
      <c r="U4438" s="15" t="str">
        <f>HYPERLINK("https://media.infra-m.ru/2080/2080559/cover/2080559.jpg", "Обложка")</f>
        <v>Обложка</v>
      </c>
      <c r="V4438" s="8" t="s">
        <v>9822</v>
      </c>
      <c r="W4438" s="6"/>
      <c r="X4438" s="6"/>
      <c r="Y4438" s="6"/>
      <c r="Z4438" s="6"/>
      <c r="AA4438" s="6" t="s">
        <v>779</v>
      </c>
      <c r="AB4438" s="8"/>
      <c r="AC4438" s="27">
        <v>9785160179483</v>
      </c>
    </row>
    <row r="4439" spans="1:29" s="4" customFormat="1" ht="51.9" customHeight="1" x14ac:dyDescent="0.2">
      <c r="A4439" s="5">
        <v>0</v>
      </c>
      <c r="B4439" s="6" t="s">
        <v>25690</v>
      </c>
      <c r="C4439" s="7">
        <v>1504.8</v>
      </c>
      <c r="D4439" s="8" t="s">
        <v>25691</v>
      </c>
      <c r="E4439" s="8" t="s">
        <v>25692</v>
      </c>
      <c r="F4439" s="8" t="s">
        <v>25693</v>
      </c>
      <c r="G4439" s="6" t="s">
        <v>33</v>
      </c>
      <c r="H4439" s="6" t="s">
        <v>34</v>
      </c>
      <c r="I4439" s="8" t="s">
        <v>35</v>
      </c>
      <c r="J4439" s="9">
        <v>1</v>
      </c>
      <c r="K4439" s="9">
        <v>216</v>
      </c>
      <c r="L4439" s="9">
        <v>2026</v>
      </c>
      <c r="M4439" s="8" t="s">
        <v>25694</v>
      </c>
      <c r="N4439" s="8" t="s">
        <v>93</v>
      </c>
      <c r="O4439" s="8" t="s">
        <v>94</v>
      </c>
      <c r="P4439" s="6" t="s">
        <v>39</v>
      </c>
      <c r="Q4439" s="8" t="s">
        <v>749</v>
      </c>
      <c r="R4439" s="10" t="s">
        <v>25695</v>
      </c>
      <c r="S4439" s="11"/>
      <c r="T4439" s="6"/>
      <c r="U4439" s="15" t="str">
        <f>HYPERLINK("https://media.infra-m.ru/2251/2251369/cover/2251369.jpg", "Обложка")</f>
        <v>Обложка</v>
      </c>
      <c r="V4439" s="8" t="s">
        <v>644</v>
      </c>
      <c r="W4439" s="6"/>
      <c r="X4439" s="6"/>
      <c r="Y4439" s="6"/>
      <c r="Z4439" s="6"/>
      <c r="AA4439" s="6" t="s">
        <v>360</v>
      </c>
      <c r="AB4439" s="8"/>
      <c r="AC4439" s="27">
        <v>9785160112749</v>
      </c>
    </row>
    <row r="4440" spans="1:29" s="4" customFormat="1" ht="42" customHeight="1" x14ac:dyDescent="0.2">
      <c r="A4440" s="5">
        <v>0</v>
      </c>
      <c r="B4440" s="6" t="s">
        <v>25696</v>
      </c>
      <c r="C4440" s="7">
        <v>1056</v>
      </c>
      <c r="D4440" s="8" t="s">
        <v>25697</v>
      </c>
      <c r="E4440" s="8" t="s">
        <v>25698</v>
      </c>
      <c r="F4440" s="8" t="s">
        <v>1802</v>
      </c>
      <c r="G4440" s="6" t="s">
        <v>33</v>
      </c>
      <c r="H4440" s="6" t="s">
        <v>34</v>
      </c>
      <c r="I4440" s="8" t="s">
        <v>35</v>
      </c>
      <c r="J4440" s="9">
        <v>1</v>
      </c>
      <c r="K4440" s="9">
        <v>189</v>
      </c>
      <c r="L4440" s="9">
        <v>2024</v>
      </c>
      <c r="M4440" s="8" t="s">
        <v>25699</v>
      </c>
      <c r="N4440" s="8" t="s">
        <v>37</v>
      </c>
      <c r="O4440" s="8" t="s">
        <v>136</v>
      </c>
      <c r="P4440" s="6" t="s">
        <v>39</v>
      </c>
      <c r="Q4440" s="8" t="s">
        <v>40</v>
      </c>
      <c r="R4440" s="10" t="s">
        <v>8485</v>
      </c>
      <c r="S4440" s="11"/>
      <c r="T4440" s="6"/>
      <c r="U4440" s="15" t="str">
        <f>HYPERLINK("https://media.infra-m.ru/2086/2086803/cover/2086803.jpg", "Обложка")</f>
        <v>Обложка</v>
      </c>
      <c r="V4440" s="8" t="s">
        <v>1805</v>
      </c>
      <c r="W4440" s="6"/>
      <c r="X4440" s="6"/>
      <c r="Y4440" s="6"/>
      <c r="Z4440" s="6"/>
      <c r="AA4440" s="6" t="s">
        <v>430</v>
      </c>
      <c r="AB4440" s="8"/>
      <c r="AC4440" s="27">
        <v>9785160162195</v>
      </c>
    </row>
    <row r="4441" spans="1:29" s="4" customFormat="1" ht="42" customHeight="1" x14ac:dyDescent="0.2">
      <c r="A4441" s="5">
        <v>0</v>
      </c>
      <c r="B4441" s="6" t="s">
        <v>25700</v>
      </c>
      <c r="C4441" s="7">
        <v>1668</v>
      </c>
      <c r="D4441" s="8" t="s">
        <v>25701</v>
      </c>
      <c r="E4441" s="8" t="s">
        <v>25702</v>
      </c>
      <c r="F4441" s="8" t="s">
        <v>6770</v>
      </c>
      <c r="G4441" s="6" t="s">
        <v>118</v>
      </c>
      <c r="H4441" s="6" t="s">
        <v>34</v>
      </c>
      <c r="I4441" s="8"/>
      <c r="J4441" s="9">
        <v>1</v>
      </c>
      <c r="K4441" s="9">
        <v>386</v>
      </c>
      <c r="L4441" s="9">
        <v>2026</v>
      </c>
      <c r="M4441" s="8" t="s">
        <v>25703</v>
      </c>
      <c r="N4441" s="8" t="s">
        <v>37</v>
      </c>
      <c r="O4441" s="8" t="s">
        <v>233</v>
      </c>
      <c r="P4441" s="6" t="s">
        <v>759</v>
      </c>
      <c r="Q4441" s="8" t="s">
        <v>40</v>
      </c>
      <c r="R4441" s="10" t="s">
        <v>25704</v>
      </c>
      <c r="S4441" s="11"/>
      <c r="T4441" s="6"/>
      <c r="U4441" s="15" t="str">
        <f>HYPERLINK("https://media.infra-m.ru/2254/2254650/cover/2254650.jpg", "Обложка")</f>
        <v>Обложка</v>
      </c>
      <c r="V4441" s="8"/>
      <c r="W4441" s="6"/>
      <c r="X4441" s="6"/>
      <c r="Y4441" s="6"/>
      <c r="Z4441" s="6"/>
      <c r="AA4441" s="6" t="s">
        <v>187</v>
      </c>
      <c r="AB4441" s="8"/>
      <c r="AC4441" s="27">
        <v>9785160212371</v>
      </c>
    </row>
    <row r="4442" spans="1:29" s="4" customFormat="1" ht="44.1" customHeight="1" x14ac:dyDescent="0.2">
      <c r="A4442" s="5">
        <v>0</v>
      </c>
      <c r="B4442" s="6" t="s">
        <v>25705</v>
      </c>
      <c r="C4442" s="7">
        <v>1512</v>
      </c>
      <c r="D4442" s="8" t="s">
        <v>25706</v>
      </c>
      <c r="E4442" s="8" t="s">
        <v>25707</v>
      </c>
      <c r="F4442" s="8" t="s">
        <v>7452</v>
      </c>
      <c r="G4442" s="6" t="s">
        <v>60</v>
      </c>
      <c r="H4442" s="6" t="s">
        <v>34</v>
      </c>
      <c r="I4442" s="8" t="s">
        <v>35</v>
      </c>
      <c r="J4442" s="9">
        <v>1</v>
      </c>
      <c r="K4442" s="9">
        <v>251</v>
      </c>
      <c r="L4442" s="9">
        <v>2024</v>
      </c>
      <c r="M4442" s="8" t="s">
        <v>25708</v>
      </c>
      <c r="N4442" s="8" t="s">
        <v>37</v>
      </c>
      <c r="O4442" s="8" t="s">
        <v>233</v>
      </c>
      <c r="P4442" s="6" t="s">
        <v>39</v>
      </c>
      <c r="Q4442" s="8" t="s">
        <v>40</v>
      </c>
      <c r="R4442" s="10" t="s">
        <v>25709</v>
      </c>
      <c r="S4442" s="11"/>
      <c r="T4442" s="6"/>
      <c r="U4442" s="15" t="str">
        <f>HYPERLINK("https://media.infra-m.ru/2137/2137881/cover/2137881.jpg", "Обложка")</f>
        <v>Обложка</v>
      </c>
      <c r="V4442" s="8" t="s">
        <v>7455</v>
      </c>
      <c r="W4442" s="6"/>
      <c r="X4442" s="6"/>
      <c r="Y4442" s="6"/>
      <c r="Z4442" s="6"/>
      <c r="AA4442" s="6" t="s">
        <v>76</v>
      </c>
      <c r="AB4442" s="8"/>
      <c r="AC4442" s="27">
        <v>9785160198026</v>
      </c>
    </row>
    <row r="4443" spans="1:29" s="4" customFormat="1" ht="42" customHeight="1" x14ac:dyDescent="0.2">
      <c r="A4443" s="5">
        <v>0</v>
      </c>
      <c r="B4443" s="6" t="s">
        <v>25710</v>
      </c>
      <c r="C4443" s="7">
        <v>1780.8</v>
      </c>
      <c r="D4443" s="8" t="s">
        <v>25711</v>
      </c>
      <c r="E4443" s="8" t="s">
        <v>25712</v>
      </c>
      <c r="F4443" s="8" t="s">
        <v>7452</v>
      </c>
      <c r="G4443" s="6" t="s">
        <v>60</v>
      </c>
      <c r="H4443" s="6" t="s">
        <v>34</v>
      </c>
      <c r="I4443" s="8" t="s">
        <v>35</v>
      </c>
      <c r="J4443" s="9">
        <v>1</v>
      </c>
      <c r="K4443" s="9">
        <v>252</v>
      </c>
      <c r="L4443" s="9">
        <v>2026</v>
      </c>
      <c r="M4443" s="8" t="s">
        <v>25713</v>
      </c>
      <c r="N4443" s="8" t="s">
        <v>37</v>
      </c>
      <c r="O4443" s="8" t="s">
        <v>233</v>
      </c>
      <c r="P4443" s="6" t="s">
        <v>39</v>
      </c>
      <c r="Q4443" s="8" t="s">
        <v>40</v>
      </c>
      <c r="R4443" s="10" t="s">
        <v>25714</v>
      </c>
      <c r="S4443" s="11"/>
      <c r="T4443" s="6"/>
      <c r="U4443" s="15" t="str">
        <f>HYPERLINK("https://media.infra-m.ru/2257/2257145/cover/2257145.jpg", "Обложка")</f>
        <v>Обложка</v>
      </c>
      <c r="V4443" s="8" t="s">
        <v>7455</v>
      </c>
      <c r="W4443" s="6"/>
      <c r="X4443" s="6"/>
      <c r="Y4443" s="6"/>
      <c r="Z4443" s="6"/>
      <c r="AA4443" s="6" t="s">
        <v>148</v>
      </c>
      <c r="AB4443" s="8"/>
      <c r="AC4443" s="27">
        <v>9785160176079</v>
      </c>
    </row>
    <row r="4444" spans="1:29" s="4" customFormat="1" ht="51.9" customHeight="1" x14ac:dyDescent="0.2">
      <c r="A4444" s="5">
        <v>0</v>
      </c>
      <c r="B4444" s="6" t="s">
        <v>25715</v>
      </c>
      <c r="C4444" s="7">
        <v>3484.8</v>
      </c>
      <c r="D4444" s="8" t="s">
        <v>25716</v>
      </c>
      <c r="E4444" s="8" t="s">
        <v>25717</v>
      </c>
      <c r="F4444" s="8" t="s">
        <v>25718</v>
      </c>
      <c r="G4444" s="6" t="s">
        <v>118</v>
      </c>
      <c r="H4444" s="6" t="s">
        <v>34</v>
      </c>
      <c r="I4444" s="8" t="s">
        <v>263</v>
      </c>
      <c r="J4444" s="9">
        <v>1</v>
      </c>
      <c r="K4444" s="9">
        <v>560</v>
      </c>
      <c r="L4444" s="9">
        <v>2025</v>
      </c>
      <c r="M4444" s="8" t="s">
        <v>25719</v>
      </c>
      <c r="N4444" s="8" t="s">
        <v>243</v>
      </c>
      <c r="O4444" s="8" t="s">
        <v>385</v>
      </c>
      <c r="P4444" s="6" t="s">
        <v>306</v>
      </c>
      <c r="Q4444" s="8" t="s">
        <v>265</v>
      </c>
      <c r="R4444" s="10" t="s">
        <v>25720</v>
      </c>
      <c r="S4444" s="11" t="s">
        <v>25721</v>
      </c>
      <c r="T4444" s="6"/>
      <c r="U4444" s="15" t="str">
        <f>HYPERLINK("https://media.infra-m.ru/2179/2179492/cover/2179492.jpg", "Обложка")</f>
        <v>Обложка</v>
      </c>
      <c r="V4444" s="8" t="s">
        <v>911</v>
      </c>
      <c r="W4444" s="6"/>
      <c r="X4444" s="6"/>
      <c r="Y4444" s="6"/>
      <c r="Z4444" s="6" t="s">
        <v>3911</v>
      </c>
      <c r="AA4444" s="6" t="s">
        <v>430</v>
      </c>
      <c r="AB4444" s="8"/>
      <c r="AC4444" s="27">
        <v>9785160159478</v>
      </c>
    </row>
    <row r="4445" spans="1:29" s="4" customFormat="1" ht="51.9" customHeight="1" x14ac:dyDescent="0.2">
      <c r="A4445" s="5">
        <v>0</v>
      </c>
      <c r="B4445" s="6" t="s">
        <v>25722</v>
      </c>
      <c r="C4445" s="7">
        <v>3700.8</v>
      </c>
      <c r="D4445" s="8" t="s">
        <v>25723</v>
      </c>
      <c r="E4445" s="8" t="s">
        <v>25717</v>
      </c>
      <c r="F4445" s="8" t="s">
        <v>25718</v>
      </c>
      <c r="G4445" s="6" t="s">
        <v>60</v>
      </c>
      <c r="H4445" s="6" t="s">
        <v>34</v>
      </c>
      <c r="I4445" s="8" t="s">
        <v>5350</v>
      </c>
      <c r="J4445" s="9">
        <v>1</v>
      </c>
      <c r="K4445" s="9">
        <v>560</v>
      </c>
      <c r="L4445" s="9">
        <v>2026</v>
      </c>
      <c r="M4445" s="8" t="s">
        <v>25724</v>
      </c>
      <c r="N4445" s="8" t="s">
        <v>243</v>
      </c>
      <c r="O4445" s="8" t="s">
        <v>385</v>
      </c>
      <c r="P4445" s="6" t="s">
        <v>306</v>
      </c>
      <c r="Q4445" s="8" t="s">
        <v>377</v>
      </c>
      <c r="R4445" s="10" t="s">
        <v>25725</v>
      </c>
      <c r="S4445" s="11" t="s">
        <v>25726</v>
      </c>
      <c r="T4445" s="6"/>
      <c r="U4445" s="15" t="str">
        <f>HYPERLINK("https://media.infra-m.ru/2216/2216415/cover/2216415.jpg", "Обложка")</f>
        <v>Обложка</v>
      </c>
      <c r="V4445" s="8" t="s">
        <v>911</v>
      </c>
      <c r="W4445" s="6"/>
      <c r="X4445" s="6"/>
      <c r="Y4445" s="6"/>
      <c r="Z4445" s="6"/>
      <c r="AA4445" s="6" t="s">
        <v>115</v>
      </c>
      <c r="AB4445" s="8"/>
      <c r="AC4445" s="27">
        <v>9785160153179</v>
      </c>
    </row>
    <row r="4446" spans="1:29" s="4" customFormat="1" ht="42" customHeight="1" x14ac:dyDescent="0.2">
      <c r="A4446" s="5">
        <v>0</v>
      </c>
      <c r="B4446" s="6" t="s">
        <v>25727</v>
      </c>
      <c r="C4446" s="7">
        <v>1800</v>
      </c>
      <c r="D4446" s="8" t="s">
        <v>25728</v>
      </c>
      <c r="E4446" s="8" t="s">
        <v>25729</v>
      </c>
      <c r="F4446" s="8" t="s">
        <v>10948</v>
      </c>
      <c r="G4446" s="6" t="s">
        <v>33</v>
      </c>
      <c r="H4446" s="6" t="s">
        <v>34</v>
      </c>
      <c r="I4446" s="8" t="s">
        <v>35</v>
      </c>
      <c r="J4446" s="9">
        <v>1</v>
      </c>
      <c r="K4446" s="9">
        <v>357</v>
      </c>
      <c r="L4446" s="9">
        <v>2022</v>
      </c>
      <c r="M4446" s="8" t="s">
        <v>25730</v>
      </c>
      <c r="N4446" s="8" t="s">
        <v>37</v>
      </c>
      <c r="O4446" s="8" t="s">
        <v>38</v>
      </c>
      <c r="P4446" s="6" t="s">
        <v>39</v>
      </c>
      <c r="Q4446" s="8" t="s">
        <v>40</v>
      </c>
      <c r="R4446" s="10" t="s">
        <v>4408</v>
      </c>
      <c r="S4446" s="11"/>
      <c r="T4446" s="6"/>
      <c r="U4446" s="15" t="str">
        <f>HYPERLINK("https://media.infra-m.ru/1869/1869670/cover/1869670.jpg", "Обложка")</f>
        <v>Обложка</v>
      </c>
      <c r="V4446" s="8" t="s">
        <v>10951</v>
      </c>
      <c r="W4446" s="6"/>
      <c r="X4446" s="6"/>
      <c r="Y4446" s="6"/>
      <c r="Z4446" s="6"/>
      <c r="AA4446" s="6" t="s">
        <v>1256</v>
      </c>
      <c r="AB4446" s="8"/>
      <c r="AC4446" s="27">
        <v>9785160159119</v>
      </c>
    </row>
    <row r="4447" spans="1:29" s="4" customFormat="1" ht="42" customHeight="1" x14ac:dyDescent="0.2">
      <c r="A4447" s="5">
        <v>0</v>
      </c>
      <c r="B4447" s="6" t="s">
        <v>25731</v>
      </c>
      <c r="C4447" s="7">
        <v>1152</v>
      </c>
      <c r="D4447" s="8" t="s">
        <v>25732</v>
      </c>
      <c r="E4447" s="8" t="s">
        <v>25733</v>
      </c>
      <c r="F4447" s="8" t="s">
        <v>25734</v>
      </c>
      <c r="G4447" s="6" t="s">
        <v>33</v>
      </c>
      <c r="H4447" s="6" t="s">
        <v>34</v>
      </c>
      <c r="I4447" s="8" t="s">
        <v>35</v>
      </c>
      <c r="J4447" s="9">
        <v>1</v>
      </c>
      <c r="K4447" s="9">
        <v>166</v>
      </c>
      <c r="L4447" s="9">
        <v>2027</v>
      </c>
      <c r="M4447" s="8" t="s">
        <v>25735</v>
      </c>
      <c r="N4447" s="8" t="s">
        <v>37</v>
      </c>
      <c r="O4447" s="8" t="s">
        <v>83</v>
      </c>
      <c r="P4447" s="6" t="s">
        <v>39</v>
      </c>
      <c r="Q4447" s="8" t="s">
        <v>40</v>
      </c>
      <c r="R4447" s="10" t="s">
        <v>6716</v>
      </c>
      <c r="S4447" s="11"/>
      <c r="T4447" s="6"/>
      <c r="U4447" s="15" t="str">
        <f>HYPERLINK("https://media.infra-m.ru/2269/2269845/cover/2269845.jpg", "Обложка")</f>
        <v>Обложка</v>
      </c>
      <c r="V4447" s="8" t="s">
        <v>247</v>
      </c>
      <c r="W4447" s="6"/>
      <c r="X4447" s="6"/>
      <c r="Y4447" s="6"/>
      <c r="Z4447" s="6"/>
      <c r="AA4447" s="6" t="s">
        <v>430</v>
      </c>
      <c r="AB4447" s="8"/>
      <c r="AC4447" s="27">
        <v>9785160177380</v>
      </c>
    </row>
    <row r="4448" spans="1:29" s="4" customFormat="1" ht="42" customHeight="1" x14ac:dyDescent="0.2">
      <c r="A4448" s="5">
        <v>0</v>
      </c>
      <c r="B4448" s="6" t="s">
        <v>25736</v>
      </c>
      <c r="C4448" s="13">
        <v>876</v>
      </c>
      <c r="D4448" s="8" t="s">
        <v>25737</v>
      </c>
      <c r="E4448" s="8" t="s">
        <v>25733</v>
      </c>
      <c r="F4448" s="8" t="s">
        <v>25734</v>
      </c>
      <c r="G4448" s="6" t="s">
        <v>60</v>
      </c>
      <c r="H4448" s="6" t="s">
        <v>34</v>
      </c>
      <c r="I4448" s="8" t="s">
        <v>35</v>
      </c>
      <c r="J4448" s="9">
        <v>1</v>
      </c>
      <c r="K4448" s="9">
        <v>166</v>
      </c>
      <c r="L4448" s="9">
        <v>2021</v>
      </c>
      <c r="M4448" s="8" t="s">
        <v>25738</v>
      </c>
      <c r="N4448" s="8" t="s">
        <v>37</v>
      </c>
      <c r="O4448" s="8" t="s">
        <v>83</v>
      </c>
      <c r="P4448" s="6" t="s">
        <v>39</v>
      </c>
      <c r="Q4448" s="8" t="s">
        <v>40</v>
      </c>
      <c r="R4448" s="10" t="s">
        <v>6716</v>
      </c>
      <c r="S4448" s="11"/>
      <c r="T4448" s="6"/>
      <c r="U4448" s="15" t="str">
        <f>HYPERLINK("https://media.infra-m.ru/1157/1157111/cover/1157111.jpg", "Обложка")</f>
        <v>Обложка</v>
      </c>
      <c r="V4448" s="8" t="s">
        <v>247</v>
      </c>
      <c r="W4448" s="6"/>
      <c r="X4448" s="6"/>
      <c r="Y4448" s="6"/>
      <c r="Z4448" s="6"/>
      <c r="AA4448" s="6" t="s">
        <v>430</v>
      </c>
      <c r="AB4448" s="8"/>
      <c r="AC4448" s="27">
        <v>9785160164656</v>
      </c>
    </row>
    <row r="4449" spans="1:29" s="4" customFormat="1" ht="51.9" customHeight="1" x14ac:dyDescent="0.2">
      <c r="A4449" s="5">
        <v>0</v>
      </c>
      <c r="B4449" s="6" t="s">
        <v>25739</v>
      </c>
      <c r="C4449" s="7">
        <v>1980</v>
      </c>
      <c r="D4449" s="8" t="s">
        <v>25740</v>
      </c>
      <c r="E4449" s="8" t="s">
        <v>25741</v>
      </c>
      <c r="F4449" s="8" t="s">
        <v>9929</v>
      </c>
      <c r="G4449" s="6" t="s">
        <v>33</v>
      </c>
      <c r="H4449" s="6" t="s">
        <v>820</v>
      </c>
      <c r="I4449" s="8"/>
      <c r="J4449" s="9">
        <v>1</v>
      </c>
      <c r="K4449" s="9">
        <v>270</v>
      </c>
      <c r="L4449" s="9">
        <v>2024</v>
      </c>
      <c r="M4449" s="8" t="s">
        <v>25742</v>
      </c>
      <c r="N4449" s="8" t="s">
        <v>37</v>
      </c>
      <c r="O4449" s="8" t="s">
        <v>233</v>
      </c>
      <c r="P4449" s="6" t="s">
        <v>51</v>
      </c>
      <c r="Q4449" s="8" t="s">
        <v>65</v>
      </c>
      <c r="R4449" s="10" t="s">
        <v>25743</v>
      </c>
      <c r="S4449" s="11"/>
      <c r="T4449" s="6"/>
      <c r="U4449" s="15" t="str">
        <f>HYPERLINK("https://media.infra-m.ru/2126/2126827/cover/2126827.jpg", "Обложка")</f>
        <v>Обложка</v>
      </c>
      <c r="V4449" s="8" t="s">
        <v>247</v>
      </c>
      <c r="W4449" s="6"/>
      <c r="X4449" s="6"/>
      <c r="Y4449" s="6"/>
      <c r="Z4449" s="6"/>
      <c r="AA4449" s="6" t="s">
        <v>3736</v>
      </c>
      <c r="AB4449" s="8"/>
      <c r="AC4449" s="27">
        <v>9785906923721</v>
      </c>
    </row>
    <row r="4450" spans="1:29" s="4" customFormat="1" ht="51.9" customHeight="1" x14ac:dyDescent="0.2">
      <c r="A4450" s="5">
        <v>0</v>
      </c>
      <c r="B4450" s="6" t="s">
        <v>25744</v>
      </c>
      <c r="C4450" s="7">
        <v>1096.8</v>
      </c>
      <c r="D4450" s="8" t="s">
        <v>25745</v>
      </c>
      <c r="E4450" s="8" t="s">
        <v>25746</v>
      </c>
      <c r="F4450" s="8" t="s">
        <v>25747</v>
      </c>
      <c r="G4450" s="6" t="s">
        <v>33</v>
      </c>
      <c r="H4450" s="6" t="s">
        <v>34</v>
      </c>
      <c r="I4450" s="8" t="s">
        <v>35</v>
      </c>
      <c r="J4450" s="9">
        <v>1</v>
      </c>
      <c r="K4450" s="9">
        <v>198</v>
      </c>
      <c r="L4450" s="9">
        <v>2024</v>
      </c>
      <c r="M4450" s="8" t="s">
        <v>25748</v>
      </c>
      <c r="N4450" s="8" t="s">
        <v>37</v>
      </c>
      <c r="O4450" s="8" t="s">
        <v>83</v>
      </c>
      <c r="P4450" s="6" t="s">
        <v>39</v>
      </c>
      <c r="Q4450" s="8" t="s">
        <v>40</v>
      </c>
      <c r="R4450" s="10" t="s">
        <v>25749</v>
      </c>
      <c r="S4450" s="11"/>
      <c r="T4450" s="6"/>
      <c r="U4450" s="15" t="str">
        <f>HYPERLINK("https://media.infra-m.ru/2080/2080774/cover/2080774.jpg", "Обложка")</f>
        <v>Обложка</v>
      </c>
      <c r="V4450" s="8" t="s">
        <v>4481</v>
      </c>
      <c r="W4450" s="6"/>
      <c r="X4450" s="6"/>
      <c r="Y4450" s="6"/>
      <c r="Z4450" s="6"/>
      <c r="AA4450" s="6" t="s">
        <v>430</v>
      </c>
      <c r="AB4450" s="8"/>
      <c r="AC4450" s="27">
        <v>9785160163581</v>
      </c>
    </row>
    <row r="4451" spans="1:29" s="4" customFormat="1" ht="51.9" customHeight="1" x14ac:dyDescent="0.2">
      <c r="A4451" s="5">
        <v>0</v>
      </c>
      <c r="B4451" s="6" t="s">
        <v>25750</v>
      </c>
      <c r="C4451" s="13">
        <v>864</v>
      </c>
      <c r="D4451" s="8" t="s">
        <v>25751</v>
      </c>
      <c r="E4451" s="8" t="s">
        <v>25752</v>
      </c>
      <c r="F4451" s="8" t="s">
        <v>25753</v>
      </c>
      <c r="G4451" s="6" t="s">
        <v>60</v>
      </c>
      <c r="H4451" s="6" t="s">
        <v>34</v>
      </c>
      <c r="I4451" s="8" t="s">
        <v>35</v>
      </c>
      <c r="J4451" s="9">
        <v>1</v>
      </c>
      <c r="K4451" s="9">
        <v>189</v>
      </c>
      <c r="L4451" s="9">
        <v>2021</v>
      </c>
      <c r="M4451" s="8" t="s">
        <v>25754</v>
      </c>
      <c r="N4451" s="8" t="s">
        <v>37</v>
      </c>
      <c r="O4451" s="8" t="s">
        <v>83</v>
      </c>
      <c r="P4451" s="6" t="s">
        <v>39</v>
      </c>
      <c r="Q4451" s="8" t="s">
        <v>40</v>
      </c>
      <c r="R4451" s="10" t="s">
        <v>25755</v>
      </c>
      <c r="S4451" s="11"/>
      <c r="T4451" s="6"/>
      <c r="U4451" s="15" t="str">
        <f>HYPERLINK("https://media.infra-m.ru/1140/1140665/cover/1140665.jpg", "Обложка")</f>
        <v>Обложка</v>
      </c>
      <c r="V4451" s="8" t="s">
        <v>644</v>
      </c>
      <c r="W4451" s="6"/>
      <c r="X4451" s="6"/>
      <c r="Y4451" s="6"/>
      <c r="Z4451" s="6"/>
      <c r="AA4451" s="6" t="s">
        <v>430</v>
      </c>
      <c r="AB4451" s="8"/>
      <c r="AC4451" s="27">
        <v>9785160164144</v>
      </c>
    </row>
    <row r="4452" spans="1:29" s="4" customFormat="1" ht="51.9" customHeight="1" x14ac:dyDescent="0.2">
      <c r="A4452" s="5">
        <v>0</v>
      </c>
      <c r="B4452" s="6" t="s">
        <v>25756</v>
      </c>
      <c r="C4452" s="7">
        <v>1248</v>
      </c>
      <c r="D4452" s="8" t="s">
        <v>25757</v>
      </c>
      <c r="E4452" s="8" t="s">
        <v>25752</v>
      </c>
      <c r="F4452" s="8" t="s">
        <v>25753</v>
      </c>
      <c r="G4452" s="6" t="s">
        <v>33</v>
      </c>
      <c r="H4452" s="6" t="s">
        <v>34</v>
      </c>
      <c r="I4452" s="8" t="s">
        <v>35</v>
      </c>
      <c r="J4452" s="9">
        <v>1</v>
      </c>
      <c r="K4452" s="9">
        <v>189</v>
      </c>
      <c r="L4452" s="9">
        <v>2026</v>
      </c>
      <c r="M4452" s="8" t="s">
        <v>25758</v>
      </c>
      <c r="N4452" s="8" t="s">
        <v>37</v>
      </c>
      <c r="O4452" s="8" t="s">
        <v>83</v>
      </c>
      <c r="P4452" s="6" t="s">
        <v>39</v>
      </c>
      <c r="Q4452" s="8" t="s">
        <v>40</v>
      </c>
      <c r="R4452" s="10" t="s">
        <v>25755</v>
      </c>
      <c r="S4452" s="11"/>
      <c r="T4452" s="6"/>
      <c r="U4452" s="15" t="str">
        <f>HYPERLINK("https://media.infra-m.ru/2237/2237639/cover/2237639.jpg", "Обложка")</f>
        <v>Обложка</v>
      </c>
      <c r="V4452" s="8" t="s">
        <v>644</v>
      </c>
      <c r="W4452" s="6"/>
      <c r="X4452" s="6"/>
      <c r="Y4452" s="6"/>
      <c r="Z4452" s="6"/>
      <c r="AA4452" s="6" t="s">
        <v>430</v>
      </c>
      <c r="AB4452" s="8"/>
      <c r="AC4452" s="27">
        <v>9785160194158</v>
      </c>
    </row>
    <row r="4453" spans="1:29" s="4" customFormat="1" ht="51.9" customHeight="1" x14ac:dyDescent="0.2">
      <c r="A4453" s="5">
        <v>0</v>
      </c>
      <c r="B4453" s="6" t="s">
        <v>25759</v>
      </c>
      <c r="C4453" s="7">
        <v>1096.8</v>
      </c>
      <c r="D4453" s="8" t="s">
        <v>25760</v>
      </c>
      <c r="E4453" s="8" t="s">
        <v>25761</v>
      </c>
      <c r="F4453" s="8" t="s">
        <v>10552</v>
      </c>
      <c r="G4453" s="6" t="s">
        <v>60</v>
      </c>
      <c r="H4453" s="6" t="s">
        <v>34</v>
      </c>
      <c r="I4453" s="8" t="s">
        <v>35</v>
      </c>
      <c r="J4453" s="9">
        <v>1</v>
      </c>
      <c r="K4453" s="9">
        <v>175</v>
      </c>
      <c r="L4453" s="9">
        <v>2025</v>
      </c>
      <c r="M4453" s="8" t="s">
        <v>25762</v>
      </c>
      <c r="N4453" s="8" t="s">
        <v>37</v>
      </c>
      <c r="O4453" s="8" t="s">
        <v>83</v>
      </c>
      <c r="P4453" s="6" t="s">
        <v>39</v>
      </c>
      <c r="Q4453" s="8" t="s">
        <v>40</v>
      </c>
      <c r="R4453" s="10" t="s">
        <v>25763</v>
      </c>
      <c r="S4453" s="11"/>
      <c r="T4453" s="6"/>
      <c r="U4453" s="15" t="str">
        <f>HYPERLINK("https://media.infra-m.ru/2204/2204115/cover/2204115.jpg", "Обложка")</f>
        <v>Обложка</v>
      </c>
      <c r="V4453" s="8" t="s">
        <v>3087</v>
      </c>
      <c r="W4453" s="6"/>
      <c r="X4453" s="6"/>
      <c r="Y4453" s="6"/>
      <c r="Z4453" s="6"/>
      <c r="AA4453" s="6" t="s">
        <v>779</v>
      </c>
      <c r="AB4453" s="8"/>
      <c r="AC4453" s="27">
        <v>9785160110622</v>
      </c>
    </row>
    <row r="4454" spans="1:29" s="4" customFormat="1" ht="51.9" customHeight="1" x14ac:dyDescent="0.2">
      <c r="A4454" s="5">
        <v>0</v>
      </c>
      <c r="B4454" s="6" t="s">
        <v>25764</v>
      </c>
      <c r="C4454" s="7">
        <v>1516.8</v>
      </c>
      <c r="D4454" s="8" t="s">
        <v>25765</v>
      </c>
      <c r="E4454" s="8" t="s">
        <v>25766</v>
      </c>
      <c r="F4454" s="8" t="s">
        <v>25767</v>
      </c>
      <c r="G4454" s="6" t="s">
        <v>33</v>
      </c>
      <c r="H4454" s="6" t="s">
        <v>34</v>
      </c>
      <c r="I4454" s="8" t="s">
        <v>35</v>
      </c>
      <c r="J4454" s="9">
        <v>1</v>
      </c>
      <c r="K4454" s="9">
        <v>218</v>
      </c>
      <c r="L4454" s="9">
        <v>2026</v>
      </c>
      <c r="M4454" s="8" t="s">
        <v>25768</v>
      </c>
      <c r="N4454" s="8" t="s">
        <v>93</v>
      </c>
      <c r="O4454" s="8" t="s">
        <v>94</v>
      </c>
      <c r="P4454" s="6" t="s">
        <v>39</v>
      </c>
      <c r="Q4454" s="8" t="s">
        <v>40</v>
      </c>
      <c r="R4454" s="10" t="s">
        <v>1563</v>
      </c>
      <c r="S4454" s="11"/>
      <c r="T4454" s="6"/>
      <c r="U4454" s="15" t="str">
        <f>HYPERLINK("https://media.infra-m.ru/2252/2252587/cover/2252587.jpg", "Обложка")</f>
        <v>Обложка</v>
      </c>
      <c r="V4454" s="8" t="s">
        <v>19012</v>
      </c>
      <c r="W4454" s="6"/>
      <c r="X4454" s="6"/>
      <c r="Y4454" s="6"/>
      <c r="Z4454" s="6"/>
      <c r="AA4454" s="6" t="s">
        <v>68</v>
      </c>
      <c r="AB4454" s="8" t="s">
        <v>4718</v>
      </c>
      <c r="AC4454" s="27">
        <v>9785160199481</v>
      </c>
    </row>
    <row r="4455" spans="1:29" s="4" customFormat="1" ht="51.9" customHeight="1" x14ac:dyDescent="0.2">
      <c r="A4455" s="5">
        <v>0</v>
      </c>
      <c r="B4455" s="6" t="s">
        <v>25769</v>
      </c>
      <c r="C4455" s="7">
        <v>1824</v>
      </c>
      <c r="D4455" s="8" t="s">
        <v>25770</v>
      </c>
      <c r="E4455" s="8" t="s">
        <v>25771</v>
      </c>
      <c r="F4455" s="8" t="s">
        <v>25034</v>
      </c>
      <c r="G4455" s="6" t="s">
        <v>118</v>
      </c>
      <c r="H4455" s="6" t="s">
        <v>34</v>
      </c>
      <c r="I4455" s="8" t="s">
        <v>263</v>
      </c>
      <c r="J4455" s="9">
        <v>1</v>
      </c>
      <c r="K4455" s="9">
        <v>303</v>
      </c>
      <c r="L4455" s="9">
        <v>2025</v>
      </c>
      <c r="M4455" s="8" t="s">
        <v>25772</v>
      </c>
      <c r="N4455" s="8" t="s">
        <v>37</v>
      </c>
      <c r="O4455" s="8" t="s">
        <v>8119</v>
      </c>
      <c r="P4455" s="6" t="s">
        <v>306</v>
      </c>
      <c r="Q4455" s="8" t="s">
        <v>265</v>
      </c>
      <c r="R4455" s="10" t="s">
        <v>10307</v>
      </c>
      <c r="S4455" s="11" t="s">
        <v>7538</v>
      </c>
      <c r="T4455" s="6"/>
      <c r="U4455" s="15" t="str">
        <f>HYPERLINK("https://media.infra-m.ru/2157/2157818/cover/2157818.jpg", "Обложка")</f>
        <v>Обложка</v>
      </c>
      <c r="V4455" s="8" t="s">
        <v>396</v>
      </c>
      <c r="W4455" s="6"/>
      <c r="X4455" s="6"/>
      <c r="Y4455" s="6"/>
      <c r="Z4455" s="6"/>
      <c r="AA4455" s="6" t="s">
        <v>99</v>
      </c>
      <c r="AB4455" s="8" t="s">
        <v>24845</v>
      </c>
      <c r="AC4455" s="27">
        <v>9785160123622</v>
      </c>
    </row>
    <row r="4456" spans="1:29" s="4" customFormat="1" ht="42" customHeight="1" x14ac:dyDescent="0.2">
      <c r="A4456" s="5">
        <v>0</v>
      </c>
      <c r="B4456" s="6" t="s">
        <v>25773</v>
      </c>
      <c r="C4456" s="7">
        <v>2112</v>
      </c>
      <c r="D4456" s="8" t="s">
        <v>25774</v>
      </c>
      <c r="E4456" s="8" t="s">
        <v>25775</v>
      </c>
      <c r="F4456" s="8" t="s">
        <v>25034</v>
      </c>
      <c r="G4456" s="6" t="s">
        <v>118</v>
      </c>
      <c r="H4456" s="6" t="s">
        <v>34</v>
      </c>
      <c r="I4456" s="8" t="s">
        <v>263</v>
      </c>
      <c r="J4456" s="9">
        <v>1</v>
      </c>
      <c r="K4456" s="9">
        <v>303</v>
      </c>
      <c r="L4456" s="9">
        <v>2026</v>
      </c>
      <c r="M4456" s="8" t="s">
        <v>25776</v>
      </c>
      <c r="N4456" s="8" t="s">
        <v>37</v>
      </c>
      <c r="O4456" s="8" t="s">
        <v>8119</v>
      </c>
      <c r="P4456" s="6" t="s">
        <v>306</v>
      </c>
      <c r="Q4456" s="8" t="s">
        <v>265</v>
      </c>
      <c r="R4456" s="10" t="s">
        <v>10307</v>
      </c>
      <c r="S4456" s="11"/>
      <c r="T4456" s="6"/>
      <c r="U4456" s="15" t="str">
        <f>HYPERLINK("https://media.infra-m.ru/2261/2261740/cover/2261740.jpg", "Обложка")</f>
        <v>Обложка</v>
      </c>
      <c r="V4456" s="8" t="s">
        <v>396</v>
      </c>
      <c r="W4456" s="6"/>
      <c r="X4456" s="6"/>
      <c r="Y4456" s="6"/>
      <c r="Z4456" s="6"/>
      <c r="AA4456" s="6" t="s">
        <v>650</v>
      </c>
      <c r="AB4456" s="8" t="s">
        <v>24845</v>
      </c>
      <c r="AC4456" s="27">
        <v>9785160210544</v>
      </c>
    </row>
    <row r="4457" spans="1:29" s="4" customFormat="1" ht="51.9" customHeight="1" x14ac:dyDescent="0.2">
      <c r="A4457" s="5">
        <v>0</v>
      </c>
      <c r="B4457" s="6" t="s">
        <v>25777</v>
      </c>
      <c r="C4457" s="7">
        <v>1132.8</v>
      </c>
      <c r="D4457" s="8" t="s">
        <v>25778</v>
      </c>
      <c r="E4457" s="8" t="s">
        <v>25771</v>
      </c>
      <c r="F4457" s="8" t="s">
        <v>25779</v>
      </c>
      <c r="G4457" s="6" t="s">
        <v>60</v>
      </c>
      <c r="H4457" s="6" t="s">
        <v>48</v>
      </c>
      <c r="I4457" s="8" t="s">
        <v>263</v>
      </c>
      <c r="J4457" s="9">
        <v>1</v>
      </c>
      <c r="K4457" s="9">
        <v>320</v>
      </c>
      <c r="L4457" s="9">
        <v>2018</v>
      </c>
      <c r="M4457" s="8" t="s">
        <v>25780</v>
      </c>
      <c r="N4457" s="8" t="s">
        <v>37</v>
      </c>
      <c r="O4457" s="8" t="s">
        <v>8119</v>
      </c>
      <c r="P4457" s="6" t="s">
        <v>306</v>
      </c>
      <c r="Q4457" s="8" t="s">
        <v>265</v>
      </c>
      <c r="R4457" s="10" t="s">
        <v>10307</v>
      </c>
      <c r="S4457" s="11" t="s">
        <v>1013</v>
      </c>
      <c r="T4457" s="6"/>
      <c r="U4457" s="15" t="str">
        <f>HYPERLINK("https://media.infra-m.ru/2081/2081960/cover/2081960.jpg", "Обложка")</f>
        <v>Обложка</v>
      </c>
      <c r="V4457" s="8" t="s">
        <v>227</v>
      </c>
      <c r="W4457" s="6"/>
      <c r="X4457" s="6"/>
      <c r="Y4457" s="6"/>
      <c r="Z4457" s="6"/>
      <c r="AA4457" s="6" t="s">
        <v>561</v>
      </c>
      <c r="AB4457" s="8"/>
      <c r="AC4457" s="27">
        <v>9785000914595</v>
      </c>
    </row>
    <row r="4458" spans="1:29" s="4" customFormat="1" ht="51.9" customHeight="1" x14ac:dyDescent="0.2">
      <c r="A4458" s="5">
        <v>0</v>
      </c>
      <c r="B4458" s="6" t="s">
        <v>25781</v>
      </c>
      <c r="C4458" s="7">
        <v>1336.8</v>
      </c>
      <c r="D4458" s="8" t="s">
        <v>25782</v>
      </c>
      <c r="E4458" s="8" t="s">
        <v>25783</v>
      </c>
      <c r="F4458" s="8" t="s">
        <v>25784</v>
      </c>
      <c r="G4458" s="6" t="s">
        <v>33</v>
      </c>
      <c r="H4458" s="6" t="s">
        <v>34</v>
      </c>
      <c r="I4458" s="8" t="s">
        <v>35</v>
      </c>
      <c r="J4458" s="9">
        <v>1</v>
      </c>
      <c r="K4458" s="9">
        <v>214</v>
      </c>
      <c r="L4458" s="9">
        <v>2025</v>
      </c>
      <c r="M4458" s="8" t="s">
        <v>25785</v>
      </c>
      <c r="N4458" s="8" t="s">
        <v>37</v>
      </c>
      <c r="O4458" s="8" t="s">
        <v>233</v>
      </c>
      <c r="P4458" s="6" t="s">
        <v>39</v>
      </c>
      <c r="Q4458" s="8" t="s">
        <v>40</v>
      </c>
      <c r="R4458" s="10" t="s">
        <v>25786</v>
      </c>
      <c r="S4458" s="11"/>
      <c r="T4458" s="6"/>
      <c r="U4458" s="15" t="str">
        <f>HYPERLINK("https://media.infra-m.ru/2194/2194364/cover/2194364.jpg", "Обложка")</f>
        <v>Обложка</v>
      </c>
      <c r="V4458" s="8" t="s">
        <v>396</v>
      </c>
      <c r="W4458" s="6"/>
      <c r="X4458" s="6"/>
      <c r="Y4458" s="6"/>
      <c r="Z4458" s="6"/>
      <c r="AA4458" s="6" t="s">
        <v>248</v>
      </c>
      <c r="AB4458" s="8"/>
      <c r="AC4458" s="27">
        <v>9785160094953</v>
      </c>
    </row>
    <row r="4459" spans="1:29" s="4" customFormat="1" ht="42" customHeight="1" x14ac:dyDescent="0.2">
      <c r="A4459" s="5">
        <v>0</v>
      </c>
      <c r="B4459" s="6" t="s">
        <v>25787</v>
      </c>
      <c r="C4459" s="7">
        <v>1464</v>
      </c>
      <c r="D4459" s="8" t="s">
        <v>25788</v>
      </c>
      <c r="E4459" s="8" t="s">
        <v>25789</v>
      </c>
      <c r="F4459" s="8" t="s">
        <v>25790</v>
      </c>
      <c r="G4459" s="6" t="s">
        <v>33</v>
      </c>
      <c r="H4459" s="6" t="s">
        <v>34</v>
      </c>
      <c r="I4459" s="8" t="s">
        <v>35</v>
      </c>
      <c r="J4459" s="9">
        <v>1</v>
      </c>
      <c r="K4459" s="9">
        <v>313</v>
      </c>
      <c r="L4459" s="9">
        <v>2022</v>
      </c>
      <c r="M4459" s="8" t="s">
        <v>25791</v>
      </c>
      <c r="N4459" s="8" t="s">
        <v>63</v>
      </c>
      <c r="O4459" s="8" t="s">
        <v>9718</v>
      </c>
      <c r="P4459" s="6" t="s">
        <v>39</v>
      </c>
      <c r="Q4459" s="8" t="s">
        <v>40</v>
      </c>
      <c r="R4459" s="10" t="s">
        <v>25792</v>
      </c>
      <c r="S4459" s="11"/>
      <c r="T4459" s="6"/>
      <c r="U4459" s="15" t="str">
        <f>HYPERLINK("https://media.infra-m.ru/1850/1850624/cover/1850624.jpg", "Обложка")</f>
        <v>Обложка</v>
      </c>
      <c r="V4459" s="8" t="s">
        <v>3087</v>
      </c>
      <c r="W4459" s="6"/>
      <c r="X4459" s="6"/>
      <c r="Y4459" s="6"/>
      <c r="Z4459" s="6"/>
      <c r="AA4459" s="6" t="s">
        <v>274</v>
      </c>
      <c r="AB4459" s="8"/>
      <c r="AC4459" s="27">
        <v>9785160110073</v>
      </c>
    </row>
    <row r="4460" spans="1:29" s="4" customFormat="1" ht="42" customHeight="1" x14ac:dyDescent="0.2">
      <c r="A4460" s="5">
        <v>0</v>
      </c>
      <c r="B4460" s="6" t="s">
        <v>25793</v>
      </c>
      <c r="C4460" s="7">
        <v>3396</v>
      </c>
      <c r="D4460" s="8" t="s">
        <v>25794</v>
      </c>
      <c r="E4460" s="8" t="s">
        <v>25795</v>
      </c>
      <c r="F4460" s="8" t="s">
        <v>25796</v>
      </c>
      <c r="G4460" s="6" t="s">
        <v>60</v>
      </c>
      <c r="H4460" s="6" t="s">
        <v>134</v>
      </c>
      <c r="I4460" s="8"/>
      <c r="J4460" s="9">
        <v>1</v>
      </c>
      <c r="K4460" s="9">
        <v>544</v>
      </c>
      <c r="L4460" s="9">
        <v>2025</v>
      </c>
      <c r="M4460" s="8" t="s">
        <v>25797</v>
      </c>
      <c r="N4460" s="8" t="s">
        <v>37</v>
      </c>
      <c r="O4460" s="8" t="s">
        <v>136</v>
      </c>
      <c r="P4460" s="6" t="s">
        <v>51</v>
      </c>
      <c r="Q4460" s="8" t="s">
        <v>65</v>
      </c>
      <c r="R4460" s="10" t="s">
        <v>25798</v>
      </c>
      <c r="S4460" s="11"/>
      <c r="T4460" s="6"/>
      <c r="U4460" s="15" t="str">
        <f>HYPERLINK("https://media.infra-m.ru/2205/2205619/cover/2205619.jpg", "Обложка")</f>
        <v>Обложка</v>
      </c>
      <c r="V4460" s="8" t="s">
        <v>1184</v>
      </c>
      <c r="W4460" s="6"/>
      <c r="X4460" s="6"/>
      <c r="Y4460" s="6"/>
      <c r="Z4460" s="6"/>
      <c r="AA4460" s="6" t="s">
        <v>68</v>
      </c>
      <c r="AB4460" s="8"/>
      <c r="AC4460" s="27">
        <v>9785001564409</v>
      </c>
    </row>
    <row r="4461" spans="1:29" s="4" customFormat="1" ht="51.9" customHeight="1" x14ac:dyDescent="0.2">
      <c r="A4461" s="5">
        <v>0</v>
      </c>
      <c r="B4461" s="6" t="s">
        <v>25799</v>
      </c>
      <c r="C4461" s="7">
        <v>2640</v>
      </c>
      <c r="D4461" s="8" t="s">
        <v>25800</v>
      </c>
      <c r="E4461" s="8" t="s">
        <v>25801</v>
      </c>
      <c r="F4461" s="8" t="s">
        <v>25802</v>
      </c>
      <c r="G4461" s="6" t="s">
        <v>118</v>
      </c>
      <c r="H4461" s="6" t="s">
        <v>34</v>
      </c>
      <c r="I4461" s="8" t="s">
        <v>263</v>
      </c>
      <c r="J4461" s="9">
        <v>1</v>
      </c>
      <c r="K4461" s="9">
        <v>400</v>
      </c>
      <c r="L4461" s="9">
        <v>2026</v>
      </c>
      <c r="M4461" s="8" t="s">
        <v>25803</v>
      </c>
      <c r="N4461" s="8" t="s">
        <v>243</v>
      </c>
      <c r="O4461" s="8" t="s">
        <v>758</v>
      </c>
      <c r="P4461" s="6" t="s">
        <v>51</v>
      </c>
      <c r="Q4461" s="8" t="s">
        <v>265</v>
      </c>
      <c r="R4461" s="10" t="s">
        <v>25804</v>
      </c>
      <c r="S4461" s="11" t="s">
        <v>25805</v>
      </c>
      <c r="T4461" s="6"/>
      <c r="U4461" s="15" t="str">
        <f>HYPERLINK("https://media.infra-m.ru/2228/2228712/cover/2228712.jpg", "Обложка")</f>
        <v>Обложка</v>
      </c>
      <c r="V4461" s="8" t="s">
        <v>227</v>
      </c>
      <c r="W4461" s="6"/>
      <c r="X4461" s="6"/>
      <c r="Y4461" s="6"/>
      <c r="Z4461" s="6"/>
      <c r="AA4461" s="6" t="s">
        <v>2338</v>
      </c>
      <c r="AB4461" s="8"/>
      <c r="AC4461" s="27">
        <v>9785160047553</v>
      </c>
    </row>
    <row r="4462" spans="1:29" s="4" customFormat="1" ht="51.9" customHeight="1" x14ac:dyDescent="0.2">
      <c r="A4462" s="5">
        <v>0</v>
      </c>
      <c r="B4462" s="6" t="s">
        <v>25806</v>
      </c>
      <c r="C4462" s="7">
        <v>2124</v>
      </c>
      <c r="D4462" s="8" t="s">
        <v>25807</v>
      </c>
      <c r="E4462" s="8" t="s">
        <v>25808</v>
      </c>
      <c r="F4462" s="8" t="s">
        <v>25809</v>
      </c>
      <c r="G4462" s="6" t="s">
        <v>118</v>
      </c>
      <c r="H4462" s="6" t="s">
        <v>34</v>
      </c>
      <c r="I4462" s="8" t="s">
        <v>25810</v>
      </c>
      <c r="J4462" s="9">
        <v>1</v>
      </c>
      <c r="K4462" s="9">
        <v>384</v>
      </c>
      <c r="L4462" s="9">
        <v>2024</v>
      </c>
      <c r="M4462" s="8" t="s">
        <v>25811</v>
      </c>
      <c r="N4462" s="8" t="s">
        <v>37</v>
      </c>
      <c r="O4462" s="8" t="s">
        <v>280</v>
      </c>
      <c r="P4462" s="6" t="s">
        <v>306</v>
      </c>
      <c r="Q4462" s="8" t="s">
        <v>749</v>
      </c>
      <c r="R4462" s="10" t="s">
        <v>25812</v>
      </c>
      <c r="S4462" s="11" t="s">
        <v>1504</v>
      </c>
      <c r="T4462" s="6" t="s">
        <v>97</v>
      </c>
      <c r="U4462" s="15" t="str">
        <f>HYPERLINK("https://media.infra-m.ru/2079/2079239/cover/2079239.jpg", "Обложка")</f>
        <v>Обложка</v>
      </c>
      <c r="V4462" s="8" t="s">
        <v>1505</v>
      </c>
      <c r="W4462" s="6"/>
      <c r="X4462" s="6"/>
      <c r="Y4462" s="6"/>
      <c r="Z4462" s="6"/>
      <c r="AA4462" s="6" t="s">
        <v>4554</v>
      </c>
      <c r="AB4462" s="8"/>
      <c r="AC4462" s="27">
        <v>9785160189192</v>
      </c>
    </row>
    <row r="4463" spans="1:29" s="4" customFormat="1" ht="33" customHeight="1" x14ac:dyDescent="0.2">
      <c r="A4463" s="5">
        <v>0</v>
      </c>
      <c r="B4463" s="6" t="s">
        <v>25813</v>
      </c>
      <c r="C4463" s="7">
        <v>1068</v>
      </c>
      <c r="D4463" s="8" t="s">
        <v>25814</v>
      </c>
      <c r="E4463" s="8" t="s">
        <v>25815</v>
      </c>
      <c r="F4463" s="8" t="s">
        <v>25816</v>
      </c>
      <c r="G4463" s="6" t="s">
        <v>60</v>
      </c>
      <c r="H4463" s="6" t="s">
        <v>34</v>
      </c>
      <c r="I4463" s="8" t="s">
        <v>35</v>
      </c>
      <c r="J4463" s="9">
        <v>1</v>
      </c>
      <c r="K4463" s="9">
        <v>278</v>
      </c>
      <c r="L4463" s="9">
        <v>2018</v>
      </c>
      <c r="M4463" s="8" t="s">
        <v>25817</v>
      </c>
      <c r="N4463" s="8" t="s">
        <v>37</v>
      </c>
      <c r="O4463" s="8" t="s">
        <v>233</v>
      </c>
      <c r="P4463" s="6" t="s">
        <v>39</v>
      </c>
      <c r="Q4463" s="8" t="s">
        <v>40</v>
      </c>
      <c r="R4463" s="10" t="s">
        <v>3008</v>
      </c>
      <c r="S4463" s="11"/>
      <c r="T4463" s="6"/>
      <c r="U4463" s="12"/>
      <c r="V4463" s="8" t="s">
        <v>2854</v>
      </c>
      <c r="W4463" s="6"/>
      <c r="X4463" s="6"/>
      <c r="Y4463" s="6"/>
      <c r="Z4463" s="6"/>
      <c r="AA4463" s="6" t="s">
        <v>86</v>
      </c>
      <c r="AB4463" s="8"/>
      <c r="AC4463" s="27">
        <v>9785160137124</v>
      </c>
    </row>
    <row r="4464" spans="1:29" s="4" customFormat="1" ht="42" customHeight="1" x14ac:dyDescent="0.2">
      <c r="A4464" s="5">
        <v>0</v>
      </c>
      <c r="B4464" s="6" t="s">
        <v>25818</v>
      </c>
      <c r="C4464" s="7">
        <v>1236</v>
      </c>
      <c r="D4464" s="8" t="s">
        <v>25819</v>
      </c>
      <c r="E4464" s="8" t="s">
        <v>25815</v>
      </c>
      <c r="F4464" s="8" t="s">
        <v>25816</v>
      </c>
      <c r="G4464" s="6" t="s">
        <v>33</v>
      </c>
      <c r="H4464" s="6" t="s">
        <v>34</v>
      </c>
      <c r="I4464" s="8" t="s">
        <v>35</v>
      </c>
      <c r="J4464" s="9">
        <v>1</v>
      </c>
      <c r="K4464" s="9">
        <v>278</v>
      </c>
      <c r="L4464" s="9">
        <v>2021</v>
      </c>
      <c r="M4464" s="8" t="s">
        <v>25820</v>
      </c>
      <c r="N4464" s="8" t="s">
        <v>37</v>
      </c>
      <c r="O4464" s="8" t="s">
        <v>233</v>
      </c>
      <c r="P4464" s="6" t="s">
        <v>39</v>
      </c>
      <c r="Q4464" s="8" t="s">
        <v>40</v>
      </c>
      <c r="R4464" s="10" t="s">
        <v>3008</v>
      </c>
      <c r="S4464" s="11"/>
      <c r="T4464" s="6"/>
      <c r="U4464" s="15" t="str">
        <f>HYPERLINK("https://media.infra-m.ru/1290/1290957/cover/1290957.jpg", "Обложка")</f>
        <v>Обложка</v>
      </c>
      <c r="V4464" s="8" t="s">
        <v>2854</v>
      </c>
      <c r="W4464" s="6"/>
      <c r="X4464" s="6"/>
      <c r="Y4464" s="6"/>
      <c r="Z4464" s="6"/>
      <c r="AA4464" s="6" t="s">
        <v>86</v>
      </c>
      <c r="AB4464" s="8"/>
      <c r="AC4464" s="27">
        <v>9785160168821</v>
      </c>
    </row>
    <row r="4465" spans="1:29" s="4" customFormat="1" ht="42" customHeight="1" x14ac:dyDescent="0.2">
      <c r="A4465" s="5">
        <v>0</v>
      </c>
      <c r="B4465" s="6" t="s">
        <v>25821</v>
      </c>
      <c r="C4465" s="7">
        <v>1188</v>
      </c>
      <c r="D4465" s="8" t="s">
        <v>25822</v>
      </c>
      <c r="E4465" s="8" t="s">
        <v>25823</v>
      </c>
      <c r="F4465" s="8" t="s">
        <v>25824</v>
      </c>
      <c r="G4465" s="6" t="s">
        <v>33</v>
      </c>
      <c r="H4465" s="6" t="s">
        <v>34</v>
      </c>
      <c r="I4465" s="8" t="s">
        <v>35</v>
      </c>
      <c r="J4465" s="9">
        <v>1</v>
      </c>
      <c r="K4465" s="9">
        <v>183</v>
      </c>
      <c r="L4465" s="9">
        <v>2025</v>
      </c>
      <c r="M4465" s="8" t="s">
        <v>25825</v>
      </c>
      <c r="N4465" s="8" t="s">
        <v>37</v>
      </c>
      <c r="O4465" s="8" t="s">
        <v>136</v>
      </c>
      <c r="P4465" s="6" t="s">
        <v>39</v>
      </c>
      <c r="Q4465" s="8" t="s">
        <v>40</v>
      </c>
      <c r="R4465" s="10" t="s">
        <v>1804</v>
      </c>
      <c r="S4465" s="11"/>
      <c r="T4465" s="6"/>
      <c r="U4465" s="15" t="str">
        <f>HYPERLINK("https://media.infra-m.ru/2181/2181459/cover/2181459.jpg", "Обложка")</f>
        <v>Обложка</v>
      </c>
      <c r="V4465" s="8" t="s">
        <v>657</v>
      </c>
      <c r="W4465" s="6"/>
      <c r="X4465" s="6"/>
      <c r="Y4465" s="6"/>
      <c r="Z4465" s="6"/>
      <c r="AA4465" s="6" t="s">
        <v>68</v>
      </c>
      <c r="AB4465" s="8"/>
      <c r="AC4465" s="27">
        <v>9785160205595</v>
      </c>
    </row>
    <row r="4466" spans="1:29" s="4" customFormat="1" ht="51.9" customHeight="1" x14ac:dyDescent="0.2">
      <c r="A4466" s="5">
        <v>0</v>
      </c>
      <c r="B4466" s="6" t="s">
        <v>25826</v>
      </c>
      <c r="C4466" s="7">
        <v>1808.4</v>
      </c>
      <c r="D4466" s="8" t="s">
        <v>25827</v>
      </c>
      <c r="E4466" s="8" t="s">
        <v>25828</v>
      </c>
      <c r="F4466" s="8" t="s">
        <v>25829</v>
      </c>
      <c r="G4466" s="6" t="s">
        <v>33</v>
      </c>
      <c r="H4466" s="6" t="s">
        <v>48</v>
      </c>
      <c r="I4466" s="8" t="s">
        <v>263</v>
      </c>
      <c r="J4466" s="9">
        <v>1</v>
      </c>
      <c r="K4466" s="9">
        <v>200</v>
      </c>
      <c r="L4466" s="9">
        <v>2026</v>
      </c>
      <c r="M4466" s="8" t="s">
        <v>25830</v>
      </c>
      <c r="N4466" s="8" t="s">
        <v>243</v>
      </c>
      <c r="O4466" s="8" t="s">
        <v>244</v>
      </c>
      <c r="P4466" s="6" t="s">
        <v>51</v>
      </c>
      <c r="Q4466" s="8" t="s">
        <v>265</v>
      </c>
      <c r="R4466" s="10" t="s">
        <v>25831</v>
      </c>
      <c r="S4466" s="11" t="s">
        <v>25832</v>
      </c>
      <c r="T4466" s="6"/>
      <c r="U4466" s="15" t="str">
        <f>HYPERLINK("https://media.infra-m.ru/2223/2223172/cover/2223172.jpg", "Обложка")</f>
        <v>Обложка</v>
      </c>
      <c r="V4466" s="8" t="s">
        <v>1871</v>
      </c>
      <c r="W4466" s="6"/>
      <c r="X4466" s="6"/>
      <c r="Y4466" s="6"/>
      <c r="Z4466" s="6" t="s">
        <v>267</v>
      </c>
      <c r="AA4466" s="6" t="s">
        <v>1256</v>
      </c>
      <c r="AB4466" s="8"/>
      <c r="AC4466" s="27">
        <v>9785000917138</v>
      </c>
    </row>
    <row r="4467" spans="1:29" s="4" customFormat="1" ht="51.9" customHeight="1" x14ac:dyDescent="0.2">
      <c r="A4467" s="5">
        <v>0</v>
      </c>
      <c r="B4467" s="6" t="s">
        <v>25833</v>
      </c>
      <c r="C4467" s="7">
        <v>1640.4</v>
      </c>
      <c r="D4467" s="8" t="s">
        <v>25834</v>
      </c>
      <c r="E4467" s="8" t="s">
        <v>25828</v>
      </c>
      <c r="F4467" s="8" t="s">
        <v>25829</v>
      </c>
      <c r="G4467" s="6" t="s">
        <v>33</v>
      </c>
      <c r="H4467" s="6" t="s">
        <v>48</v>
      </c>
      <c r="I4467" s="8" t="s">
        <v>271</v>
      </c>
      <c r="J4467" s="9">
        <v>1</v>
      </c>
      <c r="K4467" s="9">
        <v>200</v>
      </c>
      <c r="L4467" s="9">
        <v>2026</v>
      </c>
      <c r="M4467" s="8" t="s">
        <v>25835</v>
      </c>
      <c r="N4467" s="8" t="s">
        <v>243</v>
      </c>
      <c r="O4467" s="8" t="s">
        <v>244</v>
      </c>
      <c r="P4467" s="6" t="s">
        <v>51</v>
      </c>
      <c r="Q4467" s="8" t="s">
        <v>52</v>
      </c>
      <c r="R4467" s="10" t="s">
        <v>25836</v>
      </c>
      <c r="S4467" s="11" t="s">
        <v>25837</v>
      </c>
      <c r="T4467" s="6"/>
      <c r="U4467" s="15" t="str">
        <f>HYPERLINK("https://media.infra-m.ru/2218/2218877/cover/2218877.jpg", "Обложка")</f>
        <v>Обложка</v>
      </c>
      <c r="V4467" s="8" t="s">
        <v>1871</v>
      </c>
      <c r="W4467" s="6"/>
      <c r="X4467" s="6"/>
      <c r="Y4467" s="6"/>
      <c r="Z4467" s="6"/>
      <c r="AA4467" s="6" t="s">
        <v>779</v>
      </c>
      <c r="AB4467" s="8"/>
      <c r="AC4467" s="27">
        <v>9785000916803</v>
      </c>
    </row>
    <row r="4468" spans="1:29" s="4" customFormat="1" ht="51.9" customHeight="1" x14ac:dyDescent="0.2">
      <c r="A4468" s="5">
        <v>0</v>
      </c>
      <c r="B4468" s="6" t="s">
        <v>25838</v>
      </c>
      <c r="C4468" s="7">
        <v>2858.4</v>
      </c>
      <c r="D4468" s="8" t="s">
        <v>25839</v>
      </c>
      <c r="E4468" s="8" t="s">
        <v>25840</v>
      </c>
      <c r="F4468" s="8" t="s">
        <v>25841</v>
      </c>
      <c r="G4468" s="6" t="s">
        <v>118</v>
      </c>
      <c r="H4468" s="6" t="s">
        <v>48</v>
      </c>
      <c r="I4468" s="8" t="s">
        <v>263</v>
      </c>
      <c r="J4468" s="9">
        <v>1</v>
      </c>
      <c r="K4468" s="9">
        <v>398</v>
      </c>
      <c r="L4468" s="9">
        <v>2024</v>
      </c>
      <c r="M4468" s="8" t="s">
        <v>25842</v>
      </c>
      <c r="N4468" s="8" t="s">
        <v>243</v>
      </c>
      <c r="O4468" s="8" t="s">
        <v>244</v>
      </c>
      <c r="P4468" s="6" t="s">
        <v>51</v>
      </c>
      <c r="Q4468" s="8" t="s">
        <v>265</v>
      </c>
      <c r="R4468" s="10" t="s">
        <v>25843</v>
      </c>
      <c r="S4468" s="11" t="s">
        <v>25844</v>
      </c>
      <c r="T4468" s="6"/>
      <c r="U4468" s="15" t="str">
        <f>HYPERLINK("https://media.infra-m.ru/2078/2078382/cover/2078382.jpg", "Обложка")</f>
        <v>Обложка</v>
      </c>
      <c r="V4468" s="8" t="s">
        <v>3898</v>
      </c>
      <c r="W4468" s="6"/>
      <c r="X4468" s="6"/>
      <c r="Y4468" s="6"/>
      <c r="Z4468" s="6" t="s">
        <v>267</v>
      </c>
      <c r="AA4468" s="6" t="s">
        <v>86</v>
      </c>
      <c r="AB4468" s="8"/>
      <c r="AC4468" s="27">
        <v>9785000915516</v>
      </c>
    </row>
    <row r="4469" spans="1:29" s="4" customFormat="1" ht="42" customHeight="1" x14ac:dyDescent="0.2">
      <c r="A4469" s="5">
        <v>0</v>
      </c>
      <c r="B4469" s="6" t="s">
        <v>25845</v>
      </c>
      <c r="C4469" s="7">
        <v>1740</v>
      </c>
      <c r="D4469" s="8" t="s">
        <v>25846</v>
      </c>
      <c r="E4469" s="8" t="s">
        <v>25847</v>
      </c>
      <c r="F4469" s="8" t="s">
        <v>25848</v>
      </c>
      <c r="G4469" s="6" t="s">
        <v>60</v>
      </c>
      <c r="H4469" s="6" t="s">
        <v>34</v>
      </c>
      <c r="I4469" s="8" t="s">
        <v>35</v>
      </c>
      <c r="J4469" s="9">
        <v>1</v>
      </c>
      <c r="K4469" s="9">
        <v>302</v>
      </c>
      <c r="L4469" s="9">
        <v>2024</v>
      </c>
      <c r="M4469" s="8" t="s">
        <v>25849</v>
      </c>
      <c r="N4469" s="8" t="s">
        <v>37</v>
      </c>
      <c r="O4469" s="8" t="s">
        <v>136</v>
      </c>
      <c r="P4469" s="6" t="s">
        <v>39</v>
      </c>
      <c r="Q4469" s="8" t="s">
        <v>40</v>
      </c>
      <c r="R4469" s="10" t="s">
        <v>25850</v>
      </c>
      <c r="S4469" s="11"/>
      <c r="T4469" s="6"/>
      <c r="U4469" s="15" t="str">
        <f>HYPERLINK("https://media.infra-m.ru/2001/2001726/cover/2001726.jpg", "Обложка")</f>
        <v>Обложка</v>
      </c>
      <c r="V4469" s="8" t="s">
        <v>1069</v>
      </c>
      <c r="W4469" s="6"/>
      <c r="X4469" s="6"/>
      <c r="Y4469" s="6"/>
      <c r="Z4469" s="6"/>
      <c r="AA4469" s="6" t="s">
        <v>76</v>
      </c>
      <c r="AB4469" s="8"/>
      <c r="AC4469" s="27">
        <v>9785160184203</v>
      </c>
    </row>
    <row r="4470" spans="1:29" s="4" customFormat="1" ht="51.9" customHeight="1" x14ac:dyDescent="0.2">
      <c r="A4470" s="5">
        <v>0</v>
      </c>
      <c r="B4470" s="6" t="s">
        <v>25851</v>
      </c>
      <c r="C4470" s="7">
        <v>1584</v>
      </c>
      <c r="D4470" s="8" t="s">
        <v>25852</v>
      </c>
      <c r="E4470" s="8" t="s">
        <v>25853</v>
      </c>
      <c r="F4470" s="8" t="s">
        <v>25854</v>
      </c>
      <c r="G4470" s="6" t="s">
        <v>118</v>
      </c>
      <c r="H4470" s="6" t="s">
        <v>34</v>
      </c>
      <c r="I4470" s="8" t="s">
        <v>271</v>
      </c>
      <c r="J4470" s="9">
        <v>1</v>
      </c>
      <c r="K4470" s="9">
        <v>293</v>
      </c>
      <c r="L4470" s="9">
        <v>2020</v>
      </c>
      <c r="M4470" s="8" t="s">
        <v>25855</v>
      </c>
      <c r="N4470" s="8" t="s">
        <v>585</v>
      </c>
      <c r="O4470" s="8" t="s">
        <v>667</v>
      </c>
      <c r="P4470" s="6" t="s">
        <v>51</v>
      </c>
      <c r="Q4470" s="8" t="s">
        <v>52</v>
      </c>
      <c r="R4470" s="10" t="s">
        <v>25856</v>
      </c>
      <c r="S4470" s="11" t="s">
        <v>25857</v>
      </c>
      <c r="T4470" s="6"/>
      <c r="U4470" s="15" t="str">
        <f>HYPERLINK("https://media.infra-m.ru/1947/1947364/cover/1947364.jpg", "Обложка")</f>
        <v>Обложка</v>
      </c>
      <c r="V4470" s="8" t="s">
        <v>831</v>
      </c>
      <c r="W4470" s="6"/>
      <c r="X4470" s="6"/>
      <c r="Y4470" s="6"/>
      <c r="Z4470" s="6"/>
      <c r="AA4470" s="6" t="s">
        <v>1256</v>
      </c>
      <c r="AB4470" s="8"/>
      <c r="AC4470" s="27">
        <v>9785160158174</v>
      </c>
    </row>
    <row r="4471" spans="1:29" s="4" customFormat="1" ht="51.9" customHeight="1" x14ac:dyDescent="0.2">
      <c r="A4471" s="5">
        <v>0</v>
      </c>
      <c r="B4471" s="6" t="s">
        <v>25858</v>
      </c>
      <c r="C4471" s="7">
        <v>2692.8</v>
      </c>
      <c r="D4471" s="8" t="s">
        <v>25859</v>
      </c>
      <c r="E4471" s="8" t="s">
        <v>25860</v>
      </c>
      <c r="F4471" s="8" t="s">
        <v>25861</v>
      </c>
      <c r="G4471" s="6" t="s">
        <v>118</v>
      </c>
      <c r="H4471" s="6" t="s">
        <v>34</v>
      </c>
      <c r="I4471" s="8" t="s">
        <v>271</v>
      </c>
      <c r="J4471" s="9">
        <v>1</v>
      </c>
      <c r="K4471" s="9">
        <v>432</v>
      </c>
      <c r="L4471" s="9">
        <v>2025</v>
      </c>
      <c r="M4471" s="8" t="s">
        <v>25862</v>
      </c>
      <c r="N4471" s="8" t="s">
        <v>585</v>
      </c>
      <c r="O4471" s="8" t="s">
        <v>667</v>
      </c>
      <c r="P4471" s="6" t="s">
        <v>51</v>
      </c>
      <c r="Q4471" s="8" t="s">
        <v>52</v>
      </c>
      <c r="R4471" s="10" t="s">
        <v>25863</v>
      </c>
      <c r="S4471" s="11" t="s">
        <v>25864</v>
      </c>
      <c r="T4471" s="6"/>
      <c r="U4471" s="15" t="str">
        <f>HYPERLINK("https://media.infra-m.ru/2196/2196098/cover/2196098.jpg", "Обложка")</f>
        <v>Обложка</v>
      </c>
      <c r="V4471" s="8" t="s">
        <v>2398</v>
      </c>
      <c r="W4471" s="6"/>
      <c r="X4471" s="6"/>
      <c r="Y4471" s="6"/>
      <c r="Z4471" s="6"/>
      <c r="AA4471" s="6" t="s">
        <v>779</v>
      </c>
      <c r="AB4471" s="8"/>
      <c r="AC4471" s="27">
        <v>9785160119731</v>
      </c>
    </row>
    <row r="4472" spans="1:29" s="4" customFormat="1" ht="42" customHeight="1" x14ac:dyDescent="0.2">
      <c r="A4472" s="5">
        <v>0</v>
      </c>
      <c r="B4472" s="6" t="s">
        <v>25865</v>
      </c>
      <c r="C4472" s="7">
        <v>2128.8000000000002</v>
      </c>
      <c r="D4472" s="8" t="s">
        <v>25866</v>
      </c>
      <c r="E4472" s="8" t="s">
        <v>25867</v>
      </c>
      <c r="F4472" s="8" t="s">
        <v>6297</v>
      </c>
      <c r="G4472" s="6" t="s">
        <v>60</v>
      </c>
      <c r="H4472" s="6" t="s">
        <v>34</v>
      </c>
      <c r="I4472" s="8" t="s">
        <v>504</v>
      </c>
      <c r="J4472" s="9">
        <v>1</v>
      </c>
      <c r="K4472" s="9">
        <v>300</v>
      </c>
      <c r="L4472" s="9">
        <v>2026</v>
      </c>
      <c r="M4472" s="8" t="s">
        <v>25868</v>
      </c>
      <c r="N4472" s="8" t="s">
        <v>37</v>
      </c>
      <c r="O4472" s="8" t="s">
        <v>136</v>
      </c>
      <c r="P4472" s="6" t="s">
        <v>51</v>
      </c>
      <c r="Q4472" s="8" t="s">
        <v>500</v>
      </c>
      <c r="R4472" s="10" t="s">
        <v>1667</v>
      </c>
      <c r="S4472" s="11"/>
      <c r="T4472" s="6"/>
      <c r="U4472" s="15" t="str">
        <f>HYPERLINK("https://media.infra-m.ru/2255/2255214/cover/2255214.jpg", "Обложка")</f>
        <v>Обложка</v>
      </c>
      <c r="V4472" s="8" t="s">
        <v>1956</v>
      </c>
      <c r="W4472" s="6"/>
      <c r="X4472" s="6"/>
      <c r="Y4472" s="6"/>
      <c r="Z4472" s="6"/>
      <c r="AA4472" s="6" t="s">
        <v>76</v>
      </c>
      <c r="AB4472" s="8"/>
      <c r="AC4472" s="27">
        <v>9785160182193</v>
      </c>
    </row>
    <row r="4473" spans="1:29" s="4" customFormat="1" ht="51.9" customHeight="1" x14ac:dyDescent="0.2">
      <c r="A4473" s="5">
        <v>0</v>
      </c>
      <c r="B4473" s="6" t="s">
        <v>25869</v>
      </c>
      <c r="C4473" s="13">
        <v>912</v>
      </c>
      <c r="D4473" s="8" t="s">
        <v>25870</v>
      </c>
      <c r="E4473" s="8" t="s">
        <v>25871</v>
      </c>
      <c r="F4473" s="8" t="s">
        <v>25872</v>
      </c>
      <c r="G4473" s="6" t="s">
        <v>118</v>
      </c>
      <c r="H4473" s="6" t="s">
        <v>34</v>
      </c>
      <c r="I4473" s="8" t="s">
        <v>253</v>
      </c>
      <c r="J4473" s="9">
        <v>1</v>
      </c>
      <c r="K4473" s="9">
        <v>138</v>
      </c>
      <c r="L4473" s="9">
        <v>2026</v>
      </c>
      <c r="M4473" s="8" t="s">
        <v>25873</v>
      </c>
      <c r="N4473" s="8" t="s">
        <v>243</v>
      </c>
      <c r="O4473" s="8" t="s">
        <v>1100</v>
      </c>
      <c r="P4473" s="6" t="s">
        <v>306</v>
      </c>
      <c r="Q4473" s="8" t="s">
        <v>52</v>
      </c>
      <c r="R4473" s="10" t="s">
        <v>25874</v>
      </c>
      <c r="S4473" s="11" t="s">
        <v>25875</v>
      </c>
      <c r="T4473" s="6"/>
      <c r="U4473" s="15" t="str">
        <f>HYPERLINK("https://media.infra-m.ru/2250/2250342/cover/2250342.jpg", "Обложка")</f>
        <v>Обложка</v>
      </c>
      <c r="V4473" s="8" t="s">
        <v>25876</v>
      </c>
      <c r="W4473" s="6"/>
      <c r="X4473" s="6"/>
      <c r="Y4473" s="6"/>
      <c r="Z4473" s="6"/>
      <c r="AA4473" s="6" t="s">
        <v>55</v>
      </c>
      <c r="AB4473" s="8"/>
      <c r="AC4473" s="27">
        <v>9785160220789</v>
      </c>
    </row>
    <row r="4474" spans="1:29" s="4" customFormat="1" ht="51.9" customHeight="1" x14ac:dyDescent="0.2">
      <c r="A4474" s="5">
        <v>0</v>
      </c>
      <c r="B4474" s="6" t="s">
        <v>25877</v>
      </c>
      <c r="C4474" s="7">
        <v>1524</v>
      </c>
      <c r="D4474" s="8" t="s">
        <v>25878</v>
      </c>
      <c r="E4474" s="8" t="s">
        <v>25879</v>
      </c>
      <c r="F4474" s="8" t="s">
        <v>10966</v>
      </c>
      <c r="G4474" s="6" t="s">
        <v>118</v>
      </c>
      <c r="H4474" s="6" t="s">
        <v>820</v>
      </c>
      <c r="I4474" s="8" t="s">
        <v>253</v>
      </c>
      <c r="J4474" s="9">
        <v>1</v>
      </c>
      <c r="K4474" s="9">
        <v>228</v>
      </c>
      <c r="L4474" s="9">
        <v>2026</v>
      </c>
      <c r="M4474" s="8" t="s">
        <v>25880</v>
      </c>
      <c r="N4474" s="8" t="s">
        <v>243</v>
      </c>
      <c r="O4474" s="8" t="s">
        <v>1100</v>
      </c>
      <c r="P4474" s="6" t="s">
        <v>306</v>
      </c>
      <c r="Q4474" s="8" t="s">
        <v>52</v>
      </c>
      <c r="R4474" s="10" t="s">
        <v>25881</v>
      </c>
      <c r="S4474" s="11" t="s">
        <v>25882</v>
      </c>
      <c r="T4474" s="6"/>
      <c r="U4474" s="15" t="str">
        <f>HYPERLINK("https://media.infra-m.ru/2221/2221660/cover/2221660.jpg", "Обложка")</f>
        <v>Обложка</v>
      </c>
      <c r="V4474" s="8" t="s">
        <v>1915</v>
      </c>
      <c r="W4474" s="6"/>
      <c r="X4474" s="6"/>
      <c r="Y4474" s="6"/>
      <c r="Z4474" s="6"/>
      <c r="AA4474" s="6" t="s">
        <v>779</v>
      </c>
      <c r="AB4474" s="8"/>
      <c r="AC4474" s="27">
        <v>9785906818676</v>
      </c>
    </row>
    <row r="4475" spans="1:29" s="4" customFormat="1" ht="42" customHeight="1" x14ac:dyDescent="0.2">
      <c r="A4475" s="5">
        <v>0</v>
      </c>
      <c r="B4475" s="6" t="s">
        <v>25883</v>
      </c>
      <c r="C4475" s="7">
        <v>1320</v>
      </c>
      <c r="D4475" s="8" t="s">
        <v>25884</v>
      </c>
      <c r="E4475" s="8" t="s">
        <v>25885</v>
      </c>
      <c r="F4475" s="8" t="s">
        <v>10966</v>
      </c>
      <c r="G4475" s="6" t="s">
        <v>33</v>
      </c>
      <c r="H4475" s="6" t="s">
        <v>820</v>
      </c>
      <c r="I4475" s="8"/>
      <c r="J4475" s="9">
        <v>1</v>
      </c>
      <c r="K4475" s="9">
        <v>200</v>
      </c>
      <c r="L4475" s="9">
        <v>2026</v>
      </c>
      <c r="M4475" s="8" t="s">
        <v>25886</v>
      </c>
      <c r="N4475" s="8" t="s">
        <v>243</v>
      </c>
      <c r="O4475" s="8" t="s">
        <v>1100</v>
      </c>
      <c r="P4475" s="6" t="s">
        <v>306</v>
      </c>
      <c r="Q4475" s="8" t="s">
        <v>52</v>
      </c>
      <c r="R4475" s="10" t="s">
        <v>6658</v>
      </c>
      <c r="S4475" s="11"/>
      <c r="T4475" s="6"/>
      <c r="U4475" s="15" t="str">
        <f>HYPERLINK("https://media.infra-m.ru/2224/2224068/cover/2224068.jpg", "Обложка")</f>
        <v>Обложка</v>
      </c>
      <c r="V4475" s="8" t="s">
        <v>1915</v>
      </c>
      <c r="W4475" s="6"/>
      <c r="X4475" s="6"/>
      <c r="Y4475" s="6"/>
      <c r="Z4475" s="6"/>
      <c r="AA4475" s="6" t="s">
        <v>274</v>
      </c>
      <c r="AB4475" s="8"/>
      <c r="AC4475" s="27">
        <v>9785905554728</v>
      </c>
    </row>
    <row r="4476" spans="1:29" s="4" customFormat="1" ht="51.9" customHeight="1" x14ac:dyDescent="0.2">
      <c r="A4476" s="5">
        <v>0</v>
      </c>
      <c r="B4476" s="6" t="s">
        <v>25887</v>
      </c>
      <c r="C4476" s="7">
        <v>1672.8</v>
      </c>
      <c r="D4476" s="8" t="s">
        <v>25888</v>
      </c>
      <c r="E4476" s="8" t="s">
        <v>25889</v>
      </c>
      <c r="F4476" s="8" t="s">
        <v>9391</v>
      </c>
      <c r="G4476" s="6" t="s">
        <v>60</v>
      </c>
      <c r="H4476" s="6" t="s">
        <v>34</v>
      </c>
      <c r="I4476" s="8" t="s">
        <v>288</v>
      </c>
      <c r="J4476" s="9">
        <v>1</v>
      </c>
      <c r="K4476" s="9">
        <v>229</v>
      </c>
      <c r="L4476" s="9">
        <v>2026</v>
      </c>
      <c r="M4476" s="8" t="s">
        <v>25890</v>
      </c>
      <c r="N4476" s="8" t="s">
        <v>37</v>
      </c>
      <c r="O4476" s="8" t="s">
        <v>290</v>
      </c>
      <c r="P4476" s="6" t="s">
        <v>51</v>
      </c>
      <c r="Q4476" s="8" t="s">
        <v>65</v>
      </c>
      <c r="R4476" s="10" t="s">
        <v>25891</v>
      </c>
      <c r="S4476" s="11"/>
      <c r="T4476" s="6"/>
      <c r="U4476" s="15" t="str">
        <f>HYPERLINK("https://media.infra-m.ru/2230/2230627/cover/2230627.jpg", "Обложка")</f>
        <v>Обложка</v>
      </c>
      <c r="V4476" s="8" t="s">
        <v>292</v>
      </c>
      <c r="W4476" s="6"/>
      <c r="X4476" s="6"/>
      <c r="Y4476" s="6"/>
      <c r="Z4476" s="6"/>
      <c r="AA4476" s="6" t="s">
        <v>76</v>
      </c>
      <c r="AB4476" s="8"/>
      <c r="AC4476" s="27">
        <v>9785160198958</v>
      </c>
    </row>
    <row r="4477" spans="1:29" s="4" customFormat="1" ht="51.9" customHeight="1" x14ac:dyDescent="0.2">
      <c r="A4477" s="5">
        <v>0</v>
      </c>
      <c r="B4477" s="6" t="s">
        <v>25892</v>
      </c>
      <c r="C4477" s="7">
        <v>2152.8000000000002</v>
      </c>
      <c r="D4477" s="8" t="s">
        <v>25893</v>
      </c>
      <c r="E4477" s="8" t="s">
        <v>25894</v>
      </c>
      <c r="F4477" s="8" t="s">
        <v>25895</v>
      </c>
      <c r="G4477" s="6" t="s">
        <v>118</v>
      </c>
      <c r="H4477" s="6" t="s">
        <v>34</v>
      </c>
      <c r="I4477" s="8" t="s">
        <v>253</v>
      </c>
      <c r="J4477" s="9">
        <v>1</v>
      </c>
      <c r="K4477" s="9">
        <v>326</v>
      </c>
      <c r="L4477" s="9">
        <v>2026</v>
      </c>
      <c r="M4477" s="8" t="s">
        <v>25896</v>
      </c>
      <c r="N4477" s="8" t="s">
        <v>37</v>
      </c>
      <c r="O4477" s="8" t="s">
        <v>290</v>
      </c>
      <c r="P4477" s="6" t="s">
        <v>306</v>
      </c>
      <c r="Q4477" s="8" t="s">
        <v>65</v>
      </c>
      <c r="R4477" s="10" t="s">
        <v>25891</v>
      </c>
      <c r="S4477" s="11"/>
      <c r="T4477" s="6"/>
      <c r="U4477" s="15" t="str">
        <f>HYPERLINK("https://media.infra-m.ru/2230/2230626/cover/2230626.jpg", "Обложка")</f>
        <v>Обложка</v>
      </c>
      <c r="V4477" s="8" t="s">
        <v>3304</v>
      </c>
      <c r="W4477" s="6"/>
      <c r="X4477" s="6"/>
      <c r="Y4477" s="6"/>
      <c r="Z4477" s="6" t="s">
        <v>3974</v>
      </c>
      <c r="AA4477" s="6" t="s">
        <v>157</v>
      </c>
      <c r="AB4477" s="8"/>
      <c r="AC4477" s="27">
        <v>9785160186016</v>
      </c>
    </row>
    <row r="4478" spans="1:29" s="4" customFormat="1" ht="51.9" customHeight="1" x14ac:dyDescent="0.2">
      <c r="A4478" s="5">
        <v>0</v>
      </c>
      <c r="B4478" s="6" t="s">
        <v>25897</v>
      </c>
      <c r="C4478" s="7">
        <v>3396</v>
      </c>
      <c r="D4478" s="8" t="s">
        <v>25898</v>
      </c>
      <c r="E4478" s="8" t="s">
        <v>25894</v>
      </c>
      <c r="F4478" s="8" t="s">
        <v>25895</v>
      </c>
      <c r="G4478" s="6" t="s">
        <v>118</v>
      </c>
      <c r="H4478" s="6" t="s">
        <v>34</v>
      </c>
      <c r="I4478" s="8" t="s">
        <v>263</v>
      </c>
      <c r="J4478" s="9">
        <v>1</v>
      </c>
      <c r="K4478" s="9">
        <v>326</v>
      </c>
      <c r="L4478" s="9">
        <v>2026</v>
      </c>
      <c r="M4478" s="8" t="s">
        <v>25899</v>
      </c>
      <c r="N4478" s="8" t="s">
        <v>37</v>
      </c>
      <c r="O4478" s="8" t="s">
        <v>290</v>
      </c>
      <c r="P4478" s="6" t="s">
        <v>306</v>
      </c>
      <c r="Q4478" s="8" t="s">
        <v>265</v>
      </c>
      <c r="R4478" s="10" t="s">
        <v>17055</v>
      </c>
      <c r="S4478" s="11" t="s">
        <v>25900</v>
      </c>
      <c r="T4478" s="6"/>
      <c r="U4478" s="15" t="str">
        <f>HYPERLINK("https://media.infra-m.ru/2234/2234632/cover/2234632.jpg", "Обложка")</f>
        <v>Обложка</v>
      </c>
      <c r="V4478" s="8" t="s">
        <v>3304</v>
      </c>
      <c r="W4478" s="6"/>
      <c r="X4478" s="6"/>
      <c r="Y4478" s="6"/>
      <c r="Z4478" s="6"/>
      <c r="AA4478" s="6" t="s">
        <v>157</v>
      </c>
      <c r="AB4478" s="8" t="s">
        <v>17125</v>
      </c>
      <c r="AC4478" s="27">
        <v>9785160173566</v>
      </c>
    </row>
    <row r="4479" spans="1:29" s="4" customFormat="1" ht="42" customHeight="1" x14ac:dyDescent="0.2">
      <c r="A4479" s="5">
        <v>0</v>
      </c>
      <c r="B4479" s="6" t="s">
        <v>25901</v>
      </c>
      <c r="C4479" s="7">
        <v>1560</v>
      </c>
      <c r="D4479" s="8" t="s">
        <v>25902</v>
      </c>
      <c r="E4479" s="8" t="s">
        <v>25894</v>
      </c>
      <c r="F4479" s="8" t="s">
        <v>25903</v>
      </c>
      <c r="G4479" s="6" t="s">
        <v>118</v>
      </c>
      <c r="H4479" s="6" t="s">
        <v>34</v>
      </c>
      <c r="I4479" s="8" t="s">
        <v>263</v>
      </c>
      <c r="J4479" s="9">
        <v>1</v>
      </c>
      <c r="K4479" s="9">
        <v>238</v>
      </c>
      <c r="L4479" s="9">
        <v>2026</v>
      </c>
      <c r="M4479" s="8" t="s">
        <v>25904</v>
      </c>
      <c r="N4479" s="8" t="s">
        <v>37</v>
      </c>
      <c r="O4479" s="8" t="s">
        <v>290</v>
      </c>
      <c r="P4479" s="6" t="s">
        <v>306</v>
      </c>
      <c r="Q4479" s="8" t="s">
        <v>265</v>
      </c>
      <c r="R4479" s="10" t="s">
        <v>17055</v>
      </c>
      <c r="S4479" s="11"/>
      <c r="T4479" s="6"/>
      <c r="U4479" s="15" t="str">
        <f>HYPERLINK("https://media.infra-m.ru/2214/2214591/cover/2214591.jpg", "Обложка")</f>
        <v>Обложка</v>
      </c>
      <c r="V4479" s="8" t="s">
        <v>9614</v>
      </c>
      <c r="W4479" s="6"/>
      <c r="X4479" s="6"/>
      <c r="Y4479" s="6"/>
      <c r="Z4479" s="6"/>
      <c r="AA4479" s="6" t="s">
        <v>68</v>
      </c>
      <c r="AB4479" s="8" t="s">
        <v>2691</v>
      </c>
      <c r="AC4479" s="27">
        <v>9785160191461</v>
      </c>
    </row>
    <row r="4480" spans="1:29" s="4" customFormat="1" ht="51.9" customHeight="1" x14ac:dyDescent="0.2">
      <c r="A4480" s="5">
        <v>0</v>
      </c>
      <c r="B4480" s="6" t="s">
        <v>25905</v>
      </c>
      <c r="C4480" s="7">
        <v>2136</v>
      </c>
      <c r="D4480" s="8" t="s">
        <v>25906</v>
      </c>
      <c r="E4480" s="8" t="s">
        <v>25907</v>
      </c>
      <c r="F4480" s="8" t="s">
        <v>25908</v>
      </c>
      <c r="G4480" s="6" t="s">
        <v>118</v>
      </c>
      <c r="H4480" s="6" t="s">
        <v>34</v>
      </c>
      <c r="I4480" s="8" t="s">
        <v>1128</v>
      </c>
      <c r="J4480" s="9">
        <v>1</v>
      </c>
      <c r="K4480" s="9">
        <v>307</v>
      </c>
      <c r="L4480" s="9">
        <v>2027</v>
      </c>
      <c r="M4480" s="8" t="s">
        <v>25909</v>
      </c>
      <c r="N4480" s="8" t="s">
        <v>37</v>
      </c>
      <c r="O4480" s="8" t="s">
        <v>290</v>
      </c>
      <c r="P4480" s="6" t="s">
        <v>51</v>
      </c>
      <c r="Q4480" s="8" t="s">
        <v>65</v>
      </c>
      <c r="R4480" s="10" t="s">
        <v>25891</v>
      </c>
      <c r="S4480" s="11" t="s">
        <v>25910</v>
      </c>
      <c r="T4480" s="6"/>
      <c r="U4480" s="15" t="str">
        <f>HYPERLINK("https://media.infra-m.ru/2266/2266078/cover/2266078.jpg", "Обложка")</f>
        <v>Обложка</v>
      </c>
      <c r="V4480" s="8" t="s">
        <v>1132</v>
      </c>
      <c r="W4480" s="6"/>
      <c r="X4480" s="6"/>
      <c r="Y4480" s="6"/>
      <c r="Z4480" s="6"/>
      <c r="AA4480" s="6" t="s">
        <v>157</v>
      </c>
      <c r="AB4480" s="8"/>
      <c r="AC4480" s="27">
        <v>9785160224190</v>
      </c>
    </row>
    <row r="4481" spans="1:29" s="4" customFormat="1" ht="51.9" customHeight="1" x14ac:dyDescent="0.2">
      <c r="A4481" s="5">
        <v>0</v>
      </c>
      <c r="B4481" s="6" t="s">
        <v>25911</v>
      </c>
      <c r="C4481" s="7">
        <v>1920</v>
      </c>
      <c r="D4481" s="8" t="s">
        <v>25912</v>
      </c>
      <c r="E4481" s="8" t="s">
        <v>25913</v>
      </c>
      <c r="F4481" s="8" t="s">
        <v>25908</v>
      </c>
      <c r="G4481" s="6" t="s">
        <v>118</v>
      </c>
      <c r="H4481" s="6" t="s">
        <v>34</v>
      </c>
      <c r="I4481" s="8" t="s">
        <v>1128</v>
      </c>
      <c r="J4481" s="9">
        <v>1</v>
      </c>
      <c r="K4481" s="9">
        <v>276</v>
      </c>
      <c r="L4481" s="9">
        <v>2027</v>
      </c>
      <c r="M4481" s="8" t="s">
        <v>25914</v>
      </c>
      <c r="N4481" s="8" t="s">
        <v>37</v>
      </c>
      <c r="O4481" s="8" t="s">
        <v>290</v>
      </c>
      <c r="P4481" s="6" t="s">
        <v>51</v>
      </c>
      <c r="Q4481" s="8" t="s">
        <v>65</v>
      </c>
      <c r="R4481" s="10" t="s">
        <v>25891</v>
      </c>
      <c r="S4481" s="11" t="s">
        <v>25910</v>
      </c>
      <c r="T4481" s="6"/>
      <c r="U4481" s="15" t="str">
        <f>HYPERLINK("https://media.infra-m.ru/2266/2266077/cover/2266077.jpg", "Обложка")</f>
        <v>Обложка</v>
      </c>
      <c r="V4481" s="8" t="s">
        <v>1132</v>
      </c>
      <c r="W4481" s="6"/>
      <c r="X4481" s="6"/>
      <c r="Y4481" s="6"/>
      <c r="Z4481" s="6"/>
      <c r="AA4481" s="6" t="s">
        <v>157</v>
      </c>
      <c r="AB4481" s="8"/>
      <c r="AC4481" s="27">
        <v>9785160224206</v>
      </c>
    </row>
    <row r="4482" spans="1:29" s="4" customFormat="1" ht="44.1" customHeight="1" x14ac:dyDescent="0.2">
      <c r="A4482" s="5">
        <v>0</v>
      </c>
      <c r="B4482" s="6" t="s">
        <v>25915</v>
      </c>
      <c r="C4482" s="7">
        <v>1668</v>
      </c>
      <c r="D4482" s="8" t="s">
        <v>25916</v>
      </c>
      <c r="E4482" s="8" t="s">
        <v>25917</v>
      </c>
      <c r="F4482" s="8" t="s">
        <v>25918</v>
      </c>
      <c r="G4482" s="6" t="s">
        <v>118</v>
      </c>
      <c r="H4482" s="6" t="s">
        <v>34</v>
      </c>
      <c r="I4482" s="8" t="s">
        <v>1081</v>
      </c>
      <c r="J4482" s="9">
        <v>1</v>
      </c>
      <c r="K4482" s="9">
        <v>282</v>
      </c>
      <c r="L4482" s="9">
        <v>2023</v>
      </c>
      <c r="M4482" s="8" t="s">
        <v>25919</v>
      </c>
      <c r="N4482" s="8" t="s">
        <v>243</v>
      </c>
      <c r="O4482" s="8" t="s">
        <v>798</v>
      </c>
      <c r="P4482" s="6" t="s">
        <v>39</v>
      </c>
      <c r="Q4482" s="8" t="s">
        <v>40</v>
      </c>
      <c r="R4482" s="10" t="s">
        <v>25920</v>
      </c>
      <c r="S4482" s="11"/>
      <c r="T4482" s="6"/>
      <c r="U4482" s="15" t="str">
        <f>HYPERLINK("https://media.infra-m.ru/1908/1908345/cover/1908345.jpg", "Обложка")</f>
        <v>Обложка</v>
      </c>
      <c r="V4482" s="8" t="s">
        <v>1083</v>
      </c>
      <c r="W4482" s="6"/>
      <c r="X4482" s="6"/>
      <c r="Y4482" s="6"/>
      <c r="Z4482" s="6"/>
      <c r="AA4482" s="6" t="s">
        <v>86</v>
      </c>
      <c r="AB4482" s="8"/>
      <c r="AC4482" s="27">
        <v>9785160181073</v>
      </c>
    </row>
    <row r="4483" spans="1:29" s="4" customFormat="1" ht="42" customHeight="1" x14ac:dyDescent="0.2">
      <c r="A4483" s="5">
        <v>0</v>
      </c>
      <c r="B4483" s="6" t="s">
        <v>25921</v>
      </c>
      <c r="C4483" s="7">
        <v>2068.8000000000002</v>
      </c>
      <c r="D4483" s="8" t="s">
        <v>25922</v>
      </c>
      <c r="E4483" s="8" t="s">
        <v>25923</v>
      </c>
      <c r="F4483" s="8" t="s">
        <v>25924</v>
      </c>
      <c r="G4483" s="6" t="s">
        <v>33</v>
      </c>
      <c r="H4483" s="6" t="s">
        <v>34</v>
      </c>
      <c r="I4483" s="8" t="s">
        <v>35</v>
      </c>
      <c r="J4483" s="9">
        <v>1</v>
      </c>
      <c r="K4483" s="9">
        <v>313</v>
      </c>
      <c r="L4483" s="9">
        <v>2026</v>
      </c>
      <c r="M4483" s="8" t="s">
        <v>25925</v>
      </c>
      <c r="N4483" s="8" t="s">
        <v>243</v>
      </c>
      <c r="O4483" s="8" t="s">
        <v>385</v>
      </c>
      <c r="P4483" s="6" t="s">
        <v>39</v>
      </c>
      <c r="Q4483" s="8" t="s">
        <v>40</v>
      </c>
      <c r="R4483" s="10" t="s">
        <v>25926</v>
      </c>
      <c r="S4483" s="11"/>
      <c r="T4483" s="6"/>
      <c r="U4483" s="15" t="str">
        <f>HYPERLINK("https://media.infra-m.ru/2242/2242626/cover/2242626.jpg", "Обложка")</f>
        <v>Обложка</v>
      </c>
      <c r="V4483" s="8" t="s">
        <v>9494</v>
      </c>
      <c r="W4483" s="6"/>
      <c r="X4483" s="6"/>
      <c r="Y4483" s="6"/>
      <c r="Z4483" s="6"/>
      <c r="AA4483" s="6" t="s">
        <v>1256</v>
      </c>
      <c r="AB4483" s="8"/>
      <c r="AC4483" s="27">
        <v>9785160154657</v>
      </c>
    </row>
    <row r="4484" spans="1:29" s="4" customFormat="1" ht="51.9" customHeight="1" x14ac:dyDescent="0.2">
      <c r="A4484" s="5">
        <v>0</v>
      </c>
      <c r="B4484" s="6" t="s">
        <v>25927</v>
      </c>
      <c r="C4484" s="7">
        <v>2424</v>
      </c>
      <c r="D4484" s="8" t="s">
        <v>25928</v>
      </c>
      <c r="E4484" s="8" t="s">
        <v>25929</v>
      </c>
      <c r="F4484" s="8" t="s">
        <v>25930</v>
      </c>
      <c r="G4484" s="6" t="s">
        <v>118</v>
      </c>
      <c r="H4484" s="6" t="s">
        <v>34</v>
      </c>
      <c r="I4484" s="8" t="s">
        <v>271</v>
      </c>
      <c r="J4484" s="9">
        <v>1</v>
      </c>
      <c r="K4484" s="9">
        <v>448</v>
      </c>
      <c r="L4484" s="9">
        <v>2023</v>
      </c>
      <c r="M4484" s="8" t="s">
        <v>25931</v>
      </c>
      <c r="N4484" s="8" t="s">
        <v>93</v>
      </c>
      <c r="O4484" s="8" t="s">
        <v>94</v>
      </c>
      <c r="P4484" s="6" t="s">
        <v>306</v>
      </c>
      <c r="Q4484" s="8" t="s">
        <v>52</v>
      </c>
      <c r="R4484" s="10" t="s">
        <v>11871</v>
      </c>
      <c r="S4484" s="11" t="s">
        <v>2487</v>
      </c>
      <c r="T4484" s="6" t="s">
        <v>97</v>
      </c>
      <c r="U4484" s="15" t="str">
        <f>HYPERLINK("https://media.infra-m.ru/1920/1920329/cover/1920329.jpg", "Обложка")</f>
        <v>Обложка</v>
      </c>
      <c r="V4484" s="8" t="s">
        <v>54</v>
      </c>
      <c r="W4484" s="6"/>
      <c r="X4484" s="6"/>
      <c r="Y4484" s="6"/>
      <c r="Z4484" s="6"/>
      <c r="AA4484" s="6" t="s">
        <v>779</v>
      </c>
      <c r="AB4484" s="8"/>
      <c r="AC4484" s="27">
        <v>9785160118499</v>
      </c>
    </row>
    <row r="4485" spans="1:29" s="4" customFormat="1" ht="51.9" customHeight="1" x14ac:dyDescent="0.2">
      <c r="A4485" s="5">
        <v>0</v>
      </c>
      <c r="B4485" s="6" t="s">
        <v>25932</v>
      </c>
      <c r="C4485" s="7">
        <v>2832</v>
      </c>
      <c r="D4485" s="8" t="s">
        <v>25933</v>
      </c>
      <c r="E4485" s="8" t="s">
        <v>25929</v>
      </c>
      <c r="F4485" s="8" t="s">
        <v>25930</v>
      </c>
      <c r="G4485" s="6" t="s">
        <v>60</v>
      </c>
      <c r="H4485" s="6" t="s">
        <v>34</v>
      </c>
      <c r="I4485" s="8" t="s">
        <v>263</v>
      </c>
      <c r="J4485" s="9">
        <v>1</v>
      </c>
      <c r="K4485" s="9">
        <v>448</v>
      </c>
      <c r="L4485" s="9">
        <v>2026</v>
      </c>
      <c r="M4485" s="8" t="s">
        <v>25934</v>
      </c>
      <c r="N4485" s="8" t="s">
        <v>93</v>
      </c>
      <c r="O4485" s="8" t="s">
        <v>94</v>
      </c>
      <c r="P4485" s="6" t="s">
        <v>306</v>
      </c>
      <c r="Q4485" s="8" t="s">
        <v>265</v>
      </c>
      <c r="R4485" s="10" t="s">
        <v>25935</v>
      </c>
      <c r="S4485" s="11" t="s">
        <v>25936</v>
      </c>
      <c r="T4485" s="6" t="s">
        <v>97</v>
      </c>
      <c r="U4485" s="15" t="str">
        <f>HYPERLINK("https://media.infra-m.ru/2214/2214863/cover/2214863.jpg", "Обложка")</f>
        <v>Обложка</v>
      </c>
      <c r="V4485" s="8" t="s">
        <v>54</v>
      </c>
      <c r="W4485" s="6"/>
      <c r="X4485" s="6"/>
      <c r="Y4485" s="6"/>
      <c r="Z4485" s="6" t="s">
        <v>267</v>
      </c>
      <c r="AA4485" s="6" t="s">
        <v>86</v>
      </c>
      <c r="AB4485" s="8" t="s">
        <v>3581</v>
      </c>
      <c r="AC4485" s="27">
        <v>9785160139791</v>
      </c>
    </row>
    <row r="4486" spans="1:29" s="4" customFormat="1" ht="44.1" customHeight="1" x14ac:dyDescent="0.2">
      <c r="A4486" s="5">
        <v>0</v>
      </c>
      <c r="B4486" s="6" t="s">
        <v>25937</v>
      </c>
      <c r="C4486" s="7">
        <v>2212.8000000000002</v>
      </c>
      <c r="D4486" s="8" t="s">
        <v>25938</v>
      </c>
      <c r="E4486" s="8" t="s">
        <v>25939</v>
      </c>
      <c r="F4486" s="8" t="s">
        <v>25940</v>
      </c>
      <c r="G4486" s="6" t="s">
        <v>118</v>
      </c>
      <c r="H4486" s="6" t="s">
        <v>34</v>
      </c>
      <c r="I4486" s="8" t="s">
        <v>263</v>
      </c>
      <c r="J4486" s="9">
        <v>1</v>
      </c>
      <c r="K4486" s="9">
        <v>336</v>
      </c>
      <c r="L4486" s="9">
        <v>2026</v>
      </c>
      <c r="M4486" s="8" t="s">
        <v>25941</v>
      </c>
      <c r="N4486" s="8" t="s">
        <v>243</v>
      </c>
      <c r="O4486" s="8" t="s">
        <v>385</v>
      </c>
      <c r="P4486" s="6" t="s">
        <v>51</v>
      </c>
      <c r="Q4486" s="8" t="s">
        <v>265</v>
      </c>
      <c r="R4486" s="10" t="s">
        <v>25942</v>
      </c>
      <c r="S4486" s="11"/>
      <c r="T4486" s="6"/>
      <c r="U4486" s="15" t="str">
        <f>HYPERLINK("https://media.infra-m.ru/2234/2234333/cover/2234333.jpg", "Обложка")</f>
        <v>Обложка</v>
      </c>
      <c r="V4486" s="8" t="s">
        <v>25943</v>
      </c>
      <c r="W4486" s="6"/>
      <c r="X4486" s="6"/>
      <c r="Y4486" s="6"/>
      <c r="Z4486" s="6"/>
      <c r="AA4486" s="6" t="s">
        <v>76</v>
      </c>
      <c r="AB4486" s="8" t="s">
        <v>2697</v>
      </c>
      <c r="AC4486" s="27">
        <v>9785160182230</v>
      </c>
    </row>
    <row r="4487" spans="1:29" s="4" customFormat="1" ht="51.9" customHeight="1" x14ac:dyDescent="0.2">
      <c r="A4487" s="5">
        <v>0</v>
      </c>
      <c r="B4487" s="6" t="s">
        <v>25944</v>
      </c>
      <c r="C4487" s="7">
        <v>2644.8</v>
      </c>
      <c r="D4487" s="8" t="s">
        <v>25945</v>
      </c>
      <c r="E4487" s="8" t="s">
        <v>25946</v>
      </c>
      <c r="F4487" s="8" t="s">
        <v>25947</v>
      </c>
      <c r="G4487" s="6" t="s">
        <v>118</v>
      </c>
      <c r="H4487" s="6" t="s">
        <v>34</v>
      </c>
      <c r="I4487" s="8" t="s">
        <v>263</v>
      </c>
      <c r="J4487" s="9">
        <v>1</v>
      </c>
      <c r="K4487" s="9">
        <v>400</v>
      </c>
      <c r="L4487" s="9">
        <v>2026</v>
      </c>
      <c r="M4487" s="8" t="s">
        <v>25948</v>
      </c>
      <c r="N4487" s="8" t="s">
        <v>243</v>
      </c>
      <c r="O4487" s="8" t="s">
        <v>385</v>
      </c>
      <c r="P4487" s="6" t="s">
        <v>51</v>
      </c>
      <c r="Q4487" s="8" t="s">
        <v>265</v>
      </c>
      <c r="R4487" s="10" t="s">
        <v>25949</v>
      </c>
      <c r="S4487" s="11"/>
      <c r="T4487" s="6"/>
      <c r="U4487" s="15" t="str">
        <f>HYPERLINK("https://media.infra-m.ru/2226/2226472/cover/2226472.jpg", "Обложка")</f>
        <v>Обложка</v>
      </c>
      <c r="V4487" s="8" t="s">
        <v>25950</v>
      </c>
      <c r="W4487" s="6"/>
      <c r="X4487" s="6"/>
      <c r="Y4487" s="6"/>
      <c r="Z4487" s="6"/>
      <c r="AA4487" s="6" t="s">
        <v>274</v>
      </c>
      <c r="AB4487" s="8"/>
      <c r="AC4487" s="27">
        <v>9785160168609</v>
      </c>
    </row>
    <row r="4488" spans="1:29" s="4" customFormat="1" ht="42" customHeight="1" x14ac:dyDescent="0.2">
      <c r="A4488" s="5">
        <v>0</v>
      </c>
      <c r="B4488" s="6" t="s">
        <v>25951</v>
      </c>
      <c r="C4488" s="13">
        <v>780</v>
      </c>
      <c r="D4488" s="8" t="s">
        <v>25952</v>
      </c>
      <c r="E4488" s="8" t="s">
        <v>25953</v>
      </c>
      <c r="F4488" s="8" t="s">
        <v>25954</v>
      </c>
      <c r="G4488" s="6" t="s">
        <v>33</v>
      </c>
      <c r="H4488" s="6" t="s">
        <v>34</v>
      </c>
      <c r="I4488" s="8" t="s">
        <v>35</v>
      </c>
      <c r="J4488" s="9">
        <v>1</v>
      </c>
      <c r="K4488" s="9">
        <v>129</v>
      </c>
      <c r="L4488" s="9">
        <v>2025</v>
      </c>
      <c r="M4488" s="8" t="s">
        <v>25955</v>
      </c>
      <c r="N4488" s="8" t="s">
        <v>63</v>
      </c>
      <c r="O4488" s="8" t="s">
        <v>64</v>
      </c>
      <c r="P4488" s="6" t="s">
        <v>39</v>
      </c>
      <c r="Q4488" s="8" t="s">
        <v>40</v>
      </c>
      <c r="R4488" s="10" t="s">
        <v>25956</v>
      </c>
      <c r="S4488" s="11"/>
      <c r="T4488" s="6"/>
      <c r="U4488" s="15" t="str">
        <f>HYPERLINK("https://media.infra-m.ru/1870/1870761/cover/1870761.jpg", "Обложка")</f>
        <v>Обложка</v>
      </c>
      <c r="V4488" s="8" t="s">
        <v>25957</v>
      </c>
      <c r="W4488" s="6"/>
      <c r="X4488" s="6"/>
      <c r="Y4488" s="6"/>
      <c r="Z4488" s="6"/>
      <c r="AA4488" s="6" t="s">
        <v>86</v>
      </c>
      <c r="AB4488" s="8"/>
      <c r="AC4488" s="27">
        <v>9785160130880</v>
      </c>
    </row>
    <row r="4489" spans="1:29" s="4" customFormat="1" ht="51.9" customHeight="1" x14ac:dyDescent="0.2">
      <c r="A4489" s="5">
        <v>0</v>
      </c>
      <c r="B4489" s="6" t="s">
        <v>25958</v>
      </c>
      <c r="C4489" s="7">
        <v>1140</v>
      </c>
      <c r="D4489" s="8" t="s">
        <v>25959</v>
      </c>
      <c r="E4489" s="8" t="s">
        <v>25960</v>
      </c>
      <c r="F4489" s="8" t="s">
        <v>25961</v>
      </c>
      <c r="G4489" s="6" t="s">
        <v>33</v>
      </c>
      <c r="H4489" s="6" t="s">
        <v>820</v>
      </c>
      <c r="I4489" s="8" t="s">
        <v>253</v>
      </c>
      <c r="J4489" s="9">
        <v>1</v>
      </c>
      <c r="K4489" s="9">
        <v>110</v>
      </c>
      <c r="L4489" s="9">
        <v>2026</v>
      </c>
      <c r="M4489" s="8" t="s">
        <v>25962</v>
      </c>
      <c r="N4489" s="8" t="s">
        <v>243</v>
      </c>
      <c r="O4489" s="8" t="s">
        <v>1100</v>
      </c>
      <c r="P4489" s="6" t="s">
        <v>306</v>
      </c>
      <c r="Q4489" s="8" t="s">
        <v>65</v>
      </c>
      <c r="R4489" s="10" t="s">
        <v>25963</v>
      </c>
      <c r="S4489" s="11" t="s">
        <v>25964</v>
      </c>
      <c r="T4489" s="6"/>
      <c r="U4489" s="15" t="str">
        <f>HYPERLINK("https://media.infra-m.ru/2226/2226413/cover/2226413.jpg", "Обложка")</f>
        <v>Обложка</v>
      </c>
      <c r="V4489" s="8" t="s">
        <v>1915</v>
      </c>
      <c r="W4489" s="6"/>
      <c r="X4489" s="6"/>
      <c r="Y4489" s="6"/>
      <c r="Z4489" s="6"/>
      <c r="AA4489" s="6" t="s">
        <v>274</v>
      </c>
      <c r="AB4489" s="8"/>
      <c r="AC4489" s="27">
        <v>9785905554933</v>
      </c>
    </row>
    <row r="4490" spans="1:29" s="4" customFormat="1" ht="44.1" customHeight="1" x14ac:dyDescent="0.2">
      <c r="A4490" s="5">
        <v>0</v>
      </c>
      <c r="B4490" s="6" t="s">
        <v>25965</v>
      </c>
      <c r="C4490" s="7">
        <v>1492.8</v>
      </c>
      <c r="D4490" s="8" t="s">
        <v>25966</v>
      </c>
      <c r="E4490" s="8" t="s">
        <v>25967</v>
      </c>
      <c r="F4490" s="8" t="s">
        <v>25968</v>
      </c>
      <c r="G4490" s="6" t="s">
        <v>33</v>
      </c>
      <c r="H4490" s="6" t="s">
        <v>34</v>
      </c>
      <c r="I4490" s="8" t="s">
        <v>35</v>
      </c>
      <c r="J4490" s="9">
        <v>1</v>
      </c>
      <c r="K4490" s="9">
        <v>227</v>
      </c>
      <c r="L4490" s="9">
        <v>2026</v>
      </c>
      <c r="M4490" s="8" t="s">
        <v>25969</v>
      </c>
      <c r="N4490" s="8" t="s">
        <v>37</v>
      </c>
      <c r="O4490" s="8" t="s">
        <v>499</v>
      </c>
      <c r="P4490" s="6" t="s">
        <v>39</v>
      </c>
      <c r="Q4490" s="8" t="s">
        <v>40</v>
      </c>
      <c r="R4490" s="10" t="s">
        <v>25970</v>
      </c>
      <c r="S4490" s="11"/>
      <c r="T4490" s="6" t="s">
        <v>97</v>
      </c>
      <c r="U4490" s="15" t="str">
        <f>HYPERLINK("https://media.infra-m.ru/2217/2217383/cover/2217383.jpg", "Обложка")</f>
        <v>Обложка</v>
      </c>
      <c r="V4490" s="8" t="s">
        <v>3686</v>
      </c>
      <c r="W4490" s="6"/>
      <c r="X4490" s="6"/>
      <c r="Y4490" s="6"/>
      <c r="Z4490" s="6"/>
      <c r="AA4490" s="6" t="s">
        <v>1256</v>
      </c>
      <c r="AB4490" s="8"/>
      <c r="AC4490" s="27">
        <v>9785160160696</v>
      </c>
    </row>
    <row r="4491" spans="1:29" s="4" customFormat="1" ht="51.9" customHeight="1" x14ac:dyDescent="0.2">
      <c r="A4491" s="5">
        <v>0</v>
      </c>
      <c r="B4491" s="6" t="s">
        <v>25971</v>
      </c>
      <c r="C4491" s="7">
        <v>1944</v>
      </c>
      <c r="D4491" s="8" t="s">
        <v>25972</v>
      </c>
      <c r="E4491" s="8" t="s">
        <v>25973</v>
      </c>
      <c r="F4491" s="8" t="s">
        <v>3261</v>
      </c>
      <c r="G4491" s="6" t="s">
        <v>60</v>
      </c>
      <c r="H4491" s="6" t="s">
        <v>34</v>
      </c>
      <c r="I4491" s="8" t="s">
        <v>35</v>
      </c>
      <c r="J4491" s="9">
        <v>1</v>
      </c>
      <c r="K4491" s="9">
        <v>349</v>
      </c>
      <c r="L4491" s="9">
        <v>2024</v>
      </c>
      <c r="M4491" s="8" t="s">
        <v>25974</v>
      </c>
      <c r="N4491" s="8" t="s">
        <v>37</v>
      </c>
      <c r="O4491" s="8" t="s">
        <v>83</v>
      </c>
      <c r="P4491" s="6" t="s">
        <v>39</v>
      </c>
      <c r="Q4491" s="8" t="s">
        <v>40</v>
      </c>
      <c r="R4491" s="10" t="s">
        <v>25975</v>
      </c>
      <c r="S4491" s="11"/>
      <c r="T4491" s="6"/>
      <c r="U4491" s="15" t="str">
        <f>HYPERLINK("https://media.infra-m.ru/2076/2076787/cover/2076787.jpg", "Обложка")</f>
        <v>Обложка</v>
      </c>
      <c r="V4491" s="8" t="s">
        <v>3264</v>
      </c>
      <c r="W4491" s="6"/>
      <c r="X4491" s="6"/>
      <c r="Y4491" s="6"/>
      <c r="Z4491" s="6"/>
      <c r="AA4491" s="6" t="s">
        <v>76</v>
      </c>
      <c r="AB4491" s="8"/>
      <c r="AC4491" s="27">
        <v>9785160189017</v>
      </c>
    </row>
    <row r="4492" spans="1:29" s="4" customFormat="1" ht="42" customHeight="1" x14ac:dyDescent="0.2">
      <c r="A4492" s="5">
        <v>0</v>
      </c>
      <c r="B4492" s="6" t="s">
        <v>25976</v>
      </c>
      <c r="C4492" s="7">
        <v>1552.8</v>
      </c>
      <c r="D4492" s="8" t="s">
        <v>25977</v>
      </c>
      <c r="E4492" s="8" t="s">
        <v>25978</v>
      </c>
      <c r="F4492" s="8" t="s">
        <v>25979</v>
      </c>
      <c r="G4492" s="6" t="s">
        <v>33</v>
      </c>
      <c r="H4492" s="6" t="s">
        <v>34</v>
      </c>
      <c r="I4492" s="8" t="s">
        <v>35</v>
      </c>
      <c r="J4492" s="9">
        <v>1</v>
      </c>
      <c r="K4492" s="9">
        <v>274</v>
      </c>
      <c r="L4492" s="9">
        <v>2024</v>
      </c>
      <c r="M4492" s="8" t="s">
        <v>25980</v>
      </c>
      <c r="N4492" s="8" t="s">
        <v>63</v>
      </c>
      <c r="O4492" s="8" t="s">
        <v>64</v>
      </c>
      <c r="P4492" s="6" t="s">
        <v>39</v>
      </c>
      <c r="Q4492" s="8" t="s">
        <v>40</v>
      </c>
      <c r="R4492" s="10" t="s">
        <v>25981</v>
      </c>
      <c r="S4492" s="11"/>
      <c r="T4492" s="6"/>
      <c r="U4492" s="15" t="str">
        <f>HYPERLINK("https://media.infra-m.ru/2156/2156223/cover/2156223.jpg", "Обложка")</f>
        <v>Обложка</v>
      </c>
      <c r="V4492" s="8" t="s">
        <v>1675</v>
      </c>
      <c r="W4492" s="6"/>
      <c r="X4492" s="6"/>
      <c r="Y4492" s="6"/>
      <c r="Z4492" s="6"/>
      <c r="AA4492" s="6" t="s">
        <v>148</v>
      </c>
      <c r="AB4492" s="8" t="s">
        <v>1743</v>
      </c>
      <c r="AC4492" s="27">
        <v>9785160177113</v>
      </c>
    </row>
    <row r="4493" spans="1:29" s="4" customFormat="1" ht="42" customHeight="1" x14ac:dyDescent="0.2">
      <c r="A4493" s="5">
        <v>0</v>
      </c>
      <c r="B4493" s="6" t="s">
        <v>25982</v>
      </c>
      <c r="C4493" s="7">
        <v>2224.8000000000002</v>
      </c>
      <c r="D4493" s="8" t="s">
        <v>25983</v>
      </c>
      <c r="E4493" s="8" t="s">
        <v>25984</v>
      </c>
      <c r="F4493" s="8" t="s">
        <v>25985</v>
      </c>
      <c r="G4493" s="6" t="s">
        <v>60</v>
      </c>
      <c r="H4493" s="6" t="s">
        <v>134</v>
      </c>
      <c r="I4493" s="8"/>
      <c r="J4493" s="9">
        <v>1</v>
      </c>
      <c r="K4493" s="9">
        <v>320</v>
      </c>
      <c r="L4493" s="9">
        <v>2026</v>
      </c>
      <c r="M4493" s="8" t="s">
        <v>25986</v>
      </c>
      <c r="N4493" s="8" t="s">
        <v>37</v>
      </c>
      <c r="O4493" s="8" t="s">
        <v>136</v>
      </c>
      <c r="P4493" s="6" t="s">
        <v>39</v>
      </c>
      <c r="Q4493" s="8" t="s">
        <v>40</v>
      </c>
      <c r="R4493" s="10" t="s">
        <v>1625</v>
      </c>
      <c r="S4493" s="11"/>
      <c r="T4493" s="6"/>
      <c r="U4493" s="15" t="str">
        <f>HYPERLINK("https://media.infra-m.ru/2247/2247014/cover/2247014.jpg", "Обложка")</f>
        <v>Обложка</v>
      </c>
      <c r="V4493" s="8" t="s">
        <v>677</v>
      </c>
      <c r="W4493" s="6"/>
      <c r="X4493" s="6"/>
      <c r="Y4493" s="6"/>
      <c r="Z4493" s="6"/>
      <c r="AA4493" s="6" t="s">
        <v>55</v>
      </c>
      <c r="AB4493" s="8"/>
      <c r="AC4493" s="27">
        <v>9785917683317</v>
      </c>
    </row>
    <row r="4494" spans="1:29" s="4" customFormat="1" ht="42" customHeight="1" x14ac:dyDescent="0.2">
      <c r="A4494" s="5">
        <v>0</v>
      </c>
      <c r="B4494" s="6" t="s">
        <v>25987</v>
      </c>
      <c r="C4494" s="13">
        <v>912</v>
      </c>
      <c r="D4494" s="8" t="s">
        <v>25988</v>
      </c>
      <c r="E4494" s="8" t="s">
        <v>25989</v>
      </c>
      <c r="F4494" s="8" t="s">
        <v>25990</v>
      </c>
      <c r="G4494" s="6" t="s">
        <v>33</v>
      </c>
      <c r="H4494" s="6" t="s">
        <v>34</v>
      </c>
      <c r="I4494" s="8" t="s">
        <v>35</v>
      </c>
      <c r="J4494" s="9">
        <v>1</v>
      </c>
      <c r="K4494" s="9">
        <v>141</v>
      </c>
      <c r="L4494" s="9">
        <v>2024</v>
      </c>
      <c r="M4494" s="8" t="s">
        <v>25991</v>
      </c>
      <c r="N4494" s="8" t="s">
        <v>63</v>
      </c>
      <c r="O4494" s="8" t="s">
        <v>126</v>
      </c>
      <c r="P4494" s="6" t="s">
        <v>39</v>
      </c>
      <c r="Q4494" s="8" t="s">
        <v>40</v>
      </c>
      <c r="R4494" s="10" t="s">
        <v>5818</v>
      </c>
      <c r="S4494" s="11"/>
      <c r="T4494" s="6"/>
      <c r="U4494" s="15" t="str">
        <f>HYPERLINK("https://media.infra-m.ru/2116/2116160/cover/2116160.jpg", "Обложка")</f>
        <v>Обложка</v>
      </c>
      <c r="V4494" s="8" t="s">
        <v>1675</v>
      </c>
      <c r="W4494" s="6"/>
      <c r="X4494" s="6"/>
      <c r="Y4494" s="6"/>
      <c r="Z4494" s="6"/>
      <c r="AA4494" s="6" t="s">
        <v>76</v>
      </c>
      <c r="AB4494" s="8"/>
      <c r="AC4494" s="27">
        <v>9785160194028</v>
      </c>
    </row>
    <row r="4495" spans="1:29" s="4" customFormat="1" ht="51.9" customHeight="1" x14ac:dyDescent="0.2">
      <c r="A4495" s="5">
        <v>0</v>
      </c>
      <c r="B4495" s="6" t="s">
        <v>25992</v>
      </c>
      <c r="C4495" s="13">
        <v>545.9</v>
      </c>
      <c r="D4495" s="8" t="s">
        <v>25993</v>
      </c>
      <c r="E4495" s="8" t="s">
        <v>25994</v>
      </c>
      <c r="F4495" s="8" t="s">
        <v>25995</v>
      </c>
      <c r="G4495" s="6" t="s">
        <v>33</v>
      </c>
      <c r="H4495" s="6" t="s">
        <v>134</v>
      </c>
      <c r="I4495" s="8"/>
      <c r="J4495" s="9">
        <v>1</v>
      </c>
      <c r="K4495" s="9">
        <v>176</v>
      </c>
      <c r="L4495" s="9">
        <v>2018</v>
      </c>
      <c r="M4495" s="8" t="s">
        <v>25996</v>
      </c>
      <c r="N4495" s="8" t="s">
        <v>37</v>
      </c>
      <c r="O4495" s="8" t="s">
        <v>136</v>
      </c>
      <c r="P4495" s="6" t="s">
        <v>39</v>
      </c>
      <c r="Q4495" s="8" t="s">
        <v>40</v>
      </c>
      <c r="R4495" s="10" t="s">
        <v>25997</v>
      </c>
      <c r="S4495" s="11"/>
      <c r="T4495" s="6"/>
      <c r="U4495" s="15" t="str">
        <f>HYPERLINK("https://media.infra-m.ru/0937/0937951/cover/937951.jpg", "Обложка")</f>
        <v>Обложка</v>
      </c>
      <c r="V4495" s="8" t="s">
        <v>1069</v>
      </c>
      <c r="W4495" s="6"/>
      <c r="X4495" s="6"/>
      <c r="Y4495" s="6"/>
      <c r="Z4495" s="6"/>
      <c r="AA4495" s="6" t="s">
        <v>274</v>
      </c>
      <c r="AB4495" s="8"/>
      <c r="AC4495" s="27">
        <v>9785917685540</v>
      </c>
    </row>
    <row r="4496" spans="1:29" s="4" customFormat="1" ht="51.9" customHeight="1" x14ac:dyDescent="0.2">
      <c r="A4496" s="5">
        <v>0</v>
      </c>
      <c r="B4496" s="6" t="s">
        <v>25998</v>
      </c>
      <c r="C4496" s="7">
        <v>1092</v>
      </c>
      <c r="D4496" s="8" t="s">
        <v>25999</v>
      </c>
      <c r="E4496" s="8" t="s">
        <v>26000</v>
      </c>
      <c r="F4496" s="8" t="s">
        <v>26001</v>
      </c>
      <c r="G4496" s="6" t="s">
        <v>118</v>
      </c>
      <c r="H4496" s="6" t="s">
        <v>134</v>
      </c>
      <c r="I4496" s="8"/>
      <c r="J4496" s="9">
        <v>1</v>
      </c>
      <c r="K4496" s="9">
        <v>176</v>
      </c>
      <c r="L4496" s="9">
        <v>2025</v>
      </c>
      <c r="M4496" s="8" t="s">
        <v>25996</v>
      </c>
      <c r="N4496" s="8" t="s">
        <v>37</v>
      </c>
      <c r="O4496" s="8" t="s">
        <v>136</v>
      </c>
      <c r="P4496" s="6" t="s">
        <v>39</v>
      </c>
      <c r="Q4496" s="8" t="s">
        <v>40</v>
      </c>
      <c r="R4496" s="10" t="s">
        <v>25997</v>
      </c>
      <c r="S4496" s="11"/>
      <c r="T4496" s="6"/>
      <c r="U4496" s="15" t="str">
        <f>HYPERLINK("https://media.infra-m.ru/2170/2170039/cover/2170039.jpg", "Обложка")</f>
        <v>Обложка</v>
      </c>
      <c r="V4496" s="8" t="s">
        <v>1069</v>
      </c>
      <c r="W4496" s="6"/>
      <c r="X4496" s="6"/>
      <c r="Y4496" s="6"/>
      <c r="Z4496" s="6"/>
      <c r="AA4496" s="6" t="s">
        <v>274</v>
      </c>
      <c r="AB4496" s="8"/>
      <c r="AC4496" s="27">
        <v>9785917685540</v>
      </c>
    </row>
    <row r="4497" spans="1:29" s="4" customFormat="1" ht="44.1" customHeight="1" x14ac:dyDescent="0.2">
      <c r="A4497" s="5">
        <v>0</v>
      </c>
      <c r="B4497" s="6" t="s">
        <v>26002</v>
      </c>
      <c r="C4497" s="13">
        <v>928.8</v>
      </c>
      <c r="D4497" s="8" t="s">
        <v>26003</v>
      </c>
      <c r="E4497" s="8" t="s">
        <v>26004</v>
      </c>
      <c r="F4497" s="8" t="s">
        <v>26005</v>
      </c>
      <c r="G4497" s="6" t="s">
        <v>60</v>
      </c>
      <c r="H4497" s="6" t="s">
        <v>313</v>
      </c>
      <c r="I4497" s="8" t="s">
        <v>271</v>
      </c>
      <c r="J4497" s="9">
        <v>1</v>
      </c>
      <c r="K4497" s="9">
        <v>172</v>
      </c>
      <c r="L4497" s="9">
        <v>2023</v>
      </c>
      <c r="M4497" s="8" t="s">
        <v>26006</v>
      </c>
      <c r="N4497" s="8" t="s">
        <v>243</v>
      </c>
      <c r="O4497" s="8" t="s">
        <v>798</v>
      </c>
      <c r="P4497" s="6" t="s">
        <v>51</v>
      </c>
      <c r="Q4497" s="8" t="s">
        <v>52</v>
      </c>
      <c r="R4497" s="10" t="s">
        <v>21871</v>
      </c>
      <c r="S4497" s="11"/>
      <c r="T4497" s="6"/>
      <c r="U4497" s="15" t="str">
        <f>HYPERLINK("https://media.infra-m.ru/1998/1998738/cover/1998738.jpg", "Обложка")</f>
        <v>Обложка</v>
      </c>
      <c r="V4497" s="8" t="s">
        <v>851</v>
      </c>
      <c r="W4497" s="6"/>
      <c r="X4497" s="6"/>
      <c r="Y4497" s="6"/>
      <c r="Z4497" s="6"/>
      <c r="AA4497" s="6" t="s">
        <v>859</v>
      </c>
      <c r="AB4497" s="8"/>
      <c r="AC4497" s="27">
        <v>9785369011102</v>
      </c>
    </row>
    <row r="4498" spans="1:29" s="4" customFormat="1" ht="51.9" customHeight="1" x14ac:dyDescent="0.2">
      <c r="A4498" s="5">
        <v>0</v>
      </c>
      <c r="B4498" s="6" t="s">
        <v>26007</v>
      </c>
      <c r="C4498" s="7">
        <v>1296</v>
      </c>
      <c r="D4498" s="8" t="s">
        <v>26008</v>
      </c>
      <c r="E4498" s="8" t="s">
        <v>26009</v>
      </c>
      <c r="F4498" s="8" t="s">
        <v>25330</v>
      </c>
      <c r="G4498" s="6" t="s">
        <v>118</v>
      </c>
      <c r="H4498" s="6" t="s">
        <v>34</v>
      </c>
      <c r="I4498" s="8" t="s">
        <v>253</v>
      </c>
      <c r="J4498" s="9">
        <v>1</v>
      </c>
      <c r="K4498" s="9">
        <v>233</v>
      </c>
      <c r="L4498" s="9">
        <v>2024</v>
      </c>
      <c r="M4498" s="8" t="s">
        <v>26010</v>
      </c>
      <c r="N4498" s="8" t="s">
        <v>37</v>
      </c>
      <c r="O4498" s="8" t="s">
        <v>290</v>
      </c>
      <c r="P4498" s="6" t="s">
        <v>306</v>
      </c>
      <c r="Q4498" s="8" t="s">
        <v>65</v>
      </c>
      <c r="R4498" s="10" t="s">
        <v>26011</v>
      </c>
      <c r="S4498" s="11" t="s">
        <v>26012</v>
      </c>
      <c r="T4498" s="6"/>
      <c r="U4498" s="15" t="str">
        <f>HYPERLINK("https://media.infra-m.ru/2043/2043315/cover/2043315.jpg", "Обложка")</f>
        <v>Обложка</v>
      </c>
      <c r="V4498" s="8" t="s">
        <v>3087</v>
      </c>
      <c r="W4498" s="6"/>
      <c r="X4498" s="6"/>
      <c r="Y4498" s="6"/>
      <c r="Z4498" s="6"/>
      <c r="AA4498" s="6" t="s">
        <v>99</v>
      </c>
      <c r="AB4498" s="8"/>
      <c r="AC4498" s="27">
        <v>9785160189581</v>
      </c>
    </row>
    <row r="4499" spans="1:29" s="4" customFormat="1" ht="51.9" customHeight="1" x14ac:dyDescent="0.2">
      <c r="A4499" s="5">
        <v>0</v>
      </c>
      <c r="B4499" s="6" t="s">
        <v>26013</v>
      </c>
      <c r="C4499" s="7">
        <v>1404</v>
      </c>
      <c r="D4499" s="8" t="s">
        <v>26014</v>
      </c>
      <c r="E4499" s="8" t="s">
        <v>26015</v>
      </c>
      <c r="F4499" s="8" t="s">
        <v>26016</v>
      </c>
      <c r="G4499" s="6" t="s">
        <v>118</v>
      </c>
      <c r="H4499" s="6" t="s">
        <v>313</v>
      </c>
      <c r="I4499" s="8" t="s">
        <v>504</v>
      </c>
      <c r="J4499" s="9">
        <v>1</v>
      </c>
      <c r="K4499" s="9">
        <v>257</v>
      </c>
      <c r="L4499" s="9">
        <v>2023</v>
      </c>
      <c r="M4499" s="8" t="s">
        <v>26017</v>
      </c>
      <c r="N4499" s="8" t="s">
        <v>37</v>
      </c>
      <c r="O4499" s="8" t="s">
        <v>233</v>
      </c>
      <c r="P4499" s="6" t="s">
        <v>51</v>
      </c>
      <c r="Q4499" s="8" t="s">
        <v>500</v>
      </c>
      <c r="R4499" s="10" t="s">
        <v>26018</v>
      </c>
      <c r="S4499" s="11"/>
      <c r="T4499" s="6" t="s">
        <v>97</v>
      </c>
      <c r="U4499" s="15" t="str">
        <f>HYPERLINK("https://media.infra-m.ru/1895/1895686/cover/1895686.jpg", "Обложка")</f>
        <v>Обложка</v>
      </c>
      <c r="V4499" s="8" t="s">
        <v>911</v>
      </c>
      <c r="W4499" s="6"/>
      <c r="X4499" s="6"/>
      <c r="Y4499" s="6"/>
      <c r="Z4499" s="6"/>
      <c r="AA4499" s="6" t="s">
        <v>99</v>
      </c>
      <c r="AB4499" s="8"/>
      <c r="AC4499" s="27">
        <v>9785369016169</v>
      </c>
    </row>
    <row r="4500" spans="1:29" s="4" customFormat="1" ht="51.9" customHeight="1" x14ac:dyDescent="0.2">
      <c r="A4500" s="5">
        <v>0</v>
      </c>
      <c r="B4500" s="6" t="s">
        <v>26019</v>
      </c>
      <c r="C4500" s="7">
        <v>1072.8</v>
      </c>
      <c r="D4500" s="8" t="s">
        <v>26020</v>
      </c>
      <c r="E4500" s="8" t="s">
        <v>26021</v>
      </c>
      <c r="F4500" s="8" t="s">
        <v>1687</v>
      </c>
      <c r="G4500" s="6" t="s">
        <v>60</v>
      </c>
      <c r="H4500" s="6" t="s">
        <v>134</v>
      </c>
      <c r="I4500" s="8"/>
      <c r="J4500" s="9">
        <v>1</v>
      </c>
      <c r="K4500" s="9">
        <v>144</v>
      </c>
      <c r="L4500" s="9">
        <v>2026</v>
      </c>
      <c r="M4500" s="8" t="s">
        <v>26022</v>
      </c>
      <c r="N4500" s="8" t="s">
        <v>37</v>
      </c>
      <c r="O4500" s="8" t="s">
        <v>136</v>
      </c>
      <c r="P4500" s="6" t="s">
        <v>39</v>
      </c>
      <c r="Q4500" s="8" t="s">
        <v>40</v>
      </c>
      <c r="R4500" s="10" t="s">
        <v>26023</v>
      </c>
      <c r="S4500" s="11"/>
      <c r="T4500" s="6"/>
      <c r="U4500" s="15" t="str">
        <f>HYPERLINK("https://media.infra-m.ru/2227/2227442/cover/2227442.jpg", "Обложка")</f>
        <v>Обложка</v>
      </c>
      <c r="V4500" s="8"/>
      <c r="W4500" s="6"/>
      <c r="X4500" s="6"/>
      <c r="Y4500" s="6"/>
      <c r="Z4500" s="6"/>
      <c r="AA4500" s="6" t="s">
        <v>76</v>
      </c>
      <c r="AB4500" s="8"/>
      <c r="AC4500" s="27">
        <v>9785001563815</v>
      </c>
    </row>
    <row r="4501" spans="1:29" s="4" customFormat="1" ht="51.9" customHeight="1" x14ac:dyDescent="0.2">
      <c r="A4501" s="5">
        <v>0</v>
      </c>
      <c r="B4501" s="6" t="s">
        <v>26024</v>
      </c>
      <c r="C4501" s="7">
        <v>1272</v>
      </c>
      <c r="D4501" s="8" t="s">
        <v>26025</v>
      </c>
      <c r="E4501" s="8" t="s">
        <v>26026</v>
      </c>
      <c r="F4501" s="8" t="s">
        <v>26027</v>
      </c>
      <c r="G4501" s="6" t="s">
        <v>118</v>
      </c>
      <c r="H4501" s="6" t="s">
        <v>134</v>
      </c>
      <c r="I4501" s="8"/>
      <c r="J4501" s="9">
        <v>1</v>
      </c>
      <c r="K4501" s="9">
        <v>180</v>
      </c>
      <c r="L4501" s="9">
        <v>2026</v>
      </c>
      <c r="M4501" s="8" t="s">
        <v>26028</v>
      </c>
      <c r="N4501" s="8" t="s">
        <v>37</v>
      </c>
      <c r="O4501" s="8" t="s">
        <v>136</v>
      </c>
      <c r="P4501" s="6" t="s">
        <v>51</v>
      </c>
      <c r="Q4501" s="8" t="s">
        <v>65</v>
      </c>
      <c r="R4501" s="10" t="s">
        <v>1275</v>
      </c>
      <c r="S4501" s="11"/>
      <c r="T4501" s="6"/>
      <c r="U4501" s="15" t="str">
        <f>HYPERLINK("https://media.infra-m.ru/2215/2215750/cover/2215750.jpg", "Обложка")</f>
        <v>Обложка</v>
      </c>
      <c r="V4501" s="8" t="s">
        <v>3615</v>
      </c>
      <c r="W4501" s="6"/>
      <c r="X4501" s="6"/>
      <c r="Y4501" s="6"/>
      <c r="Z4501" s="6"/>
      <c r="AA4501" s="6" t="s">
        <v>76</v>
      </c>
      <c r="AB4501" s="8"/>
      <c r="AC4501" s="27">
        <v>9785001563518</v>
      </c>
    </row>
    <row r="4502" spans="1:29" s="4" customFormat="1" ht="42" customHeight="1" x14ac:dyDescent="0.2">
      <c r="A4502" s="5">
        <v>0</v>
      </c>
      <c r="B4502" s="6" t="s">
        <v>26029</v>
      </c>
      <c r="C4502" s="7">
        <v>2376</v>
      </c>
      <c r="D4502" s="8" t="s">
        <v>26030</v>
      </c>
      <c r="E4502" s="8" t="s">
        <v>26031</v>
      </c>
      <c r="F4502" s="8" t="s">
        <v>26032</v>
      </c>
      <c r="G4502" s="6" t="s">
        <v>33</v>
      </c>
      <c r="H4502" s="6" t="s">
        <v>313</v>
      </c>
      <c r="I4502" s="8" t="s">
        <v>35</v>
      </c>
      <c r="J4502" s="9">
        <v>1</v>
      </c>
      <c r="K4502" s="9">
        <v>395</v>
      </c>
      <c r="L4502" s="9">
        <v>2025</v>
      </c>
      <c r="M4502" s="8" t="s">
        <v>26033</v>
      </c>
      <c r="N4502" s="8" t="s">
        <v>37</v>
      </c>
      <c r="O4502" s="8" t="s">
        <v>136</v>
      </c>
      <c r="P4502" s="6" t="s">
        <v>39</v>
      </c>
      <c r="Q4502" s="8" t="s">
        <v>40</v>
      </c>
      <c r="R4502" s="10" t="s">
        <v>1625</v>
      </c>
      <c r="S4502" s="11"/>
      <c r="T4502" s="6"/>
      <c r="U4502" s="15" t="str">
        <f>HYPERLINK("https://media.infra-m.ru/1843/1843643/cover/1843643.jpg", "Обложка")</f>
        <v>Обложка</v>
      </c>
      <c r="V4502" s="8" t="s">
        <v>13253</v>
      </c>
      <c r="W4502" s="6"/>
      <c r="X4502" s="6"/>
      <c r="Y4502" s="6"/>
      <c r="Z4502" s="6"/>
      <c r="AA4502" s="6" t="s">
        <v>1295</v>
      </c>
      <c r="AB4502" s="8"/>
      <c r="AC4502" s="27">
        <v>9785369019795</v>
      </c>
    </row>
    <row r="4503" spans="1:29" s="4" customFormat="1" ht="42" customHeight="1" x14ac:dyDescent="0.2">
      <c r="A4503" s="5">
        <v>0</v>
      </c>
      <c r="B4503" s="6" t="s">
        <v>26034</v>
      </c>
      <c r="C4503" s="7">
        <v>2032.8</v>
      </c>
      <c r="D4503" s="8" t="s">
        <v>26035</v>
      </c>
      <c r="E4503" s="8" t="s">
        <v>26036</v>
      </c>
      <c r="F4503" s="8" t="s">
        <v>26037</v>
      </c>
      <c r="G4503" s="6" t="s">
        <v>21</v>
      </c>
      <c r="H4503" s="6" t="s">
        <v>313</v>
      </c>
      <c r="I4503" s="8" t="s">
        <v>35</v>
      </c>
      <c r="J4503" s="9">
        <v>1</v>
      </c>
      <c r="K4503" s="9">
        <v>342</v>
      </c>
      <c r="L4503" s="9">
        <v>2020</v>
      </c>
      <c r="M4503" s="8" t="s">
        <v>26038</v>
      </c>
      <c r="N4503" s="8" t="s">
        <v>37</v>
      </c>
      <c r="O4503" s="8" t="s">
        <v>136</v>
      </c>
      <c r="P4503" s="6" t="s">
        <v>39</v>
      </c>
      <c r="Q4503" s="8" t="s">
        <v>40</v>
      </c>
      <c r="R4503" s="10" t="s">
        <v>1625</v>
      </c>
      <c r="S4503" s="11"/>
      <c r="T4503" s="6"/>
      <c r="U4503" s="15" t="str">
        <f>HYPERLINK("https://media.infra-m.ru/2185/2185420/cover/2185420.jpg", "Обложка")</f>
        <v>Обложка</v>
      </c>
      <c r="V4503" s="8" t="s">
        <v>13253</v>
      </c>
      <c r="W4503" s="6"/>
      <c r="X4503" s="6"/>
      <c r="Y4503" s="6"/>
      <c r="Z4503" s="6"/>
      <c r="AA4503" s="6" t="s">
        <v>769</v>
      </c>
      <c r="AB4503" s="8"/>
      <c r="AC4503" s="27">
        <v>9785369010624</v>
      </c>
    </row>
    <row r="4504" spans="1:29" s="4" customFormat="1" ht="51.9" customHeight="1" x14ac:dyDescent="0.2">
      <c r="A4504" s="5">
        <v>0</v>
      </c>
      <c r="B4504" s="6" t="s">
        <v>26039</v>
      </c>
      <c r="C4504" s="7">
        <v>2740.8</v>
      </c>
      <c r="D4504" s="8" t="s">
        <v>26040</v>
      </c>
      <c r="E4504" s="8" t="s">
        <v>26041</v>
      </c>
      <c r="F4504" s="8" t="s">
        <v>26042</v>
      </c>
      <c r="G4504" s="6" t="s">
        <v>118</v>
      </c>
      <c r="H4504" s="6" t="s">
        <v>34</v>
      </c>
      <c r="I4504" s="8"/>
      <c r="J4504" s="9">
        <v>1</v>
      </c>
      <c r="K4504" s="9">
        <v>415</v>
      </c>
      <c r="L4504" s="9">
        <v>2026</v>
      </c>
      <c r="M4504" s="8" t="s">
        <v>26043</v>
      </c>
      <c r="N4504" s="8" t="s">
        <v>37</v>
      </c>
      <c r="O4504" s="8" t="s">
        <v>136</v>
      </c>
      <c r="P4504" s="6" t="s">
        <v>39</v>
      </c>
      <c r="Q4504" s="8" t="s">
        <v>40</v>
      </c>
      <c r="R4504" s="10" t="s">
        <v>484</v>
      </c>
      <c r="S4504" s="11"/>
      <c r="T4504" s="6"/>
      <c r="U4504" s="15" t="str">
        <f>HYPERLINK("https://media.infra-m.ru/2230/2230303/cover/2230303.jpg", "Обложка")</f>
        <v>Обложка</v>
      </c>
      <c r="V4504" s="8" t="s">
        <v>1231</v>
      </c>
      <c r="W4504" s="6"/>
      <c r="X4504" s="6"/>
      <c r="Y4504" s="6"/>
      <c r="Z4504" s="6"/>
      <c r="AA4504" s="6" t="s">
        <v>623</v>
      </c>
      <c r="AB4504" s="8"/>
      <c r="AC4504" s="27">
        <v>9785160121871</v>
      </c>
    </row>
    <row r="4505" spans="1:29" s="4" customFormat="1" ht="51.9" customHeight="1" x14ac:dyDescent="0.2">
      <c r="A4505" s="5">
        <v>0</v>
      </c>
      <c r="B4505" s="6" t="s">
        <v>26044</v>
      </c>
      <c r="C4505" s="7">
        <v>3472.8</v>
      </c>
      <c r="D4505" s="8" t="s">
        <v>26045</v>
      </c>
      <c r="E4505" s="8" t="s">
        <v>26046</v>
      </c>
      <c r="F4505" s="8" t="s">
        <v>14790</v>
      </c>
      <c r="G4505" s="6" t="s">
        <v>118</v>
      </c>
      <c r="H4505" s="6" t="s">
        <v>34</v>
      </c>
      <c r="I4505" s="8"/>
      <c r="J4505" s="9">
        <v>1</v>
      </c>
      <c r="K4505" s="9">
        <v>630</v>
      </c>
      <c r="L4505" s="9">
        <v>2026</v>
      </c>
      <c r="M4505" s="8" t="s">
        <v>26047</v>
      </c>
      <c r="N4505" s="8" t="s">
        <v>37</v>
      </c>
      <c r="O4505" s="8" t="s">
        <v>136</v>
      </c>
      <c r="P4505" s="6" t="s">
        <v>1689</v>
      </c>
      <c r="Q4505" s="8" t="s">
        <v>65</v>
      </c>
      <c r="R4505" s="10" t="s">
        <v>8620</v>
      </c>
      <c r="S4505" s="11"/>
      <c r="T4505" s="6"/>
      <c r="U4505" s="15" t="str">
        <f>HYPERLINK("https://media.infra-m.ru/2242/2242305/cover/2242305.jpg", "Обложка")</f>
        <v>Обложка</v>
      </c>
      <c r="V4505" s="8" t="s">
        <v>9937</v>
      </c>
      <c r="W4505" s="6"/>
      <c r="X4505" s="6"/>
      <c r="Y4505" s="6"/>
      <c r="Z4505" s="6"/>
      <c r="AA4505" s="6" t="s">
        <v>430</v>
      </c>
      <c r="AB4505" s="8"/>
      <c r="AC4505" s="27">
        <v>9785160172279</v>
      </c>
    </row>
    <row r="4506" spans="1:29" s="4" customFormat="1" ht="51.9" customHeight="1" x14ac:dyDescent="0.2">
      <c r="A4506" s="5">
        <v>0</v>
      </c>
      <c r="B4506" s="6" t="s">
        <v>26048</v>
      </c>
      <c r="C4506" s="7">
        <v>2220</v>
      </c>
      <c r="D4506" s="8" t="s">
        <v>26049</v>
      </c>
      <c r="E4506" s="8" t="s">
        <v>26050</v>
      </c>
      <c r="F4506" s="8" t="s">
        <v>14790</v>
      </c>
      <c r="G4506" s="6" t="s">
        <v>118</v>
      </c>
      <c r="H4506" s="6" t="s">
        <v>34</v>
      </c>
      <c r="I4506" s="8"/>
      <c r="J4506" s="9">
        <v>1</v>
      </c>
      <c r="K4506" s="9">
        <v>412</v>
      </c>
      <c r="L4506" s="9">
        <v>2023</v>
      </c>
      <c r="M4506" s="8" t="s">
        <v>26051</v>
      </c>
      <c r="N4506" s="8" t="s">
        <v>37</v>
      </c>
      <c r="O4506" s="8" t="s">
        <v>136</v>
      </c>
      <c r="P4506" s="6" t="s">
        <v>1689</v>
      </c>
      <c r="Q4506" s="8" t="s">
        <v>40</v>
      </c>
      <c r="R4506" s="10" t="s">
        <v>26052</v>
      </c>
      <c r="S4506" s="11"/>
      <c r="T4506" s="6"/>
      <c r="U4506" s="15" t="str">
        <f>HYPERLINK("https://media.infra-m.ru/1915/1915815/cover/1915815.jpg", "Обложка")</f>
        <v>Обложка</v>
      </c>
      <c r="V4506" s="8" t="s">
        <v>9937</v>
      </c>
      <c r="W4506" s="6"/>
      <c r="X4506" s="6"/>
      <c r="Y4506" s="6"/>
      <c r="Z4506" s="6"/>
      <c r="AA4506" s="6" t="s">
        <v>148</v>
      </c>
      <c r="AB4506" s="8"/>
      <c r="AC4506" s="27">
        <v>9785160178738</v>
      </c>
    </row>
    <row r="4507" spans="1:29" s="4" customFormat="1" ht="51.9" customHeight="1" x14ac:dyDescent="0.2">
      <c r="A4507" s="5">
        <v>0</v>
      </c>
      <c r="B4507" s="6" t="s">
        <v>26053</v>
      </c>
      <c r="C4507" s="7">
        <v>1816.8</v>
      </c>
      <c r="D4507" s="8" t="s">
        <v>26054</v>
      </c>
      <c r="E4507" s="8" t="s">
        <v>26055</v>
      </c>
      <c r="F4507" s="8" t="s">
        <v>26032</v>
      </c>
      <c r="G4507" s="6" t="s">
        <v>118</v>
      </c>
      <c r="H4507" s="6" t="s">
        <v>313</v>
      </c>
      <c r="I4507" s="8" t="s">
        <v>253</v>
      </c>
      <c r="J4507" s="9">
        <v>1</v>
      </c>
      <c r="K4507" s="9">
        <v>332</v>
      </c>
      <c r="L4507" s="9">
        <v>2023</v>
      </c>
      <c r="M4507" s="8" t="s">
        <v>26056</v>
      </c>
      <c r="N4507" s="8" t="s">
        <v>37</v>
      </c>
      <c r="O4507" s="8" t="s">
        <v>136</v>
      </c>
      <c r="P4507" s="6" t="s">
        <v>306</v>
      </c>
      <c r="Q4507" s="8" t="s">
        <v>52</v>
      </c>
      <c r="R4507" s="10" t="s">
        <v>1275</v>
      </c>
      <c r="S4507" s="11" t="s">
        <v>26057</v>
      </c>
      <c r="T4507" s="6" t="s">
        <v>97</v>
      </c>
      <c r="U4507" s="15" t="str">
        <f>HYPERLINK("https://media.infra-m.ru/2009/2009711/cover/2009711.jpg", "Обложка")</f>
        <v>Обложка</v>
      </c>
      <c r="V4507" s="8" t="s">
        <v>13253</v>
      </c>
      <c r="W4507" s="6"/>
      <c r="X4507" s="6"/>
      <c r="Y4507" s="6"/>
      <c r="Z4507" s="6"/>
      <c r="AA4507" s="6" t="s">
        <v>1117</v>
      </c>
      <c r="AB4507" s="8"/>
      <c r="AC4507" s="27">
        <v>9785369007730</v>
      </c>
    </row>
    <row r="4508" spans="1:29" s="4" customFormat="1" ht="51.9" customHeight="1" x14ac:dyDescent="0.2">
      <c r="A4508" s="5">
        <v>0</v>
      </c>
      <c r="B4508" s="6" t="s">
        <v>26058</v>
      </c>
      <c r="C4508" s="7">
        <v>3036</v>
      </c>
      <c r="D4508" s="8" t="s">
        <v>26059</v>
      </c>
      <c r="E4508" s="8" t="s">
        <v>26060</v>
      </c>
      <c r="F4508" s="8" t="s">
        <v>26032</v>
      </c>
      <c r="G4508" s="6" t="s">
        <v>118</v>
      </c>
      <c r="H4508" s="6" t="s">
        <v>313</v>
      </c>
      <c r="I4508" s="8" t="s">
        <v>401</v>
      </c>
      <c r="J4508" s="9">
        <v>1</v>
      </c>
      <c r="K4508" s="9">
        <v>346</v>
      </c>
      <c r="L4508" s="9">
        <v>2026</v>
      </c>
      <c r="M4508" s="8" t="s">
        <v>26061</v>
      </c>
      <c r="N4508" s="8" t="s">
        <v>37</v>
      </c>
      <c r="O4508" s="8" t="s">
        <v>136</v>
      </c>
      <c r="P4508" s="6" t="s">
        <v>306</v>
      </c>
      <c r="Q4508" s="8" t="s">
        <v>265</v>
      </c>
      <c r="R4508" s="10" t="s">
        <v>479</v>
      </c>
      <c r="S4508" s="11" t="s">
        <v>26057</v>
      </c>
      <c r="T4508" s="6" t="s">
        <v>97</v>
      </c>
      <c r="U4508" s="15" t="str">
        <f>HYPERLINK("https://media.infra-m.ru/2248/2248469/cover/2248469.jpg", "Обложка")</f>
        <v>Обложка</v>
      </c>
      <c r="V4508" s="8" t="s">
        <v>13253</v>
      </c>
      <c r="W4508" s="6"/>
      <c r="X4508" s="6"/>
      <c r="Y4508" s="6"/>
      <c r="Z4508" s="6" t="s">
        <v>882</v>
      </c>
      <c r="AA4508" s="6" t="s">
        <v>106</v>
      </c>
      <c r="AB4508" s="8"/>
      <c r="AC4508" s="27">
        <v>9785369019542</v>
      </c>
    </row>
    <row r="4509" spans="1:29" s="4" customFormat="1" ht="51.9" customHeight="1" x14ac:dyDescent="0.2">
      <c r="A4509" s="5">
        <v>0</v>
      </c>
      <c r="B4509" s="6" t="s">
        <v>26062</v>
      </c>
      <c r="C4509" s="7">
        <v>1908</v>
      </c>
      <c r="D4509" s="8" t="s">
        <v>26063</v>
      </c>
      <c r="E4509" s="8" t="s">
        <v>26064</v>
      </c>
      <c r="F4509" s="8" t="s">
        <v>26032</v>
      </c>
      <c r="G4509" s="6" t="s">
        <v>118</v>
      </c>
      <c r="H4509" s="6" t="s">
        <v>313</v>
      </c>
      <c r="I4509" s="8" t="s">
        <v>253</v>
      </c>
      <c r="J4509" s="9">
        <v>1</v>
      </c>
      <c r="K4509" s="9">
        <v>331</v>
      </c>
      <c r="L4509" s="9">
        <v>2024</v>
      </c>
      <c r="M4509" s="8" t="s">
        <v>26065</v>
      </c>
      <c r="N4509" s="8" t="s">
        <v>37</v>
      </c>
      <c r="O4509" s="8" t="s">
        <v>136</v>
      </c>
      <c r="P4509" s="6" t="s">
        <v>306</v>
      </c>
      <c r="Q4509" s="8" t="s">
        <v>65</v>
      </c>
      <c r="R4509" s="10" t="s">
        <v>1275</v>
      </c>
      <c r="S4509" s="11" t="s">
        <v>26057</v>
      </c>
      <c r="T4509" s="6" t="s">
        <v>97</v>
      </c>
      <c r="U4509" s="15" t="str">
        <f>HYPERLINK("https://media.infra-m.ru/2131/2131417/cover/2131417.jpg", "Обложка")</f>
        <v>Обложка</v>
      </c>
      <c r="V4509" s="8" t="s">
        <v>13253</v>
      </c>
      <c r="W4509" s="6"/>
      <c r="X4509" s="6"/>
      <c r="Y4509" s="6"/>
      <c r="Z4509" s="6"/>
      <c r="AA4509" s="6" t="s">
        <v>8987</v>
      </c>
      <c r="AB4509" s="8"/>
      <c r="AC4509" s="27">
        <v>9785369019320</v>
      </c>
    </row>
    <row r="4510" spans="1:29" s="4" customFormat="1" ht="51.9" customHeight="1" x14ac:dyDescent="0.2">
      <c r="A4510" s="5">
        <v>0</v>
      </c>
      <c r="B4510" s="6" t="s">
        <v>26066</v>
      </c>
      <c r="C4510" s="7">
        <v>2472</v>
      </c>
      <c r="D4510" s="8" t="s">
        <v>26067</v>
      </c>
      <c r="E4510" s="8" t="s">
        <v>26068</v>
      </c>
      <c r="F4510" s="8" t="s">
        <v>26032</v>
      </c>
      <c r="G4510" s="6" t="s">
        <v>60</v>
      </c>
      <c r="H4510" s="6" t="s">
        <v>313</v>
      </c>
      <c r="I4510" s="8" t="s">
        <v>253</v>
      </c>
      <c r="J4510" s="9">
        <v>1</v>
      </c>
      <c r="K4510" s="9">
        <v>355</v>
      </c>
      <c r="L4510" s="9">
        <v>2026</v>
      </c>
      <c r="M4510" s="8" t="s">
        <v>26069</v>
      </c>
      <c r="N4510" s="8" t="s">
        <v>37</v>
      </c>
      <c r="O4510" s="8" t="s">
        <v>136</v>
      </c>
      <c r="P4510" s="6" t="s">
        <v>306</v>
      </c>
      <c r="Q4510" s="8" t="s">
        <v>65</v>
      </c>
      <c r="R4510" s="10" t="s">
        <v>1275</v>
      </c>
      <c r="S4510" s="11" t="s">
        <v>26057</v>
      </c>
      <c r="T4510" s="6" t="s">
        <v>97</v>
      </c>
      <c r="U4510" s="15" t="str">
        <f>HYPERLINK("https://media.infra-m.ru/2191/2191623/cover/2191623.jpg", "Обложка")</f>
        <v>Обложка</v>
      </c>
      <c r="V4510" s="8" t="s">
        <v>13253</v>
      </c>
      <c r="W4510" s="6"/>
      <c r="X4510" s="6"/>
      <c r="Y4510" s="6"/>
      <c r="Z4510" s="6"/>
      <c r="AA4510" s="6" t="s">
        <v>10805</v>
      </c>
      <c r="AB4510" s="8"/>
      <c r="AC4510" s="27">
        <v>9785369019610</v>
      </c>
    </row>
    <row r="4511" spans="1:29" s="4" customFormat="1" ht="51.9" customHeight="1" x14ac:dyDescent="0.2">
      <c r="A4511" s="5">
        <v>0</v>
      </c>
      <c r="B4511" s="6" t="s">
        <v>26070</v>
      </c>
      <c r="C4511" s="13">
        <v>672</v>
      </c>
      <c r="D4511" s="8" t="s">
        <v>26071</v>
      </c>
      <c r="E4511" s="8" t="s">
        <v>26060</v>
      </c>
      <c r="F4511" s="8" t="s">
        <v>26037</v>
      </c>
      <c r="G4511" s="6" t="s">
        <v>33</v>
      </c>
      <c r="H4511" s="6" t="s">
        <v>313</v>
      </c>
      <c r="I4511" s="8" t="s">
        <v>4551</v>
      </c>
      <c r="J4511" s="9">
        <v>1</v>
      </c>
      <c r="K4511" s="9">
        <v>281</v>
      </c>
      <c r="L4511" s="9">
        <v>2019</v>
      </c>
      <c r="M4511" s="8" t="s">
        <v>26072</v>
      </c>
      <c r="N4511" s="8" t="s">
        <v>37</v>
      </c>
      <c r="O4511" s="8" t="s">
        <v>136</v>
      </c>
      <c r="P4511" s="6" t="s">
        <v>51</v>
      </c>
      <c r="Q4511" s="8" t="s">
        <v>52</v>
      </c>
      <c r="R4511" s="10" t="s">
        <v>1275</v>
      </c>
      <c r="S4511" s="11"/>
      <c r="T4511" s="6"/>
      <c r="U4511" s="15" t="str">
        <f>HYPERLINK("https://media.infra-m.ru/0999/0999590/cover/999590.jpg", "Обложка")</f>
        <v>Обложка</v>
      </c>
      <c r="V4511" s="8" t="s">
        <v>13253</v>
      </c>
      <c r="W4511" s="6"/>
      <c r="X4511" s="6"/>
      <c r="Y4511" s="6"/>
      <c r="Z4511" s="6"/>
      <c r="AA4511" s="6" t="s">
        <v>623</v>
      </c>
      <c r="AB4511" s="8"/>
      <c r="AC4511" s="27">
        <v>9785369016558</v>
      </c>
    </row>
    <row r="4512" spans="1:29" s="4" customFormat="1" ht="51.9" customHeight="1" x14ac:dyDescent="0.2">
      <c r="A4512" s="5">
        <v>0</v>
      </c>
      <c r="B4512" s="6" t="s">
        <v>26073</v>
      </c>
      <c r="C4512" s="7">
        <v>1209.5999999999999</v>
      </c>
      <c r="D4512" s="8" t="s">
        <v>26074</v>
      </c>
      <c r="E4512" s="8" t="s">
        <v>26064</v>
      </c>
      <c r="F4512" s="8" t="s">
        <v>26032</v>
      </c>
      <c r="G4512" s="6" t="s">
        <v>33</v>
      </c>
      <c r="H4512" s="6" t="s">
        <v>313</v>
      </c>
      <c r="I4512" s="8" t="s">
        <v>253</v>
      </c>
      <c r="J4512" s="9">
        <v>1</v>
      </c>
      <c r="K4512" s="9">
        <v>282</v>
      </c>
      <c r="L4512" s="9">
        <v>2026</v>
      </c>
      <c r="M4512" s="8" t="s">
        <v>26075</v>
      </c>
      <c r="N4512" s="8" t="s">
        <v>37</v>
      </c>
      <c r="O4512" s="8" t="s">
        <v>136</v>
      </c>
      <c r="P4512" s="6" t="s">
        <v>51</v>
      </c>
      <c r="Q4512" s="8" t="s">
        <v>52</v>
      </c>
      <c r="R4512" s="10" t="s">
        <v>1275</v>
      </c>
      <c r="S4512" s="11"/>
      <c r="T4512" s="6"/>
      <c r="U4512" s="15" t="str">
        <f>HYPERLINK("https://media.infra-m.ru/2242/2242432/cover/2242432.jpg", "Обложка")</f>
        <v>Обложка</v>
      </c>
      <c r="V4512" s="8" t="s">
        <v>13253</v>
      </c>
      <c r="W4512" s="6"/>
      <c r="X4512" s="6"/>
      <c r="Y4512" s="6"/>
      <c r="Z4512" s="6"/>
      <c r="AA4512" s="6" t="s">
        <v>8987</v>
      </c>
      <c r="AB4512" s="8"/>
      <c r="AC4512" s="27">
        <v>9785369019351</v>
      </c>
    </row>
    <row r="4513" spans="1:29" s="4" customFormat="1" ht="51.9" customHeight="1" x14ac:dyDescent="0.2">
      <c r="A4513" s="5">
        <v>0</v>
      </c>
      <c r="B4513" s="6" t="s">
        <v>26076</v>
      </c>
      <c r="C4513" s="13">
        <v>683.9</v>
      </c>
      <c r="D4513" s="8" t="s">
        <v>26077</v>
      </c>
      <c r="E4513" s="8" t="s">
        <v>26055</v>
      </c>
      <c r="F4513" s="8" t="s">
        <v>26032</v>
      </c>
      <c r="G4513" s="6" t="s">
        <v>33</v>
      </c>
      <c r="H4513" s="6" t="s">
        <v>313</v>
      </c>
      <c r="I4513" s="8" t="s">
        <v>4551</v>
      </c>
      <c r="J4513" s="9">
        <v>1</v>
      </c>
      <c r="K4513" s="9">
        <v>281</v>
      </c>
      <c r="L4513" s="9">
        <v>2019</v>
      </c>
      <c r="M4513" s="8" t="s">
        <v>26078</v>
      </c>
      <c r="N4513" s="8" t="s">
        <v>37</v>
      </c>
      <c r="O4513" s="8" t="s">
        <v>136</v>
      </c>
      <c r="P4513" s="6" t="s">
        <v>51</v>
      </c>
      <c r="Q4513" s="8" t="s">
        <v>52</v>
      </c>
      <c r="R4513" s="10" t="s">
        <v>1275</v>
      </c>
      <c r="S4513" s="11"/>
      <c r="T4513" s="6"/>
      <c r="U4513" s="15" t="str">
        <f>HYPERLINK("https://media.infra-m.ru/1020/1020210/cover/1020210.jpg", "Обложка")</f>
        <v>Обложка</v>
      </c>
      <c r="V4513" s="8" t="s">
        <v>13253</v>
      </c>
      <c r="W4513" s="6"/>
      <c r="X4513" s="6"/>
      <c r="Y4513" s="6"/>
      <c r="Z4513" s="6"/>
      <c r="AA4513" s="6" t="s">
        <v>1117</v>
      </c>
      <c r="AB4513" s="8"/>
      <c r="AC4513" s="27">
        <v>9785369018101</v>
      </c>
    </row>
    <row r="4514" spans="1:29" s="4" customFormat="1" ht="42" customHeight="1" x14ac:dyDescent="0.2">
      <c r="A4514" s="5">
        <v>0</v>
      </c>
      <c r="B4514" s="6" t="s">
        <v>26079</v>
      </c>
      <c r="C4514" s="7">
        <v>2548.8000000000002</v>
      </c>
      <c r="D4514" s="8" t="s">
        <v>26080</v>
      </c>
      <c r="E4514" s="8" t="s">
        <v>26081</v>
      </c>
      <c r="F4514" s="8" t="s">
        <v>26082</v>
      </c>
      <c r="G4514" s="6" t="s">
        <v>60</v>
      </c>
      <c r="H4514" s="6" t="s">
        <v>134</v>
      </c>
      <c r="I4514" s="8"/>
      <c r="J4514" s="9">
        <v>1</v>
      </c>
      <c r="K4514" s="9">
        <v>400</v>
      </c>
      <c r="L4514" s="9">
        <v>2026</v>
      </c>
      <c r="M4514" s="8" t="s">
        <v>26083</v>
      </c>
      <c r="N4514" s="8" t="s">
        <v>37</v>
      </c>
      <c r="O4514" s="8" t="s">
        <v>136</v>
      </c>
      <c r="P4514" s="6" t="s">
        <v>39</v>
      </c>
      <c r="Q4514" s="8" t="s">
        <v>40</v>
      </c>
      <c r="R4514" s="10" t="s">
        <v>1255</v>
      </c>
      <c r="S4514" s="11"/>
      <c r="T4514" s="6"/>
      <c r="U4514" s="15" t="str">
        <f>HYPERLINK("https://media.infra-m.ru/2221/2221058/cover/2221058.jpg", "Обложка")</f>
        <v>Обложка</v>
      </c>
      <c r="V4514" s="8" t="s">
        <v>4923</v>
      </c>
      <c r="W4514" s="6"/>
      <c r="X4514" s="6"/>
      <c r="Y4514" s="6"/>
      <c r="Z4514" s="6"/>
      <c r="AA4514" s="6" t="s">
        <v>274</v>
      </c>
      <c r="AB4514" s="8"/>
      <c r="AC4514" s="27">
        <v>9785917685380</v>
      </c>
    </row>
    <row r="4515" spans="1:29" s="4" customFormat="1" ht="51.9" customHeight="1" x14ac:dyDescent="0.2">
      <c r="A4515" s="5">
        <v>0</v>
      </c>
      <c r="B4515" s="6" t="s">
        <v>26084</v>
      </c>
      <c r="C4515" s="7">
        <v>1332</v>
      </c>
      <c r="D4515" s="8" t="s">
        <v>26085</v>
      </c>
      <c r="E4515" s="8" t="s">
        <v>26086</v>
      </c>
      <c r="F4515" s="8" t="s">
        <v>26027</v>
      </c>
      <c r="G4515" s="6" t="s">
        <v>60</v>
      </c>
      <c r="H4515" s="6" t="s">
        <v>134</v>
      </c>
      <c r="I4515" s="8"/>
      <c r="J4515" s="9">
        <v>1</v>
      </c>
      <c r="K4515" s="9">
        <v>216</v>
      </c>
      <c r="L4515" s="9">
        <v>2025</v>
      </c>
      <c r="M4515" s="8" t="s">
        <v>26087</v>
      </c>
      <c r="N4515" s="8" t="s">
        <v>37</v>
      </c>
      <c r="O4515" s="8" t="s">
        <v>136</v>
      </c>
      <c r="P4515" s="6" t="s">
        <v>394</v>
      </c>
      <c r="Q4515" s="8" t="s">
        <v>52</v>
      </c>
      <c r="R4515" s="10" t="s">
        <v>26088</v>
      </c>
      <c r="S4515" s="11"/>
      <c r="T4515" s="6"/>
      <c r="U4515" s="15" t="str">
        <f>HYPERLINK("https://media.infra-m.ru/2174/2174381/cover/2174381.jpg", "Обложка")</f>
        <v>Обложка</v>
      </c>
      <c r="V4515" s="8" t="s">
        <v>3615</v>
      </c>
      <c r="W4515" s="6"/>
      <c r="X4515" s="6"/>
      <c r="Y4515" s="6"/>
      <c r="Z4515" s="6"/>
      <c r="AA4515" s="6" t="s">
        <v>68</v>
      </c>
      <c r="AB4515" s="8"/>
      <c r="AC4515" s="27">
        <v>9785001563983</v>
      </c>
    </row>
    <row r="4516" spans="1:29" s="4" customFormat="1" ht="51.9" customHeight="1" x14ac:dyDescent="0.2">
      <c r="A4516" s="5">
        <v>0</v>
      </c>
      <c r="B4516" s="6" t="s">
        <v>26089</v>
      </c>
      <c r="C4516" s="7">
        <v>1488</v>
      </c>
      <c r="D4516" s="8" t="s">
        <v>26090</v>
      </c>
      <c r="E4516" s="8" t="s">
        <v>26086</v>
      </c>
      <c r="F4516" s="8" t="s">
        <v>26032</v>
      </c>
      <c r="G4516" s="6" t="s">
        <v>60</v>
      </c>
      <c r="H4516" s="6" t="s">
        <v>313</v>
      </c>
      <c r="I4516" s="8" t="s">
        <v>401</v>
      </c>
      <c r="J4516" s="9">
        <v>1</v>
      </c>
      <c r="K4516" s="9">
        <v>326</v>
      </c>
      <c r="L4516" s="9">
        <v>2022</v>
      </c>
      <c r="M4516" s="8" t="s">
        <v>26091</v>
      </c>
      <c r="N4516" s="8" t="s">
        <v>37</v>
      </c>
      <c r="O4516" s="8" t="s">
        <v>136</v>
      </c>
      <c r="P4516" s="6" t="s">
        <v>306</v>
      </c>
      <c r="Q4516" s="8" t="s">
        <v>265</v>
      </c>
      <c r="R4516" s="10" t="s">
        <v>479</v>
      </c>
      <c r="S4516" s="11" t="s">
        <v>26057</v>
      </c>
      <c r="T4516" s="6" t="s">
        <v>97</v>
      </c>
      <c r="U4516" s="15" t="str">
        <f>HYPERLINK("https://media.infra-m.ru/1844/1844547/cover/1844547.jpg", "Обложка")</f>
        <v>Обложка</v>
      </c>
      <c r="V4516" s="8" t="s">
        <v>13253</v>
      </c>
      <c r="W4516" s="6"/>
      <c r="X4516" s="6"/>
      <c r="Y4516" s="6"/>
      <c r="Z4516" s="6" t="s">
        <v>882</v>
      </c>
      <c r="AA4516" s="6" t="s">
        <v>148</v>
      </c>
      <c r="AB4516" s="8"/>
      <c r="AC4516" s="27">
        <v>9785369018859</v>
      </c>
    </row>
    <row r="4517" spans="1:29" s="4" customFormat="1" ht="51.9" customHeight="1" x14ac:dyDescent="0.2">
      <c r="A4517" s="5">
        <v>0</v>
      </c>
      <c r="B4517" s="6" t="s">
        <v>26092</v>
      </c>
      <c r="C4517" s="7">
        <v>1140</v>
      </c>
      <c r="D4517" s="8" t="s">
        <v>26093</v>
      </c>
      <c r="E4517" s="8" t="s">
        <v>26060</v>
      </c>
      <c r="F4517" s="8" t="s">
        <v>26032</v>
      </c>
      <c r="G4517" s="6" t="s">
        <v>118</v>
      </c>
      <c r="H4517" s="6" t="s">
        <v>313</v>
      </c>
      <c r="I4517" s="8" t="s">
        <v>253</v>
      </c>
      <c r="J4517" s="9">
        <v>1</v>
      </c>
      <c r="K4517" s="9">
        <v>324</v>
      </c>
      <c r="L4517" s="9">
        <v>2018</v>
      </c>
      <c r="M4517" s="8" t="s">
        <v>26094</v>
      </c>
      <c r="N4517" s="8" t="s">
        <v>37</v>
      </c>
      <c r="O4517" s="8" t="s">
        <v>136</v>
      </c>
      <c r="P4517" s="6" t="s">
        <v>306</v>
      </c>
      <c r="Q4517" s="8" t="s">
        <v>52</v>
      </c>
      <c r="R4517" s="10" t="s">
        <v>1275</v>
      </c>
      <c r="S4517" s="11" t="s">
        <v>26057</v>
      </c>
      <c r="T4517" s="6" t="s">
        <v>97</v>
      </c>
      <c r="U4517" s="15" t="str">
        <f>HYPERLINK("https://media.infra-m.ru/0961/0961749/cover/961749.jpg", "Обложка")</f>
        <v>Обложка</v>
      </c>
      <c r="V4517" s="8" t="s">
        <v>13253</v>
      </c>
      <c r="W4517" s="6"/>
      <c r="X4517" s="6"/>
      <c r="Y4517" s="6"/>
      <c r="Z4517" s="6"/>
      <c r="AA4517" s="6" t="s">
        <v>623</v>
      </c>
      <c r="AB4517" s="8"/>
      <c r="AC4517" s="27">
        <v>9785369016787</v>
      </c>
    </row>
    <row r="4518" spans="1:29" s="4" customFormat="1" ht="51.9" customHeight="1" x14ac:dyDescent="0.2">
      <c r="A4518" s="5">
        <v>0</v>
      </c>
      <c r="B4518" s="6" t="s">
        <v>26095</v>
      </c>
      <c r="C4518" s="7">
        <v>1248</v>
      </c>
      <c r="D4518" s="8" t="s">
        <v>26096</v>
      </c>
      <c r="E4518" s="8" t="s">
        <v>26097</v>
      </c>
      <c r="F4518" s="8" t="s">
        <v>26098</v>
      </c>
      <c r="G4518" s="6" t="s">
        <v>33</v>
      </c>
      <c r="H4518" s="6" t="s">
        <v>34</v>
      </c>
      <c r="I4518" s="8" t="s">
        <v>457</v>
      </c>
      <c r="J4518" s="9">
        <v>1</v>
      </c>
      <c r="K4518" s="9">
        <v>296</v>
      </c>
      <c r="L4518" s="9">
        <v>2020</v>
      </c>
      <c r="M4518" s="8" t="s">
        <v>26099</v>
      </c>
      <c r="N4518" s="8" t="s">
        <v>585</v>
      </c>
      <c r="O4518" s="8" t="s">
        <v>667</v>
      </c>
      <c r="P4518" s="6" t="s">
        <v>39</v>
      </c>
      <c r="Q4518" s="8" t="s">
        <v>40</v>
      </c>
      <c r="R4518" s="10" t="s">
        <v>26100</v>
      </c>
      <c r="S4518" s="11"/>
      <c r="T4518" s="6"/>
      <c r="U4518" s="15" t="str">
        <f>HYPERLINK("https://media.infra-m.ru/1061/1061676/cover/1061676.jpg", "Обложка")</f>
        <v>Обложка</v>
      </c>
      <c r="V4518" s="8" t="s">
        <v>10985</v>
      </c>
      <c r="W4518" s="6"/>
      <c r="X4518" s="6"/>
      <c r="Y4518" s="6"/>
      <c r="Z4518" s="6"/>
      <c r="AA4518" s="6" t="s">
        <v>1256</v>
      </c>
      <c r="AB4518" s="8"/>
      <c r="AC4518" s="27">
        <v>9785160158464</v>
      </c>
    </row>
    <row r="4519" spans="1:29" s="4" customFormat="1" ht="51.9" customHeight="1" x14ac:dyDescent="0.2">
      <c r="A4519" s="5">
        <v>0</v>
      </c>
      <c r="B4519" s="6" t="s">
        <v>26101</v>
      </c>
      <c r="C4519" s="7">
        <v>1732.8</v>
      </c>
      <c r="D4519" s="8" t="s">
        <v>26102</v>
      </c>
      <c r="E4519" s="8" t="s">
        <v>26103</v>
      </c>
      <c r="F4519" s="8" t="s">
        <v>26104</v>
      </c>
      <c r="G4519" s="6" t="s">
        <v>60</v>
      </c>
      <c r="H4519" s="6" t="s">
        <v>1042</v>
      </c>
      <c r="I4519" s="8" t="s">
        <v>401</v>
      </c>
      <c r="J4519" s="9">
        <v>1</v>
      </c>
      <c r="K4519" s="9">
        <v>288</v>
      </c>
      <c r="L4519" s="9">
        <v>2025</v>
      </c>
      <c r="M4519" s="8" t="s">
        <v>26105</v>
      </c>
      <c r="N4519" s="8" t="s">
        <v>37</v>
      </c>
      <c r="O4519" s="8" t="s">
        <v>233</v>
      </c>
      <c r="P4519" s="6" t="s">
        <v>51</v>
      </c>
      <c r="Q4519" s="8" t="s">
        <v>265</v>
      </c>
      <c r="R4519" s="10" t="s">
        <v>2574</v>
      </c>
      <c r="S4519" s="11" t="s">
        <v>26106</v>
      </c>
      <c r="T4519" s="6"/>
      <c r="U4519" s="15" t="str">
        <f>HYPERLINK("https://media.infra-m.ru/2188/2188218/cover/2188218.jpg", "Обложка")</f>
        <v>Обложка</v>
      </c>
      <c r="V4519" s="8" t="s">
        <v>247</v>
      </c>
      <c r="W4519" s="6"/>
      <c r="X4519" s="6"/>
      <c r="Y4519" s="6"/>
      <c r="Z4519" s="6"/>
      <c r="AA4519" s="6" t="s">
        <v>874</v>
      </c>
      <c r="AB4519" s="8"/>
      <c r="AC4519" s="27">
        <v>9785819906163</v>
      </c>
    </row>
    <row r="4520" spans="1:29" s="4" customFormat="1" ht="51.9" customHeight="1" x14ac:dyDescent="0.2">
      <c r="A4520" s="5">
        <v>0</v>
      </c>
      <c r="B4520" s="6" t="s">
        <v>26107</v>
      </c>
      <c r="C4520" s="7">
        <v>3480</v>
      </c>
      <c r="D4520" s="8" t="s">
        <v>26108</v>
      </c>
      <c r="E4520" s="8" t="s">
        <v>26109</v>
      </c>
      <c r="F4520" s="8" t="s">
        <v>12638</v>
      </c>
      <c r="G4520" s="6" t="s">
        <v>60</v>
      </c>
      <c r="H4520" s="6" t="s">
        <v>48</v>
      </c>
      <c r="I4520" s="8" t="s">
        <v>263</v>
      </c>
      <c r="J4520" s="9">
        <v>1</v>
      </c>
      <c r="K4520" s="9">
        <v>560</v>
      </c>
      <c r="L4520" s="9">
        <v>2025</v>
      </c>
      <c r="M4520" s="8" t="s">
        <v>26110</v>
      </c>
      <c r="N4520" s="8" t="s">
        <v>243</v>
      </c>
      <c r="O4520" s="8" t="s">
        <v>244</v>
      </c>
      <c r="P4520" s="6" t="s">
        <v>51</v>
      </c>
      <c r="Q4520" s="8" t="s">
        <v>265</v>
      </c>
      <c r="R4520" s="10" t="s">
        <v>26111</v>
      </c>
      <c r="S4520" s="11" t="s">
        <v>1899</v>
      </c>
      <c r="T4520" s="6"/>
      <c r="U4520" s="15" t="str">
        <f>HYPERLINK("https://media.infra-m.ru/2198/2198489/cover/2198489.jpg", "Обложка")</f>
        <v>Обложка</v>
      </c>
      <c r="V4520" s="8" t="s">
        <v>445</v>
      </c>
      <c r="W4520" s="6"/>
      <c r="X4520" s="6" t="s">
        <v>24</v>
      </c>
      <c r="Y4520" s="6"/>
      <c r="Z4520" s="6"/>
      <c r="AA4520" s="6" t="s">
        <v>3414</v>
      </c>
      <c r="AB4520" s="8"/>
      <c r="AC4520" s="27">
        <v>9785000915011</v>
      </c>
    </row>
    <row r="4521" spans="1:29" s="4" customFormat="1" ht="51.9" customHeight="1" x14ac:dyDescent="0.2">
      <c r="A4521" s="5">
        <v>0</v>
      </c>
      <c r="B4521" s="6" t="s">
        <v>26112</v>
      </c>
      <c r="C4521" s="7">
        <v>2124</v>
      </c>
      <c r="D4521" s="8" t="s">
        <v>26113</v>
      </c>
      <c r="E4521" s="8" t="s">
        <v>26114</v>
      </c>
      <c r="F4521" s="8" t="s">
        <v>26115</v>
      </c>
      <c r="G4521" s="6" t="s">
        <v>118</v>
      </c>
      <c r="H4521" s="6" t="s">
        <v>820</v>
      </c>
      <c r="I4521" s="8"/>
      <c r="J4521" s="9">
        <v>1</v>
      </c>
      <c r="K4521" s="9">
        <v>304</v>
      </c>
      <c r="L4521" s="9">
        <v>2027</v>
      </c>
      <c r="M4521" s="8" t="s">
        <v>26116</v>
      </c>
      <c r="N4521" s="8" t="s">
        <v>243</v>
      </c>
      <c r="O4521" s="8" t="s">
        <v>244</v>
      </c>
      <c r="P4521" s="6" t="s">
        <v>306</v>
      </c>
      <c r="Q4521" s="8" t="s">
        <v>265</v>
      </c>
      <c r="R4521" s="10" t="s">
        <v>26117</v>
      </c>
      <c r="S4521" s="11"/>
      <c r="T4521" s="6"/>
      <c r="U4521" s="15" t="str">
        <f>HYPERLINK("https://media.infra-m.ru/2266/2266104/cover/2266104.jpg", "Обложка")</f>
        <v>Обложка</v>
      </c>
      <c r="V4521" s="8" t="s">
        <v>26118</v>
      </c>
      <c r="W4521" s="6"/>
      <c r="X4521" s="6" t="s">
        <v>24</v>
      </c>
      <c r="Y4521" s="6"/>
      <c r="Z4521" s="6"/>
      <c r="AA4521" s="6" t="s">
        <v>86</v>
      </c>
      <c r="AB4521" s="8"/>
      <c r="AC4521" s="27">
        <v>9785906923851</v>
      </c>
    </row>
    <row r="4522" spans="1:29" s="4" customFormat="1" ht="51.9" customHeight="1" x14ac:dyDescent="0.2">
      <c r="A4522" s="5">
        <v>0</v>
      </c>
      <c r="B4522" s="6" t="s">
        <v>26119</v>
      </c>
      <c r="C4522" s="7">
        <v>1092</v>
      </c>
      <c r="D4522" s="8" t="s">
        <v>26120</v>
      </c>
      <c r="E4522" s="8" t="s">
        <v>26121</v>
      </c>
      <c r="F4522" s="8" t="s">
        <v>26122</v>
      </c>
      <c r="G4522" s="6" t="s">
        <v>118</v>
      </c>
      <c r="H4522" s="6" t="s">
        <v>34</v>
      </c>
      <c r="I4522" s="8" t="s">
        <v>263</v>
      </c>
      <c r="J4522" s="9">
        <v>1</v>
      </c>
      <c r="K4522" s="9">
        <v>160</v>
      </c>
      <c r="L4522" s="9">
        <v>2026</v>
      </c>
      <c r="M4522" s="8" t="s">
        <v>26123</v>
      </c>
      <c r="N4522" s="8" t="s">
        <v>243</v>
      </c>
      <c r="O4522" s="8" t="s">
        <v>244</v>
      </c>
      <c r="P4522" s="6" t="s">
        <v>51</v>
      </c>
      <c r="Q4522" s="8" t="s">
        <v>265</v>
      </c>
      <c r="R4522" s="10" t="s">
        <v>26124</v>
      </c>
      <c r="S4522" s="11" t="s">
        <v>26125</v>
      </c>
      <c r="T4522" s="6" t="s">
        <v>97</v>
      </c>
      <c r="U4522" s="15" t="str">
        <f>HYPERLINK("https://media.infra-m.ru/2235/2235987/cover/2235987.jpg", "Обложка")</f>
        <v>Обложка</v>
      </c>
      <c r="V4522" s="8" t="s">
        <v>3413</v>
      </c>
      <c r="W4522" s="6"/>
      <c r="X4522" s="6" t="s">
        <v>24</v>
      </c>
      <c r="Y4522" s="6"/>
      <c r="Z4522" s="6" t="s">
        <v>267</v>
      </c>
      <c r="AA4522" s="6" t="s">
        <v>86</v>
      </c>
      <c r="AB4522" s="8"/>
      <c r="AC4522" s="27">
        <v>9785160139814</v>
      </c>
    </row>
    <row r="4523" spans="1:29" s="4" customFormat="1" ht="51.9" customHeight="1" x14ac:dyDescent="0.2">
      <c r="A4523" s="5">
        <v>0</v>
      </c>
      <c r="B4523" s="6" t="s">
        <v>26126</v>
      </c>
      <c r="C4523" s="7">
        <v>1012.8</v>
      </c>
      <c r="D4523" s="8" t="s">
        <v>26127</v>
      </c>
      <c r="E4523" s="8" t="s">
        <v>26121</v>
      </c>
      <c r="F4523" s="8" t="s">
        <v>26122</v>
      </c>
      <c r="G4523" s="6" t="s">
        <v>33</v>
      </c>
      <c r="H4523" s="6" t="s">
        <v>34</v>
      </c>
      <c r="I4523" s="8" t="s">
        <v>271</v>
      </c>
      <c r="J4523" s="9">
        <v>1</v>
      </c>
      <c r="K4523" s="9">
        <v>160</v>
      </c>
      <c r="L4523" s="9">
        <v>2026</v>
      </c>
      <c r="M4523" s="8" t="s">
        <v>26128</v>
      </c>
      <c r="N4523" s="8" t="s">
        <v>243</v>
      </c>
      <c r="O4523" s="8" t="s">
        <v>244</v>
      </c>
      <c r="P4523" s="6" t="s">
        <v>51</v>
      </c>
      <c r="Q4523" s="8" t="s">
        <v>52</v>
      </c>
      <c r="R4523" s="10" t="s">
        <v>26129</v>
      </c>
      <c r="S4523" s="11" t="s">
        <v>26130</v>
      </c>
      <c r="T4523" s="6"/>
      <c r="U4523" s="15" t="str">
        <f>HYPERLINK("https://media.infra-m.ru/2254/2254531/cover/2254531.jpg", "Обложка")</f>
        <v>Обложка</v>
      </c>
      <c r="V4523" s="8" t="s">
        <v>3413</v>
      </c>
      <c r="W4523" s="6"/>
      <c r="X4523" s="6"/>
      <c r="Y4523" s="6"/>
      <c r="Z4523" s="6"/>
      <c r="AA4523" s="6" t="s">
        <v>779</v>
      </c>
      <c r="AB4523" s="8"/>
      <c r="AC4523" s="27">
        <v>9785160108933</v>
      </c>
    </row>
    <row r="4524" spans="1:29" s="4" customFormat="1" ht="51.9" customHeight="1" x14ac:dyDescent="0.2">
      <c r="A4524" s="5">
        <v>0</v>
      </c>
      <c r="B4524" s="6" t="s">
        <v>26131</v>
      </c>
      <c r="C4524" s="7">
        <v>1132.8</v>
      </c>
      <c r="D4524" s="8" t="s">
        <v>26132</v>
      </c>
      <c r="E4524" s="8" t="s">
        <v>26133</v>
      </c>
      <c r="F4524" s="8" t="s">
        <v>26134</v>
      </c>
      <c r="G4524" s="6" t="s">
        <v>60</v>
      </c>
      <c r="H4524" s="6" t="s">
        <v>34</v>
      </c>
      <c r="I4524" s="8" t="s">
        <v>271</v>
      </c>
      <c r="J4524" s="9">
        <v>20</v>
      </c>
      <c r="K4524" s="9">
        <v>187</v>
      </c>
      <c r="L4524" s="9">
        <v>2024</v>
      </c>
      <c r="M4524" s="8" t="s">
        <v>26135</v>
      </c>
      <c r="N4524" s="8" t="s">
        <v>37</v>
      </c>
      <c r="O4524" s="8" t="s">
        <v>280</v>
      </c>
      <c r="P4524" s="6" t="s">
        <v>51</v>
      </c>
      <c r="Q4524" s="8" t="s">
        <v>52</v>
      </c>
      <c r="R4524" s="10" t="s">
        <v>2053</v>
      </c>
      <c r="S4524" s="11" t="s">
        <v>26136</v>
      </c>
      <c r="T4524" s="6"/>
      <c r="U4524" s="15" t="str">
        <f>HYPERLINK("https://media.infra-m.ru/2163/2163208/cover/2163208.jpg", "Обложка")</f>
        <v>Обложка</v>
      </c>
      <c r="V4524" s="8" t="s">
        <v>644</v>
      </c>
      <c r="W4524" s="6"/>
      <c r="X4524" s="6"/>
      <c r="Y4524" s="6"/>
      <c r="Z4524" s="6"/>
      <c r="AA4524" s="6" t="s">
        <v>561</v>
      </c>
      <c r="AB4524" s="8"/>
      <c r="AC4524" s="27">
        <v>9785160034690</v>
      </c>
    </row>
    <row r="4525" spans="1:29" s="4" customFormat="1" ht="42" customHeight="1" x14ac:dyDescent="0.2">
      <c r="A4525" s="5">
        <v>0</v>
      </c>
      <c r="B4525" s="6" t="s">
        <v>26137</v>
      </c>
      <c r="C4525" s="7">
        <v>2728.8</v>
      </c>
      <c r="D4525" s="8" t="s">
        <v>26138</v>
      </c>
      <c r="E4525" s="8" t="s">
        <v>26139</v>
      </c>
      <c r="F4525" s="8" t="s">
        <v>26140</v>
      </c>
      <c r="G4525" s="6" t="s">
        <v>60</v>
      </c>
      <c r="H4525" s="6" t="s">
        <v>34</v>
      </c>
      <c r="I4525" s="8" t="s">
        <v>304</v>
      </c>
      <c r="J4525" s="9">
        <v>1</v>
      </c>
      <c r="K4525" s="9">
        <v>413</v>
      </c>
      <c r="L4525" s="9">
        <v>2026</v>
      </c>
      <c r="M4525" s="8" t="s">
        <v>26141</v>
      </c>
      <c r="N4525" s="8" t="s">
        <v>37</v>
      </c>
      <c r="O4525" s="8" t="s">
        <v>280</v>
      </c>
      <c r="P4525" s="6" t="s">
        <v>306</v>
      </c>
      <c r="Q4525" s="8" t="s">
        <v>65</v>
      </c>
      <c r="R4525" s="10" t="s">
        <v>26142</v>
      </c>
      <c r="S4525" s="11"/>
      <c r="T4525" s="6"/>
      <c r="U4525" s="15" t="str">
        <f>HYPERLINK("https://media.infra-m.ru/2221/2221935/cover/2221935.jpg", "Обложка")</f>
        <v>Обложка</v>
      </c>
      <c r="V4525" s="8" t="s">
        <v>247</v>
      </c>
      <c r="W4525" s="6"/>
      <c r="X4525" s="6"/>
      <c r="Y4525" s="6"/>
      <c r="Z4525" s="6"/>
      <c r="AA4525" s="6" t="s">
        <v>76</v>
      </c>
      <c r="AB4525" s="8"/>
      <c r="AC4525" s="27">
        <v>9785160185101</v>
      </c>
    </row>
    <row r="4526" spans="1:29" s="4" customFormat="1" ht="51.9" customHeight="1" x14ac:dyDescent="0.2">
      <c r="A4526" s="5">
        <v>0</v>
      </c>
      <c r="B4526" s="6" t="s">
        <v>26143</v>
      </c>
      <c r="C4526" s="7">
        <v>2104.8000000000002</v>
      </c>
      <c r="D4526" s="8" t="s">
        <v>26144</v>
      </c>
      <c r="E4526" s="8" t="s">
        <v>26145</v>
      </c>
      <c r="F4526" s="8" t="s">
        <v>26146</v>
      </c>
      <c r="G4526" s="6" t="s">
        <v>33</v>
      </c>
      <c r="H4526" s="6" t="s">
        <v>34</v>
      </c>
      <c r="I4526" s="8" t="s">
        <v>1501</v>
      </c>
      <c r="J4526" s="9">
        <v>1</v>
      </c>
      <c r="K4526" s="9">
        <v>337</v>
      </c>
      <c r="L4526" s="9">
        <v>2025</v>
      </c>
      <c r="M4526" s="8" t="s">
        <v>26147</v>
      </c>
      <c r="N4526" s="8" t="s">
        <v>37</v>
      </c>
      <c r="O4526" s="8" t="s">
        <v>280</v>
      </c>
      <c r="P4526" s="6" t="s">
        <v>306</v>
      </c>
      <c r="Q4526" s="8" t="s">
        <v>749</v>
      </c>
      <c r="R4526" s="10" t="s">
        <v>26148</v>
      </c>
      <c r="S4526" s="11" t="s">
        <v>26149</v>
      </c>
      <c r="T4526" s="6"/>
      <c r="U4526" s="15" t="str">
        <f>HYPERLINK("https://media.infra-m.ru/2196/2196875/cover/2196875.jpg", "Обложка")</f>
        <v>Обложка</v>
      </c>
      <c r="V4526" s="8" t="s">
        <v>396</v>
      </c>
      <c r="W4526" s="6"/>
      <c r="X4526" s="6"/>
      <c r="Y4526" s="6"/>
      <c r="Z4526" s="6"/>
      <c r="AA4526" s="6" t="s">
        <v>4554</v>
      </c>
      <c r="AB4526" s="8"/>
      <c r="AC4526" s="27">
        <v>9785160096117</v>
      </c>
    </row>
    <row r="4527" spans="1:29" s="4" customFormat="1" ht="51.9" customHeight="1" x14ac:dyDescent="0.2">
      <c r="A4527" s="5">
        <v>0</v>
      </c>
      <c r="B4527" s="6" t="s">
        <v>26150</v>
      </c>
      <c r="C4527" s="13">
        <v>712.8</v>
      </c>
      <c r="D4527" s="8" t="s">
        <v>26151</v>
      </c>
      <c r="E4527" s="8" t="s">
        <v>26152</v>
      </c>
      <c r="F4527" s="8" t="s">
        <v>4372</v>
      </c>
      <c r="G4527" s="6" t="s">
        <v>60</v>
      </c>
      <c r="H4527" s="6" t="s">
        <v>313</v>
      </c>
      <c r="I4527" s="8" t="s">
        <v>253</v>
      </c>
      <c r="J4527" s="9">
        <v>1</v>
      </c>
      <c r="K4527" s="9">
        <v>109</v>
      </c>
      <c r="L4527" s="9">
        <v>2026</v>
      </c>
      <c r="M4527" s="8" t="s">
        <v>26153</v>
      </c>
      <c r="N4527" s="8" t="s">
        <v>243</v>
      </c>
      <c r="O4527" s="8" t="s">
        <v>798</v>
      </c>
      <c r="P4527" s="6" t="s">
        <v>51</v>
      </c>
      <c r="Q4527" s="8" t="s">
        <v>52</v>
      </c>
      <c r="R4527" s="10" t="s">
        <v>26154</v>
      </c>
      <c r="S4527" s="11" t="s">
        <v>4375</v>
      </c>
      <c r="T4527" s="6"/>
      <c r="U4527" s="15" t="str">
        <f>HYPERLINK("https://media.infra-m.ru/2218/2218865/cover/2218865.jpg", "Обложка")</f>
        <v>Обложка</v>
      </c>
      <c r="V4527" s="8" t="s">
        <v>4376</v>
      </c>
      <c r="W4527" s="6"/>
      <c r="X4527" s="6"/>
      <c r="Y4527" s="6"/>
      <c r="Z4527" s="6"/>
      <c r="AA4527" s="6" t="s">
        <v>248</v>
      </c>
      <c r="AB4527" s="8"/>
      <c r="AC4527" s="27">
        <v>9785369013342</v>
      </c>
    </row>
    <row r="4528" spans="1:29" s="4" customFormat="1" ht="51.9" customHeight="1" x14ac:dyDescent="0.2">
      <c r="A4528" s="5">
        <v>0</v>
      </c>
      <c r="B4528" s="6" t="s">
        <v>26155</v>
      </c>
      <c r="C4528" s="7">
        <v>1140</v>
      </c>
      <c r="D4528" s="8" t="s">
        <v>26156</v>
      </c>
      <c r="E4528" s="8" t="s">
        <v>26157</v>
      </c>
      <c r="F4528" s="8" t="s">
        <v>26158</v>
      </c>
      <c r="G4528" s="6" t="s">
        <v>118</v>
      </c>
      <c r="H4528" s="6" t="s">
        <v>34</v>
      </c>
      <c r="I4528" s="8" t="s">
        <v>253</v>
      </c>
      <c r="J4528" s="9">
        <v>1</v>
      </c>
      <c r="K4528" s="9">
        <v>178</v>
      </c>
      <c r="L4528" s="9">
        <v>2025</v>
      </c>
      <c r="M4528" s="8" t="s">
        <v>26159</v>
      </c>
      <c r="N4528" s="8" t="s">
        <v>37</v>
      </c>
      <c r="O4528" s="8" t="s">
        <v>233</v>
      </c>
      <c r="P4528" s="6" t="s">
        <v>51</v>
      </c>
      <c r="Q4528" s="8" t="s">
        <v>377</v>
      </c>
      <c r="R4528" s="10" t="s">
        <v>2750</v>
      </c>
      <c r="S4528" s="11" t="s">
        <v>26160</v>
      </c>
      <c r="T4528" s="6"/>
      <c r="U4528" s="15" t="str">
        <f>HYPERLINK("https://media.infra-m.ru/2184/2184896/cover/2184896.jpg", "Обложка")</f>
        <v>Обложка</v>
      </c>
      <c r="V4528" s="8" t="s">
        <v>1675</v>
      </c>
      <c r="W4528" s="6"/>
      <c r="X4528" s="6"/>
      <c r="Y4528" s="6"/>
      <c r="Z4528" s="6"/>
      <c r="AA4528" s="6" t="s">
        <v>157</v>
      </c>
      <c r="AB4528" s="8"/>
      <c r="AC4528" s="27">
        <v>9785160205892</v>
      </c>
    </row>
    <row r="4529" spans="1:29" s="4" customFormat="1" ht="42" customHeight="1" x14ac:dyDescent="0.2">
      <c r="A4529" s="5">
        <v>0</v>
      </c>
      <c r="B4529" s="6" t="s">
        <v>26161</v>
      </c>
      <c r="C4529" s="7">
        <v>1152</v>
      </c>
      <c r="D4529" s="8" t="s">
        <v>26162</v>
      </c>
      <c r="E4529" s="8" t="s">
        <v>26163</v>
      </c>
      <c r="F4529" s="8" t="s">
        <v>26164</v>
      </c>
      <c r="G4529" s="6" t="s">
        <v>118</v>
      </c>
      <c r="H4529" s="6" t="s">
        <v>34</v>
      </c>
      <c r="I4529" s="8" t="s">
        <v>1081</v>
      </c>
      <c r="J4529" s="9">
        <v>1</v>
      </c>
      <c r="K4529" s="9">
        <v>175</v>
      </c>
      <c r="L4529" s="9">
        <v>2026</v>
      </c>
      <c r="M4529" s="8" t="s">
        <v>26165</v>
      </c>
      <c r="N4529" s="8" t="s">
        <v>243</v>
      </c>
      <c r="O4529" s="8" t="s">
        <v>933</v>
      </c>
      <c r="P4529" s="6" t="s">
        <v>39</v>
      </c>
      <c r="Q4529" s="8" t="s">
        <v>40</v>
      </c>
      <c r="R4529" s="10" t="s">
        <v>13913</v>
      </c>
      <c r="S4529" s="11"/>
      <c r="T4529" s="6"/>
      <c r="U4529" s="15" t="str">
        <f>HYPERLINK("https://media.infra-m.ru/2226/2226482/cover/2226482.jpg", "Обложка")</f>
        <v>Обложка</v>
      </c>
      <c r="V4529" s="8" t="s">
        <v>1083</v>
      </c>
      <c r="W4529" s="6"/>
      <c r="X4529" s="6"/>
      <c r="Y4529" s="6"/>
      <c r="Z4529" s="6"/>
      <c r="AA4529" s="6" t="s">
        <v>86</v>
      </c>
      <c r="AB4529" s="8"/>
      <c r="AC4529" s="27">
        <v>9785160179919</v>
      </c>
    </row>
    <row r="4530" spans="1:29" s="4" customFormat="1" ht="42" customHeight="1" x14ac:dyDescent="0.2">
      <c r="A4530" s="5">
        <v>0</v>
      </c>
      <c r="B4530" s="6" t="s">
        <v>26166</v>
      </c>
      <c r="C4530" s="7">
        <v>1382.3</v>
      </c>
      <c r="D4530" s="8" t="s">
        <v>26167</v>
      </c>
      <c r="E4530" s="8" t="s">
        <v>26168</v>
      </c>
      <c r="F4530" s="8" t="s">
        <v>26169</v>
      </c>
      <c r="G4530" s="6" t="s">
        <v>60</v>
      </c>
      <c r="H4530" s="6" t="s">
        <v>134</v>
      </c>
      <c r="I4530" s="8"/>
      <c r="J4530" s="14">
        <v>0</v>
      </c>
      <c r="K4530" s="9">
        <v>704</v>
      </c>
      <c r="L4530" s="9">
        <v>2016</v>
      </c>
      <c r="M4530" s="8" t="s">
        <v>26170</v>
      </c>
      <c r="N4530" s="8" t="s">
        <v>37</v>
      </c>
      <c r="O4530" s="8" t="s">
        <v>136</v>
      </c>
      <c r="P4530" s="6" t="s">
        <v>7146</v>
      </c>
      <c r="Q4530" s="8" t="s">
        <v>40</v>
      </c>
      <c r="R4530" s="10"/>
      <c r="S4530" s="11"/>
      <c r="T4530" s="6"/>
      <c r="U4530" s="15" t="str">
        <f>HYPERLINK("https://media.infra-m.ru/0761/0761236/cover/761236.jpg", "Обложка")</f>
        <v>Обложка</v>
      </c>
      <c r="V4530" s="8" t="s">
        <v>26171</v>
      </c>
      <c r="W4530" s="6"/>
      <c r="X4530" s="6"/>
      <c r="Y4530" s="6"/>
      <c r="Z4530" s="6"/>
      <c r="AA4530" s="6" t="s">
        <v>779</v>
      </c>
      <c r="AB4530" s="8"/>
      <c r="AC4530" s="27">
        <v>9785917687544</v>
      </c>
    </row>
    <row r="4531" spans="1:29" s="4" customFormat="1" ht="42" customHeight="1" x14ac:dyDescent="0.2">
      <c r="A4531" s="5">
        <v>0</v>
      </c>
      <c r="B4531" s="6" t="s">
        <v>26172</v>
      </c>
      <c r="C4531" s="7">
        <v>1490.3</v>
      </c>
      <c r="D4531" s="8" t="s">
        <v>26173</v>
      </c>
      <c r="E4531" s="8" t="s">
        <v>26174</v>
      </c>
      <c r="F4531" s="8" t="s">
        <v>26175</v>
      </c>
      <c r="G4531" s="6" t="s">
        <v>60</v>
      </c>
      <c r="H4531" s="6" t="s">
        <v>134</v>
      </c>
      <c r="I4531" s="8"/>
      <c r="J4531" s="9">
        <v>6</v>
      </c>
      <c r="K4531" s="9">
        <v>720</v>
      </c>
      <c r="L4531" s="9">
        <v>2016</v>
      </c>
      <c r="M4531" s="8" t="s">
        <v>26176</v>
      </c>
      <c r="N4531" s="8" t="s">
        <v>37</v>
      </c>
      <c r="O4531" s="8" t="s">
        <v>136</v>
      </c>
      <c r="P4531" s="6" t="s">
        <v>7146</v>
      </c>
      <c r="Q4531" s="8" t="s">
        <v>40</v>
      </c>
      <c r="R4531" s="10"/>
      <c r="S4531" s="11"/>
      <c r="T4531" s="6"/>
      <c r="U4531" s="15" t="str">
        <f>HYPERLINK("https://media.infra-m.ru/0761/0761237/cover/761237.jpg", "Обложка")</f>
        <v>Обложка</v>
      </c>
      <c r="V4531" s="8" t="s">
        <v>1184</v>
      </c>
      <c r="W4531" s="6"/>
      <c r="X4531" s="6"/>
      <c r="Y4531" s="6"/>
      <c r="Z4531" s="6"/>
      <c r="AA4531" s="6" t="s">
        <v>779</v>
      </c>
      <c r="AB4531" s="8"/>
      <c r="AC4531" s="27">
        <v>9785917687551</v>
      </c>
    </row>
    <row r="4532" spans="1:29" s="4" customFormat="1" ht="42" customHeight="1" x14ac:dyDescent="0.2">
      <c r="A4532" s="5">
        <v>0</v>
      </c>
      <c r="B4532" s="6" t="s">
        <v>26177</v>
      </c>
      <c r="C4532" s="7">
        <v>1526.3</v>
      </c>
      <c r="D4532" s="8" t="s">
        <v>26178</v>
      </c>
      <c r="E4532" s="8" t="s">
        <v>26179</v>
      </c>
      <c r="F4532" s="8" t="s">
        <v>26180</v>
      </c>
      <c r="G4532" s="6" t="s">
        <v>60</v>
      </c>
      <c r="H4532" s="6" t="s">
        <v>134</v>
      </c>
      <c r="I4532" s="8"/>
      <c r="J4532" s="9">
        <v>6</v>
      </c>
      <c r="K4532" s="9">
        <v>784</v>
      </c>
      <c r="L4532" s="9">
        <v>2016</v>
      </c>
      <c r="M4532" s="8" t="s">
        <v>26181</v>
      </c>
      <c r="N4532" s="8" t="s">
        <v>37</v>
      </c>
      <c r="O4532" s="8" t="s">
        <v>136</v>
      </c>
      <c r="P4532" s="6" t="s">
        <v>7146</v>
      </c>
      <c r="Q4532" s="8" t="s">
        <v>40</v>
      </c>
      <c r="R4532" s="10"/>
      <c r="S4532" s="11"/>
      <c r="T4532" s="6"/>
      <c r="U4532" s="15" t="str">
        <f>HYPERLINK("https://media.infra-m.ru/0761/0761240/cover/761240.jpg", "Обложка")</f>
        <v>Обложка</v>
      </c>
      <c r="V4532" s="8" t="s">
        <v>26171</v>
      </c>
      <c r="W4532" s="6"/>
      <c r="X4532" s="6"/>
      <c r="Y4532" s="6"/>
      <c r="Z4532" s="6"/>
      <c r="AA4532" s="6" t="s">
        <v>779</v>
      </c>
      <c r="AB4532" s="8"/>
      <c r="AC4532" s="27">
        <v>9785917687650</v>
      </c>
    </row>
    <row r="4533" spans="1:29" s="4" customFormat="1" ht="42" customHeight="1" x14ac:dyDescent="0.2">
      <c r="A4533" s="5">
        <v>0</v>
      </c>
      <c r="B4533" s="6" t="s">
        <v>26182</v>
      </c>
      <c r="C4533" s="7">
        <v>1440</v>
      </c>
      <c r="D4533" s="8" t="s">
        <v>26183</v>
      </c>
      <c r="E4533" s="8" t="s">
        <v>26184</v>
      </c>
      <c r="F4533" s="8" t="s">
        <v>26185</v>
      </c>
      <c r="G4533" s="6" t="s">
        <v>33</v>
      </c>
      <c r="H4533" s="6" t="s">
        <v>34</v>
      </c>
      <c r="I4533" s="8" t="s">
        <v>35</v>
      </c>
      <c r="J4533" s="9">
        <v>1</v>
      </c>
      <c r="K4533" s="9">
        <v>307</v>
      </c>
      <c r="L4533" s="9">
        <v>2022</v>
      </c>
      <c r="M4533" s="8" t="s">
        <v>26186</v>
      </c>
      <c r="N4533" s="8" t="s">
        <v>243</v>
      </c>
      <c r="O4533" s="8" t="s">
        <v>758</v>
      </c>
      <c r="P4533" s="6" t="s">
        <v>39</v>
      </c>
      <c r="Q4533" s="8" t="s">
        <v>40</v>
      </c>
      <c r="R4533" s="10" t="s">
        <v>6292</v>
      </c>
      <c r="S4533" s="11"/>
      <c r="T4533" s="6"/>
      <c r="U4533" s="15" t="str">
        <f>HYPERLINK("https://media.infra-m.ru/1141/1141767/cover/1141767.jpg", "Обложка")</f>
        <v>Обложка</v>
      </c>
      <c r="V4533" s="8" t="s">
        <v>831</v>
      </c>
      <c r="W4533" s="6"/>
      <c r="X4533" s="6"/>
      <c r="Y4533" s="6"/>
      <c r="Z4533" s="6"/>
      <c r="AA4533" s="6" t="s">
        <v>148</v>
      </c>
      <c r="AB4533" s="8"/>
      <c r="AC4533" s="27">
        <v>9785160164229</v>
      </c>
    </row>
    <row r="4534" spans="1:29" s="4" customFormat="1" ht="51.9" customHeight="1" x14ac:dyDescent="0.2">
      <c r="A4534" s="5">
        <v>0</v>
      </c>
      <c r="B4534" s="6" t="s">
        <v>26187</v>
      </c>
      <c r="C4534" s="7">
        <v>2140.8000000000002</v>
      </c>
      <c r="D4534" s="8" t="s">
        <v>26188</v>
      </c>
      <c r="E4534" s="8" t="s">
        <v>26189</v>
      </c>
      <c r="F4534" s="8" t="s">
        <v>21360</v>
      </c>
      <c r="G4534" s="6" t="s">
        <v>118</v>
      </c>
      <c r="H4534" s="6" t="s">
        <v>34</v>
      </c>
      <c r="I4534" s="8" t="s">
        <v>271</v>
      </c>
      <c r="J4534" s="9">
        <v>1</v>
      </c>
      <c r="K4534" s="9">
        <v>388</v>
      </c>
      <c r="L4534" s="9">
        <v>2024</v>
      </c>
      <c r="M4534" s="8" t="s">
        <v>26190</v>
      </c>
      <c r="N4534" s="8" t="s">
        <v>37</v>
      </c>
      <c r="O4534" s="8" t="s">
        <v>280</v>
      </c>
      <c r="P4534" s="6" t="s">
        <v>51</v>
      </c>
      <c r="Q4534" s="8" t="s">
        <v>52</v>
      </c>
      <c r="R4534" s="10" t="s">
        <v>21369</v>
      </c>
      <c r="S4534" s="11" t="s">
        <v>26191</v>
      </c>
      <c r="T4534" s="6"/>
      <c r="U4534" s="15" t="str">
        <f>HYPERLINK("https://media.infra-m.ru/2073/2073496/cover/2073496.jpg", "Обложка")</f>
        <v>Обложка</v>
      </c>
      <c r="V4534" s="8" t="s">
        <v>247</v>
      </c>
      <c r="W4534" s="6"/>
      <c r="X4534" s="6"/>
      <c r="Y4534" s="6"/>
      <c r="Z4534" s="6"/>
      <c r="AA4534" s="6" t="s">
        <v>3189</v>
      </c>
      <c r="AB4534" s="8"/>
      <c r="AC4534" s="27">
        <v>9785160172774</v>
      </c>
    </row>
    <row r="4535" spans="1:29" s="4" customFormat="1" ht="51.9" customHeight="1" x14ac:dyDescent="0.2">
      <c r="A4535" s="5">
        <v>0</v>
      </c>
      <c r="B4535" s="6" t="s">
        <v>26192</v>
      </c>
      <c r="C4535" s="7">
        <v>1733.9</v>
      </c>
      <c r="D4535" s="8" t="s">
        <v>26193</v>
      </c>
      <c r="E4535" s="8" t="s">
        <v>26194</v>
      </c>
      <c r="F4535" s="8" t="s">
        <v>26195</v>
      </c>
      <c r="G4535" s="6" t="s">
        <v>33</v>
      </c>
      <c r="H4535" s="6" t="s">
        <v>313</v>
      </c>
      <c r="I4535" s="8" t="s">
        <v>35</v>
      </c>
      <c r="J4535" s="9">
        <v>1</v>
      </c>
      <c r="K4535" s="9">
        <v>337</v>
      </c>
      <c r="L4535" s="9">
        <v>2019</v>
      </c>
      <c r="M4535" s="8" t="s">
        <v>26196</v>
      </c>
      <c r="N4535" s="8" t="s">
        <v>37</v>
      </c>
      <c r="O4535" s="8" t="s">
        <v>280</v>
      </c>
      <c r="P4535" s="6" t="s">
        <v>39</v>
      </c>
      <c r="Q4535" s="8" t="s">
        <v>40</v>
      </c>
      <c r="R4535" s="10" t="s">
        <v>26197</v>
      </c>
      <c r="S4535" s="11"/>
      <c r="T4535" s="6"/>
      <c r="U4535" s="15" t="str">
        <f>HYPERLINK("https://media.infra-m.ru/1010/1010096/cover/1010096.jpg", "Обложка")</f>
        <v>Обложка</v>
      </c>
      <c r="V4535" s="8" t="s">
        <v>247</v>
      </c>
      <c r="W4535" s="6"/>
      <c r="X4535" s="6"/>
      <c r="Y4535" s="6"/>
      <c r="Z4535" s="6"/>
      <c r="AA4535" s="6" t="s">
        <v>55</v>
      </c>
      <c r="AB4535" s="8"/>
      <c r="AC4535" s="27">
        <v>9785369011522</v>
      </c>
    </row>
    <row r="4536" spans="1:29" s="4" customFormat="1" ht="51.9" customHeight="1" x14ac:dyDescent="0.2">
      <c r="A4536" s="5">
        <v>0</v>
      </c>
      <c r="B4536" s="6" t="s">
        <v>26198</v>
      </c>
      <c r="C4536" s="7">
        <v>1372.8</v>
      </c>
      <c r="D4536" s="8" t="s">
        <v>26199</v>
      </c>
      <c r="E4536" s="8" t="s">
        <v>26200</v>
      </c>
      <c r="F4536" s="8" t="s">
        <v>26201</v>
      </c>
      <c r="G4536" s="6" t="s">
        <v>33</v>
      </c>
      <c r="H4536" s="6" t="s">
        <v>34</v>
      </c>
      <c r="I4536" s="8" t="s">
        <v>35</v>
      </c>
      <c r="J4536" s="9">
        <v>1</v>
      </c>
      <c r="K4536" s="9">
        <v>253</v>
      </c>
      <c r="L4536" s="9">
        <v>2023</v>
      </c>
      <c r="M4536" s="8" t="s">
        <v>26202</v>
      </c>
      <c r="N4536" s="8" t="s">
        <v>37</v>
      </c>
      <c r="O4536" s="8" t="s">
        <v>280</v>
      </c>
      <c r="P4536" s="6" t="s">
        <v>39</v>
      </c>
      <c r="Q4536" s="8" t="s">
        <v>40</v>
      </c>
      <c r="R4536" s="10" t="s">
        <v>26203</v>
      </c>
      <c r="S4536" s="11"/>
      <c r="T4536" s="6"/>
      <c r="U4536" s="15" t="str">
        <f>HYPERLINK("https://media.infra-m.ru/2045/2045964/cover/2045964.jpg", "Обложка")</f>
        <v>Обложка</v>
      </c>
      <c r="V4536" s="8" t="s">
        <v>247</v>
      </c>
      <c r="W4536" s="6"/>
      <c r="X4536" s="6"/>
      <c r="Y4536" s="6"/>
      <c r="Z4536" s="6"/>
      <c r="AA4536" s="6" t="s">
        <v>430</v>
      </c>
      <c r="AB4536" s="8"/>
      <c r="AC4536" s="27">
        <v>9785160161303</v>
      </c>
    </row>
    <row r="4537" spans="1:29" s="4" customFormat="1" ht="42" customHeight="1" x14ac:dyDescent="0.2">
      <c r="A4537" s="5">
        <v>0</v>
      </c>
      <c r="B4537" s="6" t="s">
        <v>26204</v>
      </c>
      <c r="C4537" s="7">
        <v>1252.8</v>
      </c>
      <c r="D4537" s="8" t="s">
        <v>26205</v>
      </c>
      <c r="E4537" s="8" t="s">
        <v>26206</v>
      </c>
      <c r="F4537" s="8" t="s">
        <v>26207</v>
      </c>
      <c r="G4537" s="6" t="s">
        <v>33</v>
      </c>
      <c r="H4537" s="6" t="s">
        <v>34</v>
      </c>
      <c r="I4537" s="8"/>
      <c r="J4537" s="9">
        <v>1</v>
      </c>
      <c r="K4537" s="9">
        <v>200</v>
      </c>
      <c r="L4537" s="9">
        <v>2025</v>
      </c>
      <c r="M4537" s="8" t="s">
        <v>26208</v>
      </c>
      <c r="N4537" s="8" t="s">
        <v>585</v>
      </c>
      <c r="O4537" s="8" t="s">
        <v>775</v>
      </c>
      <c r="P4537" s="6" t="s">
        <v>51</v>
      </c>
      <c r="Q4537" s="8" t="s">
        <v>52</v>
      </c>
      <c r="R4537" s="10" t="s">
        <v>26209</v>
      </c>
      <c r="S4537" s="11"/>
      <c r="T4537" s="6"/>
      <c r="U4537" s="15" t="str">
        <f>HYPERLINK("https://media.infra-m.ru/2194/2194390/cover/2194390.jpg", "Обложка")</f>
        <v>Обложка</v>
      </c>
      <c r="V4537" s="8" t="s">
        <v>1083</v>
      </c>
      <c r="W4537" s="6"/>
      <c r="X4537" s="6"/>
      <c r="Y4537" s="6"/>
      <c r="Z4537" s="6"/>
      <c r="AA4537" s="6" t="s">
        <v>274</v>
      </c>
      <c r="AB4537" s="8"/>
      <c r="AC4537" s="27">
        <v>9785160100975</v>
      </c>
    </row>
    <row r="4538" spans="1:29" s="4" customFormat="1" ht="51.9" customHeight="1" x14ac:dyDescent="0.2">
      <c r="A4538" s="5">
        <v>0</v>
      </c>
      <c r="B4538" s="6" t="s">
        <v>26210</v>
      </c>
      <c r="C4538" s="7">
        <v>1080</v>
      </c>
      <c r="D4538" s="8" t="s">
        <v>26211</v>
      </c>
      <c r="E4538" s="8" t="s">
        <v>26212</v>
      </c>
      <c r="F4538" s="8" t="s">
        <v>231</v>
      </c>
      <c r="G4538" s="6" t="s">
        <v>33</v>
      </c>
      <c r="H4538" s="6" t="s">
        <v>34</v>
      </c>
      <c r="I4538" s="8"/>
      <c r="J4538" s="9">
        <v>1</v>
      </c>
      <c r="K4538" s="9">
        <v>170</v>
      </c>
      <c r="L4538" s="9">
        <v>2026</v>
      </c>
      <c r="M4538" s="8" t="s">
        <v>26213</v>
      </c>
      <c r="N4538" s="8" t="s">
        <v>37</v>
      </c>
      <c r="O4538" s="8" t="s">
        <v>499</v>
      </c>
      <c r="P4538" s="6" t="s">
        <v>234</v>
      </c>
      <c r="Q4538" s="8" t="s">
        <v>40</v>
      </c>
      <c r="R4538" s="10" t="s">
        <v>26214</v>
      </c>
      <c r="S4538" s="11"/>
      <c r="T4538" s="6"/>
      <c r="U4538" s="15" t="str">
        <f>HYPERLINK("https://media.infra-m.ru/2239/2239757/cover/2239757.jpg", "Обложка")</f>
        <v>Обложка</v>
      </c>
      <c r="V4538" s="8" t="s">
        <v>236</v>
      </c>
      <c r="W4538" s="6"/>
      <c r="X4538" s="6"/>
      <c r="Y4538" s="6"/>
      <c r="Z4538" s="6"/>
      <c r="AA4538" s="6" t="s">
        <v>76</v>
      </c>
      <c r="AB4538" s="8"/>
      <c r="AC4538" s="27">
        <v>9785160199214</v>
      </c>
    </row>
    <row r="4539" spans="1:29" s="4" customFormat="1" ht="51.9" customHeight="1" x14ac:dyDescent="0.2">
      <c r="A4539" s="5">
        <v>0</v>
      </c>
      <c r="B4539" s="6" t="s">
        <v>26215</v>
      </c>
      <c r="C4539" s="7">
        <v>1300.8</v>
      </c>
      <c r="D4539" s="8" t="s">
        <v>26216</v>
      </c>
      <c r="E4539" s="8" t="s">
        <v>26217</v>
      </c>
      <c r="F4539" s="8" t="s">
        <v>26218</v>
      </c>
      <c r="G4539" s="6" t="s">
        <v>33</v>
      </c>
      <c r="H4539" s="6" t="s">
        <v>820</v>
      </c>
      <c r="I4539" s="8" t="s">
        <v>394</v>
      </c>
      <c r="J4539" s="9">
        <v>1</v>
      </c>
      <c r="K4539" s="9">
        <v>208</v>
      </c>
      <c r="L4539" s="9">
        <v>2026</v>
      </c>
      <c r="M4539" s="8" t="s">
        <v>26219</v>
      </c>
      <c r="N4539" s="8" t="s">
        <v>63</v>
      </c>
      <c r="O4539" s="8" t="s">
        <v>154</v>
      </c>
      <c r="P4539" s="6" t="s">
        <v>394</v>
      </c>
      <c r="Q4539" s="8" t="s">
        <v>52</v>
      </c>
      <c r="R4539" s="10" t="s">
        <v>26220</v>
      </c>
      <c r="S4539" s="11"/>
      <c r="T4539" s="6"/>
      <c r="U4539" s="15" t="str">
        <f>HYPERLINK("https://media.infra-m.ru/2218/2218863/cover/2218863.jpg", "Обложка")</f>
        <v>Обложка</v>
      </c>
      <c r="V4539" s="8" t="s">
        <v>4448</v>
      </c>
      <c r="W4539" s="6"/>
      <c r="X4539" s="6"/>
      <c r="Y4539" s="6"/>
      <c r="Z4539" s="6"/>
      <c r="AA4539" s="6" t="s">
        <v>248</v>
      </c>
      <c r="AB4539" s="8"/>
      <c r="AC4539" s="27">
        <v>9785905554391</v>
      </c>
    </row>
    <row r="4540" spans="1:29" s="4" customFormat="1" ht="51.9" customHeight="1" x14ac:dyDescent="0.2">
      <c r="A4540" s="5">
        <v>0</v>
      </c>
      <c r="B4540" s="6" t="s">
        <v>26221</v>
      </c>
      <c r="C4540" s="7">
        <v>1188</v>
      </c>
      <c r="D4540" s="8" t="s">
        <v>26222</v>
      </c>
      <c r="E4540" s="8" t="s">
        <v>26223</v>
      </c>
      <c r="F4540" s="8" t="s">
        <v>22388</v>
      </c>
      <c r="G4540" s="6" t="s">
        <v>118</v>
      </c>
      <c r="H4540" s="6" t="s">
        <v>34</v>
      </c>
      <c r="I4540" s="8"/>
      <c r="J4540" s="9">
        <v>1</v>
      </c>
      <c r="K4540" s="9">
        <v>284</v>
      </c>
      <c r="L4540" s="9">
        <v>2020</v>
      </c>
      <c r="M4540" s="8" t="s">
        <v>26224</v>
      </c>
      <c r="N4540" s="8" t="s">
        <v>37</v>
      </c>
      <c r="O4540" s="8" t="s">
        <v>280</v>
      </c>
      <c r="P4540" s="6" t="s">
        <v>39</v>
      </c>
      <c r="Q4540" s="8"/>
      <c r="R4540" s="10" t="s">
        <v>18653</v>
      </c>
      <c r="S4540" s="11"/>
      <c r="T4540" s="6"/>
      <c r="U4540" s="15" t="str">
        <f>HYPERLINK("https://media.infra-m.ru/1087/1087674/cover/1087674.jpg", "Обложка")</f>
        <v>Обложка</v>
      </c>
      <c r="V4540" s="8" t="s">
        <v>644</v>
      </c>
      <c r="W4540" s="6"/>
      <c r="X4540" s="6"/>
      <c r="Y4540" s="6"/>
      <c r="Z4540" s="6"/>
      <c r="AA4540" s="6" t="s">
        <v>1256</v>
      </c>
      <c r="AB4540" s="8"/>
      <c r="AC4540" s="27">
        <v>9785160162072</v>
      </c>
    </row>
    <row r="4541" spans="1:29" s="4" customFormat="1" ht="51.9" customHeight="1" x14ac:dyDescent="0.2">
      <c r="A4541" s="5">
        <v>0</v>
      </c>
      <c r="B4541" s="6" t="s">
        <v>26225</v>
      </c>
      <c r="C4541" s="7">
        <v>2392.8000000000002</v>
      </c>
      <c r="D4541" s="8" t="s">
        <v>26226</v>
      </c>
      <c r="E4541" s="8" t="s">
        <v>26227</v>
      </c>
      <c r="F4541" s="8" t="s">
        <v>26228</v>
      </c>
      <c r="G4541" s="6" t="s">
        <v>60</v>
      </c>
      <c r="H4541" s="6" t="s">
        <v>1644</v>
      </c>
      <c r="I4541" s="8"/>
      <c r="J4541" s="9">
        <v>1</v>
      </c>
      <c r="K4541" s="9">
        <v>384</v>
      </c>
      <c r="L4541" s="9">
        <v>2025</v>
      </c>
      <c r="M4541" s="8" t="s">
        <v>26229</v>
      </c>
      <c r="N4541" s="8" t="s">
        <v>37</v>
      </c>
      <c r="O4541" s="8" t="s">
        <v>499</v>
      </c>
      <c r="P4541" s="6" t="s">
        <v>51</v>
      </c>
      <c r="Q4541" s="8" t="s">
        <v>65</v>
      </c>
      <c r="R4541" s="10" t="s">
        <v>26230</v>
      </c>
      <c r="S4541" s="11"/>
      <c r="T4541" s="6"/>
      <c r="U4541" s="15" t="str">
        <f>HYPERLINK("https://media.infra-m.ru/2192/2192758/cover/2192758.jpg", "Обложка")</f>
        <v>Обложка</v>
      </c>
      <c r="V4541" s="8" t="s">
        <v>3787</v>
      </c>
      <c r="W4541" s="6"/>
      <c r="X4541" s="6"/>
      <c r="Y4541" s="6"/>
      <c r="Z4541" s="6"/>
      <c r="AA4541" s="6" t="s">
        <v>43</v>
      </c>
      <c r="AB4541" s="8"/>
      <c r="AC4541" s="27">
        <v>9785977602419</v>
      </c>
    </row>
    <row r="4542" spans="1:29" s="4" customFormat="1" ht="51.9" customHeight="1" x14ac:dyDescent="0.2">
      <c r="A4542" s="5">
        <v>0</v>
      </c>
      <c r="B4542" s="6" t="s">
        <v>26231</v>
      </c>
      <c r="C4542" s="13">
        <v>592.79999999999995</v>
      </c>
      <c r="D4542" s="8" t="s">
        <v>26232</v>
      </c>
      <c r="E4542" s="8" t="s">
        <v>26233</v>
      </c>
      <c r="F4542" s="8" t="s">
        <v>26234</v>
      </c>
      <c r="G4542" s="6" t="s">
        <v>33</v>
      </c>
      <c r="H4542" s="6" t="s">
        <v>1042</v>
      </c>
      <c r="I4542" s="8"/>
      <c r="J4542" s="9">
        <v>1</v>
      </c>
      <c r="K4542" s="9">
        <v>96</v>
      </c>
      <c r="L4542" s="9">
        <v>2026</v>
      </c>
      <c r="M4542" s="8" t="s">
        <v>26235</v>
      </c>
      <c r="N4542" s="8" t="s">
        <v>37</v>
      </c>
      <c r="O4542" s="8" t="s">
        <v>499</v>
      </c>
      <c r="P4542" s="6" t="s">
        <v>51</v>
      </c>
      <c r="Q4542" s="8" t="s">
        <v>52</v>
      </c>
      <c r="R4542" s="10" t="s">
        <v>26236</v>
      </c>
      <c r="S4542" s="11" t="s">
        <v>26237</v>
      </c>
      <c r="T4542" s="6"/>
      <c r="U4542" s="15" t="str">
        <f>HYPERLINK("https://media.infra-m.ru/2213/2213707/cover/2213707.jpg", "Обложка")</f>
        <v>Обложка</v>
      </c>
      <c r="V4542" s="8" t="s">
        <v>396</v>
      </c>
      <c r="W4542" s="6"/>
      <c r="X4542" s="6"/>
      <c r="Y4542" s="6"/>
      <c r="Z4542" s="6"/>
      <c r="AA4542" s="6" t="s">
        <v>55</v>
      </c>
      <c r="AB4542" s="8"/>
      <c r="AC4542" s="27">
        <v>9785819905548</v>
      </c>
    </row>
    <row r="4543" spans="1:29" s="4" customFormat="1" ht="42" customHeight="1" x14ac:dyDescent="0.2">
      <c r="A4543" s="5">
        <v>0</v>
      </c>
      <c r="B4543" s="6" t="s">
        <v>26238</v>
      </c>
      <c r="C4543" s="7">
        <v>1068</v>
      </c>
      <c r="D4543" s="8" t="s">
        <v>26239</v>
      </c>
      <c r="E4543" s="8" t="s">
        <v>26240</v>
      </c>
      <c r="F4543" s="8" t="s">
        <v>26241</v>
      </c>
      <c r="G4543" s="6" t="s">
        <v>60</v>
      </c>
      <c r="H4543" s="6" t="s">
        <v>34</v>
      </c>
      <c r="I4543" s="8" t="s">
        <v>457</v>
      </c>
      <c r="J4543" s="9">
        <v>1</v>
      </c>
      <c r="K4543" s="9">
        <v>116</v>
      </c>
      <c r="L4543" s="9">
        <v>2026</v>
      </c>
      <c r="M4543" s="8" t="s">
        <v>26242</v>
      </c>
      <c r="N4543" s="8" t="s">
        <v>37</v>
      </c>
      <c r="O4543" s="8" t="s">
        <v>280</v>
      </c>
      <c r="P4543" s="6" t="s">
        <v>7441</v>
      </c>
      <c r="Q4543" s="8" t="s">
        <v>40</v>
      </c>
      <c r="R4543" s="10" t="s">
        <v>3832</v>
      </c>
      <c r="S4543" s="11"/>
      <c r="T4543" s="6"/>
      <c r="U4543" s="15" t="str">
        <f>HYPERLINK("https://media.infra-m.ru/2244/2244547/cover/2244547.jpg", "Обложка")</f>
        <v>Обложка</v>
      </c>
      <c r="V4543" s="8" t="s">
        <v>247</v>
      </c>
      <c r="W4543" s="6" t="s">
        <v>351</v>
      </c>
      <c r="X4543" s="6"/>
      <c r="Y4543" s="6"/>
      <c r="Z4543" s="6"/>
      <c r="AA4543" s="6" t="s">
        <v>187</v>
      </c>
      <c r="AB4543" s="8"/>
      <c r="AC4543" s="27">
        <v>9785160219882</v>
      </c>
    </row>
    <row r="4544" spans="1:29" s="4" customFormat="1" ht="51.9" customHeight="1" x14ac:dyDescent="0.2">
      <c r="A4544" s="5">
        <v>0</v>
      </c>
      <c r="B4544" s="6" t="s">
        <v>26243</v>
      </c>
      <c r="C4544" s="7">
        <v>2124</v>
      </c>
      <c r="D4544" s="8" t="s">
        <v>26244</v>
      </c>
      <c r="E4544" s="8" t="s">
        <v>26245</v>
      </c>
      <c r="F4544" s="8" t="s">
        <v>26246</v>
      </c>
      <c r="G4544" s="6" t="s">
        <v>33</v>
      </c>
      <c r="H4544" s="6" t="s">
        <v>34</v>
      </c>
      <c r="I4544" s="8" t="s">
        <v>35</v>
      </c>
      <c r="J4544" s="9">
        <v>1</v>
      </c>
      <c r="K4544" s="9">
        <v>321</v>
      </c>
      <c r="L4544" s="9">
        <v>2026</v>
      </c>
      <c r="M4544" s="8" t="s">
        <v>26247</v>
      </c>
      <c r="N4544" s="8" t="s">
        <v>243</v>
      </c>
      <c r="O4544" s="8" t="s">
        <v>758</v>
      </c>
      <c r="P4544" s="6" t="s">
        <v>39</v>
      </c>
      <c r="Q4544" s="8" t="s">
        <v>40</v>
      </c>
      <c r="R4544" s="10" t="s">
        <v>26248</v>
      </c>
      <c r="S4544" s="11"/>
      <c r="T4544" s="6" t="s">
        <v>97</v>
      </c>
      <c r="U4544" s="15" t="str">
        <f>HYPERLINK("https://media.infra-m.ru/2238/2238383/cover/2238383.jpg", "Обложка")</f>
        <v>Обложка</v>
      </c>
      <c r="V4544" s="8" t="s">
        <v>20440</v>
      </c>
      <c r="W4544" s="6"/>
      <c r="X4544" s="6"/>
      <c r="Y4544" s="6"/>
      <c r="Z4544" s="6"/>
      <c r="AA4544" s="6" t="s">
        <v>274</v>
      </c>
      <c r="AB4544" s="8"/>
      <c r="AC4544" s="27">
        <v>9785160104140</v>
      </c>
    </row>
    <row r="4545" spans="1:29" s="4" customFormat="1" ht="51.9" customHeight="1" x14ac:dyDescent="0.2">
      <c r="A4545" s="5">
        <v>0</v>
      </c>
      <c r="B4545" s="6" t="s">
        <v>26249</v>
      </c>
      <c r="C4545" s="7">
        <v>2188.8000000000002</v>
      </c>
      <c r="D4545" s="8" t="s">
        <v>26250</v>
      </c>
      <c r="E4545" s="8" t="s">
        <v>26251</v>
      </c>
      <c r="F4545" s="8" t="s">
        <v>26252</v>
      </c>
      <c r="G4545" s="6" t="s">
        <v>60</v>
      </c>
      <c r="H4545" s="6" t="s">
        <v>5605</v>
      </c>
      <c r="I4545" s="8" t="s">
        <v>253</v>
      </c>
      <c r="J4545" s="9">
        <v>1</v>
      </c>
      <c r="K4545" s="9">
        <v>395</v>
      </c>
      <c r="L4545" s="9">
        <v>2024</v>
      </c>
      <c r="M4545" s="8" t="s">
        <v>26253</v>
      </c>
      <c r="N4545" s="8" t="s">
        <v>37</v>
      </c>
      <c r="O4545" s="8" t="s">
        <v>280</v>
      </c>
      <c r="P4545" s="6" t="s">
        <v>105</v>
      </c>
      <c r="Q4545" s="8" t="s">
        <v>52</v>
      </c>
      <c r="R4545" s="10" t="s">
        <v>20641</v>
      </c>
      <c r="S4545" s="11"/>
      <c r="T4545" s="6"/>
      <c r="U4545" s="15" t="str">
        <f>HYPERLINK("https://media.infra-m.ru/2054/2054995/cover/2054995.jpg", "Обложка")</f>
        <v>Обложка</v>
      </c>
      <c r="V4545" s="8" t="s">
        <v>396</v>
      </c>
      <c r="W4545" s="6"/>
      <c r="X4545" s="6"/>
      <c r="Y4545" s="6"/>
      <c r="Z4545" s="6"/>
      <c r="AA4545" s="6" t="s">
        <v>1506</v>
      </c>
      <c r="AB4545" s="8"/>
      <c r="AC4545" s="27">
        <v>5160027084</v>
      </c>
    </row>
    <row r="4546" spans="1:29" s="4" customFormat="1" ht="51.9" customHeight="1" x14ac:dyDescent="0.2">
      <c r="A4546" s="5">
        <v>0</v>
      </c>
      <c r="B4546" s="6" t="s">
        <v>26254</v>
      </c>
      <c r="C4546" s="7">
        <v>1216.8</v>
      </c>
      <c r="D4546" s="8" t="s">
        <v>26255</v>
      </c>
      <c r="E4546" s="8" t="s">
        <v>26256</v>
      </c>
      <c r="F4546" s="8" t="s">
        <v>26257</v>
      </c>
      <c r="G4546" s="6" t="s">
        <v>60</v>
      </c>
      <c r="H4546" s="6" t="s">
        <v>5605</v>
      </c>
      <c r="I4546" s="8" t="s">
        <v>253</v>
      </c>
      <c r="J4546" s="9">
        <v>1</v>
      </c>
      <c r="K4546" s="9">
        <v>175</v>
      </c>
      <c r="L4546" s="9">
        <v>2026</v>
      </c>
      <c r="M4546" s="8" t="s">
        <v>26258</v>
      </c>
      <c r="N4546" s="8" t="s">
        <v>63</v>
      </c>
      <c r="O4546" s="8" t="s">
        <v>154</v>
      </c>
      <c r="P4546" s="6" t="s">
        <v>51</v>
      </c>
      <c r="Q4546" s="8" t="s">
        <v>52</v>
      </c>
      <c r="R4546" s="10" t="s">
        <v>26259</v>
      </c>
      <c r="S4546" s="11" t="s">
        <v>26260</v>
      </c>
      <c r="T4546" s="6"/>
      <c r="U4546" s="15" t="str">
        <f>HYPERLINK("https://media.infra-m.ru/2260/2260413/cover/2260413.jpg", "Обложка")</f>
        <v>Обложка</v>
      </c>
      <c r="V4546" s="8" t="s">
        <v>644</v>
      </c>
      <c r="W4546" s="6"/>
      <c r="X4546" s="6"/>
      <c r="Y4546" s="6"/>
      <c r="Z4546" s="6"/>
      <c r="AA4546" s="6" t="s">
        <v>561</v>
      </c>
      <c r="AB4546" s="8"/>
      <c r="AC4546" s="27">
        <v>9785160035123</v>
      </c>
    </row>
    <row r="4547" spans="1:29" s="4" customFormat="1" ht="42" customHeight="1" x14ac:dyDescent="0.2">
      <c r="A4547" s="5">
        <v>0</v>
      </c>
      <c r="B4547" s="6" t="s">
        <v>26261</v>
      </c>
      <c r="C4547" s="7">
        <v>1828.8</v>
      </c>
      <c r="D4547" s="8" t="s">
        <v>26262</v>
      </c>
      <c r="E4547" s="8" t="s">
        <v>26263</v>
      </c>
      <c r="F4547" s="8" t="s">
        <v>20603</v>
      </c>
      <c r="G4547" s="6" t="s">
        <v>118</v>
      </c>
      <c r="H4547" s="6" t="s">
        <v>241</v>
      </c>
      <c r="I4547" s="8" t="s">
        <v>253</v>
      </c>
      <c r="J4547" s="9">
        <v>1</v>
      </c>
      <c r="K4547" s="9">
        <v>278</v>
      </c>
      <c r="L4547" s="9">
        <v>2026</v>
      </c>
      <c r="M4547" s="8" t="s">
        <v>26264</v>
      </c>
      <c r="N4547" s="8" t="s">
        <v>37</v>
      </c>
      <c r="O4547" s="8" t="s">
        <v>280</v>
      </c>
      <c r="P4547" s="6" t="s">
        <v>51</v>
      </c>
      <c r="Q4547" s="8" t="s">
        <v>52</v>
      </c>
      <c r="R4547" s="10" t="s">
        <v>3013</v>
      </c>
      <c r="S4547" s="11"/>
      <c r="T4547" s="6"/>
      <c r="U4547" s="15" t="str">
        <f>HYPERLINK("https://media.infra-m.ru/2238/2238435/cover/2238435.jpg", "Обложка")</f>
        <v>Обложка</v>
      </c>
      <c r="V4547" s="8" t="s">
        <v>1527</v>
      </c>
      <c r="W4547" s="6"/>
      <c r="X4547" s="6"/>
      <c r="Y4547" s="6"/>
      <c r="Z4547" s="6"/>
      <c r="AA4547" s="6" t="s">
        <v>779</v>
      </c>
      <c r="AB4547" s="8"/>
      <c r="AC4547" s="27">
        <v>9785955804750</v>
      </c>
    </row>
    <row r="4548" spans="1:29" s="4" customFormat="1" ht="51.9" customHeight="1" x14ac:dyDescent="0.2">
      <c r="A4548" s="5">
        <v>0</v>
      </c>
      <c r="B4548" s="6" t="s">
        <v>26265</v>
      </c>
      <c r="C4548" s="7">
        <v>2832</v>
      </c>
      <c r="D4548" s="8" t="s">
        <v>26266</v>
      </c>
      <c r="E4548" s="8" t="s">
        <v>26267</v>
      </c>
      <c r="F4548" s="8" t="s">
        <v>26268</v>
      </c>
      <c r="G4548" s="6" t="s">
        <v>60</v>
      </c>
      <c r="H4548" s="6" t="s">
        <v>34</v>
      </c>
      <c r="I4548" s="8" t="s">
        <v>253</v>
      </c>
      <c r="J4548" s="9">
        <v>1</v>
      </c>
      <c r="K4548" s="9">
        <v>429</v>
      </c>
      <c r="L4548" s="9">
        <v>2026</v>
      </c>
      <c r="M4548" s="8" t="s">
        <v>26269</v>
      </c>
      <c r="N4548" s="8" t="s">
        <v>63</v>
      </c>
      <c r="O4548" s="8" t="s">
        <v>154</v>
      </c>
      <c r="P4548" s="6" t="s">
        <v>306</v>
      </c>
      <c r="Q4548" s="8" t="s">
        <v>52</v>
      </c>
      <c r="R4548" s="10" t="s">
        <v>19190</v>
      </c>
      <c r="S4548" s="11" t="s">
        <v>26270</v>
      </c>
      <c r="T4548" s="6" t="s">
        <v>97</v>
      </c>
      <c r="U4548" s="15" t="str">
        <f>HYPERLINK("https://media.infra-m.ru/2239/2239066/cover/2239066.jpg", "Обложка")</f>
        <v>Обложка</v>
      </c>
      <c r="V4548" s="8" t="s">
        <v>6005</v>
      </c>
      <c r="W4548" s="6"/>
      <c r="X4548" s="6"/>
      <c r="Y4548" s="6"/>
      <c r="Z4548" s="6"/>
      <c r="AA4548" s="6" t="s">
        <v>55</v>
      </c>
      <c r="AB4548" s="8"/>
      <c r="AC4548" s="27">
        <v>9785160209227</v>
      </c>
    </row>
    <row r="4549" spans="1:29" s="4" customFormat="1" ht="51.9" customHeight="1" x14ac:dyDescent="0.2">
      <c r="A4549" s="5">
        <v>0</v>
      </c>
      <c r="B4549" s="6" t="s">
        <v>26271</v>
      </c>
      <c r="C4549" s="7">
        <v>1452</v>
      </c>
      <c r="D4549" s="8" t="s">
        <v>26272</v>
      </c>
      <c r="E4549" s="8" t="s">
        <v>26273</v>
      </c>
      <c r="F4549" s="8" t="s">
        <v>26274</v>
      </c>
      <c r="G4549" s="6" t="s">
        <v>118</v>
      </c>
      <c r="H4549" s="6" t="s">
        <v>34</v>
      </c>
      <c r="I4549" s="8" t="s">
        <v>5350</v>
      </c>
      <c r="J4549" s="9">
        <v>1</v>
      </c>
      <c r="K4549" s="9">
        <v>256</v>
      </c>
      <c r="L4549" s="9">
        <v>2024</v>
      </c>
      <c r="M4549" s="8" t="s">
        <v>26275</v>
      </c>
      <c r="N4549" s="8" t="s">
        <v>243</v>
      </c>
      <c r="O4549" s="8" t="s">
        <v>244</v>
      </c>
      <c r="P4549" s="6" t="s">
        <v>51</v>
      </c>
      <c r="Q4549" s="8" t="s">
        <v>377</v>
      </c>
      <c r="R4549" s="10" t="s">
        <v>3904</v>
      </c>
      <c r="S4549" s="11" t="s">
        <v>26276</v>
      </c>
      <c r="T4549" s="6"/>
      <c r="U4549" s="15" t="str">
        <f>HYPERLINK("https://media.infra-m.ru/2139/2139841/cover/2139841.jpg", "Обложка")</f>
        <v>Обложка</v>
      </c>
      <c r="V4549" s="8" t="s">
        <v>26277</v>
      </c>
      <c r="W4549" s="6"/>
      <c r="X4549" s="6"/>
      <c r="Y4549" s="6"/>
      <c r="Z4549" s="6" t="s">
        <v>429</v>
      </c>
      <c r="AA4549" s="6" t="s">
        <v>430</v>
      </c>
      <c r="AB4549" s="8"/>
      <c r="AC4549" s="27">
        <v>9785160165356</v>
      </c>
    </row>
    <row r="4550" spans="1:29" s="4" customFormat="1" ht="51.9" customHeight="1" x14ac:dyDescent="0.2">
      <c r="A4550" s="5">
        <v>0</v>
      </c>
      <c r="B4550" s="6" t="s">
        <v>26278</v>
      </c>
      <c r="C4550" s="7">
        <v>1408.8</v>
      </c>
      <c r="D4550" s="8" t="s">
        <v>26279</v>
      </c>
      <c r="E4550" s="8" t="s">
        <v>26280</v>
      </c>
      <c r="F4550" s="8" t="s">
        <v>26274</v>
      </c>
      <c r="G4550" s="6" t="s">
        <v>60</v>
      </c>
      <c r="H4550" s="6" t="s">
        <v>48</v>
      </c>
      <c r="I4550" s="8" t="s">
        <v>271</v>
      </c>
      <c r="J4550" s="9">
        <v>1</v>
      </c>
      <c r="K4550" s="9">
        <v>256</v>
      </c>
      <c r="L4550" s="9">
        <v>2024</v>
      </c>
      <c r="M4550" s="8" t="s">
        <v>26281</v>
      </c>
      <c r="N4550" s="8" t="s">
        <v>243</v>
      </c>
      <c r="O4550" s="8" t="s">
        <v>244</v>
      </c>
      <c r="P4550" s="6" t="s">
        <v>51</v>
      </c>
      <c r="Q4550" s="8" t="s">
        <v>52</v>
      </c>
      <c r="R4550" s="10" t="s">
        <v>26282</v>
      </c>
      <c r="S4550" s="11" t="s">
        <v>26283</v>
      </c>
      <c r="T4550" s="6"/>
      <c r="U4550" s="15" t="str">
        <f>HYPERLINK("https://media.infra-m.ru/2087/2087256/cover/2087256.jpg", "Обложка")</f>
        <v>Обложка</v>
      </c>
      <c r="V4550" s="8" t="s">
        <v>26277</v>
      </c>
      <c r="W4550" s="6"/>
      <c r="X4550" s="6"/>
      <c r="Y4550" s="6"/>
      <c r="Z4550" s="6"/>
      <c r="AA4550" s="6" t="s">
        <v>859</v>
      </c>
      <c r="AB4550" s="8"/>
      <c r="AC4550" s="27">
        <v>9785000915066</v>
      </c>
    </row>
    <row r="4551" spans="1:29" s="4" customFormat="1" ht="51.9" customHeight="1" x14ac:dyDescent="0.2">
      <c r="A4551" s="5">
        <v>0</v>
      </c>
      <c r="B4551" s="6" t="s">
        <v>26284</v>
      </c>
      <c r="C4551" s="7">
        <v>1733.9</v>
      </c>
      <c r="D4551" s="8" t="s">
        <v>26285</v>
      </c>
      <c r="E4551" s="8" t="s">
        <v>26286</v>
      </c>
      <c r="F4551" s="8" t="s">
        <v>26287</v>
      </c>
      <c r="G4551" s="6" t="s">
        <v>60</v>
      </c>
      <c r="H4551" s="6" t="s">
        <v>34</v>
      </c>
      <c r="I4551" s="8" t="s">
        <v>271</v>
      </c>
      <c r="J4551" s="9">
        <v>1</v>
      </c>
      <c r="K4551" s="9">
        <v>320</v>
      </c>
      <c r="L4551" s="9">
        <v>2023</v>
      </c>
      <c r="M4551" s="8" t="s">
        <v>26288</v>
      </c>
      <c r="N4551" s="8" t="s">
        <v>37</v>
      </c>
      <c r="O4551" s="8" t="s">
        <v>280</v>
      </c>
      <c r="P4551" s="6" t="s">
        <v>51</v>
      </c>
      <c r="Q4551" s="8" t="s">
        <v>52</v>
      </c>
      <c r="R4551" s="10" t="s">
        <v>26289</v>
      </c>
      <c r="S4551" s="11" t="s">
        <v>26290</v>
      </c>
      <c r="T4551" s="6"/>
      <c r="U4551" s="15" t="str">
        <f>HYPERLINK("https://media.infra-m.ru/1905/1905183/cover/1905183.jpg", "Обложка")</f>
        <v>Обложка</v>
      </c>
      <c r="V4551" s="8" t="s">
        <v>3196</v>
      </c>
      <c r="W4551" s="6"/>
      <c r="X4551" s="6"/>
      <c r="Y4551" s="6"/>
      <c r="Z4551" s="6"/>
      <c r="AA4551" s="6" t="s">
        <v>769</v>
      </c>
      <c r="AB4551" s="8"/>
      <c r="AC4551" s="27">
        <v>9785160050003</v>
      </c>
    </row>
    <row r="4552" spans="1:29" s="4" customFormat="1" ht="51.9" customHeight="1" x14ac:dyDescent="0.2">
      <c r="A4552" s="5">
        <v>0</v>
      </c>
      <c r="B4552" s="6" t="s">
        <v>26291</v>
      </c>
      <c r="C4552" s="7">
        <v>1457.9</v>
      </c>
      <c r="D4552" s="8" t="s">
        <v>26292</v>
      </c>
      <c r="E4552" s="8" t="s">
        <v>26293</v>
      </c>
      <c r="F4552" s="8" t="s">
        <v>26287</v>
      </c>
      <c r="G4552" s="6" t="s">
        <v>60</v>
      </c>
      <c r="H4552" s="6" t="s">
        <v>34</v>
      </c>
      <c r="I4552" s="8" t="s">
        <v>271</v>
      </c>
      <c r="J4552" s="9">
        <v>1</v>
      </c>
      <c r="K4552" s="9">
        <v>320</v>
      </c>
      <c r="L4552" s="9">
        <v>2022</v>
      </c>
      <c r="M4552" s="8" t="s">
        <v>26288</v>
      </c>
      <c r="N4552" s="8" t="s">
        <v>37</v>
      </c>
      <c r="O4552" s="8" t="s">
        <v>280</v>
      </c>
      <c r="P4552" s="6" t="s">
        <v>51</v>
      </c>
      <c r="Q4552" s="8" t="s">
        <v>52</v>
      </c>
      <c r="R4552" s="10" t="s">
        <v>26289</v>
      </c>
      <c r="S4552" s="11" t="s">
        <v>26290</v>
      </c>
      <c r="T4552" s="6"/>
      <c r="U4552" s="15" t="str">
        <f>HYPERLINK("https://media.infra-m.ru/1005/1005822/cover/1005822.jpg", "Обложка")</f>
        <v>Обложка</v>
      </c>
      <c r="V4552" s="8" t="s">
        <v>3196</v>
      </c>
      <c r="W4552" s="6"/>
      <c r="X4552" s="6"/>
      <c r="Y4552" s="6"/>
      <c r="Z4552" s="6"/>
      <c r="AA4552" s="6" t="s">
        <v>1123</v>
      </c>
      <c r="AB4552" s="8"/>
      <c r="AC4552" s="27">
        <v>9785160050003</v>
      </c>
    </row>
    <row r="4553" spans="1:29" s="4" customFormat="1" ht="51.9" customHeight="1" x14ac:dyDescent="0.2">
      <c r="A4553" s="5">
        <v>0</v>
      </c>
      <c r="B4553" s="6" t="s">
        <v>26294</v>
      </c>
      <c r="C4553" s="13">
        <v>893.9</v>
      </c>
      <c r="D4553" s="8" t="s">
        <v>26295</v>
      </c>
      <c r="E4553" s="8" t="s">
        <v>26296</v>
      </c>
      <c r="F4553" s="8" t="s">
        <v>14692</v>
      </c>
      <c r="G4553" s="6" t="s">
        <v>60</v>
      </c>
      <c r="H4553" s="6" t="s">
        <v>5605</v>
      </c>
      <c r="I4553" s="8" t="s">
        <v>253</v>
      </c>
      <c r="J4553" s="9">
        <v>1</v>
      </c>
      <c r="K4553" s="9">
        <v>256</v>
      </c>
      <c r="L4553" s="9">
        <v>2017</v>
      </c>
      <c r="M4553" s="8" t="s">
        <v>26288</v>
      </c>
      <c r="N4553" s="8" t="s">
        <v>37</v>
      </c>
      <c r="O4553" s="8" t="s">
        <v>280</v>
      </c>
      <c r="P4553" s="6" t="s">
        <v>51</v>
      </c>
      <c r="Q4553" s="8" t="s">
        <v>52</v>
      </c>
      <c r="R4553" s="10" t="s">
        <v>26289</v>
      </c>
      <c r="S4553" s="11" t="s">
        <v>26297</v>
      </c>
      <c r="T4553" s="6"/>
      <c r="U4553" s="15" t="str">
        <f>HYPERLINK("https://media.infra-m.ru/0891/0891865/cover/891865.jpg", "Обложка")</f>
        <v>Обложка</v>
      </c>
      <c r="V4553" s="8" t="s">
        <v>3196</v>
      </c>
      <c r="W4553" s="6"/>
      <c r="X4553" s="6"/>
      <c r="Y4553" s="6"/>
      <c r="Z4553" s="6"/>
      <c r="AA4553" s="6" t="s">
        <v>949</v>
      </c>
      <c r="AB4553" s="8"/>
      <c r="AC4553" s="27">
        <v>9785160050003</v>
      </c>
    </row>
    <row r="4554" spans="1:29" s="4" customFormat="1" ht="51.9" customHeight="1" x14ac:dyDescent="0.2">
      <c r="A4554" s="5">
        <v>0</v>
      </c>
      <c r="B4554" s="6" t="s">
        <v>26298</v>
      </c>
      <c r="C4554" s="13">
        <v>977.9</v>
      </c>
      <c r="D4554" s="8" t="s">
        <v>26299</v>
      </c>
      <c r="E4554" s="8" t="s">
        <v>26300</v>
      </c>
      <c r="F4554" s="8" t="s">
        <v>26301</v>
      </c>
      <c r="G4554" s="6" t="s">
        <v>60</v>
      </c>
      <c r="H4554" s="6" t="s">
        <v>5605</v>
      </c>
      <c r="I4554" s="8" t="s">
        <v>253</v>
      </c>
      <c r="J4554" s="9">
        <v>16</v>
      </c>
      <c r="K4554" s="9">
        <v>237</v>
      </c>
      <c r="L4554" s="9">
        <v>2020</v>
      </c>
      <c r="M4554" s="8" t="s">
        <v>26302</v>
      </c>
      <c r="N4554" s="8" t="s">
        <v>37</v>
      </c>
      <c r="O4554" s="8" t="s">
        <v>280</v>
      </c>
      <c r="P4554" s="6" t="s">
        <v>51</v>
      </c>
      <c r="Q4554" s="8" t="s">
        <v>52</v>
      </c>
      <c r="R4554" s="10" t="s">
        <v>26303</v>
      </c>
      <c r="S4554" s="11" t="s">
        <v>26304</v>
      </c>
      <c r="T4554" s="6"/>
      <c r="U4554" s="12"/>
      <c r="V4554" s="8" t="s">
        <v>1192</v>
      </c>
      <c r="W4554" s="6"/>
      <c r="X4554" s="6"/>
      <c r="Y4554" s="6"/>
      <c r="Z4554" s="6"/>
      <c r="AA4554" s="6" t="s">
        <v>561</v>
      </c>
      <c r="AB4554" s="8"/>
      <c r="AC4554" s="27">
        <v>9785160096131</v>
      </c>
    </row>
    <row r="4555" spans="1:29" s="4" customFormat="1" ht="51.9" customHeight="1" x14ac:dyDescent="0.2">
      <c r="A4555" s="5">
        <v>0</v>
      </c>
      <c r="B4555" s="6" t="s">
        <v>26305</v>
      </c>
      <c r="C4555" s="7">
        <v>1564.8</v>
      </c>
      <c r="D4555" s="8" t="s">
        <v>26306</v>
      </c>
      <c r="E4555" s="8" t="s">
        <v>26300</v>
      </c>
      <c r="F4555" s="8" t="s">
        <v>26307</v>
      </c>
      <c r="G4555" s="6" t="s">
        <v>33</v>
      </c>
      <c r="H4555" s="6" t="s">
        <v>34</v>
      </c>
      <c r="I4555" s="8" t="s">
        <v>271</v>
      </c>
      <c r="J4555" s="9">
        <v>1</v>
      </c>
      <c r="K4555" s="9">
        <v>237</v>
      </c>
      <c r="L4555" s="9">
        <v>2026</v>
      </c>
      <c r="M4555" s="8" t="s">
        <v>26302</v>
      </c>
      <c r="N4555" s="8" t="s">
        <v>37</v>
      </c>
      <c r="O4555" s="8" t="s">
        <v>280</v>
      </c>
      <c r="P4555" s="6" t="s">
        <v>51</v>
      </c>
      <c r="Q4555" s="8" t="s">
        <v>52</v>
      </c>
      <c r="R4555" s="10" t="s">
        <v>26303</v>
      </c>
      <c r="S4555" s="11" t="s">
        <v>26304</v>
      </c>
      <c r="T4555" s="6"/>
      <c r="U4555" s="15" t="str">
        <f>HYPERLINK("https://media.infra-m.ru/2249/2249339/cover/2249339.jpg", "Обложка")</f>
        <v>Обложка</v>
      </c>
      <c r="V4555" s="8" t="s">
        <v>1192</v>
      </c>
      <c r="W4555" s="6"/>
      <c r="X4555" s="6"/>
      <c r="Y4555" s="6"/>
      <c r="Z4555" s="6"/>
      <c r="AA4555" s="6" t="s">
        <v>561</v>
      </c>
      <c r="AB4555" s="8"/>
      <c r="AC4555" s="27">
        <v>9785160096131</v>
      </c>
    </row>
    <row r="4556" spans="1:29" s="4" customFormat="1" ht="51.9" customHeight="1" x14ac:dyDescent="0.2">
      <c r="A4556" s="5">
        <v>0</v>
      </c>
      <c r="B4556" s="6" t="s">
        <v>26308</v>
      </c>
      <c r="C4556" s="7">
        <v>1792.8</v>
      </c>
      <c r="D4556" s="8" t="s">
        <v>26309</v>
      </c>
      <c r="E4556" s="8" t="s">
        <v>26310</v>
      </c>
      <c r="F4556" s="8" t="s">
        <v>26311</v>
      </c>
      <c r="G4556" s="6" t="s">
        <v>60</v>
      </c>
      <c r="H4556" s="6" t="s">
        <v>5605</v>
      </c>
      <c r="I4556" s="8" t="s">
        <v>253</v>
      </c>
      <c r="J4556" s="9">
        <v>1</v>
      </c>
      <c r="K4556" s="9">
        <v>272</v>
      </c>
      <c r="L4556" s="9">
        <v>2026</v>
      </c>
      <c r="M4556" s="8" t="s">
        <v>26312</v>
      </c>
      <c r="N4556" s="8" t="s">
        <v>37</v>
      </c>
      <c r="O4556" s="8" t="s">
        <v>280</v>
      </c>
      <c r="P4556" s="6" t="s">
        <v>51</v>
      </c>
      <c r="Q4556" s="8" t="s">
        <v>52</v>
      </c>
      <c r="R4556" s="10" t="s">
        <v>20641</v>
      </c>
      <c r="S4556" s="11"/>
      <c r="T4556" s="6"/>
      <c r="U4556" s="15" t="str">
        <f>HYPERLINK("https://media.infra-m.ru/2242/2242757/cover/2242757.jpg", "Обложка")</f>
        <v>Обложка</v>
      </c>
      <c r="V4556" s="8" t="s">
        <v>8419</v>
      </c>
      <c r="W4556" s="6"/>
      <c r="X4556" s="6"/>
      <c r="Y4556" s="6"/>
      <c r="Z4556" s="6"/>
      <c r="AA4556" s="6" t="s">
        <v>129</v>
      </c>
      <c r="AB4556" s="8"/>
      <c r="AC4556" s="27">
        <v>9785160046631</v>
      </c>
    </row>
    <row r="4557" spans="1:29" s="4" customFormat="1" ht="51.9" customHeight="1" x14ac:dyDescent="0.2">
      <c r="A4557" s="5">
        <v>0</v>
      </c>
      <c r="B4557" s="6" t="s">
        <v>26313</v>
      </c>
      <c r="C4557" s="7">
        <v>1860</v>
      </c>
      <c r="D4557" s="8" t="s">
        <v>26314</v>
      </c>
      <c r="E4557" s="8" t="s">
        <v>26315</v>
      </c>
      <c r="F4557" s="8" t="s">
        <v>26316</v>
      </c>
      <c r="G4557" s="6" t="s">
        <v>60</v>
      </c>
      <c r="H4557" s="6" t="s">
        <v>34</v>
      </c>
      <c r="I4557" s="8" t="s">
        <v>253</v>
      </c>
      <c r="J4557" s="9">
        <v>1</v>
      </c>
      <c r="K4557" s="9">
        <v>333</v>
      </c>
      <c r="L4557" s="9">
        <v>2024</v>
      </c>
      <c r="M4557" s="8" t="s">
        <v>26317</v>
      </c>
      <c r="N4557" s="8" t="s">
        <v>37</v>
      </c>
      <c r="O4557" s="8" t="s">
        <v>280</v>
      </c>
      <c r="P4557" s="6" t="s">
        <v>51</v>
      </c>
      <c r="Q4557" s="8" t="s">
        <v>65</v>
      </c>
      <c r="R4557" s="10" t="s">
        <v>26289</v>
      </c>
      <c r="S4557" s="11" t="s">
        <v>26290</v>
      </c>
      <c r="T4557" s="6"/>
      <c r="U4557" s="15" t="str">
        <f>HYPERLINK("https://media.infra-m.ru/2015/2015304/cover/2015304.jpg", "Обложка")</f>
        <v>Обложка</v>
      </c>
      <c r="V4557" s="8" t="s">
        <v>3196</v>
      </c>
      <c r="W4557" s="6"/>
      <c r="X4557" s="6"/>
      <c r="Y4557" s="6"/>
      <c r="Z4557" s="6"/>
      <c r="AA4557" s="6" t="s">
        <v>8987</v>
      </c>
      <c r="AB4557" s="8"/>
      <c r="AC4557" s="27">
        <v>9785160185071</v>
      </c>
    </row>
    <row r="4558" spans="1:29" s="4" customFormat="1" ht="51.9" customHeight="1" x14ac:dyDescent="0.2">
      <c r="A4558" s="5">
        <v>0</v>
      </c>
      <c r="B4558" s="6" t="s">
        <v>26318</v>
      </c>
      <c r="C4558" s="7">
        <v>1385.9</v>
      </c>
      <c r="D4558" s="8" t="s">
        <v>26319</v>
      </c>
      <c r="E4558" s="8" t="s">
        <v>26320</v>
      </c>
      <c r="F4558" s="8" t="s">
        <v>26321</v>
      </c>
      <c r="G4558" s="6" t="s">
        <v>33</v>
      </c>
      <c r="H4558" s="6" t="s">
        <v>1644</v>
      </c>
      <c r="I4558" s="8" t="s">
        <v>1904</v>
      </c>
      <c r="J4558" s="9">
        <v>1</v>
      </c>
      <c r="K4558" s="9">
        <v>256</v>
      </c>
      <c r="L4558" s="9">
        <v>2023</v>
      </c>
      <c r="M4558" s="8" t="s">
        <v>26322</v>
      </c>
      <c r="N4558" s="8" t="s">
        <v>37</v>
      </c>
      <c r="O4558" s="8" t="s">
        <v>280</v>
      </c>
      <c r="P4558" s="6" t="s">
        <v>51</v>
      </c>
      <c r="Q4558" s="8" t="s">
        <v>52</v>
      </c>
      <c r="R4558" s="10" t="s">
        <v>26323</v>
      </c>
      <c r="S4558" s="11"/>
      <c r="T4558" s="6"/>
      <c r="U4558" s="15" t="str">
        <f>HYPERLINK("https://media.infra-m.ru/1913/1913018/cover/1913018.jpg", "Обложка")</f>
        <v>Обложка</v>
      </c>
      <c r="V4558" s="8" t="s">
        <v>3787</v>
      </c>
      <c r="W4558" s="6"/>
      <c r="X4558" s="6"/>
      <c r="Y4558" s="6"/>
      <c r="Z4558" s="6"/>
      <c r="AA4558" s="6" t="s">
        <v>274</v>
      </c>
      <c r="AB4558" s="8"/>
      <c r="AC4558" s="27">
        <v>9785977603676</v>
      </c>
    </row>
    <row r="4559" spans="1:29" s="4" customFormat="1" ht="51.9" customHeight="1" x14ac:dyDescent="0.2">
      <c r="A4559" s="5">
        <v>0</v>
      </c>
      <c r="B4559" s="6" t="s">
        <v>26324</v>
      </c>
      <c r="C4559" s="7">
        <v>4680</v>
      </c>
      <c r="D4559" s="8" t="s">
        <v>26325</v>
      </c>
      <c r="E4559" s="8" t="s">
        <v>26326</v>
      </c>
      <c r="F4559" s="8" t="s">
        <v>26327</v>
      </c>
      <c r="G4559" s="6" t="s">
        <v>60</v>
      </c>
      <c r="H4559" s="6" t="s">
        <v>34</v>
      </c>
      <c r="I4559" s="8"/>
      <c r="J4559" s="9">
        <v>1</v>
      </c>
      <c r="K4559" s="9">
        <v>712</v>
      </c>
      <c r="L4559" s="9">
        <v>2026</v>
      </c>
      <c r="M4559" s="8" t="s">
        <v>26328</v>
      </c>
      <c r="N4559" s="8" t="s">
        <v>37</v>
      </c>
      <c r="O4559" s="8" t="s">
        <v>83</v>
      </c>
      <c r="P4559" s="6" t="s">
        <v>306</v>
      </c>
      <c r="Q4559" s="8" t="s">
        <v>65</v>
      </c>
      <c r="R4559" s="10" t="s">
        <v>26329</v>
      </c>
      <c r="S4559" s="11"/>
      <c r="T4559" s="6"/>
      <c r="U4559" s="15" t="str">
        <f>HYPERLINK("https://media.infra-m.ru/2237/2237195/cover/2237195.jpg", "Обложка")</f>
        <v>Обложка</v>
      </c>
      <c r="V4559" s="8" t="s">
        <v>1647</v>
      </c>
      <c r="W4559" s="6"/>
      <c r="X4559" s="6"/>
      <c r="Y4559" s="6"/>
      <c r="Z4559" s="6"/>
      <c r="AA4559" s="6" t="s">
        <v>68</v>
      </c>
      <c r="AB4559" s="8"/>
      <c r="AC4559" s="27">
        <v>9785160217567</v>
      </c>
    </row>
    <row r="4560" spans="1:29" s="4" customFormat="1" ht="51.9" customHeight="1" x14ac:dyDescent="0.2">
      <c r="A4560" s="5">
        <v>0</v>
      </c>
      <c r="B4560" s="6" t="s">
        <v>26330</v>
      </c>
      <c r="C4560" s="7">
        <v>3760.8</v>
      </c>
      <c r="D4560" s="8" t="s">
        <v>26331</v>
      </c>
      <c r="E4560" s="8" t="s">
        <v>26326</v>
      </c>
      <c r="F4560" s="8" t="s">
        <v>26332</v>
      </c>
      <c r="G4560" s="6" t="s">
        <v>60</v>
      </c>
      <c r="H4560" s="6" t="s">
        <v>34</v>
      </c>
      <c r="I4560" s="8" t="s">
        <v>253</v>
      </c>
      <c r="J4560" s="9">
        <v>1</v>
      </c>
      <c r="K4560" s="9">
        <v>592</v>
      </c>
      <c r="L4560" s="9">
        <v>2026</v>
      </c>
      <c r="M4560" s="8" t="s">
        <v>26333</v>
      </c>
      <c r="N4560" s="8" t="s">
        <v>37</v>
      </c>
      <c r="O4560" s="8" t="s">
        <v>280</v>
      </c>
      <c r="P4560" s="6" t="s">
        <v>306</v>
      </c>
      <c r="Q4560" s="8" t="s">
        <v>65</v>
      </c>
      <c r="R4560" s="10" t="s">
        <v>26334</v>
      </c>
      <c r="S4560" s="11" t="s">
        <v>26335</v>
      </c>
      <c r="T4560" s="6"/>
      <c r="U4560" s="15" t="str">
        <f>HYPERLINK("https://media.infra-m.ru/2244/2244300/cover/2244300.jpg", "Обложка")</f>
        <v>Обложка</v>
      </c>
      <c r="V4560" s="8" t="s">
        <v>644</v>
      </c>
      <c r="W4560" s="6"/>
      <c r="X4560" s="6"/>
      <c r="Y4560" s="6"/>
      <c r="Z4560" s="6"/>
      <c r="AA4560" s="6" t="s">
        <v>148</v>
      </c>
      <c r="AB4560" s="8"/>
      <c r="AC4560" s="27">
        <v>9785160189390</v>
      </c>
    </row>
    <row r="4561" spans="1:29" s="4" customFormat="1" ht="51.9" customHeight="1" x14ac:dyDescent="0.2">
      <c r="A4561" s="5">
        <v>0</v>
      </c>
      <c r="B4561" s="6" t="s">
        <v>26336</v>
      </c>
      <c r="C4561" s="7">
        <v>2524.8000000000002</v>
      </c>
      <c r="D4561" s="8" t="s">
        <v>26337</v>
      </c>
      <c r="E4561" s="8" t="s">
        <v>26338</v>
      </c>
      <c r="F4561" s="8" t="s">
        <v>26339</v>
      </c>
      <c r="G4561" s="6" t="s">
        <v>60</v>
      </c>
      <c r="H4561" s="6" t="s">
        <v>5605</v>
      </c>
      <c r="I4561" s="8" t="s">
        <v>253</v>
      </c>
      <c r="J4561" s="9">
        <v>1</v>
      </c>
      <c r="K4561" s="9">
        <v>383</v>
      </c>
      <c r="L4561" s="9">
        <v>2026</v>
      </c>
      <c r="M4561" s="8" t="s">
        <v>26340</v>
      </c>
      <c r="N4561" s="8" t="s">
        <v>37</v>
      </c>
      <c r="O4561" s="8" t="s">
        <v>280</v>
      </c>
      <c r="P4561" s="6" t="s">
        <v>306</v>
      </c>
      <c r="Q4561" s="8" t="s">
        <v>52</v>
      </c>
      <c r="R4561" s="10" t="s">
        <v>26341</v>
      </c>
      <c r="S4561" s="11" t="s">
        <v>26342</v>
      </c>
      <c r="T4561" s="6"/>
      <c r="U4561" s="15" t="str">
        <f>HYPERLINK("https://media.infra-m.ru/2242/2242758/cover/2242758.jpg", "Обложка")</f>
        <v>Обложка</v>
      </c>
      <c r="V4561" s="8" t="s">
        <v>396</v>
      </c>
      <c r="W4561" s="6"/>
      <c r="X4561" s="6"/>
      <c r="Y4561" s="6"/>
      <c r="Z4561" s="6"/>
      <c r="AA4561" s="6" t="s">
        <v>6033</v>
      </c>
      <c r="AB4561" s="8"/>
      <c r="AC4561" s="27">
        <v>9785160032931</v>
      </c>
    </row>
    <row r="4562" spans="1:29" s="4" customFormat="1" ht="51.9" customHeight="1" x14ac:dyDescent="0.2">
      <c r="A4562" s="5">
        <v>0</v>
      </c>
      <c r="B4562" s="6" t="s">
        <v>26343</v>
      </c>
      <c r="C4562" s="7">
        <v>1408.8</v>
      </c>
      <c r="D4562" s="8" t="s">
        <v>26344</v>
      </c>
      <c r="E4562" s="8" t="s">
        <v>26326</v>
      </c>
      <c r="F4562" s="8" t="s">
        <v>23030</v>
      </c>
      <c r="G4562" s="6" t="s">
        <v>60</v>
      </c>
      <c r="H4562" s="6" t="s">
        <v>1795</v>
      </c>
      <c r="I4562" s="8" t="s">
        <v>1904</v>
      </c>
      <c r="J4562" s="9">
        <v>1</v>
      </c>
      <c r="K4562" s="9">
        <v>256</v>
      </c>
      <c r="L4562" s="9">
        <v>2024</v>
      </c>
      <c r="M4562" s="8" t="s">
        <v>26345</v>
      </c>
      <c r="N4562" s="8" t="s">
        <v>37</v>
      </c>
      <c r="O4562" s="8" t="s">
        <v>280</v>
      </c>
      <c r="P4562" s="6" t="s">
        <v>306</v>
      </c>
      <c r="Q4562" s="8" t="s">
        <v>52</v>
      </c>
      <c r="R4562" s="10" t="s">
        <v>26346</v>
      </c>
      <c r="S4562" s="11" t="s">
        <v>26347</v>
      </c>
      <c r="T4562" s="6"/>
      <c r="U4562" s="15" t="str">
        <f>HYPERLINK("https://media.infra-m.ru/2087/2087271/cover/2087271.jpg", "Обложка")</f>
        <v>Обложка</v>
      </c>
      <c r="V4562" s="8" t="s">
        <v>3109</v>
      </c>
      <c r="W4562" s="6"/>
      <c r="X4562" s="6"/>
      <c r="Y4562" s="6"/>
      <c r="Z4562" s="6"/>
      <c r="AA4562" s="6" t="s">
        <v>248</v>
      </c>
      <c r="AB4562" s="8"/>
      <c r="AC4562" s="27">
        <v>9785982813992</v>
      </c>
    </row>
    <row r="4563" spans="1:29" s="4" customFormat="1" ht="51.9" customHeight="1" x14ac:dyDescent="0.2">
      <c r="A4563" s="5">
        <v>0</v>
      </c>
      <c r="B4563" s="6" t="s">
        <v>26348</v>
      </c>
      <c r="C4563" s="7">
        <v>1877.9</v>
      </c>
      <c r="D4563" s="8" t="s">
        <v>26349</v>
      </c>
      <c r="E4563" s="8" t="s">
        <v>26315</v>
      </c>
      <c r="F4563" s="8" t="s">
        <v>661</v>
      </c>
      <c r="G4563" s="6" t="s">
        <v>60</v>
      </c>
      <c r="H4563" s="6" t="s">
        <v>34</v>
      </c>
      <c r="I4563" s="8" t="s">
        <v>253</v>
      </c>
      <c r="J4563" s="9">
        <v>1</v>
      </c>
      <c r="K4563" s="9">
        <v>460</v>
      </c>
      <c r="L4563" s="9">
        <v>2020</v>
      </c>
      <c r="M4563" s="8" t="s">
        <v>26350</v>
      </c>
      <c r="N4563" s="8" t="s">
        <v>37</v>
      </c>
      <c r="O4563" s="8" t="s">
        <v>280</v>
      </c>
      <c r="P4563" s="6" t="s">
        <v>306</v>
      </c>
      <c r="Q4563" s="8" t="s">
        <v>52</v>
      </c>
      <c r="R4563" s="10" t="s">
        <v>26351</v>
      </c>
      <c r="S4563" s="11" t="s">
        <v>26352</v>
      </c>
      <c r="T4563" s="6"/>
      <c r="U4563" s="15" t="str">
        <f>HYPERLINK("https://media.infra-m.ru/1062/1062392/cover/1062392.jpg", "Обложка")</f>
        <v>Обложка</v>
      </c>
      <c r="V4563" s="8" t="s">
        <v>3196</v>
      </c>
      <c r="W4563" s="6"/>
      <c r="X4563" s="6"/>
      <c r="Y4563" s="6"/>
      <c r="Z4563" s="6"/>
      <c r="AA4563" s="6" t="s">
        <v>446</v>
      </c>
      <c r="AB4563" s="8"/>
      <c r="AC4563" s="27">
        <v>9785160100326</v>
      </c>
    </row>
    <row r="4564" spans="1:29" s="4" customFormat="1" ht="51.9" customHeight="1" x14ac:dyDescent="0.2">
      <c r="A4564" s="5">
        <v>0</v>
      </c>
      <c r="B4564" s="6" t="s">
        <v>26353</v>
      </c>
      <c r="C4564" s="7">
        <v>1313.9</v>
      </c>
      <c r="D4564" s="8" t="s">
        <v>26354</v>
      </c>
      <c r="E4564" s="8" t="s">
        <v>26355</v>
      </c>
      <c r="F4564" s="8" t="s">
        <v>661</v>
      </c>
      <c r="G4564" s="6" t="s">
        <v>60</v>
      </c>
      <c r="H4564" s="6" t="s">
        <v>34</v>
      </c>
      <c r="I4564" s="8" t="s">
        <v>253</v>
      </c>
      <c r="J4564" s="9">
        <v>1</v>
      </c>
      <c r="K4564" s="9">
        <v>463</v>
      </c>
      <c r="L4564" s="9">
        <v>2018</v>
      </c>
      <c r="M4564" s="8" t="s">
        <v>26350</v>
      </c>
      <c r="N4564" s="8" t="s">
        <v>37</v>
      </c>
      <c r="O4564" s="8" t="s">
        <v>280</v>
      </c>
      <c r="P4564" s="6" t="s">
        <v>306</v>
      </c>
      <c r="Q4564" s="8" t="s">
        <v>52</v>
      </c>
      <c r="R4564" s="10" t="s">
        <v>26351</v>
      </c>
      <c r="S4564" s="11" t="s">
        <v>26352</v>
      </c>
      <c r="T4564" s="6"/>
      <c r="U4564" s="15" t="str">
        <f>HYPERLINK("https://media.infra-m.ru/0927/0927444/cover/927444.jpg", "Обложка")</f>
        <v>Обложка</v>
      </c>
      <c r="V4564" s="8" t="s">
        <v>3196</v>
      </c>
      <c r="W4564" s="6"/>
      <c r="X4564" s="6"/>
      <c r="Y4564" s="6"/>
      <c r="Z4564" s="6"/>
      <c r="AA4564" s="6" t="s">
        <v>11574</v>
      </c>
      <c r="AB4564" s="8"/>
      <c r="AC4564" s="27">
        <v>9785160100326</v>
      </c>
    </row>
    <row r="4565" spans="1:29" s="4" customFormat="1" ht="51.9" customHeight="1" x14ac:dyDescent="0.2">
      <c r="A4565" s="5">
        <v>0</v>
      </c>
      <c r="B4565" s="6" t="s">
        <v>26356</v>
      </c>
      <c r="C4565" s="7">
        <v>2436</v>
      </c>
      <c r="D4565" s="8" t="s">
        <v>26357</v>
      </c>
      <c r="E4565" s="8" t="s">
        <v>26358</v>
      </c>
      <c r="F4565" s="8" t="s">
        <v>661</v>
      </c>
      <c r="G4565" s="6" t="s">
        <v>60</v>
      </c>
      <c r="H4565" s="6" t="s">
        <v>34</v>
      </c>
      <c r="I4565" s="8" t="s">
        <v>253</v>
      </c>
      <c r="J4565" s="9">
        <v>1</v>
      </c>
      <c r="K4565" s="9">
        <v>433</v>
      </c>
      <c r="L4565" s="9">
        <v>2024</v>
      </c>
      <c r="M4565" s="8" t="s">
        <v>26359</v>
      </c>
      <c r="N4565" s="8" t="s">
        <v>37</v>
      </c>
      <c r="O4565" s="8" t="s">
        <v>280</v>
      </c>
      <c r="P4565" s="6" t="s">
        <v>306</v>
      </c>
      <c r="Q4565" s="8" t="s">
        <v>65</v>
      </c>
      <c r="R4565" s="10" t="s">
        <v>26351</v>
      </c>
      <c r="S4565" s="11" t="s">
        <v>26352</v>
      </c>
      <c r="T4565" s="6"/>
      <c r="U4565" s="15" t="str">
        <f>HYPERLINK("https://media.infra-m.ru/2079/2079293/cover/2079293.jpg", "Обложка")</f>
        <v>Обложка</v>
      </c>
      <c r="V4565" s="8" t="s">
        <v>3196</v>
      </c>
      <c r="W4565" s="6"/>
      <c r="X4565" s="6"/>
      <c r="Y4565" s="6"/>
      <c r="Z4565" s="6"/>
      <c r="AA4565" s="6" t="s">
        <v>14736</v>
      </c>
      <c r="AB4565" s="8"/>
      <c r="AC4565" s="27">
        <v>9785160189246</v>
      </c>
    </row>
    <row r="4566" spans="1:29" s="4" customFormat="1" ht="51.9" customHeight="1" x14ac:dyDescent="0.2">
      <c r="A4566" s="5">
        <v>0</v>
      </c>
      <c r="B4566" s="6" t="s">
        <v>26360</v>
      </c>
      <c r="C4566" s="7">
        <v>1109.9000000000001</v>
      </c>
      <c r="D4566" s="8" t="s">
        <v>26361</v>
      </c>
      <c r="E4566" s="8" t="s">
        <v>26338</v>
      </c>
      <c r="F4566" s="8" t="s">
        <v>26321</v>
      </c>
      <c r="G4566" s="6" t="s">
        <v>60</v>
      </c>
      <c r="H4566" s="6" t="s">
        <v>1644</v>
      </c>
      <c r="I4566" s="8"/>
      <c r="J4566" s="9">
        <v>1</v>
      </c>
      <c r="K4566" s="9">
        <v>512</v>
      </c>
      <c r="L4566" s="9">
        <v>2015</v>
      </c>
      <c r="M4566" s="8" t="s">
        <v>26362</v>
      </c>
      <c r="N4566" s="8" t="s">
        <v>37</v>
      </c>
      <c r="O4566" s="8" t="s">
        <v>280</v>
      </c>
      <c r="P4566" s="6" t="s">
        <v>51</v>
      </c>
      <c r="Q4566" s="8" t="s">
        <v>52</v>
      </c>
      <c r="R4566" s="10" t="s">
        <v>2786</v>
      </c>
      <c r="S4566" s="11" t="s">
        <v>26363</v>
      </c>
      <c r="T4566" s="6"/>
      <c r="U4566" s="12"/>
      <c r="V4566" s="8" t="s">
        <v>3787</v>
      </c>
      <c r="W4566" s="6"/>
      <c r="X4566" s="6"/>
      <c r="Y4566" s="6"/>
      <c r="Z4566" s="6"/>
      <c r="AA4566" s="6" t="s">
        <v>1056</v>
      </c>
      <c r="AB4566" s="8"/>
      <c r="AC4566" s="27">
        <v>9785977601122</v>
      </c>
    </row>
    <row r="4567" spans="1:29" s="4" customFormat="1" ht="42" customHeight="1" x14ac:dyDescent="0.2">
      <c r="A4567" s="5">
        <v>0</v>
      </c>
      <c r="B4567" s="6" t="s">
        <v>26364</v>
      </c>
      <c r="C4567" s="7">
        <v>2556</v>
      </c>
      <c r="D4567" s="8" t="s">
        <v>26365</v>
      </c>
      <c r="E4567" s="8" t="s">
        <v>26366</v>
      </c>
      <c r="F4567" s="8" t="s">
        <v>26367</v>
      </c>
      <c r="G4567" s="6" t="s">
        <v>60</v>
      </c>
      <c r="H4567" s="6" t="s">
        <v>34</v>
      </c>
      <c r="I4567" s="8"/>
      <c r="J4567" s="9">
        <v>1</v>
      </c>
      <c r="K4567" s="9">
        <v>376</v>
      </c>
      <c r="L4567" s="9">
        <v>2026</v>
      </c>
      <c r="M4567" s="8" t="s">
        <v>26368</v>
      </c>
      <c r="N4567" s="8" t="s">
        <v>37</v>
      </c>
      <c r="O4567" s="8" t="s">
        <v>499</v>
      </c>
      <c r="P4567" s="6" t="s">
        <v>51</v>
      </c>
      <c r="Q4567" s="8" t="s">
        <v>65</v>
      </c>
      <c r="R4567" s="10" t="s">
        <v>26369</v>
      </c>
      <c r="S4567" s="11"/>
      <c r="T4567" s="6"/>
      <c r="U4567" s="15" t="str">
        <f>HYPERLINK("https://media.infra-m.ru/2230/2230259/cover/2230259.jpg", "Обложка")</f>
        <v>Обложка</v>
      </c>
      <c r="V4567" s="8" t="s">
        <v>18741</v>
      </c>
      <c r="W4567" s="6" t="s">
        <v>186</v>
      </c>
      <c r="X4567" s="6"/>
      <c r="Y4567" s="6"/>
      <c r="Z4567" s="6"/>
      <c r="AA4567" s="6" t="s">
        <v>187</v>
      </c>
      <c r="AB4567" s="8"/>
      <c r="AC4567" s="27">
        <v>9785160215501</v>
      </c>
    </row>
    <row r="4568" spans="1:29" s="4" customFormat="1" ht="51.9" customHeight="1" x14ac:dyDescent="0.2">
      <c r="A4568" s="5">
        <v>0</v>
      </c>
      <c r="B4568" s="6" t="s">
        <v>26370</v>
      </c>
      <c r="C4568" s="7">
        <v>2520</v>
      </c>
      <c r="D4568" s="8" t="s">
        <v>26371</v>
      </c>
      <c r="E4568" s="8" t="s">
        <v>26372</v>
      </c>
      <c r="F4568" s="8" t="s">
        <v>4558</v>
      </c>
      <c r="G4568" s="6" t="s">
        <v>118</v>
      </c>
      <c r="H4568" s="6" t="s">
        <v>34</v>
      </c>
      <c r="I4568" s="8" t="s">
        <v>1501</v>
      </c>
      <c r="J4568" s="9">
        <v>1</v>
      </c>
      <c r="K4568" s="9">
        <v>384</v>
      </c>
      <c r="L4568" s="9">
        <v>2026</v>
      </c>
      <c r="M4568" s="8" t="s">
        <v>26373</v>
      </c>
      <c r="N4568" s="8" t="s">
        <v>37</v>
      </c>
      <c r="O4568" s="8" t="s">
        <v>280</v>
      </c>
      <c r="P4568" s="6" t="s">
        <v>306</v>
      </c>
      <c r="Q4568" s="8" t="s">
        <v>749</v>
      </c>
      <c r="R4568" s="10" t="s">
        <v>26374</v>
      </c>
      <c r="S4568" s="11" t="s">
        <v>26375</v>
      </c>
      <c r="T4568" s="6"/>
      <c r="U4568" s="15" t="str">
        <f>HYPERLINK("https://media.infra-m.ru/2227/2227307/cover/2227307.jpg", "Обложка")</f>
        <v>Обложка</v>
      </c>
      <c r="V4568" s="8" t="s">
        <v>396</v>
      </c>
      <c r="W4568" s="6"/>
      <c r="X4568" s="6"/>
      <c r="Y4568" s="6"/>
      <c r="Z4568" s="6"/>
      <c r="AA4568" s="6" t="s">
        <v>4554</v>
      </c>
      <c r="AB4568" s="8"/>
      <c r="AC4568" s="27">
        <v>9785160109923</v>
      </c>
    </row>
    <row r="4569" spans="1:29" s="4" customFormat="1" ht="51.9" customHeight="1" x14ac:dyDescent="0.2">
      <c r="A4569" s="5">
        <v>0</v>
      </c>
      <c r="B4569" s="6" t="s">
        <v>26376</v>
      </c>
      <c r="C4569" s="7">
        <v>1296</v>
      </c>
      <c r="D4569" s="8" t="s">
        <v>26377</v>
      </c>
      <c r="E4569" s="8" t="s">
        <v>26378</v>
      </c>
      <c r="F4569" s="8" t="s">
        <v>26379</v>
      </c>
      <c r="G4569" s="6" t="s">
        <v>118</v>
      </c>
      <c r="H4569" s="6" t="s">
        <v>34</v>
      </c>
      <c r="I4569" s="8" t="s">
        <v>253</v>
      </c>
      <c r="J4569" s="9">
        <v>1</v>
      </c>
      <c r="K4569" s="9">
        <v>196</v>
      </c>
      <c r="L4569" s="9">
        <v>2026</v>
      </c>
      <c r="M4569" s="8" t="s">
        <v>26380</v>
      </c>
      <c r="N4569" s="8" t="s">
        <v>37</v>
      </c>
      <c r="O4569" s="8" t="s">
        <v>280</v>
      </c>
      <c r="P4569" s="6" t="s">
        <v>51</v>
      </c>
      <c r="Q4569" s="8" t="s">
        <v>500</v>
      </c>
      <c r="R4569" s="10" t="s">
        <v>26381</v>
      </c>
      <c r="S4569" s="11" t="s">
        <v>26382</v>
      </c>
      <c r="T4569" s="6"/>
      <c r="U4569" s="15" t="str">
        <f>HYPERLINK("https://media.infra-m.ru/2230/2230658/cover/2230658.jpg", "Обложка")</f>
        <v>Обложка</v>
      </c>
      <c r="V4569" s="8" t="s">
        <v>396</v>
      </c>
      <c r="W4569" s="6"/>
      <c r="X4569" s="6"/>
      <c r="Y4569" s="6"/>
      <c r="Z4569" s="6"/>
      <c r="AA4569" s="6" t="s">
        <v>779</v>
      </c>
      <c r="AB4569" s="8"/>
      <c r="AC4569" s="27">
        <v>9785160215716</v>
      </c>
    </row>
    <row r="4570" spans="1:29" s="4" customFormat="1" ht="51.9" customHeight="1" x14ac:dyDescent="0.2">
      <c r="A4570" s="5">
        <v>0</v>
      </c>
      <c r="B4570" s="6" t="s">
        <v>26383</v>
      </c>
      <c r="C4570" s="13">
        <v>732</v>
      </c>
      <c r="D4570" s="8" t="s">
        <v>26384</v>
      </c>
      <c r="E4570" s="8" t="s">
        <v>26385</v>
      </c>
      <c r="F4570" s="8" t="s">
        <v>26386</v>
      </c>
      <c r="G4570" s="6" t="s">
        <v>33</v>
      </c>
      <c r="H4570" s="6" t="s">
        <v>34</v>
      </c>
      <c r="I4570" s="8" t="s">
        <v>35</v>
      </c>
      <c r="J4570" s="9">
        <v>1</v>
      </c>
      <c r="K4570" s="9">
        <v>115</v>
      </c>
      <c r="L4570" s="9">
        <v>2025</v>
      </c>
      <c r="M4570" s="8" t="s">
        <v>26387</v>
      </c>
      <c r="N4570" s="8" t="s">
        <v>37</v>
      </c>
      <c r="O4570" s="8" t="s">
        <v>50</v>
      </c>
      <c r="P4570" s="6" t="s">
        <v>39</v>
      </c>
      <c r="Q4570" s="8" t="s">
        <v>40</v>
      </c>
      <c r="R4570" s="10" t="s">
        <v>4382</v>
      </c>
      <c r="S4570" s="11"/>
      <c r="T4570" s="6"/>
      <c r="U4570" s="15" t="str">
        <f>HYPERLINK("https://media.infra-m.ru/2166/2166610/cover/2166610.jpg", "Обложка")</f>
        <v>Обложка</v>
      </c>
      <c r="V4570" s="8" t="s">
        <v>4943</v>
      </c>
      <c r="W4570" s="6"/>
      <c r="X4570" s="6"/>
      <c r="Y4570" s="6"/>
      <c r="Z4570" s="6"/>
      <c r="AA4570" s="6" t="s">
        <v>86</v>
      </c>
      <c r="AB4570" s="8"/>
      <c r="AC4570" s="27">
        <v>9785160138121</v>
      </c>
    </row>
    <row r="4571" spans="1:29" s="4" customFormat="1" ht="42" customHeight="1" x14ac:dyDescent="0.2">
      <c r="A4571" s="5">
        <v>0</v>
      </c>
      <c r="B4571" s="6" t="s">
        <v>26388</v>
      </c>
      <c r="C4571" s="7">
        <v>1092</v>
      </c>
      <c r="D4571" s="8" t="s">
        <v>26389</v>
      </c>
      <c r="E4571" s="8" t="s">
        <v>26390</v>
      </c>
      <c r="F4571" s="8" t="s">
        <v>25191</v>
      </c>
      <c r="G4571" s="6" t="s">
        <v>60</v>
      </c>
      <c r="H4571" s="6" t="s">
        <v>34</v>
      </c>
      <c r="I4571" s="8" t="s">
        <v>253</v>
      </c>
      <c r="J4571" s="9">
        <v>1</v>
      </c>
      <c r="K4571" s="9">
        <v>162</v>
      </c>
      <c r="L4571" s="9">
        <v>2025</v>
      </c>
      <c r="M4571" s="8" t="s">
        <v>26391</v>
      </c>
      <c r="N4571" s="8" t="s">
        <v>243</v>
      </c>
      <c r="O4571" s="8" t="s">
        <v>964</v>
      </c>
      <c r="P4571" s="6" t="s">
        <v>51</v>
      </c>
      <c r="Q4571" s="8" t="s">
        <v>377</v>
      </c>
      <c r="R4571" s="10" t="s">
        <v>26392</v>
      </c>
      <c r="S4571" s="11"/>
      <c r="T4571" s="6"/>
      <c r="U4571" s="15" t="str">
        <f>HYPERLINK("https://media.infra-m.ru/2137/2137960/cover/2137960.jpg", "Обложка")</f>
        <v>Обложка</v>
      </c>
      <c r="V4571" s="8" t="s">
        <v>217</v>
      </c>
      <c r="W4571" s="6"/>
      <c r="X4571" s="6"/>
      <c r="Y4571" s="6"/>
      <c r="Z4571" s="6"/>
      <c r="AA4571" s="6" t="s">
        <v>68</v>
      </c>
      <c r="AB4571" s="8"/>
      <c r="AC4571" s="27">
        <v>9785160198064</v>
      </c>
    </row>
    <row r="4572" spans="1:29" s="4" customFormat="1" ht="42" customHeight="1" x14ac:dyDescent="0.2">
      <c r="A4572" s="5">
        <v>0</v>
      </c>
      <c r="B4572" s="6" t="s">
        <v>26393</v>
      </c>
      <c r="C4572" s="13">
        <v>712.8</v>
      </c>
      <c r="D4572" s="8" t="s">
        <v>26394</v>
      </c>
      <c r="E4572" s="8" t="s">
        <v>26395</v>
      </c>
      <c r="F4572" s="8" t="s">
        <v>26396</v>
      </c>
      <c r="G4572" s="6" t="s">
        <v>33</v>
      </c>
      <c r="H4572" s="6" t="s">
        <v>34</v>
      </c>
      <c r="I4572" s="8" t="s">
        <v>9737</v>
      </c>
      <c r="J4572" s="9">
        <v>1</v>
      </c>
      <c r="K4572" s="9">
        <v>92</v>
      </c>
      <c r="L4572" s="9">
        <v>2026</v>
      </c>
      <c r="M4572" s="8" t="s">
        <v>26397</v>
      </c>
      <c r="N4572" s="8" t="s">
        <v>93</v>
      </c>
      <c r="O4572" s="8" t="s">
        <v>94</v>
      </c>
      <c r="P4572" s="6" t="s">
        <v>105</v>
      </c>
      <c r="Q4572" s="8" t="s">
        <v>1660</v>
      </c>
      <c r="R4572" s="10" t="s">
        <v>23734</v>
      </c>
      <c r="S4572" s="11"/>
      <c r="T4572" s="6"/>
      <c r="U4572" s="15" t="str">
        <f>HYPERLINK("https://media.infra-m.ru/2239/2239092/cover/2239092.jpg", "Обложка")</f>
        <v>Обложка</v>
      </c>
      <c r="V4572" s="8" t="s">
        <v>6190</v>
      </c>
      <c r="W4572" s="6"/>
      <c r="X4572" s="6"/>
      <c r="Y4572" s="6"/>
      <c r="Z4572" s="6"/>
      <c r="AA4572" s="6" t="s">
        <v>148</v>
      </c>
      <c r="AB4572" s="8"/>
      <c r="AC4572" s="27">
        <v>9785160181639</v>
      </c>
    </row>
    <row r="4573" spans="1:29" s="4" customFormat="1" ht="51.9" customHeight="1" x14ac:dyDescent="0.2">
      <c r="A4573" s="5">
        <v>0</v>
      </c>
      <c r="B4573" s="6" t="s">
        <v>26398</v>
      </c>
      <c r="C4573" s="7">
        <v>1596</v>
      </c>
      <c r="D4573" s="8" t="s">
        <v>26399</v>
      </c>
      <c r="E4573" s="8" t="s">
        <v>26400</v>
      </c>
      <c r="F4573" s="8" t="s">
        <v>26401</v>
      </c>
      <c r="G4573" s="6" t="s">
        <v>60</v>
      </c>
      <c r="H4573" s="6" t="s">
        <v>34</v>
      </c>
      <c r="I4573" s="8" t="s">
        <v>457</v>
      </c>
      <c r="J4573" s="9">
        <v>1</v>
      </c>
      <c r="K4573" s="9">
        <v>236</v>
      </c>
      <c r="L4573" s="9">
        <v>2025</v>
      </c>
      <c r="M4573" s="8" t="s">
        <v>26402</v>
      </c>
      <c r="N4573" s="8" t="s">
        <v>37</v>
      </c>
      <c r="O4573" s="8" t="s">
        <v>280</v>
      </c>
      <c r="P4573" s="6" t="s">
        <v>39</v>
      </c>
      <c r="Q4573" s="8" t="s">
        <v>40</v>
      </c>
      <c r="R4573" s="10" t="s">
        <v>26403</v>
      </c>
      <c r="S4573" s="11"/>
      <c r="T4573" s="6"/>
      <c r="U4573" s="15" t="str">
        <f>HYPERLINK("https://media.infra-m.ru/2212/2212227/cover/2212227.jpg", "Обложка")</f>
        <v>Обложка</v>
      </c>
      <c r="V4573" s="8" t="s">
        <v>26404</v>
      </c>
      <c r="W4573" s="6" t="s">
        <v>342</v>
      </c>
      <c r="X4573" s="6"/>
      <c r="Y4573" s="6"/>
      <c r="Z4573" s="6"/>
      <c r="AA4573" s="6" t="s">
        <v>68</v>
      </c>
      <c r="AB4573" s="8" t="s">
        <v>11878</v>
      </c>
      <c r="AC4573" s="27">
        <v>9785160210612</v>
      </c>
    </row>
    <row r="4574" spans="1:29" s="4" customFormat="1" ht="51.9" customHeight="1" x14ac:dyDescent="0.2">
      <c r="A4574" s="5">
        <v>0</v>
      </c>
      <c r="B4574" s="6" t="s">
        <v>26405</v>
      </c>
      <c r="C4574" s="7">
        <v>1236</v>
      </c>
      <c r="D4574" s="8" t="s">
        <v>26406</v>
      </c>
      <c r="E4574" s="8" t="s">
        <v>26407</v>
      </c>
      <c r="F4574" s="8" t="s">
        <v>26408</v>
      </c>
      <c r="G4574" s="6" t="s">
        <v>118</v>
      </c>
      <c r="H4574" s="6" t="s">
        <v>34</v>
      </c>
      <c r="I4574" s="8" t="s">
        <v>1074</v>
      </c>
      <c r="J4574" s="9">
        <v>1</v>
      </c>
      <c r="K4574" s="9">
        <v>198</v>
      </c>
      <c r="L4574" s="9">
        <v>2025</v>
      </c>
      <c r="M4574" s="8" t="s">
        <v>26409</v>
      </c>
      <c r="N4574" s="8" t="s">
        <v>37</v>
      </c>
      <c r="O4574" s="8" t="s">
        <v>136</v>
      </c>
      <c r="P4574" s="6" t="s">
        <v>3141</v>
      </c>
      <c r="Q4574" s="8" t="s">
        <v>40</v>
      </c>
      <c r="R4574" s="10" t="s">
        <v>26410</v>
      </c>
      <c r="S4574" s="11"/>
      <c r="T4574" s="6"/>
      <c r="U4574" s="15" t="str">
        <f>HYPERLINK("https://media.infra-m.ru/2192/2192879/cover/2192879.jpg", "Обложка")</f>
        <v>Обложка</v>
      </c>
      <c r="V4574" s="8" t="s">
        <v>138</v>
      </c>
      <c r="W4574" s="6"/>
      <c r="X4574" s="6"/>
      <c r="Y4574" s="6"/>
      <c r="Z4574" s="6"/>
      <c r="AA4574" s="6" t="s">
        <v>68</v>
      </c>
      <c r="AB4574" s="8"/>
      <c r="AC4574" s="27">
        <v>9785160207742</v>
      </c>
    </row>
    <row r="4575" spans="1:29" s="4" customFormat="1" ht="42" customHeight="1" x14ac:dyDescent="0.2">
      <c r="A4575" s="5">
        <v>0</v>
      </c>
      <c r="B4575" s="6" t="s">
        <v>26411</v>
      </c>
      <c r="C4575" s="7">
        <v>1740</v>
      </c>
      <c r="D4575" s="8" t="s">
        <v>26412</v>
      </c>
      <c r="E4575" s="8" t="s">
        <v>26413</v>
      </c>
      <c r="F4575" s="8" t="s">
        <v>26414</v>
      </c>
      <c r="G4575" s="6" t="s">
        <v>60</v>
      </c>
      <c r="H4575" s="6" t="s">
        <v>34</v>
      </c>
      <c r="I4575" s="8" t="s">
        <v>35</v>
      </c>
      <c r="J4575" s="9">
        <v>1</v>
      </c>
      <c r="K4575" s="9">
        <v>244</v>
      </c>
      <c r="L4575" s="9">
        <v>2025</v>
      </c>
      <c r="M4575" s="8" t="s">
        <v>26415</v>
      </c>
      <c r="N4575" s="8" t="s">
        <v>243</v>
      </c>
      <c r="O4575" s="8" t="s">
        <v>798</v>
      </c>
      <c r="P4575" s="6" t="s">
        <v>39</v>
      </c>
      <c r="Q4575" s="8" t="s">
        <v>40</v>
      </c>
      <c r="R4575" s="10" t="s">
        <v>26416</v>
      </c>
      <c r="S4575" s="11"/>
      <c r="T4575" s="6"/>
      <c r="U4575" s="15" t="str">
        <f>HYPERLINK("https://media.infra-m.ru/2180/2180374/cover/2180374.jpg", "Обложка")</f>
        <v>Обложка</v>
      </c>
      <c r="V4575" s="8" t="s">
        <v>7509</v>
      </c>
      <c r="W4575" s="6"/>
      <c r="X4575" s="6"/>
      <c r="Y4575" s="6"/>
      <c r="Z4575" s="6"/>
      <c r="AA4575" s="6" t="s">
        <v>68</v>
      </c>
      <c r="AB4575" s="8"/>
      <c r="AC4575" s="27">
        <v>9785160205304</v>
      </c>
    </row>
    <row r="4576" spans="1:29" s="4" customFormat="1" ht="51.9" customHeight="1" x14ac:dyDescent="0.2">
      <c r="A4576" s="5">
        <v>0</v>
      </c>
      <c r="B4576" s="6" t="s">
        <v>26417</v>
      </c>
      <c r="C4576" s="13">
        <v>857.9</v>
      </c>
      <c r="D4576" s="8" t="s">
        <v>26418</v>
      </c>
      <c r="E4576" s="8" t="s">
        <v>26419</v>
      </c>
      <c r="F4576" s="8" t="s">
        <v>26420</v>
      </c>
      <c r="G4576" s="6" t="s">
        <v>60</v>
      </c>
      <c r="H4576" s="6" t="s">
        <v>34</v>
      </c>
      <c r="I4576" s="8" t="s">
        <v>271</v>
      </c>
      <c r="J4576" s="9">
        <v>1</v>
      </c>
      <c r="K4576" s="9">
        <v>187</v>
      </c>
      <c r="L4576" s="9">
        <v>2022</v>
      </c>
      <c r="M4576" s="8" t="s">
        <v>26421</v>
      </c>
      <c r="N4576" s="8" t="s">
        <v>243</v>
      </c>
      <c r="O4576" s="8" t="s">
        <v>758</v>
      </c>
      <c r="P4576" s="6" t="s">
        <v>51</v>
      </c>
      <c r="Q4576" s="8" t="s">
        <v>52</v>
      </c>
      <c r="R4576" s="10" t="s">
        <v>26422</v>
      </c>
      <c r="S4576" s="11" t="s">
        <v>26423</v>
      </c>
      <c r="T4576" s="6"/>
      <c r="U4576" s="15" t="str">
        <f>HYPERLINK("https://media.infra-m.ru/1844/1844329/cover/1844329.jpg", "Обложка")</f>
        <v>Обложка</v>
      </c>
      <c r="V4576" s="8" t="s">
        <v>24133</v>
      </c>
      <c r="W4576" s="6"/>
      <c r="X4576" s="6"/>
      <c r="Y4576" s="6"/>
      <c r="Z4576" s="6"/>
      <c r="AA4576" s="6" t="s">
        <v>248</v>
      </c>
      <c r="AB4576" s="8"/>
      <c r="AC4576" s="27">
        <v>9785160069227</v>
      </c>
    </row>
    <row r="4577" spans="1:29" s="4" customFormat="1" ht="42" customHeight="1" x14ac:dyDescent="0.2">
      <c r="A4577" s="5">
        <v>0</v>
      </c>
      <c r="B4577" s="6" t="s">
        <v>26424</v>
      </c>
      <c r="C4577" s="7">
        <v>1228.8</v>
      </c>
      <c r="D4577" s="8" t="s">
        <v>26425</v>
      </c>
      <c r="E4577" s="8" t="s">
        <v>26426</v>
      </c>
      <c r="F4577" s="8" t="s">
        <v>26427</v>
      </c>
      <c r="G4577" s="6" t="s">
        <v>33</v>
      </c>
      <c r="H4577" s="6" t="s">
        <v>34</v>
      </c>
      <c r="I4577" s="8" t="s">
        <v>35</v>
      </c>
      <c r="J4577" s="9">
        <v>1</v>
      </c>
      <c r="K4577" s="9">
        <v>186</v>
      </c>
      <c r="L4577" s="9">
        <v>2026</v>
      </c>
      <c r="M4577" s="8" t="s">
        <v>26428</v>
      </c>
      <c r="N4577" s="8" t="s">
        <v>37</v>
      </c>
      <c r="O4577" s="8" t="s">
        <v>233</v>
      </c>
      <c r="P4577" s="6" t="s">
        <v>39</v>
      </c>
      <c r="Q4577" s="8" t="s">
        <v>40</v>
      </c>
      <c r="R4577" s="10" t="s">
        <v>26429</v>
      </c>
      <c r="S4577" s="11"/>
      <c r="T4577" s="6"/>
      <c r="U4577" s="15" t="str">
        <f>HYPERLINK("https://media.infra-m.ru/2226/2226737/cover/2226737.jpg", "Обложка")</f>
        <v>Обложка</v>
      </c>
      <c r="V4577" s="8" t="s">
        <v>14816</v>
      </c>
      <c r="W4577" s="6"/>
      <c r="X4577" s="6"/>
      <c r="Y4577" s="6"/>
      <c r="Z4577" s="6"/>
      <c r="AA4577" s="6" t="s">
        <v>157</v>
      </c>
      <c r="AB4577" s="8"/>
      <c r="AC4577" s="27">
        <v>9785160181998</v>
      </c>
    </row>
    <row r="4578" spans="1:29" s="4" customFormat="1" ht="51.9" customHeight="1" x14ac:dyDescent="0.2">
      <c r="A4578" s="5">
        <v>0</v>
      </c>
      <c r="B4578" s="6" t="s">
        <v>26430</v>
      </c>
      <c r="C4578" s="7">
        <v>3052.8</v>
      </c>
      <c r="D4578" s="8" t="s">
        <v>26431</v>
      </c>
      <c r="E4578" s="8" t="s">
        <v>26432</v>
      </c>
      <c r="F4578" s="8" t="s">
        <v>26433</v>
      </c>
      <c r="G4578" s="6" t="s">
        <v>60</v>
      </c>
      <c r="H4578" s="6" t="s">
        <v>34</v>
      </c>
      <c r="I4578" s="8" t="s">
        <v>6963</v>
      </c>
      <c r="J4578" s="9">
        <v>1</v>
      </c>
      <c r="K4578" s="9">
        <v>438</v>
      </c>
      <c r="L4578" s="9">
        <v>2027</v>
      </c>
      <c r="M4578" s="8" t="s">
        <v>26434</v>
      </c>
      <c r="N4578" s="8" t="s">
        <v>37</v>
      </c>
      <c r="O4578" s="8" t="s">
        <v>290</v>
      </c>
      <c r="P4578" s="6" t="s">
        <v>51</v>
      </c>
      <c r="Q4578" s="8" t="s">
        <v>65</v>
      </c>
      <c r="R4578" s="10" t="s">
        <v>12387</v>
      </c>
      <c r="S4578" s="11" t="s">
        <v>26435</v>
      </c>
      <c r="T4578" s="6"/>
      <c r="U4578" s="15" t="str">
        <f>HYPERLINK("https://media.infra-m.ru/2272/2272344/cover/2272344.jpg", "Обложка")</f>
        <v>Обложка</v>
      </c>
      <c r="V4578" s="8" t="s">
        <v>6967</v>
      </c>
      <c r="W4578" s="6"/>
      <c r="X4578" s="6"/>
      <c r="Y4578" s="6"/>
      <c r="Z4578" s="6"/>
      <c r="AA4578" s="6" t="s">
        <v>430</v>
      </c>
      <c r="AB4578" s="8"/>
      <c r="AC4578" s="27">
        <v>9785160147833</v>
      </c>
    </row>
    <row r="4579" spans="1:29" s="4" customFormat="1" ht="51.9" customHeight="1" x14ac:dyDescent="0.2">
      <c r="A4579" s="5">
        <v>0</v>
      </c>
      <c r="B4579" s="6" t="s">
        <v>26436</v>
      </c>
      <c r="C4579" s="7">
        <v>2196</v>
      </c>
      <c r="D4579" s="8" t="s">
        <v>26437</v>
      </c>
      <c r="E4579" s="8" t="s">
        <v>26438</v>
      </c>
      <c r="F4579" s="8" t="s">
        <v>26433</v>
      </c>
      <c r="G4579" s="6" t="s">
        <v>118</v>
      </c>
      <c r="H4579" s="6" t="s">
        <v>34</v>
      </c>
      <c r="I4579" s="8" t="s">
        <v>253</v>
      </c>
      <c r="J4579" s="9">
        <v>1</v>
      </c>
      <c r="K4579" s="9">
        <v>315</v>
      </c>
      <c r="L4579" s="9">
        <v>2027</v>
      </c>
      <c r="M4579" s="8" t="s">
        <v>26439</v>
      </c>
      <c r="N4579" s="8" t="s">
        <v>37</v>
      </c>
      <c r="O4579" s="8" t="s">
        <v>290</v>
      </c>
      <c r="P4579" s="6" t="s">
        <v>51</v>
      </c>
      <c r="Q4579" s="8" t="s">
        <v>377</v>
      </c>
      <c r="R4579" s="10" t="s">
        <v>26440</v>
      </c>
      <c r="S4579" s="11" t="s">
        <v>26441</v>
      </c>
      <c r="T4579" s="6"/>
      <c r="U4579" s="15" t="str">
        <f>HYPERLINK("https://media.infra-m.ru/2265/2265579/cover/2265579.jpg", "Обложка")</f>
        <v>Обложка</v>
      </c>
      <c r="V4579" s="8" t="s">
        <v>6967</v>
      </c>
      <c r="W4579" s="6"/>
      <c r="X4579" s="6"/>
      <c r="Y4579" s="6"/>
      <c r="Z4579" s="6"/>
      <c r="AA4579" s="6" t="s">
        <v>157</v>
      </c>
      <c r="AB4579" s="8"/>
      <c r="AC4579" s="27">
        <v>9785160224138</v>
      </c>
    </row>
    <row r="4580" spans="1:29" s="4" customFormat="1" ht="51.9" customHeight="1" x14ac:dyDescent="0.2">
      <c r="A4580" s="5">
        <v>0</v>
      </c>
      <c r="B4580" s="6" t="s">
        <v>26442</v>
      </c>
      <c r="C4580" s="7">
        <v>1180.8</v>
      </c>
      <c r="D4580" s="8" t="s">
        <v>26443</v>
      </c>
      <c r="E4580" s="8" t="s">
        <v>26444</v>
      </c>
      <c r="F4580" s="8" t="s">
        <v>4080</v>
      </c>
      <c r="G4580" s="6" t="s">
        <v>118</v>
      </c>
      <c r="H4580" s="6" t="s">
        <v>34</v>
      </c>
      <c r="I4580" s="8" t="s">
        <v>263</v>
      </c>
      <c r="J4580" s="9">
        <v>1</v>
      </c>
      <c r="K4580" s="9">
        <v>212</v>
      </c>
      <c r="L4580" s="9">
        <v>2024</v>
      </c>
      <c r="M4580" s="8" t="s">
        <v>26445</v>
      </c>
      <c r="N4580" s="8" t="s">
        <v>37</v>
      </c>
      <c r="O4580" s="8" t="s">
        <v>233</v>
      </c>
      <c r="P4580" s="6" t="s">
        <v>306</v>
      </c>
      <c r="Q4580" s="8" t="s">
        <v>265</v>
      </c>
      <c r="R4580" s="10" t="s">
        <v>26446</v>
      </c>
      <c r="S4580" s="11" t="s">
        <v>26447</v>
      </c>
      <c r="T4580" s="6"/>
      <c r="U4580" s="15" t="str">
        <f>HYPERLINK("https://media.infra-m.ru/2118/2118075/cover/2118075.jpg", "Обложка")</f>
        <v>Обложка</v>
      </c>
      <c r="V4580" s="8" t="s">
        <v>2035</v>
      </c>
      <c r="W4580" s="6"/>
      <c r="X4580" s="6"/>
      <c r="Y4580" s="6"/>
      <c r="Z4580" s="6"/>
      <c r="AA4580" s="6" t="s">
        <v>1256</v>
      </c>
      <c r="AB4580" s="8"/>
      <c r="AC4580" s="27">
        <v>9785160151182</v>
      </c>
    </row>
    <row r="4581" spans="1:29" s="4" customFormat="1" ht="42" customHeight="1" x14ac:dyDescent="0.2">
      <c r="A4581" s="5">
        <v>0</v>
      </c>
      <c r="B4581" s="6" t="s">
        <v>26448</v>
      </c>
      <c r="C4581" s="7">
        <v>1176</v>
      </c>
      <c r="D4581" s="8" t="s">
        <v>26449</v>
      </c>
      <c r="E4581" s="8" t="s">
        <v>26444</v>
      </c>
      <c r="F4581" s="8" t="s">
        <v>26450</v>
      </c>
      <c r="G4581" s="6" t="s">
        <v>60</v>
      </c>
      <c r="H4581" s="6" t="s">
        <v>34</v>
      </c>
      <c r="I4581" s="8" t="s">
        <v>3119</v>
      </c>
      <c r="J4581" s="9">
        <v>1</v>
      </c>
      <c r="K4581" s="9">
        <v>183</v>
      </c>
      <c r="L4581" s="9">
        <v>2025</v>
      </c>
      <c r="M4581" s="8" t="s">
        <v>26451</v>
      </c>
      <c r="N4581" s="8" t="s">
        <v>37</v>
      </c>
      <c r="O4581" s="8" t="s">
        <v>233</v>
      </c>
      <c r="P4581" s="6" t="s">
        <v>51</v>
      </c>
      <c r="Q4581" s="8" t="s">
        <v>65</v>
      </c>
      <c r="R4581" s="10" t="s">
        <v>3008</v>
      </c>
      <c r="S4581" s="11"/>
      <c r="T4581" s="6"/>
      <c r="U4581" s="15" t="str">
        <f>HYPERLINK("https://media.infra-m.ru/2130/2130667/cover/2130667.jpg", "Обложка")</f>
        <v>Обложка</v>
      </c>
      <c r="V4581" s="8" t="s">
        <v>396</v>
      </c>
      <c r="W4581" s="6"/>
      <c r="X4581" s="6"/>
      <c r="Y4581" s="6"/>
      <c r="Z4581" s="6"/>
      <c r="AA4581" s="6" t="s">
        <v>68</v>
      </c>
      <c r="AB4581" s="8"/>
      <c r="AC4581" s="27">
        <v>9785160196077</v>
      </c>
    </row>
    <row r="4582" spans="1:29" s="4" customFormat="1" ht="51.9" customHeight="1" x14ac:dyDescent="0.2">
      <c r="A4582" s="5">
        <v>0</v>
      </c>
      <c r="B4582" s="6" t="s">
        <v>26452</v>
      </c>
      <c r="C4582" s="7">
        <v>1368</v>
      </c>
      <c r="D4582" s="8" t="s">
        <v>26453</v>
      </c>
      <c r="E4582" s="8" t="s">
        <v>26454</v>
      </c>
      <c r="F4582" s="8" t="s">
        <v>9204</v>
      </c>
      <c r="G4582" s="6" t="s">
        <v>60</v>
      </c>
      <c r="H4582" s="6" t="s">
        <v>34</v>
      </c>
      <c r="I4582" s="8" t="s">
        <v>1128</v>
      </c>
      <c r="J4582" s="9">
        <v>1</v>
      </c>
      <c r="K4582" s="9">
        <v>216</v>
      </c>
      <c r="L4582" s="9">
        <v>2025</v>
      </c>
      <c r="M4582" s="8" t="s">
        <v>26455</v>
      </c>
      <c r="N4582" s="8" t="s">
        <v>243</v>
      </c>
      <c r="O4582" s="8" t="s">
        <v>1100</v>
      </c>
      <c r="P4582" s="6" t="s">
        <v>51</v>
      </c>
      <c r="Q4582" s="8" t="s">
        <v>65</v>
      </c>
      <c r="R4582" s="10" t="s">
        <v>6253</v>
      </c>
      <c r="S4582" s="11" t="s">
        <v>26456</v>
      </c>
      <c r="T4582" s="6"/>
      <c r="U4582" s="15" t="str">
        <f>HYPERLINK("https://media.infra-m.ru/2169/2169745/cover/2169745.jpg", "Обложка")</f>
        <v>Обложка</v>
      </c>
      <c r="V4582" s="8" t="s">
        <v>1132</v>
      </c>
      <c r="W4582" s="6"/>
      <c r="X4582" s="6"/>
      <c r="Y4582" s="6"/>
      <c r="Z4582" s="6"/>
      <c r="AA4582" s="6" t="s">
        <v>68</v>
      </c>
      <c r="AB4582" s="8"/>
      <c r="AC4582" s="27">
        <v>9785160203386</v>
      </c>
    </row>
    <row r="4583" spans="1:29" s="4" customFormat="1" ht="44.1" customHeight="1" x14ac:dyDescent="0.2">
      <c r="A4583" s="5">
        <v>0</v>
      </c>
      <c r="B4583" s="6" t="s">
        <v>26457</v>
      </c>
      <c r="C4583" s="7">
        <v>1128</v>
      </c>
      <c r="D4583" s="8" t="s">
        <v>26458</v>
      </c>
      <c r="E4583" s="8" t="s">
        <v>26459</v>
      </c>
      <c r="F4583" s="8" t="s">
        <v>26460</v>
      </c>
      <c r="G4583" s="6" t="s">
        <v>60</v>
      </c>
      <c r="H4583" s="6" t="s">
        <v>34</v>
      </c>
      <c r="I4583" s="8" t="s">
        <v>457</v>
      </c>
      <c r="J4583" s="9">
        <v>1</v>
      </c>
      <c r="K4583" s="9">
        <v>195</v>
      </c>
      <c r="L4583" s="9">
        <v>2023</v>
      </c>
      <c r="M4583" s="8" t="s">
        <v>26461</v>
      </c>
      <c r="N4583" s="8" t="s">
        <v>93</v>
      </c>
      <c r="O4583" s="8" t="s">
        <v>94</v>
      </c>
      <c r="P4583" s="6" t="s">
        <v>39</v>
      </c>
      <c r="Q4583" s="8" t="s">
        <v>40</v>
      </c>
      <c r="R4583" s="10" t="s">
        <v>26462</v>
      </c>
      <c r="S4583" s="11"/>
      <c r="T4583" s="6"/>
      <c r="U4583" s="15" t="str">
        <f>HYPERLINK("https://media.infra-m.ru/1893/1893199/cover/1893199.jpg", "Обложка")</f>
        <v>Обложка</v>
      </c>
      <c r="V4583" s="8" t="s">
        <v>3707</v>
      </c>
      <c r="W4583" s="6"/>
      <c r="X4583" s="6"/>
      <c r="Y4583" s="6"/>
      <c r="Z4583" s="6"/>
      <c r="AA4583" s="6" t="s">
        <v>157</v>
      </c>
      <c r="AB4583" s="8"/>
      <c r="AC4583" s="27">
        <v>9785160178554</v>
      </c>
    </row>
    <row r="4584" spans="1:29" s="4" customFormat="1" ht="51.9" customHeight="1" x14ac:dyDescent="0.2">
      <c r="A4584" s="5">
        <v>0</v>
      </c>
      <c r="B4584" s="6" t="s">
        <v>26463</v>
      </c>
      <c r="C4584" s="13">
        <v>816</v>
      </c>
      <c r="D4584" s="8" t="s">
        <v>26464</v>
      </c>
      <c r="E4584" s="8" t="s">
        <v>26465</v>
      </c>
      <c r="F4584" s="8" t="s">
        <v>26466</v>
      </c>
      <c r="G4584" s="6" t="s">
        <v>33</v>
      </c>
      <c r="H4584" s="6" t="s">
        <v>34</v>
      </c>
      <c r="I4584" s="8" t="s">
        <v>263</v>
      </c>
      <c r="J4584" s="9">
        <v>1</v>
      </c>
      <c r="K4584" s="9">
        <v>136</v>
      </c>
      <c r="L4584" s="9">
        <v>2025</v>
      </c>
      <c r="M4584" s="8" t="s">
        <v>26467</v>
      </c>
      <c r="N4584" s="8" t="s">
        <v>37</v>
      </c>
      <c r="O4584" s="8" t="s">
        <v>280</v>
      </c>
      <c r="P4584" s="6" t="s">
        <v>51</v>
      </c>
      <c r="Q4584" s="8" t="s">
        <v>265</v>
      </c>
      <c r="R4584" s="10" t="s">
        <v>2813</v>
      </c>
      <c r="S4584" s="11" t="s">
        <v>2814</v>
      </c>
      <c r="T4584" s="6"/>
      <c r="U4584" s="15" t="str">
        <f>HYPERLINK("https://media.infra-m.ru/2171/2171481/cover/2171481.jpg", "Обложка")</f>
        <v>Обложка</v>
      </c>
      <c r="V4584" s="8" t="s">
        <v>10985</v>
      </c>
      <c r="W4584" s="6"/>
      <c r="X4584" s="6"/>
      <c r="Y4584" s="6"/>
      <c r="Z4584" s="6" t="s">
        <v>267</v>
      </c>
      <c r="AA4584" s="6" t="s">
        <v>115</v>
      </c>
      <c r="AB4584" s="8"/>
      <c r="AC4584" s="27">
        <v>9785160144733</v>
      </c>
    </row>
    <row r="4585" spans="1:29" s="4" customFormat="1" ht="51.9" customHeight="1" x14ac:dyDescent="0.2">
      <c r="A4585" s="5">
        <v>0</v>
      </c>
      <c r="B4585" s="6" t="s">
        <v>26468</v>
      </c>
      <c r="C4585" s="13">
        <v>784.8</v>
      </c>
      <c r="D4585" s="8" t="s">
        <v>26469</v>
      </c>
      <c r="E4585" s="8" t="s">
        <v>26465</v>
      </c>
      <c r="F4585" s="8" t="s">
        <v>26466</v>
      </c>
      <c r="G4585" s="6" t="s">
        <v>33</v>
      </c>
      <c r="H4585" s="6" t="s">
        <v>34</v>
      </c>
      <c r="I4585" s="8" t="s">
        <v>271</v>
      </c>
      <c r="J4585" s="9">
        <v>1</v>
      </c>
      <c r="K4585" s="9">
        <v>136</v>
      </c>
      <c r="L4585" s="9">
        <v>2024</v>
      </c>
      <c r="M4585" s="8" t="s">
        <v>26470</v>
      </c>
      <c r="N4585" s="8" t="s">
        <v>37</v>
      </c>
      <c r="O4585" s="8" t="s">
        <v>280</v>
      </c>
      <c r="P4585" s="6" t="s">
        <v>51</v>
      </c>
      <c r="Q4585" s="8" t="s">
        <v>52</v>
      </c>
      <c r="R4585" s="10" t="s">
        <v>26471</v>
      </c>
      <c r="S4585" s="11" t="s">
        <v>26472</v>
      </c>
      <c r="T4585" s="6"/>
      <c r="U4585" s="15" t="str">
        <f>HYPERLINK("https://media.infra-m.ru/2134/2134482/cover/2134482.jpg", "Обложка")</f>
        <v>Обложка</v>
      </c>
      <c r="V4585" s="8" t="s">
        <v>10985</v>
      </c>
      <c r="W4585" s="6"/>
      <c r="X4585" s="6"/>
      <c r="Y4585" s="6"/>
      <c r="Z4585" s="6"/>
      <c r="AA4585" s="6" t="s">
        <v>99</v>
      </c>
      <c r="AB4585" s="8"/>
      <c r="AC4585" s="27">
        <v>9785160124964</v>
      </c>
    </row>
    <row r="4586" spans="1:29" s="4" customFormat="1" ht="51.9" customHeight="1" x14ac:dyDescent="0.2">
      <c r="A4586" s="5">
        <v>0</v>
      </c>
      <c r="B4586" s="6" t="s">
        <v>26473</v>
      </c>
      <c r="C4586" s="7">
        <v>3000</v>
      </c>
      <c r="D4586" s="8" t="s">
        <v>26474</v>
      </c>
      <c r="E4586" s="8" t="s">
        <v>26475</v>
      </c>
      <c r="F4586" s="8" t="s">
        <v>26476</v>
      </c>
      <c r="G4586" s="6" t="s">
        <v>60</v>
      </c>
      <c r="H4586" s="6" t="s">
        <v>34</v>
      </c>
      <c r="I4586" s="8" t="s">
        <v>263</v>
      </c>
      <c r="J4586" s="9">
        <v>1</v>
      </c>
      <c r="K4586" s="9">
        <v>432</v>
      </c>
      <c r="L4586" s="9">
        <v>2027</v>
      </c>
      <c r="M4586" s="8" t="s">
        <v>26477</v>
      </c>
      <c r="N4586" s="8" t="s">
        <v>37</v>
      </c>
      <c r="O4586" s="8" t="s">
        <v>233</v>
      </c>
      <c r="P4586" s="6" t="s">
        <v>51</v>
      </c>
      <c r="Q4586" s="8" t="s">
        <v>265</v>
      </c>
      <c r="R4586" s="10" t="s">
        <v>2813</v>
      </c>
      <c r="S4586" s="11" t="s">
        <v>26478</v>
      </c>
      <c r="T4586" s="6"/>
      <c r="U4586" s="15" t="str">
        <f>HYPERLINK("https://media.infra-m.ru/2266/2266101/cover/2266101.jpg", "Обложка")</f>
        <v>Обложка</v>
      </c>
      <c r="V4586" s="8" t="s">
        <v>588</v>
      </c>
      <c r="W4586" s="6"/>
      <c r="X4586" s="6"/>
      <c r="Y4586" s="6"/>
      <c r="Z4586" s="6" t="s">
        <v>267</v>
      </c>
      <c r="AA4586" s="6" t="s">
        <v>115</v>
      </c>
      <c r="AB4586" s="8"/>
      <c r="AC4586" s="27">
        <v>9785160224251</v>
      </c>
    </row>
    <row r="4587" spans="1:29" s="4" customFormat="1" ht="51.9" customHeight="1" x14ac:dyDescent="0.2">
      <c r="A4587" s="5">
        <v>0</v>
      </c>
      <c r="B4587" s="6" t="s">
        <v>26479</v>
      </c>
      <c r="C4587" s="7">
        <v>2848.8</v>
      </c>
      <c r="D4587" s="8" t="s">
        <v>26480</v>
      </c>
      <c r="E4587" s="8" t="s">
        <v>26475</v>
      </c>
      <c r="F4587" s="8" t="s">
        <v>26476</v>
      </c>
      <c r="G4587" s="6" t="s">
        <v>60</v>
      </c>
      <c r="H4587" s="6" t="s">
        <v>48</v>
      </c>
      <c r="I4587" s="8" t="s">
        <v>253</v>
      </c>
      <c r="J4587" s="9">
        <v>1</v>
      </c>
      <c r="K4587" s="9">
        <v>432</v>
      </c>
      <c r="L4587" s="9">
        <v>2026</v>
      </c>
      <c r="M4587" s="8" t="s">
        <v>26481</v>
      </c>
      <c r="N4587" s="8" t="s">
        <v>37</v>
      </c>
      <c r="O4587" s="8" t="s">
        <v>233</v>
      </c>
      <c r="P4587" s="6" t="s">
        <v>51</v>
      </c>
      <c r="Q4587" s="8" t="s">
        <v>52</v>
      </c>
      <c r="R4587" s="10" t="s">
        <v>11492</v>
      </c>
      <c r="S4587" s="11" t="s">
        <v>26482</v>
      </c>
      <c r="T4587" s="6"/>
      <c r="U4587" s="15" t="str">
        <f>HYPERLINK("https://media.infra-m.ru/2243/2243100/cover/2243100.jpg", "Обложка")</f>
        <v>Обложка</v>
      </c>
      <c r="V4587" s="8" t="s">
        <v>588</v>
      </c>
      <c r="W4587" s="6"/>
      <c r="X4587" s="6"/>
      <c r="Y4587" s="6"/>
      <c r="Z4587" s="6"/>
      <c r="AA4587" s="6" t="s">
        <v>779</v>
      </c>
      <c r="AB4587" s="8"/>
      <c r="AC4587" s="27">
        <v>9785000915141</v>
      </c>
    </row>
    <row r="4588" spans="1:29" s="4" customFormat="1" ht="51.9" customHeight="1" x14ac:dyDescent="0.2">
      <c r="A4588" s="5">
        <v>0</v>
      </c>
      <c r="B4588" s="6" t="s">
        <v>26483</v>
      </c>
      <c r="C4588" s="7">
        <v>2232</v>
      </c>
      <c r="D4588" s="8" t="s">
        <v>26484</v>
      </c>
      <c r="E4588" s="8" t="s">
        <v>26485</v>
      </c>
      <c r="F4588" s="8" t="s">
        <v>26486</v>
      </c>
      <c r="G4588" s="6" t="s">
        <v>118</v>
      </c>
      <c r="H4588" s="6" t="s">
        <v>1644</v>
      </c>
      <c r="I4588" s="8"/>
      <c r="J4588" s="9">
        <v>1</v>
      </c>
      <c r="K4588" s="9">
        <v>400</v>
      </c>
      <c r="L4588" s="9">
        <v>2024</v>
      </c>
      <c r="M4588" s="8" t="s">
        <v>26487</v>
      </c>
      <c r="N4588" s="8" t="s">
        <v>37</v>
      </c>
      <c r="O4588" s="8" t="s">
        <v>499</v>
      </c>
      <c r="P4588" s="6" t="s">
        <v>51</v>
      </c>
      <c r="Q4588" s="8" t="s">
        <v>52</v>
      </c>
      <c r="R4588" s="10" t="s">
        <v>26488</v>
      </c>
      <c r="S4588" s="11" t="s">
        <v>26489</v>
      </c>
      <c r="T4588" s="6"/>
      <c r="U4588" s="15" t="str">
        <f>HYPERLINK("https://media.infra-m.ru/2099/2099068/cover/2099068.jpg", "Обложка")</f>
        <v>Обложка</v>
      </c>
      <c r="V4588" s="8" t="s">
        <v>18741</v>
      </c>
      <c r="W4588" s="6"/>
      <c r="X4588" s="6"/>
      <c r="Y4588" s="6"/>
      <c r="Z4588" s="6"/>
      <c r="AA4588" s="6" t="s">
        <v>129</v>
      </c>
      <c r="AB4588" s="8"/>
      <c r="AC4588" s="27">
        <v>9785977601764</v>
      </c>
    </row>
    <row r="4589" spans="1:29" s="4" customFormat="1" ht="51.9" customHeight="1" x14ac:dyDescent="0.2">
      <c r="A4589" s="5">
        <v>0</v>
      </c>
      <c r="B4589" s="6" t="s">
        <v>26490</v>
      </c>
      <c r="C4589" s="13">
        <v>852</v>
      </c>
      <c r="D4589" s="8" t="s">
        <v>26491</v>
      </c>
      <c r="E4589" s="8" t="s">
        <v>26492</v>
      </c>
      <c r="F4589" s="8" t="s">
        <v>26493</v>
      </c>
      <c r="G4589" s="6" t="s">
        <v>118</v>
      </c>
      <c r="H4589" s="6" t="s">
        <v>34</v>
      </c>
      <c r="I4589" s="8" t="s">
        <v>7198</v>
      </c>
      <c r="J4589" s="9">
        <v>1</v>
      </c>
      <c r="K4589" s="9">
        <v>187</v>
      </c>
      <c r="L4589" s="9">
        <v>2022</v>
      </c>
      <c r="M4589" s="8" t="s">
        <v>26494</v>
      </c>
      <c r="N4589" s="8" t="s">
        <v>243</v>
      </c>
      <c r="O4589" s="8" t="s">
        <v>964</v>
      </c>
      <c r="P4589" s="6" t="s">
        <v>51</v>
      </c>
      <c r="Q4589" s="8" t="s">
        <v>52</v>
      </c>
      <c r="R4589" s="10" t="s">
        <v>12387</v>
      </c>
      <c r="S4589" s="11" t="s">
        <v>26495</v>
      </c>
      <c r="T4589" s="6"/>
      <c r="U4589" s="15" t="str">
        <f>HYPERLINK("https://media.infra-m.ru/1844/1844375/cover/1844375.jpg", "Обложка")</f>
        <v>Обложка</v>
      </c>
      <c r="V4589" s="8" t="s">
        <v>1083</v>
      </c>
      <c r="W4589" s="6"/>
      <c r="X4589" s="6"/>
      <c r="Y4589" s="6"/>
      <c r="Z4589" s="6"/>
      <c r="AA4589" s="6" t="s">
        <v>404</v>
      </c>
      <c r="AB4589" s="8"/>
      <c r="AC4589" s="27">
        <v>9785160173603</v>
      </c>
    </row>
    <row r="4590" spans="1:29" s="4" customFormat="1" ht="51.9" customHeight="1" x14ac:dyDescent="0.2">
      <c r="A4590" s="5">
        <v>0</v>
      </c>
      <c r="B4590" s="6" t="s">
        <v>26496</v>
      </c>
      <c r="C4590" s="7">
        <v>1032</v>
      </c>
      <c r="D4590" s="8" t="s">
        <v>26497</v>
      </c>
      <c r="E4590" s="8" t="s">
        <v>26492</v>
      </c>
      <c r="F4590" s="8" t="s">
        <v>26493</v>
      </c>
      <c r="G4590" s="6" t="s">
        <v>33</v>
      </c>
      <c r="H4590" s="6" t="s">
        <v>34</v>
      </c>
      <c r="I4590" s="8" t="s">
        <v>1248</v>
      </c>
      <c r="J4590" s="9">
        <v>1</v>
      </c>
      <c r="K4590" s="9">
        <v>187</v>
      </c>
      <c r="L4590" s="9">
        <v>2024</v>
      </c>
      <c r="M4590" s="8" t="s">
        <v>26498</v>
      </c>
      <c r="N4590" s="8" t="s">
        <v>243</v>
      </c>
      <c r="O4590" s="8" t="s">
        <v>964</v>
      </c>
      <c r="P4590" s="6" t="s">
        <v>51</v>
      </c>
      <c r="Q4590" s="8" t="s">
        <v>52</v>
      </c>
      <c r="R4590" s="10" t="s">
        <v>12387</v>
      </c>
      <c r="S4590" s="11" t="s">
        <v>26495</v>
      </c>
      <c r="T4590" s="6"/>
      <c r="U4590" s="15" t="str">
        <f>HYPERLINK("https://media.infra-m.ru/2094/2094501/cover/2094501.jpg", "Обложка")</f>
        <v>Обложка</v>
      </c>
      <c r="V4590" s="8" t="s">
        <v>1083</v>
      </c>
      <c r="W4590" s="6"/>
      <c r="X4590" s="6"/>
      <c r="Y4590" s="6"/>
      <c r="Z4590" s="6"/>
      <c r="AA4590" s="6" t="s">
        <v>404</v>
      </c>
      <c r="AB4590" s="8"/>
      <c r="AC4590" s="27">
        <v>9785160191805</v>
      </c>
    </row>
    <row r="4591" spans="1:29" s="4" customFormat="1" ht="42" customHeight="1" x14ac:dyDescent="0.2">
      <c r="A4591" s="5">
        <v>0</v>
      </c>
      <c r="B4591" s="6" t="s">
        <v>26499</v>
      </c>
      <c r="C4591" s="7">
        <v>1648.8</v>
      </c>
      <c r="D4591" s="8" t="s">
        <v>26500</v>
      </c>
      <c r="E4591" s="8" t="s">
        <v>26501</v>
      </c>
      <c r="F4591" s="8" t="s">
        <v>26502</v>
      </c>
      <c r="G4591" s="6" t="s">
        <v>60</v>
      </c>
      <c r="H4591" s="6" t="s">
        <v>34</v>
      </c>
      <c r="I4591" s="8" t="s">
        <v>1248</v>
      </c>
      <c r="J4591" s="9">
        <v>1</v>
      </c>
      <c r="K4591" s="9">
        <v>237</v>
      </c>
      <c r="L4591" s="9">
        <v>2027</v>
      </c>
      <c r="M4591" s="8" t="s">
        <v>26503</v>
      </c>
      <c r="N4591" s="8" t="s">
        <v>37</v>
      </c>
      <c r="O4591" s="8" t="s">
        <v>233</v>
      </c>
      <c r="P4591" s="6" t="s">
        <v>394</v>
      </c>
      <c r="Q4591" s="8" t="s">
        <v>52</v>
      </c>
      <c r="R4591" s="10" t="s">
        <v>2033</v>
      </c>
      <c r="S4591" s="11"/>
      <c r="T4591" s="6"/>
      <c r="U4591" s="15" t="str">
        <f>HYPERLINK("https://media.infra-m.ru/2264/2264707/cover/2264707.jpg", "Обложка")</f>
        <v>Обложка</v>
      </c>
      <c r="V4591" s="8" t="s">
        <v>1083</v>
      </c>
      <c r="W4591" s="6"/>
      <c r="X4591" s="6"/>
      <c r="Y4591" s="6"/>
      <c r="Z4591" s="6"/>
      <c r="AA4591" s="6" t="s">
        <v>68</v>
      </c>
      <c r="AB4591" s="8"/>
      <c r="AC4591" s="27">
        <v>9785160202761</v>
      </c>
    </row>
    <row r="4592" spans="1:29" s="4" customFormat="1" ht="51.9" customHeight="1" x14ac:dyDescent="0.2">
      <c r="A4592" s="5">
        <v>0</v>
      </c>
      <c r="B4592" s="6" t="s">
        <v>26504</v>
      </c>
      <c r="C4592" s="7">
        <v>2669.9</v>
      </c>
      <c r="D4592" s="8" t="s">
        <v>26505</v>
      </c>
      <c r="E4592" s="8" t="s">
        <v>26501</v>
      </c>
      <c r="F4592" s="8" t="s">
        <v>26506</v>
      </c>
      <c r="G4592" s="6" t="s">
        <v>118</v>
      </c>
      <c r="H4592" s="6" t="s">
        <v>1042</v>
      </c>
      <c r="I4592" s="8" t="s">
        <v>65</v>
      </c>
      <c r="J4592" s="9">
        <v>1</v>
      </c>
      <c r="K4592" s="9">
        <v>496</v>
      </c>
      <c r="L4592" s="9">
        <v>2023</v>
      </c>
      <c r="M4592" s="8" t="s">
        <v>26507</v>
      </c>
      <c r="N4592" s="8" t="s">
        <v>37</v>
      </c>
      <c r="O4592" s="8" t="s">
        <v>233</v>
      </c>
      <c r="P4592" s="6" t="s">
        <v>306</v>
      </c>
      <c r="Q4592" s="8" t="s">
        <v>265</v>
      </c>
      <c r="R4592" s="10" t="s">
        <v>2574</v>
      </c>
      <c r="S4592" s="11" t="s">
        <v>26508</v>
      </c>
      <c r="T4592" s="6"/>
      <c r="U4592" s="15" t="str">
        <f>HYPERLINK("https://media.infra-m.ru/1981/1981669/cover/1981669.jpg", "Обложка")</f>
        <v>Обложка</v>
      </c>
      <c r="V4592" s="8" t="s">
        <v>247</v>
      </c>
      <c r="W4592" s="6"/>
      <c r="X4592" s="6"/>
      <c r="Y4592" s="6"/>
      <c r="Z4592" s="6"/>
      <c r="AA4592" s="6" t="s">
        <v>779</v>
      </c>
      <c r="AB4592" s="8"/>
      <c r="AC4592" s="27">
        <v>9785819906385</v>
      </c>
    </row>
    <row r="4593" spans="1:29" s="4" customFormat="1" ht="51.9" customHeight="1" x14ac:dyDescent="0.2">
      <c r="A4593" s="5">
        <v>0</v>
      </c>
      <c r="B4593" s="6" t="s">
        <v>26509</v>
      </c>
      <c r="C4593" s="7">
        <v>2752.8</v>
      </c>
      <c r="D4593" s="8" t="s">
        <v>26510</v>
      </c>
      <c r="E4593" s="8" t="s">
        <v>26501</v>
      </c>
      <c r="F4593" s="8" t="s">
        <v>26511</v>
      </c>
      <c r="G4593" s="6" t="s">
        <v>60</v>
      </c>
      <c r="H4593" s="6" t="s">
        <v>34</v>
      </c>
      <c r="I4593" s="8" t="s">
        <v>253</v>
      </c>
      <c r="J4593" s="9">
        <v>1</v>
      </c>
      <c r="K4593" s="9">
        <v>632</v>
      </c>
      <c r="L4593" s="9">
        <v>2024</v>
      </c>
      <c r="M4593" s="8" t="s">
        <v>26512</v>
      </c>
      <c r="N4593" s="8" t="s">
        <v>37</v>
      </c>
      <c r="O4593" s="8" t="s">
        <v>233</v>
      </c>
      <c r="P4593" s="6" t="s">
        <v>306</v>
      </c>
      <c r="Q4593" s="8" t="s">
        <v>52</v>
      </c>
      <c r="R4593" s="10" t="s">
        <v>2033</v>
      </c>
      <c r="S4593" s="11" t="s">
        <v>26513</v>
      </c>
      <c r="T4593" s="6"/>
      <c r="U4593" s="15" t="str">
        <f>HYPERLINK("https://media.infra-m.ru/2083/2083227/cover/2083227.jpg", "Обложка")</f>
        <v>Обложка</v>
      </c>
      <c r="V4593" s="8" t="s">
        <v>396</v>
      </c>
      <c r="W4593" s="6"/>
      <c r="X4593" s="6"/>
      <c r="Y4593" s="6"/>
      <c r="Z4593" s="6"/>
      <c r="AA4593" s="6" t="s">
        <v>43</v>
      </c>
      <c r="AB4593" s="8"/>
      <c r="AC4593" s="27">
        <v>9785160054049</v>
      </c>
    </row>
    <row r="4594" spans="1:29" s="4" customFormat="1" ht="42" customHeight="1" x14ac:dyDescent="0.2">
      <c r="A4594" s="5">
        <v>0</v>
      </c>
      <c r="B4594" s="6" t="s">
        <v>26514</v>
      </c>
      <c r="C4594" s="7">
        <v>2092.8000000000002</v>
      </c>
      <c r="D4594" s="8" t="s">
        <v>26515</v>
      </c>
      <c r="E4594" s="8" t="s">
        <v>26516</v>
      </c>
      <c r="F4594" s="8" t="s">
        <v>26517</v>
      </c>
      <c r="G4594" s="6" t="s">
        <v>60</v>
      </c>
      <c r="H4594" s="6" t="s">
        <v>48</v>
      </c>
      <c r="I4594" s="8" t="s">
        <v>401</v>
      </c>
      <c r="J4594" s="9">
        <v>1</v>
      </c>
      <c r="K4594" s="9">
        <v>336</v>
      </c>
      <c r="L4594" s="9">
        <v>2025</v>
      </c>
      <c r="M4594" s="8" t="s">
        <v>26518</v>
      </c>
      <c r="N4594" s="8" t="s">
        <v>93</v>
      </c>
      <c r="O4594" s="8" t="s">
        <v>94</v>
      </c>
      <c r="P4594" s="6" t="s">
        <v>51</v>
      </c>
      <c r="Q4594" s="8"/>
      <c r="R4594" s="10" t="s">
        <v>6139</v>
      </c>
      <c r="S4594" s="11"/>
      <c r="T4594" s="6"/>
      <c r="U4594" s="15" t="str">
        <f>HYPERLINK("https://media.infra-m.ru/2196/2196878/cover/2196878.jpg", "Обложка")</f>
        <v>Обложка</v>
      </c>
      <c r="V4594" s="8" t="s">
        <v>227</v>
      </c>
      <c r="W4594" s="6"/>
      <c r="X4594" s="6"/>
      <c r="Y4594" s="6"/>
      <c r="Z4594" s="6"/>
      <c r="AA4594" s="6" t="s">
        <v>718</v>
      </c>
      <c r="AB4594" s="8"/>
      <c r="AC4594" s="27">
        <v>9785911347079</v>
      </c>
    </row>
    <row r="4595" spans="1:29" s="4" customFormat="1" ht="42" customHeight="1" x14ac:dyDescent="0.2">
      <c r="A4595" s="5">
        <v>0</v>
      </c>
      <c r="B4595" s="6" t="s">
        <v>26519</v>
      </c>
      <c r="C4595" s="7">
        <v>2440.8000000000002</v>
      </c>
      <c r="D4595" s="8" t="s">
        <v>26520</v>
      </c>
      <c r="E4595" s="8" t="s">
        <v>26521</v>
      </c>
      <c r="F4595" s="8" t="s">
        <v>3683</v>
      </c>
      <c r="G4595" s="6" t="s">
        <v>60</v>
      </c>
      <c r="H4595" s="6" t="s">
        <v>1644</v>
      </c>
      <c r="I4595" s="8"/>
      <c r="J4595" s="9">
        <v>1</v>
      </c>
      <c r="K4595" s="9">
        <v>392</v>
      </c>
      <c r="L4595" s="9">
        <v>2025</v>
      </c>
      <c r="M4595" s="8" t="s">
        <v>26522</v>
      </c>
      <c r="N4595" s="8" t="s">
        <v>37</v>
      </c>
      <c r="O4595" s="8" t="s">
        <v>233</v>
      </c>
      <c r="P4595" s="6" t="s">
        <v>51</v>
      </c>
      <c r="Q4595" s="8" t="s">
        <v>52</v>
      </c>
      <c r="R4595" s="10" t="s">
        <v>26523</v>
      </c>
      <c r="S4595" s="11"/>
      <c r="T4595" s="6"/>
      <c r="U4595" s="15" t="str">
        <f>HYPERLINK("https://media.infra-m.ru/2192/2192775/cover/2192775.jpg", "Обложка")</f>
        <v>Обложка</v>
      </c>
      <c r="V4595" s="8" t="s">
        <v>3686</v>
      </c>
      <c r="W4595" s="6"/>
      <c r="X4595" s="6"/>
      <c r="Y4595" s="6"/>
      <c r="Z4595" s="6"/>
      <c r="AA4595" s="6" t="s">
        <v>430</v>
      </c>
      <c r="AB4595" s="8"/>
      <c r="AC4595" s="27">
        <v>9785977605274</v>
      </c>
    </row>
    <row r="4596" spans="1:29" s="4" customFormat="1" ht="51.9" customHeight="1" x14ac:dyDescent="0.2">
      <c r="A4596" s="5">
        <v>0</v>
      </c>
      <c r="B4596" s="6" t="s">
        <v>26524</v>
      </c>
      <c r="C4596" s="7">
        <v>1001.9</v>
      </c>
      <c r="D4596" s="8" t="s">
        <v>26525</v>
      </c>
      <c r="E4596" s="8" t="s">
        <v>26526</v>
      </c>
      <c r="F4596" s="8" t="s">
        <v>26527</v>
      </c>
      <c r="G4596" s="6" t="s">
        <v>60</v>
      </c>
      <c r="H4596" s="6" t="s">
        <v>241</v>
      </c>
      <c r="I4596" s="8"/>
      <c r="J4596" s="9">
        <v>1</v>
      </c>
      <c r="K4596" s="9">
        <v>294</v>
      </c>
      <c r="L4596" s="9">
        <v>2017</v>
      </c>
      <c r="M4596" s="8" t="s">
        <v>26528</v>
      </c>
      <c r="N4596" s="8" t="s">
        <v>37</v>
      </c>
      <c r="O4596" s="8" t="s">
        <v>233</v>
      </c>
      <c r="P4596" s="6" t="s">
        <v>51</v>
      </c>
      <c r="Q4596" s="8" t="s">
        <v>52</v>
      </c>
      <c r="R4596" s="10" t="s">
        <v>1646</v>
      </c>
      <c r="S4596" s="11" t="s">
        <v>26529</v>
      </c>
      <c r="T4596" s="6"/>
      <c r="U4596" s="12"/>
      <c r="V4596" s="8" t="s">
        <v>247</v>
      </c>
      <c r="W4596" s="6"/>
      <c r="X4596" s="6"/>
      <c r="Y4596" s="6"/>
      <c r="Z4596" s="6"/>
      <c r="AA4596" s="6" t="s">
        <v>7324</v>
      </c>
      <c r="AB4596" s="8"/>
      <c r="AC4596" s="27">
        <v>9785955802404</v>
      </c>
    </row>
    <row r="4597" spans="1:29" s="4" customFormat="1" ht="51.9" customHeight="1" x14ac:dyDescent="0.2">
      <c r="A4597" s="5">
        <v>0</v>
      </c>
      <c r="B4597" s="6" t="s">
        <v>26530</v>
      </c>
      <c r="C4597" s="7">
        <v>2340</v>
      </c>
      <c r="D4597" s="8" t="s">
        <v>26531</v>
      </c>
      <c r="E4597" s="8" t="s">
        <v>26532</v>
      </c>
      <c r="F4597" s="8" t="s">
        <v>26533</v>
      </c>
      <c r="G4597" s="6" t="s">
        <v>60</v>
      </c>
      <c r="H4597" s="6" t="s">
        <v>241</v>
      </c>
      <c r="I4597" s="8" t="s">
        <v>13632</v>
      </c>
      <c r="J4597" s="9">
        <v>1</v>
      </c>
      <c r="K4597" s="9">
        <v>421</v>
      </c>
      <c r="L4597" s="9">
        <v>2024</v>
      </c>
      <c r="M4597" s="8" t="s">
        <v>26534</v>
      </c>
      <c r="N4597" s="8" t="s">
        <v>37</v>
      </c>
      <c r="O4597" s="8" t="s">
        <v>233</v>
      </c>
      <c r="P4597" s="6" t="s">
        <v>51</v>
      </c>
      <c r="Q4597" s="8" t="s">
        <v>65</v>
      </c>
      <c r="R4597" s="10" t="s">
        <v>1646</v>
      </c>
      <c r="S4597" s="11" t="s">
        <v>26535</v>
      </c>
      <c r="T4597" s="6"/>
      <c r="U4597" s="15" t="str">
        <f>HYPERLINK("https://media.infra-m.ru/2053/2053979/cover/2053979.jpg", "Обложка")</f>
        <v>Обложка</v>
      </c>
      <c r="V4597" s="8" t="s">
        <v>247</v>
      </c>
      <c r="W4597" s="6"/>
      <c r="X4597" s="6"/>
      <c r="Y4597" s="6"/>
      <c r="Z4597" s="6"/>
      <c r="AA4597" s="6" t="s">
        <v>2259</v>
      </c>
      <c r="AB4597" s="8"/>
      <c r="AC4597" s="27">
        <v>9785955805948</v>
      </c>
    </row>
    <row r="4598" spans="1:29" s="4" customFormat="1" ht="51.9" customHeight="1" x14ac:dyDescent="0.2">
      <c r="A4598" s="5">
        <v>0</v>
      </c>
      <c r="B4598" s="6" t="s">
        <v>26536</v>
      </c>
      <c r="C4598" s="7">
        <v>2284.8000000000002</v>
      </c>
      <c r="D4598" s="8" t="s">
        <v>26537</v>
      </c>
      <c r="E4598" s="8" t="s">
        <v>26538</v>
      </c>
      <c r="F4598" s="8" t="s">
        <v>26539</v>
      </c>
      <c r="G4598" s="6" t="s">
        <v>118</v>
      </c>
      <c r="H4598" s="6" t="s">
        <v>34</v>
      </c>
      <c r="I4598" s="8" t="s">
        <v>271</v>
      </c>
      <c r="J4598" s="9">
        <v>1</v>
      </c>
      <c r="K4598" s="9">
        <v>380</v>
      </c>
      <c r="L4598" s="9">
        <v>2025</v>
      </c>
      <c r="M4598" s="8" t="s">
        <v>26540</v>
      </c>
      <c r="N4598" s="8" t="s">
        <v>37</v>
      </c>
      <c r="O4598" s="8" t="s">
        <v>233</v>
      </c>
      <c r="P4598" s="6" t="s">
        <v>306</v>
      </c>
      <c r="Q4598" s="8" t="s">
        <v>52</v>
      </c>
      <c r="R4598" s="10" t="s">
        <v>370</v>
      </c>
      <c r="S4598" s="11" t="s">
        <v>26541</v>
      </c>
      <c r="T4598" s="6" t="s">
        <v>97</v>
      </c>
      <c r="U4598" s="15" t="str">
        <f>HYPERLINK("https://media.infra-m.ru/2187/2187824/cover/2187824.jpg", "Обложка")</f>
        <v>Обложка</v>
      </c>
      <c r="V4598" s="8" t="s">
        <v>2446</v>
      </c>
      <c r="W4598" s="6"/>
      <c r="X4598" s="6"/>
      <c r="Y4598" s="6"/>
      <c r="Z4598" s="6"/>
      <c r="AA4598" s="6" t="s">
        <v>15057</v>
      </c>
      <c r="AB4598" s="8"/>
      <c r="AC4598" s="27">
        <v>9785160186535</v>
      </c>
    </row>
    <row r="4599" spans="1:29" s="4" customFormat="1" ht="51.9" customHeight="1" x14ac:dyDescent="0.2">
      <c r="A4599" s="5">
        <v>0</v>
      </c>
      <c r="B4599" s="6" t="s">
        <v>26542</v>
      </c>
      <c r="C4599" s="7">
        <v>1728</v>
      </c>
      <c r="D4599" s="8" t="s">
        <v>26543</v>
      </c>
      <c r="E4599" s="8" t="s">
        <v>26544</v>
      </c>
      <c r="F4599" s="8" t="s">
        <v>26545</v>
      </c>
      <c r="G4599" s="6" t="s">
        <v>118</v>
      </c>
      <c r="H4599" s="6" t="s">
        <v>34</v>
      </c>
      <c r="I4599" s="8" t="s">
        <v>253</v>
      </c>
      <c r="J4599" s="9">
        <v>1</v>
      </c>
      <c r="K4599" s="9">
        <v>248</v>
      </c>
      <c r="L4599" s="9">
        <v>2027</v>
      </c>
      <c r="M4599" s="8" t="s">
        <v>26546</v>
      </c>
      <c r="N4599" s="8" t="s">
        <v>37</v>
      </c>
      <c r="O4599" s="8" t="s">
        <v>233</v>
      </c>
      <c r="P4599" s="6" t="s">
        <v>51</v>
      </c>
      <c r="Q4599" s="8" t="s">
        <v>52</v>
      </c>
      <c r="R4599" s="10" t="s">
        <v>26547</v>
      </c>
      <c r="S4599" s="11" t="s">
        <v>26548</v>
      </c>
      <c r="T4599" s="6"/>
      <c r="U4599" s="15" t="str">
        <f>HYPERLINK("https://media.infra-m.ru/2264/2264715/cover/2264715.jpg", "Обложка")</f>
        <v>Обложка</v>
      </c>
      <c r="V4599" s="8" t="s">
        <v>396</v>
      </c>
      <c r="W4599" s="6"/>
      <c r="X4599" s="6"/>
      <c r="Y4599" s="6"/>
      <c r="Z4599" s="6"/>
      <c r="AA4599" s="6" t="s">
        <v>561</v>
      </c>
      <c r="AB4599" s="8"/>
      <c r="AC4599" s="27">
        <v>9785160201184</v>
      </c>
    </row>
    <row r="4600" spans="1:29" s="4" customFormat="1" ht="42" customHeight="1" x14ac:dyDescent="0.2">
      <c r="A4600" s="5">
        <v>0</v>
      </c>
      <c r="B4600" s="6" t="s">
        <v>26549</v>
      </c>
      <c r="C4600" s="7">
        <v>1108.8</v>
      </c>
      <c r="D4600" s="8" t="s">
        <v>26550</v>
      </c>
      <c r="E4600" s="8" t="s">
        <v>26551</v>
      </c>
      <c r="F4600" s="8" t="s">
        <v>26552</v>
      </c>
      <c r="G4600" s="6" t="s">
        <v>33</v>
      </c>
      <c r="H4600" s="6" t="s">
        <v>48</v>
      </c>
      <c r="I4600" s="8" t="s">
        <v>271</v>
      </c>
      <c r="J4600" s="9">
        <v>1</v>
      </c>
      <c r="K4600" s="9">
        <v>160</v>
      </c>
      <c r="L4600" s="9">
        <v>2027</v>
      </c>
      <c r="M4600" s="8" t="s">
        <v>26553</v>
      </c>
      <c r="N4600" s="8" t="s">
        <v>37</v>
      </c>
      <c r="O4600" s="8" t="s">
        <v>280</v>
      </c>
      <c r="P4600" s="6" t="s">
        <v>51</v>
      </c>
      <c r="Q4600" s="8" t="s">
        <v>52</v>
      </c>
      <c r="R4600" s="10" t="s">
        <v>26554</v>
      </c>
      <c r="S4600" s="11"/>
      <c r="T4600" s="6"/>
      <c r="U4600" s="15" t="str">
        <f>HYPERLINK("https://media.infra-m.ru/2262/2262581/cover/2262581.jpg", "Обложка")</f>
        <v>Обложка</v>
      </c>
      <c r="V4600" s="8" t="s">
        <v>10694</v>
      </c>
      <c r="W4600" s="6"/>
      <c r="X4600" s="6"/>
      <c r="Y4600" s="6"/>
      <c r="Z4600" s="6"/>
      <c r="AA4600" s="6" t="s">
        <v>43</v>
      </c>
      <c r="AB4600" s="8"/>
      <c r="AC4600" s="27">
        <v>9785911346614</v>
      </c>
    </row>
    <row r="4601" spans="1:29" s="4" customFormat="1" ht="42" customHeight="1" x14ac:dyDescent="0.2">
      <c r="A4601" s="5">
        <v>0</v>
      </c>
      <c r="B4601" s="6" t="s">
        <v>26555</v>
      </c>
      <c r="C4601" s="7">
        <v>1108.8</v>
      </c>
      <c r="D4601" s="8" t="s">
        <v>26556</v>
      </c>
      <c r="E4601" s="8" t="s">
        <v>26551</v>
      </c>
      <c r="F4601" s="8" t="s">
        <v>26557</v>
      </c>
      <c r="G4601" s="6" t="s">
        <v>33</v>
      </c>
      <c r="H4601" s="6" t="s">
        <v>48</v>
      </c>
      <c r="I4601" s="8" t="s">
        <v>263</v>
      </c>
      <c r="J4601" s="9">
        <v>1</v>
      </c>
      <c r="K4601" s="9">
        <v>160</v>
      </c>
      <c r="L4601" s="9">
        <v>2027</v>
      </c>
      <c r="M4601" s="8" t="s">
        <v>26558</v>
      </c>
      <c r="N4601" s="8" t="s">
        <v>37</v>
      </c>
      <c r="O4601" s="8" t="s">
        <v>280</v>
      </c>
      <c r="P4601" s="6" t="s">
        <v>51</v>
      </c>
      <c r="Q4601" s="8" t="s">
        <v>265</v>
      </c>
      <c r="R4601" s="10" t="s">
        <v>26559</v>
      </c>
      <c r="S4601" s="11"/>
      <c r="T4601" s="6"/>
      <c r="U4601" s="15" t="str">
        <f>HYPERLINK("https://media.infra-m.ru/2262/2262580/cover/2262580.jpg", "Обложка")</f>
        <v>Обложка</v>
      </c>
      <c r="V4601" s="8" t="s">
        <v>10694</v>
      </c>
      <c r="W4601" s="6"/>
      <c r="X4601" s="6"/>
      <c r="Y4601" s="6"/>
      <c r="Z4601" s="6" t="s">
        <v>267</v>
      </c>
      <c r="AA4601" s="6" t="s">
        <v>68</v>
      </c>
      <c r="AB4601" s="8"/>
      <c r="AC4601" s="27">
        <v>9785000917169</v>
      </c>
    </row>
    <row r="4602" spans="1:29" s="4" customFormat="1" ht="51.9" customHeight="1" x14ac:dyDescent="0.2">
      <c r="A4602" s="5">
        <v>0</v>
      </c>
      <c r="B4602" s="6" t="s">
        <v>26560</v>
      </c>
      <c r="C4602" s="13">
        <v>744</v>
      </c>
      <c r="D4602" s="8" t="s">
        <v>26561</v>
      </c>
      <c r="E4602" s="8" t="s">
        <v>26562</v>
      </c>
      <c r="F4602" s="8" t="s">
        <v>14512</v>
      </c>
      <c r="G4602" s="6" t="s">
        <v>33</v>
      </c>
      <c r="H4602" s="6" t="s">
        <v>48</v>
      </c>
      <c r="I4602" s="8" t="s">
        <v>271</v>
      </c>
      <c r="J4602" s="9">
        <v>1</v>
      </c>
      <c r="K4602" s="9">
        <v>192</v>
      </c>
      <c r="L4602" s="9">
        <v>2019</v>
      </c>
      <c r="M4602" s="8" t="s">
        <v>26563</v>
      </c>
      <c r="N4602" s="8" t="s">
        <v>37</v>
      </c>
      <c r="O4602" s="8" t="s">
        <v>136</v>
      </c>
      <c r="P4602" s="6" t="s">
        <v>306</v>
      </c>
      <c r="Q4602" s="8" t="s">
        <v>52</v>
      </c>
      <c r="R4602" s="10" t="s">
        <v>26564</v>
      </c>
      <c r="S4602" s="11" t="s">
        <v>26565</v>
      </c>
      <c r="T4602" s="6"/>
      <c r="U4602" s="15" t="str">
        <f>HYPERLINK("https://media.infra-m.ru/1008/1008137/cover/1008137.jpg", "Обложка")</f>
        <v>Обложка</v>
      </c>
      <c r="V4602" s="8" t="s">
        <v>2602</v>
      </c>
      <c r="W4602" s="6"/>
      <c r="X4602" s="6"/>
      <c r="Y4602" s="6"/>
      <c r="Z4602" s="6"/>
      <c r="AA4602" s="6" t="s">
        <v>360</v>
      </c>
      <c r="AB4602" s="8"/>
      <c r="AC4602" s="27">
        <v>9785000916872</v>
      </c>
    </row>
    <row r="4603" spans="1:29" s="4" customFormat="1" ht="51.9" customHeight="1" x14ac:dyDescent="0.2">
      <c r="A4603" s="5">
        <v>0</v>
      </c>
      <c r="B4603" s="6" t="s">
        <v>26566</v>
      </c>
      <c r="C4603" s="7">
        <v>1900.8</v>
      </c>
      <c r="D4603" s="8" t="s">
        <v>26567</v>
      </c>
      <c r="E4603" s="8" t="s">
        <v>26568</v>
      </c>
      <c r="F4603" s="8" t="s">
        <v>9854</v>
      </c>
      <c r="G4603" s="6" t="s">
        <v>60</v>
      </c>
      <c r="H4603" s="6" t="s">
        <v>313</v>
      </c>
      <c r="I4603" s="8" t="s">
        <v>253</v>
      </c>
      <c r="J4603" s="9">
        <v>1</v>
      </c>
      <c r="K4603" s="9">
        <v>304</v>
      </c>
      <c r="L4603" s="9">
        <v>2025</v>
      </c>
      <c r="M4603" s="8" t="s">
        <v>26569</v>
      </c>
      <c r="N4603" s="8" t="s">
        <v>243</v>
      </c>
      <c r="O4603" s="8" t="s">
        <v>933</v>
      </c>
      <c r="P4603" s="6" t="s">
        <v>51</v>
      </c>
      <c r="Q4603" s="8" t="s">
        <v>52</v>
      </c>
      <c r="R4603" s="10" t="s">
        <v>26570</v>
      </c>
      <c r="S4603" s="11"/>
      <c r="T4603" s="6"/>
      <c r="U4603" s="15" t="str">
        <f>HYPERLINK("https://media.infra-m.ru/2183/2183980/cover/2183980.jpg", "Обложка")</f>
        <v>Обложка</v>
      </c>
      <c r="V4603" s="8" t="s">
        <v>9565</v>
      </c>
      <c r="W4603" s="6"/>
      <c r="X4603" s="6"/>
      <c r="Y4603" s="6"/>
      <c r="Z4603" s="6"/>
      <c r="AA4603" s="6" t="s">
        <v>55</v>
      </c>
      <c r="AB4603" s="8"/>
      <c r="AC4603" s="27">
        <v>9785369011706</v>
      </c>
    </row>
    <row r="4604" spans="1:29" s="4" customFormat="1" ht="51.9" customHeight="1" x14ac:dyDescent="0.2">
      <c r="A4604" s="5">
        <v>0</v>
      </c>
      <c r="B4604" s="6" t="s">
        <v>26571</v>
      </c>
      <c r="C4604" s="7">
        <v>2004</v>
      </c>
      <c r="D4604" s="8" t="s">
        <v>26572</v>
      </c>
      <c r="E4604" s="8" t="s">
        <v>26573</v>
      </c>
      <c r="F4604" s="8" t="s">
        <v>26574</v>
      </c>
      <c r="G4604" s="6" t="s">
        <v>118</v>
      </c>
      <c r="H4604" s="6" t="s">
        <v>134</v>
      </c>
      <c r="I4604" s="8"/>
      <c r="J4604" s="9">
        <v>1</v>
      </c>
      <c r="K4604" s="9">
        <v>320</v>
      </c>
      <c r="L4604" s="9">
        <v>2025</v>
      </c>
      <c r="M4604" s="8" t="s">
        <v>26575</v>
      </c>
      <c r="N4604" s="8" t="s">
        <v>37</v>
      </c>
      <c r="O4604" s="8" t="s">
        <v>499</v>
      </c>
      <c r="P4604" s="6" t="s">
        <v>306</v>
      </c>
      <c r="Q4604" s="8" t="s">
        <v>265</v>
      </c>
      <c r="R4604" s="10" t="s">
        <v>11094</v>
      </c>
      <c r="S4604" s="11"/>
      <c r="T4604" s="6"/>
      <c r="U4604" s="15" t="str">
        <f>HYPERLINK("https://media.infra-m.ru/2195/2195012/cover/2195012.jpg", "Обложка")</f>
        <v>Обложка</v>
      </c>
      <c r="V4604" s="8" t="s">
        <v>657</v>
      </c>
      <c r="W4604" s="6"/>
      <c r="X4604" s="6"/>
      <c r="Y4604" s="6"/>
      <c r="Z4604" s="6"/>
      <c r="AA4604" s="6" t="s">
        <v>86</v>
      </c>
      <c r="AB4604" s="8"/>
      <c r="AC4604" s="27">
        <v>9785917689395</v>
      </c>
    </row>
    <row r="4605" spans="1:29" s="4" customFormat="1" ht="51.9" customHeight="1" x14ac:dyDescent="0.2">
      <c r="A4605" s="5">
        <v>0</v>
      </c>
      <c r="B4605" s="6" t="s">
        <v>26576</v>
      </c>
      <c r="C4605" s="7">
        <v>1356</v>
      </c>
      <c r="D4605" s="8" t="s">
        <v>26577</v>
      </c>
      <c r="E4605" s="8" t="s">
        <v>26578</v>
      </c>
      <c r="F4605" s="8" t="s">
        <v>26579</v>
      </c>
      <c r="G4605" s="6" t="s">
        <v>118</v>
      </c>
      <c r="H4605" s="6" t="s">
        <v>34</v>
      </c>
      <c r="I4605" s="8" t="s">
        <v>253</v>
      </c>
      <c r="J4605" s="9">
        <v>1</v>
      </c>
      <c r="K4605" s="9">
        <v>194</v>
      </c>
      <c r="L4605" s="9">
        <v>2027</v>
      </c>
      <c r="M4605" s="8" t="s">
        <v>26580</v>
      </c>
      <c r="N4605" s="8" t="s">
        <v>37</v>
      </c>
      <c r="O4605" s="8" t="s">
        <v>499</v>
      </c>
      <c r="P4605" s="6" t="s">
        <v>51</v>
      </c>
      <c r="Q4605" s="8" t="s">
        <v>52</v>
      </c>
      <c r="R4605" s="10" t="s">
        <v>26581</v>
      </c>
      <c r="S4605" s="11" t="s">
        <v>26582</v>
      </c>
      <c r="T4605" s="6"/>
      <c r="U4605" s="15" t="str">
        <f>HYPERLINK("https://media.infra-m.ru/2265/2265567/cover/2265567.jpg", "Обложка")</f>
        <v>Обложка</v>
      </c>
      <c r="V4605" s="8" t="s">
        <v>4481</v>
      </c>
      <c r="W4605" s="6"/>
      <c r="X4605" s="6"/>
      <c r="Y4605" s="6"/>
      <c r="Z4605" s="6"/>
      <c r="AA4605" s="6" t="s">
        <v>2230</v>
      </c>
      <c r="AB4605" s="8"/>
      <c r="AC4605" s="27">
        <v>9785160191300</v>
      </c>
    </row>
    <row r="4606" spans="1:29" s="4" customFormat="1" ht="51.9" customHeight="1" x14ac:dyDescent="0.2">
      <c r="A4606" s="5">
        <v>0</v>
      </c>
      <c r="B4606" s="6" t="s">
        <v>26583</v>
      </c>
      <c r="C4606" s="13">
        <v>564</v>
      </c>
      <c r="D4606" s="8" t="s">
        <v>26584</v>
      </c>
      <c r="E4606" s="8" t="s">
        <v>26585</v>
      </c>
      <c r="F4606" s="8" t="s">
        <v>26579</v>
      </c>
      <c r="G4606" s="6" t="s">
        <v>33</v>
      </c>
      <c r="H4606" s="6" t="s">
        <v>34</v>
      </c>
      <c r="I4606" s="8" t="s">
        <v>271</v>
      </c>
      <c r="J4606" s="9">
        <v>1</v>
      </c>
      <c r="K4606" s="9">
        <v>136</v>
      </c>
      <c r="L4606" s="9">
        <v>2019</v>
      </c>
      <c r="M4606" s="8" t="s">
        <v>26586</v>
      </c>
      <c r="N4606" s="8" t="s">
        <v>37</v>
      </c>
      <c r="O4606" s="8" t="s">
        <v>499</v>
      </c>
      <c r="P4606" s="6" t="s">
        <v>51</v>
      </c>
      <c r="Q4606" s="8" t="s">
        <v>52</v>
      </c>
      <c r="R4606" s="10" t="s">
        <v>26581</v>
      </c>
      <c r="S4606" s="11" t="s">
        <v>26582</v>
      </c>
      <c r="T4606" s="6"/>
      <c r="U4606" s="15" t="str">
        <f>HYPERLINK("https://media.infra-m.ru/1012/1012937/cover/1012937.jpg", "Обложка")</f>
        <v>Обложка</v>
      </c>
      <c r="V4606" s="8" t="s">
        <v>4481</v>
      </c>
      <c r="W4606" s="6"/>
      <c r="X4606" s="6"/>
      <c r="Y4606" s="6"/>
      <c r="Z4606" s="6"/>
      <c r="AA4606" s="6" t="s">
        <v>769</v>
      </c>
      <c r="AB4606" s="8"/>
      <c r="AC4606" s="27">
        <v>9785160049984</v>
      </c>
    </row>
    <row r="4607" spans="1:29" s="4" customFormat="1" ht="51.9" customHeight="1" x14ac:dyDescent="0.2">
      <c r="A4607" s="5">
        <v>0</v>
      </c>
      <c r="B4607" s="6" t="s">
        <v>26587</v>
      </c>
      <c r="C4607" s="7">
        <v>1272</v>
      </c>
      <c r="D4607" s="8" t="s">
        <v>26588</v>
      </c>
      <c r="E4607" s="8" t="s">
        <v>26589</v>
      </c>
      <c r="F4607" s="8" t="s">
        <v>26590</v>
      </c>
      <c r="G4607" s="6" t="s">
        <v>118</v>
      </c>
      <c r="H4607" s="6" t="s">
        <v>34</v>
      </c>
      <c r="I4607" s="8"/>
      <c r="J4607" s="9">
        <v>1</v>
      </c>
      <c r="K4607" s="9">
        <v>192</v>
      </c>
      <c r="L4607" s="9">
        <v>2026</v>
      </c>
      <c r="M4607" s="8" t="s">
        <v>26591</v>
      </c>
      <c r="N4607" s="8" t="s">
        <v>93</v>
      </c>
      <c r="O4607" s="8" t="s">
        <v>94</v>
      </c>
      <c r="P4607" s="6" t="s">
        <v>105</v>
      </c>
      <c r="Q4607" s="8" t="s">
        <v>265</v>
      </c>
      <c r="R4607" s="10" t="s">
        <v>26592</v>
      </c>
      <c r="S4607" s="11" t="s">
        <v>7038</v>
      </c>
      <c r="T4607" s="6"/>
      <c r="U4607" s="15" t="str">
        <f>HYPERLINK("https://media.infra-m.ru/2230/2230660/cover/2230660.jpg", "Обложка")</f>
        <v>Обложка</v>
      </c>
      <c r="V4607" s="8" t="s">
        <v>9822</v>
      </c>
      <c r="W4607" s="6"/>
      <c r="X4607" s="6"/>
      <c r="Y4607" s="6"/>
      <c r="Z4607" s="6" t="s">
        <v>267</v>
      </c>
      <c r="AA4607" s="6" t="s">
        <v>115</v>
      </c>
      <c r="AB4607" s="8"/>
      <c r="AC4607" s="27">
        <v>9785160204703</v>
      </c>
    </row>
    <row r="4608" spans="1:29" s="4" customFormat="1" ht="51.9" customHeight="1" x14ac:dyDescent="0.2">
      <c r="A4608" s="5">
        <v>0</v>
      </c>
      <c r="B4608" s="6" t="s">
        <v>26593</v>
      </c>
      <c r="C4608" s="7">
        <v>1344</v>
      </c>
      <c r="D4608" s="8" t="s">
        <v>26594</v>
      </c>
      <c r="E4608" s="8" t="s">
        <v>26589</v>
      </c>
      <c r="F4608" s="8" t="s">
        <v>26590</v>
      </c>
      <c r="G4608" s="6" t="s">
        <v>33</v>
      </c>
      <c r="H4608" s="6" t="s">
        <v>34</v>
      </c>
      <c r="I4608" s="8" t="s">
        <v>253</v>
      </c>
      <c r="J4608" s="9">
        <v>1</v>
      </c>
      <c r="K4608" s="9">
        <v>192</v>
      </c>
      <c r="L4608" s="9">
        <v>2027</v>
      </c>
      <c r="M4608" s="8" t="s">
        <v>26595</v>
      </c>
      <c r="N4608" s="8" t="s">
        <v>93</v>
      </c>
      <c r="O4608" s="8" t="s">
        <v>94</v>
      </c>
      <c r="P4608" s="6" t="s">
        <v>105</v>
      </c>
      <c r="Q4608" s="8" t="s">
        <v>52</v>
      </c>
      <c r="R4608" s="10" t="s">
        <v>9415</v>
      </c>
      <c r="S4608" s="11" t="s">
        <v>26596</v>
      </c>
      <c r="T4608" s="6"/>
      <c r="U4608" s="15" t="str">
        <f>HYPERLINK("https://media.infra-m.ru/2262/2262918/cover/2262918.jpg", "Обложка")</f>
        <v>Обложка</v>
      </c>
      <c r="V4608" s="8" t="s">
        <v>9822</v>
      </c>
      <c r="W4608" s="6"/>
      <c r="X4608" s="6"/>
      <c r="Y4608" s="6"/>
      <c r="Z4608" s="6"/>
      <c r="AA4608" s="6" t="s">
        <v>274</v>
      </c>
      <c r="AB4608" s="8"/>
      <c r="AC4608" s="27">
        <v>9785160201511</v>
      </c>
    </row>
    <row r="4609" spans="1:29" s="4" customFormat="1" ht="42" customHeight="1" x14ac:dyDescent="0.2">
      <c r="A4609" s="5">
        <v>0</v>
      </c>
      <c r="B4609" s="6" t="s">
        <v>26597</v>
      </c>
      <c r="C4609" s="7">
        <v>2236.8000000000002</v>
      </c>
      <c r="D4609" s="8" t="s">
        <v>26598</v>
      </c>
      <c r="E4609" s="8" t="s">
        <v>26599</v>
      </c>
      <c r="F4609" s="8" t="s">
        <v>26600</v>
      </c>
      <c r="G4609" s="6" t="s">
        <v>118</v>
      </c>
      <c r="H4609" s="6" t="s">
        <v>820</v>
      </c>
      <c r="I4609" s="8"/>
      <c r="J4609" s="9">
        <v>1</v>
      </c>
      <c r="K4609" s="9">
        <v>320</v>
      </c>
      <c r="L4609" s="9">
        <v>2027</v>
      </c>
      <c r="M4609" s="8" t="s">
        <v>26601</v>
      </c>
      <c r="N4609" s="8" t="s">
        <v>243</v>
      </c>
      <c r="O4609" s="8" t="s">
        <v>244</v>
      </c>
      <c r="P4609" s="6" t="s">
        <v>306</v>
      </c>
      <c r="Q4609" s="8" t="s">
        <v>265</v>
      </c>
      <c r="R4609" s="10" t="s">
        <v>26602</v>
      </c>
      <c r="S4609" s="11"/>
      <c r="T4609" s="6"/>
      <c r="U4609" s="15" t="str">
        <f>HYPERLINK("https://media.infra-m.ru/2268/2268273/cover/2268273.jpg", "Обложка")</f>
        <v>Обложка</v>
      </c>
      <c r="V4609" s="8" t="s">
        <v>54</v>
      </c>
      <c r="W4609" s="6"/>
      <c r="X4609" s="6"/>
      <c r="Y4609" s="6"/>
      <c r="Z4609" s="6"/>
      <c r="AA4609" s="6" t="s">
        <v>86</v>
      </c>
      <c r="AB4609" s="8"/>
      <c r="AC4609" s="27">
        <v>9785906818966</v>
      </c>
    </row>
    <row r="4610" spans="1:29" s="4" customFormat="1" ht="51.9" customHeight="1" x14ac:dyDescent="0.2">
      <c r="A4610" s="5">
        <v>0</v>
      </c>
      <c r="B4610" s="6" t="s">
        <v>26603</v>
      </c>
      <c r="C4610" s="7">
        <v>1948.8</v>
      </c>
      <c r="D4610" s="8" t="s">
        <v>26604</v>
      </c>
      <c r="E4610" s="8" t="s">
        <v>26605</v>
      </c>
      <c r="F4610" s="8" t="s">
        <v>26606</v>
      </c>
      <c r="G4610" s="6" t="s">
        <v>60</v>
      </c>
      <c r="H4610" s="6" t="s">
        <v>1644</v>
      </c>
      <c r="I4610" s="8"/>
      <c r="J4610" s="9">
        <v>1</v>
      </c>
      <c r="K4610" s="9">
        <v>320</v>
      </c>
      <c r="L4610" s="9">
        <v>2025</v>
      </c>
      <c r="M4610" s="8" t="s">
        <v>26607</v>
      </c>
      <c r="N4610" s="8" t="s">
        <v>37</v>
      </c>
      <c r="O4610" s="8" t="s">
        <v>499</v>
      </c>
      <c r="P4610" s="6" t="s">
        <v>51</v>
      </c>
      <c r="Q4610" s="8" t="s">
        <v>52</v>
      </c>
      <c r="R4610" s="10" t="s">
        <v>12778</v>
      </c>
      <c r="S4610" s="11" t="s">
        <v>26608</v>
      </c>
      <c r="T4610" s="6"/>
      <c r="U4610" s="15" t="str">
        <f>HYPERLINK("https://media.infra-m.ru/2179/2179066/cover/2179066.jpg", "Обложка")</f>
        <v>Обложка</v>
      </c>
      <c r="V4610" s="8" t="s">
        <v>18741</v>
      </c>
      <c r="W4610" s="6"/>
      <c r="X4610" s="6"/>
      <c r="Y4610" s="6"/>
      <c r="Z4610" s="6"/>
      <c r="AA4610" s="6" t="s">
        <v>129</v>
      </c>
      <c r="AB4610" s="8"/>
      <c r="AC4610" s="27">
        <v>9785977601993</v>
      </c>
    </row>
    <row r="4611" spans="1:29" s="4" customFormat="1" ht="51.9" customHeight="1" x14ac:dyDescent="0.2">
      <c r="A4611" s="5">
        <v>0</v>
      </c>
      <c r="B4611" s="6" t="s">
        <v>26609</v>
      </c>
      <c r="C4611" s="13">
        <v>804</v>
      </c>
      <c r="D4611" s="8" t="s">
        <v>26610</v>
      </c>
      <c r="E4611" s="8" t="s">
        <v>26611</v>
      </c>
      <c r="F4611" s="8" t="s">
        <v>26612</v>
      </c>
      <c r="G4611" s="6" t="s">
        <v>33</v>
      </c>
      <c r="H4611" s="6" t="s">
        <v>34</v>
      </c>
      <c r="I4611" s="8" t="s">
        <v>253</v>
      </c>
      <c r="J4611" s="9">
        <v>1</v>
      </c>
      <c r="K4611" s="9">
        <v>143</v>
      </c>
      <c r="L4611" s="9">
        <v>2023</v>
      </c>
      <c r="M4611" s="8" t="s">
        <v>26613</v>
      </c>
      <c r="N4611" s="8" t="s">
        <v>243</v>
      </c>
      <c r="O4611" s="8" t="s">
        <v>758</v>
      </c>
      <c r="P4611" s="6" t="s">
        <v>51</v>
      </c>
      <c r="Q4611" s="8" t="s">
        <v>52</v>
      </c>
      <c r="R4611" s="10" t="s">
        <v>13198</v>
      </c>
      <c r="S4611" s="11" t="s">
        <v>26614</v>
      </c>
      <c r="T4611" s="6"/>
      <c r="U4611" s="15" t="str">
        <f>HYPERLINK("https://media.infra-m.ru/2117/2117627/cover/2117627.jpg", "Обложка")</f>
        <v>Обложка</v>
      </c>
      <c r="V4611" s="8" t="s">
        <v>13400</v>
      </c>
      <c r="W4611" s="6"/>
      <c r="X4611" s="6"/>
      <c r="Y4611" s="6"/>
      <c r="Z4611" s="6"/>
      <c r="AA4611" s="6" t="s">
        <v>779</v>
      </c>
      <c r="AB4611" s="8"/>
      <c r="AC4611" s="27">
        <v>9785160194806</v>
      </c>
    </row>
    <row r="4612" spans="1:29" s="4" customFormat="1" ht="51.9" customHeight="1" x14ac:dyDescent="0.2">
      <c r="A4612" s="5">
        <v>0</v>
      </c>
      <c r="B4612" s="6" t="s">
        <v>26615</v>
      </c>
      <c r="C4612" s="13">
        <v>892.8</v>
      </c>
      <c r="D4612" s="8" t="s">
        <v>26616</v>
      </c>
      <c r="E4612" s="8" t="s">
        <v>26611</v>
      </c>
      <c r="F4612" s="8" t="s">
        <v>26612</v>
      </c>
      <c r="G4612" s="6" t="s">
        <v>33</v>
      </c>
      <c r="H4612" s="6" t="s">
        <v>34</v>
      </c>
      <c r="I4612" s="8" t="s">
        <v>263</v>
      </c>
      <c r="J4612" s="9">
        <v>1</v>
      </c>
      <c r="K4612" s="9">
        <v>143</v>
      </c>
      <c r="L4612" s="9">
        <v>2025</v>
      </c>
      <c r="M4612" s="8" t="s">
        <v>26617</v>
      </c>
      <c r="N4612" s="8" t="s">
        <v>243</v>
      </c>
      <c r="O4612" s="8" t="s">
        <v>758</v>
      </c>
      <c r="P4612" s="6" t="s">
        <v>51</v>
      </c>
      <c r="Q4612" s="8" t="s">
        <v>265</v>
      </c>
      <c r="R4612" s="10" t="s">
        <v>26618</v>
      </c>
      <c r="S4612" s="11" t="s">
        <v>3079</v>
      </c>
      <c r="T4612" s="6"/>
      <c r="U4612" s="15" t="str">
        <f>HYPERLINK("https://media.infra-m.ru/2199/2199629/cover/2199629.jpg", "Обложка")</f>
        <v>Обложка</v>
      </c>
      <c r="V4612" s="8" t="s">
        <v>13400</v>
      </c>
      <c r="W4612" s="6"/>
      <c r="X4612" s="6"/>
      <c r="Y4612" s="6"/>
      <c r="Z4612" s="6" t="s">
        <v>267</v>
      </c>
      <c r="AA4612" s="6" t="s">
        <v>115</v>
      </c>
      <c r="AB4612" s="8"/>
      <c r="AC4612" s="27">
        <v>9785160178219</v>
      </c>
    </row>
    <row r="4613" spans="1:29" s="4" customFormat="1" ht="42" customHeight="1" x14ac:dyDescent="0.2">
      <c r="A4613" s="5">
        <v>0</v>
      </c>
      <c r="B4613" s="6" t="s">
        <v>26619</v>
      </c>
      <c r="C4613" s="7">
        <v>1216.8</v>
      </c>
      <c r="D4613" s="8" t="s">
        <v>26620</v>
      </c>
      <c r="E4613" s="8" t="s">
        <v>26621</v>
      </c>
      <c r="F4613" s="8" t="s">
        <v>26622</v>
      </c>
      <c r="G4613" s="6" t="s">
        <v>33</v>
      </c>
      <c r="H4613" s="6" t="s">
        <v>34</v>
      </c>
      <c r="I4613" s="8" t="s">
        <v>35</v>
      </c>
      <c r="J4613" s="9">
        <v>1</v>
      </c>
      <c r="K4613" s="9">
        <v>174</v>
      </c>
      <c r="L4613" s="9">
        <v>2027</v>
      </c>
      <c r="M4613" s="8" t="s">
        <v>26623</v>
      </c>
      <c r="N4613" s="8" t="s">
        <v>37</v>
      </c>
      <c r="O4613" s="8" t="s">
        <v>233</v>
      </c>
      <c r="P4613" s="6" t="s">
        <v>39</v>
      </c>
      <c r="Q4613" s="8" t="s">
        <v>40</v>
      </c>
      <c r="R4613" s="10" t="s">
        <v>9732</v>
      </c>
      <c r="S4613" s="11"/>
      <c r="T4613" s="6"/>
      <c r="U4613" s="15" t="str">
        <f>HYPERLINK("https://media.infra-m.ru/2272/2272341/cover/2272341.jpg", "Обложка")</f>
        <v>Обложка</v>
      </c>
      <c r="V4613" s="8" t="s">
        <v>4579</v>
      </c>
      <c r="W4613" s="6"/>
      <c r="X4613" s="6"/>
      <c r="Y4613" s="6"/>
      <c r="Z4613" s="6"/>
      <c r="AA4613" s="6" t="s">
        <v>148</v>
      </c>
      <c r="AB4613" s="8"/>
      <c r="AC4613" s="27">
        <v>9785160175461</v>
      </c>
    </row>
    <row r="4614" spans="1:29" s="4" customFormat="1" ht="51.9" customHeight="1" x14ac:dyDescent="0.2">
      <c r="A4614" s="5">
        <v>0</v>
      </c>
      <c r="B4614" s="6" t="s">
        <v>26624</v>
      </c>
      <c r="C4614" s="7">
        <v>3156</v>
      </c>
      <c r="D4614" s="8" t="s">
        <v>26625</v>
      </c>
      <c r="E4614" s="8" t="s">
        <v>26626</v>
      </c>
      <c r="F4614" s="8" t="s">
        <v>2193</v>
      </c>
      <c r="G4614" s="6" t="s">
        <v>60</v>
      </c>
      <c r="H4614" s="6" t="s">
        <v>34</v>
      </c>
      <c r="I4614" s="8" t="s">
        <v>263</v>
      </c>
      <c r="J4614" s="9">
        <v>1</v>
      </c>
      <c r="K4614" s="9">
        <v>453</v>
      </c>
      <c r="L4614" s="9">
        <v>2027</v>
      </c>
      <c r="M4614" s="8" t="s">
        <v>26627</v>
      </c>
      <c r="N4614" s="8" t="s">
        <v>37</v>
      </c>
      <c r="O4614" s="8" t="s">
        <v>280</v>
      </c>
      <c r="P4614" s="6" t="s">
        <v>51</v>
      </c>
      <c r="Q4614" s="8" t="s">
        <v>265</v>
      </c>
      <c r="R4614" s="10" t="s">
        <v>26628</v>
      </c>
      <c r="S4614" s="11"/>
      <c r="T4614" s="6"/>
      <c r="U4614" s="15" t="str">
        <f>HYPERLINK("https://media.infra-m.ru/2269/2269856/cover/2269856.jpg", "Обложка")</f>
        <v>Обложка</v>
      </c>
      <c r="V4614" s="8" t="s">
        <v>1505</v>
      </c>
      <c r="W4614" s="6"/>
      <c r="X4614" s="6"/>
      <c r="Y4614" s="6"/>
      <c r="Z4614" s="6"/>
      <c r="AA4614" s="6" t="s">
        <v>68</v>
      </c>
      <c r="AB4614" s="8" t="s">
        <v>17125</v>
      </c>
      <c r="AC4614" s="27">
        <v>9785160179797</v>
      </c>
    </row>
    <row r="4615" spans="1:29" s="4" customFormat="1" ht="51.9" customHeight="1" x14ac:dyDescent="0.2">
      <c r="A4615" s="5">
        <v>0</v>
      </c>
      <c r="B4615" s="6" t="s">
        <v>26629</v>
      </c>
      <c r="C4615" s="7">
        <v>2476.8000000000002</v>
      </c>
      <c r="D4615" s="8" t="s">
        <v>26630</v>
      </c>
      <c r="E4615" s="8" t="s">
        <v>26631</v>
      </c>
      <c r="F4615" s="8" t="s">
        <v>26632</v>
      </c>
      <c r="G4615" s="6" t="s">
        <v>60</v>
      </c>
      <c r="H4615" s="6" t="s">
        <v>1644</v>
      </c>
      <c r="I4615" s="8" t="s">
        <v>4073</v>
      </c>
      <c r="J4615" s="9">
        <v>1</v>
      </c>
      <c r="K4615" s="9">
        <v>448</v>
      </c>
      <c r="L4615" s="9">
        <v>2024</v>
      </c>
      <c r="M4615" s="8" t="s">
        <v>26633</v>
      </c>
      <c r="N4615" s="8" t="s">
        <v>37</v>
      </c>
      <c r="O4615" s="8" t="s">
        <v>233</v>
      </c>
      <c r="P4615" s="6" t="s">
        <v>51</v>
      </c>
      <c r="Q4615" s="8" t="s">
        <v>500</v>
      </c>
      <c r="R4615" s="10" t="s">
        <v>26634</v>
      </c>
      <c r="S4615" s="11"/>
      <c r="T4615" s="6"/>
      <c r="U4615" s="15" t="str">
        <f>HYPERLINK("https://media.infra-m.ru/2088/2088247/cover/2088247.jpg", "Обложка")</f>
        <v>Обложка</v>
      </c>
      <c r="V4615" s="8" t="s">
        <v>396</v>
      </c>
      <c r="W4615" s="6"/>
      <c r="X4615" s="6"/>
      <c r="Y4615" s="6"/>
      <c r="Z4615" s="6"/>
      <c r="AA4615" s="6" t="s">
        <v>274</v>
      </c>
      <c r="AB4615" s="8"/>
      <c r="AC4615" s="27">
        <v>9785977603607</v>
      </c>
    </row>
    <row r="4616" spans="1:29" s="4" customFormat="1" ht="42" customHeight="1" x14ac:dyDescent="0.2">
      <c r="A4616" s="5">
        <v>0</v>
      </c>
      <c r="B4616" s="6" t="s">
        <v>26635</v>
      </c>
      <c r="C4616" s="7">
        <v>1176</v>
      </c>
      <c r="D4616" s="8" t="s">
        <v>26636</v>
      </c>
      <c r="E4616" s="8" t="s">
        <v>26637</v>
      </c>
      <c r="F4616" s="8" t="s">
        <v>26638</v>
      </c>
      <c r="G4616" s="6" t="s">
        <v>60</v>
      </c>
      <c r="H4616" s="6" t="s">
        <v>34</v>
      </c>
      <c r="I4616" s="8" t="s">
        <v>263</v>
      </c>
      <c r="J4616" s="9">
        <v>1</v>
      </c>
      <c r="K4616" s="9">
        <v>176</v>
      </c>
      <c r="L4616" s="9">
        <v>2025</v>
      </c>
      <c r="M4616" s="8" t="s">
        <v>26639</v>
      </c>
      <c r="N4616" s="8" t="s">
        <v>93</v>
      </c>
      <c r="O4616" s="8" t="s">
        <v>94</v>
      </c>
      <c r="P4616" s="6" t="s">
        <v>51</v>
      </c>
      <c r="Q4616" s="8" t="s">
        <v>265</v>
      </c>
      <c r="R4616" s="10" t="s">
        <v>26640</v>
      </c>
      <c r="S4616" s="11"/>
      <c r="T4616" s="6"/>
      <c r="U4616" s="15" t="str">
        <f>HYPERLINK("https://media.infra-m.ru/2170/2170970/cover/2170970.jpg", "Обложка")</f>
        <v>Обложка</v>
      </c>
      <c r="V4616" s="8" t="s">
        <v>6474</v>
      </c>
      <c r="W4616" s="6"/>
      <c r="X4616" s="6"/>
      <c r="Y4616" s="6"/>
      <c r="Z4616" s="6"/>
      <c r="AA4616" s="6" t="s">
        <v>68</v>
      </c>
      <c r="AB4616" s="8" t="s">
        <v>437</v>
      </c>
      <c r="AC4616" s="27">
        <v>9785160203805</v>
      </c>
    </row>
    <row r="4617" spans="1:29" s="4" customFormat="1" ht="42" customHeight="1" x14ac:dyDescent="0.2">
      <c r="A4617" s="5">
        <v>0</v>
      </c>
      <c r="B4617" s="6" t="s">
        <v>26641</v>
      </c>
      <c r="C4617" s="7">
        <v>1188</v>
      </c>
      <c r="D4617" s="8" t="s">
        <v>26642</v>
      </c>
      <c r="E4617" s="8" t="s">
        <v>26643</v>
      </c>
      <c r="F4617" s="8" t="s">
        <v>26638</v>
      </c>
      <c r="G4617" s="6" t="s">
        <v>118</v>
      </c>
      <c r="H4617" s="6" t="s">
        <v>34</v>
      </c>
      <c r="I4617" s="8" t="s">
        <v>253</v>
      </c>
      <c r="J4617" s="9">
        <v>1</v>
      </c>
      <c r="K4617" s="9">
        <v>176</v>
      </c>
      <c r="L4617" s="9">
        <v>2025</v>
      </c>
      <c r="M4617" s="8" t="s">
        <v>26644</v>
      </c>
      <c r="N4617" s="8" t="s">
        <v>93</v>
      </c>
      <c r="O4617" s="8" t="s">
        <v>94</v>
      </c>
      <c r="P4617" s="6" t="s">
        <v>51</v>
      </c>
      <c r="Q4617" s="8" t="s">
        <v>65</v>
      </c>
      <c r="R4617" s="10" t="s">
        <v>9415</v>
      </c>
      <c r="S4617" s="11"/>
      <c r="T4617" s="6"/>
      <c r="U4617" s="15" t="str">
        <f>HYPERLINK("https://media.infra-m.ru/2173/2173491/cover/2173491.jpg", "Обложка")</f>
        <v>Обложка</v>
      </c>
      <c r="V4617" s="8" t="s">
        <v>6474</v>
      </c>
      <c r="W4617" s="6"/>
      <c r="X4617" s="6"/>
      <c r="Y4617" s="6"/>
      <c r="Z4617" s="6"/>
      <c r="AA4617" s="6" t="s">
        <v>76</v>
      </c>
      <c r="AB4617" s="8"/>
      <c r="AC4617" s="27">
        <v>9785160183107</v>
      </c>
    </row>
    <row r="4618" spans="1:29" s="4" customFormat="1" ht="44.1" customHeight="1" x14ac:dyDescent="0.2">
      <c r="A4618" s="5">
        <v>0</v>
      </c>
      <c r="B4618" s="6" t="s">
        <v>26645</v>
      </c>
      <c r="C4618" s="7">
        <v>1504.8</v>
      </c>
      <c r="D4618" s="8" t="s">
        <v>26646</v>
      </c>
      <c r="E4618" s="8" t="s">
        <v>26647</v>
      </c>
      <c r="F4618" s="8" t="s">
        <v>26648</v>
      </c>
      <c r="G4618" s="6" t="s">
        <v>60</v>
      </c>
      <c r="H4618" s="6" t="s">
        <v>34</v>
      </c>
      <c r="I4618" s="8" t="s">
        <v>35</v>
      </c>
      <c r="J4618" s="9">
        <v>1</v>
      </c>
      <c r="K4618" s="9">
        <v>228</v>
      </c>
      <c r="L4618" s="9">
        <v>2026</v>
      </c>
      <c r="M4618" s="8" t="s">
        <v>26649</v>
      </c>
      <c r="N4618" s="8" t="s">
        <v>37</v>
      </c>
      <c r="O4618" s="8" t="s">
        <v>280</v>
      </c>
      <c r="P4618" s="6" t="s">
        <v>39</v>
      </c>
      <c r="Q4618" s="8" t="s">
        <v>40</v>
      </c>
      <c r="R4618" s="10" t="s">
        <v>26650</v>
      </c>
      <c r="S4618" s="11"/>
      <c r="T4618" s="6"/>
      <c r="U4618" s="15" t="str">
        <f>HYPERLINK("https://media.infra-m.ru/2249/2249024/cover/2249024.jpg", "Обложка")</f>
        <v>Обложка</v>
      </c>
      <c r="V4618" s="8" t="s">
        <v>644</v>
      </c>
      <c r="W4618" s="6"/>
      <c r="X4618" s="6"/>
      <c r="Y4618" s="6"/>
      <c r="Z4618" s="6"/>
      <c r="AA4618" s="6" t="s">
        <v>68</v>
      </c>
      <c r="AB4618" s="8"/>
      <c r="AC4618" s="27">
        <v>9785160201825</v>
      </c>
    </row>
    <row r="4619" spans="1:29" s="4" customFormat="1" ht="44.1" customHeight="1" x14ac:dyDescent="0.2">
      <c r="A4619" s="5">
        <v>0</v>
      </c>
      <c r="B4619" s="6" t="s">
        <v>26651</v>
      </c>
      <c r="C4619" s="7">
        <v>1716</v>
      </c>
      <c r="D4619" s="8" t="s">
        <v>26652</v>
      </c>
      <c r="E4619" s="8" t="s">
        <v>26653</v>
      </c>
      <c r="F4619" s="8" t="s">
        <v>26654</v>
      </c>
      <c r="G4619" s="6" t="s">
        <v>33</v>
      </c>
      <c r="H4619" s="6" t="s">
        <v>34</v>
      </c>
      <c r="I4619" s="8" t="s">
        <v>35</v>
      </c>
      <c r="J4619" s="9">
        <v>1</v>
      </c>
      <c r="K4619" s="9">
        <v>260</v>
      </c>
      <c r="L4619" s="9">
        <v>2026</v>
      </c>
      <c r="M4619" s="8" t="s">
        <v>26655</v>
      </c>
      <c r="N4619" s="8" t="s">
        <v>93</v>
      </c>
      <c r="O4619" s="8" t="s">
        <v>94</v>
      </c>
      <c r="P4619" s="6" t="s">
        <v>39</v>
      </c>
      <c r="Q4619" s="8" t="s">
        <v>40</v>
      </c>
      <c r="R4619" s="10" t="s">
        <v>10535</v>
      </c>
      <c r="S4619" s="11"/>
      <c r="T4619" s="6"/>
      <c r="U4619" s="15" t="str">
        <f>HYPERLINK("https://media.infra-m.ru/2220/2220959/cover/2220959.jpg", "Обложка")</f>
        <v>Обложка</v>
      </c>
      <c r="V4619" s="8" t="s">
        <v>16903</v>
      </c>
      <c r="W4619" s="6"/>
      <c r="X4619" s="6"/>
      <c r="Y4619" s="6"/>
      <c r="Z4619" s="6"/>
      <c r="AA4619" s="6" t="s">
        <v>99</v>
      </c>
      <c r="AB4619" s="8"/>
      <c r="AC4619" s="27">
        <v>9785160191874</v>
      </c>
    </row>
    <row r="4620" spans="1:29" s="4" customFormat="1" ht="44.1" customHeight="1" x14ac:dyDescent="0.2">
      <c r="A4620" s="5">
        <v>0</v>
      </c>
      <c r="B4620" s="6" t="s">
        <v>26656</v>
      </c>
      <c r="C4620" s="7">
        <v>1624.8</v>
      </c>
      <c r="D4620" s="8" t="s">
        <v>26657</v>
      </c>
      <c r="E4620" s="8" t="s">
        <v>26658</v>
      </c>
      <c r="F4620" s="8" t="s">
        <v>26654</v>
      </c>
      <c r="G4620" s="6" t="s">
        <v>60</v>
      </c>
      <c r="H4620" s="6" t="s">
        <v>34</v>
      </c>
      <c r="I4620" s="8" t="s">
        <v>35</v>
      </c>
      <c r="J4620" s="9">
        <v>1</v>
      </c>
      <c r="K4620" s="9">
        <v>260</v>
      </c>
      <c r="L4620" s="9">
        <v>2026</v>
      </c>
      <c r="M4620" s="8" t="s">
        <v>26659</v>
      </c>
      <c r="N4620" s="8" t="s">
        <v>93</v>
      </c>
      <c r="O4620" s="8" t="s">
        <v>94</v>
      </c>
      <c r="P4620" s="6" t="s">
        <v>39</v>
      </c>
      <c r="Q4620" s="8" t="s">
        <v>40</v>
      </c>
      <c r="R4620" s="10" t="s">
        <v>10535</v>
      </c>
      <c r="S4620" s="11"/>
      <c r="T4620" s="6"/>
      <c r="U4620" s="15" t="str">
        <f>HYPERLINK("https://media.infra-m.ru/2220/2220957/cover/2220957.jpg", "Обложка")</f>
        <v>Обложка</v>
      </c>
      <c r="V4620" s="8" t="s">
        <v>16903</v>
      </c>
      <c r="W4620" s="6"/>
      <c r="X4620" s="6"/>
      <c r="Y4620" s="6"/>
      <c r="Z4620" s="6"/>
      <c r="AA4620" s="6" t="s">
        <v>99</v>
      </c>
      <c r="AB4620" s="8"/>
      <c r="AC4620" s="27">
        <v>9785160128528</v>
      </c>
    </row>
    <row r="4621" spans="1:29" s="4" customFormat="1" ht="44.1" customHeight="1" x14ac:dyDescent="0.2">
      <c r="A4621" s="5">
        <v>0</v>
      </c>
      <c r="B4621" s="6" t="s">
        <v>26660</v>
      </c>
      <c r="C4621" s="7">
        <v>1637.9</v>
      </c>
      <c r="D4621" s="8" t="s">
        <v>26661</v>
      </c>
      <c r="E4621" s="8" t="s">
        <v>26662</v>
      </c>
      <c r="F4621" s="8" t="s">
        <v>26663</v>
      </c>
      <c r="G4621" s="6" t="s">
        <v>60</v>
      </c>
      <c r="H4621" s="6" t="s">
        <v>1042</v>
      </c>
      <c r="I4621" s="8" t="s">
        <v>253</v>
      </c>
      <c r="J4621" s="9">
        <v>1</v>
      </c>
      <c r="K4621" s="9">
        <v>304</v>
      </c>
      <c r="L4621" s="9">
        <v>2023</v>
      </c>
      <c r="M4621" s="8" t="s">
        <v>26664</v>
      </c>
      <c r="N4621" s="8" t="s">
        <v>37</v>
      </c>
      <c r="O4621" s="8" t="s">
        <v>499</v>
      </c>
      <c r="P4621" s="6" t="s">
        <v>51</v>
      </c>
      <c r="Q4621" s="8" t="s">
        <v>52</v>
      </c>
      <c r="R4621" s="10" t="s">
        <v>20451</v>
      </c>
      <c r="S4621" s="11"/>
      <c r="T4621" s="6"/>
      <c r="U4621" s="15" t="str">
        <f>HYPERLINK("https://media.infra-m.ru/1911/1911822/cover/1911822.jpg", "Обложка")</f>
        <v>Обложка</v>
      </c>
      <c r="V4621" s="8" t="s">
        <v>396</v>
      </c>
      <c r="W4621" s="6"/>
      <c r="X4621" s="6"/>
      <c r="Y4621" s="6"/>
      <c r="Z4621" s="6"/>
      <c r="AA4621" s="6" t="s">
        <v>274</v>
      </c>
      <c r="AB4621" s="8"/>
      <c r="AC4621" s="27">
        <v>9785819906262</v>
      </c>
    </row>
    <row r="4622" spans="1:29" s="4" customFormat="1" ht="51.9" customHeight="1" x14ac:dyDescent="0.2">
      <c r="A4622" s="5">
        <v>0</v>
      </c>
      <c r="B4622" s="6" t="s">
        <v>26665</v>
      </c>
      <c r="C4622" s="7">
        <v>1552.8</v>
      </c>
      <c r="D4622" s="8" t="s">
        <v>26666</v>
      </c>
      <c r="E4622" s="8" t="s">
        <v>26667</v>
      </c>
      <c r="F4622" s="8" t="s">
        <v>26668</v>
      </c>
      <c r="G4622" s="6" t="s">
        <v>60</v>
      </c>
      <c r="H4622" s="6" t="s">
        <v>313</v>
      </c>
      <c r="I4622" s="8" t="s">
        <v>65</v>
      </c>
      <c r="J4622" s="9">
        <v>1</v>
      </c>
      <c r="K4622" s="9">
        <v>224</v>
      </c>
      <c r="L4622" s="9">
        <v>2026</v>
      </c>
      <c r="M4622" s="8" t="s">
        <v>26669</v>
      </c>
      <c r="N4622" s="8" t="s">
        <v>243</v>
      </c>
      <c r="O4622" s="8" t="s">
        <v>1100</v>
      </c>
      <c r="P4622" s="6" t="s">
        <v>51</v>
      </c>
      <c r="Q4622" s="8" t="s">
        <v>265</v>
      </c>
      <c r="R4622" s="10" t="s">
        <v>26670</v>
      </c>
      <c r="S4622" s="11" t="s">
        <v>12519</v>
      </c>
      <c r="T4622" s="6"/>
      <c r="U4622" s="15" t="str">
        <f>HYPERLINK("https://media.infra-m.ru/2257/2257160/cover/2257160.jpg", "Обложка")</f>
        <v>Обложка</v>
      </c>
      <c r="V4622" s="8" t="s">
        <v>12520</v>
      </c>
      <c r="W4622" s="6"/>
      <c r="X4622" s="6"/>
      <c r="Y4622" s="6"/>
      <c r="Z4622" s="6"/>
      <c r="AA4622" s="6" t="s">
        <v>248</v>
      </c>
      <c r="AB4622" s="8"/>
      <c r="AC4622" s="27">
        <v>9785369013137</v>
      </c>
    </row>
    <row r="4623" spans="1:29" s="4" customFormat="1" ht="51.9" customHeight="1" x14ac:dyDescent="0.2">
      <c r="A4623" s="5">
        <v>0</v>
      </c>
      <c r="B4623" s="6" t="s">
        <v>26671</v>
      </c>
      <c r="C4623" s="7">
        <v>1236</v>
      </c>
      <c r="D4623" s="8" t="s">
        <v>26672</v>
      </c>
      <c r="E4623" s="8" t="s">
        <v>26673</v>
      </c>
      <c r="F4623" s="8" t="s">
        <v>4080</v>
      </c>
      <c r="G4623" s="6" t="s">
        <v>118</v>
      </c>
      <c r="H4623" s="6" t="s">
        <v>34</v>
      </c>
      <c r="I4623" s="8" t="s">
        <v>263</v>
      </c>
      <c r="J4623" s="9">
        <v>1</v>
      </c>
      <c r="K4623" s="9">
        <v>198</v>
      </c>
      <c r="L4623" s="9">
        <v>2025</v>
      </c>
      <c r="M4623" s="8" t="s">
        <v>26674</v>
      </c>
      <c r="N4623" s="8" t="s">
        <v>37</v>
      </c>
      <c r="O4623" s="8" t="s">
        <v>233</v>
      </c>
      <c r="P4623" s="6" t="s">
        <v>306</v>
      </c>
      <c r="Q4623" s="8" t="s">
        <v>265</v>
      </c>
      <c r="R4623" s="10" t="s">
        <v>2574</v>
      </c>
      <c r="S4623" s="11" t="s">
        <v>26675</v>
      </c>
      <c r="T4623" s="6"/>
      <c r="U4623" s="15" t="str">
        <f>HYPERLINK("https://media.infra-m.ru/2184/2184578/cover/2184578.jpg", "Обложка")</f>
        <v>Обложка</v>
      </c>
      <c r="V4623" s="8" t="s">
        <v>2035</v>
      </c>
      <c r="W4623" s="6"/>
      <c r="X4623" s="6"/>
      <c r="Y4623" s="6"/>
      <c r="Z4623" s="6"/>
      <c r="AA4623" s="6" t="s">
        <v>430</v>
      </c>
      <c r="AB4623" s="8"/>
      <c r="AC4623" s="27">
        <v>9785160151441</v>
      </c>
    </row>
    <row r="4624" spans="1:29" s="4" customFormat="1" ht="51.9" customHeight="1" x14ac:dyDescent="0.2">
      <c r="A4624" s="5">
        <v>0</v>
      </c>
      <c r="B4624" s="6" t="s">
        <v>26676</v>
      </c>
      <c r="C4624" s="7">
        <v>1300.8</v>
      </c>
      <c r="D4624" s="8" t="s">
        <v>26677</v>
      </c>
      <c r="E4624" s="8" t="s">
        <v>26678</v>
      </c>
      <c r="F4624" s="8" t="s">
        <v>26679</v>
      </c>
      <c r="G4624" s="6" t="s">
        <v>60</v>
      </c>
      <c r="H4624" s="6" t="s">
        <v>1042</v>
      </c>
      <c r="I4624" s="8" t="s">
        <v>253</v>
      </c>
      <c r="J4624" s="9">
        <v>1</v>
      </c>
      <c r="K4624" s="9">
        <v>208</v>
      </c>
      <c r="L4624" s="9">
        <v>2025</v>
      </c>
      <c r="M4624" s="8" t="s">
        <v>26680</v>
      </c>
      <c r="N4624" s="8" t="s">
        <v>37</v>
      </c>
      <c r="O4624" s="8" t="s">
        <v>233</v>
      </c>
      <c r="P4624" s="6" t="s">
        <v>51</v>
      </c>
      <c r="Q4624" s="8" t="s">
        <v>52</v>
      </c>
      <c r="R4624" s="10" t="s">
        <v>2033</v>
      </c>
      <c r="S4624" s="11" t="s">
        <v>26681</v>
      </c>
      <c r="T4624" s="6"/>
      <c r="U4624" s="15" t="str">
        <f>HYPERLINK("https://media.infra-m.ru/2192/2192232/cover/2192232.jpg", "Обложка")</f>
        <v>Обложка</v>
      </c>
      <c r="V4624" s="8" t="s">
        <v>24751</v>
      </c>
      <c r="W4624" s="6"/>
      <c r="X4624" s="6"/>
      <c r="Y4624" s="6"/>
      <c r="Z4624" s="6"/>
      <c r="AA4624" s="6" t="s">
        <v>43</v>
      </c>
      <c r="AB4624" s="8"/>
      <c r="AC4624" s="27">
        <v>9785819905197</v>
      </c>
    </row>
    <row r="4625" spans="1:29" s="4" customFormat="1" ht="51.9" customHeight="1" x14ac:dyDescent="0.2">
      <c r="A4625" s="5">
        <v>0</v>
      </c>
      <c r="B4625" s="6" t="s">
        <v>26682</v>
      </c>
      <c r="C4625" s="7">
        <v>1252.8</v>
      </c>
      <c r="D4625" s="8" t="s">
        <v>26683</v>
      </c>
      <c r="E4625" s="8" t="s">
        <v>26678</v>
      </c>
      <c r="F4625" s="8" t="s">
        <v>26684</v>
      </c>
      <c r="G4625" s="6" t="s">
        <v>118</v>
      </c>
      <c r="H4625" s="6" t="s">
        <v>1042</v>
      </c>
      <c r="I4625" s="8" t="s">
        <v>263</v>
      </c>
      <c r="J4625" s="9">
        <v>1</v>
      </c>
      <c r="K4625" s="9">
        <v>208</v>
      </c>
      <c r="L4625" s="9">
        <v>2025</v>
      </c>
      <c r="M4625" s="8" t="s">
        <v>26685</v>
      </c>
      <c r="N4625" s="8" t="s">
        <v>37</v>
      </c>
      <c r="O4625" s="8" t="s">
        <v>233</v>
      </c>
      <c r="P4625" s="6" t="s">
        <v>51</v>
      </c>
      <c r="Q4625" s="8" t="s">
        <v>265</v>
      </c>
      <c r="R4625" s="10" t="s">
        <v>2574</v>
      </c>
      <c r="S4625" s="11" t="s">
        <v>26686</v>
      </c>
      <c r="T4625" s="6"/>
      <c r="U4625" s="15" t="str">
        <f>HYPERLINK("https://media.infra-m.ru/2163/2163789/cover/2163789.jpg", "Обложка")</f>
        <v>Обложка</v>
      </c>
      <c r="V4625" s="8" t="s">
        <v>24751</v>
      </c>
      <c r="W4625" s="6"/>
      <c r="X4625" s="6"/>
      <c r="Y4625" s="6"/>
      <c r="Z4625" s="6" t="s">
        <v>267</v>
      </c>
      <c r="AA4625" s="6" t="s">
        <v>115</v>
      </c>
      <c r="AB4625" s="8"/>
      <c r="AC4625" s="27">
        <v>9785819908082</v>
      </c>
    </row>
    <row r="4626" spans="1:29" s="4" customFormat="1" ht="42" customHeight="1" x14ac:dyDescent="0.2">
      <c r="A4626" s="5">
        <v>0</v>
      </c>
      <c r="B4626" s="6" t="s">
        <v>26687</v>
      </c>
      <c r="C4626" s="13">
        <v>552</v>
      </c>
      <c r="D4626" s="8" t="s">
        <v>26688</v>
      </c>
      <c r="E4626" s="8" t="s">
        <v>26689</v>
      </c>
      <c r="F4626" s="8" t="s">
        <v>26690</v>
      </c>
      <c r="G4626" s="6" t="s">
        <v>33</v>
      </c>
      <c r="H4626" s="6" t="s">
        <v>34</v>
      </c>
      <c r="I4626" s="8" t="s">
        <v>253</v>
      </c>
      <c r="J4626" s="9">
        <v>1</v>
      </c>
      <c r="K4626" s="9">
        <v>71</v>
      </c>
      <c r="L4626" s="9">
        <v>2026</v>
      </c>
      <c r="M4626" s="8" t="s">
        <v>26691</v>
      </c>
      <c r="N4626" s="8" t="s">
        <v>93</v>
      </c>
      <c r="O4626" s="8" t="s">
        <v>94</v>
      </c>
      <c r="P4626" s="6" t="s">
        <v>9745</v>
      </c>
      <c r="Q4626" s="8" t="s">
        <v>65</v>
      </c>
      <c r="R4626" s="10" t="s">
        <v>9415</v>
      </c>
      <c r="S4626" s="11"/>
      <c r="T4626" s="6"/>
      <c r="U4626" s="15" t="str">
        <f>HYPERLINK("https://media.infra-m.ru/2232/2232542/cover/2232542.jpg", "Обложка")</f>
        <v>Обложка</v>
      </c>
      <c r="V4626" s="8" t="s">
        <v>6474</v>
      </c>
      <c r="W4626" s="6"/>
      <c r="X4626" s="6"/>
      <c r="Y4626" s="6"/>
      <c r="Z4626" s="6"/>
      <c r="AA4626" s="6" t="s">
        <v>430</v>
      </c>
      <c r="AB4626" s="8"/>
      <c r="AC4626" s="27">
        <v>9785160169224</v>
      </c>
    </row>
    <row r="4627" spans="1:29" s="4" customFormat="1" ht="42" customHeight="1" x14ac:dyDescent="0.2">
      <c r="A4627" s="5">
        <v>0</v>
      </c>
      <c r="B4627" s="6" t="s">
        <v>26692</v>
      </c>
      <c r="C4627" s="7">
        <v>2200.8000000000002</v>
      </c>
      <c r="D4627" s="8" t="s">
        <v>26693</v>
      </c>
      <c r="E4627" s="8" t="s">
        <v>26694</v>
      </c>
      <c r="F4627" s="8" t="s">
        <v>13544</v>
      </c>
      <c r="G4627" s="6" t="s">
        <v>60</v>
      </c>
      <c r="H4627" s="6" t="s">
        <v>34</v>
      </c>
      <c r="I4627" s="8" t="s">
        <v>253</v>
      </c>
      <c r="J4627" s="9">
        <v>1</v>
      </c>
      <c r="K4627" s="9">
        <v>316</v>
      </c>
      <c r="L4627" s="9">
        <v>2027</v>
      </c>
      <c r="M4627" s="8" t="s">
        <v>26695</v>
      </c>
      <c r="N4627" s="8" t="s">
        <v>63</v>
      </c>
      <c r="O4627" s="8" t="s">
        <v>126</v>
      </c>
      <c r="P4627" s="6" t="s">
        <v>51</v>
      </c>
      <c r="Q4627" s="8" t="s">
        <v>65</v>
      </c>
      <c r="R4627" s="10" t="s">
        <v>26696</v>
      </c>
      <c r="S4627" s="11"/>
      <c r="T4627" s="6"/>
      <c r="U4627" s="15" t="str">
        <f>HYPERLINK("https://media.infra-m.ru/2264/2264655/cover/2264655.jpg", "Обложка")</f>
        <v>Обложка</v>
      </c>
      <c r="V4627" s="8" t="s">
        <v>6059</v>
      </c>
      <c r="W4627" s="6"/>
      <c r="X4627" s="6"/>
      <c r="Y4627" s="6"/>
      <c r="Z4627" s="6"/>
      <c r="AA4627" s="6" t="s">
        <v>76</v>
      </c>
      <c r="AB4627" s="8"/>
      <c r="AC4627" s="27">
        <v>9785160172033</v>
      </c>
    </row>
    <row r="4628" spans="1:29" s="4" customFormat="1" ht="51.9" customHeight="1" x14ac:dyDescent="0.2">
      <c r="A4628" s="5">
        <v>0</v>
      </c>
      <c r="B4628" s="6" t="s">
        <v>26697</v>
      </c>
      <c r="C4628" s="7">
        <v>2392.8000000000002</v>
      </c>
      <c r="D4628" s="8" t="s">
        <v>26698</v>
      </c>
      <c r="E4628" s="8" t="s">
        <v>26699</v>
      </c>
      <c r="F4628" s="8" t="s">
        <v>26700</v>
      </c>
      <c r="G4628" s="6" t="s">
        <v>118</v>
      </c>
      <c r="H4628" s="6" t="s">
        <v>34</v>
      </c>
      <c r="I4628" s="8" t="s">
        <v>504</v>
      </c>
      <c r="J4628" s="9">
        <v>1</v>
      </c>
      <c r="K4628" s="9">
        <v>345</v>
      </c>
      <c r="L4628" s="9">
        <v>2026</v>
      </c>
      <c r="M4628" s="8" t="s">
        <v>26701</v>
      </c>
      <c r="N4628" s="8" t="s">
        <v>585</v>
      </c>
      <c r="O4628" s="8" t="s">
        <v>586</v>
      </c>
      <c r="P4628" s="6" t="s">
        <v>51</v>
      </c>
      <c r="Q4628" s="8" t="s">
        <v>500</v>
      </c>
      <c r="R4628" s="10" t="s">
        <v>26702</v>
      </c>
      <c r="S4628" s="11" t="s">
        <v>26703</v>
      </c>
      <c r="T4628" s="6" t="s">
        <v>97</v>
      </c>
      <c r="U4628" s="15" t="str">
        <f>HYPERLINK("https://media.infra-m.ru/2227/2227311/cover/2227311.jpg", "Обложка")</f>
        <v>Обложка</v>
      </c>
      <c r="V4628" s="8" t="s">
        <v>396</v>
      </c>
      <c r="W4628" s="6"/>
      <c r="X4628" s="6"/>
      <c r="Y4628" s="6"/>
      <c r="Z4628" s="6"/>
      <c r="AA4628" s="6" t="s">
        <v>404</v>
      </c>
      <c r="AB4628" s="8"/>
      <c r="AC4628" s="27">
        <v>9785160127835</v>
      </c>
    </row>
    <row r="4629" spans="1:29" s="4" customFormat="1" ht="51.9" customHeight="1" x14ac:dyDescent="0.2">
      <c r="A4629" s="5">
        <v>0</v>
      </c>
      <c r="B4629" s="6" t="s">
        <v>26704</v>
      </c>
      <c r="C4629" s="7">
        <v>1548</v>
      </c>
      <c r="D4629" s="8" t="s">
        <v>26705</v>
      </c>
      <c r="E4629" s="8" t="s">
        <v>26706</v>
      </c>
      <c r="F4629" s="8" t="s">
        <v>26700</v>
      </c>
      <c r="G4629" s="6" t="s">
        <v>118</v>
      </c>
      <c r="H4629" s="6" t="s">
        <v>34</v>
      </c>
      <c r="I4629" s="8" t="s">
        <v>504</v>
      </c>
      <c r="J4629" s="9">
        <v>1</v>
      </c>
      <c r="K4629" s="9">
        <v>264</v>
      </c>
      <c r="L4629" s="9">
        <v>2021</v>
      </c>
      <c r="M4629" s="8" t="s">
        <v>26707</v>
      </c>
      <c r="N4629" s="8" t="s">
        <v>585</v>
      </c>
      <c r="O4629" s="8" t="s">
        <v>586</v>
      </c>
      <c r="P4629" s="6" t="s">
        <v>51</v>
      </c>
      <c r="Q4629" s="8" t="s">
        <v>500</v>
      </c>
      <c r="R4629" s="10" t="s">
        <v>26702</v>
      </c>
      <c r="S4629" s="11" t="s">
        <v>26708</v>
      </c>
      <c r="T4629" s="6"/>
      <c r="U4629" s="15" t="str">
        <f>HYPERLINK("https://media.infra-m.ru/1157/1157859/cover/1157859.jpg", "Обложка")</f>
        <v>Обложка</v>
      </c>
      <c r="V4629" s="8" t="s">
        <v>396</v>
      </c>
      <c r="W4629" s="6"/>
      <c r="X4629" s="6"/>
      <c r="Y4629" s="6"/>
      <c r="Z4629" s="6"/>
      <c r="AA4629" s="6" t="s">
        <v>129</v>
      </c>
      <c r="AB4629" s="8"/>
      <c r="AC4629" s="27">
        <v>9785160041674</v>
      </c>
    </row>
    <row r="4630" spans="1:29" s="4" customFormat="1" ht="51.9" customHeight="1" x14ac:dyDescent="0.2">
      <c r="A4630" s="5">
        <v>0</v>
      </c>
      <c r="B4630" s="6" t="s">
        <v>26709</v>
      </c>
      <c r="C4630" s="7">
        <v>1968</v>
      </c>
      <c r="D4630" s="8" t="s">
        <v>26710</v>
      </c>
      <c r="E4630" s="8" t="s">
        <v>26711</v>
      </c>
      <c r="F4630" s="8" t="s">
        <v>26712</v>
      </c>
      <c r="G4630" s="6" t="s">
        <v>118</v>
      </c>
      <c r="H4630" s="6" t="s">
        <v>34</v>
      </c>
      <c r="I4630" s="8" t="s">
        <v>263</v>
      </c>
      <c r="J4630" s="9">
        <v>1</v>
      </c>
      <c r="K4630" s="9">
        <v>298</v>
      </c>
      <c r="L4630" s="9">
        <v>2026</v>
      </c>
      <c r="M4630" s="8" t="s">
        <v>26713</v>
      </c>
      <c r="N4630" s="8" t="s">
        <v>93</v>
      </c>
      <c r="O4630" s="8" t="s">
        <v>94</v>
      </c>
      <c r="P4630" s="6" t="s">
        <v>105</v>
      </c>
      <c r="Q4630" s="8" t="s">
        <v>265</v>
      </c>
      <c r="R4630" s="10" t="s">
        <v>25269</v>
      </c>
      <c r="S4630" s="11" t="s">
        <v>26714</v>
      </c>
      <c r="T4630" s="6"/>
      <c r="U4630" s="15" t="str">
        <f>HYPERLINK("https://media.infra-m.ru/2230/2230661/cover/2230661.jpg", "Обложка")</f>
        <v>Обложка</v>
      </c>
      <c r="V4630" s="8" t="s">
        <v>26715</v>
      </c>
      <c r="W4630" s="6"/>
      <c r="X4630" s="6"/>
      <c r="Y4630" s="6"/>
      <c r="Z4630" s="6"/>
      <c r="AA4630" s="6" t="s">
        <v>430</v>
      </c>
      <c r="AB4630" s="8"/>
      <c r="AC4630" s="27">
        <v>9785160159621</v>
      </c>
    </row>
    <row r="4631" spans="1:29" s="4" customFormat="1" ht="51.9" customHeight="1" x14ac:dyDescent="0.2">
      <c r="A4631" s="5">
        <v>0</v>
      </c>
      <c r="B4631" s="6" t="s">
        <v>26716</v>
      </c>
      <c r="C4631" s="7">
        <v>2124</v>
      </c>
      <c r="D4631" s="8" t="s">
        <v>26717</v>
      </c>
      <c r="E4631" s="8" t="s">
        <v>26718</v>
      </c>
      <c r="F4631" s="8" t="s">
        <v>26712</v>
      </c>
      <c r="G4631" s="6" t="s">
        <v>118</v>
      </c>
      <c r="H4631" s="6" t="s">
        <v>34</v>
      </c>
      <c r="I4631" s="8" t="s">
        <v>263</v>
      </c>
      <c r="J4631" s="9">
        <v>1</v>
      </c>
      <c r="K4631" s="9">
        <v>322</v>
      </c>
      <c r="L4631" s="9">
        <v>2026</v>
      </c>
      <c r="M4631" s="8" t="s">
        <v>26719</v>
      </c>
      <c r="N4631" s="8" t="s">
        <v>93</v>
      </c>
      <c r="O4631" s="8" t="s">
        <v>94</v>
      </c>
      <c r="P4631" s="6" t="s">
        <v>105</v>
      </c>
      <c r="Q4631" s="8" t="s">
        <v>265</v>
      </c>
      <c r="R4631" s="10" t="s">
        <v>25269</v>
      </c>
      <c r="S4631" s="11" t="s">
        <v>26714</v>
      </c>
      <c r="T4631" s="6"/>
      <c r="U4631" s="15" t="str">
        <f>HYPERLINK("https://media.infra-m.ru/2235/2235145/cover/2235145.jpg", "Обложка")</f>
        <v>Обложка</v>
      </c>
      <c r="V4631" s="8" t="s">
        <v>26715</v>
      </c>
      <c r="W4631" s="6"/>
      <c r="X4631" s="6"/>
      <c r="Y4631" s="6"/>
      <c r="Z4631" s="6"/>
      <c r="AA4631" s="6" t="s">
        <v>1256</v>
      </c>
      <c r="AB4631" s="8"/>
      <c r="AC4631" s="27">
        <v>9785160140636</v>
      </c>
    </row>
    <row r="4632" spans="1:29" s="4" customFormat="1" ht="51.9" customHeight="1" x14ac:dyDescent="0.2">
      <c r="A4632" s="5">
        <v>0</v>
      </c>
      <c r="B4632" s="6" t="s">
        <v>26720</v>
      </c>
      <c r="C4632" s="7">
        <v>2052</v>
      </c>
      <c r="D4632" s="8" t="s">
        <v>26721</v>
      </c>
      <c r="E4632" s="8" t="s">
        <v>26722</v>
      </c>
      <c r="F4632" s="8" t="s">
        <v>26712</v>
      </c>
      <c r="G4632" s="6" t="s">
        <v>118</v>
      </c>
      <c r="H4632" s="6" t="s">
        <v>34</v>
      </c>
      <c r="I4632" s="8" t="s">
        <v>263</v>
      </c>
      <c r="J4632" s="9">
        <v>1</v>
      </c>
      <c r="K4632" s="9">
        <v>323</v>
      </c>
      <c r="L4632" s="9">
        <v>2026</v>
      </c>
      <c r="M4632" s="8" t="s">
        <v>26723</v>
      </c>
      <c r="N4632" s="8" t="s">
        <v>93</v>
      </c>
      <c r="O4632" s="8" t="s">
        <v>94</v>
      </c>
      <c r="P4632" s="6" t="s">
        <v>105</v>
      </c>
      <c r="Q4632" s="8" t="s">
        <v>265</v>
      </c>
      <c r="R4632" s="10" t="s">
        <v>25269</v>
      </c>
      <c r="S4632" s="11" t="s">
        <v>26724</v>
      </c>
      <c r="T4632" s="6"/>
      <c r="U4632" s="15" t="str">
        <f>HYPERLINK("https://media.infra-m.ru/2219/2219319/cover/2219319.jpg", "Обложка")</f>
        <v>Обложка</v>
      </c>
      <c r="V4632" s="8" t="s">
        <v>26715</v>
      </c>
      <c r="W4632" s="6"/>
      <c r="X4632" s="6"/>
      <c r="Y4632" s="6"/>
      <c r="Z4632" s="6"/>
      <c r="AA4632" s="6" t="s">
        <v>1256</v>
      </c>
      <c r="AB4632" s="8" t="s">
        <v>3596</v>
      </c>
      <c r="AC4632" s="27">
        <v>9785160159607</v>
      </c>
    </row>
    <row r="4633" spans="1:29" s="4" customFormat="1" ht="51.9" customHeight="1" x14ac:dyDescent="0.2">
      <c r="A4633" s="5">
        <v>0</v>
      </c>
      <c r="B4633" s="6" t="s">
        <v>26725</v>
      </c>
      <c r="C4633" s="7">
        <v>2232</v>
      </c>
      <c r="D4633" s="8" t="s">
        <v>26726</v>
      </c>
      <c r="E4633" s="8" t="s">
        <v>26727</v>
      </c>
      <c r="F4633" s="8" t="s">
        <v>26712</v>
      </c>
      <c r="G4633" s="6" t="s">
        <v>118</v>
      </c>
      <c r="H4633" s="6" t="s">
        <v>34</v>
      </c>
      <c r="I4633" s="8" t="s">
        <v>263</v>
      </c>
      <c r="J4633" s="9">
        <v>1</v>
      </c>
      <c r="K4633" s="9">
        <v>337</v>
      </c>
      <c r="L4633" s="9">
        <v>2026</v>
      </c>
      <c r="M4633" s="8" t="s">
        <v>26728</v>
      </c>
      <c r="N4633" s="8" t="s">
        <v>93</v>
      </c>
      <c r="O4633" s="8" t="s">
        <v>94</v>
      </c>
      <c r="P4633" s="6" t="s">
        <v>105</v>
      </c>
      <c r="Q4633" s="8" t="s">
        <v>265</v>
      </c>
      <c r="R4633" s="10" t="s">
        <v>25269</v>
      </c>
      <c r="S4633" s="11" t="s">
        <v>26724</v>
      </c>
      <c r="T4633" s="6"/>
      <c r="U4633" s="15" t="str">
        <f>HYPERLINK("https://media.infra-m.ru/2232/2232928/cover/2232928.jpg", "Обложка")</f>
        <v>Обложка</v>
      </c>
      <c r="V4633" s="8" t="s">
        <v>26715</v>
      </c>
      <c r="W4633" s="6"/>
      <c r="X4633" s="6"/>
      <c r="Y4633" s="6"/>
      <c r="Z4633" s="6"/>
      <c r="AA4633" s="6" t="s">
        <v>1256</v>
      </c>
      <c r="AB4633" s="8" t="s">
        <v>3596</v>
      </c>
      <c r="AC4633" s="27">
        <v>9785160159614</v>
      </c>
    </row>
    <row r="4634" spans="1:29" s="4" customFormat="1" ht="51.9" customHeight="1" x14ac:dyDescent="0.2">
      <c r="A4634" s="5">
        <v>0</v>
      </c>
      <c r="B4634" s="6" t="s">
        <v>26729</v>
      </c>
      <c r="C4634" s="7">
        <v>1908</v>
      </c>
      <c r="D4634" s="8" t="s">
        <v>26730</v>
      </c>
      <c r="E4634" s="8" t="s">
        <v>26731</v>
      </c>
      <c r="F4634" s="8" t="s">
        <v>26712</v>
      </c>
      <c r="G4634" s="6" t="s">
        <v>118</v>
      </c>
      <c r="H4634" s="6" t="s">
        <v>34</v>
      </c>
      <c r="I4634" s="8" t="s">
        <v>263</v>
      </c>
      <c r="J4634" s="9">
        <v>1</v>
      </c>
      <c r="K4634" s="9">
        <v>288</v>
      </c>
      <c r="L4634" s="9">
        <v>2026</v>
      </c>
      <c r="M4634" s="8" t="s">
        <v>26732</v>
      </c>
      <c r="N4634" s="8" t="s">
        <v>93</v>
      </c>
      <c r="O4634" s="8" t="s">
        <v>94</v>
      </c>
      <c r="P4634" s="6" t="s">
        <v>105</v>
      </c>
      <c r="Q4634" s="8" t="s">
        <v>265</v>
      </c>
      <c r="R4634" s="10" t="s">
        <v>25269</v>
      </c>
      <c r="S4634" s="11" t="s">
        <v>26733</v>
      </c>
      <c r="T4634" s="6"/>
      <c r="U4634" s="15" t="str">
        <f>HYPERLINK("https://media.infra-m.ru/2230/2230194/cover/2230194.jpg", "Обложка")</f>
        <v>Обложка</v>
      </c>
      <c r="V4634" s="8" t="s">
        <v>26715</v>
      </c>
      <c r="W4634" s="6"/>
      <c r="X4634" s="6"/>
      <c r="Y4634" s="6"/>
      <c r="Z4634" s="6"/>
      <c r="AA4634" s="6" t="s">
        <v>99</v>
      </c>
      <c r="AB4634" s="8"/>
      <c r="AC4634" s="27">
        <v>9785160161020</v>
      </c>
    </row>
    <row r="4635" spans="1:29" s="4" customFormat="1" ht="51.9" customHeight="1" x14ac:dyDescent="0.2">
      <c r="A4635" s="5">
        <v>0</v>
      </c>
      <c r="B4635" s="6" t="s">
        <v>26734</v>
      </c>
      <c r="C4635" s="7">
        <v>2752.8</v>
      </c>
      <c r="D4635" s="8" t="s">
        <v>26735</v>
      </c>
      <c r="E4635" s="8" t="s">
        <v>26736</v>
      </c>
      <c r="F4635" s="8" t="s">
        <v>26737</v>
      </c>
      <c r="G4635" s="6" t="s">
        <v>60</v>
      </c>
      <c r="H4635" s="6" t="s">
        <v>1042</v>
      </c>
      <c r="I4635" s="8" t="s">
        <v>263</v>
      </c>
      <c r="J4635" s="9">
        <v>1</v>
      </c>
      <c r="K4635" s="9">
        <v>417</v>
      </c>
      <c r="L4635" s="9">
        <v>2026</v>
      </c>
      <c r="M4635" s="8" t="s">
        <v>26738</v>
      </c>
      <c r="N4635" s="8" t="s">
        <v>243</v>
      </c>
      <c r="O4635" s="8" t="s">
        <v>758</v>
      </c>
      <c r="P4635" s="6" t="s">
        <v>306</v>
      </c>
      <c r="Q4635" s="8" t="s">
        <v>265</v>
      </c>
      <c r="R4635" s="10" t="s">
        <v>26739</v>
      </c>
      <c r="S4635" s="11" t="s">
        <v>26740</v>
      </c>
      <c r="T4635" s="6"/>
      <c r="U4635" s="15" t="str">
        <f>HYPERLINK("https://media.infra-m.ru/2239/2239888/cover/2239888.jpg", "Обложка")</f>
        <v>Обложка</v>
      </c>
      <c r="V4635" s="8" t="s">
        <v>717</v>
      </c>
      <c r="W4635" s="6"/>
      <c r="X4635" s="6"/>
      <c r="Y4635" s="6"/>
      <c r="Z4635" s="6"/>
      <c r="AA4635" s="6" t="s">
        <v>99</v>
      </c>
      <c r="AB4635" s="8"/>
      <c r="AC4635" s="27">
        <v>9785819908228</v>
      </c>
    </row>
    <row r="4636" spans="1:29" s="4" customFormat="1" ht="42" customHeight="1" x14ac:dyDescent="0.2">
      <c r="A4636" s="5">
        <v>0</v>
      </c>
      <c r="B4636" s="6" t="s">
        <v>26741</v>
      </c>
      <c r="C4636" s="13">
        <v>888</v>
      </c>
      <c r="D4636" s="8" t="s">
        <v>26742</v>
      </c>
      <c r="E4636" s="8" t="s">
        <v>26743</v>
      </c>
      <c r="F4636" s="8" t="s">
        <v>26744</v>
      </c>
      <c r="G4636" s="6" t="s">
        <v>60</v>
      </c>
      <c r="H4636" s="6" t="s">
        <v>34</v>
      </c>
      <c r="I4636" s="8" t="s">
        <v>91</v>
      </c>
      <c r="J4636" s="9">
        <v>1</v>
      </c>
      <c r="K4636" s="9">
        <v>165</v>
      </c>
      <c r="L4636" s="9">
        <v>2022</v>
      </c>
      <c r="M4636" s="8" t="s">
        <v>26745</v>
      </c>
      <c r="N4636" s="8" t="s">
        <v>93</v>
      </c>
      <c r="O4636" s="8" t="s">
        <v>94</v>
      </c>
      <c r="P4636" s="6" t="s">
        <v>105</v>
      </c>
      <c r="Q4636" s="8" t="s">
        <v>40</v>
      </c>
      <c r="R4636" s="10" t="s">
        <v>11673</v>
      </c>
      <c r="S4636" s="11"/>
      <c r="T4636" s="6"/>
      <c r="U4636" s="15" t="str">
        <f>HYPERLINK("https://media.infra-m.ru/1413/1413774/cover/1413774.jpg", "Обложка")</f>
        <v>Обложка</v>
      </c>
      <c r="V4636" s="8" t="s">
        <v>26746</v>
      </c>
      <c r="W4636" s="6"/>
      <c r="X4636" s="6"/>
      <c r="Y4636" s="6"/>
      <c r="Z4636" s="6"/>
      <c r="AA4636" s="6" t="s">
        <v>148</v>
      </c>
      <c r="AB4636" s="8"/>
      <c r="AC4636" s="27">
        <v>9785160169507</v>
      </c>
    </row>
    <row r="4637" spans="1:29" s="4" customFormat="1" ht="51.9" customHeight="1" x14ac:dyDescent="0.2">
      <c r="A4637" s="5">
        <v>0</v>
      </c>
      <c r="B4637" s="6" t="s">
        <v>26747</v>
      </c>
      <c r="C4637" s="7">
        <v>2776.8</v>
      </c>
      <c r="D4637" s="8" t="s">
        <v>26748</v>
      </c>
      <c r="E4637" s="8" t="s">
        <v>26749</v>
      </c>
      <c r="F4637" s="8" t="s">
        <v>8568</v>
      </c>
      <c r="G4637" s="6" t="s">
        <v>118</v>
      </c>
      <c r="H4637" s="6" t="s">
        <v>34</v>
      </c>
      <c r="I4637" s="8" t="s">
        <v>263</v>
      </c>
      <c r="J4637" s="9">
        <v>1</v>
      </c>
      <c r="K4637" s="9">
        <v>421</v>
      </c>
      <c r="L4637" s="9">
        <v>2026</v>
      </c>
      <c r="M4637" s="8" t="s">
        <v>26750</v>
      </c>
      <c r="N4637" s="8" t="s">
        <v>37</v>
      </c>
      <c r="O4637" s="8" t="s">
        <v>280</v>
      </c>
      <c r="P4637" s="6" t="s">
        <v>51</v>
      </c>
      <c r="Q4637" s="8" t="s">
        <v>265</v>
      </c>
      <c r="R4637" s="10" t="s">
        <v>26751</v>
      </c>
      <c r="S4637" s="11" t="s">
        <v>26752</v>
      </c>
      <c r="T4637" s="6"/>
      <c r="U4637" s="15" t="str">
        <f>HYPERLINK("https://media.infra-m.ru/2231/2231001/cover/2231001.jpg", "Обложка")</f>
        <v>Обложка</v>
      </c>
      <c r="V4637" s="8" t="s">
        <v>3130</v>
      </c>
      <c r="W4637" s="6"/>
      <c r="X4637" s="6" t="s">
        <v>24</v>
      </c>
      <c r="Y4637" s="6"/>
      <c r="Z4637" s="6" t="s">
        <v>267</v>
      </c>
      <c r="AA4637" s="6" t="s">
        <v>115</v>
      </c>
      <c r="AB4637" s="8"/>
      <c r="AC4637" s="27">
        <v>9785160148601</v>
      </c>
    </row>
    <row r="4638" spans="1:29" s="4" customFormat="1" ht="51.9" customHeight="1" x14ac:dyDescent="0.2">
      <c r="A4638" s="5">
        <v>0</v>
      </c>
      <c r="B4638" s="6" t="s">
        <v>26753</v>
      </c>
      <c r="C4638" s="7">
        <v>2620.8000000000002</v>
      </c>
      <c r="D4638" s="8" t="s">
        <v>26754</v>
      </c>
      <c r="E4638" s="8" t="s">
        <v>26749</v>
      </c>
      <c r="F4638" s="8" t="s">
        <v>8568</v>
      </c>
      <c r="G4638" s="6" t="s">
        <v>60</v>
      </c>
      <c r="H4638" s="6" t="s">
        <v>34</v>
      </c>
      <c r="I4638" s="8" t="s">
        <v>271</v>
      </c>
      <c r="J4638" s="9">
        <v>1</v>
      </c>
      <c r="K4638" s="9">
        <v>421</v>
      </c>
      <c r="L4638" s="9">
        <v>2026</v>
      </c>
      <c r="M4638" s="8" t="s">
        <v>26755</v>
      </c>
      <c r="N4638" s="8" t="s">
        <v>37</v>
      </c>
      <c r="O4638" s="8" t="s">
        <v>280</v>
      </c>
      <c r="P4638" s="6" t="s">
        <v>51</v>
      </c>
      <c r="Q4638" s="8" t="s">
        <v>52</v>
      </c>
      <c r="R4638" s="10" t="s">
        <v>26756</v>
      </c>
      <c r="S4638" s="11" t="s">
        <v>26757</v>
      </c>
      <c r="T4638" s="6"/>
      <c r="U4638" s="15" t="str">
        <f>HYPERLINK("https://media.infra-m.ru/2222/2222233/cover/2222233.jpg", "Обложка")</f>
        <v>Обложка</v>
      </c>
      <c r="V4638" s="8" t="s">
        <v>3130</v>
      </c>
      <c r="W4638" s="6"/>
      <c r="X4638" s="6"/>
      <c r="Y4638" s="6"/>
      <c r="Z4638" s="6"/>
      <c r="AA4638" s="6" t="s">
        <v>55</v>
      </c>
      <c r="AB4638" s="8"/>
      <c r="AC4638" s="27">
        <v>9785160053721</v>
      </c>
    </row>
    <row r="4639" spans="1:29" s="4" customFormat="1" ht="51.9" customHeight="1" x14ac:dyDescent="0.2">
      <c r="A4639" s="5">
        <v>0</v>
      </c>
      <c r="B4639" s="6" t="s">
        <v>26758</v>
      </c>
      <c r="C4639" s="7">
        <v>1096.8</v>
      </c>
      <c r="D4639" s="8" t="s">
        <v>26759</v>
      </c>
      <c r="E4639" s="8" t="s">
        <v>26760</v>
      </c>
      <c r="F4639" s="8" t="s">
        <v>26761</v>
      </c>
      <c r="G4639" s="6" t="s">
        <v>118</v>
      </c>
      <c r="H4639" s="6" t="s">
        <v>34</v>
      </c>
      <c r="I4639" s="8" t="s">
        <v>35</v>
      </c>
      <c r="J4639" s="9">
        <v>1</v>
      </c>
      <c r="K4639" s="9">
        <v>151</v>
      </c>
      <c r="L4639" s="9">
        <v>2026</v>
      </c>
      <c r="M4639" s="8" t="s">
        <v>26762</v>
      </c>
      <c r="N4639" s="8" t="s">
        <v>37</v>
      </c>
      <c r="O4639" s="8" t="s">
        <v>290</v>
      </c>
      <c r="P4639" s="6" t="s">
        <v>39</v>
      </c>
      <c r="Q4639" s="8" t="s">
        <v>40</v>
      </c>
      <c r="R4639" s="10" t="s">
        <v>26763</v>
      </c>
      <c r="S4639" s="11"/>
      <c r="T4639" s="6"/>
      <c r="U4639" s="15" t="str">
        <f>HYPERLINK("https://media.infra-m.ru/2222/2222955/cover/2222955.jpg", "Обложка")</f>
        <v>Обложка</v>
      </c>
      <c r="V4639" s="8" t="s">
        <v>292</v>
      </c>
      <c r="W4639" s="6"/>
      <c r="X4639" s="6"/>
      <c r="Y4639" s="6"/>
      <c r="Z4639" s="6"/>
      <c r="AA4639" s="6" t="s">
        <v>157</v>
      </c>
      <c r="AB4639" s="8" t="s">
        <v>2208</v>
      </c>
      <c r="AC4639" s="27">
        <v>9785160185767</v>
      </c>
    </row>
    <row r="4640" spans="1:29" s="4" customFormat="1" ht="51.9" customHeight="1" x14ac:dyDescent="0.2">
      <c r="A4640" s="5">
        <v>0</v>
      </c>
      <c r="B4640" s="6" t="s">
        <v>26764</v>
      </c>
      <c r="C4640" s="7">
        <v>1716</v>
      </c>
      <c r="D4640" s="8" t="s">
        <v>26765</v>
      </c>
      <c r="E4640" s="8" t="s">
        <v>26766</v>
      </c>
      <c r="F4640" s="8" t="s">
        <v>26767</v>
      </c>
      <c r="G4640" s="6" t="s">
        <v>118</v>
      </c>
      <c r="H4640" s="6" t="s">
        <v>34</v>
      </c>
      <c r="I4640" s="8" t="s">
        <v>746</v>
      </c>
      <c r="J4640" s="9">
        <v>1</v>
      </c>
      <c r="K4640" s="9">
        <v>245</v>
      </c>
      <c r="L4640" s="9">
        <v>2027</v>
      </c>
      <c r="M4640" s="8" t="s">
        <v>26768</v>
      </c>
      <c r="N4640" s="8" t="s">
        <v>243</v>
      </c>
      <c r="O4640" s="8" t="s">
        <v>385</v>
      </c>
      <c r="P4640" s="6" t="s">
        <v>748</v>
      </c>
      <c r="Q4640" s="8" t="s">
        <v>65</v>
      </c>
      <c r="R4640" s="10" t="s">
        <v>26769</v>
      </c>
      <c r="S4640" s="11"/>
      <c r="T4640" s="6"/>
      <c r="U4640" s="15" t="str">
        <f>HYPERLINK("https://media.infra-m.ru/2267/2267677/cover/2267677.jpg", "Обложка")</f>
        <v>Обложка</v>
      </c>
      <c r="V4640" s="8" t="s">
        <v>26770</v>
      </c>
      <c r="W4640" s="6"/>
      <c r="X4640" s="6"/>
      <c r="Y4640" s="6"/>
      <c r="Z4640" s="6"/>
      <c r="AA4640" s="6" t="s">
        <v>106</v>
      </c>
      <c r="AB4640" s="8"/>
      <c r="AC4640" s="27">
        <v>9785160197265</v>
      </c>
    </row>
    <row r="4641" spans="1:29" s="4" customFormat="1" ht="51.9" customHeight="1" x14ac:dyDescent="0.2">
      <c r="A4641" s="5">
        <v>0</v>
      </c>
      <c r="B4641" s="6" t="s">
        <v>26771</v>
      </c>
      <c r="C4641" s="7">
        <v>1272</v>
      </c>
      <c r="D4641" s="8" t="s">
        <v>26772</v>
      </c>
      <c r="E4641" s="8" t="s">
        <v>26773</v>
      </c>
      <c r="F4641" s="8" t="s">
        <v>26767</v>
      </c>
      <c r="G4641" s="6" t="s">
        <v>118</v>
      </c>
      <c r="H4641" s="6" t="s">
        <v>34</v>
      </c>
      <c r="I4641" s="8" t="s">
        <v>746</v>
      </c>
      <c r="J4641" s="9">
        <v>1</v>
      </c>
      <c r="K4641" s="9">
        <v>234</v>
      </c>
      <c r="L4641" s="9">
        <v>2022</v>
      </c>
      <c r="M4641" s="8" t="s">
        <v>26774</v>
      </c>
      <c r="N4641" s="8" t="s">
        <v>243</v>
      </c>
      <c r="O4641" s="8" t="s">
        <v>385</v>
      </c>
      <c r="P4641" s="6" t="s">
        <v>748</v>
      </c>
      <c r="Q4641" s="8" t="s">
        <v>65</v>
      </c>
      <c r="R4641" s="10" t="s">
        <v>26769</v>
      </c>
      <c r="S4641" s="11"/>
      <c r="T4641" s="6"/>
      <c r="U4641" s="15" t="str">
        <f>HYPERLINK("https://media.infra-m.ru/1891/1891838/cover/1891838.jpg", "Обложка")</f>
        <v>Обложка</v>
      </c>
      <c r="V4641" s="8" t="s">
        <v>26770</v>
      </c>
      <c r="W4641" s="6"/>
      <c r="X4641" s="6"/>
      <c r="Y4641" s="6"/>
      <c r="Z4641" s="6"/>
      <c r="AA4641" s="6" t="s">
        <v>1256</v>
      </c>
      <c r="AB4641" s="8"/>
      <c r="AC4641" s="27">
        <v>9785160145204</v>
      </c>
    </row>
    <row r="4642" spans="1:29" s="4" customFormat="1" ht="51.9" customHeight="1" x14ac:dyDescent="0.2">
      <c r="A4642" s="5">
        <v>0</v>
      </c>
      <c r="B4642" s="6" t="s">
        <v>26775</v>
      </c>
      <c r="C4642" s="7">
        <v>1144.8</v>
      </c>
      <c r="D4642" s="8" t="s">
        <v>26776</v>
      </c>
      <c r="E4642" s="8" t="s">
        <v>26777</v>
      </c>
      <c r="F4642" s="8" t="s">
        <v>26778</v>
      </c>
      <c r="G4642" s="6" t="s">
        <v>60</v>
      </c>
      <c r="H4642" s="6" t="s">
        <v>34</v>
      </c>
      <c r="I4642" s="8" t="s">
        <v>253</v>
      </c>
      <c r="J4642" s="9">
        <v>1</v>
      </c>
      <c r="K4642" s="9">
        <v>208</v>
      </c>
      <c r="L4642" s="9">
        <v>2024</v>
      </c>
      <c r="M4642" s="8" t="s">
        <v>26779</v>
      </c>
      <c r="N4642" s="8" t="s">
        <v>37</v>
      </c>
      <c r="O4642" s="8" t="s">
        <v>499</v>
      </c>
      <c r="P4642" s="6" t="s">
        <v>51</v>
      </c>
      <c r="Q4642" s="8" t="s">
        <v>52</v>
      </c>
      <c r="R4642" s="10" t="s">
        <v>26780</v>
      </c>
      <c r="S4642" s="11" t="s">
        <v>26781</v>
      </c>
      <c r="T4642" s="6"/>
      <c r="U4642" s="15" t="str">
        <f>HYPERLINK("https://media.infra-m.ru/2082/2082881/cover/2082881.jpg", "Обложка")</f>
        <v>Обложка</v>
      </c>
      <c r="V4642" s="8" t="s">
        <v>24133</v>
      </c>
      <c r="W4642" s="6"/>
      <c r="X4642" s="6"/>
      <c r="Y4642" s="6"/>
      <c r="Z4642" s="6"/>
      <c r="AA4642" s="6" t="s">
        <v>43</v>
      </c>
      <c r="AB4642" s="8"/>
      <c r="AC4642" s="27">
        <v>9785160048611</v>
      </c>
    </row>
    <row r="4643" spans="1:29" s="4" customFormat="1" ht="51.9" customHeight="1" x14ac:dyDescent="0.2">
      <c r="A4643" s="5">
        <v>0</v>
      </c>
      <c r="B4643" s="6" t="s">
        <v>26782</v>
      </c>
      <c r="C4643" s="7">
        <v>1816.8</v>
      </c>
      <c r="D4643" s="8" t="s">
        <v>26783</v>
      </c>
      <c r="E4643" s="8" t="s">
        <v>26784</v>
      </c>
      <c r="F4643" s="8" t="s">
        <v>26785</v>
      </c>
      <c r="G4643" s="6" t="s">
        <v>60</v>
      </c>
      <c r="H4643" s="6" t="s">
        <v>34</v>
      </c>
      <c r="I4643" s="8" t="s">
        <v>271</v>
      </c>
      <c r="J4643" s="9">
        <v>1</v>
      </c>
      <c r="K4643" s="9">
        <v>262</v>
      </c>
      <c r="L4643" s="9">
        <v>2027</v>
      </c>
      <c r="M4643" s="8" t="s">
        <v>26786</v>
      </c>
      <c r="N4643" s="8" t="s">
        <v>37</v>
      </c>
      <c r="O4643" s="8" t="s">
        <v>499</v>
      </c>
      <c r="P4643" s="6" t="s">
        <v>51</v>
      </c>
      <c r="Q4643" s="8" t="s">
        <v>52</v>
      </c>
      <c r="R4643" s="10" t="s">
        <v>26787</v>
      </c>
      <c r="S4643" s="11" t="s">
        <v>26788</v>
      </c>
      <c r="T4643" s="6"/>
      <c r="U4643" s="15" t="str">
        <f>HYPERLINK("https://media.infra-m.ru/2272/2272033/cover/2272033.jpg", "Обложка")</f>
        <v>Обложка</v>
      </c>
      <c r="V4643" s="8" t="s">
        <v>1768</v>
      </c>
      <c r="W4643" s="6"/>
      <c r="X4643" s="6"/>
      <c r="Y4643" s="6"/>
      <c r="Z4643" s="6"/>
      <c r="AA4643" s="6" t="s">
        <v>55</v>
      </c>
      <c r="AB4643" s="8"/>
      <c r="AC4643" s="27">
        <v>9785160057804</v>
      </c>
    </row>
    <row r="4644" spans="1:29" s="4" customFormat="1" ht="51.9" customHeight="1" x14ac:dyDescent="0.2">
      <c r="A4644" s="5">
        <v>0</v>
      </c>
      <c r="B4644" s="6" t="s">
        <v>26789</v>
      </c>
      <c r="C4644" s="7">
        <v>1876.8</v>
      </c>
      <c r="D4644" s="8" t="s">
        <v>26790</v>
      </c>
      <c r="E4644" s="8" t="s">
        <v>26791</v>
      </c>
      <c r="F4644" s="8" t="s">
        <v>26792</v>
      </c>
      <c r="G4644" s="6" t="s">
        <v>118</v>
      </c>
      <c r="H4644" s="6" t="s">
        <v>34</v>
      </c>
      <c r="I4644" s="8" t="s">
        <v>263</v>
      </c>
      <c r="J4644" s="9">
        <v>1</v>
      </c>
      <c r="K4644" s="9">
        <v>313</v>
      </c>
      <c r="L4644" s="9">
        <v>2025</v>
      </c>
      <c r="M4644" s="8" t="s">
        <v>26793</v>
      </c>
      <c r="N4644" s="8" t="s">
        <v>37</v>
      </c>
      <c r="O4644" s="8" t="s">
        <v>499</v>
      </c>
      <c r="P4644" s="6" t="s">
        <v>51</v>
      </c>
      <c r="Q4644" s="8" t="s">
        <v>265</v>
      </c>
      <c r="R4644" s="10" t="s">
        <v>2200</v>
      </c>
      <c r="S4644" s="11" t="s">
        <v>26794</v>
      </c>
      <c r="T4644" s="6"/>
      <c r="U4644" s="15" t="str">
        <f>HYPERLINK("https://media.infra-m.ru/2169/2169213/cover/2169213.jpg", "Обложка")</f>
        <v>Обложка</v>
      </c>
      <c r="V4644" s="8" t="s">
        <v>227</v>
      </c>
      <c r="W4644" s="6"/>
      <c r="X4644" s="6"/>
      <c r="Y4644" s="6"/>
      <c r="Z4644" s="6" t="s">
        <v>267</v>
      </c>
      <c r="AA4644" s="6" t="s">
        <v>218</v>
      </c>
      <c r="AB4644" s="8"/>
      <c r="AC4644" s="27">
        <v>9785160153865</v>
      </c>
    </row>
    <row r="4645" spans="1:29" s="4" customFormat="1" ht="51.9" customHeight="1" x14ac:dyDescent="0.2">
      <c r="A4645" s="5">
        <v>0</v>
      </c>
      <c r="B4645" s="6" t="s">
        <v>26795</v>
      </c>
      <c r="C4645" s="7">
        <v>1732.8</v>
      </c>
      <c r="D4645" s="8" t="s">
        <v>26796</v>
      </c>
      <c r="E4645" s="8" t="s">
        <v>26791</v>
      </c>
      <c r="F4645" s="8" t="s">
        <v>26792</v>
      </c>
      <c r="G4645" s="6" t="s">
        <v>118</v>
      </c>
      <c r="H4645" s="6" t="s">
        <v>34</v>
      </c>
      <c r="I4645" s="8" t="s">
        <v>271</v>
      </c>
      <c r="J4645" s="9">
        <v>1</v>
      </c>
      <c r="K4645" s="9">
        <v>313</v>
      </c>
      <c r="L4645" s="9">
        <v>2024</v>
      </c>
      <c r="M4645" s="8" t="s">
        <v>26797</v>
      </c>
      <c r="N4645" s="8" t="s">
        <v>37</v>
      </c>
      <c r="O4645" s="8" t="s">
        <v>499</v>
      </c>
      <c r="P4645" s="6" t="s">
        <v>51</v>
      </c>
      <c r="Q4645" s="8" t="s">
        <v>52</v>
      </c>
      <c r="R4645" s="10" t="s">
        <v>26798</v>
      </c>
      <c r="S4645" s="11" t="s">
        <v>26799</v>
      </c>
      <c r="T4645" s="6"/>
      <c r="U4645" s="15" t="str">
        <f>HYPERLINK("https://media.infra-m.ru/2053/2053983/cover/2053983.jpg", "Обложка")</f>
        <v>Обложка</v>
      </c>
      <c r="V4645" s="8" t="s">
        <v>227</v>
      </c>
      <c r="W4645" s="6"/>
      <c r="X4645" s="6"/>
      <c r="Y4645" s="6"/>
      <c r="Z4645" s="6"/>
      <c r="AA4645" s="6" t="s">
        <v>3391</v>
      </c>
      <c r="AB4645" s="8"/>
      <c r="AC4645" s="27">
        <v>9785160036861</v>
      </c>
    </row>
    <row r="4646" spans="1:29" s="4" customFormat="1" ht="51.9" customHeight="1" x14ac:dyDescent="0.2">
      <c r="A4646" s="5">
        <v>0</v>
      </c>
      <c r="B4646" s="6" t="s">
        <v>26800</v>
      </c>
      <c r="C4646" s="7">
        <v>2308.8000000000002</v>
      </c>
      <c r="D4646" s="8" t="s">
        <v>26801</v>
      </c>
      <c r="E4646" s="8" t="s">
        <v>26802</v>
      </c>
      <c r="F4646" s="8" t="s">
        <v>26803</v>
      </c>
      <c r="G4646" s="6" t="s">
        <v>60</v>
      </c>
      <c r="H4646" s="6" t="s">
        <v>48</v>
      </c>
      <c r="I4646" s="8" t="s">
        <v>401</v>
      </c>
      <c r="J4646" s="9">
        <v>1</v>
      </c>
      <c r="K4646" s="9">
        <v>384</v>
      </c>
      <c r="L4646" s="9">
        <v>2024</v>
      </c>
      <c r="M4646" s="8" t="s">
        <v>26804</v>
      </c>
      <c r="N4646" s="8" t="s">
        <v>37</v>
      </c>
      <c r="O4646" s="8" t="s">
        <v>233</v>
      </c>
      <c r="P4646" s="6" t="s">
        <v>394</v>
      </c>
      <c r="Q4646" s="8" t="s">
        <v>265</v>
      </c>
      <c r="R4646" s="10" t="s">
        <v>26805</v>
      </c>
      <c r="S4646" s="11" t="s">
        <v>560</v>
      </c>
      <c r="T4646" s="6"/>
      <c r="U4646" s="15" t="str">
        <f>HYPERLINK("https://media.infra-m.ru/2165/2165114/cover/2165114.jpg", "Обложка")</f>
        <v>Обложка</v>
      </c>
      <c r="V4646" s="8" t="s">
        <v>10694</v>
      </c>
      <c r="W4646" s="6"/>
      <c r="X4646" s="6"/>
      <c r="Y4646" s="6"/>
      <c r="Z4646" s="6"/>
      <c r="AA4646" s="6" t="s">
        <v>1015</v>
      </c>
      <c r="AB4646" s="8"/>
      <c r="AC4646" s="27">
        <v>9785911343675</v>
      </c>
    </row>
    <row r="4647" spans="1:29" s="4" customFormat="1" ht="51.9" customHeight="1" x14ac:dyDescent="0.2">
      <c r="A4647" s="5">
        <v>0</v>
      </c>
      <c r="B4647" s="6" t="s">
        <v>26806</v>
      </c>
      <c r="C4647" s="7">
        <v>1432.8</v>
      </c>
      <c r="D4647" s="8" t="s">
        <v>26807</v>
      </c>
      <c r="E4647" s="8" t="s">
        <v>26808</v>
      </c>
      <c r="F4647" s="8" t="s">
        <v>26809</v>
      </c>
      <c r="G4647" s="6" t="s">
        <v>118</v>
      </c>
      <c r="H4647" s="6" t="s">
        <v>34</v>
      </c>
      <c r="I4647" s="8" t="s">
        <v>263</v>
      </c>
      <c r="J4647" s="9">
        <v>1</v>
      </c>
      <c r="K4647" s="9">
        <v>207</v>
      </c>
      <c r="L4647" s="9">
        <v>2026</v>
      </c>
      <c r="M4647" s="8" t="s">
        <v>26810</v>
      </c>
      <c r="N4647" s="8" t="s">
        <v>37</v>
      </c>
      <c r="O4647" s="8" t="s">
        <v>499</v>
      </c>
      <c r="P4647" s="6" t="s">
        <v>51</v>
      </c>
      <c r="Q4647" s="8" t="s">
        <v>265</v>
      </c>
      <c r="R4647" s="10" t="s">
        <v>2813</v>
      </c>
      <c r="S4647" s="11" t="s">
        <v>26811</v>
      </c>
      <c r="T4647" s="6"/>
      <c r="U4647" s="15" t="str">
        <f>HYPERLINK("https://media.infra-m.ru/2218/2218676/cover/2218676.jpg", "Обложка")</f>
        <v>Обложка</v>
      </c>
      <c r="V4647" s="8" t="s">
        <v>657</v>
      </c>
      <c r="W4647" s="6"/>
      <c r="X4647" s="6"/>
      <c r="Y4647" s="6"/>
      <c r="Z4647" s="6"/>
      <c r="AA4647" s="6" t="s">
        <v>248</v>
      </c>
      <c r="AB4647" s="8" t="s">
        <v>1418</v>
      </c>
      <c r="AC4647" s="27">
        <v>9785160140605</v>
      </c>
    </row>
    <row r="4648" spans="1:29" s="4" customFormat="1" ht="51.9" customHeight="1" x14ac:dyDescent="0.2">
      <c r="A4648" s="5">
        <v>0</v>
      </c>
      <c r="B4648" s="6" t="s">
        <v>26812</v>
      </c>
      <c r="C4648" s="7">
        <v>1168.8</v>
      </c>
      <c r="D4648" s="8" t="s">
        <v>26813</v>
      </c>
      <c r="E4648" s="8" t="s">
        <v>26814</v>
      </c>
      <c r="F4648" s="8" t="s">
        <v>26815</v>
      </c>
      <c r="G4648" s="6" t="s">
        <v>118</v>
      </c>
      <c r="H4648" s="6" t="s">
        <v>1042</v>
      </c>
      <c r="I4648" s="8" t="s">
        <v>263</v>
      </c>
      <c r="J4648" s="9">
        <v>1</v>
      </c>
      <c r="K4648" s="9">
        <v>176</v>
      </c>
      <c r="L4648" s="9">
        <v>2026</v>
      </c>
      <c r="M4648" s="8" t="s">
        <v>26816</v>
      </c>
      <c r="N4648" s="8" t="s">
        <v>37</v>
      </c>
      <c r="O4648" s="8" t="s">
        <v>280</v>
      </c>
      <c r="P4648" s="6" t="s">
        <v>51</v>
      </c>
      <c r="Q4648" s="8" t="s">
        <v>265</v>
      </c>
      <c r="R4648" s="10" t="s">
        <v>26817</v>
      </c>
      <c r="S4648" s="11" t="s">
        <v>4567</v>
      </c>
      <c r="T4648" s="6"/>
      <c r="U4648" s="15" t="str">
        <f>HYPERLINK("https://media.infra-m.ru/2232/2232521/cover/2232521.jpg", "Обложка")</f>
        <v>Обложка</v>
      </c>
      <c r="V4648" s="8" t="s">
        <v>717</v>
      </c>
      <c r="W4648" s="6"/>
      <c r="X4648" s="6"/>
      <c r="Y4648" s="6"/>
      <c r="Z4648" s="6"/>
      <c r="AA4648" s="6" t="s">
        <v>1506</v>
      </c>
      <c r="AB4648" s="8"/>
      <c r="AC4648" s="27">
        <v>9785819908587</v>
      </c>
    </row>
    <row r="4649" spans="1:29" s="4" customFormat="1" ht="42" customHeight="1" x14ac:dyDescent="0.2">
      <c r="A4649" s="5">
        <v>0</v>
      </c>
      <c r="B4649" s="6" t="s">
        <v>26818</v>
      </c>
      <c r="C4649" s="13">
        <v>724.8</v>
      </c>
      <c r="D4649" s="8" t="s">
        <v>26819</v>
      </c>
      <c r="E4649" s="8" t="s">
        <v>26820</v>
      </c>
      <c r="F4649" s="8" t="s">
        <v>26821</v>
      </c>
      <c r="G4649" s="6" t="s">
        <v>33</v>
      </c>
      <c r="H4649" s="6" t="s">
        <v>34</v>
      </c>
      <c r="I4649" s="8" t="s">
        <v>271</v>
      </c>
      <c r="J4649" s="9">
        <v>1</v>
      </c>
      <c r="K4649" s="9">
        <v>112</v>
      </c>
      <c r="L4649" s="9">
        <v>2026</v>
      </c>
      <c r="M4649" s="8" t="s">
        <v>26822</v>
      </c>
      <c r="N4649" s="8" t="s">
        <v>37</v>
      </c>
      <c r="O4649" s="8" t="s">
        <v>280</v>
      </c>
      <c r="P4649" s="6" t="s">
        <v>51</v>
      </c>
      <c r="Q4649" s="8" t="s">
        <v>52</v>
      </c>
      <c r="R4649" s="10" t="s">
        <v>2820</v>
      </c>
      <c r="S4649" s="11"/>
      <c r="T4649" s="6"/>
      <c r="U4649" s="15" t="str">
        <f>HYPERLINK("https://media.infra-m.ru/2253/2253959/cover/2253959.jpg", "Обложка")</f>
        <v>Обложка</v>
      </c>
      <c r="V4649" s="8" t="s">
        <v>4754</v>
      </c>
      <c r="W4649" s="6"/>
      <c r="X4649" s="6"/>
      <c r="Y4649" s="6"/>
      <c r="Z4649" s="6"/>
      <c r="AA4649" s="6" t="s">
        <v>274</v>
      </c>
      <c r="AB4649" s="8"/>
      <c r="AC4649" s="27">
        <v>9785160102337</v>
      </c>
    </row>
    <row r="4650" spans="1:29" s="4" customFormat="1" ht="51.9" customHeight="1" x14ac:dyDescent="0.2">
      <c r="A4650" s="5">
        <v>0</v>
      </c>
      <c r="B4650" s="6" t="s">
        <v>26823</v>
      </c>
      <c r="C4650" s="7">
        <v>3352.8</v>
      </c>
      <c r="D4650" s="8" t="s">
        <v>26824</v>
      </c>
      <c r="E4650" s="8" t="s">
        <v>26825</v>
      </c>
      <c r="F4650" s="8" t="s">
        <v>26826</v>
      </c>
      <c r="G4650" s="6" t="s">
        <v>60</v>
      </c>
      <c r="H4650" s="6" t="s">
        <v>1644</v>
      </c>
      <c r="I4650" s="8"/>
      <c r="J4650" s="9">
        <v>1</v>
      </c>
      <c r="K4650" s="9">
        <v>560</v>
      </c>
      <c r="L4650" s="9">
        <v>2025</v>
      </c>
      <c r="M4650" s="8" t="s">
        <v>26827</v>
      </c>
      <c r="N4650" s="8" t="s">
        <v>243</v>
      </c>
      <c r="O4650" s="8" t="s">
        <v>758</v>
      </c>
      <c r="P4650" s="6" t="s">
        <v>51</v>
      </c>
      <c r="Q4650" s="8" t="s">
        <v>52</v>
      </c>
      <c r="R4650" s="10" t="s">
        <v>26828</v>
      </c>
      <c r="S4650" s="11" t="s">
        <v>26829</v>
      </c>
      <c r="T4650" s="6"/>
      <c r="U4650" s="15" t="str">
        <f>HYPERLINK("https://media.infra-m.ru/2192/2192741/cover/2192741.jpg", "Обложка")</f>
        <v>Обложка</v>
      </c>
      <c r="V4650" s="8" t="s">
        <v>3787</v>
      </c>
      <c r="W4650" s="6"/>
      <c r="X4650" s="6"/>
      <c r="Y4650" s="6"/>
      <c r="Z4650" s="6"/>
      <c r="AA4650" s="6" t="s">
        <v>1047</v>
      </c>
      <c r="AB4650" s="8"/>
      <c r="AC4650" s="27">
        <v>9785977600606</v>
      </c>
    </row>
    <row r="4651" spans="1:29" s="4" customFormat="1" ht="51.9" customHeight="1" x14ac:dyDescent="0.2">
      <c r="A4651" s="5">
        <v>0</v>
      </c>
      <c r="B4651" s="6" t="s">
        <v>26830</v>
      </c>
      <c r="C4651" s="7">
        <v>1464</v>
      </c>
      <c r="D4651" s="8" t="s">
        <v>26831</v>
      </c>
      <c r="E4651" s="8" t="s">
        <v>26832</v>
      </c>
      <c r="F4651" s="8" t="s">
        <v>26833</v>
      </c>
      <c r="G4651" s="6" t="s">
        <v>118</v>
      </c>
      <c r="H4651" s="6" t="s">
        <v>34</v>
      </c>
      <c r="I4651" s="8" t="s">
        <v>271</v>
      </c>
      <c r="J4651" s="9">
        <v>1</v>
      </c>
      <c r="K4651" s="9">
        <v>270</v>
      </c>
      <c r="L4651" s="9">
        <v>2023</v>
      </c>
      <c r="M4651" s="8" t="s">
        <v>26834</v>
      </c>
      <c r="N4651" s="8" t="s">
        <v>37</v>
      </c>
      <c r="O4651" s="8" t="s">
        <v>280</v>
      </c>
      <c r="P4651" s="6" t="s">
        <v>306</v>
      </c>
      <c r="Q4651" s="8" t="s">
        <v>52</v>
      </c>
      <c r="R4651" s="10" t="s">
        <v>26835</v>
      </c>
      <c r="S4651" s="11" t="s">
        <v>26836</v>
      </c>
      <c r="T4651" s="6"/>
      <c r="U4651" s="15" t="str">
        <f>HYPERLINK("https://media.infra-m.ru/1913/1913855/cover/1913855.jpg", "Обложка")</f>
        <v>Обложка</v>
      </c>
      <c r="V4651" s="8" t="s">
        <v>1030</v>
      </c>
      <c r="W4651" s="6"/>
      <c r="X4651" s="6" t="s">
        <v>24</v>
      </c>
      <c r="Y4651" s="6"/>
      <c r="Z4651" s="6"/>
      <c r="AA4651" s="6" t="s">
        <v>779</v>
      </c>
      <c r="AB4651" s="8"/>
      <c r="AC4651" s="27">
        <v>9785160113302</v>
      </c>
    </row>
    <row r="4652" spans="1:29" s="4" customFormat="1" ht="42" customHeight="1" x14ac:dyDescent="0.2">
      <c r="A4652" s="5">
        <v>0</v>
      </c>
      <c r="B4652" s="6" t="s">
        <v>26837</v>
      </c>
      <c r="C4652" s="7">
        <v>1668</v>
      </c>
      <c r="D4652" s="8" t="s">
        <v>26838</v>
      </c>
      <c r="E4652" s="8" t="s">
        <v>26839</v>
      </c>
      <c r="F4652" s="8" t="s">
        <v>26840</v>
      </c>
      <c r="G4652" s="6" t="s">
        <v>60</v>
      </c>
      <c r="H4652" s="6" t="s">
        <v>34</v>
      </c>
      <c r="I4652" s="8" t="s">
        <v>3119</v>
      </c>
      <c r="J4652" s="9">
        <v>1</v>
      </c>
      <c r="K4652" s="9">
        <v>296</v>
      </c>
      <c r="L4652" s="9">
        <v>2023</v>
      </c>
      <c r="M4652" s="8" t="s">
        <v>26841</v>
      </c>
      <c r="N4652" s="8" t="s">
        <v>37</v>
      </c>
      <c r="O4652" s="8" t="s">
        <v>233</v>
      </c>
      <c r="P4652" s="6" t="s">
        <v>306</v>
      </c>
      <c r="Q4652" s="8" t="s">
        <v>52</v>
      </c>
      <c r="R4652" s="10" t="s">
        <v>26835</v>
      </c>
      <c r="S4652" s="11"/>
      <c r="T4652" s="6"/>
      <c r="U4652" s="15" t="str">
        <f>HYPERLINK("https://media.infra-m.ru/1984/1984951/cover/1984951.jpg", "Обложка")</f>
        <v>Обложка</v>
      </c>
      <c r="V4652" s="8" t="s">
        <v>1030</v>
      </c>
      <c r="W4652" s="6"/>
      <c r="X4652" s="6" t="s">
        <v>24</v>
      </c>
      <c r="Y4652" s="6"/>
      <c r="Z4652" s="6"/>
      <c r="AA4652" s="6" t="s">
        <v>1303</v>
      </c>
      <c r="AB4652" s="8"/>
      <c r="AC4652" s="27">
        <v>9785160183596</v>
      </c>
    </row>
    <row r="4653" spans="1:29" s="4" customFormat="1" ht="42" customHeight="1" x14ac:dyDescent="0.2">
      <c r="A4653" s="5">
        <v>0</v>
      </c>
      <c r="B4653" s="6" t="s">
        <v>26842</v>
      </c>
      <c r="C4653" s="7">
        <v>1116</v>
      </c>
      <c r="D4653" s="8" t="s">
        <v>26843</v>
      </c>
      <c r="E4653" s="8" t="s">
        <v>26844</v>
      </c>
      <c r="F4653" s="8" t="s">
        <v>26845</v>
      </c>
      <c r="G4653" s="6" t="s">
        <v>60</v>
      </c>
      <c r="H4653" s="6" t="s">
        <v>34</v>
      </c>
      <c r="I4653" s="8" t="s">
        <v>1248</v>
      </c>
      <c r="J4653" s="9">
        <v>1</v>
      </c>
      <c r="K4653" s="9">
        <v>196</v>
      </c>
      <c r="L4653" s="9">
        <v>2024</v>
      </c>
      <c r="M4653" s="8" t="s">
        <v>26846</v>
      </c>
      <c r="N4653" s="8" t="s">
        <v>37</v>
      </c>
      <c r="O4653" s="8" t="s">
        <v>136</v>
      </c>
      <c r="P4653" s="6" t="s">
        <v>51</v>
      </c>
      <c r="Q4653" s="8" t="s">
        <v>65</v>
      </c>
      <c r="R4653" s="10" t="s">
        <v>19712</v>
      </c>
      <c r="S4653" s="11"/>
      <c r="T4653" s="6"/>
      <c r="U4653" s="15" t="str">
        <f>HYPERLINK("https://media.infra-m.ru/2130/2130282/cover/2130282.jpg", "Обложка")</f>
        <v>Обложка</v>
      </c>
      <c r="V4653" s="8" t="s">
        <v>1083</v>
      </c>
      <c r="W4653" s="6"/>
      <c r="X4653" s="6"/>
      <c r="Y4653" s="6"/>
      <c r="Z4653" s="6"/>
      <c r="AA4653" s="6" t="s">
        <v>76</v>
      </c>
      <c r="AB4653" s="8"/>
      <c r="AC4653" s="27">
        <v>9785160195841</v>
      </c>
    </row>
    <row r="4654" spans="1:29" s="4" customFormat="1" ht="51.9" customHeight="1" x14ac:dyDescent="0.2">
      <c r="A4654" s="5">
        <v>0</v>
      </c>
      <c r="B4654" s="6" t="s">
        <v>26847</v>
      </c>
      <c r="C4654" s="7">
        <v>3528</v>
      </c>
      <c r="D4654" s="8" t="s">
        <v>26848</v>
      </c>
      <c r="E4654" s="8" t="s">
        <v>26849</v>
      </c>
      <c r="F4654" s="8" t="s">
        <v>26850</v>
      </c>
      <c r="G4654" s="6" t="s">
        <v>60</v>
      </c>
      <c r="H4654" s="6" t="s">
        <v>34</v>
      </c>
      <c r="I4654" s="8" t="s">
        <v>263</v>
      </c>
      <c r="J4654" s="9">
        <v>1</v>
      </c>
      <c r="K4654" s="9">
        <v>506</v>
      </c>
      <c r="L4654" s="9">
        <v>2026</v>
      </c>
      <c r="M4654" s="8" t="s">
        <v>26851</v>
      </c>
      <c r="N4654" s="8" t="s">
        <v>37</v>
      </c>
      <c r="O4654" s="8" t="s">
        <v>280</v>
      </c>
      <c r="P4654" s="6" t="s">
        <v>306</v>
      </c>
      <c r="Q4654" s="8" t="s">
        <v>265</v>
      </c>
      <c r="R4654" s="10" t="s">
        <v>26852</v>
      </c>
      <c r="S4654" s="11" t="s">
        <v>26853</v>
      </c>
      <c r="T4654" s="6"/>
      <c r="U4654" s="15" t="str">
        <f>HYPERLINK("https://media.infra-m.ru/2259/2259748/cover/2259748.jpg", "Обложка")</f>
        <v>Обложка</v>
      </c>
      <c r="V4654" s="8" t="s">
        <v>11774</v>
      </c>
      <c r="W4654" s="6"/>
      <c r="X4654" s="6" t="s">
        <v>24</v>
      </c>
      <c r="Y4654" s="6"/>
      <c r="Z4654" s="6" t="s">
        <v>267</v>
      </c>
      <c r="AA4654" s="6" t="s">
        <v>2230</v>
      </c>
      <c r="AB4654" s="8"/>
      <c r="AC4654" s="27">
        <v>9785160156125</v>
      </c>
    </row>
    <row r="4655" spans="1:29" s="4" customFormat="1" ht="51.9" customHeight="1" x14ac:dyDescent="0.2">
      <c r="A4655" s="5">
        <v>0</v>
      </c>
      <c r="B4655" s="6" t="s">
        <v>26854</v>
      </c>
      <c r="C4655" s="7">
        <v>1380</v>
      </c>
      <c r="D4655" s="8" t="s">
        <v>26855</v>
      </c>
      <c r="E4655" s="8" t="s">
        <v>26856</v>
      </c>
      <c r="F4655" s="8" t="s">
        <v>26857</v>
      </c>
      <c r="G4655" s="6" t="s">
        <v>118</v>
      </c>
      <c r="H4655" s="6" t="s">
        <v>34</v>
      </c>
      <c r="I4655" s="8" t="s">
        <v>263</v>
      </c>
      <c r="J4655" s="9">
        <v>1</v>
      </c>
      <c r="K4655" s="9">
        <v>216</v>
      </c>
      <c r="L4655" s="9">
        <v>2026</v>
      </c>
      <c r="M4655" s="8" t="s">
        <v>26858</v>
      </c>
      <c r="N4655" s="8" t="s">
        <v>243</v>
      </c>
      <c r="O4655" s="8" t="s">
        <v>758</v>
      </c>
      <c r="P4655" s="6" t="s">
        <v>51</v>
      </c>
      <c r="Q4655" s="8" t="s">
        <v>265</v>
      </c>
      <c r="R4655" s="10" t="s">
        <v>26859</v>
      </c>
      <c r="S4655" s="11" t="s">
        <v>26860</v>
      </c>
      <c r="T4655" s="6"/>
      <c r="U4655" s="15" t="str">
        <f>HYPERLINK("https://media.infra-m.ru/2213/2213145/cover/2213145.jpg", "Обложка")</f>
        <v>Обложка</v>
      </c>
      <c r="V4655" s="8" t="s">
        <v>4754</v>
      </c>
      <c r="W4655" s="6"/>
      <c r="X4655" s="6"/>
      <c r="Y4655" s="6"/>
      <c r="Z4655" s="6"/>
      <c r="AA4655" s="6" t="s">
        <v>157</v>
      </c>
      <c r="AB4655" s="8"/>
      <c r="AC4655" s="27">
        <v>9785160146508</v>
      </c>
    </row>
    <row r="4656" spans="1:29" s="4" customFormat="1" ht="51.9" customHeight="1" x14ac:dyDescent="0.2">
      <c r="A4656" s="5">
        <v>0</v>
      </c>
      <c r="B4656" s="6" t="s">
        <v>26861</v>
      </c>
      <c r="C4656" s="7">
        <v>2136</v>
      </c>
      <c r="D4656" s="8" t="s">
        <v>26862</v>
      </c>
      <c r="E4656" s="8" t="s">
        <v>26863</v>
      </c>
      <c r="F4656" s="8" t="s">
        <v>26833</v>
      </c>
      <c r="G4656" s="6" t="s">
        <v>118</v>
      </c>
      <c r="H4656" s="6" t="s">
        <v>34</v>
      </c>
      <c r="I4656" s="8" t="s">
        <v>253</v>
      </c>
      <c r="J4656" s="9">
        <v>1</v>
      </c>
      <c r="K4656" s="9">
        <v>307</v>
      </c>
      <c r="L4656" s="9">
        <v>2026</v>
      </c>
      <c r="M4656" s="8" t="s">
        <v>26864</v>
      </c>
      <c r="N4656" s="8" t="s">
        <v>37</v>
      </c>
      <c r="O4656" s="8" t="s">
        <v>233</v>
      </c>
      <c r="P4656" s="6" t="s">
        <v>51</v>
      </c>
      <c r="Q4656" s="8" t="s">
        <v>52</v>
      </c>
      <c r="R4656" s="10" t="s">
        <v>5837</v>
      </c>
      <c r="S4656" s="11" t="s">
        <v>26865</v>
      </c>
      <c r="T4656" s="6"/>
      <c r="U4656" s="15" t="str">
        <f>HYPERLINK("https://media.infra-m.ru/2262/2262024/cover/2262024.jpg", "Обложка")</f>
        <v>Обложка</v>
      </c>
      <c r="V4656" s="8" t="s">
        <v>1030</v>
      </c>
      <c r="W4656" s="6"/>
      <c r="X4656" s="6"/>
      <c r="Y4656" s="6"/>
      <c r="Z4656" s="6"/>
      <c r="AA4656" s="6" t="s">
        <v>86</v>
      </c>
      <c r="AB4656" s="8"/>
      <c r="AC4656" s="27">
        <v>9785160223193</v>
      </c>
    </row>
    <row r="4657" spans="1:29" s="4" customFormat="1" ht="51.9" customHeight="1" x14ac:dyDescent="0.2">
      <c r="A4657" s="5">
        <v>0</v>
      </c>
      <c r="B4657" s="6" t="s">
        <v>26866</v>
      </c>
      <c r="C4657" s="7">
        <v>2116.8000000000002</v>
      </c>
      <c r="D4657" s="8" t="s">
        <v>26867</v>
      </c>
      <c r="E4657" s="8" t="s">
        <v>26868</v>
      </c>
      <c r="F4657" s="8" t="s">
        <v>26869</v>
      </c>
      <c r="G4657" s="6" t="s">
        <v>60</v>
      </c>
      <c r="H4657" s="6" t="s">
        <v>34</v>
      </c>
      <c r="I4657" s="8" t="s">
        <v>271</v>
      </c>
      <c r="J4657" s="9">
        <v>1</v>
      </c>
      <c r="K4657" s="9">
        <v>321</v>
      </c>
      <c r="L4657" s="9">
        <v>2026</v>
      </c>
      <c r="M4657" s="8" t="s">
        <v>26870</v>
      </c>
      <c r="N4657" s="8" t="s">
        <v>37</v>
      </c>
      <c r="O4657" s="8" t="s">
        <v>233</v>
      </c>
      <c r="P4657" s="6" t="s">
        <v>51</v>
      </c>
      <c r="Q4657" s="8" t="s">
        <v>52</v>
      </c>
      <c r="R4657" s="10" t="s">
        <v>5837</v>
      </c>
      <c r="S4657" s="11" t="s">
        <v>14687</v>
      </c>
      <c r="T4657" s="6"/>
      <c r="U4657" s="15" t="str">
        <f>HYPERLINK("https://media.infra-m.ru/2239/2239149/cover/2239149.jpg", "Обложка")</f>
        <v>Обложка</v>
      </c>
      <c r="V4657" s="8" t="s">
        <v>15639</v>
      </c>
      <c r="W4657" s="6"/>
      <c r="X4657" s="6"/>
      <c r="Y4657" s="6"/>
      <c r="Z4657" s="6"/>
      <c r="AA4657" s="6" t="s">
        <v>430</v>
      </c>
      <c r="AB4657" s="8"/>
      <c r="AC4657" s="27">
        <v>9785160157108</v>
      </c>
    </row>
    <row r="4658" spans="1:29" s="4" customFormat="1" ht="42" customHeight="1" x14ac:dyDescent="0.2">
      <c r="A4658" s="5">
        <v>0</v>
      </c>
      <c r="B4658" s="6" t="s">
        <v>26871</v>
      </c>
      <c r="C4658" s="7">
        <v>3160.8</v>
      </c>
      <c r="D4658" s="8" t="s">
        <v>26872</v>
      </c>
      <c r="E4658" s="8" t="s">
        <v>26849</v>
      </c>
      <c r="F4658" s="8" t="s">
        <v>26850</v>
      </c>
      <c r="G4658" s="6" t="s">
        <v>118</v>
      </c>
      <c r="H4658" s="6" t="s">
        <v>34</v>
      </c>
      <c r="I4658" s="8" t="s">
        <v>271</v>
      </c>
      <c r="J4658" s="9">
        <v>1</v>
      </c>
      <c r="K4658" s="9">
        <v>506</v>
      </c>
      <c r="L4658" s="9">
        <v>2026</v>
      </c>
      <c r="M4658" s="8" t="s">
        <v>26873</v>
      </c>
      <c r="N4658" s="8" t="s">
        <v>37</v>
      </c>
      <c r="O4658" s="8" t="s">
        <v>280</v>
      </c>
      <c r="P4658" s="6" t="s">
        <v>306</v>
      </c>
      <c r="Q4658" s="8" t="s">
        <v>52</v>
      </c>
      <c r="R4658" s="10" t="s">
        <v>26874</v>
      </c>
      <c r="S4658" s="11"/>
      <c r="T4658" s="6"/>
      <c r="U4658" s="15" t="str">
        <f>HYPERLINK("https://media.infra-m.ru/2223/2223645/cover/2223645.jpg", "Обложка")</f>
        <v>Обложка</v>
      </c>
      <c r="V4658" s="8" t="s">
        <v>11774</v>
      </c>
      <c r="W4658" s="6"/>
      <c r="X4658" s="6" t="s">
        <v>24</v>
      </c>
      <c r="Y4658" s="6"/>
      <c r="Z4658" s="6"/>
      <c r="AA4658" s="6" t="s">
        <v>11623</v>
      </c>
      <c r="AB4658" s="8"/>
      <c r="AC4658" s="27">
        <v>9785160043319</v>
      </c>
    </row>
    <row r="4659" spans="1:29" s="4" customFormat="1" ht="51.9" customHeight="1" x14ac:dyDescent="0.2">
      <c r="A4659" s="5">
        <v>0</v>
      </c>
      <c r="B4659" s="6" t="s">
        <v>26875</v>
      </c>
      <c r="C4659" s="7">
        <v>1781.9</v>
      </c>
      <c r="D4659" s="8" t="s">
        <v>26876</v>
      </c>
      <c r="E4659" s="8" t="s">
        <v>26877</v>
      </c>
      <c r="F4659" s="8" t="s">
        <v>26878</v>
      </c>
      <c r="G4659" s="6" t="s">
        <v>60</v>
      </c>
      <c r="H4659" s="6" t="s">
        <v>34</v>
      </c>
      <c r="I4659" s="8" t="s">
        <v>271</v>
      </c>
      <c r="J4659" s="9">
        <v>1</v>
      </c>
      <c r="K4659" s="9">
        <v>331</v>
      </c>
      <c r="L4659" s="9">
        <v>2023</v>
      </c>
      <c r="M4659" s="8" t="s">
        <v>26879</v>
      </c>
      <c r="N4659" s="8" t="s">
        <v>37</v>
      </c>
      <c r="O4659" s="8" t="s">
        <v>280</v>
      </c>
      <c r="P4659" s="6" t="s">
        <v>51</v>
      </c>
      <c r="Q4659" s="8" t="s">
        <v>52</v>
      </c>
      <c r="R4659" s="10" t="s">
        <v>26880</v>
      </c>
      <c r="S4659" s="11" t="s">
        <v>26881</v>
      </c>
      <c r="T4659" s="6"/>
      <c r="U4659" s="15" t="str">
        <f>HYPERLINK("https://media.infra-m.ru/1894/1894617/cover/1894617.jpg", "Обложка")</f>
        <v>Обложка</v>
      </c>
      <c r="V4659" s="8" t="s">
        <v>396</v>
      </c>
      <c r="W4659" s="6"/>
      <c r="X4659" s="6"/>
      <c r="Y4659" s="6"/>
      <c r="Z4659" s="6"/>
      <c r="AA4659" s="6" t="s">
        <v>949</v>
      </c>
      <c r="AB4659" s="8"/>
      <c r="AC4659" s="27">
        <v>9785160112107</v>
      </c>
    </row>
    <row r="4660" spans="1:29" s="4" customFormat="1" ht="51.9" customHeight="1" x14ac:dyDescent="0.2">
      <c r="A4660" s="5">
        <v>0</v>
      </c>
      <c r="B4660" s="6" t="s">
        <v>26882</v>
      </c>
      <c r="C4660" s="7">
        <v>2328</v>
      </c>
      <c r="D4660" s="8" t="s">
        <v>26883</v>
      </c>
      <c r="E4660" s="8" t="s">
        <v>26877</v>
      </c>
      <c r="F4660" s="8" t="s">
        <v>26884</v>
      </c>
      <c r="G4660" s="6" t="s">
        <v>118</v>
      </c>
      <c r="H4660" s="6" t="s">
        <v>34</v>
      </c>
      <c r="I4660" s="8" t="s">
        <v>253</v>
      </c>
      <c r="J4660" s="9">
        <v>1</v>
      </c>
      <c r="K4660" s="9">
        <v>352</v>
      </c>
      <c r="L4660" s="9">
        <v>2026</v>
      </c>
      <c r="M4660" s="8" t="s">
        <v>26885</v>
      </c>
      <c r="N4660" s="8" t="s">
        <v>37</v>
      </c>
      <c r="O4660" s="8" t="s">
        <v>280</v>
      </c>
      <c r="P4660" s="6" t="s">
        <v>306</v>
      </c>
      <c r="Q4660" s="8" t="s">
        <v>52</v>
      </c>
      <c r="R4660" s="10" t="s">
        <v>26886</v>
      </c>
      <c r="S4660" s="11" t="s">
        <v>26887</v>
      </c>
      <c r="T4660" s="6"/>
      <c r="U4660" s="15" t="str">
        <f>HYPERLINK("https://media.infra-m.ru/2248/2248488/cover/2248488.jpg", "Обложка")</f>
        <v>Обложка</v>
      </c>
      <c r="V4660" s="8" t="s">
        <v>1505</v>
      </c>
      <c r="W4660" s="6"/>
      <c r="X4660" s="6" t="s">
        <v>24</v>
      </c>
      <c r="Y4660" s="6"/>
      <c r="Z4660" s="6"/>
      <c r="AA4660" s="6" t="s">
        <v>1047</v>
      </c>
      <c r="AB4660" s="8"/>
      <c r="AC4660" s="27">
        <v>9785160220437</v>
      </c>
    </row>
    <row r="4661" spans="1:29" s="4" customFormat="1" ht="51.9" customHeight="1" x14ac:dyDescent="0.2">
      <c r="A4661" s="5">
        <v>0</v>
      </c>
      <c r="B4661" s="6" t="s">
        <v>26888</v>
      </c>
      <c r="C4661" s="7">
        <v>1108.8</v>
      </c>
      <c r="D4661" s="8" t="s">
        <v>26889</v>
      </c>
      <c r="E4661" s="8" t="s">
        <v>26890</v>
      </c>
      <c r="F4661" s="8" t="s">
        <v>26891</v>
      </c>
      <c r="G4661" s="6" t="s">
        <v>33</v>
      </c>
      <c r="H4661" s="6" t="s">
        <v>241</v>
      </c>
      <c r="I4661" s="8"/>
      <c r="J4661" s="9">
        <v>1</v>
      </c>
      <c r="K4661" s="9">
        <v>144</v>
      </c>
      <c r="L4661" s="9">
        <v>2026</v>
      </c>
      <c r="M4661" s="8" t="s">
        <v>26892</v>
      </c>
      <c r="N4661" s="8" t="s">
        <v>37</v>
      </c>
      <c r="O4661" s="8" t="s">
        <v>280</v>
      </c>
      <c r="P4661" s="6" t="s">
        <v>51</v>
      </c>
      <c r="Q4661" s="8" t="s">
        <v>52</v>
      </c>
      <c r="R4661" s="10" t="s">
        <v>26893</v>
      </c>
      <c r="S4661" s="11" t="s">
        <v>26894</v>
      </c>
      <c r="T4661" s="6"/>
      <c r="U4661" s="15" t="str">
        <f>HYPERLINK("https://media.infra-m.ru/2251/2251474/cover/2251474.jpg", "Обложка")</f>
        <v>Обложка</v>
      </c>
      <c r="V4661" s="8" t="s">
        <v>26895</v>
      </c>
      <c r="W4661" s="6"/>
      <c r="X4661" s="6"/>
      <c r="Y4661" s="6"/>
      <c r="Z4661" s="6"/>
      <c r="AA4661" s="6" t="s">
        <v>274</v>
      </c>
      <c r="AB4661" s="8"/>
      <c r="AC4661" s="27">
        <v>9785955804231</v>
      </c>
    </row>
    <row r="4662" spans="1:29" s="4" customFormat="1" ht="51.9" customHeight="1" x14ac:dyDescent="0.2">
      <c r="A4662" s="5">
        <v>0</v>
      </c>
      <c r="B4662" s="6" t="s">
        <v>26896</v>
      </c>
      <c r="C4662" s="7">
        <v>2628</v>
      </c>
      <c r="D4662" s="8" t="s">
        <v>26897</v>
      </c>
      <c r="E4662" s="8" t="s">
        <v>26898</v>
      </c>
      <c r="F4662" s="8" t="s">
        <v>26899</v>
      </c>
      <c r="G4662" s="6" t="s">
        <v>118</v>
      </c>
      <c r="H4662" s="6" t="s">
        <v>34</v>
      </c>
      <c r="I4662" s="8" t="s">
        <v>253</v>
      </c>
      <c r="J4662" s="9">
        <v>1</v>
      </c>
      <c r="K4662" s="9">
        <v>377</v>
      </c>
      <c r="L4662" s="9">
        <v>2027</v>
      </c>
      <c r="M4662" s="8" t="s">
        <v>26900</v>
      </c>
      <c r="N4662" s="8" t="s">
        <v>37</v>
      </c>
      <c r="O4662" s="8" t="s">
        <v>280</v>
      </c>
      <c r="P4662" s="6" t="s">
        <v>306</v>
      </c>
      <c r="Q4662" s="8" t="s">
        <v>65</v>
      </c>
      <c r="R4662" s="10" t="s">
        <v>357</v>
      </c>
      <c r="S4662" s="11" t="s">
        <v>26901</v>
      </c>
      <c r="T4662" s="6"/>
      <c r="U4662" s="15" t="str">
        <f>HYPERLINK("https://media.infra-m.ru/2267/2267155/cover/2267155.jpg", "Обложка")</f>
        <v>Обложка</v>
      </c>
      <c r="V4662" s="8" t="s">
        <v>7509</v>
      </c>
      <c r="W4662" s="6"/>
      <c r="X4662" s="6"/>
      <c r="Y4662" s="6"/>
      <c r="Z4662" s="6"/>
      <c r="AA4662" s="6" t="s">
        <v>561</v>
      </c>
      <c r="AB4662" s="8"/>
      <c r="AC4662" s="27">
        <v>9785160184302</v>
      </c>
    </row>
    <row r="4663" spans="1:29" s="4" customFormat="1" ht="51.9" customHeight="1" x14ac:dyDescent="0.2">
      <c r="A4663" s="5">
        <v>0</v>
      </c>
      <c r="B4663" s="6" t="s">
        <v>26902</v>
      </c>
      <c r="C4663" s="7">
        <v>3592.8</v>
      </c>
      <c r="D4663" s="8" t="s">
        <v>26903</v>
      </c>
      <c r="E4663" s="8" t="s">
        <v>26904</v>
      </c>
      <c r="F4663" s="8" t="s">
        <v>26905</v>
      </c>
      <c r="G4663" s="6" t="s">
        <v>60</v>
      </c>
      <c r="H4663" s="6" t="s">
        <v>34</v>
      </c>
      <c r="I4663" s="8" t="s">
        <v>271</v>
      </c>
      <c r="J4663" s="9">
        <v>1</v>
      </c>
      <c r="K4663" s="9">
        <v>544</v>
      </c>
      <c r="L4663" s="9">
        <v>2026</v>
      </c>
      <c r="M4663" s="8" t="s">
        <v>26906</v>
      </c>
      <c r="N4663" s="8" t="s">
        <v>37</v>
      </c>
      <c r="O4663" s="8" t="s">
        <v>280</v>
      </c>
      <c r="P4663" s="6" t="s">
        <v>306</v>
      </c>
      <c r="Q4663" s="8" t="s">
        <v>52</v>
      </c>
      <c r="R4663" s="10" t="s">
        <v>5260</v>
      </c>
      <c r="S4663" s="11" t="s">
        <v>26907</v>
      </c>
      <c r="T4663" s="6"/>
      <c r="U4663" s="15" t="str">
        <f>HYPERLINK("https://media.infra-m.ru/2227/2227027/cover/2227027.jpg", "Обложка")</f>
        <v>Обложка</v>
      </c>
      <c r="V4663" s="8" t="s">
        <v>2398</v>
      </c>
      <c r="W4663" s="6"/>
      <c r="X4663" s="6"/>
      <c r="Y4663" s="6"/>
      <c r="Z4663" s="6"/>
      <c r="AA4663" s="6" t="s">
        <v>2189</v>
      </c>
      <c r="AB4663" s="8"/>
      <c r="AC4663" s="27">
        <v>9785160028323</v>
      </c>
    </row>
    <row r="4664" spans="1:29" s="4" customFormat="1" ht="42" customHeight="1" x14ac:dyDescent="0.2">
      <c r="A4664" s="5">
        <v>0</v>
      </c>
      <c r="B4664" s="6" t="s">
        <v>26908</v>
      </c>
      <c r="C4664" s="7">
        <v>1972.8</v>
      </c>
      <c r="D4664" s="8" t="s">
        <v>26909</v>
      </c>
      <c r="E4664" s="8" t="s">
        <v>26910</v>
      </c>
      <c r="F4664" s="8" t="s">
        <v>9854</v>
      </c>
      <c r="G4664" s="6" t="s">
        <v>118</v>
      </c>
      <c r="H4664" s="6" t="s">
        <v>313</v>
      </c>
      <c r="I4664" s="8" t="s">
        <v>401</v>
      </c>
      <c r="J4664" s="9">
        <v>1</v>
      </c>
      <c r="K4664" s="9">
        <v>283</v>
      </c>
      <c r="L4664" s="9">
        <v>2026</v>
      </c>
      <c r="M4664" s="8" t="s">
        <v>26911</v>
      </c>
      <c r="N4664" s="8" t="s">
        <v>37</v>
      </c>
      <c r="O4664" s="8" t="s">
        <v>280</v>
      </c>
      <c r="P4664" s="6" t="s">
        <v>51</v>
      </c>
      <c r="Q4664" s="8" t="s">
        <v>265</v>
      </c>
      <c r="R4664" s="10" t="s">
        <v>26912</v>
      </c>
      <c r="S4664" s="11"/>
      <c r="T4664" s="6"/>
      <c r="U4664" s="15" t="str">
        <f>HYPERLINK("https://media.infra-m.ru/2256/2256401/cover/2256401.jpg", "Обложка")</f>
        <v>Обложка</v>
      </c>
      <c r="V4664" s="8" t="s">
        <v>9565</v>
      </c>
      <c r="W4664" s="6"/>
      <c r="X4664" s="6"/>
      <c r="Y4664" s="6"/>
      <c r="Z4664" s="6" t="s">
        <v>267</v>
      </c>
      <c r="AA4664" s="6" t="s">
        <v>1256</v>
      </c>
      <c r="AB4664" s="8"/>
      <c r="AC4664" s="27">
        <v>9785369018248</v>
      </c>
    </row>
    <row r="4665" spans="1:29" s="4" customFormat="1" ht="51.9" customHeight="1" x14ac:dyDescent="0.2">
      <c r="A4665" s="5">
        <v>0</v>
      </c>
      <c r="B4665" s="6" t="s">
        <v>26913</v>
      </c>
      <c r="C4665" s="7">
        <v>1864.8</v>
      </c>
      <c r="D4665" s="8" t="s">
        <v>26914</v>
      </c>
      <c r="E4665" s="8" t="s">
        <v>26910</v>
      </c>
      <c r="F4665" s="8" t="s">
        <v>9854</v>
      </c>
      <c r="G4665" s="6" t="s">
        <v>60</v>
      </c>
      <c r="H4665" s="6" t="s">
        <v>313</v>
      </c>
      <c r="I4665" s="8" t="s">
        <v>253</v>
      </c>
      <c r="J4665" s="9">
        <v>1</v>
      </c>
      <c r="K4665" s="9">
        <v>283</v>
      </c>
      <c r="L4665" s="9">
        <v>2026</v>
      </c>
      <c r="M4665" s="8" t="s">
        <v>26915</v>
      </c>
      <c r="N4665" s="8" t="s">
        <v>37</v>
      </c>
      <c r="O4665" s="8" t="s">
        <v>280</v>
      </c>
      <c r="P4665" s="6" t="s">
        <v>51</v>
      </c>
      <c r="Q4665" s="8" t="s">
        <v>52</v>
      </c>
      <c r="R4665" s="10" t="s">
        <v>15414</v>
      </c>
      <c r="S4665" s="11" t="s">
        <v>26916</v>
      </c>
      <c r="T4665" s="6"/>
      <c r="U4665" s="15" t="str">
        <f>HYPERLINK("https://media.infra-m.ru/2253/2253662/cover/2253662.jpg", "Обложка")</f>
        <v>Обложка</v>
      </c>
      <c r="V4665" s="8" t="s">
        <v>9565</v>
      </c>
      <c r="W4665" s="6"/>
      <c r="X4665" s="6"/>
      <c r="Y4665" s="6"/>
      <c r="Z4665" s="6"/>
      <c r="AA4665" s="6" t="s">
        <v>248</v>
      </c>
      <c r="AB4665" s="8"/>
      <c r="AC4665" s="27">
        <v>9785369012246</v>
      </c>
    </row>
    <row r="4666" spans="1:29" s="4" customFormat="1" ht="42" customHeight="1" x14ac:dyDescent="0.2">
      <c r="A4666" s="5">
        <v>0</v>
      </c>
      <c r="B4666" s="6" t="s">
        <v>26917</v>
      </c>
      <c r="C4666" s="13">
        <v>972</v>
      </c>
      <c r="D4666" s="8" t="s">
        <v>26918</v>
      </c>
      <c r="E4666" s="8" t="s">
        <v>26919</v>
      </c>
      <c r="F4666" s="8" t="s">
        <v>26920</v>
      </c>
      <c r="G4666" s="6" t="s">
        <v>33</v>
      </c>
      <c r="H4666" s="6" t="s">
        <v>34</v>
      </c>
      <c r="I4666" s="8" t="s">
        <v>35</v>
      </c>
      <c r="J4666" s="9">
        <v>1</v>
      </c>
      <c r="K4666" s="9">
        <v>167</v>
      </c>
      <c r="L4666" s="9">
        <v>2023</v>
      </c>
      <c r="M4666" s="8" t="s">
        <v>26921</v>
      </c>
      <c r="N4666" s="8" t="s">
        <v>93</v>
      </c>
      <c r="O4666" s="8" t="s">
        <v>94</v>
      </c>
      <c r="P4666" s="6" t="s">
        <v>39</v>
      </c>
      <c r="Q4666" s="8" t="s">
        <v>40</v>
      </c>
      <c r="R4666" s="10" t="s">
        <v>26922</v>
      </c>
      <c r="S4666" s="11"/>
      <c r="T4666" s="6"/>
      <c r="U4666" s="15" t="str">
        <f>HYPERLINK("https://media.infra-m.ru/1897/1897148/cover/1897148.jpg", "Обложка")</f>
        <v>Обложка</v>
      </c>
      <c r="V4666" s="8" t="s">
        <v>227</v>
      </c>
      <c r="W4666" s="6"/>
      <c r="X4666" s="6"/>
      <c r="Y4666" s="6"/>
      <c r="Z4666" s="6"/>
      <c r="AA4666" s="6" t="s">
        <v>157</v>
      </c>
      <c r="AB4666" s="8"/>
      <c r="AC4666" s="27">
        <v>9785160179179</v>
      </c>
    </row>
    <row r="4667" spans="1:29" s="4" customFormat="1" ht="51.9" customHeight="1" x14ac:dyDescent="0.2">
      <c r="A4667" s="5">
        <v>0</v>
      </c>
      <c r="B4667" s="6" t="s">
        <v>26923</v>
      </c>
      <c r="C4667" s="7">
        <v>1824</v>
      </c>
      <c r="D4667" s="8" t="s">
        <v>26924</v>
      </c>
      <c r="E4667" s="8" t="s">
        <v>26925</v>
      </c>
      <c r="F4667" s="8" t="s">
        <v>26926</v>
      </c>
      <c r="G4667" s="6" t="s">
        <v>118</v>
      </c>
      <c r="H4667" s="6" t="s">
        <v>34</v>
      </c>
      <c r="I4667" s="8" t="s">
        <v>263</v>
      </c>
      <c r="J4667" s="9">
        <v>1</v>
      </c>
      <c r="K4667" s="9">
        <v>303</v>
      </c>
      <c r="L4667" s="9">
        <v>2025</v>
      </c>
      <c r="M4667" s="8" t="s">
        <v>26927</v>
      </c>
      <c r="N4667" s="8" t="s">
        <v>243</v>
      </c>
      <c r="O4667" s="8" t="s">
        <v>758</v>
      </c>
      <c r="P4667" s="6" t="s">
        <v>51</v>
      </c>
      <c r="Q4667" s="8" t="s">
        <v>265</v>
      </c>
      <c r="R4667" s="10" t="s">
        <v>26928</v>
      </c>
      <c r="S4667" s="11"/>
      <c r="T4667" s="6"/>
      <c r="U4667" s="15" t="str">
        <f>HYPERLINK("https://media.infra-m.ru/2165/2165322/cover/2165322.jpg", "Обложка")</f>
        <v>Обложка</v>
      </c>
      <c r="V4667" s="8" t="s">
        <v>26929</v>
      </c>
      <c r="W4667" s="6"/>
      <c r="X4667" s="6"/>
      <c r="Y4667" s="6"/>
      <c r="Z4667" s="6"/>
      <c r="AA4667" s="6" t="s">
        <v>76</v>
      </c>
      <c r="AB4667" s="8" t="s">
        <v>2691</v>
      </c>
      <c r="AC4667" s="27">
        <v>9785160177571</v>
      </c>
    </row>
    <row r="4668" spans="1:29" s="4" customFormat="1" ht="42" customHeight="1" x14ac:dyDescent="0.2">
      <c r="A4668" s="5">
        <v>0</v>
      </c>
      <c r="B4668" s="6" t="s">
        <v>26930</v>
      </c>
      <c r="C4668" s="7">
        <v>1152</v>
      </c>
      <c r="D4668" s="8" t="s">
        <v>26931</v>
      </c>
      <c r="E4668" s="8" t="s">
        <v>26932</v>
      </c>
      <c r="F4668" s="8" t="s">
        <v>26933</v>
      </c>
      <c r="G4668" s="6" t="s">
        <v>60</v>
      </c>
      <c r="H4668" s="6" t="s">
        <v>34</v>
      </c>
      <c r="I4668" s="8" t="s">
        <v>263</v>
      </c>
      <c r="J4668" s="9">
        <v>1</v>
      </c>
      <c r="K4668" s="9">
        <v>178</v>
      </c>
      <c r="L4668" s="9">
        <v>2025</v>
      </c>
      <c r="M4668" s="8" t="s">
        <v>26934</v>
      </c>
      <c r="N4668" s="8" t="s">
        <v>243</v>
      </c>
      <c r="O4668" s="8" t="s">
        <v>758</v>
      </c>
      <c r="P4668" s="6" t="s">
        <v>51</v>
      </c>
      <c r="Q4668" s="8" t="s">
        <v>265</v>
      </c>
      <c r="R4668" s="10" t="s">
        <v>26935</v>
      </c>
      <c r="S4668" s="11"/>
      <c r="T4668" s="6"/>
      <c r="U4668" s="15" t="str">
        <f>HYPERLINK("https://media.infra-m.ru/1913/1913587/cover/1913587.jpg", "Обложка")</f>
        <v>Обложка</v>
      </c>
      <c r="V4668" s="8" t="s">
        <v>2475</v>
      </c>
      <c r="W4668" s="6"/>
      <c r="X4668" s="6"/>
      <c r="Y4668" s="6"/>
      <c r="Z4668" s="6"/>
      <c r="AA4668" s="6" t="s">
        <v>68</v>
      </c>
      <c r="AB4668" s="8" t="s">
        <v>17125</v>
      </c>
      <c r="AC4668" s="27">
        <v>9785160181516</v>
      </c>
    </row>
    <row r="4669" spans="1:29" s="4" customFormat="1" ht="51.9" customHeight="1" x14ac:dyDescent="0.2">
      <c r="A4669" s="5">
        <v>0</v>
      </c>
      <c r="B4669" s="6" t="s">
        <v>26936</v>
      </c>
      <c r="C4669" s="7">
        <v>1224</v>
      </c>
      <c r="D4669" s="8" t="s">
        <v>26937</v>
      </c>
      <c r="E4669" s="8" t="s">
        <v>26938</v>
      </c>
      <c r="F4669" s="8" t="s">
        <v>26939</v>
      </c>
      <c r="G4669" s="6" t="s">
        <v>118</v>
      </c>
      <c r="H4669" s="6" t="s">
        <v>34</v>
      </c>
      <c r="I4669" s="8" t="s">
        <v>263</v>
      </c>
      <c r="J4669" s="9">
        <v>1</v>
      </c>
      <c r="K4669" s="9">
        <v>269</v>
      </c>
      <c r="L4669" s="9">
        <v>2022</v>
      </c>
      <c r="M4669" s="8" t="s">
        <v>26940</v>
      </c>
      <c r="N4669" s="8" t="s">
        <v>37</v>
      </c>
      <c r="O4669" s="8" t="s">
        <v>136</v>
      </c>
      <c r="P4669" s="6" t="s">
        <v>51</v>
      </c>
      <c r="Q4669" s="8" t="s">
        <v>265</v>
      </c>
      <c r="R4669" s="10" t="s">
        <v>14193</v>
      </c>
      <c r="S4669" s="11" t="s">
        <v>26941</v>
      </c>
      <c r="T4669" s="6"/>
      <c r="U4669" s="15" t="str">
        <f>HYPERLINK("https://media.infra-m.ru/1862/1862646/cover/1862646.jpg", "Обложка")</f>
        <v>Обложка</v>
      </c>
      <c r="V4669" s="8" t="s">
        <v>5087</v>
      </c>
      <c r="W4669" s="6"/>
      <c r="X4669" s="6"/>
      <c r="Y4669" s="6"/>
      <c r="Z4669" s="6"/>
      <c r="AA4669" s="6" t="s">
        <v>430</v>
      </c>
      <c r="AB4669" s="8"/>
      <c r="AC4669" s="27">
        <v>9785160159690</v>
      </c>
    </row>
    <row r="4670" spans="1:29" s="4" customFormat="1" ht="44.1" customHeight="1" x14ac:dyDescent="0.2">
      <c r="A4670" s="5">
        <v>0</v>
      </c>
      <c r="B4670" s="6" t="s">
        <v>26942</v>
      </c>
      <c r="C4670" s="7">
        <v>1548</v>
      </c>
      <c r="D4670" s="8" t="s">
        <v>26943</v>
      </c>
      <c r="E4670" s="8" t="s">
        <v>26944</v>
      </c>
      <c r="F4670" s="8" t="s">
        <v>26945</v>
      </c>
      <c r="G4670" s="6" t="s">
        <v>118</v>
      </c>
      <c r="H4670" s="6" t="s">
        <v>34</v>
      </c>
      <c r="I4670" s="8" t="s">
        <v>263</v>
      </c>
      <c r="J4670" s="9">
        <v>1</v>
      </c>
      <c r="K4670" s="9">
        <v>235</v>
      </c>
      <c r="L4670" s="9">
        <v>2026</v>
      </c>
      <c r="M4670" s="8" t="s">
        <v>26946</v>
      </c>
      <c r="N4670" s="8" t="s">
        <v>243</v>
      </c>
      <c r="O4670" s="8" t="s">
        <v>798</v>
      </c>
      <c r="P4670" s="6" t="s">
        <v>306</v>
      </c>
      <c r="Q4670" s="8" t="s">
        <v>265</v>
      </c>
      <c r="R4670" s="10" t="s">
        <v>26947</v>
      </c>
      <c r="S4670" s="11"/>
      <c r="T4670" s="6"/>
      <c r="U4670" s="15" t="str">
        <f>HYPERLINK("https://media.infra-m.ru/2225/2225675/cover/2225675.jpg", "Обложка")</f>
        <v>Обложка</v>
      </c>
      <c r="V4670" s="8" t="s">
        <v>9565</v>
      </c>
      <c r="W4670" s="6"/>
      <c r="X4670" s="6"/>
      <c r="Y4670" s="6"/>
      <c r="Z4670" s="6"/>
      <c r="AA4670" s="6" t="s">
        <v>76</v>
      </c>
      <c r="AB4670" s="8"/>
      <c r="AC4670" s="27">
        <v>9785160176239</v>
      </c>
    </row>
    <row r="4671" spans="1:29" s="4" customFormat="1" ht="51.9" customHeight="1" x14ac:dyDescent="0.2">
      <c r="A4671" s="5">
        <v>0</v>
      </c>
      <c r="B4671" s="6" t="s">
        <v>26948</v>
      </c>
      <c r="C4671" s="7">
        <v>1584</v>
      </c>
      <c r="D4671" s="8" t="s">
        <v>26949</v>
      </c>
      <c r="E4671" s="8" t="s">
        <v>26950</v>
      </c>
      <c r="F4671" s="8" t="s">
        <v>26951</v>
      </c>
      <c r="G4671" s="6" t="s">
        <v>118</v>
      </c>
      <c r="H4671" s="6" t="s">
        <v>34</v>
      </c>
      <c r="I4671" s="8" t="s">
        <v>263</v>
      </c>
      <c r="J4671" s="9">
        <v>1</v>
      </c>
      <c r="K4671" s="9">
        <v>346</v>
      </c>
      <c r="L4671" s="9">
        <v>2022</v>
      </c>
      <c r="M4671" s="8" t="s">
        <v>26952</v>
      </c>
      <c r="N4671" s="8" t="s">
        <v>37</v>
      </c>
      <c r="O4671" s="8" t="s">
        <v>83</v>
      </c>
      <c r="P4671" s="6" t="s">
        <v>306</v>
      </c>
      <c r="Q4671" s="8" t="s">
        <v>265</v>
      </c>
      <c r="R4671" s="10" t="s">
        <v>26953</v>
      </c>
      <c r="S4671" s="11" t="s">
        <v>26954</v>
      </c>
      <c r="T4671" s="6"/>
      <c r="U4671" s="15" t="str">
        <f>HYPERLINK("https://media.infra-m.ru/1864/1864106/cover/1864106.jpg", "Обложка")</f>
        <v>Обложка</v>
      </c>
      <c r="V4671" s="8" t="s">
        <v>1277</v>
      </c>
      <c r="W4671" s="6"/>
      <c r="X4671" s="6"/>
      <c r="Y4671" s="6"/>
      <c r="Z4671" s="6"/>
      <c r="AA4671" s="6" t="s">
        <v>430</v>
      </c>
      <c r="AB4671" s="8"/>
      <c r="AC4671" s="27">
        <v>9785160165011</v>
      </c>
    </row>
    <row r="4672" spans="1:29" s="4" customFormat="1" ht="51.9" customHeight="1" x14ac:dyDescent="0.2">
      <c r="A4672" s="5">
        <v>0</v>
      </c>
      <c r="B4672" s="6" t="s">
        <v>26955</v>
      </c>
      <c r="C4672" s="7">
        <v>2057.9</v>
      </c>
      <c r="D4672" s="8" t="s">
        <v>26956</v>
      </c>
      <c r="E4672" s="8" t="s">
        <v>26957</v>
      </c>
      <c r="F4672" s="8" t="s">
        <v>26958</v>
      </c>
      <c r="G4672" s="6" t="s">
        <v>118</v>
      </c>
      <c r="H4672" s="6" t="s">
        <v>34</v>
      </c>
      <c r="I4672" s="8" t="s">
        <v>271</v>
      </c>
      <c r="J4672" s="9">
        <v>1</v>
      </c>
      <c r="K4672" s="9">
        <v>381</v>
      </c>
      <c r="L4672" s="9">
        <v>2023</v>
      </c>
      <c r="M4672" s="8" t="s">
        <v>26959</v>
      </c>
      <c r="N4672" s="8" t="s">
        <v>37</v>
      </c>
      <c r="O4672" s="8" t="s">
        <v>499</v>
      </c>
      <c r="P4672" s="6" t="s">
        <v>306</v>
      </c>
      <c r="Q4672" s="8" t="s">
        <v>52</v>
      </c>
      <c r="R4672" s="10" t="s">
        <v>26960</v>
      </c>
      <c r="S4672" s="11" t="s">
        <v>26961</v>
      </c>
      <c r="T4672" s="6" t="s">
        <v>97</v>
      </c>
      <c r="U4672" s="15" t="str">
        <f>HYPERLINK("https://media.infra-m.ru/2001/2001629/cover/2001629.jpg", "Обложка")</f>
        <v>Обложка</v>
      </c>
      <c r="V4672" s="8" t="s">
        <v>396</v>
      </c>
      <c r="W4672" s="6"/>
      <c r="X4672" s="6"/>
      <c r="Y4672" s="6"/>
      <c r="Z4672" s="6"/>
      <c r="AA4672" s="6" t="s">
        <v>115</v>
      </c>
      <c r="AB4672" s="8"/>
      <c r="AC4672" s="27">
        <v>9785160135953</v>
      </c>
    </row>
    <row r="4673" spans="1:29" s="4" customFormat="1" ht="51.9" customHeight="1" x14ac:dyDescent="0.2">
      <c r="A4673" s="5">
        <v>0</v>
      </c>
      <c r="B4673" s="6" t="s">
        <v>26962</v>
      </c>
      <c r="C4673" s="7">
        <v>1332</v>
      </c>
      <c r="D4673" s="8" t="s">
        <v>26963</v>
      </c>
      <c r="E4673" s="8" t="s">
        <v>26964</v>
      </c>
      <c r="F4673" s="8" t="s">
        <v>26965</v>
      </c>
      <c r="G4673" s="6" t="s">
        <v>118</v>
      </c>
      <c r="H4673" s="6" t="s">
        <v>34</v>
      </c>
      <c r="I4673" s="8" t="s">
        <v>253</v>
      </c>
      <c r="J4673" s="9">
        <v>1</v>
      </c>
      <c r="K4673" s="9">
        <v>208</v>
      </c>
      <c r="L4673" s="9">
        <v>2026</v>
      </c>
      <c r="M4673" s="8" t="s">
        <v>26966</v>
      </c>
      <c r="N4673" s="8" t="s">
        <v>37</v>
      </c>
      <c r="O4673" s="8" t="s">
        <v>83</v>
      </c>
      <c r="P4673" s="6" t="s">
        <v>51</v>
      </c>
      <c r="Q4673" s="8" t="s">
        <v>65</v>
      </c>
      <c r="R4673" s="10" t="s">
        <v>26967</v>
      </c>
      <c r="S4673" s="11" t="s">
        <v>26968</v>
      </c>
      <c r="T4673" s="6"/>
      <c r="U4673" s="15" t="str">
        <f>HYPERLINK("https://media.infra-m.ru/2213/2213124/cover/2213124.jpg", "Обложка")</f>
        <v>Обложка</v>
      </c>
      <c r="V4673" s="8" t="s">
        <v>26969</v>
      </c>
      <c r="W4673" s="6"/>
      <c r="X4673" s="6"/>
      <c r="Y4673" s="6"/>
      <c r="Z4673" s="6"/>
      <c r="AA4673" s="6" t="s">
        <v>274</v>
      </c>
      <c r="AB4673" s="8"/>
      <c r="AC4673" s="27">
        <v>9785160188898</v>
      </c>
    </row>
    <row r="4674" spans="1:29" s="4" customFormat="1" ht="51.9" customHeight="1" x14ac:dyDescent="0.2">
      <c r="A4674" s="5">
        <v>0</v>
      </c>
      <c r="B4674" s="6" t="s">
        <v>26970</v>
      </c>
      <c r="C4674" s="7">
        <v>1668</v>
      </c>
      <c r="D4674" s="8" t="s">
        <v>26971</v>
      </c>
      <c r="E4674" s="8" t="s">
        <v>26972</v>
      </c>
      <c r="F4674" s="8" t="s">
        <v>26973</v>
      </c>
      <c r="G4674" s="6" t="s">
        <v>60</v>
      </c>
      <c r="H4674" s="6" t="s">
        <v>34</v>
      </c>
      <c r="I4674" s="8" t="s">
        <v>263</v>
      </c>
      <c r="J4674" s="9">
        <v>1</v>
      </c>
      <c r="K4674" s="9">
        <v>256</v>
      </c>
      <c r="L4674" s="9">
        <v>2025</v>
      </c>
      <c r="M4674" s="8" t="s">
        <v>26974</v>
      </c>
      <c r="N4674" s="8" t="s">
        <v>243</v>
      </c>
      <c r="O4674" s="8" t="s">
        <v>964</v>
      </c>
      <c r="P4674" s="6" t="s">
        <v>306</v>
      </c>
      <c r="Q4674" s="8" t="s">
        <v>265</v>
      </c>
      <c r="R4674" s="10" t="s">
        <v>9637</v>
      </c>
      <c r="S4674" s="11"/>
      <c r="T4674" s="6"/>
      <c r="U4674" s="15" t="str">
        <f>HYPERLINK("https://media.infra-m.ru/1039/1039153/cover/1039153.jpg", "Обложка")</f>
        <v>Обложка</v>
      </c>
      <c r="V4674" s="8" t="s">
        <v>26975</v>
      </c>
      <c r="W4674" s="6"/>
      <c r="X4674" s="6"/>
      <c r="Y4674" s="6"/>
      <c r="Z4674" s="6"/>
      <c r="AA4674" s="6" t="s">
        <v>68</v>
      </c>
      <c r="AB4674" s="8"/>
      <c r="AC4674" s="27">
        <v>9785160154992</v>
      </c>
    </row>
    <row r="4675" spans="1:29" s="4" customFormat="1" ht="51.9" customHeight="1" x14ac:dyDescent="0.2">
      <c r="A4675" s="5">
        <v>0</v>
      </c>
      <c r="B4675" s="6" t="s">
        <v>26976</v>
      </c>
      <c r="C4675" s="7">
        <v>2040</v>
      </c>
      <c r="D4675" s="8" t="s">
        <v>26977</v>
      </c>
      <c r="E4675" s="8" t="s">
        <v>26978</v>
      </c>
      <c r="F4675" s="8" t="s">
        <v>9040</v>
      </c>
      <c r="G4675" s="6" t="s">
        <v>118</v>
      </c>
      <c r="H4675" s="6" t="s">
        <v>34</v>
      </c>
      <c r="I4675" s="8" t="s">
        <v>263</v>
      </c>
      <c r="J4675" s="9">
        <v>1</v>
      </c>
      <c r="K4675" s="9">
        <v>309</v>
      </c>
      <c r="L4675" s="9">
        <v>2026</v>
      </c>
      <c r="M4675" s="8" t="s">
        <v>26979</v>
      </c>
      <c r="N4675" s="8" t="s">
        <v>37</v>
      </c>
      <c r="O4675" s="8" t="s">
        <v>233</v>
      </c>
      <c r="P4675" s="6" t="s">
        <v>51</v>
      </c>
      <c r="Q4675" s="8" t="s">
        <v>265</v>
      </c>
      <c r="R4675" s="10" t="s">
        <v>26980</v>
      </c>
      <c r="S4675" s="11" t="s">
        <v>26981</v>
      </c>
      <c r="T4675" s="6"/>
      <c r="U4675" s="15" t="str">
        <f>HYPERLINK("https://media.infra-m.ru/2216/2216295/cover/2216295.jpg", "Обложка")</f>
        <v>Обложка</v>
      </c>
      <c r="V4675" s="8" t="s">
        <v>227</v>
      </c>
      <c r="W4675" s="6"/>
      <c r="X4675" s="6" t="s">
        <v>24</v>
      </c>
      <c r="Y4675" s="6"/>
      <c r="Z4675" s="6"/>
      <c r="AA4675" s="6" t="s">
        <v>430</v>
      </c>
      <c r="AB4675" s="8" t="s">
        <v>3596</v>
      </c>
      <c r="AC4675" s="27">
        <v>9785160147574</v>
      </c>
    </row>
    <row r="4676" spans="1:29" s="4" customFormat="1" ht="51.9" customHeight="1" x14ac:dyDescent="0.2">
      <c r="A4676" s="5">
        <v>0</v>
      </c>
      <c r="B4676" s="6" t="s">
        <v>26982</v>
      </c>
      <c r="C4676" s="13">
        <v>696</v>
      </c>
      <c r="D4676" s="8" t="s">
        <v>26983</v>
      </c>
      <c r="E4676" s="8" t="s">
        <v>26984</v>
      </c>
      <c r="F4676" s="8" t="s">
        <v>26985</v>
      </c>
      <c r="G4676" s="6" t="s">
        <v>33</v>
      </c>
      <c r="H4676" s="6" t="s">
        <v>1042</v>
      </c>
      <c r="I4676" s="8" t="s">
        <v>253</v>
      </c>
      <c r="J4676" s="9">
        <v>1</v>
      </c>
      <c r="K4676" s="9">
        <v>120</v>
      </c>
      <c r="L4676" s="9">
        <v>2023</v>
      </c>
      <c r="M4676" s="8" t="s">
        <v>26986</v>
      </c>
      <c r="N4676" s="8" t="s">
        <v>37</v>
      </c>
      <c r="O4676" s="8" t="s">
        <v>499</v>
      </c>
      <c r="P4676" s="6" t="s">
        <v>51</v>
      </c>
      <c r="Q4676" s="8" t="s">
        <v>52</v>
      </c>
      <c r="R4676" s="10" t="s">
        <v>26987</v>
      </c>
      <c r="S4676" s="11" t="s">
        <v>26988</v>
      </c>
      <c r="T4676" s="6"/>
      <c r="U4676" s="15" t="str">
        <f>HYPERLINK("https://media.infra-m.ru/2126/2126633/cover/2126633.jpg", "Обложка")</f>
        <v>Обложка</v>
      </c>
      <c r="V4676" s="8" t="s">
        <v>396</v>
      </c>
      <c r="W4676" s="6"/>
      <c r="X4676" s="6"/>
      <c r="Y4676" s="6"/>
      <c r="Z4676" s="6"/>
      <c r="AA4676" s="6" t="s">
        <v>248</v>
      </c>
      <c r="AB4676" s="8"/>
      <c r="AC4676" s="27">
        <v>9785819909003</v>
      </c>
    </row>
    <row r="4677" spans="1:29" s="4" customFormat="1" ht="51.9" customHeight="1" x14ac:dyDescent="0.2">
      <c r="A4677" s="5">
        <v>0</v>
      </c>
      <c r="B4677" s="6" t="s">
        <v>26989</v>
      </c>
      <c r="C4677" s="7">
        <v>2788.8</v>
      </c>
      <c r="D4677" s="8" t="s">
        <v>26990</v>
      </c>
      <c r="E4677" s="8" t="s">
        <v>26991</v>
      </c>
      <c r="F4677" s="8" t="s">
        <v>26992</v>
      </c>
      <c r="G4677" s="6" t="s">
        <v>118</v>
      </c>
      <c r="H4677" s="6" t="s">
        <v>34</v>
      </c>
      <c r="I4677" s="8" t="s">
        <v>271</v>
      </c>
      <c r="J4677" s="9">
        <v>1</v>
      </c>
      <c r="K4677" s="9">
        <v>423</v>
      </c>
      <c r="L4677" s="9">
        <v>2026</v>
      </c>
      <c r="M4677" s="8" t="s">
        <v>26993</v>
      </c>
      <c r="N4677" s="8" t="s">
        <v>37</v>
      </c>
      <c r="O4677" s="8" t="s">
        <v>280</v>
      </c>
      <c r="P4677" s="6" t="s">
        <v>306</v>
      </c>
      <c r="Q4677" s="8" t="s">
        <v>52</v>
      </c>
      <c r="R4677" s="10" t="s">
        <v>26994</v>
      </c>
      <c r="S4677" s="11" t="s">
        <v>26995</v>
      </c>
      <c r="T4677" s="6"/>
      <c r="U4677" s="15" t="str">
        <f>HYPERLINK("https://media.infra-m.ru/2224/2224218/cover/2224218.jpg", "Обложка")</f>
        <v>Обложка</v>
      </c>
      <c r="V4677" s="8" t="s">
        <v>1030</v>
      </c>
      <c r="W4677" s="6"/>
      <c r="X4677" s="6"/>
      <c r="Y4677" s="6"/>
      <c r="Z4677" s="6"/>
      <c r="AA4677" s="6" t="s">
        <v>258</v>
      </c>
      <c r="AB4677" s="8"/>
      <c r="AC4677" s="27">
        <v>9785160157283</v>
      </c>
    </row>
    <row r="4678" spans="1:29" s="4" customFormat="1" ht="51.9" customHeight="1" x14ac:dyDescent="0.2">
      <c r="A4678" s="5">
        <v>0</v>
      </c>
      <c r="B4678" s="6" t="s">
        <v>26996</v>
      </c>
      <c r="C4678" s="7">
        <v>1908</v>
      </c>
      <c r="D4678" s="8" t="s">
        <v>26997</v>
      </c>
      <c r="E4678" s="8" t="s">
        <v>26998</v>
      </c>
      <c r="F4678" s="8" t="s">
        <v>26999</v>
      </c>
      <c r="G4678" s="6" t="s">
        <v>118</v>
      </c>
      <c r="H4678" s="6" t="s">
        <v>34</v>
      </c>
      <c r="I4678" s="8" t="s">
        <v>263</v>
      </c>
      <c r="J4678" s="9">
        <v>1</v>
      </c>
      <c r="K4678" s="9">
        <v>292</v>
      </c>
      <c r="L4678" s="9">
        <v>2026</v>
      </c>
      <c r="M4678" s="8" t="s">
        <v>27000</v>
      </c>
      <c r="N4678" s="8" t="s">
        <v>37</v>
      </c>
      <c r="O4678" s="8" t="s">
        <v>280</v>
      </c>
      <c r="P4678" s="6" t="s">
        <v>306</v>
      </c>
      <c r="Q4678" s="8" t="s">
        <v>265</v>
      </c>
      <c r="R4678" s="10" t="s">
        <v>27001</v>
      </c>
      <c r="S4678" s="11" t="s">
        <v>27002</v>
      </c>
      <c r="T4678" s="6" t="s">
        <v>97</v>
      </c>
      <c r="U4678" s="15" t="str">
        <f>HYPERLINK("https://media.infra-m.ru/2218/2218365/cover/2218365.jpg", "Обложка")</f>
        <v>Обложка</v>
      </c>
      <c r="V4678" s="8" t="s">
        <v>1030</v>
      </c>
      <c r="W4678" s="6"/>
      <c r="X4678" s="6"/>
      <c r="Y4678" s="6"/>
      <c r="Z4678" s="6" t="s">
        <v>267</v>
      </c>
      <c r="AA4678" s="6" t="s">
        <v>115</v>
      </c>
      <c r="AB4678" s="8"/>
      <c r="AC4678" s="27">
        <v>9785160145389</v>
      </c>
    </row>
    <row r="4679" spans="1:29" s="4" customFormat="1" ht="51.9" customHeight="1" x14ac:dyDescent="0.2">
      <c r="A4679" s="5">
        <v>0</v>
      </c>
      <c r="B4679" s="6" t="s">
        <v>27003</v>
      </c>
      <c r="C4679" s="7">
        <v>1116</v>
      </c>
      <c r="D4679" s="8" t="s">
        <v>27004</v>
      </c>
      <c r="E4679" s="8" t="s">
        <v>26998</v>
      </c>
      <c r="F4679" s="8" t="s">
        <v>26999</v>
      </c>
      <c r="G4679" s="6" t="s">
        <v>118</v>
      </c>
      <c r="H4679" s="6" t="s">
        <v>34</v>
      </c>
      <c r="I4679" s="8" t="s">
        <v>271</v>
      </c>
      <c r="J4679" s="9">
        <v>1</v>
      </c>
      <c r="K4679" s="9">
        <v>292</v>
      </c>
      <c r="L4679" s="9">
        <v>2019</v>
      </c>
      <c r="M4679" s="8" t="s">
        <v>27005</v>
      </c>
      <c r="N4679" s="8" t="s">
        <v>37</v>
      </c>
      <c r="O4679" s="8" t="s">
        <v>280</v>
      </c>
      <c r="P4679" s="6" t="s">
        <v>306</v>
      </c>
      <c r="Q4679" s="8" t="s">
        <v>52</v>
      </c>
      <c r="R4679" s="10" t="s">
        <v>26994</v>
      </c>
      <c r="S4679" s="11" t="s">
        <v>27006</v>
      </c>
      <c r="T4679" s="6" t="s">
        <v>97</v>
      </c>
      <c r="U4679" s="15" t="str">
        <f>HYPERLINK("https://media.infra-m.ru/0989/0989360/cover/989360.jpg", "Обложка")</f>
        <v>Обложка</v>
      </c>
      <c r="V4679" s="8" t="s">
        <v>1030</v>
      </c>
      <c r="W4679" s="6"/>
      <c r="X4679" s="6"/>
      <c r="Y4679" s="6"/>
      <c r="Z4679" s="6"/>
      <c r="AA4679" s="6" t="s">
        <v>248</v>
      </c>
      <c r="AB4679" s="8"/>
      <c r="AC4679" s="27">
        <v>9785160092096</v>
      </c>
    </row>
    <row r="4680" spans="1:29" s="4" customFormat="1" ht="42" customHeight="1" x14ac:dyDescent="0.2">
      <c r="A4680" s="5">
        <v>0</v>
      </c>
      <c r="B4680" s="6" t="s">
        <v>27007</v>
      </c>
      <c r="C4680" s="7">
        <v>2328</v>
      </c>
      <c r="D4680" s="8" t="s">
        <v>27008</v>
      </c>
      <c r="E4680" s="8" t="s">
        <v>27009</v>
      </c>
      <c r="F4680" s="8" t="s">
        <v>26606</v>
      </c>
      <c r="G4680" s="6" t="s">
        <v>118</v>
      </c>
      <c r="H4680" s="6" t="s">
        <v>1644</v>
      </c>
      <c r="I4680" s="8" t="s">
        <v>1904</v>
      </c>
      <c r="J4680" s="9">
        <v>1</v>
      </c>
      <c r="K4680" s="9">
        <v>368</v>
      </c>
      <c r="L4680" s="9">
        <v>2025</v>
      </c>
      <c r="M4680" s="8" t="s">
        <v>27010</v>
      </c>
      <c r="N4680" s="8" t="s">
        <v>37</v>
      </c>
      <c r="O4680" s="8" t="s">
        <v>499</v>
      </c>
      <c r="P4680" s="6" t="s">
        <v>51</v>
      </c>
      <c r="Q4680" s="8" t="s">
        <v>52</v>
      </c>
      <c r="R4680" s="10" t="s">
        <v>11492</v>
      </c>
      <c r="S4680" s="11"/>
      <c r="T4680" s="6"/>
      <c r="U4680" s="15" t="str">
        <f>HYPERLINK("https://media.infra-m.ru/2204/2204280/cover/2204280.jpg", "Обложка")</f>
        <v>Обложка</v>
      </c>
      <c r="V4680" s="8" t="s">
        <v>18741</v>
      </c>
      <c r="W4680" s="6"/>
      <c r="X4680" s="6"/>
      <c r="Y4680" s="6"/>
      <c r="Z4680" s="6"/>
      <c r="AA4680" s="6" t="s">
        <v>248</v>
      </c>
      <c r="AB4680" s="8"/>
      <c r="AC4680" s="27">
        <v>9785977603294</v>
      </c>
    </row>
    <row r="4681" spans="1:29" s="4" customFormat="1" ht="51.9" customHeight="1" x14ac:dyDescent="0.2">
      <c r="A4681" s="5">
        <v>0</v>
      </c>
      <c r="B4681" s="6" t="s">
        <v>27011</v>
      </c>
      <c r="C4681" s="7">
        <v>2532</v>
      </c>
      <c r="D4681" s="8" t="s">
        <v>27012</v>
      </c>
      <c r="E4681" s="8" t="s">
        <v>27013</v>
      </c>
      <c r="F4681" s="8" t="s">
        <v>27014</v>
      </c>
      <c r="G4681" s="6" t="s">
        <v>118</v>
      </c>
      <c r="H4681" s="6" t="s">
        <v>820</v>
      </c>
      <c r="I4681" s="8" t="s">
        <v>263</v>
      </c>
      <c r="J4681" s="9">
        <v>1</v>
      </c>
      <c r="K4681" s="9">
        <v>384</v>
      </c>
      <c r="L4681" s="9">
        <v>2026</v>
      </c>
      <c r="M4681" s="8" t="s">
        <v>27015</v>
      </c>
      <c r="N4681" s="8" t="s">
        <v>243</v>
      </c>
      <c r="O4681" s="8" t="s">
        <v>244</v>
      </c>
      <c r="P4681" s="6" t="s">
        <v>306</v>
      </c>
      <c r="Q4681" s="8" t="s">
        <v>265</v>
      </c>
      <c r="R4681" s="10" t="s">
        <v>27016</v>
      </c>
      <c r="S4681" s="11"/>
      <c r="T4681" s="6"/>
      <c r="U4681" s="15" t="str">
        <f>HYPERLINK("https://media.infra-m.ru/2232/2232355/cover/2232355.jpg", "Обложка")</f>
        <v>Обложка</v>
      </c>
      <c r="V4681" s="8" t="s">
        <v>1908</v>
      </c>
      <c r="W4681" s="6"/>
      <c r="X4681" s="6" t="s">
        <v>24</v>
      </c>
      <c r="Y4681" s="6"/>
      <c r="Z4681" s="6"/>
      <c r="AA4681" s="6" t="s">
        <v>99</v>
      </c>
      <c r="AB4681" s="8"/>
      <c r="AC4681" s="27">
        <v>9785906818348</v>
      </c>
    </row>
    <row r="4682" spans="1:29" s="4" customFormat="1" ht="42" customHeight="1" x14ac:dyDescent="0.2">
      <c r="A4682" s="5">
        <v>0</v>
      </c>
      <c r="B4682" s="6" t="s">
        <v>27017</v>
      </c>
      <c r="C4682" s="7">
        <v>1344</v>
      </c>
      <c r="D4682" s="8" t="s">
        <v>27018</v>
      </c>
      <c r="E4682" s="8" t="s">
        <v>27019</v>
      </c>
      <c r="F4682" s="8" t="s">
        <v>27020</v>
      </c>
      <c r="G4682" s="6" t="s">
        <v>118</v>
      </c>
      <c r="H4682" s="6" t="s">
        <v>34</v>
      </c>
      <c r="I4682" s="8" t="s">
        <v>304</v>
      </c>
      <c r="J4682" s="9">
        <v>1</v>
      </c>
      <c r="K4682" s="9">
        <v>193</v>
      </c>
      <c r="L4682" s="9">
        <v>2026</v>
      </c>
      <c r="M4682" s="8" t="s">
        <v>27021</v>
      </c>
      <c r="N4682" s="8" t="s">
        <v>37</v>
      </c>
      <c r="O4682" s="8" t="s">
        <v>233</v>
      </c>
      <c r="P4682" s="6" t="s">
        <v>306</v>
      </c>
      <c r="Q4682" s="8" t="s">
        <v>500</v>
      </c>
      <c r="R4682" s="10" t="s">
        <v>2033</v>
      </c>
      <c r="S4682" s="11"/>
      <c r="T4682" s="6"/>
      <c r="U4682" s="15" t="str">
        <f>HYPERLINK("https://media.infra-m.ru/2229/2229953/cover/2229953.jpg", "Обложка")</f>
        <v>Обложка</v>
      </c>
      <c r="V4682" s="8" t="s">
        <v>247</v>
      </c>
      <c r="W4682" s="6"/>
      <c r="X4682" s="6"/>
      <c r="Y4682" s="6"/>
      <c r="Z4682" s="6"/>
      <c r="AA4682" s="6" t="s">
        <v>68</v>
      </c>
      <c r="AB4682" s="8" t="s">
        <v>12037</v>
      </c>
      <c r="AC4682" s="27">
        <v>9785160198811</v>
      </c>
    </row>
    <row r="4683" spans="1:29" s="4" customFormat="1" ht="51.9" customHeight="1" x14ac:dyDescent="0.2">
      <c r="A4683" s="5">
        <v>0</v>
      </c>
      <c r="B4683" s="6" t="s">
        <v>27022</v>
      </c>
      <c r="C4683" s="7">
        <v>1308</v>
      </c>
      <c r="D4683" s="8" t="s">
        <v>27023</v>
      </c>
      <c r="E4683" s="8" t="s">
        <v>27024</v>
      </c>
      <c r="F4683" s="8" t="s">
        <v>27025</v>
      </c>
      <c r="G4683" s="6" t="s">
        <v>60</v>
      </c>
      <c r="H4683" s="6" t="s">
        <v>34</v>
      </c>
      <c r="I4683" s="8" t="s">
        <v>253</v>
      </c>
      <c r="J4683" s="9">
        <v>1</v>
      </c>
      <c r="K4683" s="9">
        <v>189</v>
      </c>
      <c r="L4683" s="9">
        <v>2026</v>
      </c>
      <c r="M4683" s="8" t="s">
        <v>27026</v>
      </c>
      <c r="N4683" s="8" t="s">
        <v>37</v>
      </c>
      <c r="O4683" s="8" t="s">
        <v>136</v>
      </c>
      <c r="P4683" s="6" t="s">
        <v>51</v>
      </c>
      <c r="Q4683" s="8" t="s">
        <v>65</v>
      </c>
      <c r="R4683" s="10" t="s">
        <v>27027</v>
      </c>
      <c r="S4683" s="11"/>
      <c r="T4683" s="6"/>
      <c r="U4683" s="15" t="str">
        <f>HYPERLINK("https://media.infra-m.ru/2206/2206782/cover/2206782.jpg", "Обложка")</f>
        <v>Обложка</v>
      </c>
      <c r="V4683" s="8" t="s">
        <v>292</v>
      </c>
      <c r="W4683" s="6" t="s">
        <v>1382</v>
      </c>
      <c r="X4683" s="6"/>
      <c r="Y4683" s="6"/>
      <c r="Z4683" s="6"/>
      <c r="AA4683" s="6" t="s">
        <v>187</v>
      </c>
      <c r="AB4683" s="8" t="s">
        <v>308</v>
      </c>
      <c r="AC4683" s="27">
        <v>9785160209463</v>
      </c>
    </row>
    <row r="4684" spans="1:29" s="4" customFormat="1" ht="51.9" customHeight="1" x14ac:dyDescent="0.2">
      <c r="A4684" s="5">
        <v>0</v>
      </c>
      <c r="B4684" s="6" t="s">
        <v>27028</v>
      </c>
      <c r="C4684" s="7">
        <v>1792.8</v>
      </c>
      <c r="D4684" s="8" t="s">
        <v>27029</v>
      </c>
      <c r="E4684" s="8" t="s">
        <v>27030</v>
      </c>
      <c r="F4684" s="8" t="s">
        <v>27031</v>
      </c>
      <c r="G4684" s="6" t="s">
        <v>60</v>
      </c>
      <c r="H4684" s="6" t="s">
        <v>34</v>
      </c>
      <c r="I4684" s="8" t="s">
        <v>35</v>
      </c>
      <c r="J4684" s="9">
        <v>1</v>
      </c>
      <c r="K4684" s="9">
        <v>288</v>
      </c>
      <c r="L4684" s="9">
        <v>2025</v>
      </c>
      <c r="M4684" s="8" t="s">
        <v>27032</v>
      </c>
      <c r="N4684" s="8" t="s">
        <v>37</v>
      </c>
      <c r="O4684" s="8" t="s">
        <v>280</v>
      </c>
      <c r="P4684" s="6" t="s">
        <v>39</v>
      </c>
      <c r="Q4684" s="8" t="s">
        <v>40</v>
      </c>
      <c r="R4684" s="10" t="s">
        <v>27033</v>
      </c>
      <c r="S4684" s="11"/>
      <c r="T4684" s="6"/>
      <c r="U4684" s="15" t="str">
        <f>HYPERLINK("https://media.infra-m.ru/2208/2208459/cover/2208459.jpg", "Обложка")</f>
        <v>Обложка</v>
      </c>
      <c r="V4684" s="8" t="s">
        <v>396</v>
      </c>
      <c r="W4684" s="6"/>
      <c r="X4684" s="6"/>
      <c r="Y4684" s="6"/>
      <c r="Z4684" s="6"/>
      <c r="AA4684" s="6" t="s">
        <v>55</v>
      </c>
      <c r="AB4684" s="8"/>
      <c r="AC4684" s="27">
        <v>9785160061757</v>
      </c>
    </row>
    <row r="4685" spans="1:29" s="4" customFormat="1" ht="42" customHeight="1" x14ac:dyDescent="0.2">
      <c r="A4685" s="5">
        <v>0</v>
      </c>
      <c r="B4685" s="6" t="s">
        <v>27034</v>
      </c>
      <c r="C4685" s="7">
        <v>1452</v>
      </c>
      <c r="D4685" s="8" t="s">
        <v>27035</v>
      </c>
      <c r="E4685" s="8" t="s">
        <v>27036</v>
      </c>
      <c r="F4685" s="8" t="s">
        <v>27037</v>
      </c>
      <c r="G4685" s="6" t="s">
        <v>60</v>
      </c>
      <c r="H4685" s="6" t="s">
        <v>34</v>
      </c>
      <c r="I4685" s="8" t="s">
        <v>304</v>
      </c>
      <c r="J4685" s="9">
        <v>1</v>
      </c>
      <c r="K4685" s="9">
        <v>208</v>
      </c>
      <c r="L4685" s="9">
        <v>2025</v>
      </c>
      <c r="M4685" s="8" t="s">
        <v>27038</v>
      </c>
      <c r="N4685" s="8" t="s">
        <v>37</v>
      </c>
      <c r="O4685" s="8" t="s">
        <v>83</v>
      </c>
      <c r="P4685" s="6" t="s">
        <v>51</v>
      </c>
      <c r="Q4685" s="8" t="s">
        <v>500</v>
      </c>
      <c r="R4685" s="10" t="s">
        <v>25036</v>
      </c>
      <c r="S4685" s="11"/>
      <c r="T4685" s="6"/>
      <c r="U4685" s="15" t="str">
        <f>HYPERLINK("https://media.infra-m.ru/2189/2189084/cover/2189084.jpg", "Обложка")</f>
        <v>Обложка</v>
      </c>
      <c r="V4685" s="8" t="s">
        <v>247</v>
      </c>
      <c r="W4685" s="6" t="s">
        <v>2565</v>
      </c>
      <c r="X4685" s="6"/>
      <c r="Y4685" s="6"/>
      <c r="Z4685" s="6"/>
      <c r="AA4685" s="6" t="s">
        <v>68</v>
      </c>
      <c r="AB4685" s="8"/>
      <c r="AC4685" s="27">
        <v>9785160207186</v>
      </c>
    </row>
    <row r="4686" spans="1:29" s="4" customFormat="1" ht="42" customHeight="1" x14ac:dyDescent="0.2">
      <c r="A4686" s="5">
        <v>0</v>
      </c>
      <c r="B4686" s="6" t="s">
        <v>27039</v>
      </c>
      <c r="C4686" s="7">
        <v>1872</v>
      </c>
      <c r="D4686" s="8" t="s">
        <v>27040</v>
      </c>
      <c r="E4686" s="8" t="s">
        <v>27041</v>
      </c>
      <c r="F4686" s="8" t="s">
        <v>2193</v>
      </c>
      <c r="G4686" s="6" t="s">
        <v>118</v>
      </c>
      <c r="H4686" s="6" t="s">
        <v>34</v>
      </c>
      <c r="I4686" s="8" t="s">
        <v>253</v>
      </c>
      <c r="J4686" s="9">
        <v>1</v>
      </c>
      <c r="K4686" s="9">
        <v>281</v>
      </c>
      <c r="L4686" s="9">
        <v>2026</v>
      </c>
      <c r="M4686" s="8" t="s">
        <v>27042</v>
      </c>
      <c r="N4686" s="8" t="s">
        <v>243</v>
      </c>
      <c r="O4686" s="8" t="s">
        <v>798</v>
      </c>
      <c r="P4686" s="6" t="s">
        <v>306</v>
      </c>
      <c r="Q4686" s="8" t="s">
        <v>52</v>
      </c>
      <c r="R4686" s="10" t="s">
        <v>6735</v>
      </c>
      <c r="S4686" s="11"/>
      <c r="T4686" s="6"/>
      <c r="U4686" s="15" t="str">
        <f>HYPERLINK("https://media.infra-m.ru/2150/2150307/cover/2150307.jpg", "Обложка")</f>
        <v>Обложка</v>
      </c>
      <c r="V4686" s="8" t="s">
        <v>1505</v>
      </c>
      <c r="W4686" s="6"/>
      <c r="X4686" s="6"/>
      <c r="Y4686" s="6"/>
      <c r="Z4686" s="6"/>
      <c r="AA4686" s="6" t="s">
        <v>157</v>
      </c>
      <c r="AB4686" s="8"/>
      <c r="AC4686" s="27">
        <v>9785160180205</v>
      </c>
    </row>
    <row r="4687" spans="1:29" s="4" customFormat="1" ht="51.9" customHeight="1" x14ac:dyDescent="0.2">
      <c r="A4687" s="5">
        <v>0</v>
      </c>
      <c r="B4687" s="6" t="s">
        <v>27043</v>
      </c>
      <c r="C4687" s="7">
        <v>1860</v>
      </c>
      <c r="D4687" s="8" t="s">
        <v>27044</v>
      </c>
      <c r="E4687" s="8" t="s">
        <v>27041</v>
      </c>
      <c r="F4687" s="8" t="s">
        <v>2193</v>
      </c>
      <c r="G4687" s="6" t="s">
        <v>118</v>
      </c>
      <c r="H4687" s="6" t="s">
        <v>34</v>
      </c>
      <c r="I4687" s="8" t="s">
        <v>263</v>
      </c>
      <c r="J4687" s="9">
        <v>1</v>
      </c>
      <c r="K4687" s="9">
        <v>281</v>
      </c>
      <c r="L4687" s="9">
        <v>2026</v>
      </c>
      <c r="M4687" s="8" t="s">
        <v>27045</v>
      </c>
      <c r="N4687" s="8" t="s">
        <v>243</v>
      </c>
      <c r="O4687" s="8" t="s">
        <v>798</v>
      </c>
      <c r="P4687" s="6" t="s">
        <v>306</v>
      </c>
      <c r="Q4687" s="8" t="s">
        <v>265</v>
      </c>
      <c r="R4687" s="10" t="s">
        <v>27046</v>
      </c>
      <c r="S4687" s="11"/>
      <c r="T4687" s="6"/>
      <c r="U4687" s="15" t="str">
        <f>HYPERLINK("https://media.infra-m.ru/2235/2235714/cover/2235714.jpg", "Обложка")</f>
        <v>Обложка</v>
      </c>
      <c r="V4687" s="8" t="s">
        <v>1505</v>
      </c>
      <c r="W4687" s="6"/>
      <c r="X4687" s="6"/>
      <c r="Y4687" s="6"/>
      <c r="Z4687" s="6" t="s">
        <v>267</v>
      </c>
      <c r="AA4687" s="6" t="s">
        <v>76</v>
      </c>
      <c r="AB4687" s="8"/>
      <c r="AC4687" s="27">
        <v>9785160200040</v>
      </c>
    </row>
    <row r="4688" spans="1:29" s="4" customFormat="1" ht="51.9" customHeight="1" x14ac:dyDescent="0.2">
      <c r="A4688" s="5">
        <v>0</v>
      </c>
      <c r="B4688" s="6" t="s">
        <v>27047</v>
      </c>
      <c r="C4688" s="13">
        <v>940.8</v>
      </c>
      <c r="D4688" s="8" t="s">
        <v>27048</v>
      </c>
      <c r="E4688" s="8" t="s">
        <v>27049</v>
      </c>
      <c r="F4688" s="8" t="s">
        <v>27050</v>
      </c>
      <c r="G4688" s="6" t="s">
        <v>33</v>
      </c>
      <c r="H4688" s="6" t="s">
        <v>34</v>
      </c>
      <c r="I4688" s="8" t="s">
        <v>271</v>
      </c>
      <c r="J4688" s="9">
        <v>1</v>
      </c>
      <c r="K4688" s="9">
        <v>142</v>
      </c>
      <c r="L4688" s="9">
        <v>2026</v>
      </c>
      <c r="M4688" s="8" t="s">
        <v>27051</v>
      </c>
      <c r="N4688" s="8" t="s">
        <v>37</v>
      </c>
      <c r="O4688" s="8" t="s">
        <v>280</v>
      </c>
      <c r="P4688" s="6" t="s">
        <v>51</v>
      </c>
      <c r="Q4688" s="8" t="s">
        <v>52</v>
      </c>
      <c r="R4688" s="10" t="s">
        <v>2640</v>
      </c>
      <c r="S4688" s="11" t="s">
        <v>27052</v>
      </c>
      <c r="T4688" s="6"/>
      <c r="U4688" s="15" t="str">
        <f>HYPERLINK("https://media.infra-m.ru/2239/2239136/cover/2239136.jpg", "Обложка")</f>
        <v>Обложка</v>
      </c>
      <c r="V4688" s="8" t="s">
        <v>27053</v>
      </c>
      <c r="W4688" s="6"/>
      <c r="X4688" s="6"/>
      <c r="Y4688" s="6"/>
      <c r="Z4688" s="6"/>
      <c r="AA4688" s="6" t="s">
        <v>86</v>
      </c>
      <c r="AB4688" s="8"/>
      <c r="AC4688" s="27">
        <v>9785160130125</v>
      </c>
    </row>
    <row r="4689" spans="1:29" s="4" customFormat="1" ht="51.9" customHeight="1" x14ac:dyDescent="0.2">
      <c r="A4689" s="5">
        <v>0</v>
      </c>
      <c r="B4689" s="6" t="s">
        <v>27054</v>
      </c>
      <c r="C4689" s="7">
        <v>1272</v>
      </c>
      <c r="D4689" s="8" t="s">
        <v>27055</v>
      </c>
      <c r="E4689" s="8" t="s">
        <v>27056</v>
      </c>
      <c r="F4689" s="8" t="s">
        <v>27057</v>
      </c>
      <c r="G4689" s="6" t="s">
        <v>33</v>
      </c>
      <c r="H4689" s="6" t="s">
        <v>34</v>
      </c>
      <c r="I4689" s="8" t="s">
        <v>253</v>
      </c>
      <c r="J4689" s="9">
        <v>1</v>
      </c>
      <c r="K4689" s="9">
        <v>229</v>
      </c>
      <c r="L4689" s="9">
        <v>2023</v>
      </c>
      <c r="M4689" s="8" t="s">
        <v>27058</v>
      </c>
      <c r="N4689" s="8" t="s">
        <v>243</v>
      </c>
      <c r="O4689" s="8" t="s">
        <v>964</v>
      </c>
      <c r="P4689" s="6" t="s">
        <v>51</v>
      </c>
      <c r="Q4689" s="8" t="s">
        <v>52</v>
      </c>
      <c r="R4689" s="10" t="s">
        <v>27059</v>
      </c>
      <c r="S4689" s="11" t="s">
        <v>27060</v>
      </c>
      <c r="T4689" s="6"/>
      <c r="U4689" s="15" t="str">
        <f>HYPERLINK("https://media.infra-m.ru/2126/2126516/cover/2126516.jpg", "Обложка")</f>
        <v>Обложка</v>
      </c>
      <c r="V4689" s="8" t="s">
        <v>23835</v>
      </c>
      <c r="W4689" s="6"/>
      <c r="X4689" s="6"/>
      <c r="Y4689" s="6"/>
      <c r="Z4689" s="6"/>
      <c r="AA4689" s="6" t="s">
        <v>779</v>
      </c>
      <c r="AB4689" s="8"/>
      <c r="AC4689" s="27">
        <v>9785160114460</v>
      </c>
    </row>
    <row r="4690" spans="1:29" s="4" customFormat="1" ht="51.9" customHeight="1" x14ac:dyDescent="0.2">
      <c r="A4690" s="5">
        <v>0</v>
      </c>
      <c r="B4690" s="6" t="s">
        <v>27061</v>
      </c>
      <c r="C4690" s="7">
        <v>2220</v>
      </c>
      <c r="D4690" s="8" t="s">
        <v>27062</v>
      </c>
      <c r="E4690" s="8" t="s">
        <v>27063</v>
      </c>
      <c r="F4690" s="8" t="s">
        <v>27064</v>
      </c>
      <c r="G4690" s="6" t="s">
        <v>118</v>
      </c>
      <c r="H4690" s="6" t="s">
        <v>34</v>
      </c>
      <c r="I4690" s="8" t="s">
        <v>263</v>
      </c>
      <c r="J4690" s="9">
        <v>1</v>
      </c>
      <c r="K4690" s="9">
        <v>350</v>
      </c>
      <c r="L4690" s="9">
        <v>2026</v>
      </c>
      <c r="M4690" s="8" t="s">
        <v>27065</v>
      </c>
      <c r="N4690" s="8" t="s">
        <v>37</v>
      </c>
      <c r="O4690" s="8" t="s">
        <v>499</v>
      </c>
      <c r="P4690" s="6" t="s">
        <v>306</v>
      </c>
      <c r="Q4690" s="8" t="s">
        <v>265</v>
      </c>
      <c r="R4690" s="10" t="s">
        <v>14290</v>
      </c>
      <c r="S4690" s="11" t="s">
        <v>27066</v>
      </c>
      <c r="T4690" s="6"/>
      <c r="U4690" s="15" t="str">
        <f>HYPERLINK("https://media.infra-m.ru/2196/2196781/cover/2196781.jpg", "Обложка")</f>
        <v>Обложка</v>
      </c>
      <c r="V4690" s="8" t="s">
        <v>15178</v>
      </c>
      <c r="W4690" s="6"/>
      <c r="X4690" s="6"/>
      <c r="Y4690" s="6"/>
      <c r="Z4690" s="6"/>
      <c r="AA4690" s="6" t="s">
        <v>218</v>
      </c>
      <c r="AB4690" s="8"/>
      <c r="AC4690" s="27">
        <v>9785160213521</v>
      </c>
    </row>
    <row r="4691" spans="1:29" s="4" customFormat="1" ht="51.9" customHeight="1" x14ac:dyDescent="0.2">
      <c r="A4691" s="5">
        <v>0</v>
      </c>
      <c r="B4691" s="6" t="s">
        <v>27067</v>
      </c>
      <c r="C4691" s="7">
        <v>1236</v>
      </c>
      <c r="D4691" s="8" t="s">
        <v>27068</v>
      </c>
      <c r="E4691" s="8" t="s">
        <v>27069</v>
      </c>
      <c r="F4691" s="8" t="s">
        <v>27070</v>
      </c>
      <c r="G4691" s="6" t="s">
        <v>118</v>
      </c>
      <c r="H4691" s="6" t="s">
        <v>1042</v>
      </c>
      <c r="I4691" s="8" t="s">
        <v>263</v>
      </c>
      <c r="J4691" s="9">
        <v>1</v>
      </c>
      <c r="K4691" s="9">
        <v>352</v>
      </c>
      <c r="L4691" s="9">
        <v>2018</v>
      </c>
      <c r="M4691" s="8" t="s">
        <v>27071</v>
      </c>
      <c r="N4691" s="8" t="s">
        <v>37</v>
      </c>
      <c r="O4691" s="8" t="s">
        <v>499</v>
      </c>
      <c r="P4691" s="6" t="s">
        <v>306</v>
      </c>
      <c r="Q4691" s="8" t="s">
        <v>265</v>
      </c>
      <c r="R4691" s="10" t="s">
        <v>14290</v>
      </c>
      <c r="S4691" s="11" t="s">
        <v>27072</v>
      </c>
      <c r="T4691" s="6"/>
      <c r="U4691" s="15" t="str">
        <f>HYPERLINK("https://media.infra-m.ru/0944/0944181/cover/944181.jpg", "Обложка")</f>
        <v>Обложка</v>
      </c>
      <c r="V4691" s="8" t="s">
        <v>15178</v>
      </c>
      <c r="W4691" s="6"/>
      <c r="X4691" s="6"/>
      <c r="Y4691" s="6"/>
      <c r="Z4691" s="6"/>
      <c r="AA4691" s="6" t="s">
        <v>55</v>
      </c>
      <c r="AB4691" s="8"/>
      <c r="AC4691" s="27">
        <v>9785819907481</v>
      </c>
    </row>
    <row r="4692" spans="1:29" s="4" customFormat="1" ht="42" customHeight="1" x14ac:dyDescent="0.2">
      <c r="A4692" s="5">
        <v>0</v>
      </c>
      <c r="B4692" s="6" t="s">
        <v>27073</v>
      </c>
      <c r="C4692" s="13">
        <v>816</v>
      </c>
      <c r="D4692" s="8" t="s">
        <v>27074</v>
      </c>
      <c r="E4692" s="8" t="s">
        <v>27075</v>
      </c>
      <c r="F4692" s="8" t="s">
        <v>27076</v>
      </c>
      <c r="G4692" s="6" t="s">
        <v>33</v>
      </c>
      <c r="H4692" s="6" t="s">
        <v>34</v>
      </c>
      <c r="I4692" s="8" t="s">
        <v>253</v>
      </c>
      <c r="J4692" s="9">
        <v>1</v>
      </c>
      <c r="K4692" s="9">
        <v>123</v>
      </c>
      <c r="L4692" s="9">
        <v>2025</v>
      </c>
      <c r="M4692" s="8" t="s">
        <v>27077</v>
      </c>
      <c r="N4692" s="8" t="s">
        <v>224</v>
      </c>
      <c r="O4692" s="8" t="s">
        <v>225</v>
      </c>
      <c r="P4692" s="6" t="s">
        <v>51</v>
      </c>
      <c r="Q4692" s="8" t="s">
        <v>65</v>
      </c>
      <c r="R4692" s="10" t="s">
        <v>27078</v>
      </c>
      <c r="S4692" s="11"/>
      <c r="T4692" s="6"/>
      <c r="U4692" s="15" t="str">
        <f>HYPERLINK("https://media.infra-m.ru/2130/2130668/cover/2130668.jpg", "Обложка")</f>
        <v>Обложка</v>
      </c>
      <c r="V4692" s="8" t="s">
        <v>5117</v>
      </c>
      <c r="W4692" s="6"/>
      <c r="X4692" s="6"/>
      <c r="Y4692" s="6"/>
      <c r="Z4692" s="6"/>
      <c r="AA4692" s="6" t="s">
        <v>68</v>
      </c>
      <c r="AB4692" s="8"/>
      <c r="AC4692" s="27">
        <v>9785160196084</v>
      </c>
    </row>
    <row r="4693" spans="1:29" s="4" customFormat="1" ht="51.9" customHeight="1" x14ac:dyDescent="0.2">
      <c r="A4693" s="5">
        <v>0</v>
      </c>
      <c r="B4693" s="6" t="s">
        <v>27079</v>
      </c>
      <c r="C4693" s="7">
        <v>1000.8</v>
      </c>
      <c r="D4693" s="8" t="s">
        <v>27080</v>
      </c>
      <c r="E4693" s="8" t="s">
        <v>27081</v>
      </c>
      <c r="F4693" s="8" t="s">
        <v>27082</v>
      </c>
      <c r="G4693" s="6" t="s">
        <v>118</v>
      </c>
      <c r="H4693" s="6" t="s">
        <v>34</v>
      </c>
      <c r="I4693" s="8" t="s">
        <v>271</v>
      </c>
      <c r="J4693" s="9">
        <v>1</v>
      </c>
      <c r="K4693" s="9">
        <v>160</v>
      </c>
      <c r="L4693" s="9">
        <v>2025</v>
      </c>
      <c r="M4693" s="8" t="s">
        <v>27083</v>
      </c>
      <c r="N4693" s="8" t="s">
        <v>37</v>
      </c>
      <c r="O4693" s="8" t="s">
        <v>280</v>
      </c>
      <c r="P4693" s="6" t="s">
        <v>51</v>
      </c>
      <c r="Q4693" s="8" t="s">
        <v>52</v>
      </c>
      <c r="R4693" s="10" t="s">
        <v>27084</v>
      </c>
      <c r="S4693" s="11" t="s">
        <v>27085</v>
      </c>
      <c r="T4693" s="6"/>
      <c r="U4693" s="15" t="str">
        <f>HYPERLINK("https://media.infra-m.ru/2194/2194378/cover/2194378.jpg", "Обложка")</f>
        <v>Обложка</v>
      </c>
      <c r="V4693" s="8" t="s">
        <v>54</v>
      </c>
      <c r="W4693" s="6"/>
      <c r="X4693" s="6" t="s">
        <v>24</v>
      </c>
      <c r="Y4693" s="6"/>
      <c r="Z4693" s="6"/>
      <c r="AA4693" s="6" t="s">
        <v>248</v>
      </c>
      <c r="AB4693" s="8"/>
      <c r="AC4693" s="27">
        <v>9785160163697</v>
      </c>
    </row>
    <row r="4694" spans="1:29" s="4" customFormat="1" ht="51.9" customHeight="1" x14ac:dyDescent="0.2">
      <c r="A4694" s="5">
        <v>0</v>
      </c>
      <c r="B4694" s="6" t="s">
        <v>27086</v>
      </c>
      <c r="C4694" s="7">
        <v>1264.8</v>
      </c>
      <c r="D4694" s="8" t="s">
        <v>27087</v>
      </c>
      <c r="E4694" s="8" t="s">
        <v>27088</v>
      </c>
      <c r="F4694" s="8" t="s">
        <v>17048</v>
      </c>
      <c r="G4694" s="6" t="s">
        <v>118</v>
      </c>
      <c r="H4694" s="6" t="s">
        <v>34</v>
      </c>
      <c r="I4694" s="8" t="s">
        <v>35</v>
      </c>
      <c r="J4694" s="9">
        <v>1</v>
      </c>
      <c r="K4694" s="9">
        <v>190</v>
      </c>
      <c r="L4694" s="9">
        <v>2027</v>
      </c>
      <c r="M4694" s="8" t="s">
        <v>27089</v>
      </c>
      <c r="N4694" s="8" t="s">
        <v>37</v>
      </c>
      <c r="O4694" s="8" t="s">
        <v>136</v>
      </c>
      <c r="P4694" s="6" t="s">
        <v>39</v>
      </c>
      <c r="Q4694" s="8" t="s">
        <v>40</v>
      </c>
      <c r="R4694" s="10" t="s">
        <v>9875</v>
      </c>
      <c r="S4694" s="11"/>
      <c r="T4694" s="6"/>
      <c r="U4694" s="15" t="str">
        <f>HYPERLINK("https://media.infra-m.ru/2257/2257191/cover/2257191.jpg", "Обложка")</f>
        <v>Обложка</v>
      </c>
      <c r="V4694" s="8" t="s">
        <v>11240</v>
      </c>
      <c r="W4694" s="6"/>
      <c r="X4694" s="6"/>
      <c r="Y4694" s="6"/>
      <c r="Z4694" s="6"/>
      <c r="AA4694" s="6" t="s">
        <v>148</v>
      </c>
      <c r="AB4694" s="8" t="s">
        <v>14722</v>
      </c>
      <c r="AC4694" s="27">
        <v>9785160175478</v>
      </c>
    </row>
    <row r="4695" spans="1:29" s="4" customFormat="1" ht="42" customHeight="1" x14ac:dyDescent="0.2">
      <c r="A4695" s="5">
        <v>0</v>
      </c>
      <c r="B4695" s="6" t="s">
        <v>27090</v>
      </c>
      <c r="C4695" s="7">
        <v>2788.8</v>
      </c>
      <c r="D4695" s="8" t="s">
        <v>27091</v>
      </c>
      <c r="E4695" s="8" t="s">
        <v>27092</v>
      </c>
      <c r="F4695" s="8" t="s">
        <v>26476</v>
      </c>
      <c r="G4695" s="6" t="s">
        <v>118</v>
      </c>
      <c r="H4695" s="6" t="s">
        <v>48</v>
      </c>
      <c r="I4695" s="8" t="s">
        <v>271</v>
      </c>
      <c r="J4695" s="9">
        <v>1</v>
      </c>
      <c r="K4695" s="9">
        <v>400</v>
      </c>
      <c r="L4695" s="9">
        <v>2027</v>
      </c>
      <c r="M4695" s="8" t="s">
        <v>27093</v>
      </c>
      <c r="N4695" s="8" t="s">
        <v>37</v>
      </c>
      <c r="O4695" s="8" t="s">
        <v>280</v>
      </c>
      <c r="P4695" s="6" t="s">
        <v>51</v>
      </c>
      <c r="Q4695" s="8" t="s">
        <v>52</v>
      </c>
      <c r="R4695" s="10" t="s">
        <v>20307</v>
      </c>
      <c r="S4695" s="11"/>
      <c r="T4695" s="6"/>
      <c r="U4695" s="15" t="str">
        <f>HYPERLINK("https://media.infra-m.ru/2249/2249796/cover/2249796.jpg", "Обложка")</f>
        <v>Обложка</v>
      </c>
      <c r="V4695" s="8" t="s">
        <v>588</v>
      </c>
      <c r="W4695" s="6"/>
      <c r="X4695" s="6"/>
      <c r="Y4695" s="6"/>
      <c r="Z4695" s="6"/>
      <c r="AA4695" s="6" t="s">
        <v>55</v>
      </c>
      <c r="AB4695" s="8"/>
      <c r="AC4695" s="27">
        <v>9785911346096</v>
      </c>
    </row>
    <row r="4696" spans="1:29" s="4" customFormat="1" ht="51.9" customHeight="1" x14ac:dyDescent="0.2">
      <c r="A4696" s="5">
        <v>0</v>
      </c>
      <c r="B4696" s="6" t="s">
        <v>27094</v>
      </c>
      <c r="C4696" s="7">
        <v>2488.8000000000002</v>
      </c>
      <c r="D4696" s="8" t="s">
        <v>27095</v>
      </c>
      <c r="E4696" s="8" t="s">
        <v>27092</v>
      </c>
      <c r="F4696" s="8" t="s">
        <v>26476</v>
      </c>
      <c r="G4696" s="6" t="s">
        <v>118</v>
      </c>
      <c r="H4696" s="6" t="s">
        <v>48</v>
      </c>
      <c r="I4696" s="8" t="s">
        <v>263</v>
      </c>
      <c r="J4696" s="9">
        <v>1</v>
      </c>
      <c r="K4696" s="9">
        <v>399</v>
      </c>
      <c r="L4696" s="9">
        <v>2026</v>
      </c>
      <c r="M4696" s="8" t="s">
        <v>27096</v>
      </c>
      <c r="N4696" s="8" t="s">
        <v>37</v>
      </c>
      <c r="O4696" s="8" t="s">
        <v>280</v>
      </c>
      <c r="P4696" s="6" t="s">
        <v>51</v>
      </c>
      <c r="Q4696" s="8" t="s">
        <v>265</v>
      </c>
      <c r="R4696" s="10" t="s">
        <v>4160</v>
      </c>
      <c r="S4696" s="11" t="s">
        <v>27097</v>
      </c>
      <c r="T4696" s="6"/>
      <c r="U4696" s="15" t="str">
        <f>HYPERLINK("https://media.infra-m.ru/2224/2224052/cover/2224052.jpg", "Обложка")</f>
        <v>Обложка</v>
      </c>
      <c r="V4696" s="8" t="s">
        <v>588</v>
      </c>
      <c r="W4696" s="6"/>
      <c r="X4696" s="6"/>
      <c r="Y4696" s="6"/>
      <c r="Z4696" s="6" t="s">
        <v>267</v>
      </c>
      <c r="AA4696" s="6" t="s">
        <v>430</v>
      </c>
      <c r="AB4696" s="8"/>
      <c r="AC4696" s="27">
        <v>9785000915899</v>
      </c>
    </row>
    <row r="4697" spans="1:29" s="4" customFormat="1" ht="51.9" customHeight="1" x14ac:dyDescent="0.2">
      <c r="A4697" s="5">
        <v>0</v>
      </c>
      <c r="B4697" s="6" t="s">
        <v>27098</v>
      </c>
      <c r="C4697" s="13">
        <v>816</v>
      </c>
      <c r="D4697" s="8" t="s">
        <v>27099</v>
      </c>
      <c r="E4697" s="8" t="s">
        <v>27100</v>
      </c>
      <c r="F4697" s="8" t="s">
        <v>27101</v>
      </c>
      <c r="G4697" s="6" t="s">
        <v>33</v>
      </c>
      <c r="H4697" s="6" t="s">
        <v>34</v>
      </c>
      <c r="I4697" s="8" t="s">
        <v>253</v>
      </c>
      <c r="J4697" s="9">
        <v>1</v>
      </c>
      <c r="K4697" s="9">
        <v>109</v>
      </c>
      <c r="L4697" s="9">
        <v>2027</v>
      </c>
      <c r="M4697" s="8" t="s">
        <v>27102</v>
      </c>
      <c r="N4697" s="8" t="s">
        <v>93</v>
      </c>
      <c r="O4697" s="8" t="s">
        <v>94</v>
      </c>
      <c r="P4697" s="6" t="s">
        <v>51</v>
      </c>
      <c r="Q4697" s="8" t="s">
        <v>52</v>
      </c>
      <c r="R4697" s="10" t="s">
        <v>27103</v>
      </c>
      <c r="S4697" s="11" t="s">
        <v>27104</v>
      </c>
      <c r="T4697" s="6" t="s">
        <v>97</v>
      </c>
      <c r="U4697" s="15" t="str">
        <f>HYPERLINK("https://media.infra-m.ru/2263/2263947/cover/2263947.jpg", "Обложка")</f>
        <v>Обложка</v>
      </c>
      <c r="V4697" s="8" t="s">
        <v>16903</v>
      </c>
      <c r="W4697" s="6"/>
      <c r="X4697" s="6"/>
      <c r="Y4697" s="6"/>
      <c r="Z4697" s="6"/>
      <c r="AA4697" s="6" t="s">
        <v>115</v>
      </c>
      <c r="AB4697" s="8"/>
      <c r="AC4697" s="27">
        <v>9785160223810</v>
      </c>
    </row>
    <row r="4698" spans="1:29" s="4" customFormat="1" ht="42" customHeight="1" x14ac:dyDescent="0.2">
      <c r="A4698" s="5">
        <v>0</v>
      </c>
      <c r="B4698" s="6" t="s">
        <v>27105</v>
      </c>
      <c r="C4698" s="7">
        <v>1152</v>
      </c>
      <c r="D4698" s="8" t="s">
        <v>27106</v>
      </c>
      <c r="E4698" s="8" t="s">
        <v>27107</v>
      </c>
      <c r="F4698" s="8" t="s">
        <v>27108</v>
      </c>
      <c r="G4698" s="6" t="s">
        <v>60</v>
      </c>
      <c r="H4698" s="6" t="s">
        <v>34</v>
      </c>
      <c r="I4698" s="8" t="s">
        <v>1248</v>
      </c>
      <c r="J4698" s="9">
        <v>1</v>
      </c>
      <c r="K4698" s="9">
        <v>191</v>
      </c>
      <c r="L4698" s="9">
        <v>2024</v>
      </c>
      <c r="M4698" s="8" t="s">
        <v>27109</v>
      </c>
      <c r="N4698" s="8" t="s">
        <v>224</v>
      </c>
      <c r="O4698" s="8" t="s">
        <v>225</v>
      </c>
      <c r="P4698" s="6" t="s">
        <v>51</v>
      </c>
      <c r="Q4698" s="8" t="s">
        <v>65</v>
      </c>
      <c r="R4698" s="10" t="s">
        <v>2147</v>
      </c>
      <c r="S4698" s="11"/>
      <c r="T4698" s="6"/>
      <c r="U4698" s="15" t="str">
        <f>HYPERLINK("https://media.infra-m.ru/2124/2124964/cover/2124964.jpg", "Обложка")</f>
        <v>Обложка</v>
      </c>
      <c r="V4698" s="8" t="s">
        <v>1083</v>
      </c>
      <c r="W4698" s="6"/>
      <c r="X4698" s="6"/>
      <c r="Y4698" s="6"/>
      <c r="Z4698" s="6"/>
      <c r="AA4698" s="6" t="s">
        <v>76</v>
      </c>
      <c r="AB4698" s="8"/>
      <c r="AC4698" s="27">
        <v>9785160194981</v>
      </c>
    </row>
    <row r="4699" spans="1:29" s="4" customFormat="1" ht="42" customHeight="1" x14ac:dyDescent="0.2">
      <c r="A4699" s="5">
        <v>0</v>
      </c>
      <c r="B4699" s="6" t="s">
        <v>27110</v>
      </c>
      <c r="C4699" s="7">
        <v>1836</v>
      </c>
      <c r="D4699" s="8" t="s">
        <v>27111</v>
      </c>
      <c r="E4699" s="8" t="s">
        <v>27112</v>
      </c>
      <c r="F4699" s="8" t="s">
        <v>27113</v>
      </c>
      <c r="G4699" s="6" t="s">
        <v>118</v>
      </c>
      <c r="H4699" s="6" t="s">
        <v>34</v>
      </c>
      <c r="I4699" s="8" t="s">
        <v>263</v>
      </c>
      <c r="J4699" s="9">
        <v>1</v>
      </c>
      <c r="K4699" s="9">
        <v>278</v>
      </c>
      <c r="L4699" s="9">
        <v>2026</v>
      </c>
      <c r="M4699" s="8" t="s">
        <v>27114</v>
      </c>
      <c r="N4699" s="8" t="s">
        <v>37</v>
      </c>
      <c r="O4699" s="8" t="s">
        <v>499</v>
      </c>
      <c r="P4699" s="6" t="s">
        <v>306</v>
      </c>
      <c r="Q4699" s="8" t="s">
        <v>265</v>
      </c>
      <c r="R4699" s="10" t="s">
        <v>27115</v>
      </c>
      <c r="S4699" s="11"/>
      <c r="T4699" s="6"/>
      <c r="U4699" s="15" t="str">
        <f>HYPERLINK("https://media.infra-m.ru/2250/2250641/cover/2250641.jpg", "Обложка")</f>
        <v>Обложка</v>
      </c>
      <c r="V4699" s="8" t="s">
        <v>2047</v>
      </c>
      <c r="W4699" s="6"/>
      <c r="X4699" s="6"/>
      <c r="Y4699" s="6"/>
      <c r="Z4699" s="6"/>
      <c r="AA4699" s="6" t="s">
        <v>68</v>
      </c>
      <c r="AB4699" s="8" t="s">
        <v>17982</v>
      </c>
      <c r="AC4699" s="27">
        <v>9785160180502</v>
      </c>
    </row>
    <row r="4700" spans="1:29" s="4" customFormat="1" ht="51.9" customHeight="1" x14ac:dyDescent="0.2">
      <c r="A4700" s="5">
        <v>0</v>
      </c>
      <c r="B4700" s="6" t="s">
        <v>27116</v>
      </c>
      <c r="C4700" s="13">
        <v>948</v>
      </c>
      <c r="D4700" s="8" t="s">
        <v>27117</v>
      </c>
      <c r="E4700" s="8" t="s">
        <v>27118</v>
      </c>
      <c r="F4700" s="8" t="s">
        <v>27119</v>
      </c>
      <c r="G4700" s="6" t="s">
        <v>33</v>
      </c>
      <c r="H4700" s="6" t="s">
        <v>34</v>
      </c>
      <c r="I4700" s="8" t="s">
        <v>954</v>
      </c>
      <c r="J4700" s="9">
        <v>1</v>
      </c>
      <c r="K4700" s="9">
        <v>136</v>
      </c>
      <c r="L4700" s="9">
        <v>2027</v>
      </c>
      <c r="M4700" s="8" t="s">
        <v>27120</v>
      </c>
      <c r="N4700" s="8" t="s">
        <v>37</v>
      </c>
      <c r="O4700" s="8" t="s">
        <v>290</v>
      </c>
      <c r="P4700" s="6" t="s">
        <v>51</v>
      </c>
      <c r="Q4700" s="8" t="s">
        <v>65</v>
      </c>
      <c r="R4700" s="10" t="s">
        <v>27121</v>
      </c>
      <c r="S4700" s="11" t="s">
        <v>27122</v>
      </c>
      <c r="T4700" s="6"/>
      <c r="U4700" s="15" t="str">
        <f>HYPERLINK("https://media.infra-m.ru/2266/2266091/cover/2266091.jpg", "Обложка")</f>
        <v>Обложка</v>
      </c>
      <c r="V4700" s="8" t="s">
        <v>958</v>
      </c>
      <c r="W4700" s="6"/>
      <c r="X4700" s="6"/>
      <c r="Y4700" s="6"/>
      <c r="Z4700" s="6"/>
      <c r="AA4700" s="6" t="s">
        <v>115</v>
      </c>
      <c r="AB4700" s="8"/>
      <c r="AC4700" s="27">
        <v>9785160149899</v>
      </c>
    </row>
    <row r="4701" spans="1:29" s="4" customFormat="1" ht="44.1" customHeight="1" x14ac:dyDescent="0.2">
      <c r="A4701" s="5">
        <v>0</v>
      </c>
      <c r="B4701" s="6" t="s">
        <v>27123</v>
      </c>
      <c r="C4701" s="7">
        <v>1692</v>
      </c>
      <c r="D4701" s="8" t="s">
        <v>27124</v>
      </c>
      <c r="E4701" s="8" t="s">
        <v>27125</v>
      </c>
      <c r="F4701" s="8" t="s">
        <v>27126</v>
      </c>
      <c r="G4701" s="6" t="s">
        <v>33</v>
      </c>
      <c r="H4701" s="6" t="s">
        <v>34</v>
      </c>
      <c r="I4701" s="8" t="s">
        <v>35</v>
      </c>
      <c r="J4701" s="9">
        <v>1</v>
      </c>
      <c r="K4701" s="9">
        <v>256</v>
      </c>
      <c r="L4701" s="9">
        <v>2026</v>
      </c>
      <c r="M4701" s="8" t="s">
        <v>27127</v>
      </c>
      <c r="N4701" s="8" t="s">
        <v>243</v>
      </c>
      <c r="O4701" s="8" t="s">
        <v>964</v>
      </c>
      <c r="P4701" s="6" t="s">
        <v>39</v>
      </c>
      <c r="Q4701" s="8" t="s">
        <v>40</v>
      </c>
      <c r="R4701" s="10" t="s">
        <v>27128</v>
      </c>
      <c r="S4701" s="11"/>
      <c r="T4701" s="6"/>
      <c r="U4701" s="15" t="str">
        <f>HYPERLINK("https://media.infra-m.ru/2254/2254207/cover/2254207.jpg", "Обложка")</f>
        <v>Обложка</v>
      </c>
      <c r="V4701" s="8" t="s">
        <v>27129</v>
      </c>
      <c r="W4701" s="6"/>
      <c r="X4701" s="6"/>
      <c r="Y4701" s="6"/>
      <c r="Z4701" s="6"/>
      <c r="AA4701" s="6" t="s">
        <v>430</v>
      </c>
      <c r="AB4701" s="8"/>
      <c r="AC4701" s="27">
        <v>9785160158983</v>
      </c>
    </row>
    <row r="4702" spans="1:29" s="4" customFormat="1" ht="42" customHeight="1" x14ac:dyDescent="0.2">
      <c r="A4702" s="5">
        <v>0</v>
      </c>
      <c r="B4702" s="6" t="s">
        <v>27130</v>
      </c>
      <c r="C4702" s="13">
        <v>974.4</v>
      </c>
      <c r="D4702" s="8" t="s">
        <v>27131</v>
      </c>
      <c r="E4702" s="8" t="s">
        <v>27132</v>
      </c>
      <c r="F4702" s="8" t="s">
        <v>27133</v>
      </c>
      <c r="G4702" s="6" t="s">
        <v>33</v>
      </c>
      <c r="H4702" s="6" t="s">
        <v>34</v>
      </c>
      <c r="I4702" s="8" t="s">
        <v>27134</v>
      </c>
      <c r="J4702" s="9">
        <v>1</v>
      </c>
      <c r="K4702" s="9">
        <v>108</v>
      </c>
      <c r="L4702" s="9">
        <v>2026</v>
      </c>
      <c r="M4702" s="8" t="s">
        <v>27135</v>
      </c>
      <c r="N4702" s="8" t="s">
        <v>37</v>
      </c>
      <c r="O4702" s="8" t="s">
        <v>280</v>
      </c>
      <c r="P4702" s="6" t="s">
        <v>51</v>
      </c>
      <c r="Q4702" s="8" t="s">
        <v>500</v>
      </c>
      <c r="R4702" s="10" t="s">
        <v>1503</v>
      </c>
      <c r="S4702" s="11"/>
      <c r="T4702" s="6" t="s">
        <v>97</v>
      </c>
      <c r="U4702" s="15" t="str">
        <f>HYPERLINK("https://media.infra-m.ru/2233/2233683/cover/2233683.jpg", "Обложка")</f>
        <v>Обложка</v>
      </c>
      <c r="V4702" s="8" t="s">
        <v>19637</v>
      </c>
      <c r="W4702" s="6"/>
      <c r="X4702" s="6"/>
      <c r="Y4702" s="6"/>
      <c r="Z4702" s="6"/>
      <c r="AA4702" s="6" t="s">
        <v>1015</v>
      </c>
      <c r="AB4702" s="8"/>
      <c r="AC4702" s="27">
        <v>9785160096124</v>
      </c>
    </row>
    <row r="4703" spans="1:29" s="4" customFormat="1" ht="51.9" customHeight="1" x14ac:dyDescent="0.2">
      <c r="A4703" s="5">
        <v>0</v>
      </c>
      <c r="B4703" s="6" t="s">
        <v>27136</v>
      </c>
      <c r="C4703" s="7">
        <v>1224</v>
      </c>
      <c r="D4703" s="8" t="s">
        <v>27137</v>
      </c>
      <c r="E4703" s="8" t="s">
        <v>27138</v>
      </c>
      <c r="F4703" s="8" t="s">
        <v>27139</v>
      </c>
      <c r="G4703" s="6" t="s">
        <v>60</v>
      </c>
      <c r="H4703" s="6" t="s">
        <v>34</v>
      </c>
      <c r="I4703" s="8" t="s">
        <v>253</v>
      </c>
      <c r="J4703" s="9">
        <v>1</v>
      </c>
      <c r="K4703" s="9">
        <v>191</v>
      </c>
      <c r="L4703" s="9">
        <v>2024</v>
      </c>
      <c r="M4703" s="8" t="s">
        <v>27140</v>
      </c>
      <c r="N4703" s="8" t="s">
        <v>37</v>
      </c>
      <c r="O4703" s="8" t="s">
        <v>233</v>
      </c>
      <c r="P4703" s="6" t="s">
        <v>51</v>
      </c>
      <c r="Q4703" s="8" t="s">
        <v>52</v>
      </c>
      <c r="R4703" s="10" t="s">
        <v>27141</v>
      </c>
      <c r="S4703" s="11"/>
      <c r="T4703" s="6"/>
      <c r="U4703" s="15" t="str">
        <f>HYPERLINK("https://media.infra-m.ru/1861/1861002/cover/1861002.jpg", "Обложка")</f>
        <v>Обложка</v>
      </c>
      <c r="V4703" s="8" t="s">
        <v>2475</v>
      </c>
      <c r="W4703" s="6"/>
      <c r="X4703" s="6"/>
      <c r="Y4703" s="6"/>
      <c r="Z4703" s="6"/>
      <c r="AA4703" s="6" t="s">
        <v>76</v>
      </c>
      <c r="AB4703" s="8"/>
      <c r="AC4703" s="27">
        <v>9785160175584</v>
      </c>
    </row>
    <row r="4704" spans="1:29" s="4" customFormat="1" ht="51.9" customHeight="1" x14ac:dyDescent="0.2">
      <c r="A4704" s="5">
        <v>0</v>
      </c>
      <c r="B4704" s="6" t="s">
        <v>27142</v>
      </c>
      <c r="C4704" s="7">
        <v>2740.8</v>
      </c>
      <c r="D4704" s="8" t="s">
        <v>27143</v>
      </c>
      <c r="E4704" s="8" t="s">
        <v>27144</v>
      </c>
      <c r="F4704" s="8" t="s">
        <v>27145</v>
      </c>
      <c r="G4704" s="6" t="s">
        <v>60</v>
      </c>
      <c r="H4704" s="6" t="s">
        <v>134</v>
      </c>
      <c r="I4704" s="8"/>
      <c r="J4704" s="9">
        <v>1</v>
      </c>
      <c r="K4704" s="9">
        <v>416</v>
      </c>
      <c r="L4704" s="9">
        <v>2026</v>
      </c>
      <c r="M4704" s="8" t="s">
        <v>27146</v>
      </c>
      <c r="N4704" s="8" t="s">
        <v>37</v>
      </c>
      <c r="O4704" s="8" t="s">
        <v>233</v>
      </c>
      <c r="P4704" s="6" t="s">
        <v>306</v>
      </c>
      <c r="Q4704" s="8" t="s">
        <v>52</v>
      </c>
      <c r="R4704" s="10" t="s">
        <v>27147</v>
      </c>
      <c r="S4704" s="11" t="s">
        <v>27148</v>
      </c>
      <c r="T4704" s="6"/>
      <c r="U4704" s="15" t="str">
        <f>HYPERLINK("https://media.infra-m.ru/2237/2237116/cover/2237116.jpg", "Обложка")</f>
        <v>Обложка</v>
      </c>
      <c r="V4704" s="8" t="s">
        <v>1768</v>
      </c>
      <c r="W4704" s="6"/>
      <c r="X4704" s="6" t="s">
        <v>24</v>
      </c>
      <c r="Y4704" s="6"/>
      <c r="Z4704" s="6"/>
      <c r="AA4704" s="6" t="s">
        <v>20574</v>
      </c>
      <c r="AB4704" s="8"/>
      <c r="AC4704" s="27">
        <v>9785917684994</v>
      </c>
    </row>
    <row r="4705" spans="1:29" s="4" customFormat="1" ht="44.1" customHeight="1" x14ac:dyDescent="0.2">
      <c r="A4705" s="5">
        <v>0</v>
      </c>
      <c r="B4705" s="6" t="s">
        <v>27149</v>
      </c>
      <c r="C4705" s="7">
        <v>2800.8</v>
      </c>
      <c r="D4705" s="8" t="s">
        <v>27150</v>
      </c>
      <c r="E4705" s="8" t="s">
        <v>27151</v>
      </c>
      <c r="F4705" s="8" t="s">
        <v>27152</v>
      </c>
      <c r="G4705" s="6" t="s">
        <v>118</v>
      </c>
      <c r="H4705" s="6" t="s">
        <v>34</v>
      </c>
      <c r="I4705" s="8" t="s">
        <v>35</v>
      </c>
      <c r="J4705" s="9">
        <v>1</v>
      </c>
      <c r="K4705" s="9">
        <v>424</v>
      </c>
      <c r="L4705" s="9">
        <v>2026</v>
      </c>
      <c r="M4705" s="8" t="s">
        <v>27153</v>
      </c>
      <c r="N4705" s="8" t="s">
        <v>243</v>
      </c>
      <c r="O4705" s="8" t="s">
        <v>385</v>
      </c>
      <c r="P4705" s="6" t="s">
        <v>39</v>
      </c>
      <c r="Q4705" s="8" t="s">
        <v>40</v>
      </c>
      <c r="R4705" s="10" t="s">
        <v>27154</v>
      </c>
      <c r="S4705" s="11"/>
      <c r="T4705" s="6"/>
      <c r="U4705" s="15" t="str">
        <f>HYPERLINK("https://media.infra-m.ru/2225/2225174/cover/2225174.jpg", "Обложка")</f>
        <v>Обложка</v>
      </c>
      <c r="V4705" s="8" t="s">
        <v>1994</v>
      </c>
      <c r="W4705" s="6"/>
      <c r="X4705" s="6"/>
      <c r="Y4705" s="6"/>
      <c r="Z4705" s="6"/>
      <c r="AA4705" s="6" t="s">
        <v>43</v>
      </c>
      <c r="AB4705" s="8"/>
      <c r="AC4705" s="27">
        <v>9785160063157</v>
      </c>
    </row>
    <row r="4706" spans="1:29" s="4" customFormat="1" ht="44.1" customHeight="1" x14ac:dyDescent="0.2">
      <c r="A4706" s="5">
        <v>0</v>
      </c>
      <c r="B4706" s="6" t="s">
        <v>27155</v>
      </c>
      <c r="C4706" s="7">
        <v>2808</v>
      </c>
      <c r="D4706" s="8" t="s">
        <v>27156</v>
      </c>
      <c r="E4706" s="8" t="s">
        <v>27151</v>
      </c>
      <c r="F4706" s="8" t="s">
        <v>27152</v>
      </c>
      <c r="G4706" s="6" t="s">
        <v>33</v>
      </c>
      <c r="H4706" s="6" t="s">
        <v>34</v>
      </c>
      <c r="I4706" s="8" t="s">
        <v>35</v>
      </c>
      <c r="J4706" s="9">
        <v>1</v>
      </c>
      <c r="K4706" s="9">
        <v>424</v>
      </c>
      <c r="L4706" s="9">
        <v>2026</v>
      </c>
      <c r="M4706" s="8" t="s">
        <v>27157</v>
      </c>
      <c r="N4706" s="8" t="s">
        <v>243</v>
      </c>
      <c r="O4706" s="8" t="s">
        <v>385</v>
      </c>
      <c r="P4706" s="6" t="s">
        <v>39</v>
      </c>
      <c r="Q4706" s="8" t="s">
        <v>40</v>
      </c>
      <c r="R4706" s="10" t="s">
        <v>27154</v>
      </c>
      <c r="S4706" s="11"/>
      <c r="T4706" s="6"/>
      <c r="U4706" s="15" t="str">
        <f>HYPERLINK("https://media.infra-m.ru/2196/2196486/cover/2196486.jpg", "Обложка")</f>
        <v>Обложка</v>
      </c>
      <c r="V4706" s="8" t="s">
        <v>1994</v>
      </c>
      <c r="W4706" s="6"/>
      <c r="X4706" s="6"/>
      <c r="Y4706" s="6"/>
      <c r="Z4706" s="6"/>
      <c r="AA4706" s="6" t="s">
        <v>43</v>
      </c>
      <c r="AB4706" s="8"/>
      <c r="AC4706" s="27">
        <v>9785160208350</v>
      </c>
    </row>
    <row r="4707" spans="1:29" s="4" customFormat="1" ht="44.1" customHeight="1" x14ac:dyDescent="0.2">
      <c r="A4707" s="5">
        <v>0</v>
      </c>
      <c r="B4707" s="6" t="s">
        <v>27158</v>
      </c>
      <c r="C4707" s="7">
        <v>3376.8</v>
      </c>
      <c r="D4707" s="8" t="s">
        <v>27159</v>
      </c>
      <c r="E4707" s="8" t="s">
        <v>27160</v>
      </c>
      <c r="F4707" s="8" t="s">
        <v>27161</v>
      </c>
      <c r="G4707" s="6" t="s">
        <v>60</v>
      </c>
      <c r="H4707" s="6" t="s">
        <v>5605</v>
      </c>
      <c r="I4707" s="8"/>
      <c r="J4707" s="9">
        <v>1</v>
      </c>
      <c r="K4707" s="9">
        <v>790</v>
      </c>
      <c r="L4707" s="9">
        <v>2026</v>
      </c>
      <c r="M4707" s="8" t="s">
        <v>27162</v>
      </c>
      <c r="N4707" s="8" t="s">
        <v>37</v>
      </c>
      <c r="O4707" s="8" t="s">
        <v>280</v>
      </c>
      <c r="P4707" s="6" t="s">
        <v>306</v>
      </c>
      <c r="Q4707" s="8" t="s">
        <v>65</v>
      </c>
      <c r="R4707" s="10" t="s">
        <v>2053</v>
      </c>
      <c r="S4707" s="11"/>
      <c r="T4707" s="6"/>
      <c r="U4707" s="15" t="str">
        <f>HYPERLINK("https://media.infra-m.ru/2222/2222974/cover/2222974.jpg", "Обложка")</f>
        <v>Обложка</v>
      </c>
      <c r="V4707" s="8" t="s">
        <v>227</v>
      </c>
      <c r="W4707" s="6"/>
      <c r="X4707" s="6"/>
      <c r="Y4707" s="6"/>
      <c r="Z4707" s="6"/>
      <c r="AA4707" s="6" t="s">
        <v>27163</v>
      </c>
      <c r="AB4707" s="8"/>
      <c r="AC4707" s="27">
        <v>9785160035857</v>
      </c>
    </row>
    <row r="4708" spans="1:29" s="4" customFormat="1" ht="51.9" customHeight="1" x14ac:dyDescent="0.2">
      <c r="A4708" s="5">
        <v>0</v>
      </c>
      <c r="B4708" s="6" t="s">
        <v>27164</v>
      </c>
      <c r="C4708" s="7">
        <v>1480.8</v>
      </c>
      <c r="D4708" s="8" t="s">
        <v>27165</v>
      </c>
      <c r="E4708" s="8" t="s">
        <v>27166</v>
      </c>
      <c r="F4708" s="8" t="s">
        <v>17079</v>
      </c>
      <c r="G4708" s="6" t="s">
        <v>33</v>
      </c>
      <c r="H4708" s="6" t="s">
        <v>134</v>
      </c>
      <c r="I4708" s="8"/>
      <c r="J4708" s="9">
        <v>1</v>
      </c>
      <c r="K4708" s="9">
        <v>224</v>
      </c>
      <c r="L4708" s="9">
        <v>2026</v>
      </c>
      <c r="M4708" s="8" t="s">
        <v>27167</v>
      </c>
      <c r="N4708" s="8" t="s">
        <v>37</v>
      </c>
      <c r="O4708" s="8" t="s">
        <v>136</v>
      </c>
      <c r="P4708" s="6" t="s">
        <v>51</v>
      </c>
      <c r="Q4708" s="8" t="s">
        <v>52</v>
      </c>
      <c r="R4708" s="10" t="s">
        <v>4109</v>
      </c>
      <c r="S4708" s="11" t="s">
        <v>27168</v>
      </c>
      <c r="T4708" s="6"/>
      <c r="U4708" s="15" t="str">
        <f>HYPERLINK("https://media.infra-m.ru/2217/2217565/cover/2217565.jpg", "Обложка")</f>
        <v>Обложка</v>
      </c>
      <c r="V4708" s="8" t="s">
        <v>2466</v>
      </c>
      <c r="W4708" s="6"/>
      <c r="X4708" s="6"/>
      <c r="Y4708" s="6"/>
      <c r="Z4708" s="6"/>
      <c r="AA4708" s="6" t="s">
        <v>248</v>
      </c>
      <c r="AB4708" s="8"/>
      <c r="AC4708" s="27">
        <v>9785917684963</v>
      </c>
    </row>
    <row r="4709" spans="1:29" s="4" customFormat="1" ht="51.9" customHeight="1" x14ac:dyDescent="0.2">
      <c r="A4709" s="5">
        <v>0</v>
      </c>
      <c r="B4709" s="6" t="s">
        <v>27169</v>
      </c>
      <c r="C4709" s="7">
        <v>1584</v>
      </c>
      <c r="D4709" s="8" t="s">
        <v>27170</v>
      </c>
      <c r="E4709" s="8" t="s">
        <v>27171</v>
      </c>
      <c r="F4709" s="8" t="s">
        <v>27172</v>
      </c>
      <c r="G4709" s="6" t="s">
        <v>118</v>
      </c>
      <c r="H4709" s="6" t="s">
        <v>34</v>
      </c>
      <c r="I4709" s="8" t="s">
        <v>253</v>
      </c>
      <c r="J4709" s="9">
        <v>1</v>
      </c>
      <c r="K4709" s="9">
        <v>252</v>
      </c>
      <c r="L4709" s="9">
        <v>2025</v>
      </c>
      <c r="M4709" s="8" t="s">
        <v>27173</v>
      </c>
      <c r="N4709" s="8" t="s">
        <v>585</v>
      </c>
      <c r="O4709" s="8" t="s">
        <v>1518</v>
      </c>
      <c r="P4709" s="6" t="s">
        <v>306</v>
      </c>
      <c r="Q4709" s="8" t="s">
        <v>52</v>
      </c>
      <c r="R4709" s="10" t="s">
        <v>27174</v>
      </c>
      <c r="S4709" s="11" t="s">
        <v>27175</v>
      </c>
      <c r="T4709" s="6"/>
      <c r="U4709" s="15" t="str">
        <f>HYPERLINK("https://media.infra-m.ru/2191/2191270/cover/2191270.jpg", "Обложка")</f>
        <v>Обложка</v>
      </c>
      <c r="V4709" s="8" t="s">
        <v>2522</v>
      </c>
      <c r="W4709" s="6"/>
      <c r="X4709" s="6"/>
      <c r="Y4709" s="6"/>
      <c r="Z4709" s="6"/>
      <c r="AA4709" s="6" t="s">
        <v>86</v>
      </c>
      <c r="AB4709" s="8" t="s">
        <v>2231</v>
      </c>
      <c r="AC4709" s="27">
        <v>9785160190839</v>
      </c>
    </row>
    <row r="4710" spans="1:29" s="4" customFormat="1" ht="51.9" customHeight="1" x14ac:dyDescent="0.2">
      <c r="A4710" s="5">
        <v>0</v>
      </c>
      <c r="B4710" s="6" t="s">
        <v>27176</v>
      </c>
      <c r="C4710" s="7">
        <v>1392</v>
      </c>
      <c r="D4710" s="8" t="s">
        <v>27177</v>
      </c>
      <c r="E4710" s="8" t="s">
        <v>27178</v>
      </c>
      <c r="F4710" s="8" t="s">
        <v>24784</v>
      </c>
      <c r="G4710" s="6" t="s">
        <v>33</v>
      </c>
      <c r="H4710" s="6" t="s">
        <v>820</v>
      </c>
      <c r="I4710" s="8"/>
      <c r="J4710" s="9">
        <v>1</v>
      </c>
      <c r="K4710" s="9">
        <v>222</v>
      </c>
      <c r="L4710" s="9">
        <v>2022</v>
      </c>
      <c r="M4710" s="8" t="s">
        <v>27179</v>
      </c>
      <c r="N4710" s="8" t="s">
        <v>585</v>
      </c>
      <c r="O4710" s="8" t="s">
        <v>1518</v>
      </c>
      <c r="P4710" s="6" t="s">
        <v>51</v>
      </c>
      <c r="Q4710" s="8" t="s">
        <v>265</v>
      </c>
      <c r="R4710" s="10" t="s">
        <v>27180</v>
      </c>
      <c r="S4710" s="11"/>
      <c r="T4710" s="6"/>
      <c r="U4710" s="15" t="str">
        <f>HYPERLINK("https://media.infra-m.ru/1947/1947397/cover/1947397.jpg", "Обложка")</f>
        <v>Обложка</v>
      </c>
      <c r="V4710" s="8" t="s">
        <v>54</v>
      </c>
      <c r="W4710" s="6"/>
      <c r="X4710" s="6" t="s">
        <v>24</v>
      </c>
      <c r="Y4710" s="6"/>
      <c r="Z4710" s="6"/>
      <c r="AA4710" s="6" t="s">
        <v>274</v>
      </c>
      <c r="AB4710" s="8"/>
      <c r="AC4710" s="27">
        <v>9785905554612</v>
      </c>
    </row>
    <row r="4711" spans="1:29" s="4" customFormat="1" ht="51.9" customHeight="1" x14ac:dyDescent="0.2">
      <c r="A4711" s="5">
        <v>0</v>
      </c>
      <c r="B4711" s="6" t="s">
        <v>27181</v>
      </c>
      <c r="C4711" s="7">
        <v>3528</v>
      </c>
      <c r="D4711" s="8" t="s">
        <v>27182</v>
      </c>
      <c r="E4711" s="8" t="s">
        <v>27183</v>
      </c>
      <c r="F4711" s="8" t="s">
        <v>27184</v>
      </c>
      <c r="G4711" s="6" t="s">
        <v>60</v>
      </c>
      <c r="H4711" s="6" t="s">
        <v>34</v>
      </c>
      <c r="I4711" s="8" t="s">
        <v>271</v>
      </c>
      <c r="J4711" s="9">
        <v>1</v>
      </c>
      <c r="K4711" s="9">
        <v>560</v>
      </c>
      <c r="L4711" s="9">
        <v>2025</v>
      </c>
      <c r="M4711" s="8" t="s">
        <v>27185</v>
      </c>
      <c r="N4711" s="8" t="s">
        <v>585</v>
      </c>
      <c r="O4711" s="8" t="s">
        <v>1518</v>
      </c>
      <c r="P4711" s="6" t="s">
        <v>306</v>
      </c>
      <c r="Q4711" s="8" t="s">
        <v>52</v>
      </c>
      <c r="R4711" s="10" t="s">
        <v>5962</v>
      </c>
      <c r="S4711" s="11" t="s">
        <v>27186</v>
      </c>
      <c r="T4711" s="6"/>
      <c r="U4711" s="15" t="str">
        <f>HYPERLINK("https://media.infra-m.ru/2209/2209003/cover/2209003.jpg", "Обложка")</f>
        <v>Обложка</v>
      </c>
      <c r="V4711" s="8" t="s">
        <v>54</v>
      </c>
      <c r="W4711" s="6"/>
      <c r="X4711" s="6"/>
      <c r="Y4711" s="6"/>
      <c r="Z4711" s="6"/>
      <c r="AA4711" s="6" t="s">
        <v>13728</v>
      </c>
      <c r="AB4711" s="8"/>
      <c r="AC4711" s="27">
        <v>9785160111940</v>
      </c>
    </row>
    <row r="4712" spans="1:29" s="4" customFormat="1" ht="51.9" customHeight="1" x14ac:dyDescent="0.2">
      <c r="A4712" s="5">
        <v>0</v>
      </c>
      <c r="B4712" s="6" t="s">
        <v>27187</v>
      </c>
      <c r="C4712" s="7">
        <v>1420.8</v>
      </c>
      <c r="D4712" s="8" t="s">
        <v>27188</v>
      </c>
      <c r="E4712" s="8" t="s">
        <v>27189</v>
      </c>
      <c r="F4712" s="8" t="s">
        <v>27190</v>
      </c>
      <c r="G4712" s="6" t="s">
        <v>60</v>
      </c>
      <c r="H4712" s="6" t="s">
        <v>34</v>
      </c>
      <c r="I4712" s="8" t="s">
        <v>1128</v>
      </c>
      <c r="J4712" s="9">
        <v>1</v>
      </c>
      <c r="K4712" s="9">
        <v>237</v>
      </c>
      <c r="L4712" s="9">
        <v>2025</v>
      </c>
      <c r="M4712" s="8" t="s">
        <v>27191</v>
      </c>
      <c r="N4712" s="8" t="s">
        <v>585</v>
      </c>
      <c r="O4712" s="8" t="s">
        <v>1518</v>
      </c>
      <c r="P4712" s="6" t="s">
        <v>51</v>
      </c>
      <c r="Q4712" s="8" t="s">
        <v>65</v>
      </c>
      <c r="R4712" s="10" t="s">
        <v>27192</v>
      </c>
      <c r="S4712" s="11" t="s">
        <v>27193</v>
      </c>
      <c r="T4712" s="6"/>
      <c r="U4712" s="15" t="str">
        <f>HYPERLINK("https://media.infra-m.ru/2180/2180477/cover/2180477.jpg", "Обложка")</f>
        <v>Обложка</v>
      </c>
      <c r="V4712" s="8" t="s">
        <v>1132</v>
      </c>
      <c r="W4712" s="6"/>
      <c r="X4712" s="6"/>
      <c r="Y4712" s="6"/>
      <c r="Z4712" s="6"/>
      <c r="AA4712" s="6" t="s">
        <v>157</v>
      </c>
      <c r="AB4712" s="8"/>
      <c r="AC4712" s="27">
        <v>9785160188249</v>
      </c>
    </row>
    <row r="4713" spans="1:29" s="4" customFormat="1" ht="51.9" customHeight="1" x14ac:dyDescent="0.2">
      <c r="A4713" s="5">
        <v>0</v>
      </c>
      <c r="B4713" s="6" t="s">
        <v>27194</v>
      </c>
      <c r="C4713" s="7">
        <v>1120.8</v>
      </c>
      <c r="D4713" s="8" t="s">
        <v>27195</v>
      </c>
      <c r="E4713" s="8" t="s">
        <v>27196</v>
      </c>
      <c r="F4713" s="8" t="s">
        <v>27197</v>
      </c>
      <c r="G4713" s="6" t="s">
        <v>118</v>
      </c>
      <c r="H4713" s="6" t="s">
        <v>34</v>
      </c>
      <c r="I4713" s="8" t="s">
        <v>504</v>
      </c>
      <c r="J4713" s="9">
        <v>1</v>
      </c>
      <c r="K4713" s="9">
        <v>166</v>
      </c>
      <c r="L4713" s="9">
        <v>2026</v>
      </c>
      <c r="M4713" s="8" t="s">
        <v>27198</v>
      </c>
      <c r="N4713" s="8" t="s">
        <v>243</v>
      </c>
      <c r="O4713" s="8" t="s">
        <v>1100</v>
      </c>
      <c r="P4713" s="6" t="s">
        <v>51</v>
      </c>
      <c r="Q4713" s="8" t="s">
        <v>500</v>
      </c>
      <c r="R4713" s="10" t="s">
        <v>10856</v>
      </c>
      <c r="S4713" s="11" t="s">
        <v>27199</v>
      </c>
      <c r="T4713" s="6"/>
      <c r="U4713" s="15" t="str">
        <f>HYPERLINK("https://media.infra-m.ru/2227/2227037/cover/2227037.jpg", "Обложка")</f>
        <v>Обложка</v>
      </c>
      <c r="V4713" s="8" t="s">
        <v>19637</v>
      </c>
      <c r="W4713" s="6"/>
      <c r="X4713" s="6"/>
      <c r="Y4713" s="6"/>
      <c r="Z4713" s="6"/>
      <c r="AA4713" s="6" t="s">
        <v>115</v>
      </c>
      <c r="AB4713" s="8"/>
      <c r="AC4713" s="27">
        <v>9785160148199</v>
      </c>
    </row>
    <row r="4714" spans="1:29" s="4" customFormat="1" ht="42" customHeight="1" x14ac:dyDescent="0.2">
      <c r="A4714" s="5">
        <v>0</v>
      </c>
      <c r="B4714" s="6" t="s">
        <v>27200</v>
      </c>
      <c r="C4714" s="13">
        <v>821.9</v>
      </c>
      <c r="D4714" s="8" t="s">
        <v>27201</v>
      </c>
      <c r="E4714" s="8" t="s">
        <v>27202</v>
      </c>
      <c r="F4714" s="8" t="s">
        <v>27203</v>
      </c>
      <c r="G4714" s="6" t="s">
        <v>33</v>
      </c>
      <c r="H4714" s="6" t="s">
        <v>241</v>
      </c>
      <c r="I4714" s="8" t="s">
        <v>3496</v>
      </c>
      <c r="J4714" s="9">
        <v>1</v>
      </c>
      <c r="K4714" s="9">
        <v>152</v>
      </c>
      <c r="L4714" s="9">
        <v>2023</v>
      </c>
      <c r="M4714" s="8" t="s">
        <v>27204</v>
      </c>
      <c r="N4714" s="8" t="s">
        <v>243</v>
      </c>
      <c r="O4714" s="8" t="s">
        <v>758</v>
      </c>
      <c r="P4714" s="6" t="s">
        <v>39</v>
      </c>
      <c r="Q4714" s="8" t="s">
        <v>40</v>
      </c>
      <c r="R4714" s="10" t="s">
        <v>27205</v>
      </c>
      <c r="S4714" s="11"/>
      <c r="T4714" s="6"/>
      <c r="U4714" s="15" t="str">
        <f>HYPERLINK("https://media.infra-m.ru/1911/1911797/cover/1911797.jpg", "Обложка")</f>
        <v>Обложка</v>
      </c>
      <c r="V4714" s="8" t="s">
        <v>217</v>
      </c>
      <c r="W4714" s="6"/>
      <c r="X4714" s="6"/>
      <c r="Y4714" s="6"/>
      <c r="Z4714" s="6"/>
      <c r="AA4714" s="6" t="s">
        <v>274</v>
      </c>
      <c r="AB4714" s="8"/>
      <c r="AC4714" s="27">
        <v>9785955804163</v>
      </c>
    </row>
    <row r="4715" spans="1:29" s="4" customFormat="1" ht="51.9" customHeight="1" x14ac:dyDescent="0.2">
      <c r="A4715" s="5">
        <v>0</v>
      </c>
      <c r="B4715" s="6" t="s">
        <v>27206</v>
      </c>
      <c r="C4715" s="13">
        <v>900</v>
      </c>
      <c r="D4715" s="8" t="s">
        <v>27207</v>
      </c>
      <c r="E4715" s="8" t="s">
        <v>27208</v>
      </c>
      <c r="F4715" s="8" t="s">
        <v>27209</v>
      </c>
      <c r="G4715" s="6" t="s">
        <v>33</v>
      </c>
      <c r="H4715" s="6" t="s">
        <v>34</v>
      </c>
      <c r="I4715" s="8" t="s">
        <v>263</v>
      </c>
      <c r="J4715" s="9">
        <v>1</v>
      </c>
      <c r="K4715" s="9">
        <v>130</v>
      </c>
      <c r="L4715" s="9">
        <v>2026</v>
      </c>
      <c r="M4715" s="8" t="s">
        <v>27210</v>
      </c>
      <c r="N4715" s="8" t="s">
        <v>585</v>
      </c>
      <c r="O4715" s="8" t="s">
        <v>667</v>
      </c>
      <c r="P4715" s="6" t="s">
        <v>51</v>
      </c>
      <c r="Q4715" s="8" t="s">
        <v>265</v>
      </c>
      <c r="R4715" s="10" t="s">
        <v>27211</v>
      </c>
      <c r="S4715" s="11" t="s">
        <v>27212</v>
      </c>
      <c r="T4715" s="6"/>
      <c r="U4715" s="15" t="str">
        <f>HYPERLINK("https://media.infra-m.ru/2261/2261164/cover/2261164.jpg", "Обложка")</f>
        <v>Обложка</v>
      </c>
      <c r="V4715" s="8" t="s">
        <v>761</v>
      </c>
      <c r="W4715" s="6"/>
      <c r="X4715" s="6"/>
      <c r="Y4715" s="6"/>
      <c r="Z4715" s="6"/>
      <c r="AA4715" s="6" t="s">
        <v>1256</v>
      </c>
      <c r="AB4715" s="8"/>
      <c r="AC4715" s="27">
        <v>9785160147680</v>
      </c>
    </row>
    <row r="4716" spans="1:29" s="4" customFormat="1" ht="51.9" customHeight="1" x14ac:dyDescent="0.2">
      <c r="A4716" s="5">
        <v>0</v>
      </c>
      <c r="B4716" s="6" t="s">
        <v>27213</v>
      </c>
      <c r="C4716" s="7">
        <v>1284</v>
      </c>
      <c r="D4716" s="8" t="s">
        <v>27214</v>
      </c>
      <c r="E4716" s="8" t="s">
        <v>27215</v>
      </c>
      <c r="F4716" s="8" t="s">
        <v>3294</v>
      </c>
      <c r="G4716" s="6" t="s">
        <v>33</v>
      </c>
      <c r="H4716" s="6" t="s">
        <v>34</v>
      </c>
      <c r="I4716" s="8" t="s">
        <v>263</v>
      </c>
      <c r="J4716" s="9">
        <v>1</v>
      </c>
      <c r="K4716" s="9">
        <v>158</v>
      </c>
      <c r="L4716" s="9">
        <v>2026</v>
      </c>
      <c r="M4716" s="8" t="s">
        <v>27216</v>
      </c>
      <c r="N4716" s="8" t="s">
        <v>243</v>
      </c>
      <c r="O4716" s="8" t="s">
        <v>758</v>
      </c>
      <c r="P4716" s="6" t="s">
        <v>51</v>
      </c>
      <c r="Q4716" s="8" t="s">
        <v>265</v>
      </c>
      <c r="R4716" s="10" t="s">
        <v>27217</v>
      </c>
      <c r="S4716" s="11" t="s">
        <v>1013</v>
      </c>
      <c r="T4716" s="6"/>
      <c r="U4716" s="15" t="str">
        <f>HYPERLINK("https://media.infra-m.ru/2214/2214698/cover/2214698.jpg", "Обложка")</f>
        <v>Обложка</v>
      </c>
      <c r="V4716" s="8" t="s">
        <v>3297</v>
      </c>
      <c r="W4716" s="6"/>
      <c r="X4716" s="6"/>
      <c r="Y4716" s="6"/>
      <c r="Z4716" s="6"/>
      <c r="AA4716" s="6" t="s">
        <v>561</v>
      </c>
      <c r="AB4716" s="8"/>
      <c r="AC4716" s="27">
        <v>9785160212012</v>
      </c>
    </row>
    <row r="4717" spans="1:29" s="4" customFormat="1" ht="51.9" customHeight="1" x14ac:dyDescent="0.2">
      <c r="A4717" s="5">
        <v>0</v>
      </c>
      <c r="B4717" s="6" t="s">
        <v>27218</v>
      </c>
      <c r="C4717" s="13">
        <v>960</v>
      </c>
      <c r="D4717" s="8" t="s">
        <v>27219</v>
      </c>
      <c r="E4717" s="8" t="s">
        <v>27220</v>
      </c>
      <c r="F4717" s="8" t="s">
        <v>27221</v>
      </c>
      <c r="G4717" s="6" t="s">
        <v>60</v>
      </c>
      <c r="H4717" s="6" t="s">
        <v>34</v>
      </c>
      <c r="I4717" s="8" t="s">
        <v>35</v>
      </c>
      <c r="J4717" s="9">
        <v>1</v>
      </c>
      <c r="K4717" s="9">
        <v>134</v>
      </c>
      <c r="L4717" s="9">
        <v>2027</v>
      </c>
      <c r="M4717" s="8" t="s">
        <v>27222</v>
      </c>
      <c r="N4717" s="8" t="s">
        <v>37</v>
      </c>
      <c r="O4717" s="8" t="s">
        <v>136</v>
      </c>
      <c r="P4717" s="6" t="s">
        <v>39</v>
      </c>
      <c r="Q4717" s="8" t="s">
        <v>40</v>
      </c>
      <c r="R4717" s="10" t="s">
        <v>27223</v>
      </c>
      <c r="S4717" s="11"/>
      <c r="T4717" s="6"/>
      <c r="U4717" s="15" t="str">
        <f>HYPERLINK("https://media.infra-m.ru/2262/2262628/cover/2262628.jpg", "Обложка")</f>
        <v>Обложка</v>
      </c>
      <c r="V4717" s="8" t="s">
        <v>3636</v>
      </c>
      <c r="W4717" s="6" t="s">
        <v>2115</v>
      </c>
      <c r="X4717" s="6"/>
      <c r="Y4717" s="6"/>
      <c r="Z4717" s="6"/>
      <c r="AA4717" s="6" t="s">
        <v>187</v>
      </c>
      <c r="AB4717" s="8"/>
      <c r="AC4717" s="27">
        <v>9785160223445</v>
      </c>
    </row>
    <row r="4718" spans="1:29" s="4" customFormat="1" ht="42" customHeight="1" x14ac:dyDescent="0.2">
      <c r="A4718" s="5">
        <v>0</v>
      </c>
      <c r="B4718" s="6" t="s">
        <v>27224</v>
      </c>
      <c r="C4718" s="7">
        <v>1168.8</v>
      </c>
      <c r="D4718" s="8" t="s">
        <v>27225</v>
      </c>
      <c r="E4718" s="8" t="s">
        <v>27226</v>
      </c>
      <c r="F4718" s="8" t="s">
        <v>14929</v>
      </c>
      <c r="G4718" s="6" t="s">
        <v>33</v>
      </c>
      <c r="H4718" s="6" t="s">
        <v>34</v>
      </c>
      <c r="I4718" s="8" t="s">
        <v>746</v>
      </c>
      <c r="J4718" s="9">
        <v>1</v>
      </c>
      <c r="K4718" s="9">
        <v>188</v>
      </c>
      <c r="L4718" s="9">
        <v>2026</v>
      </c>
      <c r="M4718" s="8" t="s">
        <v>27227</v>
      </c>
      <c r="N4718" s="8" t="s">
        <v>243</v>
      </c>
      <c r="O4718" s="8" t="s">
        <v>385</v>
      </c>
      <c r="P4718" s="6" t="s">
        <v>748</v>
      </c>
      <c r="Q4718" s="8" t="s">
        <v>27228</v>
      </c>
      <c r="R4718" s="10" t="s">
        <v>27229</v>
      </c>
      <c r="S4718" s="11"/>
      <c r="T4718" s="6"/>
      <c r="U4718" s="15" t="str">
        <f>HYPERLINK("https://media.infra-m.ru/2222/2222247/cover/2222247.jpg", "Обложка")</f>
        <v>Обложка</v>
      </c>
      <c r="V4718" s="8" t="s">
        <v>3329</v>
      </c>
      <c r="W4718" s="6"/>
      <c r="X4718" s="6"/>
      <c r="Y4718" s="6"/>
      <c r="Z4718" s="6"/>
      <c r="AA4718" s="6" t="s">
        <v>248</v>
      </c>
      <c r="AB4718" s="8"/>
      <c r="AC4718" s="27">
        <v>9785160090030</v>
      </c>
    </row>
    <row r="4719" spans="1:29" s="4" customFormat="1" ht="51.9" customHeight="1" x14ac:dyDescent="0.2">
      <c r="A4719" s="5">
        <v>0</v>
      </c>
      <c r="B4719" s="6" t="s">
        <v>27230</v>
      </c>
      <c r="C4719" s="13">
        <v>888</v>
      </c>
      <c r="D4719" s="8" t="s">
        <v>27231</v>
      </c>
      <c r="E4719" s="8" t="s">
        <v>27232</v>
      </c>
      <c r="F4719" s="8" t="s">
        <v>27233</v>
      </c>
      <c r="G4719" s="6" t="s">
        <v>33</v>
      </c>
      <c r="H4719" s="6" t="s">
        <v>313</v>
      </c>
      <c r="I4719" s="8" t="s">
        <v>35</v>
      </c>
      <c r="J4719" s="9">
        <v>1</v>
      </c>
      <c r="K4719" s="9">
        <v>148</v>
      </c>
      <c r="L4719" s="9">
        <v>2024</v>
      </c>
      <c r="M4719" s="8" t="s">
        <v>27234</v>
      </c>
      <c r="N4719" s="8" t="s">
        <v>585</v>
      </c>
      <c r="O4719" s="8" t="s">
        <v>586</v>
      </c>
      <c r="P4719" s="6" t="s">
        <v>39</v>
      </c>
      <c r="Q4719" s="8" t="s">
        <v>749</v>
      </c>
      <c r="R4719" s="10" t="s">
        <v>27235</v>
      </c>
      <c r="S4719" s="11"/>
      <c r="T4719" s="6"/>
      <c r="U4719" s="15" t="str">
        <f>HYPERLINK("https://media.infra-m.ru/2140/2140564/cover/2140564.jpg", "Обложка")</f>
        <v>Обложка</v>
      </c>
      <c r="V4719" s="8" t="s">
        <v>7167</v>
      </c>
      <c r="W4719" s="6"/>
      <c r="X4719" s="6"/>
      <c r="Y4719" s="6"/>
      <c r="Z4719" s="6"/>
      <c r="AA4719" s="6" t="s">
        <v>274</v>
      </c>
      <c r="AB4719" s="8"/>
      <c r="AC4719" s="27">
        <v>9785369014301</v>
      </c>
    </row>
    <row r="4720" spans="1:29" s="4" customFormat="1" ht="51.9" customHeight="1" x14ac:dyDescent="0.2">
      <c r="A4720" s="5">
        <v>0</v>
      </c>
      <c r="B4720" s="6" t="s">
        <v>27236</v>
      </c>
      <c r="C4720" s="7">
        <v>1176</v>
      </c>
      <c r="D4720" s="8" t="s">
        <v>27237</v>
      </c>
      <c r="E4720" s="8" t="s">
        <v>27238</v>
      </c>
      <c r="F4720" s="8" t="s">
        <v>27239</v>
      </c>
      <c r="G4720" s="6" t="s">
        <v>60</v>
      </c>
      <c r="H4720" s="6" t="s">
        <v>34</v>
      </c>
      <c r="I4720" s="8" t="s">
        <v>35</v>
      </c>
      <c r="J4720" s="9">
        <v>1</v>
      </c>
      <c r="K4720" s="9">
        <v>159</v>
      </c>
      <c r="L4720" s="9">
        <v>2026</v>
      </c>
      <c r="M4720" s="8" t="s">
        <v>27240</v>
      </c>
      <c r="N4720" s="8" t="s">
        <v>37</v>
      </c>
      <c r="O4720" s="8" t="s">
        <v>136</v>
      </c>
      <c r="P4720" s="6" t="s">
        <v>39</v>
      </c>
      <c r="Q4720" s="8" t="s">
        <v>40</v>
      </c>
      <c r="R4720" s="10" t="s">
        <v>24878</v>
      </c>
      <c r="S4720" s="11"/>
      <c r="T4720" s="6"/>
      <c r="U4720" s="15" t="str">
        <f>HYPERLINK("https://media.infra-m.ru/2226/2226228/cover/2226228.jpg", "Обложка")</f>
        <v>Обложка</v>
      </c>
      <c r="V4720" s="8" t="s">
        <v>67</v>
      </c>
      <c r="W4720" s="6" t="s">
        <v>351</v>
      </c>
      <c r="X4720" s="6"/>
      <c r="Y4720" s="6"/>
      <c r="Z4720" s="6"/>
      <c r="AA4720" s="6" t="s">
        <v>187</v>
      </c>
      <c r="AB4720" s="8" t="s">
        <v>308</v>
      </c>
      <c r="AC4720" s="27">
        <v>9785160214542</v>
      </c>
    </row>
    <row r="4721" spans="1:29" s="4" customFormat="1" ht="51.9" customHeight="1" x14ac:dyDescent="0.2">
      <c r="A4721" s="5">
        <v>0</v>
      </c>
      <c r="B4721" s="6" t="s">
        <v>27241</v>
      </c>
      <c r="C4721" s="7">
        <v>2392.8000000000002</v>
      </c>
      <c r="D4721" s="8" t="s">
        <v>27242</v>
      </c>
      <c r="E4721" s="8" t="s">
        <v>27243</v>
      </c>
      <c r="F4721" s="8" t="s">
        <v>27145</v>
      </c>
      <c r="G4721" s="6" t="s">
        <v>60</v>
      </c>
      <c r="H4721" s="6" t="s">
        <v>134</v>
      </c>
      <c r="I4721" s="8"/>
      <c r="J4721" s="9">
        <v>1</v>
      </c>
      <c r="K4721" s="9">
        <v>448</v>
      </c>
      <c r="L4721" s="9">
        <v>2024</v>
      </c>
      <c r="M4721" s="8" t="s">
        <v>27244</v>
      </c>
      <c r="N4721" s="8" t="s">
        <v>37</v>
      </c>
      <c r="O4721" s="8" t="s">
        <v>233</v>
      </c>
      <c r="P4721" s="6" t="s">
        <v>39</v>
      </c>
      <c r="Q4721" s="8" t="s">
        <v>52</v>
      </c>
      <c r="R4721" s="10" t="s">
        <v>27245</v>
      </c>
      <c r="S4721" s="11"/>
      <c r="T4721" s="6"/>
      <c r="U4721" s="15" t="str">
        <f>HYPERLINK("https://media.infra-m.ru/2056/2056639/cover/2056639.jpg", "Обложка")</f>
        <v>Обложка</v>
      </c>
      <c r="V4721" s="8" t="s">
        <v>1768</v>
      </c>
      <c r="W4721" s="6"/>
      <c r="X4721" s="6"/>
      <c r="Y4721" s="6"/>
      <c r="Z4721" s="6"/>
      <c r="AA4721" s="6" t="s">
        <v>1056</v>
      </c>
      <c r="AB4721" s="8"/>
      <c r="AC4721" s="27">
        <v>9785917680354</v>
      </c>
    </row>
    <row r="4722" spans="1:29" s="4" customFormat="1" ht="51.9" customHeight="1" x14ac:dyDescent="0.2">
      <c r="A4722" s="5">
        <v>0</v>
      </c>
      <c r="B4722" s="6" t="s">
        <v>27246</v>
      </c>
      <c r="C4722" s="7">
        <v>1008</v>
      </c>
      <c r="D4722" s="8" t="s">
        <v>27247</v>
      </c>
      <c r="E4722" s="8" t="s">
        <v>27248</v>
      </c>
      <c r="F4722" s="8" t="s">
        <v>18516</v>
      </c>
      <c r="G4722" s="6" t="s">
        <v>60</v>
      </c>
      <c r="H4722" s="6" t="s">
        <v>34</v>
      </c>
      <c r="I4722" s="8" t="s">
        <v>35</v>
      </c>
      <c r="J4722" s="9">
        <v>1</v>
      </c>
      <c r="K4722" s="9">
        <v>179</v>
      </c>
      <c r="L4722" s="9">
        <v>2023</v>
      </c>
      <c r="M4722" s="8" t="s">
        <v>27249</v>
      </c>
      <c r="N4722" s="8" t="s">
        <v>37</v>
      </c>
      <c r="O4722" s="8" t="s">
        <v>233</v>
      </c>
      <c r="P4722" s="6" t="s">
        <v>39</v>
      </c>
      <c r="Q4722" s="8" t="s">
        <v>40</v>
      </c>
      <c r="R4722" s="10" t="s">
        <v>27250</v>
      </c>
      <c r="S4722" s="11"/>
      <c r="T4722" s="6"/>
      <c r="U4722" s="15" t="str">
        <f>HYPERLINK("https://media.infra-m.ru/2048/2048104/cover/2048104.jpg", "Обложка")</f>
        <v>Обложка</v>
      </c>
      <c r="V4722" s="8" t="s">
        <v>2446</v>
      </c>
      <c r="W4722" s="6"/>
      <c r="X4722" s="6"/>
      <c r="Y4722" s="6"/>
      <c r="Z4722" s="6"/>
      <c r="AA4722" s="6" t="s">
        <v>157</v>
      </c>
      <c r="AB4722" s="8"/>
      <c r="AC4722" s="27">
        <v>9785160186986</v>
      </c>
    </row>
    <row r="4723" spans="1:29" s="4" customFormat="1" ht="42" customHeight="1" x14ac:dyDescent="0.2">
      <c r="A4723" s="5">
        <v>0</v>
      </c>
      <c r="B4723" s="6" t="s">
        <v>27251</v>
      </c>
      <c r="C4723" s="7">
        <v>1056</v>
      </c>
      <c r="D4723" s="8" t="s">
        <v>27252</v>
      </c>
      <c r="E4723" s="8" t="s">
        <v>27253</v>
      </c>
      <c r="F4723" s="8" t="s">
        <v>27254</v>
      </c>
      <c r="G4723" s="6" t="s">
        <v>118</v>
      </c>
      <c r="H4723" s="6" t="s">
        <v>134</v>
      </c>
      <c r="I4723" s="8" t="s">
        <v>27255</v>
      </c>
      <c r="J4723" s="9">
        <v>1</v>
      </c>
      <c r="K4723" s="9">
        <v>176</v>
      </c>
      <c r="L4723" s="9">
        <v>2025</v>
      </c>
      <c r="M4723" s="8" t="s">
        <v>27256</v>
      </c>
      <c r="N4723" s="8" t="s">
        <v>37</v>
      </c>
      <c r="O4723" s="8" t="s">
        <v>136</v>
      </c>
      <c r="P4723" s="6" t="s">
        <v>39</v>
      </c>
      <c r="Q4723" s="8" t="s">
        <v>40</v>
      </c>
      <c r="R4723" s="10" t="s">
        <v>9577</v>
      </c>
      <c r="S4723" s="11"/>
      <c r="T4723" s="6"/>
      <c r="U4723" s="15" t="str">
        <f>HYPERLINK("https://media.infra-m.ru/2169/2169237/cover/2169237.jpg", "Обложка")</f>
        <v>Обложка</v>
      </c>
      <c r="V4723" s="8" t="s">
        <v>227</v>
      </c>
      <c r="W4723" s="6"/>
      <c r="X4723" s="6"/>
      <c r="Y4723" s="6"/>
      <c r="Z4723" s="6"/>
      <c r="AA4723" s="6" t="s">
        <v>623</v>
      </c>
      <c r="AB4723" s="8"/>
      <c r="AC4723" s="27">
        <v>9785917687667</v>
      </c>
    </row>
    <row r="4724" spans="1:29" s="4" customFormat="1" ht="51.9" customHeight="1" x14ac:dyDescent="0.2">
      <c r="A4724" s="5">
        <v>0</v>
      </c>
      <c r="B4724" s="6" t="s">
        <v>27257</v>
      </c>
      <c r="C4724" s="7">
        <v>1416</v>
      </c>
      <c r="D4724" s="8" t="s">
        <v>27258</v>
      </c>
      <c r="E4724" s="8" t="s">
        <v>27259</v>
      </c>
      <c r="F4724" s="8" t="s">
        <v>27260</v>
      </c>
      <c r="G4724" s="6" t="s">
        <v>60</v>
      </c>
      <c r="H4724" s="6" t="s">
        <v>34</v>
      </c>
      <c r="I4724" s="8" t="s">
        <v>253</v>
      </c>
      <c r="J4724" s="9">
        <v>1</v>
      </c>
      <c r="K4724" s="9">
        <v>196</v>
      </c>
      <c r="L4724" s="9">
        <v>2025</v>
      </c>
      <c r="M4724" s="8" t="s">
        <v>27261</v>
      </c>
      <c r="N4724" s="8" t="s">
        <v>243</v>
      </c>
      <c r="O4724" s="8" t="s">
        <v>329</v>
      </c>
      <c r="P4724" s="6" t="s">
        <v>51</v>
      </c>
      <c r="Q4724" s="8" t="s">
        <v>500</v>
      </c>
      <c r="R4724" s="10" t="s">
        <v>27262</v>
      </c>
      <c r="S4724" s="11"/>
      <c r="T4724" s="6"/>
      <c r="U4724" s="15" t="str">
        <f>HYPERLINK("https://media.infra-m.ru/2145/2145985/cover/2145985.jpg", "Обложка")</f>
        <v>Обложка</v>
      </c>
      <c r="V4724" s="8" t="s">
        <v>9943</v>
      </c>
      <c r="W4724" s="6"/>
      <c r="X4724" s="6"/>
      <c r="Y4724" s="6"/>
      <c r="Z4724" s="6"/>
      <c r="AA4724" s="6" t="s">
        <v>68</v>
      </c>
      <c r="AB4724" s="8" t="s">
        <v>2922</v>
      </c>
      <c r="AC4724" s="27">
        <v>9785160199313</v>
      </c>
    </row>
    <row r="4725" spans="1:29" s="4" customFormat="1" ht="51.9" customHeight="1" x14ac:dyDescent="0.2">
      <c r="A4725" s="5">
        <v>0</v>
      </c>
      <c r="B4725" s="6" t="s">
        <v>27263</v>
      </c>
      <c r="C4725" s="13">
        <v>677.9</v>
      </c>
      <c r="D4725" s="8" t="s">
        <v>27264</v>
      </c>
      <c r="E4725" s="8" t="s">
        <v>27265</v>
      </c>
      <c r="F4725" s="8" t="s">
        <v>26274</v>
      </c>
      <c r="G4725" s="6" t="s">
        <v>33</v>
      </c>
      <c r="H4725" s="6" t="s">
        <v>48</v>
      </c>
      <c r="I4725" s="8" t="s">
        <v>401</v>
      </c>
      <c r="J4725" s="9">
        <v>1</v>
      </c>
      <c r="K4725" s="9">
        <v>208</v>
      </c>
      <c r="L4725" s="9">
        <v>2017</v>
      </c>
      <c r="M4725" s="8" t="s">
        <v>27266</v>
      </c>
      <c r="N4725" s="8" t="s">
        <v>243</v>
      </c>
      <c r="O4725" s="8" t="s">
        <v>244</v>
      </c>
      <c r="P4725" s="6" t="s">
        <v>51</v>
      </c>
      <c r="Q4725" s="8" t="s">
        <v>265</v>
      </c>
      <c r="R4725" s="10" t="s">
        <v>27267</v>
      </c>
      <c r="S4725" s="11"/>
      <c r="T4725" s="6"/>
      <c r="U4725" s="12"/>
      <c r="V4725" s="8" t="s">
        <v>26277</v>
      </c>
      <c r="W4725" s="6"/>
      <c r="X4725" s="6"/>
      <c r="Y4725" s="6"/>
      <c r="Z4725" s="6"/>
      <c r="AA4725" s="6" t="s">
        <v>274</v>
      </c>
      <c r="AB4725" s="8"/>
      <c r="AC4725" s="27">
        <v>9785000910795</v>
      </c>
    </row>
    <row r="4726" spans="1:29" s="4" customFormat="1" ht="51.9" customHeight="1" x14ac:dyDescent="0.2">
      <c r="A4726" s="5">
        <v>0</v>
      </c>
      <c r="B4726" s="6" t="s">
        <v>27268</v>
      </c>
      <c r="C4726" s="7">
        <v>1452</v>
      </c>
      <c r="D4726" s="8" t="s">
        <v>27269</v>
      </c>
      <c r="E4726" s="8" t="s">
        <v>27265</v>
      </c>
      <c r="F4726" s="8" t="s">
        <v>26274</v>
      </c>
      <c r="G4726" s="6" t="s">
        <v>118</v>
      </c>
      <c r="H4726" s="6" t="s">
        <v>34</v>
      </c>
      <c r="I4726" s="8" t="s">
        <v>263</v>
      </c>
      <c r="J4726" s="9">
        <v>1</v>
      </c>
      <c r="K4726" s="9">
        <v>208</v>
      </c>
      <c r="L4726" s="9">
        <v>2027</v>
      </c>
      <c r="M4726" s="8" t="s">
        <v>27270</v>
      </c>
      <c r="N4726" s="8" t="s">
        <v>243</v>
      </c>
      <c r="O4726" s="8" t="s">
        <v>244</v>
      </c>
      <c r="P4726" s="6" t="s">
        <v>51</v>
      </c>
      <c r="Q4726" s="8" t="s">
        <v>265</v>
      </c>
      <c r="R4726" s="10" t="s">
        <v>27267</v>
      </c>
      <c r="S4726" s="11" t="s">
        <v>27271</v>
      </c>
      <c r="T4726" s="6"/>
      <c r="U4726" s="15" t="str">
        <f>HYPERLINK("https://media.infra-m.ru/2262/2262621/cover/2262621.jpg", "Обложка")</f>
        <v>Обложка</v>
      </c>
      <c r="V4726" s="8" t="s">
        <v>26277</v>
      </c>
      <c r="W4726" s="6"/>
      <c r="X4726" s="6"/>
      <c r="Y4726" s="6"/>
      <c r="Z4726" s="6"/>
      <c r="AA4726" s="6" t="s">
        <v>274</v>
      </c>
      <c r="AB4726" s="8"/>
      <c r="AC4726" s="27">
        <v>9785160223568</v>
      </c>
    </row>
    <row r="4727" spans="1:29" s="4" customFormat="1" ht="51.9" customHeight="1" x14ac:dyDescent="0.2">
      <c r="A4727" s="5">
        <v>0</v>
      </c>
      <c r="B4727" s="6" t="s">
        <v>27272</v>
      </c>
      <c r="C4727" s="7">
        <v>1660.8</v>
      </c>
      <c r="D4727" s="8" t="s">
        <v>27273</v>
      </c>
      <c r="E4727" s="8" t="s">
        <v>27274</v>
      </c>
      <c r="F4727" s="8" t="s">
        <v>4590</v>
      </c>
      <c r="G4727" s="6" t="s">
        <v>118</v>
      </c>
      <c r="H4727" s="6" t="s">
        <v>34</v>
      </c>
      <c r="I4727" s="8" t="s">
        <v>271</v>
      </c>
      <c r="J4727" s="9">
        <v>1</v>
      </c>
      <c r="K4727" s="9">
        <v>266</v>
      </c>
      <c r="L4727" s="9">
        <v>2026</v>
      </c>
      <c r="M4727" s="8" t="s">
        <v>27275</v>
      </c>
      <c r="N4727" s="8" t="s">
        <v>63</v>
      </c>
      <c r="O4727" s="8" t="s">
        <v>126</v>
      </c>
      <c r="P4727" s="6" t="s">
        <v>51</v>
      </c>
      <c r="Q4727" s="8" t="s">
        <v>52</v>
      </c>
      <c r="R4727" s="10" t="s">
        <v>17255</v>
      </c>
      <c r="S4727" s="11" t="s">
        <v>27276</v>
      </c>
      <c r="T4727" s="6"/>
      <c r="U4727" s="15" t="str">
        <f>HYPERLINK("https://media.infra-m.ru/2208/2208030/cover/2208030.jpg", "Обложка")</f>
        <v>Обложка</v>
      </c>
      <c r="V4727" s="8" t="s">
        <v>3413</v>
      </c>
      <c r="W4727" s="6"/>
      <c r="X4727" s="6"/>
      <c r="Y4727" s="6"/>
      <c r="Z4727" s="6"/>
      <c r="AA4727" s="6" t="s">
        <v>2259</v>
      </c>
      <c r="AB4727" s="8"/>
      <c r="AC4727" s="27">
        <v>9785160133379</v>
      </c>
    </row>
    <row r="4728" spans="1:29" s="4" customFormat="1" ht="42" customHeight="1" x14ac:dyDescent="0.2">
      <c r="A4728" s="5">
        <v>0</v>
      </c>
      <c r="B4728" s="6" t="s">
        <v>27277</v>
      </c>
      <c r="C4728" s="13">
        <v>828</v>
      </c>
      <c r="D4728" s="8" t="s">
        <v>27278</v>
      </c>
      <c r="E4728" s="8" t="s">
        <v>27279</v>
      </c>
      <c r="F4728" s="8" t="s">
        <v>27280</v>
      </c>
      <c r="G4728" s="6" t="s">
        <v>33</v>
      </c>
      <c r="H4728" s="6" t="s">
        <v>34</v>
      </c>
      <c r="I4728" s="8" t="s">
        <v>35</v>
      </c>
      <c r="J4728" s="9">
        <v>1</v>
      </c>
      <c r="K4728" s="9">
        <v>158</v>
      </c>
      <c r="L4728" s="9">
        <v>2022</v>
      </c>
      <c r="M4728" s="8" t="s">
        <v>27281</v>
      </c>
      <c r="N4728" s="8" t="s">
        <v>63</v>
      </c>
      <c r="O4728" s="8" t="s">
        <v>126</v>
      </c>
      <c r="P4728" s="6" t="s">
        <v>39</v>
      </c>
      <c r="Q4728" s="8" t="s">
        <v>40</v>
      </c>
      <c r="R4728" s="10" t="s">
        <v>27282</v>
      </c>
      <c r="S4728" s="11"/>
      <c r="T4728" s="6"/>
      <c r="U4728" s="15" t="str">
        <f>HYPERLINK("https://media.infra-m.ru/1856/1856825/cover/1856825.jpg", "Обложка")</f>
        <v>Обложка</v>
      </c>
      <c r="V4728" s="8" t="s">
        <v>27283</v>
      </c>
      <c r="W4728" s="6"/>
      <c r="X4728" s="6"/>
      <c r="Y4728" s="6"/>
      <c r="Z4728" s="6"/>
      <c r="AA4728" s="6" t="s">
        <v>148</v>
      </c>
      <c r="AB4728" s="8"/>
      <c r="AC4728" s="27">
        <v>9785160174761</v>
      </c>
    </row>
    <row r="4729" spans="1:29" s="4" customFormat="1" ht="51.9" customHeight="1" x14ac:dyDescent="0.2">
      <c r="A4729" s="5">
        <v>0</v>
      </c>
      <c r="B4729" s="6" t="s">
        <v>27284</v>
      </c>
      <c r="C4729" s="7">
        <v>2872.8</v>
      </c>
      <c r="D4729" s="8" t="s">
        <v>27285</v>
      </c>
      <c r="E4729" s="8" t="s">
        <v>27286</v>
      </c>
      <c r="F4729" s="8" t="s">
        <v>27287</v>
      </c>
      <c r="G4729" s="6" t="s">
        <v>118</v>
      </c>
      <c r="H4729" s="6" t="s">
        <v>5605</v>
      </c>
      <c r="I4729" s="8" t="s">
        <v>253</v>
      </c>
      <c r="J4729" s="9">
        <v>1</v>
      </c>
      <c r="K4729" s="9">
        <v>488</v>
      </c>
      <c r="L4729" s="9">
        <v>2025</v>
      </c>
      <c r="M4729" s="8" t="s">
        <v>27288</v>
      </c>
      <c r="N4729" s="8" t="s">
        <v>243</v>
      </c>
      <c r="O4729" s="8" t="s">
        <v>758</v>
      </c>
      <c r="P4729" s="6" t="s">
        <v>51</v>
      </c>
      <c r="Q4729" s="8" t="s">
        <v>52</v>
      </c>
      <c r="R4729" s="10" t="s">
        <v>27289</v>
      </c>
      <c r="S4729" s="11" t="s">
        <v>27290</v>
      </c>
      <c r="T4729" s="6"/>
      <c r="U4729" s="15" t="str">
        <f>HYPERLINK("https://media.infra-m.ru/2173/2173387/cover/2173387.jpg", "Обложка")</f>
        <v>Обложка</v>
      </c>
      <c r="V4729" s="8" t="s">
        <v>904</v>
      </c>
      <c r="W4729" s="6"/>
      <c r="X4729" s="6"/>
      <c r="Y4729" s="6"/>
      <c r="Z4729" s="6"/>
      <c r="AA4729" s="6" t="s">
        <v>43</v>
      </c>
      <c r="AB4729" s="8"/>
      <c r="AC4729" s="27">
        <v>9785160099170</v>
      </c>
    </row>
    <row r="4730" spans="1:29" s="4" customFormat="1" ht="51.9" customHeight="1" x14ac:dyDescent="0.2">
      <c r="A4730" s="5">
        <v>0</v>
      </c>
      <c r="B4730" s="6" t="s">
        <v>27291</v>
      </c>
      <c r="C4730" s="7">
        <v>2076</v>
      </c>
      <c r="D4730" s="8" t="s">
        <v>27292</v>
      </c>
      <c r="E4730" s="8" t="s">
        <v>27293</v>
      </c>
      <c r="F4730" s="8" t="s">
        <v>27294</v>
      </c>
      <c r="G4730" s="6" t="s">
        <v>118</v>
      </c>
      <c r="H4730" s="6" t="s">
        <v>34</v>
      </c>
      <c r="I4730" s="8" t="s">
        <v>263</v>
      </c>
      <c r="J4730" s="9">
        <v>1</v>
      </c>
      <c r="K4730" s="9">
        <v>329</v>
      </c>
      <c r="L4730" s="9">
        <v>2025</v>
      </c>
      <c r="M4730" s="8" t="s">
        <v>27295</v>
      </c>
      <c r="N4730" s="8" t="s">
        <v>243</v>
      </c>
      <c r="O4730" s="8" t="s">
        <v>244</v>
      </c>
      <c r="P4730" s="6" t="s">
        <v>306</v>
      </c>
      <c r="Q4730" s="8" t="s">
        <v>265</v>
      </c>
      <c r="R4730" s="10" t="s">
        <v>27296</v>
      </c>
      <c r="S4730" s="11" t="s">
        <v>27297</v>
      </c>
      <c r="T4730" s="6"/>
      <c r="U4730" s="15" t="str">
        <f>HYPERLINK("https://media.infra-m.ru/2174/2174910/cover/2174910.jpg", "Обложка")</f>
        <v>Обложка</v>
      </c>
      <c r="V4730" s="8" t="s">
        <v>761</v>
      </c>
      <c r="W4730" s="6"/>
      <c r="X4730" s="6" t="s">
        <v>24</v>
      </c>
      <c r="Y4730" s="6"/>
      <c r="Z4730" s="6" t="s">
        <v>267</v>
      </c>
      <c r="AA4730" s="6" t="s">
        <v>115</v>
      </c>
      <c r="AB4730" s="8"/>
      <c r="AC4730" s="27">
        <v>9785160144412</v>
      </c>
    </row>
    <row r="4731" spans="1:29" s="4" customFormat="1" ht="51.9" customHeight="1" x14ac:dyDescent="0.2">
      <c r="A4731" s="5">
        <v>0</v>
      </c>
      <c r="B4731" s="6" t="s">
        <v>27298</v>
      </c>
      <c r="C4731" s="7">
        <v>2056.8000000000002</v>
      </c>
      <c r="D4731" s="8" t="s">
        <v>27299</v>
      </c>
      <c r="E4731" s="8" t="s">
        <v>27293</v>
      </c>
      <c r="F4731" s="8" t="s">
        <v>27294</v>
      </c>
      <c r="G4731" s="6" t="s">
        <v>118</v>
      </c>
      <c r="H4731" s="6" t="s">
        <v>34</v>
      </c>
      <c r="I4731" s="8" t="s">
        <v>271</v>
      </c>
      <c r="J4731" s="9">
        <v>1</v>
      </c>
      <c r="K4731" s="9">
        <v>329</v>
      </c>
      <c r="L4731" s="9">
        <v>2026</v>
      </c>
      <c r="M4731" s="8" t="s">
        <v>27300</v>
      </c>
      <c r="N4731" s="8" t="s">
        <v>243</v>
      </c>
      <c r="O4731" s="8" t="s">
        <v>244</v>
      </c>
      <c r="P4731" s="6" t="s">
        <v>306</v>
      </c>
      <c r="Q4731" s="8" t="s">
        <v>52</v>
      </c>
      <c r="R4731" s="10" t="s">
        <v>27301</v>
      </c>
      <c r="S4731" s="11" t="s">
        <v>27302</v>
      </c>
      <c r="T4731" s="6"/>
      <c r="U4731" s="15" t="str">
        <f>HYPERLINK("https://media.infra-m.ru/2223/2223786/cover/2223786.jpg", "Обложка")</f>
        <v>Обложка</v>
      </c>
      <c r="V4731" s="8" t="s">
        <v>761</v>
      </c>
      <c r="W4731" s="6"/>
      <c r="X4731" s="6"/>
      <c r="Y4731" s="6"/>
      <c r="Z4731" s="6"/>
      <c r="AA4731" s="6" t="s">
        <v>274</v>
      </c>
      <c r="AB4731" s="8"/>
      <c r="AC4731" s="27">
        <v>9785160102139</v>
      </c>
    </row>
    <row r="4732" spans="1:29" s="4" customFormat="1" ht="44.1" customHeight="1" x14ac:dyDescent="0.2">
      <c r="A4732" s="5">
        <v>0</v>
      </c>
      <c r="B4732" s="6" t="s">
        <v>27303</v>
      </c>
      <c r="C4732" s="7">
        <v>1620</v>
      </c>
      <c r="D4732" s="8" t="s">
        <v>27304</v>
      </c>
      <c r="E4732" s="8" t="s">
        <v>27305</v>
      </c>
      <c r="F4732" s="8" t="s">
        <v>27306</v>
      </c>
      <c r="G4732" s="6" t="s">
        <v>118</v>
      </c>
      <c r="H4732" s="6" t="s">
        <v>34</v>
      </c>
      <c r="I4732" s="8" t="s">
        <v>2171</v>
      </c>
      <c r="J4732" s="9">
        <v>1</v>
      </c>
      <c r="K4732" s="9">
        <v>233</v>
      </c>
      <c r="L4732" s="9">
        <v>2026</v>
      </c>
      <c r="M4732" s="8" t="s">
        <v>27307</v>
      </c>
      <c r="N4732" s="8" t="s">
        <v>243</v>
      </c>
      <c r="O4732" s="8" t="s">
        <v>933</v>
      </c>
      <c r="P4732" s="6" t="s">
        <v>51</v>
      </c>
      <c r="Q4732" s="8" t="s">
        <v>65</v>
      </c>
      <c r="R4732" s="10" t="s">
        <v>27308</v>
      </c>
      <c r="S4732" s="11"/>
      <c r="T4732" s="6"/>
      <c r="U4732" s="15" t="str">
        <f>HYPERLINK("https://media.infra-m.ru/2259/2259964/cover/2259964.jpg", "Обложка")</f>
        <v>Обложка</v>
      </c>
      <c r="V4732" s="8" t="s">
        <v>2175</v>
      </c>
      <c r="W4732" s="6"/>
      <c r="X4732" s="6"/>
      <c r="Y4732" s="6"/>
      <c r="Z4732" s="6"/>
      <c r="AA4732" s="6" t="s">
        <v>187</v>
      </c>
      <c r="AB4732" s="8"/>
      <c r="AC4732" s="27">
        <v>9785160214092</v>
      </c>
    </row>
    <row r="4733" spans="1:29" s="4" customFormat="1" ht="51.9" customHeight="1" x14ac:dyDescent="0.2">
      <c r="A4733" s="5">
        <v>0</v>
      </c>
      <c r="B4733" s="6" t="s">
        <v>27309</v>
      </c>
      <c r="C4733" s="7">
        <v>2424</v>
      </c>
      <c r="D4733" s="8" t="s">
        <v>27310</v>
      </c>
      <c r="E4733" s="8" t="s">
        <v>27311</v>
      </c>
      <c r="F4733" s="8" t="s">
        <v>27312</v>
      </c>
      <c r="G4733" s="6" t="s">
        <v>118</v>
      </c>
      <c r="H4733" s="6" t="s">
        <v>34</v>
      </c>
      <c r="I4733" s="8" t="s">
        <v>263</v>
      </c>
      <c r="J4733" s="9">
        <v>1</v>
      </c>
      <c r="K4733" s="9">
        <v>367</v>
      </c>
      <c r="L4733" s="9">
        <v>2026</v>
      </c>
      <c r="M4733" s="8" t="s">
        <v>27313</v>
      </c>
      <c r="N4733" s="8" t="s">
        <v>243</v>
      </c>
      <c r="O4733" s="8" t="s">
        <v>1100</v>
      </c>
      <c r="P4733" s="6" t="s">
        <v>51</v>
      </c>
      <c r="Q4733" s="8" t="s">
        <v>265</v>
      </c>
      <c r="R4733" s="10" t="s">
        <v>27314</v>
      </c>
      <c r="S4733" s="11" t="s">
        <v>27315</v>
      </c>
      <c r="T4733" s="6"/>
      <c r="U4733" s="15" t="str">
        <f>HYPERLINK("https://media.infra-m.ru/2231/2231766/cover/2231766.jpg", "Обложка")</f>
        <v>Обложка</v>
      </c>
      <c r="V4733" s="8" t="s">
        <v>1853</v>
      </c>
      <c r="W4733" s="6"/>
      <c r="X4733" s="6"/>
      <c r="Y4733" s="6"/>
      <c r="Z4733" s="6" t="s">
        <v>267</v>
      </c>
      <c r="AA4733" s="6" t="s">
        <v>115</v>
      </c>
      <c r="AB4733" s="8"/>
      <c r="AC4733" s="27">
        <v>9785160217512</v>
      </c>
    </row>
    <row r="4734" spans="1:29" s="4" customFormat="1" ht="51.9" customHeight="1" x14ac:dyDescent="0.2">
      <c r="A4734" s="5">
        <v>0</v>
      </c>
      <c r="B4734" s="6" t="s">
        <v>27316</v>
      </c>
      <c r="C4734" s="7">
        <v>2424</v>
      </c>
      <c r="D4734" s="8" t="s">
        <v>27317</v>
      </c>
      <c r="E4734" s="8" t="s">
        <v>27311</v>
      </c>
      <c r="F4734" s="8" t="s">
        <v>27312</v>
      </c>
      <c r="G4734" s="6" t="s">
        <v>118</v>
      </c>
      <c r="H4734" s="6" t="s">
        <v>34</v>
      </c>
      <c r="I4734" s="8" t="s">
        <v>253</v>
      </c>
      <c r="J4734" s="9">
        <v>1</v>
      </c>
      <c r="K4734" s="9">
        <v>367</v>
      </c>
      <c r="L4734" s="9">
        <v>2026</v>
      </c>
      <c r="M4734" s="8" t="s">
        <v>27318</v>
      </c>
      <c r="N4734" s="8" t="s">
        <v>243</v>
      </c>
      <c r="O4734" s="8" t="s">
        <v>1100</v>
      </c>
      <c r="P4734" s="6" t="s">
        <v>51</v>
      </c>
      <c r="Q4734" s="8" t="s">
        <v>52</v>
      </c>
      <c r="R4734" s="10" t="s">
        <v>27319</v>
      </c>
      <c r="S4734" s="11" t="s">
        <v>27320</v>
      </c>
      <c r="T4734" s="6"/>
      <c r="U4734" s="15" t="str">
        <f>HYPERLINK("https://media.infra-m.ru/2242/2242761/cover/2242761.jpg", "Обложка")</f>
        <v>Обложка</v>
      </c>
      <c r="V4734" s="8" t="s">
        <v>1853</v>
      </c>
      <c r="W4734" s="6"/>
      <c r="X4734" s="6"/>
      <c r="Y4734" s="6"/>
      <c r="Z4734" s="6"/>
      <c r="AA4734" s="6" t="s">
        <v>1047</v>
      </c>
      <c r="AB4734" s="8"/>
      <c r="AC4734" s="27">
        <v>9785160219219</v>
      </c>
    </row>
    <row r="4735" spans="1:29" s="4" customFormat="1" ht="44.1" customHeight="1" x14ac:dyDescent="0.2">
      <c r="A4735" s="5">
        <v>0</v>
      </c>
      <c r="B4735" s="6" t="s">
        <v>27321</v>
      </c>
      <c r="C4735" s="7">
        <v>1680</v>
      </c>
      <c r="D4735" s="8" t="s">
        <v>27322</v>
      </c>
      <c r="E4735" s="8" t="s">
        <v>27323</v>
      </c>
      <c r="F4735" s="8" t="s">
        <v>27324</v>
      </c>
      <c r="G4735" s="6" t="s">
        <v>33</v>
      </c>
      <c r="H4735" s="6" t="s">
        <v>34</v>
      </c>
      <c r="I4735" s="8"/>
      <c r="J4735" s="9">
        <v>1</v>
      </c>
      <c r="K4735" s="9">
        <v>240</v>
      </c>
      <c r="L4735" s="9">
        <v>2027</v>
      </c>
      <c r="M4735" s="8" t="s">
        <v>27325</v>
      </c>
      <c r="N4735" s="8" t="s">
        <v>37</v>
      </c>
      <c r="O4735" s="8" t="s">
        <v>499</v>
      </c>
      <c r="P4735" s="6" t="s">
        <v>306</v>
      </c>
      <c r="Q4735" s="8" t="s">
        <v>52</v>
      </c>
      <c r="R4735" s="10" t="s">
        <v>27326</v>
      </c>
      <c r="S4735" s="11"/>
      <c r="T4735" s="6"/>
      <c r="U4735" s="15" t="str">
        <f>HYPERLINK("https://media.infra-m.ru/2262/2262727/cover/2262727.jpg", "Обложка")</f>
        <v>Обложка</v>
      </c>
      <c r="V4735" s="8" t="s">
        <v>1030</v>
      </c>
      <c r="W4735" s="6"/>
      <c r="X4735" s="6"/>
      <c r="Y4735" s="6"/>
      <c r="Z4735" s="6"/>
      <c r="AA4735" s="6" t="s">
        <v>779</v>
      </c>
      <c r="AB4735" s="8"/>
      <c r="AC4735" s="27">
        <v>9785160223872</v>
      </c>
    </row>
    <row r="4736" spans="1:29" s="4" customFormat="1" ht="51.9" customHeight="1" x14ac:dyDescent="0.2">
      <c r="A4736" s="5">
        <v>0</v>
      </c>
      <c r="B4736" s="6" t="s">
        <v>27327</v>
      </c>
      <c r="C4736" s="7">
        <v>2124</v>
      </c>
      <c r="D4736" s="8" t="s">
        <v>27328</v>
      </c>
      <c r="E4736" s="8" t="s">
        <v>27329</v>
      </c>
      <c r="F4736" s="8" t="s">
        <v>27330</v>
      </c>
      <c r="G4736" s="6" t="s">
        <v>118</v>
      </c>
      <c r="H4736" s="6" t="s">
        <v>48</v>
      </c>
      <c r="I4736" s="8" t="s">
        <v>263</v>
      </c>
      <c r="J4736" s="9">
        <v>1</v>
      </c>
      <c r="K4736" s="9">
        <v>392</v>
      </c>
      <c r="L4736" s="9">
        <v>2023</v>
      </c>
      <c r="M4736" s="8" t="s">
        <v>27331</v>
      </c>
      <c r="N4736" s="8" t="s">
        <v>243</v>
      </c>
      <c r="O4736" s="8" t="s">
        <v>244</v>
      </c>
      <c r="P4736" s="6" t="s">
        <v>51</v>
      </c>
      <c r="Q4736" s="8" t="s">
        <v>265</v>
      </c>
      <c r="R4736" s="10" t="s">
        <v>27332</v>
      </c>
      <c r="S4736" s="11" t="s">
        <v>27333</v>
      </c>
      <c r="T4736" s="6"/>
      <c r="U4736" s="15" t="str">
        <f>HYPERLINK("https://media.infra-m.ru/1902/1902735/cover/1902735.jpg", "Обложка")</f>
        <v>Обложка</v>
      </c>
      <c r="V4736" s="8" t="s">
        <v>27334</v>
      </c>
      <c r="W4736" s="6"/>
      <c r="X4736" s="6" t="s">
        <v>24</v>
      </c>
      <c r="Y4736" s="6"/>
      <c r="Z4736" s="6"/>
      <c r="AA4736" s="6" t="s">
        <v>99</v>
      </c>
      <c r="AB4736" s="8"/>
      <c r="AC4736" s="27">
        <v>9785000910054</v>
      </c>
    </row>
    <row r="4737" spans="1:29" s="4" customFormat="1" ht="51.9" customHeight="1" x14ac:dyDescent="0.2">
      <c r="A4737" s="5">
        <v>0</v>
      </c>
      <c r="B4737" s="6" t="s">
        <v>27335</v>
      </c>
      <c r="C4737" s="7">
        <v>3916.8</v>
      </c>
      <c r="D4737" s="8" t="s">
        <v>27336</v>
      </c>
      <c r="E4737" s="8" t="s">
        <v>27337</v>
      </c>
      <c r="F4737" s="8" t="s">
        <v>1882</v>
      </c>
      <c r="G4737" s="6" t="s">
        <v>60</v>
      </c>
      <c r="H4737" s="6" t="s">
        <v>34</v>
      </c>
      <c r="I4737" s="8" t="s">
        <v>263</v>
      </c>
      <c r="J4737" s="9">
        <v>1</v>
      </c>
      <c r="K4737" s="9">
        <v>594</v>
      </c>
      <c r="L4737" s="9">
        <v>2026</v>
      </c>
      <c r="M4737" s="8" t="s">
        <v>27338</v>
      </c>
      <c r="N4737" s="8" t="s">
        <v>243</v>
      </c>
      <c r="O4737" s="8" t="s">
        <v>244</v>
      </c>
      <c r="P4737" s="6" t="s">
        <v>51</v>
      </c>
      <c r="Q4737" s="8" t="s">
        <v>265</v>
      </c>
      <c r="R4737" s="10" t="s">
        <v>27332</v>
      </c>
      <c r="S4737" s="11" t="s">
        <v>27339</v>
      </c>
      <c r="T4737" s="6"/>
      <c r="U4737" s="15" t="str">
        <f>HYPERLINK("https://media.infra-m.ru/2243/2243256/cover/2243256.jpg", "Обложка")</f>
        <v>Обложка</v>
      </c>
      <c r="V4737" s="8" t="s">
        <v>1206</v>
      </c>
      <c r="W4737" s="6"/>
      <c r="X4737" s="6" t="s">
        <v>24</v>
      </c>
      <c r="Y4737" s="6"/>
      <c r="Z4737" s="6"/>
      <c r="AA4737" s="6" t="s">
        <v>1256</v>
      </c>
      <c r="AB4737" s="8"/>
      <c r="AC4737" s="27">
        <v>9785160144429</v>
      </c>
    </row>
    <row r="4738" spans="1:29" s="4" customFormat="1" ht="42" customHeight="1" x14ac:dyDescent="0.2">
      <c r="A4738" s="5">
        <v>0</v>
      </c>
      <c r="B4738" s="6" t="s">
        <v>27340</v>
      </c>
      <c r="C4738" s="7">
        <v>1464</v>
      </c>
      <c r="D4738" s="8" t="s">
        <v>27341</v>
      </c>
      <c r="E4738" s="8" t="s">
        <v>27342</v>
      </c>
      <c r="F4738" s="8" t="s">
        <v>12553</v>
      </c>
      <c r="G4738" s="6" t="s">
        <v>60</v>
      </c>
      <c r="H4738" s="6" t="s">
        <v>34</v>
      </c>
      <c r="I4738" s="8" t="s">
        <v>263</v>
      </c>
      <c r="J4738" s="9">
        <v>1</v>
      </c>
      <c r="K4738" s="9">
        <v>243</v>
      </c>
      <c r="L4738" s="9">
        <v>2025</v>
      </c>
      <c r="M4738" s="8" t="s">
        <v>27343</v>
      </c>
      <c r="N4738" s="8" t="s">
        <v>243</v>
      </c>
      <c r="O4738" s="8" t="s">
        <v>244</v>
      </c>
      <c r="P4738" s="6" t="s">
        <v>51</v>
      </c>
      <c r="Q4738" s="8" t="s">
        <v>265</v>
      </c>
      <c r="R4738" s="10" t="s">
        <v>12827</v>
      </c>
      <c r="S4738" s="11"/>
      <c r="T4738" s="6"/>
      <c r="U4738" s="15" t="str">
        <f>HYPERLINK("https://media.infra-m.ru/1867/1867578/cover/1867578.jpg", "Обложка")</f>
        <v>Обложка</v>
      </c>
      <c r="V4738" s="8" t="s">
        <v>12556</v>
      </c>
      <c r="W4738" s="6"/>
      <c r="X4738" s="6"/>
      <c r="Y4738" s="6"/>
      <c r="Z4738" s="6"/>
      <c r="AA4738" s="6" t="s">
        <v>68</v>
      </c>
      <c r="AB4738" s="8"/>
      <c r="AC4738" s="27">
        <v>9785160176840</v>
      </c>
    </row>
    <row r="4739" spans="1:29" s="4" customFormat="1" ht="51.9" customHeight="1" x14ac:dyDescent="0.2">
      <c r="A4739" s="5">
        <v>0</v>
      </c>
      <c r="B4739" s="6" t="s">
        <v>27344</v>
      </c>
      <c r="C4739" s="7">
        <v>2882.4</v>
      </c>
      <c r="D4739" s="8" t="s">
        <v>27345</v>
      </c>
      <c r="E4739" s="8" t="s">
        <v>27346</v>
      </c>
      <c r="F4739" s="8" t="s">
        <v>1882</v>
      </c>
      <c r="G4739" s="6" t="s">
        <v>118</v>
      </c>
      <c r="H4739" s="6" t="s">
        <v>34</v>
      </c>
      <c r="I4739" s="8" t="s">
        <v>253</v>
      </c>
      <c r="J4739" s="9">
        <v>1</v>
      </c>
      <c r="K4739" s="9">
        <v>336</v>
      </c>
      <c r="L4739" s="9">
        <v>2026</v>
      </c>
      <c r="M4739" s="8" t="s">
        <v>27347</v>
      </c>
      <c r="N4739" s="8" t="s">
        <v>243</v>
      </c>
      <c r="O4739" s="8" t="s">
        <v>244</v>
      </c>
      <c r="P4739" s="6" t="s">
        <v>51</v>
      </c>
      <c r="Q4739" s="8" t="s">
        <v>52</v>
      </c>
      <c r="R4739" s="10" t="s">
        <v>27348</v>
      </c>
      <c r="S4739" s="11" t="s">
        <v>27349</v>
      </c>
      <c r="T4739" s="6"/>
      <c r="U4739" s="15" t="str">
        <f>HYPERLINK("https://media.infra-m.ru/2232/2232773/cover/2232773.jpg", "Обложка")</f>
        <v>Обложка</v>
      </c>
      <c r="V4739" s="8" t="s">
        <v>1206</v>
      </c>
      <c r="W4739" s="6"/>
      <c r="X4739" s="6"/>
      <c r="Y4739" s="6"/>
      <c r="Z4739" s="6"/>
      <c r="AA4739" s="6" t="s">
        <v>779</v>
      </c>
      <c r="AB4739" s="8"/>
      <c r="AC4739" s="27">
        <v>9785160216324</v>
      </c>
    </row>
    <row r="4740" spans="1:29" s="4" customFormat="1" ht="51.9" customHeight="1" x14ac:dyDescent="0.2">
      <c r="A4740" s="5">
        <v>0</v>
      </c>
      <c r="B4740" s="6" t="s">
        <v>27350</v>
      </c>
      <c r="C4740" s="7">
        <v>2948.4</v>
      </c>
      <c r="D4740" s="8" t="s">
        <v>27351</v>
      </c>
      <c r="E4740" s="8" t="s">
        <v>27352</v>
      </c>
      <c r="F4740" s="8" t="s">
        <v>1882</v>
      </c>
      <c r="G4740" s="6" t="s">
        <v>118</v>
      </c>
      <c r="H4740" s="6" t="s">
        <v>34</v>
      </c>
      <c r="I4740" s="8" t="s">
        <v>271</v>
      </c>
      <c r="J4740" s="9">
        <v>1</v>
      </c>
      <c r="K4740" s="9">
        <v>343</v>
      </c>
      <c r="L4740" s="9">
        <v>2026</v>
      </c>
      <c r="M4740" s="8" t="s">
        <v>27353</v>
      </c>
      <c r="N4740" s="8" t="s">
        <v>243</v>
      </c>
      <c r="O4740" s="8" t="s">
        <v>244</v>
      </c>
      <c r="P4740" s="6" t="s">
        <v>51</v>
      </c>
      <c r="Q4740" s="8" t="s">
        <v>52</v>
      </c>
      <c r="R4740" s="10" t="s">
        <v>27354</v>
      </c>
      <c r="S4740" s="11" t="s">
        <v>27355</v>
      </c>
      <c r="T4740" s="6"/>
      <c r="U4740" s="15" t="str">
        <f>HYPERLINK("https://media.infra-m.ru/2231/2231603/cover/2231603.jpg", "Обложка")</f>
        <v>Обложка</v>
      </c>
      <c r="V4740" s="8" t="s">
        <v>1206</v>
      </c>
      <c r="W4740" s="6"/>
      <c r="X4740" s="6"/>
      <c r="Y4740" s="6"/>
      <c r="Z4740" s="6"/>
      <c r="AA4740" s="6" t="s">
        <v>99</v>
      </c>
      <c r="AB4740" s="8"/>
      <c r="AC4740" s="27">
        <v>9785160171425</v>
      </c>
    </row>
    <row r="4741" spans="1:29" s="4" customFormat="1" ht="51.9" customHeight="1" x14ac:dyDescent="0.2">
      <c r="A4741" s="5">
        <v>0</v>
      </c>
      <c r="B4741" s="6" t="s">
        <v>27356</v>
      </c>
      <c r="C4741" s="7">
        <v>3108</v>
      </c>
      <c r="D4741" s="8" t="s">
        <v>27357</v>
      </c>
      <c r="E4741" s="8" t="s">
        <v>27352</v>
      </c>
      <c r="F4741" s="8" t="s">
        <v>1882</v>
      </c>
      <c r="G4741" s="6" t="s">
        <v>118</v>
      </c>
      <c r="H4741" s="6" t="s">
        <v>34</v>
      </c>
      <c r="I4741" s="8" t="s">
        <v>263</v>
      </c>
      <c r="J4741" s="9">
        <v>1</v>
      </c>
      <c r="K4741" s="9">
        <v>343</v>
      </c>
      <c r="L4741" s="9">
        <v>2027</v>
      </c>
      <c r="M4741" s="8" t="s">
        <v>27358</v>
      </c>
      <c r="N4741" s="8" t="s">
        <v>243</v>
      </c>
      <c r="O4741" s="8" t="s">
        <v>244</v>
      </c>
      <c r="P4741" s="6" t="s">
        <v>51</v>
      </c>
      <c r="Q4741" s="8" t="s">
        <v>265</v>
      </c>
      <c r="R4741" s="10" t="s">
        <v>1898</v>
      </c>
      <c r="S4741" s="11" t="s">
        <v>26125</v>
      </c>
      <c r="T4741" s="6"/>
      <c r="U4741" s="15" t="str">
        <f>HYPERLINK("https://media.infra-m.ru/2267/2267478/cover/2267478.jpg", "Обложка")</f>
        <v>Обложка</v>
      </c>
      <c r="V4741" s="8" t="s">
        <v>1206</v>
      </c>
      <c r="W4741" s="6"/>
      <c r="X4741" s="6" t="s">
        <v>24</v>
      </c>
      <c r="Y4741" s="6"/>
      <c r="Z4741" s="6" t="s">
        <v>267</v>
      </c>
      <c r="AA4741" s="6" t="s">
        <v>86</v>
      </c>
      <c r="AB4741" s="8"/>
      <c r="AC4741" s="27">
        <v>9785160169064</v>
      </c>
    </row>
    <row r="4742" spans="1:29" s="4" customFormat="1" ht="51.9" customHeight="1" x14ac:dyDescent="0.2">
      <c r="A4742" s="5">
        <v>0</v>
      </c>
      <c r="B4742" s="6" t="s">
        <v>27359</v>
      </c>
      <c r="C4742" s="7">
        <v>3100.8</v>
      </c>
      <c r="D4742" s="8" t="s">
        <v>27360</v>
      </c>
      <c r="E4742" s="8" t="s">
        <v>27361</v>
      </c>
      <c r="F4742" s="8" t="s">
        <v>1882</v>
      </c>
      <c r="G4742" s="6" t="s">
        <v>60</v>
      </c>
      <c r="H4742" s="6" t="s">
        <v>34</v>
      </c>
      <c r="I4742" s="8" t="s">
        <v>271</v>
      </c>
      <c r="J4742" s="9">
        <v>1</v>
      </c>
      <c r="K4742" s="9">
        <v>515</v>
      </c>
      <c r="L4742" s="9">
        <v>2025</v>
      </c>
      <c r="M4742" s="8" t="s">
        <v>27362</v>
      </c>
      <c r="N4742" s="8" t="s">
        <v>243</v>
      </c>
      <c r="O4742" s="8" t="s">
        <v>244</v>
      </c>
      <c r="P4742" s="6" t="s">
        <v>51</v>
      </c>
      <c r="Q4742" s="8" t="s">
        <v>52</v>
      </c>
      <c r="R4742" s="10" t="s">
        <v>27363</v>
      </c>
      <c r="S4742" s="11" t="s">
        <v>27364</v>
      </c>
      <c r="T4742" s="6"/>
      <c r="U4742" s="15" t="str">
        <f>HYPERLINK("https://media.infra-m.ru/2171/2171193/cover/2171193.jpg", "Обложка")</f>
        <v>Обложка</v>
      </c>
      <c r="V4742" s="8" t="s">
        <v>1206</v>
      </c>
      <c r="W4742" s="6"/>
      <c r="X4742" s="6"/>
      <c r="Y4742" s="6"/>
      <c r="Z4742" s="6"/>
      <c r="AA4742" s="6" t="s">
        <v>148</v>
      </c>
      <c r="AB4742" s="8"/>
      <c r="AC4742" s="27">
        <v>9785160155005</v>
      </c>
    </row>
    <row r="4743" spans="1:29" s="4" customFormat="1" ht="51.9" customHeight="1" x14ac:dyDescent="0.2">
      <c r="A4743" s="5">
        <v>0</v>
      </c>
      <c r="B4743" s="6" t="s">
        <v>27365</v>
      </c>
      <c r="C4743" s="7">
        <v>1512</v>
      </c>
      <c r="D4743" s="8" t="s">
        <v>27366</v>
      </c>
      <c r="E4743" s="8" t="s">
        <v>27367</v>
      </c>
      <c r="F4743" s="8" t="s">
        <v>27368</v>
      </c>
      <c r="G4743" s="6" t="s">
        <v>60</v>
      </c>
      <c r="H4743" s="6" t="s">
        <v>34</v>
      </c>
      <c r="I4743" s="8" t="s">
        <v>263</v>
      </c>
      <c r="J4743" s="9">
        <v>1</v>
      </c>
      <c r="K4743" s="9">
        <v>202</v>
      </c>
      <c r="L4743" s="9">
        <v>2026</v>
      </c>
      <c r="M4743" s="8" t="s">
        <v>27369</v>
      </c>
      <c r="N4743" s="8" t="s">
        <v>243</v>
      </c>
      <c r="O4743" s="8" t="s">
        <v>244</v>
      </c>
      <c r="P4743" s="6" t="s">
        <v>51</v>
      </c>
      <c r="Q4743" s="8" t="s">
        <v>265</v>
      </c>
      <c r="R4743" s="10" t="s">
        <v>27370</v>
      </c>
      <c r="S4743" s="11"/>
      <c r="T4743" s="6"/>
      <c r="U4743" s="15" t="str">
        <f>HYPERLINK("https://media.infra-m.ru/2221/2221293/cover/2221293.jpg", "Обложка")</f>
        <v>Обложка</v>
      </c>
      <c r="V4743" s="8" t="s">
        <v>3337</v>
      </c>
      <c r="W4743" s="6" t="s">
        <v>299</v>
      </c>
      <c r="X4743" s="6"/>
      <c r="Y4743" s="6"/>
      <c r="Z4743" s="6"/>
      <c r="AA4743" s="6" t="s">
        <v>187</v>
      </c>
      <c r="AB4743" s="8" t="s">
        <v>343</v>
      </c>
      <c r="AC4743" s="27">
        <v>9785160212944</v>
      </c>
    </row>
    <row r="4744" spans="1:29" s="4" customFormat="1" ht="51.9" customHeight="1" x14ac:dyDescent="0.2">
      <c r="A4744" s="5">
        <v>0</v>
      </c>
      <c r="B4744" s="6" t="s">
        <v>27371</v>
      </c>
      <c r="C4744" s="7">
        <v>2596.8000000000002</v>
      </c>
      <c r="D4744" s="8" t="s">
        <v>27372</v>
      </c>
      <c r="E4744" s="8" t="s">
        <v>27373</v>
      </c>
      <c r="F4744" s="8" t="s">
        <v>27374</v>
      </c>
      <c r="G4744" s="6" t="s">
        <v>118</v>
      </c>
      <c r="H4744" s="6" t="s">
        <v>1042</v>
      </c>
      <c r="I4744" s="8" t="s">
        <v>263</v>
      </c>
      <c r="J4744" s="9">
        <v>1</v>
      </c>
      <c r="K4744" s="9">
        <v>414</v>
      </c>
      <c r="L4744" s="9">
        <v>2026</v>
      </c>
      <c r="M4744" s="8" t="s">
        <v>27375</v>
      </c>
      <c r="N4744" s="8" t="s">
        <v>243</v>
      </c>
      <c r="O4744" s="8" t="s">
        <v>244</v>
      </c>
      <c r="P4744" s="6" t="s">
        <v>51</v>
      </c>
      <c r="Q4744" s="8" t="s">
        <v>265</v>
      </c>
      <c r="R4744" s="10" t="s">
        <v>27376</v>
      </c>
      <c r="S4744" s="11" t="s">
        <v>27377</v>
      </c>
      <c r="T4744" s="6"/>
      <c r="U4744" s="15" t="str">
        <f>HYPERLINK("https://media.infra-m.ru/2216/2216843/cover/2216843.jpg", "Обложка")</f>
        <v>Обложка</v>
      </c>
      <c r="V4744" s="8" t="s">
        <v>3428</v>
      </c>
      <c r="W4744" s="6"/>
      <c r="X4744" s="6" t="s">
        <v>24</v>
      </c>
      <c r="Y4744" s="6"/>
      <c r="Z4744" s="6"/>
      <c r="AA4744" s="6" t="s">
        <v>949</v>
      </c>
      <c r="AB4744" s="8"/>
      <c r="AC4744" s="27">
        <v>9785819907337</v>
      </c>
    </row>
    <row r="4745" spans="1:29" s="4" customFormat="1" ht="51.9" customHeight="1" x14ac:dyDescent="0.2">
      <c r="A4745" s="5">
        <v>0</v>
      </c>
      <c r="B4745" s="6" t="s">
        <v>27378</v>
      </c>
      <c r="C4745" s="7">
        <v>2700</v>
      </c>
      <c r="D4745" s="8" t="s">
        <v>27379</v>
      </c>
      <c r="E4745" s="8" t="s">
        <v>27380</v>
      </c>
      <c r="F4745" s="8" t="s">
        <v>27381</v>
      </c>
      <c r="G4745" s="6" t="s">
        <v>60</v>
      </c>
      <c r="H4745" s="6" t="s">
        <v>34</v>
      </c>
      <c r="I4745" s="8" t="s">
        <v>263</v>
      </c>
      <c r="J4745" s="9">
        <v>1</v>
      </c>
      <c r="K4745" s="9">
        <v>431</v>
      </c>
      <c r="L4745" s="9">
        <v>2026</v>
      </c>
      <c r="M4745" s="8" t="s">
        <v>27382</v>
      </c>
      <c r="N4745" s="8" t="s">
        <v>243</v>
      </c>
      <c r="O4745" s="8" t="s">
        <v>244</v>
      </c>
      <c r="P4745" s="6" t="s">
        <v>51</v>
      </c>
      <c r="Q4745" s="8" t="s">
        <v>265</v>
      </c>
      <c r="R4745" s="10" t="s">
        <v>27383</v>
      </c>
      <c r="S4745" s="11" t="s">
        <v>27384</v>
      </c>
      <c r="T4745" s="6"/>
      <c r="U4745" s="15" t="str">
        <f>HYPERLINK("https://media.infra-m.ru/2222/2222607/cover/2222607.jpg", "Обложка")</f>
        <v>Обложка</v>
      </c>
      <c r="V4745" s="8" t="s">
        <v>3413</v>
      </c>
      <c r="W4745" s="6"/>
      <c r="X4745" s="6" t="s">
        <v>24</v>
      </c>
      <c r="Y4745" s="6"/>
      <c r="Z4745" s="6"/>
      <c r="AA4745" s="6" t="s">
        <v>446</v>
      </c>
      <c r="AB4745" s="8"/>
      <c r="AC4745" s="27">
        <v>9785160213538</v>
      </c>
    </row>
    <row r="4746" spans="1:29" s="4" customFormat="1" ht="42" customHeight="1" x14ac:dyDescent="0.2">
      <c r="A4746" s="5">
        <v>0</v>
      </c>
      <c r="B4746" s="6" t="s">
        <v>27385</v>
      </c>
      <c r="C4746" s="7">
        <v>2184</v>
      </c>
      <c r="D4746" s="8" t="s">
        <v>27386</v>
      </c>
      <c r="E4746" s="8" t="s">
        <v>27387</v>
      </c>
      <c r="F4746" s="8" t="s">
        <v>27388</v>
      </c>
      <c r="G4746" s="6" t="s">
        <v>118</v>
      </c>
      <c r="H4746" s="6" t="s">
        <v>34</v>
      </c>
      <c r="I4746" s="8" t="s">
        <v>263</v>
      </c>
      <c r="J4746" s="9">
        <v>1</v>
      </c>
      <c r="K4746" s="9">
        <v>314</v>
      </c>
      <c r="L4746" s="9">
        <v>2027</v>
      </c>
      <c r="M4746" s="8" t="s">
        <v>27389</v>
      </c>
      <c r="N4746" s="8" t="s">
        <v>37</v>
      </c>
      <c r="O4746" s="8" t="s">
        <v>233</v>
      </c>
      <c r="P4746" s="6" t="s">
        <v>306</v>
      </c>
      <c r="Q4746" s="8" t="s">
        <v>265</v>
      </c>
      <c r="R4746" s="10" t="s">
        <v>3777</v>
      </c>
      <c r="S4746" s="11"/>
      <c r="T4746" s="6"/>
      <c r="U4746" s="15" t="str">
        <f>HYPERLINK("https://media.infra-m.ru/2266/2266075/cover/2266075.jpg", "Обложка")</f>
        <v>Обложка</v>
      </c>
      <c r="V4746" s="8" t="s">
        <v>396</v>
      </c>
      <c r="W4746" s="6"/>
      <c r="X4746" s="6"/>
      <c r="Y4746" s="6"/>
      <c r="Z4746" s="6"/>
      <c r="AA4746" s="6" t="s">
        <v>76</v>
      </c>
      <c r="AB4746" s="8" t="s">
        <v>17982</v>
      </c>
      <c r="AC4746" s="27">
        <v>9785160181585</v>
      </c>
    </row>
    <row r="4747" spans="1:29" s="4" customFormat="1" ht="42" customHeight="1" x14ac:dyDescent="0.2">
      <c r="A4747" s="5">
        <v>0</v>
      </c>
      <c r="B4747" s="6" t="s">
        <v>27390</v>
      </c>
      <c r="C4747" s="7">
        <v>2016</v>
      </c>
      <c r="D4747" s="8" t="s">
        <v>27391</v>
      </c>
      <c r="E4747" s="8" t="s">
        <v>27392</v>
      </c>
      <c r="F4747" s="8" t="s">
        <v>27393</v>
      </c>
      <c r="G4747" s="6" t="s">
        <v>118</v>
      </c>
      <c r="H4747" s="6" t="s">
        <v>34</v>
      </c>
      <c r="I4747" s="8" t="s">
        <v>263</v>
      </c>
      <c r="J4747" s="9">
        <v>1</v>
      </c>
      <c r="K4747" s="9">
        <v>306</v>
      </c>
      <c r="L4747" s="9">
        <v>2026</v>
      </c>
      <c r="M4747" s="8" t="s">
        <v>27394</v>
      </c>
      <c r="N4747" s="8" t="s">
        <v>37</v>
      </c>
      <c r="O4747" s="8" t="s">
        <v>233</v>
      </c>
      <c r="P4747" s="6" t="s">
        <v>306</v>
      </c>
      <c r="Q4747" s="8" t="s">
        <v>265</v>
      </c>
      <c r="R4747" s="10" t="s">
        <v>3777</v>
      </c>
      <c r="S4747" s="11"/>
      <c r="T4747" s="6"/>
      <c r="U4747" s="15" t="str">
        <f>HYPERLINK("https://media.infra-m.ru/2231/2231249/cover/2231249.jpg", "Обложка")</f>
        <v>Обложка</v>
      </c>
      <c r="V4747" s="8" t="s">
        <v>27395</v>
      </c>
      <c r="W4747" s="6"/>
      <c r="X4747" s="6"/>
      <c r="Y4747" s="6"/>
      <c r="Z4747" s="6"/>
      <c r="AA4747" s="6" t="s">
        <v>76</v>
      </c>
      <c r="AB4747" s="8" t="s">
        <v>17982</v>
      </c>
      <c r="AC4747" s="27">
        <v>9785160181769</v>
      </c>
    </row>
    <row r="4748" spans="1:29" s="4" customFormat="1" ht="42" customHeight="1" x14ac:dyDescent="0.2">
      <c r="A4748" s="5">
        <v>0</v>
      </c>
      <c r="B4748" s="6" t="s">
        <v>27396</v>
      </c>
      <c r="C4748" s="7">
        <v>1608</v>
      </c>
      <c r="D4748" s="8" t="s">
        <v>27397</v>
      </c>
      <c r="E4748" s="8" t="s">
        <v>27398</v>
      </c>
      <c r="F4748" s="8" t="s">
        <v>27399</v>
      </c>
      <c r="G4748" s="6" t="s">
        <v>118</v>
      </c>
      <c r="H4748" s="6" t="s">
        <v>34</v>
      </c>
      <c r="I4748" s="8" t="s">
        <v>304</v>
      </c>
      <c r="J4748" s="9">
        <v>1</v>
      </c>
      <c r="K4748" s="9">
        <v>253</v>
      </c>
      <c r="L4748" s="9">
        <v>2024</v>
      </c>
      <c r="M4748" s="8" t="s">
        <v>27400</v>
      </c>
      <c r="N4748" s="8" t="s">
        <v>37</v>
      </c>
      <c r="O4748" s="8" t="s">
        <v>233</v>
      </c>
      <c r="P4748" s="6" t="s">
        <v>306</v>
      </c>
      <c r="Q4748" s="8" t="s">
        <v>65</v>
      </c>
      <c r="R4748" s="10" t="s">
        <v>1576</v>
      </c>
      <c r="S4748" s="11"/>
      <c r="T4748" s="6"/>
      <c r="U4748" s="15" t="str">
        <f>HYPERLINK("https://media.infra-m.ru/2180/2180999/cover/2180999.jpg", "Обложка")</f>
        <v>Обложка</v>
      </c>
      <c r="V4748" s="8" t="s">
        <v>247</v>
      </c>
      <c r="W4748" s="6"/>
      <c r="X4748" s="6"/>
      <c r="Y4748" s="6"/>
      <c r="Z4748" s="6"/>
      <c r="AA4748" s="6" t="s">
        <v>76</v>
      </c>
      <c r="AB4748" s="8"/>
      <c r="AC4748" s="27">
        <v>9785160187075</v>
      </c>
    </row>
    <row r="4749" spans="1:29" s="4" customFormat="1" ht="51.9" customHeight="1" x14ac:dyDescent="0.2">
      <c r="A4749" s="5">
        <v>0</v>
      </c>
      <c r="B4749" s="6" t="s">
        <v>27401</v>
      </c>
      <c r="C4749" s="7">
        <v>1744.8</v>
      </c>
      <c r="D4749" s="8" t="s">
        <v>27402</v>
      </c>
      <c r="E4749" s="8" t="s">
        <v>27398</v>
      </c>
      <c r="F4749" s="8" t="s">
        <v>2268</v>
      </c>
      <c r="G4749" s="6" t="s">
        <v>118</v>
      </c>
      <c r="H4749" s="6" t="s">
        <v>34</v>
      </c>
      <c r="I4749" s="8" t="s">
        <v>263</v>
      </c>
      <c r="J4749" s="9">
        <v>1</v>
      </c>
      <c r="K4749" s="9">
        <v>265</v>
      </c>
      <c r="L4749" s="9">
        <v>2026</v>
      </c>
      <c r="M4749" s="8" t="s">
        <v>27403</v>
      </c>
      <c r="N4749" s="8" t="s">
        <v>37</v>
      </c>
      <c r="O4749" s="8" t="s">
        <v>233</v>
      </c>
      <c r="P4749" s="6" t="s">
        <v>306</v>
      </c>
      <c r="Q4749" s="8" t="s">
        <v>265</v>
      </c>
      <c r="R4749" s="10" t="s">
        <v>27404</v>
      </c>
      <c r="S4749" s="11" t="s">
        <v>27405</v>
      </c>
      <c r="T4749" s="6"/>
      <c r="U4749" s="15" t="str">
        <f>HYPERLINK("https://media.infra-m.ru/2222/2222972/cover/2222972.jpg", "Обложка")</f>
        <v>Обложка</v>
      </c>
      <c r="V4749" s="8" t="s">
        <v>1994</v>
      </c>
      <c r="W4749" s="6"/>
      <c r="X4749" s="6"/>
      <c r="Y4749" s="6"/>
      <c r="Z4749" s="6"/>
      <c r="AA4749" s="6" t="s">
        <v>157</v>
      </c>
      <c r="AB4749" s="8" t="s">
        <v>2697</v>
      </c>
      <c r="AC4749" s="27">
        <v>9785160175348</v>
      </c>
    </row>
    <row r="4750" spans="1:29" s="4" customFormat="1" ht="51.9" customHeight="1" x14ac:dyDescent="0.2">
      <c r="A4750" s="5">
        <v>0</v>
      </c>
      <c r="B4750" s="6" t="s">
        <v>27406</v>
      </c>
      <c r="C4750" s="7">
        <v>1464</v>
      </c>
      <c r="D4750" s="8" t="s">
        <v>27407</v>
      </c>
      <c r="E4750" s="8" t="s">
        <v>27398</v>
      </c>
      <c r="F4750" s="8" t="s">
        <v>27408</v>
      </c>
      <c r="G4750" s="6" t="s">
        <v>118</v>
      </c>
      <c r="H4750" s="6" t="s">
        <v>34</v>
      </c>
      <c r="I4750" s="8" t="s">
        <v>263</v>
      </c>
      <c r="J4750" s="9">
        <v>1</v>
      </c>
      <c r="K4750" s="9">
        <v>220</v>
      </c>
      <c r="L4750" s="9">
        <v>2026</v>
      </c>
      <c r="M4750" s="8" t="s">
        <v>27409</v>
      </c>
      <c r="N4750" s="8" t="s">
        <v>37</v>
      </c>
      <c r="O4750" s="8" t="s">
        <v>233</v>
      </c>
      <c r="P4750" s="6" t="s">
        <v>51</v>
      </c>
      <c r="Q4750" s="8" t="s">
        <v>265</v>
      </c>
      <c r="R4750" s="10" t="s">
        <v>3777</v>
      </c>
      <c r="S4750" s="11" t="s">
        <v>27410</v>
      </c>
      <c r="T4750" s="6"/>
      <c r="U4750" s="15" t="str">
        <f>HYPERLINK("https://media.infra-m.ru/2206/2206249/cover/2206249.jpg", "Обложка")</f>
        <v>Обложка</v>
      </c>
      <c r="V4750" s="8" t="s">
        <v>911</v>
      </c>
      <c r="W4750" s="6"/>
      <c r="X4750" s="6"/>
      <c r="Y4750" s="6"/>
      <c r="Z4750" s="6"/>
      <c r="AA4750" s="6" t="s">
        <v>157</v>
      </c>
      <c r="AB4750" s="8" t="s">
        <v>3042</v>
      </c>
      <c r="AC4750" s="27">
        <v>9785160182261</v>
      </c>
    </row>
    <row r="4751" spans="1:29" s="4" customFormat="1" ht="51.9" customHeight="1" x14ac:dyDescent="0.2">
      <c r="A4751" s="5">
        <v>0</v>
      </c>
      <c r="B4751" s="6" t="s">
        <v>27411</v>
      </c>
      <c r="C4751" s="7">
        <v>1296</v>
      </c>
      <c r="D4751" s="8" t="s">
        <v>27412</v>
      </c>
      <c r="E4751" s="8" t="s">
        <v>27413</v>
      </c>
      <c r="F4751" s="8" t="s">
        <v>27414</v>
      </c>
      <c r="G4751" s="6" t="s">
        <v>118</v>
      </c>
      <c r="H4751" s="6" t="s">
        <v>34</v>
      </c>
      <c r="I4751" s="8" t="s">
        <v>253</v>
      </c>
      <c r="J4751" s="9">
        <v>1</v>
      </c>
      <c r="K4751" s="9">
        <v>196</v>
      </c>
      <c r="L4751" s="9">
        <v>2026</v>
      </c>
      <c r="M4751" s="8" t="s">
        <v>27415</v>
      </c>
      <c r="N4751" s="8" t="s">
        <v>585</v>
      </c>
      <c r="O4751" s="8" t="s">
        <v>2472</v>
      </c>
      <c r="P4751" s="6" t="s">
        <v>51</v>
      </c>
      <c r="Q4751" s="8" t="s">
        <v>500</v>
      </c>
      <c r="R4751" s="10" t="s">
        <v>27416</v>
      </c>
      <c r="S4751" s="11"/>
      <c r="T4751" s="6"/>
      <c r="U4751" s="15" t="str">
        <f>HYPERLINK("https://media.infra-m.ru/2238/2238501/cover/2238501.jpg", "Обложка")</f>
        <v>Обложка</v>
      </c>
      <c r="V4751" s="8" t="s">
        <v>10175</v>
      </c>
      <c r="W4751" s="6"/>
      <c r="X4751" s="6"/>
      <c r="Y4751" s="6"/>
      <c r="Z4751" s="6"/>
      <c r="AA4751" s="6" t="s">
        <v>1256</v>
      </c>
      <c r="AB4751" s="8"/>
      <c r="AC4751" s="27">
        <v>9785160217994</v>
      </c>
    </row>
    <row r="4752" spans="1:29" s="4" customFormat="1" ht="42" customHeight="1" x14ac:dyDescent="0.2">
      <c r="A4752" s="5">
        <v>0</v>
      </c>
      <c r="B4752" s="6" t="s">
        <v>27417</v>
      </c>
      <c r="C4752" s="7">
        <v>2064</v>
      </c>
      <c r="D4752" s="8" t="s">
        <v>27418</v>
      </c>
      <c r="E4752" s="8" t="s">
        <v>27419</v>
      </c>
      <c r="F4752" s="8" t="s">
        <v>27420</v>
      </c>
      <c r="G4752" s="6" t="s">
        <v>118</v>
      </c>
      <c r="H4752" s="6" t="s">
        <v>313</v>
      </c>
      <c r="I4752" s="8" t="s">
        <v>253</v>
      </c>
      <c r="J4752" s="9">
        <v>1</v>
      </c>
      <c r="K4752" s="9">
        <v>296</v>
      </c>
      <c r="L4752" s="9">
        <v>2027</v>
      </c>
      <c r="M4752" s="8" t="s">
        <v>27421</v>
      </c>
      <c r="N4752" s="8" t="s">
        <v>63</v>
      </c>
      <c r="O4752" s="8" t="s">
        <v>181</v>
      </c>
      <c r="P4752" s="6" t="s">
        <v>306</v>
      </c>
      <c r="Q4752" s="8" t="s">
        <v>52</v>
      </c>
      <c r="R4752" s="10" t="s">
        <v>7812</v>
      </c>
      <c r="S4752" s="11"/>
      <c r="T4752" s="6"/>
      <c r="U4752" s="15" t="str">
        <f>HYPERLINK("https://media.infra-m.ru/2271/2271259/cover/2271259.jpg", "Обложка")</f>
        <v>Обложка</v>
      </c>
      <c r="V4752" s="8" t="s">
        <v>21873</v>
      </c>
      <c r="W4752" s="6"/>
      <c r="X4752" s="6"/>
      <c r="Y4752" s="6"/>
      <c r="Z4752" s="6"/>
      <c r="AA4752" s="6" t="s">
        <v>7463</v>
      </c>
      <c r="AB4752" s="8"/>
      <c r="AC4752" s="27">
        <v>9785369018170</v>
      </c>
    </row>
    <row r="4753" spans="1:29" s="4" customFormat="1" ht="51.9" customHeight="1" x14ac:dyDescent="0.2">
      <c r="A4753" s="5">
        <v>0</v>
      </c>
      <c r="B4753" s="6" t="s">
        <v>27422</v>
      </c>
      <c r="C4753" s="13">
        <v>840</v>
      </c>
      <c r="D4753" s="8" t="s">
        <v>27423</v>
      </c>
      <c r="E4753" s="8" t="s">
        <v>27424</v>
      </c>
      <c r="F4753" s="8" t="s">
        <v>27425</v>
      </c>
      <c r="G4753" s="6" t="s">
        <v>33</v>
      </c>
      <c r="H4753" s="6" t="s">
        <v>34</v>
      </c>
      <c r="I4753" s="8" t="s">
        <v>14000</v>
      </c>
      <c r="J4753" s="9">
        <v>1</v>
      </c>
      <c r="K4753" s="9">
        <v>121</v>
      </c>
      <c r="L4753" s="9">
        <v>2027</v>
      </c>
      <c r="M4753" s="8" t="s">
        <v>27426</v>
      </c>
      <c r="N4753" s="8" t="s">
        <v>243</v>
      </c>
      <c r="O4753" s="8" t="s">
        <v>798</v>
      </c>
      <c r="P4753" s="6" t="s">
        <v>51</v>
      </c>
      <c r="Q4753" s="8" t="s">
        <v>65</v>
      </c>
      <c r="R4753" s="10" t="s">
        <v>7812</v>
      </c>
      <c r="S4753" s="11" t="s">
        <v>27427</v>
      </c>
      <c r="T4753" s="6"/>
      <c r="U4753" s="15" t="str">
        <f>HYPERLINK("https://media.infra-m.ru/2266/2266096/cover/2266096.jpg", "Обложка")</f>
        <v>Обложка</v>
      </c>
      <c r="V4753" s="8" t="s">
        <v>414</v>
      </c>
      <c r="W4753" s="6"/>
      <c r="X4753" s="6"/>
      <c r="Y4753" s="6"/>
      <c r="Z4753" s="6"/>
      <c r="AA4753" s="6" t="s">
        <v>115</v>
      </c>
      <c r="AB4753" s="8"/>
      <c r="AC4753" s="27">
        <v>9785160188362</v>
      </c>
    </row>
    <row r="4754" spans="1:29" s="4" customFormat="1" ht="51.9" customHeight="1" x14ac:dyDescent="0.2">
      <c r="A4754" s="5">
        <v>0</v>
      </c>
      <c r="B4754" s="6" t="s">
        <v>27428</v>
      </c>
      <c r="C4754" s="7">
        <v>1956</v>
      </c>
      <c r="D4754" s="8" t="s">
        <v>27429</v>
      </c>
      <c r="E4754" s="8" t="s">
        <v>27430</v>
      </c>
      <c r="F4754" s="8" t="s">
        <v>27420</v>
      </c>
      <c r="G4754" s="6" t="s">
        <v>118</v>
      </c>
      <c r="H4754" s="6" t="s">
        <v>313</v>
      </c>
      <c r="I4754" s="8" t="s">
        <v>401</v>
      </c>
      <c r="J4754" s="9">
        <v>1</v>
      </c>
      <c r="K4754" s="9">
        <v>296</v>
      </c>
      <c r="L4754" s="9">
        <v>2026</v>
      </c>
      <c r="M4754" s="8" t="s">
        <v>27431</v>
      </c>
      <c r="N4754" s="8" t="s">
        <v>63</v>
      </c>
      <c r="O4754" s="8" t="s">
        <v>181</v>
      </c>
      <c r="P4754" s="6" t="s">
        <v>306</v>
      </c>
      <c r="Q4754" s="8" t="s">
        <v>265</v>
      </c>
      <c r="R4754" s="10" t="s">
        <v>27432</v>
      </c>
      <c r="S4754" s="11"/>
      <c r="T4754" s="6"/>
      <c r="U4754" s="15" t="str">
        <f>HYPERLINK("https://media.infra-m.ru/2250/2250344/cover/2250344.jpg", "Обложка")</f>
        <v>Обложка</v>
      </c>
      <c r="V4754" s="8" t="s">
        <v>21873</v>
      </c>
      <c r="W4754" s="6"/>
      <c r="X4754" s="6"/>
      <c r="Y4754" s="6"/>
      <c r="Z4754" s="6" t="s">
        <v>267</v>
      </c>
      <c r="AA4754" s="6" t="s">
        <v>1256</v>
      </c>
      <c r="AB4754" s="8"/>
      <c r="AC4754" s="27">
        <v>9785369018224</v>
      </c>
    </row>
    <row r="4755" spans="1:29" s="4" customFormat="1" ht="51.9" customHeight="1" x14ac:dyDescent="0.2">
      <c r="A4755" s="5">
        <v>0</v>
      </c>
      <c r="B4755" s="6" t="s">
        <v>27433</v>
      </c>
      <c r="C4755" s="7">
        <v>1900.8</v>
      </c>
      <c r="D4755" s="8" t="s">
        <v>27434</v>
      </c>
      <c r="E4755" s="8" t="s">
        <v>27435</v>
      </c>
      <c r="F4755" s="8" t="s">
        <v>27436</v>
      </c>
      <c r="G4755" s="6" t="s">
        <v>118</v>
      </c>
      <c r="H4755" s="6" t="s">
        <v>820</v>
      </c>
      <c r="I4755" s="8"/>
      <c r="J4755" s="9">
        <v>1</v>
      </c>
      <c r="K4755" s="9">
        <v>288</v>
      </c>
      <c r="L4755" s="9">
        <v>2026</v>
      </c>
      <c r="M4755" s="8" t="s">
        <v>27437</v>
      </c>
      <c r="N4755" s="8" t="s">
        <v>243</v>
      </c>
      <c r="O4755" s="8" t="s">
        <v>244</v>
      </c>
      <c r="P4755" s="6" t="s">
        <v>306</v>
      </c>
      <c r="Q4755" s="8" t="s">
        <v>265</v>
      </c>
      <c r="R4755" s="10" t="s">
        <v>27438</v>
      </c>
      <c r="S4755" s="11"/>
      <c r="T4755" s="6"/>
      <c r="U4755" s="15" t="str">
        <f>HYPERLINK("https://media.infra-m.ru/2184/2184813/cover/2184813.jpg", "Обложка")</f>
        <v>Обложка</v>
      </c>
      <c r="V4755" s="8" t="s">
        <v>3421</v>
      </c>
      <c r="W4755" s="6"/>
      <c r="X4755" s="6"/>
      <c r="Y4755" s="6"/>
      <c r="Z4755" s="6"/>
      <c r="AA4755" s="6" t="s">
        <v>99</v>
      </c>
      <c r="AB4755" s="8"/>
      <c r="AC4755" s="27">
        <v>9785906923196</v>
      </c>
    </row>
    <row r="4756" spans="1:29" s="4" customFormat="1" ht="51.9" customHeight="1" x14ac:dyDescent="0.2">
      <c r="A4756" s="5">
        <v>0</v>
      </c>
      <c r="B4756" s="6" t="s">
        <v>27439</v>
      </c>
      <c r="C4756" s="7">
        <v>1240.8</v>
      </c>
      <c r="D4756" s="8" t="s">
        <v>27440</v>
      </c>
      <c r="E4756" s="8" t="s">
        <v>27441</v>
      </c>
      <c r="F4756" s="8" t="s">
        <v>5357</v>
      </c>
      <c r="G4756" s="6" t="s">
        <v>60</v>
      </c>
      <c r="H4756" s="6" t="s">
        <v>1042</v>
      </c>
      <c r="I4756" s="8" t="s">
        <v>253</v>
      </c>
      <c r="J4756" s="9">
        <v>1</v>
      </c>
      <c r="K4756" s="9">
        <v>224</v>
      </c>
      <c r="L4756" s="9">
        <v>2023</v>
      </c>
      <c r="M4756" s="8" t="s">
        <v>27442</v>
      </c>
      <c r="N4756" s="8" t="s">
        <v>37</v>
      </c>
      <c r="O4756" s="8" t="s">
        <v>233</v>
      </c>
      <c r="P4756" s="6" t="s">
        <v>51</v>
      </c>
      <c r="Q4756" s="8" t="s">
        <v>52</v>
      </c>
      <c r="R4756" s="10" t="s">
        <v>2068</v>
      </c>
      <c r="S4756" s="11" t="s">
        <v>27443</v>
      </c>
      <c r="T4756" s="6"/>
      <c r="U4756" s="15" t="str">
        <f>HYPERLINK("https://media.infra-m.ru/2094/2094511/cover/2094511.jpg", "Обложка")</f>
        <v>Обложка</v>
      </c>
      <c r="V4756" s="8" t="s">
        <v>5360</v>
      </c>
      <c r="W4756" s="6"/>
      <c r="X4756" s="6"/>
      <c r="Y4756" s="6"/>
      <c r="Z4756" s="6"/>
      <c r="AA4756" s="6" t="s">
        <v>55</v>
      </c>
      <c r="AB4756" s="8"/>
      <c r="AC4756" s="27">
        <v>9785819905586</v>
      </c>
    </row>
    <row r="4757" spans="1:29" s="4" customFormat="1" ht="51.9" customHeight="1" x14ac:dyDescent="0.2">
      <c r="A4757" s="5">
        <v>0</v>
      </c>
      <c r="B4757" s="6" t="s">
        <v>27444</v>
      </c>
      <c r="C4757" s="7">
        <v>3056.4</v>
      </c>
      <c r="D4757" s="8" t="s">
        <v>27445</v>
      </c>
      <c r="E4757" s="8" t="s">
        <v>27446</v>
      </c>
      <c r="F4757" s="8" t="s">
        <v>27447</v>
      </c>
      <c r="G4757" s="6" t="s">
        <v>118</v>
      </c>
      <c r="H4757" s="6" t="s">
        <v>34</v>
      </c>
      <c r="I4757" s="8" t="s">
        <v>2171</v>
      </c>
      <c r="J4757" s="9">
        <v>1</v>
      </c>
      <c r="K4757" s="9">
        <v>356</v>
      </c>
      <c r="L4757" s="9">
        <v>2026</v>
      </c>
      <c r="M4757" s="8" t="s">
        <v>27448</v>
      </c>
      <c r="N4757" s="8" t="s">
        <v>37</v>
      </c>
      <c r="O4757" s="8" t="s">
        <v>290</v>
      </c>
      <c r="P4757" s="6" t="s">
        <v>51</v>
      </c>
      <c r="Q4757" s="8" t="s">
        <v>65</v>
      </c>
      <c r="R4757" s="10" t="s">
        <v>27449</v>
      </c>
      <c r="S4757" s="11" t="s">
        <v>27450</v>
      </c>
      <c r="T4757" s="6"/>
      <c r="U4757" s="15" t="str">
        <f>HYPERLINK("https://media.infra-m.ru/2242/2242908/cover/2242908.jpg", "Обложка")</f>
        <v>Обложка</v>
      </c>
      <c r="V4757" s="8" t="s">
        <v>2175</v>
      </c>
      <c r="W4757" s="6"/>
      <c r="X4757" s="6"/>
      <c r="Y4757" s="6"/>
      <c r="Z4757" s="6"/>
      <c r="AA4757" s="6" t="s">
        <v>76</v>
      </c>
      <c r="AB4757" s="8"/>
      <c r="AC4757" s="27">
        <v>9785160161822</v>
      </c>
    </row>
    <row r="4758" spans="1:29" s="4" customFormat="1" ht="51.9" customHeight="1" x14ac:dyDescent="0.2">
      <c r="A4758" s="5">
        <v>0</v>
      </c>
      <c r="B4758" s="6" t="s">
        <v>27451</v>
      </c>
      <c r="C4758" s="7">
        <v>1204.8</v>
      </c>
      <c r="D4758" s="8" t="s">
        <v>27452</v>
      </c>
      <c r="E4758" s="8" t="s">
        <v>27453</v>
      </c>
      <c r="F4758" s="8" t="s">
        <v>4080</v>
      </c>
      <c r="G4758" s="6" t="s">
        <v>118</v>
      </c>
      <c r="H4758" s="6" t="s">
        <v>34</v>
      </c>
      <c r="I4758" s="8" t="s">
        <v>263</v>
      </c>
      <c r="J4758" s="9">
        <v>1</v>
      </c>
      <c r="K4758" s="9">
        <v>183</v>
      </c>
      <c r="L4758" s="9">
        <v>2026</v>
      </c>
      <c r="M4758" s="8" t="s">
        <v>27454</v>
      </c>
      <c r="N4758" s="8" t="s">
        <v>37</v>
      </c>
      <c r="O4758" s="8" t="s">
        <v>233</v>
      </c>
      <c r="P4758" s="6" t="s">
        <v>306</v>
      </c>
      <c r="Q4758" s="8" t="s">
        <v>265</v>
      </c>
      <c r="R4758" s="10" t="s">
        <v>2574</v>
      </c>
      <c r="S4758" s="11" t="s">
        <v>27455</v>
      </c>
      <c r="T4758" s="6"/>
      <c r="U4758" s="15" t="str">
        <f>HYPERLINK("https://media.infra-m.ru/2243/2243257/cover/2243257.jpg", "Обложка")</f>
        <v>Обложка</v>
      </c>
      <c r="V4758" s="8" t="s">
        <v>2035</v>
      </c>
      <c r="W4758" s="6"/>
      <c r="X4758" s="6"/>
      <c r="Y4758" s="6"/>
      <c r="Z4758" s="6"/>
      <c r="AA4758" s="6" t="s">
        <v>1256</v>
      </c>
      <c r="AB4758" s="8"/>
      <c r="AC4758" s="27">
        <v>9785160152295</v>
      </c>
    </row>
    <row r="4759" spans="1:29" s="4" customFormat="1" ht="51.9" customHeight="1" x14ac:dyDescent="0.2">
      <c r="A4759" s="5">
        <v>0</v>
      </c>
      <c r="B4759" s="6" t="s">
        <v>27456</v>
      </c>
      <c r="C4759" s="7">
        <v>1900.8</v>
      </c>
      <c r="D4759" s="8" t="s">
        <v>27457</v>
      </c>
      <c r="E4759" s="8" t="s">
        <v>27458</v>
      </c>
      <c r="F4759" s="8" t="s">
        <v>18294</v>
      </c>
      <c r="G4759" s="6" t="s">
        <v>60</v>
      </c>
      <c r="H4759" s="6" t="s">
        <v>48</v>
      </c>
      <c r="I4759" s="8" t="s">
        <v>401</v>
      </c>
      <c r="J4759" s="9">
        <v>1</v>
      </c>
      <c r="K4759" s="9">
        <v>288</v>
      </c>
      <c r="L4759" s="9">
        <v>2026</v>
      </c>
      <c r="M4759" s="8" t="s">
        <v>27459</v>
      </c>
      <c r="N4759" s="8" t="s">
        <v>37</v>
      </c>
      <c r="O4759" s="8" t="s">
        <v>233</v>
      </c>
      <c r="P4759" s="6" t="s">
        <v>306</v>
      </c>
      <c r="Q4759" s="8" t="s">
        <v>265</v>
      </c>
      <c r="R4759" s="10" t="s">
        <v>2574</v>
      </c>
      <c r="S4759" s="11" t="s">
        <v>27460</v>
      </c>
      <c r="T4759" s="6"/>
      <c r="U4759" s="15" t="str">
        <f>HYPERLINK("https://media.infra-m.ru/2243/2243258/cover/2243258.jpg", "Обложка")</f>
        <v>Обложка</v>
      </c>
      <c r="V4759" s="8" t="s">
        <v>396</v>
      </c>
      <c r="W4759" s="6"/>
      <c r="X4759" s="6"/>
      <c r="Y4759" s="6"/>
      <c r="Z4759" s="6"/>
      <c r="AA4759" s="6" t="s">
        <v>1056</v>
      </c>
      <c r="AB4759" s="8"/>
      <c r="AC4759" s="27">
        <v>9785911343910</v>
      </c>
    </row>
    <row r="4760" spans="1:29" s="4" customFormat="1" ht="51.9" customHeight="1" x14ac:dyDescent="0.2">
      <c r="A4760" s="5">
        <v>0</v>
      </c>
      <c r="B4760" s="6" t="s">
        <v>27461</v>
      </c>
      <c r="C4760" s="7">
        <v>1792.8</v>
      </c>
      <c r="D4760" s="8" t="s">
        <v>27462</v>
      </c>
      <c r="E4760" s="8" t="s">
        <v>27458</v>
      </c>
      <c r="F4760" s="8" t="s">
        <v>4085</v>
      </c>
      <c r="G4760" s="6" t="s">
        <v>118</v>
      </c>
      <c r="H4760" s="6" t="s">
        <v>1042</v>
      </c>
      <c r="I4760" s="8" t="s">
        <v>401</v>
      </c>
      <c r="J4760" s="9">
        <v>1</v>
      </c>
      <c r="K4760" s="9">
        <v>288</v>
      </c>
      <c r="L4760" s="9">
        <v>2026</v>
      </c>
      <c r="M4760" s="8" t="s">
        <v>27463</v>
      </c>
      <c r="N4760" s="8" t="s">
        <v>37</v>
      </c>
      <c r="O4760" s="8" t="s">
        <v>233</v>
      </c>
      <c r="P4760" s="6" t="s">
        <v>306</v>
      </c>
      <c r="Q4760" s="8" t="s">
        <v>265</v>
      </c>
      <c r="R4760" s="10" t="s">
        <v>27464</v>
      </c>
      <c r="S4760" s="11" t="s">
        <v>4015</v>
      </c>
      <c r="T4760" s="6"/>
      <c r="U4760" s="15" t="str">
        <f>HYPERLINK("https://media.infra-m.ru/2222/2222245/cover/2222245.jpg", "Обложка")</f>
        <v>Обложка</v>
      </c>
      <c r="V4760" s="8" t="s">
        <v>247</v>
      </c>
      <c r="W4760" s="6"/>
      <c r="X4760" s="6"/>
      <c r="Y4760" s="6"/>
      <c r="Z4760" s="6"/>
      <c r="AA4760" s="6" t="s">
        <v>3391</v>
      </c>
      <c r="AB4760" s="8"/>
      <c r="AC4760" s="27">
        <v>9785819908198</v>
      </c>
    </row>
    <row r="4761" spans="1:29" s="4" customFormat="1" ht="42" customHeight="1" x14ac:dyDescent="0.2">
      <c r="A4761" s="5">
        <v>0</v>
      </c>
      <c r="B4761" s="6" t="s">
        <v>27465</v>
      </c>
      <c r="C4761" s="13">
        <v>900</v>
      </c>
      <c r="D4761" s="8" t="s">
        <v>27466</v>
      </c>
      <c r="E4761" s="8" t="s">
        <v>27458</v>
      </c>
      <c r="F4761" s="8" t="s">
        <v>27467</v>
      </c>
      <c r="G4761" s="6" t="s">
        <v>33</v>
      </c>
      <c r="H4761" s="6" t="s">
        <v>34</v>
      </c>
      <c r="I4761" s="8"/>
      <c r="J4761" s="9">
        <v>1</v>
      </c>
      <c r="K4761" s="9">
        <v>124</v>
      </c>
      <c r="L4761" s="9">
        <v>2026</v>
      </c>
      <c r="M4761" s="8" t="s">
        <v>27468</v>
      </c>
      <c r="N4761" s="8" t="s">
        <v>37</v>
      </c>
      <c r="O4761" s="8" t="s">
        <v>233</v>
      </c>
      <c r="P4761" s="6" t="s">
        <v>51</v>
      </c>
      <c r="Q4761" s="8" t="s">
        <v>52</v>
      </c>
      <c r="R4761" s="10" t="s">
        <v>3008</v>
      </c>
      <c r="S4761" s="11"/>
      <c r="T4761" s="6"/>
      <c r="U4761" s="15" t="str">
        <f>HYPERLINK("https://media.infra-m.ru/2258/2258019/cover/2258019.jpg", "Обложка")</f>
        <v>Обложка</v>
      </c>
      <c r="V4761" s="8" t="s">
        <v>396</v>
      </c>
      <c r="W4761" s="6"/>
      <c r="X4761" s="6"/>
      <c r="Y4761" s="6"/>
      <c r="Z4761" s="6"/>
      <c r="AA4761" s="6" t="s">
        <v>258</v>
      </c>
      <c r="AB4761" s="8"/>
      <c r="AC4761" s="27">
        <v>9785160222370</v>
      </c>
    </row>
    <row r="4762" spans="1:29" s="4" customFormat="1" ht="44.1" customHeight="1" x14ac:dyDescent="0.2">
      <c r="A4762" s="5">
        <v>0</v>
      </c>
      <c r="B4762" s="6" t="s">
        <v>27469</v>
      </c>
      <c r="C4762" s="7">
        <v>1816.8</v>
      </c>
      <c r="D4762" s="8" t="s">
        <v>27470</v>
      </c>
      <c r="E4762" s="8" t="s">
        <v>27458</v>
      </c>
      <c r="F4762" s="8" t="s">
        <v>27471</v>
      </c>
      <c r="G4762" s="6" t="s">
        <v>33</v>
      </c>
      <c r="H4762" s="6" t="s">
        <v>313</v>
      </c>
      <c r="I4762" s="8" t="s">
        <v>253</v>
      </c>
      <c r="J4762" s="9">
        <v>1</v>
      </c>
      <c r="K4762" s="9">
        <v>274</v>
      </c>
      <c r="L4762" s="9">
        <v>2026</v>
      </c>
      <c r="M4762" s="8" t="s">
        <v>27472</v>
      </c>
      <c r="N4762" s="8" t="s">
        <v>37</v>
      </c>
      <c r="O4762" s="8" t="s">
        <v>233</v>
      </c>
      <c r="P4762" s="6" t="s">
        <v>51</v>
      </c>
      <c r="Q4762" s="8" t="s">
        <v>52</v>
      </c>
      <c r="R4762" s="10" t="s">
        <v>4009</v>
      </c>
      <c r="S4762" s="11"/>
      <c r="T4762" s="6"/>
      <c r="U4762" s="15" t="str">
        <f>HYPERLINK("https://media.infra-m.ru/2086/2086859/cover/2086859.jpg", "Обложка")</f>
        <v>Обложка</v>
      </c>
      <c r="V4762" s="8" t="s">
        <v>704</v>
      </c>
      <c r="W4762" s="6"/>
      <c r="X4762" s="6"/>
      <c r="Y4762" s="6"/>
      <c r="Z4762" s="6"/>
      <c r="AA4762" s="6" t="s">
        <v>404</v>
      </c>
      <c r="AB4762" s="8"/>
      <c r="AC4762" s="27">
        <v>9785369017807</v>
      </c>
    </row>
    <row r="4763" spans="1:29" s="4" customFormat="1" ht="42" customHeight="1" x14ac:dyDescent="0.2">
      <c r="A4763" s="5">
        <v>0</v>
      </c>
      <c r="B4763" s="6" t="s">
        <v>27473</v>
      </c>
      <c r="C4763" s="7">
        <v>1792.8</v>
      </c>
      <c r="D4763" s="8" t="s">
        <v>27474</v>
      </c>
      <c r="E4763" s="8" t="s">
        <v>27475</v>
      </c>
      <c r="F4763" s="8" t="s">
        <v>27476</v>
      </c>
      <c r="G4763" s="6" t="s">
        <v>60</v>
      </c>
      <c r="H4763" s="6" t="s">
        <v>1042</v>
      </c>
      <c r="I4763" s="8" t="s">
        <v>253</v>
      </c>
      <c r="J4763" s="9">
        <v>1</v>
      </c>
      <c r="K4763" s="9">
        <v>272</v>
      </c>
      <c r="L4763" s="9">
        <v>2026</v>
      </c>
      <c r="M4763" s="8" t="s">
        <v>27477</v>
      </c>
      <c r="N4763" s="8" t="s">
        <v>37</v>
      </c>
      <c r="O4763" s="8" t="s">
        <v>233</v>
      </c>
      <c r="P4763" s="6" t="s">
        <v>51</v>
      </c>
      <c r="Q4763" s="8" t="s">
        <v>52</v>
      </c>
      <c r="R4763" s="10" t="s">
        <v>3008</v>
      </c>
      <c r="S4763" s="11"/>
      <c r="T4763" s="6"/>
      <c r="U4763" s="15" t="str">
        <f>HYPERLINK("https://media.infra-m.ru/2237/2237638/cover/2237638.jpg", "Обложка")</f>
        <v>Обложка</v>
      </c>
      <c r="V4763" s="8" t="s">
        <v>24751</v>
      </c>
      <c r="W4763" s="6"/>
      <c r="X4763" s="6"/>
      <c r="Y4763" s="6"/>
      <c r="Z4763" s="6"/>
      <c r="AA4763" s="6" t="s">
        <v>55</v>
      </c>
      <c r="AB4763" s="8"/>
      <c r="AC4763" s="27">
        <v>9785819905340</v>
      </c>
    </row>
    <row r="4764" spans="1:29" s="4" customFormat="1" ht="51.9" customHeight="1" x14ac:dyDescent="0.2">
      <c r="A4764" s="5">
        <v>0</v>
      </c>
      <c r="B4764" s="6" t="s">
        <v>27478</v>
      </c>
      <c r="C4764" s="7">
        <v>2392.8000000000002</v>
      </c>
      <c r="D4764" s="8" t="s">
        <v>27479</v>
      </c>
      <c r="E4764" s="8" t="s">
        <v>27475</v>
      </c>
      <c r="F4764" s="8" t="s">
        <v>27480</v>
      </c>
      <c r="G4764" s="6" t="s">
        <v>60</v>
      </c>
      <c r="H4764" s="6" t="s">
        <v>1644</v>
      </c>
      <c r="I4764" s="8" t="s">
        <v>4028</v>
      </c>
      <c r="J4764" s="9">
        <v>1</v>
      </c>
      <c r="K4764" s="9">
        <v>446</v>
      </c>
      <c r="L4764" s="9">
        <v>2024</v>
      </c>
      <c r="M4764" s="8" t="s">
        <v>27481</v>
      </c>
      <c r="N4764" s="8" t="s">
        <v>37</v>
      </c>
      <c r="O4764" s="8" t="s">
        <v>233</v>
      </c>
      <c r="P4764" s="6" t="s">
        <v>51</v>
      </c>
      <c r="Q4764" s="8" t="s">
        <v>265</v>
      </c>
      <c r="R4764" s="10" t="s">
        <v>27464</v>
      </c>
      <c r="S4764" s="11" t="s">
        <v>4031</v>
      </c>
      <c r="T4764" s="6"/>
      <c r="U4764" s="15" t="str">
        <f>HYPERLINK("https://media.infra-m.ru/2056/2056803/cover/2056803.jpg", "Обложка")</f>
        <v>Обложка</v>
      </c>
      <c r="V4764" s="8" t="s">
        <v>4032</v>
      </c>
      <c r="W4764" s="6"/>
      <c r="X4764" s="6"/>
      <c r="Y4764" s="6"/>
      <c r="Z4764" s="6"/>
      <c r="AA4764" s="6" t="s">
        <v>1047</v>
      </c>
      <c r="AB4764" s="8"/>
      <c r="AC4764" s="27">
        <v>9785977600538</v>
      </c>
    </row>
    <row r="4765" spans="1:29" s="4" customFormat="1" ht="44.1" customHeight="1" x14ac:dyDescent="0.2">
      <c r="A4765" s="5">
        <v>0</v>
      </c>
      <c r="B4765" s="6" t="s">
        <v>27482</v>
      </c>
      <c r="C4765" s="13">
        <v>881.9</v>
      </c>
      <c r="D4765" s="8" t="s">
        <v>27483</v>
      </c>
      <c r="E4765" s="8" t="s">
        <v>27475</v>
      </c>
      <c r="F4765" s="8" t="s">
        <v>27471</v>
      </c>
      <c r="G4765" s="6" t="s">
        <v>33</v>
      </c>
      <c r="H4765" s="6" t="s">
        <v>313</v>
      </c>
      <c r="I4765" s="8" t="s">
        <v>253</v>
      </c>
      <c r="J4765" s="9">
        <v>30</v>
      </c>
      <c r="K4765" s="9">
        <v>274</v>
      </c>
      <c r="L4765" s="9">
        <v>2017</v>
      </c>
      <c r="M4765" s="8" t="s">
        <v>27484</v>
      </c>
      <c r="N4765" s="8" t="s">
        <v>37</v>
      </c>
      <c r="O4765" s="8" t="s">
        <v>233</v>
      </c>
      <c r="P4765" s="6" t="s">
        <v>51</v>
      </c>
      <c r="Q4765" s="8" t="s">
        <v>52</v>
      </c>
      <c r="R4765" s="10" t="s">
        <v>4009</v>
      </c>
      <c r="S4765" s="11"/>
      <c r="T4765" s="6" t="s">
        <v>97</v>
      </c>
      <c r="U4765" s="15" t="str">
        <f>HYPERLINK("https://media.infra-m.ru/0620/0620882/cover/620882.jpg", "Обложка")</f>
        <v>Обложка</v>
      </c>
      <c r="V4765" s="8" t="s">
        <v>704</v>
      </c>
      <c r="W4765" s="6"/>
      <c r="X4765" s="6"/>
      <c r="Y4765" s="6"/>
      <c r="Z4765" s="6"/>
      <c r="AA4765" s="6" t="s">
        <v>248</v>
      </c>
      <c r="AB4765" s="8"/>
      <c r="AC4765" s="27">
        <v>9785369012857</v>
      </c>
    </row>
    <row r="4766" spans="1:29" s="4" customFormat="1" ht="51.9" customHeight="1" x14ac:dyDescent="0.2">
      <c r="A4766" s="5">
        <v>0</v>
      </c>
      <c r="B4766" s="6" t="s">
        <v>27485</v>
      </c>
      <c r="C4766" s="7">
        <v>1524</v>
      </c>
      <c r="D4766" s="8" t="s">
        <v>27486</v>
      </c>
      <c r="E4766" s="8" t="s">
        <v>27487</v>
      </c>
      <c r="F4766" s="8" t="s">
        <v>27488</v>
      </c>
      <c r="G4766" s="6" t="s">
        <v>60</v>
      </c>
      <c r="H4766" s="6" t="s">
        <v>34</v>
      </c>
      <c r="I4766" s="8" t="s">
        <v>253</v>
      </c>
      <c r="J4766" s="9">
        <v>1</v>
      </c>
      <c r="K4766" s="9">
        <v>231</v>
      </c>
      <c r="L4766" s="9">
        <v>2026</v>
      </c>
      <c r="M4766" s="8" t="s">
        <v>27489</v>
      </c>
      <c r="N4766" s="8" t="s">
        <v>37</v>
      </c>
      <c r="O4766" s="8" t="s">
        <v>233</v>
      </c>
      <c r="P4766" s="6" t="s">
        <v>51</v>
      </c>
      <c r="Q4766" s="8" t="s">
        <v>52</v>
      </c>
      <c r="R4766" s="10" t="s">
        <v>27490</v>
      </c>
      <c r="S4766" s="11"/>
      <c r="T4766" s="6"/>
      <c r="U4766" s="15" t="str">
        <f>HYPERLINK("https://media.infra-m.ru/2198/2198472/cover/2198472.jpg", "Обложка")</f>
        <v>Обложка</v>
      </c>
      <c r="V4766" s="8" t="s">
        <v>27491</v>
      </c>
      <c r="W4766" s="6" t="s">
        <v>186</v>
      </c>
      <c r="X4766" s="6"/>
      <c r="Y4766" s="6"/>
      <c r="Z4766" s="6"/>
      <c r="AA4766" s="6" t="s">
        <v>187</v>
      </c>
      <c r="AB4766" s="8" t="s">
        <v>308</v>
      </c>
      <c r="AC4766" s="27">
        <v>9785160208336</v>
      </c>
    </row>
    <row r="4767" spans="1:29" s="4" customFormat="1" ht="51.9" customHeight="1" x14ac:dyDescent="0.2">
      <c r="A4767" s="5">
        <v>0</v>
      </c>
      <c r="B4767" s="6" t="s">
        <v>27492</v>
      </c>
      <c r="C4767" s="13">
        <v>936</v>
      </c>
      <c r="D4767" s="8" t="s">
        <v>27493</v>
      </c>
      <c r="E4767" s="8" t="s">
        <v>27494</v>
      </c>
      <c r="F4767" s="8" t="s">
        <v>23655</v>
      </c>
      <c r="G4767" s="6" t="s">
        <v>33</v>
      </c>
      <c r="H4767" s="6" t="s">
        <v>34</v>
      </c>
      <c r="I4767" s="8" t="s">
        <v>263</v>
      </c>
      <c r="J4767" s="9">
        <v>1</v>
      </c>
      <c r="K4767" s="9">
        <v>141</v>
      </c>
      <c r="L4767" s="9">
        <v>2026</v>
      </c>
      <c r="M4767" s="8" t="s">
        <v>27495</v>
      </c>
      <c r="N4767" s="8" t="s">
        <v>63</v>
      </c>
      <c r="O4767" s="8" t="s">
        <v>181</v>
      </c>
      <c r="P4767" s="6" t="s">
        <v>51</v>
      </c>
      <c r="Q4767" s="8" t="s">
        <v>265</v>
      </c>
      <c r="R4767" s="10" t="s">
        <v>27496</v>
      </c>
      <c r="S4767" s="11" t="s">
        <v>27497</v>
      </c>
      <c r="T4767" s="6"/>
      <c r="U4767" s="15" t="str">
        <f>HYPERLINK("https://media.infra-m.ru/2224/2224063/cover/2224063.jpg", "Обложка")</f>
        <v>Обложка</v>
      </c>
      <c r="V4767" s="8" t="s">
        <v>322</v>
      </c>
      <c r="W4767" s="6"/>
      <c r="X4767" s="6"/>
      <c r="Y4767" s="6"/>
      <c r="Z4767" s="6" t="s">
        <v>267</v>
      </c>
      <c r="AA4767" s="6" t="s">
        <v>115</v>
      </c>
      <c r="AB4767" s="8"/>
      <c r="AC4767" s="27">
        <v>9785160139845</v>
      </c>
    </row>
    <row r="4768" spans="1:29" s="4" customFormat="1" ht="51.9" customHeight="1" x14ac:dyDescent="0.2">
      <c r="A4768" s="5">
        <v>0</v>
      </c>
      <c r="B4768" s="6" t="s">
        <v>27498</v>
      </c>
      <c r="C4768" s="7">
        <v>2440.8000000000002</v>
      </c>
      <c r="D4768" s="8" t="s">
        <v>27499</v>
      </c>
      <c r="E4768" s="8" t="s">
        <v>27500</v>
      </c>
      <c r="F4768" s="8" t="s">
        <v>27501</v>
      </c>
      <c r="G4768" s="6" t="s">
        <v>118</v>
      </c>
      <c r="H4768" s="6" t="s">
        <v>34</v>
      </c>
      <c r="I4768" s="8" t="s">
        <v>271</v>
      </c>
      <c r="J4768" s="9">
        <v>1</v>
      </c>
      <c r="K4768" s="9">
        <v>407</v>
      </c>
      <c r="L4768" s="9">
        <v>2025</v>
      </c>
      <c r="M4768" s="8" t="s">
        <v>27502</v>
      </c>
      <c r="N4768" s="8" t="s">
        <v>37</v>
      </c>
      <c r="O4768" s="8" t="s">
        <v>233</v>
      </c>
      <c r="P4768" s="6" t="s">
        <v>306</v>
      </c>
      <c r="Q4768" s="8" t="s">
        <v>52</v>
      </c>
      <c r="R4768" s="10" t="s">
        <v>27503</v>
      </c>
      <c r="S4768" s="11" t="s">
        <v>27504</v>
      </c>
      <c r="T4768" s="6"/>
      <c r="U4768" s="15" t="str">
        <f>HYPERLINK("https://media.infra-m.ru/2192/2192234/cover/2192234.jpg", "Обложка")</f>
        <v>Обложка</v>
      </c>
      <c r="V4768" s="8" t="s">
        <v>27505</v>
      </c>
      <c r="W4768" s="6"/>
      <c r="X4768" s="6" t="s">
        <v>24</v>
      </c>
      <c r="Y4768" s="6"/>
      <c r="Z4768" s="6"/>
      <c r="AA4768" s="6" t="s">
        <v>258</v>
      </c>
      <c r="AB4768" s="8"/>
      <c r="AC4768" s="27">
        <v>9785160144221</v>
      </c>
    </row>
    <row r="4769" spans="1:29" s="4" customFormat="1" ht="51.9" customHeight="1" x14ac:dyDescent="0.2">
      <c r="A4769" s="5">
        <v>0</v>
      </c>
      <c r="B4769" s="6" t="s">
        <v>27506</v>
      </c>
      <c r="C4769" s="13">
        <v>852</v>
      </c>
      <c r="D4769" s="8" t="s">
        <v>27507</v>
      </c>
      <c r="E4769" s="8" t="s">
        <v>27494</v>
      </c>
      <c r="F4769" s="8" t="s">
        <v>23655</v>
      </c>
      <c r="G4769" s="6" t="s">
        <v>33</v>
      </c>
      <c r="H4769" s="6" t="s">
        <v>34</v>
      </c>
      <c r="I4769" s="8" t="s">
        <v>253</v>
      </c>
      <c r="J4769" s="9">
        <v>1</v>
      </c>
      <c r="K4769" s="9">
        <v>141</v>
      </c>
      <c r="L4769" s="9">
        <v>2024</v>
      </c>
      <c r="M4769" s="8" t="s">
        <v>27508</v>
      </c>
      <c r="N4769" s="8" t="s">
        <v>63</v>
      </c>
      <c r="O4769" s="8" t="s">
        <v>181</v>
      </c>
      <c r="P4769" s="6" t="s">
        <v>51</v>
      </c>
      <c r="Q4769" s="8" t="s">
        <v>52</v>
      </c>
      <c r="R4769" s="10" t="s">
        <v>27509</v>
      </c>
      <c r="S4769" s="11" t="s">
        <v>27510</v>
      </c>
      <c r="T4769" s="6"/>
      <c r="U4769" s="15" t="str">
        <f>HYPERLINK("https://media.infra-m.ru/2157/2157226/cover/2157226.jpg", "Обложка")</f>
        <v>Обложка</v>
      </c>
      <c r="V4769" s="8" t="s">
        <v>322</v>
      </c>
      <c r="W4769" s="6"/>
      <c r="X4769" s="6"/>
      <c r="Y4769" s="6"/>
      <c r="Z4769" s="6"/>
      <c r="AA4769" s="6" t="s">
        <v>86</v>
      </c>
      <c r="AB4769" s="8"/>
      <c r="AC4769" s="27">
        <v>9785160200934</v>
      </c>
    </row>
    <row r="4770" spans="1:29" s="4" customFormat="1" ht="51.9" customHeight="1" x14ac:dyDescent="0.2">
      <c r="A4770" s="5">
        <v>0</v>
      </c>
      <c r="B4770" s="6" t="s">
        <v>27511</v>
      </c>
      <c r="C4770" s="7">
        <v>2004</v>
      </c>
      <c r="D4770" s="8" t="s">
        <v>27512</v>
      </c>
      <c r="E4770" s="8" t="s">
        <v>27513</v>
      </c>
      <c r="F4770" s="8" t="s">
        <v>27514</v>
      </c>
      <c r="G4770" s="6" t="s">
        <v>118</v>
      </c>
      <c r="H4770" s="6" t="s">
        <v>34</v>
      </c>
      <c r="I4770" s="8" t="s">
        <v>2518</v>
      </c>
      <c r="J4770" s="9">
        <v>1</v>
      </c>
      <c r="K4770" s="9">
        <v>287</v>
      </c>
      <c r="L4770" s="9">
        <v>2027</v>
      </c>
      <c r="M4770" s="8" t="s">
        <v>27515</v>
      </c>
      <c r="N4770" s="8" t="s">
        <v>585</v>
      </c>
      <c r="O4770" s="8" t="s">
        <v>586</v>
      </c>
      <c r="P4770" s="6" t="s">
        <v>51</v>
      </c>
      <c r="Q4770" s="8" t="s">
        <v>265</v>
      </c>
      <c r="R4770" s="10" t="s">
        <v>10354</v>
      </c>
      <c r="S4770" s="11" t="s">
        <v>27516</v>
      </c>
      <c r="T4770" s="6"/>
      <c r="U4770" s="15" t="str">
        <f>HYPERLINK("https://media.infra-m.ru/2264/2264699/cover/2264699.jpg", "Обложка")</f>
        <v>Обложка</v>
      </c>
      <c r="V4770" s="8" t="s">
        <v>1132</v>
      </c>
      <c r="W4770" s="6"/>
      <c r="X4770" s="6"/>
      <c r="Y4770" s="6"/>
      <c r="Z4770" s="6"/>
      <c r="AA4770" s="6" t="s">
        <v>157</v>
      </c>
      <c r="AB4770" s="8"/>
      <c r="AC4770" s="27">
        <v>9785160181240</v>
      </c>
    </row>
    <row r="4771" spans="1:29" s="4" customFormat="1" ht="51.9" customHeight="1" x14ac:dyDescent="0.2">
      <c r="A4771" s="5">
        <v>0</v>
      </c>
      <c r="B4771" s="6" t="s">
        <v>27517</v>
      </c>
      <c r="C4771" s="7">
        <v>2280</v>
      </c>
      <c r="D4771" s="8" t="s">
        <v>27518</v>
      </c>
      <c r="E4771" s="8" t="s">
        <v>27519</v>
      </c>
      <c r="F4771" s="8" t="s">
        <v>25908</v>
      </c>
      <c r="G4771" s="6" t="s">
        <v>118</v>
      </c>
      <c r="H4771" s="6" t="s">
        <v>34</v>
      </c>
      <c r="I4771" s="8" t="s">
        <v>2518</v>
      </c>
      <c r="J4771" s="9">
        <v>1</v>
      </c>
      <c r="K4771" s="9">
        <v>328</v>
      </c>
      <c r="L4771" s="9">
        <v>2027</v>
      </c>
      <c r="M4771" s="8" t="s">
        <v>27520</v>
      </c>
      <c r="N4771" s="8" t="s">
        <v>37</v>
      </c>
      <c r="O4771" s="8" t="s">
        <v>290</v>
      </c>
      <c r="P4771" s="6" t="s">
        <v>51</v>
      </c>
      <c r="Q4771" s="8" t="s">
        <v>265</v>
      </c>
      <c r="R4771" s="10" t="s">
        <v>10354</v>
      </c>
      <c r="S4771" s="11" t="s">
        <v>27516</v>
      </c>
      <c r="T4771" s="6"/>
      <c r="U4771" s="15" t="str">
        <f>HYPERLINK("https://media.infra-m.ru/2264/2264700/cover/2264700.jpg", "Обложка")</f>
        <v>Обложка</v>
      </c>
      <c r="V4771" s="8" t="s">
        <v>1132</v>
      </c>
      <c r="W4771" s="6"/>
      <c r="X4771" s="6"/>
      <c r="Y4771" s="6"/>
      <c r="Z4771" s="6"/>
      <c r="AA4771" s="6" t="s">
        <v>157</v>
      </c>
      <c r="AB4771" s="8"/>
      <c r="AC4771" s="27">
        <v>9785160181233</v>
      </c>
    </row>
    <row r="4772" spans="1:29" s="4" customFormat="1" ht="42" customHeight="1" x14ac:dyDescent="0.2">
      <c r="A4772" s="5">
        <v>0</v>
      </c>
      <c r="B4772" s="6" t="s">
        <v>27521</v>
      </c>
      <c r="C4772" s="7">
        <v>2124</v>
      </c>
      <c r="D4772" s="8" t="s">
        <v>27522</v>
      </c>
      <c r="E4772" s="8" t="s">
        <v>27523</v>
      </c>
      <c r="F4772" s="8" t="s">
        <v>4288</v>
      </c>
      <c r="G4772" s="6" t="s">
        <v>118</v>
      </c>
      <c r="H4772" s="6" t="s">
        <v>34</v>
      </c>
      <c r="I4772" s="8" t="s">
        <v>253</v>
      </c>
      <c r="J4772" s="9">
        <v>1</v>
      </c>
      <c r="K4772" s="9">
        <v>305</v>
      </c>
      <c r="L4772" s="9">
        <v>2026</v>
      </c>
      <c r="M4772" s="8" t="s">
        <v>27524</v>
      </c>
      <c r="N4772" s="8" t="s">
        <v>37</v>
      </c>
      <c r="O4772" s="8" t="s">
        <v>290</v>
      </c>
      <c r="P4772" s="6" t="s">
        <v>51</v>
      </c>
      <c r="Q4772" s="8" t="s">
        <v>52</v>
      </c>
      <c r="R4772" s="10" t="s">
        <v>4236</v>
      </c>
      <c r="S4772" s="11"/>
      <c r="T4772" s="6"/>
      <c r="U4772" s="15" t="str">
        <f>HYPERLINK("https://media.infra-m.ru/2258/2258017/cover/2258017.jpg", "Обложка")</f>
        <v>Обложка</v>
      </c>
      <c r="V4772" s="8" t="s">
        <v>396</v>
      </c>
      <c r="W4772" s="6"/>
      <c r="X4772" s="6"/>
      <c r="Y4772" s="6"/>
      <c r="Z4772" s="6" t="s">
        <v>632</v>
      </c>
      <c r="AA4772" s="6" t="s">
        <v>68</v>
      </c>
      <c r="AB4772" s="8" t="s">
        <v>2922</v>
      </c>
      <c r="AC4772" s="27">
        <v>9785160203522</v>
      </c>
    </row>
    <row r="4773" spans="1:29" s="4" customFormat="1" ht="42" customHeight="1" x14ac:dyDescent="0.2">
      <c r="A4773" s="5">
        <v>0</v>
      </c>
      <c r="B4773" s="6" t="s">
        <v>27525</v>
      </c>
      <c r="C4773" s="7">
        <v>2124</v>
      </c>
      <c r="D4773" s="8" t="s">
        <v>27526</v>
      </c>
      <c r="E4773" s="8" t="s">
        <v>27523</v>
      </c>
      <c r="F4773" s="8" t="s">
        <v>4288</v>
      </c>
      <c r="G4773" s="6" t="s">
        <v>118</v>
      </c>
      <c r="H4773" s="6" t="s">
        <v>34</v>
      </c>
      <c r="I4773" s="8" t="s">
        <v>263</v>
      </c>
      <c r="J4773" s="9">
        <v>1</v>
      </c>
      <c r="K4773" s="9">
        <v>305</v>
      </c>
      <c r="L4773" s="9">
        <v>2026</v>
      </c>
      <c r="M4773" s="8" t="s">
        <v>27527</v>
      </c>
      <c r="N4773" s="8" t="s">
        <v>37</v>
      </c>
      <c r="O4773" s="8" t="s">
        <v>290</v>
      </c>
      <c r="P4773" s="6" t="s">
        <v>51</v>
      </c>
      <c r="Q4773" s="8" t="s">
        <v>265</v>
      </c>
      <c r="R4773" s="10" t="s">
        <v>10354</v>
      </c>
      <c r="S4773" s="11"/>
      <c r="T4773" s="6"/>
      <c r="U4773" s="15" t="str">
        <f>HYPERLINK("https://media.infra-m.ru/2220/2220457/cover/2220457.jpg", "Обложка")</f>
        <v>Обложка</v>
      </c>
      <c r="V4773" s="8" t="s">
        <v>396</v>
      </c>
      <c r="W4773" s="6"/>
      <c r="X4773" s="6"/>
      <c r="Y4773" s="6"/>
      <c r="Z4773" s="6"/>
      <c r="AA4773" s="6" t="s">
        <v>68</v>
      </c>
      <c r="AB4773" s="8" t="s">
        <v>437</v>
      </c>
      <c r="AC4773" s="27">
        <v>9785160199351</v>
      </c>
    </row>
    <row r="4774" spans="1:29" s="4" customFormat="1" ht="42" customHeight="1" x14ac:dyDescent="0.2">
      <c r="A4774" s="5">
        <v>0</v>
      </c>
      <c r="B4774" s="6" t="s">
        <v>27528</v>
      </c>
      <c r="C4774" s="7">
        <v>1229.9000000000001</v>
      </c>
      <c r="D4774" s="8" t="s">
        <v>27529</v>
      </c>
      <c r="E4774" s="8" t="s">
        <v>27530</v>
      </c>
      <c r="F4774" s="8" t="s">
        <v>27531</v>
      </c>
      <c r="G4774" s="6" t="s">
        <v>60</v>
      </c>
      <c r="H4774" s="6" t="s">
        <v>34</v>
      </c>
      <c r="I4774" s="8" t="s">
        <v>271</v>
      </c>
      <c r="J4774" s="9">
        <v>1</v>
      </c>
      <c r="K4774" s="9">
        <v>351</v>
      </c>
      <c r="L4774" s="9">
        <v>2018</v>
      </c>
      <c r="M4774" s="8" t="s">
        <v>27532</v>
      </c>
      <c r="N4774" s="8" t="s">
        <v>585</v>
      </c>
      <c r="O4774" s="8" t="s">
        <v>775</v>
      </c>
      <c r="P4774" s="6" t="s">
        <v>306</v>
      </c>
      <c r="Q4774" s="8" t="s">
        <v>52</v>
      </c>
      <c r="R4774" s="10" t="s">
        <v>27503</v>
      </c>
      <c r="S4774" s="11"/>
      <c r="T4774" s="6"/>
      <c r="U4774" s="15" t="str">
        <f>HYPERLINK("https://media.infra-m.ru/0920/0920543/cover/920543.jpg", "Обложка")</f>
        <v>Обложка</v>
      </c>
      <c r="V4774" s="8" t="s">
        <v>27505</v>
      </c>
      <c r="W4774" s="6"/>
      <c r="X4774" s="6" t="s">
        <v>24</v>
      </c>
      <c r="Y4774" s="6"/>
      <c r="Z4774" s="6"/>
      <c r="AA4774" s="6" t="s">
        <v>55</v>
      </c>
      <c r="AB4774" s="8"/>
      <c r="AC4774" s="27">
        <v>9785160057699</v>
      </c>
    </row>
    <row r="4775" spans="1:29" s="4" customFormat="1" ht="42" customHeight="1" x14ac:dyDescent="0.2">
      <c r="A4775" s="5">
        <v>0</v>
      </c>
      <c r="B4775" s="6" t="s">
        <v>27533</v>
      </c>
      <c r="C4775" s="7">
        <v>1188</v>
      </c>
      <c r="D4775" s="8" t="s">
        <v>27534</v>
      </c>
      <c r="E4775" s="8" t="s">
        <v>27535</v>
      </c>
      <c r="F4775" s="8" t="s">
        <v>27536</v>
      </c>
      <c r="G4775" s="6" t="s">
        <v>118</v>
      </c>
      <c r="H4775" s="6" t="s">
        <v>34</v>
      </c>
      <c r="I4775" s="8" t="s">
        <v>263</v>
      </c>
      <c r="J4775" s="9">
        <v>1</v>
      </c>
      <c r="K4775" s="9">
        <v>170</v>
      </c>
      <c r="L4775" s="9">
        <v>2027</v>
      </c>
      <c r="M4775" s="8" t="s">
        <v>27537</v>
      </c>
      <c r="N4775" s="8" t="s">
        <v>37</v>
      </c>
      <c r="O4775" s="8" t="s">
        <v>280</v>
      </c>
      <c r="P4775" s="6" t="s">
        <v>51</v>
      </c>
      <c r="Q4775" s="8" t="s">
        <v>265</v>
      </c>
      <c r="R4775" s="10" t="s">
        <v>27538</v>
      </c>
      <c r="S4775" s="11"/>
      <c r="T4775" s="6"/>
      <c r="U4775" s="15" t="str">
        <f>HYPERLINK("https://media.infra-m.ru/2266/2266733/cover/2266733.jpg", "Обложка")</f>
        <v>Обложка</v>
      </c>
      <c r="V4775" s="8" t="s">
        <v>27539</v>
      </c>
      <c r="W4775" s="6"/>
      <c r="X4775" s="6"/>
      <c r="Y4775" s="6"/>
      <c r="Z4775" s="6"/>
      <c r="AA4775" s="6" t="s">
        <v>76</v>
      </c>
      <c r="AB4775" s="8"/>
      <c r="AC4775" s="27">
        <v>9785160184296</v>
      </c>
    </row>
    <row r="4776" spans="1:29" s="4" customFormat="1" ht="51.9" customHeight="1" x14ac:dyDescent="0.2">
      <c r="A4776" s="5">
        <v>0</v>
      </c>
      <c r="B4776" s="6" t="s">
        <v>27540</v>
      </c>
      <c r="C4776" s="7">
        <v>1024.8</v>
      </c>
      <c r="D4776" s="8" t="s">
        <v>27541</v>
      </c>
      <c r="E4776" s="8" t="s">
        <v>27542</v>
      </c>
      <c r="F4776" s="8" t="s">
        <v>27543</v>
      </c>
      <c r="G4776" s="6" t="s">
        <v>60</v>
      </c>
      <c r="H4776" s="6" t="s">
        <v>34</v>
      </c>
      <c r="I4776" s="8" t="s">
        <v>253</v>
      </c>
      <c r="J4776" s="9">
        <v>1</v>
      </c>
      <c r="K4776" s="9">
        <v>149</v>
      </c>
      <c r="L4776" s="9">
        <v>2026</v>
      </c>
      <c r="M4776" s="8" t="s">
        <v>27544</v>
      </c>
      <c r="N4776" s="8" t="s">
        <v>585</v>
      </c>
      <c r="O4776" s="8" t="s">
        <v>2472</v>
      </c>
      <c r="P4776" s="6" t="s">
        <v>1481</v>
      </c>
      <c r="Q4776" s="8" t="s">
        <v>65</v>
      </c>
      <c r="R4776" s="10" t="s">
        <v>27545</v>
      </c>
      <c r="S4776" s="11"/>
      <c r="T4776" s="6"/>
      <c r="U4776" s="15" t="str">
        <f>HYPERLINK("https://media.infra-m.ru/2269/2269615/cover/2269615.jpg", "Обложка")</f>
        <v>Обложка</v>
      </c>
      <c r="V4776" s="8" t="s">
        <v>4793</v>
      </c>
      <c r="W4776" s="6"/>
      <c r="X4776" s="6"/>
      <c r="Y4776" s="6"/>
      <c r="Z4776" s="6"/>
      <c r="AA4776" s="6" t="s">
        <v>5476</v>
      </c>
      <c r="AB4776" s="8" t="s">
        <v>493</v>
      </c>
      <c r="AC4776" s="27">
        <v>9785160184180</v>
      </c>
    </row>
    <row r="4777" spans="1:29" s="4" customFormat="1" ht="51.9" customHeight="1" x14ac:dyDescent="0.2">
      <c r="A4777" s="5">
        <v>0</v>
      </c>
      <c r="B4777" s="6" t="s">
        <v>27546</v>
      </c>
      <c r="C4777" s="7">
        <v>1104</v>
      </c>
      <c r="D4777" s="8" t="s">
        <v>27547</v>
      </c>
      <c r="E4777" s="8" t="s">
        <v>27548</v>
      </c>
      <c r="F4777" s="8" t="s">
        <v>27549</v>
      </c>
      <c r="G4777" s="6" t="s">
        <v>118</v>
      </c>
      <c r="H4777" s="6" t="s">
        <v>34</v>
      </c>
      <c r="I4777" s="8" t="s">
        <v>271</v>
      </c>
      <c r="J4777" s="9">
        <v>1</v>
      </c>
      <c r="K4777" s="9">
        <v>225</v>
      </c>
      <c r="L4777" s="9">
        <v>2022</v>
      </c>
      <c r="M4777" s="8" t="s">
        <v>27550</v>
      </c>
      <c r="N4777" s="8" t="s">
        <v>585</v>
      </c>
      <c r="O4777" s="8" t="s">
        <v>2472</v>
      </c>
      <c r="P4777" s="6" t="s">
        <v>1481</v>
      </c>
      <c r="Q4777" s="8" t="s">
        <v>65</v>
      </c>
      <c r="R4777" s="10" t="s">
        <v>27545</v>
      </c>
      <c r="S4777" s="11" t="s">
        <v>27551</v>
      </c>
      <c r="T4777" s="6" t="s">
        <v>97</v>
      </c>
      <c r="U4777" s="15" t="str">
        <f>HYPERLINK("https://media.infra-m.ru/1862/1862629/cover/1862629.jpg", "Обложка")</f>
        <v>Обложка</v>
      </c>
      <c r="V4777" s="8" t="s">
        <v>4793</v>
      </c>
      <c r="W4777" s="6"/>
      <c r="X4777" s="6"/>
      <c r="Y4777" s="6"/>
      <c r="Z4777" s="6"/>
      <c r="AA4777" s="6" t="s">
        <v>218</v>
      </c>
      <c r="AB4777" s="8" t="s">
        <v>493</v>
      </c>
      <c r="AC4777" s="27">
        <v>9785160146089</v>
      </c>
    </row>
    <row r="4778" spans="1:29" s="4" customFormat="1" ht="51.9" customHeight="1" x14ac:dyDescent="0.2">
      <c r="A4778" s="5">
        <v>0</v>
      </c>
      <c r="B4778" s="6" t="s">
        <v>27552</v>
      </c>
      <c r="C4778" s="7">
        <v>1116</v>
      </c>
      <c r="D4778" s="8" t="s">
        <v>27553</v>
      </c>
      <c r="E4778" s="8" t="s">
        <v>27554</v>
      </c>
      <c r="F4778" s="8" t="s">
        <v>27555</v>
      </c>
      <c r="G4778" s="6" t="s">
        <v>60</v>
      </c>
      <c r="H4778" s="6" t="s">
        <v>34</v>
      </c>
      <c r="I4778" s="8" t="s">
        <v>375</v>
      </c>
      <c r="J4778" s="9">
        <v>1</v>
      </c>
      <c r="K4778" s="9">
        <v>127</v>
      </c>
      <c r="L4778" s="9">
        <v>2026</v>
      </c>
      <c r="M4778" s="8" t="s">
        <v>27556</v>
      </c>
      <c r="N4778" s="8" t="s">
        <v>243</v>
      </c>
      <c r="O4778" s="8" t="s">
        <v>385</v>
      </c>
      <c r="P4778" s="6" t="s">
        <v>51</v>
      </c>
      <c r="Q4778" s="8" t="s">
        <v>65</v>
      </c>
      <c r="R4778" s="10" t="s">
        <v>27557</v>
      </c>
      <c r="S4778" s="11"/>
      <c r="T4778" s="6"/>
      <c r="U4778" s="15" t="str">
        <f>HYPERLINK("https://media.infra-m.ru/2221/2221298/cover/2221298.jpg", "Обложка")</f>
        <v>Обложка</v>
      </c>
      <c r="V4778" s="8"/>
      <c r="W4778" s="6" t="s">
        <v>342</v>
      </c>
      <c r="X4778" s="6"/>
      <c r="Y4778" s="6"/>
      <c r="Z4778" s="6"/>
      <c r="AA4778" s="6" t="s">
        <v>187</v>
      </c>
      <c r="AB4778" s="8"/>
      <c r="AC4778" s="27">
        <v>9785160213002</v>
      </c>
    </row>
    <row r="4779" spans="1:29" s="4" customFormat="1" ht="51.9" customHeight="1" x14ac:dyDescent="0.2">
      <c r="A4779" s="5">
        <v>0</v>
      </c>
      <c r="B4779" s="6" t="s">
        <v>27558</v>
      </c>
      <c r="C4779" s="7">
        <v>2640</v>
      </c>
      <c r="D4779" s="8" t="s">
        <v>27559</v>
      </c>
      <c r="E4779" s="8" t="s">
        <v>27560</v>
      </c>
      <c r="F4779" s="8" t="s">
        <v>27561</v>
      </c>
      <c r="G4779" s="6" t="s">
        <v>118</v>
      </c>
      <c r="H4779" s="6" t="s">
        <v>34</v>
      </c>
      <c r="I4779" s="8" t="s">
        <v>253</v>
      </c>
      <c r="J4779" s="9">
        <v>1</v>
      </c>
      <c r="K4779" s="9">
        <v>400</v>
      </c>
      <c r="L4779" s="9">
        <v>2026</v>
      </c>
      <c r="M4779" s="8" t="s">
        <v>27562</v>
      </c>
      <c r="N4779" s="8" t="s">
        <v>585</v>
      </c>
      <c r="O4779" s="8" t="s">
        <v>2472</v>
      </c>
      <c r="P4779" s="6" t="s">
        <v>306</v>
      </c>
      <c r="Q4779" s="8" t="s">
        <v>52</v>
      </c>
      <c r="R4779" s="10" t="s">
        <v>27563</v>
      </c>
      <c r="S4779" s="11" t="s">
        <v>27564</v>
      </c>
      <c r="T4779" s="6"/>
      <c r="U4779" s="15" t="str">
        <f>HYPERLINK("https://media.infra-m.ru/2241/2241183/cover/2241183.jpg", "Обложка")</f>
        <v>Обложка</v>
      </c>
      <c r="V4779" s="8" t="s">
        <v>2475</v>
      </c>
      <c r="W4779" s="6"/>
      <c r="X4779" s="6"/>
      <c r="Y4779" s="6"/>
      <c r="Z4779" s="6"/>
      <c r="AA4779" s="6" t="s">
        <v>258</v>
      </c>
      <c r="AB4779" s="8"/>
      <c r="AC4779" s="27">
        <v>9785160191607</v>
      </c>
    </row>
    <row r="4780" spans="1:29" s="4" customFormat="1" ht="51.9" customHeight="1" x14ac:dyDescent="0.2">
      <c r="A4780" s="5">
        <v>0</v>
      </c>
      <c r="B4780" s="6" t="s">
        <v>27565</v>
      </c>
      <c r="C4780" s="7">
        <v>1781.9</v>
      </c>
      <c r="D4780" s="8" t="s">
        <v>27566</v>
      </c>
      <c r="E4780" s="8" t="s">
        <v>27567</v>
      </c>
      <c r="F4780" s="8" t="s">
        <v>27568</v>
      </c>
      <c r="G4780" s="6" t="s">
        <v>118</v>
      </c>
      <c r="H4780" s="6" t="s">
        <v>34</v>
      </c>
      <c r="I4780" s="8" t="s">
        <v>271</v>
      </c>
      <c r="J4780" s="9">
        <v>1</v>
      </c>
      <c r="K4780" s="9">
        <v>400</v>
      </c>
      <c r="L4780" s="9">
        <v>2021</v>
      </c>
      <c r="M4780" s="8" t="s">
        <v>27569</v>
      </c>
      <c r="N4780" s="8" t="s">
        <v>585</v>
      </c>
      <c r="O4780" s="8" t="s">
        <v>2472</v>
      </c>
      <c r="P4780" s="6" t="s">
        <v>306</v>
      </c>
      <c r="Q4780" s="8" t="s">
        <v>52</v>
      </c>
      <c r="R4780" s="10" t="s">
        <v>27563</v>
      </c>
      <c r="S4780" s="11" t="s">
        <v>27570</v>
      </c>
      <c r="T4780" s="6"/>
      <c r="U4780" s="15" t="str">
        <f>HYPERLINK("https://media.infra-m.ru/1811/1811566/cover/1811566.jpg", "Обложка")</f>
        <v>Обложка</v>
      </c>
      <c r="V4780" s="8" t="s">
        <v>2475</v>
      </c>
      <c r="W4780" s="6"/>
      <c r="X4780" s="6"/>
      <c r="Y4780" s="6"/>
      <c r="Z4780" s="6"/>
      <c r="AA4780" s="6" t="s">
        <v>55</v>
      </c>
      <c r="AB4780" s="8"/>
      <c r="AC4780" s="27">
        <v>9785160052953</v>
      </c>
    </row>
    <row r="4781" spans="1:29" s="4" customFormat="1" ht="51.9" customHeight="1" x14ac:dyDescent="0.2">
      <c r="A4781" s="5">
        <v>0</v>
      </c>
      <c r="B4781" s="6" t="s">
        <v>27571</v>
      </c>
      <c r="C4781" s="7">
        <v>3300</v>
      </c>
      <c r="D4781" s="8" t="s">
        <v>27572</v>
      </c>
      <c r="E4781" s="8" t="s">
        <v>27573</v>
      </c>
      <c r="F4781" s="8" t="s">
        <v>14790</v>
      </c>
      <c r="G4781" s="6" t="s">
        <v>60</v>
      </c>
      <c r="H4781" s="6" t="s">
        <v>134</v>
      </c>
      <c r="I4781" s="8"/>
      <c r="J4781" s="9">
        <v>1</v>
      </c>
      <c r="K4781" s="9">
        <v>528</v>
      </c>
      <c r="L4781" s="9">
        <v>2024</v>
      </c>
      <c r="M4781" s="8" t="s">
        <v>27574</v>
      </c>
      <c r="N4781" s="8" t="s">
        <v>37</v>
      </c>
      <c r="O4781" s="8" t="s">
        <v>136</v>
      </c>
      <c r="P4781" s="6" t="s">
        <v>8714</v>
      </c>
      <c r="Q4781" s="8" t="s">
        <v>40</v>
      </c>
      <c r="R4781" s="10" t="s">
        <v>676</v>
      </c>
      <c r="S4781" s="11"/>
      <c r="T4781" s="6"/>
      <c r="U4781" s="15" t="str">
        <f>HYPERLINK("https://media.infra-m.ru/2098/2098567/cover/2098567.jpg", "Обложка")</f>
        <v>Обложка</v>
      </c>
      <c r="V4781" s="8" t="s">
        <v>9937</v>
      </c>
      <c r="W4781" s="6"/>
      <c r="X4781" s="6"/>
      <c r="Y4781" s="6"/>
      <c r="Z4781" s="6"/>
      <c r="AA4781" s="6" t="s">
        <v>99</v>
      </c>
      <c r="AB4781" s="8"/>
      <c r="AC4781" s="27">
        <v>9785917688145</v>
      </c>
    </row>
    <row r="4782" spans="1:29" s="4" customFormat="1" ht="51.9" customHeight="1" x14ac:dyDescent="0.2">
      <c r="A4782" s="5">
        <v>0</v>
      </c>
      <c r="B4782" s="6" t="s">
        <v>27575</v>
      </c>
      <c r="C4782" s="7">
        <v>3372</v>
      </c>
      <c r="D4782" s="8" t="s">
        <v>27576</v>
      </c>
      <c r="E4782" s="8" t="s">
        <v>27577</v>
      </c>
      <c r="F4782" s="8" t="s">
        <v>14790</v>
      </c>
      <c r="G4782" s="6" t="s">
        <v>60</v>
      </c>
      <c r="H4782" s="6" t="s">
        <v>134</v>
      </c>
      <c r="I4782" s="8"/>
      <c r="J4782" s="9">
        <v>1</v>
      </c>
      <c r="K4782" s="9">
        <v>516</v>
      </c>
      <c r="L4782" s="9">
        <v>2026</v>
      </c>
      <c r="M4782" s="8" t="s">
        <v>27578</v>
      </c>
      <c r="N4782" s="8" t="s">
        <v>37</v>
      </c>
      <c r="O4782" s="8" t="s">
        <v>136</v>
      </c>
      <c r="P4782" s="6" t="s">
        <v>8714</v>
      </c>
      <c r="Q4782" s="8" t="s">
        <v>40</v>
      </c>
      <c r="R4782" s="10" t="s">
        <v>676</v>
      </c>
      <c r="S4782" s="11"/>
      <c r="T4782" s="6"/>
      <c r="U4782" s="15" t="str">
        <f>HYPERLINK("https://media.infra-m.ru/2220/2220844/cover/2220844.jpg", "Обложка")</f>
        <v>Обложка</v>
      </c>
      <c r="V4782" s="8" t="s">
        <v>9937</v>
      </c>
      <c r="W4782" s="6" t="s">
        <v>342</v>
      </c>
      <c r="X4782" s="6"/>
      <c r="Y4782" s="6"/>
      <c r="Z4782" s="6"/>
      <c r="AA4782" s="6" t="s">
        <v>650</v>
      </c>
      <c r="AB4782" s="8"/>
      <c r="AC4782" s="27">
        <v>9785001564546</v>
      </c>
    </row>
    <row r="4783" spans="1:29" s="4" customFormat="1" ht="42" customHeight="1" x14ac:dyDescent="0.2">
      <c r="A4783" s="5">
        <v>0</v>
      </c>
      <c r="B4783" s="6" t="s">
        <v>27579</v>
      </c>
      <c r="C4783" s="7">
        <v>1968</v>
      </c>
      <c r="D4783" s="8" t="s">
        <v>27580</v>
      </c>
      <c r="E4783" s="8" t="s">
        <v>27581</v>
      </c>
      <c r="F4783" s="8" t="s">
        <v>27582</v>
      </c>
      <c r="G4783" s="6" t="s">
        <v>60</v>
      </c>
      <c r="H4783" s="6" t="s">
        <v>34</v>
      </c>
      <c r="I4783" s="8" t="s">
        <v>263</v>
      </c>
      <c r="J4783" s="9">
        <v>1</v>
      </c>
      <c r="K4783" s="9">
        <v>296</v>
      </c>
      <c r="L4783" s="9">
        <v>2025</v>
      </c>
      <c r="M4783" s="8" t="s">
        <v>27583</v>
      </c>
      <c r="N4783" s="8" t="s">
        <v>37</v>
      </c>
      <c r="O4783" s="8" t="s">
        <v>233</v>
      </c>
      <c r="P4783" s="6" t="s">
        <v>51</v>
      </c>
      <c r="Q4783" s="8" t="s">
        <v>265</v>
      </c>
      <c r="R4783" s="10" t="s">
        <v>3777</v>
      </c>
      <c r="S4783" s="11"/>
      <c r="T4783" s="6"/>
      <c r="U4783" s="15" t="str">
        <f>HYPERLINK("https://media.infra-m.ru/2160/2160983/cover/2160983.jpg", "Обложка")</f>
        <v>Обложка</v>
      </c>
      <c r="V4783" s="8" t="s">
        <v>936</v>
      </c>
      <c r="W4783" s="6"/>
      <c r="X4783" s="6"/>
      <c r="Y4783" s="6"/>
      <c r="Z4783" s="6"/>
      <c r="AA4783" s="6" t="s">
        <v>68</v>
      </c>
      <c r="AB4783" s="8" t="s">
        <v>3366</v>
      </c>
      <c r="AC4783" s="27">
        <v>9785160201290</v>
      </c>
    </row>
    <row r="4784" spans="1:29" s="4" customFormat="1" ht="51.9" customHeight="1" x14ac:dyDescent="0.2">
      <c r="A4784" s="5">
        <v>0</v>
      </c>
      <c r="B4784" s="6" t="s">
        <v>27584</v>
      </c>
      <c r="C4784" s="7">
        <v>1872</v>
      </c>
      <c r="D4784" s="8" t="s">
        <v>27585</v>
      </c>
      <c r="E4784" s="8" t="s">
        <v>27586</v>
      </c>
      <c r="F4784" s="8" t="s">
        <v>3731</v>
      </c>
      <c r="G4784" s="6" t="s">
        <v>118</v>
      </c>
      <c r="H4784" s="6" t="s">
        <v>34</v>
      </c>
      <c r="I4784" s="8" t="s">
        <v>2518</v>
      </c>
      <c r="J4784" s="9">
        <v>1</v>
      </c>
      <c r="K4784" s="9">
        <v>346</v>
      </c>
      <c r="L4784" s="9">
        <v>2023</v>
      </c>
      <c r="M4784" s="8" t="s">
        <v>27587</v>
      </c>
      <c r="N4784" s="8" t="s">
        <v>37</v>
      </c>
      <c r="O4784" s="8" t="s">
        <v>233</v>
      </c>
      <c r="P4784" s="6" t="s">
        <v>306</v>
      </c>
      <c r="Q4784" s="8" t="s">
        <v>265</v>
      </c>
      <c r="R4784" s="10" t="s">
        <v>27588</v>
      </c>
      <c r="S4784" s="11" t="s">
        <v>27589</v>
      </c>
      <c r="T4784" s="6"/>
      <c r="U4784" s="15" t="str">
        <f>HYPERLINK("https://media.infra-m.ru/1911/1911734/cover/1911734.jpg", "Обложка")</f>
        <v>Обложка</v>
      </c>
      <c r="V4784" s="8" t="s">
        <v>3735</v>
      </c>
      <c r="W4784" s="6"/>
      <c r="X4784" s="6"/>
      <c r="Y4784" s="6"/>
      <c r="Z4784" s="6"/>
      <c r="AA4784" s="6" t="s">
        <v>115</v>
      </c>
      <c r="AB4784" s="8" t="s">
        <v>1418</v>
      </c>
      <c r="AC4784" s="27">
        <v>9785160143132</v>
      </c>
    </row>
    <row r="4785" spans="1:29" s="4" customFormat="1" ht="51.9" customHeight="1" x14ac:dyDescent="0.2">
      <c r="A4785" s="5">
        <v>0</v>
      </c>
      <c r="B4785" s="6" t="s">
        <v>27590</v>
      </c>
      <c r="C4785" s="7">
        <v>1752</v>
      </c>
      <c r="D4785" s="8" t="s">
        <v>27591</v>
      </c>
      <c r="E4785" s="8" t="s">
        <v>27586</v>
      </c>
      <c r="F4785" s="8" t="s">
        <v>16384</v>
      </c>
      <c r="G4785" s="6" t="s">
        <v>118</v>
      </c>
      <c r="H4785" s="6" t="s">
        <v>34</v>
      </c>
      <c r="I4785" s="8" t="s">
        <v>263</v>
      </c>
      <c r="J4785" s="9">
        <v>1</v>
      </c>
      <c r="K4785" s="9">
        <v>251</v>
      </c>
      <c r="L4785" s="9">
        <v>2026</v>
      </c>
      <c r="M4785" s="8" t="s">
        <v>27592</v>
      </c>
      <c r="N4785" s="8" t="s">
        <v>37</v>
      </c>
      <c r="O4785" s="8" t="s">
        <v>233</v>
      </c>
      <c r="P4785" s="6" t="s">
        <v>306</v>
      </c>
      <c r="Q4785" s="8" t="s">
        <v>265</v>
      </c>
      <c r="R4785" s="10" t="s">
        <v>27593</v>
      </c>
      <c r="S4785" s="11"/>
      <c r="T4785" s="6"/>
      <c r="U4785" s="15" t="str">
        <f>HYPERLINK("https://media.infra-m.ru/2258/2258018/cover/2258018.jpg", "Обложка")</f>
        <v>Обложка</v>
      </c>
      <c r="V4785" s="8" t="s">
        <v>2035</v>
      </c>
      <c r="W4785" s="6"/>
      <c r="X4785" s="6"/>
      <c r="Y4785" s="6"/>
      <c r="Z4785" s="6"/>
      <c r="AA4785" s="6" t="s">
        <v>76</v>
      </c>
      <c r="AB4785" s="8"/>
      <c r="AC4785" s="27">
        <v>9785160181493</v>
      </c>
    </row>
    <row r="4786" spans="1:29" s="4" customFormat="1" ht="51.9" customHeight="1" x14ac:dyDescent="0.2">
      <c r="A4786" s="5">
        <v>0</v>
      </c>
      <c r="B4786" s="6" t="s">
        <v>27594</v>
      </c>
      <c r="C4786" s="7">
        <v>3244.8</v>
      </c>
      <c r="D4786" s="8" t="s">
        <v>27595</v>
      </c>
      <c r="E4786" s="8" t="s">
        <v>27596</v>
      </c>
      <c r="F4786" s="8" t="s">
        <v>27597</v>
      </c>
      <c r="G4786" s="6" t="s">
        <v>60</v>
      </c>
      <c r="H4786" s="6" t="s">
        <v>34</v>
      </c>
      <c r="I4786" s="8" t="s">
        <v>253</v>
      </c>
      <c r="J4786" s="9">
        <v>1</v>
      </c>
      <c r="K4786" s="9">
        <v>491</v>
      </c>
      <c r="L4786" s="9">
        <v>2026</v>
      </c>
      <c r="M4786" s="8" t="s">
        <v>27598</v>
      </c>
      <c r="N4786" s="8" t="s">
        <v>37</v>
      </c>
      <c r="O4786" s="8" t="s">
        <v>233</v>
      </c>
      <c r="P4786" s="6" t="s">
        <v>306</v>
      </c>
      <c r="Q4786" s="8" t="s">
        <v>52</v>
      </c>
      <c r="R4786" s="10" t="s">
        <v>5270</v>
      </c>
      <c r="S4786" s="11" t="s">
        <v>2271</v>
      </c>
      <c r="T4786" s="6"/>
      <c r="U4786" s="15" t="str">
        <f>HYPERLINK("https://media.infra-m.ru/2238/2238281/cover/2238281.jpg", "Обложка")</f>
        <v>Обложка</v>
      </c>
      <c r="V4786" s="8" t="s">
        <v>1994</v>
      </c>
      <c r="W4786" s="6"/>
      <c r="X4786" s="6"/>
      <c r="Y4786" s="6"/>
      <c r="Z4786" s="6"/>
      <c r="AA4786" s="6" t="s">
        <v>1303</v>
      </c>
      <c r="AB4786" s="8"/>
      <c r="AC4786" s="27">
        <v>9785160173979</v>
      </c>
    </row>
    <row r="4787" spans="1:29" s="4" customFormat="1" ht="51.9" customHeight="1" x14ac:dyDescent="0.2">
      <c r="A4787" s="5">
        <v>0</v>
      </c>
      <c r="B4787" s="6" t="s">
        <v>27599</v>
      </c>
      <c r="C4787" s="7">
        <v>2004</v>
      </c>
      <c r="D4787" s="8" t="s">
        <v>27600</v>
      </c>
      <c r="E4787" s="8" t="s">
        <v>27601</v>
      </c>
      <c r="F4787" s="8" t="s">
        <v>27602</v>
      </c>
      <c r="G4787" s="6" t="s">
        <v>118</v>
      </c>
      <c r="H4787" s="6" t="s">
        <v>34</v>
      </c>
      <c r="I4787" s="8" t="s">
        <v>1128</v>
      </c>
      <c r="J4787" s="9">
        <v>1</v>
      </c>
      <c r="K4787" s="9">
        <v>303</v>
      </c>
      <c r="L4787" s="9">
        <v>2026</v>
      </c>
      <c r="M4787" s="8" t="s">
        <v>27603</v>
      </c>
      <c r="N4787" s="8" t="s">
        <v>243</v>
      </c>
      <c r="O4787" s="8" t="s">
        <v>1100</v>
      </c>
      <c r="P4787" s="6" t="s">
        <v>51</v>
      </c>
      <c r="Q4787" s="8" t="s">
        <v>65</v>
      </c>
      <c r="R4787" s="10" t="s">
        <v>2505</v>
      </c>
      <c r="S4787" s="11" t="s">
        <v>27604</v>
      </c>
      <c r="T4787" s="6"/>
      <c r="U4787" s="15" t="str">
        <f>HYPERLINK("https://media.infra-m.ru/2231/2231746/cover/2231746.jpg", "Обложка")</f>
        <v>Обложка</v>
      </c>
      <c r="V4787" s="8" t="s">
        <v>1132</v>
      </c>
      <c r="W4787" s="6"/>
      <c r="X4787" s="6"/>
      <c r="Y4787" s="6"/>
      <c r="Z4787" s="6"/>
      <c r="AA4787" s="6" t="s">
        <v>76</v>
      </c>
      <c r="AB4787" s="8"/>
      <c r="AC4787" s="27">
        <v>9785160192970</v>
      </c>
    </row>
    <row r="4788" spans="1:29" s="4" customFormat="1" ht="51.9" customHeight="1" x14ac:dyDescent="0.2">
      <c r="A4788" s="5">
        <v>0</v>
      </c>
      <c r="B4788" s="6" t="s">
        <v>27605</v>
      </c>
      <c r="C4788" s="7">
        <v>2328</v>
      </c>
      <c r="D4788" s="8" t="s">
        <v>27606</v>
      </c>
      <c r="E4788" s="8" t="s">
        <v>27607</v>
      </c>
      <c r="F4788" s="8" t="s">
        <v>27602</v>
      </c>
      <c r="G4788" s="6" t="s">
        <v>118</v>
      </c>
      <c r="H4788" s="6" t="s">
        <v>34</v>
      </c>
      <c r="I4788" s="8" t="s">
        <v>1128</v>
      </c>
      <c r="J4788" s="9">
        <v>1</v>
      </c>
      <c r="K4788" s="9">
        <v>335</v>
      </c>
      <c r="L4788" s="9">
        <v>2026</v>
      </c>
      <c r="M4788" s="8" t="s">
        <v>27608</v>
      </c>
      <c r="N4788" s="8" t="s">
        <v>243</v>
      </c>
      <c r="O4788" s="8" t="s">
        <v>1100</v>
      </c>
      <c r="P4788" s="6" t="s">
        <v>51</v>
      </c>
      <c r="Q4788" s="8" t="s">
        <v>65</v>
      </c>
      <c r="R4788" s="10" t="s">
        <v>2505</v>
      </c>
      <c r="S4788" s="11" t="s">
        <v>27604</v>
      </c>
      <c r="T4788" s="6"/>
      <c r="U4788" s="15" t="str">
        <f>HYPERLINK("https://media.infra-m.ru/2260/2260342/cover/2260342.jpg", "Обложка")</f>
        <v>Обложка</v>
      </c>
      <c r="V4788" s="8" t="s">
        <v>1132</v>
      </c>
      <c r="W4788" s="6"/>
      <c r="X4788" s="6"/>
      <c r="Y4788" s="6"/>
      <c r="Z4788" s="6"/>
      <c r="AA4788" s="6" t="s">
        <v>76</v>
      </c>
      <c r="AB4788" s="8"/>
      <c r="AC4788" s="27">
        <v>9785160192963</v>
      </c>
    </row>
    <row r="4789" spans="1:29" s="4" customFormat="1" ht="51.9" customHeight="1" x14ac:dyDescent="0.2">
      <c r="A4789" s="5">
        <v>0</v>
      </c>
      <c r="B4789" s="6" t="s">
        <v>27609</v>
      </c>
      <c r="C4789" s="7">
        <v>2356.8000000000002</v>
      </c>
      <c r="D4789" s="8" t="s">
        <v>27610</v>
      </c>
      <c r="E4789" s="8" t="s">
        <v>27611</v>
      </c>
      <c r="F4789" s="8" t="s">
        <v>27612</v>
      </c>
      <c r="G4789" s="6" t="s">
        <v>60</v>
      </c>
      <c r="H4789" s="6" t="s">
        <v>34</v>
      </c>
      <c r="I4789" s="8" t="s">
        <v>5350</v>
      </c>
      <c r="J4789" s="9">
        <v>1</v>
      </c>
      <c r="K4789" s="9">
        <v>378</v>
      </c>
      <c r="L4789" s="9">
        <v>2025</v>
      </c>
      <c r="M4789" s="8" t="s">
        <v>27613</v>
      </c>
      <c r="N4789" s="8" t="s">
        <v>243</v>
      </c>
      <c r="O4789" s="8" t="s">
        <v>1100</v>
      </c>
      <c r="P4789" s="6" t="s">
        <v>306</v>
      </c>
      <c r="Q4789" s="8" t="s">
        <v>52</v>
      </c>
      <c r="R4789" s="10" t="s">
        <v>2505</v>
      </c>
      <c r="S4789" s="11" t="s">
        <v>27614</v>
      </c>
      <c r="T4789" s="6" t="s">
        <v>97</v>
      </c>
      <c r="U4789" s="15" t="str">
        <f>HYPERLINK("https://media.infra-m.ru/2196/2196895/cover/2196895.jpg", "Обложка")</f>
        <v>Обложка</v>
      </c>
      <c r="V4789" s="8" t="s">
        <v>27615</v>
      </c>
      <c r="W4789" s="6"/>
      <c r="X4789" s="6"/>
      <c r="Y4789" s="6"/>
      <c r="Z4789" s="6"/>
      <c r="AA4789" s="6" t="s">
        <v>779</v>
      </c>
      <c r="AB4789" s="8"/>
      <c r="AC4789" s="27">
        <v>9785160106236</v>
      </c>
    </row>
    <row r="4790" spans="1:29" s="4" customFormat="1" ht="42" customHeight="1" x14ac:dyDescent="0.2">
      <c r="A4790" s="5">
        <v>0</v>
      </c>
      <c r="B4790" s="6" t="s">
        <v>27616</v>
      </c>
      <c r="C4790" s="7">
        <v>1260</v>
      </c>
      <c r="D4790" s="8" t="s">
        <v>27617</v>
      </c>
      <c r="E4790" s="8" t="s">
        <v>27618</v>
      </c>
      <c r="F4790" s="8" t="s">
        <v>27619</v>
      </c>
      <c r="G4790" s="6" t="s">
        <v>118</v>
      </c>
      <c r="H4790" s="6" t="s">
        <v>34</v>
      </c>
      <c r="I4790" s="8" t="s">
        <v>179</v>
      </c>
      <c r="J4790" s="9">
        <v>1</v>
      </c>
      <c r="K4790" s="9">
        <v>191</v>
      </c>
      <c r="L4790" s="9">
        <v>2026</v>
      </c>
      <c r="M4790" s="8" t="s">
        <v>27620</v>
      </c>
      <c r="N4790" s="8" t="s">
        <v>37</v>
      </c>
      <c r="O4790" s="8" t="s">
        <v>499</v>
      </c>
      <c r="P4790" s="6" t="s">
        <v>182</v>
      </c>
      <c r="Q4790" s="8" t="s">
        <v>65</v>
      </c>
      <c r="R4790" s="10" t="s">
        <v>9042</v>
      </c>
      <c r="S4790" s="11"/>
      <c r="T4790" s="6"/>
      <c r="U4790" s="15" t="str">
        <f>HYPERLINK("https://media.infra-m.ru/2236/2236166/cover/2236166.jpg", "Обложка")</f>
        <v>Обложка</v>
      </c>
      <c r="V4790" s="8" t="s">
        <v>227</v>
      </c>
      <c r="W4790" s="6"/>
      <c r="X4790" s="6"/>
      <c r="Y4790" s="6"/>
      <c r="Z4790" s="6"/>
      <c r="AA4790" s="6" t="s">
        <v>68</v>
      </c>
      <c r="AB4790" s="8"/>
      <c r="AC4790" s="27">
        <v>9785160204789</v>
      </c>
    </row>
    <row r="4791" spans="1:29" s="4" customFormat="1" ht="42" customHeight="1" x14ac:dyDescent="0.2">
      <c r="A4791" s="5">
        <v>0</v>
      </c>
      <c r="B4791" s="6" t="s">
        <v>27621</v>
      </c>
      <c r="C4791" s="7">
        <v>1476</v>
      </c>
      <c r="D4791" s="8" t="s">
        <v>27622</v>
      </c>
      <c r="E4791" s="8" t="s">
        <v>27618</v>
      </c>
      <c r="F4791" s="8" t="s">
        <v>27619</v>
      </c>
      <c r="G4791" s="6" t="s">
        <v>118</v>
      </c>
      <c r="H4791" s="6" t="s">
        <v>34</v>
      </c>
      <c r="I4791" s="8" t="s">
        <v>263</v>
      </c>
      <c r="J4791" s="9">
        <v>1</v>
      </c>
      <c r="K4791" s="9">
        <v>191</v>
      </c>
      <c r="L4791" s="9">
        <v>2027</v>
      </c>
      <c r="M4791" s="8" t="s">
        <v>27623</v>
      </c>
      <c r="N4791" s="8" t="s">
        <v>37</v>
      </c>
      <c r="O4791" s="8" t="s">
        <v>499</v>
      </c>
      <c r="P4791" s="6" t="s">
        <v>51</v>
      </c>
      <c r="Q4791" s="8" t="s">
        <v>265</v>
      </c>
      <c r="R4791" s="10" t="s">
        <v>9042</v>
      </c>
      <c r="S4791" s="11"/>
      <c r="T4791" s="6"/>
      <c r="U4791" s="15" t="str">
        <f>HYPERLINK("https://media.infra-m.ru/2271/2271035/cover/2271035.jpg", "Обложка")</f>
        <v>Обложка</v>
      </c>
      <c r="V4791" s="8" t="s">
        <v>227</v>
      </c>
      <c r="W4791" s="6"/>
      <c r="X4791" s="6"/>
      <c r="Y4791" s="6"/>
      <c r="Z4791" s="6"/>
      <c r="AA4791" s="6" t="s">
        <v>68</v>
      </c>
      <c r="AB4791" s="8"/>
      <c r="AC4791" s="27">
        <v>9785160183121</v>
      </c>
    </row>
    <row r="4792" spans="1:29" s="4" customFormat="1" ht="51.9" customHeight="1" x14ac:dyDescent="0.2">
      <c r="A4792" s="5">
        <v>0</v>
      </c>
      <c r="B4792" s="6" t="s">
        <v>27624</v>
      </c>
      <c r="C4792" s="13">
        <v>893.9</v>
      </c>
      <c r="D4792" s="8" t="s">
        <v>27625</v>
      </c>
      <c r="E4792" s="8" t="s">
        <v>27626</v>
      </c>
      <c r="F4792" s="8" t="s">
        <v>27627</v>
      </c>
      <c r="G4792" s="6" t="s">
        <v>60</v>
      </c>
      <c r="H4792" s="6" t="s">
        <v>34</v>
      </c>
      <c r="I4792" s="8" t="s">
        <v>263</v>
      </c>
      <c r="J4792" s="9">
        <v>1</v>
      </c>
      <c r="K4792" s="9">
        <v>165</v>
      </c>
      <c r="L4792" s="9">
        <v>2023</v>
      </c>
      <c r="M4792" s="8" t="s">
        <v>27628</v>
      </c>
      <c r="N4792" s="8" t="s">
        <v>37</v>
      </c>
      <c r="O4792" s="8" t="s">
        <v>499</v>
      </c>
      <c r="P4792" s="6" t="s">
        <v>51</v>
      </c>
      <c r="Q4792" s="8" t="s">
        <v>265</v>
      </c>
      <c r="R4792" s="10" t="s">
        <v>2200</v>
      </c>
      <c r="S4792" s="11" t="s">
        <v>27629</v>
      </c>
      <c r="T4792" s="6" t="s">
        <v>97</v>
      </c>
      <c r="U4792" s="15" t="str">
        <f>HYPERLINK("https://media.infra-m.ru/1964/1964974/cover/1964974.jpg", "Обложка")</f>
        <v>Обложка</v>
      </c>
      <c r="V4792" s="8" t="s">
        <v>1116</v>
      </c>
      <c r="W4792" s="6"/>
      <c r="X4792" s="6"/>
      <c r="Y4792" s="6"/>
      <c r="Z4792" s="6"/>
      <c r="AA4792" s="6" t="s">
        <v>1256</v>
      </c>
      <c r="AB4792" s="8"/>
      <c r="AC4792" s="27">
        <v>9785160149608</v>
      </c>
    </row>
    <row r="4793" spans="1:29" s="4" customFormat="1" ht="51.9" customHeight="1" x14ac:dyDescent="0.2">
      <c r="A4793" s="5">
        <v>0</v>
      </c>
      <c r="B4793" s="6" t="s">
        <v>27630</v>
      </c>
      <c r="C4793" s="7">
        <v>1692</v>
      </c>
      <c r="D4793" s="8" t="s">
        <v>27631</v>
      </c>
      <c r="E4793" s="8" t="s">
        <v>27632</v>
      </c>
      <c r="F4793" s="8" t="s">
        <v>4643</v>
      </c>
      <c r="G4793" s="6" t="s">
        <v>118</v>
      </c>
      <c r="H4793" s="6" t="s">
        <v>34</v>
      </c>
      <c r="I4793" s="8" t="s">
        <v>263</v>
      </c>
      <c r="J4793" s="9">
        <v>1</v>
      </c>
      <c r="K4793" s="9">
        <v>256</v>
      </c>
      <c r="L4793" s="9">
        <v>2026</v>
      </c>
      <c r="M4793" s="8" t="s">
        <v>27633</v>
      </c>
      <c r="N4793" s="8" t="s">
        <v>585</v>
      </c>
      <c r="O4793" s="8" t="s">
        <v>775</v>
      </c>
      <c r="P4793" s="6" t="s">
        <v>51</v>
      </c>
      <c r="Q4793" s="8" t="s">
        <v>265</v>
      </c>
      <c r="R4793" s="10" t="s">
        <v>6740</v>
      </c>
      <c r="S4793" s="11" t="s">
        <v>27634</v>
      </c>
      <c r="T4793" s="6" t="s">
        <v>97</v>
      </c>
      <c r="U4793" s="15" t="str">
        <f>HYPERLINK("https://media.infra-m.ru/2233/2233821/cover/2233821.jpg", "Обложка")</f>
        <v>Обложка</v>
      </c>
      <c r="V4793" s="8" t="s">
        <v>761</v>
      </c>
      <c r="W4793" s="6"/>
      <c r="X4793" s="6"/>
      <c r="Y4793" s="6"/>
      <c r="Z4793" s="6" t="s">
        <v>5578</v>
      </c>
      <c r="AA4793" s="6" t="s">
        <v>430</v>
      </c>
      <c r="AB4793" s="8"/>
      <c r="AC4793" s="27">
        <v>9785160168197</v>
      </c>
    </row>
    <row r="4794" spans="1:29" s="4" customFormat="1" ht="42" customHeight="1" x14ac:dyDescent="0.2">
      <c r="A4794" s="5">
        <v>0</v>
      </c>
      <c r="B4794" s="6" t="s">
        <v>27635</v>
      </c>
      <c r="C4794" s="7">
        <v>1216.8</v>
      </c>
      <c r="D4794" s="8" t="s">
        <v>27636</v>
      </c>
      <c r="E4794" s="8" t="s">
        <v>27637</v>
      </c>
      <c r="F4794" s="8" t="s">
        <v>27638</v>
      </c>
      <c r="G4794" s="6" t="s">
        <v>118</v>
      </c>
      <c r="H4794" s="6" t="s">
        <v>34</v>
      </c>
      <c r="I4794" s="8" t="s">
        <v>954</v>
      </c>
      <c r="J4794" s="9">
        <v>1</v>
      </c>
      <c r="K4794" s="9">
        <v>184</v>
      </c>
      <c r="L4794" s="9">
        <v>2026</v>
      </c>
      <c r="M4794" s="8" t="s">
        <v>27639</v>
      </c>
      <c r="N4794" s="8" t="s">
        <v>37</v>
      </c>
      <c r="O4794" s="8" t="s">
        <v>290</v>
      </c>
      <c r="P4794" s="6" t="s">
        <v>51</v>
      </c>
      <c r="Q4794" s="8" t="s">
        <v>52</v>
      </c>
      <c r="R4794" s="10" t="s">
        <v>27640</v>
      </c>
      <c r="S4794" s="11"/>
      <c r="T4794" s="6"/>
      <c r="U4794" s="15" t="str">
        <f>HYPERLINK("https://media.infra-m.ru/2230/2230643/cover/2230643.jpg", "Обложка")</f>
        <v>Обложка</v>
      </c>
      <c r="V4794" s="8" t="s">
        <v>958</v>
      </c>
      <c r="W4794" s="6"/>
      <c r="X4794" s="6"/>
      <c r="Y4794" s="6"/>
      <c r="Z4794" s="6"/>
      <c r="AA4794" s="6" t="s">
        <v>157</v>
      </c>
      <c r="AB4794" s="8"/>
      <c r="AC4794" s="27">
        <v>9785160150680</v>
      </c>
    </row>
    <row r="4795" spans="1:29" s="4" customFormat="1" ht="51.9" customHeight="1" x14ac:dyDescent="0.2">
      <c r="A4795" s="5">
        <v>0</v>
      </c>
      <c r="B4795" s="6" t="s">
        <v>27641</v>
      </c>
      <c r="C4795" s="7">
        <v>3590.4</v>
      </c>
      <c r="D4795" s="8" t="s">
        <v>27642</v>
      </c>
      <c r="E4795" s="8" t="s">
        <v>27643</v>
      </c>
      <c r="F4795" s="8" t="s">
        <v>27644</v>
      </c>
      <c r="G4795" s="6" t="s">
        <v>60</v>
      </c>
      <c r="H4795" s="6" t="s">
        <v>34</v>
      </c>
      <c r="I4795" s="8" t="s">
        <v>1248</v>
      </c>
      <c r="J4795" s="9">
        <v>1</v>
      </c>
      <c r="K4795" s="9">
        <v>499</v>
      </c>
      <c r="L4795" s="9">
        <v>2026</v>
      </c>
      <c r="M4795" s="8" t="s">
        <v>27645</v>
      </c>
      <c r="N4795" s="8" t="s">
        <v>37</v>
      </c>
      <c r="O4795" s="8" t="s">
        <v>290</v>
      </c>
      <c r="P4795" s="6" t="s">
        <v>306</v>
      </c>
      <c r="Q4795" s="8" t="s">
        <v>65</v>
      </c>
      <c r="R4795" s="10" t="s">
        <v>291</v>
      </c>
      <c r="S4795" s="11" t="s">
        <v>27646</v>
      </c>
      <c r="T4795" s="6"/>
      <c r="U4795" s="15" t="str">
        <f>HYPERLINK("https://media.infra-m.ru/2222/2222616/cover/2222616.jpg", "Обложка")</f>
        <v>Обложка</v>
      </c>
      <c r="V4795" s="8" t="s">
        <v>1083</v>
      </c>
      <c r="W4795" s="6" t="s">
        <v>342</v>
      </c>
      <c r="X4795" s="6"/>
      <c r="Y4795" s="6"/>
      <c r="Z4795" s="6"/>
      <c r="AA4795" s="6" t="s">
        <v>187</v>
      </c>
      <c r="AB4795" s="8"/>
      <c r="AC4795" s="27">
        <v>9785160213415</v>
      </c>
    </row>
    <row r="4796" spans="1:29" s="4" customFormat="1" ht="51.9" customHeight="1" x14ac:dyDescent="0.2">
      <c r="A4796" s="5">
        <v>0</v>
      </c>
      <c r="B4796" s="6" t="s">
        <v>27647</v>
      </c>
      <c r="C4796" s="7">
        <v>5174.3999999999996</v>
      </c>
      <c r="D4796" s="8" t="s">
        <v>27648</v>
      </c>
      <c r="E4796" s="8" t="s">
        <v>27649</v>
      </c>
      <c r="F4796" s="8" t="s">
        <v>27650</v>
      </c>
      <c r="G4796" s="6" t="s">
        <v>118</v>
      </c>
      <c r="H4796" s="6" t="s">
        <v>34</v>
      </c>
      <c r="I4796" s="8" t="s">
        <v>263</v>
      </c>
      <c r="J4796" s="9">
        <v>1</v>
      </c>
      <c r="K4796" s="9">
        <v>384</v>
      </c>
      <c r="L4796" s="9">
        <v>2026</v>
      </c>
      <c r="M4796" s="8" t="s">
        <v>27651</v>
      </c>
      <c r="N4796" s="8" t="s">
        <v>37</v>
      </c>
      <c r="O4796" s="8" t="s">
        <v>290</v>
      </c>
      <c r="P4796" s="6" t="s">
        <v>306</v>
      </c>
      <c r="Q4796" s="8" t="s">
        <v>265</v>
      </c>
      <c r="R4796" s="10" t="s">
        <v>27652</v>
      </c>
      <c r="S4796" s="11" t="s">
        <v>27653</v>
      </c>
      <c r="T4796" s="6"/>
      <c r="U4796" s="15" t="str">
        <f>HYPERLINK("https://media.infra-m.ru/2234/2234898/cover/2234898.jpg", "Обложка")</f>
        <v>Обложка</v>
      </c>
      <c r="V4796" s="8" t="s">
        <v>3154</v>
      </c>
      <c r="W4796" s="6"/>
      <c r="X4796" s="6" t="s">
        <v>24</v>
      </c>
      <c r="Y4796" s="6"/>
      <c r="Z4796" s="6"/>
      <c r="AA4796" s="6" t="s">
        <v>874</v>
      </c>
      <c r="AB4796" s="8"/>
      <c r="AC4796" s="27">
        <v>9785160217338</v>
      </c>
    </row>
    <row r="4797" spans="1:29" s="4" customFormat="1" ht="51.9" customHeight="1" x14ac:dyDescent="0.2">
      <c r="A4797" s="5">
        <v>0</v>
      </c>
      <c r="B4797" s="6" t="s">
        <v>27654</v>
      </c>
      <c r="C4797" s="7">
        <v>2153.9</v>
      </c>
      <c r="D4797" s="8" t="s">
        <v>27655</v>
      </c>
      <c r="E4797" s="8" t="s">
        <v>27656</v>
      </c>
      <c r="F4797" s="8" t="s">
        <v>27650</v>
      </c>
      <c r="G4797" s="6" t="s">
        <v>33</v>
      </c>
      <c r="H4797" s="6" t="s">
        <v>48</v>
      </c>
      <c r="I4797" s="8" t="s">
        <v>401</v>
      </c>
      <c r="J4797" s="9">
        <v>1</v>
      </c>
      <c r="K4797" s="9">
        <v>384</v>
      </c>
      <c r="L4797" s="9">
        <v>2021</v>
      </c>
      <c r="M4797" s="8" t="s">
        <v>27657</v>
      </c>
      <c r="N4797" s="8" t="s">
        <v>37</v>
      </c>
      <c r="O4797" s="8" t="s">
        <v>290</v>
      </c>
      <c r="P4797" s="6" t="s">
        <v>306</v>
      </c>
      <c r="Q4797" s="8" t="s">
        <v>265</v>
      </c>
      <c r="R4797" s="10" t="s">
        <v>27652</v>
      </c>
      <c r="S4797" s="11" t="s">
        <v>27653</v>
      </c>
      <c r="T4797" s="6"/>
      <c r="U4797" s="15" t="str">
        <f>HYPERLINK("https://media.infra-m.ru/1255/1255622/cover/1255622.jpg", "Обложка")</f>
        <v>Обложка</v>
      </c>
      <c r="V4797" s="8" t="s">
        <v>3154</v>
      </c>
      <c r="W4797" s="6"/>
      <c r="X4797" s="6" t="s">
        <v>24</v>
      </c>
      <c r="Y4797" s="6"/>
      <c r="Z4797" s="6"/>
      <c r="AA4797" s="6" t="s">
        <v>874</v>
      </c>
      <c r="AB4797" s="8"/>
      <c r="AC4797" s="27">
        <v>9785000914151</v>
      </c>
    </row>
    <row r="4798" spans="1:29" s="4" customFormat="1" ht="42" customHeight="1" x14ac:dyDescent="0.2">
      <c r="A4798" s="5">
        <v>0</v>
      </c>
      <c r="B4798" s="6" t="s">
        <v>27658</v>
      </c>
      <c r="C4798" s="7">
        <v>3108</v>
      </c>
      <c r="D4798" s="8" t="s">
        <v>27659</v>
      </c>
      <c r="E4798" s="8" t="s">
        <v>27649</v>
      </c>
      <c r="F4798" s="8" t="s">
        <v>27650</v>
      </c>
      <c r="G4798" s="6" t="s">
        <v>118</v>
      </c>
      <c r="H4798" s="6" t="s">
        <v>48</v>
      </c>
      <c r="I4798" s="8" t="s">
        <v>253</v>
      </c>
      <c r="J4798" s="9">
        <v>1</v>
      </c>
      <c r="K4798" s="9">
        <v>384</v>
      </c>
      <c r="L4798" s="9">
        <v>2025</v>
      </c>
      <c r="M4798" s="8" t="s">
        <v>27660</v>
      </c>
      <c r="N4798" s="8" t="s">
        <v>37</v>
      </c>
      <c r="O4798" s="8" t="s">
        <v>290</v>
      </c>
      <c r="P4798" s="6" t="s">
        <v>306</v>
      </c>
      <c r="Q4798" s="8" t="s">
        <v>65</v>
      </c>
      <c r="R4798" s="10" t="s">
        <v>291</v>
      </c>
      <c r="S4798" s="11"/>
      <c r="T4798" s="6"/>
      <c r="U4798" s="15" t="str">
        <f>HYPERLINK("https://media.infra-m.ru/2165/2165116/cover/2165116.jpg", "Обложка")</f>
        <v>Обложка</v>
      </c>
      <c r="V4798" s="8" t="s">
        <v>3154</v>
      </c>
      <c r="W4798" s="6"/>
      <c r="X4798" s="6"/>
      <c r="Y4798" s="6"/>
      <c r="Z4798" s="6" t="s">
        <v>3974</v>
      </c>
      <c r="AA4798" s="6" t="s">
        <v>1303</v>
      </c>
      <c r="AB4798" s="8"/>
      <c r="AC4798" s="27">
        <v>9785000917787</v>
      </c>
    </row>
    <row r="4799" spans="1:29" s="4" customFormat="1" ht="51.9" customHeight="1" x14ac:dyDescent="0.2">
      <c r="A4799" s="5">
        <v>0</v>
      </c>
      <c r="B4799" s="6" t="s">
        <v>27661</v>
      </c>
      <c r="C4799" s="7">
        <v>1288.8</v>
      </c>
      <c r="D4799" s="8" t="s">
        <v>27662</v>
      </c>
      <c r="E4799" s="8" t="s">
        <v>27663</v>
      </c>
      <c r="F4799" s="8" t="s">
        <v>22782</v>
      </c>
      <c r="G4799" s="6" t="s">
        <v>33</v>
      </c>
      <c r="H4799" s="6" t="s">
        <v>313</v>
      </c>
      <c r="I4799" s="8" t="s">
        <v>253</v>
      </c>
      <c r="J4799" s="9">
        <v>1</v>
      </c>
      <c r="K4799" s="9">
        <v>207</v>
      </c>
      <c r="L4799" s="9">
        <v>2025</v>
      </c>
      <c r="M4799" s="8" t="s">
        <v>27664</v>
      </c>
      <c r="N4799" s="8" t="s">
        <v>585</v>
      </c>
      <c r="O4799" s="8" t="s">
        <v>2472</v>
      </c>
      <c r="P4799" s="6" t="s">
        <v>306</v>
      </c>
      <c r="Q4799" s="8" t="s">
        <v>65</v>
      </c>
      <c r="R4799" s="10" t="s">
        <v>27665</v>
      </c>
      <c r="S4799" s="11"/>
      <c r="T4799" s="6"/>
      <c r="U4799" s="15" t="str">
        <f>HYPERLINK("https://media.infra-m.ru/2216/2216027/cover/2216027.jpg", "Обложка")</f>
        <v>Обложка</v>
      </c>
      <c r="V4799" s="8" t="s">
        <v>5964</v>
      </c>
      <c r="W4799" s="6"/>
      <c r="X4799" s="6"/>
      <c r="Y4799" s="6"/>
      <c r="Z4799" s="6"/>
      <c r="AA4799" s="6" t="s">
        <v>99</v>
      </c>
      <c r="AB4799" s="8"/>
      <c r="AC4799" s="27">
        <v>9785369016404</v>
      </c>
    </row>
    <row r="4800" spans="1:29" s="4" customFormat="1" ht="51.9" customHeight="1" x14ac:dyDescent="0.2">
      <c r="A4800" s="5">
        <v>0</v>
      </c>
      <c r="B4800" s="6" t="s">
        <v>27666</v>
      </c>
      <c r="C4800" s="7">
        <v>1368</v>
      </c>
      <c r="D4800" s="8" t="s">
        <v>27667</v>
      </c>
      <c r="E4800" s="8" t="s">
        <v>27668</v>
      </c>
      <c r="F4800" s="8" t="s">
        <v>22782</v>
      </c>
      <c r="G4800" s="6" t="s">
        <v>33</v>
      </c>
      <c r="H4800" s="6" t="s">
        <v>313</v>
      </c>
      <c r="I4800" s="8" t="s">
        <v>253</v>
      </c>
      <c r="J4800" s="9">
        <v>1</v>
      </c>
      <c r="K4800" s="9">
        <v>251</v>
      </c>
      <c r="L4800" s="9">
        <v>2026</v>
      </c>
      <c r="M4800" s="8" t="s">
        <v>27669</v>
      </c>
      <c r="N4800" s="8" t="s">
        <v>585</v>
      </c>
      <c r="O4800" s="8" t="s">
        <v>2472</v>
      </c>
      <c r="P4800" s="6" t="s">
        <v>306</v>
      </c>
      <c r="Q4800" s="8" t="s">
        <v>65</v>
      </c>
      <c r="R4800" s="10" t="s">
        <v>27665</v>
      </c>
      <c r="S4800" s="11"/>
      <c r="T4800" s="6"/>
      <c r="U4800" s="15" t="str">
        <f>HYPERLINK("https://media.infra-m.ru/2216/2216032/cover/2216032.jpg", "Обложка")</f>
        <v>Обложка</v>
      </c>
      <c r="V4800" s="8" t="s">
        <v>5964</v>
      </c>
      <c r="W4800" s="6" t="s">
        <v>2565</v>
      </c>
      <c r="X4800" s="6"/>
      <c r="Y4800" s="6"/>
      <c r="Z4800" s="6"/>
      <c r="AA4800" s="6" t="s">
        <v>650</v>
      </c>
      <c r="AB4800" s="8"/>
      <c r="AC4800" s="27">
        <v>9785369019962</v>
      </c>
    </row>
    <row r="4801" spans="1:29" s="4" customFormat="1" ht="51.9" customHeight="1" x14ac:dyDescent="0.2">
      <c r="A4801" s="5">
        <v>0</v>
      </c>
      <c r="B4801" s="6" t="s">
        <v>27670</v>
      </c>
      <c r="C4801" s="7">
        <v>3396</v>
      </c>
      <c r="D4801" s="8" t="s">
        <v>27671</v>
      </c>
      <c r="E4801" s="8" t="s">
        <v>27672</v>
      </c>
      <c r="F4801" s="8" t="s">
        <v>27673</v>
      </c>
      <c r="G4801" s="6" t="s">
        <v>60</v>
      </c>
      <c r="H4801" s="6" t="s">
        <v>34</v>
      </c>
      <c r="I4801" s="8" t="s">
        <v>253</v>
      </c>
      <c r="J4801" s="9">
        <v>1</v>
      </c>
      <c r="K4801" s="9">
        <v>543</v>
      </c>
      <c r="L4801" s="9">
        <v>2025</v>
      </c>
      <c r="M4801" s="8" t="s">
        <v>27674</v>
      </c>
      <c r="N4801" s="8" t="s">
        <v>243</v>
      </c>
      <c r="O4801" s="8" t="s">
        <v>798</v>
      </c>
      <c r="P4801" s="6" t="s">
        <v>306</v>
      </c>
      <c r="Q4801" s="8" t="s">
        <v>377</v>
      </c>
      <c r="R4801" s="10" t="s">
        <v>27675</v>
      </c>
      <c r="S4801" s="11" t="s">
        <v>27676</v>
      </c>
      <c r="T4801" s="6"/>
      <c r="U4801" s="15" t="str">
        <f>HYPERLINK("https://media.infra-m.ru/2209/2209397/cover/2209397.jpg", "Обложка")</f>
        <v>Обложка</v>
      </c>
      <c r="V4801" s="8" t="s">
        <v>7429</v>
      </c>
      <c r="W4801" s="6"/>
      <c r="X4801" s="6"/>
      <c r="Y4801" s="6"/>
      <c r="Z4801" s="6"/>
      <c r="AA4801" s="6" t="s">
        <v>115</v>
      </c>
      <c r="AB4801" s="8"/>
      <c r="AC4801" s="27">
        <v>9785160210148</v>
      </c>
    </row>
    <row r="4802" spans="1:29" s="4" customFormat="1" ht="51.9" customHeight="1" x14ac:dyDescent="0.2">
      <c r="A4802" s="5">
        <v>0</v>
      </c>
      <c r="B4802" s="6" t="s">
        <v>27677</v>
      </c>
      <c r="C4802" s="7">
        <v>1408.8</v>
      </c>
      <c r="D4802" s="8" t="s">
        <v>27678</v>
      </c>
      <c r="E4802" s="8" t="s">
        <v>27679</v>
      </c>
      <c r="F4802" s="8" t="s">
        <v>27680</v>
      </c>
      <c r="G4802" s="6" t="s">
        <v>60</v>
      </c>
      <c r="H4802" s="6" t="s">
        <v>34</v>
      </c>
      <c r="I4802" s="8" t="s">
        <v>263</v>
      </c>
      <c r="J4802" s="9">
        <v>1</v>
      </c>
      <c r="K4802" s="9">
        <v>203</v>
      </c>
      <c r="L4802" s="9">
        <v>2027</v>
      </c>
      <c r="M4802" s="8" t="s">
        <v>27681</v>
      </c>
      <c r="N4802" s="8" t="s">
        <v>243</v>
      </c>
      <c r="O4802" s="8" t="s">
        <v>1100</v>
      </c>
      <c r="P4802" s="6" t="s">
        <v>51</v>
      </c>
      <c r="Q4802" s="8" t="s">
        <v>265</v>
      </c>
      <c r="R4802" s="10" t="s">
        <v>27682</v>
      </c>
      <c r="S4802" s="11" t="s">
        <v>27683</v>
      </c>
      <c r="T4802" s="6"/>
      <c r="U4802" s="15" t="str">
        <f>HYPERLINK("https://media.infra-m.ru/2272/2272130/cover/2272130.jpg", "Обложка")</f>
        <v>Обложка</v>
      </c>
      <c r="V4802" s="8" t="s">
        <v>7894</v>
      </c>
      <c r="W4802" s="6"/>
      <c r="X4802" s="6"/>
      <c r="Y4802" s="6"/>
      <c r="Z4802" s="6"/>
      <c r="AA4802" s="6" t="s">
        <v>106</v>
      </c>
      <c r="AB4802" s="8" t="s">
        <v>27684</v>
      </c>
      <c r="AC4802" s="27">
        <v>9785160194912</v>
      </c>
    </row>
    <row r="4803" spans="1:29" s="4" customFormat="1" ht="51.9" customHeight="1" x14ac:dyDescent="0.2">
      <c r="A4803" s="5">
        <v>0</v>
      </c>
      <c r="B4803" s="6" t="s">
        <v>27685</v>
      </c>
      <c r="C4803" s="7">
        <v>1289.9000000000001</v>
      </c>
      <c r="D4803" s="8" t="s">
        <v>27686</v>
      </c>
      <c r="E4803" s="8" t="s">
        <v>27687</v>
      </c>
      <c r="F4803" s="8" t="s">
        <v>27688</v>
      </c>
      <c r="G4803" s="6" t="s">
        <v>118</v>
      </c>
      <c r="H4803" s="6" t="s">
        <v>34</v>
      </c>
      <c r="I4803" s="8" t="s">
        <v>263</v>
      </c>
      <c r="J4803" s="9">
        <v>1</v>
      </c>
      <c r="K4803" s="9">
        <v>238</v>
      </c>
      <c r="L4803" s="9">
        <v>2023</v>
      </c>
      <c r="M4803" s="8" t="s">
        <v>27689</v>
      </c>
      <c r="N4803" s="8" t="s">
        <v>243</v>
      </c>
      <c r="O4803" s="8" t="s">
        <v>1100</v>
      </c>
      <c r="P4803" s="6" t="s">
        <v>51</v>
      </c>
      <c r="Q4803" s="8" t="s">
        <v>265</v>
      </c>
      <c r="R4803" s="10" t="s">
        <v>27682</v>
      </c>
      <c r="S4803" s="11" t="s">
        <v>27690</v>
      </c>
      <c r="T4803" s="6"/>
      <c r="U4803" s="15" t="str">
        <f>HYPERLINK("https://media.infra-m.ru/2045/2045954/cover/2045954.jpg", "Обложка")</f>
        <v>Обложка</v>
      </c>
      <c r="V4803" s="8" t="s">
        <v>7894</v>
      </c>
      <c r="W4803" s="6"/>
      <c r="X4803" s="6"/>
      <c r="Y4803" s="6"/>
      <c r="Z4803" s="6"/>
      <c r="AA4803" s="6" t="s">
        <v>1256</v>
      </c>
      <c r="AB4803" s="8" t="s">
        <v>27684</v>
      </c>
      <c r="AC4803" s="27">
        <v>9785160156576</v>
      </c>
    </row>
    <row r="4804" spans="1:29" s="4" customFormat="1" ht="51.9" customHeight="1" x14ac:dyDescent="0.2">
      <c r="A4804" s="5">
        <v>0</v>
      </c>
      <c r="B4804" s="6" t="s">
        <v>27691</v>
      </c>
      <c r="C4804" s="7">
        <v>2196</v>
      </c>
      <c r="D4804" s="8" t="s">
        <v>27692</v>
      </c>
      <c r="E4804" s="8" t="s">
        <v>27693</v>
      </c>
      <c r="F4804" s="8" t="s">
        <v>27680</v>
      </c>
      <c r="G4804" s="6" t="s">
        <v>118</v>
      </c>
      <c r="H4804" s="6" t="s">
        <v>34</v>
      </c>
      <c r="I4804" s="8" t="s">
        <v>263</v>
      </c>
      <c r="J4804" s="9">
        <v>1</v>
      </c>
      <c r="K4804" s="9">
        <v>333</v>
      </c>
      <c r="L4804" s="9">
        <v>2026</v>
      </c>
      <c r="M4804" s="8" t="s">
        <v>27694</v>
      </c>
      <c r="N4804" s="8" t="s">
        <v>243</v>
      </c>
      <c r="O4804" s="8" t="s">
        <v>758</v>
      </c>
      <c r="P4804" s="6" t="s">
        <v>51</v>
      </c>
      <c r="Q4804" s="8" t="s">
        <v>265</v>
      </c>
      <c r="R4804" s="10" t="s">
        <v>27695</v>
      </c>
      <c r="S4804" s="11" t="s">
        <v>27696</v>
      </c>
      <c r="T4804" s="6"/>
      <c r="U4804" s="15" t="str">
        <f>HYPERLINK("https://media.infra-m.ru/2253/2253929/cover/2253929.jpg", "Обложка")</f>
        <v>Обложка</v>
      </c>
      <c r="V4804" s="8" t="s">
        <v>7894</v>
      </c>
      <c r="W4804" s="6"/>
      <c r="X4804" s="6"/>
      <c r="Y4804" s="6"/>
      <c r="Z4804" s="6"/>
      <c r="AA4804" s="6" t="s">
        <v>106</v>
      </c>
      <c r="AB4804" s="8" t="s">
        <v>27697</v>
      </c>
      <c r="AC4804" s="27">
        <v>9785160198125</v>
      </c>
    </row>
    <row r="4805" spans="1:29" s="4" customFormat="1" ht="51.9" customHeight="1" x14ac:dyDescent="0.2">
      <c r="A4805" s="5">
        <v>0</v>
      </c>
      <c r="B4805" s="6" t="s">
        <v>27698</v>
      </c>
      <c r="C4805" s="7">
        <v>2388</v>
      </c>
      <c r="D4805" s="8" t="s">
        <v>27699</v>
      </c>
      <c r="E4805" s="8" t="s">
        <v>27700</v>
      </c>
      <c r="F4805" s="8" t="s">
        <v>27680</v>
      </c>
      <c r="G4805" s="6" t="s">
        <v>60</v>
      </c>
      <c r="H4805" s="6" t="s">
        <v>34</v>
      </c>
      <c r="I4805" s="8" t="s">
        <v>263</v>
      </c>
      <c r="J4805" s="9">
        <v>1</v>
      </c>
      <c r="K4805" s="9">
        <v>525</v>
      </c>
      <c r="L4805" s="9">
        <v>2022</v>
      </c>
      <c r="M4805" s="8" t="s">
        <v>27701</v>
      </c>
      <c r="N4805" s="8" t="s">
        <v>243</v>
      </c>
      <c r="O4805" s="8" t="s">
        <v>758</v>
      </c>
      <c r="P4805" s="6" t="s">
        <v>51</v>
      </c>
      <c r="Q4805" s="8" t="s">
        <v>265</v>
      </c>
      <c r="R4805" s="10" t="s">
        <v>27695</v>
      </c>
      <c r="S4805" s="11" t="s">
        <v>27702</v>
      </c>
      <c r="T4805" s="6"/>
      <c r="U4805" s="15" t="str">
        <f>HYPERLINK("https://media.infra-m.ru/1865/1865774/cover/1865774.jpg", "Обложка")</f>
        <v>Обложка</v>
      </c>
      <c r="V4805" s="8" t="s">
        <v>7894</v>
      </c>
      <c r="W4805" s="6"/>
      <c r="X4805" s="6"/>
      <c r="Y4805" s="6"/>
      <c r="Z4805" s="6"/>
      <c r="AA4805" s="6" t="s">
        <v>148</v>
      </c>
      <c r="AB4805" s="8" t="s">
        <v>27697</v>
      </c>
      <c r="AC4805" s="27">
        <v>9785160176703</v>
      </c>
    </row>
    <row r="4806" spans="1:29" s="4" customFormat="1" ht="51.9" customHeight="1" x14ac:dyDescent="0.2">
      <c r="A4806" s="5">
        <v>0</v>
      </c>
      <c r="B4806" s="6" t="s">
        <v>27703</v>
      </c>
      <c r="C4806" s="7">
        <v>1680</v>
      </c>
      <c r="D4806" s="8" t="s">
        <v>27704</v>
      </c>
      <c r="E4806" s="8" t="s">
        <v>27705</v>
      </c>
      <c r="F4806" s="8" t="s">
        <v>27706</v>
      </c>
      <c r="G4806" s="6" t="s">
        <v>118</v>
      </c>
      <c r="H4806" s="6" t="s">
        <v>34</v>
      </c>
      <c r="I4806" s="8" t="s">
        <v>263</v>
      </c>
      <c r="J4806" s="9">
        <v>1</v>
      </c>
      <c r="K4806" s="9">
        <v>254</v>
      </c>
      <c r="L4806" s="9">
        <v>2026</v>
      </c>
      <c r="M4806" s="8" t="s">
        <v>27707</v>
      </c>
      <c r="N4806" s="8" t="s">
        <v>243</v>
      </c>
      <c r="O4806" s="8" t="s">
        <v>798</v>
      </c>
      <c r="P4806" s="6" t="s">
        <v>306</v>
      </c>
      <c r="Q4806" s="8" t="s">
        <v>265</v>
      </c>
      <c r="R4806" s="10" t="s">
        <v>27708</v>
      </c>
      <c r="S4806" s="11" t="s">
        <v>985</v>
      </c>
      <c r="T4806" s="6"/>
      <c r="U4806" s="15" t="str">
        <f>HYPERLINK("https://media.infra-m.ru/2213/2213274/cover/2213274.jpg", "Обложка")</f>
        <v>Обложка</v>
      </c>
      <c r="V4806" s="8" t="s">
        <v>809</v>
      </c>
      <c r="W4806" s="6"/>
      <c r="X4806" s="6" t="s">
        <v>24</v>
      </c>
      <c r="Y4806" s="6"/>
      <c r="Z4806" s="6"/>
      <c r="AA4806" s="6" t="s">
        <v>1007</v>
      </c>
      <c r="AB4806" s="8"/>
      <c r="AC4806" s="27">
        <v>9785160053547</v>
      </c>
    </row>
    <row r="4807" spans="1:29" s="4" customFormat="1" ht="51.9" customHeight="1" x14ac:dyDescent="0.2">
      <c r="A4807" s="5">
        <v>0</v>
      </c>
      <c r="B4807" s="6" t="s">
        <v>27709</v>
      </c>
      <c r="C4807" s="7">
        <v>3796.8</v>
      </c>
      <c r="D4807" s="8" t="s">
        <v>27710</v>
      </c>
      <c r="E4807" s="8" t="s">
        <v>27711</v>
      </c>
      <c r="F4807" s="8" t="s">
        <v>27712</v>
      </c>
      <c r="G4807" s="6" t="s">
        <v>60</v>
      </c>
      <c r="H4807" s="6" t="s">
        <v>34</v>
      </c>
      <c r="I4807" s="8" t="s">
        <v>5350</v>
      </c>
      <c r="J4807" s="9">
        <v>1</v>
      </c>
      <c r="K4807" s="9">
        <v>634</v>
      </c>
      <c r="L4807" s="9">
        <v>2025</v>
      </c>
      <c r="M4807" s="8" t="s">
        <v>27713</v>
      </c>
      <c r="N4807" s="8" t="s">
        <v>243</v>
      </c>
      <c r="O4807" s="8" t="s">
        <v>385</v>
      </c>
      <c r="P4807" s="6" t="s">
        <v>306</v>
      </c>
      <c r="Q4807" s="8" t="s">
        <v>377</v>
      </c>
      <c r="R4807" s="10" t="s">
        <v>27714</v>
      </c>
      <c r="S4807" s="11" t="s">
        <v>27715</v>
      </c>
      <c r="T4807" s="6" t="s">
        <v>97</v>
      </c>
      <c r="U4807" s="15" t="str">
        <f>HYPERLINK("https://media.infra-m.ru/2164/2164039/cover/2164039.jpg", "Обложка")</f>
        <v>Обложка</v>
      </c>
      <c r="V4807" s="8" t="s">
        <v>27716</v>
      </c>
      <c r="W4807" s="6"/>
      <c r="X4807" s="6"/>
      <c r="Y4807" s="6"/>
      <c r="Z4807" s="6"/>
      <c r="AA4807" s="6" t="s">
        <v>99</v>
      </c>
      <c r="AB4807" s="8"/>
      <c r="AC4807" s="27">
        <v>9785160122816</v>
      </c>
    </row>
    <row r="4808" spans="1:29" s="4" customFormat="1" ht="51.9" customHeight="1" x14ac:dyDescent="0.2">
      <c r="A4808" s="5">
        <v>0</v>
      </c>
      <c r="B4808" s="6" t="s">
        <v>27717</v>
      </c>
      <c r="C4808" s="7">
        <v>2088</v>
      </c>
      <c r="D4808" s="8" t="s">
        <v>27718</v>
      </c>
      <c r="E4808" s="8" t="s">
        <v>27719</v>
      </c>
      <c r="F4808" s="8" t="s">
        <v>27720</v>
      </c>
      <c r="G4808" s="6" t="s">
        <v>118</v>
      </c>
      <c r="H4808" s="6" t="s">
        <v>313</v>
      </c>
      <c r="I4808" s="8" t="s">
        <v>253</v>
      </c>
      <c r="J4808" s="9">
        <v>1</v>
      </c>
      <c r="K4808" s="9">
        <v>378</v>
      </c>
      <c r="L4808" s="9">
        <v>2023</v>
      </c>
      <c r="M4808" s="8" t="s">
        <v>27721</v>
      </c>
      <c r="N4808" s="8" t="s">
        <v>37</v>
      </c>
      <c r="O4808" s="8" t="s">
        <v>280</v>
      </c>
      <c r="P4808" s="6" t="s">
        <v>51</v>
      </c>
      <c r="Q4808" s="8" t="s">
        <v>52</v>
      </c>
      <c r="R4808" s="10" t="s">
        <v>2640</v>
      </c>
      <c r="S4808" s="11" t="s">
        <v>27722</v>
      </c>
      <c r="T4808" s="6"/>
      <c r="U4808" s="15" t="str">
        <f>HYPERLINK("https://media.infra-m.ru/2036/2036545/cover/2036545.jpg", "Обложка")</f>
        <v>Обложка</v>
      </c>
      <c r="V4808" s="8" t="s">
        <v>27723</v>
      </c>
      <c r="W4808" s="6"/>
      <c r="X4808" s="6"/>
      <c r="Y4808" s="6"/>
      <c r="Z4808" s="6"/>
      <c r="AA4808" s="6" t="s">
        <v>779</v>
      </c>
      <c r="AB4808" s="8"/>
      <c r="AC4808" s="27">
        <v>9785369014738</v>
      </c>
    </row>
    <row r="4809" spans="1:29" s="4" customFormat="1" ht="44.1" customHeight="1" x14ac:dyDescent="0.2">
      <c r="A4809" s="5">
        <v>0</v>
      </c>
      <c r="B4809" s="6" t="s">
        <v>27724</v>
      </c>
      <c r="C4809" s="7">
        <v>1428</v>
      </c>
      <c r="D4809" s="8" t="s">
        <v>27725</v>
      </c>
      <c r="E4809" s="8" t="s">
        <v>27726</v>
      </c>
      <c r="F4809" s="8" t="s">
        <v>8795</v>
      </c>
      <c r="G4809" s="6" t="s">
        <v>33</v>
      </c>
      <c r="H4809" s="6" t="s">
        <v>34</v>
      </c>
      <c r="I4809" s="8" t="s">
        <v>35</v>
      </c>
      <c r="J4809" s="9">
        <v>1</v>
      </c>
      <c r="K4809" s="9">
        <v>210</v>
      </c>
      <c r="L4809" s="9">
        <v>2026</v>
      </c>
      <c r="M4809" s="8" t="s">
        <v>27727</v>
      </c>
      <c r="N4809" s="8" t="s">
        <v>37</v>
      </c>
      <c r="O4809" s="8" t="s">
        <v>136</v>
      </c>
      <c r="P4809" s="6" t="s">
        <v>39</v>
      </c>
      <c r="Q4809" s="8" t="s">
        <v>40</v>
      </c>
      <c r="R4809" s="10" t="s">
        <v>1955</v>
      </c>
      <c r="S4809" s="11"/>
      <c r="T4809" s="6"/>
      <c r="U4809" s="15" t="str">
        <f>HYPERLINK("https://media.infra-m.ru/2206/2206497/cover/2206497.jpg", "Обложка")</f>
        <v>Обложка</v>
      </c>
      <c r="V4809" s="8" t="s">
        <v>911</v>
      </c>
      <c r="W4809" s="6" t="s">
        <v>1382</v>
      </c>
      <c r="X4809" s="6"/>
      <c r="Y4809" s="6"/>
      <c r="Z4809" s="6"/>
      <c r="AA4809" s="6" t="s">
        <v>187</v>
      </c>
      <c r="AB4809" s="8" t="s">
        <v>308</v>
      </c>
      <c r="AC4809" s="27">
        <v>9785160209449</v>
      </c>
    </row>
    <row r="4810" spans="1:29" s="4" customFormat="1" ht="51.9" customHeight="1" x14ac:dyDescent="0.2">
      <c r="A4810" s="5">
        <v>0</v>
      </c>
      <c r="B4810" s="6" t="s">
        <v>27728</v>
      </c>
      <c r="C4810" s="7">
        <v>2008.8</v>
      </c>
      <c r="D4810" s="8" t="s">
        <v>27729</v>
      </c>
      <c r="E4810" s="8" t="s">
        <v>27730</v>
      </c>
      <c r="F4810" s="8" t="s">
        <v>27731</v>
      </c>
      <c r="G4810" s="6" t="s">
        <v>60</v>
      </c>
      <c r="H4810" s="6" t="s">
        <v>34</v>
      </c>
      <c r="I4810" s="8" t="s">
        <v>271</v>
      </c>
      <c r="J4810" s="9">
        <v>1</v>
      </c>
      <c r="K4810" s="9">
        <v>364</v>
      </c>
      <c r="L4810" s="9">
        <v>2024</v>
      </c>
      <c r="M4810" s="8" t="s">
        <v>27732</v>
      </c>
      <c r="N4810" s="8" t="s">
        <v>585</v>
      </c>
      <c r="O4810" s="8" t="s">
        <v>775</v>
      </c>
      <c r="P4810" s="6" t="s">
        <v>51</v>
      </c>
      <c r="Q4810" s="8" t="s">
        <v>52</v>
      </c>
      <c r="R4810" s="10" t="s">
        <v>7481</v>
      </c>
      <c r="S4810" s="11" t="s">
        <v>27733</v>
      </c>
      <c r="T4810" s="6"/>
      <c r="U4810" s="15" t="str">
        <f>HYPERLINK("https://media.infra-m.ru/2079/2079641/cover/2079641.jpg", "Обложка")</f>
        <v>Обложка</v>
      </c>
      <c r="V4810" s="8" t="s">
        <v>3087</v>
      </c>
      <c r="W4810" s="6"/>
      <c r="X4810" s="6"/>
      <c r="Y4810" s="6"/>
      <c r="Z4810" s="6"/>
      <c r="AA4810" s="6" t="s">
        <v>129</v>
      </c>
      <c r="AB4810" s="8"/>
      <c r="AC4810" s="27">
        <v>9785160046822</v>
      </c>
    </row>
    <row r="4811" spans="1:29" s="4" customFormat="1" ht="51.9" customHeight="1" x14ac:dyDescent="0.2">
      <c r="A4811" s="5">
        <v>0</v>
      </c>
      <c r="B4811" s="6" t="s">
        <v>27734</v>
      </c>
      <c r="C4811" s="13">
        <v>888</v>
      </c>
      <c r="D4811" s="8" t="s">
        <v>27735</v>
      </c>
      <c r="E4811" s="8" t="s">
        <v>27736</v>
      </c>
      <c r="F4811" s="8" t="s">
        <v>8568</v>
      </c>
      <c r="G4811" s="6" t="s">
        <v>118</v>
      </c>
      <c r="H4811" s="6" t="s">
        <v>34</v>
      </c>
      <c r="I4811" s="8" t="s">
        <v>271</v>
      </c>
      <c r="J4811" s="9">
        <v>1</v>
      </c>
      <c r="K4811" s="9">
        <v>163</v>
      </c>
      <c r="L4811" s="9">
        <v>2020</v>
      </c>
      <c r="M4811" s="8" t="s">
        <v>27737</v>
      </c>
      <c r="N4811" s="8" t="s">
        <v>63</v>
      </c>
      <c r="O4811" s="8" t="s">
        <v>64</v>
      </c>
      <c r="P4811" s="6" t="s">
        <v>51</v>
      </c>
      <c r="Q4811" s="8" t="s">
        <v>52</v>
      </c>
      <c r="R4811" s="10" t="s">
        <v>27738</v>
      </c>
      <c r="S4811" s="11" t="s">
        <v>27739</v>
      </c>
      <c r="T4811" s="6" t="s">
        <v>97</v>
      </c>
      <c r="U4811" s="15" t="str">
        <f>HYPERLINK("https://media.infra-m.ru/1062/1062398/cover/1062398.jpg", "Обложка")</f>
        <v>Обложка</v>
      </c>
      <c r="V4811" s="8" t="s">
        <v>3130</v>
      </c>
      <c r="W4811" s="6"/>
      <c r="X4811" s="6"/>
      <c r="Y4811" s="6"/>
      <c r="Z4811" s="6"/>
      <c r="AA4811" s="6" t="s">
        <v>115</v>
      </c>
      <c r="AB4811" s="8"/>
      <c r="AC4811" s="27">
        <v>9785160130545</v>
      </c>
    </row>
    <row r="4812" spans="1:29" s="4" customFormat="1" ht="51.9" customHeight="1" x14ac:dyDescent="0.2">
      <c r="A4812" s="5">
        <v>0</v>
      </c>
      <c r="B4812" s="6" t="s">
        <v>27740</v>
      </c>
      <c r="C4812" s="7">
        <v>1080</v>
      </c>
      <c r="D4812" s="8" t="s">
        <v>27741</v>
      </c>
      <c r="E4812" s="8" t="s">
        <v>27736</v>
      </c>
      <c r="F4812" s="8" t="s">
        <v>8568</v>
      </c>
      <c r="G4812" s="6" t="s">
        <v>118</v>
      </c>
      <c r="H4812" s="6" t="s">
        <v>34</v>
      </c>
      <c r="I4812" s="8" t="s">
        <v>263</v>
      </c>
      <c r="J4812" s="9">
        <v>1</v>
      </c>
      <c r="K4812" s="9">
        <v>163</v>
      </c>
      <c r="L4812" s="9">
        <v>2026</v>
      </c>
      <c r="M4812" s="8" t="s">
        <v>27742</v>
      </c>
      <c r="N4812" s="8" t="s">
        <v>63</v>
      </c>
      <c r="O4812" s="8" t="s">
        <v>64</v>
      </c>
      <c r="P4812" s="6" t="s">
        <v>51</v>
      </c>
      <c r="Q4812" s="8" t="s">
        <v>265</v>
      </c>
      <c r="R4812" s="10" t="s">
        <v>27743</v>
      </c>
      <c r="S4812" s="11" t="s">
        <v>27744</v>
      </c>
      <c r="T4812" s="6"/>
      <c r="U4812" s="15" t="str">
        <f>HYPERLINK("https://media.infra-m.ru/2257/2257133/cover/2257133.jpg", "Обложка")</f>
        <v>Обложка</v>
      </c>
      <c r="V4812" s="8" t="s">
        <v>3130</v>
      </c>
      <c r="W4812" s="6"/>
      <c r="X4812" s="6"/>
      <c r="Y4812" s="6"/>
      <c r="Z4812" s="6" t="s">
        <v>267</v>
      </c>
      <c r="AA4812" s="6" t="s">
        <v>1256</v>
      </c>
      <c r="AB4812" s="8"/>
      <c r="AC4812" s="27">
        <v>9785160154398</v>
      </c>
    </row>
    <row r="4813" spans="1:29" s="4" customFormat="1" ht="51.9" customHeight="1" x14ac:dyDescent="0.2">
      <c r="A4813" s="5">
        <v>0</v>
      </c>
      <c r="B4813" s="6" t="s">
        <v>27745</v>
      </c>
      <c r="C4813" s="7">
        <v>1080</v>
      </c>
      <c r="D4813" s="8" t="s">
        <v>27746</v>
      </c>
      <c r="E4813" s="8" t="s">
        <v>27736</v>
      </c>
      <c r="F4813" s="8" t="s">
        <v>8568</v>
      </c>
      <c r="G4813" s="6" t="s">
        <v>33</v>
      </c>
      <c r="H4813" s="6" t="s">
        <v>34</v>
      </c>
      <c r="I4813" s="8" t="s">
        <v>253</v>
      </c>
      <c r="J4813" s="9">
        <v>1</v>
      </c>
      <c r="K4813" s="9">
        <v>163</v>
      </c>
      <c r="L4813" s="9">
        <v>2026</v>
      </c>
      <c r="M4813" s="8" t="s">
        <v>27747</v>
      </c>
      <c r="N4813" s="8" t="s">
        <v>63</v>
      </c>
      <c r="O4813" s="8" t="s">
        <v>64</v>
      </c>
      <c r="P4813" s="6" t="s">
        <v>51</v>
      </c>
      <c r="Q4813" s="8" t="s">
        <v>52</v>
      </c>
      <c r="R4813" s="10" t="s">
        <v>27738</v>
      </c>
      <c r="S4813" s="11" t="s">
        <v>27739</v>
      </c>
      <c r="T4813" s="6" t="s">
        <v>97</v>
      </c>
      <c r="U4813" s="15" t="str">
        <f>HYPERLINK("https://media.infra-m.ru/2234/2234099/cover/2234099.jpg", "Обложка")</f>
        <v>Обложка</v>
      </c>
      <c r="V4813" s="8" t="s">
        <v>3130</v>
      </c>
      <c r="W4813" s="6"/>
      <c r="X4813" s="6"/>
      <c r="Y4813" s="6"/>
      <c r="Z4813" s="6"/>
      <c r="AA4813" s="6" t="s">
        <v>115</v>
      </c>
      <c r="AB4813" s="8"/>
      <c r="AC4813" s="27">
        <v>9785160184364</v>
      </c>
    </row>
    <row r="4814" spans="1:29" s="4" customFormat="1" ht="51.9" customHeight="1" x14ac:dyDescent="0.2">
      <c r="A4814" s="5">
        <v>0</v>
      </c>
      <c r="B4814" s="6" t="s">
        <v>27748</v>
      </c>
      <c r="C4814" s="7">
        <v>1020</v>
      </c>
      <c r="D4814" s="8" t="s">
        <v>27749</v>
      </c>
      <c r="E4814" s="8" t="s">
        <v>27750</v>
      </c>
      <c r="F4814" s="8" t="s">
        <v>27751</v>
      </c>
      <c r="G4814" s="6" t="s">
        <v>118</v>
      </c>
      <c r="H4814" s="6" t="s">
        <v>34</v>
      </c>
      <c r="I4814" s="8" t="s">
        <v>253</v>
      </c>
      <c r="J4814" s="9">
        <v>1</v>
      </c>
      <c r="K4814" s="9">
        <v>146</v>
      </c>
      <c r="L4814" s="9">
        <v>2026</v>
      </c>
      <c r="M4814" s="8" t="s">
        <v>27752</v>
      </c>
      <c r="N4814" s="8" t="s">
        <v>37</v>
      </c>
      <c r="O4814" s="8" t="s">
        <v>280</v>
      </c>
      <c r="P4814" s="6" t="s">
        <v>51</v>
      </c>
      <c r="Q4814" s="8" t="s">
        <v>52</v>
      </c>
      <c r="R4814" s="10" t="s">
        <v>715</v>
      </c>
      <c r="S4814" s="11" t="s">
        <v>27753</v>
      </c>
      <c r="T4814" s="6"/>
      <c r="U4814" s="15" t="str">
        <f>HYPERLINK("https://media.infra-m.ru/2235/2235718/cover/2235718.jpg", "Обложка")</f>
        <v>Обложка</v>
      </c>
      <c r="V4814" s="8" t="s">
        <v>396</v>
      </c>
      <c r="W4814" s="6"/>
      <c r="X4814" s="6"/>
      <c r="Y4814" s="6"/>
      <c r="Z4814" s="6"/>
      <c r="AA4814" s="6" t="s">
        <v>623</v>
      </c>
      <c r="AB4814" s="8"/>
      <c r="AC4814" s="27">
        <v>9785160191355</v>
      </c>
    </row>
    <row r="4815" spans="1:29" s="4" customFormat="1" ht="51.9" customHeight="1" x14ac:dyDescent="0.2">
      <c r="A4815" s="5">
        <v>0</v>
      </c>
      <c r="B4815" s="6" t="s">
        <v>27754</v>
      </c>
      <c r="C4815" s="7">
        <v>1596</v>
      </c>
      <c r="D4815" s="8" t="s">
        <v>27755</v>
      </c>
      <c r="E4815" s="8" t="s">
        <v>27756</v>
      </c>
      <c r="F4815" s="8" t="s">
        <v>27757</v>
      </c>
      <c r="G4815" s="6" t="s">
        <v>118</v>
      </c>
      <c r="H4815" s="6" t="s">
        <v>34</v>
      </c>
      <c r="I4815" s="8" t="s">
        <v>253</v>
      </c>
      <c r="J4815" s="9">
        <v>1</v>
      </c>
      <c r="K4815" s="9">
        <v>288</v>
      </c>
      <c r="L4815" s="9">
        <v>2024</v>
      </c>
      <c r="M4815" s="8" t="s">
        <v>27758</v>
      </c>
      <c r="N4815" s="8" t="s">
        <v>37</v>
      </c>
      <c r="O4815" s="8" t="s">
        <v>207</v>
      </c>
      <c r="P4815" s="6" t="s">
        <v>51</v>
      </c>
      <c r="Q4815" s="8" t="s">
        <v>52</v>
      </c>
      <c r="R4815" s="10" t="s">
        <v>27759</v>
      </c>
      <c r="S4815" s="11" t="s">
        <v>27760</v>
      </c>
      <c r="T4815" s="6"/>
      <c r="U4815" s="15" t="str">
        <f>HYPERLINK("https://media.infra-m.ru/2102/2102674/cover/2102674.jpg", "Обложка")</f>
        <v>Обложка</v>
      </c>
      <c r="V4815" s="8" t="s">
        <v>4038</v>
      </c>
      <c r="W4815" s="6"/>
      <c r="X4815" s="6"/>
      <c r="Y4815" s="6"/>
      <c r="Z4815" s="6"/>
      <c r="AA4815" s="6" t="s">
        <v>3391</v>
      </c>
      <c r="AB4815" s="8"/>
      <c r="AC4815" s="27">
        <v>9785160192642</v>
      </c>
    </row>
    <row r="4816" spans="1:29" s="4" customFormat="1" ht="51.9" customHeight="1" x14ac:dyDescent="0.2">
      <c r="A4816" s="5">
        <v>0</v>
      </c>
      <c r="B4816" s="6" t="s">
        <v>27761</v>
      </c>
      <c r="C4816" s="7">
        <v>1200</v>
      </c>
      <c r="D4816" s="8" t="s">
        <v>27762</v>
      </c>
      <c r="E4816" s="8" t="s">
        <v>27763</v>
      </c>
      <c r="F4816" s="8" t="s">
        <v>27764</v>
      </c>
      <c r="G4816" s="6" t="s">
        <v>60</v>
      </c>
      <c r="H4816" s="6" t="s">
        <v>34</v>
      </c>
      <c r="I4816" s="8" t="s">
        <v>253</v>
      </c>
      <c r="J4816" s="9">
        <v>1</v>
      </c>
      <c r="K4816" s="9">
        <v>192</v>
      </c>
      <c r="L4816" s="9">
        <v>2024</v>
      </c>
      <c r="M4816" s="8" t="s">
        <v>27765</v>
      </c>
      <c r="N4816" s="8" t="s">
        <v>37</v>
      </c>
      <c r="O4816" s="8" t="s">
        <v>207</v>
      </c>
      <c r="P4816" s="6" t="s">
        <v>51</v>
      </c>
      <c r="Q4816" s="8" t="s">
        <v>65</v>
      </c>
      <c r="R4816" s="10" t="s">
        <v>27766</v>
      </c>
      <c r="S4816" s="11"/>
      <c r="T4816" s="6"/>
      <c r="U4816" s="15" t="str">
        <f>HYPERLINK("https://media.infra-m.ru/2106/2106167/cover/2106167.jpg", "Обложка")</f>
        <v>Обложка</v>
      </c>
      <c r="V4816" s="8" t="s">
        <v>27767</v>
      </c>
      <c r="W4816" s="6"/>
      <c r="X4816" s="6"/>
      <c r="Y4816" s="6"/>
      <c r="Z4816" s="6"/>
      <c r="AA4816" s="6" t="s">
        <v>76</v>
      </c>
      <c r="AB4816" s="8"/>
      <c r="AC4816" s="27">
        <v>9785160205472</v>
      </c>
    </row>
    <row r="4817" spans="1:29" s="4" customFormat="1" ht="51.9" customHeight="1" x14ac:dyDescent="0.2">
      <c r="A4817" s="5">
        <v>0</v>
      </c>
      <c r="B4817" s="6" t="s">
        <v>27768</v>
      </c>
      <c r="C4817" s="13">
        <v>976.8</v>
      </c>
      <c r="D4817" s="8" t="s">
        <v>27769</v>
      </c>
      <c r="E4817" s="8" t="s">
        <v>27770</v>
      </c>
      <c r="F4817" s="8" t="s">
        <v>27771</v>
      </c>
      <c r="G4817" s="6" t="s">
        <v>60</v>
      </c>
      <c r="H4817" s="6" t="s">
        <v>48</v>
      </c>
      <c r="I4817" s="8" t="s">
        <v>271</v>
      </c>
      <c r="J4817" s="9">
        <v>1</v>
      </c>
      <c r="K4817" s="9">
        <v>157</v>
      </c>
      <c r="L4817" s="9">
        <v>2026</v>
      </c>
      <c r="M4817" s="8" t="s">
        <v>27772</v>
      </c>
      <c r="N4817" s="8" t="s">
        <v>585</v>
      </c>
      <c r="O4817" s="8" t="s">
        <v>667</v>
      </c>
      <c r="P4817" s="6" t="s">
        <v>51</v>
      </c>
      <c r="Q4817" s="8" t="s">
        <v>52</v>
      </c>
      <c r="R4817" s="10" t="s">
        <v>27773</v>
      </c>
      <c r="S4817" s="11" t="s">
        <v>27774</v>
      </c>
      <c r="T4817" s="6"/>
      <c r="U4817" s="15" t="str">
        <f>HYPERLINK("https://media.infra-m.ru/2221/2221540/cover/2221540.jpg", "Обложка")</f>
        <v>Обложка</v>
      </c>
      <c r="V4817" s="8" t="s">
        <v>2398</v>
      </c>
      <c r="W4817" s="6"/>
      <c r="X4817" s="6"/>
      <c r="Y4817" s="6"/>
      <c r="Z4817" s="6"/>
      <c r="AA4817" s="6" t="s">
        <v>623</v>
      </c>
      <c r="AB4817" s="8"/>
      <c r="AC4817" s="27">
        <v>9785000914045</v>
      </c>
    </row>
    <row r="4818" spans="1:29" s="4" customFormat="1" ht="51.9" customHeight="1" x14ac:dyDescent="0.2">
      <c r="A4818" s="5">
        <v>0</v>
      </c>
      <c r="B4818" s="6" t="s">
        <v>27775</v>
      </c>
      <c r="C4818" s="7">
        <v>1044</v>
      </c>
      <c r="D4818" s="8" t="s">
        <v>27776</v>
      </c>
      <c r="E4818" s="8" t="s">
        <v>27770</v>
      </c>
      <c r="F4818" s="8" t="s">
        <v>27771</v>
      </c>
      <c r="G4818" s="6" t="s">
        <v>118</v>
      </c>
      <c r="H4818" s="6" t="s">
        <v>48</v>
      </c>
      <c r="I4818" s="8" t="s">
        <v>263</v>
      </c>
      <c r="J4818" s="9">
        <v>1</v>
      </c>
      <c r="K4818" s="9">
        <v>157</v>
      </c>
      <c r="L4818" s="9">
        <v>2025</v>
      </c>
      <c r="M4818" s="8" t="s">
        <v>27777</v>
      </c>
      <c r="N4818" s="8" t="s">
        <v>585</v>
      </c>
      <c r="O4818" s="8" t="s">
        <v>667</v>
      </c>
      <c r="P4818" s="6" t="s">
        <v>51</v>
      </c>
      <c r="Q4818" s="8" t="s">
        <v>265</v>
      </c>
      <c r="R4818" s="10" t="s">
        <v>27778</v>
      </c>
      <c r="S4818" s="11"/>
      <c r="T4818" s="6"/>
      <c r="U4818" s="15" t="str">
        <f>HYPERLINK("https://media.infra-m.ru/2172/2172152/cover/2172152.jpg", "Обложка")</f>
        <v>Обложка</v>
      </c>
      <c r="V4818" s="8" t="s">
        <v>2398</v>
      </c>
      <c r="W4818" s="6"/>
      <c r="X4818" s="6"/>
      <c r="Y4818" s="6"/>
      <c r="Z4818" s="6" t="s">
        <v>267</v>
      </c>
      <c r="AA4818" s="6" t="s">
        <v>917</v>
      </c>
      <c r="AB4818" s="8" t="s">
        <v>493</v>
      </c>
      <c r="AC4818" s="27">
        <v>9785000918142</v>
      </c>
    </row>
    <row r="4819" spans="1:29" s="4" customFormat="1" ht="51.9" customHeight="1" x14ac:dyDescent="0.2">
      <c r="A4819" s="5">
        <v>0</v>
      </c>
      <c r="B4819" s="6" t="s">
        <v>27779</v>
      </c>
      <c r="C4819" s="7">
        <v>1013.9</v>
      </c>
      <c r="D4819" s="8" t="s">
        <v>27780</v>
      </c>
      <c r="E4819" s="8" t="s">
        <v>27781</v>
      </c>
      <c r="F4819" s="8" t="s">
        <v>9977</v>
      </c>
      <c r="G4819" s="6" t="s">
        <v>60</v>
      </c>
      <c r="H4819" s="6" t="s">
        <v>34</v>
      </c>
      <c r="I4819" s="8" t="s">
        <v>504</v>
      </c>
      <c r="J4819" s="9">
        <v>1</v>
      </c>
      <c r="K4819" s="9">
        <v>289</v>
      </c>
      <c r="L4819" s="9">
        <v>2018</v>
      </c>
      <c r="M4819" s="8" t="s">
        <v>27782</v>
      </c>
      <c r="N4819" s="8" t="s">
        <v>37</v>
      </c>
      <c r="O4819" s="8" t="s">
        <v>280</v>
      </c>
      <c r="P4819" s="6" t="s">
        <v>306</v>
      </c>
      <c r="Q4819" s="8" t="s">
        <v>500</v>
      </c>
      <c r="R4819" s="10" t="s">
        <v>16509</v>
      </c>
      <c r="S4819" s="11" t="s">
        <v>27783</v>
      </c>
      <c r="T4819" s="6" t="s">
        <v>97</v>
      </c>
      <c r="U4819" s="15" t="str">
        <f>HYPERLINK("https://media.infra-m.ru/0975/0975898/cover/975898.jpg", "Обложка")</f>
        <v>Обложка</v>
      </c>
      <c r="V4819" s="8" t="s">
        <v>3196</v>
      </c>
      <c r="W4819" s="6"/>
      <c r="X4819" s="6"/>
      <c r="Y4819" s="6"/>
      <c r="Z4819" s="6"/>
      <c r="AA4819" s="6" t="s">
        <v>859</v>
      </c>
      <c r="AB4819" s="8"/>
      <c r="AC4819" s="27">
        <v>9785160091341</v>
      </c>
    </row>
    <row r="4820" spans="1:29" s="4" customFormat="1" ht="51.9" customHeight="1" x14ac:dyDescent="0.2">
      <c r="A4820" s="5">
        <v>0</v>
      </c>
      <c r="B4820" s="6" t="s">
        <v>27784</v>
      </c>
      <c r="C4820" s="7">
        <v>1984.8</v>
      </c>
      <c r="D4820" s="8" t="s">
        <v>27785</v>
      </c>
      <c r="E4820" s="8" t="s">
        <v>27786</v>
      </c>
      <c r="F4820" s="8" t="s">
        <v>661</v>
      </c>
      <c r="G4820" s="6" t="s">
        <v>60</v>
      </c>
      <c r="H4820" s="6" t="s">
        <v>34</v>
      </c>
      <c r="I4820" s="8" t="s">
        <v>504</v>
      </c>
      <c r="J4820" s="9">
        <v>1</v>
      </c>
      <c r="K4820" s="9">
        <v>284</v>
      </c>
      <c r="L4820" s="9">
        <v>2026</v>
      </c>
      <c r="M4820" s="8" t="s">
        <v>27787</v>
      </c>
      <c r="N4820" s="8" t="s">
        <v>37</v>
      </c>
      <c r="O4820" s="8" t="s">
        <v>280</v>
      </c>
      <c r="P4820" s="6" t="s">
        <v>306</v>
      </c>
      <c r="Q4820" s="8" t="s">
        <v>500</v>
      </c>
      <c r="R4820" s="10" t="s">
        <v>16509</v>
      </c>
      <c r="S4820" s="11" t="s">
        <v>27788</v>
      </c>
      <c r="T4820" s="6" t="s">
        <v>97</v>
      </c>
      <c r="U4820" s="15" t="str">
        <f>HYPERLINK("https://media.infra-m.ru/2260/2260410/cover/2260410.jpg", "Обложка")</f>
        <v>Обложка</v>
      </c>
      <c r="V4820" s="8" t="s">
        <v>3196</v>
      </c>
      <c r="W4820" s="6"/>
      <c r="X4820" s="6"/>
      <c r="Y4820" s="6"/>
      <c r="Z4820" s="6"/>
      <c r="AA4820" s="6" t="s">
        <v>5639</v>
      </c>
      <c r="AB4820" s="8"/>
      <c r="AC4820" s="27">
        <v>9785160179032</v>
      </c>
    </row>
    <row r="4821" spans="1:29" s="4" customFormat="1" ht="51.9" customHeight="1" x14ac:dyDescent="0.2">
      <c r="A4821" s="5">
        <v>0</v>
      </c>
      <c r="B4821" s="6" t="s">
        <v>27789</v>
      </c>
      <c r="C4821" s="7">
        <v>1253.9000000000001</v>
      </c>
      <c r="D4821" s="8" t="s">
        <v>27790</v>
      </c>
      <c r="E4821" s="8" t="s">
        <v>27791</v>
      </c>
      <c r="F4821" s="8" t="s">
        <v>9977</v>
      </c>
      <c r="G4821" s="6" t="s">
        <v>60</v>
      </c>
      <c r="H4821" s="6" t="s">
        <v>34</v>
      </c>
      <c r="I4821" s="8" t="s">
        <v>504</v>
      </c>
      <c r="J4821" s="9">
        <v>1</v>
      </c>
      <c r="K4821" s="9">
        <v>289</v>
      </c>
      <c r="L4821" s="9">
        <v>2021</v>
      </c>
      <c r="M4821" s="8" t="s">
        <v>27782</v>
      </c>
      <c r="N4821" s="8" t="s">
        <v>37</v>
      </c>
      <c r="O4821" s="8" t="s">
        <v>280</v>
      </c>
      <c r="P4821" s="6" t="s">
        <v>306</v>
      </c>
      <c r="Q4821" s="8" t="s">
        <v>500</v>
      </c>
      <c r="R4821" s="10" t="s">
        <v>16509</v>
      </c>
      <c r="S4821" s="11" t="s">
        <v>27783</v>
      </c>
      <c r="T4821" s="6" t="s">
        <v>97</v>
      </c>
      <c r="U4821" s="15" t="str">
        <f>HYPERLINK("https://media.infra-m.ru/1290/1290640/cover/1290640.jpg", "Обложка")</f>
        <v>Обложка</v>
      </c>
      <c r="V4821" s="8" t="s">
        <v>3196</v>
      </c>
      <c r="W4821" s="6"/>
      <c r="X4821" s="6"/>
      <c r="Y4821" s="6"/>
      <c r="Z4821" s="6"/>
      <c r="AA4821" s="6" t="s">
        <v>1389</v>
      </c>
      <c r="AB4821" s="8"/>
      <c r="AC4821" s="27">
        <v>9785160091341</v>
      </c>
    </row>
    <row r="4822" spans="1:29" s="4" customFormat="1" ht="51.9" customHeight="1" x14ac:dyDescent="0.2">
      <c r="A4822" s="5">
        <v>0</v>
      </c>
      <c r="B4822" s="6" t="s">
        <v>27792</v>
      </c>
      <c r="C4822" s="7">
        <v>2316</v>
      </c>
      <c r="D4822" s="8" t="s">
        <v>27793</v>
      </c>
      <c r="E4822" s="8" t="s">
        <v>27794</v>
      </c>
      <c r="F4822" s="8" t="s">
        <v>27795</v>
      </c>
      <c r="G4822" s="6" t="s">
        <v>60</v>
      </c>
      <c r="H4822" s="6" t="s">
        <v>34</v>
      </c>
      <c r="I4822" s="8" t="s">
        <v>253</v>
      </c>
      <c r="J4822" s="9">
        <v>1</v>
      </c>
      <c r="K4822" s="9">
        <v>364</v>
      </c>
      <c r="L4822" s="9">
        <v>2025</v>
      </c>
      <c r="M4822" s="8" t="s">
        <v>27796</v>
      </c>
      <c r="N4822" s="8" t="s">
        <v>37</v>
      </c>
      <c r="O4822" s="8" t="s">
        <v>280</v>
      </c>
      <c r="P4822" s="6" t="s">
        <v>51</v>
      </c>
      <c r="Q4822" s="8" t="s">
        <v>52</v>
      </c>
      <c r="R4822" s="10" t="s">
        <v>27797</v>
      </c>
      <c r="S4822" s="11"/>
      <c r="T4822" s="6"/>
      <c r="U4822" s="15" t="str">
        <f>HYPERLINK("https://media.infra-m.ru/2181/2181452/cover/2181452.jpg", "Обложка")</f>
        <v>Обложка</v>
      </c>
      <c r="V4822" s="8" t="s">
        <v>9822</v>
      </c>
      <c r="W4822" s="6"/>
      <c r="X4822" s="6"/>
      <c r="Y4822" s="6"/>
      <c r="Z4822" s="6"/>
      <c r="AA4822" s="6" t="s">
        <v>68</v>
      </c>
      <c r="AB4822" s="8"/>
      <c r="AC4822" s="27">
        <v>9785160205557</v>
      </c>
    </row>
    <row r="4823" spans="1:29" s="4" customFormat="1" ht="51.9" customHeight="1" x14ac:dyDescent="0.2">
      <c r="A4823" s="5">
        <v>0</v>
      </c>
      <c r="B4823" s="6" t="s">
        <v>27798</v>
      </c>
      <c r="C4823" s="7">
        <v>2628</v>
      </c>
      <c r="D4823" s="8" t="s">
        <v>27799</v>
      </c>
      <c r="E4823" s="8" t="s">
        <v>27800</v>
      </c>
      <c r="F4823" s="8" t="s">
        <v>27801</v>
      </c>
      <c r="G4823" s="6" t="s">
        <v>60</v>
      </c>
      <c r="H4823" s="6" t="s">
        <v>34</v>
      </c>
      <c r="I4823" s="8" t="s">
        <v>263</v>
      </c>
      <c r="J4823" s="9">
        <v>1</v>
      </c>
      <c r="K4823" s="9">
        <v>388</v>
      </c>
      <c r="L4823" s="9">
        <v>2026</v>
      </c>
      <c r="M4823" s="8" t="s">
        <v>27802</v>
      </c>
      <c r="N4823" s="8" t="s">
        <v>243</v>
      </c>
      <c r="O4823" s="8" t="s">
        <v>964</v>
      </c>
      <c r="P4823" s="6" t="s">
        <v>306</v>
      </c>
      <c r="Q4823" s="8" t="s">
        <v>265</v>
      </c>
      <c r="R4823" s="10" t="s">
        <v>27803</v>
      </c>
      <c r="S4823" s="11"/>
      <c r="T4823" s="6"/>
      <c r="U4823" s="15" t="str">
        <f>HYPERLINK("https://media.infra-m.ru/2203/2203309/cover/2203309.jpg", "Обложка")</f>
        <v>Обложка</v>
      </c>
      <c r="V4823" s="8" t="s">
        <v>27804</v>
      </c>
      <c r="W4823" s="6" t="s">
        <v>1382</v>
      </c>
      <c r="X4823" s="6"/>
      <c r="Y4823" s="6"/>
      <c r="Z4823" s="6"/>
      <c r="AA4823" s="6" t="s">
        <v>68</v>
      </c>
      <c r="AB4823" s="8" t="s">
        <v>343</v>
      </c>
      <c r="AC4823" s="27">
        <v>9785160209081</v>
      </c>
    </row>
    <row r="4824" spans="1:29" s="4" customFormat="1" ht="42" customHeight="1" x14ac:dyDescent="0.2">
      <c r="A4824" s="5">
        <v>0</v>
      </c>
      <c r="B4824" s="6" t="s">
        <v>27805</v>
      </c>
      <c r="C4824" s="7">
        <v>2316</v>
      </c>
      <c r="D4824" s="8" t="s">
        <v>27806</v>
      </c>
      <c r="E4824" s="8" t="s">
        <v>27807</v>
      </c>
      <c r="F4824" s="8" t="s">
        <v>9223</v>
      </c>
      <c r="G4824" s="6" t="s">
        <v>60</v>
      </c>
      <c r="H4824" s="6" t="s">
        <v>34</v>
      </c>
      <c r="I4824" s="8" t="s">
        <v>263</v>
      </c>
      <c r="J4824" s="9">
        <v>1</v>
      </c>
      <c r="K4824" s="9">
        <v>379</v>
      </c>
      <c r="L4824" s="9">
        <v>2024</v>
      </c>
      <c r="M4824" s="8" t="s">
        <v>27808</v>
      </c>
      <c r="N4824" s="8" t="s">
        <v>37</v>
      </c>
      <c r="O4824" s="8" t="s">
        <v>136</v>
      </c>
      <c r="P4824" s="6" t="s">
        <v>51</v>
      </c>
      <c r="Q4824" s="8" t="s">
        <v>265</v>
      </c>
      <c r="R4824" s="10" t="s">
        <v>8557</v>
      </c>
      <c r="S4824" s="11"/>
      <c r="T4824" s="6"/>
      <c r="U4824" s="15" t="str">
        <f>HYPERLINK("https://media.infra-m.ru/1930/1930673/cover/1930673.jpg", "Обложка")</f>
        <v>Обложка</v>
      </c>
      <c r="V4824" s="8" t="s">
        <v>9227</v>
      </c>
      <c r="W4824" s="6"/>
      <c r="X4824" s="6"/>
      <c r="Y4824" s="6"/>
      <c r="Z4824" s="6"/>
      <c r="AA4824" s="6" t="s">
        <v>76</v>
      </c>
      <c r="AB4824" s="8" t="s">
        <v>17125</v>
      </c>
      <c r="AC4824" s="27">
        <v>9785160182216</v>
      </c>
    </row>
    <row r="4825" spans="1:29" s="4" customFormat="1" ht="51.9" customHeight="1" x14ac:dyDescent="0.2">
      <c r="A4825" s="5">
        <v>0</v>
      </c>
      <c r="B4825" s="6" t="s">
        <v>27809</v>
      </c>
      <c r="C4825" s="7">
        <v>1884</v>
      </c>
      <c r="D4825" s="8" t="s">
        <v>27810</v>
      </c>
      <c r="E4825" s="8" t="s">
        <v>27811</v>
      </c>
      <c r="F4825" s="8" t="s">
        <v>27812</v>
      </c>
      <c r="G4825" s="6" t="s">
        <v>118</v>
      </c>
      <c r="H4825" s="6" t="s">
        <v>34</v>
      </c>
      <c r="I4825" s="8" t="s">
        <v>2518</v>
      </c>
      <c r="J4825" s="9">
        <v>1</v>
      </c>
      <c r="K4825" s="9">
        <v>285</v>
      </c>
      <c r="L4825" s="9">
        <v>2026</v>
      </c>
      <c r="M4825" s="8" t="s">
        <v>27813</v>
      </c>
      <c r="N4825" s="8" t="s">
        <v>243</v>
      </c>
      <c r="O4825" s="8" t="s">
        <v>1100</v>
      </c>
      <c r="P4825" s="6" t="s">
        <v>51</v>
      </c>
      <c r="Q4825" s="8" t="s">
        <v>265</v>
      </c>
      <c r="R4825" s="10" t="s">
        <v>27814</v>
      </c>
      <c r="S4825" s="11" t="s">
        <v>27815</v>
      </c>
      <c r="T4825" s="6"/>
      <c r="U4825" s="15" t="str">
        <f>HYPERLINK("https://media.infra-m.ru/2213/2213260/cover/2213260.jpg", "Обложка")</f>
        <v>Обложка</v>
      </c>
      <c r="V4825" s="8" t="s">
        <v>1132</v>
      </c>
      <c r="W4825" s="6"/>
      <c r="X4825" s="6"/>
      <c r="Y4825" s="6"/>
      <c r="Z4825" s="6"/>
      <c r="AA4825" s="6" t="s">
        <v>157</v>
      </c>
      <c r="AB4825" s="8"/>
      <c r="AC4825" s="27">
        <v>9785160183442</v>
      </c>
    </row>
    <row r="4826" spans="1:29" s="4" customFormat="1" ht="51.9" customHeight="1" x14ac:dyDescent="0.2">
      <c r="A4826" s="5">
        <v>0</v>
      </c>
      <c r="B4826" s="6" t="s">
        <v>27816</v>
      </c>
      <c r="C4826" s="13">
        <v>600</v>
      </c>
      <c r="D4826" s="8" t="s">
        <v>27817</v>
      </c>
      <c r="E4826" s="8" t="s">
        <v>27818</v>
      </c>
      <c r="F4826" s="8" t="s">
        <v>27819</v>
      </c>
      <c r="G4826" s="6" t="s">
        <v>33</v>
      </c>
      <c r="H4826" s="6" t="s">
        <v>313</v>
      </c>
      <c r="I4826" s="8" t="s">
        <v>253</v>
      </c>
      <c r="J4826" s="9">
        <v>1</v>
      </c>
      <c r="K4826" s="9">
        <v>99</v>
      </c>
      <c r="L4826" s="9">
        <v>2023</v>
      </c>
      <c r="M4826" s="8" t="s">
        <v>27820</v>
      </c>
      <c r="N4826" s="8" t="s">
        <v>243</v>
      </c>
      <c r="O4826" s="8" t="s">
        <v>758</v>
      </c>
      <c r="P4826" s="6" t="s">
        <v>51</v>
      </c>
      <c r="Q4826" s="8" t="s">
        <v>65</v>
      </c>
      <c r="R4826" s="10" t="s">
        <v>7357</v>
      </c>
      <c r="S4826" s="11" t="s">
        <v>27821</v>
      </c>
      <c r="T4826" s="6"/>
      <c r="U4826" s="15" t="str">
        <f>HYPERLINK("https://media.infra-m.ru/1911/1911175/cover/1911175.jpg", "Обложка")</f>
        <v>Обложка</v>
      </c>
      <c r="V4826" s="8" t="s">
        <v>16903</v>
      </c>
      <c r="W4826" s="6"/>
      <c r="X4826" s="6"/>
      <c r="Y4826" s="6"/>
      <c r="Z4826" s="6"/>
      <c r="AA4826" s="6" t="s">
        <v>248</v>
      </c>
      <c r="AB4826" s="8"/>
      <c r="AC4826" s="27">
        <v>9785369013014</v>
      </c>
    </row>
    <row r="4827" spans="1:29" s="4" customFormat="1" ht="51.9" customHeight="1" x14ac:dyDescent="0.2">
      <c r="A4827" s="5">
        <v>0</v>
      </c>
      <c r="B4827" s="6" t="s">
        <v>27822</v>
      </c>
      <c r="C4827" s="13">
        <v>732</v>
      </c>
      <c r="D4827" s="8" t="s">
        <v>27823</v>
      </c>
      <c r="E4827" s="8" t="s">
        <v>27824</v>
      </c>
      <c r="F4827" s="8" t="s">
        <v>27825</v>
      </c>
      <c r="G4827" s="6" t="s">
        <v>118</v>
      </c>
      <c r="H4827" s="6" t="s">
        <v>34</v>
      </c>
      <c r="I4827" s="8" t="s">
        <v>263</v>
      </c>
      <c r="J4827" s="9">
        <v>1</v>
      </c>
      <c r="K4827" s="9">
        <v>187</v>
      </c>
      <c r="L4827" s="9">
        <v>2019</v>
      </c>
      <c r="M4827" s="8" t="s">
        <v>27826</v>
      </c>
      <c r="N4827" s="8" t="s">
        <v>585</v>
      </c>
      <c r="O4827" s="8" t="s">
        <v>775</v>
      </c>
      <c r="P4827" s="6" t="s">
        <v>306</v>
      </c>
      <c r="Q4827" s="8" t="s">
        <v>265</v>
      </c>
      <c r="R4827" s="10" t="s">
        <v>27827</v>
      </c>
      <c r="S4827" s="11" t="s">
        <v>27828</v>
      </c>
      <c r="T4827" s="6"/>
      <c r="U4827" s="15" t="str">
        <f>HYPERLINK("https://media.infra-m.ru/1015/1015854/cover/1015854.jpg", "Обложка")</f>
        <v>Обложка</v>
      </c>
      <c r="V4827" s="8" t="s">
        <v>809</v>
      </c>
      <c r="W4827" s="6"/>
      <c r="X4827" s="6"/>
      <c r="Y4827" s="6"/>
      <c r="Z4827" s="6"/>
      <c r="AA4827" s="6" t="s">
        <v>446</v>
      </c>
      <c r="AB4827" s="8"/>
      <c r="AC4827" s="27">
        <v>9785160045542</v>
      </c>
    </row>
    <row r="4828" spans="1:29" s="4" customFormat="1" ht="51.9" customHeight="1" x14ac:dyDescent="0.2">
      <c r="A4828" s="5">
        <v>0</v>
      </c>
      <c r="B4828" s="6" t="s">
        <v>27829</v>
      </c>
      <c r="C4828" s="7">
        <v>1252.8</v>
      </c>
      <c r="D4828" s="8" t="s">
        <v>27830</v>
      </c>
      <c r="E4828" s="8" t="s">
        <v>27831</v>
      </c>
      <c r="F4828" s="8" t="s">
        <v>27832</v>
      </c>
      <c r="G4828" s="6" t="s">
        <v>118</v>
      </c>
      <c r="H4828" s="6" t="s">
        <v>34</v>
      </c>
      <c r="I4828" s="8" t="s">
        <v>263</v>
      </c>
      <c r="J4828" s="9">
        <v>1</v>
      </c>
      <c r="K4828" s="9">
        <v>190</v>
      </c>
      <c r="L4828" s="9">
        <v>2026</v>
      </c>
      <c r="M4828" s="8" t="s">
        <v>27833</v>
      </c>
      <c r="N4828" s="8" t="s">
        <v>585</v>
      </c>
      <c r="O4828" s="8" t="s">
        <v>775</v>
      </c>
      <c r="P4828" s="6" t="s">
        <v>306</v>
      </c>
      <c r="Q4828" s="8" t="s">
        <v>265</v>
      </c>
      <c r="R4828" s="10" t="s">
        <v>27827</v>
      </c>
      <c r="S4828" s="11" t="s">
        <v>27828</v>
      </c>
      <c r="T4828" s="6"/>
      <c r="U4828" s="15" t="str">
        <f>HYPERLINK("https://media.infra-m.ru/2230/2230158/cover/2230158.jpg", "Обложка")</f>
        <v>Обложка</v>
      </c>
      <c r="V4828" s="8" t="s">
        <v>809</v>
      </c>
      <c r="W4828" s="6"/>
      <c r="X4828" s="6"/>
      <c r="Y4828" s="6"/>
      <c r="Z4828" s="6"/>
      <c r="AA4828" s="6" t="s">
        <v>10095</v>
      </c>
      <c r="AB4828" s="8"/>
      <c r="AC4828" s="27">
        <v>9785160160566</v>
      </c>
    </row>
    <row r="4829" spans="1:29" s="4" customFormat="1" ht="51.9" customHeight="1" x14ac:dyDescent="0.2">
      <c r="A4829" s="5">
        <v>0</v>
      </c>
      <c r="B4829" s="6" t="s">
        <v>27834</v>
      </c>
      <c r="C4829" s="7">
        <v>1036.8</v>
      </c>
      <c r="D4829" s="8" t="s">
        <v>27835</v>
      </c>
      <c r="E4829" s="8" t="s">
        <v>27836</v>
      </c>
      <c r="F4829" s="8" t="s">
        <v>27837</v>
      </c>
      <c r="G4829" s="6" t="s">
        <v>33</v>
      </c>
      <c r="H4829" s="6" t="s">
        <v>34</v>
      </c>
      <c r="I4829" s="8" t="s">
        <v>35</v>
      </c>
      <c r="J4829" s="9">
        <v>1</v>
      </c>
      <c r="K4829" s="9">
        <v>157</v>
      </c>
      <c r="L4829" s="9">
        <v>2026</v>
      </c>
      <c r="M4829" s="8" t="s">
        <v>27838</v>
      </c>
      <c r="N4829" s="8" t="s">
        <v>243</v>
      </c>
      <c r="O4829" s="8" t="s">
        <v>329</v>
      </c>
      <c r="P4829" s="6" t="s">
        <v>39</v>
      </c>
      <c r="Q4829" s="8" t="s">
        <v>40</v>
      </c>
      <c r="R4829" s="10" t="s">
        <v>27839</v>
      </c>
      <c r="S4829" s="11"/>
      <c r="T4829" s="6"/>
      <c r="U4829" s="15" t="str">
        <f>HYPERLINK("https://media.infra-m.ru/2244/2244309/cover/2244309.jpg", "Обложка")</f>
        <v>Обложка</v>
      </c>
      <c r="V4829" s="8" t="s">
        <v>27840</v>
      </c>
      <c r="W4829" s="6"/>
      <c r="X4829" s="6"/>
      <c r="Y4829" s="6"/>
      <c r="Z4829" s="6"/>
      <c r="AA4829" s="6" t="s">
        <v>129</v>
      </c>
      <c r="AB4829" s="8"/>
      <c r="AC4829" s="27">
        <v>9785160097558</v>
      </c>
    </row>
    <row r="4830" spans="1:29" s="4" customFormat="1" ht="42" customHeight="1" x14ac:dyDescent="0.2">
      <c r="A4830" s="5">
        <v>0</v>
      </c>
      <c r="B4830" s="6" t="s">
        <v>27841</v>
      </c>
      <c r="C4830" s="7">
        <v>2568</v>
      </c>
      <c r="D4830" s="8" t="s">
        <v>27842</v>
      </c>
      <c r="E4830" s="8" t="s">
        <v>27843</v>
      </c>
      <c r="F4830" s="8" t="s">
        <v>3683</v>
      </c>
      <c r="G4830" s="6" t="s">
        <v>118</v>
      </c>
      <c r="H4830" s="6" t="s">
        <v>34</v>
      </c>
      <c r="I4830" s="8"/>
      <c r="J4830" s="9">
        <v>1</v>
      </c>
      <c r="K4830" s="9">
        <v>368</v>
      </c>
      <c r="L4830" s="9">
        <v>2027</v>
      </c>
      <c r="M4830" s="8" t="s">
        <v>27844</v>
      </c>
      <c r="N4830" s="8" t="s">
        <v>37</v>
      </c>
      <c r="O4830" s="8" t="s">
        <v>233</v>
      </c>
      <c r="P4830" s="6" t="s">
        <v>51</v>
      </c>
      <c r="Q4830" s="8" t="s">
        <v>500</v>
      </c>
      <c r="R4830" s="10" t="s">
        <v>1576</v>
      </c>
      <c r="S4830" s="11"/>
      <c r="T4830" s="6"/>
      <c r="U4830" s="15" t="str">
        <f>HYPERLINK("https://media.infra-m.ru/2269/2269982/cover/2269982.jpg", "Обложка")</f>
        <v>Обложка</v>
      </c>
      <c r="V4830" s="8" t="s">
        <v>3686</v>
      </c>
      <c r="W4830" s="6"/>
      <c r="X4830" s="6"/>
      <c r="Y4830" s="6"/>
      <c r="Z4830" s="6"/>
      <c r="AA4830" s="6" t="s">
        <v>115</v>
      </c>
      <c r="AB4830" s="8"/>
      <c r="AC4830" s="27">
        <v>9785160224848</v>
      </c>
    </row>
    <row r="4831" spans="1:29" s="4" customFormat="1" ht="51.9" customHeight="1" x14ac:dyDescent="0.2">
      <c r="A4831" s="5">
        <v>0</v>
      </c>
      <c r="B4831" s="6" t="s">
        <v>27845</v>
      </c>
      <c r="C4831" s="7">
        <v>2352</v>
      </c>
      <c r="D4831" s="8" t="s">
        <v>27846</v>
      </c>
      <c r="E4831" s="8" t="s">
        <v>27847</v>
      </c>
      <c r="F4831" s="8" t="s">
        <v>27848</v>
      </c>
      <c r="G4831" s="6" t="s">
        <v>118</v>
      </c>
      <c r="H4831" s="6" t="s">
        <v>34</v>
      </c>
      <c r="I4831" s="8" t="s">
        <v>263</v>
      </c>
      <c r="J4831" s="9">
        <v>1</v>
      </c>
      <c r="K4831" s="9">
        <v>346</v>
      </c>
      <c r="L4831" s="9">
        <v>2026</v>
      </c>
      <c r="M4831" s="8" t="s">
        <v>27849</v>
      </c>
      <c r="N4831" s="8" t="s">
        <v>243</v>
      </c>
      <c r="O4831" s="8" t="s">
        <v>244</v>
      </c>
      <c r="P4831" s="6" t="s">
        <v>51</v>
      </c>
      <c r="Q4831" s="8" t="s">
        <v>265</v>
      </c>
      <c r="R4831" s="10" t="s">
        <v>27850</v>
      </c>
      <c r="S4831" s="11" t="s">
        <v>27851</v>
      </c>
      <c r="T4831" s="6"/>
      <c r="U4831" s="15" t="str">
        <f>HYPERLINK("https://media.infra-m.ru/1913/1913857/cover/1913857.jpg", "Обложка")</f>
        <v>Обложка</v>
      </c>
      <c r="V4831" s="8" t="s">
        <v>3428</v>
      </c>
      <c r="W4831" s="6"/>
      <c r="X4831" s="6" t="s">
        <v>24</v>
      </c>
      <c r="Y4831" s="6"/>
      <c r="Z4831" s="6"/>
      <c r="AA4831" s="6" t="s">
        <v>896</v>
      </c>
      <c r="AB4831" s="8"/>
      <c r="AC4831" s="27">
        <v>9785160157849</v>
      </c>
    </row>
    <row r="4832" spans="1:29" s="4" customFormat="1" ht="51.9" customHeight="1" x14ac:dyDescent="0.2">
      <c r="A4832" s="5">
        <v>0</v>
      </c>
      <c r="B4832" s="6" t="s">
        <v>27852</v>
      </c>
      <c r="C4832" s="7">
        <v>2076</v>
      </c>
      <c r="D4832" s="8" t="s">
        <v>27853</v>
      </c>
      <c r="E4832" s="8" t="s">
        <v>27854</v>
      </c>
      <c r="F4832" s="8" t="s">
        <v>27855</v>
      </c>
      <c r="G4832" s="6" t="s">
        <v>60</v>
      </c>
      <c r="H4832" s="6" t="s">
        <v>34</v>
      </c>
      <c r="I4832" s="8" t="s">
        <v>253</v>
      </c>
      <c r="J4832" s="9">
        <v>1</v>
      </c>
      <c r="K4832" s="9">
        <v>374</v>
      </c>
      <c r="L4832" s="9">
        <v>2024</v>
      </c>
      <c r="M4832" s="8" t="s">
        <v>27856</v>
      </c>
      <c r="N4832" s="8" t="s">
        <v>585</v>
      </c>
      <c r="O4832" s="8" t="s">
        <v>775</v>
      </c>
      <c r="P4832" s="6" t="s">
        <v>51</v>
      </c>
      <c r="Q4832" s="8" t="s">
        <v>65</v>
      </c>
      <c r="R4832" s="10" t="s">
        <v>27857</v>
      </c>
      <c r="S4832" s="11" t="s">
        <v>27858</v>
      </c>
      <c r="T4832" s="6"/>
      <c r="U4832" s="15" t="str">
        <f>HYPERLINK("https://media.infra-m.ru/1477/1477254/cover/1477254.jpg", "Обложка")</f>
        <v>Обложка</v>
      </c>
      <c r="V4832" s="8" t="s">
        <v>5951</v>
      </c>
      <c r="W4832" s="6"/>
      <c r="X4832" s="6"/>
      <c r="Y4832" s="6"/>
      <c r="Z4832" s="6"/>
      <c r="AA4832" s="6" t="s">
        <v>106</v>
      </c>
      <c r="AB4832" s="8"/>
      <c r="AC4832" s="27">
        <v>9785160169941</v>
      </c>
    </row>
    <row r="4833" spans="1:29" s="4" customFormat="1" ht="51.9" customHeight="1" x14ac:dyDescent="0.2">
      <c r="A4833" s="5">
        <v>0</v>
      </c>
      <c r="B4833" s="6" t="s">
        <v>27859</v>
      </c>
      <c r="C4833" s="7">
        <v>1925.9</v>
      </c>
      <c r="D4833" s="8" t="s">
        <v>27860</v>
      </c>
      <c r="E4833" s="8" t="s">
        <v>27861</v>
      </c>
      <c r="F4833" s="8" t="s">
        <v>27862</v>
      </c>
      <c r="G4833" s="6" t="s">
        <v>33</v>
      </c>
      <c r="H4833" s="6" t="s">
        <v>34</v>
      </c>
      <c r="I4833" s="8" t="s">
        <v>253</v>
      </c>
      <c r="J4833" s="9">
        <v>1</v>
      </c>
      <c r="K4833" s="9">
        <v>357</v>
      </c>
      <c r="L4833" s="9">
        <v>2020</v>
      </c>
      <c r="M4833" s="8" t="s">
        <v>27863</v>
      </c>
      <c r="N4833" s="8" t="s">
        <v>585</v>
      </c>
      <c r="O4833" s="8" t="s">
        <v>775</v>
      </c>
      <c r="P4833" s="6" t="s">
        <v>51</v>
      </c>
      <c r="Q4833" s="8" t="s">
        <v>52</v>
      </c>
      <c r="R4833" s="10" t="s">
        <v>27857</v>
      </c>
      <c r="S4833" s="11" t="s">
        <v>27864</v>
      </c>
      <c r="T4833" s="6"/>
      <c r="U4833" s="15" t="str">
        <f>HYPERLINK("https://media.infra-m.ru/1915/1915776/cover/1915776.jpg", "Обложка")</f>
        <v>Обложка</v>
      </c>
      <c r="V4833" s="8" t="s">
        <v>5951</v>
      </c>
      <c r="W4833" s="6"/>
      <c r="X4833" s="6"/>
      <c r="Y4833" s="6"/>
      <c r="Z4833" s="6"/>
      <c r="AA4833" s="6" t="s">
        <v>1015</v>
      </c>
      <c r="AB4833" s="8"/>
      <c r="AC4833" s="27">
        <v>9785160097473</v>
      </c>
    </row>
    <row r="4834" spans="1:29" s="4" customFormat="1" ht="51.9" customHeight="1" x14ac:dyDescent="0.2">
      <c r="A4834" s="5">
        <v>0</v>
      </c>
      <c r="B4834" s="6" t="s">
        <v>27865</v>
      </c>
      <c r="C4834" s="7">
        <v>1012.8</v>
      </c>
      <c r="D4834" s="8" t="s">
        <v>27866</v>
      </c>
      <c r="E4834" s="8" t="s">
        <v>27867</v>
      </c>
      <c r="F4834" s="8" t="s">
        <v>27868</v>
      </c>
      <c r="G4834" s="6" t="s">
        <v>60</v>
      </c>
      <c r="H4834" s="6" t="s">
        <v>313</v>
      </c>
      <c r="I4834" s="8" t="s">
        <v>253</v>
      </c>
      <c r="J4834" s="9">
        <v>1</v>
      </c>
      <c r="K4834" s="9">
        <v>183</v>
      </c>
      <c r="L4834" s="9">
        <v>2024</v>
      </c>
      <c r="M4834" s="8" t="s">
        <v>27869</v>
      </c>
      <c r="N4834" s="8" t="s">
        <v>243</v>
      </c>
      <c r="O4834" s="8" t="s">
        <v>244</v>
      </c>
      <c r="P4834" s="6" t="s">
        <v>51</v>
      </c>
      <c r="Q4834" s="8" t="s">
        <v>52</v>
      </c>
      <c r="R4834" s="10" t="s">
        <v>27870</v>
      </c>
      <c r="S4834" s="11" t="s">
        <v>27871</v>
      </c>
      <c r="T4834" s="6"/>
      <c r="U4834" s="15" t="str">
        <f>HYPERLINK("https://media.infra-m.ru/1927/1927326/cover/1927326.jpg", "Обложка")</f>
        <v>Обложка</v>
      </c>
      <c r="V4834" s="8" t="s">
        <v>644</v>
      </c>
      <c r="W4834" s="6"/>
      <c r="X4834" s="6"/>
      <c r="Y4834" s="6"/>
      <c r="Z4834" s="6"/>
      <c r="AA4834" s="6" t="s">
        <v>55</v>
      </c>
      <c r="AB4834" s="8"/>
      <c r="AC4834" s="27">
        <v>9785369011690</v>
      </c>
    </row>
    <row r="4835" spans="1:29" s="4" customFormat="1" ht="51.9" customHeight="1" x14ac:dyDescent="0.2">
      <c r="A4835" s="5">
        <v>0</v>
      </c>
      <c r="B4835" s="6" t="s">
        <v>27872</v>
      </c>
      <c r="C4835" s="7">
        <v>2008.8</v>
      </c>
      <c r="D4835" s="8" t="s">
        <v>27873</v>
      </c>
      <c r="E4835" s="8" t="s">
        <v>27874</v>
      </c>
      <c r="F4835" s="8" t="s">
        <v>27875</v>
      </c>
      <c r="G4835" s="6" t="s">
        <v>60</v>
      </c>
      <c r="H4835" s="6" t="s">
        <v>48</v>
      </c>
      <c r="I4835" s="8" t="s">
        <v>401</v>
      </c>
      <c r="J4835" s="9">
        <v>1</v>
      </c>
      <c r="K4835" s="9">
        <v>288</v>
      </c>
      <c r="L4835" s="9">
        <v>2027</v>
      </c>
      <c r="M4835" s="8" t="s">
        <v>27876</v>
      </c>
      <c r="N4835" s="8" t="s">
        <v>243</v>
      </c>
      <c r="O4835" s="8" t="s">
        <v>244</v>
      </c>
      <c r="P4835" s="6" t="s">
        <v>51</v>
      </c>
      <c r="Q4835" s="8" t="s">
        <v>265</v>
      </c>
      <c r="R4835" s="10" t="s">
        <v>12973</v>
      </c>
      <c r="S4835" s="11" t="s">
        <v>17604</v>
      </c>
      <c r="T4835" s="6"/>
      <c r="U4835" s="15" t="str">
        <f>HYPERLINK("https://media.infra-m.ru/2263/2263589/cover/2263589.jpg", "Обложка")</f>
        <v>Обложка</v>
      </c>
      <c r="V4835" s="8" t="s">
        <v>2398</v>
      </c>
      <c r="W4835" s="6"/>
      <c r="X4835" s="6"/>
      <c r="Y4835" s="6"/>
      <c r="Z4835" s="6"/>
      <c r="AA4835" s="6" t="s">
        <v>6584</v>
      </c>
      <c r="AB4835" s="8"/>
      <c r="AC4835" s="27">
        <v>9785911342326</v>
      </c>
    </row>
    <row r="4836" spans="1:29" s="4" customFormat="1" ht="51.9" customHeight="1" x14ac:dyDescent="0.2">
      <c r="A4836" s="5">
        <v>0</v>
      </c>
      <c r="B4836" s="6" t="s">
        <v>27877</v>
      </c>
      <c r="C4836" s="7">
        <v>1428</v>
      </c>
      <c r="D4836" s="8" t="s">
        <v>27878</v>
      </c>
      <c r="E4836" s="8" t="s">
        <v>27879</v>
      </c>
      <c r="F4836" s="8" t="s">
        <v>12625</v>
      </c>
      <c r="G4836" s="6" t="s">
        <v>118</v>
      </c>
      <c r="H4836" s="6" t="s">
        <v>34</v>
      </c>
      <c r="I4836" s="8" t="s">
        <v>263</v>
      </c>
      <c r="J4836" s="9">
        <v>1</v>
      </c>
      <c r="K4836" s="9">
        <v>216</v>
      </c>
      <c r="L4836" s="9">
        <v>2026</v>
      </c>
      <c r="M4836" s="8" t="s">
        <v>27880</v>
      </c>
      <c r="N4836" s="8" t="s">
        <v>243</v>
      </c>
      <c r="O4836" s="8" t="s">
        <v>244</v>
      </c>
      <c r="P4836" s="6" t="s">
        <v>51</v>
      </c>
      <c r="Q4836" s="8" t="s">
        <v>265</v>
      </c>
      <c r="R4836" s="10" t="s">
        <v>27881</v>
      </c>
      <c r="S4836" s="11" t="s">
        <v>27882</v>
      </c>
      <c r="T4836" s="6"/>
      <c r="U4836" s="15" t="str">
        <f>HYPERLINK("https://media.infra-m.ru/2242/2242631/cover/2242631.jpg", "Обложка")</f>
        <v>Обложка</v>
      </c>
      <c r="V4836" s="8" t="s">
        <v>445</v>
      </c>
      <c r="W4836" s="6"/>
      <c r="X4836" s="6"/>
      <c r="Y4836" s="6"/>
      <c r="Z4836" s="6" t="s">
        <v>267</v>
      </c>
      <c r="AA4836" s="6" t="s">
        <v>404</v>
      </c>
      <c r="AB4836" s="8"/>
      <c r="AC4836" s="27">
        <v>9785160167190</v>
      </c>
    </row>
    <row r="4837" spans="1:29" s="4" customFormat="1" ht="42" customHeight="1" x14ac:dyDescent="0.2">
      <c r="A4837" s="5">
        <v>0</v>
      </c>
      <c r="B4837" s="6" t="s">
        <v>27883</v>
      </c>
      <c r="C4837" s="7">
        <v>1188</v>
      </c>
      <c r="D4837" s="8" t="s">
        <v>27884</v>
      </c>
      <c r="E4837" s="8" t="s">
        <v>27885</v>
      </c>
      <c r="F4837" s="8" t="s">
        <v>27886</v>
      </c>
      <c r="G4837" s="6" t="s">
        <v>60</v>
      </c>
      <c r="H4837" s="6" t="s">
        <v>34</v>
      </c>
      <c r="I4837" s="8" t="s">
        <v>263</v>
      </c>
      <c r="J4837" s="9">
        <v>1</v>
      </c>
      <c r="K4837" s="9">
        <v>193</v>
      </c>
      <c r="L4837" s="9">
        <v>2025</v>
      </c>
      <c r="M4837" s="8" t="s">
        <v>27887</v>
      </c>
      <c r="N4837" s="8" t="s">
        <v>243</v>
      </c>
      <c r="O4837" s="8" t="s">
        <v>244</v>
      </c>
      <c r="P4837" s="6" t="s">
        <v>51</v>
      </c>
      <c r="Q4837" s="8" t="s">
        <v>265</v>
      </c>
      <c r="R4837" s="10" t="s">
        <v>19623</v>
      </c>
      <c r="S4837" s="11"/>
      <c r="T4837" s="6"/>
      <c r="U4837" s="15" t="str">
        <f>HYPERLINK("https://media.infra-m.ru/2161/2161237/cover/2161237.jpg", "Обложка")</f>
        <v>Обложка</v>
      </c>
      <c r="V4837" s="8" t="s">
        <v>2389</v>
      </c>
      <c r="W4837" s="6"/>
      <c r="X4837" s="6"/>
      <c r="Y4837" s="6"/>
      <c r="Z4837" s="6" t="s">
        <v>267</v>
      </c>
      <c r="AA4837" s="6" t="s">
        <v>68</v>
      </c>
      <c r="AB4837" s="8"/>
      <c r="AC4837" s="27">
        <v>9785160201429</v>
      </c>
    </row>
    <row r="4838" spans="1:29" s="4" customFormat="1" ht="42" customHeight="1" x14ac:dyDescent="0.2">
      <c r="A4838" s="5">
        <v>0</v>
      </c>
      <c r="B4838" s="6" t="s">
        <v>27888</v>
      </c>
      <c r="C4838" s="7">
        <v>1164</v>
      </c>
      <c r="D4838" s="8" t="s">
        <v>27889</v>
      </c>
      <c r="E4838" s="8" t="s">
        <v>27885</v>
      </c>
      <c r="F4838" s="8" t="s">
        <v>27886</v>
      </c>
      <c r="G4838" s="6" t="s">
        <v>60</v>
      </c>
      <c r="H4838" s="6" t="s">
        <v>34</v>
      </c>
      <c r="I4838" s="8" t="s">
        <v>253</v>
      </c>
      <c r="J4838" s="9">
        <v>1</v>
      </c>
      <c r="K4838" s="9">
        <v>193</v>
      </c>
      <c r="L4838" s="9">
        <v>2024</v>
      </c>
      <c r="M4838" s="8" t="s">
        <v>27890</v>
      </c>
      <c r="N4838" s="8" t="s">
        <v>243</v>
      </c>
      <c r="O4838" s="8" t="s">
        <v>244</v>
      </c>
      <c r="P4838" s="6" t="s">
        <v>51</v>
      </c>
      <c r="Q4838" s="8" t="s">
        <v>52</v>
      </c>
      <c r="R4838" s="10" t="s">
        <v>27891</v>
      </c>
      <c r="S4838" s="11"/>
      <c r="T4838" s="6"/>
      <c r="U4838" s="15" t="str">
        <f>HYPERLINK("https://media.infra-m.ru/1915/1915784/cover/1915784.jpg", "Обложка")</f>
        <v>Обложка</v>
      </c>
      <c r="V4838" s="8" t="s">
        <v>2389</v>
      </c>
      <c r="W4838" s="6"/>
      <c r="X4838" s="6"/>
      <c r="Y4838" s="6"/>
      <c r="Z4838" s="6"/>
      <c r="AA4838" s="6" t="s">
        <v>76</v>
      </c>
      <c r="AB4838" s="8"/>
      <c r="AC4838" s="27">
        <v>9785160181752</v>
      </c>
    </row>
    <row r="4839" spans="1:29" s="4" customFormat="1" ht="51.9" customHeight="1" x14ac:dyDescent="0.2">
      <c r="A4839" s="5">
        <v>0</v>
      </c>
      <c r="B4839" s="6" t="s">
        <v>27892</v>
      </c>
      <c r="C4839" s="7">
        <v>1504.8</v>
      </c>
      <c r="D4839" s="8" t="s">
        <v>27893</v>
      </c>
      <c r="E4839" s="8" t="s">
        <v>27894</v>
      </c>
      <c r="F4839" s="8" t="s">
        <v>12625</v>
      </c>
      <c r="G4839" s="6" t="s">
        <v>60</v>
      </c>
      <c r="H4839" s="6" t="s">
        <v>34</v>
      </c>
      <c r="I4839" s="8" t="s">
        <v>271</v>
      </c>
      <c r="J4839" s="9">
        <v>1</v>
      </c>
      <c r="K4839" s="9">
        <v>216</v>
      </c>
      <c r="L4839" s="9">
        <v>2027</v>
      </c>
      <c r="M4839" s="8" t="s">
        <v>27895</v>
      </c>
      <c r="N4839" s="8" t="s">
        <v>243</v>
      </c>
      <c r="O4839" s="8" t="s">
        <v>244</v>
      </c>
      <c r="P4839" s="6" t="s">
        <v>51</v>
      </c>
      <c r="Q4839" s="8" t="s">
        <v>52</v>
      </c>
      <c r="R4839" s="10" t="s">
        <v>12627</v>
      </c>
      <c r="S4839" s="11" t="s">
        <v>12628</v>
      </c>
      <c r="T4839" s="6"/>
      <c r="U4839" s="15" t="str">
        <f>HYPERLINK("https://media.infra-m.ru/2265/2265756/cover/2265756.jpg", "Обложка")</f>
        <v>Обложка</v>
      </c>
      <c r="V4839" s="8" t="s">
        <v>445</v>
      </c>
      <c r="W4839" s="6"/>
      <c r="X4839" s="6"/>
      <c r="Y4839" s="6"/>
      <c r="Z4839" s="6"/>
      <c r="AA4839" s="6" t="s">
        <v>561</v>
      </c>
      <c r="AB4839" s="8"/>
      <c r="AC4839" s="27">
        <v>9785160151052</v>
      </c>
    </row>
    <row r="4840" spans="1:29" s="4" customFormat="1" ht="51.9" customHeight="1" x14ac:dyDescent="0.2">
      <c r="A4840" s="5">
        <v>0</v>
      </c>
      <c r="B4840" s="6" t="s">
        <v>27896</v>
      </c>
      <c r="C4840" s="7">
        <v>1344</v>
      </c>
      <c r="D4840" s="8" t="s">
        <v>27897</v>
      </c>
      <c r="E4840" s="8" t="s">
        <v>27898</v>
      </c>
      <c r="F4840" s="8" t="s">
        <v>1580</v>
      </c>
      <c r="G4840" s="6" t="s">
        <v>118</v>
      </c>
      <c r="H4840" s="6" t="s">
        <v>313</v>
      </c>
      <c r="I4840" s="8" t="s">
        <v>401</v>
      </c>
      <c r="J4840" s="9">
        <v>1</v>
      </c>
      <c r="K4840" s="9">
        <v>202</v>
      </c>
      <c r="L4840" s="9">
        <v>2026</v>
      </c>
      <c r="M4840" s="8" t="s">
        <v>27899</v>
      </c>
      <c r="N4840" s="8" t="s">
        <v>243</v>
      </c>
      <c r="O4840" s="8" t="s">
        <v>244</v>
      </c>
      <c r="P4840" s="6" t="s">
        <v>306</v>
      </c>
      <c r="Q4840" s="8" t="s">
        <v>265</v>
      </c>
      <c r="R4840" s="10" t="s">
        <v>27900</v>
      </c>
      <c r="S4840" s="11"/>
      <c r="T4840" s="6"/>
      <c r="U4840" s="15" t="str">
        <f>HYPERLINK("https://media.infra-m.ru/2233/2233508/cover/2233508.jpg", "Обложка")</f>
        <v>Обложка</v>
      </c>
      <c r="V4840" s="8" t="s">
        <v>644</v>
      </c>
      <c r="W4840" s="6"/>
      <c r="X4840" s="6"/>
      <c r="Y4840" s="6"/>
      <c r="Z4840" s="6"/>
      <c r="AA4840" s="6" t="s">
        <v>115</v>
      </c>
      <c r="AB4840" s="8"/>
      <c r="AC4840" s="27">
        <v>9785369018064</v>
      </c>
    </row>
    <row r="4841" spans="1:29" s="4" customFormat="1" ht="51.9" customHeight="1" x14ac:dyDescent="0.2">
      <c r="A4841" s="5">
        <v>0</v>
      </c>
      <c r="B4841" s="6" t="s">
        <v>27901</v>
      </c>
      <c r="C4841" s="7">
        <v>2220</v>
      </c>
      <c r="D4841" s="8" t="s">
        <v>27902</v>
      </c>
      <c r="E4841" s="8" t="s">
        <v>27898</v>
      </c>
      <c r="F4841" s="8" t="s">
        <v>4288</v>
      </c>
      <c r="G4841" s="6" t="s">
        <v>118</v>
      </c>
      <c r="H4841" s="6" t="s">
        <v>34</v>
      </c>
      <c r="I4841" s="8" t="s">
        <v>263</v>
      </c>
      <c r="J4841" s="9">
        <v>1</v>
      </c>
      <c r="K4841" s="9">
        <v>337</v>
      </c>
      <c r="L4841" s="9">
        <v>2026</v>
      </c>
      <c r="M4841" s="8" t="s">
        <v>27903</v>
      </c>
      <c r="N4841" s="8" t="s">
        <v>243</v>
      </c>
      <c r="O4841" s="8" t="s">
        <v>244</v>
      </c>
      <c r="P4841" s="6" t="s">
        <v>51</v>
      </c>
      <c r="Q4841" s="8" t="s">
        <v>265</v>
      </c>
      <c r="R4841" s="10" t="s">
        <v>27904</v>
      </c>
      <c r="S4841" s="11" t="s">
        <v>27905</v>
      </c>
      <c r="T4841" s="6"/>
      <c r="U4841" s="15" t="str">
        <f>HYPERLINK("https://media.infra-m.ru/2221/2221361/cover/2221361.jpg", "Обложка")</f>
        <v>Обложка</v>
      </c>
      <c r="V4841" s="8" t="s">
        <v>396</v>
      </c>
      <c r="W4841" s="6"/>
      <c r="X4841" s="6"/>
      <c r="Y4841" s="6"/>
      <c r="Z4841" s="6" t="s">
        <v>267</v>
      </c>
      <c r="AA4841" s="6" t="s">
        <v>430</v>
      </c>
      <c r="AB4841" s="8"/>
      <c r="AC4841" s="27">
        <v>9785160194325</v>
      </c>
    </row>
    <row r="4842" spans="1:29" s="4" customFormat="1" ht="42" customHeight="1" x14ac:dyDescent="0.2">
      <c r="A4842" s="5">
        <v>0</v>
      </c>
      <c r="B4842" s="6" t="s">
        <v>27906</v>
      </c>
      <c r="C4842" s="7">
        <v>2344.8000000000002</v>
      </c>
      <c r="D4842" s="8" t="s">
        <v>27907</v>
      </c>
      <c r="E4842" s="8" t="s">
        <v>27898</v>
      </c>
      <c r="F4842" s="8" t="s">
        <v>4288</v>
      </c>
      <c r="G4842" s="6" t="s">
        <v>118</v>
      </c>
      <c r="H4842" s="6" t="s">
        <v>34</v>
      </c>
      <c r="I4842" s="8" t="s">
        <v>3119</v>
      </c>
      <c r="J4842" s="9">
        <v>1</v>
      </c>
      <c r="K4842" s="9">
        <v>337</v>
      </c>
      <c r="L4842" s="9">
        <v>2026</v>
      </c>
      <c r="M4842" s="8" t="s">
        <v>27908</v>
      </c>
      <c r="N4842" s="8" t="s">
        <v>243</v>
      </c>
      <c r="O4842" s="8" t="s">
        <v>244</v>
      </c>
      <c r="P4842" s="6" t="s">
        <v>51</v>
      </c>
      <c r="Q4842" s="8" t="s">
        <v>52</v>
      </c>
      <c r="R4842" s="10" t="s">
        <v>26282</v>
      </c>
      <c r="S4842" s="11"/>
      <c r="T4842" s="6"/>
      <c r="U4842" s="15" t="str">
        <f>HYPERLINK("https://media.infra-m.ru/2261/2261546/cover/2261546.jpg", "Обложка")</f>
        <v>Обложка</v>
      </c>
      <c r="V4842" s="8" t="s">
        <v>396</v>
      </c>
      <c r="W4842" s="6"/>
      <c r="X4842" s="6"/>
      <c r="Y4842" s="6"/>
      <c r="Z4842" s="6"/>
      <c r="AA4842" s="6" t="s">
        <v>430</v>
      </c>
      <c r="AB4842" s="8"/>
      <c r="AC4842" s="27">
        <v>9785160182254</v>
      </c>
    </row>
    <row r="4843" spans="1:29" s="4" customFormat="1" ht="51.9" customHeight="1" x14ac:dyDescent="0.2">
      <c r="A4843" s="5">
        <v>0</v>
      </c>
      <c r="B4843" s="6" t="s">
        <v>27909</v>
      </c>
      <c r="C4843" s="7">
        <v>1488</v>
      </c>
      <c r="D4843" s="8" t="s">
        <v>27910</v>
      </c>
      <c r="E4843" s="8" t="s">
        <v>27911</v>
      </c>
      <c r="F4843" s="8" t="s">
        <v>9223</v>
      </c>
      <c r="G4843" s="6" t="s">
        <v>118</v>
      </c>
      <c r="H4843" s="6" t="s">
        <v>34</v>
      </c>
      <c r="I4843" s="8" t="s">
        <v>253</v>
      </c>
      <c r="J4843" s="9">
        <v>1</v>
      </c>
      <c r="K4843" s="9">
        <v>225</v>
      </c>
      <c r="L4843" s="9">
        <v>2026</v>
      </c>
      <c r="M4843" s="8" t="s">
        <v>27912</v>
      </c>
      <c r="N4843" s="8" t="s">
        <v>585</v>
      </c>
      <c r="O4843" s="8" t="s">
        <v>775</v>
      </c>
      <c r="P4843" s="6" t="s">
        <v>51</v>
      </c>
      <c r="Q4843" s="8" t="s">
        <v>52</v>
      </c>
      <c r="R4843" s="10" t="s">
        <v>27913</v>
      </c>
      <c r="S4843" s="11" t="s">
        <v>27914</v>
      </c>
      <c r="T4843" s="6"/>
      <c r="U4843" s="15" t="str">
        <f>HYPERLINK("https://media.infra-m.ru/2239/2239089/cover/2239089.jpg", "Обложка")</f>
        <v>Обложка</v>
      </c>
      <c r="V4843" s="8" t="s">
        <v>9227</v>
      </c>
      <c r="W4843" s="6"/>
      <c r="X4843" s="6"/>
      <c r="Y4843" s="6"/>
      <c r="Z4843" s="6"/>
      <c r="AA4843" s="6" t="s">
        <v>115</v>
      </c>
      <c r="AB4843" s="8"/>
      <c r="AC4843" s="27">
        <v>9785160218366</v>
      </c>
    </row>
    <row r="4844" spans="1:29" s="4" customFormat="1" ht="51.9" customHeight="1" x14ac:dyDescent="0.2">
      <c r="A4844" s="5">
        <v>0</v>
      </c>
      <c r="B4844" s="6" t="s">
        <v>27915</v>
      </c>
      <c r="C4844" s="7">
        <v>1488</v>
      </c>
      <c r="D4844" s="8" t="s">
        <v>27916</v>
      </c>
      <c r="E4844" s="8" t="s">
        <v>27911</v>
      </c>
      <c r="F4844" s="8" t="s">
        <v>9223</v>
      </c>
      <c r="G4844" s="6" t="s">
        <v>118</v>
      </c>
      <c r="H4844" s="6" t="s">
        <v>34</v>
      </c>
      <c r="I4844" s="8" t="s">
        <v>263</v>
      </c>
      <c r="J4844" s="9">
        <v>1</v>
      </c>
      <c r="K4844" s="9">
        <v>225</v>
      </c>
      <c r="L4844" s="9">
        <v>2026</v>
      </c>
      <c r="M4844" s="8" t="s">
        <v>27917</v>
      </c>
      <c r="N4844" s="8" t="s">
        <v>585</v>
      </c>
      <c r="O4844" s="8" t="s">
        <v>775</v>
      </c>
      <c r="P4844" s="6" t="s">
        <v>51</v>
      </c>
      <c r="Q4844" s="8" t="s">
        <v>265</v>
      </c>
      <c r="R4844" s="10" t="s">
        <v>8557</v>
      </c>
      <c r="S4844" s="11" t="s">
        <v>27918</v>
      </c>
      <c r="T4844" s="6"/>
      <c r="U4844" s="15" t="str">
        <f>HYPERLINK("https://media.infra-m.ru/2217/2217479/cover/2217479.jpg", "Обложка")</f>
        <v>Обложка</v>
      </c>
      <c r="V4844" s="8" t="s">
        <v>9227</v>
      </c>
      <c r="W4844" s="6"/>
      <c r="X4844" s="6"/>
      <c r="Y4844" s="6"/>
      <c r="Z4844" s="6" t="s">
        <v>267</v>
      </c>
      <c r="AA4844" s="6" t="s">
        <v>157</v>
      </c>
      <c r="AB4844" s="8"/>
      <c r="AC4844" s="27">
        <v>9785160151021</v>
      </c>
    </row>
    <row r="4845" spans="1:29" s="4" customFormat="1" ht="42" customHeight="1" x14ac:dyDescent="0.2">
      <c r="A4845" s="5">
        <v>0</v>
      </c>
      <c r="B4845" s="6" t="s">
        <v>27919</v>
      </c>
      <c r="C4845" s="7">
        <v>1104</v>
      </c>
      <c r="D4845" s="8" t="s">
        <v>27920</v>
      </c>
      <c r="E4845" s="8" t="s">
        <v>27921</v>
      </c>
      <c r="F4845" s="8" t="s">
        <v>27922</v>
      </c>
      <c r="G4845" s="6" t="s">
        <v>33</v>
      </c>
      <c r="H4845" s="6" t="s">
        <v>34</v>
      </c>
      <c r="I4845" s="8" t="s">
        <v>35</v>
      </c>
      <c r="J4845" s="9">
        <v>1</v>
      </c>
      <c r="K4845" s="9">
        <v>193</v>
      </c>
      <c r="L4845" s="9">
        <v>2024</v>
      </c>
      <c r="M4845" s="8" t="s">
        <v>27923</v>
      </c>
      <c r="N4845" s="8" t="s">
        <v>585</v>
      </c>
      <c r="O4845" s="8" t="s">
        <v>667</v>
      </c>
      <c r="P4845" s="6" t="s">
        <v>39</v>
      </c>
      <c r="Q4845" s="8" t="s">
        <v>40</v>
      </c>
      <c r="R4845" s="10" t="s">
        <v>27924</v>
      </c>
      <c r="S4845" s="11"/>
      <c r="T4845" s="6"/>
      <c r="U4845" s="15" t="str">
        <f>HYPERLINK("https://media.infra-m.ru/2083/2083333/cover/2083333.jpg", "Обложка")</f>
        <v>Обложка</v>
      </c>
      <c r="V4845" s="8" t="s">
        <v>3405</v>
      </c>
      <c r="W4845" s="6"/>
      <c r="X4845" s="6"/>
      <c r="Y4845" s="6"/>
      <c r="Z4845" s="6"/>
      <c r="AA4845" s="6" t="s">
        <v>76</v>
      </c>
      <c r="AB4845" s="8" t="s">
        <v>2208</v>
      </c>
      <c r="AC4845" s="27">
        <v>9785160190303</v>
      </c>
    </row>
    <row r="4846" spans="1:29" s="4" customFormat="1" ht="51.9" customHeight="1" x14ac:dyDescent="0.2">
      <c r="A4846" s="5">
        <v>0</v>
      </c>
      <c r="B4846" s="6" t="s">
        <v>27925</v>
      </c>
      <c r="C4846" s="13">
        <v>804</v>
      </c>
      <c r="D4846" s="8" t="s">
        <v>27926</v>
      </c>
      <c r="E4846" s="8" t="s">
        <v>27927</v>
      </c>
      <c r="F4846" s="8" t="s">
        <v>27928</v>
      </c>
      <c r="G4846" s="6" t="s">
        <v>33</v>
      </c>
      <c r="H4846" s="6" t="s">
        <v>34</v>
      </c>
      <c r="I4846" s="8" t="s">
        <v>2171</v>
      </c>
      <c r="J4846" s="9">
        <v>1</v>
      </c>
      <c r="K4846" s="9">
        <v>108</v>
      </c>
      <c r="L4846" s="9">
        <v>2026</v>
      </c>
      <c r="M4846" s="8" t="s">
        <v>27929</v>
      </c>
      <c r="N4846" s="8" t="s">
        <v>585</v>
      </c>
      <c r="O4846" s="8" t="s">
        <v>667</v>
      </c>
      <c r="P4846" s="6" t="s">
        <v>51</v>
      </c>
      <c r="Q4846" s="8" t="s">
        <v>65</v>
      </c>
      <c r="R4846" s="10" t="s">
        <v>27930</v>
      </c>
      <c r="S4846" s="11"/>
      <c r="T4846" s="6"/>
      <c r="U4846" s="15" t="str">
        <f>HYPERLINK("https://media.infra-m.ru/2259/2259669/cover/2259669.jpg", "Обложка")</f>
        <v>Обложка</v>
      </c>
      <c r="V4846" s="8" t="s">
        <v>2175</v>
      </c>
      <c r="W4846" s="6"/>
      <c r="X4846" s="6"/>
      <c r="Y4846" s="6"/>
      <c r="Z4846" s="6"/>
      <c r="AA4846" s="6" t="s">
        <v>115</v>
      </c>
      <c r="AB4846" s="8"/>
      <c r="AC4846" s="27">
        <v>9785160154282</v>
      </c>
    </row>
    <row r="4847" spans="1:29" s="4" customFormat="1" ht="51.9" customHeight="1" x14ac:dyDescent="0.2">
      <c r="A4847" s="5">
        <v>0</v>
      </c>
      <c r="B4847" s="6" t="s">
        <v>27931</v>
      </c>
      <c r="C4847" s="7">
        <v>1176</v>
      </c>
      <c r="D4847" s="8" t="s">
        <v>27932</v>
      </c>
      <c r="E4847" s="8" t="s">
        <v>27933</v>
      </c>
      <c r="F4847" s="8" t="s">
        <v>27934</v>
      </c>
      <c r="G4847" s="6" t="s">
        <v>118</v>
      </c>
      <c r="H4847" s="6" t="s">
        <v>34</v>
      </c>
      <c r="I4847" s="8" t="s">
        <v>253</v>
      </c>
      <c r="J4847" s="9">
        <v>1</v>
      </c>
      <c r="K4847" s="9">
        <v>189</v>
      </c>
      <c r="L4847" s="9">
        <v>2025</v>
      </c>
      <c r="M4847" s="8" t="s">
        <v>27935</v>
      </c>
      <c r="N4847" s="8" t="s">
        <v>585</v>
      </c>
      <c r="O4847" s="8" t="s">
        <v>667</v>
      </c>
      <c r="P4847" s="6" t="s">
        <v>51</v>
      </c>
      <c r="Q4847" s="8" t="s">
        <v>52</v>
      </c>
      <c r="R4847" s="10" t="s">
        <v>27936</v>
      </c>
      <c r="S4847" s="11" t="s">
        <v>27937</v>
      </c>
      <c r="T4847" s="6"/>
      <c r="U4847" s="15" t="str">
        <f>HYPERLINK("https://media.infra-m.ru/2191/2191605/cover/2191605.jpg", "Обложка")</f>
        <v>Обложка</v>
      </c>
      <c r="V4847" s="8" t="s">
        <v>6090</v>
      </c>
      <c r="W4847" s="6"/>
      <c r="X4847" s="6"/>
      <c r="Y4847" s="6"/>
      <c r="Z4847" s="6"/>
      <c r="AA4847" s="6" t="s">
        <v>86</v>
      </c>
      <c r="AB4847" s="8"/>
      <c r="AC4847" s="27">
        <v>9785160207445</v>
      </c>
    </row>
    <row r="4848" spans="1:29" s="4" customFormat="1" ht="51.9" customHeight="1" x14ac:dyDescent="0.2">
      <c r="A4848" s="5">
        <v>0</v>
      </c>
      <c r="B4848" s="6" t="s">
        <v>27938</v>
      </c>
      <c r="C4848" s="7">
        <v>1096.8</v>
      </c>
      <c r="D4848" s="8" t="s">
        <v>27939</v>
      </c>
      <c r="E4848" s="8" t="s">
        <v>27940</v>
      </c>
      <c r="F4848" s="8" t="s">
        <v>27941</v>
      </c>
      <c r="G4848" s="6" t="s">
        <v>118</v>
      </c>
      <c r="H4848" s="6" t="s">
        <v>34</v>
      </c>
      <c r="I4848" s="8" t="s">
        <v>253</v>
      </c>
      <c r="J4848" s="9">
        <v>1</v>
      </c>
      <c r="K4848" s="9">
        <v>173</v>
      </c>
      <c r="L4848" s="9">
        <v>2026</v>
      </c>
      <c r="M4848" s="8" t="s">
        <v>27942</v>
      </c>
      <c r="N4848" s="8" t="s">
        <v>243</v>
      </c>
      <c r="O4848" s="8" t="s">
        <v>385</v>
      </c>
      <c r="P4848" s="6" t="s">
        <v>51</v>
      </c>
      <c r="Q4848" s="8" t="s">
        <v>377</v>
      </c>
      <c r="R4848" s="10" t="s">
        <v>378</v>
      </c>
      <c r="S4848" s="11" t="s">
        <v>27943</v>
      </c>
      <c r="T4848" s="6"/>
      <c r="U4848" s="15" t="str">
        <f>HYPERLINK("https://media.infra-m.ru/2218/2218872/cover/2218872.jpg", "Обложка")</f>
        <v>Обложка</v>
      </c>
      <c r="V4848" s="8" t="s">
        <v>24350</v>
      </c>
      <c r="W4848" s="6"/>
      <c r="X4848" s="6"/>
      <c r="Y4848" s="6"/>
      <c r="Z4848" s="6"/>
      <c r="AA4848" s="6" t="s">
        <v>55</v>
      </c>
      <c r="AB4848" s="8"/>
      <c r="AC4848" s="27">
        <v>9785160064611</v>
      </c>
    </row>
    <row r="4849" spans="1:29" s="4" customFormat="1" ht="51.9" customHeight="1" x14ac:dyDescent="0.2">
      <c r="A4849" s="5">
        <v>0</v>
      </c>
      <c r="B4849" s="6" t="s">
        <v>27944</v>
      </c>
      <c r="C4849" s="7">
        <v>1288.8</v>
      </c>
      <c r="D4849" s="8" t="s">
        <v>27945</v>
      </c>
      <c r="E4849" s="8" t="s">
        <v>27946</v>
      </c>
      <c r="F4849" s="8" t="s">
        <v>24341</v>
      </c>
      <c r="G4849" s="6" t="s">
        <v>118</v>
      </c>
      <c r="H4849" s="6" t="s">
        <v>34</v>
      </c>
      <c r="I4849" s="8" t="s">
        <v>24334</v>
      </c>
      <c r="J4849" s="9">
        <v>1</v>
      </c>
      <c r="K4849" s="9">
        <v>196</v>
      </c>
      <c r="L4849" s="9">
        <v>2026</v>
      </c>
      <c r="M4849" s="8" t="s">
        <v>27947</v>
      </c>
      <c r="N4849" s="8" t="s">
        <v>243</v>
      </c>
      <c r="O4849" s="8" t="s">
        <v>385</v>
      </c>
      <c r="P4849" s="6" t="s">
        <v>51</v>
      </c>
      <c r="Q4849" s="8" t="s">
        <v>377</v>
      </c>
      <c r="R4849" s="10" t="s">
        <v>27948</v>
      </c>
      <c r="S4849" s="11" t="s">
        <v>24343</v>
      </c>
      <c r="T4849" s="6"/>
      <c r="U4849" s="15" t="str">
        <f>HYPERLINK("https://media.infra-m.ru/2238/2238527/cover/2238527.jpg", "Обложка")</f>
        <v>Обложка</v>
      </c>
      <c r="V4849" s="8" t="s">
        <v>2154</v>
      </c>
      <c r="W4849" s="6"/>
      <c r="X4849" s="6"/>
      <c r="Y4849" s="6"/>
      <c r="Z4849" s="6"/>
      <c r="AA4849" s="6" t="s">
        <v>115</v>
      </c>
      <c r="AB4849" s="8"/>
      <c r="AC4849" s="27">
        <v>9785160161259</v>
      </c>
    </row>
    <row r="4850" spans="1:29" s="4" customFormat="1" ht="51.9" customHeight="1" x14ac:dyDescent="0.2">
      <c r="A4850" s="5">
        <v>0</v>
      </c>
      <c r="B4850" s="6" t="s">
        <v>27949</v>
      </c>
      <c r="C4850" s="7">
        <v>1348.8</v>
      </c>
      <c r="D4850" s="8" t="s">
        <v>27950</v>
      </c>
      <c r="E4850" s="8" t="s">
        <v>27951</v>
      </c>
      <c r="F4850" s="8" t="s">
        <v>15188</v>
      </c>
      <c r="G4850" s="6" t="s">
        <v>118</v>
      </c>
      <c r="H4850" s="6" t="s">
        <v>34</v>
      </c>
      <c r="I4850" s="8" t="s">
        <v>271</v>
      </c>
      <c r="J4850" s="9">
        <v>1</v>
      </c>
      <c r="K4850" s="9">
        <v>224</v>
      </c>
      <c r="L4850" s="9">
        <v>2025</v>
      </c>
      <c r="M4850" s="8" t="s">
        <v>27952</v>
      </c>
      <c r="N4850" s="8" t="s">
        <v>37</v>
      </c>
      <c r="O4850" s="8" t="s">
        <v>499</v>
      </c>
      <c r="P4850" s="6" t="s">
        <v>51</v>
      </c>
      <c r="Q4850" s="8" t="s">
        <v>52</v>
      </c>
      <c r="R4850" s="10" t="s">
        <v>12891</v>
      </c>
      <c r="S4850" s="11" t="s">
        <v>27953</v>
      </c>
      <c r="T4850" s="6"/>
      <c r="U4850" s="15" t="str">
        <f>HYPERLINK("https://media.infra-m.ru/2188/2188768/cover/2188768.jpg", "Обложка")</f>
        <v>Обложка</v>
      </c>
      <c r="V4850" s="8" t="s">
        <v>227</v>
      </c>
      <c r="W4850" s="6"/>
      <c r="X4850" s="6"/>
      <c r="Y4850" s="6"/>
      <c r="Z4850" s="6"/>
      <c r="AA4850" s="6" t="s">
        <v>43</v>
      </c>
      <c r="AB4850" s="8"/>
      <c r="AC4850" s="27">
        <v>9785160143644</v>
      </c>
    </row>
    <row r="4851" spans="1:29" s="4" customFormat="1" ht="51.9" customHeight="1" x14ac:dyDescent="0.2">
      <c r="A4851" s="5">
        <v>0</v>
      </c>
      <c r="B4851" s="6" t="s">
        <v>27954</v>
      </c>
      <c r="C4851" s="13">
        <v>816</v>
      </c>
      <c r="D4851" s="8" t="s">
        <v>27955</v>
      </c>
      <c r="E4851" s="8" t="s">
        <v>27951</v>
      </c>
      <c r="F4851" s="8" t="s">
        <v>15188</v>
      </c>
      <c r="G4851" s="6" t="s">
        <v>33</v>
      </c>
      <c r="H4851" s="6" t="s">
        <v>34</v>
      </c>
      <c r="I4851" s="8" t="s">
        <v>271</v>
      </c>
      <c r="J4851" s="9">
        <v>1</v>
      </c>
      <c r="K4851" s="9">
        <v>224</v>
      </c>
      <c r="L4851" s="9">
        <v>2019</v>
      </c>
      <c r="M4851" s="8" t="s">
        <v>27956</v>
      </c>
      <c r="N4851" s="8" t="s">
        <v>37</v>
      </c>
      <c r="O4851" s="8" t="s">
        <v>499</v>
      </c>
      <c r="P4851" s="6" t="s">
        <v>51</v>
      </c>
      <c r="Q4851" s="8" t="s">
        <v>52</v>
      </c>
      <c r="R4851" s="10" t="s">
        <v>12891</v>
      </c>
      <c r="S4851" s="11" t="s">
        <v>27957</v>
      </c>
      <c r="T4851" s="6"/>
      <c r="U4851" s="15" t="str">
        <f>HYPERLINK("https://media.infra-m.ru/1018/1018442/cover/1018442.jpg", "Обложка")</f>
        <v>Обложка</v>
      </c>
      <c r="V4851" s="8" t="s">
        <v>227</v>
      </c>
      <c r="W4851" s="6"/>
      <c r="X4851" s="6"/>
      <c r="Y4851" s="6"/>
      <c r="Z4851" s="6"/>
      <c r="AA4851" s="6" t="s">
        <v>43</v>
      </c>
      <c r="AB4851" s="8"/>
      <c r="AC4851" s="27">
        <v>9785160103310</v>
      </c>
    </row>
    <row r="4852" spans="1:29" s="4" customFormat="1" ht="51.9" customHeight="1" x14ac:dyDescent="0.2">
      <c r="A4852" s="5">
        <v>0</v>
      </c>
      <c r="B4852" s="6" t="s">
        <v>27958</v>
      </c>
      <c r="C4852" s="7">
        <v>1216.8</v>
      </c>
      <c r="D4852" s="8" t="s">
        <v>27959</v>
      </c>
      <c r="E4852" s="8" t="s">
        <v>27951</v>
      </c>
      <c r="F4852" s="8" t="s">
        <v>26792</v>
      </c>
      <c r="G4852" s="6" t="s">
        <v>60</v>
      </c>
      <c r="H4852" s="6" t="s">
        <v>34</v>
      </c>
      <c r="I4852" s="8" t="s">
        <v>263</v>
      </c>
      <c r="J4852" s="9">
        <v>1</v>
      </c>
      <c r="K4852" s="9">
        <v>224</v>
      </c>
      <c r="L4852" s="9">
        <v>2023</v>
      </c>
      <c r="M4852" s="8" t="s">
        <v>27960</v>
      </c>
      <c r="N4852" s="8" t="s">
        <v>37</v>
      </c>
      <c r="O4852" s="8" t="s">
        <v>499</v>
      </c>
      <c r="P4852" s="6" t="s">
        <v>51</v>
      </c>
      <c r="Q4852" s="8" t="s">
        <v>265</v>
      </c>
      <c r="R4852" s="10" t="s">
        <v>27961</v>
      </c>
      <c r="S4852" s="11" t="s">
        <v>27962</v>
      </c>
      <c r="T4852" s="6"/>
      <c r="U4852" s="15" t="str">
        <f>HYPERLINK("https://media.infra-m.ru/2021/2021435/cover/2021435.jpg", "Обложка")</f>
        <v>Обложка</v>
      </c>
      <c r="V4852" s="8" t="s">
        <v>227</v>
      </c>
      <c r="W4852" s="6"/>
      <c r="X4852" s="6"/>
      <c r="Y4852" s="6"/>
      <c r="Z4852" s="6" t="s">
        <v>267</v>
      </c>
      <c r="AA4852" s="6" t="s">
        <v>1256</v>
      </c>
      <c r="AB4852" s="8"/>
      <c r="AC4852" s="27">
        <v>9785160139852</v>
      </c>
    </row>
    <row r="4853" spans="1:29" s="4" customFormat="1" ht="51.9" customHeight="1" x14ac:dyDescent="0.2">
      <c r="A4853" s="5">
        <v>0</v>
      </c>
      <c r="B4853" s="6" t="s">
        <v>27963</v>
      </c>
      <c r="C4853" s="7">
        <v>2100</v>
      </c>
      <c r="D4853" s="8" t="s">
        <v>27964</v>
      </c>
      <c r="E4853" s="8" t="s">
        <v>27965</v>
      </c>
      <c r="F4853" s="8" t="s">
        <v>27966</v>
      </c>
      <c r="G4853" s="6" t="s">
        <v>118</v>
      </c>
      <c r="H4853" s="6" t="s">
        <v>34</v>
      </c>
      <c r="I4853" s="8" t="s">
        <v>253</v>
      </c>
      <c r="J4853" s="9">
        <v>1</v>
      </c>
      <c r="K4853" s="9">
        <v>350</v>
      </c>
      <c r="L4853" s="9">
        <v>2025</v>
      </c>
      <c r="M4853" s="8" t="s">
        <v>27967</v>
      </c>
      <c r="N4853" s="8" t="s">
        <v>37</v>
      </c>
      <c r="O4853" s="8" t="s">
        <v>499</v>
      </c>
      <c r="P4853" s="6" t="s">
        <v>51</v>
      </c>
      <c r="Q4853" s="8" t="s">
        <v>52</v>
      </c>
      <c r="R4853" s="10" t="s">
        <v>27968</v>
      </c>
      <c r="S4853" s="11" t="s">
        <v>27969</v>
      </c>
      <c r="T4853" s="6"/>
      <c r="U4853" s="15" t="str">
        <f>HYPERLINK("https://media.infra-m.ru/2163/2163996/cover/2163996.jpg", "Обложка")</f>
        <v>Обложка</v>
      </c>
      <c r="V4853" s="8" t="s">
        <v>1599</v>
      </c>
      <c r="W4853" s="6"/>
      <c r="X4853" s="6"/>
      <c r="Y4853" s="6"/>
      <c r="Z4853" s="6"/>
      <c r="AA4853" s="6" t="s">
        <v>55</v>
      </c>
      <c r="AB4853" s="8"/>
      <c r="AC4853" s="27">
        <v>9785160202372</v>
      </c>
    </row>
    <row r="4854" spans="1:29" s="4" customFormat="1" ht="51.9" customHeight="1" x14ac:dyDescent="0.2">
      <c r="A4854" s="5">
        <v>0</v>
      </c>
      <c r="B4854" s="6" t="s">
        <v>27970</v>
      </c>
      <c r="C4854" s="7">
        <v>3106.8</v>
      </c>
      <c r="D4854" s="8" t="s">
        <v>27971</v>
      </c>
      <c r="E4854" s="8" t="s">
        <v>27972</v>
      </c>
      <c r="F4854" s="8" t="s">
        <v>27973</v>
      </c>
      <c r="G4854" s="6" t="s">
        <v>118</v>
      </c>
      <c r="H4854" s="6" t="s">
        <v>34</v>
      </c>
      <c r="I4854" s="8" t="s">
        <v>253</v>
      </c>
      <c r="J4854" s="9">
        <v>1</v>
      </c>
      <c r="K4854" s="9">
        <v>215</v>
      </c>
      <c r="L4854" s="9">
        <v>2026</v>
      </c>
      <c r="M4854" s="8" t="s">
        <v>27974</v>
      </c>
      <c r="N4854" s="8" t="s">
        <v>243</v>
      </c>
      <c r="O4854" s="8" t="s">
        <v>758</v>
      </c>
      <c r="P4854" s="6" t="s">
        <v>306</v>
      </c>
      <c r="Q4854" s="8" t="s">
        <v>52</v>
      </c>
      <c r="R4854" s="10" t="s">
        <v>16079</v>
      </c>
      <c r="S4854" s="11" t="s">
        <v>27975</v>
      </c>
      <c r="T4854" s="6"/>
      <c r="U4854" s="15" t="str">
        <f>HYPERLINK("https://media.infra-m.ru/2260/2260089/cover/2260089.jpg", "Обложка")</f>
        <v>Обложка</v>
      </c>
      <c r="V4854" s="8" t="s">
        <v>27976</v>
      </c>
      <c r="W4854" s="6"/>
      <c r="X4854" s="6"/>
      <c r="Y4854" s="6"/>
      <c r="Z4854" s="6"/>
      <c r="AA4854" s="6" t="s">
        <v>1256</v>
      </c>
      <c r="AB4854" s="8"/>
      <c r="AC4854" s="27">
        <v>9785160222660</v>
      </c>
    </row>
    <row r="4855" spans="1:29" s="4" customFormat="1" ht="51.9" customHeight="1" x14ac:dyDescent="0.2">
      <c r="A4855" s="5">
        <v>0</v>
      </c>
      <c r="B4855" s="6" t="s">
        <v>27977</v>
      </c>
      <c r="C4855" s="7">
        <v>2256</v>
      </c>
      <c r="D4855" s="8" t="s">
        <v>27978</v>
      </c>
      <c r="E4855" s="8" t="s">
        <v>27979</v>
      </c>
      <c r="F4855" s="8" t="s">
        <v>27980</v>
      </c>
      <c r="G4855" s="6" t="s">
        <v>60</v>
      </c>
      <c r="H4855" s="6" t="s">
        <v>34</v>
      </c>
      <c r="I4855" s="8" t="s">
        <v>434</v>
      </c>
      <c r="J4855" s="9">
        <v>1</v>
      </c>
      <c r="K4855" s="9">
        <v>364</v>
      </c>
      <c r="L4855" s="9">
        <v>2025</v>
      </c>
      <c r="M4855" s="8" t="s">
        <v>27981</v>
      </c>
      <c r="N4855" s="8" t="s">
        <v>63</v>
      </c>
      <c r="O4855" s="8" t="s">
        <v>64</v>
      </c>
      <c r="P4855" s="6" t="s">
        <v>306</v>
      </c>
      <c r="Q4855" s="8" t="s">
        <v>265</v>
      </c>
      <c r="R4855" s="10" t="s">
        <v>27982</v>
      </c>
      <c r="S4855" s="11"/>
      <c r="T4855" s="6"/>
      <c r="U4855" s="15" t="str">
        <f>HYPERLINK("https://media.infra-m.ru/2156/2156469/cover/2156469.jpg", "Обложка")</f>
        <v>Обложка</v>
      </c>
      <c r="V4855" s="8" t="s">
        <v>247</v>
      </c>
      <c r="W4855" s="6"/>
      <c r="X4855" s="6"/>
      <c r="Y4855" s="6"/>
      <c r="Z4855" s="6"/>
      <c r="AA4855" s="6" t="s">
        <v>68</v>
      </c>
      <c r="AB4855" s="8" t="s">
        <v>437</v>
      </c>
      <c r="AC4855" s="27">
        <v>9785160200569</v>
      </c>
    </row>
    <row r="4856" spans="1:29" s="4" customFormat="1" ht="51.9" customHeight="1" x14ac:dyDescent="0.2">
      <c r="A4856" s="5">
        <v>0</v>
      </c>
      <c r="B4856" s="6" t="s">
        <v>27983</v>
      </c>
      <c r="C4856" s="7">
        <v>1692</v>
      </c>
      <c r="D4856" s="8" t="s">
        <v>27984</v>
      </c>
      <c r="E4856" s="8" t="s">
        <v>27985</v>
      </c>
      <c r="F4856" s="8" t="s">
        <v>27986</v>
      </c>
      <c r="G4856" s="6" t="s">
        <v>60</v>
      </c>
      <c r="H4856" s="6" t="s">
        <v>34</v>
      </c>
      <c r="I4856" s="8" t="s">
        <v>2518</v>
      </c>
      <c r="J4856" s="9">
        <v>1</v>
      </c>
      <c r="K4856" s="9">
        <v>270</v>
      </c>
      <c r="L4856" s="9">
        <v>2026</v>
      </c>
      <c r="M4856" s="8" t="s">
        <v>27987</v>
      </c>
      <c r="N4856" s="8" t="s">
        <v>243</v>
      </c>
      <c r="O4856" s="8" t="s">
        <v>758</v>
      </c>
      <c r="P4856" s="6" t="s">
        <v>51</v>
      </c>
      <c r="Q4856" s="8" t="s">
        <v>265</v>
      </c>
      <c r="R4856" s="10" t="s">
        <v>27988</v>
      </c>
      <c r="S4856" s="11" t="s">
        <v>27989</v>
      </c>
      <c r="T4856" s="6"/>
      <c r="U4856" s="15" t="str">
        <f>HYPERLINK("https://media.infra-m.ru/2216/2216944/cover/2216944.jpg", "Обложка")</f>
        <v>Обложка</v>
      </c>
      <c r="V4856" s="8" t="s">
        <v>1132</v>
      </c>
      <c r="W4856" s="6" t="s">
        <v>342</v>
      </c>
      <c r="X4856" s="6"/>
      <c r="Y4856" s="6"/>
      <c r="Z4856" s="6"/>
      <c r="AA4856" s="6" t="s">
        <v>187</v>
      </c>
      <c r="AB4856" s="8"/>
      <c r="AC4856" s="27">
        <v>9785160212029</v>
      </c>
    </row>
    <row r="4857" spans="1:29" s="4" customFormat="1" ht="51.9" customHeight="1" x14ac:dyDescent="0.2">
      <c r="A4857" s="5">
        <v>0</v>
      </c>
      <c r="B4857" s="6" t="s">
        <v>27990</v>
      </c>
      <c r="C4857" s="7">
        <v>1884</v>
      </c>
      <c r="D4857" s="8" t="s">
        <v>27991</v>
      </c>
      <c r="E4857" s="8" t="s">
        <v>27985</v>
      </c>
      <c r="F4857" s="8" t="s">
        <v>27986</v>
      </c>
      <c r="G4857" s="6" t="s">
        <v>118</v>
      </c>
      <c r="H4857" s="6" t="s">
        <v>34</v>
      </c>
      <c r="I4857" s="8" t="s">
        <v>1128</v>
      </c>
      <c r="J4857" s="9">
        <v>1</v>
      </c>
      <c r="K4857" s="9">
        <v>270</v>
      </c>
      <c r="L4857" s="9">
        <v>2027</v>
      </c>
      <c r="M4857" s="8" t="s">
        <v>27992</v>
      </c>
      <c r="N4857" s="8" t="s">
        <v>243</v>
      </c>
      <c r="O4857" s="8" t="s">
        <v>758</v>
      </c>
      <c r="P4857" s="6" t="s">
        <v>51</v>
      </c>
      <c r="Q4857" s="8" t="s">
        <v>65</v>
      </c>
      <c r="R4857" s="10" t="s">
        <v>27993</v>
      </c>
      <c r="S4857" s="11" t="s">
        <v>27989</v>
      </c>
      <c r="T4857" s="6"/>
      <c r="U4857" s="15" t="str">
        <f>HYPERLINK("https://media.infra-m.ru/2263/2263960/cover/2263960.jpg", "Обложка")</f>
        <v>Обложка</v>
      </c>
      <c r="V4857" s="8" t="s">
        <v>1132</v>
      </c>
      <c r="W4857" s="6"/>
      <c r="X4857" s="6"/>
      <c r="Y4857" s="6"/>
      <c r="Z4857" s="6"/>
      <c r="AA4857" s="6" t="s">
        <v>76</v>
      </c>
      <c r="AB4857" s="8"/>
      <c r="AC4857" s="27">
        <v>9785160191393</v>
      </c>
    </row>
    <row r="4858" spans="1:29" s="4" customFormat="1" ht="51.9" customHeight="1" x14ac:dyDescent="0.2">
      <c r="A4858" s="5">
        <v>0</v>
      </c>
      <c r="B4858" s="6" t="s">
        <v>27994</v>
      </c>
      <c r="C4858" s="7">
        <v>2584.8000000000002</v>
      </c>
      <c r="D4858" s="8" t="s">
        <v>27995</v>
      </c>
      <c r="E4858" s="8" t="s">
        <v>27996</v>
      </c>
      <c r="F4858" s="8" t="s">
        <v>27997</v>
      </c>
      <c r="G4858" s="6" t="s">
        <v>118</v>
      </c>
      <c r="H4858" s="6" t="s">
        <v>34</v>
      </c>
      <c r="I4858" s="8" t="s">
        <v>5350</v>
      </c>
      <c r="J4858" s="9">
        <v>1</v>
      </c>
      <c r="K4858" s="9">
        <v>391</v>
      </c>
      <c r="L4858" s="9">
        <v>2026</v>
      </c>
      <c r="M4858" s="8" t="s">
        <v>27998</v>
      </c>
      <c r="N4858" s="8" t="s">
        <v>243</v>
      </c>
      <c r="O4858" s="8" t="s">
        <v>964</v>
      </c>
      <c r="P4858" s="6" t="s">
        <v>306</v>
      </c>
      <c r="Q4858" s="8" t="s">
        <v>377</v>
      </c>
      <c r="R4858" s="10" t="s">
        <v>27999</v>
      </c>
      <c r="S4858" s="11" t="s">
        <v>28000</v>
      </c>
      <c r="T4858" s="6"/>
      <c r="U4858" s="15" t="str">
        <f>HYPERLINK("https://media.infra-m.ru/2223/2223661/cover/2223661.jpg", "Обложка")</f>
        <v>Обложка</v>
      </c>
      <c r="V4858" s="8" t="s">
        <v>2398</v>
      </c>
      <c r="W4858" s="6"/>
      <c r="X4858" s="6"/>
      <c r="Y4858" s="6"/>
      <c r="Z4858" s="6"/>
      <c r="AA4858" s="6" t="s">
        <v>148</v>
      </c>
      <c r="AB4858" s="8"/>
      <c r="AC4858" s="27">
        <v>9785160165127</v>
      </c>
    </row>
    <row r="4859" spans="1:29" s="4" customFormat="1" ht="51.9" customHeight="1" x14ac:dyDescent="0.2">
      <c r="A4859" s="5">
        <v>0</v>
      </c>
      <c r="B4859" s="6" t="s">
        <v>28001</v>
      </c>
      <c r="C4859" s="7">
        <v>2112</v>
      </c>
      <c r="D4859" s="8" t="s">
        <v>28002</v>
      </c>
      <c r="E4859" s="8" t="s">
        <v>28003</v>
      </c>
      <c r="F4859" s="8" t="s">
        <v>28004</v>
      </c>
      <c r="G4859" s="6" t="s">
        <v>118</v>
      </c>
      <c r="H4859" s="6" t="s">
        <v>34</v>
      </c>
      <c r="I4859" s="8" t="s">
        <v>253</v>
      </c>
      <c r="J4859" s="9">
        <v>1</v>
      </c>
      <c r="K4859" s="9">
        <v>351</v>
      </c>
      <c r="L4859" s="9">
        <v>2025</v>
      </c>
      <c r="M4859" s="8" t="s">
        <v>28005</v>
      </c>
      <c r="N4859" s="8" t="s">
        <v>243</v>
      </c>
      <c r="O4859" s="8" t="s">
        <v>758</v>
      </c>
      <c r="P4859" s="6" t="s">
        <v>306</v>
      </c>
      <c r="Q4859" s="8" t="s">
        <v>65</v>
      </c>
      <c r="R4859" s="10" t="s">
        <v>28006</v>
      </c>
      <c r="S4859" s="11" t="s">
        <v>28007</v>
      </c>
      <c r="T4859" s="6"/>
      <c r="U4859" s="15" t="str">
        <f>HYPERLINK("https://media.infra-m.ru/2172/2172772/cover/2172772.jpg", "Обложка")</f>
        <v>Обложка</v>
      </c>
      <c r="V4859" s="8" t="s">
        <v>1871</v>
      </c>
      <c r="W4859" s="6"/>
      <c r="X4859" s="6"/>
      <c r="Y4859" s="6"/>
      <c r="Z4859" s="6"/>
      <c r="AA4859" s="6" t="s">
        <v>99</v>
      </c>
      <c r="AB4859" s="8"/>
      <c r="AC4859" s="27">
        <v>9785160188515</v>
      </c>
    </row>
    <row r="4860" spans="1:29" s="4" customFormat="1" ht="51.9" customHeight="1" x14ac:dyDescent="0.2">
      <c r="A4860" s="5">
        <v>0</v>
      </c>
      <c r="B4860" s="6" t="s">
        <v>28008</v>
      </c>
      <c r="C4860" s="7">
        <v>1584</v>
      </c>
      <c r="D4860" s="8" t="s">
        <v>28009</v>
      </c>
      <c r="E4860" s="8" t="s">
        <v>28010</v>
      </c>
      <c r="F4860" s="8" t="s">
        <v>28011</v>
      </c>
      <c r="G4860" s="6" t="s">
        <v>118</v>
      </c>
      <c r="H4860" s="6" t="s">
        <v>34</v>
      </c>
      <c r="I4860" s="8" t="s">
        <v>263</v>
      </c>
      <c r="J4860" s="9">
        <v>1</v>
      </c>
      <c r="K4860" s="9">
        <v>240</v>
      </c>
      <c r="L4860" s="9">
        <v>2026</v>
      </c>
      <c r="M4860" s="8" t="s">
        <v>28012</v>
      </c>
      <c r="N4860" s="8" t="s">
        <v>63</v>
      </c>
      <c r="O4860" s="8" t="s">
        <v>154</v>
      </c>
      <c r="P4860" s="6" t="s">
        <v>306</v>
      </c>
      <c r="Q4860" s="8" t="s">
        <v>265</v>
      </c>
      <c r="R4860" s="10" t="s">
        <v>28013</v>
      </c>
      <c r="S4860" s="11" t="s">
        <v>444</v>
      </c>
      <c r="T4860" s="6"/>
      <c r="U4860" s="15" t="str">
        <f>HYPERLINK("https://media.infra-m.ru/2256/2256956/cover/2256956.jpg", "Обложка")</f>
        <v>Обложка</v>
      </c>
      <c r="V4860" s="8" t="s">
        <v>5951</v>
      </c>
      <c r="W4860" s="6"/>
      <c r="X4860" s="6"/>
      <c r="Y4860" s="6"/>
      <c r="Z4860" s="6"/>
      <c r="AA4860" s="6" t="s">
        <v>3391</v>
      </c>
      <c r="AB4860" s="8"/>
      <c r="AC4860" s="27">
        <v>9785160221977</v>
      </c>
    </row>
    <row r="4861" spans="1:29" s="4" customFormat="1" ht="51.9" customHeight="1" x14ac:dyDescent="0.2">
      <c r="A4861" s="5">
        <v>0</v>
      </c>
      <c r="B4861" s="6" t="s">
        <v>28014</v>
      </c>
      <c r="C4861" s="7">
        <v>1044</v>
      </c>
      <c r="D4861" s="8" t="s">
        <v>28015</v>
      </c>
      <c r="E4861" s="8" t="s">
        <v>28016</v>
      </c>
      <c r="F4861" s="8" t="s">
        <v>28017</v>
      </c>
      <c r="G4861" s="6" t="s">
        <v>33</v>
      </c>
      <c r="H4861" s="6" t="s">
        <v>34</v>
      </c>
      <c r="I4861" s="8" t="s">
        <v>253</v>
      </c>
      <c r="J4861" s="9">
        <v>1</v>
      </c>
      <c r="K4861" s="9">
        <v>185</v>
      </c>
      <c r="L4861" s="9">
        <v>2024</v>
      </c>
      <c r="M4861" s="8" t="s">
        <v>28018</v>
      </c>
      <c r="N4861" s="8" t="s">
        <v>37</v>
      </c>
      <c r="O4861" s="8" t="s">
        <v>233</v>
      </c>
      <c r="P4861" s="6" t="s">
        <v>51</v>
      </c>
      <c r="Q4861" s="8" t="s">
        <v>52</v>
      </c>
      <c r="R4861" s="10" t="s">
        <v>3516</v>
      </c>
      <c r="S4861" s="11" t="s">
        <v>28019</v>
      </c>
      <c r="T4861" s="6"/>
      <c r="U4861" s="15" t="str">
        <f>HYPERLINK("https://media.infra-m.ru/2079/2079648/cover/2079648.jpg", "Обложка")</f>
        <v>Обложка</v>
      </c>
      <c r="V4861" s="8" t="s">
        <v>1768</v>
      </c>
      <c r="W4861" s="6"/>
      <c r="X4861" s="6"/>
      <c r="Y4861" s="6"/>
      <c r="Z4861" s="6"/>
      <c r="AA4861" s="6" t="s">
        <v>99</v>
      </c>
      <c r="AB4861" s="8"/>
      <c r="AC4861" s="27">
        <v>9785160190792</v>
      </c>
    </row>
    <row r="4862" spans="1:29" s="4" customFormat="1" ht="51.9" customHeight="1" x14ac:dyDescent="0.2">
      <c r="A4862" s="5">
        <v>0</v>
      </c>
      <c r="B4862" s="6" t="s">
        <v>28020</v>
      </c>
      <c r="C4862" s="13">
        <v>988.8</v>
      </c>
      <c r="D4862" s="8" t="s">
        <v>28021</v>
      </c>
      <c r="E4862" s="8" t="s">
        <v>28022</v>
      </c>
      <c r="F4862" s="8" t="s">
        <v>16755</v>
      </c>
      <c r="G4862" s="6" t="s">
        <v>33</v>
      </c>
      <c r="H4862" s="6" t="s">
        <v>34</v>
      </c>
      <c r="I4862" s="8" t="s">
        <v>504</v>
      </c>
      <c r="J4862" s="9">
        <v>1</v>
      </c>
      <c r="K4862" s="9">
        <v>150</v>
      </c>
      <c r="L4862" s="9">
        <v>2026</v>
      </c>
      <c r="M4862" s="8" t="s">
        <v>28023</v>
      </c>
      <c r="N4862" s="8" t="s">
        <v>37</v>
      </c>
      <c r="O4862" s="8" t="s">
        <v>233</v>
      </c>
      <c r="P4862" s="6" t="s">
        <v>51</v>
      </c>
      <c r="Q4862" s="8" t="s">
        <v>500</v>
      </c>
      <c r="R4862" s="10" t="s">
        <v>5481</v>
      </c>
      <c r="S4862" s="11" t="s">
        <v>28024</v>
      </c>
      <c r="T4862" s="6"/>
      <c r="U4862" s="15" t="str">
        <f>HYPERLINK("https://media.infra-m.ru/2239/2239131/cover/2239131.jpg", "Обложка")</f>
        <v>Обложка</v>
      </c>
      <c r="V4862" s="8" t="s">
        <v>2854</v>
      </c>
      <c r="W4862" s="6"/>
      <c r="X4862" s="6"/>
      <c r="Y4862" s="6"/>
      <c r="Z4862" s="6"/>
      <c r="AA4862" s="6" t="s">
        <v>86</v>
      </c>
      <c r="AB4862" s="8"/>
      <c r="AC4862" s="27">
        <v>9785160136141</v>
      </c>
    </row>
    <row r="4863" spans="1:29" s="4" customFormat="1" ht="51.9" customHeight="1" x14ac:dyDescent="0.2">
      <c r="A4863" s="5">
        <v>0</v>
      </c>
      <c r="B4863" s="6" t="s">
        <v>28025</v>
      </c>
      <c r="C4863" s="7">
        <v>2416.8000000000002</v>
      </c>
      <c r="D4863" s="8" t="s">
        <v>28026</v>
      </c>
      <c r="E4863" s="8" t="s">
        <v>28027</v>
      </c>
      <c r="F4863" s="8" t="s">
        <v>20647</v>
      </c>
      <c r="G4863" s="6" t="s">
        <v>118</v>
      </c>
      <c r="H4863" s="6" t="s">
        <v>241</v>
      </c>
      <c r="I4863" s="8"/>
      <c r="J4863" s="9">
        <v>1</v>
      </c>
      <c r="K4863" s="9">
        <v>366</v>
      </c>
      <c r="L4863" s="9">
        <v>2026</v>
      </c>
      <c r="M4863" s="8" t="s">
        <v>28028</v>
      </c>
      <c r="N4863" s="8" t="s">
        <v>37</v>
      </c>
      <c r="O4863" s="8" t="s">
        <v>136</v>
      </c>
      <c r="P4863" s="6" t="s">
        <v>51</v>
      </c>
      <c r="Q4863" s="8" t="s">
        <v>500</v>
      </c>
      <c r="R4863" s="10" t="s">
        <v>1275</v>
      </c>
      <c r="S4863" s="11" t="s">
        <v>28029</v>
      </c>
      <c r="T4863" s="6" t="s">
        <v>97</v>
      </c>
      <c r="U4863" s="15" t="str">
        <f>HYPERLINK("https://media.infra-m.ru/2241/2241953/cover/2241953.jpg", "Обложка")</f>
        <v>Обложка</v>
      </c>
      <c r="V4863" s="8" t="s">
        <v>2389</v>
      </c>
      <c r="W4863" s="6"/>
      <c r="X4863" s="6"/>
      <c r="Y4863" s="6"/>
      <c r="Z4863" s="6"/>
      <c r="AA4863" s="6" t="s">
        <v>360</v>
      </c>
      <c r="AB4863" s="8"/>
      <c r="AC4863" s="27">
        <v>9785955804583</v>
      </c>
    </row>
    <row r="4864" spans="1:29" s="4" customFormat="1" ht="51.9" customHeight="1" x14ac:dyDescent="0.2">
      <c r="A4864" s="5">
        <v>0</v>
      </c>
      <c r="B4864" s="6" t="s">
        <v>28030</v>
      </c>
      <c r="C4864" s="7">
        <v>1492.8</v>
      </c>
      <c r="D4864" s="8" t="s">
        <v>28031</v>
      </c>
      <c r="E4864" s="8" t="s">
        <v>28032</v>
      </c>
      <c r="F4864" s="8" t="s">
        <v>2850</v>
      </c>
      <c r="G4864" s="6" t="s">
        <v>60</v>
      </c>
      <c r="H4864" s="6" t="s">
        <v>241</v>
      </c>
      <c r="I4864" s="8"/>
      <c r="J4864" s="9">
        <v>1</v>
      </c>
      <c r="K4864" s="9">
        <v>240</v>
      </c>
      <c r="L4864" s="9">
        <v>2025</v>
      </c>
      <c r="M4864" s="8" t="s">
        <v>28033</v>
      </c>
      <c r="N4864" s="8" t="s">
        <v>37</v>
      </c>
      <c r="O4864" s="8" t="s">
        <v>280</v>
      </c>
      <c r="P4864" s="6" t="s">
        <v>51</v>
      </c>
      <c r="Q4864" s="8" t="s">
        <v>52</v>
      </c>
      <c r="R4864" s="10" t="s">
        <v>28034</v>
      </c>
      <c r="S4864" s="11"/>
      <c r="T4864" s="6"/>
      <c r="U4864" s="15" t="str">
        <f>HYPERLINK("https://media.infra-m.ru/2196/2196076/cover/2196076.jpg", "Обложка")</f>
        <v>Обложка</v>
      </c>
      <c r="V4864" s="8" t="s">
        <v>2854</v>
      </c>
      <c r="W4864" s="6"/>
      <c r="X4864" s="6"/>
      <c r="Y4864" s="6"/>
      <c r="Z4864" s="6"/>
      <c r="AA4864" s="6" t="s">
        <v>274</v>
      </c>
      <c r="AB4864" s="8"/>
      <c r="AC4864" s="27">
        <v>9785955803876</v>
      </c>
    </row>
    <row r="4865" spans="1:29" s="4" customFormat="1" ht="51.9" customHeight="1" x14ac:dyDescent="0.2">
      <c r="A4865" s="5">
        <v>0</v>
      </c>
      <c r="B4865" s="6" t="s">
        <v>28035</v>
      </c>
      <c r="C4865" s="7">
        <v>1872</v>
      </c>
      <c r="D4865" s="8" t="s">
        <v>28036</v>
      </c>
      <c r="E4865" s="8" t="s">
        <v>28037</v>
      </c>
      <c r="F4865" s="8" t="s">
        <v>28038</v>
      </c>
      <c r="G4865" s="6" t="s">
        <v>118</v>
      </c>
      <c r="H4865" s="6" t="s">
        <v>34</v>
      </c>
      <c r="I4865" s="8" t="s">
        <v>263</v>
      </c>
      <c r="J4865" s="9">
        <v>1</v>
      </c>
      <c r="K4865" s="9">
        <v>281</v>
      </c>
      <c r="L4865" s="9">
        <v>2026</v>
      </c>
      <c r="M4865" s="8" t="s">
        <v>28039</v>
      </c>
      <c r="N4865" s="8" t="s">
        <v>63</v>
      </c>
      <c r="O4865" s="8" t="s">
        <v>64</v>
      </c>
      <c r="P4865" s="6" t="s">
        <v>51</v>
      </c>
      <c r="Q4865" s="8" t="s">
        <v>265</v>
      </c>
      <c r="R4865" s="10" t="s">
        <v>28040</v>
      </c>
      <c r="S4865" s="11" t="s">
        <v>28041</v>
      </c>
      <c r="T4865" s="6"/>
      <c r="U4865" s="15" t="str">
        <f>HYPERLINK("https://media.infra-m.ru/2211/2211025/cover/2211025.jpg", "Обложка")</f>
        <v>Обложка</v>
      </c>
      <c r="V4865" s="8" t="s">
        <v>28042</v>
      </c>
      <c r="W4865" s="6"/>
      <c r="X4865" s="6"/>
      <c r="Y4865" s="6"/>
      <c r="Z4865" s="6"/>
      <c r="AA4865" s="6" t="s">
        <v>430</v>
      </c>
      <c r="AB4865" s="8" t="s">
        <v>3581</v>
      </c>
      <c r="AC4865" s="27">
        <v>9785160158235</v>
      </c>
    </row>
    <row r="4866" spans="1:29" s="4" customFormat="1" ht="51.9" customHeight="1" x14ac:dyDescent="0.2">
      <c r="A4866" s="5">
        <v>0</v>
      </c>
      <c r="B4866" s="6" t="s">
        <v>28043</v>
      </c>
      <c r="C4866" s="7">
        <v>1056</v>
      </c>
      <c r="D4866" s="8" t="s">
        <v>28044</v>
      </c>
      <c r="E4866" s="8" t="s">
        <v>28045</v>
      </c>
      <c r="F4866" s="8" t="s">
        <v>19278</v>
      </c>
      <c r="G4866" s="6" t="s">
        <v>33</v>
      </c>
      <c r="H4866" s="6" t="s">
        <v>34</v>
      </c>
      <c r="I4866" s="8" t="s">
        <v>253</v>
      </c>
      <c r="J4866" s="9">
        <v>1</v>
      </c>
      <c r="K4866" s="9">
        <v>168</v>
      </c>
      <c r="L4866" s="9">
        <v>2026</v>
      </c>
      <c r="M4866" s="8" t="s">
        <v>28046</v>
      </c>
      <c r="N4866" s="8" t="s">
        <v>585</v>
      </c>
      <c r="O4866" s="8" t="s">
        <v>667</v>
      </c>
      <c r="P4866" s="6" t="s">
        <v>51</v>
      </c>
      <c r="Q4866" s="8" t="s">
        <v>52</v>
      </c>
      <c r="R4866" s="10" t="s">
        <v>19280</v>
      </c>
      <c r="S4866" s="11" t="s">
        <v>28047</v>
      </c>
      <c r="T4866" s="6"/>
      <c r="U4866" s="15" t="str">
        <f>HYPERLINK("https://media.infra-m.ru/2213/2213684/cover/2213684.jpg", "Обложка")</f>
        <v>Обложка</v>
      </c>
      <c r="V4866" s="8" t="s">
        <v>396</v>
      </c>
      <c r="W4866" s="6"/>
      <c r="X4866" s="6"/>
      <c r="Y4866" s="6"/>
      <c r="Z4866" s="6"/>
      <c r="AA4866" s="6" t="s">
        <v>55</v>
      </c>
      <c r="AB4866" s="8"/>
      <c r="AC4866" s="27">
        <v>9785160211138</v>
      </c>
    </row>
    <row r="4867" spans="1:29" s="4" customFormat="1" ht="51.9" customHeight="1" x14ac:dyDescent="0.2">
      <c r="A4867" s="5">
        <v>0</v>
      </c>
      <c r="B4867" s="6" t="s">
        <v>28048</v>
      </c>
      <c r="C4867" s="7">
        <v>1396.8</v>
      </c>
      <c r="D4867" s="8" t="s">
        <v>28049</v>
      </c>
      <c r="E4867" s="8" t="s">
        <v>28050</v>
      </c>
      <c r="F4867" s="8" t="s">
        <v>28051</v>
      </c>
      <c r="G4867" s="6" t="s">
        <v>60</v>
      </c>
      <c r="H4867" s="6" t="s">
        <v>34</v>
      </c>
      <c r="I4867" s="8" t="s">
        <v>271</v>
      </c>
      <c r="J4867" s="9">
        <v>1</v>
      </c>
      <c r="K4867" s="9">
        <v>224</v>
      </c>
      <c r="L4867" s="9">
        <v>2025</v>
      </c>
      <c r="M4867" s="8" t="s">
        <v>28052</v>
      </c>
      <c r="N4867" s="8" t="s">
        <v>37</v>
      </c>
      <c r="O4867" s="8" t="s">
        <v>280</v>
      </c>
      <c r="P4867" s="6" t="s">
        <v>51</v>
      </c>
      <c r="Q4867" s="8" t="s">
        <v>52</v>
      </c>
      <c r="R4867" s="10" t="s">
        <v>3877</v>
      </c>
      <c r="S4867" s="11" t="s">
        <v>28053</v>
      </c>
      <c r="T4867" s="6"/>
      <c r="U4867" s="15" t="str">
        <f>HYPERLINK("https://media.infra-m.ru/2194/2194349/cover/2194349.jpg", "Обложка")</f>
        <v>Обложка</v>
      </c>
      <c r="V4867" s="8" t="s">
        <v>3196</v>
      </c>
      <c r="W4867" s="6"/>
      <c r="X4867" s="6"/>
      <c r="Y4867" s="6"/>
      <c r="Z4867" s="6"/>
      <c r="AA4867" s="6" t="s">
        <v>404</v>
      </c>
      <c r="AB4867" s="8"/>
      <c r="AC4867" s="27">
        <v>9785160092416</v>
      </c>
    </row>
    <row r="4868" spans="1:29" s="4" customFormat="1" ht="51.9" customHeight="1" x14ac:dyDescent="0.2">
      <c r="A4868" s="5">
        <v>0</v>
      </c>
      <c r="B4868" s="6" t="s">
        <v>28054</v>
      </c>
      <c r="C4868" s="7">
        <v>1145.9000000000001</v>
      </c>
      <c r="D4868" s="8" t="s">
        <v>28055</v>
      </c>
      <c r="E4868" s="8" t="s">
        <v>28056</v>
      </c>
      <c r="F4868" s="8" t="s">
        <v>28051</v>
      </c>
      <c r="G4868" s="6" t="s">
        <v>60</v>
      </c>
      <c r="H4868" s="6" t="s">
        <v>5605</v>
      </c>
      <c r="I4868" s="8" t="s">
        <v>253</v>
      </c>
      <c r="J4868" s="9">
        <v>1</v>
      </c>
      <c r="K4868" s="9">
        <v>251</v>
      </c>
      <c r="L4868" s="9">
        <v>2022</v>
      </c>
      <c r="M4868" s="8" t="s">
        <v>28057</v>
      </c>
      <c r="N4868" s="8" t="s">
        <v>37</v>
      </c>
      <c r="O4868" s="8" t="s">
        <v>280</v>
      </c>
      <c r="P4868" s="6" t="s">
        <v>51</v>
      </c>
      <c r="Q4868" s="8" t="s">
        <v>52</v>
      </c>
      <c r="R4868" s="10" t="s">
        <v>28058</v>
      </c>
      <c r="S4868" s="11" t="s">
        <v>28059</v>
      </c>
      <c r="T4868" s="6"/>
      <c r="U4868" s="15" t="str">
        <f>HYPERLINK("https://media.infra-m.ru/1836/1836633/cover/1836633.jpg", "Обложка")</f>
        <v>Обложка</v>
      </c>
      <c r="V4868" s="8" t="s">
        <v>3196</v>
      </c>
      <c r="W4868" s="6"/>
      <c r="X4868" s="6"/>
      <c r="Y4868" s="6"/>
      <c r="Z4868" s="6"/>
      <c r="AA4868" s="6" t="s">
        <v>1031</v>
      </c>
      <c r="AB4868" s="8"/>
      <c r="AC4868" s="27">
        <v>9785160037028</v>
      </c>
    </row>
    <row r="4869" spans="1:29" s="4" customFormat="1" ht="51.9" customHeight="1" x14ac:dyDescent="0.2">
      <c r="A4869" s="5">
        <v>0</v>
      </c>
      <c r="B4869" s="6" t="s">
        <v>28060</v>
      </c>
      <c r="C4869" s="7">
        <v>2328</v>
      </c>
      <c r="D4869" s="8" t="s">
        <v>28061</v>
      </c>
      <c r="E4869" s="8" t="s">
        <v>28062</v>
      </c>
      <c r="F4869" s="8" t="s">
        <v>28063</v>
      </c>
      <c r="G4869" s="6" t="s">
        <v>118</v>
      </c>
      <c r="H4869" s="6" t="s">
        <v>34</v>
      </c>
      <c r="I4869" s="8" t="s">
        <v>22098</v>
      </c>
      <c r="J4869" s="9">
        <v>1</v>
      </c>
      <c r="K4869" s="9">
        <v>334</v>
      </c>
      <c r="L4869" s="9">
        <v>2027</v>
      </c>
      <c r="M4869" s="8" t="s">
        <v>28064</v>
      </c>
      <c r="N4869" s="8" t="s">
        <v>63</v>
      </c>
      <c r="O4869" s="8" t="s">
        <v>126</v>
      </c>
      <c r="P4869" s="6" t="s">
        <v>306</v>
      </c>
      <c r="Q4869" s="8" t="s">
        <v>52</v>
      </c>
      <c r="R4869" s="10" t="s">
        <v>28065</v>
      </c>
      <c r="S4869" s="11" t="s">
        <v>28066</v>
      </c>
      <c r="T4869" s="6"/>
      <c r="U4869" s="15" t="str">
        <f>HYPERLINK("https://media.infra-m.ru/2262/2262203/cover/2262203.jpg", "Обложка")</f>
        <v>Обложка</v>
      </c>
      <c r="V4869" s="8" t="s">
        <v>16500</v>
      </c>
      <c r="W4869" s="6"/>
      <c r="X4869" s="6"/>
      <c r="Y4869" s="6"/>
      <c r="Z4869" s="6"/>
      <c r="AA4869" s="6" t="s">
        <v>10393</v>
      </c>
      <c r="AB4869" s="8"/>
      <c r="AC4869" s="27">
        <v>9785160223360</v>
      </c>
    </row>
    <row r="4870" spans="1:29" s="4" customFormat="1" ht="51.9" customHeight="1" x14ac:dyDescent="0.2">
      <c r="A4870" s="5">
        <v>0</v>
      </c>
      <c r="B4870" s="6" t="s">
        <v>28067</v>
      </c>
      <c r="C4870" s="7">
        <v>1828.8</v>
      </c>
      <c r="D4870" s="8" t="s">
        <v>28068</v>
      </c>
      <c r="E4870" s="8" t="s">
        <v>28069</v>
      </c>
      <c r="F4870" s="8" t="s">
        <v>28070</v>
      </c>
      <c r="G4870" s="6" t="s">
        <v>33</v>
      </c>
      <c r="H4870" s="6" t="s">
        <v>48</v>
      </c>
      <c r="I4870" s="8" t="s">
        <v>263</v>
      </c>
      <c r="J4870" s="9">
        <v>1</v>
      </c>
      <c r="K4870" s="9">
        <v>304</v>
      </c>
      <c r="L4870" s="9">
        <v>2025</v>
      </c>
      <c r="M4870" s="8" t="s">
        <v>28071</v>
      </c>
      <c r="N4870" s="8" t="s">
        <v>37</v>
      </c>
      <c r="O4870" s="8" t="s">
        <v>280</v>
      </c>
      <c r="P4870" s="6" t="s">
        <v>51</v>
      </c>
      <c r="Q4870" s="8" t="s">
        <v>265</v>
      </c>
      <c r="R4870" s="10" t="s">
        <v>28072</v>
      </c>
      <c r="S4870" s="11" t="s">
        <v>18811</v>
      </c>
      <c r="T4870" s="6"/>
      <c r="U4870" s="15" t="str">
        <f>HYPERLINK("https://media.infra-m.ru/2188/2188210/cover/2188210.jpg", "Обложка")</f>
        <v>Обложка</v>
      </c>
      <c r="V4870" s="8" t="s">
        <v>359</v>
      </c>
      <c r="W4870" s="6"/>
      <c r="X4870" s="6"/>
      <c r="Y4870" s="6"/>
      <c r="Z4870" s="6"/>
      <c r="AA4870" s="6" t="s">
        <v>874</v>
      </c>
      <c r="AB4870" s="8"/>
      <c r="AC4870" s="27">
        <v>9785911349097</v>
      </c>
    </row>
    <row r="4871" spans="1:29" s="4" customFormat="1" ht="51.9" customHeight="1" x14ac:dyDescent="0.2">
      <c r="A4871" s="5">
        <v>0</v>
      </c>
      <c r="B4871" s="6" t="s">
        <v>28073</v>
      </c>
      <c r="C4871" s="7">
        <v>2692.8</v>
      </c>
      <c r="D4871" s="8" t="s">
        <v>28074</v>
      </c>
      <c r="E4871" s="8" t="s">
        <v>28075</v>
      </c>
      <c r="F4871" s="8" t="s">
        <v>28076</v>
      </c>
      <c r="G4871" s="6" t="s">
        <v>60</v>
      </c>
      <c r="H4871" s="6" t="s">
        <v>1042</v>
      </c>
      <c r="I4871" s="8" t="s">
        <v>253</v>
      </c>
      <c r="J4871" s="9">
        <v>1</v>
      </c>
      <c r="K4871" s="9">
        <v>448</v>
      </c>
      <c r="L4871" s="9">
        <v>2025</v>
      </c>
      <c r="M4871" s="8" t="s">
        <v>28077</v>
      </c>
      <c r="N4871" s="8" t="s">
        <v>243</v>
      </c>
      <c r="O4871" s="8" t="s">
        <v>244</v>
      </c>
      <c r="P4871" s="6" t="s">
        <v>51</v>
      </c>
      <c r="Q4871" s="8" t="s">
        <v>52</v>
      </c>
      <c r="R4871" s="10" t="s">
        <v>1906</v>
      </c>
      <c r="S4871" s="11" t="s">
        <v>28078</v>
      </c>
      <c r="T4871" s="6"/>
      <c r="U4871" s="15" t="str">
        <f>HYPERLINK("https://media.infra-m.ru/2188/2188735/cover/2188735.jpg", "Обложка")</f>
        <v>Обложка</v>
      </c>
      <c r="V4871" s="8" t="s">
        <v>3428</v>
      </c>
      <c r="W4871" s="6"/>
      <c r="X4871" s="6"/>
      <c r="Y4871" s="6"/>
      <c r="Z4871" s="6"/>
      <c r="AA4871" s="6" t="s">
        <v>129</v>
      </c>
      <c r="AB4871" s="8"/>
      <c r="AC4871" s="27">
        <v>9785819904589</v>
      </c>
    </row>
    <row r="4872" spans="1:29" s="4" customFormat="1" ht="42" customHeight="1" x14ac:dyDescent="0.2">
      <c r="A4872" s="5">
        <v>0</v>
      </c>
      <c r="B4872" s="6" t="s">
        <v>28079</v>
      </c>
      <c r="C4872" s="7">
        <v>1152</v>
      </c>
      <c r="D4872" s="8" t="s">
        <v>28080</v>
      </c>
      <c r="E4872" s="8" t="s">
        <v>28081</v>
      </c>
      <c r="F4872" s="8" t="s">
        <v>28082</v>
      </c>
      <c r="G4872" s="6" t="s">
        <v>60</v>
      </c>
      <c r="H4872" s="6" t="s">
        <v>34</v>
      </c>
      <c r="I4872" s="8" t="s">
        <v>253</v>
      </c>
      <c r="J4872" s="9">
        <v>1</v>
      </c>
      <c r="K4872" s="9">
        <v>173</v>
      </c>
      <c r="L4872" s="9">
        <v>2026</v>
      </c>
      <c r="M4872" s="8" t="s">
        <v>28083</v>
      </c>
      <c r="N4872" s="8" t="s">
        <v>37</v>
      </c>
      <c r="O4872" s="8" t="s">
        <v>280</v>
      </c>
      <c r="P4872" s="6" t="s">
        <v>51</v>
      </c>
      <c r="Q4872" s="8" t="s">
        <v>500</v>
      </c>
      <c r="R4872" s="10" t="s">
        <v>11902</v>
      </c>
      <c r="S4872" s="11"/>
      <c r="T4872" s="6"/>
      <c r="U4872" s="15" t="str">
        <f>HYPERLINK("https://media.infra-m.ru/2209/2209139/cover/2209139.jpg", "Обложка")</f>
        <v>Обложка</v>
      </c>
      <c r="V4872" s="8" t="s">
        <v>247</v>
      </c>
      <c r="W4872" s="6" t="s">
        <v>186</v>
      </c>
      <c r="X4872" s="6"/>
      <c r="Y4872" s="6"/>
      <c r="Z4872" s="6"/>
      <c r="AA4872" s="6" t="s">
        <v>68</v>
      </c>
      <c r="AB4872" s="8"/>
      <c r="AC4872" s="27">
        <v>9785160209937</v>
      </c>
    </row>
    <row r="4873" spans="1:29" s="4" customFormat="1" ht="51.9" customHeight="1" x14ac:dyDescent="0.2">
      <c r="A4873" s="5">
        <v>0</v>
      </c>
      <c r="B4873" s="6" t="s">
        <v>28084</v>
      </c>
      <c r="C4873" s="7">
        <v>1192.8</v>
      </c>
      <c r="D4873" s="8" t="s">
        <v>28085</v>
      </c>
      <c r="E4873" s="8" t="s">
        <v>28086</v>
      </c>
      <c r="F4873" s="8" t="s">
        <v>28087</v>
      </c>
      <c r="G4873" s="6" t="s">
        <v>60</v>
      </c>
      <c r="H4873" s="6" t="s">
        <v>34</v>
      </c>
      <c r="I4873" s="8" t="s">
        <v>263</v>
      </c>
      <c r="J4873" s="9">
        <v>1</v>
      </c>
      <c r="K4873" s="9">
        <v>192</v>
      </c>
      <c r="L4873" s="9">
        <v>2026</v>
      </c>
      <c r="M4873" s="8" t="s">
        <v>28088</v>
      </c>
      <c r="N4873" s="8" t="s">
        <v>37</v>
      </c>
      <c r="O4873" s="8" t="s">
        <v>499</v>
      </c>
      <c r="P4873" s="6" t="s">
        <v>51</v>
      </c>
      <c r="Q4873" s="8" t="s">
        <v>265</v>
      </c>
      <c r="R4873" s="10" t="s">
        <v>28089</v>
      </c>
      <c r="S4873" s="11" t="s">
        <v>28090</v>
      </c>
      <c r="T4873" s="6"/>
      <c r="U4873" s="15" t="str">
        <f>HYPERLINK("https://media.infra-m.ru/2218/2218677/cover/2218677.jpg", "Обложка")</f>
        <v>Обложка</v>
      </c>
      <c r="V4873" s="8"/>
      <c r="W4873" s="6"/>
      <c r="X4873" s="6"/>
      <c r="Y4873" s="6"/>
      <c r="Z4873" s="6"/>
      <c r="AA4873" s="6" t="s">
        <v>430</v>
      </c>
      <c r="AB4873" s="8"/>
      <c r="AC4873" s="27">
        <v>9785160145013</v>
      </c>
    </row>
    <row r="4874" spans="1:29" s="4" customFormat="1" ht="51.9" customHeight="1" x14ac:dyDescent="0.2">
      <c r="A4874" s="5">
        <v>0</v>
      </c>
      <c r="B4874" s="6" t="s">
        <v>28091</v>
      </c>
      <c r="C4874" s="7">
        <v>1620</v>
      </c>
      <c r="D4874" s="8" t="s">
        <v>28092</v>
      </c>
      <c r="E4874" s="8" t="s">
        <v>28093</v>
      </c>
      <c r="F4874" s="8" t="s">
        <v>13967</v>
      </c>
      <c r="G4874" s="6" t="s">
        <v>118</v>
      </c>
      <c r="H4874" s="6" t="s">
        <v>34</v>
      </c>
      <c r="I4874" s="8" t="s">
        <v>253</v>
      </c>
      <c r="J4874" s="9">
        <v>1</v>
      </c>
      <c r="K4874" s="9">
        <v>292</v>
      </c>
      <c r="L4874" s="9">
        <v>2024</v>
      </c>
      <c r="M4874" s="8" t="s">
        <v>28094</v>
      </c>
      <c r="N4874" s="8" t="s">
        <v>37</v>
      </c>
      <c r="O4874" s="8" t="s">
        <v>499</v>
      </c>
      <c r="P4874" s="6" t="s">
        <v>306</v>
      </c>
      <c r="Q4874" s="8" t="s">
        <v>52</v>
      </c>
      <c r="R4874" s="10" t="s">
        <v>28095</v>
      </c>
      <c r="S4874" s="11" t="s">
        <v>28096</v>
      </c>
      <c r="T4874" s="6"/>
      <c r="U4874" s="15" t="str">
        <f>HYPERLINK("https://media.infra-m.ru/2119/2119151/cover/2119151.jpg", "Обложка")</f>
        <v>Обложка</v>
      </c>
      <c r="V4874" s="8" t="s">
        <v>13970</v>
      </c>
      <c r="W4874" s="6"/>
      <c r="X4874" s="6"/>
      <c r="Y4874" s="6"/>
      <c r="Z4874" s="6"/>
      <c r="AA4874" s="6" t="s">
        <v>874</v>
      </c>
      <c r="AB4874" s="8"/>
      <c r="AC4874" s="27">
        <v>9785160194394</v>
      </c>
    </row>
    <row r="4875" spans="1:29" s="4" customFormat="1" ht="51.9" customHeight="1" x14ac:dyDescent="0.2">
      <c r="A4875" s="5">
        <v>0</v>
      </c>
      <c r="B4875" s="6" t="s">
        <v>28097</v>
      </c>
      <c r="C4875" s="7">
        <v>1860</v>
      </c>
      <c r="D4875" s="8" t="s">
        <v>28098</v>
      </c>
      <c r="E4875" s="8" t="s">
        <v>28093</v>
      </c>
      <c r="F4875" s="8" t="s">
        <v>13967</v>
      </c>
      <c r="G4875" s="6" t="s">
        <v>118</v>
      </c>
      <c r="H4875" s="6" t="s">
        <v>34</v>
      </c>
      <c r="I4875" s="8" t="s">
        <v>263</v>
      </c>
      <c r="J4875" s="9">
        <v>1</v>
      </c>
      <c r="K4875" s="9">
        <v>292</v>
      </c>
      <c r="L4875" s="9">
        <v>2026</v>
      </c>
      <c r="M4875" s="8" t="s">
        <v>28099</v>
      </c>
      <c r="N4875" s="8" t="s">
        <v>37</v>
      </c>
      <c r="O4875" s="8" t="s">
        <v>499</v>
      </c>
      <c r="P4875" s="6" t="s">
        <v>306</v>
      </c>
      <c r="Q4875" s="8" t="s">
        <v>265</v>
      </c>
      <c r="R4875" s="10" t="s">
        <v>18711</v>
      </c>
      <c r="S4875" s="11" t="s">
        <v>28100</v>
      </c>
      <c r="T4875" s="6"/>
      <c r="U4875" s="15" t="str">
        <f>HYPERLINK("https://media.infra-m.ru/2216/2216040/cover/2216040.jpg", "Обложка")</f>
        <v>Обложка</v>
      </c>
      <c r="V4875" s="8" t="s">
        <v>13970</v>
      </c>
      <c r="W4875" s="6"/>
      <c r="X4875" s="6"/>
      <c r="Y4875" s="6"/>
      <c r="Z4875" s="6" t="s">
        <v>267</v>
      </c>
      <c r="AA4875" s="6" t="s">
        <v>2240</v>
      </c>
      <c r="AB4875" s="8"/>
      <c r="AC4875" s="27">
        <v>9785160148625</v>
      </c>
    </row>
    <row r="4876" spans="1:29" s="4" customFormat="1" ht="51.9" customHeight="1" x14ac:dyDescent="0.2">
      <c r="A4876" s="5">
        <v>0</v>
      </c>
      <c r="B4876" s="6" t="s">
        <v>28101</v>
      </c>
      <c r="C4876" s="13">
        <v>348</v>
      </c>
      <c r="D4876" s="8" t="s">
        <v>28102</v>
      </c>
      <c r="E4876" s="8" t="s">
        <v>28103</v>
      </c>
      <c r="F4876" s="8" t="s">
        <v>28104</v>
      </c>
      <c r="G4876" s="6" t="s">
        <v>33</v>
      </c>
      <c r="H4876" s="6" t="s">
        <v>48</v>
      </c>
      <c r="I4876" s="8"/>
      <c r="J4876" s="9">
        <v>1</v>
      </c>
      <c r="K4876" s="9">
        <v>72</v>
      </c>
      <c r="L4876" s="9">
        <v>2019</v>
      </c>
      <c r="M4876" s="8" t="s">
        <v>28105</v>
      </c>
      <c r="N4876" s="8" t="s">
        <v>63</v>
      </c>
      <c r="O4876" s="8" t="s">
        <v>64</v>
      </c>
      <c r="P4876" s="6" t="s">
        <v>234</v>
      </c>
      <c r="Q4876" s="8" t="s">
        <v>52</v>
      </c>
      <c r="R4876" s="10" t="s">
        <v>28106</v>
      </c>
      <c r="S4876" s="11"/>
      <c r="T4876" s="6"/>
      <c r="U4876" s="15" t="str">
        <f>HYPERLINK("https://media.infra-m.ru/0987/0987259/cover/987259.jpg", "Обложка")</f>
        <v>Обложка</v>
      </c>
      <c r="V4876" s="8" t="s">
        <v>644</v>
      </c>
      <c r="W4876" s="6"/>
      <c r="X4876" s="6"/>
      <c r="Y4876" s="6"/>
      <c r="Z4876" s="6"/>
      <c r="AA4876" s="6" t="s">
        <v>779</v>
      </c>
      <c r="AB4876" s="8"/>
      <c r="AC4876" s="27">
        <v>9785000916339</v>
      </c>
    </row>
    <row r="4877" spans="1:29" s="4" customFormat="1" ht="51.9" customHeight="1" x14ac:dyDescent="0.2">
      <c r="A4877" s="5">
        <v>0</v>
      </c>
      <c r="B4877" s="6" t="s">
        <v>28107</v>
      </c>
      <c r="C4877" s="13">
        <v>840</v>
      </c>
      <c r="D4877" s="8" t="s">
        <v>28108</v>
      </c>
      <c r="E4877" s="8" t="s">
        <v>28109</v>
      </c>
      <c r="F4877" s="8" t="s">
        <v>28104</v>
      </c>
      <c r="G4877" s="6" t="s">
        <v>33</v>
      </c>
      <c r="H4877" s="6" t="s">
        <v>34</v>
      </c>
      <c r="I4877" s="8" t="s">
        <v>253</v>
      </c>
      <c r="J4877" s="9">
        <v>1</v>
      </c>
      <c r="K4877" s="9">
        <v>99</v>
      </c>
      <c r="L4877" s="9">
        <v>2027</v>
      </c>
      <c r="M4877" s="8" t="s">
        <v>28110</v>
      </c>
      <c r="N4877" s="8" t="s">
        <v>63</v>
      </c>
      <c r="O4877" s="8" t="s">
        <v>64</v>
      </c>
      <c r="P4877" s="6" t="s">
        <v>51</v>
      </c>
      <c r="Q4877" s="8" t="s">
        <v>52</v>
      </c>
      <c r="R4877" s="10" t="s">
        <v>28106</v>
      </c>
      <c r="S4877" s="11" t="s">
        <v>28111</v>
      </c>
      <c r="T4877" s="6"/>
      <c r="U4877" s="15" t="str">
        <f>HYPERLINK("https://media.infra-m.ru/2267/2267808/cover/2267808.jpg", "Обложка")</f>
        <v>Обложка</v>
      </c>
      <c r="V4877" s="8" t="s">
        <v>644</v>
      </c>
      <c r="W4877" s="6"/>
      <c r="X4877" s="6"/>
      <c r="Y4877" s="6"/>
      <c r="Z4877" s="6"/>
      <c r="AA4877" s="6" t="s">
        <v>258</v>
      </c>
      <c r="AB4877" s="8"/>
      <c r="AC4877" s="27">
        <v>9785160199610</v>
      </c>
    </row>
    <row r="4878" spans="1:29" s="4" customFormat="1" ht="51.9" customHeight="1" x14ac:dyDescent="0.2">
      <c r="A4878" s="5">
        <v>0</v>
      </c>
      <c r="B4878" s="6" t="s">
        <v>28112</v>
      </c>
      <c r="C4878" s="13">
        <v>720</v>
      </c>
      <c r="D4878" s="8" t="s">
        <v>28113</v>
      </c>
      <c r="E4878" s="8" t="s">
        <v>28114</v>
      </c>
      <c r="F4878" s="8" t="s">
        <v>28104</v>
      </c>
      <c r="G4878" s="6" t="s">
        <v>33</v>
      </c>
      <c r="H4878" s="6" t="s">
        <v>34</v>
      </c>
      <c r="I4878" s="8" t="s">
        <v>179</v>
      </c>
      <c r="J4878" s="9">
        <v>1</v>
      </c>
      <c r="K4878" s="9">
        <v>99</v>
      </c>
      <c r="L4878" s="9">
        <v>2026</v>
      </c>
      <c r="M4878" s="8" t="s">
        <v>28115</v>
      </c>
      <c r="N4878" s="8" t="s">
        <v>63</v>
      </c>
      <c r="O4878" s="8" t="s">
        <v>64</v>
      </c>
      <c r="P4878" s="6" t="s">
        <v>182</v>
      </c>
      <c r="Q4878" s="8" t="s">
        <v>65</v>
      </c>
      <c r="R4878" s="10" t="s">
        <v>28116</v>
      </c>
      <c r="S4878" s="11"/>
      <c r="T4878" s="6"/>
      <c r="U4878" s="15" t="str">
        <f>HYPERLINK("https://media.infra-m.ru/2243/2243342/cover/2243342.jpg", "Обложка")</f>
        <v>Обложка</v>
      </c>
      <c r="V4878" s="8" t="s">
        <v>644</v>
      </c>
      <c r="W4878" s="6"/>
      <c r="X4878" s="6"/>
      <c r="Y4878" s="6"/>
      <c r="Z4878" s="6"/>
      <c r="AA4878" s="6" t="s">
        <v>76</v>
      </c>
      <c r="AB4878" s="8"/>
      <c r="AC4878" s="27">
        <v>9785160204802</v>
      </c>
    </row>
    <row r="4879" spans="1:29" s="4" customFormat="1" ht="51.9" customHeight="1" x14ac:dyDescent="0.2">
      <c r="A4879" s="5">
        <v>0</v>
      </c>
      <c r="B4879" s="6" t="s">
        <v>28117</v>
      </c>
      <c r="C4879" s="7">
        <v>2560.8000000000002</v>
      </c>
      <c r="D4879" s="8" t="s">
        <v>28118</v>
      </c>
      <c r="E4879" s="8" t="s">
        <v>28119</v>
      </c>
      <c r="F4879" s="8" t="s">
        <v>28120</v>
      </c>
      <c r="G4879" s="6" t="s">
        <v>60</v>
      </c>
      <c r="H4879" s="6" t="s">
        <v>34</v>
      </c>
      <c r="I4879" s="8" t="s">
        <v>271</v>
      </c>
      <c r="J4879" s="9">
        <v>1</v>
      </c>
      <c r="K4879" s="9">
        <v>368</v>
      </c>
      <c r="L4879" s="9">
        <v>2027</v>
      </c>
      <c r="M4879" s="8" t="s">
        <v>28121</v>
      </c>
      <c r="N4879" s="8" t="s">
        <v>37</v>
      </c>
      <c r="O4879" s="8" t="s">
        <v>207</v>
      </c>
      <c r="P4879" s="6" t="s">
        <v>306</v>
      </c>
      <c r="Q4879" s="8" t="s">
        <v>52</v>
      </c>
      <c r="R4879" s="10" t="s">
        <v>357</v>
      </c>
      <c r="S4879" s="11" t="s">
        <v>28122</v>
      </c>
      <c r="T4879" s="6" t="s">
        <v>97</v>
      </c>
      <c r="U4879" s="15" t="str">
        <f>HYPERLINK("https://media.infra-m.ru/2263/2263549/cover/2263549.jpg", "Обложка")</f>
        <v>Обложка</v>
      </c>
      <c r="V4879" s="8" t="s">
        <v>6025</v>
      </c>
      <c r="W4879" s="6"/>
      <c r="X4879" s="6"/>
      <c r="Y4879" s="6"/>
      <c r="Z4879" s="6"/>
      <c r="AA4879" s="6" t="s">
        <v>859</v>
      </c>
      <c r="AB4879" s="8"/>
      <c r="AC4879" s="27">
        <v>9785160067292</v>
      </c>
    </row>
    <row r="4880" spans="1:29" s="4" customFormat="1" ht="51.9" customHeight="1" x14ac:dyDescent="0.2">
      <c r="A4880" s="5">
        <v>0</v>
      </c>
      <c r="B4880" s="6" t="s">
        <v>28123</v>
      </c>
      <c r="C4880" s="7">
        <v>1656</v>
      </c>
      <c r="D4880" s="8" t="s">
        <v>28124</v>
      </c>
      <c r="E4880" s="8" t="s">
        <v>28125</v>
      </c>
      <c r="F4880" s="8" t="s">
        <v>19496</v>
      </c>
      <c r="G4880" s="6" t="s">
        <v>118</v>
      </c>
      <c r="H4880" s="6" t="s">
        <v>820</v>
      </c>
      <c r="I4880" s="8"/>
      <c r="J4880" s="9">
        <v>1</v>
      </c>
      <c r="K4880" s="9">
        <v>240</v>
      </c>
      <c r="L4880" s="9">
        <v>2026</v>
      </c>
      <c r="M4880" s="8" t="s">
        <v>28126</v>
      </c>
      <c r="N4880" s="8" t="s">
        <v>243</v>
      </c>
      <c r="O4880" s="8" t="s">
        <v>329</v>
      </c>
      <c r="P4880" s="6" t="s">
        <v>306</v>
      </c>
      <c r="Q4880" s="8" t="s">
        <v>265</v>
      </c>
      <c r="R4880" s="10" t="s">
        <v>28127</v>
      </c>
      <c r="S4880" s="11"/>
      <c r="T4880" s="6"/>
      <c r="U4880" s="15" t="str">
        <f>HYPERLINK("https://media.infra-m.ru/2253/2253847/cover/2253847.jpg", "Обложка")</f>
        <v>Обложка</v>
      </c>
      <c r="V4880" s="8" t="s">
        <v>831</v>
      </c>
      <c r="W4880" s="6"/>
      <c r="X4880" s="6" t="s">
        <v>24</v>
      </c>
      <c r="Y4880" s="6"/>
      <c r="Z4880" s="6"/>
      <c r="AA4880" s="6" t="s">
        <v>99</v>
      </c>
      <c r="AB4880" s="8"/>
      <c r="AC4880" s="27">
        <v>9785906923127</v>
      </c>
    </row>
    <row r="4881" spans="1:29" s="4" customFormat="1" ht="51.9" customHeight="1" x14ac:dyDescent="0.2">
      <c r="A4881" s="5">
        <v>0</v>
      </c>
      <c r="B4881" s="6" t="s">
        <v>28128</v>
      </c>
      <c r="C4881" s="7">
        <v>2752.8</v>
      </c>
      <c r="D4881" s="8" t="s">
        <v>28129</v>
      </c>
      <c r="E4881" s="8" t="s">
        <v>28130</v>
      </c>
      <c r="F4881" s="8" t="s">
        <v>28131</v>
      </c>
      <c r="G4881" s="6" t="s">
        <v>60</v>
      </c>
      <c r="H4881" s="6" t="s">
        <v>34</v>
      </c>
      <c r="I4881" s="8" t="s">
        <v>271</v>
      </c>
      <c r="J4881" s="9">
        <v>1</v>
      </c>
      <c r="K4881" s="9">
        <v>621</v>
      </c>
      <c r="L4881" s="9">
        <v>2025</v>
      </c>
      <c r="M4881" s="8" t="s">
        <v>28132</v>
      </c>
      <c r="N4881" s="8" t="s">
        <v>37</v>
      </c>
      <c r="O4881" s="8" t="s">
        <v>207</v>
      </c>
      <c r="P4881" s="6" t="s">
        <v>306</v>
      </c>
      <c r="Q4881" s="8" t="s">
        <v>52</v>
      </c>
      <c r="R4881" s="10" t="s">
        <v>2033</v>
      </c>
      <c r="S4881" s="11" t="s">
        <v>28133</v>
      </c>
      <c r="T4881" s="6"/>
      <c r="U4881" s="15" t="str">
        <f>HYPERLINK("https://media.infra-m.ru/2188/2188710/cover/2188710.jpg", "Обложка")</f>
        <v>Обложка</v>
      </c>
      <c r="V4881" s="8" t="s">
        <v>2055</v>
      </c>
      <c r="W4881" s="6"/>
      <c r="X4881" s="6"/>
      <c r="Y4881" s="6"/>
      <c r="Z4881" s="6"/>
      <c r="AA4881" s="6" t="s">
        <v>561</v>
      </c>
      <c r="AB4881" s="8"/>
      <c r="AC4881" s="27">
        <v>9785160036410</v>
      </c>
    </row>
    <row r="4882" spans="1:29" s="4" customFormat="1" ht="51.9" customHeight="1" x14ac:dyDescent="0.2">
      <c r="A4882" s="5">
        <v>0</v>
      </c>
      <c r="B4882" s="6" t="s">
        <v>28134</v>
      </c>
      <c r="C4882" s="7">
        <v>1932</v>
      </c>
      <c r="D4882" s="8" t="s">
        <v>28135</v>
      </c>
      <c r="E4882" s="8" t="s">
        <v>28136</v>
      </c>
      <c r="F4882" s="8" t="s">
        <v>28137</v>
      </c>
      <c r="G4882" s="6" t="s">
        <v>118</v>
      </c>
      <c r="H4882" s="6" t="s">
        <v>34</v>
      </c>
      <c r="I4882" s="8" t="s">
        <v>253</v>
      </c>
      <c r="J4882" s="9">
        <v>1</v>
      </c>
      <c r="K4882" s="9">
        <v>350</v>
      </c>
      <c r="L4882" s="9">
        <v>2024</v>
      </c>
      <c r="M4882" s="8" t="s">
        <v>28138</v>
      </c>
      <c r="N4882" s="8" t="s">
        <v>37</v>
      </c>
      <c r="O4882" s="8" t="s">
        <v>280</v>
      </c>
      <c r="P4882" s="6" t="s">
        <v>306</v>
      </c>
      <c r="Q4882" s="8" t="s">
        <v>52</v>
      </c>
      <c r="R4882" s="10" t="s">
        <v>6377</v>
      </c>
      <c r="S4882" s="11" t="s">
        <v>28139</v>
      </c>
      <c r="T4882" s="6"/>
      <c r="U4882" s="15" t="str">
        <f>HYPERLINK("https://media.infra-m.ru/2091/2091889/cover/2091889.jpg", "Обложка")</f>
        <v>Обложка</v>
      </c>
      <c r="V4882" s="8" t="s">
        <v>23026</v>
      </c>
      <c r="W4882" s="6"/>
      <c r="X4882" s="6"/>
      <c r="Y4882" s="6"/>
      <c r="Z4882" s="6"/>
      <c r="AA4882" s="6" t="s">
        <v>1123</v>
      </c>
      <c r="AB4882" s="8"/>
      <c r="AC4882" s="27">
        <v>9785160191713</v>
      </c>
    </row>
    <row r="4883" spans="1:29" s="4" customFormat="1" ht="51.9" customHeight="1" x14ac:dyDescent="0.2">
      <c r="A4883" s="5">
        <v>0</v>
      </c>
      <c r="B4883" s="6" t="s">
        <v>28140</v>
      </c>
      <c r="C4883" s="7">
        <v>1600.8</v>
      </c>
      <c r="D4883" s="8" t="s">
        <v>28141</v>
      </c>
      <c r="E4883" s="8" t="s">
        <v>28142</v>
      </c>
      <c r="F4883" s="8" t="s">
        <v>28143</v>
      </c>
      <c r="G4883" s="6" t="s">
        <v>60</v>
      </c>
      <c r="H4883" s="6" t="s">
        <v>241</v>
      </c>
      <c r="I4883" s="8"/>
      <c r="J4883" s="9">
        <v>1</v>
      </c>
      <c r="K4883" s="9">
        <v>288</v>
      </c>
      <c r="L4883" s="9">
        <v>2024</v>
      </c>
      <c r="M4883" s="8" t="s">
        <v>28144</v>
      </c>
      <c r="N4883" s="8" t="s">
        <v>37</v>
      </c>
      <c r="O4883" s="8" t="s">
        <v>280</v>
      </c>
      <c r="P4883" s="6" t="s">
        <v>51</v>
      </c>
      <c r="Q4883" s="8" t="s">
        <v>52</v>
      </c>
      <c r="R4883" s="10" t="s">
        <v>28145</v>
      </c>
      <c r="S4883" s="11" t="s">
        <v>28146</v>
      </c>
      <c r="T4883" s="6"/>
      <c r="U4883" s="15" t="str">
        <f>HYPERLINK("https://media.infra-m.ru/2056/2056648/cover/2056648.jpg", "Обложка")</f>
        <v>Обложка</v>
      </c>
      <c r="V4883" s="8" t="s">
        <v>1527</v>
      </c>
      <c r="W4883" s="6"/>
      <c r="X4883" s="6" t="s">
        <v>24</v>
      </c>
      <c r="Y4883" s="6"/>
      <c r="Z4883" s="6"/>
      <c r="AA4883" s="6" t="s">
        <v>859</v>
      </c>
      <c r="AB4883" s="8"/>
      <c r="AC4883" s="27">
        <v>9785955802671</v>
      </c>
    </row>
    <row r="4884" spans="1:29" s="4" customFormat="1" ht="51.9" customHeight="1" x14ac:dyDescent="0.2">
      <c r="A4884" s="5">
        <v>0</v>
      </c>
      <c r="B4884" s="6" t="s">
        <v>28147</v>
      </c>
      <c r="C4884" s="7">
        <v>3292.8</v>
      </c>
      <c r="D4884" s="8" t="s">
        <v>28148</v>
      </c>
      <c r="E4884" s="8" t="s">
        <v>28149</v>
      </c>
      <c r="F4884" s="8" t="s">
        <v>28150</v>
      </c>
      <c r="G4884" s="6" t="s">
        <v>60</v>
      </c>
      <c r="H4884" s="6" t="s">
        <v>1644</v>
      </c>
      <c r="I4884" s="8" t="s">
        <v>1904</v>
      </c>
      <c r="J4884" s="9">
        <v>1</v>
      </c>
      <c r="K4884" s="9">
        <v>624</v>
      </c>
      <c r="L4884" s="9">
        <v>2026</v>
      </c>
      <c r="M4884" s="8" t="s">
        <v>28151</v>
      </c>
      <c r="N4884" s="8" t="s">
        <v>37</v>
      </c>
      <c r="O4884" s="8" t="s">
        <v>280</v>
      </c>
      <c r="P4884" s="6" t="s">
        <v>51</v>
      </c>
      <c r="Q4884" s="8" t="s">
        <v>52</v>
      </c>
      <c r="R4884" s="10" t="s">
        <v>28152</v>
      </c>
      <c r="S4884" s="11" t="s">
        <v>28153</v>
      </c>
      <c r="T4884" s="6"/>
      <c r="U4884" s="15" t="str">
        <f>HYPERLINK("https://media.infra-m.ru/2250/2250898/cover/2250898.jpg", "Обложка")</f>
        <v>Обложка</v>
      </c>
      <c r="V4884" s="8" t="s">
        <v>4448</v>
      </c>
      <c r="W4884" s="6"/>
      <c r="X4884" s="6" t="s">
        <v>24</v>
      </c>
      <c r="Y4884" s="6"/>
      <c r="Z4884" s="6"/>
      <c r="AA4884" s="6" t="s">
        <v>1047</v>
      </c>
      <c r="AB4884" s="8"/>
      <c r="AC4884" s="27">
        <v>9785977600408</v>
      </c>
    </row>
    <row r="4885" spans="1:29" s="4" customFormat="1" ht="51.9" customHeight="1" x14ac:dyDescent="0.2">
      <c r="A4885" s="5">
        <v>0</v>
      </c>
      <c r="B4885" s="6" t="s">
        <v>28154</v>
      </c>
      <c r="C4885" s="7">
        <v>2068.8000000000002</v>
      </c>
      <c r="D4885" s="8" t="s">
        <v>28155</v>
      </c>
      <c r="E4885" s="8" t="s">
        <v>28149</v>
      </c>
      <c r="F4885" s="8" t="s">
        <v>28156</v>
      </c>
      <c r="G4885" s="6" t="s">
        <v>118</v>
      </c>
      <c r="H4885" s="6" t="s">
        <v>34</v>
      </c>
      <c r="I4885" s="8" t="s">
        <v>263</v>
      </c>
      <c r="J4885" s="9">
        <v>1</v>
      </c>
      <c r="K4885" s="9">
        <v>297</v>
      </c>
      <c r="L4885" s="9">
        <v>2027</v>
      </c>
      <c r="M4885" s="8" t="s">
        <v>28157</v>
      </c>
      <c r="N4885" s="8" t="s">
        <v>37</v>
      </c>
      <c r="O4885" s="8" t="s">
        <v>280</v>
      </c>
      <c r="P4885" s="6" t="s">
        <v>51</v>
      </c>
      <c r="Q4885" s="8" t="s">
        <v>265</v>
      </c>
      <c r="R4885" s="10" t="s">
        <v>28158</v>
      </c>
      <c r="S4885" s="11"/>
      <c r="T4885" s="6" t="s">
        <v>97</v>
      </c>
      <c r="U4885" s="15" t="str">
        <f>HYPERLINK("https://media.infra-m.ru/2259/2259942/cover/2259942.jpg", "Обложка")</f>
        <v>Обложка</v>
      </c>
      <c r="V4885" s="8" t="s">
        <v>2222</v>
      </c>
      <c r="W4885" s="6"/>
      <c r="X4885" s="6"/>
      <c r="Y4885" s="6"/>
      <c r="Z4885" s="6" t="s">
        <v>882</v>
      </c>
      <c r="AA4885" s="6" t="s">
        <v>76</v>
      </c>
      <c r="AB4885" s="8"/>
      <c r="AC4885" s="27">
        <v>9785160192192</v>
      </c>
    </row>
    <row r="4886" spans="1:29" s="4" customFormat="1" ht="51.9" customHeight="1" x14ac:dyDescent="0.2">
      <c r="A4886" s="5">
        <v>0</v>
      </c>
      <c r="B4886" s="6" t="s">
        <v>28159</v>
      </c>
      <c r="C4886" s="7">
        <v>1960.8</v>
      </c>
      <c r="D4886" s="8" t="s">
        <v>28160</v>
      </c>
      <c r="E4886" s="8" t="s">
        <v>28149</v>
      </c>
      <c r="F4886" s="8" t="s">
        <v>28156</v>
      </c>
      <c r="G4886" s="6" t="s">
        <v>118</v>
      </c>
      <c r="H4886" s="6" t="s">
        <v>34</v>
      </c>
      <c r="I4886" s="8" t="s">
        <v>253</v>
      </c>
      <c r="J4886" s="9">
        <v>1</v>
      </c>
      <c r="K4886" s="9">
        <v>297</v>
      </c>
      <c r="L4886" s="9">
        <v>2026</v>
      </c>
      <c r="M4886" s="8" t="s">
        <v>28161</v>
      </c>
      <c r="N4886" s="8" t="s">
        <v>37</v>
      </c>
      <c r="O4886" s="8" t="s">
        <v>280</v>
      </c>
      <c r="P4886" s="6" t="s">
        <v>51</v>
      </c>
      <c r="Q4886" s="8" t="s">
        <v>65</v>
      </c>
      <c r="R4886" s="10" t="s">
        <v>28162</v>
      </c>
      <c r="S4886" s="11" t="s">
        <v>28163</v>
      </c>
      <c r="T4886" s="6"/>
      <c r="U4886" s="15" t="str">
        <f>HYPERLINK("https://media.infra-m.ru/2243/2243209/cover/2243209.jpg", "Обложка")</f>
        <v>Обложка</v>
      </c>
      <c r="V4886" s="8" t="s">
        <v>2222</v>
      </c>
      <c r="W4886" s="6"/>
      <c r="X4886" s="6"/>
      <c r="Y4886" s="6"/>
      <c r="Z4886" s="6"/>
      <c r="AA4886" s="6" t="s">
        <v>99</v>
      </c>
      <c r="AB4886" s="8"/>
      <c r="AC4886" s="27">
        <v>9785160187952</v>
      </c>
    </row>
    <row r="4887" spans="1:29" s="4" customFormat="1" ht="51.9" customHeight="1" x14ac:dyDescent="0.2">
      <c r="A4887" s="5">
        <v>0</v>
      </c>
      <c r="B4887" s="6" t="s">
        <v>28164</v>
      </c>
      <c r="C4887" s="7">
        <v>3012</v>
      </c>
      <c r="D4887" s="8" t="s">
        <v>28165</v>
      </c>
      <c r="E4887" s="8" t="s">
        <v>28166</v>
      </c>
      <c r="F4887" s="8" t="s">
        <v>28167</v>
      </c>
      <c r="G4887" s="6" t="s">
        <v>60</v>
      </c>
      <c r="H4887" s="6" t="s">
        <v>134</v>
      </c>
      <c r="I4887" s="8"/>
      <c r="J4887" s="9">
        <v>1</v>
      </c>
      <c r="K4887" s="9">
        <v>456</v>
      </c>
      <c r="L4887" s="9">
        <v>2026</v>
      </c>
      <c r="M4887" s="8" t="s">
        <v>28168</v>
      </c>
      <c r="N4887" s="8" t="s">
        <v>37</v>
      </c>
      <c r="O4887" s="8" t="s">
        <v>136</v>
      </c>
      <c r="P4887" s="6" t="s">
        <v>306</v>
      </c>
      <c r="Q4887" s="8" t="s">
        <v>52</v>
      </c>
      <c r="R4887" s="10" t="s">
        <v>28169</v>
      </c>
      <c r="S4887" s="11"/>
      <c r="T4887" s="6"/>
      <c r="U4887" s="15" t="str">
        <f>HYPERLINK("https://media.infra-m.ru/2250/2250645/cover/2250645.jpg", "Обложка")</f>
        <v>Обложка</v>
      </c>
      <c r="V4887" s="8" t="s">
        <v>1184</v>
      </c>
      <c r="W4887" s="6"/>
      <c r="X4887" s="6"/>
      <c r="Y4887" s="6"/>
      <c r="Z4887" s="6"/>
      <c r="AA4887" s="6" t="s">
        <v>68</v>
      </c>
      <c r="AB4887" s="8"/>
      <c r="AC4887" s="27">
        <v>9785001563877</v>
      </c>
    </row>
    <row r="4888" spans="1:29" s="4" customFormat="1" ht="51.9" customHeight="1" x14ac:dyDescent="0.2">
      <c r="A4888" s="5">
        <v>0</v>
      </c>
      <c r="B4888" s="6" t="s">
        <v>28170</v>
      </c>
      <c r="C4888" s="7">
        <v>1188</v>
      </c>
      <c r="D4888" s="8" t="s">
        <v>28171</v>
      </c>
      <c r="E4888" s="8" t="s">
        <v>28172</v>
      </c>
      <c r="F4888" s="8" t="s">
        <v>28173</v>
      </c>
      <c r="G4888" s="6" t="s">
        <v>118</v>
      </c>
      <c r="H4888" s="6" t="s">
        <v>34</v>
      </c>
      <c r="I4888" s="8" t="s">
        <v>253</v>
      </c>
      <c r="J4888" s="9">
        <v>1</v>
      </c>
      <c r="K4888" s="9">
        <v>158</v>
      </c>
      <c r="L4888" s="9">
        <v>2027</v>
      </c>
      <c r="M4888" s="8" t="s">
        <v>28174</v>
      </c>
      <c r="N4888" s="8" t="s">
        <v>243</v>
      </c>
      <c r="O4888" s="8" t="s">
        <v>758</v>
      </c>
      <c r="P4888" s="6" t="s">
        <v>51</v>
      </c>
      <c r="Q4888" s="8" t="s">
        <v>65</v>
      </c>
      <c r="R4888" s="10" t="s">
        <v>28175</v>
      </c>
      <c r="S4888" s="11" t="s">
        <v>28176</v>
      </c>
      <c r="T4888" s="6"/>
      <c r="U4888" s="15" t="str">
        <f>HYPERLINK("https://media.infra-m.ru/2271/2271491/cover/2271491.jpg", "Обложка")</f>
        <v>Обложка</v>
      </c>
      <c r="V4888" s="8" t="s">
        <v>2446</v>
      </c>
      <c r="W4888" s="6"/>
      <c r="X4888" s="6"/>
      <c r="Y4888" s="6"/>
      <c r="Z4888" s="6"/>
      <c r="AA4888" s="6" t="s">
        <v>258</v>
      </c>
      <c r="AB4888" s="8"/>
      <c r="AC4888" s="27">
        <v>9785160185651</v>
      </c>
    </row>
    <row r="4889" spans="1:29" s="4" customFormat="1" ht="51.9" customHeight="1" x14ac:dyDescent="0.2">
      <c r="A4889" s="5">
        <v>0</v>
      </c>
      <c r="B4889" s="6" t="s">
        <v>28177</v>
      </c>
      <c r="C4889" s="13">
        <v>684</v>
      </c>
      <c r="D4889" s="8" t="s">
        <v>28178</v>
      </c>
      <c r="E4889" s="8" t="s">
        <v>28179</v>
      </c>
      <c r="F4889" s="8" t="s">
        <v>28173</v>
      </c>
      <c r="G4889" s="6" t="s">
        <v>33</v>
      </c>
      <c r="H4889" s="6" t="s">
        <v>48</v>
      </c>
      <c r="I4889" s="8" t="s">
        <v>253</v>
      </c>
      <c r="J4889" s="9">
        <v>1</v>
      </c>
      <c r="K4889" s="9">
        <v>128</v>
      </c>
      <c r="L4889" s="9">
        <v>2020</v>
      </c>
      <c r="M4889" s="8" t="s">
        <v>28180</v>
      </c>
      <c r="N4889" s="8" t="s">
        <v>243</v>
      </c>
      <c r="O4889" s="8" t="s">
        <v>798</v>
      </c>
      <c r="P4889" s="6" t="s">
        <v>51</v>
      </c>
      <c r="Q4889" s="8" t="s">
        <v>52</v>
      </c>
      <c r="R4889" s="10" t="s">
        <v>28175</v>
      </c>
      <c r="S4889" s="11" t="s">
        <v>28181</v>
      </c>
      <c r="T4889" s="6"/>
      <c r="U4889" s="15" t="str">
        <f>HYPERLINK("https://media.infra-m.ru/1052/1052189/cover/1052189.jpg", "Обложка")</f>
        <v>Обложка</v>
      </c>
      <c r="V4889" s="8" t="s">
        <v>2446</v>
      </c>
      <c r="W4889" s="6"/>
      <c r="X4889" s="6"/>
      <c r="Y4889" s="6"/>
      <c r="Z4889" s="6"/>
      <c r="AA4889" s="6" t="s">
        <v>779</v>
      </c>
      <c r="AB4889" s="8"/>
      <c r="AC4889" s="27">
        <v>9785000916247</v>
      </c>
    </row>
    <row r="4890" spans="1:29" s="4" customFormat="1" ht="51.9" customHeight="1" x14ac:dyDescent="0.2">
      <c r="A4890" s="5">
        <v>0</v>
      </c>
      <c r="B4890" s="6" t="s">
        <v>28182</v>
      </c>
      <c r="C4890" s="7">
        <v>1500</v>
      </c>
      <c r="D4890" s="8" t="s">
        <v>28183</v>
      </c>
      <c r="E4890" s="8" t="s">
        <v>28184</v>
      </c>
      <c r="F4890" s="8" t="s">
        <v>28185</v>
      </c>
      <c r="G4890" s="6" t="s">
        <v>118</v>
      </c>
      <c r="H4890" s="6" t="s">
        <v>34</v>
      </c>
      <c r="I4890" s="8" t="s">
        <v>263</v>
      </c>
      <c r="J4890" s="9">
        <v>1</v>
      </c>
      <c r="K4890" s="9">
        <v>272</v>
      </c>
      <c r="L4890" s="9">
        <v>2024</v>
      </c>
      <c r="M4890" s="8" t="s">
        <v>28186</v>
      </c>
      <c r="N4890" s="8" t="s">
        <v>243</v>
      </c>
      <c r="O4890" s="8" t="s">
        <v>329</v>
      </c>
      <c r="P4890" s="6" t="s">
        <v>306</v>
      </c>
      <c r="Q4890" s="8" t="s">
        <v>265</v>
      </c>
      <c r="R4890" s="10" t="s">
        <v>28187</v>
      </c>
      <c r="S4890" s="11" t="s">
        <v>28188</v>
      </c>
      <c r="T4890" s="6"/>
      <c r="U4890" s="15" t="str">
        <f>HYPERLINK("https://media.infra-m.ru/2103/2103210/cover/2103210.jpg", "Обложка")</f>
        <v>Обложка</v>
      </c>
      <c r="V4890" s="8" t="s">
        <v>227</v>
      </c>
      <c r="W4890" s="6"/>
      <c r="X4890" s="6" t="s">
        <v>24</v>
      </c>
      <c r="Y4890" s="6"/>
      <c r="Z4890" s="6"/>
      <c r="AA4890" s="6" t="s">
        <v>55</v>
      </c>
      <c r="AB4890" s="8"/>
      <c r="AC4890" s="27">
        <v>9785160047140</v>
      </c>
    </row>
    <row r="4891" spans="1:29" s="4" customFormat="1" ht="51.9" customHeight="1" x14ac:dyDescent="0.2">
      <c r="A4891" s="5">
        <v>0</v>
      </c>
      <c r="B4891" s="6" t="s">
        <v>28189</v>
      </c>
      <c r="C4891" s="7">
        <v>1312.8</v>
      </c>
      <c r="D4891" s="8" t="s">
        <v>28190</v>
      </c>
      <c r="E4891" s="8" t="s">
        <v>28191</v>
      </c>
      <c r="F4891" s="8" t="s">
        <v>28192</v>
      </c>
      <c r="G4891" s="6" t="s">
        <v>60</v>
      </c>
      <c r="H4891" s="6" t="s">
        <v>5605</v>
      </c>
      <c r="I4891" s="8" t="s">
        <v>253</v>
      </c>
      <c r="J4891" s="9">
        <v>1</v>
      </c>
      <c r="K4891" s="9">
        <v>239</v>
      </c>
      <c r="L4891" s="9">
        <v>2024</v>
      </c>
      <c r="M4891" s="8" t="s">
        <v>28193</v>
      </c>
      <c r="N4891" s="8" t="s">
        <v>37</v>
      </c>
      <c r="O4891" s="8" t="s">
        <v>83</v>
      </c>
      <c r="P4891" s="6" t="s">
        <v>51</v>
      </c>
      <c r="Q4891" s="8" t="s">
        <v>52</v>
      </c>
      <c r="R4891" s="10" t="s">
        <v>21581</v>
      </c>
      <c r="S4891" s="11" t="s">
        <v>28194</v>
      </c>
      <c r="T4891" s="6"/>
      <c r="U4891" s="15" t="str">
        <f>HYPERLINK("https://media.infra-m.ru/2126/2126308/cover/2126308.jpg", "Обложка")</f>
        <v>Обложка</v>
      </c>
      <c r="V4891" s="8" t="s">
        <v>657</v>
      </c>
      <c r="W4891" s="6"/>
      <c r="X4891" s="6"/>
      <c r="Y4891" s="6"/>
      <c r="Z4891" s="6"/>
      <c r="AA4891" s="6" t="s">
        <v>561</v>
      </c>
      <c r="AB4891" s="8"/>
      <c r="AC4891" s="27">
        <v>9785160034737</v>
      </c>
    </row>
    <row r="4892" spans="1:29" s="4" customFormat="1" ht="51.9" customHeight="1" x14ac:dyDescent="0.2">
      <c r="A4892" s="5">
        <v>0</v>
      </c>
      <c r="B4892" s="6" t="s">
        <v>28195</v>
      </c>
      <c r="C4892" s="13">
        <v>468</v>
      </c>
      <c r="D4892" s="8" t="s">
        <v>28196</v>
      </c>
      <c r="E4892" s="8" t="s">
        <v>28197</v>
      </c>
      <c r="F4892" s="8" t="s">
        <v>28198</v>
      </c>
      <c r="G4892" s="6" t="s">
        <v>33</v>
      </c>
      <c r="H4892" s="6" t="s">
        <v>34</v>
      </c>
      <c r="I4892" s="8" t="s">
        <v>271</v>
      </c>
      <c r="J4892" s="9">
        <v>1</v>
      </c>
      <c r="K4892" s="9">
        <v>127</v>
      </c>
      <c r="L4892" s="9">
        <v>2019</v>
      </c>
      <c r="M4892" s="8" t="s">
        <v>28199</v>
      </c>
      <c r="N4892" s="8" t="s">
        <v>243</v>
      </c>
      <c r="O4892" s="8" t="s">
        <v>329</v>
      </c>
      <c r="P4892" s="6" t="s">
        <v>51</v>
      </c>
      <c r="Q4892" s="8" t="s">
        <v>52</v>
      </c>
      <c r="R4892" s="10" t="s">
        <v>28200</v>
      </c>
      <c r="S4892" s="11" t="s">
        <v>28201</v>
      </c>
      <c r="T4892" s="6"/>
      <c r="U4892" s="15" t="str">
        <f>HYPERLINK("https://media.infra-m.ru/0995/0995625/cover/995625.jpg", "Обложка")</f>
        <v>Обложка</v>
      </c>
      <c r="V4892" s="8" t="s">
        <v>831</v>
      </c>
      <c r="W4892" s="6"/>
      <c r="X4892" s="6" t="s">
        <v>24</v>
      </c>
      <c r="Y4892" s="6"/>
      <c r="Z4892" s="6"/>
      <c r="AA4892" s="6" t="s">
        <v>274</v>
      </c>
      <c r="AB4892" s="8"/>
      <c r="AC4892" s="27">
        <v>9785160096773</v>
      </c>
    </row>
    <row r="4893" spans="1:29" s="4" customFormat="1" ht="42" customHeight="1" x14ac:dyDescent="0.2">
      <c r="A4893" s="5">
        <v>0</v>
      </c>
      <c r="B4893" s="6" t="s">
        <v>28202</v>
      </c>
      <c r="C4893" s="13">
        <v>976.8</v>
      </c>
      <c r="D4893" s="8" t="s">
        <v>28203</v>
      </c>
      <c r="E4893" s="8" t="s">
        <v>28204</v>
      </c>
      <c r="F4893" s="8" t="s">
        <v>28198</v>
      </c>
      <c r="G4893" s="6" t="s">
        <v>60</v>
      </c>
      <c r="H4893" s="6" t="s">
        <v>34</v>
      </c>
      <c r="I4893" s="8" t="s">
        <v>253</v>
      </c>
      <c r="J4893" s="9">
        <v>1</v>
      </c>
      <c r="K4893" s="9">
        <v>140</v>
      </c>
      <c r="L4893" s="9">
        <v>2027</v>
      </c>
      <c r="M4893" s="8" t="s">
        <v>28205</v>
      </c>
      <c r="N4893" s="8" t="s">
        <v>243</v>
      </c>
      <c r="O4893" s="8" t="s">
        <v>329</v>
      </c>
      <c r="P4893" s="6" t="s">
        <v>51</v>
      </c>
      <c r="Q4893" s="8" t="s">
        <v>52</v>
      </c>
      <c r="R4893" s="10" t="s">
        <v>28200</v>
      </c>
      <c r="S4893" s="11"/>
      <c r="T4893" s="6"/>
      <c r="U4893" s="15" t="str">
        <f>HYPERLINK("https://media.infra-m.ru/2264/2264744/cover/2264744.jpg", "Обложка")</f>
        <v>Обложка</v>
      </c>
      <c r="V4893" s="8" t="s">
        <v>831</v>
      </c>
      <c r="W4893" s="6"/>
      <c r="X4893" s="6" t="s">
        <v>24</v>
      </c>
      <c r="Y4893" s="6"/>
      <c r="Z4893" s="6"/>
      <c r="AA4893" s="6" t="s">
        <v>1303</v>
      </c>
      <c r="AB4893" s="8"/>
      <c r="AC4893" s="27">
        <v>9785160178295</v>
      </c>
    </row>
    <row r="4894" spans="1:29" s="4" customFormat="1" ht="51.9" customHeight="1" x14ac:dyDescent="0.2">
      <c r="A4894" s="5">
        <v>0</v>
      </c>
      <c r="B4894" s="6" t="s">
        <v>28206</v>
      </c>
      <c r="C4894" s="7">
        <v>1720.8</v>
      </c>
      <c r="D4894" s="8" t="s">
        <v>28207</v>
      </c>
      <c r="E4894" s="8" t="s">
        <v>28208</v>
      </c>
      <c r="F4894" s="8" t="s">
        <v>28209</v>
      </c>
      <c r="G4894" s="6" t="s">
        <v>118</v>
      </c>
      <c r="H4894" s="6" t="s">
        <v>34</v>
      </c>
      <c r="I4894" s="8" t="s">
        <v>271</v>
      </c>
      <c r="J4894" s="9">
        <v>1</v>
      </c>
      <c r="K4894" s="9">
        <v>248</v>
      </c>
      <c r="L4894" s="9">
        <v>2027</v>
      </c>
      <c r="M4894" s="8" t="s">
        <v>28210</v>
      </c>
      <c r="N4894" s="8" t="s">
        <v>243</v>
      </c>
      <c r="O4894" s="8" t="s">
        <v>329</v>
      </c>
      <c r="P4894" s="6" t="s">
        <v>51</v>
      </c>
      <c r="Q4894" s="8" t="s">
        <v>52</v>
      </c>
      <c r="R4894" s="10" t="s">
        <v>28211</v>
      </c>
      <c r="S4894" s="11" t="s">
        <v>28212</v>
      </c>
      <c r="T4894" s="6"/>
      <c r="U4894" s="15" t="str">
        <f>HYPERLINK("https://media.infra-m.ru/2267/2267309/cover/2267309.jpg", "Обложка")</f>
        <v>Обложка</v>
      </c>
      <c r="V4894" s="8" t="s">
        <v>911</v>
      </c>
      <c r="W4894" s="6"/>
      <c r="X4894" s="6"/>
      <c r="Y4894" s="6"/>
      <c r="Z4894" s="6"/>
      <c r="AA4894" s="6" t="s">
        <v>404</v>
      </c>
      <c r="AB4894" s="8"/>
      <c r="AC4894" s="27">
        <v>9785160128726</v>
      </c>
    </row>
    <row r="4895" spans="1:29" s="4" customFormat="1" ht="51.9" customHeight="1" x14ac:dyDescent="0.2">
      <c r="A4895" s="5">
        <v>0</v>
      </c>
      <c r="B4895" s="6" t="s">
        <v>28213</v>
      </c>
      <c r="C4895" s="7">
        <v>1368</v>
      </c>
      <c r="D4895" s="8" t="s">
        <v>28214</v>
      </c>
      <c r="E4895" s="8" t="s">
        <v>28215</v>
      </c>
      <c r="F4895" s="8" t="s">
        <v>4643</v>
      </c>
      <c r="G4895" s="6" t="s">
        <v>118</v>
      </c>
      <c r="H4895" s="6" t="s">
        <v>1042</v>
      </c>
      <c r="I4895" s="8" t="s">
        <v>253</v>
      </c>
      <c r="J4895" s="9">
        <v>1</v>
      </c>
      <c r="K4895" s="9">
        <v>221</v>
      </c>
      <c r="L4895" s="9">
        <v>2025</v>
      </c>
      <c r="M4895" s="8" t="s">
        <v>28216</v>
      </c>
      <c r="N4895" s="8" t="s">
        <v>585</v>
      </c>
      <c r="O4895" s="8" t="s">
        <v>2472</v>
      </c>
      <c r="P4895" s="6" t="s">
        <v>51</v>
      </c>
      <c r="Q4895" s="8" t="s">
        <v>52</v>
      </c>
      <c r="R4895" s="10" t="s">
        <v>28217</v>
      </c>
      <c r="S4895" s="11" t="s">
        <v>28218</v>
      </c>
      <c r="T4895" s="6"/>
      <c r="U4895" s="15" t="str">
        <f>HYPERLINK("https://media.infra-m.ru/2173/2173239/cover/2173239.jpg", "Обложка")</f>
        <v>Обложка</v>
      </c>
      <c r="V4895" s="8" t="s">
        <v>761</v>
      </c>
      <c r="W4895" s="6"/>
      <c r="X4895" s="6"/>
      <c r="Y4895" s="6"/>
      <c r="Z4895" s="6"/>
      <c r="AA4895" s="6" t="s">
        <v>274</v>
      </c>
      <c r="AB4895" s="8"/>
      <c r="AC4895" s="27">
        <v>9785819906156</v>
      </c>
    </row>
    <row r="4896" spans="1:29" s="4" customFormat="1" ht="51.9" customHeight="1" x14ac:dyDescent="0.2">
      <c r="A4896" s="5">
        <v>0</v>
      </c>
      <c r="B4896" s="6" t="s">
        <v>28219</v>
      </c>
      <c r="C4896" s="7">
        <v>2088</v>
      </c>
      <c r="D4896" s="8" t="s">
        <v>28220</v>
      </c>
      <c r="E4896" s="8" t="s">
        <v>28221</v>
      </c>
      <c r="F4896" s="8" t="s">
        <v>28222</v>
      </c>
      <c r="G4896" s="6" t="s">
        <v>60</v>
      </c>
      <c r="H4896" s="6" t="s">
        <v>34</v>
      </c>
      <c r="I4896" s="8" t="s">
        <v>263</v>
      </c>
      <c r="J4896" s="9">
        <v>1</v>
      </c>
      <c r="K4896" s="9">
        <v>298</v>
      </c>
      <c r="L4896" s="9">
        <v>2026</v>
      </c>
      <c r="M4896" s="8" t="s">
        <v>28223</v>
      </c>
      <c r="N4896" s="8" t="s">
        <v>243</v>
      </c>
      <c r="O4896" s="8" t="s">
        <v>385</v>
      </c>
      <c r="P4896" s="6" t="s">
        <v>306</v>
      </c>
      <c r="Q4896" s="8" t="s">
        <v>265</v>
      </c>
      <c r="R4896" s="10" t="s">
        <v>28224</v>
      </c>
      <c r="S4896" s="11"/>
      <c r="T4896" s="6"/>
      <c r="U4896" s="15" t="str">
        <f>HYPERLINK("https://media.infra-m.ru/2192/2192604/cover/2192604.jpg", "Обложка")</f>
        <v>Обложка</v>
      </c>
      <c r="V4896" s="8" t="s">
        <v>11307</v>
      </c>
      <c r="W4896" s="6" t="s">
        <v>1382</v>
      </c>
      <c r="X4896" s="6"/>
      <c r="Y4896" s="6"/>
      <c r="Z4896" s="6"/>
      <c r="AA4896" s="6" t="s">
        <v>187</v>
      </c>
      <c r="AB4896" s="8"/>
      <c r="AC4896" s="27">
        <v>9785160207698</v>
      </c>
    </row>
    <row r="4897" spans="1:29" s="4" customFormat="1" ht="51.9" customHeight="1" x14ac:dyDescent="0.2">
      <c r="A4897" s="5">
        <v>0</v>
      </c>
      <c r="B4897" s="6" t="s">
        <v>28225</v>
      </c>
      <c r="C4897" s="7">
        <v>2544</v>
      </c>
      <c r="D4897" s="8" t="s">
        <v>28226</v>
      </c>
      <c r="E4897" s="8" t="s">
        <v>28227</v>
      </c>
      <c r="F4897" s="8" t="s">
        <v>28228</v>
      </c>
      <c r="G4897" s="6" t="s">
        <v>118</v>
      </c>
      <c r="H4897" s="6" t="s">
        <v>34</v>
      </c>
      <c r="I4897" s="8" t="s">
        <v>263</v>
      </c>
      <c r="J4897" s="9">
        <v>1</v>
      </c>
      <c r="K4897" s="9">
        <v>384</v>
      </c>
      <c r="L4897" s="9">
        <v>2026</v>
      </c>
      <c r="M4897" s="8" t="s">
        <v>28229</v>
      </c>
      <c r="N4897" s="8" t="s">
        <v>243</v>
      </c>
      <c r="O4897" s="8" t="s">
        <v>758</v>
      </c>
      <c r="P4897" s="6" t="s">
        <v>306</v>
      </c>
      <c r="Q4897" s="8" t="s">
        <v>265</v>
      </c>
      <c r="R4897" s="10" t="s">
        <v>28230</v>
      </c>
      <c r="S4897" s="11" t="s">
        <v>28231</v>
      </c>
      <c r="T4897" s="6"/>
      <c r="U4897" s="15" t="str">
        <f>HYPERLINK("https://media.infra-m.ru/2239/2239075/cover/2239075.jpg", "Обложка")</f>
        <v>Обложка</v>
      </c>
      <c r="V4897" s="8" t="s">
        <v>396</v>
      </c>
      <c r="W4897" s="6"/>
      <c r="X4897" s="6"/>
      <c r="Y4897" s="6"/>
      <c r="Z4897" s="6" t="s">
        <v>267</v>
      </c>
      <c r="AA4897" s="6" t="s">
        <v>8551</v>
      </c>
      <c r="AB4897" s="8"/>
      <c r="AC4897" s="27">
        <v>9785160218458</v>
      </c>
    </row>
    <row r="4898" spans="1:29" s="4" customFormat="1" ht="51.9" customHeight="1" x14ac:dyDescent="0.2">
      <c r="A4898" s="5">
        <v>0</v>
      </c>
      <c r="B4898" s="6" t="s">
        <v>28232</v>
      </c>
      <c r="C4898" s="7">
        <v>2536.8000000000002</v>
      </c>
      <c r="D4898" s="8" t="s">
        <v>28233</v>
      </c>
      <c r="E4898" s="8" t="s">
        <v>28227</v>
      </c>
      <c r="F4898" s="8" t="s">
        <v>28228</v>
      </c>
      <c r="G4898" s="6" t="s">
        <v>118</v>
      </c>
      <c r="H4898" s="6" t="s">
        <v>1042</v>
      </c>
      <c r="I4898" s="8" t="s">
        <v>253</v>
      </c>
      <c r="J4898" s="9">
        <v>1</v>
      </c>
      <c r="K4898" s="9">
        <v>384</v>
      </c>
      <c r="L4898" s="9">
        <v>2026</v>
      </c>
      <c r="M4898" s="8" t="s">
        <v>28234</v>
      </c>
      <c r="N4898" s="8" t="s">
        <v>243</v>
      </c>
      <c r="O4898" s="8" t="s">
        <v>758</v>
      </c>
      <c r="P4898" s="6" t="s">
        <v>306</v>
      </c>
      <c r="Q4898" s="8" t="s">
        <v>52</v>
      </c>
      <c r="R4898" s="10" t="s">
        <v>28235</v>
      </c>
      <c r="S4898" s="11" t="s">
        <v>28236</v>
      </c>
      <c r="T4898" s="6"/>
      <c r="U4898" s="15" t="str">
        <f>HYPERLINK("https://media.infra-m.ru/2239/2239451/cover/2239451.jpg", "Обложка")</f>
        <v>Обложка</v>
      </c>
      <c r="V4898" s="8" t="s">
        <v>396</v>
      </c>
      <c r="W4898" s="6"/>
      <c r="X4898" s="6"/>
      <c r="Y4898" s="6"/>
      <c r="Z4898" s="6"/>
      <c r="AA4898" s="6" t="s">
        <v>1401</v>
      </c>
      <c r="AB4898" s="8"/>
      <c r="AC4898" s="27">
        <v>9785819909096</v>
      </c>
    </row>
    <row r="4899" spans="1:29" s="4" customFormat="1" ht="51.9" customHeight="1" x14ac:dyDescent="0.2">
      <c r="A4899" s="5">
        <v>0</v>
      </c>
      <c r="B4899" s="6" t="s">
        <v>28237</v>
      </c>
      <c r="C4899" s="7">
        <v>1380</v>
      </c>
      <c r="D4899" s="8" t="s">
        <v>28238</v>
      </c>
      <c r="E4899" s="8" t="s">
        <v>28239</v>
      </c>
      <c r="F4899" s="8" t="s">
        <v>28240</v>
      </c>
      <c r="G4899" s="6" t="s">
        <v>118</v>
      </c>
      <c r="H4899" s="6" t="s">
        <v>34</v>
      </c>
      <c r="I4899" s="8" t="s">
        <v>253</v>
      </c>
      <c r="J4899" s="9">
        <v>1</v>
      </c>
      <c r="K4899" s="9">
        <v>199</v>
      </c>
      <c r="L4899" s="9">
        <v>2027</v>
      </c>
      <c r="M4899" s="8" t="s">
        <v>28241</v>
      </c>
      <c r="N4899" s="8" t="s">
        <v>243</v>
      </c>
      <c r="O4899" s="8" t="s">
        <v>244</v>
      </c>
      <c r="P4899" s="6" t="s">
        <v>51</v>
      </c>
      <c r="Q4899" s="8" t="s">
        <v>52</v>
      </c>
      <c r="R4899" s="10" t="s">
        <v>28242</v>
      </c>
      <c r="S4899" s="11" t="s">
        <v>28243</v>
      </c>
      <c r="T4899" s="6"/>
      <c r="U4899" s="15" t="str">
        <f>HYPERLINK("https://media.infra-m.ru/2268/2268091/cover/2268091.jpg", "Обложка")</f>
        <v>Обложка</v>
      </c>
      <c r="V4899" s="8" t="s">
        <v>2398</v>
      </c>
      <c r="W4899" s="6"/>
      <c r="X4899" s="6"/>
      <c r="Y4899" s="6"/>
      <c r="Z4899" s="6"/>
      <c r="AA4899" s="6" t="s">
        <v>360</v>
      </c>
      <c r="AB4899" s="8"/>
      <c r="AC4899" s="27">
        <v>9785160108476</v>
      </c>
    </row>
    <row r="4900" spans="1:29" s="4" customFormat="1" ht="51.9" customHeight="1" x14ac:dyDescent="0.2">
      <c r="A4900" s="5">
        <v>0</v>
      </c>
      <c r="B4900" s="6" t="s">
        <v>28244</v>
      </c>
      <c r="C4900" s="7">
        <v>1356</v>
      </c>
      <c r="D4900" s="8" t="s">
        <v>28245</v>
      </c>
      <c r="E4900" s="8" t="s">
        <v>28246</v>
      </c>
      <c r="F4900" s="8" t="s">
        <v>28247</v>
      </c>
      <c r="G4900" s="6" t="s">
        <v>60</v>
      </c>
      <c r="H4900" s="6" t="s">
        <v>34</v>
      </c>
      <c r="I4900" s="8" t="s">
        <v>1128</v>
      </c>
      <c r="J4900" s="9">
        <v>1</v>
      </c>
      <c r="K4900" s="9">
        <v>251</v>
      </c>
      <c r="L4900" s="9">
        <v>2023</v>
      </c>
      <c r="M4900" s="8" t="s">
        <v>28248</v>
      </c>
      <c r="N4900" s="8" t="s">
        <v>243</v>
      </c>
      <c r="O4900" s="8" t="s">
        <v>758</v>
      </c>
      <c r="P4900" s="6" t="s">
        <v>51</v>
      </c>
      <c r="Q4900" s="8" t="s">
        <v>52</v>
      </c>
      <c r="R4900" s="10" t="s">
        <v>2820</v>
      </c>
      <c r="S4900" s="11" t="s">
        <v>28249</v>
      </c>
      <c r="T4900" s="6"/>
      <c r="U4900" s="15" t="str">
        <f>HYPERLINK("https://media.infra-m.ru/1937/1937179/cover/1937179.jpg", "Обложка")</f>
        <v>Обложка</v>
      </c>
      <c r="V4900" s="8" t="s">
        <v>1132</v>
      </c>
      <c r="W4900" s="6"/>
      <c r="X4900" s="6"/>
      <c r="Y4900" s="6"/>
      <c r="Z4900" s="6"/>
      <c r="AA4900" s="6" t="s">
        <v>157</v>
      </c>
      <c r="AB4900" s="8"/>
      <c r="AC4900" s="27">
        <v>9785160182360</v>
      </c>
    </row>
    <row r="4901" spans="1:29" s="4" customFormat="1" ht="51.9" customHeight="1" x14ac:dyDescent="0.2">
      <c r="A4901" s="5">
        <v>0</v>
      </c>
      <c r="B4901" s="6" t="s">
        <v>28250</v>
      </c>
      <c r="C4901" s="7">
        <v>2268</v>
      </c>
      <c r="D4901" s="8" t="s">
        <v>28251</v>
      </c>
      <c r="E4901" s="8" t="s">
        <v>28252</v>
      </c>
      <c r="F4901" s="8" t="s">
        <v>28253</v>
      </c>
      <c r="G4901" s="6" t="s">
        <v>60</v>
      </c>
      <c r="H4901" s="6" t="s">
        <v>34</v>
      </c>
      <c r="I4901" s="8"/>
      <c r="J4901" s="9">
        <v>1</v>
      </c>
      <c r="K4901" s="9">
        <v>216</v>
      </c>
      <c r="L4901" s="9">
        <v>2026</v>
      </c>
      <c r="M4901" s="8" t="s">
        <v>28254</v>
      </c>
      <c r="N4901" s="8" t="s">
        <v>37</v>
      </c>
      <c r="O4901" s="8" t="s">
        <v>136</v>
      </c>
      <c r="P4901" s="6" t="s">
        <v>39</v>
      </c>
      <c r="Q4901" s="8" t="s">
        <v>40</v>
      </c>
      <c r="R4901" s="10" t="s">
        <v>28255</v>
      </c>
      <c r="S4901" s="11"/>
      <c r="T4901" s="6"/>
      <c r="U4901" s="15" t="str">
        <f>HYPERLINK("https://media.infra-m.ru/2254/2254877/cover/2254877.jpg", "Обложка")</f>
        <v>Обложка</v>
      </c>
      <c r="V4901" s="8" t="s">
        <v>657</v>
      </c>
      <c r="W4901" s="6" t="s">
        <v>351</v>
      </c>
      <c r="X4901" s="6"/>
      <c r="Y4901" s="6"/>
      <c r="Z4901" s="6"/>
      <c r="AA4901" s="6" t="s">
        <v>187</v>
      </c>
      <c r="AB4901" s="8"/>
      <c r="AC4901" s="27">
        <v>9785160221335</v>
      </c>
    </row>
    <row r="4902" spans="1:29" s="4" customFormat="1" ht="51.9" customHeight="1" x14ac:dyDescent="0.2">
      <c r="A4902" s="5">
        <v>0</v>
      </c>
      <c r="B4902" s="6" t="s">
        <v>28256</v>
      </c>
      <c r="C4902" s="7">
        <v>3708</v>
      </c>
      <c r="D4902" s="8" t="s">
        <v>28257</v>
      </c>
      <c r="E4902" s="8" t="s">
        <v>28258</v>
      </c>
      <c r="F4902" s="8" t="s">
        <v>28259</v>
      </c>
      <c r="G4902" s="6" t="s">
        <v>60</v>
      </c>
      <c r="H4902" s="6" t="s">
        <v>34</v>
      </c>
      <c r="I4902" s="8" t="s">
        <v>253</v>
      </c>
      <c r="J4902" s="9">
        <v>1</v>
      </c>
      <c r="K4902" s="9">
        <v>590</v>
      </c>
      <c r="L4902" s="9">
        <v>2026</v>
      </c>
      <c r="M4902" s="8" t="s">
        <v>28260</v>
      </c>
      <c r="N4902" s="8" t="s">
        <v>37</v>
      </c>
      <c r="O4902" s="8" t="s">
        <v>280</v>
      </c>
      <c r="P4902" s="6" t="s">
        <v>306</v>
      </c>
      <c r="Q4902" s="8" t="s">
        <v>500</v>
      </c>
      <c r="R4902" s="10" t="s">
        <v>28261</v>
      </c>
      <c r="S4902" s="11"/>
      <c r="T4902" s="6"/>
      <c r="U4902" s="15" t="str">
        <f>HYPERLINK("https://media.infra-m.ru/2187/2187522/cover/2187522.jpg", "Обложка")</f>
        <v>Обложка</v>
      </c>
      <c r="V4902" s="8" t="s">
        <v>12203</v>
      </c>
      <c r="W4902" s="6" t="s">
        <v>2565</v>
      </c>
      <c r="X4902" s="6"/>
      <c r="Y4902" s="6"/>
      <c r="Z4902" s="6"/>
      <c r="AA4902" s="6" t="s">
        <v>187</v>
      </c>
      <c r="AB4902" s="8"/>
      <c r="AC4902" s="27">
        <v>9785160206615</v>
      </c>
    </row>
    <row r="4903" spans="1:29" s="4" customFormat="1" ht="42" customHeight="1" x14ac:dyDescent="0.2">
      <c r="A4903" s="5">
        <v>0</v>
      </c>
      <c r="B4903" s="6" t="s">
        <v>28262</v>
      </c>
      <c r="C4903" s="13">
        <v>599.9</v>
      </c>
      <c r="D4903" s="8" t="s">
        <v>28263</v>
      </c>
      <c r="E4903" s="8" t="s">
        <v>28264</v>
      </c>
      <c r="F4903" s="8" t="s">
        <v>28265</v>
      </c>
      <c r="G4903" s="6" t="s">
        <v>60</v>
      </c>
      <c r="H4903" s="6" t="s">
        <v>313</v>
      </c>
      <c r="I4903" s="8" t="s">
        <v>504</v>
      </c>
      <c r="J4903" s="9">
        <v>1</v>
      </c>
      <c r="K4903" s="9">
        <v>228</v>
      </c>
      <c r="L4903" s="9">
        <v>2017</v>
      </c>
      <c r="M4903" s="8" t="s">
        <v>28266</v>
      </c>
      <c r="N4903" s="8" t="s">
        <v>585</v>
      </c>
      <c r="O4903" s="8" t="s">
        <v>586</v>
      </c>
      <c r="P4903" s="6" t="s">
        <v>51</v>
      </c>
      <c r="Q4903" s="8" t="s">
        <v>500</v>
      </c>
      <c r="R4903" s="10" t="s">
        <v>26696</v>
      </c>
      <c r="S4903" s="11"/>
      <c r="T4903" s="6" t="s">
        <v>97</v>
      </c>
      <c r="U4903" s="15" t="str">
        <f>HYPERLINK("https://media.infra-m.ru/0774/0774413/cover/774413.jpg", "Обложка")</f>
        <v>Обложка</v>
      </c>
      <c r="V4903" s="8" t="s">
        <v>19637</v>
      </c>
      <c r="W4903" s="6"/>
      <c r="X4903" s="6"/>
      <c r="Y4903" s="6"/>
      <c r="Z4903" s="6"/>
      <c r="AA4903" s="6" t="s">
        <v>3800</v>
      </c>
      <c r="AB4903" s="8"/>
      <c r="AC4903" s="27">
        <v>9785369014646</v>
      </c>
    </row>
    <row r="4904" spans="1:29" s="4" customFormat="1" ht="42" customHeight="1" x14ac:dyDescent="0.2">
      <c r="A4904" s="5">
        <v>0</v>
      </c>
      <c r="B4904" s="6" t="s">
        <v>28267</v>
      </c>
      <c r="C4904" s="7">
        <v>2092.8000000000002</v>
      </c>
      <c r="D4904" s="8" t="s">
        <v>28268</v>
      </c>
      <c r="E4904" s="8" t="s">
        <v>28269</v>
      </c>
      <c r="F4904" s="8" t="s">
        <v>28270</v>
      </c>
      <c r="G4904" s="6" t="s">
        <v>118</v>
      </c>
      <c r="H4904" s="6" t="s">
        <v>313</v>
      </c>
      <c r="I4904" s="8" t="s">
        <v>253</v>
      </c>
      <c r="J4904" s="9">
        <v>1</v>
      </c>
      <c r="K4904" s="9">
        <v>298</v>
      </c>
      <c r="L4904" s="9">
        <v>2026</v>
      </c>
      <c r="M4904" s="8" t="s">
        <v>28271</v>
      </c>
      <c r="N4904" s="8" t="s">
        <v>585</v>
      </c>
      <c r="O4904" s="8" t="s">
        <v>586</v>
      </c>
      <c r="P4904" s="6" t="s">
        <v>51</v>
      </c>
      <c r="Q4904" s="8" t="s">
        <v>500</v>
      </c>
      <c r="R4904" s="10" t="s">
        <v>26696</v>
      </c>
      <c r="S4904" s="11"/>
      <c r="T4904" s="6" t="s">
        <v>97</v>
      </c>
      <c r="U4904" s="15" t="str">
        <f>HYPERLINK("https://media.infra-m.ru/2166/2166213/cover/2166213.jpg", "Обложка")</f>
        <v>Обложка</v>
      </c>
      <c r="V4904" s="8" t="s">
        <v>19637</v>
      </c>
      <c r="W4904" s="6"/>
      <c r="X4904" s="6"/>
      <c r="Y4904" s="6"/>
      <c r="Z4904" s="6"/>
      <c r="AA4904" s="6" t="s">
        <v>15763</v>
      </c>
      <c r="AB4904" s="8"/>
      <c r="AC4904" s="27">
        <v>9785369019016</v>
      </c>
    </row>
    <row r="4905" spans="1:29" s="4" customFormat="1" ht="51.9" customHeight="1" x14ac:dyDescent="0.2">
      <c r="A4905" s="5">
        <v>0</v>
      </c>
      <c r="B4905" s="6" t="s">
        <v>28272</v>
      </c>
      <c r="C4905" s="7">
        <v>1068</v>
      </c>
      <c r="D4905" s="8" t="s">
        <v>28273</v>
      </c>
      <c r="E4905" s="8" t="s">
        <v>28274</v>
      </c>
      <c r="F4905" s="8" t="s">
        <v>28275</v>
      </c>
      <c r="G4905" s="6" t="s">
        <v>60</v>
      </c>
      <c r="H4905" s="6" t="s">
        <v>34</v>
      </c>
      <c r="I4905" s="8" t="s">
        <v>1128</v>
      </c>
      <c r="J4905" s="9">
        <v>1</v>
      </c>
      <c r="K4905" s="9">
        <v>180</v>
      </c>
      <c r="L4905" s="9">
        <v>2024</v>
      </c>
      <c r="M4905" s="8" t="s">
        <v>28276</v>
      </c>
      <c r="N4905" s="8" t="s">
        <v>243</v>
      </c>
      <c r="O4905" s="8" t="s">
        <v>1100</v>
      </c>
      <c r="P4905" s="6" t="s">
        <v>51</v>
      </c>
      <c r="Q4905" s="8" t="s">
        <v>65</v>
      </c>
      <c r="R4905" s="10" t="s">
        <v>12227</v>
      </c>
      <c r="S4905" s="11" t="s">
        <v>28277</v>
      </c>
      <c r="T4905" s="6"/>
      <c r="U4905" s="15" t="str">
        <f>HYPERLINK("https://media.infra-m.ru/2123/2123830/cover/2123830.jpg", "Обложка")</f>
        <v>Обложка</v>
      </c>
      <c r="V4905" s="8" t="s">
        <v>1132</v>
      </c>
      <c r="W4905" s="6"/>
      <c r="X4905" s="6"/>
      <c r="Y4905" s="6"/>
      <c r="Z4905" s="6"/>
      <c r="AA4905" s="6" t="s">
        <v>76</v>
      </c>
      <c r="AB4905" s="8"/>
      <c r="AC4905" s="27">
        <v>9785160194837</v>
      </c>
    </row>
    <row r="4906" spans="1:29" s="4" customFormat="1" ht="42" customHeight="1" x14ac:dyDescent="0.2">
      <c r="A4906" s="5">
        <v>0</v>
      </c>
      <c r="B4906" s="6" t="s">
        <v>28278</v>
      </c>
      <c r="C4906" s="7">
        <v>1080</v>
      </c>
      <c r="D4906" s="8" t="s">
        <v>28279</v>
      </c>
      <c r="E4906" s="8" t="s">
        <v>28280</v>
      </c>
      <c r="F4906" s="8" t="s">
        <v>28281</v>
      </c>
      <c r="G4906" s="6" t="s">
        <v>118</v>
      </c>
      <c r="H4906" s="6" t="s">
        <v>313</v>
      </c>
      <c r="I4906" s="8" t="s">
        <v>504</v>
      </c>
      <c r="J4906" s="9">
        <v>1</v>
      </c>
      <c r="K4906" s="9">
        <v>238</v>
      </c>
      <c r="L4906" s="9">
        <v>2021</v>
      </c>
      <c r="M4906" s="8" t="s">
        <v>28282</v>
      </c>
      <c r="N4906" s="8" t="s">
        <v>585</v>
      </c>
      <c r="O4906" s="8" t="s">
        <v>586</v>
      </c>
      <c r="P4906" s="6" t="s">
        <v>51</v>
      </c>
      <c r="Q4906" s="8" t="s">
        <v>500</v>
      </c>
      <c r="R4906" s="10" t="s">
        <v>26696</v>
      </c>
      <c r="S4906" s="11"/>
      <c r="T4906" s="6" t="s">
        <v>97</v>
      </c>
      <c r="U4906" s="15" t="str">
        <f>HYPERLINK("https://media.infra-m.ru/1245/1245074/cover/1245074.jpg", "Обложка")</f>
        <v>Обложка</v>
      </c>
      <c r="V4906" s="8" t="s">
        <v>19637</v>
      </c>
      <c r="W4906" s="6"/>
      <c r="X4906" s="6"/>
      <c r="Y4906" s="6"/>
      <c r="Z4906" s="6"/>
      <c r="AA4906" s="6" t="s">
        <v>3736</v>
      </c>
      <c r="AB4906" s="8"/>
      <c r="AC4906" s="27">
        <v>9785369017531</v>
      </c>
    </row>
    <row r="4907" spans="1:29" s="4" customFormat="1" ht="51.9" customHeight="1" x14ac:dyDescent="0.2">
      <c r="A4907" s="5">
        <v>0</v>
      </c>
      <c r="B4907" s="6" t="s">
        <v>28283</v>
      </c>
      <c r="C4907" s="13">
        <v>748.8</v>
      </c>
      <c r="D4907" s="8" t="s">
        <v>28284</v>
      </c>
      <c r="E4907" s="8" t="s">
        <v>28285</v>
      </c>
      <c r="F4907" s="8" t="s">
        <v>28286</v>
      </c>
      <c r="G4907" s="6" t="s">
        <v>33</v>
      </c>
      <c r="H4907" s="6" t="s">
        <v>34</v>
      </c>
      <c r="I4907" s="8" t="s">
        <v>504</v>
      </c>
      <c r="J4907" s="9">
        <v>1</v>
      </c>
      <c r="K4907" s="9">
        <v>119</v>
      </c>
      <c r="L4907" s="9">
        <v>2025</v>
      </c>
      <c r="M4907" s="8" t="s">
        <v>28287</v>
      </c>
      <c r="N4907" s="8" t="s">
        <v>243</v>
      </c>
      <c r="O4907" s="8" t="s">
        <v>758</v>
      </c>
      <c r="P4907" s="6" t="s">
        <v>51</v>
      </c>
      <c r="Q4907" s="8" t="s">
        <v>500</v>
      </c>
      <c r="R4907" s="10" t="s">
        <v>28288</v>
      </c>
      <c r="S4907" s="11" t="s">
        <v>28289</v>
      </c>
      <c r="T4907" s="6"/>
      <c r="U4907" s="15" t="str">
        <f>HYPERLINK("https://media.infra-m.ru/2201/2201553/cover/2201553.jpg", "Обложка")</f>
        <v>Обложка</v>
      </c>
      <c r="V4907" s="8" t="s">
        <v>28290</v>
      </c>
      <c r="W4907" s="6"/>
      <c r="X4907" s="6"/>
      <c r="Y4907" s="6"/>
      <c r="Z4907" s="6"/>
      <c r="AA4907" s="6" t="s">
        <v>248</v>
      </c>
      <c r="AB4907" s="8"/>
      <c r="AC4907" s="27">
        <v>9785160067476</v>
      </c>
    </row>
    <row r="4908" spans="1:29" s="4" customFormat="1" ht="51.9" customHeight="1" x14ac:dyDescent="0.2">
      <c r="A4908" s="5">
        <v>0</v>
      </c>
      <c r="B4908" s="6" t="s">
        <v>28291</v>
      </c>
      <c r="C4908" s="7">
        <v>1704</v>
      </c>
      <c r="D4908" s="8" t="s">
        <v>28292</v>
      </c>
      <c r="E4908" s="8" t="s">
        <v>28293</v>
      </c>
      <c r="F4908" s="8" t="s">
        <v>18494</v>
      </c>
      <c r="G4908" s="6" t="s">
        <v>118</v>
      </c>
      <c r="H4908" s="6" t="s">
        <v>34</v>
      </c>
      <c r="I4908" s="8" t="s">
        <v>253</v>
      </c>
      <c r="J4908" s="9">
        <v>1</v>
      </c>
      <c r="K4908" s="9">
        <v>257</v>
      </c>
      <c r="L4908" s="9">
        <v>2026</v>
      </c>
      <c r="M4908" s="8" t="s">
        <v>28294</v>
      </c>
      <c r="N4908" s="8" t="s">
        <v>585</v>
      </c>
      <c r="O4908" s="8" t="s">
        <v>586</v>
      </c>
      <c r="P4908" s="6" t="s">
        <v>306</v>
      </c>
      <c r="Q4908" s="8" t="s">
        <v>52</v>
      </c>
      <c r="R4908" s="10" t="s">
        <v>28295</v>
      </c>
      <c r="S4908" s="11" t="s">
        <v>28296</v>
      </c>
      <c r="T4908" s="6"/>
      <c r="U4908" s="15" t="str">
        <f>HYPERLINK("https://media.infra-m.ru/2241/2241491/cover/2241491.jpg", "Обложка")</f>
        <v>Обложка</v>
      </c>
      <c r="V4908" s="8" t="s">
        <v>5964</v>
      </c>
      <c r="W4908" s="6"/>
      <c r="X4908" s="6"/>
      <c r="Y4908" s="6"/>
      <c r="Z4908" s="6"/>
      <c r="AA4908" s="6" t="s">
        <v>148</v>
      </c>
      <c r="AB4908" s="8"/>
      <c r="AC4908" s="27">
        <v>9785160195254</v>
      </c>
    </row>
    <row r="4909" spans="1:29" s="4" customFormat="1" ht="42" customHeight="1" x14ac:dyDescent="0.2">
      <c r="A4909" s="5">
        <v>0</v>
      </c>
      <c r="B4909" s="6" t="s">
        <v>28297</v>
      </c>
      <c r="C4909" s="13">
        <v>960</v>
      </c>
      <c r="D4909" s="8" t="s">
        <v>28298</v>
      </c>
      <c r="E4909" s="8" t="s">
        <v>28293</v>
      </c>
      <c r="F4909" s="8" t="s">
        <v>20397</v>
      </c>
      <c r="G4909" s="6" t="s">
        <v>60</v>
      </c>
      <c r="H4909" s="6" t="s">
        <v>34</v>
      </c>
      <c r="I4909" s="8" t="s">
        <v>19704</v>
      </c>
      <c r="J4909" s="9">
        <v>1</v>
      </c>
      <c r="K4909" s="9">
        <v>148</v>
      </c>
      <c r="L4909" s="9">
        <v>2025</v>
      </c>
      <c r="M4909" s="8" t="s">
        <v>28299</v>
      </c>
      <c r="N4909" s="8" t="s">
        <v>585</v>
      </c>
      <c r="O4909" s="8" t="s">
        <v>586</v>
      </c>
      <c r="P4909" s="6" t="s">
        <v>51</v>
      </c>
      <c r="Q4909" s="8" t="s">
        <v>65</v>
      </c>
      <c r="R4909" s="10" t="s">
        <v>14616</v>
      </c>
      <c r="S4909" s="11"/>
      <c r="T4909" s="6"/>
      <c r="U4909" s="15" t="str">
        <f>HYPERLINK("https://media.infra-m.ru/2200/2200681/cover/2200681.jpg", "Обложка")</f>
        <v>Обложка</v>
      </c>
      <c r="V4909" s="8" t="s">
        <v>11210</v>
      </c>
      <c r="W4909" s="6"/>
      <c r="X4909" s="6"/>
      <c r="Y4909" s="6"/>
      <c r="Z4909" s="6"/>
      <c r="AA4909" s="6" t="s">
        <v>68</v>
      </c>
      <c r="AB4909" s="8"/>
      <c r="AC4909" s="27">
        <v>9785160208633</v>
      </c>
    </row>
    <row r="4910" spans="1:29" s="4" customFormat="1" ht="51.9" customHeight="1" x14ac:dyDescent="0.2">
      <c r="A4910" s="5">
        <v>0</v>
      </c>
      <c r="B4910" s="6" t="s">
        <v>28300</v>
      </c>
      <c r="C4910" s="7">
        <v>1792.8</v>
      </c>
      <c r="D4910" s="8" t="s">
        <v>28301</v>
      </c>
      <c r="E4910" s="8" t="s">
        <v>28302</v>
      </c>
      <c r="F4910" s="8" t="s">
        <v>28303</v>
      </c>
      <c r="G4910" s="6" t="s">
        <v>118</v>
      </c>
      <c r="H4910" s="6" t="s">
        <v>48</v>
      </c>
      <c r="I4910" s="8" t="s">
        <v>271</v>
      </c>
      <c r="J4910" s="9">
        <v>1</v>
      </c>
      <c r="K4910" s="9">
        <v>271</v>
      </c>
      <c r="L4910" s="9">
        <v>2026</v>
      </c>
      <c r="M4910" s="8" t="s">
        <v>28304</v>
      </c>
      <c r="N4910" s="8" t="s">
        <v>585</v>
      </c>
      <c r="O4910" s="8" t="s">
        <v>586</v>
      </c>
      <c r="P4910" s="6" t="s">
        <v>51</v>
      </c>
      <c r="Q4910" s="8" t="s">
        <v>52</v>
      </c>
      <c r="R4910" s="10" t="s">
        <v>28305</v>
      </c>
      <c r="S4910" s="11" t="s">
        <v>13720</v>
      </c>
      <c r="T4910" s="6"/>
      <c r="U4910" s="15" t="str">
        <f>HYPERLINK("https://media.infra-m.ru/2224/2224177/cover/2224177.jpg", "Обложка")</f>
        <v>Обложка</v>
      </c>
      <c r="V4910" s="8" t="s">
        <v>359</v>
      </c>
      <c r="W4910" s="6"/>
      <c r="X4910" s="6"/>
      <c r="Y4910" s="6"/>
      <c r="Z4910" s="6"/>
      <c r="AA4910" s="6" t="s">
        <v>874</v>
      </c>
      <c r="AB4910" s="8"/>
      <c r="AC4910" s="27">
        <v>9785000914441</v>
      </c>
    </row>
    <row r="4911" spans="1:29" s="4" customFormat="1" ht="51.9" customHeight="1" x14ac:dyDescent="0.2">
      <c r="A4911" s="5">
        <v>0</v>
      </c>
      <c r="B4911" s="6" t="s">
        <v>28306</v>
      </c>
      <c r="C4911" s="13">
        <v>984</v>
      </c>
      <c r="D4911" s="8" t="s">
        <v>28307</v>
      </c>
      <c r="E4911" s="8" t="s">
        <v>28293</v>
      </c>
      <c r="F4911" s="8" t="s">
        <v>28308</v>
      </c>
      <c r="G4911" s="6" t="s">
        <v>118</v>
      </c>
      <c r="H4911" s="6" t="s">
        <v>34</v>
      </c>
      <c r="I4911" s="8" t="s">
        <v>7198</v>
      </c>
      <c r="J4911" s="9">
        <v>1</v>
      </c>
      <c r="K4911" s="9">
        <v>167</v>
      </c>
      <c r="L4911" s="9">
        <v>2023</v>
      </c>
      <c r="M4911" s="8" t="s">
        <v>28309</v>
      </c>
      <c r="N4911" s="8" t="s">
        <v>585</v>
      </c>
      <c r="O4911" s="8" t="s">
        <v>586</v>
      </c>
      <c r="P4911" s="6" t="s">
        <v>51</v>
      </c>
      <c r="Q4911" s="8" t="s">
        <v>52</v>
      </c>
      <c r="R4911" s="10" t="s">
        <v>28310</v>
      </c>
      <c r="S4911" s="11" t="s">
        <v>28311</v>
      </c>
      <c r="T4911" s="6"/>
      <c r="U4911" s="15" t="str">
        <f>HYPERLINK("https://media.infra-m.ru/2127/2127137/cover/2127137.jpg", "Обложка")</f>
        <v>Обложка</v>
      </c>
      <c r="V4911" s="8" t="s">
        <v>1425</v>
      </c>
      <c r="W4911" s="6"/>
      <c r="X4911" s="6"/>
      <c r="Y4911" s="6"/>
      <c r="Z4911" s="6"/>
      <c r="AA4911" s="6" t="s">
        <v>157</v>
      </c>
      <c r="AB4911" s="8"/>
      <c r="AC4911" s="27">
        <v>9785160180823</v>
      </c>
    </row>
    <row r="4912" spans="1:29" s="4" customFormat="1" ht="51.9" customHeight="1" x14ac:dyDescent="0.2">
      <c r="A4912" s="5">
        <v>0</v>
      </c>
      <c r="B4912" s="6" t="s">
        <v>28312</v>
      </c>
      <c r="C4912" s="7">
        <v>1380</v>
      </c>
      <c r="D4912" s="8" t="s">
        <v>28313</v>
      </c>
      <c r="E4912" s="8" t="s">
        <v>28314</v>
      </c>
      <c r="F4912" s="8" t="s">
        <v>28315</v>
      </c>
      <c r="G4912" s="6" t="s">
        <v>60</v>
      </c>
      <c r="H4912" s="6" t="s">
        <v>313</v>
      </c>
      <c r="I4912" s="8" t="s">
        <v>253</v>
      </c>
      <c r="J4912" s="9">
        <v>1</v>
      </c>
      <c r="K4912" s="9">
        <v>228</v>
      </c>
      <c r="L4912" s="9">
        <v>2024</v>
      </c>
      <c r="M4912" s="8" t="s">
        <v>28316</v>
      </c>
      <c r="N4912" s="8" t="s">
        <v>37</v>
      </c>
      <c r="O4912" s="8" t="s">
        <v>136</v>
      </c>
      <c r="P4912" s="6" t="s">
        <v>51</v>
      </c>
      <c r="Q4912" s="8" t="s">
        <v>65</v>
      </c>
      <c r="R4912" s="10" t="s">
        <v>28317</v>
      </c>
      <c r="S4912" s="11" t="s">
        <v>28318</v>
      </c>
      <c r="T4912" s="6" t="s">
        <v>97</v>
      </c>
      <c r="U4912" s="15" t="str">
        <f>HYPERLINK("https://media.infra-m.ru/1913/1913014/cover/1913014.jpg", "Обложка")</f>
        <v>Обложка</v>
      </c>
      <c r="V4912" s="8" t="s">
        <v>28319</v>
      </c>
      <c r="W4912" s="6"/>
      <c r="X4912" s="6"/>
      <c r="Y4912" s="6"/>
      <c r="Z4912" s="6"/>
      <c r="AA4912" s="6" t="s">
        <v>5476</v>
      </c>
      <c r="AB4912" s="8"/>
      <c r="AC4912" s="27">
        <v>9785369019603</v>
      </c>
    </row>
    <row r="4913" spans="1:29" s="4" customFormat="1" ht="51.9" customHeight="1" x14ac:dyDescent="0.2">
      <c r="A4913" s="5">
        <v>0</v>
      </c>
      <c r="B4913" s="6" t="s">
        <v>28320</v>
      </c>
      <c r="C4913" s="7">
        <v>2153.9</v>
      </c>
      <c r="D4913" s="8" t="s">
        <v>28321</v>
      </c>
      <c r="E4913" s="8" t="s">
        <v>28322</v>
      </c>
      <c r="F4913" s="8" t="s">
        <v>28323</v>
      </c>
      <c r="G4913" s="6" t="s">
        <v>60</v>
      </c>
      <c r="H4913" s="6" t="s">
        <v>34</v>
      </c>
      <c r="I4913" s="8" t="s">
        <v>271</v>
      </c>
      <c r="J4913" s="9">
        <v>1</v>
      </c>
      <c r="K4913" s="9">
        <v>399</v>
      </c>
      <c r="L4913" s="9">
        <v>2023</v>
      </c>
      <c r="M4913" s="8" t="s">
        <v>28324</v>
      </c>
      <c r="N4913" s="8" t="s">
        <v>37</v>
      </c>
      <c r="O4913" s="8" t="s">
        <v>207</v>
      </c>
      <c r="P4913" s="6" t="s">
        <v>306</v>
      </c>
      <c r="Q4913" s="8" t="s">
        <v>52</v>
      </c>
      <c r="R4913" s="10" t="s">
        <v>1646</v>
      </c>
      <c r="S4913" s="11" t="s">
        <v>28325</v>
      </c>
      <c r="T4913" s="6"/>
      <c r="U4913" s="15" t="str">
        <f>HYPERLINK("https://media.infra-m.ru/1960/1960134/cover/1960134.jpg", "Обложка")</f>
        <v>Обложка</v>
      </c>
      <c r="V4913" s="8" t="s">
        <v>2055</v>
      </c>
      <c r="W4913" s="6"/>
      <c r="X4913" s="6"/>
      <c r="Y4913" s="6"/>
      <c r="Z4913" s="6"/>
      <c r="AA4913" s="6" t="s">
        <v>718</v>
      </c>
      <c r="AB4913" s="8"/>
      <c r="AC4913" s="27">
        <v>9785160055947</v>
      </c>
    </row>
    <row r="4914" spans="1:29" s="4" customFormat="1" ht="42" customHeight="1" x14ac:dyDescent="0.2">
      <c r="A4914" s="5">
        <v>0</v>
      </c>
      <c r="B4914" s="6" t="s">
        <v>28326</v>
      </c>
      <c r="C4914" s="7">
        <v>2244</v>
      </c>
      <c r="D4914" s="8" t="s">
        <v>28327</v>
      </c>
      <c r="E4914" s="8" t="s">
        <v>28328</v>
      </c>
      <c r="F4914" s="8" t="s">
        <v>28329</v>
      </c>
      <c r="G4914" s="6" t="s">
        <v>118</v>
      </c>
      <c r="H4914" s="6" t="s">
        <v>34</v>
      </c>
      <c r="I4914" s="8" t="s">
        <v>253</v>
      </c>
      <c r="J4914" s="9">
        <v>1</v>
      </c>
      <c r="K4914" s="9">
        <v>323</v>
      </c>
      <c r="L4914" s="9">
        <v>2027</v>
      </c>
      <c r="M4914" s="8" t="s">
        <v>28330</v>
      </c>
      <c r="N4914" s="8" t="s">
        <v>37</v>
      </c>
      <c r="O4914" s="8" t="s">
        <v>233</v>
      </c>
      <c r="P4914" s="6" t="s">
        <v>306</v>
      </c>
      <c r="Q4914" s="8" t="s">
        <v>52</v>
      </c>
      <c r="R4914" s="10" t="s">
        <v>1646</v>
      </c>
      <c r="S4914" s="11"/>
      <c r="T4914" s="6" t="s">
        <v>97</v>
      </c>
      <c r="U4914" s="15" t="str">
        <f>HYPERLINK("https://media.infra-m.ru/2264/2264991/cover/2264991.jpg", "Обложка")</f>
        <v>Обложка</v>
      </c>
      <c r="V4914" s="8" t="s">
        <v>2055</v>
      </c>
      <c r="W4914" s="6"/>
      <c r="X4914" s="6"/>
      <c r="Y4914" s="6"/>
      <c r="Z4914" s="6"/>
      <c r="AA4914" s="6" t="s">
        <v>5476</v>
      </c>
      <c r="AB4914" s="8"/>
      <c r="AC4914" s="27">
        <v>9785160182803</v>
      </c>
    </row>
    <row r="4915" spans="1:29" s="4" customFormat="1" ht="51.9" customHeight="1" x14ac:dyDescent="0.2">
      <c r="A4915" s="5">
        <v>0</v>
      </c>
      <c r="B4915" s="6" t="s">
        <v>28331</v>
      </c>
      <c r="C4915" s="7">
        <v>1396.8</v>
      </c>
      <c r="D4915" s="8" t="s">
        <v>28332</v>
      </c>
      <c r="E4915" s="8" t="s">
        <v>28333</v>
      </c>
      <c r="F4915" s="8" t="s">
        <v>28315</v>
      </c>
      <c r="G4915" s="6" t="s">
        <v>60</v>
      </c>
      <c r="H4915" s="6" t="s">
        <v>313</v>
      </c>
      <c r="I4915" s="8" t="s">
        <v>392</v>
      </c>
      <c r="J4915" s="9">
        <v>1</v>
      </c>
      <c r="K4915" s="9">
        <v>224</v>
      </c>
      <c r="L4915" s="9">
        <v>2025</v>
      </c>
      <c r="M4915" s="8" t="s">
        <v>28316</v>
      </c>
      <c r="N4915" s="8" t="s">
        <v>37</v>
      </c>
      <c r="O4915" s="8" t="s">
        <v>136</v>
      </c>
      <c r="P4915" s="6" t="s">
        <v>51</v>
      </c>
      <c r="Q4915" s="8" t="s">
        <v>52</v>
      </c>
      <c r="R4915" s="10" t="s">
        <v>28317</v>
      </c>
      <c r="S4915" s="11" t="s">
        <v>28318</v>
      </c>
      <c r="T4915" s="6" t="s">
        <v>97</v>
      </c>
      <c r="U4915" s="15" t="str">
        <f>HYPERLINK("https://media.infra-m.ru/2218/2218682/cover/2218682.jpg", "Обложка")</f>
        <v>Обложка</v>
      </c>
      <c r="V4915" s="8" t="s">
        <v>28319</v>
      </c>
      <c r="W4915" s="6"/>
      <c r="X4915" s="6"/>
      <c r="Y4915" s="6"/>
      <c r="Z4915" s="6"/>
      <c r="AA4915" s="6" t="s">
        <v>623</v>
      </c>
      <c r="AB4915" s="8"/>
      <c r="AC4915" s="27">
        <v>9785369019603</v>
      </c>
    </row>
    <row r="4916" spans="1:29" s="4" customFormat="1" ht="51.9" customHeight="1" x14ac:dyDescent="0.2">
      <c r="A4916" s="5">
        <v>0</v>
      </c>
      <c r="B4916" s="6" t="s">
        <v>28334</v>
      </c>
      <c r="C4916" s="7">
        <v>1836</v>
      </c>
      <c r="D4916" s="8" t="s">
        <v>28335</v>
      </c>
      <c r="E4916" s="8" t="s">
        <v>28336</v>
      </c>
      <c r="F4916" s="8" t="s">
        <v>28315</v>
      </c>
      <c r="G4916" s="6" t="s">
        <v>60</v>
      </c>
      <c r="H4916" s="6" t="s">
        <v>313</v>
      </c>
      <c r="I4916" s="8" t="s">
        <v>392</v>
      </c>
      <c r="J4916" s="9">
        <v>1</v>
      </c>
      <c r="K4916" s="9">
        <v>246</v>
      </c>
      <c r="L4916" s="9">
        <v>2026</v>
      </c>
      <c r="M4916" s="8" t="s">
        <v>28337</v>
      </c>
      <c r="N4916" s="8" t="s">
        <v>37</v>
      </c>
      <c r="O4916" s="8" t="s">
        <v>136</v>
      </c>
      <c r="P4916" s="6" t="s">
        <v>51</v>
      </c>
      <c r="Q4916" s="8" t="s">
        <v>52</v>
      </c>
      <c r="R4916" s="10" t="s">
        <v>28317</v>
      </c>
      <c r="S4916" s="11" t="s">
        <v>28318</v>
      </c>
      <c r="T4916" s="6" t="s">
        <v>97</v>
      </c>
      <c r="U4916" s="15" t="str">
        <f>HYPERLINK("https://media.infra-m.ru/2243/2243397/cover/2243397.jpg", "Обложка")</f>
        <v>Обложка</v>
      </c>
      <c r="V4916" s="8" t="s">
        <v>28319</v>
      </c>
      <c r="W4916" s="6" t="s">
        <v>9380</v>
      </c>
      <c r="X4916" s="6"/>
      <c r="Y4916" s="6"/>
      <c r="Z4916" s="6"/>
      <c r="AA4916" s="6" t="s">
        <v>623</v>
      </c>
      <c r="AB4916" s="8"/>
      <c r="AC4916" s="27">
        <v>9785369030172</v>
      </c>
    </row>
    <row r="4917" spans="1:29" s="4" customFormat="1" ht="51.9" customHeight="1" x14ac:dyDescent="0.2">
      <c r="A4917" s="5">
        <v>0</v>
      </c>
      <c r="B4917" s="6" t="s">
        <v>28338</v>
      </c>
      <c r="C4917" s="7">
        <v>1172.4000000000001</v>
      </c>
      <c r="D4917" s="8" t="s">
        <v>28339</v>
      </c>
      <c r="E4917" s="8" t="s">
        <v>28340</v>
      </c>
      <c r="F4917" s="8" t="s">
        <v>28341</v>
      </c>
      <c r="G4917" s="6" t="s">
        <v>33</v>
      </c>
      <c r="H4917" s="6" t="s">
        <v>820</v>
      </c>
      <c r="I4917" s="8"/>
      <c r="J4917" s="9">
        <v>1</v>
      </c>
      <c r="K4917" s="9">
        <v>144</v>
      </c>
      <c r="L4917" s="9">
        <v>2025</v>
      </c>
      <c r="M4917" s="8" t="s">
        <v>28342</v>
      </c>
      <c r="N4917" s="8" t="s">
        <v>585</v>
      </c>
      <c r="O4917" s="8" t="s">
        <v>667</v>
      </c>
      <c r="P4917" s="6" t="s">
        <v>51</v>
      </c>
      <c r="Q4917" s="8" t="s">
        <v>65</v>
      </c>
      <c r="R4917" s="10" t="s">
        <v>28343</v>
      </c>
      <c r="S4917" s="11"/>
      <c r="T4917" s="6"/>
      <c r="U4917" s="15" t="str">
        <f>HYPERLINK("https://media.infra-m.ru/2192/2192419/cover/2192419.jpg", "Обложка")</f>
        <v>Обложка</v>
      </c>
      <c r="V4917" s="8" t="s">
        <v>1206</v>
      </c>
      <c r="W4917" s="6"/>
      <c r="X4917" s="6"/>
      <c r="Y4917" s="6"/>
      <c r="Z4917" s="6"/>
      <c r="AA4917" s="6" t="s">
        <v>274</v>
      </c>
      <c r="AB4917" s="8"/>
      <c r="AC4917" s="27">
        <v>9785905554797</v>
      </c>
    </row>
    <row r="4918" spans="1:29" s="4" customFormat="1" ht="51.9" customHeight="1" x14ac:dyDescent="0.2">
      <c r="A4918" s="5">
        <v>0</v>
      </c>
      <c r="B4918" s="6" t="s">
        <v>28344</v>
      </c>
      <c r="C4918" s="7">
        <v>2884.8</v>
      </c>
      <c r="D4918" s="8" t="s">
        <v>28345</v>
      </c>
      <c r="E4918" s="8" t="s">
        <v>28346</v>
      </c>
      <c r="F4918" s="8" t="s">
        <v>28347</v>
      </c>
      <c r="G4918" s="6" t="s">
        <v>60</v>
      </c>
      <c r="H4918" s="6" t="s">
        <v>34</v>
      </c>
      <c r="I4918" s="8" t="s">
        <v>253</v>
      </c>
      <c r="J4918" s="9">
        <v>1</v>
      </c>
      <c r="K4918" s="9">
        <v>414</v>
      </c>
      <c r="L4918" s="9">
        <v>2027</v>
      </c>
      <c r="M4918" s="8" t="s">
        <v>28348</v>
      </c>
      <c r="N4918" s="8" t="s">
        <v>585</v>
      </c>
      <c r="O4918" s="8" t="s">
        <v>775</v>
      </c>
      <c r="P4918" s="6" t="s">
        <v>51</v>
      </c>
      <c r="Q4918" s="8" t="s">
        <v>52</v>
      </c>
      <c r="R4918" s="10" t="s">
        <v>785</v>
      </c>
      <c r="S4918" s="11" t="s">
        <v>28349</v>
      </c>
      <c r="T4918" s="6" t="s">
        <v>97</v>
      </c>
      <c r="U4918" s="15" t="str">
        <f>HYPERLINK("https://media.infra-m.ru/2258/2258095/cover/2258095.jpg", "Обложка")</f>
        <v>Обложка</v>
      </c>
      <c r="V4918" s="8" t="s">
        <v>7429</v>
      </c>
      <c r="W4918" s="6"/>
      <c r="X4918" s="6"/>
      <c r="Y4918" s="6"/>
      <c r="Z4918" s="6"/>
      <c r="AA4918" s="6" t="s">
        <v>896</v>
      </c>
      <c r="AB4918" s="8"/>
      <c r="AC4918" s="27">
        <v>9785160188584</v>
      </c>
    </row>
    <row r="4919" spans="1:29" s="4" customFormat="1" ht="51.9" customHeight="1" x14ac:dyDescent="0.2">
      <c r="A4919" s="5">
        <v>0</v>
      </c>
      <c r="B4919" s="6" t="s">
        <v>28350</v>
      </c>
      <c r="C4919" s="7">
        <v>1781.9</v>
      </c>
      <c r="D4919" s="8" t="s">
        <v>28351</v>
      </c>
      <c r="E4919" s="8" t="s">
        <v>28352</v>
      </c>
      <c r="F4919" s="8" t="s">
        <v>28347</v>
      </c>
      <c r="G4919" s="6" t="s">
        <v>118</v>
      </c>
      <c r="H4919" s="6" t="s">
        <v>34</v>
      </c>
      <c r="I4919" s="8" t="s">
        <v>271</v>
      </c>
      <c r="J4919" s="9">
        <v>1</v>
      </c>
      <c r="K4919" s="9">
        <v>401</v>
      </c>
      <c r="L4919" s="9">
        <v>2022</v>
      </c>
      <c r="M4919" s="8" t="s">
        <v>28353</v>
      </c>
      <c r="N4919" s="8" t="s">
        <v>585</v>
      </c>
      <c r="O4919" s="8" t="s">
        <v>775</v>
      </c>
      <c r="P4919" s="6" t="s">
        <v>51</v>
      </c>
      <c r="Q4919" s="8" t="s">
        <v>52</v>
      </c>
      <c r="R4919" s="10" t="s">
        <v>785</v>
      </c>
      <c r="S4919" s="11" t="s">
        <v>28354</v>
      </c>
      <c r="T4919" s="6" t="s">
        <v>97</v>
      </c>
      <c r="U4919" s="15" t="str">
        <f>HYPERLINK("https://media.infra-m.ru/1660/1660301/cover/1660301.jpg", "Обложка")</f>
        <v>Обложка</v>
      </c>
      <c r="V4919" s="8" t="s">
        <v>7429</v>
      </c>
      <c r="W4919" s="6"/>
      <c r="X4919" s="6"/>
      <c r="Y4919" s="6"/>
      <c r="Z4919" s="6"/>
      <c r="AA4919" s="6" t="s">
        <v>274</v>
      </c>
      <c r="AB4919" s="8"/>
      <c r="AC4919" s="27">
        <v>9785160101125</v>
      </c>
    </row>
    <row r="4920" spans="1:29" s="4" customFormat="1" ht="51.9" customHeight="1" x14ac:dyDescent="0.2">
      <c r="A4920" s="5">
        <v>0</v>
      </c>
      <c r="B4920" s="6" t="s">
        <v>28355</v>
      </c>
      <c r="C4920" s="7">
        <v>1716</v>
      </c>
      <c r="D4920" s="8" t="s">
        <v>28356</v>
      </c>
      <c r="E4920" s="8" t="s">
        <v>28357</v>
      </c>
      <c r="F4920" s="8" t="s">
        <v>28358</v>
      </c>
      <c r="G4920" s="6" t="s">
        <v>118</v>
      </c>
      <c r="H4920" s="6" t="s">
        <v>34</v>
      </c>
      <c r="I4920" s="8" t="s">
        <v>253</v>
      </c>
      <c r="J4920" s="9">
        <v>1</v>
      </c>
      <c r="K4920" s="9">
        <v>303</v>
      </c>
      <c r="L4920" s="9">
        <v>2024</v>
      </c>
      <c r="M4920" s="8" t="s">
        <v>28359</v>
      </c>
      <c r="N4920" s="8" t="s">
        <v>243</v>
      </c>
      <c r="O4920" s="8" t="s">
        <v>329</v>
      </c>
      <c r="P4920" s="6" t="s">
        <v>51</v>
      </c>
      <c r="Q4920" s="8" t="s">
        <v>65</v>
      </c>
      <c r="R4920" s="10" t="s">
        <v>28360</v>
      </c>
      <c r="S4920" s="11" t="s">
        <v>28361</v>
      </c>
      <c r="T4920" s="6"/>
      <c r="U4920" s="15" t="str">
        <f>HYPERLINK("https://media.infra-m.ru/2135/2135238/cover/2135238.jpg", "Обложка")</f>
        <v>Обложка</v>
      </c>
      <c r="V4920" s="8" t="s">
        <v>12351</v>
      </c>
      <c r="W4920" s="6"/>
      <c r="X4920" s="6"/>
      <c r="Y4920" s="6"/>
      <c r="Z4920" s="6"/>
      <c r="AA4920" s="6" t="s">
        <v>99</v>
      </c>
      <c r="AB4920" s="8"/>
      <c r="AC4920" s="27">
        <v>9785160199221</v>
      </c>
    </row>
    <row r="4921" spans="1:29" s="4" customFormat="1" ht="51.9" customHeight="1" x14ac:dyDescent="0.2">
      <c r="A4921" s="5">
        <v>0</v>
      </c>
      <c r="B4921" s="6" t="s">
        <v>28362</v>
      </c>
      <c r="C4921" s="7">
        <v>1732.8</v>
      </c>
      <c r="D4921" s="8" t="s">
        <v>28363</v>
      </c>
      <c r="E4921" s="8" t="s">
        <v>28364</v>
      </c>
      <c r="F4921" s="8" t="s">
        <v>28365</v>
      </c>
      <c r="G4921" s="6" t="s">
        <v>118</v>
      </c>
      <c r="H4921" s="6" t="s">
        <v>1042</v>
      </c>
      <c r="I4921" s="8" t="s">
        <v>263</v>
      </c>
      <c r="J4921" s="9">
        <v>1</v>
      </c>
      <c r="K4921" s="9">
        <v>288</v>
      </c>
      <c r="L4921" s="9">
        <v>2025</v>
      </c>
      <c r="M4921" s="8" t="s">
        <v>28366</v>
      </c>
      <c r="N4921" s="8" t="s">
        <v>63</v>
      </c>
      <c r="O4921" s="8" t="s">
        <v>154</v>
      </c>
      <c r="P4921" s="6" t="s">
        <v>306</v>
      </c>
      <c r="Q4921" s="8" t="s">
        <v>265</v>
      </c>
      <c r="R4921" s="10" t="s">
        <v>28367</v>
      </c>
      <c r="S4921" s="11" t="s">
        <v>444</v>
      </c>
      <c r="T4921" s="6"/>
      <c r="U4921" s="15" t="str">
        <f>HYPERLINK("https://media.infra-m.ru/2165/2165403/cover/2165403.jpg", "Обложка")</f>
        <v>Обложка</v>
      </c>
      <c r="V4921" s="8" t="s">
        <v>5951</v>
      </c>
      <c r="W4921" s="6"/>
      <c r="X4921" s="6"/>
      <c r="Y4921" s="6"/>
      <c r="Z4921" s="6"/>
      <c r="AA4921" s="6" t="s">
        <v>1506</v>
      </c>
      <c r="AB4921" s="8"/>
      <c r="AC4921" s="27">
        <v>9785819907023</v>
      </c>
    </row>
    <row r="4922" spans="1:29" s="4" customFormat="1" ht="44.1" customHeight="1" x14ac:dyDescent="0.2">
      <c r="A4922" s="5">
        <v>0</v>
      </c>
      <c r="B4922" s="6" t="s">
        <v>28368</v>
      </c>
      <c r="C4922" s="7">
        <v>1908</v>
      </c>
      <c r="D4922" s="8" t="s">
        <v>28369</v>
      </c>
      <c r="E4922" s="8" t="s">
        <v>28370</v>
      </c>
      <c r="F4922" s="8" t="s">
        <v>28371</v>
      </c>
      <c r="G4922" s="6" t="s">
        <v>60</v>
      </c>
      <c r="H4922" s="6" t="s">
        <v>34</v>
      </c>
      <c r="I4922" s="8" t="s">
        <v>253</v>
      </c>
      <c r="J4922" s="9">
        <v>1</v>
      </c>
      <c r="K4922" s="9">
        <v>289</v>
      </c>
      <c r="L4922" s="9">
        <v>2026</v>
      </c>
      <c r="M4922" s="8" t="s">
        <v>28372</v>
      </c>
      <c r="N4922" s="8" t="s">
        <v>63</v>
      </c>
      <c r="O4922" s="8" t="s">
        <v>154</v>
      </c>
      <c r="P4922" s="6" t="s">
        <v>306</v>
      </c>
      <c r="Q4922" s="8" t="s">
        <v>52</v>
      </c>
      <c r="R4922" s="10" t="s">
        <v>28373</v>
      </c>
      <c r="S4922" s="11"/>
      <c r="T4922" s="6"/>
      <c r="U4922" s="15" t="str">
        <f>HYPERLINK("https://media.infra-m.ru/2237/2237016/cover/2237016.jpg", "Обложка")</f>
        <v>Обложка</v>
      </c>
      <c r="V4922" s="8" t="s">
        <v>5951</v>
      </c>
      <c r="W4922" s="6" t="s">
        <v>351</v>
      </c>
      <c r="X4922" s="6"/>
      <c r="Y4922" s="6"/>
      <c r="Z4922" s="6"/>
      <c r="AA4922" s="6" t="s">
        <v>650</v>
      </c>
      <c r="AB4922" s="8"/>
      <c r="AC4922" s="27">
        <v>9785160217376</v>
      </c>
    </row>
    <row r="4923" spans="1:29" s="4" customFormat="1" ht="42" customHeight="1" x14ac:dyDescent="0.2">
      <c r="A4923" s="5">
        <v>0</v>
      </c>
      <c r="B4923" s="6" t="s">
        <v>28374</v>
      </c>
      <c r="C4923" s="7">
        <v>2016</v>
      </c>
      <c r="D4923" s="8" t="s">
        <v>28375</v>
      </c>
      <c r="E4923" s="8" t="s">
        <v>28370</v>
      </c>
      <c r="F4923" s="8" t="s">
        <v>28371</v>
      </c>
      <c r="G4923" s="6" t="s">
        <v>118</v>
      </c>
      <c r="H4923" s="6" t="s">
        <v>34</v>
      </c>
      <c r="I4923" s="8" t="s">
        <v>263</v>
      </c>
      <c r="J4923" s="9">
        <v>1</v>
      </c>
      <c r="K4923" s="9">
        <v>289</v>
      </c>
      <c r="L4923" s="9">
        <v>2027</v>
      </c>
      <c r="M4923" s="8" t="s">
        <v>28376</v>
      </c>
      <c r="N4923" s="8" t="s">
        <v>63</v>
      </c>
      <c r="O4923" s="8" t="s">
        <v>154</v>
      </c>
      <c r="P4923" s="6" t="s">
        <v>306</v>
      </c>
      <c r="Q4923" s="8" t="s">
        <v>265</v>
      </c>
      <c r="R4923" s="10" t="s">
        <v>28367</v>
      </c>
      <c r="S4923" s="11"/>
      <c r="T4923" s="6"/>
      <c r="U4923" s="15" t="str">
        <f>HYPERLINK("https://media.infra-m.ru/2266/2266524/cover/2266524.jpg", "Обложка")</f>
        <v>Обложка</v>
      </c>
      <c r="V4923" s="8" t="s">
        <v>5951</v>
      </c>
      <c r="W4923" s="6"/>
      <c r="X4923" s="6"/>
      <c r="Y4923" s="6"/>
      <c r="Z4923" s="6"/>
      <c r="AA4923" s="6" t="s">
        <v>650</v>
      </c>
      <c r="AB4923" s="8"/>
      <c r="AC4923" s="27">
        <v>9785160209708</v>
      </c>
    </row>
    <row r="4924" spans="1:29" s="4" customFormat="1" ht="51.9" customHeight="1" x14ac:dyDescent="0.2">
      <c r="A4924" s="5">
        <v>0</v>
      </c>
      <c r="B4924" s="6" t="s">
        <v>28377</v>
      </c>
      <c r="C4924" s="7">
        <v>1792.8</v>
      </c>
      <c r="D4924" s="8" t="s">
        <v>28378</v>
      </c>
      <c r="E4924" s="8" t="s">
        <v>28379</v>
      </c>
      <c r="F4924" s="8" t="s">
        <v>28380</v>
      </c>
      <c r="G4924" s="6" t="s">
        <v>118</v>
      </c>
      <c r="H4924" s="6" t="s">
        <v>34</v>
      </c>
      <c r="I4924" s="8" t="s">
        <v>271</v>
      </c>
      <c r="J4924" s="9">
        <v>1</v>
      </c>
      <c r="K4924" s="9">
        <v>256</v>
      </c>
      <c r="L4924" s="9">
        <v>2027</v>
      </c>
      <c r="M4924" s="8" t="s">
        <v>28381</v>
      </c>
      <c r="N4924" s="8" t="s">
        <v>585</v>
      </c>
      <c r="O4924" s="8" t="s">
        <v>1518</v>
      </c>
      <c r="P4924" s="6" t="s">
        <v>51</v>
      </c>
      <c r="Q4924" s="8" t="s">
        <v>52</v>
      </c>
      <c r="R4924" s="10" t="s">
        <v>28382</v>
      </c>
      <c r="S4924" s="11"/>
      <c r="T4924" s="6"/>
      <c r="U4924" s="15" t="str">
        <f>HYPERLINK("https://media.infra-m.ru/2271/2271616/cover/2271616.jpg", "Обложка")</f>
        <v>Обложка</v>
      </c>
      <c r="V4924" s="8" t="s">
        <v>831</v>
      </c>
      <c r="W4924" s="6"/>
      <c r="X4924" s="6" t="s">
        <v>24</v>
      </c>
      <c r="Y4924" s="6"/>
      <c r="Z4924" s="6"/>
      <c r="AA4924" s="6" t="s">
        <v>874</v>
      </c>
      <c r="AB4924" s="8"/>
      <c r="AC4924" s="27">
        <v>9785160100661</v>
      </c>
    </row>
    <row r="4925" spans="1:29" s="4" customFormat="1" ht="51.9" customHeight="1" x14ac:dyDescent="0.2">
      <c r="A4925" s="5">
        <v>0</v>
      </c>
      <c r="B4925" s="6" t="s">
        <v>28383</v>
      </c>
      <c r="C4925" s="13">
        <v>844.8</v>
      </c>
      <c r="D4925" s="8" t="s">
        <v>28384</v>
      </c>
      <c r="E4925" s="8" t="s">
        <v>28385</v>
      </c>
      <c r="F4925" s="8" t="s">
        <v>28386</v>
      </c>
      <c r="G4925" s="6" t="s">
        <v>33</v>
      </c>
      <c r="H4925" s="6" t="s">
        <v>48</v>
      </c>
      <c r="I4925" s="8"/>
      <c r="J4925" s="9">
        <v>1</v>
      </c>
      <c r="K4925" s="9">
        <v>128</v>
      </c>
      <c r="L4925" s="9">
        <v>2026</v>
      </c>
      <c r="M4925" s="8" t="s">
        <v>28387</v>
      </c>
      <c r="N4925" s="8" t="s">
        <v>585</v>
      </c>
      <c r="O4925" s="8" t="s">
        <v>775</v>
      </c>
      <c r="P4925" s="6" t="s">
        <v>51</v>
      </c>
      <c r="Q4925" s="8" t="s">
        <v>65</v>
      </c>
      <c r="R4925" s="10" t="s">
        <v>25589</v>
      </c>
      <c r="S4925" s="11" t="s">
        <v>28388</v>
      </c>
      <c r="T4925" s="6"/>
      <c r="U4925" s="15" t="str">
        <f>HYPERLINK("https://media.infra-m.ru/2247/2247882/cover/2247882.jpg", "Обложка")</f>
        <v>Обложка</v>
      </c>
      <c r="V4925" s="8" t="s">
        <v>28389</v>
      </c>
      <c r="W4925" s="6"/>
      <c r="X4925" s="6"/>
      <c r="Y4925" s="6"/>
      <c r="Z4925" s="6"/>
      <c r="AA4925" s="6" t="s">
        <v>43</v>
      </c>
      <c r="AB4925" s="8"/>
      <c r="AC4925" s="27">
        <v>9785911346324</v>
      </c>
    </row>
    <row r="4926" spans="1:29" s="4" customFormat="1" ht="51.9" customHeight="1" x14ac:dyDescent="0.2">
      <c r="A4926" s="5">
        <v>0</v>
      </c>
      <c r="B4926" s="6" t="s">
        <v>28390</v>
      </c>
      <c r="C4926" s="13">
        <v>688.8</v>
      </c>
      <c r="D4926" s="8" t="s">
        <v>28391</v>
      </c>
      <c r="E4926" s="8" t="s">
        <v>28385</v>
      </c>
      <c r="F4926" s="8" t="s">
        <v>28392</v>
      </c>
      <c r="G4926" s="6" t="s">
        <v>33</v>
      </c>
      <c r="H4926" s="6" t="s">
        <v>48</v>
      </c>
      <c r="I4926" s="8" t="s">
        <v>263</v>
      </c>
      <c r="J4926" s="9">
        <v>1</v>
      </c>
      <c r="K4926" s="9">
        <v>126</v>
      </c>
      <c r="L4926" s="9">
        <v>2023</v>
      </c>
      <c r="M4926" s="8" t="s">
        <v>28393</v>
      </c>
      <c r="N4926" s="8" t="s">
        <v>585</v>
      </c>
      <c r="O4926" s="8" t="s">
        <v>775</v>
      </c>
      <c r="P4926" s="6" t="s">
        <v>51</v>
      </c>
      <c r="Q4926" s="8" t="s">
        <v>265</v>
      </c>
      <c r="R4926" s="10" t="s">
        <v>28394</v>
      </c>
      <c r="S4926" s="11" t="s">
        <v>28395</v>
      </c>
      <c r="T4926" s="6"/>
      <c r="U4926" s="15" t="str">
        <f>HYPERLINK("https://media.infra-m.ru/2021/2021468/cover/2021468.jpg", "Обложка")</f>
        <v>Обложка</v>
      </c>
      <c r="V4926" s="8" t="s">
        <v>28389</v>
      </c>
      <c r="W4926" s="6"/>
      <c r="X4926" s="6"/>
      <c r="Y4926" s="6"/>
      <c r="Z4926" s="6" t="s">
        <v>882</v>
      </c>
      <c r="AA4926" s="6" t="s">
        <v>115</v>
      </c>
      <c r="AB4926" s="8"/>
      <c r="AC4926" s="27">
        <v>9785000915875</v>
      </c>
    </row>
    <row r="4927" spans="1:29" s="4" customFormat="1" ht="51.9" customHeight="1" x14ac:dyDescent="0.2">
      <c r="A4927" s="5">
        <v>0</v>
      </c>
      <c r="B4927" s="6" t="s">
        <v>28396</v>
      </c>
      <c r="C4927" s="7">
        <v>2352</v>
      </c>
      <c r="D4927" s="8" t="s">
        <v>28397</v>
      </c>
      <c r="E4927" s="8" t="s">
        <v>28398</v>
      </c>
      <c r="F4927" s="8" t="s">
        <v>28399</v>
      </c>
      <c r="G4927" s="6" t="s">
        <v>118</v>
      </c>
      <c r="H4927" s="6" t="s">
        <v>34</v>
      </c>
      <c r="I4927" s="8" t="s">
        <v>263</v>
      </c>
      <c r="J4927" s="9">
        <v>1</v>
      </c>
      <c r="K4927" s="9">
        <v>338</v>
      </c>
      <c r="L4927" s="9">
        <v>2027</v>
      </c>
      <c r="M4927" s="8" t="s">
        <v>28400</v>
      </c>
      <c r="N4927" s="8" t="s">
        <v>243</v>
      </c>
      <c r="O4927" s="8" t="s">
        <v>758</v>
      </c>
      <c r="P4927" s="6" t="s">
        <v>51</v>
      </c>
      <c r="Q4927" s="8" t="s">
        <v>265</v>
      </c>
      <c r="R4927" s="10" t="s">
        <v>28401</v>
      </c>
      <c r="S4927" s="11" t="s">
        <v>28402</v>
      </c>
      <c r="T4927" s="6"/>
      <c r="U4927" s="15" t="str">
        <f>HYPERLINK("https://media.infra-m.ru/2267/2267172/cover/2267172.jpg", "Обложка")</f>
        <v>Обложка</v>
      </c>
      <c r="V4927" s="8" t="s">
        <v>227</v>
      </c>
      <c r="W4927" s="6"/>
      <c r="X4927" s="6"/>
      <c r="Y4927" s="6"/>
      <c r="Z4927" s="6"/>
      <c r="AA4927" s="6" t="s">
        <v>779</v>
      </c>
      <c r="AB4927" s="8" t="s">
        <v>1418</v>
      </c>
      <c r="AC4927" s="27">
        <v>9785160115276</v>
      </c>
    </row>
    <row r="4928" spans="1:29" s="4" customFormat="1" ht="42" customHeight="1" x14ac:dyDescent="0.2">
      <c r="A4928" s="5">
        <v>0</v>
      </c>
      <c r="B4928" s="6" t="s">
        <v>28403</v>
      </c>
      <c r="C4928" s="7">
        <v>1704</v>
      </c>
      <c r="D4928" s="8" t="s">
        <v>28404</v>
      </c>
      <c r="E4928" s="8" t="s">
        <v>28405</v>
      </c>
      <c r="F4928" s="8" t="s">
        <v>28406</v>
      </c>
      <c r="G4928" s="6" t="s">
        <v>60</v>
      </c>
      <c r="H4928" s="6" t="s">
        <v>34</v>
      </c>
      <c r="I4928" s="8" t="s">
        <v>253</v>
      </c>
      <c r="J4928" s="9">
        <v>1</v>
      </c>
      <c r="K4928" s="9">
        <v>271</v>
      </c>
      <c r="L4928" s="9">
        <v>2025</v>
      </c>
      <c r="M4928" s="8" t="s">
        <v>28407</v>
      </c>
      <c r="N4928" s="8" t="s">
        <v>243</v>
      </c>
      <c r="O4928" s="8" t="s">
        <v>1100</v>
      </c>
      <c r="P4928" s="6" t="s">
        <v>51</v>
      </c>
      <c r="Q4928" s="8" t="s">
        <v>65</v>
      </c>
      <c r="R4928" s="10" t="s">
        <v>5837</v>
      </c>
      <c r="S4928" s="11"/>
      <c r="T4928" s="6"/>
      <c r="U4928" s="15" t="str">
        <f>HYPERLINK("https://media.infra-m.ru/2131/2131272/cover/2131272.jpg", "Обложка")</f>
        <v>Обложка</v>
      </c>
      <c r="V4928" s="8" t="s">
        <v>13400</v>
      </c>
      <c r="W4928" s="6"/>
      <c r="X4928" s="6"/>
      <c r="Y4928" s="6"/>
      <c r="Z4928" s="6"/>
      <c r="AA4928" s="6" t="s">
        <v>76</v>
      </c>
      <c r="AB4928" s="8"/>
      <c r="AC4928" s="27">
        <v>9785160196190</v>
      </c>
    </row>
    <row r="4929" spans="1:29" s="4" customFormat="1" ht="44.1" customHeight="1" x14ac:dyDescent="0.2">
      <c r="A4929" s="5">
        <v>0</v>
      </c>
      <c r="B4929" s="6" t="s">
        <v>28408</v>
      </c>
      <c r="C4929" s="7">
        <v>2076</v>
      </c>
      <c r="D4929" s="8" t="s">
        <v>28409</v>
      </c>
      <c r="E4929" s="8" t="s">
        <v>28410</v>
      </c>
      <c r="F4929" s="8" t="s">
        <v>13616</v>
      </c>
      <c r="G4929" s="6" t="s">
        <v>118</v>
      </c>
      <c r="H4929" s="6" t="s">
        <v>34</v>
      </c>
      <c r="I4929" s="8" t="s">
        <v>253</v>
      </c>
      <c r="J4929" s="9">
        <v>1</v>
      </c>
      <c r="K4929" s="9">
        <v>315</v>
      </c>
      <c r="L4929" s="9">
        <v>2026</v>
      </c>
      <c r="M4929" s="8" t="s">
        <v>28411</v>
      </c>
      <c r="N4929" s="8" t="s">
        <v>63</v>
      </c>
      <c r="O4929" s="8" t="s">
        <v>126</v>
      </c>
      <c r="P4929" s="6" t="s">
        <v>51</v>
      </c>
      <c r="Q4929" s="8" t="s">
        <v>52</v>
      </c>
      <c r="R4929" s="10" t="s">
        <v>28412</v>
      </c>
      <c r="S4929" s="11"/>
      <c r="T4929" s="6"/>
      <c r="U4929" s="15" t="str">
        <f>HYPERLINK("https://media.infra-m.ru/2239/2239058/cover/2239058.jpg", "Обложка")</f>
        <v>Обложка</v>
      </c>
      <c r="V4929" s="8" t="s">
        <v>588</v>
      </c>
      <c r="W4929" s="6"/>
      <c r="X4929" s="6"/>
      <c r="Y4929" s="6"/>
      <c r="Z4929" s="6"/>
      <c r="AA4929" s="6" t="s">
        <v>76</v>
      </c>
      <c r="AB4929" s="8"/>
      <c r="AC4929" s="27">
        <v>9785160175553</v>
      </c>
    </row>
    <row r="4930" spans="1:29" s="4" customFormat="1" ht="51.9" customHeight="1" x14ac:dyDescent="0.2">
      <c r="A4930" s="5">
        <v>0</v>
      </c>
      <c r="B4930" s="6" t="s">
        <v>28413</v>
      </c>
      <c r="C4930" s="7">
        <v>1528.8</v>
      </c>
      <c r="D4930" s="8" t="s">
        <v>28414</v>
      </c>
      <c r="E4930" s="8" t="s">
        <v>28415</v>
      </c>
      <c r="F4930" s="8" t="s">
        <v>28416</v>
      </c>
      <c r="G4930" s="6" t="s">
        <v>118</v>
      </c>
      <c r="H4930" s="6" t="s">
        <v>34</v>
      </c>
      <c r="I4930" s="8" t="s">
        <v>263</v>
      </c>
      <c r="J4930" s="9">
        <v>1</v>
      </c>
      <c r="K4930" s="9">
        <v>231</v>
      </c>
      <c r="L4930" s="9">
        <v>2027</v>
      </c>
      <c r="M4930" s="8" t="s">
        <v>28417</v>
      </c>
      <c r="N4930" s="8" t="s">
        <v>93</v>
      </c>
      <c r="O4930" s="8" t="s">
        <v>94</v>
      </c>
      <c r="P4930" s="6" t="s">
        <v>51</v>
      </c>
      <c r="Q4930" s="8" t="s">
        <v>265</v>
      </c>
      <c r="R4930" s="10" t="s">
        <v>28418</v>
      </c>
      <c r="S4930" s="11"/>
      <c r="T4930" s="6" t="s">
        <v>97</v>
      </c>
      <c r="U4930" s="15" t="str">
        <f>HYPERLINK("https://media.infra-m.ru/2210/2210472/cover/2210472.jpg", "Обложка")</f>
        <v>Обложка</v>
      </c>
      <c r="V4930" s="8" t="s">
        <v>546</v>
      </c>
      <c r="W4930" s="6"/>
      <c r="X4930" s="6"/>
      <c r="Y4930" s="6"/>
      <c r="Z4930" s="6" t="s">
        <v>267</v>
      </c>
      <c r="AA4930" s="6" t="s">
        <v>218</v>
      </c>
      <c r="AB4930" s="8"/>
      <c r="AC4930" s="27">
        <v>9785160152677</v>
      </c>
    </row>
    <row r="4931" spans="1:29" s="4" customFormat="1" ht="51.9" customHeight="1" x14ac:dyDescent="0.2">
      <c r="A4931" s="5">
        <v>0</v>
      </c>
      <c r="B4931" s="6" t="s">
        <v>28419</v>
      </c>
      <c r="C4931" s="7">
        <v>1060.8</v>
      </c>
      <c r="D4931" s="8" t="s">
        <v>28420</v>
      </c>
      <c r="E4931" s="8" t="s">
        <v>28415</v>
      </c>
      <c r="F4931" s="8" t="s">
        <v>28416</v>
      </c>
      <c r="G4931" s="6" t="s">
        <v>118</v>
      </c>
      <c r="H4931" s="6" t="s">
        <v>34</v>
      </c>
      <c r="I4931" s="8" t="s">
        <v>253</v>
      </c>
      <c r="J4931" s="9">
        <v>1</v>
      </c>
      <c r="K4931" s="9">
        <v>152</v>
      </c>
      <c r="L4931" s="9">
        <v>2027</v>
      </c>
      <c r="M4931" s="8" t="s">
        <v>28421</v>
      </c>
      <c r="N4931" s="8" t="s">
        <v>93</v>
      </c>
      <c r="O4931" s="8" t="s">
        <v>94</v>
      </c>
      <c r="P4931" s="6" t="s">
        <v>51</v>
      </c>
      <c r="Q4931" s="8" t="s">
        <v>52</v>
      </c>
      <c r="R4931" s="10" t="s">
        <v>11024</v>
      </c>
      <c r="S4931" s="11" t="s">
        <v>28422</v>
      </c>
      <c r="T4931" s="6" t="s">
        <v>97</v>
      </c>
      <c r="U4931" s="15" t="str">
        <f>HYPERLINK("https://media.infra-m.ru/2256/2256484/cover/2256484.jpg", "Обложка")</f>
        <v>Обложка</v>
      </c>
      <c r="V4931" s="8" t="s">
        <v>546</v>
      </c>
      <c r="W4931" s="6"/>
      <c r="X4931" s="6"/>
      <c r="Y4931" s="6"/>
      <c r="Z4931" s="6"/>
      <c r="AA4931" s="6" t="s">
        <v>2240</v>
      </c>
      <c r="AB4931" s="8"/>
      <c r="AC4931" s="27">
        <v>9785160190808</v>
      </c>
    </row>
    <row r="4932" spans="1:29" s="4" customFormat="1" ht="51.9" customHeight="1" x14ac:dyDescent="0.2">
      <c r="A4932" s="5">
        <v>0</v>
      </c>
      <c r="B4932" s="6" t="s">
        <v>28423</v>
      </c>
      <c r="C4932" s="7">
        <v>2160</v>
      </c>
      <c r="D4932" s="8" t="s">
        <v>28424</v>
      </c>
      <c r="E4932" s="8" t="s">
        <v>28425</v>
      </c>
      <c r="F4932" s="8" t="s">
        <v>21165</v>
      </c>
      <c r="G4932" s="6" t="s">
        <v>118</v>
      </c>
      <c r="H4932" s="6" t="s">
        <v>34</v>
      </c>
      <c r="I4932" s="8" t="s">
        <v>253</v>
      </c>
      <c r="J4932" s="9">
        <v>1</v>
      </c>
      <c r="K4932" s="9">
        <v>327</v>
      </c>
      <c r="L4932" s="9">
        <v>2026</v>
      </c>
      <c r="M4932" s="8" t="s">
        <v>28426</v>
      </c>
      <c r="N4932" s="8" t="s">
        <v>243</v>
      </c>
      <c r="O4932" s="8" t="s">
        <v>798</v>
      </c>
      <c r="P4932" s="6" t="s">
        <v>306</v>
      </c>
      <c r="Q4932" s="8" t="s">
        <v>65</v>
      </c>
      <c r="R4932" s="10" t="s">
        <v>2870</v>
      </c>
      <c r="S4932" s="11"/>
      <c r="T4932" s="6"/>
      <c r="U4932" s="15" t="str">
        <f>HYPERLINK("https://media.infra-m.ru/2244/2244316/cover/2244316.jpg", "Обложка")</f>
        <v>Обложка</v>
      </c>
      <c r="V4932" s="8" t="s">
        <v>18741</v>
      </c>
      <c r="W4932" s="6"/>
      <c r="X4932" s="6"/>
      <c r="Y4932" s="6"/>
      <c r="Z4932" s="6"/>
      <c r="AA4932" s="6" t="s">
        <v>68</v>
      </c>
      <c r="AB4932" s="8" t="s">
        <v>1806</v>
      </c>
      <c r="AC4932" s="27">
        <v>9785160195353</v>
      </c>
    </row>
    <row r="4933" spans="1:29" s="4" customFormat="1" ht="51.9" customHeight="1" x14ac:dyDescent="0.2">
      <c r="A4933" s="5">
        <v>0</v>
      </c>
      <c r="B4933" s="6" t="s">
        <v>28427</v>
      </c>
      <c r="C4933" s="7">
        <v>2021.9</v>
      </c>
      <c r="D4933" s="8" t="s">
        <v>28428</v>
      </c>
      <c r="E4933" s="8" t="s">
        <v>28429</v>
      </c>
      <c r="F4933" s="8" t="s">
        <v>28430</v>
      </c>
      <c r="G4933" s="6" t="s">
        <v>60</v>
      </c>
      <c r="H4933" s="6" t="s">
        <v>48</v>
      </c>
      <c r="I4933" s="8" t="s">
        <v>271</v>
      </c>
      <c r="J4933" s="9">
        <v>1</v>
      </c>
      <c r="K4933" s="9">
        <v>375</v>
      </c>
      <c r="L4933" s="9">
        <v>2023</v>
      </c>
      <c r="M4933" s="8" t="s">
        <v>28431</v>
      </c>
      <c r="N4933" s="8" t="s">
        <v>37</v>
      </c>
      <c r="O4933" s="8" t="s">
        <v>280</v>
      </c>
      <c r="P4933" s="6" t="s">
        <v>51</v>
      </c>
      <c r="Q4933" s="8" t="s">
        <v>52</v>
      </c>
      <c r="R4933" s="10" t="s">
        <v>2640</v>
      </c>
      <c r="S4933" s="11" t="s">
        <v>28432</v>
      </c>
      <c r="T4933" s="6"/>
      <c r="U4933" s="15" t="str">
        <f>HYPERLINK("https://media.infra-m.ru/1898/1898392/cover/1898392.jpg", "Обложка")</f>
        <v>Обложка</v>
      </c>
      <c r="V4933" s="8" t="s">
        <v>9227</v>
      </c>
      <c r="W4933" s="6"/>
      <c r="X4933" s="6"/>
      <c r="Y4933" s="6"/>
      <c r="Z4933" s="6"/>
      <c r="AA4933" s="6" t="s">
        <v>218</v>
      </c>
      <c r="AB4933" s="8"/>
      <c r="AC4933" s="27">
        <v>9785000916810</v>
      </c>
    </row>
    <row r="4934" spans="1:29" s="4" customFormat="1" ht="44.1" customHeight="1" x14ac:dyDescent="0.2">
      <c r="A4934" s="5">
        <v>0</v>
      </c>
      <c r="B4934" s="6" t="s">
        <v>28433</v>
      </c>
      <c r="C4934" s="7">
        <v>1176</v>
      </c>
      <c r="D4934" s="8" t="s">
        <v>28434</v>
      </c>
      <c r="E4934" s="8" t="s">
        <v>28435</v>
      </c>
      <c r="F4934" s="8" t="s">
        <v>28436</v>
      </c>
      <c r="G4934" s="6" t="s">
        <v>118</v>
      </c>
      <c r="H4934" s="6" t="s">
        <v>34</v>
      </c>
      <c r="I4934" s="8" t="s">
        <v>3119</v>
      </c>
      <c r="J4934" s="9">
        <v>1</v>
      </c>
      <c r="K4934" s="9">
        <v>175</v>
      </c>
      <c r="L4934" s="9">
        <v>2025</v>
      </c>
      <c r="M4934" s="8" t="s">
        <v>28437</v>
      </c>
      <c r="N4934" s="8" t="s">
        <v>37</v>
      </c>
      <c r="O4934" s="8" t="s">
        <v>83</v>
      </c>
      <c r="P4934" s="6" t="s">
        <v>51</v>
      </c>
      <c r="Q4934" s="8" t="s">
        <v>52</v>
      </c>
      <c r="R4934" s="10" t="s">
        <v>28438</v>
      </c>
      <c r="S4934" s="11"/>
      <c r="T4934" s="6"/>
      <c r="U4934" s="15" t="str">
        <f>HYPERLINK("https://media.infra-m.ru/2204/2204470/cover/2204470.jpg", "Обложка")</f>
        <v>Обложка</v>
      </c>
      <c r="V4934" s="8" t="s">
        <v>28439</v>
      </c>
      <c r="W4934" s="6"/>
      <c r="X4934" s="6"/>
      <c r="Y4934" s="6"/>
      <c r="Z4934" s="6"/>
      <c r="AA4934" s="6" t="s">
        <v>157</v>
      </c>
      <c r="AB4934" s="8"/>
      <c r="AC4934" s="27">
        <v>9785160149820</v>
      </c>
    </row>
    <row r="4935" spans="1:29" s="4" customFormat="1" ht="42" customHeight="1" x14ac:dyDescent="0.2">
      <c r="A4935" s="5">
        <v>0</v>
      </c>
      <c r="B4935" s="6" t="s">
        <v>28440</v>
      </c>
      <c r="C4935" s="7">
        <v>1176</v>
      </c>
      <c r="D4935" s="8" t="s">
        <v>28441</v>
      </c>
      <c r="E4935" s="8" t="s">
        <v>28442</v>
      </c>
      <c r="F4935" s="8" t="s">
        <v>28443</v>
      </c>
      <c r="G4935" s="6" t="s">
        <v>60</v>
      </c>
      <c r="H4935" s="6" t="s">
        <v>34</v>
      </c>
      <c r="I4935" s="8" t="s">
        <v>253</v>
      </c>
      <c r="J4935" s="9">
        <v>1</v>
      </c>
      <c r="K4935" s="9">
        <v>207</v>
      </c>
      <c r="L4935" s="9">
        <v>2024</v>
      </c>
      <c r="M4935" s="8" t="s">
        <v>28444</v>
      </c>
      <c r="N4935" s="8" t="s">
        <v>37</v>
      </c>
      <c r="O4935" s="8" t="s">
        <v>136</v>
      </c>
      <c r="P4935" s="6" t="s">
        <v>51</v>
      </c>
      <c r="Q4935" s="8" t="s">
        <v>65</v>
      </c>
      <c r="R4935" s="10" t="s">
        <v>1255</v>
      </c>
      <c r="S4935" s="11"/>
      <c r="T4935" s="6"/>
      <c r="U4935" s="15" t="str">
        <f>HYPERLINK("https://media.infra-m.ru/2038/2038209/cover/2038209.jpg", "Обложка")</f>
        <v>Обложка</v>
      </c>
      <c r="V4935" s="8" t="s">
        <v>1184</v>
      </c>
      <c r="W4935" s="6"/>
      <c r="X4935" s="6"/>
      <c r="Y4935" s="6"/>
      <c r="Z4935" s="6"/>
      <c r="AA4935" s="6" t="s">
        <v>76</v>
      </c>
      <c r="AB4935" s="8"/>
      <c r="AC4935" s="27">
        <v>9785160186559</v>
      </c>
    </row>
    <row r="4936" spans="1:29" s="4" customFormat="1" ht="51.9" customHeight="1" x14ac:dyDescent="0.2">
      <c r="A4936" s="5">
        <v>0</v>
      </c>
      <c r="B4936" s="6" t="s">
        <v>28445</v>
      </c>
      <c r="C4936" s="7">
        <v>1716</v>
      </c>
      <c r="D4936" s="8" t="s">
        <v>28446</v>
      </c>
      <c r="E4936" s="8" t="s">
        <v>28447</v>
      </c>
      <c r="F4936" s="8" t="s">
        <v>11727</v>
      </c>
      <c r="G4936" s="6" t="s">
        <v>118</v>
      </c>
      <c r="H4936" s="6" t="s">
        <v>34</v>
      </c>
      <c r="I4936" s="8" t="s">
        <v>253</v>
      </c>
      <c r="J4936" s="9">
        <v>1</v>
      </c>
      <c r="K4936" s="9">
        <v>297</v>
      </c>
      <c r="L4936" s="9">
        <v>2024</v>
      </c>
      <c r="M4936" s="8" t="s">
        <v>28448</v>
      </c>
      <c r="N4936" s="8" t="s">
        <v>37</v>
      </c>
      <c r="O4936" s="8" t="s">
        <v>280</v>
      </c>
      <c r="P4936" s="6" t="s">
        <v>51</v>
      </c>
      <c r="Q4936" s="8" t="s">
        <v>52</v>
      </c>
      <c r="R4936" s="10" t="s">
        <v>6377</v>
      </c>
      <c r="S4936" s="11" t="s">
        <v>28449</v>
      </c>
      <c r="T4936" s="6"/>
      <c r="U4936" s="15" t="str">
        <f>HYPERLINK("https://media.infra-m.ru/2125/2125118/cover/2125118.jpg", "Обложка")</f>
        <v>Обложка</v>
      </c>
      <c r="V4936" s="8" t="s">
        <v>28450</v>
      </c>
      <c r="W4936" s="6"/>
      <c r="X4936" s="6"/>
      <c r="Y4936" s="6"/>
      <c r="Z4936" s="6"/>
      <c r="AA4936" s="6" t="s">
        <v>157</v>
      </c>
      <c r="AB4936" s="8"/>
      <c r="AC4936" s="27">
        <v>9785160195247</v>
      </c>
    </row>
    <row r="4937" spans="1:29" s="4" customFormat="1" ht="51.9" customHeight="1" x14ac:dyDescent="0.2">
      <c r="A4937" s="5">
        <v>0</v>
      </c>
      <c r="B4937" s="6" t="s">
        <v>28451</v>
      </c>
      <c r="C4937" s="7">
        <v>1272</v>
      </c>
      <c r="D4937" s="8" t="s">
        <v>28452</v>
      </c>
      <c r="E4937" s="8" t="s">
        <v>28453</v>
      </c>
      <c r="F4937" s="8" t="s">
        <v>28454</v>
      </c>
      <c r="G4937" s="6" t="s">
        <v>118</v>
      </c>
      <c r="H4937" s="6" t="s">
        <v>34</v>
      </c>
      <c r="I4937" s="8" t="s">
        <v>504</v>
      </c>
      <c r="J4937" s="9">
        <v>1</v>
      </c>
      <c r="K4937" s="9">
        <v>212</v>
      </c>
      <c r="L4937" s="9">
        <v>2024</v>
      </c>
      <c r="M4937" s="8" t="s">
        <v>28455</v>
      </c>
      <c r="N4937" s="8" t="s">
        <v>37</v>
      </c>
      <c r="O4937" s="8" t="s">
        <v>233</v>
      </c>
      <c r="P4937" s="6" t="s">
        <v>51</v>
      </c>
      <c r="Q4937" s="8" t="s">
        <v>500</v>
      </c>
      <c r="R4937" s="10" t="s">
        <v>8477</v>
      </c>
      <c r="S4937" s="11"/>
      <c r="T4937" s="6"/>
      <c r="U4937" s="15" t="str">
        <f>HYPERLINK("https://media.infra-m.ru/2106/2106723/cover/2106723.jpg", "Обложка")</f>
        <v>Обложка</v>
      </c>
      <c r="V4937" s="8" t="s">
        <v>3087</v>
      </c>
      <c r="W4937" s="6"/>
      <c r="X4937" s="6"/>
      <c r="Y4937" s="6"/>
      <c r="Z4937" s="6"/>
      <c r="AA4937" s="6" t="s">
        <v>157</v>
      </c>
      <c r="AB4937" s="8"/>
      <c r="AC4937" s="27">
        <v>9785160184739</v>
      </c>
    </row>
    <row r="4938" spans="1:29" s="4" customFormat="1" ht="51.9" customHeight="1" x14ac:dyDescent="0.2">
      <c r="A4938" s="5">
        <v>0</v>
      </c>
      <c r="B4938" s="6" t="s">
        <v>28456</v>
      </c>
      <c r="C4938" s="7">
        <v>1104</v>
      </c>
      <c r="D4938" s="8" t="s">
        <v>28457</v>
      </c>
      <c r="E4938" s="8" t="s">
        <v>28458</v>
      </c>
      <c r="F4938" s="8" t="s">
        <v>10183</v>
      </c>
      <c r="G4938" s="6" t="s">
        <v>118</v>
      </c>
      <c r="H4938" s="6" t="s">
        <v>34</v>
      </c>
      <c r="I4938" s="8" t="s">
        <v>263</v>
      </c>
      <c r="J4938" s="9">
        <v>1</v>
      </c>
      <c r="K4938" s="9">
        <v>155</v>
      </c>
      <c r="L4938" s="9">
        <v>2027</v>
      </c>
      <c r="M4938" s="8" t="s">
        <v>28459</v>
      </c>
      <c r="N4938" s="8" t="s">
        <v>37</v>
      </c>
      <c r="O4938" s="8" t="s">
        <v>499</v>
      </c>
      <c r="P4938" s="6" t="s">
        <v>51</v>
      </c>
      <c r="Q4938" s="8" t="s">
        <v>265</v>
      </c>
      <c r="R4938" s="10" t="s">
        <v>26559</v>
      </c>
      <c r="S4938" s="11" t="s">
        <v>28460</v>
      </c>
      <c r="T4938" s="6"/>
      <c r="U4938" s="15" t="str">
        <f>HYPERLINK("https://media.infra-m.ru/2269/2269390/cover/2269390.jpg", "Обложка")</f>
        <v>Обложка</v>
      </c>
      <c r="V4938" s="8" t="s">
        <v>28461</v>
      </c>
      <c r="W4938" s="6"/>
      <c r="X4938" s="6"/>
      <c r="Y4938" s="6"/>
      <c r="Z4938" s="6"/>
      <c r="AA4938" s="6" t="s">
        <v>1256</v>
      </c>
      <c r="AB4938" s="8" t="s">
        <v>3581</v>
      </c>
      <c r="AC4938" s="27">
        <v>9785160148021</v>
      </c>
    </row>
    <row r="4939" spans="1:29" s="4" customFormat="1" ht="51.9" customHeight="1" x14ac:dyDescent="0.2">
      <c r="A4939" s="5">
        <v>0</v>
      </c>
      <c r="B4939" s="6" t="s">
        <v>28462</v>
      </c>
      <c r="C4939" s="7">
        <v>1752</v>
      </c>
      <c r="D4939" s="8" t="s">
        <v>28463</v>
      </c>
      <c r="E4939" s="8" t="s">
        <v>28464</v>
      </c>
      <c r="F4939" s="8" t="s">
        <v>28465</v>
      </c>
      <c r="G4939" s="6" t="s">
        <v>118</v>
      </c>
      <c r="H4939" s="6" t="s">
        <v>34</v>
      </c>
      <c r="I4939" s="8" t="s">
        <v>253</v>
      </c>
      <c r="J4939" s="9">
        <v>1</v>
      </c>
      <c r="K4939" s="9">
        <v>252</v>
      </c>
      <c r="L4939" s="9">
        <v>2027</v>
      </c>
      <c r="M4939" s="8" t="s">
        <v>28466</v>
      </c>
      <c r="N4939" s="8" t="s">
        <v>243</v>
      </c>
      <c r="O4939" s="8" t="s">
        <v>329</v>
      </c>
      <c r="P4939" s="6" t="s">
        <v>51</v>
      </c>
      <c r="Q4939" s="8" t="s">
        <v>500</v>
      </c>
      <c r="R4939" s="10" t="s">
        <v>28467</v>
      </c>
      <c r="S4939" s="11" t="s">
        <v>28468</v>
      </c>
      <c r="T4939" s="6" t="s">
        <v>97</v>
      </c>
      <c r="U4939" s="15" t="str">
        <f>HYPERLINK("https://media.infra-m.ru/2266/2266109/cover/2266109.jpg", "Обложка")</f>
        <v>Обложка</v>
      </c>
      <c r="V4939" s="8" t="s">
        <v>1030</v>
      </c>
      <c r="W4939" s="6"/>
      <c r="X4939" s="6"/>
      <c r="Y4939" s="6"/>
      <c r="Z4939" s="6"/>
      <c r="AA4939" s="6" t="s">
        <v>99</v>
      </c>
      <c r="AB4939" s="8" t="s">
        <v>493</v>
      </c>
      <c r="AC4939" s="27">
        <v>9785160224237</v>
      </c>
    </row>
    <row r="4940" spans="1:29" s="4" customFormat="1" ht="51.9" customHeight="1" x14ac:dyDescent="0.2">
      <c r="A4940" s="5">
        <v>0</v>
      </c>
      <c r="B4940" s="6" t="s">
        <v>28469</v>
      </c>
      <c r="C4940" s="7">
        <v>2280</v>
      </c>
      <c r="D4940" s="8" t="s">
        <v>28470</v>
      </c>
      <c r="E4940" s="8" t="s">
        <v>28471</v>
      </c>
      <c r="F4940" s="8" t="s">
        <v>28472</v>
      </c>
      <c r="G4940" s="6" t="s">
        <v>118</v>
      </c>
      <c r="H4940" s="6" t="s">
        <v>34</v>
      </c>
      <c r="I4940" s="8" t="s">
        <v>263</v>
      </c>
      <c r="J4940" s="9">
        <v>1</v>
      </c>
      <c r="K4940" s="9">
        <v>344</v>
      </c>
      <c r="L4940" s="9">
        <v>2026</v>
      </c>
      <c r="M4940" s="8" t="s">
        <v>28473</v>
      </c>
      <c r="N4940" s="8" t="s">
        <v>243</v>
      </c>
      <c r="O4940" s="8" t="s">
        <v>385</v>
      </c>
      <c r="P4940" s="6" t="s">
        <v>306</v>
      </c>
      <c r="Q4940" s="8" t="s">
        <v>265</v>
      </c>
      <c r="R4940" s="10" t="s">
        <v>28474</v>
      </c>
      <c r="S4940" s="11" t="s">
        <v>28475</v>
      </c>
      <c r="T4940" s="6" t="s">
        <v>97</v>
      </c>
      <c r="U4940" s="15" t="str">
        <f>HYPERLINK("https://media.infra-m.ru/2234/2234124/cover/2234124.jpg", "Обложка")</f>
        <v>Обложка</v>
      </c>
      <c r="V4940" s="8" t="s">
        <v>2529</v>
      </c>
      <c r="W4940" s="6"/>
      <c r="X4940" s="6"/>
      <c r="Y4940" s="6"/>
      <c r="Z4940" s="6"/>
      <c r="AA4940" s="6" t="s">
        <v>430</v>
      </c>
      <c r="AB4940" s="8"/>
      <c r="AC4940" s="27">
        <v>9785160168326</v>
      </c>
    </row>
    <row r="4941" spans="1:29" s="4" customFormat="1" ht="51.9" customHeight="1" x14ac:dyDescent="0.2">
      <c r="A4941" s="5">
        <v>0</v>
      </c>
      <c r="B4941" s="6" t="s">
        <v>28476</v>
      </c>
      <c r="C4941" s="7">
        <v>4080</v>
      </c>
      <c r="D4941" s="8" t="s">
        <v>28477</v>
      </c>
      <c r="E4941" s="8" t="s">
        <v>28478</v>
      </c>
      <c r="F4941" s="8" t="s">
        <v>24137</v>
      </c>
      <c r="G4941" s="6" t="s">
        <v>60</v>
      </c>
      <c r="H4941" s="6" t="s">
        <v>34</v>
      </c>
      <c r="I4941" s="8" t="s">
        <v>253</v>
      </c>
      <c r="J4941" s="9">
        <v>1</v>
      </c>
      <c r="K4941" s="9">
        <v>660</v>
      </c>
      <c r="L4941" s="9">
        <v>2026</v>
      </c>
      <c r="M4941" s="8" t="s">
        <v>28479</v>
      </c>
      <c r="N4941" s="8" t="s">
        <v>63</v>
      </c>
      <c r="O4941" s="8" t="s">
        <v>154</v>
      </c>
      <c r="P4941" s="6" t="s">
        <v>306</v>
      </c>
      <c r="Q4941" s="8" t="s">
        <v>65</v>
      </c>
      <c r="R4941" s="10" t="s">
        <v>9337</v>
      </c>
      <c r="S4941" s="11" t="s">
        <v>28480</v>
      </c>
      <c r="T4941" s="6" t="s">
        <v>97</v>
      </c>
      <c r="U4941" s="15" t="str">
        <f>HYPERLINK("https://media.infra-m.ru/2219/2219323/cover/2219323.jpg", "Обложка")</f>
        <v>Обложка</v>
      </c>
      <c r="V4941" s="8" t="s">
        <v>2529</v>
      </c>
      <c r="W4941" s="6"/>
      <c r="X4941" s="6"/>
      <c r="Y4941" s="6"/>
      <c r="Z4941" s="6"/>
      <c r="AA4941" s="6" t="s">
        <v>258</v>
      </c>
      <c r="AB4941" s="8"/>
      <c r="AC4941" s="27">
        <v>9785160186023</v>
      </c>
    </row>
    <row r="4942" spans="1:29" s="4" customFormat="1" ht="51.9" customHeight="1" x14ac:dyDescent="0.2">
      <c r="A4942" s="5">
        <v>0</v>
      </c>
      <c r="B4942" s="6" t="s">
        <v>28481</v>
      </c>
      <c r="C4942" s="7">
        <v>3960</v>
      </c>
      <c r="D4942" s="8" t="s">
        <v>28482</v>
      </c>
      <c r="E4942" s="8" t="s">
        <v>28478</v>
      </c>
      <c r="F4942" s="8" t="s">
        <v>24137</v>
      </c>
      <c r="G4942" s="6" t="s">
        <v>60</v>
      </c>
      <c r="H4942" s="6" t="s">
        <v>34</v>
      </c>
      <c r="I4942" s="8" t="s">
        <v>5350</v>
      </c>
      <c r="J4942" s="9">
        <v>1</v>
      </c>
      <c r="K4942" s="9">
        <v>660</v>
      </c>
      <c r="L4942" s="9">
        <v>2025</v>
      </c>
      <c r="M4942" s="8" t="s">
        <v>28483</v>
      </c>
      <c r="N4942" s="8" t="s">
        <v>63</v>
      </c>
      <c r="O4942" s="8" t="s">
        <v>154</v>
      </c>
      <c r="P4942" s="6" t="s">
        <v>306</v>
      </c>
      <c r="Q4942" s="8" t="s">
        <v>377</v>
      </c>
      <c r="R4942" s="10" t="s">
        <v>28484</v>
      </c>
      <c r="S4942" s="11" t="s">
        <v>28485</v>
      </c>
      <c r="T4942" s="6" t="s">
        <v>97</v>
      </c>
      <c r="U4942" s="15" t="str">
        <f>HYPERLINK("https://media.infra-m.ru/2170/2170628/cover/2170628.jpg", "Обложка")</f>
        <v>Обложка</v>
      </c>
      <c r="V4942" s="8" t="s">
        <v>2529</v>
      </c>
      <c r="W4942" s="6"/>
      <c r="X4942" s="6"/>
      <c r="Y4942" s="6"/>
      <c r="Z4942" s="6" t="s">
        <v>28486</v>
      </c>
      <c r="AA4942" s="6" t="s">
        <v>258</v>
      </c>
      <c r="AB4942" s="8"/>
      <c r="AC4942" s="27">
        <v>9785160167015</v>
      </c>
    </row>
    <row r="4943" spans="1:29" s="4" customFormat="1" ht="51.9" customHeight="1" x14ac:dyDescent="0.2">
      <c r="A4943" s="5">
        <v>0</v>
      </c>
      <c r="B4943" s="6" t="s">
        <v>28487</v>
      </c>
      <c r="C4943" s="7">
        <v>1792.8</v>
      </c>
      <c r="D4943" s="8" t="s">
        <v>28488</v>
      </c>
      <c r="E4943" s="8" t="s">
        <v>28489</v>
      </c>
      <c r="F4943" s="8" t="s">
        <v>28490</v>
      </c>
      <c r="G4943" s="6" t="s">
        <v>118</v>
      </c>
      <c r="H4943" s="6" t="s">
        <v>34</v>
      </c>
      <c r="I4943" s="8" t="s">
        <v>253</v>
      </c>
      <c r="J4943" s="9">
        <v>1</v>
      </c>
      <c r="K4943" s="9">
        <v>272</v>
      </c>
      <c r="L4943" s="9">
        <v>2026</v>
      </c>
      <c r="M4943" s="8" t="s">
        <v>28491</v>
      </c>
      <c r="N4943" s="8" t="s">
        <v>93</v>
      </c>
      <c r="O4943" s="8" t="s">
        <v>94</v>
      </c>
      <c r="P4943" s="6" t="s">
        <v>306</v>
      </c>
      <c r="Q4943" s="8" t="s">
        <v>52</v>
      </c>
      <c r="R4943" s="10" t="s">
        <v>28492</v>
      </c>
      <c r="S4943" s="11" t="s">
        <v>28493</v>
      </c>
      <c r="T4943" s="6"/>
      <c r="U4943" s="15" t="str">
        <f>HYPERLINK("https://media.infra-m.ru/2224/2224254/cover/2224254.jpg", "Обложка")</f>
        <v>Обложка</v>
      </c>
      <c r="V4943" s="8" t="s">
        <v>10238</v>
      </c>
      <c r="W4943" s="6"/>
      <c r="X4943" s="6"/>
      <c r="Y4943" s="6"/>
      <c r="Z4943" s="6"/>
      <c r="AA4943" s="6" t="s">
        <v>115</v>
      </c>
      <c r="AB4943" s="8"/>
      <c r="AC4943" s="27">
        <v>9785160186634</v>
      </c>
    </row>
    <row r="4944" spans="1:29" s="4" customFormat="1" ht="51.9" customHeight="1" x14ac:dyDescent="0.2">
      <c r="A4944" s="5">
        <v>0</v>
      </c>
      <c r="B4944" s="6" t="s">
        <v>28494</v>
      </c>
      <c r="C4944" s="7">
        <v>1456.8</v>
      </c>
      <c r="D4944" s="8" t="s">
        <v>28495</v>
      </c>
      <c r="E4944" s="8" t="s">
        <v>28496</v>
      </c>
      <c r="F4944" s="8" t="s">
        <v>28497</v>
      </c>
      <c r="G4944" s="6" t="s">
        <v>118</v>
      </c>
      <c r="H4944" s="6" t="s">
        <v>48</v>
      </c>
      <c r="I4944" s="8" t="s">
        <v>263</v>
      </c>
      <c r="J4944" s="9">
        <v>1</v>
      </c>
      <c r="K4944" s="9">
        <v>208</v>
      </c>
      <c r="L4944" s="9">
        <v>2027</v>
      </c>
      <c r="M4944" s="8" t="s">
        <v>28498</v>
      </c>
      <c r="N4944" s="8" t="s">
        <v>93</v>
      </c>
      <c r="O4944" s="8" t="s">
        <v>94</v>
      </c>
      <c r="P4944" s="6" t="s">
        <v>51</v>
      </c>
      <c r="Q4944" s="8" t="s">
        <v>265</v>
      </c>
      <c r="R4944" s="10" t="s">
        <v>28499</v>
      </c>
      <c r="S4944" s="11" t="s">
        <v>28500</v>
      </c>
      <c r="T4944" s="6"/>
      <c r="U4944" s="15" t="str">
        <f>HYPERLINK("https://media.infra-m.ru/2253/2253367/cover/2253367.jpg", "Обложка")</f>
        <v>Обложка</v>
      </c>
      <c r="V4944" s="8" t="s">
        <v>227</v>
      </c>
      <c r="W4944" s="6"/>
      <c r="X4944" s="6"/>
      <c r="Y4944" s="6"/>
      <c r="Z4944" s="6"/>
      <c r="AA4944" s="6" t="s">
        <v>718</v>
      </c>
      <c r="AB4944" s="8"/>
      <c r="AC4944" s="27">
        <v>9785000917244</v>
      </c>
    </row>
    <row r="4945" spans="1:29" s="4" customFormat="1" ht="51.9" customHeight="1" x14ac:dyDescent="0.2">
      <c r="A4945" s="5">
        <v>0</v>
      </c>
      <c r="B4945" s="6" t="s">
        <v>28501</v>
      </c>
      <c r="C4945" s="7">
        <v>1312.8</v>
      </c>
      <c r="D4945" s="8" t="s">
        <v>28502</v>
      </c>
      <c r="E4945" s="8" t="s">
        <v>28496</v>
      </c>
      <c r="F4945" s="8" t="s">
        <v>28503</v>
      </c>
      <c r="G4945" s="6" t="s">
        <v>118</v>
      </c>
      <c r="H4945" s="6" t="s">
        <v>34</v>
      </c>
      <c r="I4945" s="8" t="s">
        <v>253</v>
      </c>
      <c r="J4945" s="9">
        <v>1</v>
      </c>
      <c r="K4945" s="9">
        <v>209</v>
      </c>
      <c r="L4945" s="9">
        <v>2025</v>
      </c>
      <c r="M4945" s="8" t="s">
        <v>28504</v>
      </c>
      <c r="N4945" s="8" t="s">
        <v>93</v>
      </c>
      <c r="O4945" s="8" t="s">
        <v>94</v>
      </c>
      <c r="P4945" s="6" t="s">
        <v>306</v>
      </c>
      <c r="Q4945" s="8" t="s">
        <v>65</v>
      </c>
      <c r="R4945" s="10" t="s">
        <v>28505</v>
      </c>
      <c r="S4945" s="11" t="s">
        <v>28506</v>
      </c>
      <c r="T4945" s="6"/>
      <c r="U4945" s="15" t="str">
        <f>HYPERLINK("https://media.infra-m.ru/2205/2205708/cover/2205708.jpg", "Обложка")</f>
        <v>Обложка</v>
      </c>
      <c r="V4945" s="8" t="s">
        <v>1599</v>
      </c>
      <c r="W4945" s="6"/>
      <c r="X4945" s="6"/>
      <c r="Y4945" s="6"/>
      <c r="Z4945" s="6"/>
      <c r="AA4945" s="6" t="s">
        <v>360</v>
      </c>
      <c r="AB4945" s="8"/>
      <c r="AC4945" s="27">
        <v>9785160184944</v>
      </c>
    </row>
    <row r="4946" spans="1:29" s="4" customFormat="1" ht="42" customHeight="1" x14ac:dyDescent="0.2">
      <c r="A4946" s="5">
        <v>0</v>
      </c>
      <c r="B4946" s="6" t="s">
        <v>28507</v>
      </c>
      <c r="C4946" s="7">
        <v>5914.8</v>
      </c>
      <c r="D4946" s="8" t="s">
        <v>28508</v>
      </c>
      <c r="E4946" s="8" t="s">
        <v>28509</v>
      </c>
      <c r="F4946" s="8" t="s">
        <v>28510</v>
      </c>
      <c r="G4946" s="6" t="s">
        <v>60</v>
      </c>
      <c r="H4946" s="6" t="s">
        <v>34</v>
      </c>
      <c r="I4946" s="8" t="s">
        <v>253</v>
      </c>
      <c r="J4946" s="9">
        <v>1</v>
      </c>
      <c r="K4946" s="9">
        <v>460</v>
      </c>
      <c r="L4946" s="9">
        <v>2026</v>
      </c>
      <c r="M4946" s="8" t="s">
        <v>28511</v>
      </c>
      <c r="N4946" s="8" t="s">
        <v>243</v>
      </c>
      <c r="O4946" s="8" t="s">
        <v>385</v>
      </c>
      <c r="P4946" s="6" t="s">
        <v>306</v>
      </c>
      <c r="Q4946" s="8" t="s">
        <v>65</v>
      </c>
      <c r="R4946" s="10" t="s">
        <v>28512</v>
      </c>
      <c r="S4946" s="11"/>
      <c r="T4946" s="6"/>
      <c r="U4946" s="15" t="str">
        <f>HYPERLINK("https://media.infra-m.ru/2237/2237178/cover/2237178.jpg", "Обложка")</f>
        <v>Обложка</v>
      </c>
      <c r="V4946" s="8" t="s">
        <v>2529</v>
      </c>
      <c r="W4946" s="6"/>
      <c r="X4946" s="6"/>
      <c r="Y4946" s="6"/>
      <c r="Z4946" s="6"/>
      <c r="AA4946" s="6" t="s">
        <v>68</v>
      </c>
      <c r="AB4946" s="8"/>
      <c r="AC4946" s="27">
        <v>9785160208411</v>
      </c>
    </row>
    <row r="4947" spans="1:29" s="4" customFormat="1" ht="51.9" customHeight="1" x14ac:dyDescent="0.2">
      <c r="A4947" s="5">
        <v>0</v>
      </c>
      <c r="B4947" s="6" t="s">
        <v>28513</v>
      </c>
      <c r="C4947" s="7">
        <v>1012.8</v>
      </c>
      <c r="D4947" s="8" t="s">
        <v>28514</v>
      </c>
      <c r="E4947" s="8" t="s">
        <v>28515</v>
      </c>
      <c r="F4947" s="8" t="s">
        <v>28516</v>
      </c>
      <c r="G4947" s="6" t="s">
        <v>60</v>
      </c>
      <c r="H4947" s="6" t="s">
        <v>34</v>
      </c>
      <c r="I4947" s="8" t="s">
        <v>1128</v>
      </c>
      <c r="J4947" s="9">
        <v>1</v>
      </c>
      <c r="K4947" s="9">
        <v>153</v>
      </c>
      <c r="L4947" s="9">
        <v>2026</v>
      </c>
      <c r="M4947" s="8" t="s">
        <v>28517</v>
      </c>
      <c r="N4947" s="8" t="s">
        <v>243</v>
      </c>
      <c r="O4947" s="8" t="s">
        <v>758</v>
      </c>
      <c r="P4947" s="6" t="s">
        <v>51</v>
      </c>
      <c r="Q4947" s="8" t="s">
        <v>52</v>
      </c>
      <c r="R4947" s="10" t="s">
        <v>2820</v>
      </c>
      <c r="S4947" s="11" t="s">
        <v>28518</v>
      </c>
      <c r="T4947" s="6"/>
      <c r="U4947" s="15" t="str">
        <f>HYPERLINK("https://media.infra-m.ru/2231/2231109/cover/2231109.jpg", "Обложка")</f>
        <v>Обложка</v>
      </c>
      <c r="V4947" s="8" t="s">
        <v>1132</v>
      </c>
      <c r="W4947" s="6"/>
      <c r="X4947" s="6"/>
      <c r="Y4947" s="6"/>
      <c r="Z4947" s="6"/>
      <c r="AA4947" s="6" t="s">
        <v>157</v>
      </c>
      <c r="AB4947" s="8"/>
      <c r="AC4947" s="27">
        <v>9785160183480</v>
      </c>
    </row>
    <row r="4948" spans="1:29" s="4" customFormat="1" ht="51.9" customHeight="1" x14ac:dyDescent="0.2">
      <c r="A4948" s="5">
        <v>0</v>
      </c>
      <c r="B4948" s="6" t="s">
        <v>28519</v>
      </c>
      <c r="C4948" s="7">
        <v>1180.8</v>
      </c>
      <c r="D4948" s="8" t="s">
        <v>28520</v>
      </c>
      <c r="E4948" s="8" t="s">
        <v>28521</v>
      </c>
      <c r="F4948" s="8" t="s">
        <v>28522</v>
      </c>
      <c r="G4948" s="6" t="s">
        <v>118</v>
      </c>
      <c r="H4948" s="6" t="s">
        <v>34</v>
      </c>
      <c r="I4948" s="8" t="s">
        <v>7198</v>
      </c>
      <c r="J4948" s="9">
        <v>1</v>
      </c>
      <c r="K4948" s="9">
        <v>219</v>
      </c>
      <c r="L4948" s="9">
        <v>2023</v>
      </c>
      <c r="M4948" s="8" t="s">
        <v>28523</v>
      </c>
      <c r="N4948" s="8" t="s">
        <v>243</v>
      </c>
      <c r="O4948" s="8" t="s">
        <v>758</v>
      </c>
      <c r="P4948" s="6" t="s">
        <v>51</v>
      </c>
      <c r="Q4948" s="8" t="s">
        <v>52</v>
      </c>
      <c r="R4948" s="10" t="s">
        <v>28524</v>
      </c>
      <c r="S4948" s="11" t="s">
        <v>28525</v>
      </c>
      <c r="T4948" s="6"/>
      <c r="U4948" s="15" t="str">
        <f>HYPERLINK("https://media.infra-m.ru/2006/2006857/cover/2006857.jpg", "Обложка")</f>
        <v>Обложка</v>
      </c>
      <c r="V4948" s="8" t="s">
        <v>1083</v>
      </c>
      <c r="W4948" s="6"/>
      <c r="X4948" s="6"/>
      <c r="Y4948" s="6"/>
      <c r="Z4948" s="6"/>
      <c r="AA4948" s="6" t="s">
        <v>404</v>
      </c>
      <c r="AB4948" s="8"/>
      <c r="AC4948" s="27">
        <v>9785160132211</v>
      </c>
    </row>
    <row r="4949" spans="1:29" s="4" customFormat="1" ht="51.9" customHeight="1" x14ac:dyDescent="0.2">
      <c r="A4949" s="5">
        <v>0</v>
      </c>
      <c r="B4949" s="6" t="s">
        <v>28526</v>
      </c>
      <c r="C4949" s="7">
        <v>3220.8</v>
      </c>
      <c r="D4949" s="8" t="s">
        <v>28527</v>
      </c>
      <c r="E4949" s="8" t="s">
        <v>28528</v>
      </c>
      <c r="F4949" s="8" t="s">
        <v>28529</v>
      </c>
      <c r="G4949" s="6" t="s">
        <v>118</v>
      </c>
      <c r="H4949" s="6" t="s">
        <v>34</v>
      </c>
      <c r="I4949" s="8" t="s">
        <v>2927</v>
      </c>
      <c r="J4949" s="9">
        <v>1</v>
      </c>
      <c r="K4949" s="9">
        <v>536</v>
      </c>
      <c r="L4949" s="9">
        <v>2025</v>
      </c>
      <c r="M4949" s="8" t="s">
        <v>28530</v>
      </c>
      <c r="N4949" s="8" t="s">
        <v>243</v>
      </c>
      <c r="O4949" s="8" t="s">
        <v>933</v>
      </c>
      <c r="P4949" s="6" t="s">
        <v>306</v>
      </c>
      <c r="Q4949" s="8" t="s">
        <v>377</v>
      </c>
      <c r="R4949" s="10" t="s">
        <v>28531</v>
      </c>
      <c r="S4949" s="11" t="s">
        <v>28532</v>
      </c>
      <c r="T4949" s="6"/>
      <c r="U4949" s="15" t="str">
        <f>HYPERLINK("https://media.infra-m.ru/2191/2191613/cover/2191613.jpg", "Обложка")</f>
        <v>Обложка</v>
      </c>
      <c r="V4949" s="8" t="s">
        <v>1083</v>
      </c>
      <c r="W4949" s="6"/>
      <c r="X4949" s="6"/>
      <c r="Y4949" s="6"/>
      <c r="Z4949" s="6"/>
      <c r="AA4949" s="6" t="s">
        <v>99</v>
      </c>
      <c r="AB4949" s="8"/>
      <c r="AC4949" s="27">
        <v>9785160163642</v>
      </c>
    </row>
    <row r="4950" spans="1:29" s="4" customFormat="1" ht="51.9" customHeight="1" x14ac:dyDescent="0.2">
      <c r="A4950" s="5">
        <v>0</v>
      </c>
      <c r="B4950" s="6" t="s">
        <v>28533</v>
      </c>
      <c r="C4950" s="7">
        <v>2208</v>
      </c>
      <c r="D4950" s="8" t="s">
        <v>28534</v>
      </c>
      <c r="E4950" s="8" t="s">
        <v>28535</v>
      </c>
      <c r="F4950" s="8" t="s">
        <v>28536</v>
      </c>
      <c r="G4950" s="6" t="s">
        <v>118</v>
      </c>
      <c r="H4950" s="6" t="s">
        <v>34</v>
      </c>
      <c r="I4950" s="8" t="s">
        <v>263</v>
      </c>
      <c r="J4950" s="9">
        <v>1</v>
      </c>
      <c r="K4950" s="9">
        <v>318</v>
      </c>
      <c r="L4950" s="9">
        <v>2026</v>
      </c>
      <c r="M4950" s="8" t="s">
        <v>28537</v>
      </c>
      <c r="N4950" s="8" t="s">
        <v>243</v>
      </c>
      <c r="O4950" s="8" t="s">
        <v>933</v>
      </c>
      <c r="P4950" s="6" t="s">
        <v>306</v>
      </c>
      <c r="Q4950" s="8" t="s">
        <v>265</v>
      </c>
      <c r="R4950" s="10" t="s">
        <v>28538</v>
      </c>
      <c r="S4950" s="11" t="s">
        <v>444</v>
      </c>
      <c r="T4950" s="6"/>
      <c r="U4950" s="15" t="str">
        <f>HYPERLINK("https://media.infra-m.ru/2261/2261247/cover/2261247.jpg", "Обложка")</f>
        <v>Обложка</v>
      </c>
      <c r="V4950" s="8"/>
      <c r="W4950" s="6"/>
      <c r="X4950" s="6" t="s">
        <v>24</v>
      </c>
      <c r="Y4950" s="6"/>
      <c r="Z4950" s="6"/>
      <c r="AA4950" s="6" t="s">
        <v>1506</v>
      </c>
      <c r="AB4950" s="8"/>
      <c r="AC4950" s="27">
        <v>9785160222981</v>
      </c>
    </row>
    <row r="4951" spans="1:29" s="4" customFormat="1" ht="51.9" customHeight="1" x14ac:dyDescent="0.2">
      <c r="A4951" s="5">
        <v>0</v>
      </c>
      <c r="B4951" s="6" t="s">
        <v>28539</v>
      </c>
      <c r="C4951" s="7">
        <v>1836</v>
      </c>
      <c r="D4951" s="8" t="s">
        <v>28540</v>
      </c>
      <c r="E4951" s="8" t="s">
        <v>28541</v>
      </c>
      <c r="F4951" s="8" t="s">
        <v>28542</v>
      </c>
      <c r="G4951" s="6" t="s">
        <v>118</v>
      </c>
      <c r="H4951" s="6" t="s">
        <v>34</v>
      </c>
      <c r="I4951" s="8" t="s">
        <v>263</v>
      </c>
      <c r="J4951" s="9">
        <v>1</v>
      </c>
      <c r="K4951" s="9">
        <v>264</v>
      </c>
      <c r="L4951" s="9">
        <v>2027</v>
      </c>
      <c r="M4951" s="8" t="s">
        <v>28543</v>
      </c>
      <c r="N4951" s="8" t="s">
        <v>37</v>
      </c>
      <c r="O4951" s="8" t="s">
        <v>136</v>
      </c>
      <c r="P4951" s="6" t="s">
        <v>51</v>
      </c>
      <c r="Q4951" s="8" t="s">
        <v>265</v>
      </c>
      <c r="R4951" s="10" t="s">
        <v>28544</v>
      </c>
      <c r="S4951" s="11" t="s">
        <v>28545</v>
      </c>
      <c r="T4951" s="6"/>
      <c r="U4951" s="15" t="str">
        <f>HYPERLINK("https://media.infra-m.ru/2187/2187040/cover/2187040.jpg", "Обложка")</f>
        <v>Обложка</v>
      </c>
      <c r="V4951" s="8" t="s">
        <v>8451</v>
      </c>
      <c r="W4951" s="6"/>
      <c r="X4951" s="6"/>
      <c r="Y4951" s="6"/>
      <c r="Z4951" s="6"/>
      <c r="AA4951" s="6" t="s">
        <v>157</v>
      </c>
      <c r="AB4951" s="8"/>
      <c r="AC4951" s="27">
        <v>9785160172644</v>
      </c>
    </row>
    <row r="4952" spans="1:29" s="4" customFormat="1" ht="42" customHeight="1" x14ac:dyDescent="0.2">
      <c r="A4952" s="5">
        <v>0</v>
      </c>
      <c r="B4952" s="6" t="s">
        <v>28546</v>
      </c>
      <c r="C4952" s="7">
        <v>1660.8</v>
      </c>
      <c r="D4952" s="8" t="s">
        <v>28547</v>
      </c>
      <c r="E4952" s="8" t="s">
        <v>28548</v>
      </c>
      <c r="F4952" s="8" t="s">
        <v>28549</v>
      </c>
      <c r="G4952" s="6" t="s">
        <v>60</v>
      </c>
      <c r="H4952" s="6" t="s">
        <v>313</v>
      </c>
      <c r="I4952" s="8" t="s">
        <v>65</v>
      </c>
      <c r="J4952" s="9">
        <v>1</v>
      </c>
      <c r="K4952" s="9">
        <v>308</v>
      </c>
      <c r="L4952" s="9">
        <v>2023</v>
      </c>
      <c r="M4952" s="8" t="s">
        <v>28550</v>
      </c>
      <c r="N4952" s="8" t="s">
        <v>37</v>
      </c>
      <c r="O4952" s="8" t="s">
        <v>136</v>
      </c>
      <c r="P4952" s="6" t="s">
        <v>306</v>
      </c>
      <c r="Q4952" s="8" t="s">
        <v>265</v>
      </c>
      <c r="R4952" s="10" t="s">
        <v>28551</v>
      </c>
      <c r="S4952" s="11"/>
      <c r="T4952" s="6" t="s">
        <v>97</v>
      </c>
      <c r="U4952" s="15" t="str">
        <f>HYPERLINK("https://media.infra-m.ru/1998/1998960/cover/1998960.jpg", "Обложка")</f>
        <v>Обложка</v>
      </c>
      <c r="V4952" s="8" t="s">
        <v>2095</v>
      </c>
      <c r="W4952" s="6"/>
      <c r="X4952" s="6"/>
      <c r="Y4952" s="6"/>
      <c r="Z4952" s="6"/>
      <c r="AA4952" s="6" t="s">
        <v>274</v>
      </c>
      <c r="AB4952" s="8"/>
      <c r="AC4952" s="27">
        <v>9785369014417</v>
      </c>
    </row>
    <row r="4953" spans="1:29" s="4" customFormat="1" ht="51.9" customHeight="1" x14ac:dyDescent="0.2">
      <c r="A4953" s="5">
        <v>0</v>
      </c>
      <c r="B4953" s="6" t="s">
        <v>28552</v>
      </c>
      <c r="C4953" s="7">
        <v>2632.8</v>
      </c>
      <c r="D4953" s="8" t="s">
        <v>28553</v>
      </c>
      <c r="E4953" s="8" t="s">
        <v>28548</v>
      </c>
      <c r="F4953" s="8" t="s">
        <v>28554</v>
      </c>
      <c r="G4953" s="6" t="s">
        <v>60</v>
      </c>
      <c r="H4953" s="6" t="s">
        <v>134</v>
      </c>
      <c r="I4953" s="8"/>
      <c r="J4953" s="9">
        <v>1</v>
      </c>
      <c r="K4953" s="9">
        <v>480</v>
      </c>
      <c r="L4953" s="9">
        <v>2023</v>
      </c>
      <c r="M4953" s="8" t="s">
        <v>28555</v>
      </c>
      <c r="N4953" s="8" t="s">
        <v>37</v>
      </c>
      <c r="O4953" s="8" t="s">
        <v>136</v>
      </c>
      <c r="P4953" s="6" t="s">
        <v>306</v>
      </c>
      <c r="Q4953" s="8" t="s">
        <v>52</v>
      </c>
      <c r="R4953" s="10" t="s">
        <v>28556</v>
      </c>
      <c r="S4953" s="11"/>
      <c r="T4953" s="6"/>
      <c r="U4953" s="15" t="str">
        <f>HYPERLINK("https://media.infra-m.ru/2043/2043261/cover/2043261.jpg", "Обложка")</f>
        <v>Обложка</v>
      </c>
      <c r="V4953" s="8" t="s">
        <v>644</v>
      </c>
      <c r="W4953" s="6"/>
      <c r="X4953" s="6"/>
      <c r="Y4953" s="6"/>
      <c r="Z4953" s="6"/>
      <c r="AA4953" s="6" t="s">
        <v>274</v>
      </c>
      <c r="AB4953" s="8"/>
      <c r="AC4953" s="27">
        <v>9785917685328</v>
      </c>
    </row>
    <row r="4954" spans="1:29" s="4" customFormat="1" ht="51.9" customHeight="1" x14ac:dyDescent="0.2">
      <c r="A4954" s="5">
        <v>0</v>
      </c>
      <c r="B4954" s="6" t="s">
        <v>28557</v>
      </c>
      <c r="C4954" s="7">
        <v>2640</v>
      </c>
      <c r="D4954" s="8" t="s">
        <v>28558</v>
      </c>
      <c r="E4954" s="8" t="s">
        <v>28559</v>
      </c>
      <c r="F4954" s="8" t="s">
        <v>28560</v>
      </c>
      <c r="G4954" s="6" t="s">
        <v>118</v>
      </c>
      <c r="H4954" s="6" t="s">
        <v>34</v>
      </c>
      <c r="I4954" s="8" t="s">
        <v>263</v>
      </c>
      <c r="J4954" s="9">
        <v>1</v>
      </c>
      <c r="K4954" s="9">
        <v>400</v>
      </c>
      <c r="L4954" s="9">
        <v>2026</v>
      </c>
      <c r="M4954" s="8" t="s">
        <v>28561</v>
      </c>
      <c r="N4954" s="8" t="s">
        <v>37</v>
      </c>
      <c r="O4954" s="8" t="s">
        <v>136</v>
      </c>
      <c r="P4954" s="6" t="s">
        <v>306</v>
      </c>
      <c r="Q4954" s="8" t="s">
        <v>265</v>
      </c>
      <c r="R4954" s="10" t="s">
        <v>28562</v>
      </c>
      <c r="S4954" s="11" t="s">
        <v>28563</v>
      </c>
      <c r="T4954" s="6"/>
      <c r="U4954" s="15" t="str">
        <f>HYPERLINK("https://media.infra-m.ru/2254/2254635/cover/2254635.jpg", "Обложка")</f>
        <v>Обложка</v>
      </c>
      <c r="V4954" s="8" t="s">
        <v>28564</v>
      </c>
      <c r="W4954" s="6"/>
      <c r="X4954" s="6"/>
      <c r="Y4954" s="6"/>
      <c r="Z4954" s="6"/>
      <c r="AA4954" s="6" t="s">
        <v>718</v>
      </c>
      <c r="AB4954" s="8"/>
      <c r="AC4954" s="27">
        <v>9785160221564</v>
      </c>
    </row>
    <row r="4955" spans="1:29" s="4" customFormat="1" ht="51.9" customHeight="1" x14ac:dyDescent="0.2">
      <c r="A4955" s="5">
        <v>0</v>
      </c>
      <c r="B4955" s="6" t="s">
        <v>28565</v>
      </c>
      <c r="C4955" s="7">
        <v>1896</v>
      </c>
      <c r="D4955" s="8" t="s">
        <v>28566</v>
      </c>
      <c r="E4955" s="8" t="s">
        <v>28567</v>
      </c>
      <c r="F4955" s="8" t="s">
        <v>10794</v>
      </c>
      <c r="G4955" s="6" t="s">
        <v>33</v>
      </c>
      <c r="H4955" s="6" t="s">
        <v>313</v>
      </c>
      <c r="I4955" s="8" t="s">
        <v>35</v>
      </c>
      <c r="J4955" s="9">
        <v>1</v>
      </c>
      <c r="K4955" s="9">
        <v>287</v>
      </c>
      <c r="L4955" s="9">
        <v>2026</v>
      </c>
      <c r="M4955" s="8" t="s">
        <v>28568</v>
      </c>
      <c r="N4955" s="8" t="s">
        <v>37</v>
      </c>
      <c r="O4955" s="8" t="s">
        <v>136</v>
      </c>
      <c r="P4955" s="6" t="s">
        <v>39</v>
      </c>
      <c r="Q4955" s="8" t="s">
        <v>65</v>
      </c>
      <c r="R4955" s="10" t="s">
        <v>28569</v>
      </c>
      <c r="S4955" s="11"/>
      <c r="T4955" s="6"/>
      <c r="U4955" s="15" t="str">
        <f>HYPERLINK("https://media.infra-m.ru/2239/2239794/cover/2239794.jpg", "Обложка")</f>
        <v>Обложка</v>
      </c>
      <c r="V4955" s="8" t="s">
        <v>7167</v>
      </c>
      <c r="W4955" s="6"/>
      <c r="X4955" s="6"/>
      <c r="Y4955" s="6"/>
      <c r="Z4955" s="6"/>
      <c r="AA4955" s="6" t="s">
        <v>106</v>
      </c>
      <c r="AB4955" s="8"/>
      <c r="AC4955" s="27">
        <v>9785369019580</v>
      </c>
    </row>
    <row r="4956" spans="1:29" s="4" customFormat="1" ht="51.9" customHeight="1" x14ac:dyDescent="0.2">
      <c r="A4956" s="5">
        <v>0</v>
      </c>
      <c r="B4956" s="6" t="s">
        <v>28570</v>
      </c>
      <c r="C4956" s="7">
        <v>1253.9000000000001</v>
      </c>
      <c r="D4956" s="8" t="s">
        <v>28571</v>
      </c>
      <c r="E4956" s="8" t="s">
        <v>28572</v>
      </c>
      <c r="F4956" s="8" t="s">
        <v>10794</v>
      </c>
      <c r="G4956" s="6" t="s">
        <v>33</v>
      </c>
      <c r="H4956" s="6" t="s">
        <v>313</v>
      </c>
      <c r="I4956" s="8" t="s">
        <v>35</v>
      </c>
      <c r="J4956" s="9">
        <v>1</v>
      </c>
      <c r="K4956" s="9">
        <v>268</v>
      </c>
      <c r="L4956" s="9">
        <v>2022</v>
      </c>
      <c r="M4956" s="8" t="s">
        <v>28573</v>
      </c>
      <c r="N4956" s="8" t="s">
        <v>37</v>
      </c>
      <c r="O4956" s="8" t="s">
        <v>136</v>
      </c>
      <c r="P4956" s="6" t="s">
        <v>39</v>
      </c>
      <c r="Q4956" s="8" t="s">
        <v>40</v>
      </c>
      <c r="R4956" s="10" t="s">
        <v>28569</v>
      </c>
      <c r="S4956" s="11"/>
      <c r="T4956" s="6"/>
      <c r="U4956" s="15" t="str">
        <f>HYPERLINK("https://media.infra-m.ru/1859/1859602/cover/1859602.jpg", "Обложка")</f>
        <v>Обложка</v>
      </c>
      <c r="V4956" s="8" t="s">
        <v>7167</v>
      </c>
      <c r="W4956" s="6"/>
      <c r="X4956" s="6"/>
      <c r="Y4956" s="6"/>
      <c r="Z4956" s="6"/>
      <c r="AA4956" s="6" t="s">
        <v>248</v>
      </c>
      <c r="AB4956" s="8"/>
      <c r="AC4956" s="27">
        <v>9785369012932</v>
      </c>
    </row>
    <row r="4957" spans="1:29" s="4" customFormat="1" ht="51.9" customHeight="1" x14ac:dyDescent="0.2">
      <c r="A4957" s="5">
        <v>0</v>
      </c>
      <c r="B4957" s="6" t="s">
        <v>28574</v>
      </c>
      <c r="C4957" s="7">
        <v>2344.8000000000002</v>
      </c>
      <c r="D4957" s="8" t="s">
        <v>28575</v>
      </c>
      <c r="E4957" s="8" t="s">
        <v>28576</v>
      </c>
      <c r="F4957" s="8" t="s">
        <v>28577</v>
      </c>
      <c r="G4957" s="6" t="s">
        <v>60</v>
      </c>
      <c r="H4957" s="6" t="s">
        <v>241</v>
      </c>
      <c r="I4957" s="8"/>
      <c r="J4957" s="9">
        <v>1</v>
      </c>
      <c r="K4957" s="9">
        <v>336</v>
      </c>
      <c r="L4957" s="9">
        <v>2026</v>
      </c>
      <c r="M4957" s="8" t="s">
        <v>28578</v>
      </c>
      <c r="N4957" s="8" t="s">
        <v>243</v>
      </c>
      <c r="O4957" s="8" t="s">
        <v>244</v>
      </c>
      <c r="P4957" s="6" t="s">
        <v>51</v>
      </c>
      <c r="Q4957" s="8" t="s">
        <v>52</v>
      </c>
      <c r="R4957" s="10" t="s">
        <v>28579</v>
      </c>
      <c r="S4957" s="11" t="s">
        <v>28580</v>
      </c>
      <c r="T4957" s="6"/>
      <c r="U4957" s="15" t="str">
        <f>HYPERLINK("https://media.infra-m.ru/2253/2253057/cover/2253057.jpg", "Обложка")</f>
        <v>Обложка</v>
      </c>
      <c r="V4957" s="8" t="s">
        <v>28581</v>
      </c>
      <c r="W4957" s="6"/>
      <c r="X4957" s="6"/>
      <c r="Y4957" s="6"/>
      <c r="Z4957" s="6"/>
      <c r="AA4957" s="6" t="s">
        <v>623</v>
      </c>
      <c r="AB4957" s="8"/>
      <c r="AC4957" s="27">
        <v>9785955804941</v>
      </c>
    </row>
    <row r="4958" spans="1:29" s="4" customFormat="1" ht="51.9" customHeight="1" x14ac:dyDescent="0.2">
      <c r="A4958" s="5">
        <v>0</v>
      </c>
      <c r="B4958" s="6" t="s">
        <v>28582</v>
      </c>
      <c r="C4958" s="7">
        <v>1056</v>
      </c>
      <c r="D4958" s="8" t="s">
        <v>28583</v>
      </c>
      <c r="E4958" s="8" t="s">
        <v>28584</v>
      </c>
      <c r="F4958" s="8" t="s">
        <v>28585</v>
      </c>
      <c r="G4958" s="6" t="s">
        <v>33</v>
      </c>
      <c r="H4958" s="6" t="s">
        <v>313</v>
      </c>
      <c r="I4958" s="8" t="s">
        <v>253</v>
      </c>
      <c r="J4958" s="9">
        <v>1</v>
      </c>
      <c r="K4958" s="9">
        <v>172</v>
      </c>
      <c r="L4958" s="9">
        <v>2025</v>
      </c>
      <c r="M4958" s="8" t="s">
        <v>28586</v>
      </c>
      <c r="N4958" s="8" t="s">
        <v>37</v>
      </c>
      <c r="O4958" s="8" t="s">
        <v>136</v>
      </c>
      <c r="P4958" s="6" t="s">
        <v>51</v>
      </c>
      <c r="Q4958" s="8" t="s">
        <v>65</v>
      </c>
      <c r="R4958" s="10" t="s">
        <v>1275</v>
      </c>
      <c r="S4958" s="11" t="s">
        <v>28587</v>
      </c>
      <c r="T4958" s="6"/>
      <c r="U4958" s="15" t="str">
        <f>HYPERLINK("https://media.infra-m.ru/2161/2161543/cover/2161543.jpg", "Обложка")</f>
        <v>Обложка</v>
      </c>
      <c r="V4958" s="8" t="s">
        <v>1069</v>
      </c>
      <c r="W4958" s="6"/>
      <c r="X4958" s="6"/>
      <c r="Y4958" s="6"/>
      <c r="Z4958" s="6"/>
      <c r="AA4958" s="6" t="s">
        <v>874</v>
      </c>
      <c r="AB4958" s="8"/>
      <c r="AC4958" s="27">
        <v>9785369013762</v>
      </c>
    </row>
    <row r="4959" spans="1:29" s="4" customFormat="1" ht="51.9" customHeight="1" x14ac:dyDescent="0.2">
      <c r="A4959" s="5">
        <v>0</v>
      </c>
      <c r="B4959" s="6" t="s">
        <v>28588</v>
      </c>
      <c r="C4959" s="7">
        <v>1368</v>
      </c>
      <c r="D4959" s="8" t="s">
        <v>28589</v>
      </c>
      <c r="E4959" s="8" t="s">
        <v>28590</v>
      </c>
      <c r="F4959" s="8" t="s">
        <v>28591</v>
      </c>
      <c r="G4959" s="6" t="s">
        <v>118</v>
      </c>
      <c r="H4959" s="6" t="s">
        <v>34</v>
      </c>
      <c r="I4959" s="8" t="s">
        <v>253</v>
      </c>
      <c r="J4959" s="9">
        <v>1</v>
      </c>
      <c r="K4959" s="9">
        <v>210</v>
      </c>
      <c r="L4959" s="9">
        <v>2026</v>
      </c>
      <c r="M4959" s="8" t="s">
        <v>28592</v>
      </c>
      <c r="N4959" s="8" t="s">
        <v>93</v>
      </c>
      <c r="O4959" s="8" t="s">
        <v>94</v>
      </c>
      <c r="P4959" s="6" t="s">
        <v>51</v>
      </c>
      <c r="Q4959" s="8" t="s">
        <v>52</v>
      </c>
      <c r="R4959" s="10" t="s">
        <v>28593</v>
      </c>
      <c r="S4959" s="11" t="s">
        <v>28594</v>
      </c>
      <c r="T4959" s="6"/>
      <c r="U4959" s="15" t="str">
        <f>HYPERLINK("https://media.infra-m.ru/2223/2223177/cover/2223177.jpg", "Обложка")</f>
        <v>Обложка</v>
      </c>
      <c r="V4959" s="8" t="s">
        <v>7920</v>
      </c>
      <c r="W4959" s="6"/>
      <c r="X4959" s="6"/>
      <c r="Y4959" s="6"/>
      <c r="Z4959" s="6"/>
      <c r="AA4959" s="6" t="s">
        <v>623</v>
      </c>
      <c r="AB4959" s="8"/>
      <c r="AC4959" s="27">
        <v>9785160213835</v>
      </c>
    </row>
    <row r="4960" spans="1:29" s="4" customFormat="1" ht="51.9" customHeight="1" x14ac:dyDescent="0.2">
      <c r="A4960" s="5">
        <v>0</v>
      </c>
      <c r="B4960" s="6" t="s">
        <v>28595</v>
      </c>
      <c r="C4960" s="7">
        <v>1204.8</v>
      </c>
      <c r="D4960" s="8" t="s">
        <v>28596</v>
      </c>
      <c r="E4960" s="8" t="s">
        <v>28597</v>
      </c>
      <c r="F4960" s="8" t="s">
        <v>28598</v>
      </c>
      <c r="G4960" s="6" t="s">
        <v>118</v>
      </c>
      <c r="H4960" s="6" t="s">
        <v>34</v>
      </c>
      <c r="I4960" s="8" t="s">
        <v>253</v>
      </c>
      <c r="J4960" s="9">
        <v>1</v>
      </c>
      <c r="K4960" s="9">
        <v>205</v>
      </c>
      <c r="L4960" s="9">
        <v>2023</v>
      </c>
      <c r="M4960" s="8" t="s">
        <v>28599</v>
      </c>
      <c r="N4960" s="8" t="s">
        <v>63</v>
      </c>
      <c r="O4960" s="8" t="s">
        <v>64</v>
      </c>
      <c r="P4960" s="6" t="s">
        <v>306</v>
      </c>
      <c r="Q4960" s="8" t="s">
        <v>65</v>
      </c>
      <c r="R4960" s="10" t="s">
        <v>28600</v>
      </c>
      <c r="S4960" s="11" t="s">
        <v>28601</v>
      </c>
      <c r="T4960" s="6"/>
      <c r="U4960" s="15" t="str">
        <f>HYPERLINK("https://media.infra-m.ru/2081/2081018/cover/2081018.jpg", "Обложка")</f>
        <v>Обложка</v>
      </c>
      <c r="V4960" s="8" t="s">
        <v>3595</v>
      </c>
      <c r="W4960" s="6"/>
      <c r="X4960" s="6"/>
      <c r="Y4960" s="6"/>
      <c r="Z4960" s="6"/>
      <c r="AA4960" s="6" t="s">
        <v>148</v>
      </c>
      <c r="AB4960" s="8"/>
      <c r="AC4960" s="27">
        <v>9785160189413</v>
      </c>
    </row>
    <row r="4961" spans="1:29" s="4" customFormat="1" ht="51.9" customHeight="1" x14ac:dyDescent="0.2">
      <c r="A4961" s="5">
        <v>0</v>
      </c>
      <c r="B4961" s="6" t="s">
        <v>28602</v>
      </c>
      <c r="C4961" s="7">
        <v>1264.8</v>
      </c>
      <c r="D4961" s="8" t="s">
        <v>28603</v>
      </c>
      <c r="E4961" s="8" t="s">
        <v>28604</v>
      </c>
      <c r="F4961" s="8" t="s">
        <v>28605</v>
      </c>
      <c r="G4961" s="6" t="s">
        <v>60</v>
      </c>
      <c r="H4961" s="6" t="s">
        <v>34</v>
      </c>
      <c r="I4961" s="8" t="s">
        <v>271</v>
      </c>
      <c r="J4961" s="9">
        <v>1</v>
      </c>
      <c r="K4961" s="9">
        <v>224</v>
      </c>
      <c r="L4961" s="9">
        <v>2024</v>
      </c>
      <c r="M4961" s="8" t="s">
        <v>28606</v>
      </c>
      <c r="N4961" s="8" t="s">
        <v>37</v>
      </c>
      <c r="O4961" s="8" t="s">
        <v>499</v>
      </c>
      <c r="P4961" s="6" t="s">
        <v>51</v>
      </c>
      <c r="Q4961" s="8" t="s">
        <v>52</v>
      </c>
      <c r="R4961" s="10" t="s">
        <v>6023</v>
      </c>
      <c r="S4961" s="11"/>
      <c r="T4961" s="6"/>
      <c r="U4961" s="15" t="str">
        <f>HYPERLINK("https://media.infra-m.ru/2155/2155011/cover/2155011.jpg", "Обложка")</f>
        <v>Обложка</v>
      </c>
      <c r="V4961" s="8" t="s">
        <v>3196</v>
      </c>
      <c r="W4961" s="6"/>
      <c r="X4961" s="6"/>
      <c r="Y4961" s="6"/>
      <c r="Z4961" s="6"/>
      <c r="AA4961" s="6" t="s">
        <v>3736</v>
      </c>
      <c r="AB4961" s="8"/>
      <c r="AC4961" s="27">
        <v>9785160068848</v>
      </c>
    </row>
    <row r="4962" spans="1:29" s="4" customFormat="1" ht="51.9" customHeight="1" x14ac:dyDescent="0.2">
      <c r="A4962" s="5">
        <v>0</v>
      </c>
      <c r="B4962" s="6" t="s">
        <v>28607</v>
      </c>
      <c r="C4962" s="7">
        <v>2656.8</v>
      </c>
      <c r="D4962" s="8" t="s">
        <v>28608</v>
      </c>
      <c r="E4962" s="8" t="s">
        <v>28609</v>
      </c>
      <c r="F4962" s="8" t="s">
        <v>28610</v>
      </c>
      <c r="G4962" s="6" t="s">
        <v>60</v>
      </c>
      <c r="H4962" s="6" t="s">
        <v>34</v>
      </c>
      <c r="I4962" s="8" t="s">
        <v>271</v>
      </c>
      <c r="J4962" s="9">
        <v>1</v>
      </c>
      <c r="K4962" s="9">
        <v>437</v>
      </c>
      <c r="L4962" s="9">
        <v>2025</v>
      </c>
      <c r="M4962" s="8" t="s">
        <v>28611</v>
      </c>
      <c r="N4962" s="8" t="s">
        <v>37</v>
      </c>
      <c r="O4962" s="8" t="s">
        <v>499</v>
      </c>
      <c r="P4962" s="6" t="s">
        <v>306</v>
      </c>
      <c r="Q4962" s="8" t="s">
        <v>52</v>
      </c>
      <c r="R4962" s="10" t="s">
        <v>28612</v>
      </c>
      <c r="S4962" s="11" t="s">
        <v>28613</v>
      </c>
      <c r="T4962" s="6" t="s">
        <v>97</v>
      </c>
      <c r="U4962" s="15" t="str">
        <f>HYPERLINK("https://media.infra-m.ru/2179/2179726/cover/2179726.jpg", "Обложка")</f>
        <v>Обложка</v>
      </c>
      <c r="V4962" s="8" t="s">
        <v>1768</v>
      </c>
      <c r="W4962" s="6"/>
      <c r="X4962" s="6"/>
      <c r="Y4962" s="6"/>
      <c r="Z4962" s="6"/>
      <c r="AA4962" s="6" t="s">
        <v>2240</v>
      </c>
      <c r="AB4962" s="8"/>
      <c r="AC4962" s="27">
        <v>9785160141886</v>
      </c>
    </row>
    <row r="4963" spans="1:29" s="4" customFormat="1" ht="51.9" customHeight="1" x14ac:dyDescent="0.2">
      <c r="A4963" s="5">
        <v>0</v>
      </c>
      <c r="B4963" s="6" t="s">
        <v>28614</v>
      </c>
      <c r="C4963" s="7">
        <v>1408.8</v>
      </c>
      <c r="D4963" s="8" t="s">
        <v>28615</v>
      </c>
      <c r="E4963" s="8" t="s">
        <v>28609</v>
      </c>
      <c r="F4963" s="8" t="s">
        <v>28616</v>
      </c>
      <c r="G4963" s="6" t="s">
        <v>60</v>
      </c>
      <c r="H4963" s="6" t="s">
        <v>48</v>
      </c>
      <c r="I4963" s="8" t="s">
        <v>401</v>
      </c>
      <c r="J4963" s="9">
        <v>1</v>
      </c>
      <c r="K4963" s="9">
        <v>256</v>
      </c>
      <c r="L4963" s="9">
        <v>2024</v>
      </c>
      <c r="M4963" s="8" t="s">
        <v>28617</v>
      </c>
      <c r="N4963" s="8" t="s">
        <v>37</v>
      </c>
      <c r="O4963" s="8" t="s">
        <v>499</v>
      </c>
      <c r="P4963" s="6" t="s">
        <v>51</v>
      </c>
      <c r="Q4963" s="8" t="s">
        <v>265</v>
      </c>
      <c r="R4963" s="10" t="s">
        <v>4538</v>
      </c>
      <c r="S4963" s="11" t="s">
        <v>560</v>
      </c>
      <c r="T4963" s="6"/>
      <c r="U4963" s="15" t="str">
        <f>HYPERLINK("https://media.infra-m.ru/2104/2104120/cover/2104120.jpg", "Обложка")</f>
        <v>Обложка</v>
      </c>
      <c r="V4963" s="8" t="s">
        <v>2327</v>
      </c>
      <c r="W4963" s="6"/>
      <c r="X4963" s="6" t="s">
        <v>24</v>
      </c>
      <c r="Y4963" s="6"/>
      <c r="Z4963" s="6"/>
      <c r="AA4963" s="6" t="s">
        <v>859</v>
      </c>
      <c r="AB4963" s="8" t="s">
        <v>17125</v>
      </c>
      <c r="AC4963" s="27">
        <v>9785911348571</v>
      </c>
    </row>
    <row r="4964" spans="1:29" s="4" customFormat="1" ht="51.9" customHeight="1" x14ac:dyDescent="0.2">
      <c r="A4964" s="5">
        <v>0</v>
      </c>
      <c r="B4964" s="6" t="s">
        <v>28618</v>
      </c>
      <c r="C4964" s="7">
        <v>1900.8</v>
      </c>
      <c r="D4964" s="8" t="s">
        <v>28619</v>
      </c>
      <c r="E4964" s="8" t="s">
        <v>28620</v>
      </c>
      <c r="F4964" s="8" t="s">
        <v>2324</v>
      </c>
      <c r="G4964" s="6" t="s">
        <v>118</v>
      </c>
      <c r="H4964" s="6" t="s">
        <v>34</v>
      </c>
      <c r="I4964" s="8" t="s">
        <v>263</v>
      </c>
      <c r="J4964" s="9">
        <v>1</v>
      </c>
      <c r="K4964" s="9">
        <v>288</v>
      </c>
      <c r="L4964" s="9">
        <v>2026</v>
      </c>
      <c r="M4964" s="8" t="s">
        <v>28621</v>
      </c>
      <c r="N4964" s="8" t="s">
        <v>37</v>
      </c>
      <c r="O4964" s="8" t="s">
        <v>499</v>
      </c>
      <c r="P4964" s="6" t="s">
        <v>51</v>
      </c>
      <c r="Q4964" s="8" t="s">
        <v>265</v>
      </c>
      <c r="R4964" s="10" t="s">
        <v>4538</v>
      </c>
      <c r="S4964" s="11" t="s">
        <v>1013</v>
      </c>
      <c r="T4964" s="6"/>
      <c r="U4964" s="15" t="str">
        <f>HYPERLINK("https://media.infra-m.ru/2247/2247586/cover/2247586.jpg", "Обложка")</f>
        <v>Обложка</v>
      </c>
      <c r="V4964" s="8" t="s">
        <v>2327</v>
      </c>
      <c r="W4964" s="6"/>
      <c r="X4964" s="6" t="s">
        <v>24</v>
      </c>
      <c r="Y4964" s="6"/>
      <c r="Z4964" s="6"/>
      <c r="AA4964" s="6" t="s">
        <v>5476</v>
      </c>
      <c r="AB4964" s="8" t="s">
        <v>17125</v>
      </c>
      <c r="AC4964" s="27">
        <v>9785160181486</v>
      </c>
    </row>
    <row r="4965" spans="1:29" s="4" customFormat="1" ht="51.9" customHeight="1" x14ac:dyDescent="0.2">
      <c r="A4965" s="5">
        <v>0</v>
      </c>
      <c r="B4965" s="6" t="s">
        <v>28622</v>
      </c>
      <c r="C4965" s="7">
        <v>1097.9000000000001</v>
      </c>
      <c r="D4965" s="8" t="s">
        <v>28623</v>
      </c>
      <c r="E4965" s="8" t="s">
        <v>28624</v>
      </c>
      <c r="F4965" s="8" t="s">
        <v>28625</v>
      </c>
      <c r="G4965" s="6" t="s">
        <v>60</v>
      </c>
      <c r="H4965" s="6" t="s">
        <v>34</v>
      </c>
      <c r="I4965" s="8" t="s">
        <v>271</v>
      </c>
      <c r="J4965" s="9">
        <v>1</v>
      </c>
      <c r="K4965" s="9">
        <v>313</v>
      </c>
      <c r="L4965" s="9">
        <v>2018</v>
      </c>
      <c r="M4965" s="8" t="s">
        <v>28626</v>
      </c>
      <c r="N4965" s="8" t="s">
        <v>37</v>
      </c>
      <c r="O4965" s="8" t="s">
        <v>499</v>
      </c>
      <c r="P4965" s="6" t="s">
        <v>306</v>
      </c>
      <c r="Q4965" s="8" t="s">
        <v>52</v>
      </c>
      <c r="R4965" s="10" t="s">
        <v>28612</v>
      </c>
      <c r="S4965" s="11" t="s">
        <v>28627</v>
      </c>
      <c r="T4965" s="6"/>
      <c r="U4965" s="15" t="str">
        <f>HYPERLINK("https://media.infra-m.ru/0935/0935429/cover/935429.jpg", "Обложка")</f>
        <v>Обложка</v>
      </c>
      <c r="V4965" s="8" t="s">
        <v>1768</v>
      </c>
      <c r="W4965" s="6"/>
      <c r="X4965" s="6"/>
      <c r="Y4965" s="6"/>
      <c r="Z4965" s="6"/>
      <c r="AA4965" s="6" t="s">
        <v>248</v>
      </c>
      <c r="AB4965" s="8"/>
      <c r="AC4965" s="27">
        <v>9785160068770</v>
      </c>
    </row>
    <row r="4966" spans="1:29" s="4" customFormat="1" ht="51.9" customHeight="1" x14ac:dyDescent="0.2">
      <c r="A4966" s="5">
        <v>0</v>
      </c>
      <c r="B4966" s="6" t="s">
        <v>28628</v>
      </c>
      <c r="C4966" s="7">
        <v>2032.8</v>
      </c>
      <c r="D4966" s="8" t="s">
        <v>28629</v>
      </c>
      <c r="E4966" s="8" t="s">
        <v>28620</v>
      </c>
      <c r="F4966" s="8" t="s">
        <v>28630</v>
      </c>
      <c r="G4966" s="6" t="s">
        <v>60</v>
      </c>
      <c r="H4966" s="6" t="s">
        <v>34</v>
      </c>
      <c r="I4966" s="8" t="s">
        <v>253</v>
      </c>
      <c r="J4966" s="9">
        <v>1</v>
      </c>
      <c r="K4966" s="9">
        <v>291</v>
      </c>
      <c r="L4966" s="9">
        <v>2026</v>
      </c>
      <c r="M4966" s="8" t="s">
        <v>28631</v>
      </c>
      <c r="N4966" s="8" t="s">
        <v>37</v>
      </c>
      <c r="O4966" s="8" t="s">
        <v>499</v>
      </c>
      <c r="P4966" s="6" t="s">
        <v>306</v>
      </c>
      <c r="Q4966" s="8" t="s">
        <v>65</v>
      </c>
      <c r="R4966" s="10" t="s">
        <v>370</v>
      </c>
      <c r="S4966" s="11"/>
      <c r="T4966" s="6"/>
      <c r="U4966" s="15" t="str">
        <f>HYPERLINK("https://media.infra-m.ru/2251/2251330/cover/2251330.jpg", "Обложка")</f>
        <v>Обложка</v>
      </c>
      <c r="V4966" s="8" t="s">
        <v>3196</v>
      </c>
      <c r="W4966" s="6"/>
      <c r="X4966" s="6"/>
      <c r="Y4966" s="6"/>
      <c r="Z4966" s="6"/>
      <c r="AA4966" s="6" t="s">
        <v>1295</v>
      </c>
      <c r="AB4966" s="8"/>
      <c r="AC4966" s="27">
        <v>9785160207650</v>
      </c>
    </row>
    <row r="4967" spans="1:29" s="4" customFormat="1" ht="51.9" customHeight="1" x14ac:dyDescent="0.2">
      <c r="A4967" s="5">
        <v>0</v>
      </c>
      <c r="B4967" s="6" t="s">
        <v>28632</v>
      </c>
      <c r="C4967" s="7">
        <v>1588.8</v>
      </c>
      <c r="D4967" s="8" t="s">
        <v>28633</v>
      </c>
      <c r="E4967" s="8" t="s">
        <v>28609</v>
      </c>
      <c r="F4967" s="8" t="s">
        <v>28634</v>
      </c>
      <c r="G4967" s="6" t="s">
        <v>60</v>
      </c>
      <c r="H4967" s="6" t="s">
        <v>34</v>
      </c>
      <c r="I4967" s="8" t="s">
        <v>271</v>
      </c>
      <c r="J4967" s="9">
        <v>1</v>
      </c>
      <c r="K4967" s="9">
        <v>287</v>
      </c>
      <c r="L4967" s="9">
        <v>2024</v>
      </c>
      <c r="M4967" s="8" t="s">
        <v>28635</v>
      </c>
      <c r="N4967" s="8" t="s">
        <v>37</v>
      </c>
      <c r="O4967" s="8" t="s">
        <v>499</v>
      </c>
      <c r="P4967" s="6" t="s">
        <v>306</v>
      </c>
      <c r="Q4967" s="8" t="s">
        <v>52</v>
      </c>
      <c r="R4967" s="10" t="s">
        <v>370</v>
      </c>
      <c r="S4967" s="11" t="s">
        <v>28636</v>
      </c>
      <c r="T4967" s="6"/>
      <c r="U4967" s="15" t="str">
        <f>HYPERLINK("https://media.infra-m.ru/2087/2087741/cover/2087741.jpg", "Обложка")</f>
        <v>Обложка</v>
      </c>
      <c r="V4967" s="8" t="s">
        <v>3196</v>
      </c>
      <c r="W4967" s="6"/>
      <c r="X4967" s="6"/>
      <c r="Y4967" s="6"/>
      <c r="Z4967" s="6"/>
      <c r="AA4967" s="6" t="s">
        <v>874</v>
      </c>
      <c r="AB4967" s="8"/>
      <c r="AC4967" s="27">
        <v>9785160104737</v>
      </c>
    </row>
    <row r="4968" spans="1:29" s="4" customFormat="1" ht="51.9" customHeight="1" x14ac:dyDescent="0.2">
      <c r="A4968" s="5">
        <v>0</v>
      </c>
      <c r="B4968" s="6" t="s">
        <v>28637</v>
      </c>
      <c r="C4968" s="7">
        <v>1120.8</v>
      </c>
      <c r="D4968" s="8" t="s">
        <v>28638</v>
      </c>
      <c r="E4968" s="8" t="s">
        <v>28639</v>
      </c>
      <c r="F4968" s="8" t="s">
        <v>28640</v>
      </c>
      <c r="G4968" s="6" t="s">
        <v>60</v>
      </c>
      <c r="H4968" s="6" t="s">
        <v>1042</v>
      </c>
      <c r="I4968" s="8" t="s">
        <v>253</v>
      </c>
      <c r="J4968" s="9">
        <v>1</v>
      </c>
      <c r="K4968" s="9">
        <v>160</v>
      </c>
      <c r="L4968" s="9">
        <v>2027</v>
      </c>
      <c r="M4968" s="8" t="s">
        <v>28641</v>
      </c>
      <c r="N4968" s="8" t="s">
        <v>243</v>
      </c>
      <c r="O4968" s="8" t="s">
        <v>758</v>
      </c>
      <c r="P4968" s="6" t="s">
        <v>51</v>
      </c>
      <c r="Q4968" s="8" t="s">
        <v>52</v>
      </c>
      <c r="R4968" s="10" t="s">
        <v>28642</v>
      </c>
      <c r="S4968" s="11" t="s">
        <v>28643</v>
      </c>
      <c r="T4968" s="6"/>
      <c r="U4968" s="15" t="str">
        <f>HYPERLINK("https://media.infra-m.ru/2239/2239528/cover/2239528.jpg", "Обложка")</f>
        <v>Обложка</v>
      </c>
      <c r="V4968" s="8" t="s">
        <v>1157</v>
      </c>
      <c r="W4968" s="6"/>
      <c r="X4968" s="6"/>
      <c r="Y4968" s="6"/>
      <c r="Z4968" s="6"/>
      <c r="AA4968" s="6" t="s">
        <v>2338</v>
      </c>
      <c r="AB4968" s="8"/>
      <c r="AC4968" s="27">
        <v>9785819904725</v>
      </c>
    </row>
    <row r="4969" spans="1:29" s="4" customFormat="1" ht="44.1" customHeight="1" x14ac:dyDescent="0.2">
      <c r="A4969" s="5">
        <v>0</v>
      </c>
      <c r="B4969" s="6" t="s">
        <v>28644</v>
      </c>
      <c r="C4969" s="7">
        <v>1024.8</v>
      </c>
      <c r="D4969" s="8" t="s">
        <v>28645</v>
      </c>
      <c r="E4969" s="8" t="s">
        <v>28646</v>
      </c>
      <c r="F4969" s="8" t="s">
        <v>28647</v>
      </c>
      <c r="G4969" s="6" t="s">
        <v>118</v>
      </c>
      <c r="H4969" s="6" t="s">
        <v>134</v>
      </c>
      <c r="I4969" s="8"/>
      <c r="J4969" s="9">
        <v>1</v>
      </c>
      <c r="K4969" s="9">
        <v>152</v>
      </c>
      <c r="L4969" s="9">
        <v>2026</v>
      </c>
      <c r="M4969" s="8" t="s">
        <v>28648</v>
      </c>
      <c r="N4969" s="8" t="s">
        <v>63</v>
      </c>
      <c r="O4969" s="8" t="s">
        <v>64</v>
      </c>
      <c r="P4969" s="6" t="s">
        <v>51</v>
      </c>
      <c r="Q4969" s="8" t="s">
        <v>52</v>
      </c>
      <c r="R4969" s="10" t="s">
        <v>13507</v>
      </c>
      <c r="S4969" s="11"/>
      <c r="T4969" s="6"/>
      <c r="U4969" s="15" t="str">
        <f>HYPERLINK("https://media.infra-m.ru/2247/2247875/cover/2247875.jpg", "Обложка")</f>
        <v>Обложка</v>
      </c>
      <c r="V4969" s="8" t="s">
        <v>1184</v>
      </c>
      <c r="W4969" s="6"/>
      <c r="X4969" s="6"/>
      <c r="Y4969" s="6"/>
      <c r="Z4969" s="6"/>
      <c r="AA4969" s="6" t="s">
        <v>1256</v>
      </c>
      <c r="AB4969" s="8"/>
      <c r="AC4969" s="27">
        <v>9785001560722</v>
      </c>
    </row>
    <row r="4970" spans="1:29" s="4" customFormat="1" ht="51.9" customHeight="1" x14ac:dyDescent="0.2">
      <c r="A4970" s="5">
        <v>0</v>
      </c>
      <c r="B4970" s="6" t="s">
        <v>28649</v>
      </c>
      <c r="C4970" s="7">
        <v>1056</v>
      </c>
      <c r="D4970" s="8" t="s">
        <v>28650</v>
      </c>
      <c r="E4970" s="8" t="s">
        <v>28639</v>
      </c>
      <c r="F4970" s="8" t="s">
        <v>28651</v>
      </c>
      <c r="G4970" s="6" t="s">
        <v>118</v>
      </c>
      <c r="H4970" s="6" t="s">
        <v>34</v>
      </c>
      <c r="I4970" s="8" t="s">
        <v>263</v>
      </c>
      <c r="J4970" s="9">
        <v>1</v>
      </c>
      <c r="K4970" s="9">
        <v>160</v>
      </c>
      <c r="L4970" s="9">
        <v>2027</v>
      </c>
      <c r="M4970" s="8" t="s">
        <v>28652</v>
      </c>
      <c r="N4970" s="8" t="s">
        <v>243</v>
      </c>
      <c r="O4970" s="8" t="s">
        <v>758</v>
      </c>
      <c r="P4970" s="6" t="s">
        <v>51</v>
      </c>
      <c r="Q4970" s="8" t="s">
        <v>265</v>
      </c>
      <c r="R4970" s="10" t="s">
        <v>28653</v>
      </c>
      <c r="S4970" s="11" t="s">
        <v>28654</v>
      </c>
      <c r="T4970" s="6"/>
      <c r="U4970" s="15" t="str">
        <f>HYPERLINK("https://media.infra-m.ru/2256/2256579/cover/2256579.jpg", "Обложка")</f>
        <v>Обложка</v>
      </c>
      <c r="V4970" s="8" t="s">
        <v>1157</v>
      </c>
      <c r="W4970" s="6"/>
      <c r="X4970" s="6"/>
      <c r="Y4970" s="6"/>
      <c r="Z4970" s="6" t="s">
        <v>267</v>
      </c>
      <c r="AA4970" s="6" t="s">
        <v>218</v>
      </c>
      <c r="AB4970" s="8"/>
      <c r="AC4970" s="27">
        <v>9785160221670</v>
      </c>
    </row>
    <row r="4971" spans="1:29" s="4" customFormat="1" ht="51.9" customHeight="1" x14ac:dyDescent="0.2">
      <c r="A4971" s="5">
        <v>0</v>
      </c>
      <c r="B4971" s="6" t="s">
        <v>28655</v>
      </c>
      <c r="C4971" s="7">
        <v>1860</v>
      </c>
      <c r="D4971" s="8" t="s">
        <v>28656</v>
      </c>
      <c r="E4971" s="8" t="s">
        <v>28657</v>
      </c>
      <c r="F4971" s="8" t="s">
        <v>28658</v>
      </c>
      <c r="G4971" s="6" t="s">
        <v>118</v>
      </c>
      <c r="H4971" s="6" t="s">
        <v>34</v>
      </c>
      <c r="I4971" s="8" t="s">
        <v>253</v>
      </c>
      <c r="J4971" s="9">
        <v>1</v>
      </c>
      <c r="K4971" s="9">
        <v>336</v>
      </c>
      <c r="L4971" s="9">
        <v>2024</v>
      </c>
      <c r="M4971" s="8" t="s">
        <v>28659</v>
      </c>
      <c r="N4971" s="8" t="s">
        <v>585</v>
      </c>
      <c r="O4971" s="8" t="s">
        <v>775</v>
      </c>
      <c r="P4971" s="6" t="s">
        <v>51</v>
      </c>
      <c r="Q4971" s="8" t="s">
        <v>52</v>
      </c>
      <c r="R4971" s="10" t="s">
        <v>28660</v>
      </c>
      <c r="S4971" s="11" t="s">
        <v>28661</v>
      </c>
      <c r="T4971" s="6" t="s">
        <v>97</v>
      </c>
      <c r="U4971" s="15" t="str">
        <f>HYPERLINK("https://media.infra-m.ru/2084/2084208/cover/2084208.jpg", "Обложка")</f>
        <v>Обложка</v>
      </c>
      <c r="V4971" s="8" t="s">
        <v>3087</v>
      </c>
      <c r="W4971" s="6"/>
      <c r="X4971" s="6"/>
      <c r="Y4971" s="6"/>
      <c r="Z4971" s="6"/>
      <c r="AA4971" s="6" t="s">
        <v>55</v>
      </c>
      <c r="AB4971" s="8"/>
      <c r="AC4971" s="27">
        <v>9785160193601</v>
      </c>
    </row>
    <row r="4972" spans="1:29" s="4" customFormat="1" ht="51.9" customHeight="1" x14ac:dyDescent="0.2">
      <c r="A4972" s="5">
        <v>0</v>
      </c>
      <c r="B4972" s="6" t="s">
        <v>28662</v>
      </c>
      <c r="C4972" s="7">
        <v>1480.8</v>
      </c>
      <c r="D4972" s="8" t="s">
        <v>28663</v>
      </c>
      <c r="E4972" s="8" t="s">
        <v>28664</v>
      </c>
      <c r="F4972" s="8" t="s">
        <v>28665</v>
      </c>
      <c r="G4972" s="6" t="s">
        <v>118</v>
      </c>
      <c r="H4972" s="6" t="s">
        <v>1042</v>
      </c>
      <c r="I4972" s="8" t="s">
        <v>263</v>
      </c>
      <c r="J4972" s="9">
        <v>1</v>
      </c>
      <c r="K4972" s="9">
        <v>224</v>
      </c>
      <c r="L4972" s="9">
        <v>2027</v>
      </c>
      <c r="M4972" s="8" t="s">
        <v>28666</v>
      </c>
      <c r="N4972" s="8" t="s">
        <v>243</v>
      </c>
      <c r="O4972" s="8" t="s">
        <v>244</v>
      </c>
      <c r="P4972" s="6" t="s">
        <v>51</v>
      </c>
      <c r="Q4972" s="8" t="s">
        <v>265</v>
      </c>
      <c r="R4972" s="10" t="s">
        <v>28667</v>
      </c>
      <c r="S4972" s="11" t="s">
        <v>28668</v>
      </c>
      <c r="T4972" s="6"/>
      <c r="U4972" s="15" t="str">
        <f>HYPERLINK("https://media.infra-m.ru/2256/2256594/cover/2256594.jpg", "Обложка")</f>
        <v>Обложка</v>
      </c>
      <c r="V4972" s="8" t="s">
        <v>3428</v>
      </c>
      <c r="W4972" s="6"/>
      <c r="X4972" s="6"/>
      <c r="Y4972" s="6"/>
      <c r="Z4972" s="6" t="s">
        <v>267</v>
      </c>
      <c r="AA4972" s="6" t="s">
        <v>1256</v>
      </c>
      <c r="AB4972" s="8"/>
      <c r="AC4972" s="27">
        <v>9785819908099</v>
      </c>
    </row>
    <row r="4973" spans="1:29" s="4" customFormat="1" ht="51.9" customHeight="1" x14ac:dyDescent="0.2">
      <c r="A4973" s="5">
        <v>0</v>
      </c>
      <c r="B4973" s="6" t="s">
        <v>28669</v>
      </c>
      <c r="C4973" s="13">
        <v>708</v>
      </c>
      <c r="D4973" s="8" t="s">
        <v>28670</v>
      </c>
      <c r="E4973" s="8" t="s">
        <v>28671</v>
      </c>
      <c r="F4973" s="8" t="s">
        <v>27368</v>
      </c>
      <c r="G4973" s="6" t="s">
        <v>33</v>
      </c>
      <c r="H4973" s="6" t="s">
        <v>34</v>
      </c>
      <c r="I4973" s="8" t="s">
        <v>263</v>
      </c>
      <c r="J4973" s="9">
        <v>1</v>
      </c>
      <c r="K4973" s="9">
        <v>118</v>
      </c>
      <c r="L4973" s="9">
        <v>2025</v>
      </c>
      <c r="M4973" s="8" t="s">
        <v>28672</v>
      </c>
      <c r="N4973" s="8" t="s">
        <v>243</v>
      </c>
      <c r="O4973" s="8" t="s">
        <v>244</v>
      </c>
      <c r="P4973" s="6" t="s">
        <v>51</v>
      </c>
      <c r="Q4973" s="8" t="s">
        <v>265</v>
      </c>
      <c r="R4973" s="10" t="s">
        <v>28673</v>
      </c>
      <c r="S4973" s="11" t="s">
        <v>26125</v>
      </c>
      <c r="T4973" s="6"/>
      <c r="U4973" s="15" t="str">
        <f>HYPERLINK("https://media.infra-m.ru/2171/2171259/cover/2171259.jpg", "Обложка")</f>
        <v>Обложка</v>
      </c>
      <c r="V4973" s="8" t="s">
        <v>3337</v>
      </c>
      <c r="W4973" s="6"/>
      <c r="X4973" s="6"/>
      <c r="Y4973" s="6"/>
      <c r="Z4973" s="6" t="s">
        <v>267</v>
      </c>
      <c r="AA4973" s="6" t="s">
        <v>86</v>
      </c>
      <c r="AB4973" s="8"/>
      <c r="AC4973" s="27">
        <v>9785160139869</v>
      </c>
    </row>
    <row r="4974" spans="1:29" s="4" customFormat="1" ht="51.9" customHeight="1" x14ac:dyDescent="0.2">
      <c r="A4974" s="5">
        <v>0</v>
      </c>
      <c r="B4974" s="6" t="s">
        <v>28674</v>
      </c>
      <c r="C4974" s="13">
        <v>652.79999999999995</v>
      </c>
      <c r="D4974" s="8" t="s">
        <v>28675</v>
      </c>
      <c r="E4974" s="8" t="s">
        <v>28671</v>
      </c>
      <c r="F4974" s="8" t="s">
        <v>27368</v>
      </c>
      <c r="G4974" s="6" t="s">
        <v>33</v>
      </c>
      <c r="H4974" s="6" t="s">
        <v>34</v>
      </c>
      <c r="I4974" s="8" t="s">
        <v>271</v>
      </c>
      <c r="J4974" s="9">
        <v>1</v>
      </c>
      <c r="K4974" s="9">
        <v>118</v>
      </c>
      <c r="L4974" s="9">
        <v>2023</v>
      </c>
      <c r="M4974" s="8" t="s">
        <v>28676</v>
      </c>
      <c r="N4974" s="8" t="s">
        <v>243</v>
      </c>
      <c r="O4974" s="8" t="s">
        <v>244</v>
      </c>
      <c r="P4974" s="6" t="s">
        <v>51</v>
      </c>
      <c r="Q4974" s="8" t="s">
        <v>52</v>
      </c>
      <c r="R4974" s="10" t="s">
        <v>28677</v>
      </c>
      <c r="S4974" s="11" t="s">
        <v>28678</v>
      </c>
      <c r="T4974" s="6"/>
      <c r="U4974" s="15" t="str">
        <f>HYPERLINK("https://media.infra-m.ru/1927/1927327/cover/1927327.jpg", "Обложка")</f>
        <v>Обложка</v>
      </c>
      <c r="V4974" s="8" t="s">
        <v>3337</v>
      </c>
      <c r="W4974" s="6"/>
      <c r="X4974" s="6"/>
      <c r="Y4974" s="6"/>
      <c r="Z4974" s="6"/>
      <c r="AA4974" s="6" t="s">
        <v>99</v>
      </c>
      <c r="AB4974" s="8"/>
      <c r="AC4974" s="27">
        <v>9785160050423</v>
      </c>
    </row>
    <row r="4975" spans="1:29" s="4" customFormat="1" ht="51.9" customHeight="1" x14ac:dyDescent="0.2">
      <c r="A4975" s="5">
        <v>0</v>
      </c>
      <c r="B4975" s="6" t="s">
        <v>28679</v>
      </c>
      <c r="C4975" s="13">
        <v>972</v>
      </c>
      <c r="D4975" s="8" t="s">
        <v>28680</v>
      </c>
      <c r="E4975" s="8" t="s">
        <v>28664</v>
      </c>
      <c r="F4975" s="8" t="s">
        <v>28665</v>
      </c>
      <c r="G4975" s="6" t="s">
        <v>118</v>
      </c>
      <c r="H4975" s="6" t="s">
        <v>1042</v>
      </c>
      <c r="I4975" s="8" t="s">
        <v>271</v>
      </c>
      <c r="J4975" s="9">
        <v>1</v>
      </c>
      <c r="K4975" s="9">
        <v>224</v>
      </c>
      <c r="L4975" s="9">
        <v>2021</v>
      </c>
      <c r="M4975" s="8" t="s">
        <v>28681</v>
      </c>
      <c r="N4975" s="8" t="s">
        <v>243</v>
      </c>
      <c r="O4975" s="8" t="s">
        <v>244</v>
      </c>
      <c r="P4975" s="6" t="s">
        <v>51</v>
      </c>
      <c r="Q4975" s="8" t="s">
        <v>52</v>
      </c>
      <c r="R4975" s="10" t="s">
        <v>28682</v>
      </c>
      <c r="S4975" s="11" t="s">
        <v>28683</v>
      </c>
      <c r="T4975" s="6"/>
      <c r="U4975" s="15" t="str">
        <f>HYPERLINK("https://media.infra-m.ru/1225/1225391/cover/1225391.jpg", "Обложка")</f>
        <v>Обложка</v>
      </c>
      <c r="V4975" s="8" t="s">
        <v>3428</v>
      </c>
      <c r="W4975" s="6"/>
      <c r="X4975" s="6"/>
      <c r="Y4975" s="6"/>
      <c r="Z4975" s="6"/>
      <c r="AA4975" s="6" t="s">
        <v>129</v>
      </c>
      <c r="AB4975" s="8"/>
      <c r="AC4975" s="27">
        <v>9785819908822</v>
      </c>
    </row>
    <row r="4976" spans="1:29" s="4" customFormat="1" ht="51.9" customHeight="1" x14ac:dyDescent="0.2">
      <c r="A4976" s="5">
        <v>0</v>
      </c>
      <c r="B4976" s="6" t="s">
        <v>28684</v>
      </c>
      <c r="C4976" s="7">
        <v>1768.8</v>
      </c>
      <c r="D4976" s="8" t="s">
        <v>28685</v>
      </c>
      <c r="E4976" s="8" t="s">
        <v>28686</v>
      </c>
      <c r="F4976" s="8" t="s">
        <v>28687</v>
      </c>
      <c r="G4976" s="6" t="s">
        <v>118</v>
      </c>
      <c r="H4976" s="6" t="s">
        <v>34</v>
      </c>
      <c r="I4976" s="8" t="s">
        <v>253</v>
      </c>
      <c r="J4976" s="9">
        <v>1</v>
      </c>
      <c r="K4976" s="9">
        <v>269</v>
      </c>
      <c r="L4976" s="9">
        <v>2026</v>
      </c>
      <c r="M4976" s="8" t="s">
        <v>28688</v>
      </c>
      <c r="N4976" s="8" t="s">
        <v>243</v>
      </c>
      <c r="O4976" s="8" t="s">
        <v>244</v>
      </c>
      <c r="P4976" s="6" t="s">
        <v>51</v>
      </c>
      <c r="Q4976" s="8" t="s">
        <v>52</v>
      </c>
      <c r="R4976" s="10" t="s">
        <v>28682</v>
      </c>
      <c r="S4976" s="11" t="s">
        <v>3601</v>
      </c>
      <c r="T4976" s="6"/>
      <c r="U4976" s="15" t="str">
        <f>HYPERLINK("https://media.infra-m.ru/2250/2250858/cover/2250858.jpg", "Обложка")</f>
        <v>Обложка</v>
      </c>
      <c r="V4976" s="8" t="s">
        <v>3428</v>
      </c>
      <c r="W4976" s="6"/>
      <c r="X4976" s="6"/>
      <c r="Y4976" s="6"/>
      <c r="Z4976" s="6"/>
      <c r="AA4976" s="6" t="s">
        <v>258</v>
      </c>
      <c r="AB4976" s="8"/>
      <c r="AC4976" s="27">
        <v>9785160202495</v>
      </c>
    </row>
    <row r="4977" spans="1:29" s="4" customFormat="1" ht="51.9" customHeight="1" x14ac:dyDescent="0.2">
      <c r="A4977" s="5">
        <v>0</v>
      </c>
      <c r="B4977" s="6" t="s">
        <v>28689</v>
      </c>
      <c r="C4977" s="7">
        <v>1468.8</v>
      </c>
      <c r="D4977" s="8" t="s">
        <v>28690</v>
      </c>
      <c r="E4977" s="8" t="s">
        <v>28691</v>
      </c>
      <c r="F4977" s="8" t="s">
        <v>28692</v>
      </c>
      <c r="G4977" s="6" t="s">
        <v>60</v>
      </c>
      <c r="H4977" s="6" t="s">
        <v>34</v>
      </c>
      <c r="I4977" s="8" t="s">
        <v>253</v>
      </c>
      <c r="J4977" s="9">
        <v>1</v>
      </c>
      <c r="K4977" s="9">
        <v>211</v>
      </c>
      <c r="L4977" s="9">
        <v>2026</v>
      </c>
      <c r="M4977" s="8" t="s">
        <v>28693</v>
      </c>
      <c r="N4977" s="8" t="s">
        <v>243</v>
      </c>
      <c r="O4977" s="8" t="s">
        <v>244</v>
      </c>
      <c r="P4977" s="6" t="s">
        <v>51</v>
      </c>
      <c r="Q4977" s="8" t="s">
        <v>52</v>
      </c>
      <c r="R4977" s="10" t="s">
        <v>28694</v>
      </c>
      <c r="S4977" s="11"/>
      <c r="T4977" s="6"/>
      <c r="U4977" s="15" t="str">
        <f>HYPERLINK("https://media.infra-m.ru/2223/2223214/cover/2223214.jpg", "Обложка")</f>
        <v>Обложка</v>
      </c>
      <c r="V4977" s="8" t="s">
        <v>3428</v>
      </c>
      <c r="W4977" s="6"/>
      <c r="X4977" s="6"/>
      <c r="Y4977" s="6"/>
      <c r="Z4977" s="6"/>
      <c r="AA4977" s="6" t="s">
        <v>76</v>
      </c>
      <c r="AB4977" s="8" t="s">
        <v>3024</v>
      </c>
      <c r="AC4977" s="27">
        <v>9785160177595</v>
      </c>
    </row>
    <row r="4978" spans="1:29" s="4" customFormat="1" ht="51.9" customHeight="1" x14ac:dyDescent="0.2">
      <c r="A4978" s="5">
        <v>0</v>
      </c>
      <c r="B4978" s="6" t="s">
        <v>28695</v>
      </c>
      <c r="C4978" s="7">
        <v>1428</v>
      </c>
      <c r="D4978" s="8" t="s">
        <v>28696</v>
      </c>
      <c r="E4978" s="8" t="s">
        <v>28691</v>
      </c>
      <c r="F4978" s="8" t="s">
        <v>28692</v>
      </c>
      <c r="G4978" s="6" t="s">
        <v>118</v>
      </c>
      <c r="H4978" s="6" t="s">
        <v>34</v>
      </c>
      <c r="I4978" s="8" t="s">
        <v>263</v>
      </c>
      <c r="J4978" s="9">
        <v>1</v>
      </c>
      <c r="K4978" s="9">
        <v>211</v>
      </c>
      <c r="L4978" s="9">
        <v>2026</v>
      </c>
      <c r="M4978" s="8" t="s">
        <v>28697</v>
      </c>
      <c r="N4978" s="8" t="s">
        <v>243</v>
      </c>
      <c r="O4978" s="8" t="s">
        <v>244</v>
      </c>
      <c r="P4978" s="6" t="s">
        <v>51</v>
      </c>
      <c r="Q4978" s="8" t="s">
        <v>265</v>
      </c>
      <c r="R4978" s="10" t="s">
        <v>28698</v>
      </c>
      <c r="S4978" s="11"/>
      <c r="T4978" s="6"/>
      <c r="U4978" s="15" t="str">
        <f>HYPERLINK("https://media.infra-m.ru/2221/2221110/cover/2221110.jpg", "Обложка")</f>
        <v>Обложка</v>
      </c>
      <c r="V4978" s="8" t="s">
        <v>3428</v>
      </c>
      <c r="W4978" s="6"/>
      <c r="X4978" s="6"/>
      <c r="Y4978" s="6"/>
      <c r="Z4978" s="6" t="s">
        <v>267</v>
      </c>
      <c r="AA4978" s="6" t="s">
        <v>68</v>
      </c>
      <c r="AB4978" s="8"/>
      <c r="AC4978" s="27">
        <v>9785160204635</v>
      </c>
    </row>
    <row r="4979" spans="1:29" s="4" customFormat="1" ht="51.9" customHeight="1" x14ac:dyDescent="0.2">
      <c r="A4979" s="5">
        <v>0</v>
      </c>
      <c r="B4979" s="6" t="s">
        <v>28699</v>
      </c>
      <c r="C4979" s="13">
        <v>840</v>
      </c>
      <c r="D4979" s="8" t="s">
        <v>28700</v>
      </c>
      <c r="E4979" s="8" t="s">
        <v>28701</v>
      </c>
      <c r="F4979" s="8" t="s">
        <v>28702</v>
      </c>
      <c r="G4979" s="6" t="s">
        <v>33</v>
      </c>
      <c r="H4979" s="6" t="s">
        <v>313</v>
      </c>
      <c r="I4979" s="8" t="s">
        <v>253</v>
      </c>
      <c r="J4979" s="9">
        <v>1</v>
      </c>
      <c r="K4979" s="9">
        <v>194</v>
      </c>
      <c r="L4979" s="9">
        <v>2020</v>
      </c>
      <c r="M4979" s="8" t="s">
        <v>28703</v>
      </c>
      <c r="N4979" s="8" t="s">
        <v>93</v>
      </c>
      <c r="O4979" s="8" t="s">
        <v>94</v>
      </c>
      <c r="P4979" s="6" t="s">
        <v>105</v>
      </c>
      <c r="Q4979" s="8" t="s">
        <v>52</v>
      </c>
      <c r="R4979" s="10" t="s">
        <v>11661</v>
      </c>
      <c r="S4979" s="11"/>
      <c r="T4979" s="6"/>
      <c r="U4979" s="15" t="str">
        <f>HYPERLINK("https://media.infra-m.ru/1181/1181039/cover/1181039.jpg", "Обложка")</f>
        <v>Обложка</v>
      </c>
      <c r="V4979" s="8" t="s">
        <v>28704</v>
      </c>
      <c r="W4979" s="6"/>
      <c r="X4979" s="6"/>
      <c r="Y4979" s="6"/>
      <c r="Z4979" s="6"/>
      <c r="AA4979" s="6" t="s">
        <v>3800</v>
      </c>
      <c r="AB4979" s="8"/>
      <c r="AC4979" s="27">
        <v>9785369015445</v>
      </c>
    </row>
    <row r="4980" spans="1:29" s="4" customFormat="1" ht="51.9" customHeight="1" x14ac:dyDescent="0.2">
      <c r="A4980" s="5">
        <v>0</v>
      </c>
      <c r="B4980" s="6" t="s">
        <v>28705</v>
      </c>
      <c r="C4980" s="7">
        <v>1236</v>
      </c>
      <c r="D4980" s="8" t="s">
        <v>28706</v>
      </c>
      <c r="E4980" s="8" t="s">
        <v>28707</v>
      </c>
      <c r="F4980" s="8" t="s">
        <v>28702</v>
      </c>
      <c r="G4980" s="6" t="s">
        <v>33</v>
      </c>
      <c r="H4980" s="6" t="s">
        <v>313</v>
      </c>
      <c r="I4980" s="8" t="s">
        <v>253</v>
      </c>
      <c r="J4980" s="9">
        <v>1</v>
      </c>
      <c r="K4980" s="9">
        <v>228</v>
      </c>
      <c r="L4980" s="9">
        <v>2021</v>
      </c>
      <c r="M4980" s="8" t="s">
        <v>28708</v>
      </c>
      <c r="N4980" s="8" t="s">
        <v>93</v>
      </c>
      <c r="O4980" s="8" t="s">
        <v>94</v>
      </c>
      <c r="P4980" s="6" t="s">
        <v>105</v>
      </c>
      <c r="Q4980" s="8" t="s">
        <v>52</v>
      </c>
      <c r="R4980" s="10" t="s">
        <v>11661</v>
      </c>
      <c r="S4980" s="11"/>
      <c r="T4980" s="6"/>
      <c r="U4980" s="15" t="str">
        <f>HYPERLINK("https://media.infra-m.ru/1946/1946440/cover/1946440.jpg", "Обложка")</f>
        <v>Обложка</v>
      </c>
      <c r="V4980" s="8" t="s">
        <v>28704</v>
      </c>
      <c r="W4980" s="6"/>
      <c r="X4980" s="6"/>
      <c r="Y4980" s="6"/>
      <c r="Z4980" s="6"/>
      <c r="AA4980" s="6" t="s">
        <v>1375</v>
      </c>
      <c r="AB4980" s="8"/>
      <c r="AC4980" s="27">
        <v>9785369018644</v>
      </c>
    </row>
    <row r="4981" spans="1:29" s="4" customFormat="1" ht="51.9" customHeight="1" x14ac:dyDescent="0.2">
      <c r="A4981" s="5">
        <v>0</v>
      </c>
      <c r="B4981" s="6" t="s">
        <v>28709</v>
      </c>
      <c r="C4981" s="13">
        <v>708</v>
      </c>
      <c r="D4981" s="8" t="s">
        <v>28710</v>
      </c>
      <c r="E4981" s="8" t="s">
        <v>28711</v>
      </c>
      <c r="F4981" s="8" t="s">
        <v>28712</v>
      </c>
      <c r="G4981" s="6" t="s">
        <v>33</v>
      </c>
      <c r="H4981" s="6" t="s">
        <v>34</v>
      </c>
      <c r="I4981" s="8" t="s">
        <v>263</v>
      </c>
      <c r="J4981" s="9">
        <v>1</v>
      </c>
      <c r="K4981" s="9">
        <v>124</v>
      </c>
      <c r="L4981" s="9">
        <v>2023</v>
      </c>
      <c r="M4981" s="8" t="s">
        <v>28713</v>
      </c>
      <c r="N4981" s="8" t="s">
        <v>243</v>
      </c>
      <c r="O4981" s="8" t="s">
        <v>758</v>
      </c>
      <c r="P4981" s="6" t="s">
        <v>51</v>
      </c>
      <c r="Q4981" s="8" t="s">
        <v>265</v>
      </c>
      <c r="R4981" s="10" t="s">
        <v>28714</v>
      </c>
      <c r="S4981" s="11" t="s">
        <v>28715</v>
      </c>
      <c r="T4981" s="6"/>
      <c r="U4981" s="15" t="str">
        <f>HYPERLINK("https://media.infra-m.ru/1976/1976133/cover/1976133.jpg", "Обложка")</f>
        <v>Обложка</v>
      </c>
      <c r="V4981" s="8" t="s">
        <v>2398</v>
      </c>
      <c r="W4981" s="6"/>
      <c r="X4981" s="6"/>
      <c r="Y4981" s="6"/>
      <c r="Z4981" s="6" t="s">
        <v>267</v>
      </c>
      <c r="AA4981" s="6" t="s">
        <v>1256</v>
      </c>
      <c r="AB4981" s="8"/>
      <c r="AC4981" s="27">
        <v>9785160150338</v>
      </c>
    </row>
    <row r="4982" spans="1:29" s="4" customFormat="1" ht="51.9" customHeight="1" x14ac:dyDescent="0.2">
      <c r="A4982" s="5">
        <v>0</v>
      </c>
      <c r="B4982" s="6" t="s">
        <v>28716</v>
      </c>
      <c r="C4982" s="7">
        <v>1596</v>
      </c>
      <c r="D4982" s="8" t="s">
        <v>28717</v>
      </c>
      <c r="E4982" s="8" t="s">
        <v>28718</v>
      </c>
      <c r="F4982" s="8" t="s">
        <v>28719</v>
      </c>
      <c r="G4982" s="6" t="s">
        <v>118</v>
      </c>
      <c r="H4982" s="6" t="s">
        <v>34</v>
      </c>
      <c r="I4982" s="8" t="s">
        <v>263</v>
      </c>
      <c r="J4982" s="9">
        <v>1</v>
      </c>
      <c r="K4982" s="9">
        <v>229</v>
      </c>
      <c r="L4982" s="9">
        <v>2026</v>
      </c>
      <c r="M4982" s="8" t="s">
        <v>28720</v>
      </c>
      <c r="N4982" s="8" t="s">
        <v>243</v>
      </c>
      <c r="O4982" s="8" t="s">
        <v>244</v>
      </c>
      <c r="P4982" s="6" t="s">
        <v>51</v>
      </c>
      <c r="Q4982" s="8" t="s">
        <v>265</v>
      </c>
      <c r="R4982" s="10" t="s">
        <v>28721</v>
      </c>
      <c r="S4982" s="11"/>
      <c r="T4982" s="6"/>
      <c r="U4982" s="15" t="str">
        <f>HYPERLINK("https://media.infra-m.ru/2259/2259750/cover/2259750.jpg", "Обложка")</f>
        <v>Обложка</v>
      </c>
      <c r="V4982" s="8" t="s">
        <v>3337</v>
      </c>
      <c r="W4982" s="6"/>
      <c r="X4982" s="6"/>
      <c r="Y4982" s="6"/>
      <c r="Z4982" s="6"/>
      <c r="AA4982" s="6" t="s">
        <v>68</v>
      </c>
      <c r="AB4982" s="8"/>
      <c r="AC4982" s="27">
        <v>9785160163123</v>
      </c>
    </row>
    <row r="4983" spans="1:29" s="4" customFormat="1" ht="51.9" customHeight="1" x14ac:dyDescent="0.2">
      <c r="A4983" s="5">
        <v>0</v>
      </c>
      <c r="B4983" s="6" t="s">
        <v>28722</v>
      </c>
      <c r="C4983" s="7">
        <v>1468.8</v>
      </c>
      <c r="D4983" s="8" t="s">
        <v>28723</v>
      </c>
      <c r="E4983" s="8" t="s">
        <v>28718</v>
      </c>
      <c r="F4983" s="8" t="s">
        <v>9040</v>
      </c>
      <c r="G4983" s="6" t="s">
        <v>118</v>
      </c>
      <c r="H4983" s="6" t="s">
        <v>34</v>
      </c>
      <c r="I4983" s="8" t="s">
        <v>263</v>
      </c>
      <c r="J4983" s="9">
        <v>1</v>
      </c>
      <c r="K4983" s="9">
        <v>236</v>
      </c>
      <c r="L4983" s="9">
        <v>2026</v>
      </c>
      <c r="M4983" s="8" t="s">
        <v>28724</v>
      </c>
      <c r="N4983" s="8" t="s">
        <v>243</v>
      </c>
      <c r="O4983" s="8" t="s">
        <v>244</v>
      </c>
      <c r="P4983" s="6" t="s">
        <v>51</v>
      </c>
      <c r="Q4983" s="8" t="s">
        <v>265</v>
      </c>
      <c r="R4983" s="10" t="s">
        <v>28725</v>
      </c>
      <c r="S4983" s="11" t="s">
        <v>28726</v>
      </c>
      <c r="T4983" s="6"/>
      <c r="U4983" s="15" t="str">
        <f>HYPERLINK("https://media.infra-m.ru/2216/2216900/cover/2216900.jpg", "Обложка")</f>
        <v>Обложка</v>
      </c>
      <c r="V4983" s="8"/>
      <c r="W4983" s="6"/>
      <c r="X4983" s="6"/>
      <c r="Y4983" s="6"/>
      <c r="Z4983" s="6"/>
      <c r="AA4983" s="6" t="s">
        <v>157</v>
      </c>
      <c r="AB4983" s="8"/>
      <c r="AC4983" s="27">
        <v>9785160174617</v>
      </c>
    </row>
    <row r="4984" spans="1:29" s="4" customFormat="1" ht="51.9" customHeight="1" x14ac:dyDescent="0.2">
      <c r="A4984" s="5">
        <v>0</v>
      </c>
      <c r="B4984" s="6" t="s">
        <v>28727</v>
      </c>
      <c r="C4984" s="7">
        <v>2296.8000000000002</v>
      </c>
      <c r="D4984" s="8" t="s">
        <v>28728</v>
      </c>
      <c r="E4984" s="8" t="s">
        <v>28729</v>
      </c>
      <c r="F4984" s="8" t="s">
        <v>28730</v>
      </c>
      <c r="G4984" s="6" t="s">
        <v>118</v>
      </c>
      <c r="H4984" s="6" t="s">
        <v>48</v>
      </c>
      <c r="I4984" s="8" t="s">
        <v>263</v>
      </c>
      <c r="J4984" s="9">
        <v>1</v>
      </c>
      <c r="K4984" s="9">
        <v>416</v>
      </c>
      <c r="L4984" s="9">
        <v>2024</v>
      </c>
      <c r="M4984" s="8" t="s">
        <v>28731</v>
      </c>
      <c r="N4984" s="8" t="s">
        <v>243</v>
      </c>
      <c r="O4984" s="8" t="s">
        <v>244</v>
      </c>
      <c r="P4984" s="6" t="s">
        <v>51</v>
      </c>
      <c r="Q4984" s="8" t="s">
        <v>265</v>
      </c>
      <c r="R4984" s="10" t="s">
        <v>28732</v>
      </c>
      <c r="S4984" s="11" t="s">
        <v>28733</v>
      </c>
      <c r="T4984" s="6"/>
      <c r="U4984" s="15" t="str">
        <f>HYPERLINK("https://media.infra-m.ru/2054/2054226/cover/2054226.jpg", "Обложка")</f>
        <v>Обложка</v>
      </c>
      <c r="V4984" s="8" t="s">
        <v>3413</v>
      </c>
      <c r="W4984" s="6"/>
      <c r="X4984" s="6" t="s">
        <v>24</v>
      </c>
      <c r="Y4984" s="6"/>
      <c r="Z4984" s="6"/>
      <c r="AA4984" s="6" t="s">
        <v>769</v>
      </c>
      <c r="AB4984" s="8"/>
      <c r="AC4984" s="27">
        <v>9785911346553</v>
      </c>
    </row>
    <row r="4985" spans="1:29" s="4" customFormat="1" ht="51.9" customHeight="1" x14ac:dyDescent="0.2">
      <c r="A4985" s="5">
        <v>0</v>
      </c>
      <c r="B4985" s="6" t="s">
        <v>28734</v>
      </c>
      <c r="C4985" s="13">
        <v>989.9</v>
      </c>
      <c r="D4985" s="8" t="s">
        <v>28735</v>
      </c>
      <c r="E4985" s="8" t="s">
        <v>28736</v>
      </c>
      <c r="F4985" s="8" t="s">
        <v>28737</v>
      </c>
      <c r="G4985" s="6" t="s">
        <v>60</v>
      </c>
      <c r="H4985" s="6" t="s">
        <v>241</v>
      </c>
      <c r="I4985" s="8"/>
      <c r="J4985" s="9">
        <v>1</v>
      </c>
      <c r="K4985" s="9">
        <v>224</v>
      </c>
      <c r="L4985" s="9">
        <v>2022</v>
      </c>
      <c r="M4985" s="8" t="s">
        <v>28738</v>
      </c>
      <c r="N4985" s="8" t="s">
        <v>243</v>
      </c>
      <c r="O4985" s="8" t="s">
        <v>758</v>
      </c>
      <c r="P4985" s="6" t="s">
        <v>51</v>
      </c>
      <c r="Q4985" s="8" t="s">
        <v>52</v>
      </c>
      <c r="R4985" s="10" t="s">
        <v>28739</v>
      </c>
      <c r="S4985" s="11"/>
      <c r="T4985" s="6"/>
      <c r="U4985" s="15" t="str">
        <f>HYPERLINK("https://media.infra-m.ru/1730/1730034/cover/1730034.jpg", "Обложка")</f>
        <v>Обложка</v>
      </c>
      <c r="V4985" s="8" t="s">
        <v>1157</v>
      </c>
      <c r="W4985" s="6"/>
      <c r="X4985" s="6"/>
      <c r="Y4985" s="6"/>
      <c r="Z4985" s="6"/>
      <c r="AA4985" s="6" t="s">
        <v>274</v>
      </c>
      <c r="AB4985" s="8"/>
      <c r="AC4985" s="27">
        <v>9785955803753</v>
      </c>
    </row>
    <row r="4986" spans="1:29" s="4" customFormat="1" ht="42" customHeight="1" x14ac:dyDescent="0.2">
      <c r="A4986" s="5">
        <v>0</v>
      </c>
      <c r="B4986" s="6" t="s">
        <v>28740</v>
      </c>
      <c r="C4986" s="13">
        <v>689.9</v>
      </c>
      <c r="D4986" s="8" t="s">
        <v>28741</v>
      </c>
      <c r="E4986" s="8" t="s">
        <v>28711</v>
      </c>
      <c r="F4986" s="8" t="s">
        <v>28742</v>
      </c>
      <c r="G4986" s="6" t="s">
        <v>33</v>
      </c>
      <c r="H4986" s="6" t="s">
        <v>34</v>
      </c>
      <c r="I4986" s="8" t="s">
        <v>271</v>
      </c>
      <c r="J4986" s="9">
        <v>1</v>
      </c>
      <c r="K4986" s="9">
        <v>124</v>
      </c>
      <c r="L4986" s="9">
        <v>2023</v>
      </c>
      <c r="M4986" s="8" t="s">
        <v>28743</v>
      </c>
      <c r="N4986" s="8" t="s">
        <v>243</v>
      </c>
      <c r="O4986" s="8" t="s">
        <v>758</v>
      </c>
      <c r="P4986" s="6" t="s">
        <v>51</v>
      </c>
      <c r="Q4986" s="8" t="s">
        <v>52</v>
      </c>
      <c r="R4986" s="10" t="s">
        <v>20777</v>
      </c>
      <c r="S4986" s="11"/>
      <c r="T4986" s="6"/>
      <c r="U4986" s="15" t="str">
        <f>HYPERLINK("https://media.infra-m.ru/1903/1903362/cover/1903362.jpg", "Обложка")</f>
        <v>Обложка</v>
      </c>
      <c r="V4986" s="8" t="s">
        <v>2398</v>
      </c>
      <c r="W4986" s="6"/>
      <c r="X4986" s="6"/>
      <c r="Y4986" s="6"/>
      <c r="Z4986" s="6"/>
      <c r="AA4986" s="6" t="s">
        <v>274</v>
      </c>
      <c r="AB4986" s="8"/>
      <c r="AC4986" s="27">
        <v>9785160106151</v>
      </c>
    </row>
    <row r="4987" spans="1:29" s="4" customFormat="1" ht="51.9" customHeight="1" x14ac:dyDescent="0.2">
      <c r="A4987" s="5">
        <v>0</v>
      </c>
      <c r="B4987" s="6" t="s">
        <v>28744</v>
      </c>
      <c r="C4987" s="7">
        <v>1912.8</v>
      </c>
      <c r="D4987" s="8" t="s">
        <v>28745</v>
      </c>
      <c r="E4987" s="8" t="s">
        <v>28746</v>
      </c>
      <c r="F4987" s="8" t="s">
        <v>28747</v>
      </c>
      <c r="G4987" s="6" t="s">
        <v>60</v>
      </c>
      <c r="H4987" s="6" t="s">
        <v>34</v>
      </c>
      <c r="I4987" s="8" t="s">
        <v>253</v>
      </c>
      <c r="J4987" s="9">
        <v>1</v>
      </c>
      <c r="K4987" s="9">
        <v>307</v>
      </c>
      <c r="L4987" s="9">
        <v>2025</v>
      </c>
      <c r="M4987" s="8" t="s">
        <v>28748</v>
      </c>
      <c r="N4987" s="8" t="s">
        <v>37</v>
      </c>
      <c r="O4987" s="8" t="s">
        <v>280</v>
      </c>
      <c r="P4987" s="6" t="s">
        <v>306</v>
      </c>
      <c r="Q4987" s="8" t="s">
        <v>52</v>
      </c>
      <c r="R4987" s="10" t="s">
        <v>370</v>
      </c>
      <c r="S4987" s="11"/>
      <c r="T4987" s="6"/>
      <c r="U4987" s="15" t="str">
        <f>HYPERLINK("https://media.infra-m.ru/2192/2192097/cover/2192097.jpg", "Обложка")</f>
        <v>Обложка</v>
      </c>
      <c r="V4987" s="8" t="s">
        <v>13059</v>
      </c>
      <c r="W4987" s="6"/>
      <c r="X4987" s="6"/>
      <c r="Y4987" s="6"/>
      <c r="Z4987" s="6"/>
      <c r="AA4987" s="6" t="s">
        <v>68</v>
      </c>
      <c r="AB4987" s="8"/>
      <c r="AC4987" s="27">
        <v>9785160199023</v>
      </c>
    </row>
    <row r="4988" spans="1:29" s="4" customFormat="1" ht="42" customHeight="1" x14ac:dyDescent="0.2">
      <c r="A4988" s="5">
        <v>0</v>
      </c>
      <c r="B4988" s="6" t="s">
        <v>28749</v>
      </c>
      <c r="C4988" s="7">
        <v>2544</v>
      </c>
      <c r="D4988" s="8" t="s">
        <v>28750</v>
      </c>
      <c r="E4988" s="8" t="s">
        <v>28751</v>
      </c>
      <c r="F4988" s="8" t="s">
        <v>28752</v>
      </c>
      <c r="G4988" s="6" t="s">
        <v>60</v>
      </c>
      <c r="H4988" s="6" t="s">
        <v>34</v>
      </c>
      <c r="I4988" s="8" t="s">
        <v>253</v>
      </c>
      <c r="J4988" s="9">
        <v>1</v>
      </c>
      <c r="K4988" s="9">
        <v>412</v>
      </c>
      <c r="L4988" s="9">
        <v>2025</v>
      </c>
      <c r="M4988" s="8" t="s">
        <v>28753</v>
      </c>
      <c r="N4988" s="8" t="s">
        <v>37</v>
      </c>
      <c r="O4988" s="8" t="s">
        <v>280</v>
      </c>
      <c r="P4988" s="6" t="s">
        <v>306</v>
      </c>
      <c r="Q4988" s="8" t="s">
        <v>65</v>
      </c>
      <c r="R4988" s="10" t="s">
        <v>3013</v>
      </c>
      <c r="S4988" s="11"/>
      <c r="T4988" s="6"/>
      <c r="U4988" s="15" t="str">
        <f>HYPERLINK("https://media.infra-m.ru/2091/2091823/cover/2091823.jpg", "Обложка")</f>
        <v>Обложка</v>
      </c>
      <c r="V4988" s="8" t="s">
        <v>546</v>
      </c>
      <c r="W4988" s="6"/>
      <c r="X4988" s="6"/>
      <c r="Y4988" s="6"/>
      <c r="Z4988" s="6"/>
      <c r="AA4988" s="6" t="s">
        <v>68</v>
      </c>
      <c r="AB4988" s="8"/>
      <c r="AC4988" s="27">
        <v>9785160191447</v>
      </c>
    </row>
    <row r="4989" spans="1:29" s="4" customFormat="1" ht="42" customHeight="1" x14ac:dyDescent="0.2">
      <c r="A4989" s="5">
        <v>0</v>
      </c>
      <c r="B4989" s="6" t="s">
        <v>28754</v>
      </c>
      <c r="C4989" s="7">
        <v>2056.8000000000002</v>
      </c>
      <c r="D4989" s="8" t="s">
        <v>28755</v>
      </c>
      <c r="E4989" s="8" t="s">
        <v>28756</v>
      </c>
      <c r="F4989" s="8" t="s">
        <v>28757</v>
      </c>
      <c r="G4989" s="6" t="s">
        <v>118</v>
      </c>
      <c r="H4989" s="6" t="s">
        <v>134</v>
      </c>
      <c r="I4989" s="8"/>
      <c r="J4989" s="9">
        <v>1</v>
      </c>
      <c r="K4989" s="9">
        <v>296</v>
      </c>
      <c r="L4989" s="9">
        <v>2026</v>
      </c>
      <c r="M4989" s="8" t="s">
        <v>28758</v>
      </c>
      <c r="N4989" s="8" t="s">
        <v>37</v>
      </c>
      <c r="O4989" s="8" t="s">
        <v>136</v>
      </c>
      <c r="P4989" s="6" t="s">
        <v>51</v>
      </c>
      <c r="Q4989" s="8" t="s">
        <v>65</v>
      </c>
      <c r="R4989" s="10" t="s">
        <v>1255</v>
      </c>
      <c r="S4989" s="11"/>
      <c r="T4989" s="6"/>
      <c r="U4989" s="15" t="str">
        <f>HYPERLINK("https://media.infra-m.ru/2246/2246048/cover/2246048.jpg", "Обложка")</f>
        <v>Обложка</v>
      </c>
      <c r="V4989" s="8"/>
      <c r="W4989" s="6"/>
      <c r="X4989" s="6"/>
      <c r="Y4989" s="6"/>
      <c r="Z4989" s="6"/>
      <c r="AA4989" s="6" t="s">
        <v>148</v>
      </c>
      <c r="AB4989" s="8"/>
      <c r="AC4989" s="27">
        <v>9785001561811</v>
      </c>
    </row>
    <row r="4990" spans="1:29" s="4" customFormat="1" ht="51.9" customHeight="1" x14ac:dyDescent="0.2">
      <c r="A4990" s="5">
        <v>0</v>
      </c>
      <c r="B4990" s="6" t="s">
        <v>28759</v>
      </c>
      <c r="C4990" s="7">
        <v>1336.8</v>
      </c>
      <c r="D4990" s="8" t="s">
        <v>28760</v>
      </c>
      <c r="E4990" s="8" t="s">
        <v>28761</v>
      </c>
      <c r="F4990" s="8" t="s">
        <v>28762</v>
      </c>
      <c r="G4990" s="6" t="s">
        <v>60</v>
      </c>
      <c r="H4990" s="6" t="s">
        <v>34</v>
      </c>
      <c r="I4990" s="8" t="s">
        <v>253</v>
      </c>
      <c r="J4990" s="9">
        <v>1</v>
      </c>
      <c r="K4990" s="9">
        <v>186</v>
      </c>
      <c r="L4990" s="9">
        <v>2025</v>
      </c>
      <c r="M4990" s="8" t="s">
        <v>28763</v>
      </c>
      <c r="N4990" s="8" t="s">
        <v>37</v>
      </c>
      <c r="O4990" s="8" t="s">
        <v>136</v>
      </c>
      <c r="P4990" s="6" t="s">
        <v>51</v>
      </c>
      <c r="Q4990" s="8" t="s">
        <v>65</v>
      </c>
      <c r="R4990" s="10" t="s">
        <v>1275</v>
      </c>
      <c r="S4990" s="11"/>
      <c r="T4990" s="6"/>
      <c r="U4990" s="15" t="str">
        <f>HYPERLINK("https://media.infra-m.ru/2234/2234901/cover/2234901.jpg", "Обложка")</f>
        <v>Обложка</v>
      </c>
      <c r="V4990" s="8" t="s">
        <v>27767</v>
      </c>
      <c r="W4990" s="6"/>
      <c r="X4990" s="6"/>
      <c r="Y4990" s="6"/>
      <c r="Z4990" s="6"/>
      <c r="AA4990" s="6" t="s">
        <v>68</v>
      </c>
      <c r="AB4990" s="8"/>
      <c r="AC4990" s="27">
        <v>9785160196756</v>
      </c>
    </row>
    <row r="4991" spans="1:29" s="4" customFormat="1" ht="51.9" customHeight="1" x14ac:dyDescent="0.2">
      <c r="A4991" s="5">
        <v>0</v>
      </c>
      <c r="B4991" s="6" t="s">
        <v>28764</v>
      </c>
      <c r="C4991" s="7">
        <v>2292</v>
      </c>
      <c r="D4991" s="8" t="s">
        <v>28765</v>
      </c>
      <c r="E4991" s="8" t="s">
        <v>28766</v>
      </c>
      <c r="F4991" s="8" t="s">
        <v>25256</v>
      </c>
      <c r="G4991" s="6" t="s">
        <v>118</v>
      </c>
      <c r="H4991" s="6" t="s">
        <v>34</v>
      </c>
      <c r="I4991" s="8" t="s">
        <v>253</v>
      </c>
      <c r="J4991" s="9">
        <v>1</v>
      </c>
      <c r="K4991" s="9">
        <v>348</v>
      </c>
      <c r="L4991" s="9">
        <v>2026</v>
      </c>
      <c r="M4991" s="8" t="s">
        <v>28767</v>
      </c>
      <c r="N4991" s="8" t="s">
        <v>37</v>
      </c>
      <c r="O4991" s="8" t="s">
        <v>50</v>
      </c>
      <c r="P4991" s="6" t="s">
        <v>306</v>
      </c>
      <c r="Q4991" s="8" t="s">
        <v>52</v>
      </c>
      <c r="R4991" s="10" t="s">
        <v>28768</v>
      </c>
      <c r="S4991" s="11" t="s">
        <v>28769</v>
      </c>
      <c r="T4991" s="6"/>
      <c r="U4991" s="15" t="str">
        <f>HYPERLINK("https://media.infra-m.ru/2229/2229648/cover/2229648.jpg", "Обложка")</f>
        <v>Обложка</v>
      </c>
      <c r="V4991" s="8" t="s">
        <v>23141</v>
      </c>
      <c r="W4991" s="6"/>
      <c r="X4991" s="6"/>
      <c r="Y4991" s="6"/>
      <c r="Z4991" s="6"/>
      <c r="AA4991" s="6" t="s">
        <v>896</v>
      </c>
      <c r="AB4991" s="8"/>
      <c r="AC4991" s="27">
        <v>9785160215389</v>
      </c>
    </row>
    <row r="4992" spans="1:29" s="4" customFormat="1" ht="51.9" customHeight="1" x14ac:dyDescent="0.2">
      <c r="A4992" s="5">
        <v>0</v>
      </c>
      <c r="B4992" s="6" t="s">
        <v>28770</v>
      </c>
      <c r="C4992" s="7">
        <v>1589.9</v>
      </c>
      <c r="D4992" s="8" t="s">
        <v>28771</v>
      </c>
      <c r="E4992" s="8" t="s">
        <v>28772</v>
      </c>
      <c r="F4992" s="8" t="s">
        <v>28773</v>
      </c>
      <c r="G4992" s="6" t="s">
        <v>60</v>
      </c>
      <c r="H4992" s="6" t="s">
        <v>241</v>
      </c>
      <c r="I4992" s="8"/>
      <c r="J4992" s="9">
        <v>1</v>
      </c>
      <c r="K4992" s="9">
        <v>368</v>
      </c>
      <c r="L4992" s="9">
        <v>2021</v>
      </c>
      <c r="M4992" s="8" t="s">
        <v>28774</v>
      </c>
      <c r="N4992" s="8" t="s">
        <v>37</v>
      </c>
      <c r="O4992" s="8" t="s">
        <v>50</v>
      </c>
      <c r="P4992" s="6" t="s">
        <v>306</v>
      </c>
      <c r="Q4992" s="8" t="s">
        <v>52</v>
      </c>
      <c r="R4992" s="10" t="s">
        <v>28768</v>
      </c>
      <c r="S4992" s="11" t="s">
        <v>28775</v>
      </c>
      <c r="T4992" s="6"/>
      <c r="U4992" s="15" t="str">
        <f>HYPERLINK("https://media.infra-m.ru/1177/1177557/cover/1177557.jpg", "Обложка")</f>
        <v>Обложка</v>
      </c>
      <c r="V4992" s="8" t="s">
        <v>23141</v>
      </c>
      <c r="W4992" s="6"/>
      <c r="X4992" s="6"/>
      <c r="Y4992" s="6"/>
      <c r="Z4992" s="6"/>
      <c r="AA4992" s="6" t="s">
        <v>248</v>
      </c>
      <c r="AB4992" s="8"/>
      <c r="AC4992" s="27">
        <v>9785955803142</v>
      </c>
    </row>
    <row r="4993" spans="1:29" s="4" customFormat="1" ht="51.9" customHeight="1" x14ac:dyDescent="0.2">
      <c r="A4993" s="5">
        <v>0</v>
      </c>
      <c r="B4993" s="6" t="s">
        <v>28776</v>
      </c>
      <c r="C4993" s="7">
        <v>1288.8</v>
      </c>
      <c r="D4993" s="8" t="s">
        <v>28777</v>
      </c>
      <c r="E4993" s="8" t="s">
        <v>28778</v>
      </c>
      <c r="F4993" s="8" t="s">
        <v>28779</v>
      </c>
      <c r="G4993" s="6" t="s">
        <v>118</v>
      </c>
      <c r="H4993" s="6" t="s">
        <v>34</v>
      </c>
      <c r="I4993" s="8" t="s">
        <v>504</v>
      </c>
      <c r="J4993" s="9">
        <v>1</v>
      </c>
      <c r="K4993" s="9">
        <v>205</v>
      </c>
      <c r="L4993" s="9">
        <v>2025</v>
      </c>
      <c r="M4993" s="8" t="s">
        <v>28780</v>
      </c>
      <c r="N4993" s="8" t="s">
        <v>63</v>
      </c>
      <c r="O4993" s="8" t="s">
        <v>154</v>
      </c>
      <c r="P4993" s="6" t="s">
        <v>51</v>
      </c>
      <c r="Q4993" s="8" t="s">
        <v>500</v>
      </c>
      <c r="R4993" s="10" t="s">
        <v>28781</v>
      </c>
      <c r="S4993" s="11" t="s">
        <v>28782</v>
      </c>
      <c r="T4993" s="6"/>
      <c r="U4993" s="15" t="str">
        <f>HYPERLINK("https://media.infra-m.ru/2198/2198525/cover/2198525.jpg", "Обложка")</f>
        <v>Обложка</v>
      </c>
      <c r="V4993" s="8" t="s">
        <v>5250</v>
      </c>
      <c r="W4993" s="6"/>
      <c r="X4993" s="6"/>
      <c r="Y4993" s="6"/>
      <c r="Z4993" s="6"/>
      <c r="AA4993" s="6" t="s">
        <v>896</v>
      </c>
      <c r="AB4993" s="8"/>
      <c r="AC4993" s="27">
        <v>9785160171913</v>
      </c>
    </row>
    <row r="4994" spans="1:29" s="4" customFormat="1" ht="42" customHeight="1" x14ac:dyDescent="0.2">
      <c r="A4994" s="5">
        <v>0</v>
      </c>
      <c r="B4994" s="6" t="s">
        <v>28783</v>
      </c>
      <c r="C4994" s="7">
        <v>1816.8</v>
      </c>
      <c r="D4994" s="8" t="s">
        <v>28784</v>
      </c>
      <c r="E4994" s="8" t="s">
        <v>28785</v>
      </c>
      <c r="F4994" s="8" t="s">
        <v>28786</v>
      </c>
      <c r="G4994" s="6" t="s">
        <v>60</v>
      </c>
      <c r="H4994" s="6" t="s">
        <v>241</v>
      </c>
      <c r="I4994" s="8"/>
      <c r="J4994" s="9">
        <v>1</v>
      </c>
      <c r="K4994" s="9">
        <v>288</v>
      </c>
      <c r="L4994" s="9">
        <v>2026</v>
      </c>
      <c r="M4994" s="8" t="s">
        <v>28787</v>
      </c>
      <c r="N4994" s="8" t="s">
        <v>93</v>
      </c>
      <c r="O4994" s="8" t="s">
        <v>94</v>
      </c>
      <c r="P4994" s="6" t="s">
        <v>51</v>
      </c>
      <c r="Q4994" s="8" t="s">
        <v>52</v>
      </c>
      <c r="R4994" s="10" t="s">
        <v>10179</v>
      </c>
      <c r="S4994" s="11"/>
      <c r="T4994" s="6"/>
      <c r="U4994" s="15" t="str">
        <f>HYPERLINK("https://media.infra-m.ru/2218/2218883/cover/2218883.jpg", "Обложка")</f>
        <v>Обложка</v>
      </c>
      <c r="V4994" s="8" t="s">
        <v>257</v>
      </c>
      <c r="W4994" s="6"/>
      <c r="X4994" s="6"/>
      <c r="Y4994" s="6"/>
      <c r="Z4994" s="6"/>
      <c r="AA4994" s="6" t="s">
        <v>274</v>
      </c>
      <c r="AB4994" s="8"/>
      <c r="AC4994" s="27">
        <v>9785955804095</v>
      </c>
    </row>
    <row r="4995" spans="1:29" s="4" customFormat="1" ht="51.9" customHeight="1" x14ac:dyDescent="0.2">
      <c r="A4995" s="5">
        <v>0</v>
      </c>
      <c r="B4995" s="6" t="s">
        <v>28788</v>
      </c>
      <c r="C4995" s="13">
        <v>748.8</v>
      </c>
      <c r="D4995" s="8" t="s">
        <v>28789</v>
      </c>
      <c r="E4995" s="8" t="s">
        <v>28790</v>
      </c>
      <c r="F4995" s="8" t="s">
        <v>28791</v>
      </c>
      <c r="G4995" s="6" t="s">
        <v>33</v>
      </c>
      <c r="H4995" s="6" t="s">
        <v>34</v>
      </c>
      <c r="I4995" s="8" t="s">
        <v>5350</v>
      </c>
      <c r="J4995" s="9">
        <v>1</v>
      </c>
      <c r="K4995" s="9">
        <v>96</v>
      </c>
      <c r="L4995" s="9">
        <v>2026</v>
      </c>
      <c r="M4995" s="8" t="s">
        <v>28792</v>
      </c>
      <c r="N4995" s="8" t="s">
        <v>243</v>
      </c>
      <c r="O4995" s="8" t="s">
        <v>385</v>
      </c>
      <c r="P4995" s="6" t="s">
        <v>51</v>
      </c>
      <c r="Q4995" s="8" t="s">
        <v>377</v>
      </c>
      <c r="R4995" s="10" t="s">
        <v>28793</v>
      </c>
      <c r="S4995" s="11" t="s">
        <v>28794</v>
      </c>
      <c r="T4995" s="6"/>
      <c r="U4995" s="15" t="str">
        <f>HYPERLINK("https://media.infra-m.ru/2238/2238516/cover/2238516.jpg", "Обложка")</f>
        <v>Обложка</v>
      </c>
      <c r="V4995" s="8" t="s">
        <v>4710</v>
      </c>
      <c r="W4995" s="6"/>
      <c r="X4995" s="6"/>
      <c r="Y4995" s="6"/>
      <c r="Z4995" s="6"/>
      <c r="AA4995" s="6" t="s">
        <v>86</v>
      </c>
      <c r="AB4995" s="8"/>
      <c r="AC4995" s="27">
        <v>9785160135144</v>
      </c>
    </row>
    <row r="4996" spans="1:29" s="4" customFormat="1" ht="51.9" customHeight="1" x14ac:dyDescent="0.2">
      <c r="A4996" s="5">
        <v>0</v>
      </c>
      <c r="B4996" s="6" t="s">
        <v>28795</v>
      </c>
      <c r="C4996" s="7">
        <v>1288.8</v>
      </c>
      <c r="D4996" s="8" t="s">
        <v>28796</v>
      </c>
      <c r="E4996" s="8" t="s">
        <v>28797</v>
      </c>
      <c r="F4996" s="8" t="s">
        <v>28798</v>
      </c>
      <c r="G4996" s="6" t="s">
        <v>118</v>
      </c>
      <c r="H4996" s="6" t="s">
        <v>34</v>
      </c>
      <c r="I4996" s="8" t="s">
        <v>1248</v>
      </c>
      <c r="J4996" s="9">
        <v>1</v>
      </c>
      <c r="K4996" s="9">
        <v>207</v>
      </c>
      <c r="L4996" s="9">
        <v>2025</v>
      </c>
      <c r="M4996" s="8" t="s">
        <v>28799</v>
      </c>
      <c r="N4996" s="8" t="s">
        <v>243</v>
      </c>
      <c r="O4996" s="8" t="s">
        <v>758</v>
      </c>
      <c r="P4996" s="6" t="s">
        <v>51</v>
      </c>
      <c r="Q4996" s="8" t="s">
        <v>377</v>
      </c>
      <c r="R4996" s="10" t="s">
        <v>5035</v>
      </c>
      <c r="S4996" s="11" t="s">
        <v>28800</v>
      </c>
      <c r="T4996" s="6"/>
      <c r="U4996" s="15" t="str">
        <f>HYPERLINK("https://media.infra-m.ru/2207/2207120/cover/2207120.jpg", "Обложка")</f>
        <v>Обложка</v>
      </c>
      <c r="V4996" s="8" t="s">
        <v>1083</v>
      </c>
      <c r="W4996" s="6"/>
      <c r="X4996" s="6"/>
      <c r="Y4996" s="6"/>
      <c r="Z4996" s="6"/>
      <c r="AA4996" s="6" t="s">
        <v>86</v>
      </c>
      <c r="AB4996" s="8"/>
      <c r="AC4996" s="27">
        <v>9785160210681</v>
      </c>
    </row>
    <row r="4997" spans="1:29" s="4" customFormat="1" ht="51.9" customHeight="1" x14ac:dyDescent="0.2">
      <c r="A4997" s="5">
        <v>0</v>
      </c>
      <c r="B4997" s="6" t="s">
        <v>28801</v>
      </c>
      <c r="C4997" s="7">
        <v>1468.8</v>
      </c>
      <c r="D4997" s="8" t="s">
        <v>28802</v>
      </c>
      <c r="E4997" s="8" t="s">
        <v>28803</v>
      </c>
      <c r="F4997" s="8" t="s">
        <v>28804</v>
      </c>
      <c r="G4997" s="6" t="s">
        <v>33</v>
      </c>
      <c r="H4997" s="6" t="s">
        <v>34</v>
      </c>
      <c r="I4997" s="8" t="s">
        <v>35</v>
      </c>
      <c r="J4997" s="9">
        <v>1</v>
      </c>
      <c r="K4997" s="9">
        <v>222</v>
      </c>
      <c r="L4997" s="9">
        <v>2026</v>
      </c>
      <c r="M4997" s="8" t="s">
        <v>28805</v>
      </c>
      <c r="N4997" s="8" t="s">
        <v>37</v>
      </c>
      <c r="O4997" s="8" t="s">
        <v>136</v>
      </c>
      <c r="P4997" s="6" t="s">
        <v>39</v>
      </c>
      <c r="Q4997" s="8" t="s">
        <v>40</v>
      </c>
      <c r="R4997" s="10" t="s">
        <v>4881</v>
      </c>
      <c r="S4997" s="11"/>
      <c r="T4997" s="6"/>
      <c r="U4997" s="15" t="str">
        <f>HYPERLINK("https://media.infra-m.ru/2186/2186013/cover/2186013.jpg", "Обложка")</f>
        <v>Обложка</v>
      </c>
      <c r="V4997" s="8" t="s">
        <v>1192</v>
      </c>
      <c r="W4997" s="6"/>
      <c r="X4997" s="6"/>
      <c r="Y4997" s="6"/>
      <c r="Z4997" s="6"/>
      <c r="AA4997" s="6" t="s">
        <v>430</v>
      </c>
      <c r="AB4997" s="8"/>
      <c r="AC4997" s="27">
        <v>9785160162188</v>
      </c>
    </row>
    <row r="4998" spans="1:29" s="4" customFormat="1" ht="51.9" customHeight="1" x14ac:dyDescent="0.2">
      <c r="A4998" s="5">
        <v>0</v>
      </c>
      <c r="B4998" s="6" t="s">
        <v>28806</v>
      </c>
      <c r="C4998" s="7">
        <v>1596</v>
      </c>
      <c r="D4998" s="8" t="s">
        <v>28807</v>
      </c>
      <c r="E4998" s="8" t="s">
        <v>28808</v>
      </c>
      <c r="F4998" s="8" t="s">
        <v>7386</v>
      </c>
      <c r="G4998" s="6" t="s">
        <v>118</v>
      </c>
      <c r="H4998" s="6" t="s">
        <v>241</v>
      </c>
      <c r="I4998" s="8"/>
      <c r="J4998" s="9">
        <v>1</v>
      </c>
      <c r="K4998" s="9">
        <v>414</v>
      </c>
      <c r="L4998" s="9">
        <v>2019</v>
      </c>
      <c r="M4998" s="8" t="s">
        <v>28809</v>
      </c>
      <c r="N4998" s="8" t="s">
        <v>63</v>
      </c>
      <c r="O4998" s="8" t="s">
        <v>154</v>
      </c>
      <c r="P4998" s="6" t="s">
        <v>51</v>
      </c>
      <c r="Q4998" s="8" t="s">
        <v>52</v>
      </c>
      <c r="R4998" s="10" t="s">
        <v>28810</v>
      </c>
      <c r="S4998" s="11"/>
      <c r="T4998" s="6"/>
      <c r="U4998" s="15" t="str">
        <f>HYPERLINK("https://media.infra-m.ru/1030/1030671/cover/1030671.jpg", "Обложка")</f>
        <v>Обложка</v>
      </c>
      <c r="V4998" s="8" t="s">
        <v>2389</v>
      </c>
      <c r="W4998" s="6"/>
      <c r="X4998" s="6"/>
      <c r="Y4998" s="6"/>
      <c r="Z4998" s="6"/>
      <c r="AA4998" s="6" t="s">
        <v>55</v>
      </c>
      <c r="AB4998" s="8"/>
      <c r="AC4998" s="27">
        <v>9785955802558</v>
      </c>
    </row>
    <row r="4999" spans="1:29" s="4" customFormat="1" ht="51.9" customHeight="1" x14ac:dyDescent="0.2">
      <c r="A4999" s="5">
        <v>0</v>
      </c>
      <c r="B4999" s="6" t="s">
        <v>28811</v>
      </c>
      <c r="C4999" s="13">
        <v>941.9</v>
      </c>
      <c r="D4999" s="8" t="s">
        <v>28812</v>
      </c>
      <c r="E4999" s="8" t="s">
        <v>28813</v>
      </c>
      <c r="F4999" s="8" t="s">
        <v>13631</v>
      </c>
      <c r="G4999" s="6" t="s">
        <v>60</v>
      </c>
      <c r="H4999" s="6" t="s">
        <v>241</v>
      </c>
      <c r="I4999" s="8"/>
      <c r="J4999" s="9">
        <v>1</v>
      </c>
      <c r="K4999" s="9">
        <v>268</v>
      </c>
      <c r="L4999" s="9">
        <v>2017</v>
      </c>
      <c r="M4999" s="8" t="s">
        <v>28814</v>
      </c>
      <c r="N4999" s="8" t="s">
        <v>63</v>
      </c>
      <c r="O4999" s="8" t="s">
        <v>154</v>
      </c>
      <c r="P4999" s="6" t="s">
        <v>51</v>
      </c>
      <c r="Q4999" s="8" t="s">
        <v>52</v>
      </c>
      <c r="R4999" s="10" t="s">
        <v>25410</v>
      </c>
      <c r="S4999" s="11" t="s">
        <v>28815</v>
      </c>
      <c r="T4999" s="6"/>
      <c r="U4999" s="15" t="str">
        <f>HYPERLINK("https://media.infra-m.ru/0923/0923340/cover/923340.jpg", "Обложка")</f>
        <v>Обложка</v>
      </c>
      <c r="V4999" s="8" t="s">
        <v>247</v>
      </c>
      <c r="W4999" s="6"/>
      <c r="X4999" s="6"/>
      <c r="Y4999" s="6"/>
      <c r="Z4999" s="6"/>
      <c r="AA4999" s="6" t="s">
        <v>43</v>
      </c>
      <c r="AB4999" s="8"/>
      <c r="AC4999" s="27">
        <v>9785955802022</v>
      </c>
    </row>
    <row r="5000" spans="1:29" s="4" customFormat="1" ht="51.9" customHeight="1" x14ac:dyDescent="0.2">
      <c r="A5000" s="5">
        <v>0</v>
      </c>
      <c r="B5000" s="6" t="s">
        <v>28816</v>
      </c>
      <c r="C5000" s="7">
        <v>1800</v>
      </c>
      <c r="D5000" s="8" t="s">
        <v>28817</v>
      </c>
      <c r="E5000" s="8" t="s">
        <v>28818</v>
      </c>
      <c r="F5000" s="8" t="s">
        <v>13631</v>
      </c>
      <c r="G5000" s="6" t="s">
        <v>118</v>
      </c>
      <c r="H5000" s="6" t="s">
        <v>34</v>
      </c>
      <c r="I5000" s="8" t="s">
        <v>253</v>
      </c>
      <c r="J5000" s="9">
        <v>1</v>
      </c>
      <c r="K5000" s="9">
        <v>272</v>
      </c>
      <c r="L5000" s="9">
        <v>2026</v>
      </c>
      <c r="M5000" s="8" t="s">
        <v>28819</v>
      </c>
      <c r="N5000" s="8" t="s">
        <v>63</v>
      </c>
      <c r="O5000" s="8" t="s">
        <v>154</v>
      </c>
      <c r="P5000" s="6" t="s">
        <v>51</v>
      </c>
      <c r="Q5000" s="8" t="s">
        <v>52</v>
      </c>
      <c r="R5000" s="10" t="s">
        <v>25410</v>
      </c>
      <c r="S5000" s="11"/>
      <c r="T5000" s="6"/>
      <c r="U5000" s="15" t="str">
        <f>HYPERLINK("https://media.infra-m.ru/2229/2229647/cover/2229647.jpg", "Обложка")</f>
        <v>Обложка</v>
      </c>
      <c r="V5000" s="8" t="s">
        <v>247</v>
      </c>
      <c r="W5000" s="6"/>
      <c r="X5000" s="6"/>
      <c r="Y5000" s="6"/>
      <c r="Z5000" s="6"/>
      <c r="AA5000" s="6" t="s">
        <v>404</v>
      </c>
      <c r="AB5000" s="8"/>
      <c r="AC5000" s="27">
        <v>9785160215334</v>
      </c>
    </row>
    <row r="5001" spans="1:29" s="4" customFormat="1" ht="51.9" customHeight="1" x14ac:dyDescent="0.2">
      <c r="A5001" s="5">
        <v>0</v>
      </c>
      <c r="B5001" s="6" t="s">
        <v>28820</v>
      </c>
      <c r="C5001" s="7">
        <v>2808</v>
      </c>
      <c r="D5001" s="8" t="s">
        <v>28821</v>
      </c>
      <c r="E5001" s="8" t="s">
        <v>28822</v>
      </c>
      <c r="F5001" s="8" t="s">
        <v>3350</v>
      </c>
      <c r="G5001" s="6" t="s">
        <v>60</v>
      </c>
      <c r="H5001" s="6" t="s">
        <v>34</v>
      </c>
      <c r="I5001" s="8" t="s">
        <v>253</v>
      </c>
      <c r="J5001" s="9">
        <v>1</v>
      </c>
      <c r="K5001" s="9">
        <v>424</v>
      </c>
      <c r="L5001" s="9">
        <v>2026</v>
      </c>
      <c r="M5001" s="8" t="s">
        <v>28823</v>
      </c>
      <c r="N5001" s="8" t="s">
        <v>63</v>
      </c>
      <c r="O5001" s="8" t="s">
        <v>154</v>
      </c>
      <c r="P5001" s="6" t="s">
        <v>51</v>
      </c>
      <c r="Q5001" s="8" t="s">
        <v>500</v>
      </c>
      <c r="R5001" s="10" t="s">
        <v>28810</v>
      </c>
      <c r="S5001" s="11" t="s">
        <v>28824</v>
      </c>
      <c r="T5001" s="6"/>
      <c r="U5001" s="15" t="str">
        <f>HYPERLINK("https://media.infra-m.ru/2222/2222991/cover/2222991.jpg", "Обложка")</f>
        <v>Обложка</v>
      </c>
      <c r="V5001" s="8" t="s">
        <v>2389</v>
      </c>
      <c r="W5001" s="6"/>
      <c r="X5001" s="6"/>
      <c r="Y5001" s="6"/>
      <c r="Z5001" s="6"/>
      <c r="AA5001" s="6" t="s">
        <v>258</v>
      </c>
      <c r="AB5001" s="8"/>
      <c r="AC5001" s="27">
        <v>9785160205205</v>
      </c>
    </row>
    <row r="5002" spans="1:29" s="4" customFormat="1" ht="51.9" customHeight="1" x14ac:dyDescent="0.2">
      <c r="A5002" s="5">
        <v>0</v>
      </c>
      <c r="B5002" s="6" t="s">
        <v>28825</v>
      </c>
      <c r="C5002" s="7">
        <v>1440</v>
      </c>
      <c r="D5002" s="8" t="s">
        <v>28826</v>
      </c>
      <c r="E5002" s="8" t="s">
        <v>28827</v>
      </c>
      <c r="F5002" s="8" t="s">
        <v>28828</v>
      </c>
      <c r="G5002" s="6" t="s">
        <v>118</v>
      </c>
      <c r="H5002" s="6" t="s">
        <v>34</v>
      </c>
      <c r="I5002" s="8" t="s">
        <v>253</v>
      </c>
      <c r="J5002" s="9">
        <v>1</v>
      </c>
      <c r="K5002" s="9">
        <v>217</v>
      </c>
      <c r="L5002" s="9">
        <v>2026</v>
      </c>
      <c r="M5002" s="8" t="s">
        <v>28829</v>
      </c>
      <c r="N5002" s="8" t="s">
        <v>63</v>
      </c>
      <c r="O5002" s="8" t="s">
        <v>154</v>
      </c>
      <c r="P5002" s="6" t="s">
        <v>51</v>
      </c>
      <c r="Q5002" s="8" t="s">
        <v>52</v>
      </c>
      <c r="R5002" s="10" t="s">
        <v>28830</v>
      </c>
      <c r="S5002" s="11" t="s">
        <v>28831</v>
      </c>
      <c r="T5002" s="6"/>
      <c r="U5002" s="15" t="str">
        <f>HYPERLINK("https://media.infra-m.ru/2233/2233634/cover/2233634.jpg", "Обложка")</f>
        <v>Обложка</v>
      </c>
      <c r="V5002" s="8" t="s">
        <v>4155</v>
      </c>
      <c r="W5002" s="6"/>
      <c r="X5002" s="6"/>
      <c r="Y5002" s="6"/>
      <c r="Z5002" s="6"/>
      <c r="AA5002" s="6" t="s">
        <v>430</v>
      </c>
      <c r="AB5002" s="8"/>
      <c r="AC5002" s="27">
        <v>9785160198859</v>
      </c>
    </row>
    <row r="5003" spans="1:29" s="4" customFormat="1" ht="51.9" customHeight="1" x14ac:dyDescent="0.2">
      <c r="A5003" s="5">
        <v>0</v>
      </c>
      <c r="B5003" s="6" t="s">
        <v>28832</v>
      </c>
      <c r="C5003" s="7">
        <v>1164</v>
      </c>
      <c r="D5003" s="8" t="s">
        <v>28833</v>
      </c>
      <c r="E5003" s="8" t="s">
        <v>28834</v>
      </c>
      <c r="F5003" s="8" t="s">
        <v>28365</v>
      </c>
      <c r="G5003" s="6" t="s">
        <v>118</v>
      </c>
      <c r="H5003" s="6" t="s">
        <v>1042</v>
      </c>
      <c r="I5003" s="8" t="s">
        <v>253</v>
      </c>
      <c r="J5003" s="9">
        <v>1</v>
      </c>
      <c r="K5003" s="9">
        <v>192</v>
      </c>
      <c r="L5003" s="9">
        <v>2024</v>
      </c>
      <c r="M5003" s="8" t="s">
        <v>28835</v>
      </c>
      <c r="N5003" s="8" t="s">
        <v>63</v>
      </c>
      <c r="O5003" s="8" t="s">
        <v>154</v>
      </c>
      <c r="P5003" s="6" t="s">
        <v>51</v>
      </c>
      <c r="Q5003" s="8" t="s">
        <v>52</v>
      </c>
      <c r="R5003" s="10" t="s">
        <v>28836</v>
      </c>
      <c r="S5003" s="11" t="s">
        <v>28837</v>
      </c>
      <c r="T5003" s="6"/>
      <c r="U5003" s="15" t="str">
        <f>HYPERLINK("https://media.infra-m.ru/2156/2156665/cover/2156665.jpg", "Обложка")</f>
        <v>Обложка</v>
      </c>
      <c r="V5003" s="8" t="s">
        <v>5951</v>
      </c>
      <c r="W5003" s="6"/>
      <c r="X5003" s="6"/>
      <c r="Y5003" s="6"/>
      <c r="Z5003" s="6"/>
      <c r="AA5003" s="6" t="s">
        <v>1015</v>
      </c>
      <c r="AB5003" s="8"/>
      <c r="AC5003" s="27">
        <v>9785819908433</v>
      </c>
    </row>
    <row r="5004" spans="1:29" s="4" customFormat="1" ht="42" customHeight="1" x14ac:dyDescent="0.2">
      <c r="A5004" s="5">
        <v>0</v>
      </c>
      <c r="B5004" s="6" t="s">
        <v>28838</v>
      </c>
      <c r="C5004" s="7">
        <v>3592.8</v>
      </c>
      <c r="D5004" s="8" t="s">
        <v>28839</v>
      </c>
      <c r="E5004" s="8" t="s">
        <v>28840</v>
      </c>
      <c r="F5004" s="8" t="s">
        <v>28841</v>
      </c>
      <c r="G5004" s="6" t="s">
        <v>33</v>
      </c>
      <c r="H5004" s="6" t="s">
        <v>34</v>
      </c>
      <c r="I5004" s="8" t="s">
        <v>35</v>
      </c>
      <c r="J5004" s="9">
        <v>1</v>
      </c>
      <c r="K5004" s="9">
        <v>574</v>
      </c>
      <c r="L5004" s="9">
        <v>2026</v>
      </c>
      <c r="M5004" s="8" t="s">
        <v>28842</v>
      </c>
      <c r="N5004" s="8" t="s">
        <v>37</v>
      </c>
      <c r="O5004" s="8" t="s">
        <v>136</v>
      </c>
      <c r="P5004" s="6" t="s">
        <v>39</v>
      </c>
      <c r="Q5004" s="8" t="s">
        <v>40</v>
      </c>
      <c r="R5004" s="10" t="s">
        <v>8355</v>
      </c>
      <c r="S5004" s="11"/>
      <c r="T5004" s="6"/>
      <c r="U5004" s="15" t="str">
        <f>HYPERLINK("https://media.infra-m.ru/2227/2227186/cover/2227186.jpg", "Обложка")</f>
        <v>Обложка</v>
      </c>
      <c r="V5004" s="8" t="s">
        <v>227</v>
      </c>
      <c r="W5004" s="6"/>
      <c r="X5004" s="6"/>
      <c r="Y5004" s="6"/>
      <c r="Z5004" s="6"/>
      <c r="AA5004" s="6" t="s">
        <v>55</v>
      </c>
      <c r="AB5004" s="8"/>
      <c r="AC5004" s="27">
        <v>9785160198163</v>
      </c>
    </row>
    <row r="5005" spans="1:29" s="4" customFormat="1" ht="42" customHeight="1" x14ac:dyDescent="0.2">
      <c r="A5005" s="5">
        <v>0</v>
      </c>
      <c r="B5005" s="6" t="s">
        <v>28843</v>
      </c>
      <c r="C5005" s="7">
        <v>3244.8</v>
      </c>
      <c r="D5005" s="8" t="s">
        <v>28844</v>
      </c>
      <c r="E5005" s="8" t="s">
        <v>28840</v>
      </c>
      <c r="F5005" s="8" t="s">
        <v>28841</v>
      </c>
      <c r="G5005" s="6" t="s">
        <v>118</v>
      </c>
      <c r="H5005" s="6" t="s">
        <v>34</v>
      </c>
      <c r="I5005" s="8" t="s">
        <v>35</v>
      </c>
      <c r="J5005" s="9">
        <v>1</v>
      </c>
      <c r="K5005" s="9">
        <v>574</v>
      </c>
      <c r="L5005" s="9">
        <v>2024</v>
      </c>
      <c r="M5005" s="8" t="s">
        <v>28845</v>
      </c>
      <c r="N5005" s="8" t="s">
        <v>37</v>
      </c>
      <c r="O5005" s="8" t="s">
        <v>136</v>
      </c>
      <c r="P5005" s="6" t="s">
        <v>39</v>
      </c>
      <c r="Q5005" s="8" t="s">
        <v>40</v>
      </c>
      <c r="R5005" s="10" t="s">
        <v>8355</v>
      </c>
      <c r="S5005" s="11"/>
      <c r="T5005" s="6"/>
      <c r="U5005" s="15" t="str">
        <f>HYPERLINK("https://media.infra-m.ru/2142/2142668/cover/2142668.jpg", "Обложка")</f>
        <v>Обложка</v>
      </c>
      <c r="V5005" s="8" t="s">
        <v>227</v>
      </c>
      <c r="W5005" s="6"/>
      <c r="X5005" s="6"/>
      <c r="Y5005" s="6"/>
      <c r="Z5005" s="6"/>
      <c r="AA5005" s="6" t="s">
        <v>55</v>
      </c>
      <c r="AB5005" s="8"/>
      <c r="AC5005" s="27">
        <v>9785160116471</v>
      </c>
    </row>
    <row r="5006" spans="1:29" s="4" customFormat="1" ht="42" customHeight="1" x14ac:dyDescent="0.2">
      <c r="A5006" s="5">
        <v>0</v>
      </c>
      <c r="B5006" s="6" t="s">
        <v>28846</v>
      </c>
      <c r="C5006" s="7">
        <v>1460.4</v>
      </c>
      <c r="D5006" s="8" t="s">
        <v>28847</v>
      </c>
      <c r="E5006" s="8" t="s">
        <v>28848</v>
      </c>
      <c r="F5006" s="8" t="s">
        <v>27368</v>
      </c>
      <c r="G5006" s="6" t="s">
        <v>33</v>
      </c>
      <c r="H5006" s="6" t="s">
        <v>48</v>
      </c>
      <c r="I5006" s="8" t="s">
        <v>253</v>
      </c>
      <c r="J5006" s="9">
        <v>1</v>
      </c>
      <c r="K5006" s="9">
        <v>160</v>
      </c>
      <c r="L5006" s="9">
        <v>2027</v>
      </c>
      <c r="M5006" s="8" t="s">
        <v>28849</v>
      </c>
      <c r="N5006" s="8" t="s">
        <v>243</v>
      </c>
      <c r="O5006" s="8" t="s">
        <v>244</v>
      </c>
      <c r="P5006" s="6" t="s">
        <v>51</v>
      </c>
      <c r="Q5006" s="8" t="s">
        <v>52</v>
      </c>
      <c r="R5006" s="10" t="s">
        <v>28850</v>
      </c>
      <c r="S5006" s="11"/>
      <c r="T5006" s="6"/>
      <c r="U5006" s="15" t="str">
        <f>HYPERLINK("https://media.infra-m.ru/2266/2266118/cover/2266118.jpg", "Обложка")</f>
        <v>Обложка</v>
      </c>
      <c r="V5006" s="8" t="s">
        <v>3337</v>
      </c>
      <c r="W5006" s="6"/>
      <c r="X5006" s="6"/>
      <c r="Y5006" s="6"/>
      <c r="Z5006" s="6"/>
      <c r="AA5006" s="6" t="s">
        <v>274</v>
      </c>
      <c r="AB5006" s="8"/>
      <c r="AC5006" s="27">
        <v>9785000910245</v>
      </c>
    </row>
    <row r="5007" spans="1:29" s="4" customFormat="1" ht="51.9" customHeight="1" x14ac:dyDescent="0.2">
      <c r="A5007" s="5">
        <v>0</v>
      </c>
      <c r="B5007" s="6" t="s">
        <v>28851</v>
      </c>
      <c r="C5007" s="7">
        <v>1624.8</v>
      </c>
      <c r="D5007" s="8" t="s">
        <v>28852</v>
      </c>
      <c r="E5007" s="8" t="s">
        <v>28853</v>
      </c>
      <c r="F5007" s="8" t="s">
        <v>28854</v>
      </c>
      <c r="G5007" s="6" t="s">
        <v>60</v>
      </c>
      <c r="H5007" s="6" t="s">
        <v>34</v>
      </c>
      <c r="I5007" s="8" t="s">
        <v>2171</v>
      </c>
      <c r="J5007" s="9">
        <v>1</v>
      </c>
      <c r="K5007" s="9">
        <v>196</v>
      </c>
      <c r="L5007" s="9">
        <v>2026</v>
      </c>
      <c r="M5007" s="8" t="s">
        <v>28855</v>
      </c>
      <c r="N5007" s="8" t="s">
        <v>243</v>
      </c>
      <c r="O5007" s="8" t="s">
        <v>933</v>
      </c>
      <c r="P5007" s="6" t="s">
        <v>51</v>
      </c>
      <c r="Q5007" s="8" t="s">
        <v>65</v>
      </c>
      <c r="R5007" s="10" t="s">
        <v>28856</v>
      </c>
      <c r="S5007" s="11" t="s">
        <v>28857</v>
      </c>
      <c r="T5007" s="6"/>
      <c r="U5007" s="15" t="str">
        <f>HYPERLINK("https://media.infra-m.ru/2230/2230623/cover/2230623.jpg", "Обложка")</f>
        <v>Обложка</v>
      </c>
      <c r="V5007" s="8" t="s">
        <v>2175</v>
      </c>
      <c r="W5007" s="6"/>
      <c r="X5007" s="6"/>
      <c r="Y5007" s="6"/>
      <c r="Z5007" s="6"/>
      <c r="AA5007" s="6" t="s">
        <v>76</v>
      </c>
      <c r="AB5007" s="8"/>
      <c r="AC5007" s="27">
        <v>9785160190815</v>
      </c>
    </row>
    <row r="5008" spans="1:29" s="4" customFormat="1" ht="51.9" customHeight="1" x14ac:dyDescent="0.2">
      <c r="A5008" s="5">
        <v>0</v>
      </c>
      <c r="B5008" s="6" t="s">
        <v>28858</v>
      </c>
      <c r="C5008" s="13">
        <v>984</v>
      </c>
      <c r="D5008" s="8" t="s">
        <v>28859</v>
      </c>
      <c r="E5008" s="8" t="s">
        <v>28860</v>
      </c>
      <c r="F5008" s="8" t="s">
        <v>28861</v>
      </c>
      <c r="G5008" s="6" t="s">
        <v>118</v>
      </c>
      <c r="H5008" s="6" t="s">
        <v>34</v>
      </c>
      <c r="I5008" s="8" t="s">
        <v>271</v>
      </c>
      <c r="J5008" s="9">
        <v>1</v>
      </c>
      <c r="K5008" s="9">
        <v>164</v>
      </c>
      <c r="L5008" s="9">
        <v>2023</v>
      </c>
      <c r="M5008" s="8" t="s">
        <v>28862</v>
      </c>
      <c r="N5008" s="8" t="s">
        <v>37</v>
      </c>
      <c r="O5008" s="8" t="s">
        <v>280</v>
      </c>
      <c r="P5008" s="6" t="s">
        <v>51</v>
      </c>
      <c r="Q5008" s="8" t="s">
        <v>52</v>
      </c>
      <c r="R5008" s="10" t="s">
        <v>28863</v>
      </c>
      <c r="S5008" s="11" t="s">
        <v>28864</v>
      </c>
      <c r="T5008" s="6"/>
      <c r="U5008" s="15" t="str">
        <f>HYPERLINK("https://media.infra-m.ru/1870/1870407/cover/1870407.jpg", "Обложка")</f>
        <v>Обложка</v>
      </c>
      <c r="V5008" s="8" t="s">
        <v>4481</v>
      </c>
      <c r="W5008" s="6"/>
      <c r="X5008" s="6"/>
      <c r="Y5008" s="6"/>
      <c r="Z5008" s="6"/>
      <c r="AA5008" s="6" t="s">
        <v>86</v>
      </c>
      <c r="AB5008" s="8"/>
      <c r="AC5008" s="27">
        <v>9785160179193</v>
      </c>
    </row>
    <row r="5009" spans="1:29" s="4" customFormat="1" ht="51.9" customHeight="1" x14ac:dyDescent="0.2">
      <c r="A5009" s="5">
        <v>0</v>
      </c>
      <c r="B5009" s="6" t="s">
        <v>28865</v>
      </c>
      <c r="C5009" s="7">
        <v>2164.8000000000002</v>
      </c>
      <c r="D5009" s="8" t="s">
        <v>28866</v>
      </c>
      <c r="E5009" s="8" t="s">
        <v>28867</v>
      </c>
      <c r="F5009" s="8" t="s">
        <v>28868</v>
      </c>
      <c r="G5009" s="6" t="s">
        <v>60</v>
      </c>
      <c r="H5009" s="6" t="s">
        <v>34</v>
      </c>
      <c r="I5009" s="8" t="s">
        <v>271</v>
      </c>
      <c r="J5009" s="9">
        <v>1</v>
      </c>
      <c r="K5009" s="9">
        <v>311</v>
      </c>
      <c r="L5009" s="9">
        <v>2027</v>
      </c>
      <c r="M5009" s="8" t="s">
        <v>28869</v>
      </c>
      <c r="N5009" s="8" t="s">
        <v>243</v>
      </c>
      <c r="O5009" s="8" t="s">
        <v>758</v>
      </c>
      <c r="P5009" s="6" t="s">
        <v>51</v>
      </c>
      <c r="Q5009" s="8" t="s">
        <v>52</v>
      </c>
      <c r="R5009" s="10" t="s">
        <v>17217</v>
      </c>
      <c r="S5009" s="11" t="s">
        <v>28870</v>
      </c>
      <c r="T5009" s="6"/>
      <c r="U5009" s="15" t="str">
        <f>HYPERLINK("https://media.infra-m.ru/2264/2264686/cover/2264686.jpg", "Обложка")</f>
        <v>Обложка</v>
      </c>
      <c r="V5009" s="8" t="s">
        <v>1083</v>
      </c>
      <c r="W5009" s="6"/>
      <c r="X5009" s="6"/>
      <c r="Y5009" s="6"/>
      <c r="Z5009" s="6"/>
      <c r="AA5009" s="6" t="s">
        <v>360</v>
      </c>
      <c r="AB5009" s="8"/>
      <c r="AC5009" s="27">
        <v>9785160116280</v>
      </c>
    </row>
    <row r="5010" spans="1:29" s="4" customFormat="1" ht="51.9" customHeight="1" x14ac:dyDescent="0.2">
      <c r="A5010" s="5">
        <v>0</v>
      </c>
      <c r="B5010" s="6" t="s">
        <v>28871</v>
      </c>
      <c r="C5010" s="7">
        <v>2164.8000000000002</v>
      </c>
      <c r="D5010" s="8" t="s">
        <v>28872</v>
      </c>
      <c r="E5010" s="8" t="s">
        <v>28873</v>
      </c>
      <c r="F5010" s="8" t="s">
        <v>28868</v>
      </c>
      <c r="G5010" s="6" t="s">
        <v>60</v>
      </c>
      <c r="H5010" s="6" t="s">
        <v>34</v>
      </c>
      <c r="I5010" s="8" t="s">
        <v>10112</v>
      </c>
      <c r="J5010" s="9">
        <v>1</v>
      </c>
      <c r="K5010" s="9">
        <v>311</v>
      </c>
      <c r="L5010" s="9">
        <v>2027</v>
      </c>
      <c r="M5010" s="8" t="s">
        <v>28874</v>
      </c>
      <c r="N5010" s="8" t="s">
        <v>243</v>
      </c>
      <c r="O5010" s="8" t="s">
        <v>758</v>
      </c>
      <c r="P5010" s="6" t="s">
        <v>51</v>
      </c>
      <c r="Q5010" s="8" t="s">
        <v>500</v>
      </c>
      <c r="R5010" s="10" t="s">
        <v>28875</v>
      </c>
      <c r="S5010" s="11" t="s">
        <v>28876</v>
      </c>
      <c r="T5010" s="6"/>
      <c r="U5010" s="15" t="str">
        <f>HYPERLINK("https://media.infra-m.ru/2264/2264685/cover/2264685.jpg", "Обложка")</f>
        <v>Обложка</v>
      </c>
      <c r="V5010" s="8" t="s">
        <v>1083</v>
      </c>
      <c r="W5010" s="6"/>
      <c r="X5010" s="6"/>
      <c r="Y5010" s="6"/>
      <c r="Z5010" s="6"/>
      <c r="AA5010" s="6" t="s">
        <v>86</v>
      </c>
      <c r="AB5010" s="8"/>
      <c r="AC5010" s="27">
        <v>9785160133539</v>
      </c>
    </row>
    <row r="5011" spans="1:29" s="4" customFormat="1" ht="51.9" customHeight="1" x14ac:dyDescent="0.2">
      <c r="A5011" s="5">
        <v>0</v>
      </c>
      <c r="B5011" s="6" t="s">
        <v>28877</v>
      </c>
      <c r="C5011" s="7">
        <v>2296.8000000000002</v>
      </c>
      <c r="D5011" s="8" t="s">
        <v>28878</v>
      </c>
      <c r="E5011" s="8" t="s">
        <v>28879</v>
      </c>
      <c r="F5011" s="8" t="s">
        <v>28880</v>
      </c>
      <c r="G5011" s="6" t="s">
        <v>60</v>
      </c>
      <c r="H5011" s="6" t="s">
        <v>1644</v>
      </c>
      <c r="I5011" s="8"/>
      <c r="J5011" s="9">
        <v>1</v>
      </c>
      <c r="K5011" s="9">
        <v>416</v>
      </c>
      <c r="L5011" s="9">
        <v>2024</v>
      </c>
      <c r="M5011" s="8" t="s">
        <v>28881</v>
      </c>
      <c r="N5011" s="8" t="s">
        <v>37</v>
      </c>
      <c r="O5011" s="8" t="s">
        <v>499</v>
      </c>
      <c r="P5011" s="6" t="s">
        <v>306</v>
      </c>
      <c r="Q5011" s="8" t="s">
        <v>52</v>
      </c>
      <c r="R5011" s="10" t="s">
        <v>28882</v>
      </c>
      <c r="S5011" s="11" t="s">
        <v>28883</v>
      </c>
      <c r="T5011" s="6"/>
      <c r="U5011" s="15" t="str">
        <f>HYPERLINK("https://media.infra-m.ru/2056/2056655/cover/2056655.jpg", "Обложка")</f>
        <v>Обложка</v>
      </c>
      <c r="V5011" s="8" t="s">
        <v>28884</v>
      </c>
      <c r="W5011" s="6"/>
      <c r="X5011" s="6"/>
      <c r="Y5011" s="6"/>
      <c r="Z5011" s="6"/>
      <c r="AA5011" s="6" t="s">
        <v>7324</v>
      </c>
      <c r="AB5011" s="8"/>
      <c r="AC5011" s="27">
        <v>9785977602129</v>
      </c>
    </row>
    <row r="5012" spans="1:29" s="4" customFormat="1" ht="51.9" customHeight="1" x14ac:dyDescent="0.2">
      <c r="A5012" s="5">
        <v>0</v>
      </c>
      <c r="B5012" s="6" t="s">
        <v>28885</v>
      </c>
      <c r="C5012" s="7">
        <v>1301.9000000000001</v>
      </c>
      <c r="D5012" s="8" t="s">
        <v>28886</v>
      </c>
      <c r="E5012" s="8" t="s">
        <v>28887</v>
      </c>
      <c r="F5012" s="8" t="s">
        <v>28888</v>
      </c>
      <c r="G5012" s="6" t="s">
        <v>60</v>
      </c>
      <c r="H5012" s="6" t="s">
        <v>1795</v>
      </c>
      <c r="I5012" s="8" t="s">
        <v>2911</v>
      </c>
      <c r="J5012" s="9">
        <v>1</v>
      </c>
      <c r="K5012" s="9">
        <v>240</v>
      </c>
      <c r="L5012" s="9">
        <v>2023</v>
      </c>
      <c r="M5012" s="8" t="s">
        <v>28889</v>
      </c>
      <c r="N5012" s="8" t="s">
        <v>37</v>
      </c>
      <c r="O5012" s="8" t="s">
        <v>499</v>
      </c>
      <c r="P5012" s="6" t="s">
        <v>51</v>
      </c>
      <c r="Q5012" s="8" t="s">
        <v>265</v>
      </c>
      <c r="R5012" s="10" t="s">
        <v>28890</v>
      </c>
      <c r="S5012" s="11" t="s">
        <v>28891</v>
      </c>
      <c r="T5012" s="6"/>
      <c r="U5012" s="15" t="str">
        <f>HYPERLINK("https://media.infra-m.ru/1894/1894508/cover/1894508.jpg", "Обложка")</f>
        <v>Обложка</v>
      </c>
      <c r="V5012" s="8" t="s">
        <v>657</v>
      </c>
      <c r="W5012" s="6"/>
      <c r="X5012" s="6"/>
      <c r="Y5012" s="6"/>
      <c r="Z5012" s="6"/>
      <c r="AA5012" s="6" t="s">
        <v>43</v>
      </c>
      <c r="AB5012" s="8"/>
      <c r="AC5012" s="27">
        <v>9785982812711</v>
      </c>
    </row>
    <row r="5013" spans="1:29" s="4" customFormat="1" ht="51.9" customHeight="1" x14ac:dyDescent="0.2">
      <c r="A5013" s="5">
        <v>0</v>
      </c>
      <c r="B5013" s="6" t="s">
        <v>28892</v>
      </c>
      <c r="C5013" s="7">
        <v>1504.8</v>
      </c>
      <c r="D5013" s="8" t="s">
        <v>28893</v>
      </c>
      <c r="E5013" s="8" t="s">
        <v>28894</v>
      </c>
      <c r="F5013" s="8" t="s">
        <v>28895</v>
      </c>
      <c r="G5013" s="6" t="s">
        <v>118</v>
      </c>
      <c r="H5013" s="6" t="s">
        <v>34</v>
      </c>
      <c r="I5013" s="8" t="s">
        <v>263</v>
      </c>
      <c r="J5013" s="9">
        <v>1</v>
      </c>
      <c r="K5013" s="9">
        <v>240</v>
      </c>
      <c r="L5013" s="9">
        <v>2026</v>
      </c>
      <c r="M5013" s="8" t="s">
        <v>28896</v>
      </c>
      <c r="N5013" s="8" t="s">
        <v>37</v>
      </c>
      <c r="O5013" s="8" t="s">
        <v>499</v>
      </c>
      <c r="P5013" s="6" t="s">
        <v>51</v>
      </c>
      <c r="Q5013" s="8" t="s">
        <v>265</v>
      </c>
      <c r="R5013" s="10" t="s">
        <v>28890</v>
      </c>
      <c r="S5013" s="11" t="s">
        <v>28891</v>
      </c>
      <c r="T5013" s="6"/>
      <c r="U5013" s="15" t="str">
        <f>HYPERLINK("https://media.infra-m.ru/2222/2222770/cover/2222770.jpg", "Обложка")</f>
        <v>Обложка</v>
      </c>
      <c r="V5013" s="8" t="s">
        <v>657</v>
      </c>
      <c r="W5013" s="6"/>
      <c r="X5013" s="6"/>
      <c r="Y5013" s="6"/>
      <c r="Z5013" s="6"/>
      <c r="AA5013" s="6" t="s">
        <v>106</v>
      </c>
      <c r="AB5013" s="8"/>
      <c r="AC5013" s="27">
        <v>9785160192147</v>
      </c>
    </row>
    <row r="5014" spans="1:29" s="4" customFormat="1" ht="44.1" customHeight="1" x14ac:dyDescent="0.2">
      <c r="A5014" s="5">
        <v>0</v>
      </c>
      <c r="B5014" s="6" t="s">
        <v>28897</v>
      </c>
      <c r="C5014" s="7">
        <v>1320</v>
      </c>
      <c r="D5014" s="8" t="s">
        <v>28898</v>
      </c>
      <c r="E5014" s="8" t="s">
        <v>28899</v>
      </c>
      <c r="F5014" s="8" t="s">
        <v>28900</v>
      </c>
      <c r="G5014" s="6" t="s">
        <v>118</v>
      </c>
      <c r="H5014" s="6" t="s">
        <v>313</v>
      </c>
      <c r="I5014" s="8" t="s">
        <v>392</v>
      </c>
      <c r="J5014" s="9">
        <v>1</v>
      </c>
      <c r="K5014" s="9">
        <v>200</v>
      </c>
      <c r="L5014" s="9">
        <v>2026</v>
      </c>
      <c r="M5014" s="8" t="s">
        <v>28901</v>
      </c>
      <c r="N5014" s="8" t="s">
        <v>63</v>
      </c>
      <c r="O5014" s="8" t="s">
        <v>9718</v>
      </c>
      <c r="P5014" s="6" t="s">
        <v>306</v>
      </c>
      <c r="Q5014" s="8" t="s">
        <v>52</v>
      </c>
      <c r="R5014" s="10" t="s">
        <v>28902</v>
      </c>
      <c r="S5014" s="11"/>
      <c r="T5014" s="6"/>
      <c r="U5014" s="15" t="str">
        <f>HYPERLINK("https://media.infra-m.ru/2224/2224087/cover/2224087.jpg", "Обложка")</f>
        <v>Обложка</v>
      </c>
      <c r="V5014" s="8" t="s">
        <v>1425</v>
      </c>
      <c r="W5014" s="6"/>
      <c r="X5014" s="6"/>
      <c r="Y5014" s="6"/>
      <c r="Z5014" s="6"/>
      <c r="AA5014" s="6" t="s">
        <v>99</v>
      </c>
      <c r="AB5014" s="8"/>
      <c r="AC5014" s="27">
        <v>9785369016855</v>
      </c>
    </row>
    <row r="5015" spans="1:29" s="4" customFormat="1" ht="51.9" customHeight="1" x14ac:dyDescent="0.2">
      <c r="A5015" s="5">
        <v>0</v>
      </c>
      <c r="B5015" s="6" t="s">
        <v>28903</v>
      </c>
      <c r="C5015" s="7">
        <v>1260</v>
      </c>
      <c r="D5015" s="8" t="s">
        <v>28904</v>
      </c>
      <c r="E5015" s="8" t="s">
        <v>28905</v>
      </c>
      <c r="F5015" s="8" t="s">
        <v>28906</v>
      </c>
      <c r="G5015" s="6" t="s">
        <v>33</v>
      </c>
      <c r="H5015" s="6" t="s">
        <v>34</v>
      </c>
      <c r="I5015" s="8" t="s">
        <v>253</v>
      </c>
      <c r="J5015" s="9">
        <v>1</v>
      </c>
      <c r="K5015" s="9">
        <v>191</v>
      </c>
      <c r="L5015" s="9">
        <v>2026</v>
      </c>
      <c r="M5015" s="8" t="s">
        <v>28907</v>
      </c>
      <c r="N5015" s="8" t="s">
        <v>63</v>
      </c>
      <c r="O5015" s="8" t="s">
        <v>64</v>
      </c>
      <c r="P5015" s="6" t="s">
        <v>51</v>
      </c>
      <c r="Q5015" s="8" t="s">
        <v>52</v>
      </c>
      <c r="R5015" s="10" t="s">
        <v>28908</v>
      </c>
      <c r="S5015" s="11" t="s">
        <v>28909</v>
      </c>
      <c r="T5015" s="6"/>
      <c r="U5015" s="15" t="str">
        <f>HYPERLINK("https://media.infra-m.ru/2219/2219325/cover/2219325.jpg", "Обложка")</f>
        <v>Обложка</v>
      </c>
      <c r="V5015" s="8" t="s">
        <v>3087</v>
      </c>
      <c r="W5015" s="6"/>
      <c r="X5015" s="6"/>
      <c r="Y5015" s="6"/>
      <c r="Z5015" s="6"/>
      <c r="AA5015" s="6" t="s">
        <v>779</v>
      </c>
      <c r="AB5015" s="8"/>
      <c r="AC5015" s="27">
        <v>9785160216140</v>
      </c>
    </row>
    <row r="5016" spans="1:29" s="4" customFormat="1" ht="51.9" customHeight="1" x14ac:dyDescent="0.2">
      <c r="A5016" s="5">
        <v>0</v>
      </c>
      <c r="B5016" s="6" t="s">
        <v>28910</v>
      </c>
      <c r="C5016" s="7">
        <v>1552.8</v>
      </c>
      <c r="D5016" s="8" t="s">
        <v>28911</v>
      </c>
      <c r="E5016" s="8" t="s">
        <v>28912</v>
      </c>
      <c r="F5016" s="8" t="s">
        <v>863</v>
      </c>
      <c r="G5016" s="6" t="s">
        <v>118</v>
      </c>
      <c r="H5016" s="6" t="s">
        <v>34</v>
      </c>
      <c r="I5016" s="8" t="s">
        <v>271</v>
      </c>
      <c r="J5016" s="9">
        <v>1</v>
      </c>
      <c r="K5016" s="9">
        <v>223</v>
      </c>
      <c r="L5016" s="9">
        <v>2027</v>
      </c>
      <c r="M5016" s="8" t="s">
        <v>28913</v>
      </c>
      <c r="N5016" s="8" t="s">
        <v>243</v>
      </c>
      <c r="O5016" s="8" t="s">
        <v>933</v>
      </c>
      <c r="P5016" s="6" t="s">
        <v>51</v>
      </c>
      <c r="Q5016" s="8" t="s">
        <v>65</v>
      </c>
      <c r="R5016" s="10" t="s">
        <v>10602</v>
      </c>
      <c r="S5016" s="11" t="s">
        <v>28914</v>
      </c>
      <c r="T5016" s="6"/>
      <c r="U5016" s="15" t="str">
        <f>HYPERLINK("https://media.infra-m.ru/2269/2269229/cover/2269229.jpg", "Обложка")</f>
        <v>Обложка</v>
      </c>
      <c r="V5016" s="8" t="s">
        <v>867</v>
      </c>
      <c r="W5016" s="6"/>
      <c r="X5016" s="6"/>
      <c r="Y5016" s="6"/>
      <c r="Z5016" s="6"/>
      <c r="AA5016" s="6" t="s">
        <v>623</v>
      </c>
      <c r="AB5016" s="8"/>
      <c r="AC5016" s="27">
        <v>9785160185286</v>
      </c>
    </row>
    <row r="5017" spans="1:29" s="4" customFormat="1" ht="51.9" customHeight="1" x14ac:dyDescent="0.2">
      <c r="A5017" s="5">
        <v>0</v>
      </c>
      <c r="B5017" s="6" t="s">
        <v>28915</v>
      </c>
      <c r="C5017" s="7">
        <v>1956</v>
      </c>
      <c r="D5017" s="8" t="s">
        <v>28916</v>
      </c>
      <c r="E5017" s="8" t="s">
        <v>28912</v>
      </c>
      <c r="F5017" s="8" t="s">
        <v>863</v>
      </c>
      <c r="G5017" s="6" t="s">
        <v>118</v>
      </c>
      <c r="H5017" s="6" t="s">
        <v>34</v>
      </c>
      <c r="I5017" s="8" t="s">
        <v>263</v>
      </c>
      <c r="J5017" s="9">
        <v>1</v>
      </c>
      <c r="K5017" s="9">
        <v>223</v>
      </c>
      <c r="L5017" s="9">
        <v>2027</v>
      </c>
      <c r="M5017" s="8" t="s">
        <v>28917</v>
      </c>
      <c r="N5017" s="8" t="s">
        <v>243</v>
      </c>
      <c r="O5017" s="8" t="s">
        <v>933</v>
      </c>
      <c r="P5017" s="6" t="s">
        <v>51</v>
      </c>
      <c r="Q5017" s="8" t="s">
        <v>265</v>
      </c>
      <c r="R5017" s="10" t="s">
        <v>28918</v>
      </c>
      <c r="S5017" s="11" t="s">
        <v>28919</v>
      </c>
      <c r="T5017" s="6"/>
      <c r="U5017" s="15" t="str">
        <f>HYPERLINK("https://media.infra-m.ru/2269/2269368/cover/2269368.jpg", "Обложка")</f>
        <v>Обложка</v>
      </c>
      <c r="V5017" s="8" t="s">
        <v>867</v>
      </c>
      <c r="W5017" s="6"/>
      <c r="X5017" s="6"/>
      <c r="Y5017" s="6"/>
      <c r="Z5017" s="6" t="s">
        <v>882</v>
      </c>
      <c r="AA5017" s="6" t="s">
        <v>2240</v>
      </c>
      <c r="AB5017" s="8"/>
      <c r="AC5017" s="27">
        <v>9785160146225</v>
      </c>
    </row>
    <row r="5018" spans="1:29" s="4" customFormat="1" ht="44.1" customHeight="1" x14ac:dyDescent="0.2">
      <c r="A5018" s="5">
        <v>0</v>
      </c>
      <c r="B5018" s="6" t="s">
        <v>28920</v>
      </c>
      <c r="C5018" s="7">
        <v>2818.8</v>
      </c>
      <c r="D5018" s="8" t="s">
        <v>28921</v>
      </c>
      <c r="E5018" s="8" t="s">
        <v>28922</v>
      </c>
      <c r="F5018" s="8" t="s">
        <v>28923</v>
      </c>
      <c r="G5018" s="6" t="s">
        <v>118</v>
      </c>
      <c r="H5018" s="6" t="s">
        <v>313</v>
      </c>
      <c r="I5018" s="8" t="s">
        <v>253</v>
      </c>
      <c r="J5018" s="9">
        <v>1</v>
      </c>
      <c r="K5018" s="9">
        <v>266</v>
      </c>
      <c r="L5018" s="9">
        <v>2026</v>
      </c>
      <c r="M5018" s="8" t="s">
        <v>28924</v>
      </c>
      <c r="N5018" s="8" t="s">
        <v>37</v>
      </c>
      <c r="O5018" s="8" t="s">
        <v>38</v>
      </c>
      <c r="P5018" s="6" t="s">
        <v>306</v>
      </c>
      <c r="Q5018" s="8" t="s">
        <v>65</v>
      </c>
      <c r="R5018" s="10" t="s">
        <v>28925</v>
      </c>
      <c r="S5018" s="11"/>
      <c r="T5018" s="6"/>
      <c r="U5018" s="15" t="str">
        <f>HYPERLINK("https://media.infra-m.ru/2255/2255712/cover/2255712.jpg", "Обложка")</f>
        <v>Обложка</v>
      </c>
      <c r="V5018" s="8" t="s">
        <v>6224</v>
      </c>
      <c r="W5018" s="6"/>
      <c r="X5018" s="6"/>
      <c r="Y5018" s="6"/>
      <c r="Z5018" s="6"/>
      <c r="AA5018" s="6" t="s">
        <v>76</v>
      </c>
      <c r="AB5018" s="8"/>
      <c r="AC5018" s="27">
        <v>9785369019467</v>
      </c>
    </row>
    <row r="5019" spans="1:29" s="4" customFormat="1" ht="42" customHeight="1" x14ac:dyDescent="0.2">
      <c r="A5019" s="5">
        <v>0</v>
      </c>
      <c r="B5019" s="6" t="s">
        <v>28926</v>
      </c>
      <c r="C5019" s="7">
        <v>1612.8</v>
      </c>
      <c r="D5019" s="8" t="s">
        <v>28927</v>
      </c>
      <c r="E5019" s="8" t="s">
        <v>28922</v>
      </c>
      <c r="F5019" s="8" t="s">
        <v>28928</v>
      </c>
      <c r="G5019" s="6" t="s">
        <v>118</v>
      </c>
      <c r="H5019" s="6" t="s">
        <v>313</v>
      </c>
      <c r="I5019" s="8" t="s">
        <v>401</v>
      </c>
      <c r="J5019" s="9">
        <v>1</v>
      </c>
      <c r="K5019" s="9">
        <v>232</v>
      </c>
      <c r="L5019" s="9">
        <v>2026</v>
      </c>
      <c r="M5019" s="8" t="s">
        <v>28929</v>
      </c>
      <c r="N5019" s="8" t="s">
        <v>37</v>
      </c>
      <c r="O5019" s="8" t="s">
        <v>38</v>
      </c>
      <c r="P5019" s="6" t="s">
        <v>306</v>
      </c>
      <c r="Q5019" s="8" t="s">
        <v>265</v>
      </c>
      <c r="R5019" s="10" t="s">
        <v>28930</v>
      </c>
      <c r="S5019" s="11"/>
      <c r="T5019" s="6"/>
      <c r="U5019" s="15" t="str">
        <f>HYPERLINK("https://media.infra-m.ru/2255/2255960/cover/2255960.jpg", "Обложка")</f>
        <v>Обложка</v>
      </c>
      <c r="V5019" s="8" t="s">
        <v>6224</v>
      </c>
      <c r="W5019" s="6"/>
      <c r="X5019" s="6"/>
      <c r="Y5019" s="6"/>
      <c r="Z5019" s="6"/>
      <c r="AA5019" s="6" t="s">
        <v>76</v>
      </c>
      <c r="AB5019" s="8"/>
      <c r="AC5019" s="27">
        <v>9785369019528</v>
      </c>
    </row>
    <row r="5020" spans="1:29" s="4" customFormat="1" ht="42" customHeight="1" x14ac:dyDescent="0.2">
      <c r="A5020" s="5">
        <v>0</v>
      </c>
      <c r="B5020" s="6" t="s">
        <v>28931</v>
      </c>
      <c r="C5020" s="7">
        <v>1324.8</v>
      </c>
      <c r="D5020" s="8" t="s">
        <v>28932</v>
      </c>
      <c r="E5020" s="8" t="s">
        <v>28922</v>
      </c>
      <c r="F5020" s="8" t="s">
        <v>4721</v>
      </c>
      <c r="G5020" s="6" t="s">
        <v>118</v>
      </c>
      <c r="H5020" s="6" t="s">
        <v>34</v>
      </c>
      <c r="I5020" s="8" t="s">
        <v>253</v>
      </c>
      <c r="J5020" s="9">
        <v>1</v>
      </c>
      <c r="K5020" s="9">
        <v>190</v>
      </c>
      <c r="L5020" s="9">
        <v>2026</v>
      </c>
      <c r="M5020" s="8" t="s">
        <v>28933</v>
      </c>
      <c r="N5020" s="8" t="s">
        <v>37</v>
      </c>
      <c r="O5020" s="8" t="s">
        <v>38</v>
      </c>
      <c r="P5020" s="6" t="s">
        <v>51</v>
      </c>
      <c r="Q5020" s="8" t="s">
        <v>65</v>
      </c>
      <c r="R5020" s="10" t="s">
        <v>28934</v>
      </c>
      <c r="S5020" s="11"/>
      <c r="T5020" s="6"/>
      <c r="U5020" s="15" t="str">
        <f>HYPERLINK("https://media.infra-m.ru/2258/2258741/cover/2258741.jpg", "Обложка")</f>
        <v>Обложка</v>
      </c>
      <c r="V5020" s="8" t="s">
        <v>911</v>
      </c>
      <c r="W5020" s="6"/>
      <c r="X5020" s="6"/>
      <c r="Y5020" s="6"/>
      <c r="Z5020" s="6"/>
      <c r="AA5020" s="6" t="s">
        <v>76</v>
      </c>
      <c r="AB5020" s="8"/>
      <c r="AC5020" s="27">
        <v>9785160195490</v>
      </c>
    </row>
    <row r="5021" spans="1:29" s="4" customFormat="1" ht="44.1" customHeight="1" x14ac:dyDescent="0.2">
      <c r="A5021" s="5">
        <v>0</v>
      </c>
      <c r="B5021" s="6" t="s">
        <v>28935</v>
      </c>
      <c r="C5021" s="7">
        <v>1260</v>
      </c>
      <c r="D5021" s="8" t="s">
        <v>28936</v>
      </c>
      <c r="E5021" s="8" t="s">
        <v>28922</v>
      </c>
      <c r="F5021" s="8" t="s">
        <v>4721</v>
      </c>
      <c r="G5021" s="6" t="s">
        <v>118</v>
      </c>
      <c r="H5021" s="6" t="s">
        <v>34</v>
      </c>
      <c r="I5021" s="8" t="s">
        <v>263</v>
      </c>
      <c r="J5021" s="9">
        <v>1</v>
      </c>
      <c r="K5021" s="9">
        <v>190</v>
      </c>
      <c r="L5021" s="9">
        <v>2026</v>
      </c>
      <c r="M5021" s="8" t="s">
        <v>28937</v>
      </c>
      <c r="N5021" s="8" t="s">
        <v>37</v>
      </c>
      <c r="O5021" s="8" t="s">
        <v>38</v>
      </c>
      <c r="P5021" s="6" t="s">
        <v>51</v>
      </c>
      <c r="Q5021" s="8" t="s">
        <v>265</v>
      </c>
      <c r="R5021" s="10" t="s">
        <v>28938</v>
      </c>
      <c r="S5021" s="11"/>
      <c r="T5021" s="6"/>
      <c r="U5021" s="15" t="str">
        <f>HYPERLINK("https://media.infra-m.ru/2219/2219324/cover/2219324.jpg", "Обложка")</f>
        <v>Обложка</v>
      </c>
      <c r="V5021" s="8" t="s">
        <v>911</v>
      </c>
      <c r="W5021" s="6"/>
      <c r="X5021" s="6"/>
      <c r="Y5021" s="6"/>
      <c r="Z5021" s="6" t="s">
        <v>882</v>
      </c>
      <c r="AA5021" s="6" t="s">
        <v>68</v>
      </c>
      <c r="AB5021" s="8"/>
      <c r="AC5021" s="27">
        <v>9785160204055</v>
      </c>
    </row>
    <row r="5022" spans="1:29" s="4" customFormat="1" ht="42" customHeight="1" x14ac:dyDescent="0.2">
      <c r="A5022" s="5">
        <v>0</v>
      </c>
      <c r="B5022" s="6" t="s">
        <v>28939</v>
      </c>
      <c r="C5022" s="7">
        <v>2500.8000000000002</v>
      </c>
      <c r="D5022" s="8" t="s">
        <v>28940</v>
      </c>
      <c r="E5022" s="8" t="s">
        <v>28941</v>
      </c>
      <c r="F5022" s="8" t="s">
        <v>28942</v>
      </c>
      <c r="G5022" s="6" t="s">
        <v>60</v>
      </c>
      <c r="H5022" s="6" t="s">
        <v>313</v>
      </c>
      <c r="I5022" s="8" t="s">
        <v>253</v>
      </c>
      <c r="J5022" s="9">
        <v>1</v>
      </c>
      <c r="K5022" s="9">
        <v>416</v>
      </c>
      <c r="L5022" s="9">
        <v>2025</v>
      </c>
      <c r="M5022" s="8" t="s">
        <v>28943</v>
      </c>
      <c r="N5022" s="8" t="s">
        <v>63</v>
      </c>
      <c r="O5022" s="8" t="s">
        <v>64</v>
      </c>
      <c r="P5022" s="6" t="s">
        <v>51</v>
      </c>
      <c r="Q5022" s="8" t="s">
        <v>52</v>
      </c>
      <c r="R5022" s="10" t="s">
        <v>53</v>
      </c>
      <c r="S5022" s="11"/>
      <c r="T5022" s="6"/>
      <c r="U5022" s="15" t="str">
        <f>HYPERLINK("https://media.infra-m.ru/2180/2180382/cover/2180382.jpg", "Обложка")</f>
        <v>Обложка</v>
      </c>
      <c r="V5022" s="8"/>
      <c r="W5022" s="6"/>
      <c r="X5022" s="6"/>
      <c r="Y5022" s="6"/>
      <c r="Z5022" s="6"/>
      <c r="AA5022" s="6" t="s">
        <v>43</v>
      </c>
      <c r="AB5022" s="8"/>
      <c r="AC5022" s="27">
        <v>9785369009444</v>
      </c>
    </row>
    <row r="5023" spans="1:29" s="4" customFormat="1" ht="51.9" customHeight="1" x14ac:dyDescent="0.2">
      <c r="A5023" s="5">
        <v>0</v>
      </c>
      <c r="B5023" s="6" t="s">
        <v>28944</v>
      </c>
      <c r="C5023" s="7">
        <v>1948.8</v>
      </c>
      <c r="D5023" s="8" t="s">
        <v>28945</v>
      </c>
      <c r="E5023" s="8" t="s">
        <v>28946</v>
      </c>
      <c r="F5023" s="8" t="s">
        <v>28947</v>
      </c>
      <c r="G5023" s="6" t="s">
        <v>118</v>
      </c>
      <c r="H5023" s="6" t="s">
        <v>34</v>
      </c>
      <c r="I5023" s="8" t="s">
        <v>253</v>
      </c>
      <c r="J5023" s="9">
        <v>1</v>
      </c>
      <c r="K5023" s="9">
        <v>312</v>
      </c>
      <c r="L5023" s="9">
        <v>2025</v>
      </c>
      <c r="M5023" s="8" t="s">
        <v>28948</v>
      </c>
      <c r="N5023" s="8" t="s">
        <v>37</v>
      </c>
      <c r="O5023" s="8" t="s">
        <v>280</v>
      </c>
      <c r="P5023" s="6" t="s">
        <v>306</v>
      </c>
      <c r="Q5023" s="8" t="s">
        <v>52</v>
      </c>
      <c r="R5023" s="10" t="s">
        <v>28949</v>
      </c>
      <c r="S5023" s="11" t="s">
        <v>28950</v>
      </c>
      <c r="T5023" s="6"/>
      <c r="U5023" s="15" t="str">
        <f>HYPERLINK("https://media.infra-m.ru/2194/2194348/cover/2194348.jpg", "Обложка")</f>
        <v>Обложка</v>
      </c>
      <c r="V5023" s="8" t="s">
        <v>227</v>
      </c>
      <c r="W5023" s="6"/>
      <c r="X5023" s="6"/>
      <c r="Y5023" s="6"/>
      <c r="Z5023" s="6"/>
      <c r="AA5023" s="6" t="s">
        <v>43</v>
      </c>
      <c r="AB5023" s="8"/>
      <c r="AC5023" s="27">
        <v>9785160053042</v>
      </c>
    </row>
    <row r="5024" spans="1:29" s="4" customFormat="1" ht="51.9" customHeight="1" x14ac:dyDescent="0.2">
      <c r="A5024" s="5">
        <v>0</v>
      </c>
      <c r="B5024" s="6" t="s">
        <v>28951</v>
      </c>
      <c r="C5024" s="7">
        <v>2332.8000000000002</v>
      </c>
      <c r="D5024" s="8" t="s">
        <v>28952</v>
      </c>
      <c r="E5024" s="8" t="s">
        <v>28953</v>
      </c>
      <c r="F5024" s="8" t="s">
        <v>28954</v>
      </c>
      <c r="G5024" s="6" t="s">
        <v>60</v>
      </c>
      <c r="H5024" s="6" t="s">
        <v>34</v>
      </c>
      <c r="I5024" s="8" t="s">
        <v>253</v>
      </c>
      <c r="J5024" s="9">
        <v>1</v>
      </c>
      <c r="K5024" s="9">
        <v>335</v>
      </c>
      <c r="L5024" s="9">
        <v>2027</v>
      </c>
      <c r="M5024" s="8" t="s">
        <v>28955</v>
      </c>
      <c r="N5024" s="8" t="s">
        <v>243</v>
      </c>
      <c r="O5024" s="8" t="s">
        <v>385</v>
      </c>
      <c r="P5024" s="6" t="s">
        <v>51</v>
      </c>
      <c r="Q5024" s="8" t="s">
        <v>65</v>
      </c>
      <c r="R5024" s="10" t="s">
        <v>28956</v>
      </c>
      <c r="S5024" s="11"/>
      <c r="T5024" s="6"/>
      <c r="U5024" s="15" t="str">
        <f>HYPERLINK("https://media.infra-m.ru/2264/2264695/cover/2264695.jpg", "Обложка")</f>
        <v>Обложка</v>
      </c>
      <c r="V5024" s="8" t="s">
        <v>6224</v>
      </c>
      <c r="W5024" s="6"/>
      <c r="X5024" s="6"/>
      <c r="Y5024" s="6"/>
      <c r="Z5024" s="6"/>
      <c r="AA5024" s="6" t="s">
        <v>76</v>
      </c>
      <c r="AB5024" s="8"/>
      <c r="AC5024" s="27">
        <v>9785160195346</v>
      </c>
    </row>
    <row r="5025" spans="1:29" s="4" customFormat="1" ht="42" customHeight="1" x14ac:dyDescent="0.2">
      <c r="A5025" s="5">
        <v>0</v>
      </c>
      <c r="B5025" s="6" t="s">
        <v>28957</v>
      </c>
      <c r="C5025" s="7">
        <v>1632</v>
      </c>
      <c r="D5025" s="8" t="s">
        <v>28958</v>
      </c>
      <c r="E5025" s="8" t="s">
        <v>28959</v>
      </c>
      <c r="F5025" s="8" t="s">
        <v>6363</v>
      </c>
      <c r="G5025" s="6" t="s">
        <v>60</v>
      </c>
      <c r="H5025" s="6" t="s">
        <v>34</v>
      </c>
      <c r="I5025" s="8" t="s">
        <v>253</v>
      </c>
      <c r="J5025" s="9">
        <v>1</v>
      </c>
      <c r="K5025" s="9">
        <v>270</v>
      </c>
      <c r="L5025" s="9">
        <v>2025</v>
      </c>
      <c r="M5025" s="8" t="s">
        <v>28960</v>
      </c>
      <c r="N5025" s="8" t="s">
        <v>37</v>
      </c>
      <c r="O5025" s="8" t="s">
        <v>280</v>
      </c>
      <c r="P5025" s="6" t="s">
        <v>51</v>
      </c>
      <c r="Q5025" s="8" t="s">
        <v>500</v>
      </c>
      <c r="R5025" s="10" t="s">
        <v>28961</v>
      </c>
      <c r="S5025" s="11"/>
      <c r="T5025" s="6"/>
      <c r="U5025" s="15" t="str">
        <f>HYPERLINK("https://media.infra-m.ru/1014/1014645/cover/1014645.jpg", "Обложка")</f>
        <v>Обложка</v>
      </c>
      <c r="V5025" s="8" t="s">
        <v>843</v>
      </c>
      <c r="W5025" s="6"/>
      <c r="X5025" s="6"/>
      <c r="Y5025" s="6"/>
      <c r="Z5025" s="6"/>
      <c r="AA5025" s="6" t="s">
        <v>68</v>
      </c>
      <c r="AB5025" s="8"/>
      <c r="AC5025" s="27">
        <v>9785160150161</v>
      </c>
    </row>
    <row r="5026" spans="1:29" s="4" customFormat="1" ht="51.9" customHeight="1" x14ac:dyDescent="0.2">
      <c r="A5026" s="5">
        <v>0</v>
      </c>
      <c r="B5026" s="6" t="s">
        <v>28962</v>
      </c>
      <c r="C5026" s="7">
        <v>1968</v>
      </c>
      <c r="D5026" s="8" t="s">
        <v>28963</v>
      </c>
      <c r="E5026" s="8" t="s">
        <v>28964</v>
      </c>
      <c r="F5026" s="8" t="s">
        <v>27837</v>
      </c>
      <c r="G5026" s="6" t="s">
        <v>118</v>
      </c>
      <c r="H5026" s="6" t="s">
        <v>34</v>
      </c>
      <c r="I5026" s="8" t="s">
        <v>271</v>
      </c>
      <c r="J5026" s="9">
        <v>1</v>
      </c>
      <c r="K5026" s="9">
        <v>364</v>
      </c>
      <c r="L5026" s="9">
        <v>2023</v>
      </c>
      <c r="M5026" s="8" t="s">
        <v>28965</v>
      </c>
      <c r="N5026" s="8" t="s">
        <v>243</v>
      </c>
      <c r="O5026" s="8" t="s">
        <v>329</v>
      </c>
      <c r="P5026" s="6" t="s">
        <v>306</v>
      </c>
      <c r="Q5026" s="8" t="s">
        <v>52</v>
      </c>
      <c r="R5026" s="10" t="s">
        <v>5717</v>
      </c>
      <c r="S5026" s="11" t="s">
        <v>28966</v>
      </c>
      <c r="T5026" s="6" t="s">
        <v>97</v>
      </c>
      <c r="U5026" s="15" t="str">
        <f>HYPERLINK("https://media.infra-m.ru/1941/1941751/cover/1941751.jpg", "Обложка")</f>
        <v>Обложка</v>
      </c>
      <c r="V5026" s="8" t="s">
        <v>27840</v>
      </c>
      <c r="W5026" s="6"/>
      <c r="X5026" s="6"/>
      <c r="Y5026" s="6"/>
      <c r="Z5026" s="6"/>
      <c r="AA5026" s="6" t="s">
        <v>274</v>
      </c>
      <c r="AB5026" s="8"/>
      <c r="AC5026" s="27">
        <v>9785160093352</v>
      </c>
    </row>
    <row r="5027" spans="1:29" s="4" customFormat="1" ht="42" customHeight="1" x14ac:dyDescent="0.2">
      <c r="A5027" s="5">
        <v>0</v>
      </c>
      <c r="B5027" s="6" t="s">
        <v>28967</v>
      </c>
      <c r="C5027" s="7">
        <v>2268</v>
      </c>
      <c r="D5027" s="8" t="s">
        <v>28968</v>
      </c>
      <c r="E5027" s="8" t="s">
        <v>28969</v>
      </c>
      <c r="F5027" s="8" t="s">
        <v>28970</v>
      </c>
      <c r="G5027" s="6" t="s">
        <v>60</v>
      </c>
      <c r="H5027" s="6" t="s">
        <v>34</v>
      </c>
      <c r="I5027" s="8" t="s">
        <v>253</v>
      </c>
      <c r="J5027" s="9">
        <v>1</v>
      </c>
      <c r="K5027" s="9">
        <v>381</v>
      </c>
      <c r="L5027" s="9">
        <v>2024</v>
      </c>
      <c r="M5027" s="8" t="s">
        <v>28971</v>
      </c>
      <c r="N5027" s="8" t="s">
        <v>243</v>
      </c>
      <c r="O5027" s="8" t="s">
        <v>329</v>
      </c>
      <c r="P5027" s="6" t="s">
        <v>306</v>
      </c>
      <c r="Q5027" s="8" t="s">
        <v>65</v>
      </c>
      <c r="R5027" s="10" t="s">
        <v>5717</v>
      </c>
      <c r="S5027" s="11"/>
      <c r="T5027" s="6" t="s">
        <v>97</v>
      </c>
      <c r="U5027" s="15" t="str">
        <f>HYPERLINK("https://media.infra-m.ru/2111/2111845/cover/2111845.jpg", "Обложка")</f>
        <v>Обложка</v>
      </c>
      <c r="V5027" s="8" t="s">
        <v>27840</v>
      </c>
      <c r="W5027" s="6"/>
      <c r="X5027" s="6"/>
      <c r="Y5027" s="6"/>
      <c r="Z5027" s="6"/>
      <c r="AA5027" s="6" t="s">
        <v>106</v>
      </c>
      <c r="AB5027" s="8"/>
      <c r="AC5027" s="27">
        <v>9785160193687</v>
      </c>
    </row>
    <row r="5028" spans="1:29" s="4" customFormat="1" ht="51.9" customHeight="1" x14ac:dyDescent="0.2">
      <c r="A5028" s="5">
        <v>0</v>
      </c>
      <c r="B5028" s="6" t="s">
        <v>28972</v>
      </c>
      <c r="C5028" s="7">
        <v>1961.9</v>
      </c>
      <c r="D5028" s="8" t="s">
        <v>28973</v>
      </c>
      <c r="E5028" s="8" t="s">
        <v>28964</v>
      </c>
      <c r="F5028" s="8" t="s">
        <v>27837</v>
      </c>
      <c r="G5028" s="6" t="s">
        <v>60</v>
      </c>
      <c r="H5028" s="6" t="s">
        <v>34</v>
      </c>
      <c r="I5028" s="8" t="s">
        <v>263</v>
      </c>
      <c r="J5028" s="9">
        <v>1</v>
      </c>
      <c r="K5028" s="9">
        <v>364</v>
      </c>
      <c r="L5028" s="9">
        <v>2023</v>
      </c>
      <c r="M5028" s="8" t="s">
        <v>28974</v>
      </c>
      <c r="N5028" s="8" t="s">
        <v>243</v>
      </c>
      <c r="O5028" s="8" t="s">
        <v>329</v>
      </c>
      <c r="P5028" s="6" t="s">
        <v>306</v>
      </c>
      <c r="Q5028" s="8" t="s">
        <v>265</v>
      </c>
      <c r="R5028" s="10" t="s">
        <v>28975</v>
      </c>
      <c r="S5028" s="11" t="s">
        <v>28976</v>
      </c>
      <c r="T5028" s="6" t="s">
        <v>97</v>
      </c>
      <c r="U5028" s="15" t="str">
        <f>HYPERLINK("https://media.infra-m.ru/1965/1965763/cover/1965763.jpg", "Обложка")</f>
        <v>Обложка</v>
      </c>
      <c r="V5028" s="8" t="s">
        <v>27840</v>
      </c>
      <c r="W5028" s="6"/>
      <c r="X5028" s="6" t="s">
        <v>24</v>
      </c>
      <c r="Y5028" s="6"/>
      <c r="Z5028" s="6" t="s">
        <v>882</v>
      </c>
      <c r="AA5028" s="6" t="s">
        <v>1256</v>
      </c>
      <c r="AB5028" s="8"/>
      <c r="AC5028" s="27">
        <v>9785160149097</v>
      </c>
    </row>
    <row r="5029" spans="1:29" s="4" customFormat="1" ht="44.1" customHeight="1" x14ac:dyDescent="0.2">
      <c r="A5029" s="5">
        <v>0</v>
      </c>
      <c r="B5029" s="6" t="s">
        <v>28977</v>
      </c>
      <c r="C5029" s="7">
        <v>2904</v>
      </c>
      <c r="D5029" s="8" t="s">
        <v>28978</v>
      </c>
      <c r="E5029" s="8" t="s">
        <v>28979</v>
      </c>
      <c r="F5029" s="8" t="s">
        <v>28980</v>
      </c>
      <c r="G5029" s="6" t="s">
        <v>60</v>
      </c>
      <c r="H5029" s="6" t="s">
        <v>134</v>
      </c>
      <c r="I5029" s="8"/>
      <c r="J5029" s="9">
        <v>1</v>
      </c>
      <c r="K5029" s="9">
        <v>440</v>
      </c>
      <c r="L5029" s="9">
        <v>2026</v>
      </c>
      <c r="M5029" s="8" t="s">
        <v>28981</v>
      </c>
      <c r="N5029" s="8" t="s">
        <v>37</v>
      </c>
      <c r="O5029" s="8" t="s">
        <v>136</v>
      </c>
      <c r="P5029" s="6" t="s">
        <v>3141</v>
      </c>
      <c r="Q5029" s="8" t="s">
        <v>40</v>
      </c>
      <c r="R5029" s="10" t="s">
        <v>28982</v>
      </c>
      <c r="S5029" s="11"/>
      <c r="T5029" s="6"/>
      <c r="U5029" s="15" t="str">
        <f>HYPERLINK("https://media.infra-m.ru/2230/2230990/cover/2230990.jpg", "Обложка")</f>
        <v>Обложка</v>
      </c>
      <c r="V5029" s="8" t="s">
        <v>138</v>
      </c>
      <c r="W5029" s="6"/>
      <c r="X5029" s="6"/>
      <c r="Y5029" s="6"/>
      <c r="Z5029" s="6"/>
      <c r="AA5029" s="6" t="s">
        <v>68</v>
      </c>
      <c r="AB5029" s="8"/>
      <c r="AC5029" s="27">
        <v>9785001564119</v>
      </c>
    </row>
    <row r="5030" spans="1:29" s="4" customFormat="1" ht="42" customHeight="1" x14ac:dyDescent="0.2">
      <c r="A5030" s="5">
        <v>0</v>
      </c>
      <c r="B5030" s="6" t="s">
        <v>28983</v>
      </c>
      <c r="C5030" s="7">
        <v>1548</v>
      </c>
      <c r="D5030" s="8" t="s">
        <v>28984</v>
      </c>
      <c r="E5030" s="8" t="s">
        <v>28985</v>
      </c>
      <c r="F5030" s="8" t="s">
        <v>3261</v>
      </c>
      <c r="G5030" s="6" t="s">
        <v>60</v>
      </c>
      <c r="H5030" s="6" t="s">
        <v>34</v>
      </c>
      <c r="I5030" s="8" t="s">
        <v>253</v>
      </c>
      <c r="J5030" s="9">
        <v>1</v>
      </c>
      <c r="K5030" s="9">
        <v>244</v>
      </c>
      <c r="L5030" s="9">
        <v>2025</v>
      </c>
      <c r="M5030" s="8" t="s">
        <v>28986</v>
      </c>
      <c r="N5030" s="8" t="s">
        <v>37</v>
      </c>
      <c r="O5030" s="8" t="s">
        <v>83</v>
      </c>
      <c r="P5030" s="6" t="s">
        <v>306</v>
      </c>
      <c r="Q5030" s="8" t="s">
        <v>65</v>
      </c>
      <c r="R5030" s="10" t="s">
        <v>28987</v>
      </c>
      <c r="S5030" s="11"/>
      <c r="T5030" s="6"/>
      <c r="U5030" s="15" t="str">
        <f>HYPERLINK("https://media.infra-m.ru/2167/2167455/cover/2167455.jpg", "Обложка")</f>
        <v>Обложка</v>
      </c>
      <c r="V5030" s="8" t="s">
        <v>3264</v>
      </c>
      <c r="W5030" s="6"/>
      <c r="X5030" s="6"/>
      <c r="Y5030" s="6"/>
      <c r="Z5030" s="6"/>
      <c r="AA5030" s="6" t="s">
        <v>68</v>
      </c>
      <c r="AB5030" s="8"/>
      <c r="AC5030" s="27">
        <v>9785160202655</v>
      </c>
    </row>
    <row r="5031" spans="1:29" s="4" customFormat="1" ht="51.9" customHeight="1" x14ac:dyDescent="0.2">
      <c r="A5031" s="5">
        <v>0</v>
      </c>
      <c r="B5031" s="6" t="s">
        <v>28988</v>
      </c>
      <c r="C5031" s="13">
        <v>952.8</v>
      </c>
      <c r="D5031" s="8" t="s">
        <v>28989</v>
      </c>
      <c r="E5031" s="8" t="s">
        <v>28985</v>
      </c>
      <c r="F5031" s="8" t="s">
        <v>28990</v>
      </c>
      <c r="G5031" s="6" t="s">
        <v>60</v>
      </c>
      <c r="H5031" s="6" t="s">
        <v>34</v>
      </c>
      <c r="I5031" s="8" t="s">
        <v>271</v>
      </c>
      <c r="J5031" s="9">
        <v>1</v>
      </c>
      <c r="K5031" s="9">
        <v>152</v>
      </c>
      <c r="L5031" s="9">
        <v>2025</v>
      </c>
      <c r="M5031" s="8" t="s">
        <v>28991</v>
      </c>
      <c r="N5031" s="8" t="s">
        <v>37</v>
      </c>
      <c r="O5031" s="8" t="s">
        <v>83</v>
      </c>
      <c r="P5031" s="6" t="s">
        <v>51</v>
      </c>
      <c r="Q5031" s="8" t="s">
        <v>52</v>
      </c>
      <c r="R5031" s="10" t="s">
        <v>28992</v>
      </c>
      <c r="S5031" s="11" t="s">
        <v>28993</v>
      </c>
      <c r="T5031" s="6"/>
      <c r="U5031" s="15" t="str">
        <f>HYPERLINK("https://media.infra-m.ru/2199/2199906/cover/2199906.jpg", "Обложка")</f>
        <v>Обложка</v>
      </c>
      <c r="V5031" s="8" t="s">
        <v>1987</v>
      </c>
      <c r="W5031" s="6"/>
      <c r="X5031" s="6"/>
      <c r="Y5031" s="6"/>
      <c r="Z5031" s="6"/>
      <c r="AA5031" s="6" t="s">
        <v>157</v>
      </c>
      <c r="AB5031" s="8"/>
      <c r="AC5031" s="27">
        <v>9785160178844</v>
      </c>
    </row>
    <row r="5032" spans="1:29" s="4" customFormat="1" ht="51.9" customHeight="1" x14ac:dyDescent="0.2">
      <c r="A5032" s="5">
        <v>0</v>
      </c>
      <c r="B5032" s="6" t="s">
        <v>28994</v>
      </c>
      <c r="C5032" s="7">
        <v>2500.8000000000002</v>
      </c>
      <c r="D5032" s="8" t="s">
        <v>28995</v>
      </c>
      <c r="E5032" s="8" t="s">
        <v>28996</v>
      </c>
      <c r="F5032" s="8" t="s">
        <v>28997</v>
      </c>
      <c r="G5032" s="6" t="s">
        <v>60</v>
      </c>
      <c r="H5032" s="6" t="s">
        <v>34</v>
      </c>
      <c r="I5032" s="8" t="s">
        <v>263</v>
      </c>
      <c r="J5032" s="9">
        <v>1</v>
      </c>
      <c r="K5032" s="9">
        <v>359</v>
      </c>
      <c r="L5032" s="9">
        <v>2026</v>
      </c>
      <c r="M5032" s="8" t="s">
        <v>28998</v>
      </c>
      <c r="N5032" s="8" t="s">
        <v>243</v>
      </c>
      <c r="O5032" s="8" t="s">
        <v>385</v>
      </c>
      <c r="P5032" s="6" t="s">
        <v>51</v>
      </c>
      <c r="Q5032" s="8" t="s">
        <v>265</v>
      </c>
      <c r="R5032" s="10" t="s">
        <v>28999</v>
      </c>
      <c r="S5032" s="11" t="s">
        <v>29000</v>
      </c>
      <c r="T5032" s="6"/>
      <c r="U5032" s="15" t="str">
        <f>HYPERLINK("https://media.infra-m.ru/2246/2246893/cover/2246893.jpg", "Обложка")</f>
        <v>Обложка</v>
      </c>
      <c r="V5032" s="8" t="s">
        <v>29001</v>
      </c>
      <c r="W5032" s="6"/>
      <c r="X5032" s="6"/>
      <c r="Y5032" s="6"/>
      <c r="Z5032" s="6" t="s">
        <v>267</v>
      </c>
      <c r="AA5032" s="6" t="s">
        <v>1256</v>
      </c>
      <c r="AB5032" s="8"/>
      <c r="AC5032" s="27">
        <v>9785160162645</v>
      </c>
    </row>
    <row r="5033" spans="1:29" s="4" customFormat="1" ht="51.9" customHeight="1" x14ac:dyDescent="0.2">
      <c r="A5033" s="5">
        <v>0</v>
      </c>
      <c r="B5033" s="6" t="s">
        <v>29002</v>
      </c>
      <c r="C5033" s="7">
        <v>2500.8000000000002</v>
      </c>
      <c r="D5033" s="8" t="s">
        <v>29003</v>
      </c>
      <c r="E5033" s="8" t="s">
        <v>28996</v>
      </c>
      <c r="F5033" s="8" t="s">
        <v>29004</v>
      </c>
      <c r="G5033" s="6" t="s">
        <v>60</v>
      </c>
      <c r="H5033" s="6" t="s">
        <v>48</v>
      </c>
      <c r="I5033" s="8" t="s">
        <v>271</v>
      </c>
      <c r="J5033" s="9">
        <v>1</v>
      </c>
      <c r="K5033" s="9">
        <v>360</v>
      </c>
      <c r="L5033" s="9">
        <v>2027</v>
      </c>
      <c r="M5033" s="8" t="s">
        <v>29005</v>
      </c>
      <c r="N5033" s="8" t="s">
        <v>243</v>
      </c>
      <c r="O5033" s="8" t="s">
        <v>385</v>
      </c>
      <c r="P5033" s="6" t="s">
        <v>51</v>
      </c>
      <c r="Q5033" s="8" t="s">
        <v>52</v>
      </c>
      <c r="R5033" s="10" t="s">
        <v>29006</v>
      </c>
      <c r="S5033" s="11" t="s">
        <v>29007</v>
      </c>
      <c r="T5033" s="6"/>
      <c r="U5033" s="15" t="str">
        <f>HYPERLINK("https://media.infra-m.ru/2260/2260539/cover/2260539.jpg", "Обложка")</f>
        <v>Обложка</v>
      </c>
      <c r="V5033" s="8" t="s">
        <v>29001</v>
      </c>
      <c r="W5033" s="6"/>
      <c r="X5033" s="6"/>
      <c r="Y5033" s="6"/>
      <c r="Z5033" s="6"/>
      <c r="AA5033" s="6" t="s">
        <v>779</v>
      </c>
      <c r="AB5033" s="8"/>
      <c r="AC5033" s="27">
        <v>9785000911327</v>
      </c>
    </row>
    <row r="5034" spans="1:29" s="4" customFormat="1" ht="51.9" customHeight="1" x14ac:dyDescent="0.2">
      <c r="A5034" s="5">
        <v>0</v>
      </c>
      <c r="B5034" s="6" t="s">
        <v>29008</v>
      </c>
      <c r="C5034" s="7">
        <v>2076</v>
      </c>
      <c r="D5034" s="8" t="s">
        <v>29009</v>
      </c>
      <c r="E5034" s="8" t="s">
        <v>29010</v>
      </c>
      <c r="F5034" s="8" t="s">
        <v>29011</v>
      </c>
      <c r="G5034" s="6" t="s">
        <v>60</v>
      </c>
      <c r="H5034" s="6" t="s">
        <v>34</v>
      </c>
      <c r="I5034" s="8" t="s">
        <v>263</v>
      </c>
      <c r="J5034" s="9">
        <v>1</v>
      </c>
      <c r="K5034" s="9">
        <v>383</v>
      </c>
      <c r="L5034" s="9">
        <v>2023</v>
      </c>
      <c r="M5034" s="8" t="s">
        <v>29012</v>
      </c>
      <c r="N5034" s="8" t="s">
        <v>37</v>
      </c>
      <c r="O5034" s="8" t="s">
        <v>83</v>
      </c>
      <c r="P5034" s="6" t="s">
        <v>51</v>
      </c>
      <c r="Q5034" s="8" t="s">
        <v>265</v>
      </c>
      <c r="R5034" s="10" t="s">
        <v>14193</v>
      </c>
      <c r="S5034" s="11" t="s">
        <v>29013</v>
      </c>
      <c r="T5034" s="6"/>
      <c r="U5034" s="15" t="str">
        <f>HYPERLINK("https://media.infra-m.ru/1920/1920369/cover/1920369.jpg", "Обложка")</f>
        <v>Обложка</v>
      </c>
      <c r="V5034" s="8" t="s">
        <v>12917</v>
      </c>
      <c r="W5034" s="6"/>
      <c r="X5034" s="6"/>
      <c r="Y5034" s="6"/>
      <c r="Z5034" s="6" t="s">
        <v>267</v>
      </c>
      <c r="AA5034" s="6" t="s">
        <v>157</v>
      </c>
      <c r="AB5034" s="8"/>
      <c r="AC5034" s="27">
        <v>9785160183626</v>
      </c>
    </row>
    <row r="5035" spans="1:29" s="4" customFormat="1" ht="51.9" customHeight="1" x14ac:dyDescent="0.2">
      <c r="A5035" s="5">
        <v>0</v>
      </c>
      <c r="B5035" s="6" t="s">
        <v>29014</v>
      </c>
      <c r="C5035" s="13">
        <v>396</v>
      </c>
      <c r="D5035" s="8" t="s">
        <v>29015</v>
      </c>
      <c r="E5035" s="8" t="s">
        <v>29016</v>
      </c>
      <c r="F5035" s="8" t="s">
        <v>29017</v>
      </c>
      <c r="G5035" s="6" t="s">
        <v>33</v>
      </c>
      <c r="H5035" s="6" t="s">
        <v>313</v>
      </c>
      <c r="I5035" s="8" t="s">
        <v>271</v>
      </c>
      <c r="J5035" s="9">
        <v>1</v>
      </c>
      <c r="K5035" s="9">
        <v>60</v>
      </c>
      <c r="L5035" s="9">
        <v>2022</v>
      </c>
      <c r="M5035" s="8" t="s">
        <v>29018</v>
      </c>
      <c r="N5035" s="8" t="s">
        <v>37</v>
      </c>
      <c r="O5035" s="8" t="s">
        <v>280</v>
      </c>
      <c r="P5035" s="6" t="s">
        <v>51</v>
      </c>
      <c r="Q5035" s="8" t="s">
        <v>52</v>
      </c>
      <c r="R5035" s="10" t="s">
        <v>11915</v>
      </c>
      <c r="S5035" s="11"/>
      <c r="T5035" s="6"/>
      <c r="U5035" s="15" t="str">
        <f>HYPERLINK("https://media.infra-m.ru/1946/1946512/cover/1946512.jpg", "Обложка")</f>
        <v>Обложка</v>
      </c>
      <c r="V5035" s="8" t="s">
        <v>227</v>
      </c>
      <c r="W5035" s="6"/>
      <c r="X5035" s="6"/>
      <c r="Y5035" s="6"/>
      <c r="Z5035" s="6"/>
      <c r="AA5035" s="6" t="s">
        <v>274</v>
      </c>
      <c r="AB5035" s="8"/>
      <c r="AC5035" s="27">
        <v>9785369013878</v>
      </c>
    </row>
    <row r="5036" spans="1:29" s="4" customFormat="1" ht="51.9" customHeight="1" x14ac:dyDescent="0.2">
      <c r="A5036" s="5">
        <v>0</v>
      </c>
      <c r="B5036" s="6" t="s">
        <v>29019</v>
      </c>
      <c r="C5036" s="7">
        <v>1624.8</v>
      </c>
      <c r="D5036" s="8" t="s">
        <v>29020</v>
      </c>
      <c r="E5036" s="8" t="s">
        <v>29021</v>
      </c>
      <c r="F5036" s="8" t="s">
        <v>16467</v>
      </c>
      <c r="G5036" s="6" t="s">
        <v>118</v>
      </c>
      <c r="H5036" s="6" t="s">
        <v>1042</v>
      </c>
      <c r="I5036" s="8" t="s">
        <v>401</v>
      </c>
      <c r="J5036" s="9">
        <v>1</v>
      </c>
      <c r="K5036" s="9">
        <v>271</v>
      </c>
      <c r="L5036" s="9">
        <v>2025</v>
      </c>
      <c r="M5036" s="8" t="s">
        <v>29022</v>
      </c>
      <c r="N5036" s="8" t="s">
        <v>37</v>
      </c>
      <c r="O5036" s="8" t="s">
        <v>83</v>
      </c>
      <c r="P5036" s="6" t="s">
        <v>306</v>
      </c>
      <c r="Q5036" s="8" t="s">
        <v>265</v>
      </c>
      <c r="R5036" s="10" t="s">
        <v>29023</v>
      </c>
      <c r="S5036" s="11" t="s">
        <v>19031</v>
      </c>
      <c r="T5036" s="6"/>
      <c r="U5036" s="15" t="str">
        <f>HYPERLINK("https://media.infra-m.ru/2185/2185898/cover/2185898.jpg", "Обложка")</f>
        <v>Обложка</v>
      </c>
      <c r="V5036" s="8" t="s">
        <v>5951</v>
      </c>
      <c r="W5036" s="6"/>
      <c r="X5036" s="6"/>
      <c r="Y5036" s="6"/>
      <c r="Z5036" s="6"/>
      <c r="AA5036" s="6" t="s">
        <v>3391</v>
      </c>
      <c r="AB5036" s="8"/>
      <c r="AC5036" s="27">
        <v>9785819908969</v>
      </c>
    </row>
    <row r="5037" spans="1:29" s="4" customFormat="1" ht="51.9" customHeight="1" x14ac:dyDescent="0.2">
      <c r="A5037" s="5">
        <v>0</v>
      </c>
      <c r="B5037" s="6" t="s">
        <v>29024</v>
      </c>
      <c r="C5037" s="7">
        <v>1576.8</v>
      </c>
      <c r="D5037" s="8" t="s">
        <v>29025</v>
      </c>
      <c r="E5037" s="8" t="s">
        <v>29021</v>
      </c>
      <c r="F5037" s="8" t="s">
        <v>29026</v>
      </c>
      <c r="G5037" s="6" t="s">
        <v>60</v>
      </c>
      <c r="H5037" s="6" t="s">
        <v>48</v>
      </c>
      <c r="I5037" s="8"/>
      <c r="J5037" s="9">
        <v>1</v>
      </c>
      <c r="K5037" s="9">
        <v>224</v>
      </c>
      <c r="L5037" s="9">
        <v>2027</v>
      </c>
      <c r="M5037" s="8" t="s">
        <v>29027</v>
      </c>
      <c r="N5037" s="8" t="s">
        <v>37</v>
      </c>
      <c r="O5037" s="8" t="s">
        <v>83</v>
      </c>
      <c r="P5037" s="6" t="s">
        <v>51</v>
      </c>
      <c r="Q5037" s="8" t="s">
        <v>265</v>
      </c>
      <c r="R5037" s="10" t="s">
        <v>29028</v>
      </c>
      <c r="S5037" s="11" t="s">
        <v>4561</v>
      </c>
      <c r="T5037" s="6"/>
      <c r="U5037" s="15" t="str">
        <f>HYPERLINK("https://media.infra-m.ru/2271/2271625/cover/2271625.jpg", "Обложка")</f>
        <v>Обложка</v>
      </c>
      <c r="V5037" s="8" t="s">
        <v>445</v>
      </c>
      <c r="W5037" s="6"/>
      <c r="X5037" s="6"/>
      <c r="Y5037" s="6"/>
      <c r="Z5037" s="6"/>
      <c r="AA5037" s="6" t="s">
        <v>3391</v>
      </c>
      <c r="AB5037" s="8"/>
      <c r="AC5037" s="27">
        <v>9785911343811</v>
      </c>
    </row>
    <row r="5038" spans="1:29" s="4" customFormat="1" ht="51.9" customHeight="1" x14ac:dyDescent="0.2">
      <c r="A5038" s="5">
        <v>0</v>
      </c>
      <c r="B5038" s="6" t="s">
        <v>29029</v>
      </c>
      <c r="C5038" s="7">
        <v>1600.8</v>
      </c>
      <c r="D5038" s="8" t="s">
        <v>29030</v>
      </c>
      <c r="E5038" s="8" t="s">
        <v>29031</v>
      </c>
      <c r="F5038" s="8" t="s">
        <v>29032</v>
      </c>
      <c r="G5038" s="6" t="s">
        <v>60</v>
      </c>
      <c r="H5038" s="6" t="s">
        <v>48</v>
      </c>
      <c r="I5038" s="8" t="s">
        <v>401</v>
      </c>
      <c r="J5038" s="9">
        <v>1</v>
      </c>
      <c r="K5038" s="9">
        <v>256</v>
      </c>
      <c r="L5038" s="9">
        <v>2025</v>
      </c>
      <c r="M5038" s="8" t="s">
        <v>29033</v>
      </c>
      <c r="N5038" s="8" t="s">
        <v>37</v>
      </c>
      <c r="O5038" s="8" t="s">
        <v>83</v>
      </c>
      <c r="P5038" s="6" t="s">
        <v>51</v>
      </c>
      <c r="Q5038" s="8" t="s">
        <v>265</v>
      </c>
      <c r="R5038" s="10" t="s">
        <v>29034</v>
      </c>
      <c r="S5038" s="11" t="s">
        <v>560</v>
      </c>
      <c r="T5038" s="6"/>
      <c r="U5038" s="15" t="str">
        <f>HYPERLINK("https://media.infra-m.ru/2193/2193178/cover/2193178.jpg", "Обложка")</f>
        <v>Обложка</v>
      </c>
      <c r="V5038" s="8" t="s">
        <v>445</v>
      </c>
      <c r="W5038" s="6"/>
      <c r="X5038" s="6"/>
      <c r="Y5038" s="6"/>
      <c r="Z5038" s="6"/>
      <c r="AA5038" s="6" t="s">
        <v>1015</v>
      </c>
      <c r="AB5038" s="8"/>
      <c r="AC5038" s="27">
        <v>9785911344115</v>
      </c>
    </row>
    <row r="5039" spans="1:29" s="4" customFormat="1" ht="51.9" customHeight="1" x14ac:dyDescent="0.2">
      <c r="A5039" s="5">
        <v>0</v>
      </c>
      <c r="B5039" s="6" t="s">
        <v>29035</v>
      </c>
      <c r="C5039" s="7">
        <v>1428</v>
      </c>
      <c r="D5039" s="8" t="s">
        <v>29036</v>
      </c>
      <c r="E5039" s="8" t="s">
        <v>29021</v>
      </c>
      <c r="F5039" s="8" t="s">
        <v>29037</v>
      </c>
      <c r="G5039" s="6" t="s">
        <v>118</v>
      </c>
      <c r="H5039" s="6" t="s">
        <v>34</v>
      </c>
      <c r="I5039" s="8" t="s">
        <v>263</v>
      </c>
      <c r="J5039" s="9">
        <v>1</v>
      </c>
      <c r="K5039" s="9">
        <v>204</v>
      </c>
      <c r="L5039" s="9">
        <v>2026</v>
      </c>
      <c r="M5039" s="8" t="s">
        <v>29038</v>
      </c>
      <c r="N5039" s="8" t="s">
        <v>37</v>
      </c>
      <c r="O5039" s="8" t="s">
        <v>83</v>
      </c>
      <c r="P5039" s="6" t="s">
        <v>51</v>
      </c>
      <c r="Q5039" s="8" t="s">
        <v>265</v>
      </c>
      <c r="R5039" s="10" t="s">
        <v>29039</v>
      </c>
      <c r="S5039" s="11" t="s">
        <v>29040</v>
      </c>
      <c r="T5039" s="6"/>
      <c r="U5039" s="15" t="str">
        <f>HYPERLINK("https://media.infra-m.ru/2261/2261227/cover/2261227.jpg", "Обложка")</f>
        <v>Обложка</v>
      </c>
      <c r="V5039" s="8" t="s">
        <v>1425</v>
      </c>
      <c r="W5039" s="6"/>
      <c r="X5039" s="6"/>
      <c r="Y5039" s="6"/>
      <c r="Z5039" s="6"/>
      <c r="AA5039" s="6" t="s">
        <v>360</v>
      </c>
      <c r="AB5039" s="8"/>
      <c r="AC5039" s="27">
        <v>9785160119151</v>
      </c>
    </row>
    <row r="5040" spans="1:29" s="4" customFormat="1" ht="51.9" customHeight="1" x14ac:dyDescent="0.2">
      <c r="A5040" s="5">
        <v>0</v>
      </c>
      <c r="B5040" s="6" t="s">
        <v>29041</v>
      </c>
      <c r="C5040" s="7">
        <v>1420.8</v>
      </c>
      <c r="D5040" s="8" t="s">
        <v>29042</v>
      </c>
      <c r="E5040" s="8" t="s">
        <v>29043</v>
      </c>
      <c r="F5040" s="8" t="s">
        <v>29044</v>
      </c>
      <c r="G5040" s="6" t="s">
        <v>60</v>
      </c>
      <c r="H5040" s="6" t="s">
        <v>34</v>
      </c>
      <c r="I5040" s="8" t="s">
        <v>271</v>
      </c>
      <c r="J5040" s="9">
        <v>1</v>
      </c>
      <c r="K5040" s="9">
        <v>261</v>
      </c>
      <c r="L5040" s="9">
        <v>2023</v>
      </c>
      <c r="M5040" s="8" t="s">
        <v>29045</v>
      </c>
      <c r="N5040" s="8" t="s">
        <v>37</v>
      </c>
      <c r="O5040" s="8" t="s">
        <v>280</v>
      </c>
      <c r="P5040" s="6" t="s">
        <v>51</v>
      </c>
      <c r="Q5040" s="8" t="s">
        <v>52</v>
      </c>
      <c r="R5040" s="10" t="s">
        <v>6677</v>
      </c>
      <c r="S5040" s="11" t="s">
        <v>29046</v>
      </c>
      <c r="T5040" s="6"/>
      <c r="U5040" s="15" t="str">
        <f>HYPERLINK("https://media.infra-m.ru/2006/2006092/cover/2006092.jpg", "Обложка")</f>
        <v>Обложка</v>
      </c>
      <c r="V5040" s="8" t="s">
        <v>4368</v>
      </c>
      <c r="W5040" s="6"/>
      <c r="X5040" s="6"/>
      <c r="Y5040" s="6"/>
      <c r="Z5040" s="6"/>
      <c r="AA5040" s="6" t="s">
        <v>115</v>
      </c>
      <c r="AB5040" s="8"/>
      <c r="AC5040" s="27">
        <v>9785160141787</v>
      </c>
    </row>
    <row r="5041" spans="1:29" s="4" customFormat="1" ht="51.9" customHeight="1" x14ac:dyDescent="0.2">
      <c r="A5041" s="5">
        <v>0</v>
      </c>
      <c r="B5041" s="6" t="s">
        <v>29047</v>
      </c>
      <c r="C5041" s="7">
        <v>2608.8000000000002</v>
      </c>
      <c r="D5041" s="8" t="s">
        <v>29048</v>
      </c>
      <c r="E5041" s="8" t="s">
        <v>29049</v>
      </c>
      <c r="F5041" s="8" t="s">
        <v>29050</v>
      </c>
      <c r="G5041" s="6" t="s">
        <v>118</v>
      </c>
      <c r="H5041" s="6" t="s">
        <v>34</v>
      </c>
      <c r="I5041" s="8" t="s">
        <v>271</v>
      </c>
      <c r="J5041" s="9">
        <v>1</v>
      </c>
      <c r="K5041" s="9">
        <v>396</v>
      </c>
      <c r="L5041" s="9">
        <v>2026</v>
      </c>
      <c r="M5041" s="8" t="s">
        <v>29051</v>
      </c>
      <c r="N5041" s="8" t="s">
        <v>93</v>
      </c>
      <c r="O5041" s="8" t="s">
        <v>94</v>
      </c>
      <c r="P5041" s="6" t="s">
        <v>306</v>
      </c>
      <c r="Q5041" s="8" t="s">
        <v>52</v>
      </c>
      <c r="R5041" s="10" t="s">
        <v>2486</v>
      </c>
      <c r="S5041" s="11" t="s">
        <v>29052</v>
      </c>
      <c r="T5041" s="6"/>
      <c r="U5041" s="15" t="str">
        <f>HYPERLINK("https://media.infra-m.ru/2224/2224187/cover/2224187.jpg", "Обложка")</f>
        <v>Обложка</v>
      </c>
      <c r="V5041" s="8" t="s">
        <v>29053</v>
      </c>
      <c r="W5041" s="6"/>
      <c r="X5041" s="6"/>
      <c r="Y5041" s="6"/>
      <c r="Z5041" s="6"/>
      <c r="AA5041" s="6" t="s">
        <v>115</v>
      </c>
      <c r="AB5041" s="8"/>
      <c r="AC5041" s="27">
        <v>9785160150628</v>
      </c>
    </row>
    <row r="5042" spans="1:29" s="4" customFormat="1" ht="51.9" customHeight="1" x14ac:dyDescent="0.2">
      <c r="A5042" s="5">
        <v>0</v>
      </c>
      <c r="B5042" s="6" t="s">
        <v>29054</v>
      </c>
      <c r="C5042" s="7">
        <v>2616</v>
      </c>
      <c r="D5042" s="8" t="s">
        <v>29055</v>
      </c>
      <c r="E5042" s="8" t="s">
        <v>29049</v>
      </c>
      <c r="F5042" s="8" t="s">
        <v>29050</v>
      </c>
      <c r="G5042" s="6" t="s">
        <v>118</v>
      </c>
      <c r="H5042" s="6" t="s">
        <v>34</v>
      </c>
      <c r="I5042" s="8" t="s">
        <v>263</v>
      </c>
      <c r="J5042" s="9">
        <v>1</v>
      </c>
      <c r="K5042" s="9">
        <v>396</v>
      </c>
      <c r="L5042" s="9">
        <v>2026</v>
      </c>
      <c r="M5042" s="8" t="s">
        <v>29056</v>
      </c>
      <c r="N5042" s="8" t="s">
        <v>93</v>
      </c>
      <c r="O5042" s="8" t="s">
        <v>94</v>
      </c>
      <c r="P5042" s="6" t="s">
        <v>306</v>
      </c>
      <c r="Q5042" s="8" t="s">
        <v>265</v>
      </c>
      <c r="R5042" s="10" t="s">
        <v>29057</v>
      </c>
      <c r="S5042" s="11" t="s">
        <v>29058</v>
      </c>
      <c r="T5042" s="6"/>
      <c r="U5042" s="15" t="str">
        <f>HYPERLINK("https://media.infra-m.ru/2255/2255716/cover/2255716.jpg", "Обложка")</f>
        <v>Обложка</v>
      </c>
      <c r="V5042" s="8" t="s">
        <v>29053</v>
      </c>
      <c r="W5042" s="6"/>
      <c r="X5042" s="6"/>
      <c r="Y5042" s="6"/>
      <c r="Z5042" s="6" t="s">
        <v>267</v>
      </c>
      <c r="AA5042" s="6" t="s">
        <v>115</v>
      </c>
      <c r="AB5042" s="8"/>
      <c r="AC5042" s="27">
        <v>9785160153629</v>
      </c>
    </row>
    <row r="5043" spans="1:29" s="4" customFormat="1" ht="44.1" customHeight="1" x14ac:dyDescent="0.2">
      <c r="A5043" s="5">
        <v>0</v>
      </c>
      <c r="B5043" s="6" t="s">
        <v>29059</v>
      </c>
      <c r="C5043" s="13">
        <v>636</v>
      </c>
      <c r="D5043" s="8" t="s">
        <v>29060</v>
      </c>
      <c r="E5043" s="8" t="s">
        <v>29061</v>
      </c>
      <c r="F5043" s="8" t="s">
        <v>29062</v>
      </c>
      <c r="G5043" s="6" t="s">
        <v>33</v>
      </c>
      <c r="H5043" s="6" t="s">
        <v>34</v>
      </c>
      <c r="I5043" s="8" t="s">
        <v>1248</v>
      </c>
      <c r="J5043" s="9">
        <v>1</v>
      </c>
      <c r="K5043" s="9">
        <v>111</v>
      </c>
      <c r="L5043" s="9">
        <v>2024</v>
      </c>
      <c r="M5043" s="8" t="s">
        <v>29063</v>
      </c>
      <c r="N5043" s="8" t="s">
        <v>224</v>
      </c>
      <c r="O5043" s="8" t="s">
        <v>225</v>
      </c>
      <c r="P5043" s="6" t="s">
        <v>51</v>
      </c>
      <c r="Q5043" s="8" t="s">
        <v>65</v>
      </c>
      <c r="R5043" s="10" t="s">
        <v>29064</v>
      </c>
      <c r="S5043" s="11"/>
      <c r="T5043" s="6"/>
      <c r="U5043" s="15" t="str">
        <f>HYPERLINK("https://media.infra-m.ru/2125/2125187/cover/2125187.jpg", "Обложка")</f>
        <v>Обложка</v>
      </c>
      <c r="V5043" s="8" t="s">
        <v>1083</v>
      </c>
      <c r="W5043" s="6"/>
      <c r="X5043" s="6"/>
      <c r="Y5043" s="6"/>
      <c r="Z5043" s="6"/>
      <c r="AA5043" s="6" t="s">
        <v>76</v>
      </c>
      <c r="AB5043" s="8"/>
      <c r="AC5043" s="27">
        <v>9785160195131</v>
      </c>
    </row>
    <row r="5044" spans="1:29" s="4" customFormat="1" ht="51.9" customHeight="1" x14ac:dyDescent="0.2">
      <c r="A5044" s="5">
        <v>0</v>
      </c>
      <c r="B5044" s="6" t="s">
        <v>29065</v>
      </c>
      <c r="C5044" s="7">
        <v>1344</v>
      </c>
      <c r="D5044" s="8" t="s">
        <v>29066</v>
      </c>
      <c r="E5044" s="8" t="s">
        <v>29067</v>
      </c>
      <c r="F5044" s="8" t="s">
        <v>9710</v>
      </c>
      <c r="G5044" s="6" t="s">
        <v>118</v>
      </c>
      <c r="H5044" s="6" t="s">
        <v>34</v>
      </c>
      <c r="I5044" s="8" t="s">
        <v>263</v>
      </c>
      <c r="J5044" s="9">
        <v>1</v>
      </c>
      <c r="K5044" s="9">
        <v>192</v>
      </c>
      <c r="L5044" s="9">
        <v>2027</v>
      </c>
      <c r="M5044" s="8" t="s">
        <v>29068</v>
      </c>
      <c r="N5044" s="8" t="s">
        <v>37</v>
      </c>
      <c r="O5044" s="8" t="s">
        <v>207</v>
      </c>
      <c r="P5044" s="6" t="s">
        <v>51</v>
      </c>
      <c r="Q5044" s="8" t="s">
        <v>265</v>
      </c>
      <c r="R5044" s="10" t="s">
        <v>19623</v>
      </c>
      <c r="S5044" s="11" t="s">
        <v>29069</v>
      </c>
      <c r="T5044" s="6"/>
      <c r="U5044" s="15" t="str">
        <f>HYPERLINK("https://media.infra-m.ru/2266/2266126/cover/2266126.jpg", "Обложка")</f>
        <v>Обложка</v>
      </c>
      <c r="V5044" s="8" t="s">
        <v>227</v>
      </c>
      <c r="W5044" s="6"/>
      <c r="X5044" s="6"/>
      <c r="Y5044" s="6"/>
      <c r="Z5044" s="6"/>
      <c r="AA5044" s="6" t="s">
        <v>1015</v>
      </c>
      <c r="AB5044" s="8"/>
      <c r="AC5044" s="27">
        <v>9785160224329</v>
      </c>
    </row>
    <row r="5045" spans="1:29" s="4" customFormat="1" ht="42" customHeight="1" x14ac:dyDescent="0.2">
      <c r="A5045" s="5">
        <v>0</v>
      </c>
      <c r="B5045" s="6" t="s">
        <v>29070</v>
      </c>
      <c r="C5045" s="13">
        <v>748.8</v>
      </c>
      <c r="D5045" s="8" t="s">
        <v>29071</v>
      </c>
      <c r="E5045" s="8" t="s">
        <v>29072</v>
      </c>
      <c r="F5045" s="8" t="s">
        <v>3619</v>
      </c>
      <c r="G5045" s="6" t="s">
        <v>33</v>
      </c>
      <c r="H5045" s="6" t="s">
        <v>34</v>
      </c>
      <c r="I5045" s="8" t="s">
        <v>271</v>
      </c>
      <c r="J5045" s="9">
        <v>1</v>
      </c>
      <c r="K5045" s="9">
        <v>120</v>
      </c>
      <c r="L5045" s="9">
        <v>2026</v>
      </c>
      <c r="M5045" s="8" t="s">
        <v>29073</v>
      </c>
      <c r="N5045" s="8" t="s">
        <v>585</v>
      </c>
      <c r="O5045" s="8" t="s">
        <v>667</v>
      </c>
      <c r="P5045" s="6" t="s">
        <v>51</v>
      </c>
      <c r="Q5045" s="8" t="s">
        <v>52</v>
      </c>
      <c r="R5045" s="10" t="s">
        <v>29074</v>
      </c>
      <c r="S5045" s="11"/>
      <c r="T5045" s="6"/>
      <c r="U5045" s="15" t="str">
        <f>HYPERLINK("https://media.infra-m.ru/2222/2222228/cover/2222228.jpg", "Обложка")</f>
        <v>Обложка</v>
      </c>
      <c r="V5045" s="8" t="s">
        <v>2398</v>
      </c>
      <c r="W5045" s="6"/>
      <c r="X5045" s="6"/>
      <c r="Y5045" s="6"/>
      <c r="Z5045" s="6"/>
      <c r="AA5045" s="6" t="s">
        <v>1123</v>
      </c>
      <c r="AB5045" s="8"/>
      <c r="AC5045" s="27">
        <v>9785160102344</v>
      </c>
    </row>
    <row r="5046" spans="1:29" s="4" customFormat="1" ht="42" customHeight="1" x14ac:dyDescent="0.2">
      <c r="A5046" s="5">
        <v>0</v>
      </c>
      <c r="B5046" s="6" t="s">
        <v>29075</v>
      </c>
      <c r="C5046" s="7">
        <v>1288.8</v>
      </c>
      <c r="D5046" s="8" t="s">
        <v>29076</v>
      </c>
      <c r="E5046" s="8" t="s">
        <v>29077</v>
      </c>
      <c r="F5046" s="8" t="s">
        <v>29078</v>
      </c>
      <c r="G5046" s="6" t="s">
        <v>33</v>
      </c>
      <c r="H5046" s="6" t="s">
        <v>34</v>
      </c>
      <c r="I5046" s="8" t="s">
        <v>35</v>
      </c>
      <c r="J5046" s="9">
        <v>1</v>
      </c>
      <c r="K5046" s="9">
        <v>214</v>
      </c>
      <c r="L5046" s="9">
        <v>2025</v>
      </c>
      <c r="M5046" s="8" t="s">
        <v>29079</v>
      </c>
      <c r="N5046" s="8" t="s">
        <v>93</v>
      </c>
      <c r="O5046" s="8" t="s">
        <v>94</v>
      </c>
      <c r="P5046" s="6" t="s">
        <v>39</v>
      </c>
      <c r="Q5046" s="8" t="s">
        <v>40</v>
      </c>
      <c r="R5046" s="10" t="s">
        <v>29080</v>
      </c>
      <c r="S5046" s="11"/>
      <c r="T5046" s="6"/>
      <c r="U5046" s="15" t="str">
        <f>HYPERLINK("https://media.infra-m.ru/2174/2174778/cover/2174778.jpg", "Обложка")</f>
        <v>Обложка</v>
      </c>
      <c r="V5046" s="8" t="s">
        <v>20893</v>
      </c>
      <c r="W5046" s="6"/>
      <c r="X5046" s="6"/>
      <c r="Y5046" s="6"/>
      <c r="Z5046" s="6"/>
      <c r="AA5046" s="6" t="s">
        <v>157</v>
      </c>
      <c r="AB5046" s="8"/>
      <c r="AC5046" s="27">
        <v>9785160183565</v>
      </c>
    </row>
    <row r="5047" spans="1:29" s="4" customFormat="1" ht="51.9" customHeight="1" x14ac:dyDescent="0.2">
      <c r="A5047" s="5">
        <v>0</v>
      </c>
      <c r="B5047" s="6" t="s">
        <v>29081</v>
      </c>
      <c r="C5047" s="7">
        <v>3916.8</v>
      </c>
      <c r="D5047" s="8" t="s">
        <v>29082</v>
      </c>
      <c r="E5047" s="8" t="s">
        <v>29083</v>
      </c>
      <c r="F5047" s="8" t="s">
        <v>29084</v>
      </c>
      <c r="G5047" s="6" t="s">
        <v>60</v>
      </c>
      <c r="H5047" s="6" t="s">
        <v>134</v>
      </c>
      <c r="I5047" s="8"/>
      <c r="J5047" s="9">
        <v>1</v>
      </c>
      <c r="K5047" s="9">
        <v>592</v>
      </c>
      <c r="L5047" s="9">
        <v>2026</v>
      </c>
      <c r="M5047" s="8" t="s">
        <v>29085</v>
      </c>
      <c r="N5047" s="8" t="s">
        <v>37</v>
      </c>
      <c r="O5047" s="8" t="s">
        <v>136</v>
      </c>
      <c r="P5047" s="6" t="s">
        <v>51</v>
      </c>
      <c r="Q5047" s="8" t="s">
        <v>52</v>
      </c>
      <c r="R5047" s="10" t="s">
        <v>1275</v>
      </c>
      <c r="S5047" s="11"/>
      <c r="T5047" s="6"/>
      <c r="U5047" s="15" t="str">
        <f>HYPERLINK("https://media.infra-m.ru/2254/2254467/cover/2254467.jpg", "Обложка")</f>
        <v>Обложка</v>
      </c>
      <c r="V5047" s="8" t="s">
        <v>1083</v>
      </c>
      <c r="W5047" s="6"/>
      <c r="X5047" s="6"/>
      <c r="Y5047" s="6"/>
      <c r="Z5047" s="6"/>
      <c r="AA5047" s="6" t="s">
        <v>11623</v>
      </c>
      <c r="AB5047" s="8"/>
      <c r="AC5047" s="27">
        <v>9785917681504</v>
      </c>
    </row>
    <row r="5048" spans="1:29" s="4" customFormat="1" ht="51.9" customHeight="1" x14ac:dyDescent="0.2">
      <c r="A5048" s="5">
        <v>0</v>
      </c>
      <c r="B5048" s="6" t="s">
        <v>29086</v>
      </c>
      <c r="C5048" s="7">
        <v>3412.8</v>
      </c>
      <c r="D5048" s="8" t="s">
        <v>29087</v>
      </c>
      <c r="E5048" s="8" t="s">
        <v>29088</v>
      </c>
      <c r="F5048" s="8" t="s">
        <v>18164</v>
      </c>
      <c r="G5048" s="6" t="s">
        <v>60</v>
      </c>
      <c r="H5048" s="6" t="s">
        <v>34</v>
      </c>
      <c r="I5048" s="8" t="s">
        <v>304</v>
      </c>
      <c r="J5048" s="9">
        <v>1</v>
      </c>
      <c r="K5048" s="9">
        <v>533</v>
      </c>
      <c r="L5048" s="9">
        <v>2026</v>
      </c>
      <c r="M5048" s="8" t="s">
        <v>29089</v>
      </c>
      <c r="N5048" s="8" t="s">
        <v>63</v>
      </c>
      <c r="O5048" s="8" t="s">
        <v>64</v>
      </c>
      <c r="P5048" s="6" t="s">
        <v>51</v>
      </c>
      <c r="Q5048" s="8" t="s">
        <v>52</v>
      </c>
      <c r="R5048" s="10" t="s">
        <v>29090</v>
      </c>
      <c r="S5048" s="11"/>
      <c r="T5048" s="6"/>
      <c r="U5048" s="15" t="str">
        <f>HYPERLINK("https://media.infra-m.ru/2219/2219328/cover/2219328.jpg", "Обложка")</f>
        <v>Обложка</v>
      </c>
      <c r="V5048" s="8" t="s">
        <v>3087</v>
      </c>
      <c r="W5048" s="6"/>
      <c r="X5048" s="6"/>
      <c r="Y5048" s="6"/>
      <c r="Z5048" s="6"/>
      <c r="AA5048" s="6" t="s">
        <v>76</v>
      </c>
      <c r="AB5048" s="8"/>
      <c r="AC5048" s="27">
        <v>9785160198095</v>
      </c>
    </row>
    <row r="5049" spans="1:29" s="4" customFormat="1" ht="51.9" customHeight="1" x14ac:dyDescent="0.2">
      <c r="A5049" s="5">
        <v>0</v>
      </c>
      <c r="B5049" s="6" t="s">
        <v>29091</v>
      </c>
      <c r="C5049" s="7">
        <v>2028</v>
      </c>
      <c r="D5049" s="8" t="s">
        <v>29092</v>
      </c>
      <c r="E5049" s="8" t="s">
        <v>29093</v>
      </c>
      <c r="F5049" s="8" t="s">
        <v>29094</v>
      </c>
      <c r="G5049" s="6" t="s">
        <v>60</v>
      </c>
      <c r="H5049" s="6" t="s">
        <v>134</v>
      </c>
      <c r="I5049" s="8"/>
      <c r="J5049" s="9">
        <v>1</v>
      </c>
      <c r="K5049" s="9">
        <v>298</v>
      </c>
      <c r="L5049" s="9">
        <v>2026</v>
      </c>
      <c r="M5049" s="8" t="s">
        <v>29095</v>
      </c>
      <c r="N5049" s="8" t="s">
        <v>37</v>
      </c>
      <c r="O5049" s="8" t="s">
        <v>136</v>
      </c>
      <c r="P5049" s="6" t="s">
        <v>51</v>
      </c>
      <c r="Q5049" s="8" t="s">
        <v>52</v>
      </c>
      <c r="R5049" s="10" t="s">
        <v>1625</v>
      </c>
      <c r="S5049" s="11" t="s">
        <v>29096</v>
      </c>
      <c r="T5049" s="6"/>
      <c r="U5049" s="15" t="str">
        <f>HYPERLINK("https://media.infra-m.ru/2241/2241980/cover/2241980.jpg", "Обложка")</f>
        <v>Обложка</v>
      </c>
      <c r="V5049" s="8" t="s">
        <v>2088</v>
      </c>
      <c r="W5049" s="6" t="s">
        <v>351</v>
      </c>
      <c r="X5049" s="6"/>
      <c r="Y5049" s="6"/>
      <c r="Z5049" s="6"/>
      <c r="AA5049" s="6" t="s">
        <v>6893</v>
      </c>
      <c r="AB5049" s="8"/>
      <c r="AC5049" s="27">
        <v>9785001564812</v>
      </c>
    </row>
    <row r="5050" spans="1:29" s="4" customFormat="1" ht="51.9" customHeight="1" x14ac:dyDescent="0.2">
      <c r="A5050" s="5">
        <v>0</v>
      </c>
      <c r="B5050" s="6" t="s">
        <v>29097</v>
      </c>
      <c r="C5050" s="7">
        <v>2304</v>
      </c>
      <c r="D5050" s="8" t="s">
        <v>29098</v>
      </c>
      <c r="E5050" s="8" t="s">
        <v>29099</v>
      </c>
      <c r="F5050" s="8" t="s">
        <v>1051</v>
      </c>
      <c r="G5050" s="6" t="s">
        <v>118</v>
      </c>
      <c r="H5050" s="6" t="s">
        <v>34</v>
      </c>
      <c r="I5050" s="8" t="s">
        <v>263</v>
      </c>
      <c r="J5050" s="9">
        <v>1</v>
      </c>
      <c r="K5050" s="9">
        <v>368</v>
      </c>
      <c r="L5050" s="9">
        <v>2026</v>
      </c>
      <c r="M5050" s="8" t="s">
        <v>29100</v>
      </c>
      <c r="N5050" s="8" t="s">
        <v>243</v>
      </c>
      <c r="O5050" s="8" t="s">
        <v>964</v>
      </c>
      <c r="P5050" s="6" t="s">
        <v>51</v>
      </c>
      <c r="Q5050" s="8" t="s">
        <v>265</v>
      </c>
      <c r="R5050" s="10" t="s">
        <v>9644</v>
      </c>
      <c r="S5050" s="11" t="s">
        <v>1054</v>
      </c>
      <c r="T5050" s="6"/>
      <c r="U5050" s="15" t="str">
        <f>HYPERLINK("https://media.infra-m.ru/2213/2213292/cover/2213292.jpg", "Обложка")</f>
        <v>Обложка</v>
      </c>
      <c r="V5050" s="8" t="s">
        <v>1055</v>
      </c>
      <c r="W5050" s="6"/>
      <c r="X5050" s="6" t="s">
        <v>24</v>
      </c>
      <c r="Y5050" s="6"/>
      <c r="Z5050" s="6"/>
      <c r="AA5050" s="6" t="s">
        <v>1007</v>
      </c>
      <c r="AB5050" s="8"/>
      <c r="AC5050" s="27">
        <v>9785160211510</v>
      </c>
    </row>
    <row r="5051" spans="1:29" s="4" customFormat="1" ht="51.9" customHeight="1" x14ac:dyDescent="0.2">
      <c r="A5051" s="5">
        <v>0</v>
      </c>
      <c r="B5051" s="6" t="s">
        <v>29101</v>
      </c>
      <c r="C5051" s="7">
        <v>2044.8</v>
      </c>
      <c r="D5051" s="8" t="s">
        <v>29102</v>
      </c>
      <c r="E5051" s="8" t="s">
        <v>29103</v>
      </c>
      <c r="F5051" s="8" t="s">
        <v>29104</v>
      </c>
      <c r="G5051" s="6" t="s">
        <v>60</v>
      </c>
      <c r="H5051" s="6" t="s">
        <v>34</v>
      </c>
      <c r="I5051" s="8" t="s">
        <v>271</v>
      </c>
      <c r="J5051" s="9">
        <v>1</v>
      </c>
      <c r="K5051" s="9">
        <v>340</v>
      </c>
      <c r="L5051" s="9">
        <v>2025</v>
      </c>
      <c r="M5051" s="8" t="s">
        <v>29105</v>
      </c>
      <c r="N5051" s="8" t="s">
        <v>585</v>
      </c>
      <c r="O5051" s="8" t="s">
        <v>667</v>
      </c>
      <c r="P5051" s="6" t="s">
        <v>306</v>
      </c>
      <c r="Q5051" s="8" t="s">
        <v>52</v>
      </c>
      <c r="R5051" s="10" t="s">
        <v>370</v>
      </c>
      <c r="S5051" s="11" t="s">
        <v>29106</v>
      </c>
      <c r="T5051" s="6" t="s">
        <v>97</v>
      </c>
      <c r="U5051" s="15" t="str">
        <f>HYPERLINK("https://media.infra-m.ru/2179/2179235/cover/2179235.jpg", "Обложка")</f>
        <v>Обложка</v>
      </c>
      <c r="V5051" s="8" t="s">
        <v>6025</v>
      </c>
      <c r="W5051" s="6"/>
      <c r="X5051" s="6"/>
      <c r="Y5051" s="6"/>
      <c r="Z5051" s="6"/>
      <c r="AA5051" s="6" t="s">
        <v>874</v>
      </c>
      <c r="AB5051" s="8"/>
      <c r="AC5051" s="27">
        <v>9785160067285</v>
      </c>
    </row>
    <row r="5052" spans="1:29" s="4" customFormat="1" ht="51.9" customHeight="1" x14ac:dyDescent="0.2">
      <c r="A5052" s="5">
        <v>0</v>
      </c>
      <c r="B5052" s="6" t="s">
        <v>29107</v>
      </c>
      <c r="C5052" s="7">
        <v>1361.3</v>
      </c>
      <c r="D5052" s="8" t="s">
        <v>29108</v>
      </c>
      <c r="E5052" s="8" t="s">
        <v>29109</v>
      </c>
      <c r="F5052" s="8" t="s">
        <v>29110</v>
      </c>
      <c r="G5052" s="6" t="s">
        <v>33</v>
      </c>
      <c r="H5052" s="6" t="s">
        <v>134</v>
      </c>
      <c r="I5052" s="8"/>
      <c r="J5052" s="9">
        <v>1</v>
      </c>
      <c r="K5052" s="9">
        <v>240</v>
      </c>
      <c r="L5052" s="9">
        <v>2024</v>
      </c>
      <c r="M5052" s="8" t="s">
        <v>29111</v>
      </c>
      <c r="N5052" s="8" t="s">
        <v>37</v>
      </c>
      <c r="O5052" s="8" t="s">
        <v>136</v>
      </c>
      <c r="P5052" s="6" t="s">
        <v>51</v>
      </c>
      <c r="Q5052" s="8" t="s">
        <v>52</v>
      </c>
      <c r="R5052" s="10" t="s">
        <v>1625</v>
      </c>
      <c r="S5052" s="11" t="s">
        <v>29096</v>
      </c>
      <c r="T5052" s="6"/>
      <c r="U5052" s="15" t="str">
        <f>HYPERLINK("https://media.infra-m.ru/2044/2044250/cover/2044250.jpg", "Обложка")</f>
        <v>Обложка</v>
      </c>
      <c r="V5052" s="8" t="s">
        <v>2088</v>
      </c>
      <c r="W5052" s="6"/>
      <c r="X5052" s="6"/>
      <c r="Y5052" s="6"/>
      <c r="Z5052" s="6"/>
      <c r="AA5052" s="6" t="s">
        <v>3991</v>
      </c>
      <c r="AB5052" s="8"/>
      <c r="AC5052" s="27">
        <v>9785917684475</v>
      </c>
    </row>
    <row r="5053" spans="1:29" s="4" customFormat="1" ht="51.9" customHeight="1" x14ac:dyDescent="0.2">
      <c r="A5053" s="5">
        <v>0</v>
      </c>
      <c r="B5053" s="6" t="s">
        <v>29112</v>
      </c>
      <c r="C5053" s="7">
        <v>1236</v>
      </c>
      <c r="D5053" s="8" t="s">
        <v>29113</v>
      </c>
      <c r="E5053" s="8" t="s">
        <v>29114</v>
      </c>
      <c r="F5053" s="8" t="s">
        <v>9678</v>
      </c>
      <c r="G5053" s="6" t="s">
        <v>118</v>
      </c>
      <c r="H5053" s="6" t="s">
        <v>34</v>
      </c>
      <c r="I5053" s="8" t="s">
        <v>253</v>
      </c>
      <c r="J5053" s="9">
        <v>1</v>
      </c>
      <c r="K5053" s="9">
        <v>206</v>
      </c>
      <c r="L5053" s="9">
        <v>2025</v>
      </c>
      <c r="M5053" s="8" t="s">
        <v>29115</v>
      </c>
      <c r="N5053" s="8" t="s">
        <v>243</v>
      </c>
      <c r="O5053" s="8" t="s">
        <v>244</v>
      </c>
      <c r="P5053" s="6" t="s">
        <v>51</v>
      </c>
      <c r="Q5053" s="8" t="s">
        <v>52</v>
      </c>
      <c r="R5053" s="10" t="s">
        <v>12845</v>
      </c>
      <c r="S5053" s="11" t="s">
        <v>29116</v>
      </c>
      <c r="T5053" s="6"/>
      <c r="U5053" s="15" t="str">
        <f>HYPERLINK("https://media.infra-m.ru/2166/2166200/cover/2166200.jpg", "Обложка")</f>
        <v>Обложка</v>
      </c>
      <c r="V5053" s="8" t="s">
        <v>831</v>
      </c>
      <c r="W5053" s="6"/>
      <c r="X5053" s="6"/>
      <c r="Y5053" s="6"/>
      <c r="Z5053" s="6"/>
      <c r="AA5053" s="6" t="s">
        <v>1256</v>
      </c>
      <c r="AB5053" s="8"/>
      <c r="AC5053" s="27">
        <v>9785160202563</v>
      </c>
    </row>
    <row r="5054" spans="1:29" s="4" customFormat="1" ht="51.9" customHeight="1" x14ac:dyDescent="0.2">
      <c r="A5054" s="5">
        <v>0</v>
      </c>
      <c r="B5054" s="6" t="s">
        <v>29117</v>
      </c>
      <c r="C5054" s="7">
        <v>1512</v>
      </c>
      <c r="D5054" s="8" t="s">
        <v>29118</v>
      </c>
      <c r="E5054" s="8" t="s">
        <v>29119</v>
      </c>
      <c r="F5054" s="8" t="s">
        <v>29120</v>
      </c>
      <c r="G5054" s="6" t="s">
        <v>118</v>
      </c>
      <c r="H5054" s="6" t="s">
        <v>34</v>
      </c>
      <c r="I5054" s="8" t="s">
        <v>253</v>
      </c>
      <c r="J5054" s="9">
        <v>1</v>
      </c>
      <c r="K5054" s="9">
        <v>272</v>
      </c>
      <c r="L5054" s="9">
        <v>2024</v>
      </c>
      <c r="M5054" s="8" t="s">
        <v>29121</v>
      </c>
      <c r="N5054" s="8" t="s">
        <v>243</v>
      </c>
      <c r="O5054" s="8" t="s">
        <v>933</v>
      </c>
      <c r="P5054" s="6" t="s">
        <v>51</v>
      </c>
      <c r="Q5054" s="8" t="s">
        <v>52</v>
      </c>
      <c r="R5054" s="10" t="s">
        <v>6851</v>
      </c>
      <c r="S5054" s="11" t="s">
        <v>29122</v>
      </c>
      <c r="T5054" s="6"/>
      <c r="U5054" s="15" t="str">
        <f>HYPERLINK("https://media.infra-m.ru/2084/2084804/cover/2084804.jpg", "Обложка")</f>
        <v>Обложка</v>
      </c>
      <c r="V5054" s="8" t="s">
        <v>29123</v>
      </c>
      <c r="W5054" s="6"/>
      <c r="X5054" s="6"/>
      <c r="Y5054" s="6"/>
      <c r="Z5054" s="6"/>
      <c r="AA5054" s="6" t="s">
        <v>623</v>
      </c>
      <c r="AB5054" s="8"/>
      <c r="AC5054" s="27">
        <v>9785160190730</v>
      </c>
    </row>
    <row r="5055" spans="1:29" s="4" customFormat="1" ht="51.9" customHeight="1" x14ac:dyDescent="0.2">
      <c r="A5055" s="5">
        <v>0</v>
      </c>
      <c r="B5055" s="6" t="s">
        <v>29124</v>
      </c>
      <c r="C5055" s="7">
        <v>1080</v>
      </c>
      <c r="D5055" s="8" t="s">
        <v>29125</v>
      </c>
      <c r="E5055" s="8" t="s">
        <v>29126</v>
      </c>
      <c r="F5055" s="8" t="s">
        <v>29127</v>
      </c>
      <c r="G5055" s="6" t="s">
        <v>118</v>
      </c>
      <c r="H5055" s="6" t="s">
        <v>48</v>
      </c>
      <c r="I5055" s="8" t="s">
        <v>263</v>
      </c>
      <c r="J5055" s="9">
        <v>1</v>
      </c>
      <c r="K5055" s="9">
        <v>194</v>
      </c>
      <c r="L5055" s="9">
        <v>2024</v>
      </c>
      <c r="M5055" s="8" t="s">
        <v>29128</v>
      </c>
      <c r="N5055" s="8" t="s">
        <v>243</v>
      </c>
      <c r="O5055" s="8" t="s">
        <v>244</v>
      </c>
      <c r="P5055" s="6" t="s">
        <v>51</v>
      </c>
      <c r="Q5055" s="8" t="s">
        <v>265</v>
      </c>
      <c r="R5055" s="10" t="s">
        <v>29129</v>
      </c>
      <c r="S5055" s="11" t="s">
        <v>29130</v>
      </c>
      <c r="T5055" s="6"/>
      <c r="U5055" s="15" t="str">
        <f>HYPERLINK("https://media.infra-m.ru/2120/2120767/cover/2120767.jpg", "Обложка")</f>
        <v>Обложка</v>
      </c>
      <c r="V5055" s="8" t="s">
        <v>29131</v>
      </c>
      <c r="W5055" s="6"/>
      <c r="X5055" s="6"/>
      <c r="Y5055" s="6"/>
      <c r="Z5055" s="6"/>
      <c r="AA5055" s="6" t="s">
        <v>258</v>
      </c>
      <c r="AB5055" s="8"/>
      <c r="AC5055" s="27">
        <v>9785000917619</v>
      </c>
    </row>
    <row r="5056" spans="1:29" s="4" customFormat="1" ht="51.9" customHeight="1" x14ac:dyDescent="0.2">
      <c r="A5056" s="5">
        <v>0</v>
      </c>
      <c r="B5056" s="6" t="s">
        <v>29132</v>
      </c>
      <c r="C5056" s="13">
        <v>557.9</v>
      </c>
      <c r="D5056" s="8" t="s">
        <v>29133</v>
      </c>
      <c r="E5056" s="8" t="s">
        <v>29134</v>
      </c>
      <c r="F5056" s="8" t="s">
        <v>29127</v>
      </c>
      <c r="G5056" s="6" t="s">
        <v>33</v>
      </c>
      <c r="H5056" s="6" t="s">
        <v>48</v>
      </c>
      <c r="I5056" s="8"/>
      <c r="J5056" s="9">
        <v>1</v>
      </c>
      <c r="K5056" s="9">
        <v>96</v>
      </c>
      <c r="L5056" s="9">
        <v>2021</v>
      </c>
      <c r="M5056" s="8" t="s">
        <v>29135</v>
      </c>
      <c r="N5056" s="8" t="s">
        <v>243</v>
      </c>
      <c r="O5056" s="8" t="s">
        <v>244</v>
      </c>
      <c r="P5056" s="6" t="s">
        <v>51</v>
      </c>
      <c r="Q5056" s="8" t="s">
        <v>265</v>
      </c>
      <c r="R5056" s="10" t="s">
        <v>29129</v>
      </c>
      <c r="S5056" s="11" t="s">
        <v>29136</v>
      </c>
      <c r="T5056" s="6"/>
      <c r="U5056" s="15" t="str">
        <f>HYPERLINK("https://media.infra-m.ru/1212/1212527/cover/1212527.jpg", "Обложка")</f>
        <v>Обложка</v>
      </c>
      <c r="V5056" s="8" t="s">
        <v>29131</v>
      </c>
      <c r="W5056" s="6"/>
      <c r="X5056" s="6"/>
      <c r="Y5056" s="6"/>
      <c r="Z5056" s="6"/>
      <c r="AA5056" s="6" t="s">
        <v>248</v>
      </c>
      <c r="AB5056" s="8"/>
      <c r="AC5056" s="27">
        <v>9785000914564</v>
      </c>
    </row>
    <row r="5057" spans="1:29" s="4" customFormat="1" ht="51.9" customHeight="1" x14ac:dyDescent="0.2">
      <c r="A5057" s="5">
        <v>0</v>
      </c>
      <c r="B5057" s="6" t="s">
        <v>29137</v>
      </c>
      <c r="C5057" s="7">
        <v>2116.8000000000002</v>
      </c>
      <c r="D5057" s="8" t="s">
        <v>29138</v>
      </c>
      <c r="E5057" s="8" t="s">
        <v>29139</v>
      </c>
      <c r="F5057" s="8" t="s">
        <v>29140</v>
      </c>
      <c r="G5057" s="6" t="s">
        <v>60</v>
      </c>
      <c r="H5057" s="6" t="s">
        <v>34</v>
      </c>
      <c r="I5057" s="8" t="s">
        <v>253</v>
      </c>
      <c r="J5057" s="9">
        <v>1</v>
      </c>
      <c r="K5057" s="9">
        <v>352</v>
      </c>
      <c r="L5057" s="9">
        <v>2025</v>
      </c>
      <c r="M5057" s="8" t="s">
        <v>29141</v>
      </c>
      <c r="N5057" s="8" t="s">
        <v>37</v>
      </c>
      <c r="O5057" s="8" t="s">
        <v>499</v>
      </c>
      <c r="P5057" s="6" t="s">
        <v>51</v>
      </c>
      <c r="Q5057" s="8" t="s">
        <v>52</v>
      </c>
      <c r="R5057" s="10" t="s">
        <v>9545</v>
      </c>
      <c r="S5057" s="11" t="s">
        <v>29142</v>
      </c>
      <c r="T5057" s="6"/>
      <c r="U5057" s="15" t="str">
        <f>HYPERLINK("https://media.infra-m.ru/2192/2192169/cover/2192169.jpg", "Обложка")</f>
        <v>Обложка</v>
      </c>
      <c r="V5057" s="8" t="s">
        <v>4481</v>
      </c>
      <c r="W5057" s="6"/>
      <c r="X5057" s="6"/>
      <c r="Y5057" s="6"/>
      <c r="Z5057" s="6"/>
      <c r="AA5057" s="6" t="s">
        <v>43</v>
      </c>
      <c r="AB5057" s="8"/>
      <c r="AC5057" s="27">
        <v>9785160047928</v>
      </c>
    </row>
    <row r="5058" spans="1:29" s="4" customFormat="1" ht="51.9" customHeight="1" x14ac:dyDescent="0.2">
      <c r="A5058" s="5">
        <v>0</v>
      </c>
      <c r="B5058" s="6" t="s">
        <v>29143</v>
      </c>
      <c r="C5058" s="7">
        <v>1224</v>
      </c>
      <c r="D5058" s="8" t="s">
        <v>29144</v>
      </c>
      <c r="E5058" s="8" t="s">
        <v>29139</v>
      </c>
      <c r="F5058" s="8" t="s">
        <v>29145</v>
      </c>
      <c r="G5058" s="6" t="s">
        <v>118</v>
      </c>
      <c r="H5058" s="6" t="s">
        <v>34</v>
      </c>
      <c r="I5058" s="8" t="s">
        <v>253</v>
      </c>
      <c r="J5058" s="9">
        <v>1</v>
      </c>
      <c r="K5058" s="9">
        <v>189</v>
      </c>
      <c r="L5058" s="9">
        <v>2026</v>
      </c>
      <c r="M5058" s="8" t="s">
        <v>29146</v>
      </c>
      <c r="N5058" s="8" t="s">
        <v>37</v>
      </c>
      <c r="O5058" s="8" t="s">
        <v>499</v>
      </c>
      <c r="P5058" s="6" t="s">
        <v>51</v>
      </c>
      <c r="Q5058" s="8" t="s">
        <v>52</v>
      </c>
      <c r="R5058" s="10" t="s">
        <v>9545</v>
      </c>
      <c r="S5058" s="11" t="s">
        <v>29147</v>
      </c>
      <c r="T5058" s="6"/>
      <c r="U5058" s="15" t="str">
        <f>HYPERLINK("https://media.infra-m.ru/2199/2199810/cover/2199810.jpg", "Обложка")</f>
        <v>Обложка</v>
      </c>
      <c r="V5058" s="8" t="s">
        <v>156</v>
      </c>
      <c r="W5058" s="6"/>
      <c r="X5058" s="6"/>
      <c r="Y5058" s="6"/>
      <c r="Z5058" s="6"/>
      <c r="AA5058" s="6" t="s">
        <v>248</v>
      </c>
      <c r="AB5058" s="8"/>
      <c r="AC5058" s="27">
        <v>9785160208572</v>
      </c>
    </row>
    <row r="5059" spans="1:29" s="4" customFormat="1" ht="42" customHeight="1" x14ac:dyDescent="0.2">
      <c r="A5059" s="5">
        <v>0</v>
      </c>
      <c r="B5059" s="6" t="s">
        <v>29148</v>
      </c>
      <c r="C5059" s="7">
        <v>1596</v>
      </c>
      <c r="D5059" s="8" t="s">
        <v>29149</v>
      </c>
      <c r="E5059" s="8" t="s">
        <v>29150</v>
      </c>
      <c r="F5059" s="8" t="s">
        <v>29151</v>
      </c>
      <c r="G5059" s="6" t="s">
        <v>118</v>
      </c>
      <c r="H5059" s="6" t="s">
        <v>134</v>
      </c>
      <c r="I5059" s="8"/>
      <c r="J5059" s="9">
        <v>1</v>
      </c>
      <c r="K5059" s="9">
        <v>240</v>
      </c>
      <c r="L5059" s="9">
        <v>2026</v>
      </c>
      <c r="M5059" s="8" t="s">
        <v>29152</v>
      </c>
      <c r="N5059" s="8" t="s">
        <v>37</v>
      </c>
      <c r="O5059" s="8" t="s">
        <v>136</v>
      </c>
      <c r="P5059" s="6" t="s">
        <v>39</v>
      </c>
      <c r="Q5059" s="8" t="s">
        <v>40</v>
      </c>
      <c r="R5059" s="10" t="s">
        <v>8485</v>
      </c>
      <c r="S5059" s="11"/>
      <c r="T5059" s="6"/>
      <c r="U5059" s="15" t="str">
        <f>HYPERLINK("https://media.infra-m.ru/2235/2235695/cover/2235695.jpg", "Обложка")</f>
        <v>Обложка</v>
      </c>
      <c r="V5059" s="8" t="s">
        <v>138</v>
      </c>
      <c r="W5059" s="6"/>
      <c r="X5059" s="6"/>
      <c r="Y5059" s="6"/>
      <c r="Z5059" s="6"/>
      <c r="AA5059" s="6" t="s">
        <v>68</v>
      </c>
      <c r="AB5059" s="8"/>
      <c r="AC5059" s="27">
        <v>9785001564195</v>
      </c>
    </row>
    <row r="5060" spans="1:29" s="4" customFormat="1" ht="42" customHeight="1" x14ac:dyDescent="0.2">
      <c r="A5060" s="5">
        <v>0</v>
      </c>
      <c r="B5060" s="6" t="s">
        <v>29153</v>
      </c>
      <c r="C5060" s="13">
        <v>796.8</v>
      </c>
      <c r="D5060" s="8" t="s">
        <v>29154</v>
      </c>
      <c r="E5060" s="8" t="s">
        <v>29155</v>
      </c>
      <c r="F5060" s="8" t="s">
        <v>17986</v>
      </c>
      <c r="G5060" s="6" t="s">
        <v>33</v>
      </c>
      <c r="H5060" s="6" t="s">
        <v>34</v>
      </c>
      <c r="I5060" s="8" t="s">
        <v>271</v>
      </c>
      <c r="J5060" s="9">
        <v>1</v>
      </c>
      <c r="K5060" s="9">
        <v>128</v>
      </c>
      <c r="L5060" s="9">
        <v>2025</v>
      </c>
      <c r="M5060" s="8" t="s">
        <v>29156</v>
      </c>
      <c r="N5060" s="8" t="s">
        <v>37</v>
      </c>
      <c r="O5060" s="8" t="s">
        <v>207</v>
      </c>
      <c r="P5060" s="6" t="s">
        <v>306</v>
      </c>
      <c r="Q5060" s="8" t="s">
        <v>52</v>
      </c>
      <c r="R5060" s="10" t="s">
        <v>29157</v>
      </c>
      <c r="S5060" s="11"/>
      <c r="T5060" s="6"/>
      <c r="U5060" s="15" t="str">
        <f>HYPERLINK("https://media.infra-m.ru/2196/2196071/cover/2196071.jpg", "Обложка")</f>
        <v>Обложка</v>
      </c>
      <c r="V5060" s="8" t="s">
        <v>6025</v>
      </c>
      <c r="W5060" s="6"/>
      <c r="X5060" s="6"/>
      <c r="Y5060" s="6"/>
      <c r="Z5060" s="6"/>
      <c r="AA5060" s="6" t="s">
        <v>274</v>
      </c>
      <c r="AB5060" s="8"/>
      <c r="AC5060" s="27">
        <v>9785160100555</v>
      </c>
    </row>
    <row r="5061" spans="1:29" s="4" customFormat="1" ht="51.9" customHeight="1" x14ac:dyDescent="0.2">
      <c r="A5061" s="5">
        <v>0</v>
      </c>
      <c r="B5061" s="6" t="s">
        <v>29158</v>
      </c>
      <c r="C5061" s="7">
        <v>1228.8</v>
      </c>
      <c r="D5061" s="8" t="s">
        <v>29159</v>
      </c>
      <c r="E5061" s="8" t="s">
        <v>29160</v>
      </c>
      <c r="F5061" s="8" t="s">
        <v>29161</v>
      </c>
      <c r="G5061" s="6" t="s">
        <v>118</v>
      </c>
      <c r="H5061" s="6" t="s">
        <v>34</v>
      </c>
      <c r="I5061" s="8" t="s">
        <v>253</v>
      </c>
      <c r="J5061" s="9">
        <v>1</v>
      </c>
      <c r="K5061" s="9">
        <v>223</v>
      </c>
      <c r="L5061" s="9">
        <v>2024</v>
      </c>
      <c r="M5061" s="8" t="s">
        <v>29162</v>
      </c>
      <c r="N5061" s="8" t="s">
        <v>585</v>
      </c>
      <c r="O5061" s="8" t="s">
        <v>667</v>
      </c>
      <c r="P5061" s="6" t="s">
        <v>51</v>
      </c>
      <c r="Q5061" s="8" t="s">
        <v>52</v>
      </c>
      <c r="R5061" s="10" t="s">
        <v>29163</v>
      </c>
      <c r="S5061" s="11" t="s">
        <v>29164</v>
      </c>
      <c r="T5061" s="6"/>
      <c r="U5061" s="15" t="str">
        <f>HYPERLINK("https://media.infra-m.ru/2131/2131536/cover/2131536.jpg", "Обложка")</f>
        <v>Обложка</v>
      </c>
      <c r="V5061" s="8" t="s">
        <v>7003</v>
      </c>
      <c r="W5061" s="6"/>
      <c r="X5061" s="6"/>
      <c r="Y5061" s="6"/>
      <c r="Z5061" s="6"/>
      <c r="AA5061" s="6" t="s">
        <v>779</v>
      </c>
      <c r="AB5061" s="8"/>
      <c r="AC5061" s="27">
        <v>9785160109459</v>
      </c>
    </row>
    <row r="5062" spans="1:29" s="4" customFormat="1" ht="42" customHeight="1" x14ac:dyDescent="0.2">
      <c r="A5062" s="5">
        <v>0</v>
      </c>
      <c r="B5062" s="6" t="s">
        <v>29165</v>
      </c>
      <c r="C5062" s="7">
        <v>1300.8</v>
      </c>
      <c r="D5062" s="8" t="s">
        <v>29166</v>
      </c>
      <c r="E5062" s="8" t="s">
        <v>29167</v>
      </c>
      <c r="F5062" s="8" t="s">
        <v>29168</v>
      </c>
      <c r="G5062" s="6" t="s">
        <v>60</v>
      </c>
      <c r="H5062" s="6" t="s">
        <v>34</v>
      </c>
      <c r="I5062" s="8" t="s">
        <v>2171</v>
      </c>
      <c r="J5062" s="9">
        <v>1</v>
      </c>
      <c r="K5062" s="9">
        <v>197</v>
      </c>
      <c r="L5062" s="9">
        <v>2026</v>
      </c>
      <c r="M5062" s="8" t="s">
        <v>29169</v>
      </c>
      <c r="N5062" s="8" t="s">
        <v>243</v>
      </c>
      <c r="O5062" s="8" t="s">
        <v>329</v>
      </c>
      <c r="P5062" s="6" t="s">
        <v>51</v>
      </c>
      <c r="Q5062" s="8" t="s">
        <v>65</v>
      </c>
      <c r="R5062" s="10" t="s">
        <v>5787</v>
      </c>
      <c r="S5062" s="11"/>
      <c r="T5062" s="6"/>
      <c r="U5062" s="15" t="str">
        <f>HYPERLINK("https://media.infra-m.ru/2239/2239144/cover/2239144.jpg", "Обложка")</f>
        <v>Обложка</v>
      </c>
      <c r="V5062" s="8" t="s">
        <v>2175</v>
      </c>
      <c r="W5062" s="6"/>
      <c r="X5062" s="6"/>
      <c r="Y5062" s="6"/>
      <c r="Z5062" s="6"/>
      <c r="AA5062" s="6" t="s">
        <v>430</v>
      </c>
      <c r="AB5062" s="8"/>
      <c r="AC5062" s="27">
        <v>9785160157337</v>
      </c>
    </row>
    <row r="5063" spans="1:29" s="4" customFormat="1" ht="51.9" customHeight="1" x14ac:dyDescent="0.2">
      <c r="A5063" s="5">
        <v>0</v>
      </c>
      <c r="B5063" s="6" t="s">
        <v>29170</v>
      </c>
      <c r="C5063" s="7">
        <v>1588.8</v>
      </c>
      <c r="D5063" s="8" t="s">
        <v>29171</v>
      </c>
      <c r="E5063" s="8" t="s">
        <v>29172</v>
      </c>
      <c r="F5063" s="8" t="s">
        <v>29173</v>
      </c>
      <c r="G5063" s="6" t="s">
        <v>118</v>
      </c>
      <c r="H5063" s="6" t="s">
        <v>1042</v>
      </c>
      <c r="I5063" s="8" t="s">
        <v>271</v>
      </c>
      <c r="J5063" s="9">
        <v>1</v>
      </c>
      <c r="K5063" s="9">
        <v>255</v>
      </c>
      <c r="L5063" s="9">
        <v>2026</v>
      </c>
      <c r="M5063" s="8" t="s">
        <v>29174</v>
      </c>
      <c r="N5063" s="8" t="s">
        <v>243</v>
      </c>
      <c r="O5063" s="8" t="s">
        <v>244</v>
      </c>
      <c r="P5063" s="6" t="s">
        <v>51</v>
      </c>
      <c r="Q5063" s="8" t="s">
        <v>52</v>
      </c>
      <c r="R5063" s="10" t="s">
        <v>29175</v>
      </c>
      <c r="S5063" s="11" t="s">
        <v>29176</v>
      </c>
      <c r="T5063" s="6"/>
      <c r="U5063" s="15" t="str">
        <f>HYPERLINK("https://media.infra-m.ru/2218/2218027/cover/2218027.jpg", "Обложка")</f>
        <v>Обложка</v>
      </c>
      <c r="V5063" s="8" t="s">
        <v>3919</v>
      </c>
      <c r="W5063" s="6"/>
      <c r="X5063" s="6"/>
      <c r="Y5063" s="6"/>
      <c r="Z5063" s="6"/>
      <c r="AA5063" s="6" t="s">
        <v>55</v>
      </c>
      <c r="AB5063" s="8"/>
      <c r="AC5063" s="27">
        <v>9785819907573</v>
      </c>
    </row>
    <row r="5064" spans="1:29" s="4" customFormat="1" ht="51.9" customHeight="1" x14ac:dyDescent="0.2">
      <c r="A5064" s="5">
        <v>0</v>
      </c>
      <c r="B5064" s="6" t="s">
        <v>29177</v>
      </c>
      <c r="C5064" s="7">
        <v>2224.8000000000002</v>
      </c>
      <c r="D5064" s="8" t="s">
        <v>29178</v>
      </c>
      <c r="E5064" s="8" t="s">
        <v>29179</v>
      </c>
      <c r="F5064" s="8" t="s">
        <v>29180</v>
      </c>
      <c r="G5064" s="6" t="s">
        <v>118</v>
      </c>
      <c r="H5064" s="6" t="s">
        <v>34</v>
      </c>
      <c r="I5064" s="8" t="s">
        <v>263</v>
      </c>
      <c r="J5064" s="9">
        <v>1</v>
      </c>
      <c r="K5064" s="9">
        <v>320</v>
      </c>
      <c r="L5064" s="9">
        <v>2027</v>
      </c>
      <c r="M5064" s="8" t="s">
        <v>29181</v>
      </c>
      <c r="N5064" s="8" t="s">
        <v>243</v>
      </c>
      <c r="O5064" s="8" t="s">
        <v>964</v>
      </c>
      <c r="P5064" s="6" t="s">
        <v>51</v>
      </c>
      <c r="Q5064" s="8" t="s">
        <v>265</v>
      </c>
      <c r="R5064" s="10" t="s">
        <v>29182</v>
      </c>
      <c r="S5064" s="11" t="s">
        <v>29183</v>
      </c>
      <c r="T5064" s="6"/>
      <c r="U5064" s="15" t="str">
        <f>HYPERLINK("https://media.infra-m.ru/2262/2262844/cover/2262844.jpg", "Обложка")</f>
        <v>Обложка</v>
      </c>
      <c r="V5064" s="8" t="s">
        <v>9565</v>
      </c>
      <c r="W5064" s="6"/>
      <c r="X5064" s="6"/>
      <c r="Y5064" s="6"/>
      <c r="Z5064" s="6" t="s">
        <v>882</v>
      </c>
      <c r="AA5064" s="6" t="s">
        <v>115</v>
      </c>
      <c r="AB5064" s="8"/>
      <c r="AC5064" s="27">
        <v>9785160153773</v>
      </c>
    </row>
    <row r="5065" spans="1:29" s="4" customFormat="1" ht="51.9" customHeight="1" x14ac:dyDescent="0.2">
      <c r="A5065" s="5">
        <v>0</v>
      </c>
      <c r="B5065" s="6" t="s">
        <v>29184</v>
      </c>
      <c r="C5065" s="7">
        <v>2088</v>
      </c>
      <c r="D5065" s="8" t="s">
        <v>29185</v>
      </c>
      <c r="E5065" s="8" t="s">
        <v>29186</v>
      </c>
      <c r="F5065" s="8" t="s">
        <v>29187</v>
      </c>
      <c r="G5065" s="6" t="s">
        <v>118</v>
      </c>
      <c r="H5065" s="6" t="s">
        <v>34</v>
      </c>
      <c r="I5065" s="8" t="s">
        <v>253</v>
      </c>
      <c r="J5065" s="9">
        <v>1</v>
      </c>
      <c r="K5065" s="9">
        <v>315</v>
      </c>
      <c r="L5065" s="9">
        <v>2026</v>
      </c>
      <c r="M5065" s="8" t="s">
        <v>29188</v>
      </c>
      <c r="N5065" s="8" t="s">
        <v>243</v>
      </c>
      <c r="O5065" s="8" t="s">
        <v>964</v>
      </c>
      <c r="P5065" s="6" t="s">
        <v>51</v>
      </c>
      <c r="Q5065" s="8" t="s">
        <v>65</v>
      </c>
      <c r="R5065" s="10" t="s">
        <v>7846</v>
      </c>
      <c r="S5065" s="11" t="s">
        <v>29189</v>
      </c>
      <c r="T5065" s="6"/>
      <c r="U5065" s="15" t="str">
        <f>HYPERLINK("https://media.infra-m.ru/2242/2242878/cover/2242878.jpg", "Обложка")</f>
        <v>Обложка</v>
      </c>
      <c r="V5065" s="8" t="s">
        <v>9565</v>
      </c>
      <c r="W5065" s="6"/>
      <c r="X5065" s="6"/>
      <c r="Y5065" s="6"/>
      <c r="Z5065" s="6"/>
      <c r="AA5065" s="6" t="s">
        <v>218</v>
      </c>
      <c r="AB5065" s="8"/>
      <c r="AC5065" s="27">
        <v>9785160219318</v>
      </c>
    </row>
    <row r="5066" spans="1:29" s="4" customFormat="1" ht="51.9" customHeight="1" x14ac:dyDescent="0.2">
      <c r="A5066" s="5">
        <v>0</v>
      </c>
      <c r="B5066" s="6" t="s">
        <v>29190</v>
      </c>
      <c r="C5066" s="7">
        <v>1236</v>
      </c>
      <c r="D5066" s="8" t="s">
        <v>29191</v>
      </c>
      <c r="E5066" s="8" t="s">
        <v>29179</v>
      </c>
      <c r="F5066" s="8" t="s">
        <v>29192</v>
      </c>
      <c r="G5066" s="6" t="s">
        <v>118</v>
      </c>
      <c r="H5066" s="6" t="s">
        <v>48</v>
      </c>
      <c r="I5066" s="8" t="s">
        <v>253</v>
      </c>
      <c r="J5066" s="9">
        <v>1</v>
      </c>
      <c r="K5066" s="9">
        <v>320</v>
      </c>
      <c r="L5066" s="9">
        <v>2019</v>
      </c>
      <c r="M5066" s="8" t="s">
        <v>29193</v>
      </c>
      <c r="N5066" s="8" t="s">
        <v>243</v>
      </c>
      <c r="O5066" s="8" t="s">
        <v>964</v>
      </c>
      <c r="P5066" s="6" t="s">
        <v>51</v>
      </c>
      <c r="Q5066" s="8" t="s">
        <v>52</v>
      </c>
      <c r="R5066" s="10" t="s">
        <v>7846</v>
      </c>
      <c r="S5066" s="11" t="s">
        <v>29194</v>
      </c>
      <c r="T5066" s="6"/>
      <c r="U5066" s="15" t="str">
        <f>HYPERLINK("https://media.infra-m.ru/1020/1020700/cover/1020700.jpg", "Обложка")</f>
        <v>Обложка</v>
      </c>
      <c r="V5066" s="8" t="s">
        <v>9565</v>
      </c>
      <c r="W5066" s="6"/>
      <c r="X5066" s="6"/>
      <c r="Y5066" s="6"/>
      <c r="Z5066" s="6"/>
      <c r="AA5066" s="6" t="s">
        <v>248</v>
      </c>
      <c r="AB5066" s="8"/>
      <c r="AC5066" s="27">
        <v>9785000916971</v>
      </c>
    </row>
    <row r="5067" spans="1:29" s="4" customFormat="1" ht="51.9" customHeight="1" x14ac:dyDescent="0.2">
      <c r="A5067" s="5">
        <v>0</v>
      </c>
      <c r="B5067" s="6" t="s">
        <v>29195</v>
      </c>
      <c r="C5067" s="13">
        <v>984</v>
      </c>
      <c r="D5067" s="8" t="s">
        <v>29196</v>
      </c>
      <c r="E5067" s="8" t="s">
        <v>29197</v>
      </c>
      <c r="F5067" s="8" t="s">
        <v>29198</v>
      </c>
      <c r="G5067" s="6" t="s">
        <v>60</v>
      </c>
      <c r="H5067" s="6" t="s">
        <v>34</v>
      </c>
      <c r="I5067" s="8" t="s">
        <v>253</v>
      </c>
      <c r="J5067" s="9">
        <v>1</v>
      </c>
      <c r="K5067" s="9">
        <v>130</v>
      </c>
      <c r="L5067" s="9">
        <v>2026</v>
      </c>
      <c r="M5067" s="8" t="s">
        <v>29199</v>
      </c>
      <c r="N5067" s="8" t="s">
        <v>585</v>
      </c>
      <c r="O5067" s="8" t="s">
        <v>667</v>
      </c>
      <c r="P5067" s="6" t="s">
        <v>51</v>
      </c>
      <c r="Q5067" s="8" t="s">
        <v>52</v>
      </c>
      <c r="R5067" s="10" t="s">
        <v>29200</v>
      </c>
      <c r="S5067" s="11"/>
      <c r="T5067" s="6"/>
      <c r="U5067" s="15" t="str">
        <f>HYPERLINK("https://media.infra-m.ru/2219/2219643/cover/2219643.jpg", "Обложка")</f>
        <v>Обложка</v>
      </c>
      <c r="V5067" s="8" t="s">
        <v>29201</v>
      </c>
      <c r="W5067" s="6" t="s">
        <v>1382</v>
      </c>
      <c r="X5067" s="6"/>
      <c r="Y5067" s="6"/>
      <c r="Z5067" s="6"/>
      <c r="AA5067" s="6" t="s">
        <v>187</v>
      </c>
      <c r="AB5067" s="8" t="s">
        <v>11878</v>
      </c>
      <c r="AC5067" s="27">
        <v>9785160212593</v>
      </c>
    </row>
    <row r="5068" spans="1:29" s="4" customFormat="1" ht="51.9" customHeight="1" x14ac:dyDescent="0.2">
      <c r="A5068" s="5">
        <v>0</v>
      </c>
      <c r="B5068" s="6" t="s">
        <v>29202</v>
      </c>
      <c r="C5068" s="7">
        <v>1380</v>
      </c>
      <c r="D5068" s="8" t="s">
        <v>29203</v>
      </c>
      <c r="E5068" s="8" t="s">
        <v>29204</v>
      </c>
      <c r="F5068" s="8" t="s">
        <v>29205</v>
      </c>
      <c r="G5068" s="6" t="s">
        <v>60</v>
      </c>
      <c r="H5068" s="6" t="s">
        <v>134</v>
      </c>
      <c r="I5068" s="8"/>
      <c r="J5068" s="9">
        <v>1</v>
      </c>
      <c r="K5068" s="9">
        <v>224</v>
      </c>
      <c r="L5068" s="9">
        <v>2025</v>
      </c>
      <c r="M5068" s="8" t="s">
        <v>29206</v>
      </c>
      <c r="N5068" s="8" t="s">
        <v>37</v>
      </c>
      <c r="O5068" s="8" t="s">
        <v>83</v>
      </c>
      <c r="P5068" s="6" t="s">
        <v>51</v>
      </c>
      <c r="Q5068" s="8" t="s">
        <v>52</v>
      </c>
      <c r="R5068" s="10" t="s">
        <v>29207</v>
      </c>
      <c r="S5068" s="11"/>
      <c r="T5068" s="6"/>
      <c r="U5068" s="15" t="str">
        <f>HYPERLINK("https://media.infra-m.ru/2180/2180408/cover/2180408.jpg", "Обложка")</f>
        <v>Обложка</v>
      </c>
      <c r="V5068" s="8" t="s">
        <v>1184</v>
      </c>
      <c r="W5068" s="6"/>
      <c r="X5068" s="6"/>
      <c r="Y5068" s="6"/>
      <c r="Z5068" s="6"/>
      <c r="AA5068" s="6" t="s">
        <v>68</v>
      </c>
      <c r="AB5068" s="8"/>
      <c r="AC5068" s="27">
        <v>9785001564034</v>
      </c>
    </row>
    <row r="5069" spans="1:29" s="4" customFormat="1" ht="51.9" customHeight="1" x14ac:dyDescent="0.2">
      <c r="A5069" s="5">
        <v>0</v>
      </c>
      <c r="B5069" s="6" t="s">
        <v>29208</v>
      </c>
      <c r="C5069" s="7">
        <v>2510.4</v>
      </c>
      <c r="D5069" s="8" t="s">
        <v>29209</v>
      </c>
      <c r="E5069" s="8" t="s">
        <v>29210</v>
      </c>
      <c r="F5069" s="8" t="s">
        <v>29211</v>
      </c>
      <c r="G5069" s="6" t="s">
        <v>118</v>
      </c>
      <c r="H5069" s="6" t="s">
        <v>34</v>
      </c>
      <c r="I5069" s="8" t="s">
        <v>253</v>
      </c>
      <c r="J5069" s="9">
        <v>1</v>
      </c>
      <c r="K5069" s="9">
        <v>262</v>
      </c>
      <c r="L5069" s="9">
        <v>2024</v>
      </c>
      <c r="M5069" s="8" t="s">
        <v>29212</v>
      </c>
      <c r="N5069" s="8" t="s">
        <v>243</v>
      </c>
      <c r="O5069" s="8" t="s">
        <v>758</v>
      </c>
      <c r="P5069" s="6" t="s">
        <v>306</v>
      </c>
      <c r="Q5069" s="8" t="s">
        <v>52</v>
      </c>
      <c r="R5069" s="10" t="s">
        <v>16167</v>
      </c>
      <c r="S5069" s="11" t="s">
        <v>29213</v>
      </c>
      <c r="T5069" s="6"/>
      <c r="U5069" s="15" t="str">
        <f>HYPERLINK("https://media.infra-m.ru/2073/2073476/cover/2073476.jpg", "Обложка")</f>
        <v>Обложка</v>
      </c>
      <c r="V5069" s="8" t="s">
        <v>1157</v>
      </c>
      <c r="W5069" s="6"/>
      <c r="X5069" s="6"/>
      <c r="Y5069" s="6"/>
      <c r="Z5069" s="6"/>
      <c r="AA5069" s="6" t="s">
        <v>258</v>
      </c>
      <c r="AB5069" s="8"/>
      <c r="AC5069" s="27">
        <v>9785160191287</v>
      </c>
    </row>
    <row r="5070" spans="1:29" s="4" customFormat="1" ht="42" customHeight="1" x14ac:dyDescent="0.2">
      <c r="A5070" s="5">
        <v>0</v>
      </c>
      <c r="B5070" s="6" t="s">
        <v>29214</v>
      </c>
      <c r="C5070" s="13">
        <v>924</v>
      </c>
      <c r="D5070" s="8" t="s">
        <v>29215</v>
      </c>
      <c r="E5070" s="8" t="s">
        <v>29216</v>
      </c>
      <c r="F5070" s="8" t="s">
        <v>29217</v>
      </c>
      <c r="G5070" s="6" t="s">
        <v>33</v>
      </c>
      <c r="H5070" s="6" t="s">
        <v>34</v>
      </c>
      <c r="I5070" s="8" t="s">
        <v>35</v>
      </c>
      <c r="J5070" s="9">
        <v>1</v>
      </c>
      <c r="K5070" s="9">
        <v>145</v>
      </c>
      <c r="L5070" s="9">
        <v>2024</v>
      </c>
      <c r="M5070" s="8" t="s">
        <v>29218</v>
      </c>
      <c r="N5070" s="8" t="s">
        <v>585</v>
      </c>
      <c r="O5070" s="8" t="s">
        <v>586</v>
      </c>
      <c r="P5070" s="6" t="s">
        <v>39</v>
      </c>
      <c r="Q5070" s="8" t="s">
        <v>40</v>
      </c>
      <c r="R5070" s="10" t="s">
        <v>29219</v>
      </c>
      <c r="S5070" s="11"/>
      <c r="T5070" s="6"/>
      <c r="U5070" s="15" t="str">
        <f>HYPERLINK("https://media.infra-m.ru/2110/2110856/cover/2110856.jpg", "Обложка")</f>
        <v>Обложка</v>
      </c>
      <c r="V5070" s="8" t="s">
        <v>14780</v>
      </c>
      <c r="W5070" s="6"/>
      <c r="X5070" s="6"/>
      <c r="Y5070" s="6"/>
      <c r="Z5070" s="6"/>
      <c r="AA5070" s="6" t="s">
        <v>76</v>
      </c>
      <c r="AB5070" s="8"/>
      <c r="AC5070" s="27">
        <v>9785160193465</v>
      </c>
    </row>
    <row r="5071" spans="1:29" s="4" customFormat="1" ht="51.9" customHeight="1" x14ac:dyDescent="0.2">
      <c r="A5071" s="5">
        <v>0</v>
      </c>
      <c r="B5071" s="6" t="s">
        <v>29220</v>
      </c>
      <c r="C5071" s="7">
        <v>1212</v>
      </c>
      <c r="D5071" s="8" t="s">
        <v>29221</v>
      </c>
      <c r="E5071" s="8" t="s">
        <v>29222</v>
      </c>
      <c r="F5071" s="8" t="s">
        <v>29223</v>
      </c>
      <c r="G5071" s="6" t="s">
        <v>118</v>
      </c>
      <c r="H5071" s="6" t="s">
        <v>34</v>
      </c>
      <c r="I5071" s="8" t="s">
        <v>2171</v>
      </c>
      <c r="J5071" s="9">
        <v>1</v>
      </c>
      <c r="K5071" s="9">
        <v>176</v>
      </c>
      <c r="L5071" s="9">
        <v>2026</v>
      </c>
      <c r="M5071" s="8" t="s">
        <v>29224</v>
      </c>
      <c r="N5071" s="8" t="s">
        <v>243</v>
      </c>
      <c r="O5071" s="8" t="s">
        <v>964</v>
      </c>
      <c r="P5071" s="6" t="s">
        <v>51</v>
      </c>
      <c r="Q5071" s="8" t="s">
        <v>65</v>
      </c>
      <c r="R5071" s="10" t="s">
        <v>29225</v>
      </c>
      <c r="S5071" s="11" t="s">
        <v>29226</v>
      </c>
      <c r="T5071" s="6"/>
      <c r="U5071" s="15" t="str">
        <f>HYPERLINK("https://media.infra-m.ru/2221/2221958/cover/2221958.jpg", "Обложка")</f>
        <v>Обложка</v>
      </c>
      <c r="V5071" s="8" t="s">
        <v>2175</v>
      </c>
      <c r="W5071" s="6"/>
      <c r="X5071" s="6"/>
      <c r="Y5071" s="6"/>
      <c r="Z5071" s="6"/>
      <c r="AA5071" s="6" t="s">
        <v>115</v>
      </c>
      <c r="AB5071" s="8"/>
      <c r="AC5071" s="27">
        <v>9785160149462</v>
      </c>
    </row>
    <row r="5072" spans="1:29" s="4" customFormat="1" ht="44.1" customHeight="1" x14ac:dyDescent="0.2">
      <c r="A5072" s="5">
        <v>0</v>
      </c>
      <c r="B5072" s="6" t="s">
        <v>29227</v>
      </c>
      <c r="C5072" s="7">
        <v>1956</v>
      </c>
      <c r="D5072" s="8" t="s">
        <v>29228</v>
      </c>
      <c r="E5072" s="8" t="s">
        <v>29229</v>
      </c>
      <c r="F5072" s="8" t="s">
        <v>20603</v>
      </c>
      <c r="G5072" s="6" t="s">
        <v>118</v>
      </c>
      <c r="H5072" s="6" t="s">
        <v>34</v>
      </c>
      <c r="I5072" s="8" t="s">
        <v>253</v>
      </c>
      <c r="J5072" s="9">
        <v>1</v>
      </c>
      <c r="K5072" s="9">
        <v>280</v>
      </c>
      <c r="L5072" s="9">
        <v>2026</v>
      </c>
      <c r="M5072" s="8" t="s">
        <v>29230</v>
      </c>
      <c r="N5072" s="8" t="s">
        <v>37</v>
      </c>
      <c r="O5072" s="8" t="s">
        <v>280</v>
      </c>
      <c r="P5072" s="6" t="s">
        <v>51</v>
      </c>
      <c r="Q5072" s="8" t="s">
        <v>52</v>
      </c>
      <c r="R5072" s="10" t="s">
        <v>29231</v>
      </c>
      <c r="S5072" s="11"/>
      <c r="T5072" s="6"/>
      <c r="U5072" s="15" t="str">
        <f>HYPERLINK("https://media.infra-m.ru/2259/2259668/cover/2259668.jpg", "Обложка")</f>
        <v>Обложка</v>
      </c>
      <c r="V5072" s="8" t="s">
        <v>1527</v>
      </c>
      <c r="W5072" s="6"/>
      <c r="X5072" s="6"/>
      <c r="Y5072" s="6"/>
      <c r="Z5072" s="6"/>
      <c r="AA5072" s="6" t="s">
        <v>274</v>
      </c>
      <c r="AB5072" s="8"/>
      <c r="AC5072" s="27">
        <v>9785160222455</v>
      </c>
    </row>
    <row r="5073" spans="1:29" s="4" customFormat="1" ht="51.9" customHeight="1" x14ac:dyDescent="0.2">
      <c r="A5073" s="5">
        <v>0</v>
      </c>
      <c r="B5073" s="6" t="s">
        <v>29232</v>
      </c>
      <c r="C5073" s="7">
        <v>1428</v>
      </c>
      <c r="D5073" s="8" t="s">
        <v>29233</v>
      </c>
      <c r="E5073" s="8" t="s">
        <v>29234</v>
      </c>
      <c r="F5073" s="8" t="s">
        <v>29235</v>
      </c>
      <c r="G5073" s="6" t="s">
        <v>118</v>
      </c>
      <c r="H5073" s="6" t="s">
        <v>34</v>
      </c>
      <c r="I5073" s="8" t="s">
        <v>14000</v>
      </c>
      <c r="J5073" s="9">
        <v>1</v>
      </c>
      <c r="K5073" s="9">
        <v>238</v>
      </c>
      <c r="L5073" s="9">
        <v>2025</v>
      </c>
      <c r="M5073" s="8" t="s">
        <v>29236</v>
      </c>
      <c r="N5073" s="8" t="s">
        <v>243</v>
      </c>
      <c r="O5073" s="8" t="s">
        <v>798</v>
      </c>
      <c r="P5073" s="6" t="s">
        <v>51</v>
      </c>
      <c r="Q5073" s="8" t="s">
        <v>52</v>
      </c>
      <c r="R5073" s="10" t="s">
        <v>7812</v>
      </c>
      <c r="S5073" s="11" t="s">
        <v>29237</v>
      </c>
      <c r="T5073" s="6"/>
      <c r="U5073" s="15" t="str">
        <f>HYPERLINK("https://media.infra-m.ru/2168/2168830/cover/2168830.jpg", "Обложка")</f>
        <v>Обложка</v>
      </c>
      <c r="V5073" s="8" t="s">
        <v>414</v>
      </c>
      <c r="W5073" s="6"/>
      <c r="X5073" s="6"/>
      <c r="Y5073" s="6"/>
      <c r="Z5073" s="6"/>
      <c r="AA5073" s="6" t="s">
        <v>115</v>
      </c>
      <c r="AB5073" s="8"/>
      <c r="AC5073" s="27">
        <v>9785160205014</v>
      </c>
    </row>
    <row r="5074" spans="1:29" s="4" customFormat="1" ht="51.9" customHeight="1" x14ac:dyDescent="0.2">
      <c r="A5074" s="5">
        <v>0</v>
      </c>
      <c r="B5074" s="6" t="s">
        <v>29238</v>
      </c>
      <c r="C5074" s="7">
        <v>1828.8</v>
      </c>
      <c r="D5074" s="8" t="s">
        <v>29239</v>
      </c>
      <c r="E5074" s="8" t="s">
        <v>29240</v>
      </c>
      <c r="F5074" s="8" t="s">
        <v>29241</v>
      </c>
      <c r="G5074" s="6" t="s">
        <v>60</v>
      </c>
      <c r="H5074" s="6" t="s">
        <v>1042</v>
      </c>
      <c r="I5074" s="8" t="s">
        <v>263</v>
      </c>
      <c r="J5074" s="9">
        <v>1</v>
      </c>
      <c r="K5074" s="9">
        <v>336</v>
      </c>
      <c r="L5074" s="9">
        <v>2023</v>
      </c>
      <c r="M5074" s="8" t="s">
        <v>29242</v>
      </c>
      <c r="N5074" s="8" t="s">
        <v>243</v>
      </c>
      <c r="O5074" s="8" t="s">
        <v>933</v>
      </c>
      <c r="P5074" s="6" t="s">
        <v>51</v>
      </c>
      <c r="Q5074" s="8" t="s">
        <v>265</v>
      </c>
      <c r="R5074" s="10" t="s">
        <v>29243</v>
      </c>
      <c r="S5074" s="11"/>
      <c r="T5074" s="6"/>
      <c r="U5074" s="15" t="str">
        <f>HYPERLINK("https://media.infra-m.ru/2021/2021437/cover/2021437.jpg", "Обложка")</f>
        <v>Обложка</v>
      </c>
      <c r="V5074" s="8" t="s">
        <v>14780</v>
      </c>
      <c r="W5074" s="6"/>
      <c r="X5074" s="6"/>
      <c r="Y5074" s="6"/>
      <c r="Z5074" s="6" t="s">
        <v>267</v>
      </c>
      <c r="AA5074" s="6" t="s">
        <v>430</v>
      </c>
      <c r="AB5074" s="8"/>
      <c r="AC5074" s="27">
        <v>9785819907986</v>
      </c>
    </row>
    <row r="5075" spans="1:29" s="4" customFormat="1" ht="51.9" customHeight="1" x14ac:dyDescent="0.2">
      <c r="A5075" s="5">
        <v>0</v>
      </c>
      <c r="B5075" s="6" t="s">
        <v>29244</v>
      </c>
      <c r="C5075" s="7">
        <v>1529.9</v>
      </c>
      <c r="D5075" s="8" t="s">
        <v>29245</v>
      </c>
      <c r="E5075" s="8" t="s">
        <v>29246</v>
      </c>
      <c r="F5075" s="8" t="s">
        <v>29241</v>
      </c>
      <c r="G5075" s="6" t="s">
        <v>118</v>
      </c>
      <c r="H5075" s="6" t="s">
        <v>1042</v>
      </c>
      <c r="I5075" s="8" t="s">
        <v>253</v>
      </c>
      <c r="J5075" s="9">
        <v>1</v>
      </c>
      <c r="K5075" s="9">
        <v>336</v>
      </c>
      <c r="L5075" s="9">
        <v>2022</v>
      </c>
      <c r="M5075" s="8" t="s">
        <v>29247</v>
      </c>
      <c r="N5075" s="8" t="s">
        <v>243</v>
      </c>
      <c r="O5075" s="8" t="s">
        <v>933</v>
      </c>
      <c r="P5075" s="6" t="s">
        <v>51</v>
      </c>
      <c r="Q5075" s="8" t="s">
        <v>52</v>
      </c>
      <c r="R5075" s="10" t="s">
        <v>29248</v>
      </c>
      <c r="S5075" s="11" t="s">
        <v>29249</v>
      </c>
      <c r="T5075" s="6"/>
      <c r="U5075" s="15" t="str">
        <f>HYPERLINK("https://media.infra-m.ru/1832/1832365/cover/1832365.jpg", "Обложка")</f>
        <v>Обложка</v>
      </c>
      <c r="V5075" s="8" t="s">
        <v>14780</v>
      </c>
      <c r="W5075" s="6"/>
      <c r="X5075" s="6"/>
      <c r="Y5075" s="6"/>
      <c r="Z5075" s="6"/>
      <c r="AA5075" s="6" t="s">
        <v>1506</v>
      </c>
      <c r="AB5075" s="8"/>
      <c r="AC5075" s="27">
        <v>9785819907207</v>
      </c>
    </row>
    <row r="5076" spans="1:29" s="4" customFormat="1" ht="51.9" customHeight="1" x14ac:dyDescent="0.2">
      <c r="A5076" s="5">
        <v>0</v>
      </c>
      <c r="B5076" s="6" t="s">
        <v>29250</v>
      </c>
      <c r="C5076" s="7">
        <v>2020.8</v>
      </c>
      <c r="D5076" s="8" t="s">
        <v>29251</v>
      </c>
      <c r="E5076" s="8" t="s">
        <v>29246</v>
      </c>
      <c r="F5076" s="8" t="s">
        <v>29252</v>
      </c>
      <c r="G5076" s="6" t="s">
        <v>60</v>
      </c>
      <c r="H5076" s="6" t="s">
        <v>313</v>
      </c>
      <c r="I5076" s="8" t="s">
        <v>253</v>
      </c>
      <c r="J5076" s="9">
        <v>1</v>
      </c>
      <c r="K5076" s="9">
        <v>336</v>
      </c>
      <c r="L5076" s="9">
        <v>2025</v>
      </c>
      <c r="M5076" s="8" t="s">
        <v>29253</v>
      </c>
      <c r="N5076" s="8" t="s">
        <v>243</v>
      </c>
      <c r="O5076" s="8" t="s">
        <v>933</v>
      </c>
      <c r="P5076" s="6" t="s">
        <v>51</v>
      </c>
      <c r="Q5076" s="8" t="s">
        <v>52</v>
      </c>
      <c r="R5076" s="10" t="s">
        <v>29254</v>
      </c>
      <c r="S5076" s="11" t="s">
        <v>29255</v>
      </c>
      <c r="T5076" s="6"/>
      <c r="U5076" s="15" t="str">
        <f>HYPERLINK("https://media.infra-m.ru/2185/2185911/cover/2185911.jpg", "Обложка")</f>
        <v>Обложка</v>
      </c>
      <c r="V5076" s="8"/>
      <c r="W5076" s="6"/>
      <c r="X5076" s="6"/>
      <c r="Y5076" s="6"/>
      <c r="Z5076" s="6"/>
      <c r="AA5076" s="6" t="s">
        <v>1015</v>
      </c>
      <c r="AB5076" s="8"/>
      <c r="AC5076" s="27">
        <v>5369000018</v>
      </c>
    </row>
    <row r="5077" spans="1:29" s="4" customFormat="1" ht="51.9" customHeight="1" x14ac:dyDescent="0.2">
      <c r="A5077" s="5">
        <v>0</v>
      </c>
      <c r="B5077" s="6" t="s">
        <v>29256</v>
      </c>
      <c r="C5077" s="7">
        <v>3614.4</v>
      </c>
      <c r="D5077" s="8" t="s">
        <v>29257</v>
      </c>
      <c r="E5077" s="8" t="s">
        <v>29246</v>
      </c>
      <c r="F5077" s="8" t="s">
        <v>29258</v>
      </c>
      <c r="G5077" s="6" t="s">
        <v>60</v>
      </c>
      <c r="H5077" s="6" t="s">
        <v>1042</v>
      </c>
      <c r="I5077" s="8" t="s">
        <v>253</v>
      </c>
      <c r="J5077" s="9">
        <v>1</v>
      </c>
      <c r="K5077" s="9">
        <v>448</v>
      </c>
      <c r="L5077" s="9">
        <v>2025</v>
      </c>
      <c r="M5077" s="8" t="s">
        <v>29259</v>
      </c>
      <c r="N5077" s="8" t="s">
        <v>243</v>
      </c>
      <c r="O5077" s="8" t="s">
        <v>933</v>
      </c>
      <c r="P5077" s="6" t="s">
        <v>51</v>
      </c>
      <c r="Q5077" s="8" t="s">
        <v>52</v>
      </c>
      <c r="R5077" s="10" t="s">
        <v>29260</v>
      </c>
      <c r="S5077" s="11" t="s">
        <v>29261</v>
      </c>
      <c r="T5077" s="6"/>
      <c r="U5077" s="15" t="str">
        <f>HYPERLINK("https://media.infra-m.ru/2210/2210911/cover/2210911.jpg", "Обложка")</f>
        <v>Обложка</v>
      </c>
      <c r="V5077" s="8" t="s">
        <v>14780</v>
      </c>
      <c r="W5077" s="6"/>
      <c r="X5077" s="6"/>
      <c r="Y5077" s="6"/>
      <c r="Z5077" s="6"/>
      <c r="AA5077" s="6" t="s">
        <v>129</v>
      </c>
      <c r="AB5077" s="8"/>
      <c r="AC5077" s="27">
        <v>9785819904664</v>
      </c>
    </row>
    <row r="5078" spans="1:29" s="4" customFormat="1" ht="51.9" customHeight="1" x14ac:dyDescent="0.2">
      <c r="A5078" s="5">
        <v>0</v>
      </c>
      <c r="B5078" s="6" t="s">
        <v>29262</v>
      </c>
      <c r="C5078" s="7">
        <v>2748</v>
      </c>
      <c r="D5078" s="8" t="s">
        <v>29263</v>
      </c>
      <c r="E5078" s="8" t="s">
        <v>29246</v>
      </c>
      <c r="F5078" s="8" t="s">
        <v>29264</v>
      </c>
      <c r="G5078" s="6" t="s">
        <v>118</v>
      </c>
      <c r="H5078" s="6" t="s">
        <v>1042</v>
      </c>
      <c r="I5078" s="8" t="s">
        <v>263</v>
      </c>
      <c r="J5078" s="9">
        <v>1</v>
      </c>
      <c r="K5078" s="9">
        <v>448</v>
      </c>
      <c r="L5078" s="9">
        <v>2023</v>
      </c>
      <c r="M5078" s="8" t="s">
        <v>29265</v>
      </c>
      <c r="N5078" s="8" t="s">
        <v>243</v>
      </c>
      <c r="O5078" s="8" t="s">
        <v>933</v>
      </c>
      <c r="P5078" s="6" t="s">
        <v>51</v>
      </c>
      <c r="Q5078" s="8" t="s">
        <v>265</v>
      </c>
      <c r="R5078" s="10" t="s">
        <v>29266</v>
      </c>
      <c r="S5078" s="11" t="s">
        <v>29267</v>
      </c>
      <c r="T5078" s="6"/>
      <c r="U5078" s="15" t="str">
        <f>HYPERLINK("https://media.infra-m.ru/1979/1979055/cover/1979055.jpg", "Обложка")</f>
        <v>Обложка</v>
      </c>
      <c r="V5078" s="8" t="s">
        <v>14780</v>
      </c>
      <c r="W5078" s="6"/>
      <c r="X5078" s="6"/>
      <c r="Y5078" s="6"/>
      <c r="Z5078" s="6" t="s">
        <v>267</v>
      </c>
      <c r="AA5078" s="6" t="s">
        <v>430</v>
      </c>
      <c r="AB5078" s="8"/>
      <c r="AC5078" s="27">
        <v>9785819907993</v>
      </c>
    </row>
    <row r="5079" spans="1:29" s="4" customFormat="1" ht="44.1" customHeight="1" x14ac:dyDescent="0.2">
      <c r="A5079" s="5">
        <v>0</v>
      </c>
      <c r="B5079" s="6" t="s">
        <v>29268</v>
      </c>
      <c r="C5079" s="7">
        <v>2544</v>
      </c>
      <c r="D5079" s="8" t="s">
        <v>29269</v>
      </c>
      <c r="E5079" s="8" t="s">
        <v>29270</v>
      </c>
      <c r="F5079" s="8" t="s">
        <v>29271</v>
      </c>
      <c r="G5079" s="6" t="s">
        <v>60</v>
      </c>
      <c r="H5079" s="6" t="s">
        <v>313</v>
      </c>
      <c r="I5079" s="8" t="s">
        <v>10560</v>
      </c>
      <c r="J5079" s="9">
        <v>1</v>
      </c>
      <c r="K5079" s="9">
        <v>406</v>
      </c>
      <c r="L5079" s="9">
        <v>2025</v>
      </c>
      <c r="M5079" s="8" t="s">
        <v>29272</v>
      </c>
      <c r="N5079" s="8" t="s">
        <v>37</v>
      </c>
      <c r="O5079" s="8" t="s">
        <v>136</v>
      </c>
      <c r="P5079" s="6" t="s">
        <v>39</v>
      </c>
      <c r="Q5079" s="8" t="s">
        <v>1660</v>
      </c>
      <c r="R5079" s="10" t="s">
        <v>12446</v>
      </c>
      <c r="S5079" s="11"/>
      <c r="T5079" s="6"/>
      <c r="U5079" s="15" t="str">
        <f>HYPERLINK("https://media.infra-m.ru/2192/2192590/cover/2192590.jpg", "Обложка")</f>
        <v>Обложка</v>
      </c>
      <c r="V5079" s="8" t="s">
        <v>1949</v>
      </c>
      <c r="W5079" s="6"/>
      <c r="X5079" s="6"/>
      <c r="Y5079" s="6"/>
      <c r="Z5079" s="6"/>
      <c r="AA5079" s="6" t="s">
        <v>68</v>
      </c>
      <c r="AB5079" s="8"/>
      <c r="AC5079" s="27">
        <v>9785369019832</v>
      </c>
    </row>
    <row r="5080" spans="1:29" s="4" customFormat="1" ht="51.9" customHeight="1" x14ac:dyDescent="0.2">
      <c r="A5080" s="5">
        <v>0</v>
      </c>
      <c r="B5080" s="6" t="s">
        <v>29273</v>
      </c>
      <c r="C5080" s="7">
        <v>1368</v>
      </c>
      <c r="D5080" s="8" t="s">
        <v>29274</v>
      </c>
      <c r="E5080" s="8" t="s">
        <v>29275</v>
      </c>
      <c r="F5080" s="8" t="s">
        <v>29276</v>
      </c>
      <c r="G5080" s="6" t="s">
        <v>118</v>
      </c>
      <c r="H5080" s="6" t="s">
        <v>34</v>
      </c>
      <c r="I5080" s="8" t="s">
        <v>271</v>
      </c>
      <c r="J5080" s="9">
        <v>1</v>
      </c>
      <c r="K5080" s="9">
        <v>246</v>
      </c>
      <c r="L5080" s="9">
        <v>2023</v>
      </c>
      <c r="M5080" s="8" t="s">
        <v>29277</v>
      </c>
      <c r="N5080" s="8" t="s">
        <v>243</v>
      </c>
      <c r="O5080" s="8" t="s">
        <v>758</v>
      </c>
      <c r="P5080" s="6" t="s">
        <v>51</v>
      </c>
      <c r="Q5080" s="8" t="s">
        <v>52</v>
      </c>
      <c r="R5080" s="10" t="s">
        <v>19404</v>
      </c>
      <c r="S5080" s="11" t="s">
        <v>29278</v>
      </c>
      <c r="T5080" s="6"/>
      <c r="U5080" s="15" t="str">
        <f>HYPERLINK("https://media.infra-m.ru/2126/2126481/cover/2126481.jpg", "Обложка")</f>
        <v>Обложка</v>
      </c>
      <c r="V5080" s="8" t="s">
        <v>227</v>
      </c>
      <c r="W5080" s="6"/>
      <c r="X5080" s="6"/>
      <c r="Y5080" s="6"/>
      <c r="Z5080" s="6"/>
      <c r="AA5080" s="6" t="s">
        <v>115</v>
      </c>
      <c r="AB5080" s="8"/>
      <c r="AC5080" s="27">
        <v>9785160136011</v>
      </c>
    </row>
    <row r="5081" spans="1:29" s="4" customFormat="1" ht="51.9" customHeight="1" x14ac:dyDescent="0.2">
      <c r="A5081" s="5">
        <v>0</v>
      </c>
      <c r="B5081" s="6" t="s">
        <v>29279</v>
      </c>
      <c r="C5081" s="7">
        <v>1872</v>
      </c>
      <c r="D5081" s="8" t="s">
        <v>29280</v>
      </c>
      <c r="E5081" s="8" t="s">
        <v>29281</v>
      </c>
      <c r="F5081" s="8" t="s">
        <v>29282</v>
      </c>
      <c r="G5081" s="6" t="s">
        <v>118</v>
      </c>
      <c r="H5081" s="6" t="s">
        <v>34</v>
      </c>
      <c r="I5081" s="8" t="s">
        <v>253</v>
      </c>
      <c r="J5081" s="9">
        <v>1</v>
      </c>
      <c r="K5081" s="9">
        <v>336</v>
      </c>
      <c r="L5081" s="9">
        <v>2024</v>
      </c>
      <c r="M5081" s="8" t="s">
        <v>29283</v>
      </c>
      <c r="N5081" s="8" t="s">
        <v>37</v>
      </c>
      <c r="O5081" s="8" t="s">
        <v>499</v>
      </c>
      <c r="P5081" s="6" t="s">
        <v>51</v>
      </c>
      <c r="Q5081" s="8" t="s">
        <v>52</v>
      </c>
      <c r="R5081" s="10" t="s">
        <v>29284</v>
      </c>
      <c r="S5081" s="11" t="s">
        <v>29285</v>
      </c>
      <c r="T5081" s="6"/>
      <c r="U5081" s="15" t="str">
        <f>HYPERLINK("https://media.infra-m.ru/2126/2126822/cover/2126822.jpg", "Обложка")</f>
        <v>Обложка</v>
      </c>
      <c r="V5081" s="8" t="s">
        <v>2522</v>
      </c>
      <c r="W5081" s="6"/>
      <c r="X5081" s="6"/>
      <c r="Y5081" s="6"/>
      <c r="Z5081" s="6"/>
      <c r="AA5081" s="6" t="s">
        <v>258</v>
      </c>
      <c r="AB5081" s="8"/>
      <c r="AC5081" s="27">
        <v>9785160195438</v>
      </c>
    </row>
    <row r="5082" spans="1:29" s="4" customFormat="1" ht="51.9" customHeight="1" x14ac:dyDescent="0.2">
      <c r="A5082" s="5">
        <v>0</v>
      </c>
      <c r="B5082" s="6" t="s">
        <v>29286</v>
      </c>
      <c r="C5082" s="7">
        <v>3388.8</v>
      </c>
      <c r="D5082" s="8" t="s">
        <v>29287</v>
      </c>
      <c r="E5082" s="8" t="s">
        <v>29288</v>
      </c>
      <c r="F5082" s="8" t="s">
        <v>29289</v>
      </c>
      <c r="G5082" s="6" t="s">
        <v>60</v>
      </c>
      <c r="H5082" s="6" t="s">
        <v>34</v>
      </c>
      <c r="I5082" s="8" t="s">
        <v>10637</v>
      </c>
      <c r="J5082" s="9">
        <v>1</v>
      </c>
      <c r="K5082" s="9">
        <v>487</v>
      </c>
      <c r="L5082" s="9">
        <v>2027</v>
      </c>
      <c r="M5082" s="8" t="s">
        <v>29290</v>
      </c>
      <c r="N5082" s="8" t="s">
        <v>243</v>
      </c>
      <c r="O5082" s="8" t="s">
        <v>758</v>
      </c>
      <c r="P5082" s="6" t="s">
        <v>306</v>
      </c>
      <c r="Q5082" s="8" t="s">
        <v>265</v>
      </c>
      <c r="R5082" s="10" t="s">
        <v>29291</v>
      </c>
      <c r="S5082" s="11" t="s">
        <v>29292</v>
      </c>
      <c r="T5082" s="6"/>
      <c r="U5082" s="15" t="str">
        <f>HYPERLINK("https://media.infra-m.ru/2212/2212642/cover/2212642.jpg", "Обложка")</f>
        <v>Обложка</v>
      </c>
      <c r="V5082" s="8" t="s">
        <v>1083</v>
      </c>
      <c r="W5082" s="6"/>
      <c r="X5082" s="6"/>
      <c r="Y5082" s="6"/>
      <c r="Z5082" s="6" t="s">
        <v>267</v>
      </c>
      <c r="AA5082" s="6" t="s">
        <v>2240</v>
      </c>
      <c r="AB5082" s="8"/>
      <c r="AC5082" s="27">
        <v>9785160179261</v>
      </c>
    </row>
    <row r="5083" spans="1:29" s="4" customFormat="1" ht="51.9" customHeight="1" x14ac:dyDescent="0.2">
      <c r="A5083" s="5">
        <v>0</v>
      </c>
      <c r="B5083" s="6" t="s">
        <v>29293</v>
      </c>
      <c r="C5083" s="7">
        <v>3396</v>
      </c>
      <c r="D5083" s="8" t="s">
        <v>29294</v>
      </c>
      <c r="E5083" s="8" t="s">
        <v>29288</v>
      </c>
      <c r="F5083" s="8" t="s">
        <v>29295</v>
      </c>
      <c r="G5083" s="6" t="s">
        <v>60</v>
      </c>
      <c r="H5083" s="6" t="s">
        <v>34</v>
      </c>
      <c r="I5083" s="8" t="s">
        <v>253</v>
      </c>
      <c r="J5083" s="9">
        <v>1</v>
      </c>
      <c r="K5083" s="9">
        <v>487</v>
      </c>
      <c r="L5083" s="9">
        <v>2027</v>
      </c>
      <c r="M5083" s="8" t="s">
        <v>29296</v>
      </c>
      <c r="N5083" s="8" t="s">
        <v>243</v>
      </c>
      <c r="O5083" s="8" t="s">
        <v>758</v>
      </c>
      <c r="P5083" s="6" t="s">
        <v>306</v>
      </c>
      <c r="Q5083" s="8" t="s">
        <v>52</v>
      </c>
      <c r="R5083" s="10" t="s">
        <v>29297</v>
      </c>
      <c r="S5083" s="11" t="s">
        <v>29298</v>
      </c>
      <c r="T5083" s="6"/>
      <c r="U5083" s="15" t="str">
        <f>HYPERLINK("https://media.infra-m.ru/2265/2265026/cover/2265026.jpg", "Обложка")</f>
        <v>Обложка</v>
      </c>
      <c r="V5083" s="8" t="s">
        <v>1083</v>
      </c>
      <c r="W5083" s="6"/>
      <c r="X5083" s="6"/>
      <c r="Y5083" s="6"/>
      <c r="Z5083" s="6"/>
      <c r="AA5083" s="6" t="s">
        <v>360</v>
      </c>
      <c r="AB5083" s="8"/>
      <c r="AC5083" s="27">
        <v>9785160223902</v>
      </c>
    </row>
    <row r="5084" spans="1:29" s="4" customFormat="1" ht="51.9" customHeight="1" x14ac:dyDescent="0.2">
      <c r="A5084" s="5">
        <v>0</v>
      </c>
      <c r="B5084" s="6" t="s">
        <v>29299</v>
      </c>
      <c r="C5084" s="7">
        <v>1944</v>
      </c>
      <c r="D5084" s="8" t="s">
        <v>29300</v>
      </c>
      <c r="E5084" s="8" t="s">
        <v>29301</v>
      </c>
      <c r="F5084" s="8" t="s">
        <v>29302</v>
      </c>
      <c r="G5084" s="6" t="s">
        <v>118</v>
      </c>
      <c r="H5084" s="6" t="s">
        <v>34</v>
      </c>
      <c r="I5084" s="8" t="s">
        <v>263</v>
      </c>
      <c r="J5084" s="9">
        <v>1</v>
      </c>
      <c r="K5084" s="9">
        <v>295</v>
      </c>
      <c r="L5084" s="9">
        <v>2026</v>
      </c>
      <c r="M5084" s="8" t="s">
        <v>29303</v>
      </c>
      <c r="N5084" s="8" t="s">
        <v>243</v>
      </c>
      <c r="O5084" s="8" t="s">
        <v>1100</v>
      </c>
      <c r="P5084" s="6" t="s">
        <v>306</v>
      </c>
      <c r="Q5084" s="8" t="s">
        <v>265</v>
      </c>
      <c r="R5084" s="10" t="s">
        <v>29304</v>
      </c>
      <c r="S5084" s="11" t="s">
        <v>29305</v>
      </c>
      <c r="T5084" s="6"/>
      <c r="U5084" s="15" t="str">
        <f>HYPERLINK("https://media.infra-m.ru/2248/2248352/cover/2248352.jpg", "Обложка")</f>
        <v>Обложка</v>
      </c>
      <c r="V5084" s="8"/>
      <c r="W5084" s="6"/>
      <c r="X5084" s="6"/>
      <c r="Y5084" s="6"/>
      <c r="Z5084" s="6" t="s">
        <v>267</v>
      </c>
      <c r="AA5084" s="6" t="s">
        <v>896</v>
      </c>
      <c r="AB5084" s="8"/>
      <c r="AC5084" s="27">
        <v>9785160156248</v>
      </c>
    </row>
    <row r="5085" spans="1:29" s="4" customFormat="1" ht="51.9" customHeight="1" x14ac:dyDescent="0.2">
      <c r="A5085" s="5">
        <v>0</v>
      </c>
      <c r="B5085" s="6" t="s">
        <v>29306</v>
      </c>
      <c r="C5085" s="7">
        <v>2056.8000000000002</v>
      </c>
      <c r="D5085" s="8" t="s">
        <v>29307</v>
      </c>
      <c r="E5085" s="8" t="s">
        <v>29301</v>
      </c>
      <c r="F5085" s="8" t="s">
        <v>29308</v>
      </c>
      <c r="G5085" s="6" t="s">
        <v>118</v>
      </c>
      <c r="H5085" s="6" t="s">
        <v>34</v>
      </c>
      <c r="I5085" s="8" t="s">
        <v>271</v>
      </c>
      <c r="J5085" s="9">
        <v>1</v>
      </c>
      <c r="K5085" s="9">
        <v>295</v>
      </c>
      <c r="L5085" s="9">
        <v>2026</v>
      </c>
      <c r="M5085" s="8" t="s">
        <v>29309</v>
      </c>
      <c r="N5085" s="8" t="s">
        <v>243</v>
      </c>
      <c r="O5085" s="8" t="s">
        <v>1100</v>
      </c>
      <c r="P5085" s="6" t="s">
        <v>306</v>
      </c>
      <c r="Q5085" s="8" t="s">
        <v>52</v>
      </c>
      <c r="R5085" s="10" t="s">
        <v>2820</v>
      </c>
      <c r="S5085" s="11" t="s">
        <v>29310</v>
      </c>
      <c r="T5085" s="6"/>
      <c r="U5085" s="15" t="str">
        <f>HYPERLINK("https://media.infra-m.ru/2253/2253922/cover/2253922.jpg", "Обложка")</f>
        <v>Обложка</v>
      </c>
      <c r="V5085" s="8" t="s">
        <v>9943</v>
      </c>
      <c r="W5085" s="6"/>
      <c r="X5085" s="6"/>
      <c r="Y5085" s="6"/>
      <c r="Z5085" s="6"/>
      <c r="AA5085" s="6" t="s">
        <v>896</v>
      </c>
      <c r="AB5085" s="8"/>
      <c r="AC5085" s="27">
        <v>9785160158037</v>
      </c>
    </row>
    <row r="5086" spans="1:29" s="4" customFormat="1" ht="51.9" customHeight="1" x14ac:dyDescent="0.2">
      <c r="A5086" s="5">
        <v>0</v>
      </c>
      <c r="B5086" s="6" t="s">
        <v>29311</v>
      </c>
      <c r="C5086" s="13">
        <v>772.8</v>
      </c>
      <c r="D5086" s="8" t="s">
        <v>29312</v>
      </c>
      <c r="E5086" s="8" t="s">
        <v>29313</v>
      </c>
      <c r="F5086" s="8" t="s">
        <v>29314</v>
      </c>
      <c r="G5086" s="6" t="s">
        <v>33</v>
      </c>
      <c r="H5086" s="6" t="s">
        <v>34</v>
      </c>
      <c r="I5086" s="8" t="s">
        <v>253</v>
      </c>
      <c r="J5086" s="9">
        <v>1</v>
      </c>
      <c r="K5086" s="9">
        <v>118</v>
      </c>
      <c r="L5086" s="9">
        <v>2026</v>
      </c>
      <c r="M5086" s="8" t="s">
        <v>29315</v>
      </c>
      <c r="N5086" s="8" t="s">
        <v>243</v>
      </c>
      <c r="O5086" s="8" t="s">
        <v>329</v>
      </c>
      <c r="P5086" s="6" t="s">
        <v>51</v>
      </c>
      <c r="Q5086" s="8" t="s">
        <v>52</v>
      </c>
      <c r="R5086" s="10" t="s">
        <v>29316</v>
      </c>
      <c r="S5086" s="11" t="s">
        <v>29317</v>
      </c>
      <c r="T5086" s="6"/>
      <c r="U5086" s="15" t="str">
        <f>HYPERLINK("https://media.infra-m.ru/2221/2221509/cover/2221509.jpg", "Обложка")</f>
        <v>Обложка</v>
      </c>
      <c r="V5086" s="8" t="s">
        <v>7003</v>
      </c>
      <c r="W5086" s="6"/>
      <c r="X5086" s="6"/>
      <c r="Y5086" s="6"/>
      <c r="Z5086" s="6"/>
      <c r="AA5086" s="6" t="s">
        <v>43</v>
      </c>
      <c r="AB5086" s="8"/>
      <c r="AC5086" s="27">
        <v>9785160191577</v>
      </c>
    </row>
    <row r="5087" spans="1:29" s="4" customFormat="1" ht="51.9" customHeight="1" x14ac:dyDescent="0.2">
      <c r="A5087" s="5">
        <v>0</v>
      </c>
      <c r="B5087" s="6" t="s">
        <v>29318</v>
      </c>
      <c r="C5087" s="7">
        <v>2692.8</v>
      </c>
      <c r="D5087" s="8" t="s">
        <v>29319</v>
      </c>
      <c r="E5087" s="8" t="s">
        <v>29320</v>
      </c>
      <c r="F5087" s="8" t="s">
        <v>29321</v>
      </c>
      <c r="G5087" s="6" t="s">
        <v>60</v>
      </c>
      <c r="H5087" s="6" t="s">
        <v>34</v>
      </c>
      <c r="I5087" s="8" t="s">
        <v>271</v>
      </c>
      <c r="J5087" s="9">
        <v>1</v>
      </c>
      <c r="K5087" s="9">
        <v>432</v>
      </c>
      <c r="L5087" s="9">
        <v>2025</v>
      </c>
      <c r="M5087" s="8" t="s">
        <v>29322</v>
      </c>
      <c r="N5087" s="8" t="s">
        <v>243</v>
      </c>
      <c r="O5087" s="8" t="s">
        <v>758</v>
      </c>
      <c r="P5087" s="6" t="s">
        <v>51</v>
      </c>
      <c r="Q5087" s="8" t="s">
        <v>52</v>
      </c>
      <c r="R5087" s="10" t="s">
        <v>29323</v>
      </c>
      <c r="S5087" s="11" t="s">
        <v>29324</v>
      </c>
      <c r="T5087" s="6"/>
      <c r="U5087" s="15" t="str">
        <f>HYPERLINK("https://media.infra-m.ru/2194/2194363/cover/2194363.jpg", "Обложка")</f>
        <v>Обложка</v>
      </c>
      <c r="V5087" s="8" t="s">
        <v>631</v>
      </c>
      <c r="W5087" s="6"/>
      <c r="X5087" s="6"/>
      <c r="Y5087" s="6"/>
      <c r="Z5087" s="6"/>
      <c r="AA5087" s="6" t="s">
        <v>248</v>
      </c>
      <c r="AB5087" s="8"/>
      <c r="AC5087" s="27">
        <v>9785160057712</v>
      </c>
    </row>
    <row r="5088" spans="1:29" s="4" customFormat="1" ht="51.9" customHeight="1" x14ac:dyDescent="0.2">
      <c r="A5088" s="5">
        <v>0</v>
      </c>
      <c r="B5088" s="6" t="s">
        <v>29325</v>
      </c>
      <c r="C5088" s="7">
        <v>1944</v>
      </c>
      <c r="D5088" s="8" t="s">
        <v>29326</v>
      </c>
      <c r="E5088" s="8" t="s">
        <v>29327</v>
      </c>
      <c r="F5088" s="8" t="s">
        <v>29328</v>
      </c>
      <c r="G5088" s="6" t="s">
        <v>118</v>
      </c>
      <c r="H5088" s="6" t="s">
        <v>34</v>
      </c>
      <c r="I5088" s="8" t="s">
        <v>504</v>
      </c>
      <c r="J5088" s="9">
        <v>1</v>
      </c>
      <c r="K5088" s="9">
        <v>352</v>
      </c>
      <c r="L5088" s="9">
        <v>2024</v>
      </c>
      <c r="M5088" s="8" t="s">
        <v>29329</v>
      </c>
      <c r="N5088" s="8" t="s">
        <v>243</v>
      </c>
      <c r="O5088" s="8" t="s">
        <v>964</v>
      </c>
      <c r="P5088" s="6" t="s">
        <v>51</v>
      </c>
      <c r="Q5088" s="8" t="s">
        <v>500</v>
      </c>
      <c r="R5088" s="10" t="s">
        <v>29330</v>
      </c>
      <c r="S5088" s="11" t="s">
        <v>29331</v>
      </c>
      <c r="T5088" s="6"/>
      <c r="U5088" s="15" t="str">
        <f>HYPERLINK("https://media.infra-m.ru/2094/2094505/cover/2094505.jpg", "Обложка")</f>
        <v>Обложка</v>
      </c>
      <c r="V5088" s="8" t="s">
        <v>29332</v>
      </c>
      <c r="W5088" s="6"/>
      <c r="X5088" s="6"/>
      <c r="Y5088" s="6"/>
      <c r="Z5088" s="6"/>
      <c r="AA5088" s="6" t="s">
        <v>360</v>
      </c>
      <c r="AB5088" s="8"/>
      <c r="AC5088" s="27">
        <v>9785160116778</v>
      </c>
    </row>
    <row r="5089" spans="1:29" s="4" customFormat="1" ht="51.9" customHeight="1" x14ac:dyDescent="0.2">
      <c r="A5089" s="5">
        <v>0</v>
      </c>
      <c r="B5089" s="6" t="s">
        <v>29333</v>
      </c>
      <c r="C5089" s="7">
        <v>1372.8</v>
      </c>
      <c r="D5089" s="8" t="s">
        <v>29334</v>
      </c>
      <c r="E5089" s="8" t="s">
        <v>29335</v>
      </c>
      <c r="F5089" s="8" t="s">
        <v>29336</v>
      </c>
      <c r="G5089" s="6" t="s">
        <v>118</v>
      </c>
      <c r="H5089" s="6" t="s">
        <v>34</v>
      </c>
      <c r="I5089" s="8" t="s">
        <v>263</v>
      </c>
      <c r="J5089" s="9">
        <v>1</v>
      </c>
      <c r="K5089" s="9">
        <v>208</v>
      </c>
      <c r="L5089" s="9">
        <v>2026</v>
      </c>
      <c r="M5089" s="8" t="s">
        <v>29337</v>
      </c>
      <c r="N5089" s="8" t="s">
        <v>243</v>
      </c>
      <c r="O5089" s="8" t="s">
        <v>798</v>
      </c>
      <c r="P5089" s="6" t="s">
        <v>306</v>
      </c>
      <c r="Q5089" s="8" t="s">
        <v>265</v>
      </c>
      <c r="R5089" s="10" t="s">
        <v>29338</v>
      </c>
      <c r="S5089" s="11" t="s">
        <v>16394</v>
      </c>
      <c r="T5089" s="6"/>
      <c r="U5089" s="15" t="str">
        <f>HYPERLINK("https://media.infra-m.ru/2233/2233670/cover/2233670.jpg", "Обложка")</f>
        <v>Обложка</v>
      </c>
      <c r="V5089" s="8" t="s">
        <v>809</v>
      </c>
      <c r="W5089" s="6"/>
      <c r="X5089" s="6" t="s">
        <v>24</v>
      </c>
      <c r="Y5089" s="6"/>
      <c r="Z5089" s="6"/>
      <c r="AA5089" s="6" t="s">
        <v>4554</v>
      </c>
      <c r="AB5089" s="8"/>
      <c r="AC5089" s="27">
        <v>9785160055527</v>
      </c>
    </row>
    <row r="5090" spans="1:29" s="4" customFormat="1" ht="51.9" customHeight="1" x14ac:dyDescent="0.2">
      <c r="A5090" s="5">
        <v>0</v>
      </c>
      <c r="B5090" s="6" t="s">
        <v>29339</v>
      </c>
      <c r="C5090" s="7">
        <v>2944.8</v>
      </c>
      <c r="D5090" s="8" t="s">
        <v>29340</v>
      </c>
      <c r="E5090" s="8" t="s">
        <v>29341</v>
      </c>
      <c r="F5090" s="8" t="s">
        <v>29342</v>
      </c>
      <c r="G5090" s="6" t="s">
        <v>60</v>
      </c>
      <c r="H5090" s="6" t="s">
        <v>34</v>
      </c>
      <c r="I5090" s="8" t="s">
        <v>271</v>
      </c>
      <c r="J5090" s="9">
        <v>1</v>
      </c>
      <c r="K5090" s="9">
        <v>446</v>
      </c>
      <c r="L5090" s="9">
        <v>2026</v>
      </c>
      <c r="M5090" s="8" t="s">
        <v>29343</v>
      </c>
      <c r="N5090" s="8" t="s">
        <v>243</v>
      </c>
      <c r="O5090" s="8" t="s">
        <v>758</v>
      </c>
      <c r="P5090" s="6" t="s">
        <v>51</v>
      </c>
      <c r="Q5090" s="8" t="s">
        <v>52</v>
      </c>
      <c r="R5090" s="10" t="s">
        <v>29344</v>
      </c>
      <c r="S5090" s="11" t="s">
        <v>29345</v>
      </c>
      <c r="T5090" s="6"/>
      <c r="U5090" s="15" t="str">
        <f>HYPERLINK("https://media.infra-m.ru/2247/2247580/cover/2247580.jpg", "Обложка")</f>
        <v>Обложка</v>
      </c>
      <c r="V5090" s="8" t="s">
        <v>7509</v>
      </c>
      <c r="W5090" s="6"/>
      <c r="X5090" s="6"/>
      <c r="Y5090" s="6"/>
      <c r="Z5090" s="6"/>
      <c r="AA5090" s="6" t="s">
        <v>248</v>
      </c>
      <c r="AB5090" s="8"/>
      <c r="AC5090" s="27">
        <v>9785160093727</v>
      </c>
    </row>
    <row r="5091" spans="1:29" s="4" customFormat="1" ht="51.9" customHeight="1" x14ac:dyDescent="0.2">
      <c r="A5091" s="5">
        <v>0</v>
      </c>
      <c r="B5091" s="6" t="s">
        <v>29346</v>
      </c>
      <c r="C5091" s="7">
        <v>2064</v>
      </c>
      <c r="D5091" s="8" t="s">
        <v>29347</v>
      </c>
      <c r="E5091" s="8" t="s">
        <v>29348</v>
      </c>
      <c r="F5091" s="8" t="s">
        <v>29349</v>
      </c>
      <c r="G5091" s="6" t="s">
        <v>118</v>
      </c>
      <c r="H5091" s="6" t="s">
        <v>34</v>
      </c>
      <c r="I5091" s="8" t="s">
        <v>263</v>
      </c>
      <c r="J5091" s="9">
        <v>1</v>
      </c>
      <c r="K5091" s="9">
        <v>295</v>
      </c>
      <c r="L5091" s="9">
        <v>2026</v>
      </c>
      <c r="M5091" s="8" t="s">
        <v>29350</v>
      </c>
      <c r="N5091" s="8" t="s">
        <v>243</v>
      </c>
      <c r="O5091" s="8" t="s">
        <v>758</v>
      </c>
      <c r="P5091" s="6" t="s">
        <v>306</v>
      </c>
      <c r="Q5091" s="8" t="s">
        <v>265</v>
      </c>
      <c r="R5091" s="10" t="s">
        <v>29351</v>
      </c>
      <c r="S5091" s="11" t="s">
        <v>29352</v>
      </c>
      <c r="T5091" s="6"/>
      <c r="U5091" s="15" t="str">
        <f>HYPERLINK("https://media.infra-m.ru/2260/2260540/cover/2260540.jpg", "Обложка")</f>
        <v>Обложка</v>
      </c>
      <c r="V5091" s="8" t="s">
        <v>831</v>
      </c>
      <c r="W5091" s="6"/>
      <c r="X5091" s="6"/>
      <c r="Y5091" s="6"/>
      <c r="Z5091" s="6" t="s">
        <v>267</v>
      </c>
      <c r="AA5091" s="6" t="s">
        <v>115</v>
      </c>
      <c r="AB5091" s="8"/>
      <c r="AC5091" s="27">
        <v>9785160151458</v>
      </c>
    </row>
    <row r="5092" spans="1:29" s="4" customFormat="1" ht="51.9" customHeight="1" x14ac:dyDescent="0.2">
      <c r="A5092" s="5">
        <v>0</v>
      </c>
      <c r="B5092" s="6" t="s">
        <v>29353</v>
      </c>
      <c r="C5092" s="7">
        <v>1944</v>
      </c>
      <c r="D5092" s="8" t="s">
        <v>29354</v>
      </c>
      <c r="E5092" s="8" t="s">
        <v>29348</v>
      </c>
      <c r="F5092" s="8" t="s">
        <v>29349</v>
      </c>
      <c r="G5092" s="6" t="s">
        <v>118</v>
      </c>
      <c r="H5092" s="6" t="s">
        <v>34</v>
      </c>
      <c r="I5092" s="8" t="s">
        <v>253</v>
      </c>
      <c r="J5092" s="9">
        <v>1</v>
      </c>
      <c r="K5092" s="9">
        <v>295</v>
      </c>
      <c r="L5092" s="9">
        <v>2026</v>
      </c>
      <c r="M5092" s="8" t="s">
        <v>29355</v>
      </c>
      <c r="N5092" s="8" t="s">
        <v>243</v>
      </c>
      <c r="O5092" s="8" t="s">
        <v>758</v>
      </c>
      <c r="P5092" s="6" t="s">
        <v>306</v>
      </c>
      <c r="Q5092" s="8" t="s">
        <v>52</v>
      </c>
      <c r="R5092" s="10" t="s">
        <v>29356</v>
      </c>
      <c r="S5092" s="11" t="s">
        <v>29357</v>
      </c>
      <c r="T5092" s="6"/>
      <c r="U5092" s="15" t="str">
        <f>HYPERLINK("https://media.infra-m.ru/2212/2212396/cover/2212396.jpg", "Обложка")</f>
        <v>Обложка</v>
      </c>
      <c r="V5092" s="8" t="s">
        <v>831</v>
      </c>
      <c r="W5092" s="6"/>
      <c r="X5092" s="6"/>
      <c r="Y5092" s="6"/>
      <c r="Z5092" s="6"/>
      <c r="AA5092" s="6" t="s">
        <v>99</v>
      </c>
      <c r="AB5092" s="8"/>
      <c r="AC5092" s="27">
        <v>9785160215006</v>
      </c>
    </row>
    <row r="5093" spans="1:29" s="4" customFormat="1" ht="51.9" customHeight="1" x14ac:dyDescent="0.2">
      <c r="A5093" s="5">
        <v>0</v>
      </c>
      <c r="B5093" s="6" t="s">
        <v>29358</v>
      </c>
      <c r="C5093" s="7">
        <v>3576</v>
      </c>
      <c r="D5093" s="8" t="s">
        <v>29359</v>
      </c>
      <c r="E5093" s="8" t="s">
        <v>29360</v>
      </c>
      <c r="F5093" s="8" t="s">
        <v>29361</v>
      </c>
      <c r="G5093" s="6" t="s">
        <v>118</v>
      </c>
      <c r="H5093" s="6" t="s">
        <v>34</v>
      </c>
      <c r="I5093" s="8" t="s">
        <v>253</v>
      </c>
      <c r="J5093" s="9">
        <v>1</v>
      </c>
      <c r="K5093" s="9">
        <v>683</v>
      </c>
      <c r="L5093" s="9">
        <v>2020</v>
      </c>
      <c r="M5093" s="8" t="s">
        <v>29362</v>
      </c>
      <c r="N5093" s="8" t="s">
        <v>243</v>
      </c>
      <c r="O5093" s="8" t="s">
        <v>758</v>
      </c>
      <c r="P5093" s="6" t="s">
        <v>306</v>
      </c>
      <c r="Q5093" s="8" t="s">
        <v>52</v>
      </c>
      <c r="R5093" s="10" t="s">
        <v>11597</v>
      </c>
      <c r="S5093" s="11" t="s">
        <v>29363</v>
      </c>
      <c r="T5093" s="6" t="s">
        <v>97</v>
      </c>
      <c r="U5093" s="15" t="str">
        <f>HYPERLINK("https://media.infra-m.ru/1949/1949122/cover/1949122.jpg", "Обложка")</f>
        <v>Обложка</v>
      </c>
      <c r="V5093" s="8" t="s">
        <v>29364</v>
      </c>
      <c r="W5093" s="6"/>
      <c r="X5093" s="6"/>
      <c r="Y5093" s="6"/>
      <c r="Z5093" s="6"/>
      <c r="AA5093" s="6" t="s">
        <v>3800</v>
      </c>
      <c r="AB5093" s="8"/>
      <c r="AC5093" s="27">
        <v>9785160111797</v>
      </c>
    </row>
    <row r="5094" spans="1:29" s="4" customFormat="1" ht="51.9" customHeight="1" x14ac:dyDescent="0.2">
      <c r="A5094" s="5">
        <v>0</v>
      </c>
      <c r="B5094" s="6" t="s">
        <v>29365</v>
      </c>
      <c r="C5094" s="7">
        <v>1980</v>
      </c>
      <c r="D5094" s="8" t="s">
        <v>29366</v>
      </c>
      <c r="E5094" s="8" t="s">
        <v>29367</v>
      </c>
      <c r="F5094" s="8" t="s">
        <v>29368</v>
      </c>
      <c r="G5094" s="6" t="s">
        <v>118</v>
      </c>
      <c r="H5094" s="6" t="s">
        <v>34</v>
      </c>
      <c r="I5094" s="8" t="s">
        <v>253</v>
      </c>
      <c r="J5094" s="9">
        <v>1</v>
      </c>
      <c r="K5094" s="9">
        <v>330</v>
      </c>
      <c r="L5094" s="9">
        <v>2025</v>
      </c>
      <c r="M5094" s="8" t="s">
        <v>29369</v>
      </c>
      <c r="N5094" s="8" t="s">
        <v>243</v>
      </c>
      <c r="O5094" s="8" t="s">
        <v>758</v>
      </c>
      <c r="P5094" s="6" t="s">
        <v>51</v>
      </c>
      <c r="Q5094" s="8" t="s">
        <v>52</v>
      </c>
      <c r="R5094" s="10" t="s">
        <v>29370</v>
      </c>
      <c r="S5094" s="11" t="s">
        <v>19643</v>
      </c>
      <c r="T5094" s="6" t="s">
        <v>97</v>
      </c>
      <c r="U5094" s="15" t="str">
        <f>HYPERLINK("https://media.infra-m.ru/2182/2182627/cover/2182627.jpg", "Обложка")</f>
        <v>Обложка</v>
      </c>
      <c r="V5094" s="8" t="s">
        <v>7175</v>
      </c>
      <c r="W5094" s="6"/>
      <c r="X5094" s="6"/>
      <c r="Y5094" s="6"/>
      <c r="Z5094" s="6"/>
      <c r="AA5094" s="6" t="s">
        <v>360</v>
      </c>
      <c r="AB5094" s="8"/>
      <c r="AC5094" s="27">
        <v>9785160205793</v>
      </c>
    </row>
    <row r="5095" spans="1:29" s="4" customFormat="1" ht="51.9" customHeight="1" x14ac:dyDescent="0.2">
      <c r="A5095" s="5">
        <v>0</v>
      </c>
      <c r="B5095" s="6" t="s">
        <v>29371</v>
      </c>
      <c r="C5095" s="7">
        <v>2184</v>
      </c>
      <c r="D5095" s="8" t="s">
        <v>29372</v>
      </c>
      <c r="E5095" s="8" t="s">
        <v>29367</v>
      </c>
      <c r="F5095" s="8" t="s">
        <v>29368</v>
      </c>
      <c r="G5095" s="6" t="s">
        <v>118</v>
      </c>
      <c r="H5095" s="6" t="s">
        <v>34</v>
      </c>
      <c r="I5095" s="8" t="s">
        <v>263</v>
      </c>
      <c r="J5095" s="9">
        <v>1</v>
      </c>
      <c r="K5095" s="9">
        <v>330</v>
      </c>
      <c r="L5095" s="9">
        <v>2026</v>
      </c>
      <c r="M5095" s="8" t="s">
        <v>29373</v>
      </c>
      <c r="N5095" s="8" t="s">
        <v>243</v>
      </c>
      <c r="O5095" s="8" t="s">
        <v>758</v>
      </c>
      <c r="P5095" s="6" t="s">
        <v>51</v>
      </c>
      <c r="Q5095" s="8" t="s">
        <v>265</v>
      </c>
      <c r="R5095" s="10" t="s">
        <v>29351</v>
      </c>
      <c r="S5095" s="11" t="s">
        <v>29374</v>
      </c>
      <c r="T5095" s="6" t="s">
        <v>97</v>
      </c>
      <c r="U5095" s="15" t="str">
        <f>HYPERLINK("https://media.infra-m.ru/2253/2253843/cover/2253843.jpg", "Обложка")</f>
        <v>Обложка</v>
      </c>
      <c r="V5095" s="8" t="s">
        <v>7175</v>
      </c>
      <c r="W5095" s="6"/>
      <c r="X5095" s="6"/>
      <c r="Y5095" s="6"/>
      <c r="Z5095" s="6" t="s">
        <v>267</v>
      </c>
      <c r="AA5095" s="6" t="s">
        <v>258</v>
      </c>
      <c r="AB5095" s="8"/>
      <c r="AC5095" s="27">
        <v>9785160156002</v>
      </c>
    </row>
    <row r="5096" spans="1:29" s="4" customFormat="1" ht="51.9" customHeight="1" x14ac:dyDescent="0.2">
      <c r="A5096" s="5">
        <v>0</v>
      </c>
      <c r="B5096" s="6" t="s">
        <v>29375</v>
      </c>
      <c r="C5096" s="7">
        <v>1888.8</v>
      </c>
      <c r="D5096" s="8" t="s">
        <v>29376</v>
      </c>
      <c r="E5096" s="8" t="s">
        <v>29348</v>
      </c>
      <c r="F5096" s="8" t="s">
        <v>29377</v>
      </c>
      <c r="G5096" s="6" t="s">
        <v>118</v>
      </c>
      <c r="H5096" s="6" t="s">
        <v>34</v>
      </c>
      <c r="I5096" s="8" t="s">
        <v>271</v>
      </c>
      <c r="J5096" s="9">
        <v>1</v>
      </c>
      <c r="K5096" s="9">
        <v>271</v>
      </c>
      <c r="L5096" s="9">
        <v>2027</v>
      </c>
      <c r="M5096" s="8" t="s">
        <v>29378</v>
      </c>
      <c r="N5096" s="8" t="s">
        <v>243</v>
      </c>
      <c r="O5096" s="8" t="s">
        <v>758</v>
      </c>
      <c r="P5096" s="6" t="s">
        <v>51</v>
      </c>
      <c r="Q5096" s="8" t="s">
        <v>52</v>
      </c>
      <c r="R5096" s="10" t="s">
        <v>29379</v>
      </c>
      <c r="S5096" s="11"/>
      <c r="T5096" s="6"/>
      <c r="U5096" s="15" t="str">
        <f>HYPERLINK("https://media.infra-m.ru/2263/2263929/cover/2263929.jpg", "Обложка")</f>
        <v>Обложка</v>
      </c>
      <c r="V5096" s="8" t="s">
        <v>843</v>
      </c>
      <c r="W5096" s="6"/>
      <c r="X5096" s="6"/>
      <c r="Y5096" s="6"/>
      <c r="Z5096" s="6"/>
      <c r="AA5096" s="6" t="s">
        <v>157</v>
      </c>
      <c r="AB5096" s="8"/>
      <c r="AC5096" s="27">
        <v>9785160177762</v>
      </c>
    </row>
    <row r="5097" spans="1:29" s="4" customFormat="1" ht="51.9" customHeight="1" x14ac:dyDescent="0.2">
      <c r="A5097" s="5">
        <v>0</v>
      </c>
      <c r="B5097" s="6" t="s">
        <v>29380</v>
      </c>
      <c r="C5097" s="7">
        <v>2100</v>
      </c>
      <c r="D5097" s="8" t="s">
        <v>29381</v>
      </c>
      <c r="E5097" s="8" t="s">
        <v>29281</v>
      </c>
      <c r="F5097" s="8" t="s">
        <v>29282</v>
      </c>
      <c r="G5097" s="6" t="s">
        <v>118</v>
      </c>
      <c r="H5097" s="6" t="s">
        <v>34</v>
      </c>
      <c r="I5097" s="8" t="s">
        <v>263</v>
      </c>
      <c r="J5097" s="9">
        <v>1</v>
      </c>
      <c r="K5097" s="9">
        <v>336</v>
      </c>
      <c r="L5097" s="9">
        <v>2026</v>
      </c>
      <c r="M5097" s="8" t="s">
        <v>29382</v>
      </c>
      <c r="N5097" s="8" t="s">
        <v>37</v>
      </c>
      <c r="O5097" s="8" t="s">
        <v>499</v>
      </c>
      <c r="P5097" s="6" t="s">
        <v>51</v>
      </c>
      <c r="Q5097" s="8" t="s">
        <v>265</v>
      </c>
      <c r="R5097" s="10" t="s">
        <v>29383</v>
      </c>
      <c r="S5097" s="11" t="s">
        <v>29384</v>
      </c>
      <c r="T5097" s="6"/>
      <c r="U5097" s="15" t="str">
        <f>HYPERLINK("https://media.infra-m.ru/2220/2220933/cover/2220933.jpg", "Обложка")</f>
        <v>Обложка</v>
      </c>
      <c r="V5097" s="8" t="s">
        <v>2522</v>
      </c>
      <c r="W5097" s="6"/>
      <c r="X5097" s="6"/>
      <c r="Y5097" s="6"/>
      <c r="Z5097" s="6" t="s">
        <v>267</v>
      </c>
      <c r="AA5097" s="6" t="s">
        <v>896</v>
      </c>
      <c r="AB5097" s="8"/>
      <c r="AC5097" s="27">
        <v>9785160156996</v>
      </c>
    </row>
    <row r="5098" spans="1:29" s="4" customFormat="1" ht="51.9" customHeight="1" x14ac:dyDescent="0.2">
      <c r="A5098" s="5">
        <v>0</v>
      </c>
      <c r="B5098" s="6" t="s">
        <v>29385</v>
      </c>
      <c r="C5098" s="7">
        <v>1608</v>
      </c>
      <c r="D5098" s="8" t="s">
        <v>29386</v>
      </c>
      <c r="E5098" s="8" t="s">
        <v>29387</v>
      </c>
      <c r="F5098" s="8" t="s">
        <v>29388</v>
      </c>
      <c r="G5098" s="6" t="s">
        <v>118</v>
      </c>
      <c r="H5098" s="6" t="s">
        <v>34</v>
      </c>
      <c r="I5098" s="8" t="s">
        <v>253</v>
      </c>
      <c r="J5098" s="9">
        <v>1</v>
      </c>
      <c r="K5098" s="9">
        <v>235</v>
      </c>
      <c r="L5098" s="9">
        <v>2026</v>
      </c>
      <c r="M5098" s="8" t="s">
        <v>29389</v>
      </c>
      <c r="N5098" s="8" t="s">
        <v>243</v>
      </c>
      <c r="O5098" s="8" t="s">
        <v>758</v>
      </c>
      <c r="P5098" s="6" t="s">
        <v>51</v>
      </c>
      <c r="Q5098" s="8" t="s">
        <v>52</v>
      </c>
      <c r="R5098" s="10" t="s">
        <v>11597</v>
      </c>
      <c r="S5098" s="11" t="s">
        <v>16218</v>
      </c>
      <c r="T5098" s="6"/>
      <c r="U5098" s="15" t="str">
        <f>HYPERLINK("https://media.infra-m.ru/2254/2254187/cover/2254187.jpg", "Обложка")</f>
        <v>Обложка</v>
      </c>
      <c r="V5098" s="8" t="s">
        <v>843</v>
      </c>
      <c r="W5098" s="6"/>
      <c r="X5098" s="6"/>
      <c r="Y5098" s="6"/>
      <c r="Z5098" s="6"/>
      <c r="AA5098" s="6" t="s">
        <v>86</v>
      </c>
      <c r="AB5098" s="8"/>
      <c r="AC5098" s="27">
        <v>9785160221175</v>
      </c>
    </row>
    <row r="5099" spans="1:29" s="4" customFormat="1" ht="51.9" customHeight="1" x14ac:dyDescent="0.2">
      <c r="A5099" s="5">
        <v>0</v>
      </c>
      <c r="B5099" s="6" t="s">
        <v>29390</v>
      </c>
      <c r="C5099" s="7">
        <v>1420.8</v>
      </c>
      <c r="D5099" s="8" t="s">
        <v>29391</v>
      </c>
      <c r="E5099" s="8" t="s">
        <v>29387</v>
      </c>
      <c r="F5099" s="8" t="s">
        <v>29388</v>
      </c>
      <c r="G5099" s="6" t="s">
        <v>118</v>
      </c>
      <c r="H5099" s="6" t="s">
        <v>34</v>
      </c>
      <c r="I5099" s="8" t="s">
        <v>263</v>
      </c>
      <c r="J5099" s="9">
        <v>1</v>
      </c>
      <c r="K5099" s="9">
        <v>235</v>
      </c>
      <c r="L5099" s="9">
        <v>2025</v>
      </c>
      <c r="M5099" s="8" t="s">
        <v>29392</v>
      </c>
      <c r="N5099" s="8" t="s">
        <v>243</v>
      </c>
      <c r="O5099" s="8" t="s">
        <v>758</v>
      </c>
      <c r="P5099" s="6" t="s">
        <v>51</v>
      </c>
      <c r="Q5099" s="8" t="s">
        <v>265</v>
      </c>
      <c r="R5099" s="10" t="s">
        <v>29393</v>
      </c>
      <c r="S5099" s="11" t="s">
        <v>29394</v>
      </c>
      <c r="T5099" s="6"/>
      <c r="U5099" s="15" t="str">
        <f>HYPERLINK("https://media.infra-m.ru/2179/2179724/cover/2179724.jpg", "Обложка")</f>
        <v>Обложка</v>
      </c>
      <c r="V5099" s="8" t="s">
        <v>843</v>
      </c>
      <c r="W5099" s="6"/>
      <c r="X5099" s="6"/>
      <c r="Y5099" s="6"/>
      <c r="Z5099" s="6" t="s">
        <v>267</v>
      </c>
      <c r="AA5099" s="6" t="s">
        <v>115</v>
      </c>
      <c r="AB5099" s="8"/>
      <c r="AC5099" s="27">
        <v>9785160148670</v>
      </c>
    </row>
    <row r="5100" spans="1:29" s="4" customFormat="1" ht="51.9" customHeight="1" x14ac:dyDescent="0.2">
      <c r="A5100" s="5">
        <v>0</v>
      </c>
      <c r="B5100" s="6" t="s">
        <v>29395</v>
      </c>
      <c r="C5100" s="7">
        <v>1108.8</v>
      </c>
      <c r="D5100" s="8" t="s">
        <v>29396</v>
      </c>
      <c r="E5100" s="8" t="s">
        <v>29397</v>
      </c>
      <c r="F5100" s="8" t="s">
        <v>29398</v>
      </c>
      <c r="G5100" s="6" t="s">
        <v>60</v>
      </c>
      <c r="H5100" s="6" t="s">
        <v>34</v>
      </c>
      <c r="I5100" s="8" t="s">
        <v>29399</v>
      </c>
      <c r="J5100" s="9">
        <v>1</v>
      </c>
      <c r="K5100" s="9">
        <v>168</v>
      </c>
      <c r="L5100" s="9">
        <v>2026</v>
      </c>
      <c r="M5100" s="8" t="s">
        <v>29400</v>
      </c>
      <c r="N5100" s="8" t="s">
        <v>243</v>
      </c>
      <c r="O5100" s="8" t="s">
        <v>758</v>
      </c>
      <c r="P5100" s="6" t="s">
        <v>51</v>
      </c>
      <c r="Q5100" s="8" t="s">
        <v>52</v>
      </c>
      <c r="R5100" s="10" t="s">
        <v>29401</v>
      </c>
      <c r="S5100" s="11" t="s">
        <v>29402</v>
      </c>
      <c r="T5100" s="6"/>
      <c r="U5100" s="15" t="str">
        <f>HYPERLINK("https://media.infra-m.ru/2239/2239120/cover/2239120.jpg", "Обложка")</f>
        <v>Обложка</v>
      </c>
      <c r="V5100" s="8" t="s">
        <v>27491</v>
      </c>
      <c r="W5100" s="6"/>
      <c r="X5100" s="6"/>
      <c r="Y5100" s="6"/>
      <c r="Z5100" s="6"/>
      <c r="AA5100" s="6" t="s">
        <v>1256</v>
      </c>
      <c r="AB5100" s="8"/>
      <c r="AC5100" s="27">
        <v>9785160153650</v>
      </c>
    </row>
    <row r="5101" spans="1:29" s="4" customFormat="1" ht="51.9" customHeight="1" x14ac:dyDescent="0.2">
      <c r="A5101" s="5">
        <v>0</v>
      </c>
      <c r="B5101" s="6" t="s">
        <v>29403</v>
      </c>
      <c r="C5101" s="7">
        <v>1493.9</v>
      </c>
      <c r="D5101" s="8" t="s">
        <v>29404</v>
      </c>
      <c r="E5101" s="8" t="s">
        <v>29405</v>
      </c>
      <c r="F5101" s="8" t="s">
        <v>29406</v>
      </c>
      <c r="G5101" s="6" t="s">
        <v>118</v>
      </c>
      <c r="H5101" s="6" t="s">
        <v>34</v>
      </c>
      <c r="I5101" s="8" t="s">
        <v>271</v>
      </c>
      <c r="J5101" s="9">
        <v>1</v>
      </c>
      <c r="K5101" s="9">
        <v>271</v>
      </c>
      <c r="L5101" s="9">
        <v>2022</v>
      </c>
      <c r="M5101" s="8" t="s">
        <v>29407</v>
      </c>
      <c r="N5101" s="8" t="s">
        <v>243</v>
      </c>
      <c r="O5101" s="8" t="s">
        <v>758</v>
      </c>
      <c r="P5101" s="6" t="s">
        <v>51</v>
      </c>
      <c r="Q5101" s="8" t="s">
        <v>52</v>
      </c>
      <c r="R5101" s="10" t="s">
        <v>29408</v>
      </c>
      <c r="S5101" s="11" t="s">
        <v>29409</v>
      </c>
      <c r="T5101" s="6"/>
      <c r="U5101" s="15" t="str">
        <f>HYPERLINK("https://media.infra-m.ru/1949/1949100/cover/1949100.jpg", "Обложка")</f>
        <v>Обложка</v>
      </c>
      <c r="V5101" s="8" t="s">
        <v>843</v>
      </c>
      <c r="W5101" s="6"/>
      <c r="X5101" s="6"/>
      <c r="Y5101" s="6"/>
      <c r="Z5101" s="6"/>
      <c r="AA5101" s="6" t="s">
        <v>148</v>
      </c>
      <c r="AB5101" s="8"/>
      <c r="AC5101" s="27">
        <v>9785160175515</v>
      </c>
    </row>
    <row r="5102" spans="1:29" s="4" customFormat="1" ht="51.9" customHeight="1" x14ac:dyDescent="0.2">
      <c r="A5102" s="5">
        <v>0</v>
      </c>
      <c r="B5102" s="6" t="s">
        <v>29410</v>
      </c>
      <c r="C5102" s="7">
        <v>1372.8</v>
      </c>
      <c r="D5102" s="8" t="s">
        <v>29411</v>
      </c>
      <c r="E5102" s="8" t="s">
        <v>29412</v>
      </c>
      <c r="F5102" s="8" t="s">
        <v>29413</v>
      </c>
      <c r="G5102" s="6" t="s">
        <v>118</v>
      </c>
      <c r="H5102" s="6" t="s">
        <v>34</v>
      </c>
      <c r="I5102" s="8" t="s">
        <v>263</v>
      </c>
      <c r="J5102" s="9">
        <v>1</v>
      </c>
      <c r="K5102" s="9">
        <v>221</v>
      </c>
      <c r="L5102" s="9">
        <v>2026</v>
      </c>
      <c r="M5102" s="8" t="s">
        <v>29414</v>
      </c>
      <c r="N5102" s="8" t="s">
        <v>37</v>
      </c>
      <c r="O5102" s="8" t="s">
        <v>499</v>
      </c>
      <c r="P5102" s="6" t="s">
        <v>51</v>
      </c>
      <c r="Q5102" s="8" t="s">
        <v>265</v>
      </c>
      <c r="R5102" s="10" t="s">
        <v>29415</v>
      </c>
      <c r="S5102" s="11" t="s">
        <v>29416</v>
      </c>
      <c r="T5102" s="6"/>
      <c r="U5102" s="15" t="str">
        <f>HYPERLINK("https://media.infra-m.ru/2216/2216891/cover/2216891.jpg", "Обложка")</f>
        <v>Обложка</v>
      </c>
      <c r="V5102" s="8" t="s">
        <v>4754</v>
      </c>
      <c r="W5102" s="6"/>
      <c r="X5102" s="6"/>
      <c r="Y5102" s="6"/>
      <c r="Z5102" s="6"/>
      <c r="AA5102" s="6" t="s">
        <v>1256</v>
      </c>
      <c r="AB5102" s="8" t="s">
        <v>3596</v>
      </c>
      <c r="AC5102" s="27">
        <v>9785160147246</v>
      </c>
    </row>
    <row r="5103" spans="1:29" s="4" customFormat="1" ht="51.9" customHeight="1" x14ac:dyDescent="0.2">
      <c r="A5103" s="5">
        <v>0</v>
      </c>
      <c r="B5103" s="6" t="s">
        <v>29417</v>
      </c>
      <c r="C5103" s="7">
        <v>1684.8</v>
      </c>
      <c r="D5103" s="8" t="s">
        <v>29418</v>
      </c>
      <c r="E5103" s="8" t="s">
        <v>29419</v>
      </c>
      <c r="F5103" s="8" t="s">
        <v>29420</v>
      </c>
      <c r="G5103" s="6" t="s">
        <v>118</v>
      </c>
      <c r="H5103" s="6" t="s">
        <v>34</v>
      </c>
      <c r="I5103" s="8" t="s">
        <v>271</v>
      </c>
      <c r="J5103" s="9">
        <v>1</v>
      </c>
      <c r="K5103" s="9">
        <v>280</v>
      </c>
      <c r="L5103" s="9">
        <v>2025</v>
      </c>
      <c r="M5103" s="8" t="s">
        <v>29421</v>
      </c>
      <c r="N5103" s="8" t="s">
        <v>243</v>
      </c>
      <c r="O5103" s="8" t="s">
        <v>385</v>
      </c>
      <c r="P5103" s="6" t="s">
        <v>51</v>
      </c>
      <c r="Q5103" s="8" t="s">
        <v>52</v>
      </c>
      <c r="R5103" s="10" t="s">
        <v>29422</v>
      </c>
      <c r="S5103" s="11" t="s">
        <v>29423</v>
      </c>
      <c r="T5103" s="6"/>
      <c r="U5103" s="15" t="str">
        <f>HYPERLINK("https://media.infra-m.ru/2181/2181551/cover/2181551.jpg", "Обложка")</f>
        <v>Обложка</v>
      </c>
      <c r="V5103" s="8"/>
      <c r="W5103" s="6"/>
      <c r="X5103" s="6"/>
      <c r="Y5103" s="6"/>
      <c r="Z5103" s="6"/>
      <c r="AA5103" s="6" t="s">
        <v>779</v>
      </c>
      <c r="AB5103" s="8"/>
      <c r="AC5103" s="27">
        <v>9785160092607</v>
      </c>
    </row>
    <row r="5104" spans="1:29" s="4" customFormat="1" ht="51.9" customHeight="1" x14ac:dyDescent="0.2">
      <c r="A5104" s="5">
        <v>0</v>
      </c>
      <c r="B5104" s="6" t="s">
        <v>29424</v>
      </c>
      <c r="C5104" s="7">
        <v>1181.9000000000001</v>
      </c>
      <c r="D5104" s="8" t="s">
        <v>29425</v>
      </c>
      <c r="E5104" s="8" t="s">
        <v>29426</v>
      </c>
      <c r="F5104" s="8" t="s">
        <v>29427</v>
      </c>
      <c r="G5104" s="6" t="s">
        <v>60</v>
      </c>
      <c r="H5104" s="6" t="s">
        <v>34</v>
      </c>
      <c r="I5104" s="8" t="s">
        <v>271</v>
      </c>
      <c r="J5104" s="9">
        <v>1</v>
      </c>
      <c r="K5104" s="9">
        <v>336</v>
      </c>
      <c r="L5104" s="9">
        <v>2018</v>
      </c>
      <c r="M5104" s="8" t="s">
        <v>29428</v>
      </c>
      <c r="N5104" s="8" t="s">
        <v>243</v>
      </c>
      <c r="O5104" s="8" t="s">
        <v>798</v>
      </c>
      <c r="P5104" s="6" t="s">
        <v>306</v>
      </c>
      <c r="Q5104" s="8" t="s">
        <v>52</v>
      </c>
      <c r="R5104" s="10" t="s">
        <v>29429</v>
      </c>
      <c r="S5104" s="11" t="s">
        <v>29430</v>
      </c>
      <c r="T5104" s="6"/>
      <c r="U5104" s="15" t="str">
        <f>HYPERLINK("https://media.infra-m.ru/0920/0920552/cover/920552.jpg", "Обложка")</f>
        <v>Обложка</v>
      </c>
      <c r="V5104" s="8" t="s">
        <v>4368</v>
      </c>
      <c r="W5104" s="6"/>
      <c r="X5104" s="6"/>
      <c r="Y5104" s="6"/>
      <c r="Z5104" s="6"/>
      <c r="AA5104" s="6" t="s">
        <v>248</v>
      </c>
      <c r="AB5104" s="8"/>
      <c r="AC5104" s="27">
        <v>9785160067124</v>
      </c>
    </row>
    <row r="5105" spans="1:29" s="4" customFormat="1" ht="51.9" customHeight="1" x14ac:dyDescent="0.2">
      <c r="A5105" s="5">
        <v>0</v>
      </c>
      <c r="B5105" s="6" t="s">
        <v>29431</v>
      </c>
      <c r="C5105" s="7">
        <v>2212.8000000000002</v>
      </c>
      <c r="D5105" s="8" t="s">
        <v>29432</v>
      </c>
      <c r="E5105" s="8" t="s">
        <v>29426</v>
      </c>
      <c r="F5105" s="8" t="s">
        <v>29433</v>
      </c>
      <c r="G5105" s="6" t="s">
        <v>60</v>
      </c>
      <c r="H5105" s="6" t="s">
        <v>34</v>
      </c>
      <c r="I5105" s="8" t="s">
        <v>263</v>
      </c>
      <c r="J5105" s="9">
        <v>1</v>
      </c>
      <c r="K5105" s="9">
        <v>336</v>
      </c>
      <c r="L5105" s="9">
        <v>2026</v>
      </c>
      <c r="M5105" s="8" t="s">
        <v>29434</v>
      </c>
      <c r="N5105" s="8" t="s">
        <v>243</v>
      </c>
      <c r="O5105" s="8" t="s">
        <v>798</v>
      </c>
      <c r="P5105" s="6" t="s">
        <v>306</v>
      </c>
      <c r="Q5105" s="8" t="s">
        <v>265</v>
      </c>
      <c r="R5105" s="10" t="s">
        <v>29435</v>
      </c>
      <c r="S5105" s="11" t="s">
        <v>29436</v>
      </c>
      <c r="T5105" s="6"/>
      <c r="U5105" s="15" t="str">
        <f>HYPERLINK("https://media.infra-m.ru/2243/2243199/cover/2243199.jpg", "Обложка")</f>
        <v>Обложка</v>
      </c>
      <c r="V5105" s="8" t="s">
        <v>4368</v>
      </c>
      <c r="W5105" s="6"/>
      <c r="X5105" s="6"/>
      <c r="Y5105" s="6"/>
      <c r="Z5105" s="6" t="s">
        <v>267</v>
      </c>
      <c r="AA5105" s="6" t="s">
        <v>115</v>
      </c>
      <c r="AB5105" s="8"/>
      <c r="AC5105" s="27">
        <v>9785160145150</v>
      </c>
    </row>
    <row r="5106" spans="1:29" s="4" customFormat="1" ht="51.9" customHeight="1" x14ac:dyDescent="0.2">
      <c r="A5106" s="5">
        <v>0</v>
      </c>
      <c r="B5106" s="6" t="s">
        <v>29437</v>
      </c>
      <c r="C5106" s="7">
        <v>3400.8</v>
      </c>
      <c r="D5106" s="8" t="s">
        <v>29438</v>
      </c>
      <c r="E5106" s="8" t="s">
        <v>29439</v>
      </c>
      <c r="F5106" s="8" t="s">
        <v>29440</v>
      </c>
      <c r="G5106" s="6" t="s">
        <v>60</v>
      </c>
      <c r="H5106" s="6" t="s">
        <v>34</v>
      </c>
      <c r="I5106" s="8" t="s">
        <v>263</v>
      </c>
      <c r="J5106" s="9">
        <v>1</v>
      </c>
      <c r="K5106" s="9">
        <v>567</v>
      </c>
      <c r="L5106" s="9">
        <v>2025</v>
      </c>
      <c r="M5106" s="8" t="s">
        <v>29441</v>
      </c>
      <c r="N5106" s="8" t="s">
        <v>37</v>
      </c>
      <c r="O5106" s="8" t="s">
        <v>499</v>
      </c>
      <c r="P5106" s="6" t="s">
        <v>51</v>
      </c>
      <c r="Q5106" s="8" t="s">
        <v>265</v>
      </c>
      <c r="R5106" s="10" t="s">
        <v>4160</v>
      </c>
      <c r="S5106" s="11" t="s">
        <v>29442</v>
      </c>
      <c r="T5106" s="6"/>
      <c r="U5106" s="15" t="str">
        <f>HYPERLINK("https://media.infra-m.ru/2169/2169214/cover/2169214.jpg", "Обложка")</f>
        <v>Обложка</v>
      </c>
      <c r="V5106" s="8" t="s">
        <v>227</v>
      </c>
      <c r="W5106" s="6"/>
      <c r="X5106" s="6"/>
      <c r="Y5106" s="6"/>
      <c r="Z5106" s="6"/>
      <c r="AA5106" s="6" t="s">
        <v>430</v>
      </c>
      <c r="AB5106" s="8"/>
      <c r="AC5106" s="27">
        <v>9785160159737</v>
      </c>
    </row>
    <row r="5107" spans="1:29" s="4" customFormat="1" ht="42" customHeight="1" x14ac:dyDescent="0.2">
      <c r="A5107" s="5">
        <v>0</v>
      </c>
      <c r="B5107" s="6" t="s">
        <v>29443</v>
      </c>
      <c r="C5107" s="7">
        <v>2128.8000000000002</v>
      </c>
      <c r="D5107" s="8" t="s">
        <v>29444</v>
      </c>
      <c r="E5107" s="8" t="s">
        <v>29445</v>
      </c>
      <c r="F5107" s="8" t="s">
        <v>29446</v>
      </c>
      <c r="G5107" s="6" t="s">
        <v>118</v>
      </c>
      <c r="H5107" s="6" t="s">
        <v>34</v>
      </c>
      <c r="I5107" s="8" t="s">
        <v>263</v>
      </c>
      <c r="J5107" s="9">
        <v>1</v>
      </c>
      <c r="K5107" s="9">
        <v>306</v>
      </c>
      <c r="L5107" s="9">
        <v>2027</v>
      </c>
      <c r="M5107" s="8" t="s">
        <v>29447</v>
      </c>
      <c r="N5107" s="8" t="s">
        <v>37</v>
      </c>
      <c r="O5107" s="8" t="s">
        <v>499</v>
      </c>
      <c r="P5107" s="6" t="s">
        <v>306</v>
      </c>
      <c r="Q5107" s="8" t="s">
        <v>265</v>
      </c>
      <c r="R5107" s="10" t="s">
        <v>3571</v>
      </c>
      <c r="S5107" s="11"/>
      <c r="T5107" s="6"/>
      <c r="U5107" s="15" t="str">
        <f>HYPERLINK("https://media.infra-m.ru/2269/2269847/cover/2269847.jpg", "Обложка")</f>
        <v>Обложка</v>
      </c>
      <c r="V5107" s="8" t="s">
        <v>29448</v>
      </c>
      <c r="W5107" s="6"/>
      <c r="X5107" s="6"/>
      <c r="Y5107" s="6"/>
      <c r="Z5107" s="6"/>
      <c r="AA5107" s="6" t="s">
        <v>76</v>
      </c>
      <c r="AB5107" s="8"/>
      <c r="AC5107" s="27">
        <v>9785160178264</v>
      </c>
    </row>
    <row r="5108" spans="1:29" s="4" customFormat="1" ht="51.9" customHeight="1" x14ac:dyDescent="0.2">
      <c r="A5108" s="5">
        <v>0</v>
      </c>
      <c r="B5108" s="6" t="s">
        <v>29449</v>
      </c>
      <c r="C5108" s="7">
        <v>1636.8</v>
      </c>
      <c r="D5108" s="8" t="s">
        <v>29450</v>
      </c>
      <c r="E5108" s="8" t="s">
        <v>29451</v>
      </c>
      <c r="F5108" s="8" t="s">
        <v>29452</v>
      </c>
      <c r="G5108" s="6" t="s">
        <v>60</v>
      </c>
      <c r="H5108" s="6" t="s">
        <v>34</v>
      </c>
      <c r="I5108" s="8" t="s">
        <v>35</v>
      </c>
      <c r="J5108" s="9">
        <v>1</v>
      </c>
      <c r="K5108" s="9">
        <v>230</v>
      </c>
      <c r="L5108" s="9">
        <v>2026</v>
      </c>
      <c r="M5108" s="8" t="s">
        <v>29453</v>
      </c>
      <c r="N5108" s="8" t="s">
        <v>37</v>
      </c>
      <c r="O5108" s="8" t="s">
        <v>280</v>
      </c>
      <c r="P5108" s="6" t="s">
        <v>39</v>
      </c>
      <c r="Q5108" s="8" t="s">
        <v>40</v>
      </c>
      <c r="R5108" s="10" t="s">
        <v>29454</v>
      </c>
      <c r="S5108" s="11"/>
      <c r="T5108" s="6"/>
      <c r="U5108" s="15" t="str">
        <f>HYPERLINK("https://media.infra-m.ru/2267/2267353/cover/2267353.jpg", "Обложка")</f>
        <v>Обложка</v>
      </c>
      <c r="V5108" s="8" t="s">
        <v>546</v>
      </c>
      <c r="W5108" s="6"/>
      <c r="X5108" s="6"/>
      <c r="Y5108" s="6"/>
      <c r="Z5108" s="6"/>
      <c r="AA5108" s="6" t="s">
        <v>187</v>
      </c>
      <c r="AB5108" s="8"/>
      <c r="AC5108" s="27">
        <v>9785160219042</v>
      </c>
    </row>
    <row r="5109" spans="1:29" s="4" customFormat="1" ht="42" customHeight="1" x14ac:dyDescent="0.2">
      <c r="A5109" s="5">
        <v>0</v>
      </c>
      <c r="B5109" s="6" t="s">
        <v>29455</v>
      </c>
      <c r="C5109" s="7">
        <v>1840.8</v>
      </c>
      <c r="D5109" s="8" t="s">
        <v>29456</v>
      </c>
      <c r="E5109" s="8" t="s">
        <v>29457</v>
      </c>
      <c r="F5109" s="8" t="s">
        <v>6484</v>
      </c>
      <c r="G5109" s="6" t="s">
        <v>118</v>
      </c>
      <c r="H5109" s="6" t="s">
        <v>34</v>
      </c>
      <c r="I5109" s="8" t="s">
        <v>263</v>
      </c>
      <c r="J5109" s="9">
        <v>1</v>
      </c>
      <c r="K5109" s="9">
        <v>264</v>
      </c>
      <c r="L5109" s="9">
        <v>2027</v>
      </c>
      <c r="M5109" s="8" t="s">
        <v>29458</v>
      </c>
      <c r="N5109" s="8" t="s">
        <v>243</v>
      </c>
      <c r="O5109" s="8" t="s">
        <v>964</v>
      </c>
      <c r="P5109" s="6" t="s">
        <v>51</v>
      </c>
      <c r="Q5109" s="8" t="s">
        <v>265</v>
      </c>
      <c r="R5109" s="10" t="s">
        <v>29459</v>
      </c>
      <c r="S5109" s="11"/>
      <c r="T5109" s="6"/>
      <c r="U5109" s="15" t="str">
        <f>HYPERLINK("https://media.infra-m.ru/2257/2257168/cover/2257168.jpg", "Обложка")</f>
        <v>Обложка</v>
      </c>
      <c r="V5109" s="8" t="s">
        <v>4943</v>
      </c>
      <c r="W5109" s="6"/>
      <c r="X5109" s="6"/>
      <c r="Y5109" s="6"/>
      <c r="Z5109" s="6" t="s">
        <v>267</v>
      </c>
      <c r="AA5109" s="6" t="s">
        <v>68</v>
      </c>
      <c r="AB5109" s="8"/>
      <c r="AC5109" s="27">
        <v>9785160202075</v>
      </c>
    </row>
    <row r="5110" spans="1:29" s="4" customFormat="1" ht="51.9" customHeight="1" x14ac:dyDescent="0.2">
      <c r="A5110" s="5">
        <v>0</v>
      </c>
      <c r="B5110" s="6" t="s">
        <v>29460</v>
      </c>
      <c r="C5110" s="7">
        <v>1864.8</v>
      </c>
      <c r="D5110" s="8" t="s">
        <v>29461</v>
      </c>
      <c r="E5110" s="8" t="s">
        <v>29462</v>
      </c>
      <c r="F5110" s="8" t="s">
        <v>29463</v>
      </c>
      <c r="G5110" s="6" t="s">
        <v>118</v>
      </c>
      <c r="H5110" s="6" t="s">
        <v>34</v>
      </c>
      <c r="I5110" s="8" t="s">
        <v>263</v>
      </c>
      <c r="J5110" s="9">
        <v>1</v>
      </c>
      <c r="K5110" s="9">
        <v>213</v>
      </c>
      <c r="L5110" s="9">
        <v>2027</v>
      </c>
      <c r="M5110" s="8" t="s">
        <v>29464</v>
      </c>
      <c r="N5110" s="8" t="s">
        <v>37</v>
      </c>
      <c r="O5110" s="8" t="s">
        <v>136</v>
      </c>
      <c r="P5110" s="6" t="s">
        <v>306</v>
      </c>
      <c r="Q5110" s="8" t="s">
        <v>265</v>
      </c>
      <c r="R5110" s="10" t="s">
        <v>479</v>
      </c>
      <c r="S5110" s="11" t="s">
        <v>25900</v>
      </c>
      <c r="T5110" s="6"/>
      <c r="U5110" s="15" t="str">
        <f>HYPERLINK("https://media.infra-m.ru/2269/2269777/cover/2269777.jpg", "Обложка")</f>
        <v>Обложка</v>
      </c>
      <c r="V5110" s="8" t="s">
        <v>29465</v>
      </c>
      <c r="W5110" s="6"/>
      <c r="X5110" s="6"/>
      <c r="Y5110" s="6"/>
      <c r="Z5110" s="6"/>
      <c r="AA5110" s="6" t="s">
        <v>157</v>
      </c>
      <c r="AB5110" s="8" t="s">
        <v>17982</v>
      </c>
      <c r="AC5110" s="27">
        <v>9785160173535</v>
      </c>
    </row>
    <row r="5111" spans="1:29" s="4" customFormat="1" ht="42" customHeight="1" x14ac:dyDescent="0.2">
      <c r="A5111" s="5">
        <v>0</v>
      </c>
      <c r="B5111" s="6" t="s">
        <v>29466</v>
      </c>
      <c r="C5111" s="7">
        <v>2272.8000000000002</v>
      </c>
      <c r="D5111" s="8" t="s">
        <v>29467</v>
      </c>
      <c r="E5111" s="8" t="s">
        <v>29468</v>
      </c>
      <c r="F5111" s="8" t="s">
        <v>29469</v>
      </c>
      <c r="G5111" s="6" t="s">
        <v>60</v>
      </c>
      <c r="H5111" s="6" t="s">
        <v>34</v>
      </c>
      <c r="I5111" s="8" t="s">
        <v>253</v>
      </c>
      <c r="J5111" s="9">
        <v>1</v>
      </c>
      <c r="K5111" s="9">
        <v>326</v>
      </c>
      <c r="L5111" s="9">
        <v>2027</v>
      </c>
      <c r="M5111" s="8" t="s">
        <v>29470</v>
      </c>
      <c r="N5111" s="8" t="s">
        <v>37</v>
      </c>
      <c r="O5111" s="8" t="s">
        <v>280</v>
      </c>
      <c r="P5111" s="6" t="s">
        <v>51</v>
      </c>
      <c r="Q5111" s="8" t="s">
        <v>52</v>
      </c>
      <c r="R5111" s="10" t="s">
        <v>2640</v>
      </c>
      <c r="S5111" s="11"/>
      <c r="T5111" s="6"/>
      <c r="U5111" s="15" t="str">
        <f>HYPERLINK("https://media.infra-m.ru/2263/2263927/cover/2263927.jpg", "Обложка")</f>
        <v>Обложка</v>
      </c>
      <c r="V5111" s="8" t="s">
        <v>9227</v>
      </c>
      <c r="W5111" s="6"/>
      <c r="X5111" s="6"/>
      <c r="Y5111" s="6"/>
      <c r="Z5111" s="6"/>
      <c r="AA5111" s="6" t="s">
        <v>157</v>
      </c>
      <c r="AB5111" s="8"/>
      <c r="AC5111" s="27">
        <v>9785160170053</v>
      </c>
    </row>
    <row r="5112" spans="1:29" s="4" customFormat="1" ht="51.9" customHeight="1" x14ac:dyDescent="0.2">
      <c r="A5112" s="5">
        <v>0</v>
      </c>
      <c r="B5112" s="6" t="s">
        <v>29471</v>
      </c>
      <c r="C5112" s="7">
        <v>1464</v>
      </c>
      <c r="D5112" s="8" t="s">
        <v>29472</v>
      </c>
      <c r="E5112" s="8" t="s">
        <v>29457</v>
      </c>
      <c r="F5112" s="8" t="s">
        <v>6484</v>
      </c>
      <c r="G5112" s="6" t="s">
        <v>118</v>
      </c>
      <c r="H5112" s="6" t="s">
        <v>34</v>
      </c>
      <c r="I5112" s="8" t="s">
        <v>253</v>
      </c>
      <c r="J5112" s="9">
        <v>1</v>
      </c>
      <c r="K5112" s="9">
        <v>264</v>
      </c>
      <c r="L5112" s="9">
        <v>2024</v>
      </c>
      <c r="M5112" s="8" t="s">
        <v>29473</v>
      </c>
      <c r="N5112" s="8" t="s">
        <v>243</v>
      </c>
      <c r="O5112" s="8" t="s">
        <v>964</v>
      </c>
      <c r="P5112" s="6" t="s">
        <v>51</v>
      </c>
      <c r="Q5112" s="8" t="s">
        <v>52</v>
      </c>
      <c r="R5112" s="10" t="s">
        <v>29474</v>
      </c>
      <c r="S5112" s="11" t="s">
        <v>29475</v>
      </c>
      <c r="T5112" s="6"/>
      <c r="U5112" s="15" t="str">
        <f>HYPERLINK("https://media.infra-m.ru/2125/2125182/cover/2125182.jpg", "Обложка")</f>
        <v>Обложка</v>
      </c>
      <c r="V5112" s="8" t="s">
        <v>4943</v>
      </c>
      <c r="W5112" s="6"/>
      <c r="X5112" s="6"/>
      <c r="Y5112" s="6"/>
      <c r="Z5112" s="6"/>
      <c r="AA5112" s="6" t="s">
        <v>274</v>
      </c>
      <c r="AB5112" s="8"/>
      <c r="AC5112" s="27">
        <v>9785160195162</v>
      </c>
    </row>
    <row r="5113" spans="1:29" s="4" customFormat="1" ht="51.9" customHeight="1" x14ac:dyDescent="0.2">
      <c r="A5113" s="5">
        <v>0</v>
      </c>
      <c r="B5113" s="6" t="s">
        <v>29476</v>
      </c>
      <c r="C5113" s="7">
        <v>2880</v>
      </c>
      <c r="D5113" s="8" t="s">
        <v>29477</v>
      </c>
      <c r="E5113" s="8" t="s">
        <v>29478</v>
      </c>
      <c r="F5113" s="8" t="s">
        <v>29479</v>
      </c>
      <c r="G5113" s="6" t="s">
        <v>60</v>
      </c>
      <c r="H5113" s="6" t="s">
        <v>34</v>
      </c>
      <c r="I5113" s="8" t="s">
        <v>253</v>
      </c>
      <c r="J5113" s="9">
        <v>1</v>
      </c>
      <c r="K5113" s="9">
        <v>440</v>
      </c>
      <c r="L5113" s="9">
        <v>2026</v>
      </c>
      <c r="M5113" s="8" t="s">
        <v>29480</v>
      </c>
      <c r="N5113" s="8" t="s">
        <v>37</v>
      </c>
      <c r="O5113" s="8" t="s">
        <v>280</v>
      </c>
      <c r="P5113" s="6" t="s">
        <v>306</v>
      </c>
      <c r="Q5113" s="8" t="s">
        <v>52</v>
      </c>
      <c r="R5113" s="10" t="s">
        <v>29481</v>
      </c>
      <c r="S5113" s="11" t="s">
        <v>29482</v>
      </c>
      <c r="T5113" s="6" t="s">
        <v>97</v>
      </c>
      <c r="U5113" s="15" t="str">
        <f>HYPERLINK("https://media.infra-m.ru/2229/2229311/cover/2229311.jpg", "Обложка")</f>
        <v>Обложка</v>
      </c>
      <c r="V5113" s="8" t="s">
        <v>1505</v>
      </c>
      <c r="W5113" s="6"/>
      <c r="X5113" s="6"/>
      <c r="Y5113" s="6"/>
      <c r="Z5113" s="6"/>
      <c r="AA5113" s="6" t="s">
        <v>1037</v>
      </c>
      <c r="AB5113" s="8"/>
      <c r="AC5113" s="27">
        <v>9785160188720</v>
      </c>
    </row>
    <row r="5114" spans="1:29" s="4" customFormat="1" ht="51.9" customHeight="1" x14ac:dyDescent="0.2">
      <c r="A5114" s="5">
        <v>0</v>
      </c>
      <c r="B5114" s="6" t="s">
        <v>29483</v>
      </c>
      <c r="C5114" s="7">
        <v>1944</v>
      </c>
      <c r="D5114" s="8" t="s">
        <v>29484</v>
      </c>
      <c r="E5114" s="8" t="s">
        <v>29485</v>
      </c>
      <c r="F5114" s="8" t="s">
        <v>28137</v>
      </c>
      <c r="G5114" s="6" t="s">
        <v>118</v>
      </c>
      <c r="H5114" s="6" t="s">
        <v>34</v>
      </c>
      <c r="I5114" s="8" t="s">
        <v>253</v>
      </c>
      <c r="J5114" s="9">
        <v>1</v>
      </c>
      <c r="K5114" s="9">
        <v>352</v>
      </c>
      <c r="L5114" s="9">
        <v>2024</v>
      </c>
      <c r="M5114" s="8" t="s">
        <v>29486</v>
      </c>
      <c r="N5114" s="8" t="s">
        <v>37</v>
      </c>
      <c r="O5114" s="8" t="s">
        <v>280</v>
      </c>
      <c r="P5114" s="6" t="s">
        <v>51</v>
      </c>
      <c r="Q5114" s="8" t="s">
        <v>65</v>
      </c>
      <c r="R5114" s="10" t="s">
        <v>29487</v>
      </c>
      <c r="S5114" s="11" t="s">
        <v>29488</v>
      </c>
      <c r="T5114" s="6"/>
      <c r="U5114" s="15" t="str">
        <f>HYPERLINK("https://media.infra-m.ru/2113/2113856/cover/2113856.jpg", "Обложка")</f>
        <v>Обложка</v>
      </c>
      <c r="V5114" s="8" t="s">
        <v>23026</v>
      </c>
      <c r="W5114" s="6"/>
      <c r="X5114" s="6"/>
      <c r="Y5114" s="6"/>
      <c r="Z5114" s="6"/>
      <c r="AA5114" s="6" t="s">
        <v>446</v>
      </c>
      <c r="AB5114" s="8"/>
      <c r="AC5114" s="27">
        <v>9785160193816</v>
      </c>
    </row>
    <row r="5115" spans="1:29" s="4" customFormat="1" ht="51.9" customHeight="1" x14ac:dyDescent="0.2">
      <c r="A5115" s="5">
        <v>0</v>
      </c>
      <c r="B5115" s="6" t="s">
        <v>29489</v>
      </c>
      <c r="C5115" s="7">
        <v>1368</v>
      </c>
      <c r="D5115" s="8" t="s">
        <v>29490</v>
      </c>
      <c r="E5115" s="8" t="s">
        <v>29491</v>
      </c>
      <c r="F5115" s="8" t="s">
        <v>29492</v>
      </c>
      <c r="G5115" s="6" t="s">
        <v>118</v>
      </c>
      <c r="H5115" s="6" t="s">
        <v>34</v>
      </c>
      <c r="I5115" s="8" t="s">
        <v>253</v>
      </c>
      <c r="J5115" s="9">
        <v>1</v>
      </c>
      <c r="K5115" s="9">
        <v>248</v>
      </c>
      <c r="L5115" s="9">
        <v>2024</v>
      </c>
      <c r="M5115" s="8" t="s">
        <v>29493</v>
      </c>
      <c r="N5115" s="8" t="s">
        <v>37</v>
      </c>
      <c r="O5115" s="8" t="s">
        <v>280</v>
      </c>
      <c r="P5115" s="6" t="s">
        <v>51</v>
      </c>
      <c r="Q5115" s="8" t="s">
        <v>52</v>
      </c>
      <c r="R5115" s="10" t="s">
        <v>29494</v>
      </c>
      <c r="S5115" s="11" t="s">
        <v>29495</v>
      </c>
      <c r="T5115" s="6"/>
      <c r="U5115" s="15" t="str">
        <f>HYPERLINK("https://media.infra-m.ru/2036/2036547/cover/2036547.jpg", "Обложка")</f>
        <v>Обложка</v>
      </c>
      <c r="V5115" s="8" t="s">
        <v>2382</v>
      </c>
      <c r="W5115" s="6"/>
      <c r="X5115" s="6"/>
      <c r="Y5115" s="6"/>
      <c r="Z5115" s="6"/>
      <c r="AA5115" s="6" t="s">
        <v>623</v>
      </c>
      <c r="AB5115" s="8"/>
      <c r="AC5115" s="27">
        <v>9785160194295</v>
      </c>
    </row>
    <row r="5116" spans="1:29" s="4" customFormat="1" ht="42" customHeight="1" x14ac:dyDescent="0.2">
      <c r="A5116" s="5">
        <v>0</v>
      </c>
      <c r="B5116" s="6" t="s">
        <v>29496</v>
      </c>
      <c r="C5116" s="7">
        <v>1320</v>
      </c>
      <c r="D5116" s="8" t="s">
        <v>29497</v>
      </c>
      <c r="E5116" s="8" t="s">
        <v>29498</v>
      </c>
      <c r="F5116" s="8" t="s">
        <v>5910</v>
      </c>
      <c r="G5116" s="6" t="s">
        <v>60</v>
      </c>
      <c r="H5116" s="6" t="s">
        <v>34</v>
      </c>
      <c r="I5116" s="8" t="s">
        <v>253</v>
      </c>
      <c r="J5116" s="9">
        <v>1</v>
      </c>
      <c r="K5116" s="9">
        <v>220</v>
      </c>
      <c r="L5116" s="9">
        <v>2024</v>
      </c>
      <c r="M5116" s="8" t="s">
        <v>29499</v>
      </c>
      <c r="N5116" s="8" t="s">
        <v>37</v>
      </c>
      <c r="O5116" s="8" t="s">
        <v>280</v>
      </c>
      <c r="P5116" s="6" t="s">
        <v>51</v>
      </c>
      <c r="Q5116" s="8" t="s">
        <v>52</v>
      </c>
      <c r="R5116" s="10" t="s">
        <v>2134</v>
      </c>
      <c r="S5116" s="11"/>
      <c r="T5116" s="6"/>
      <c r="U5116" s="15" t="str">
        <f>HYPERLINK("https://media.infra-m.ru/1907/1907109/cover/1907109.jpg", "Обложка")</f>
        <v>Обложка</v>
      </c>
      <c r="V5116" s="8" t="s">
        <v>1505</v>
      </c>
      <c r="W5116" s="6"/>
      <c r="X5116" s="6"/>
      <c r="Y5116" s="6"/>
      <c r="Z5116" s="6"/>
      <c r="AA5116" s="6" t="s">
        <v>76</v>
      </c>
      <c r="AB5116" s="8"/>
      <c r="AC5116" s="27">
        <v>9785160180465</v>
      </c>
    </row>
    <row r="5117" spans="1:29" s="4" customFormat="1" ht="51.9" customHeight="1" x14ac:dyDescent="0.2">
      <c r="A5117" s="5">
        <v>0</v>
      </c>
      <c r="B5117" s="6" t="s">
        <v>29500</v>
      </c>
      <c r="C5117" s="7">
        <v>1037.9000000000001</v>
      </c>
      <c r="D5117" s="8" t="s">
        <v>29501</v>
      </c>
      <c r="E5117" s="8" t="s">
        <v>29502</v>
      </c>
      <c r="F5117" s="8" t="s">
        <v>29503</v>
      </c>
      <c r="G5117" s="6" t="s">
        <v>60</v>
      </c>
      <c r="H5117" s="6" t="s">
        <v>34</v>
      </c>
      <c r="I5117" s="8" t="s">
        <v>504</v>
      </c>
      <c r="J5117" s="9">
        <v>1</v>
      </c>
      <c r="K5117" s="9">
        <v>192</v>
      </c>
      <c r="L5117" s="9">
        <v>2023</v>
      </c>
      <c r="M5117" s="8" t="s">
        <v>29504</v>
      </c>
      <c r="N5117" s="8" t="s">
        <v>37</v>
      </c>
      <c r="O5117" s="8" t="s">
        <v>280</v>
      </c>
      <c r="P5117" s="6" t="s">
        <v>306</v>
      </c>
      <c r="Q5117" s="8" t="s">
        <v>500</v>
      </c>
      <c r="R5117" s="10" t="s">
        <v>1646</v>
      </c>
      <c r="S5117" s="11" t="s">
        <v>29505</v>
      </c>
      <c r="T5117" s="6"/>
      <c r="U5117" s="15" t="str">
        <f>HYPERLINK("https://media.infra-m.ru/2036/2036447/cover/2036447.jpg", "Обложка")</f>
        <v>Обложка</v>
      </c>
      <c r="V5117" s="8" t="s">
        <v>546</v>
      </c>
      <c r="W5117" s="6"/>
      <c r="X5117" s="6"/>
      <c r="Y5117" s="6"/>
      <c r="Z5117" s="6"/>
      <c r="AA5117" s="6" t="s">
        <v>1256</v>
      </c>
      <c r="AB5117" s="8"/>
      <c r="AC5117" s="27">
        <v>9785160160290</v>
      </c>
    </row>
    <row r="5118" spans="1:29" s="4" customFormat="1" ht="51.9" customHeight="1" x14ac:dyDescent="0.2">
      <c r="A5118" s="5">
        <v>0</v>
      </c>
      <c r="B5118" s="6" t="s">
        <v>29506</v>
      </c>
      <c r="C5118" s="7">
        <v>1636.8</v>
      </c>
      <c r="D5118" s="8" t="s">
        <v>29507</v>
      </c>
      <c r="E5118" s="8" t="s">
        <v>29508</v>
      </c>
      <c r="F5118" s="8" t="s">
        <v>14562</v>
      </c>
      <c r="G5118" s="6" t="s">
        <v>60</v>
      </c>
      <c r="H5118" s="6" t="s">
        <v>34</v>
      </c>
      <c r="I5118" s="8" t="s">
        <v>271</v>
      </c>
      <c r="J5118" s="9">
        <v>1</v>
      </c>
      <c r="K5118" s="9">
        <v>302</v>
      </c>
      <c r="L5118" s="9">
        <v>2023</v>
      </c>
      <c r="M5118" s="8" t="s">
        <v>29509</v>
      </c>
      <c r="N5118" s="8" t="s">
        <v>37</v>
      </c>
      <c r="O5118" s="8" t="s">
        <v>280</v>
      </c>
      <c r="P5118" s="6" t="s">
        <v>306</v>
      </c>
      <c r="Q5118" s="8" t="s">
        <v>52</v>
      </c>
      <c r="R5118" s="10" t="s">
        <v>6377</v>
      </c>
      <c r="S5118" s="11" t="s">
        <v>29510</v>
      </c>
      <c r="T5118" s="6"/>
      <c r="U5118" s="15" t="str">
        <f>HYPERLINK("https://media.infra-m.ru/2021/2021474/cover/2021474.jpg", "Обложка")</f>
        <v>Обложка</v>
      </c>
      <c r="V5118" s="8" t="s">
        <v>13059</v>
      </c>
      <c r="W5118" s="6"/>
      <c r="X5118" s="6"/>
      <c r="Y5118" s="6"/>
      <c r="Z5118" s="6"/>
      <c r="AA5118" s="6" t="s">
        <v>115</v>
      </c>
      <c r="AB5118" s="8"/>
      <c r="AC5118" s="27">
        <v>9785160148854</v>
      </c>
    </row>
    <row r="5119" spans="1:29" s="4" customFormat="1" ht="51.9" customHeight="1" x14ac:dyDescent="0.2">
      <c r="A5119" s="5">
        <v>0</v>
      </c>
      <c r="B5119" s="6" t="s">
        <v>29511</v>
      </c>
      <c r="C5119" s="7">
        <v>1240.8</v>
      </c>
      <c r="D5119" s="8" t="s">
        <v>29512</v>
      </c>
      <c r="E5119" s="8" t="s">
        <v>29513</v>
      </c>
      <c r="F5119" s="8" t="s">
        <v>29514</v>
      </c>
      <c r="G5119" s="6" t="s">
        <v>118</v>
      </c>
      <c r="H5119" s="6" t="s">
        <v>34</v>
      </c>
      <c r="I5119" s="8" t="s">
        <v>263</v>
      </c>
      <c r="J5119" s="9">
        <v>1</v>
      </c>
      <c r="K5119" s="9">
        <v>179</v>
      </c>
      <c r="L5119" s="9">
        <v>2026</v>
      </c>
      <c r="M5119" s="8" t="s">
        <v>29515</v>
      </c>
      <c r="N5119" s="8" t="s">
        <v>93</v>
      </c>
      <c r="O5119" s="8" t="s">
        <v>94</v>
      </c>
      <c r="P5119" s="6" t="s">
        <v>51</v>
      </c>
      <c r="Q5119" s="8" t="s">
        <v>265</v>
      </c>
      <c r="R5119" s="10" t="s">
        <v>29516</v>
      </c>
      <c r="S5119" s="11" t="s">
        <v>29517</v>
      </c>
      <c r="T5119" s="6" t="s">
        <v>97</v>
      </c>
      <c r="U5119" s="15" t="str">
        <f>HYPERLINK("https://media.infra-m.ru/2261/2261995/cover/2261995.jpg", "Обложка")</f>
        <v>Обложка</v>
      </c>
      <c r="V5119" s="8" t="s">
        <v>1551</v>
      </c>
      <c r="W5119" s="6"/>
      <c r="X5119" s="6"/>
      <c r="Y5119" s="6"/>
      <c r="Z5119" s="6"/>
      <c r="AA5119" s="6" t="s">
        <v>115</v>
      </c>
      <c r="AB5119" s="8"/>
      <c r="AC5119" s="27">
        <v>9785160143996</v>
      </c>
    </row>
    <row r="5120" spans="1:29" s="4" customFormat="1" ht="51.9" customHeight="1" x14ac:dyDescent="0.2">
      <c r="A5120" s="5">
        <v>0</v>
      </c>
      <c r="B5120" s="6" t="s">
        <v>29518</v>
      </c>
      <c r="C5120" s="7">
        <v>1276.8</v>
      </c>
      <c r="D5120" s="8" t="s">
        <v>29519</v>
      </c>
      <c r="E5120" s="8" t="s">
        <v>29520</v>
      </c>
      <c r="F5120" s="8" t="s">
        <v>29521</v>
      </c>
      <c r="G5120" s="6" t="s">
        <v>118</v>
      </c>
      <c r="H5120" s="6" t="s">
        <v>34</v>
      </c>
      <c r="I5120" s="8" t="s">
        <v>271</v>
      </c>
      <c r="J5120" s="9">
        <v>1</v>
      </c>
      <c r="K5120" s="9">
        <v>205</v>
      </c>
      <c r="L5120" s="9">
        <v>2025</v>
      </c>
      <c r="M5120" s="8" t="s">
        <v>29522</v>
      </c>
      <c r="N5120" s="8" t="s">
        <v>243</v>
      </c>
      <c r="O5120" s="8" t="s">
        <v>385</v>
      </c>
      <c r="P5120" s="6" t="s">
        <v>51</v>
      </c>
      <c r="Q5120" s="8" t="s">
        <v>52</v>
      </c>
      <c r="R5120" s="10" t="s">
        <v>29523</v>
      </c>
      <c r="S5120" s="11" t="s">
        <v>29524</v>
      </c>
      <c r="T5120" s="6"/>
      <c r="U5120" s="15" t="str">
        <f>HYPERLINK("https://media.infra-m.ru/2196/2196964/cover/2196964.jpg", "Обложка")</f>
        <v>Обложка</v>
      </c>
      <c r="V5120" s="8"/>
      <c r="W5120" s="6"/>
      <c r="X5120" s="6"/>
      <c r="Y5120" s="6"/>
      <c r="Z5120" s="6"/>
      <c r="AA5120" s="6" t="s">
        <v>55</v>
      </c>
      <c r="AB5120" s="8"/>
      <c r="AC5120" s="27">
        <v>9785160053264</v>
      </c>
    </row>
    <row r="5121" spans="1:29" s="4" customFormat="1" ht="42" customHeight="1" x14ac:dyDescent="0.2">
      <c r="A5121" s="5">
        <v>0</v>
      </c>
      <c r="B5121" s="6" t="s">
        <v>29525</v>
      </c>
      <c r="C5121" s="7">
        <v>2224.8000000000002</v>
      </c>
      <c r="D5121" s="8" t="s">
        <v>29526</v>
      </c>
      <c r="E5121" s="8" t="s">
        <v>29527</v>
      </c>
      <c r="F5121" s="8" t="s">
        <v>29528</v>
      </c>
      <c r="G5121" s="6" t="s">
        <v>118</v>
      </c>
      <c r="H5121" s="6" t="s">
        <v>34</v>
      </c>
      <c r="I5121" s="8" t="s">
        <v>271</v>
      </c>
      <c r="J5121" s="9">
        <v>1</v>
      </c>
      <c r="K5121" s="9">
        <v>320</v>
      </c>
      <c r="L5121" s="9">
        <v>2027</v>
      </c>
      <c r="M5121" s="8" t="s">
        <v>29529</v>
      </c>
      <c r="N5121" s="8" t="s">
        <v>243</v>
      </c>
      <c r="O5121" s="8" t="s">
        <v>1100</v>
      </c>
      <c r="P5121" s="6" t="s">
        <v>306</v>
      </c>
      <c r="Q5121" s="8" t="s">
        <v>52</v>
      </c>
      <c r="R5121" s="10" t="s">
        <v>6260</v>
      </c>
      <c r="S5121" s="11"/>
      <c r="T5121" s="6"/>
      <c r="U5121" s="15" t="str">
        <f>HYPERLINK("https://media.infra-m.ru/2269/2269376/cover/2269376.jpg", "Обложка")</f>
        <v>Обложка</v>
      </c>
      <c r="V5121" s="8" t="s">
        <v>4892</v>
      </c>
      <c r="W5121" s="6"/>
      <c r="X5121" s="6"/>
      <c r="Y5121" s="6"/>
      <c r="Z5121" s="6"/>
      <c r="AA5121" s="6" t="s">
        <v>274</v>
      </c>
      <c r="AB5121" s="8"/>
      <c r="AC5121" s="27">
        <v>9785160068121</v>
      </c>
    </row>
    <row r="5122" spans="1:29" s="4" customFormat="1" ht="51.9" customHeight="1" x14ac:dyDescent="0.2">
      <c r="A5122" s="5">
        <v>0</v>
      </c>
      <c r="B5122" s="6" t="s">
        <v>29530</v>
      </c>
      <c r="C5122" s="7">
        <v>1048.8</v>
      </c>
      <c r="D5122" s="8" t="s">
        <v>29531</v>
      </c>
      <c r="E5122" s="8" t="s">
        <v>29532</v>
      </c>
      <c r="F5122" s="8" t="s">
        <v>29533</v>
      </c>
      <c r="G5122" s="6" t="s">
        <v>33</v>
      </c>
      <c r="H5122" s="6" t="s">
        <v>34</v>
      </c>
      <c r="I5122" s="8" t="s">
        <v>253</v>
      </c>
      <c r="J5122" s="9">
        <v>1</v>
      </c>
      <c r="K5122" s="9">
        <v>159</v>
      </c>
      <c r="L5122" s="9">
        <v>2026</v>
      </c>
      <c r="M5122" s="8" t="s">
        <v>29534</v>
      </c>
      <c r="N5122" s="8" t="s">
        <v>63</v>
      </c>
      <c r="O5122" s="8" t="s">
        <v>126</v>
      </c>
      <c r="P5122" s="6" t="s">
        <v>51</v>
      </c>
      <c r="Q5122" s="8" t="s">
        <v>52</v>
      </c>
      <c r="R5122" s="10" t="s">
        <v>29535</v>
      </c>
      <c r="S5122" s="11" t="s">
        <v>29536</v>
      </c>
      <c r="T5122" s="6"/>
      <c r="U5122" s="15" t="str">
        <f>HYPERLINK("https://media.infra-m.ru/2246/2246857/cover/2246857.jpg", "Обложка")</f>
        <v>Обложка</v>
      </c>
      <c r="V5122" s="8" t="s">
        <v>3693</v>
      </c>
      <c r="W5122" s="6"/>
      <c r="X5122" s="6"/>
      <c r="Y5122" s="6"/>
      <c r="Z5122" s="6"/>
      <c r="AA5122" s="6" t="s">
        <v>55</v>
      </c>
      <c r="AB5122" s="8"/>
      <c r="AC5122" s="27">
        <v>9785160193793</v>
      </c>
    </row>
    <row r="5123" spans="1:29" s="4" customFormat="1" ht="42" customHeight="1" x14ac:dyDescent="0.2">
      <c r="A5123" s="5">
        <v>0</v>
      </c>
      <c r="B5123" s="6" t="s">
        <v>29537</v>
      </c>
      <c r="C5123" s="7">
        <v>2088</v>
      </c>
      <c r="D5123" s="8" t="s">
        <v>29538</v>
      </c>
      <c r="E5123" s="8" t="s">
        <v>29539</v>
      </c>
      <c r="F5123" s="8" t="s">
        <v>7408</v>
      </c>
      <c r="G5123" s="6" t="s">
        <v>60</v>
      </c>
      <c r="H5123" s="6" t="s">
        <v>34</v>
      </c>
      <c r="I5123" s="8" t="s">
        <v>35</v>
      </c>
      <c r="J5123" s="9">
        <v>1</v>
      </c>
      <c r="K5123" s="9">
        <v>336</v>
      </c>
      <c r="L5123" s="9">
        <v>2025</v>
      </c>
      <c r="M5123" s="8" t="s">
        <v>29540</v>
      </c>
      <c r="N5123" s="8" t="s">
        <v>37</v>
      </c>
      <c r="O5123" s="8" t="s">
        <v>136</v>
      </c>
      <c r="P5123" s="6" t="s">
        <v>39</v>
      </c>
      <c r="Q5123" s="8" t="s">
        <v>40</v>
      </c>
      <c r="R5123" s="10" t="s">
        <v>9862</v>
      </c>
      <c r="S5123" s="11"/>
      <c r="T5123" s="6"/>
      <c r="U5123" s="15" t="str">
        <f>HYPERLINK("https://media.infra-m.ru/2147/2147029/cover/2147029.jpg", "Обложка")</f>
        <v>Обложка</v>
      </c>
      <c r="V5123" s="8" t="s">
        <v>3243</v>
      </c>
      <c r="W5123" s="6"/>
      <c r="X5123" s="6"/>
      <c r="Y5123" s="6"/>
      <c r="Z5123" s="6"/>
      <c r="AA5123" s="6" t="s">
        <v>68</v>
      </c>
      <c r="AB5123" s="8"/>
      <c r="AC5123" s="27">
        <v>9785160199412</v>
      </c>
    </row>
    <row r="5124" spans="1:29" s="4" customFormat="1" ht="51.9" customHeight="1" x14ac:dyDescent="0.2">
      <c r="A5124" s="5">
        <v>0</v>
      </c>
      <c r="B5124" s="6" t="s">
        <v>29541</v>
      </c>
      <c r="C5124" s="7">
        <v>3040.8</v>
      </c>
      <c r="D5124" s="8" t="s">
        <v>29542</v>
      </c>
      <c r="E5124" s="8" t="s">
        <v>29543</v>
      </c>
      <c r="F5124" s="8" t="s">
        <v>29544</v>
      </c>
      <c r="G5124" s="6" t="s">
        <v>118</v>
      </c>
      <c r="H5124" s="6" t="s">
        <v>1042</v>
      </c>
      <c r="I5124" s="8" t="s">
        <v>263</v>
      </c>
      <c r="J5124" s="9">
        <v>1</v>
      </c>
      <c r="K5124" s="9">
        <v>480</v>
      </c>
      <c r="L5124" s="9">
        <v>2026</v>
      </c>
      <c r="M5124" s="8" t="s">
        <v>29545</v>
      </c>
      <c r="N5124" s="8" t="s">
        <v>63</v>
      </c>
      <c r="O5124" s="8" t="s">
        <v>126</v>
      </c>
      <c r="P5124" s="6" t="s">
        <v>306</v>
      </c>
      <c r="Q5124" s="8" t="s">
        <v>265</v>
      </c>
      <c r="R5124" s="10" t="s">
        <v>29546</v>
      </c>
      <c r="S5124" s="11" t="s">
        <v>19031</v>
      </c>
      <c r="T5124" s="6"/>
      <c r="U5124" s="15" t="str">
        <f>HYPERLINK("https://media.infra-m.ru/2220/2220287/cover/2220287.jpg", "Обложка")</f>
        <v>Обложка</v>
      </c>
      <c r="V5124" s="8" t="s">
        <v>16500</v>
      </c>
      <c r="W5124" s="6"/>
      <c r="X5124" s="6" t="s">
        <v>24</v>
      </c>
      <c r="Y5124" s="6"/>
      <c r="Z5124" s="6"/>
      <c r="AA5124" s="6" t="s">
        <v>949</v>
      </c>
      <c r="AB5124" s="8"/>
      <c r="AC5124" s="27">
        <v>9785819906941</v>
      </c>
    </row>
    <row r="5125" spans="1:29" s="4" customFormat="1" ht="51.9" customHeight="1" x14ac:dyDescent="0.2">
      <c r="A5125" s="5">
        <v>0</v>
      </c>
      <c r="B5125" s="6" t="s">
        <v>29547</v>
      </c>
      <c r="C5125" s="7">
        <v>2028</v>
      </c>
      <c r="D5125" s="8" t="s">
        <v>29548</v>
      </c>
      <c r="E5125" s="8" t="s">
        <v>29543</v>
      </c>
      <c r="F5125" s="8" t="s">
        <v>29549</v>
      </c>
      <c r="G5125" s="6" t="s">
        <v>118</v>
      </c>
      <c r="H5125" s="6" t="s">
        <v>34</v>
      </c>
      <c r="I5125" s="8" t="s">
        <v>263</v>
      </c>
      <c r="J5125" s="9">
        <v>1</v>
      </c>
      <c r="K5125" s="9">
        <v>307</v>
      </c>
      <c r="L5125" s="9">
        <v>2026</v>
      </c>
      <c r="M5125" s="8" t="s">
        <v>29550</v>
      </c>
      <c r="N5125" s="8" t="s">
        <v>63</v>
      </c>
      <c r="O5125" s="8" t="s">
        <v>126</v>
      </c>
      <c r="P5125" s="6" t="s">
        <v>306</v>
      </c>
      <c r="Q5125" s="8" t="s">
        <v>265</v>
      </c>
      <c r="R5125" s="10" t="s">
        <v>29551</v>
      </c>
      <c r="S5125" s="11" t="s">
        <v>29552</v>
      </c>
      <c r="T5125" s="6"/>
      <c r="U5125" s="15" t="str">
        <f>HYPERLINK("https://media.infra-m.ru/2238/2238388/cover/2238388.jpg", "Обложка")</f>
        <v>Обложка</v>
      </c>
      <c r="V5125" s="8" t="s">
        <v>588</v>
      </c>
      <c r="W5125" s="6"/>
      <c r="X5125" s="6" t="s">
        <v>24</v>
      </c>
      <c r="Y5125" s="6"/>
      <c r="Z5125" s="6"/>
      <c r="AA5125" s="6" t="s">
        <v>430</v>
      </c>
      <c r="AB5125" s="8"/>
      <c r="AC5125" s="27">
        <v>9785160150055</v>
      </c>
    </row>
    <row r="5126" spans="1:29" s="4" customFormat="1" ht="51.9" customHeight="1" x14ac:dyDescent="0.2">
      <c r="A5126" s="5">
        <v>0</v>
      </c>
      <c r="B5126" s="6" t="s">
        <v>29553</v>
      </c>
      <c r="C5126" s="7">
        <v>1600.8</v>
      </c>
      <c r="D5126" s="8" t="s">
        <v>29554</v>
      </c>
      <c r="E5126" s="8" t="s">
        <v>29543</v>
      </c>
      <c r="F5126" s="8" t="s">
        <v>29555</v>
      </c>
      <c r="G5126" s="6" t="s">
        <v>118</v>
      </c>
      <c r="H5126" s="6" t="s">
        <v>48</v>
      </c>
      <c r="I5126" s="8" t="s">
        <v>263</v>
      </c>
      <c r="J5126" s="9">
        <v>1</v>
      </c>
      <c r="K5126" s="9">
        <v>266</v>
      </c>
      <c r="L5126" s="9">
        <v>2024</v>
      </c>
      <c r="M5126" s="8" t="s">
        <v>29556</v>
      </c>
      <c r="N5126" s="8" t="s">
        <v>63</v>
      </c>
      <c r="O5126" s="8" t="s">
        <v>126</v>
      </c>
      <c r="P5126" s="6" t="s">
        <v>105</v>
      </c>
      <c r="Q5126" s="8" t="s">
        <v>265</v>
      </c>
      <c r="R5126" s="10" t="s">
        <v>29557</v>
      </c>
      <c r="S5126" s="11" t="s">
        <v>29558</v>
      </c>
      <c r="T5126" s="6"/>
      <c r="U5126" s="15" t="str">
        <f>HYPERLINK("https://media.infra-m.ru/2157/2157879/cover/2157879.jpg", "Обложка")</f>
        <v>Обложка</v>
      </c>
      <c r="V5126" s="8" t="s">
        <v>26929</v>
      </c>
      <c r="W5126" s="6"/>
      <c r="X5126" s="6"/>
      <c r="Y5126" s="6"/>
      <c r="Z5126" s="6"/>
      <c r="AA5126" s="6" t="s">
        <v>99</v>
      </c>
      <c r="AB5126" s="8"/>
      <c r="AC5126" s="27">
        <v>9785000914373</v>
      </c>
    </row>
    <row r="5127" spans="1:29" s="4" customFormat="1" ht="42" customHeight="1" x14ac:dyDescent="0.2">
      <c r="A5127" s="5">
        <v>0</v>
      </c>
      <c r="B5127" s="6" t="s">
        <v>29559</v>
      </c>
      <c r="C5127" s="7">
        <v>1200</v>
      </c>
      <c r="D5127" s="8" t="s">
        <v>29560</v>
      </c>
      <c r="E5127" s="8" t="s">
        <v>29543</v>
      </c>
      <c r="F5127" s="8" t="s">
        <v>8976</v>
      </c>
      <c r="G5127" s="6" t="s">
        <v>60</v>
      </c>
      <c r="H5127" s="6" t="s">
        <v>34</v>
      </c>
      <c r="I5127" s="8" t="s">
        <v>263</v>
      </c>
      <c r="J5127" s="9">
        <v>1</v>
      </c>
      <c r="K5127" s="9">
        <v>197</v>
      </c>
      <c r="L5127" s="9">
        <v>2025</v>
      </c>
      <c r="M5127" s="8" t="s">
        <v>29561</v>
      </c>
      <c r="N5127" s="8" t="s">
        <v>63</v>
      </c>
      <c r="O5127" s="8" t="s">
        <v>126</v>
      </c>
      <c r="P5127" s="6" t="s">
        <v>51</v>
      </c>
      <c r="Q5127" s="8" t="s">
        <v>265</v>
      </c>
      <c r="R5127" s="10" t="s">
        <v>29557</v>
      </c>
      <c r="S5127" s="11"/>
      <c r="T5127" s="6"/>
      <c r="U5127" s="15" t="str">
        <f>HYPERLINK("https://media.infra-m.ru/1907/1907643/cover/1907643.jpg", "Обложка")</f>
        <v>Обложка</v>
      </c>
      <c r="V5127" s="8" t="s">
        <v>8979</v>
      </c>
      <c r="W5127" s="6"/>
      <c r="X5127" s="6"/>
      <c r="Y5127" s="6"/>
      <c r="Z5127" s="6"/>
      <c r="AA5127" s="6" t="s">
        <v>68</v>
      </c>
      <c r="AB5127" s="8"/>
      <c r="AC5127" s="27">
        <v>9785160180540</v>
      </c>
    </row>
    <row r="5128" spans="1:29" s="4" customFormat="1" ht="51.9" customHeight="1" x14ac:dyDescent="0.2">
      <c r="A5128" s="5">
        <v>0</v>
      </c>
      <c r="B5128" s="6" t="s">
        <v>29562</v>
      </c>
      <c r="C5128" s="13">
        <v>924</v>
      </c>
      <c r="D5128" s="8" t="s">
        <v>29563</v>
      </c>
      <c r="E5128" s="8" t="s">
        <v>29543</v>
      </c>
      <c r="F5128" s="8" t="s">
        <v>9498</v>
      </c>
      <c r="G5128" s="6" t="s">
        <v>118</v>
      </c>
      <c r="H5128" s="6" t="s">
        <v>34</v>
      </c>
      <c r="I5128" s="8" t="s">
        <v>263</v>
      </c>
      <c r="J5128" s="9">
        <v>1</v>
      </c>
      <c r="K5128" s="9">
        <v>147</v>
      </c>
      <c r="L5128" s="9">
        <v>2025</v>
      </c>
      <c r="M5128" s="8" t="s">
        <v>29564</v>
      </c>
      <c r="N5128" s="8" t="s">
        <v>63</v>
      </c>
      <c r="O5128" s="8" t="s">
        <v>126</v>
      </c>
      <c r="P5128" s="6" t="s">
        <v>51</v>
      </c>
      <c r="Q5128" s="8" t="s">
        <v>265</v>
      </c>
      <c r="R5128" s="10" t="s">
        <v>29557</v>
      </c>
      <c r="S5128" s="11" t="s">
        <v>4296</v>
      </c>
      <c r="T5128" s="6"/>
      <c r="U5128" s="15" t="str">
        <f>HYPERLINK("https://media.infra-m.ru/2186/2186859/cover/2186859.jpg", "Обложка")</f>
        <v>Обложка</v>
      </c>
      <c r="V5128" s="8" t="s">
        <v>2427</v>
      </c>
      <c r="W5128" s="6"/>
      <c r="X5128" s="6"/>
      <c r="Y5128" s="6"/>
      <c r="Z5128" s="6" t="s">
        <v>267</v>
      </c>
      <c r="AA5128" s="6" t="s">
        <v>115</v>
      </c>
      <c r="AB5128" s="8"/>
      <c r="AC5128" s="27">
        <v>9785160148809</v>
      </c>
    </row>
    <row r="5129" spans="1:29" s="4" customFormat="1" ht="51.9" customHeight="1" x14ac:dyDescent="0.2">
      <c r="A5129" s="5">
        <v>0</v>
      </c>
      <c r="B5129" s="6" t="s">
        <v>29565</v>
      </c>
      <c r="C5129" s="7">
        <v>1900.8</v>
      </c>
      <c r="D5129" s="8" t="s">
        <v>29566</v>
      </c>
      <c r="E5129" s="8" t="s">
        <v>29567</v>
      </c>
      <c r="F5129" s="8" t="s">
        <v>29568</v>
      </c>
      <c r="G5129" s="6" t="s">
        <v>118</v>
      </c>
      <c r="H5129" s="6" t="s">
        <v>48</v>
      </c>
      <c r="I5129" s="8" t="s">
        <v>263</v>
      </c>
      <c r="J5129" s="9">
        <v>1</v>
      </c>
      <c r="K5129" s="9">
        <v>288</v>
      </c>
      <c r="L5129" s="9">
        <v>2026</v>
      </c>
      <c r="M5129" s="8" t="s">
        <v>29569</v>
      </c>
      <c r="N5129" s="8" t="s">
        <v>63</v>
      </c>
      <c r="O5129" s="8" t="s">
        <v>126</v>
      </c>
      <c r="P5129" s="6" t="s">
        <v>51</v>
      </c>
      <c r="Q5129" s="8" t="s">
        <v>265</v>
      </c>
      <c r="R5129" s="10" t="s">
        <v>29570</v>
      </c>
      <c r="S5129" s="11" t="s">
        <v>28733</v>
      </c>
      <c r="T5129" s="6"/>
      <c r="U5129" s="15" t="str">
        <f>HYPERLINK("https://media.infra-m.ru/2249/2249348/cover/2249348.jpg", "Обложка")</f>
        <v>Обложка</v>
      </c>
      <c r="V5129" s="8" t="s">
        <v>445</v>
      </c>
      <c r="W5129" s="6"/>
      <c r="X5129" s="6" t="s">
        <v>24</v>
      </c>
      <c r="Y5129" s="6"/>
      <c r="Z5129" s="6"/>
      <c r="AA5129" s="6" t="s">
        <v>446</v>
      </c>
      <c r="AB5129" s="8"/>
      <c r="AC5129" s="27">
        <v>9785000914847</v>
      </c>
    </row>
    <row r="5130" spans="1:29" s="4" customFormat="1" ht="42" customHeight="1" x14ac:dyDescent="0.2">
      <c r="A5130" s="5">
        <v>0</v>
      </c>
      <c r="B5130" s="6" t="s">
        <v>29571</v>
      </c>
      <c r="C5130" s="7">
        <v>1512</v>
      </c>
      <c r="D5130" s="8" t="s">
        <v>29572</v>
      </c>
      <c r="E5130" s="8" t="s">
        <v>29573</v>
      </c>
      <c r="F5130" s="8" t="s">
        <v>26450</v>
      </c>
      <c r="G5130" s="6" t="s">
        <v>60</v>
      </c>
      <c r="H5130" s="6" t="s">
        <v>34</v>
      </c>
      <c r="I5130" s="8" t="s">
        <v>253</v>
      </c>
      <c r="J5130" s="9">
        <v>1</v>
      </c>
      <c r="K5130" s="9">
        <v>217</v>
      </c>
      <c r="L5130" s="9">
        <v>2026</v>
      </c>
      <c r="M5130" s="8" t="s">
        <v>29574</v>
      </c>
      <c r="N5130" s="8" t="s">
        <v>37</v>
      </c>
      <c r="O5130" s="8" t="s">
        <v>233</v>
      </c>
      <c r="P5130" s="6" t="s">
        <v>51</v>
      </c>
      <c r="Q5130" s="8" t="s">
        <v>52</v>
      </c>
      <c r="R5130" s="10" t="s">
        <v>29575</v>
      </c>
      <c r="S5130" s="11"/>
      <c r="T5130" s="6"/>
      <c r="U5130" s="15" t="str">
        <f>HYPERLINK("https://media.infra-m.ru/2233/2233279/cover/2233279.jpg", "Обложка")</f>
        <v>Обложка</v>
      </c>
      <c r="V5130" s="8" t="s">
        <v>396</v>
      </c>
      <c r="W5130" s="6" t="s">
        <v>649</v>
      </c>
      <c r="X5130" s="6"/>
      <c r="Y5130" s="6"/>
      <c r="Z5130" s="6"/>
      <c r="AA5130" s="6" t="s">
        <v>187</v>
      </c>
      <c r="AB5130" s="8" t="s">
        <v>308</v>
      </c>
      <c r="AC5130" s="27">
        <v>9785160216447</v>
      </c>
    </row>
    <row r="5131" spans="1:29" s="4" customFormat="1" ht="51.9" customHeight="1" x14ac:dyDescent="0.2">
      <c r="A5131" s="5">
        <v>0</v>
      </c>
      <c r="B5131" s="6" t="s">
        <v>29576</v>
      </c>
      <c r="C5131" s="7">
        <v>1236</v>
      </c>
      <c r="D5131" s="8" t="s">
        <v>29577</v>
      </c>
      <c r="E5131" s="8" t="s">
        <v>29578</v>
      </c>
      <c r="F5131" s="8" t="s">
        <v>29579</v>
      </c>
      <c r="G5131" s="6" t="s">
        <v>118</v>
      </c>
      <c r="H5131" s="6" t="s">
        <v>34</v>
      </c>
      <c r="I5131" s="8" t="s">
        <v>5350</v>
      </c>
      <c r="J5131" s="9">
        <v>1</v>
      </c>
      <c r="K5131" s="9">
        <v>228</v>
      </c>
      <c r="L5131" s="9">
        <v>2023</v>
      </c>
      <c r="M5131" s="8" t="s">
        <v>29580</v>
      </c>
      <c r="N5131" s="8" t="s">
        <v>37</v>
      </c>
      <c r="O5131" s="8" t="s">
        <v>280</v>
      </c>
      <c r="P5131" s="6" t="s">
        <v>51</v>
      </c>
      <c r="Q5131" s="8" t="s">
        <v>377</v>
      </c>
      <c r="R5131" s="10" t="s">
        <v>5352</v>
      </c>
      <c r="S5131" s="11" t="s">
        <v>29581</v>
      </c>
      <c r="T5131" s="6"/>
      <c r="U5131" s="15" t="str">
        <f>HYPERLINK("https://media.infra-m.ru/2021/2021459/cover/2021459.jpg", "Обложка")</f>
        <v>Обложка</v>
      </c>
      <c r="V5131" s="8" t="s">
        <v>6642</v>
      </c>
      <c r="W5131" s="6"/>
      <c r="X5131" s="6"/>
      <c r="Y5131" s="6"/>
      <c r="Z5131" s="6"/>
      <c r="AA5131" s="6" t="s">
        <v>115</v>
      </c>
      <c r="AB5131" s="8"/>
      <c r="AC5131" s="27">
        <v>9785160144665</v>
      </c>
    </row>
    <row r="5132" spans="1:29" s="4" customFormat="1" ht="51.9" customHeight="1" x14ac:dyDescent="0.2">
      <c r="A5132" s="5">
        <v>0</v>
      </c>
      <c r="B5132" s="6" t="s">
        <v>29582</v>
      </c>
      <c r="C5132" s="13">
        <v>916.8</v>
      </c>
      <c r="D5132" s="8" t="s">
        <v>29583</v>
      </c>
      <c r="E5132" s="8" t="s">
        <v>29584</v>
      </c>
      <c r="F5132" s="8" t="s">
        <v>29585</v>
      </c>
      <c r="G5132" s="6" t="s">
        <v>33</v>
      </c>
      <c r="H5132" s="6" t="s">
        <v>34</v>
      </c>
      <c r="I5132" s="8" t="s">
        <v>271</v>
      </c>
      <c r="J5132" s="9">
        <v>1</v>
      </c>
      <c r="K5132" s="9">
        <v>166</v>
      </c>
      <c r="L5132" s="9">
        <v>2024</v>
      </c>
      <c r="M5132" s="8" t="s">
        <v>29586</v>
      </c>
      <c r="N5132" s="8" t="s">
        <v>37</v>
      </c>
      <c r="O5132" s="8" t="s">
        <v>233</v>
      </c>
      <c r="P5132" s="6" t="s">
        <v>51</v>
      </c>
      <c r="Q5132" s="8" t="s">
        <v>52</v>
      </c>
      <c r="R5132" s="10" t="s">
        <v>5079</v>
      </c>
      <c r="S5132" s="11" t="s">
        <v>29587</v>
      </c>
      <c r="T5132" s="6"/>
      <c r="U5132" s="15" t="str">
        <f>HYPERLINK("https://media.infra-m.ru/2084/2084526/cover/2084526.jpg", "Обложка")</f>
        <v>Обложка</v>
      </c>
      <c r="V5132" s="8" t="s">
        <v>546</v>
      </c>
      <c r="W5132" s="6"/>
      <c r="X5132" s="6"/>
      <c r="Y5132" s="6"/>
      <c r="Z5132" s="6"/>
      <c r="AA5132" s="6" t="s">
        <v>248</v>
      </c>
      <c r="AB5132" s="8"/>
      <c r="AC5132" s="27">
        <v>9785160068398</v>
      </c>
    </row>
    <row r="5133" spans="1:29" s="4" customFormat="1" ht="42" customHeight="1" x14ac:dyDescent="0.2">
      <c r="A5133" s="5">
        <v>0</v>
      </c>
      <c r="B5133" s="6" t="s">
        <v>29588</v>
      </c>
      <c r="C5133" s="7">
        <v>1348.8</v>
      </c>
      <c r="D5133" s="8" t="s">
        <v>29589</v>
      </c>
      <c r="E5133" s="8" t="s">
        <v>29590</v>
      </c>
      <c r="F5133" s="8" t="s">
        <v>26450</v>
      </c>
      <c r="G5133" s="6" t="s">
        <v>118</v>
      </c>
      <c r="H5133" s="6" t="s">
        <v>34</v>
      </c>
      <c r="I5133" s="8" t="s">
        <v>179</v>
      </c>
      <c r="J5133" s="9">
        <v>1</v>
      </c>
      <c r="K5133" s="9">
        <v>192</v>
      </c>
      <c r="L5133" s="9">
        <v>2026</v>
      </c>
      <c r="M5133" s="8" t="s">
        <v>29591</v>
      </c>
      <c r="N5133" s="8" t="s">
        <v>37</v>
      </c>
      <c r="O5133" s="8" t="s">
        <v>233</v>
      </c>
      <c r="P5133" s="6" t="s">
        <v>182</v>
      </c>
      <c r="Q5133" s="8" t="s">
        <v>65</v>
      </c>
      <c r="R5133" s="10" t="s">
        <v>12648</v>
      </c>
      <c r="S5133" s="11"/>
      <c r="T5133" s="6"/>
      <c r="U5133" s="15" t="str">
        <f>HYPERLINK("https://media.infra-m.ru/2269/2269852/cover/2269852.jpg", "Обложка")</f>
        <v>Обложка</v>
      </c>
      <c r="V5133" s="8" t="s">
        <v>396</v>
      </c>
      <c r="W5133" s="6"/>
      <c r="X5133" s="6"/>
      <c r="Y5133" s="6"/>
      <c r="Z5133" s="6"/>
      <c r="AA5133" s="6" t="s">
        <v>68</v>
      </c>
      <c r="AB5133" s="8" t="s">
        <v>3833</v>
      </c>
      <c r="AC5133" s="27">
        <v>9785160204918</v>
      </c>
    </row>
    <row r="5134" spans="1:29" s="4" customFormat="1" ht="42" customHeight="1" x14ac:dyDescent="0.2">
      <c r="A5134" s="5">
        <v>0</v>
      </c>
      <c r="B5134" s="6" t="s">
        <v>29592</v>
      </c>
      <c r="C5134" s="7">
        <v>1368</v>
      </c>
      <c r="D5134" s="8" t="s">
        <v>29593</v>
      </c>
      <c r="E5134" s="8" t="s">
        <v>29590</v>
      </c>
      <c r="F5134" s="8" t="s">
        <v>25034</v>
      </c>
      <c r="G5134" s="6" t="s">
        <v>60</v>
      </c>
      <c r="H5134" s="6" t="s">
        <v>34</v>
      </c>
      <c r="I5134" s="8" t="s">
        <v>263</v>
      </c>
      <c r="J5134" s="9">
        <v>1</v>
      </c>
      <c r="K5134" s="9">
        <v>189</v>
      </c>
      <c r="L5134" s="9">
        <v>2026</v>
      </c>
      <c r="M5134" s="8" t="s">
        <v>29594</v>
      </c>
      <c r="N5134" s="8" t="s">
        <v>37</v>
      </c>
      <c r="O5134" s="8" t="s">
        <v>233</v>
      </c>
      <c r="P5134" s="6" t="s">
        <v>306</v>
      </c>
      <c r="Q5134" s="8" t="s">
        <v>265</v>
      </c>
      <c r="R5134" s="10" t="s">
        <v>29595</v>
      </c>
      <c r="S5134" s="11"/>
      <c r="T5134" s="6"/>
      <c r="U5134" s="15" t="str">
        <f>HYPERLINK("https://media.infra-m.ru/2222/2222814/cover/2222814.jpg", "Обложка")</f>
        <v>Обложка</v>
      </c>
      <c r="V5134" s="8" t="s">
        <v>396</v>
      </c>
      <c r="W5134" s="6" t="s">
        <v>299</v>
      </c>
      <c r="X5134" s="6"/>
      <c r="Y5134" s="6"/>
      <c r="Z5134" s="6"/>
      <c r="AA5134" s="6" t="s">
        <v>187</v>
      </c>
      <c r="AB5134" s="8" t="s">
        <v>24845</v>
      </c>
      <c r="AC5134" s="27">
        <v>9785160213583</v>
      </c>
    </row>
    <row r="5135" spans="1:29" s="4" customFormat="1" ht="51.9" customHeight="1" x14ac:dyDescent="0.2">
      <c r="A5135" s="5">
        <v>0</v>
      </c>
      <c r="B5135" s="6" t="s">
        <v>29596</v>
      </c>
      <c r="C5135" s="7">
        <v>1704</v>
      </c>
      <c r="D5135" s="8" t="s">
        <v>29597</v>
      </c>
      <c r="E5135" s="8" t="s">
        <v>29590</v>
      </c>
      <c r="F5135" s="8" t="s">
        <v>3775</v>
      </c>
      <c r="G5135" s="6" t="s">
        <v>118</v>
      </c>
      <c r="H5135" s="6" t="s">
        <v>34</v>
      </c>
      <c r="I5135" s="8" t="s">
        <v>253</v>
      </c>
      <c r="J5135" s="9">
        <v>1</v>
      </c>
      <c r="K5135" s="9">
        <v>245</v>
      </c>
      <c r="L5135" s="9">
        <v>2026</v>
      </c>
      <c r="M5135" s="8" t="s">
        <v>29598</v>
      </c>
      <c r="N5135" s="8" t="s">
        <v>37</v>
      </c>
      <c r="O5135" s="8" t="s">
        <v>233</v>
      </c>
      <c r="P5135" s="6" t="s">
        <v>306</v>
      </c>
      <c r="Q5135" s="8" t="s">
        <v>52</v>
      </c>
      <c r="R5135" s="10" t="s">
        <v>29599</v>
      </c>
      <c r="S5135" s="11" t="s">
        <v>29600</v>
      </c>
      <c r="T5135" s="6"/>
      <c r="U5135" s="15" t="str">
        <f>HYPERLINK("https://media.infra-m.ru/2257/2257903/cover/2257903.jpg", "Обложка")</f>
        <v>Обложка</v>
      </c>
      <c r="V5135" s="8" t="s">
        <v>2035</v>
      </c>
      <c r="W5135" s="6"/>
      <c r="X5135" s="6"/>
      <c r="Y5135" s="6"/>
      <c r="Z5135" s="6"/>
      <c r="AA5135" s="6" t="s">
        <v>157</v>
      </c>
      <c r="AB5135" s="8"/>
      <c r="AC5135" s="27">
        <v>9785160222196</v>
      </c>
    </row>
    <row r="5136" spans="1:29" s="4" customFormat="1" ht="42" customHeight="1" x14ac:dyDescent="0.2">
      <c r="A5136" s="5">
        <v>0</v>
      </c>
      <c r="B5136" s="6" t="s">
        <v>29601</v>
      </c>
      <c r="C5136" s="7">
        <v>1620</v>
      </c>
      <c r="D5136" s="8" t="s">
        <v>29602</v>
      </c>
      <c r="E5136" s="8" t="s">
        <v>29590</v>
      </c>
      <c r="F5136" s="8" t="s">
        <v>3775</v>
      </c>
      <c r="G5136" s="6" t="s">
        <v>118</v>
      </c>
      <c r="H5136" s="6" t="s">
        <v>34</v>
      </c>
      <c r="I5136" s="8" t="s">
        <v>263</v>
      </c>
      <c r="J5136" s="9">
        <v>1</v>
      </c>
      <c r="K5136" s="9">
        <v>245</v>
      </c>
      <c r="L5136" s="9">
        <v>2026</v>
      </c>
      <c r="M5136" s="8" t="s">
        <v>29603</v>
      </c>
      <c r="N5136" s="8" t="s">
        <v>37</v>
      </c>
      <c r="O5136" s="8" t="s">
        <v>233</v>
      </c>
      <c r="P5136" s="6" t="s">
        <v>306</v>
      </c>
      <c r="Q5136" s="8" t="s">
        <v>265</v>
      </c>
      <c r="R5136" s="10" t="s">
        <v>29604</v>
      </c>
      <c r="S5136" s="11"/>
      <c r="T5136" s="6"/>
      <c r="U5136" s="15" t="str">
        <f>HYPERLINK("https://media.infra-m.ru/2230/2230300/cover/2230300.jpg", "Обложка")</f>
        <v>Обложка</v>
      </c>
      <c r="V5136" s="8" t="s">
        <v>2035</v>
      </c>
      <c r="W5136" s="6"/>
      <c r="X5136" s="6"/>
      <c r="Y5136" s="6"/>
      <c r="Z5136" s="6" t="s">
        <v>267</v>
      </c>
      <c r="AA5136" s="6" t="s">
        <v>68</v>
      </c>
      <c r="AB5136" s="8"/>
      <c r="AC5136" s="27">
        <v>9785160204628</v>
      </c>
    </row>
    <row r="5137" spans="1:29" s="4" customFormat="1" ht="42" customHeight="1" x14ac:dyDescent="0.2">
      <c r="A5137" s="5">
        <v>0</v>
      </c>
      <c r="B5137" s="6" t="s">
        <v>29605</v>
      </c>
      <c r="C5137" s="7">
        <v>1404</v>
      </c>
      <c r="D5137" s="8" t="s">
        <v>29606</v>
      </c>
      <c r="E5137" s="8" t="s">
        <v>29590</v>
      </c>
      <c r="F5137" s="8" t="s">
        <v>26450</v>
      </c>
      <c r="G5137" s="6" t="s">
        <v>118</v>
      </c>
      <c r="H5137" s="6" t="s">
        <v>34</v>
      </c>
      <c r="I5137" s="8" t="s">
        <v>3119</v>
      </c>
      <c r="J5137" s="9">
        <v>1</v>
      </c>
      <c r="K5137" s="9">
        <v>211</v>
      </c>
      <c r="L5137" s="9">
        <v>2026</v>
      </c>
      <c r="M5137" s="8" t="s">
        <v>29607</v>
      </c>
      <c r="N5137" s="8" t="s">
        <v>37</v>
      </c>
      <c r="O5137" s="8" t="s">
        <v>233</v>
      </c>
      <c r="P5137" s="6" t="s">
        <v>51</v>
      </c>
      <c r="Q5137" s="8" t="s">
        <v>52</v>
      </c>
      <c r="R5137" s="10" t="s">
        <v>12648</v>
      </c>
      <c r="S5137" s="11"/>
      <c r="T5137" s="6"/>
      <c r="U5137" s="15" t="str">
        <f>HYPERLINK("https://media.infra-m.ru/2224/2224724/cover/2224724.jpg", "Обложка")</f>
        <v>Обложка</v>
      </c>
      <c r="V5137" s="8" t="s">
        <v>396</v>
      </c>
      <c r="W5137" s="6"/>
      <c r="X5137" s="6"/>
      <c r="Y5137" s="6"/>
      <c r="Z5137" s="6"/>
      <c r="AA5137" s="6" t="s">
        <v>76</v>
      </c>
      <c r="AB5137" s="8"/>
      <c r="AC5137" s="27">
        <v>9785160192932</v>
      </c>
    </row>
    <row r="5138" spans="1:29" s="4" customFormat="1" ht="42" customHeight="1" x14ac:dyDescent="0.2">
      <c r="A5138" s="5">
        <v>0</v>
      </c>
      <c r="B5138" s="6" t="s">
        <v>29608</v>
      </c>
      <c r="C5138" s="7">
        <v>1644</v>
      </c>
      <c r="D5138" s="8" t="s">
        <v>29609</v>
      </c>
      <c r="E5138" s="8" t="s">
        <v>29590</v>
      </c>
      <c r="F5138" s="8" t="s">
        <v>26450</v>
      </c>
      <c r="G5138" s="6" t="s">
        <v>118</v>
      </c>
      <c r="H5138" s="6" t="s">
        <v>34</v>
      </c>
      <c r="I5138" s="8" t="s">
        <v>263</v>
      </c>
      <c r="J5138" s="9">
        <v>1</v>
      </c>
      <c r="K5138" s="9">
        <v>211</v>
      </c>
      <c r="L5138" s="9">
        <v>2026</v>
      </c>
      <c r="M5138" s="8" t="s">
        <v>29610</v>
      </c>
      <c r="N5138" s="8" t="s">
        <v>37</v>
      </c>
      <c r="O5138" s="8" t="s">
        <v>233</v>
      </c>
      <c r="P5138" s="6" t="s">
        <v>51</v>
      </c>
      <c r="Q5138" s="8" t="s">
        <v>265</v>
      </c>
      <c r="R5138" s="10" t="s">
        <v>29604</v>
      </c>
      <c r="S5138" s="11"/>
      <c r="T5138" s="6"/>
      <c r="U5138" s="15" t="str">
        <f>HYPERLINK("https://media.infra-m.ru/2225/2225205/cover/2225205.jpg", "Обложка")</f>
        <v>Обложка</v>
      </c>
      <c r="V5138" s="8" t="s">
        <v>396</v>
      </c>
      <c r="W5138" s="6"/>
      <c r="X5138" s="6"/>
      <c r="Y5138" s="6"/>
      <c r="Z5138" s="6" t="s">
        <v>267</v>
      </c>
      <c r="AA5138" s="6" t="s">
        <v>68</v>
      </c>
      <c r="AB5138" s="8"/>
      <c r="AC5138" s="27">
        <v>9785160202297</v>
      </c>
    </row>
    <row r="5139" spans="1:29" s="4" customFormat="1" ht="51.9" customHeight="1" x14ac:dyDescent="0.2">
      <c r="A5139" s="5">
        <v>0</v>
      </c>
      <c r="B5139" s="6" t="s">
        <v>29611</v>
      </c>
      <c r="C5139" s="7">
        <v>1636.8</v>
      </c>
      <c r="D5139" s="8" t="s">
        <v>29612</v>
      </c>
      <c r="E5139" s="8" t="s">
        <v>29590</v>
      </c>
      <c r="F5139" s="8" t="s">
        <v>29613</v>
      </c>
      <c r="G5139" s="6" t="s">
        <v>118</v>
      </c>
      <c r="H5139" s="6" t="s">
        <v>34</v>
      </c>
      <c r="I5139" s="8" t="s">
        <v>263</v>
      </c>
      <c r="J5139" s="9">
        <v>1</v>
      </c>
      <c r="K5139" s="9">
        <v>248</v>
      </c>
      <c r="L5139" s="9">
        <v>2026</v>
      </c>
      <c r="M5139" s="8" t="s">
        <v>29614</v>
      </c>
      <c r="N5139" s="8" t="s">
        <v>37</v>
      </c>
      <c r="O5139" s="8" t="s">
        <v>233</v>
      </c>
      <c r="P5139" s="6" t="s">
        <v>51</v>
      </c>
      <c r="Q5139" s="8" t="s">
        <v>265</v>
      </c>
      <c r="R5139" s="10" t="s">
        <v>29615</v>
      </c>
      <c r="S5139" s="11" t="s">
        <v>29616</v>
      </c>
      <c r="T5139" s="6"/>
      <c r="U5139" s="15" t="str">
        <f>HYPERLINK("https://media.infra-m.ru/2222/2222594/cover/2222594.jpg", "Обложка")</f>
        <v>Обложка</v>
      </c>
      <c r="V5139" s="8" t="s">
        <v>4155</v>
      </c>
      <c r="W5139" s="6"/>
      <c r="X5139" s="6" t="s">
        <v>24</v>
      </c>
      <c r="Y5139" s="6"/>
      <c r="Z5139" s="6"/>
      <c r="AA5139" s="6" t="s">
        <v>148</v>
      </c>
      <c r="AB5139" s="8"/>
      <c r="AC5139" s="27">
        <v>9785160161983</v>
      </c>
    </row>
    <row r="5140" spans="1:29" s="4" customFormat="1" ht="51.9" customHeight="1" x14ac:dyDescent="0.2">
      <c r="A5140" s="5">
        <v>0</v>
      </c>
      <c r="B5140" s="6" t="s">
        <v>29617</v>
      </c>
      <c r="C5140" s="7">
        <v>2184</v>
      </c>
      <c r="D5140" s="8" t="s">
        <v>29618</v>
      </c>
      <c r="E5140" s="8" t="s">
        <v>29619</v>
      </c>
      <c r="F5140" s="8" t="s">
        <v>29620</v>
      </c>
      <c r="G5140" s="6" t="s">
        <v>118</v>
      </c>
      <c r="H5140" s="6" t="s">
        <v>34</v>
      </c>
      <c r="I5140" s="8" t="s">
        <v>253</v>
      </c>
      <c r="J5140" s="9">
        <v>1</v>
      </c>
      <c r="K5140" s="9">
        <v>331</v>
      </c>
      <c r="L5140" s="9">
        <v>2026</v>
      </c>
      <c r="M5140" s="8" t="s">
        <v>29621</v>
      </c>
      <c r="N5140" s="8" t="s">
        <v>243</v>
      </c>
      <c r="O5140" s="8" t="s">
        <v>758</v>
      </c>
      <c r="P5140" s="6" t="s">
        <v>306</v>
      </c>
      <c r="Q5140" s="8" t="s">
        <v>52</v>
      </c>
      <c r="R5140" s="10" t="s">
        <v>29622</v>
      </c>
      <c r="S5140" s="11" t="s">
        <v>29623</v>
      </c>
      <c r="T5140" s="6" t="s">
        <v>97</v>
      </c>
      <c r="U5140" s="15" t="str">
        <f>HYPERLINK("https://media.infra-m.ru/2231/2231741/cover/2231741.jpg", "Обложка")</f>
        <v>Обложка</v>
      </c>
      <c r="V5140" s="8" t="s">
        <v>831</v>
      </c>
      <c r="W5140" s="6"/>
      <c r="X5140" s="6"/>
      <c r="Y5140" s="6"/>
      <c r="Z5140" s="6"/>
      <c r="AA5140" s="6" t="s">
        <v>779</v>
      </c>
      <c r="AB5140" s="8"/>
      <c r="AC5140" s="27">
        <v>9785160193007</v>
      </c>
    </row>
    <row r="5141" spans="1:29" s="4" customFormat="1" ht="42" customHeight="1" x14ac:dyDescent="0.2">
      <c r="A5141" s="5">
        <v>0</v>
      </c>
      <c r="B5141" s="6" t="s">
        <v>29624</v>
      </c>
      <c r="C5141" s="7">
        <v>1872</v>
      </c>
      <c r="D5141" s="8" t="s">
        <v>29625</v>
      </c>
      <c r="E5141" s="8" t="s">
        <v>29626</v>
      </c>
      <c r="F5141" s="8" t="s">
        <v>29627</v>
      </c>
      <c r="G5141" s="6" t="s">
        <v>118</v>
      </c>
      <c r="H5141" s="6" t="s">
        <v>34</v>
      </c>
      <c r="I5141" s="8" t="s">
        <v>179</v>
      </c>
      <c r="J5141" s="9">
        <v>1</v>
      </c>
      <c r="K5141" s="9">
        <v>269</v>
      </c>
      <c r="L5141" s="9">
        <v>2027</v>
      </c>
      <c r="M5141" s="8" t="s">
        <v>29628</v>
      </c>
      <c r="N5141" s="8" t="s">
        <v>63</v>
      </c>
      <c r="O5141" s="8" t="s">
        <v>181</v>
      </c>
      <c r="P5141" s="6" t="s">
        <v>182</v>
      </c>
      <c r="Q5141" s="8" t="s">
        <v>183</v>
      </c>
      <c r="R5141" s="10" t="s">
        <v>29629</v>
      </c>
      <c r="S5141" s="11"/>
      <c r="T5141" s="6"/>
      <c r="U5141" s="15" t="str">
        <f>HYPERLINK("https://media.infra-m.ru/2268/2268429/cover/2268429.jpg", "Обложка")</f>
        <v>Обложка</v>
      </c>
      <c r="V5141" s="8" t="s">
        <v>3304</v>
      </c>
      <c r="W5141" s="6"/>
      <c r="X5141" s="6"/>
      <c r="Y5141" s="6"/>
      <c r="Z5141" s="6"/>
      <c r="AA5141" s="6" t="s">
        <v>68</v>
      </c>
      <c r="AB5141" s="8"/>
      <c r="AC5141" s="27">
        <v>9785160204949</v>
      </c>
    </row>
    <row r="5142" spans="1:29" s="4" customFormat="1" ht="51.9" customHeight="1" x14ac:dyDescent="0.2">
      <c r="A5142" s="5">
        <v>0</v>
      </c>
      <c r="B5142" s="6" t="s">
        <v>29630</v>
      </c>
      <c r="C5142" s="7">
        <v>1872</v>
      </c>
      <c r="D5142" s="8" t="s">
        <v>29631</v>
      </c>
      <c r="E5142" s="8" t="s">
        <v>29626</v>
      </c>
      <c r="F5142" s="8" t="s">
        <v>29627</v>
      </c>
      <c r="G5142" s="6" t="s">
        <v>118</v>
      </c>
      <c r="H5142" s="6" t="s">
        <v>34</v>
      </c>
      <c r="I5142" s="8" t="s">
        <v>263</v>
      </c>
      <c r="J5142" s="9">
        <v>1</v>
      </c>
      <c r="K5142" s="9">
        <v>269</v>
      </c>
      <c r="L5142" s="9">
        <v>2027</v>
      </c>
      <c r="M5142" s="8" t="s">
        <v>29632</v>
      </c>
      <c r="N5142" s="8" t="s">
        <v>63</v>
      </c>
      <c r="O5142" s="8" t="s">
        <v>181</v>
      </c>
      <c r="P5142" s="6" t="s">
        <v>51</v>
      </c>
      <c r="Q5142" s="8" t="s">
        <v>265</v>
      </c>
      <c r="R5142" s="10" t="s">
        <v>29629</v>
      </c>
      <c r="S5142" s="11" t="s">
        <v>29633</v>
      </c>
      <c r="T5142" s="6"/>
      <c r="U5142" s="15" t="str">
        <f>HYPERLINK("https://media.infra-m.ru/2266/2266503/cover/2266503.jpg", "Обложка")</f>
        <v>Обложка</v>
      </c>
      <c r="V5142" s="8" t="s">
        <v>3304</v>
      </c>
      <c r="W5142" s="6"/>
      <c r="X5142" s="6"/>
      <c r="Y5142" s="6"/>
      <c r="Z5142" s="6"/>
      <c r="AA5142" s="6" t="s">
        <v>157</v>
      </c>
      <c r="AB5142" s="8"/>
      <c r="AC5142" s="27">
        <v>9785160143361</v>
      </c>
    </row>
    <row r="5143" spans="1:29" s="4" customFormat="1" ht="51.9" customHeight="1" x14ac:dyDescent="0.2">
      <c r="A5143" s="5">
        <v>0</v>
      </c>
      <c r="B5143" s="6" t="s">
        <v>29634</v>
      </c>
      <c r="C5143" s="13">
        <v>996</v>
      </c>
      <c r="D5143" s="8" t="s">
        <v>29635</v>
      </c>
      <c r="E5143" s="8" t="s">
        <v>29636</v>
      </c>
      <c r="F5143" s="8" t="s">
        <v>7549</v>
      </c>
      <c r="G5143" s="6" t="s">
        <v>118</v>
      </c>
      <c r="H5143" s="6" t="s">
        <v>34</v>
      </c>
      <c r="I5143" s="8" t="s">
        <v>35</v>
      </c>
      <c r="J5143" s="9">
        <v>1</v>
      </c>
      <c r="K5143" s="9">
        <v>158</v>
      </c>
      <c r="L5143" s="9">
        <v>2025</v>
      </c>
      <c r="M5143" s="8" t="s">
        <v>29637</v>
      </c>
      <c r="N5143" s="8" t="s">
        <v>585</v>
      </c>
      <c r="O5143" s="8" t="s">
        <v>775</v>
      </c>
      <c r="P5143" s="6" t="s">
        <v>39</v>
      </c>
      <c r="Q5143" s="8" t="s">
        <v>40</v>
      </c>
      <c r="R5143" s="10" t="s">
        <v>29638</v>
      </c>
      <c r="S5143" s="11"/>
      <c r="T5143" s="6"/>
      <c r="U5143" s="15" t="str">
        <f>HYPERLINK("https://media.infra-m.ru/2184/2184265/cover/2184265.jpg", "Обложка")</f>
        <v>Обложка</v>
      </c>
      <c r="V5143" s="8" t="s">
        <v>7553</v>
      </c>
      <c r="W5143" s="6"/>
      <c r="X5143" s="6"/>
      <c r="Y5143" s="6"/>
      <c r="Z5143" s="6"/>
      <c r="AA5143" s="6" t="s">
        <v>99</v>
      </c>
      <c r="AB5143" s="8" t="s">
        <v>493</v>
      </c>
      <c r="AC5143" s="27">
        <v>9785160127200</v>
      </c>
    </row>
    <row r="5144" spans="1:29" s="4" customFormat="1" ht="51.9" customHeight="1" x14ac:dyDescent="0.2">
      <c r="A5144" s="5">
        <v>0</v>
      </c>
      <c r="B5144" s="6" t="s">
        <v>29639</v>
      </c>
      <c r="C5144" s="7">
        <v>1740</v>
      </c>
      <c r="D5144" s="8" t="s">
        <v>29640</v>
      </c>
      <c r="E5144" s="8" t="s">
        <v>29641</v>
      </c>
      <c r="F5144" s="8" t="s">
        <v>29642</v>
      </c>
      <c r="G5144" s="6" t="s">
        <v>33</v>
      </c>
      <c r="H5144" s="6" t="s">
        <v>1644</v>
      </c>
      <c r="I5144" s="8" t="s">
        <v>1904</v>
      </c>
      <c r="J5144" s="9">
        <v>1</v>
      </c>
      <c r="K5144" s="9">
        <v>268</v>
      </c>
      <c r="L5144" s="9">
        <v>2025</v>
      </c>
      <c r="M5144" s="8" t="s">
        <v>29643</v>
      </c>
      <c r="N5144" s="8" t="s">
        <v>37</v>
      </c>
      <c r="O5144" s="8" t="s">
        <v>233</v>
      </c>
      <c r="P5144" s="6" t="s">
        <v>306</v>
      </c>
      <c r="Q5144" s="8" t="s">
        <v>52</v>
      </c>
      <c r="R5144" s="10" t="s">
        <v>18496</v>
      </c>
      <c r="S5144" s="11" t="s">
        <v>29644</v>
      </c>
      <c r="T5144" s="6"/>
      <c r="U5144" s="15" t="str">
        <f>HYPERLINK("https://media.infra-m.ru/2204/2204886/cover/2204886.jpg", "Обложка")</f>
        <v>Обложка</v>
      </c>
      <c r="V5144" s="8" t="s">
        <v>1030</v>
      </c>
      <c r="W5144" s="6"/>
      <c r="X5144" s="6"/>
      <c r="Y5144" s="6"/>
      <c r="Z5144" s="6"/>
      <c r="AA5144" s="6" t="s">
        <v>623</v>
      </c>
      <c r="AB5144" s="8"/>
      <c r="AC5144" s="27">
        <v>9785977604482</v>
      </c>
    </row>
    <row r="5145" spans="1:29" s="4" customFormat="1" ht="51.9" customHeight="1" x14ac:dyDescent="0.2">
      <c r="A5145" s="5">
        <v>0</v>
      </c>
      <c r="B5145" s="6" t="s">
        <v>29645</v>
      </c>
      <c r="C5145" s="7">
        <v>2284.8000000000002</v>
      </c>
      <c r="D5145" s="8" t="s">
        <v>29646</v>
      </c>
      <c r="E5145" s="8" t="s">
        <v>29647</v>
      </c>
      <c r="F5145" s="8" t="s">
        <v>29440</v>
      </c>
      <c r="G5145" s="6" t="s">
        <v>60</v>
      </c>
      <c r="H5145" s="6" t="s">
        <v>34</v>
      </c>
      <c r="I5145" s="8" t="s">
        <v>263</v>
      </c>
      <c r="J5145" s="9">
        <v>1</v>
      </c>
      <c r="K5145" s="9">
        <v>328</v>
      </c>
      <c r="L5145" s="9">
        <v>2026</v>
      </c>
      <c r="M5145" s="8" t="s">
        <v>29648</v>
      </c>
      <c r="N5145" s="8" t="s">
        <v>37</v>
      </c>
      <c r="O5145" s="8" t="s">
        <v>499</v>
      </c>
      <c r="P5145" s="6" t="s">
        <v>51</v>
      </c>
      <c r="Q5145" s="8" t="s">
        <v>265</v>
      </c>
      <c r="R5145" s="10" t="s">
        <v>2813</v>
      </c>
      <c r="S5145" s="11" t="s">
        <v>29649</v>
      </c>
      <c r="T5145" s="6"/>
      <c r="U5145" s="15" t="str">
        <f>HYPERLINK("https://media.infra-m.ru/2255/2255438/cover/2255438.jpg", "Обложка")</f>
        <v>Обложка</v>
      </c>
      <c r="V5145" s="8" t="s">
        <v>227</v>
      </c>
      <c r="W5145" s="6"/>
      <c r="X5145" s="6"/>
      <c r="Y5145" s="6"/>
      <c r="Z5145" s="6"/>
      <c r="AA5145" s="6" t="s">
        <v>157</v>
      </c>
      <c r="AB5145" s="8"/>
      <c r="AC5145" s="27">
        <v>9785160159744</v>
      </c>
    </row>
    <row r="5146" spans="1:29" s="4" customFormat="1" ht="51.9" customHeight="1" x14ac:dyDescent="0.2">
      <c r="A5146" s="5">
        <v>0</v>
      </c>
      <c r="B5146" s="6" t="s">
        <v>29650</v>
      </c>
      <c r="C5146" s="7">
        <v>2472</v>
      </c>
      <c r="D5146" s="8" t="s">
        <v>29651</v>
      </c>
      <c r="E5146" s="8" t="s">
        <v>29652</v>
      </c>
      <c r="F5146" s="8" t="s">
        <v>29653</v>
      </c>
      <c r="G5146" s="6" t="s">
        <v>60</v>
      </c>
      <c r="H5146" s="6" t="s">
        <v>34</v>
      </c>
      <c r="I5146" s="8" t="s">
        <v>5350</v>
      </c>
      <c r="J5146" s="9">
        <v>1</v>
      </c>
      <c r="K5146" s="9">
        <v>449</v>
      </c>
      <c r="L5146" s="9">
        <v>2023</v>
      </c>
      <c r="M5146" s="8" t="s">
        <v>29654</v>
      </c>
      <c r="N5146" s="8" t="s">
        <v>243</v>
      </c>
      <c r="O5146" s="8" t="s">
        <v>1100</v>
      </c>
      <c r="P5146" s="6" t="s">
        <v>306</v>
      </c>
      <c r="Q5146" s="8" t="s">
        <v>377</v>
      </c>
      <c r="R5146" s="10" t="s">
        <v>6260</v>
      </c>
      <c r="S5146" s="11" t="s">
        <v>29655</v>
      </c>
      <c r="T5146" s="6"/>
      <c r="U5146" s="15" t="str">
        <f>HYPERLINK("https://media.infra-m.ru/1999/1999788/cover/1999788.jpg", "Обложка")</f>
        <v>Обложка</v>
      </c>
      <c r="V5146" s="8" t="s">
        <v>2475</v>
      </c>
      <c r="W5146" s="6"/>
      <c r="X5146" s="6"/>
      <c r="Y5146" s="6"/>
      <c r="Z5146" s="6"/>
      <c r="AA5146" s="6" t="s">
        <v>86</v>
      </c>
      <c r="AB5146" s="8"/>
      <c r="AC5146" s="27">
        <v>9785160138046</v>
      </c>
    </row>
    <row r="5147" spans="1:29" s="4" customFormat="1" ht="51.9" customHeight="1" x14ac:dyDescent="0.2">
      <c r="A5147" s="5">
        <v>0</v>
      </c>
      <c r="B5147" s="6" t="s">
        <v>29656</v>
      </c>
      <c r="C5147" s="7">
        <v>2124</v>
      </c>
      <c r="D5147" s="8" t="s">
        <v>29657</v>
      </c>
      <c r="E5147" s="8" t="s">
        <v>29658</v>
      </c>
      <c r="F5147" s="8" t="s">
        <v>16240</v>
      </c>
      <c r="G5147" s="6" t="s">
        <v>118</v>
      </c>
      <c r="H5147" s="6" t="s">
        <v>34</v>
      </c>
      <c r="I5147" s="8" t="s">
        <v>253</v>
      </c>
      <c r="J5147" s="9">
        <v>1</v>
      </c>
      <c r="K5147" s="9">
        <v>322</v>
      </c>
      <c r="L5147" s="9">
        <v>2026</v>
      </c>
      <c r="M5147" s="8" t="s">
        <v>29659</v>
      </c>
      <c r="N5147" s="8" t="s">
        <v>243</v>
      </c>
      <c r="O5147" s="8" t="s">
        <v>964</v>
      </c>
      <c r="P5147" s="6" t="s">
        <v>51</v>
      </c>
      <c r="Q5147" s="8" t="s">
        <v>65</v>
      </c>
      <c r="R5147" s="10" t="s">
        <v>29660</v>
      </c>
      <c r="S5147" s="11" t="s">
        <v>29661</v>
      </c>
      <c r="T5147" s="6"/>
      <c r="U5147" s="15" t="str">
        <f>HYPERLINK("https://media.infra-m.ru/2239/2239060/cover/2239060.jpg", "Обложка")</f>
        <v>Обложка</v>
      </c>
      <c r="V5147" s="8" t="s">
        <v>867</v>
      </c>
      <c r="W5147" s="6"/>
      <c r="X5147" s="6"/>
      <c r="Y5147" s="6"/>
      <c r="Z5147" s="6"/>
      <c r="AA5147" s="6" t="s">
        <v>76</v>
      </c>
      <c r="AB5147" s="8" t="s">
        <v>29662</v>
      </c>
      <c r="AC5147" s="27">
        <v>9785160148090</v>
      </c>
    </row>
    <row r="5148" spans="1:29" s="4" customFormat="1" ht="51.9" customHeight="1" x14ac:dyDescent="0.2">
      <c r="A5148" s="5">
        <v>0</v>
      </c>
      <c r="B5148" s="6" t="s">
        <v>29663</v>
      </c>
      <c r="C5148" s="7">
        <v>2112</v>
      </c>
      <c r="D5148" s="8" t="s">
        <v>29664</v>
      </c>
      <c r="E5148" s="8" t="s">
        <v>29665</v>
      </c>
      <c r="F5148" s="8" t="s">
        <v>29666</v>
      </c>
      <c r="G5148" s="6" t="s">
        <v>118</v>
      </c>
      <c r="H5148" s="6" t="s">
        <v>34</v>
      </c>
      <c r="I5148" s="8" t="s">
        <v>253</v>
      </c>
      <c r="J5148" s="9">
        <v>1</v>
      </c>
      <c r="K5148" s="9">
        <v>304</v>
      </c>
      <c r="L5148" s="9">
        <v>2026</v>
      </c>
      <c r="M5148" s="8" t="s">
        <v>29667</v>
      </c>
      <c r="N5148" s="8" t="s">
        <v>63</v>
      </c>
      <c r="O5148" s="8" t="s">
        <v>181</v>
      </c>
      <c r="P5148" s="6" t="s">
        <v>51</v>
      </c>
      <c r="Q5148" s="8" t="s">
        <v>65</v>
      </c>
      <c r="R5148" s="10" t="s">
        <v>29668</v>
      </c>
      <c r="S5148" s="11" t="s">
        <v>29669</v>
      </c>
      <c r="T5148" s="6"/>
      <c r="U5148" s="15" t="str">
        <f>HYPERLINK("https://media.infra-m.ru/2260/2260109/cover/2260109.jpg", "Обложка")</f>
        <v>Обложка</v>
      </c>
      <c r="V5148" s="8" t="s">
        <v>1157</v>
      </c>
      <c r="W5148" s="6"/>
      <c r="X5148" s="6"/>
      <c r="Y5148" s="6"/>
      <c r="Z5148" s="6"/>
      <c r="AA5148" s="6" t="s">
        <v>129</v>
      </c>
      <c r="AB5148" s="8"/>
      <c r="AC5148" s="27">
        <v>9785160189628</v>
      </c>
    </row>
    <row r="5149" spans="1:29" s="4" customFormat="1" ht="51.9" customHeight="1" x14ac:dyDescent="0.2">
      <c r="A5149" s="5">
        <v>0</v>
      </c>
      <c r="B5149" s="6" t="s">
        <v>29670</v>
      </c>
      <c r="C5149" s="13">
        <v>989.9</v>
      </c>
      <c r="D5149" s="8" t="s">
        <v>29671</v>
      </c>
      <c r="E5149" s="8" t="s">
        <v>29665</v>
      </c>
      <c r="F5149" s="8" t="s">
        <v>29666</v>
      </c>
      <c r="G5149" s="6" t="s">
        <v>33</v>
      </c>
      <c r="H5149" s="6" t="s">
        <v>34</v>
      </c>
      <c r="I5149" s="8" t="s">
        <v>271</v>
      </c>
      <c r="J5149" s="9">
        <v>1</v>
      </c>
      <c r="K5149" s="9">
        <v>304</v>
      </c>
      <c r="L5149" s="9">
        <v>2018</v>
      </c>
      <c r="M5149" s="8" t="s">
        <v>29672</v>
      </c>
      <c r="N5149" s="8" t="s">
        <v>243</v>
      </c>
      <c r="O5149" s="8" t="s">
        <v>758</v>
      </c>
      <c r="P5149" s="6" t="s">
        <v>51</v>
      </c>
      <c r="Q5149" s="8" t="s">
        <v>52</v>
      </c>
      <c r="R5149" s="10" t="s">
        <v>29668</v>
      </c>
      <c r="S5149" s="11" t="s">
        <v>29673</v>
      </c>
      <c r="T5149" s="6"/>
      <c r="U5149" s="12"/>
      <c r="V5149" s="8" t="s">
        <v>1157</v>
      </c>
      <c r="W5149" s="6"/>
      <c r="X5149" s="6"/>
      <c r="Y5149" s="6"/>
      <c r="Z5149" s="6"/>
      <c r="AA5149" s="6" t="s">
        <v>129</v>
      </c>
      <c r="AB5149" s="8"/>
      <c r="AC5149" s="27">
        <v>9785160050164</v>
      </c>
    </row>
    <row r="5150" spans="1:29" s="4" customFormat="1" ht="51.9" customHeight="1" x14ac:dyDescent="0.2">
      <c r="A5150" s="5">
        <v>0</v>
      </c>
      <c r="B5150" s="6" t="s">
        <v>29674</v>
      </c>
      <c r="C5150" s="7">
        <v>3112.8</v>
      </c>
      <c r="D5150" s="8" t="s">
        <v>29675</v>
      </c>
      <c r="E5150" s="8" t="s">
        <v>29676</v>
      </c>
      <c r="F5150" s="8" t="s">
        <v>27712</v>
      </c>
      <c r="G5150" s="6" t="s">
        <v>60</v>
      </c>
      <c r="H5150" s="6" t="s">
        <v>34</v>
      </c>
      <c r="I5150" s="8" t="s">
        <v>5350</v>
      </c>
      <c r="J5150" s="9">
        <v>1</v>
      </c>
      <c r="K5150" s="9">
        <v>637</v>
      </c>
      <c r="L5150" s="9">
        <v>2025</v>
      </c>
      <c r="M5150" s="8" t="s">
        <v>29677</v>
      </c>
      <c r="N5150" s="8" t="s">
        <v>585</v>
      </c>
      <c r="O5150" s="8" t="s">
        <v>2472</v>
      </c>
      <c r="P5150" s="6" t="s">
        <v>306</v>
      </c>
      <c r="Q5150" s="8" t="s">
        <v>377</v>
      </c>
      <c r="R5150" s="10" t="s">
        <v>29678</v>
      </c>
      <c r="S5150" s="11" t="s">
        <v>29679</v>
      </c>
      <c r="T5150" s="6" t="s">
        <v>97</v>
      </c>
      <c r="U5150" s="15" t="str">
        <f>HYPERLINK("https://media.infra-m.ru/2194/2194432/cover/2194432.jpg", "Обложка")</f>
        <v>Обложка</v>
      </c>
      <c r="V5150" s="8" t="s">
        <v>27716</v>
      </c>
      <c r="W5150" s="6"/>
      <c r="X5150" s="6"/>
      <c r="Y5150" s="6"/>
      <c r="Z5150" s="6"/>
      <c r="AA5150" s="6" t="s">
        <v>99</v>
      </c>
      <c r="AB5150" s="8"/>
      <c r="AC5150" s="27">
        <v>9785160118543</v>
      </c>
    </row>
    <row r="5151" spans="1:29" s="4" customFormat="1" ht="51.9" customHeight="1" x14ac:dyDescent="0.2">
      <c r="A5151" s="5">
        <v>0</v>
      </c>
      <c r="B5151" s="6" t="s">
        <v>29680</v>
      </c>
      <c r="C5151" s="13">
        <v>960</v>
      </c>
      <c r="D5151" s="8" t="s">
        <v>29681</v>
      </c>
      <c r="E5151" s="8" t="s">
        <v>29682</v>
      </c>
      <c r="F5151" s="8" t="s">
        <v>29683</v>
      </c>
      <c r="G5151" s="6" t="s">
        <v>33</v>
      </c>
      <c r="H5151" s="6" t="s">
        <v>34</v>
      </c>
      <c r="I5151" s="8" t="s">
        <v>1248</v>
      </c>
      <c r="J5151" s="9">
        <v>1</v>
      </c>
      <c r="K5151" s="9">
        <v>138</v>
      </c>
      <c r="L5151" s="9">
        <v>2027</v>
      </c>
      <c r="M5151" s="8" t="s">
        <v>29684</v>
      </c>
      <c r="N5151" s="8" t="s">
        <v>243</v>
      </c>
      <c r="O5151" s="8" t="s">
        <v>329</v>
      </c>
      <c r="P5151" s="6" t="s">
        <v>51</v>
      </c>
      <c r="Q5151" s="8" t="s">
        <v>52</v>
      </c>
      <c r="R5151" s="10" t="s">
        <v>29685</v>
      </c>
      <c r="S5151" s="11" t="s">
        <v>29686</v>
      </c>
      <c r="T5151" s="6"/>
      <c r="U5151" s="15" t="str">
        <f>HYPERLINK("https://media.infra-m.ru/2270/2270997/cover/2270997.jpg", "Обложка")</f>
        <v>Обложка</v>
      </c>
      <c r="V5151" s="8" t="s">
        <v>1083</v>
      </c>
      <c r="W5151" s="6"/>
      <c r="X5151" s="6"/>
      <c r="Y5151" s="6"/>
      <c r="Z5151" s="6"/>
      <c r="AA5151" s="6" t="s">
        <v>86</v>
      </c>
      <c r="AB5151" s="8"/>
      <c r="AC5151" s="27">
        <v>9785160203980</v>
      </c>
    </row>
    <row r="5152" spans="1:29" s="4" customFormat="1" ht="42" customHeight="1" x14ac:dyDescent="0.2">
      <c r="A5152" s="5">
        <v>0</v>
      </c>
      <c r="B5152" s="6" t="s">
        <v>29687</v>
      </c>
      <c r="C5152" s="7">
        <v>1416</v>
      </c>
      <c r="D5152" s="8" t="s">
        <v>29688</v>
      </c>
      <c r="E5152" s="8" t="s">
        <v>29689</v>
      </c>
      <c r="F5152" s="8" t="s">
        <v>29690</v>
      </c>
      <c r="G5152" s="6" t="s">
        <v>33</v>
      </c>
      <c r="H5152" s="6" t="s">
        <v>34</v>
      </c>
      <c r="I5152" s="8" t="s">
        <v>35</v>
      </c>
      <c r="J5152" s="9">
        <v>1</v>
      </c>
      <c r="K5152" s="9">
        <v>204</v>
      </c>
      <c r="L5152" s="9">
        <v>2027</v>
      </c>
      <c r="M5152" s="8" t="s">
        <v>29691</v>
      </c>
      <c r="N5152" s="8" t="s">
        <v>93</v>
      </c>
      <c r="O5152" s="8" t="s">
        <v>94</v>
      </c>
      <c r="P5152" s="6" t="s">
        <v>39</v>
      </c>
      <c r="Q5152" s="8" t="s">
        <v>40</v>
      </c>
      <c r="R5152" s="10" t="s">
        <v>594</v>
      </c>
      <c r="S5152" s="11"/>
      <c r="T5152" s="6"/>
      <c r="U5152" s="15" t="str">
        <f>HYPERLINK("https://media.infra-m.ru/2263/2263949/cover/2263949.jpg", "Обложка")</f>
        <v>Обложка</v>
      </c>
      <c r="V5152" s="8" t="s">
        <v>227</v>
      </c>
      <c r="W5152" s="6"/>
      <c r="X5152" s="6"/>
      <c r="Y5152" s="6"/>
      <c r="Z5152" s="6"/>
      <c r="AA5152" s="6" t="s">
        <v>248</v>
      </c>
      <c r="AB5152" s="8"/>
      <c r="AC5152" s="27">
        <v>9785160098074</v>
      </c>
    </row>
    <row r="5153" spans="1:29" s="4" customFormat="1" ht="51.9" customHeight="1" x14ac:dyDescent="0.2">
      <c r="A5153" s="5">
        <v>0</v>
      </c>
      <c r="B5153" s="6" t="s">
        <v>29692</v>
      </c>
      <c r="C5153" s="7">
        <v>1672.8</v>
      </c>
      <c r="D5153" s="8" t="s">
        <v>29693</v>
      </c>
      <c r="E5153" s="8" t="s">
        <v>29694</v>
      </c>
      <c r="F5153" s="8" t="s">
        <v>29695</v>
      </c>
      <c r="G5153" s="6" t="s">
        <v>33</v>
      </c>
      <c r="H5153" s="6" t="s">
        <v>48</v>
      </c>
      <c r="I5153" s="8" t="s">
        <v>271</v>
      </c>
      <c r="J5153" s="9">
        <v>1</v>
      </c>
      <c r="K5153" s="9">
        <v>240</v>
      </c>
      <c r="L5153" s="9">
        <v>2026</v>
      </c>
      <c r="M5153" s="8" t="s">
        <v>29696</v>
      </c>
      <c r="N5153" s="8" t="s">
        <v>585</v>
      </c>
      <c r="O5153" s="8" t="s">
        <v>775</v>
      </c>
      <c r="P5153" s="6" t="s">
        <v>51</v>
      </c>
      <c r="Q5153" s="8" t="s">
        <v>52</v>
      </c>
      <c r="R5153" s="10" t="s">
        <v>29697</v>
      </c>
      <c r="S5153" s="11" t="s">
        <v>29698</v>
      </c>
      <c r="T5153" s="6"/>
      <c r="U5153" s="15" t="str">
        <f>HYPERLINK("https://media.infra-m.ru/2251/2251179/cover/2251179.jpg", "Обложка")</f>
        <v>Обложка</v>
      </c>
      <c r="V5153" s="8" t="s">
        <v>5951</v>
      </c>
      <c r="W5153" s="6"/>
      <c r="X5153" s="6"/>
      <c r="Y5153" s="6"/>
      <c r="Z5153" s="6"/>
      <c r="AA5153" s="6" t="s">
        <v>274</v>
      </c>
      <c r="AB5153" s="8"/>
      <c r="AC5153" s="27">
        <v>9785000910412</v>
      </c>
    </row>
    <row r="5154" spans="1:29" s="4" customFormat="1" ht="51.9" customHeight="1" x14ac:dyDescent="0.2">
      <c r="A5154" s="5">
        <v>0</v>
      </c>
      <c r="B5154" s="6" t="s">
        <v>29699</v>
      </c>
      <c r="C5154" s="7">
        <v>1788</v>
      </c>
      <c r="D5154" s="8" t="s">
        <v>29700</v>
      </c>
      <c r="E5154" s="8" t="s">
        <v>29701</v>
      </c>
      <c r="F5154" s="8" t="s">
        <v>29702</v>
      </c>
      <c r="G5154" s="6" t="s">
        <v>118</v>
      </c>
      <c r="H5154" s="6" t="s">
        <v>34</v>
      </c>
      <c r="I5154" s="8" t="s">
        <v>253</v>
      </c>
      <c r="J5154" s="9">
        <v>1</v>
      </c>
      <c r="K5154" s="9">
        <v>286</v>
      </c>
      <c r="L5154" s="9">
        <v>2025</v>
      </c>
      <c r="M5154" s="8" t="s">
        <v>29703</v>
      </c>
      <c r="N5154" s="8" t="s">
        <v>585</v>
      </c>
      <c r="O5154" s="8" t="s">
        <v>775</v>
      </c>
      <c r="P5154" s="6" t="s">
        <v>51</v>
      </c>
      <c r="Q5154" s="8" t="s">
        <v>52</v>
      </c>
      <c r="R5154" s="10" t="s">
        <v>29704</v>
      </c>
      <c r="S5154" s="11" t="s">
        <v>7280</v>
      </c>
      <c r="T5154" s="6"/>
      <c r="U5154" s="15" t="str">
        <f>HYPERLINK("https://media.infra-m.ru/2200/2200131/cover/2200131.jpg", "Обложка")</f>
        <v>Обложка</v>
      </c>
      <c r="V5154" s="8" t="s">
        <v>227</v>
      </c>
      <c r="W5154" s="6"/>
      <c r="X5154" s="6"/>
      <c r="Y5154" s="6"/>
      <c r="Z5154" s="6"/>
      <c r="AA5154" s="6" t="s">
        <v>99</v>
      </c>
      <c r="AB5154" s="8"/>
      <c r="AC5154" s="27">
        <v>9785160127804</v>
      </c>
    </row>
    <row r="5155" spans="1:29" s="4" customFormat="1" ht="51.9" customHeight="1" x14ac:dyDescent="0.2">
      <c r="A5155" s="5">
        <v>0</v>
      </c>
      <c r="B5155" s="6" t="s">
        <v>29705</v>
      </c>
      <c r="C5155" s="7">
        <v>4132.8</v>
      </c>
      <c r="D5155" s="8" t="s">
        <v>29706</v>
      </c>
      <c r="E5155" s="8" t="s">
        <v>29707</v>
      </c>
      <c r="F5155" s="8" t="s">
        <v>29708</v>
      </c>
      <c r="G5155" s="6" t="s">
        <v>60</v>
      </c>
      <c r="H5155" s="6" t="s">
        <v>1644</v>
      </c>
      <c r="I5155" s="8" t="s">
        <v>1904</v>
      </c>
      <c r="J5155" s="9">
        <v>1</v>
      </c>
      <c r="K5155" s="9">
        <v>640</v>
      </c>
      <c r="L5155" s="9">
        <v>2026</v>
      </c>
      <c r="M5155" s="8" t="s">
        <v>29709</v>
      </c>
      <c r="N5155" s="8" t="s">
        <v>585</v>
      </c>
      <c r="O5155" s="8" t="s">
        <v>775</v>
      </c>
      <c r="P5155" s="6" t="s">
        <v>306</v>
      </c>
      <c r="Q5155" s="8" t="s">
        <v>52</v>
      </c>
      <c r="R5155" s="10" t="s">
        <v>25589</v>
      </c>
      <c r="S5155" s="11" t="s">
        <v>29710</v>
      </c>
      <c r="T5155" s="6"/>
      <c r="U5155" s="15" t="str">
        <f>HYPERLINK("https://media.infra-m.ru/2192/2192248/cover/2192248.jpg", "Обложка")</f>
        <v>Обложка</v>
      </c>
      <c r="V5155" s="8" t="s">
        <v>2382</v>
      </c>
      <c r="W5155" s="6"/>
      <c r="X5155" s="6"/>
      <c r="Y5155" s="6"/>
      <c r="Z5155" s="6"/>
      <c r="AA5155" s="6" t="s">
        <v>3721</v>
      </c>
      <c r="AB5155" s="8"/>
      <c r="AC5155" s="27">
        <v>9785977602723</v>
      </c>
    </row>
    <row r="5156" spans="1:29" s="4" customFormat="1" ht="51.9" customHeight="1" x14ac:dyDescent="0.2">
      <c r="A5156" s="5">
        <v>0</v>
      </c>
      <c r="B5156" s="6" t="s">
        <v>29711</v>
      </c>
      <c r="C5156" s="7">
        <v>3940.8</v>
      </c>
      <c r="D5156" s="8" t="s">
        <v>29712</v>
      </c>
      <c r="E5156" s="8" t="s">
        <v>29713</v>
      </c>
      <c r="F5156" s="8" t="s">
        <v>29714</v>
      </c>
      <c r="G5156" s="6" t="s">
        <v>118</v>
      </c>
      <c r="H5156" s="6" t="s">
        <v>34</v>
      </c>
      <c r="I5156" s="8" t="s">
        <v>271</v>
      </c>
      <c r="J5156" s="9">
        <v>1</v>
      </c>
      <c r="K5156" s="9">
        <v>566</v>
      </c>
      <c r="L5156" s="9">
        <v>2026</v>
      </c>
      <c r="M5156" s="8" t="s">
        <v>29715</v>
      </c>
      <c r="N5156" s="8" t="s">
        <v>585</v>
      </c>
      <c r="O5156" s="8" t="s">
        <v>775</v>
      </c>
      <c r="P5156" s="6" t="s">
        <v>306</v>
      </c>
      <c r="Q5156" s="8" t="s">
        <v>52</v>
      </c>
      <c r="R5156" s="10" t="s">
        <v>29716</v>
      </c>
      <c r="S5156" s="11" t="s">
        <v>29717</v>
      </c>
      <c r="T5156" s="6" t="s">
        <v>97</v>
      </c>
      <c r="U5156" s="15" t="str">
        <f>HYPERLINK("https://media.infra-m.ru/2269/2269321/cover/2269321.jpg", "Обложка")</f>
        <v>Обложка</v>
      </c>
      <c r="V5156" s="8" t="s">
        <v>29718</v>
      </c>
      <c r="W5156" s="6"/>
      <c r="X5156" s="6"/>
      <c r="Y5156" s="6"/>
      <c r="Z5156" s="6"/>
      <c r="AA5156" s="6" t="s">
        <v>99</v>
      </c>
      <c r="AB5156" s="8" t="s">
        <v>493</v>
      </c>
      <c r="AC5156" s="27">
        <v>9785160123172</v>
      </c>
    </row>
    <row r="5157" spans="1:29" s="4" customFormat="1" ht="51.9" customHeight="1" x14ac:dyDescent="0.2">
      <c r="A5157" s="5">
        <v>0</v>
      </c>
      <c r="B5157" s="6" t="s">
        <v>29719</v>
      </c>
      <c r="C5157" s="7">
        <v>1380</v>
      </c>
      <c r="D5157" s="8" t="s">
        <v>29720</v>
      </c>
      <c r="E5157" s="8" t="s">
        <v>29721</v>
      </c>
      <c r="F5157" s="8" t="s">
        <v>1998</v>
      </c>
      <c r="G5157" s="6" t="s">
        <v>118</v>
      </c>
      <c r="H5157" s="6" t="s">
        <v>313</v>
      </c>
      <c r="I5157" s="8" t="s">
        <v>65</v>
      </c>
      <c r="J5157" s="9">
        <v>1</v>
      </c>
      <c r="K5157" s="9">
        <v>229</v>
      </c>
      <c r="L5157" s="9">
        <v>2025</v>
      </c>
      <c r="M5157" s="8" t="s">
        <v>29722</v>
      </c>
      <c r="N5157" s="8" t="s">
        <v>37</v>
      </c>
      <c r="O5157" s="8" t="s">
        <v>233</v>
      </c>
      <c r="P5157" s="6" t="s">
        <v>306</v>
      </c>
      <c r="Q5157" s="8" t="s">
        <v>265</v>
      </c>
      <c r="R5157" s="10" t="s">
        <v>29723</v>
      </c>
      <c r="S5157" s="11"/>
      <c r="T5157" s="6"/>
      <c r="U5157" s="15" t="str">
        <f>HYPERLINK("https://media.infra-m.ru/2191/2191361/cover/2191361.jpg", "Обложка")</f>
        <v>Обложка</v>
      </c>
      <c r="V5157" s="8" t="s">
        <v>2001</v>
      </c>
      <c r="W5157" s="6"/>
      <c r="X5157" s="6"/>
      <c r="Y5157" s="6"/>
      <c r="Z5157" s="6"/>
      <c r="AA5157" s="6" t="s">
        <v>779</v>
      </c>
      <c r="AB5157" s="8"/>
      <c r="AC5157" s="27">
        <v>9785369015162</v>
      </c>
    </row>
    <row r="5158" spans="1:29" s="4" customFormat="1" ht="51.9" customHeight="1" x14ac:dyDescent="0.2">
      <c r="A5158" s="5">
        <v>0</v>
      </c>
      <c r="B5158" s="6" t="s">
        <v>29724</v>
      </c>
      <c r="C5158" s="7">
        <v>1648.8</v>
      </c>
      <c r="D5158" s="8" t="s">
        <v>29725</v>
      </c>
      <c r="E5158" s="8" t="s">
        <v>29726</v>
      </c>
      <c r="F5158" s="8" t="s">
        <v>29727</v>
      </c>
      <c r="G5158" s="6" t="s">
        <v>60</v>
      </c>
      <c r="H5158" s="6" t="s">
        <v>241</v>
      </c>
      <c r="I5158" s="8"/>
      <c r="J5158" s="9">
        <v>1</v>
      </c>
      <c r="K5158" s="9">
        <v>297</v>
      </c>
      <c r="L5158" s="9">
        <v>2024</v>
      </c>
      <c r="M5158" s="8" t="s">
        <v>29728</v>
      </c>
      <c r="N5158" s="8" t="s">
        <v>585</v>
      </c>
      <c r="O5158" s="8" t="s">
        <v>667</v>
      </c>
      <c r="P5158" s="6" t="s">
        <v>51</v>
      </c>
      <c r="Q5158" s="8" t="s">
        <v>52</v>
      </c>
      <c r="R5158" s="10" t="s">
        <v>29729</v>
      </c>
      <c r="S5158" s="11" t="s">
        <v>25515</v>
      </c>
      <c r="T5158" s="6"/>
      <c r="U5158" s="15" t="str">
        <f>HYPERLINK("https://media.infra-m.ru/2061/2061193/cover/2061193.jpg", "Обложка")</f>
        <v>Обложка</v>
      </c>
      <c r="V5158" s="8" t="s">
        <v>3588</v>
      </c>
      <c r="W5158" s="6"/>
      <c r="X5158" s="6"/>
      <c r="Y5158" s="6"/>
      <c r="Z5158" s="6"/>
      <c r="AA5158" s="6" t="s">
        <v>1015</v>
      </c>
      <c r="AB5158" s="8"/>
      <c r="AC5158" s="27">
        <v>9785955801148</v>
      </c>
    </row>
    <row r="5159" spans="1:29" s="4" customFormat="1" ht="42" customHeight="1" x14ac:dyDescent="0.2">
      <c r="A5159" s="5">
        <v>0</v>
      </c>
      <c r="B5159" s="6" t="s">
        <v>29730</v>
      </c>
      <c r="C5159" s="7">
        <v>1176</v>
      </c>
      <c r="D5159" s="8" t="s">
        <v>29731</v>
      </c>
      <c r="E5159" s="8" t="s">
        <v>29732</v>
      </c>
      <c r="F5159" s="8" t="s">
        <v>29733</v>
      </c>
      <c r="G5159" s="6" t="s">
        <v>60</v>
      </c>
      <c r="H5159" s="6" t="s">
        <v>34</v>
      </c>
      <c r="I5159" s="8" t="s">
        <v>253</v>
      </c>
      <c r="J5159" s="9">
        <v>1</v>
      </c>
      <c r="K5159" s="9">
        <v>170</v>
      </c>
      <c r="L5159" s="9">
        <v>2025</v>
      </c>
      <c r="M5159" s="8" t="s">
        <v>29734</v>
      </c>
      <c r="N5159" s="8" t="s">
        <v>585</v>
      </c>
      <c r="O5159" s="8" t="s">
        <v>667</v>
      </c>
      <c r="P5159" s="6" t="s">
        <v>51</v>
      </c>
      <c r="Q5159" s="8" t="s">
        <v>65</v>
      </c>
      <c r="R5159" s="10" t="s">
        <v>3008</v>
      </c>
      <c r="S5159" s="11"/>
      <c r="T5159" s="6" t="s">
        <v>97</v>
      </c>
      <c r="U5159" s="15" t="str">
        <f>HYPERLINK("https://media.infra-m.ru/2083/2083556/cover/2083556.jpg", "Обложка")</f>
        <v>Обложка</v>
      </c>
      <c r="V5159" s="8" t="s">
        <v>2001</v>
      </c>
      <c r="W5159" s="6"/>
      <c r="X5159" s="6"/>
      <c r="Y5159" s="6"/>
      <c r="Z5159" s="6"/>
      <c r="AA5159" s="6" t="s">
        <v>68</v>
      </c>
      <c r="AB5159" s="8"/>
      <c r="AC5159" s="27">
        <v>9785160190341</v>
      </c>
    </row>
    <row r="5160" spans="1:29" s="4" customFormat="1" ht="51.9" customHeight="1" x14ac:dyDescent="0.2">
      <c r="A5160" s="5">
        <v>0</v>
      </c>
      <c r="B5160" s="6" t="s">
        <v>29735</v>
      </c>
      <c r="C5160" s="7">
        <v>1776</v>
      </c>
      <c r="D5160" s="8" t="s">
        <v>29736</v>
      </c>
      <c r="E5160" s="8" t="s">
        <v>29737</v>
      </c>
      <c r="F5160" s="8" t="s">
        <v>29738</v>
      </c>
      <c r="G5160" s="6" t="s">
        <v>118</v>
      </c>
      <c r="H5160" s="6" t="s">
        <v>34</v>
      </c>
      <c r="I5160" s="8" t="s">
        <v>253</v>
      </c>
      <c r="J5160" s="9">
        <v>1</v>
      </c>
      <c r="K5160" s="9">
        <v>264</v>
      </c>
      <c r="L5160" s="9">
        <v>2025</v>
      </c>
      <c r="M5160" s="8" t="s">
        <v>29739</v>
      </c>
      <c r="N5160" s="8" t="s">
        <v>37</v>
      </c>
      <c r="O5160" s="8" t="s">
        <v>233</v>
      </c>
      <c r="P5160" s="6" t="s">
        <v>51</v>
      </c>
      <c r="Q5160" s="8" t="s">
        <v>52</v>
      </c>
      <c r="R5160" s="10" t="s">
        <v>29740</v>
      </c>
      <c r="S5160" s="11" t="s">
        <v>29741</v>
      </c>
      <c r="T5160" s="6" t="s">
        <v>97</v>
      </c>
      <c r="U5160" s="15" t="str">
        <f>HYPERLINK("https://media.infra-m.ru/2209/2209476/cover/2209476.jpg", "Обложка")</f>
        <v>Обложка</v>
      </c>
      <c r="V5160" s="8" t="s">
        <v>546</v>
      </c>
      <c r="W5160" s="6"/>
      <c r="X5160" s="6"/>
      <c r="Y5160" s="6"/>
      <c r="Z5160" s="6"/>
      <c r="AA5160" s="6" t="s">
        <v>430</v>
      </c>
      <c r="AB5160" s="8"/>
      <c r="AC5160" s="27">
        <v>9785160210070</v>
      </c>
    </row>
    <row r="5161" spans="1:29" s="4" customFormat="1" ht="51.9" customHeight="1" x14ac:dyDescent="0.2">
      <c r="A5161" s="5">
        <v>0</v>
      </c>
      <c r="B5161" s="6" t="s">
        <v>29742</v>
      </c>
      <c r="C5161" s="7">
        <v>2628</v>
      </c>
      <c r="D5161" s="8" t="s">
        <v>29743</v>
      </c>
      <c r="E5161" s="8" t="s">
        <v>29744</v>
      </c>
      <c r="F5161" s="8" t="s">
        <v>29745</v>
      </c>
      <c r="G5161" s="6" t="s">
        <v>60</v>
      </c>
      <c r="H5161" s="6" t="s">
        <v>34</v>
      </c>
      <c r="I5161" s="8" t="s">
        <v>253</v>
      </c>
      <c r="J5161" s="9">
        <v>1</v>
      </c>
      <c r="K5161" s="9">
        <v>420</v>
      </c>
      <c r="L5161" s="9">
        <v>2026</v>
      </c>
      <c r="M5161" s="8" t="s">
        <v>29746</v>
      </c>
      <c r="N5161" s="8" t="s">
        <v>37</v>
      </c>
      <c r="O5161" s="8" t="s">
        <v>233</v>
      </c>
      <c r="P5161" s="6" t="s">
        <v>51</v>
      </c>
      <c r="Q5161" s="8" t="s">
        <v>52</v>
      </c>
      <c r="R5161" s="10" t="s">
        <v>3008</v>
      </c>
      <c r="S5161" s="11" t="s">
        <v>29747</v>
      </c>
      <c r="T5161" s="6"/>
      <c r="U5161" s="15" t="str">
        <f>HYPERLINK("https://media.infra-m.ru/2207/2207134/cover/2207134.jpg", "Обложка")</f>
        <v>Обложка</v>
      </c>
      <c r="V5161" s="8" t="s">
        <v>3707</v>
      </c>
      <c r="W5161" s="6"/>
      <c r="X5161" s="6"/>
      <c r="Y5161" s="6"/>
      <c r="Z5161" s="6"/>
      <c r="AA5161" s="6" t="s">
        <v>148</v>
      </c>
      <c r="AB5161" s="8"/>
      <c r="AC5161" s="27">
        <v>9785160210599</v>
      </c>
    </row>
    <row r="5162" spans="1:29" s="4" customFormat="1" ht="51.9" customHeight="1" x14ac:dyDescent="0.2">
      <c r="A5162" s="5">
        <v>0</v>
      </c>
      <c r="B5162" s="6" t="s">
        <v>29748</v>
      </c>
      <c r="C5162" s="7">
        <v>1728</v>
      </c>
      <c r="D5162" s="8" t="s">
        <v>29749</v>
      </c>
      <c r="E5162" s="8" t="s">
        <v>29750</v>
      </c>
      <c r="F5162" s="8" t="s">
        <v>29751</v>
      </c>
      <c r="G5162" s="6" t="s">
        <v>60</v>
      </c>
      <c r="H5162" s="6" t="s">
        <v>34</v>
      </c>
      <c r="I5162" s="8" t="s">
        <v>263</v>
      </c>
      <c r="J5162" s="9">
        <v>1</v>
      </c>
      <c r="K5162" s="9">
        <v>248</v>
      </c>
      <c r="L5162" s="9">
        <v>2026</v>
      </c>
      <c r="M5162" s="8" t="s">
        <v>29752</v>
      </c>
      <c r="N5162" s="8" t="s">
        <v>37</v>
      </c>
      <c r="O5162" s="8" t="s">
        <v>233</v>
      </c>
      <c r="P5162" s="6" t="s">
        <v>306</v>
      </c>
      <c r="Q5162" s="8" t="s">
        <v>265</v>
      </c>
      <c r="R5162" s="10" t="s">
        <v>29753</v>
      </c>
      <c r="S5162" s="11"/>
      <c r="T5162" s="6"/>
      <c r="U5162" s="15" t="str">
        <f>HYPERLINK("https://media.infra-m.ru/2211/2211637/cover/2211637.jpg", "Обложка")</f>
        <v>Обложка</v>
      </c>
      <c r="V5162" s="8" t="s">
        <v>67</v>
      </c>
      <c r="W5162" s="6" t="s">
        <v>9380</v>
      </c>
      <c r="X5162" s="6"/>
      <c r="Y5162" s="6"/>
      <c r="Z5162" s="6"/>
      <c r="AA5162" s="6" t="s">
        <v>187</v>
      </c>
      <c r="AB5162" s="8"/>
      <c r="AC5162" s="27">
        <v>9785160210407</v>
      </c>
    </row>
    <row r="5163" spans="1:29" s="4" customFormat="1" ht="51.9" customHeight="1" x14ac:dyDescent="0.2">
      <c r="A5163" s="5">
        <v>0</v>
      </c>
      <c r="B5163" s="6" t="s">
        <v>29754</v>
      </c>
      <c r="C5163" s="7">
        <v>1792.8</v>
      </c>
      <c r="D5163" s="8" t="s">
        <v>29755</v>
      </c>
      <c r="E5163" s="8" t="s">
        <v>29756</v>
      </c>
      <c r="F5163" s="8" t="s">
        <v>29757</v>
      </c>
      <c r="G5163" s="6" t="s">
        <v>118</v>
      </c>
      <c r="H5163" s="6" t="s">
        <v>1042</v>
      </c>
      <c r="I5163" s="8" t="s">
        <v>263</v>
      </c>
      <c r="J5163" s="9">
        <v>1</v>
      </c>
      <c r="K5163" s="9">
        <v>287</v>
      </c>
      <c r="L5163" s="9">
        <v>2026</v>
      </c>
      <c r="M5163" s="8" t="s">
        <v>29758</v>
      </c>
      <c r="N5163" s="8" t="s">
        <v>37</v>
      </c>
      <c r="O5163" s="8" t="s">
        <v>233</v>
      </c>
      <c r="P5163" s="6" t="s">
        <v>51</v>
      </c>
      <c r="Q5163" s="8" t="s">
        <v>265</v>
      </c>
      <c r="R5163" s="10" t="s">
        <v>24208</v>
      </c>
      <c r="S5163" s="11" t="s">
        <v>29759</v>
      </c>
      <c r="T5163" s="6"/>
      <c r="U5163" s="15" t="str">
        <f>HYPERLINK("https://media.infra-m.ru/2216/2216057/cover/2216057.jpg", "Обложка")</f>
        <v>Обложка</v>
      </c>
      <c r="V5163" s="8" t="s">
        <v>1184</v>
      </c>
      <c r="W5163" s="6"/>
      <c r="X5163" s="6"/>
      <c r="Y5163" s="6"/>
      <c r="Z5163" s="6"/>
      <c r="AA5163" s="6" t="s">
        <v>8708</v>
      </c>
      <c r="AB5163" s="8"/>
      <c r="AC5163" s="27">
        <v>9785819907283</v>
      </c>
    </row>
    <row r="5164" spans="1:29" s="4" customFormat="1" ht="51.9" customHeight="1" x14ac:dyDescent="0.2">
      <c r="A5164" s="5">
        <v>0</v>
      </c>
      <c r="B5164" s="6" t="s">
        <v>29760</v>
      </c>
      <c r="C5164" s="7">
        <v>1444.8</v>
      </c>
      <c r="D5164" s="8" t="s">
        <v>29761</v>
      </c>
      <c r="E5164" s="8" t="s">
        <v>29762</v>
      </c>
      <c r="F5164" s="8" t="s">
        <v>29763</v>
      </c>
      <c r="G5164" s="6" t="s">
        <v>60</v>
      </c>
      <c r="H5164" s="6" t="s">
        <v>34</v>
      </c>
      <c r="I5164" s="8" t="s">
        <v>253</v>
      </c>
      <c r="J5164" s="9">
        <v>1</v>
      </c>
      <c r="K5164" s="9">
        <v>211</v>
      </c>
      <c r="L5164" s="9">
        <v>2025</v>
      </c>
      <c r="M5164" s="8" t="s">
        <v>29764</v>
      </c>
      <c r="N5164" s="8" t="s">
        <v>37</v>
      </c>
      <c r="O5164" s="8" t="s">
        <v>233</v>
      </c>
      <c r="P5164" s="6" t="s">
        <v>51</v>
      </c>
      <c r="Q5164" s="8" t="s">
        <v>500</v>
      </c>
      <c r="R5164" s="10" t="s">
        <v>29765</v>
      </c>
      <c r="S5164" s="11"/>
      <c r="T5164" s="6"/>
      <c r="U5164" s="15" t="str">
        <f>HYPERLINK("https://media.infra-m.ru/2231/2231519/cover/2231519.jpg", "Обложка")</f>
        <v>Обложка</v>
      </c>
      <c r="V5164" s="8" t="s">
        <v>1184</v>
      </c>
      <c r="W5164" s="6"/>
      <c r="X5164" s="6"/>
      <c r="Y5164" s="6"/>
      <c r="Z5164" s="6"/>
      <c r="AA5164" s="6" t="s">
        <v>68</v>
      </c>
      <c r="AB5164" s="8" t="s">
        <v>308</v>
      </c>
      <c r="AC5164" s="27">
        <v>9785160212814</v>
      </c>
    </row>
    <row r="5165" spans="1:29" s="4" customFormat="1" ht="51.9" customHeight="1" x14ac:dyDescent="0.2">
      <c r="A5165" s="5">
        <v>0</v>
      </c>
      <c r="B5165" s="6" t="s">
        <v>29766</v>
      </c>
      <c r="C5165" s="7">
        <v>1488</v>
      </c>
      <c r="D5165" s="8" t="s">
        <v>29767</v>
      </c>
      <c r="E5165" s="8" t="s">
        <v>29768</v>
      </c>
      <c r="F5165" s="8" t="s">
        <v>29769</v>
      </c>
      <c r="G5165" s="6" t="s">
        <v>118</v>
      </c>
      <c r="H5165" s="6" t="s">
        <v>34</v>
      </c>
      <c r="I5165" s="8" t="s">
        <v>5350</v>
      </c>
      <c r="J5165" s="9">
        <v>1</v>
      </c>
      <c r="K5165" s="9">
        <v>275</v>
      </c>
      <c r="L5165" s="9">
        <v>2023</v>
      </c>
      <c r="M5165" s="8" t="s">
        <v>29770</v>
      </c>
      <c r="N5165" s="8" t="s">
        <v>37</v>
      </c>
      <c r="O5165" s="8" t="s">
        <v>233</v>
      </c>
      <c r="P5165" s="6" t="s">
        <v>306</v>
      </c>
      <c r="Q5165" s="8" t="s">
        <v>377</v>
      </c>
      <c r="R5165" s="10" t="s">
        <v>29771</v>
      </c>
      <c r="S5165" s="11" t="s">
        <v>29772</v>
      </c>
      <c r="T5165" s="6"/>
      <c r="U5165" s="15" t="str">
        <f>HYPERLINK("https://media.infra-m.ru/1930/1930720/cover/1930720.jpg", "Обложка")</f>
        <v>Обложка</v>
      </c>
      <c r="V5165" s="8" t="s">
        <v>5271</v>
      </c>
      <c r="W5165" s="6"/>
      <c r="X5165" s="6"/>
      <c r="Y5165" s="6"/>
      <c r="Z5165" s="6"/>
      <c r="AA5165" s="6" t="s">
        <v>99</v>
      </c>
      <c r="AB5165" s="8"/>
      <c r="AC5165" s="27">
        <v>9785160122205</v>
      </c>
    </row>
    <row r="5166" spans="1:29" s="4" customFormat="1" ht="44.1" customHeight="1" x14ac:dyDescent="0.2">
      <c r="A5166" s="5">
        <v>0</v>
      </c>
      <c r="B5166" s="6" t="s">
        <v>29773</v>
      </c>
      <c r="C5166" s="7">
        <v>1728</v>
      </c>
      <c r="D5166" s="8" t="s">
        <v>29774</v>
      </c>
      <c r="E5166" s="8" t="s">
        <v>29775</v>
      </c>
      <c r="F5166" s="8" t="s">
        <v>29769</v>
      </c>
      <c r="G5166" s="6" t="s">
        <v>60</v>
      </c>
      <c r="H5166" s="6" t="s">
        <v>34</v>
      </c>
      <c r="I5166" s="8" t="s">
        <v>253</v>
      </c>
      <c r="J5166" s="9">
        <v>1</v>
      </c>
      <c r="K5166" s="9">
        <v>287</v>
      </c>
      <c r="L5166" s="9">
        <v>2025</v>
      </c>
      <c r="M5166" s="8" t="s">
        <v>29776</v>
      </c>
      <c r="N5166" s="8" t="s">
        <v>37</v>
      </c>
      <c r="O5166" s="8" t="s">
        <v>233</v>
      </c>
      <c r="P5166" s="6" t="s">
        <v>306</v>
      </c>
      <c r="Q5166" s="8" t="s">
        <v>377</v>
      </c>
      <c r="R5166" s="10" t="s">
        <v>29771</v>
      </c>
      <c r="S5166" s="11"/>
      <c r="T5166" s="6"/>
      <c r="U5166" s="15" t="str">
        <f>HYPERLINK("https://media.infra-m.ru/2131/2131554/cover/2131554.jpg", "Обложка")</f>
        <v>Обложка</v>
      </c>
      <c r="V5166" s="8" t="s">
        <v>5271</v>
      </c>
      <c r="W5166" s="6"/>
      <c r="X5166" s="6"/>
      <c r="Y5166" s="6"/>
      <c r="Z5166" s="6"/>
      <c r="AA5166" s="6" t="s">
        <v>917</v>
      </c>
      <c r="AB5166" s="8"/>
      <c r="AC5166" s="27">
        <v>9785160196336</v>
      </c>
    </row>
    <row r="5167" spans="1:29" s="4" customFormat="1" ht="51.9" customHeight="1" x14ac:dyDescent="0.2">
      <c r="A5167" s="5">
        <v>0</v>
      </c>
      <c r="B5167" s="6" t="s">
        <v>29777</v>
      </c>
      <c r="C5167" s="7">
        <v>1768.8</v>
      </c>
      <c r="D5167" s="8" t="s">
        <v>29778</v>
      </c>
      <c r="E5167" s="8" t="s">
        <v>29779</v>
      </c>
      <c r="F5167" s="8" t="s">
        <v>29780</v>
      </c>
      <c r="G5167" s="6" t="s">
        <v>33</v>
      </c>
      <c r="H5167" s="6" t="s">
        <v>48</v>
      </c>
      <c r="I5167" s="8" t="s">
        <v>401</v>
      </c>
      <c r="J5167" s="9">
        <v>1</v>
      </c>
      <c r="K5167" s="9">
        <v>269</v>
      </c>
      <c r="L5167" s="9">
        <v>2026</v>
      </c>
      <c r="M5167" s="8" t="s">
        <v>29781</v>
      </c>
      <c r="N5167" s="8" t="s">
        <v>37</v>
      </c>
      <c r="O5167" s="8" t="s">
        <v>233</v>
      </c>
      <c r="P5167" s="6" t="s">
        <v>306</v>
      </c>
      <c r="Q5167" s="8" t="s">
        <v>265</v>
      </c>
      <c r="R5167" s="10" t="s">
        <v>29782</v>
      </c>
      <c r="S5167" s="11" t="s">
        <v>29783</v>
      </c>
      <c r="T5167" s="6"/>
      <c r="U5167" s="15" t="str">
        <f>HYPERLINK("https://media.infra-m.ru/2249/2249344/cover/2249344.jpg", "Обложка")</f>
        <v>Обложка</v>
      </c>
      <c r="V5167" s="8" t="s">
        <v>29784</v>
      </c>
      <c r="W5167" s="6"/>
      <c r="X5167" s="6"/>
      <c r="Y5167" s="6"/>
      <c r="Z5167" s="6"/>
      <c r="AA5167" s="6" t="s">
        <v>1123</v>
      </c>
      <c r="AB5167" s="8"/>
      <c r="AC5167" s="27">
        <v>9785000910917</v>
      </c>
    </row>
    <row r="5168" spans="1:29" s="4" customFormat="1" ht="51.9" customHeight="1" x14ac:dyDescent="0.2">
      <c r="A5168" s="5">
        <v>0</v>
      </c>
      <c r="B5168" s="6" t="s">
        <v>29785</v>
      </c>
      <c r="C5168" s="7">
        <v>1644</v>
      </c>
      <c r="D5168" s="8" t="s">
        <v>29786</v>
      </c>
      <c r="E5168" s="8" t="s">
        <v>29787</v>
      </c>
      <c r="F5168" s="8" t="s">
        <v>29788</v>
      </c>
      <c r="G5168" s="6" t="s">
        <v>118</v>
      </c>
      <c r="H5168" s="6" t="s">
        <v>34</v>
      </c>
      <c r="I5168" s="8" t="s">
        <v>7625</v>
      </c>
      <c r="J5168" s="9">
        <v>1</v>
      </c>
      <c r="K5168" s="9">
        <v>273</v>
      </c>
      <c r="L5168" s="9">
        <v>2025</v>
      </c>
      <c r="M5168" s="8" t="s">
        <v>29789</v>
      </c>
      <c r="N5168" s="8" t="s">
        <v>243</v>
      </c>
      <c r="O5168" s="8" t="s">
        <v>758</v>
      </c>
      <c r="P5168" s="6" t="s">
        <v>51</v>
      </c>
      <c r="Q5168" s="8" t="s">
        <v>377</v>
      </c>
      <c r="R5168" s="10" t="s">
        <v>29790</v>
      </c>
      <c r="S5168" s="11" t="s">
        <v>23222</v>
      </c>
      <c r="T5168" s="6"/>
      <c r="U5168" s="15" t="str">
        <f>HYPERLINK("https://media.infra-m.ru/2174/2174940/cover/2174940.jpg", "Обложка")</f>
        <v>Обложка</v>
      </c>
      <c r="V5168" s="8" t="s">
        <v>1083</v>
      </c>
      <c r="W5168" s="6"/>
      <c r="X5168" s="6"/>
      <c r="Y5168" s="6"/>
      <c r="Z5168" s="6"/>
      <c r="AA5168" s="6" t="s">
        <v>86</v>
      </c>
      <c r="AB5168" s="8"/>
      <c r="AC5168" s="27">
        <v>9785160167633</v>
      </c>
    </row>
    <row r="5169" spans="1:29" s="4" customFormat="1" ht="51.9" customHeight="1" x14ac:dyDescent="0.2">
      <c r="A5169" s="5">
        <v>0</v>
      </c>
      <c r="B5169" s="6" t="s">
        <v>29791</v>
      </c>
      <c r="C5169" s="7">
        <v>1608</v>
      </c>
      <c r="D5169" s="8" t="s">
        <v>29792</v>
      </c>
      <c r="E5169" s="8" t="s">
        <v>29793</v>
      </c>
      <c r="F5169" s="8" t="s">
        <v>29794</v>
      </c>
      <c r="G5169" s="6" t="s">
        <v>118</v>
      </c>
      <c r="H5169" s="6" t="s">
        <v>34</v>
      </c>
      <c r="I5169" s="8" t="s">
        <v>263</v>
      </c>
      <c r="J5169" s="9">
        <v>1</v>
      </c>
      <c r="K5169" s="9">
        <v>256</v>
      </c>
      <c r="L5169" s="9">
        <v>2026</v>
      </c>
      <c r="M5169" s="8" t="s">
        <v>29795</v>
      </c>
      <c r="N5169" s="8" t="s">
        <v>243</v>
      </c>
      <c r="O5169" s="8" t="s">
        <v>798</v>
      </c>
      <c r="P5169" s="6" t="s">
        <v>306</v>
      </c>
      <c r="Q5169" s="8" t="s">
        <v>265</v>
      </c>
      <c r="R5169" s="10" t="s">
        <v>19521</v>
      </c>
      <c r="S5169" s="11" t="s">
        <v>29796</v>
      </c>
      <c r="T5169" s="6"/>
      <c r="U5169" s="15" t="str">
        <f>HYPERLINK("https://media.infra-m.ru/2220/2220917/cover/2220917.jpg", "Обложка")</f>
        <v>Обложка</v>
      </c>
      <c r="V5169" s="8" t="s">
        <v>809</v>
      </c>
      <c r="W5169" s="6"/>
      <c r="X5169" s="6" t="s">
        <v>24</v>
      </c>
      <c r="Y5169" s="6"/>
      <c r="Z5169" s="6"/>
      <c r="AA5169" s="6" t="s">
        <v>4554</v>
      </c>
      <c r="AB5169" s="8"/>
      <c r="AC5169" s="27">
        <v>9785160095394</v>
      </c>
    </row>
    <row r="5170" spans="1:29" s="4" customFormat="1" ht="51.9" customHeight="1" x14ac:dyDescent="0.2">
      <c r="A5170" s="5">
        <v>0</v>
      </c>
      <c r="B5170" s="6" t="s">
        <v>29797</v>
      </c>
      <c r="C5170" s="7">
        <v>2728.8</v>
      </c>
      <c r="D5170" s="8" t="s">
        <v>29798</v>
      </c>
      <c r="E5170" s="8" t="s">
        <v>29799</v>
      </c>
      <c r="F5170" s="8" t="s">
        <v>29800</v>
      </c>
      <c r="G5170" s="6" t="s">
        <v>60</v>
      </c>
      <c r="H5170" s="6" t="s">
        <v>34</v>
      </c>
      <c r="I5170" s="8" t="s">
        <v>263</v>
      </c>
      <c r="J5170" s="9">
        <v>1</v>
      </c>
      <c r="K5170" s="9">
        <v>410</v>
      </c>
      <c r="L5170" s="9">
        <v>2026</v>
      </c>
      <c r="M5170" s="8" t="s">
        <v>29801</v>
      </c>
      <c r="N5170" s="8" t="s">
        <v>243</v>
      </c>
      <c r="O5170" s="8" t="s">
        <v>758</v>
      </c>
      <c r="P5170" s="6" t="s">
        <v>51</v>
      </c>
      <c r="Q5170" s="8" t="s">
        <v>265</v>
      </c>
      <c r="R5170" s="10" t="s">
        <v>29802</v>
      </c>
      <c r="S5170" s="11"/>
      <c r="T5170" s="6"/>
      <c r="U5170" s="15" t="str">
        <f>HYPERLINK("https://media.infra-m.ru/2230/2230621/cover/2230621.jpg", "Обложка")</f>
        <v>Обложка</v>
      </c>
      <c r="V5170" s="8" t="s">
        <v>227</v>
      </c>
      <c r="W5170" s="6"/>
      <c r="X5170" s="6"/>
      <c r="Y5170" s="6"/>
      <c r="Z5170" s="6" t="s">
        <v>882</v>
      </c>
      <c r="AA5170" s="6" t="s">
        <v>76</v>
      </c>
      <c r="AB5170" s="8"/>
      <c r="AC5170" s="27">
        <v>9785160199634</v>
      </c>
    </row>
    <row r="5171" spans="1:29" s="4" customFormat="1" ht="42" customHeight="1" x14ac:dyDescent="0.2">
      <c r="A5171" s="5">
        <v>0</v>
      </c>
      <c r="B5171" s="6" t="s">
        <v>29803</v>
      </c>
      <c r="C5171" s="7">
        <v>2848.8</v>
      </c>
      <c r="D5171" s="8" t="s">
        <v>29804</v>
      </c>
      <c r="E5171" s="8" t="s">
        <v>29799</v>
      </c>
      <c r="F5171" s="8" t="s">
        <v>29800</v>
      </c>
      <c r="G5171" s="6" t="s">
        <v>60</v>
      </c>
      <c r="H5171" s="6" t="s">
        <v>34</v>
      </c>
      <c r="I5171" s="8" t="s">
        <v>253</v>
      </c>
      <c r="J5171" s="9">
        <v>1</v>
      </c>
      <c r="K5171" s="9">
        <v>410</v>
      </c>
      <c r="L5171" s="9">
        <v>2027</v>
      </c>
      <c r="M5171" s="8" t="s">
        <v>29805</v>
      </c>
      <c r="N5171" s="8" t="s">
        <v>243</v>
      </c>
      <c r="O5171" s="8" t="s">
        <v>758</v>
      </c>
      <c r="P5171" s="6" t="s">
        <v>51</v>
      </c>
      <c r="Q5171" s="8" t="s">
        <v>65</v>
      </c>
      <c r="R5171" s="10" t="s">
        <v>29806</v>
      </c>
      <c r="S5171" s="11"/>
      <c r="T5171" s="6"/>
      <c r="U5171" s="15" t="str">
        <f>HYPERLINK("https://media.infra-m.ru/2272/2272334/cover/2272334.jpg", "Обложка")</f>
        <v>Обложка</v>
      </c>
      <c r="V5171" s="8" t="s">
        <v>227</v>
      </c>
      <c r="W5171" s="6"/>
      <c r="X5171" s="6"/>
      <c r="Y5171" s="6"/>
      <c r="Z5171" s="6"/>
      <c r="AA5171" s="6" t="s">
        <v>76</v>
      </c>
      <c r="AB5171" s="8"/>
      <c r="AC5171" s="27">
        <v>9785160195094</v>
      </c>
    </row>
    <row r="5172" spans="1:29" s="4" customFormat="1" ht="51.9" customHeight="1" x14ac:dyDescent="0.2">
      <c r="A5172" s="5">
        <v>0</v>
      </c>
      <c r="B5172" s="6" t="s">
        <v>29807</v>
      </c>
      <c r="C5172" s="7">
        <v>1908</v>
      </c>
      <c r="D5172" s="8" t="s">
        <v>29808</v>
      </c>
      <c r="E5172" s="8" t="s">
        <v>29809</v>
      </c>
      <c r="F5172" s="8" t="s">
        <v>29810</v>
      </c>
      <c r="G5172" s="6" t="s">
        <v>118</v>
      </c>
      <c r="H5172" s="6" t="s">
        <v>820</v>
      </c>
      <c r="I5172" s="8"/>
      <c r="J5172" s="9">
        <v>1</v>
      </c>
      <c r="K5172" s="9">
        <v>286</v>
      </c>
      <c r="L5172" s="9">
        <v>2026</v>
      </c>
      <c r="M5172" s="8" t="s">
        <v>29811</v>
      </c>
      <c r="N5172" s="8" t="s">
        <v>243</v>
      </c>
      <c r="O5172" s="8" t="s">
        <v>758</v>
      </c>
      <c r="P5172" s="6" t="s">
        <v>306</v>
      </c>
      <c r="Q5172" s="8" t="s">
        <v>265</v>
      </c>
      <c r="R5172" s="10" t="s">
        <v>29812</v>
      </c>
      <c r="S5172" s="11"/>
      <c r="T5172" s="6"/>
      <c r="U5172" s="15" t="str">
        <f>HYPERLINK("https://media.infra-m.ru/2228/2228293/cover/2228293.jpg", "Обложка")</f>
        <v>Обложка</v>
      </c>
      <c r="V5172" s="8" t="s">
        <v>761</v>
      </c>
      <c r="W5172" s="6"/>
      <c r="X5172" s="6" t="s">
        <v>24</v>
      </c>
      <c r="Y5172" s="6"/>
      <c r="Z5172" s="6"/>
      <c r="AA5172" s="6" t="s">
        <v>99</v>
      </c>
      <c r="AB5172" s="8"/>
      <c r="AC5172" s="27">
        <v>9785906923141</v>
      </c>
    </row>
    <row r="5173" spans="1:29" s="4" customFormat="1" ht="42" customHeight="1" x14ac:dyDescent="0.2">
      <c r="A5173" s="5">
        <v>0</v>
      </c>
      <c r="B5173" s="6" t="s">
        <v>29813</v>
      </c>
      <c r="C5173" s="7">
        <v>1536</v>
      </c>
      <c r="D5173" s="8" t="s">
        <v>29814</v>
      </c>
      <c r="E5173" s="8" t="s">
        <v>29815</v>
      </c>
      <c r="F5173" s="8" t="s">
        <v>29816</v>
      </c>
      <c r="G5173" s="6" t="s">
        <v>60</v>
      </c>
      <c r="H5173" s="6" t="s">
        <v>34</v>
      </c>
      <c r="I5173" s="8" t="s">
        <v>1128</v>
      </c>
      <c r="J5173" s="9">
        <v>1</v>
      </c>
      <c r="K5173" s="9">
        <v>253</v>
      </c>
      <c r="L5173" s="9">
        <v>2025</v>
      </c>
      <c r="M5173" s="8" t="s">
        <v>29817</v>
      </c>
      <c r="N5173" s="8" t="s">
        <v>243</v>
      </c>
      <c r="O5173" s="8" t="s">
        <v>329</v>
      </c>
      <c r="P5173" s="6" t="s">
        <v>51</v>
      </c>
      <c r="Q5173" s="8" t="s">
        <v>52</v>
      </c>
      <c r="R5173" s="10" t="s">
        <v>29422</v>
      </c>
      <c r="S5173" s="11"/>
      <c r="T5173" s="6"/>
      <c r="U5173" s="15" t="str">
        <f>HYPERLINK("https://media.infra-m.ru/2136/2136163/cover/2136163.jpg", "Обложка")</f>
        <v>Обложка</v>
      </c>
      <c r="V5173" s="8" t="s">
        <v>1132</v>
      </c>
      <c r="W5173" s="6"/>
      <c r="X5173" s="6"/>
      <c r="Y5173" s="6"/>
      <c r="Z5173" s="6"/>
      <c r="AA5173" s="6" t="s">
        <v>68</v>
      </c>
      <c r="AB5173" s="8"/>
      <c r="AC5173" s="27">
        <v>9785160197623</v>
      </c>
    </row>
    <row r="5174" spans="1:29" s="4" customFormat="1" ht="51.9" customHeight="1" x14ac:dyDescent="0.2">
      <c r="A5174" s="5">
        <v>0</v>
      </c>
      <c r="B5174" s="6" t="s">
        <v>29818</v>
      </c>
      <c r="C5174" s="7">
        <v>1900.8</v>
      </c>
      <c r="D5174" s="8" t="s">
        <v>29819</v>
      </c>
      <c r="E5174" s="8" t="s">
        <v>29820</v>
      </c>
      <c r="F5174" s="8" t="s">
        <v>29821</v>
      </c>
      <c r="G5174" s="6" t="s">
        <v>60</v>
      </c>
      <c r="H5174" s="6" t="s">
        <v>1042</v>
      </c>
      <c r="I5174" s="8" t="s">
        <v>401</v>
      </c>
      <c r="J5174" s="9">
        <v>1</v>
      </c>
      <c r="K5174" s="9">
        <v>304</v>
      </c>
      <c r="L5174" s="9">
        <v>2025</v>
      </c>
      <c r="M5174" s="8" t="s">
        <v>29822</v>
      </c>
      <c r="N5174" s="8" t="s">
        <v>63</v>
      </c>
      <c r="O5174" s="8" t="s">
        <v>126</v>
      </c>
      <c r="P5174" s="6" t="s">
        <v>306</v>
      </c>
      <c r="Q5174" s="8" t="s">
        <v>265</v>
      </c>
      <c r="R5174" s="10" t="s">
        <v>29823</v>
      </c>
      <c r="S5174" s="11" t="s">
        <v>4015</v>
      </c>
      <c r="T5174" s="6"/>
      <c r="U5174" s="15" t="str">
        <f>HYPERLINK("https://media.infra-m.ru/2196/2196876/cover/2196876.jpg", "Обложка")</f>
        <v>Обложка</v>
      </c>
      <c r="V5174" s="8" t="s">
        <v>16500</v>
      </c>
      <c r="W5174" s="6"/>
      <c r="X5174" s="6"/>
      <c r="Y5174" s="6"/>
      <c r="Z5174" s="6"/>
      <c r="AA5174" s="6" t="s">
        <v>949</v>
      </c>
      <c r="AB5174" s="8"/>
      <c r="AC5174" s="27">
        <v>9785819902615</v>
      </c>
    </row>
    <row r="5175" spans="1:29" s="4" customFormat="1" ht="51.9" customHeight="1" x14ac:dyDescent="0.2">
      <c r="A5175" s="5">
        <v>0</v>
      </c>
      <c r="B5175" s="6" t="s">
        <v>29824</v>
      </c>
      <c r="C5175" s="7">
        <v>1596</v>
      </c>
      <c r="D5175" s="8" t="s">
        <v>29825</v>
      </c>
      <c r="E5175" s="8" t="s">
        <v>29826</v>
      </c>
      <c r="F5175" s="8" t="s">
        <v>29827</v>
      </c>
      <c r="G5175" s="6" t="s">
        <v>60</v>
      </c>
      <c r="H5175" s="6" t="s">
        <v>34</v>
      </c>
      <c r="I5175" s="8" t="s">
        <v>253</v>
      </c>
      <c r="J5175" s="9">
        <v>1</v>
      </c>
      <c r="K5175" s="9">
        <v>254</v>
      </c>
      <c r="L5175" s="9">
        <v>2025</v>
      </c>
      <c r="M5175" s="8" t="s">
        <v>29828</v>
      </c>
      <c r="N5175" s="8" t="s">
        <v>63</v>
      </c>
      <c r="O5175" s="8" t="s">
        <v>126</v>
      </c>
      <c r="P5175" s="6" t="s">
        <v>306</v>
      </c>
      <c r="Q5175" s="8" t="s">
        <v>52</v>
      </c>
      <c r="R5175" s="10" t="s">
        <v>29829</v>
      </c>
      <c r="S5175" s="11"/>
      <c r="T5175" s="6"/>
      <c r="U5175" s="15" t="str">
        <f>HYPERLINK("https://media.infra-m.ru/2198/2198242/cover/2198242.jpg", "Обложка")</f>
        <v>Обложка</v>
      </c>
      <c r="V5175" s="8" t="s">
        <v>445</v>
      </c>
      <c r="W5175" s="6"/>
      <c r="X5175" s="6"/>
      <c r="Y5175" s="6"/>
      <c r="Z5175" s="6"/>
      <c r="AA5175" s="6" t="s">
        <v>1295</v>
      </c>
      <c r="AB5175" s="8"/>
      <c r="AC5175" s="27">
        <v>9785160208312</v>
      </c>
    </row>
    <row r="5176" spans="1:29" s="4" customFormat="1" ht="51.9" customHeight="1" x14ac:dyDescent="0.2">
      <c r="A5176" s="5">
        <v>0</v>
      </c>
      <c r="B5176" s="6" t="s">
        <v>29830</v>
      </c>
      <c r="C5176" s="7">
        <v>1608</v>
      </c>
      <c r="D5176" s="8" t="s">
        <v>29831</v>
      </c>
      <c r="E5176" s="8" t="s">
        <v>29826</v>
      </c>
      <c r="F5176" s="8" t="s">
        <v>29827</v>
      </c>
      <c r="G5176" s="6" t="s">
        <v>60</v>
      </c>
      <c r="H5176" s="6" t="s">
        <v>34</v>
      </c>
      <c r="I5176" s="8" t="s">
        <v>263</v>
      </c>
      <c r="J5176" s="9">
        <v>20</v>
      </c>
      <c r="K5176" s="9">
        <v>254</v>
      </c>
      <c r="L5176" s="9">
        <v>2025</v>
      </c>
      <c r="M5176" s="8" t="s">
        <v>29832</v>
      </c>
      <c r="N5176" s="8" t="s">
        <v>63</v>
      </c>
      <c r="O5176" s="8" t="s">
        <v>126</v>
      </c>
      <c r="P5176" s="6" t="s">
        <v>306</v>
      </c>
      <c r="Q5176" s="8" t="s">
        <v>265</v>
      </c>
      <c r="R5176" s="10" t="s">
        <v>29833</v>
      </c>
      <c r="S5176" s="11" t="s">
        <v>4015</v>
      </c>
      <c r="T5176" s="6"/>
      <c r="U5176" s="15" t="str">
        <f>HYPERLINK("https://media.infra-m.ru/1251/1251641/cover/1251641.jpg", "Обложка")</f>
        <v>Обложка</v>
      </c>
      <c r="V5176" s="8" t="s">
        <v>445</v>
      </c>
      <c r="W5176" s="6"/>
      <c r="X5176" s="6"/>
      <c r="Y5176" s="6"/>
      <c r="Z5176" s="6"/>
      <c r="AA5176" s="6" t="s">
        <v>1295</v>
      </c>
      <c r="AB5176" s="8"/>
      <c r="AC5176" s="27">
        <v>9785160168722</v>
      </c>
    </row>
    <row r="5177" spans="1:29" s="4" customFormat="1" ht="51.9" customHeight="1" x14ac:dyDescent="0.2">
      <c r="A5177" s="5">
        <v>0</v>
      </c>
      <c r="B5177" s="6" t="s">
        <v>29834</v>
      </c>
      <c r="C5177" s="7">
        <v>3120</v>
      </c>
      <c r="D5177" s="8" t="s">
        <v>29835</v>
      </c>
      <c r="E5177" s="8" t="s">
        <v>29836</v>
      </c>
      <c r="F5177" s="8" t="s">
        <v>29837</v>
      </c>
      <c r="G5177" s="6" t="s">
        <v>60</v>
      </c>
      <c r="H5177" s="6" t="s">
        <v>134</v>
      </c>
      <c r="I5177" s="8"/>
      <c r="J5177" s="9">
        <v>1</v>
      </c>
      <c r="K5177" s="9">
        <v>448</v>
      </c>
      <c r="L5177" s="9">
        <v>2026</v>
      </c>
      <c r="M5177" s="8" t="s">
        <v>29838</v>
      </c>
      <c r="N5177" s="8" t="s">
        <v>37</v>
      </c>
      <c r="O5177" s="8" t="s">
        <v>136</v>
      </c>
      <c r="P5177" s="6" t="s">
        <v>306</v>
      </c>
      <c r="Q5177" s="8" t="s">
        <v>52</v>
      </c>
      <c r="R5177" s="10" t="s">
        <v>4109</v>
      </c>
      <c r="S5177" s="11"/>
      <c r="T5177" s="6"/>
      <c r="U5177" s="15" t="str">
        <f>HYPERLINK("https://media.infra-m.ru/2261/2261230/cover/2261230.jpg", "Обложка")</f>
        <v>Обложка</v>
      </c>
      <c r="V5177" s="8" t="s">
        <v>1184</v>
      </c>
      <c r="W5177" s="6"/>
      <c r="X5177" s="6"/>
      <c r="Y5177" s="6"/>
      <c r="Z5177" s="6"/>
      <c r="AA5177" s="6" t="s">
        <v>561</v>
      </c>
      <c r="AB5177" s="8"/>
      <c r="AC5177" s="27">
        <v>9785917687506</v>
      </c>
    </row>
    <row r="5178" spans="1:29" s="4" customFormat="1" ht="42" customHeight="1" x14ac:dyDescent="0.2">
      <c r="A5178" s="5">
        <v>0</v>
      </c>
      <c r="B5178" s="6" t="s">
        <v>29839</v>
      </c>
      <c r="C5178" s="7">
        <v>1337.9</v>
      </c>
      <c r="D5178" s="8" t="s">
        <v>29840</v>
      </c>
      <c r="E5178" s="8" t="s">
        <v>29841</v>
      </c>
      <c r="F5178" s="8" t="s">
        <v>29842</v>
      </c>
      <c r="G5178" s="6" t="s">
        <v>60</v>
      </c>
      <c r="H5178" s="6" t="s">
        <v>241</v>
      </c>
      <c r="I5178" s="8"/>
      <c r="J5178" s="9">
        <v>1</v>
      </c>
      <c r="K5178" s="9">
        <v>247</v>
      </c>
      <c r="L5178" s="9">
        <v>2023</v>
      </c>
      <c r="M5178" s="8" t="s">
        <v>29843</v>
      </c>
      <c r="N5178" s="8" t="s">
        <v>585</v>
      </c>
      <c r="O5178" s="8" t="s">
        <v>667</v>
      </c>
      <c r="P5178" s="6" t="s">
        <v>51</v>
      </c>
      <c r="Q5178" s="8" t="s">
        <v>500</v>
      </c>
      <c r="R5178" s="10" t="s">
        <v>29844</v>
      </c>
      <c r="S5178" s="11"/>
      <c r="T5178" s="6"/>
      <c r="U5178" s="15" t="str">
        <f>HYPERLINK("https://media.infra-m.ru/1894/1894529/cover/1894529.jpg", "Обложка")</f>
        <v>Обложка</v>
      </c>
      <c r="V5178" s="8" t="s">
        <v>217</v>
      </c>
      <c r="W5178" s="6"/>
      <c r="X5178" s="6"/>
      <c r="Y5178" s="6"/>
      <c r="Z5178" s="6"/>
      <c r="AA5178" s="6" t="s">
        <v>274</v>
      </c>
      <c r="AB5178" s="8"/>
      <c r="AC5178" s="27">
        <v>9785955804149</v>
      </c>
    </row>
    <row r="5179" spans="1:29" s="4" customFormat="1" ht="51.9" customHeight="1" x14ac:dyDescent="0.2">
      <c r="A5179" s="5">
        <v>0</v>
      </c>
      <c r="B5179" s="6" t="s">
        <v>29845</v>
      </c>
      <c r="C5179" s="13">
        <v>480</v>
      </c>
      <c r="D5179" s="8" t="s">
        <v>29846</v>
      </c>
      <c r="E5179" s="8" t="s">
        <v>29847</v>
      </c>
      <c r="F5179" s="8" t="s">
        <v>240</v>
      </c>
      <c r="G5179" s="6" t="s">
        <v>33</v>
      </c>
      <c r="H5179" s="6" t="s">
        <v>241</v>
      </c>
      <c r="I5179" s="8"/>
      <c r="J5179" s="9">
        <v>1</v>
      </c>
      <c r="K5179" s="9">
        <v>133</v>
      </c>
      <c r="L5179" s="9">
        <v>2019</v>
      </c>
      <c r="M5179" s="8" t="s">
        <v>29848</v>
      </c>
      <c r="N5179" s="8" t="s">
        <v>243</v>
      </c>
      <c r="O5179" s="8" t="s">
        <v>244</v>
      </c>
      <c r="P5179" s="6" t="s">
        <v>51</v>
      </c>
      <c r="Q5179" s="8" t="s">
        <v>52</v>
      </c>
      <c r="R5179" s="10" t="s">
        <v>29849</v>
      </c>
      <c r="S5179" s="11"/>
      <c r="T5179" s="6"/>
      <c r="U5179" s="12"/>
      <c r="V5179" s="8" t="s">
        <v>247</v>
      </c>
      <c r="W5179" s="6"/>
      <c r="X5179" s="6"/>
      <c r="Y5179" s="6"/>
      <c r="Z5179" s="6"/>
      <c r="AA5179" s="6" t="s">
        <v>99</v>
      </c>
      <c r="AB5179" s="8"/>
      <c r="AC5179" s="27">
        <v>9785955804538</v>
      </c>
    </row>
    <row r="5180" spans="1:29" s="4" customFormat="1" ht="51.9" customHeight="1" x14ac:dyDescent="0.2">
      <c r="A5180" s="5">
        <v>0</v>
      </c>
      <c r="B5180" s="6" t="s">
        <v>29850</v>
      </c>
      <c r="C5180" s="7">
        <v>1444.8</v>
      </c>
      <c r="D5180" s="8" t="s">
        <v>29851</v>
      </c>
      <c r="E5180" s="8" t="s">
        <v>29852</v>
      </c>
      <c r="F5180" s="8" t="s">
        <v>29853</v>
      </c>
      <c r="G5180" s="6" t="s">
        <v>60</v>
      </c>
      <c r="H5180" s="6" t="s">
        <v>34</v>
      </c>
      <c r="I5180" s="8" t="s">
        <v>35</v>
      </c>
      <c r="J5180" s="9">
        <v>1</v>
      </c>
      <c r="K5180" s="9">
        <v>210</v>
      </c>
      <c r="L5180" s="9">
        <v>2025</v>
      </c>
      <c r="M5180" s="8" t="s">
        <v>29854</v>
      </c>
      <c r="N5180" s="8" t="s">
        <v>37</v>
      </c>
      <c r="O5180" s="8" t="s">
        <v>136</v>
      </c>
      <c r="P5180" s="6" t="s">
        <v>39</v>
      </c>
      <c r="Q5180" s="8" t="s">
        <v>40</v>
      </c>
      <c r="R5180" s="10" t="s">
        <v>29855</v>
      </c>
      <c r="S5180" s="11"/>
      <c r="T5180" s="6"/>
      <c r="U5180" s="15" t="str">
        <f>HYPERLINK("https://media.infra-m.ru/2226/2226332/cover/2226332.jpg", "Обложка")</f>
        <v>Обложка</v>
      </c>
      <c r="V5180" s="8" t="s">
        <v>29856</v>
      </c>
      <c r="W5180" s="6"/>
      <c r="X5180" s="6"/>
      <c r="Y5180" s="6"/>
      <c r="Z5180" s="6"/>
      <c r="AA5180" s="6" t="s">
        <v>68</v>
      </c>
      <c r="AB5180" s="8"/>
      <c r="AC5180" s="27">
        <v>9785160209760</v>
      </c>
    </row>
    <row r="5181" spans="1:29" s="4" customFormat="1" ht="42" customHeight="1" x14ac:dyDescent="0.2">
      <c r="A5181" s="5">
        <v>0</v>
      </c>
      <c r="B5181" s="6" t="s">
        <v>29857</v>
      </c>
      <c r="C5181" s="7">
        <v>1188</v>
      </c>
      <c r="D5181" s="8" t="s">
        <v>29858</v>
      </c>
      <c r="E5181" s="8" t="s">
        <v>29859</v>
      </c>
      <c r="F5181" s="8" t="s">
        <v>29860</v>
      </c>
      <c r="G5181" s="6" t="s">
        <v>33</v>
      </c>
      <c r="H5181" s="6" t="s">
        <v>34</v>
      </c>
      <c r="I5181" s="8" t="s">
        <v>35</v>
      </c>
      <c r="J5181" s="9">
        <v>1</v>
      </c>
      <c r="K5181" s="9">
        <v>195</v>
      </c>
      <c r="L5181" s="9">
        <v>2023</v>
      </c>
      <c r="M5181" s="8" t="s">
        <v>29861</v>
      </c>
      <c r="N5181" s="8" t="s">
        <v>243</v>
      </c>
      <c r="O5181" s="8" t="s">
        <v>964</v>
      </c>
      <c r="P5181" s="6" t="s">
        <v>39</v>
      </c>
      <c r="Q5181" s="8" t="s">
        <v>40</v>
      </c>
      <c r="R5181" s="10" t="s">
        <v>29862</v>
      </c>
      <c r="S5181" s="11"/>
      <c r="T5181" s="6"/>
      <c r="U5181" s="15" t="str">
        <f>HYPERLINK("https://media.infra-m.ru/1870/1870592/cover/1870592.jpg", "Обложка")</f>
        <v>Обложка</v>
      </c>
      <c r="V5181" s="8" t="s">
        <v>13023</v>
      </c>
      <c r="W5181" s="6"/>
      <c r="X5181" s="6"/>
      <c r="Y5181" s="6"/>
      <c r="Z5181" s="6"/>
      <c r="AA5181" s="6" t="s">
        <v>157</v>
      </c>
      <c r="AB5181" s="8" t="s">
        <v>1743</v>
      </c>
      <c r="AC5181" s="27">
        <v>9785160177298</v>
      </c>
    </row>
    <row r="5182" spans="1:29" s="4" customFormat="1" ht="51.9" customHeight="1" x14ac:dyDescent="0.2">
      <c r="A5182" s="5">
        <v>0</v>
      </c>
      <c r="B5182" s="6" t="s">
        <v>29863</v>
      </c>
      <c r="C5182" s="7">
        <v>1360.8</v>
      </c>
      <c r="D5182" s="8" t="s">
        <v>29864</v>
      </c>
      <c r="E5182" s="8" t="s">
        <v>29865</v>
      </c>
      <c r="F5182" s="8" t="s">
        <v>29866</v>
      </c>
      <c r="G5182" s="6" t="s">
        <v>60</v>
      </c>
      <c r="H5182" s="6" t="s">
        <v>34</v>
      </c>
      <c r="I5182" s="8" t="s">
        <v>35</v>
      </c>
      <c r="J5182" s="9">
        <v>1</v>
      </c>
      <c r="K5182" s="9">
        <v>207</v>
      </c>
      <c r="L5182" s="9">
        <v>2026</v>
      </c>
      <c r="M5182" s="8" t="s">
        <v>29867</v>
      </c>
      <c r="N5182" s="8" t="s">
        <v>243</v>
      </c>
      <c r="O5182" s="8" t="s">
        <v>385</v>
      </c>
      <c r="P5182" s="6" t="s">
        <v>39</v>
      </c>
      <c r="Q5182" s="8" t="s">
        <v>40</v>
      </c>
      <c r="R5182" s="10" t="s">
        <v>29868</v>
      </c>
      <c r="S5182" s="11"/>
      <c r="T5182" s="6"/>
      <c r="U5182" s="15" t="str">
        <f>HYPERLINK("https://media.infra-m.ru/2238/2238508/cover/2238508.jpg", "Обложка")</f>
        <v>Обложка</v>
      </c>
      <c r="V5182" s="8" t="s">
        <v>29869</v>
      </c>
      <c r="W5182" s="6"/>
      <c r="X5182" s="6"/>
      <c r="Y5182" s="6"/>
      <c r="Z5182" s="6"/>
      <c r="AA5182" s="6" t="s">
        <v>76</v>
      </c>
      <c r="AB5182" s="8"/>
      <c r="AC5182" s="27">
        <v>9785160188140</v>
      </c>
    </row>
    <row r="5183" spans="1:29" s="4" customFormat="1" ht="51.9" customHeight="1" x14ac:dyDescent="0.2">
      <c r="A5183" s="5">
        <v>0</v>
      </c>
      <c r="B5183" s="6" t="s">
        <v>29870</v>
      </c>
      <c r="C5183" s="7">
        <v>1380</v>
      </c>
      <c r="D5183" s="8" t="s">
        <v>29871</v>
      </c>
      <c r="E5183" s="8" t="s">
        <v>29872</v>
      </c>
      <c r="F5183" s="8" t="s">
        <v>29873</v>
      </c>
      <c r="G5183" s="6" t="s">
        <v>33</v>
      </c>
      <c r="H5183" s="6" t="s">
        <v>34</v>
      </c>
      <c r="I5183" s="8" t="s">
        <v>35</v>
      </c>
      <c r="J5183" s="9">
        <v>1</v>
      </c>
      <c r="K5183" s="9">
        <v>217</v>
      </c>
      <c r="L5183" s="9">
        <v>2025</v>
      </c>
      <c r="M5183" s="8" t="s">
        <v>29874</v>
      </c>
      <c r="N5183" s="8" t="s">
        <v>37</v>
      </c>
      <c r="O5183" s="8" t="s">
        <v>38</v>
      </c>
      <c r="P5183" s="6" t="s">
        <v>39</v>
      </c>
      <c r="Q5183" s="8" t="s">
        <v>40</v>
      </c>
      <c r="R5183" s="10" t="s">
        <v>29875</v>
      </c>
      <c r="S5183" s="11"/>
      <c r="T5183" s="6"/>
      <c r="U5183" s="15" t="str">
        <f>HYPERLINK("https://media.infra-m.ru/2150/2150865/cover/2150865.jpg", "Обложка")</f>
        <v>Обложка</v>
      </c>
      <c r="V5183" s="8" t="s">
        <v>396</v>
      </c>
      <c r="W5183" s="6"/>
      <c r="X5183" s="6"/>
      <c r="Y5183" s="6"/>
      <c r="Z5183" s="6"/>
      <c r="AA5183" s="6" t="s">
        <v>68</v>
      </c>
      <c r="AB5183" s="8" t="s">
        <v>4718</v>
      </c>
      <c r="AC5183" s="27">
        <v>9785160199887</v>
      </c>
    </row>
    <row r="5184" spans="1:29" s="4" customFormat="1" ht="44.1" customHeight="1" x14ac:dyDescent="0.2">
      <c r="A5184" s="5">
        <v>0</v>
      </c>
      <c r="B5184" s="6" t="s">
        <v>29876</v>
      </c>
      <c r="C5184" s="13">
        <v>972</v>
      </c>
      <c r="D5184" s="8" t="s">
        <v>29877</v>
      </c>
      <c r="E5184" s="8" t="s">
        <v>29878</v>
      </c>
      <c r="F5184" s="8" t="s">
        <v>29879</v>
      </c>
      <c r="G5184" s="6" t="s">
        <v>118</v>
      </c>
      <c r="H5184" s="6" t="s">
        <v>134</v>
      </c>
      <c r="I5184" s="8"/>
      <c r="J5184" s="9">
        <v>1</v>
      </c>
      <c r="K5184" s="9">
        <v>152</v>
      </c>
      <c r="L5184" s="9">
        <v>2024</v>
      </c>
      <c r="M5184" s="8" t="s">
        <v>29880</v>
      </c>
      <c r="N5184" s="8" t="s">
        <v>37</v>
      </c>
      <c r="O5184" s="8" t="s">
        <v>136</v>
      </c>
      <c r="P5184" s="6" t="s">
        <v>51</v>
      </c>
      <c r="Q5184" s="8" t="s">
        <v>52</v>
      </c>
      <c r="R5184" s="10" t="s">
        <v>13507</v>
      </c>
      <c r="S5184" s="11"/>
      <c r="T5184" s="6"/>
      <c r="U5184" s="15" t="str">
        <f>HYPERLINK("https://media.infra-m.ru/2132/2132304/cover/2132304.jpg", "Обложка")</f>
        <v>Обложка</v>
      </c>
      <c r="V5184" s="8" t="s">
        <v>11240</v>
      </c>
      <c r="W5184" s="6"/>
      <c r="X5184" s="6"/>
      <c r="Y5184" s="6"/>
      <c r="Z5184" s="6"/>
      <c r="AA5184" s="6" t="s">
        <v>148</v>
      </c>
      <c r="AB5184" s="8"/>
      <c r="AC5184" s="27">
        <v>9785001562153</v>
      </c>
    </row>
    <row r="5185" spans="1:29" s="4" customFormat="1" ht="42" customHeight="1" x14ac:dyDescent="0.2">
      <c r="A5185" s="5">
        <v>0</v>
      </c>
      <c r="B5185" s="6" t="s">
        <v>29881</v>
      </c>
      <c r="C5185" s="7">
        <v>1168.8</v>
      </c>
      <c r="D5185" s="8" t="s">
        <v>29882</v>
      </c>
      <c r="E5185" s="8" t="s">
        <v>29883</v>
      </c>
      <c r="F5185" s="8" t="s">
        <v>29884</v>
      </c>
      <c r="G5185" s="6" t="s">
        <v>33</v>
      </c>
      <c r="H5185" s="6" t="s">
        <v>48</v>
      </c>
      <c r="I5185" s="8" t="s">
        <v>253</v>
      </c>
      <c r="J5185" s="9">
        <v>1</v>
      </c>
      <c r="K5185" s="9">
        <v>176</v>
      </c>
      <c r="L5185" s="9">
        <v>2026</v>
      </c>
      <c r="M5185" s="8" t="s">
        <v>29885</v>
      </c>
      <c r="N5185" s="8" t="s">
        <v>93</v>
      </c>
      <c r="O5185" s="8" t="s">
        <v>94</v>
      </c>
      <c r="P5185" s="6" t="s">
        <v>51</v>
      </c>
      <c r="Q5185" s="8" t="s">
        <v>52</v>
      </c>
      <c r="R5185" s="10" t="s">
        <v>9419</v>
      </c>
      <c r="S5185" s="11"/>
      <c r="T5185" s="6"/>
      <c r="U5185" s="15" t="str">
        <f>HYPERLINK("https://media.infra-m.ru/2219/2219327/cover/2219327.jpg", "Обложка")</f>
        <v>Обложка</v>
      </c>
      <c r="V5185" s="8" t="s">
        <v>9822</v>
      </c>
      <c r="W5185" s="6"/>
      <c r="X5185" s="6"/>
      <c r="Y5185" s="6"/>
      <c r="Z5185" s="6"/>
      <c r="AA5185" s="6" t="s">
        <v>779</v>
      </c>
      <c r="AB5185" s="8"/>
      <c r="AC5185" s="27">
        <v>9785000911259</v>
      </c>
    </row>
    <row r="5186" spans="1:29" s="4" customFormat="1" ht="51.9" customHeight="1" x14ac:dyDescent="0.2">
      <c r="A5186" s="5">
        <v>0</v>
      </c>
      <c r="B5186" s="6" t="s">
        <v>29886</v>
      </c>
      <c r="C5186" s="7">
        <v>1416</v>
      </c>
      <c r="D5186" s="8" t="s">
        <v>29887</v>
      </c>
      <c r="E5186" s="8" t="s">
        <v>29888</v>
      </c>
      <c r="F5186" s="8" t="s">
        <v>1136</v>
      </c>
      <c r="G5186" s="6" t="s">
        <v>118</v>
      </c>
      <c r="H5186" s="6" t="s">
        <v>34</v>
      </c>
      <c r="I5186" s="8" t="s">
        <v>263</v>
      </c>
      <c r="J5186" s="9">
        <v>1</v>
      </c>
      <c r="K5186" s="9">
        <v>202</v>
      </c>
      <c r="L5186" s="9">
        <v>2027</v>
      </c>
      <c r="M5186" s="8" t="s">
        <v>29889</v>
      </c>
      <c r="N5186" s="8" t="s">
        <v>243</v>
      </c>
      <c r="O5186" s="8" t="s">
        <v>1100</v>
      </c>
      <c r="P5186" s="6" t="s">
        <v>51</v>
      </c>
      <c r="Q5186" s="8" t="s">
        <v>265</v>
      </c>
      <c r="R5186" s="10" t="s">
        <v>29890</v>
      </c>
      <c r="S5186" s="11" t="s">
        <v>1108</v>
      </c>
      <c r="T5186" s="6"/>
      <c r="U5186" s="15" t="str">
        <f>HYPERLINK("https://media.infra-m.ru/2265/2265209/cover/2265209.jpg", "Обложка")</f>
        <v>Обложка</v>
      </c>
      <c r="V5186" s="8" t="s">
        <v>1030</v>
      </c>
      <c r="W5186" s="6"/>
      <c r="X5186" s="6"/>
      <c r="Y5186" s="6"/>
      <c r="Z5186" s="6" t="s">
        <v>267</v>
      </c>
      <c r="AA5186" s="6" t="s">
        <v>115</v>
      </c>
      <c r="AB5186" s="8"/>
      <c r="AC5186" s="27">
        <v>9785160143934</v>
      </c>
    </row>
    <row r="5187" spans="1:29" s="4" customFormat="1" ht="51.9" customHeight="1" x14ac:dyDescent="0.2">
      <c r="A5187" s="5">
        <v>0</v>
      </c>
      <c r="B5187" s="6" t="s">
        <v>29891</v>
      </c>
      <c r="C5187" s="7">
        <v>1408.8</v>
      </c>
      <c r="D5187" s="8" t="s">
        <v>29892</v>
      </c>
      <c r="E5187" s="8" t="s">
        <v>29888</v>
      </c>
      <c r="F5187" s="8" t="s">
        <v>1136</v>
      </c>
      <c r="G5187" s="6" t="s">
        <v>118</v>
      </c>
      <c r="H5187" s="6" t="s">
        <v>34</v>
      </c>
      <c r="I5187" s="8" t="s">
        <v>253</v>
      </c>
      <c r="J5187" s="9">
        <v>1</v>
      </c>
      <c r="K5187" s="9">
        <v>202</v>
      </c>
      <c r="L5187" s="9">
        <v>2027</v>
      </c>
      <c r="M5187" s="8" t="s">
        <v>29893</v>
      </c>
      <c r="N5187" s="8" t="s">
        <v>243</v>
      </c>
      <c r="O5187" s="8" t="s">
        <v>1100</v>
      </c>
      <c r="P5187" s="6" t="s">
        <v>51</v>
      </c>
      <c r="Q5187" s="8" t="s">
        <v>52</v>
      </c>
      <c r="R5187" s="10" t="s">
        <v>29894</v>
      </c>
      <c r="S5187" s="11" t="s">
        <v>29895</v>
      </c>
      <c r="T5187" s="6"/>
      <c r="U5187" s="15" t="str">
        <f>HYPERLINK("https://media.infra-m.ru/2257/2257164/cover/2257164.jpg", "Обложка")</f>
        <v>Обложка</v>
      </c>
      <c r="V5187" s="8" t="s">
        <v>1030</v>
      </c>
      <c r="W5187" s="6"/>
      <c r="X5187" s="6"/>
      <c r="Y5187" s="6"/>
      <c r="Z5187" s="6"/>
      <c r="AA5187" s="6" t="s">
        <v>99</v>
      </c>
      <c r="AB5187" s="8"/>
      <c r="AC5187" s="27">
        <v>9785160190525</v>
      </c>
    </row>
    <row r="5188" spans="1:29" s="4" customFormat="1" ht="42" customHeight="1" x14ac:dyDescent="0.2">
      <c r="A5188" s="5">
        <v>0</v>
      </c>
      <c r="B5188" s="6" t="s">
        <v>29896</v>
      </c>
      <c r="C5188" s="13">
        <v>828</v>
      </c>
      <c r="D5188" s="8" t="s">
        <v>29897</v>
      </c>
      <c r="E5188" s="8" t="s">
        <v>29898</v>
      </c>
      <c r="F5188" s="8" t="s">
        <v>29899</v>
      </c>
      <c r="G5188" s="6" t="s">
        <v>33</v>
      </c>
      <c r="H5188" s="6" t="s">
        <v>34</v>
      </c>
      <c r="I5188" s="8" t="s">
        <v>35</v>
      </c>
      <c r="J5188" s="9">
        <v>1</v>
      </c>
      <c r="K5188" s="9">
        <v>148</v>
      </c>
      <c r="L5188" s="9">
        <v>2024</v>
      </c>
      <c r="M5188" s="8" t="s">
        <v>29900</v>
      </c>
      <c r="N5188" s="8" t="s">
        <v>37</v>
      </c>
      <c r="O5188" s="8" t="s">
        <v>280</v>
      </c>
      <c r="P5188" s="6" t="s">
        <v>39</v>
      </c>
      <c r="Q5188" s="8" t="s">
        <v>40</v>
      </c>
      <c r="R5188" s="10" t="s">
        <v>1503</v>
      </c>
      <c r="S5188" s="11"/>
      <c r="T5188" s="6"/>
      <c r="U5188" s="15" t="str">
        <f>HYPERLINK("https://media.infra-m.ru/2110/2110040/cover/2110040.jpg", "Обложка")</f>
        <v>Обложка</v>
      </c>
      <c r="V5188" s="8" t="s">
        <v>3196</v>
      </c>
      <c r="W5188" s="6"/>
      <c r="X5188" s="6"/>
      <c r="Y5188" s="6"/>
      <c r="Z5188" s="6"/>
      <c r="AA5188" s="6" t="s">
        <v>248</v>
      </c>
      <c r="AB5188" s="8"/>
      <c r="AC5188" s="27">
        <v>9785160099101</v>
      </c>
    </row>
    <row r="5189" spans="1:29" s="4" customFormat="1" ht="44.1" customHeight="1" x14ac:dyDescent="0.2">
      <c r="A5189" s="5">
        <v>0</v>
      </c>
      <c r="B5189" s="6" t="s">
        <v>29901</v>
      </c>
      <c r="C5189" s="13">
        <v>844.8</v>
      </c>
      <c r="D5189" s="8" t="s">
        <v>29902</v>
      </c>
      <c r="E5189" s="8" t="s">
        <v>29903</v>
      </c>
      <c r="F5189" s="8" t="s">
        <v>29904</v>
      </c>
      <c r="G5189" s="6" t="s">
        <v>33</v>
      </c>
      <c r="H5189" s="6" t="s">
        <v>34</v>
      </c>
      <c r="I5189" s="8" t="s">
        <v>35</v>
      </c>
      <c r="J5189" s="9">
        <v>1</v>
      </c>
      <c r="K5189" s="9">
        <v>128</v>
      </c>
      <c r="L5189" s="9">
        <v>2026</v>
      </c>
      <c r="M5189" s="8" t="s">
        <v>29905</v>
      </c>
      <c r="N5189" s="8" t="s">
        <v>93</v>
      </c>
      <c r="O5189" s="8" t="s">
        <v>94</v>
      </c>
      <c r="P5189" s="6" t="s">
        <v>39</v>
      </c>
      <c r="Q5189" s="8" t="s">
        <v>40</v>
      </c>
      <c r="R5189" s="10" t="s">
        <v>11024</v>
      </c>
      <c r="S5189" s="11"/>
      <c r="T5189" s="6"/>
      <c r="U5189" s="15" t="str">
        <f>HYPERLINK("https://media.infra-m.ru/2238/2238254/cover/2238254.jpg", "Обложка")</f>
        <v>Обложка</v>
      </c>
      <c r="V5189" s="8" t="s">
        <v>3595</v>
      </c>
      <c r="W5189" s="6"/>
      <c r="X5189" s="6"/>
      <c r="Y5189" s="6"/>
      <c r="Z5189" s="6"/>
      <c r="AA5189" s="6" t="s">
        <v>99</v>
      </c>
      <c r="AB5189" s="8"/>
      <c r="AC5189" s="27">
        <v>9785160126173</v>
      </c>
    </row>
    <row r="5190" spans="1:29" s="4" customFormat="1" ht="44.1" customHeight="1" x14ac:dyDescent="0.2">
      <c r="A5190" s="5">
        <v>0</v>
      </c>
      <c r="B5190" s="6" t="s">
        <v>29906</v>
      </c>
      <c r="C5190" s="7">
        <v>1420.8</v>
      </c>
      <c r="D5190" s="8" t="s">
        <v>29907</v>
      </c>
      <c r="E5190" s="8" t="s">
        <v>29908</v>
      </c>
      <c r="F5190" s="8" t="s">
        <v>29909</v>
      </c>
      <c r="G5190" s="6" t="s">
        <v>33</v>
      </c>
      <c r="H5190" s="6" t="s">
        <v>34</v>
      </c>
      <c r="I5190" s="8" t="s">
        <v>35</v>
      </c>
      <c r="J5190" s="9">
        <v>1</v>
      </c>
      <c r="K5190" s="9">
        <v>215</v>
      </c>
      <c r="L5190" s="9">
        <v>2026</v>
      </c>
      <c r="M5190" s="8" t="s">
        <v>29910</v>
      </c>
      <c r="N5190" s="8" t="s">
        <v>93</v>
      </c>
      <c r="O5190" s="8" t="s">
        <v>94</v>
      </c>
      <c r="P5190" s="6" t="s">
        <v>39</v>
      </c>
      <c r="Q5190" s="8" t="s">
        <v>40</v>
      </c>
      <c r="R5190" s="10" t="s">
        <v>29911</v>
      </c>
      <c r="S5190" s="11"/>
      <c r="T5190" s="6"/>
      <c r="U5190" s="15" t="str">
        <f>HYPERLINK("https://media.infra-m.ru/2244/2244319/cover/2244319.jpg", "Обложка")</f>
        <v>Обложка</v>
      </c>
      <c r="V5190" s="8" t="s">
        <v>54</v>
      </c>
      <c r="W5190" s="6"/>
      <c r="X5190" s="6"/>
      <c r="Y5190" s="6"/>
      <c r="Z5190" s="6"/>
      <c r="AA5190" s="6" t="s">
        <v>430</v>
      </c>
      <c r="AB5190" s="8"/>
      <c r="AC5190" s="27">
        <v>9785160164403</v>
      </c>
    </row>
    <row r="5191" spans="1:29" s="4" customFormat="1" ht="51.9" customHeight="1" x14ac:dyDescent="0.2">
      <c r="A5191" s="5">
        <v>0</v>
      </c>
      <c r="B5191" s="6" t="s">
        <v>29912</v>
      </c>
      <c r="C5191" s="7">
        <v>1116</v>
      </c>
      <c r="D5191" s="8" t="s">
        <v>29913</v>
      </c>
      <c r="E5191" s="8" t="s">
        <v>29914</v>
      </c>
      <c r="F5191" s="8" t="s">
        <v>29915</v>
      </c>
      <c r="G5191" s="6" t="s">
        <v>118</v>
      </c>
      <c r="H5191" s="6" t="s">
        <v>34</v>
      </c>
      <c r="I5191" s="8" t="s">
        <v>91</v>
      </c>
      <c r="J5191" s="9">
        <v>1</v>
      </c>
      <c r="K5191" s="9">
        <v>167</v>
      </c>
      <c r="L5191" s="9">
        <v>2026</v>
      </c>
      <c r="M5191" s="8" t="s">
        <v>29916</v>
      </c>
      <c r="N5191" s="8" t="s">
        <v>93</v>
      </c>
      <c r="O5191" s="8" t="s">
        <v>94</v>
      </c>
      <c r="P5191" s="6" t="s">
        <v>105</v>
      </c>
      <c r="Q5191" s="8" t="s">
        <v>40</v>
      </c>
      <c r="R5191" s="10" t="s">
        <v>29917</v>
      </c>
      <c r="S5191" s="11"/>
      <c r="T5191" s="6"/>
      <c r="U5191" s="15" t="str">
        <f>HYPERLINK("https://media.infra-m.ru/2214/2214859/cover/2214859.jpg", "Обложка")</f>
        <v>Обложка</v>
      </c>
      <c r="V5191" s="8" t="s">
        <v>1599</v>
      </c>
      <c r="W5191" s="6"/>
      <c r="X5191" s="6"/>
      <c r="Y5191" s="6"/>
      <c r="Z5191" s="6"/>
      <c r="AA5191" s="6" t="s">
        <v>1256</v>
      </c>
      <c r="AB5191" s="8"/>
      <c r="AC5191" s="27">
        <v>9785160155661</v>
      </c>
    </row>
    <row r="5192" spans="1:29" s="4" customFormat="1" ht="42" customHeight="1" x14ac:dyDescent="0.2">
      <c r="A5192" s="5">
        <v>0</v>
      </c>
      <c r="B5192" s="6" t="s">
        <v>29918</v>
      </c>
      <c r="C5192" s="7">
        <v>1240.8</v>
      </c>
      <c r="D5192" s="8" t="s">
        <v>29919</v>
      </c>
      <c r="E5192" s="8" t="s">
        <v>29920</v>
      </c>
      <c r="F5192" s="8" t="s">
        <v>29921</v>
      </c>
      <c r="G5192" s="6" t="s">
        <v>33</v>
      </c>
      <c r="H5192" s="6" t="s">
        <v>34</v>
      </c>
      <c r="I5192" s="8" t="s">
        <v>35</v>
      </c>
      <c r="J5192" s="9">
        <v>1</v>
      </c>
      <c r="K5192" s="9">
        <v>188</v>
      </c>
      <c r="L5192" s="9">
        <v>2026</v>
      </c>
      <c r="M5192" s="8" t="s">
        <v>29922</v>
      </c>
      <c r="N5192" s="8" t="s">
        <v>37</v>
      </c>
      <c r="O5192" s="8" t="s">
        <v>136</v>
      </c>
      <c r="P5192" s="6" t="s">
        <v>39</v>
      </c>
      <c r="Q5192" s="8" t="s">
        <v>40</v>
      </c>
      <c r="R5192" s="10" t="s">
        <v>8485</v>
      </c>
      <c r="S5192" s="11"/>
      <c r="T5192" s="6"/>
      <c r="U5192" s="15" t="str">
        <f>HYPERLINK("https://media.infra-m.ru/2243/2243259/cover/2243259.jpg", "Обложка")</f>
        <v>Обложка</v>
      </c>
      <c r="V5192" s="8" t="s">
        <v>11240</v>
      </c>
      <c r="W5192" s="6"/>
      <c r="X5192" s="6"/>
      <c r="Y5192" s="6"/>
      <c r="Z5192" s="6"/>
      <c r="AA5192" s="6" t="s">
        <v>430</v>
      </c>
      <c r="AB5192" s="8"/>
      <c r="AC5192" s="27">
        <v>9785160158785</v>
      </c>
    </row>
    <row r="5193" spans="1:29" s="4" customFormat="1" ht="51.9" customHeight="1" x14ac:dyDescent="0.2">
      <c r="A5193" s="5">
        <v>0</v>
      </c>
      <c r="B5193" s="6" t="s">
        <v>29923</v>
      </c>
      <c r="C5193" s="13">
        <v>960</v>
      </c>
      <c r="D5193" s="8" t="s">
        <v>29924</v>
      </c>
      <c r="E5193" s="8" t="s">
        <v>29925</v>
      </c>
      <c r="F5193" s="8" t="s">
        <v>29926</v>
      </c>
      <c r="G5193" s="6" t="s">
        <v>33</v>
      </c>
      <c r="H5193" s="6" t="s">
        <v>34</v>
      </c>
      <c r="I5193" s="8" t="s">
        <v>35</v>
      </c>
      <c r="J5193" s="9">
        <v>1</v>
      </c>
      <c r="K5193" s="9">
        <v>168</v>
      </c>
      <c r="L5193" s="9">
        <v>2024</v>
      </c>
      <c r="M5193" s="8" t="s">
        <v>29927</v>
      </c>
      <c r="N5193" s="8" t="s">
        <v>37</v>
      </c>
      <c r="O5193" s="8" t="s">
        <v>136</v>
      </c>
      <c r="P5193" s="6" t="s">
        <v>39</v>
      </c>
      <c r="Q5193" s="8" t="s">
        <v>40</v>
      </c>
      <c r="R5193" s="10" t="s">
        <v>29928</v>
      </c>
      <c r="S5193" s="11"/>
      <c r="T5193" s="6"/>
      <c r="U5193" s="15" t="str">
        <f>HYPERLINK("https://media.infra-m.ru/2030/2030750/cover/2030750.jpg", "Обложка")</f>
        <v>Обложка</v>
      </c>
      <c r="V5193" s="8" t="s">
        <v>3735</v>
      </c>
      <c r="W5193" s="6"/>
      <c r="X5193" s="6"/>
      <c r="Y5193" s="6"/>
      <c r="Z5193" s="6"/>
      <c r="AA5193" s="6" t="s">
        <v>76</v>
      </c>
      <c r="AB5193" s="8"/>
      <c r="AC5193" s="27">
        <v>9785160185774</v>
      </c>
    </row>
    <row r="5194" spans="1:29" s="4" customFormat="1" ht="42" customHeight="1" x14ac:dyDescent="0.2">
      <c r="A5194" s="5">
        <v>0</v>
      </c>
      <c r="B5194" s="6" t="s">
        <v>29929</v>
      </c>
      <c r="C5194" s="7">
        <v>1068</v>
      </c>
      <c r="D5194" s="8" t="s">
        <v>29930</v>
      </c>
      <c r="E5194" s="8" t="s">
        <v>29931</v>
      </c>
      <c r="F5194" s="8" t="s">
        <v>25094</v>
      </c>
      <c r="G5194" s="6" t="s">
        <v>33</v>
      </c>
      <c r="H5194" s="6" t="s">
        <v>34</v>
      </c>
      <c r="I5194" s="8" t="s">
        <v>35</v>
      </c>
      <c r="J5194" s="9">
        <v>1</v>
      </c>
      <c r="K5194" s="9">
        <v>146</v>
      </c>
      <c r="L5194" s="9">
        <v>2026</v>
      </c>
      <c r="M5194" s="8" t="s">
        <v>29932</v>
      </c>
      <c r="N5194" s="8" t="s">
        <v>37</v>
      </c>
      <c r="O5194" s="8" t="s">
        <v>207</v>
      </c>
      <c r="P5194" s="6" t="s">
        <v>39</v>
      </c>
      <c r="Q5194" s="8" t="s">
        <v>40</v>
      </c>
      <c r="R5194" s="10" t="s">
        <v>29933</v>
      </c>
      <c r="S5194" s="11"/>
      <c r="T5194" s="6"/>
      <c r="U5194" s="15" t="str">
        <f>HYPERLINK("https://media.infra-m.ru/2238/2238600/cover/2238600.jpg", "Обложка")</f>
        <v>Обложка</v>
      </c>
      <c r="V5194" s="8" t="s">
        <v>25097</v>
      </c>
      <c r="W5194" s="6" t="s">
        <v>649</v>
      </c>
      <c r="X5194" s="6"/>
      <c r="Y5194" s="6"/>
      <c r="Z5194" s="6"/>
      <c r="AA5194" s="6" t="s">
        <v>187</v>
      </c>
      <c r="AB5194" s="8" t="s">
        <v>308</v>
      </c>
      <c r="AC5194" s="27">
        <v>9785160218137</v>
      </c>
    </row>
    <row r="5195" spans="1:29" s="4" customFormat="1" ht="51.9" customHeight="1" x14ac:dyDescent="0.2">
      <c r="A5195" s="5">
        <v>0</v>
      </c>
      <c r="B5195" s="6" t="s">
        <v>29934</v>
      </c>
      <c r="C5195" s="13">
        <v>988.8</v>
      </c>
      <c r="D5195" s="8" t="s">
        <v>29935</v>
      </c>
      <c r="E5195" s="8" t="s">
        <v>29936</v>
      </c>
      <c r="F5195" s="8" t="s">
        <v>29937</v>
      </c>
      <c r="G5195" s="6" t="s">
        <v>118</v>
      </c>
      <c r="H5195" s="6" t="s">
        <v>1042</v>
      </c>
      <c r="I5195" s="8" t="s">
        <v>263</v>
      </c>
      <c r="J5195" s="9">
        <v>1</v>
      </c>
      <c r="K5195" s="9">
        <v>160</v>
      </c>
      <c r="L5195" s="9">
        <v>2024</v>
      </c>
      <c r="M5195" s="8" t="s">
        <v>29938</v>
      </c>
      <c r="N5195" s="8" t="s">
        <v>243</v>
      </c>
      <c r="O5195" s="8" t="s">
        <v>758</v>
      </c>
      <c r="P5195" s="6" t="s">
        <v>51</v>
      </c>
      <c r="Q5195" s="8" t="s">
        <v>265</v>
      </c>
      <c r="R5195" s="10" t="s">
        <v>29939</v>
      </c>
      <c r="S5195" s="11" t="s">
        <v>29940</v>
      </c>
      <c r="T5195" s="6"/>
      <c r="U5195" s="15" t="str">
        <f>HYPERLINK("https://media.infra-m.ru/2133/2133934/cover/2133934.jpg", "Обложка")</f>
        <v>Обложка</v>
      </c>
      <c r="V5195" s="8" t="s">
        <v>227</v>
      </c>
      <c r="W5195" s="6"/>
      <c r="X5195" s="6"/>
      <c r="Y5195" s="6"/>
      <c r="Z5195" s="6" t="s">
        <v>267</v>
      </c>
      <c r="AA5195" s="6" t="s">
        <v>115</v>
      </c>
      <c r="AB5195" s="8"/>
      <c r="AC5195" s="27">
        <v>9785819908105</v>
      </c>
    </row>
    <row r="5196" spans="1:29" s="4" customFormat="1" ht="51.9" customHeight="1" x14ac:dyDescent="0.2">
      <c r="A5196" s="5">
        <v>0</v>
      </c>
      <c r="B5196" s="6" t="s">
        <v>29941</v>
      </c>
      <c r="C5196" s="7">
        <v>1120.8</v>
      </c>
      <c r="D5196" s="8" t="s">
        <v>29942</v>
      </c>
      <c r="E5196" s="8" t="s">
        <v>29936</v>
      </c>
      <c r="F5196" s="8" t="s">
        <v>29943</v>
      </c>
      <c r="G5196" s="6" t="s">
        <v>33</v>
      </c>
      <c r="H5196" s="6" t="s">
        <v>1042</v>
      </c>
      <c r="I5196" s="8" t="s">
        <v>253</v>
      </c>
      <c r="J5196" s="9">
        <v>1</v>
      </c>
      <c r="K5196" s="9">
        <v>160</v>
      </c>
      <c r="L5196" s="9">
        <v>2027</v>
      </c>
      <c r="M5196" s="8" t="s">
        <v>29944</v>
      </c>
      <c r="N5196" s="8" t="s">
        <v>243</v>
      </c>
      <c r="O5196" s="8" t="s">
        <v>758</v>
      </c>
      <c r="P5196" s="6" t="s">
        <v>51</v>
      </c>
      <c r="Q5196" s="8" t="s">
        <v>52</v>
      </c>
      <c r="R5196" s="10" t="s">
        <v>29945</v>
      </c>
      <c r="S5196" s="11" t="s">
        <v>29946</v>
      </c>
      <c r="T5196" s="6"/>
      <c r="U5196" s="15" t="str">
        <f>HYPERLINK("https://media.infra-m.ru/2257/2257765/cover/2257765.jpg", "Обложка")</f>
        <v>Обложка</v>
      </c>
      <c r="V5196" s="8" t="s">
        <v>227</v>
      </c>
      <c r="W5196" s="6"/>
      <c r="X5196" s="6"/>
      <c r="Y5196" s="6"/>
      <c r="Z5196" s="6"/>
      <c r="AA5196" s="6" t="s">
        <v>949</v>
      </c>
      <c r="AB5196" s="8"/>
      <c r="AC5196" s="27">
        <v>9785819902875</v>
      </c>
    </row>
    <row r="5197" spans="1:29" s="4" customFormat="1" ht="51.9" customHeight="1" x14ac:dyDescent="0.2">
      <c r="A5197" s="5">
        <v>0</v>
      </c>
      <c r="B5197" s="6" t="s">
        <v>29947</v>
      </c>
      <c r="C5197" s="7">
        <v>1044</v>
      </c>
      <c r="D5197" s="8" t="s">
        <v>29948</v>
      </c>
      <c r="E5197" s="8" t="s">
        <v>29949</v>
      </c>
      <c r="F5197" s="8" t="s">
        <v>29950</v>
      </c>
      <c r="G5197" s="6" t="s">
        <v>118</v>
      </c>
      <c r="H5197" s="6" t="s">
        <v>34</v>
      </c>
      <c r="I5197" s="8" t="s">
        <v>263</v>
      </c>
      <c r="J5197" s="9">
        <v>1</v>
      </c>
      <c r="K5197" s="9">
        <v>167</v>
      </c>
      <c r="L5197" s="9">
        <v>2025</v>
      </c>
      <c r="M5197" s="8" t="s">
        <v>29951</v>
      </c>
      <c r="N5197" s="8" t="s">
        <v>37</v>
      </c>
      <c r="O5197" s="8" t="s">
        <v>233</v>
      </c>
      <c r="P5197" s="6" t="s">
        <v>51</v>
      </c>
      <c r="Q5197" s="8" t="s">
        <v>265</v>
      </c>
      <c r="R5197" s="10" t="s">
        <v>27961</v>
      </c>
      <c r="S5197" s="11" t="s">
        <v>29952</v>
      </c>
      <c r="T5197" s="6"/>
      <c r="U5197" s="15" t="str">
        <f>HYPERLINK("https://media.infra-m.ru/2184/2184584/cover/2184584.jpg", "Обложка")</f>
        <v>Обложка</v>
      </c>
      <c r="V5197" s="8" t="s">
        <v>5087</v>
      </c>
      <c r="W5197" s="6"/>
      <c r="X5197" s="6"/>
      <c r="Y5197" s="6"/>
      <c r="Z5197" s="6"/>
      <c r="AA5197" s="6" t="s">
        <v>258</v>
      </c>
      <c r="AB5197" s="8" t="s">
        <v>3596</v>
      </c>
      <c r="AC5197" s="27">
        <v>9785160157412</v>
      </c>
    </row>
    <row r="5198" spans="1:29" s="4" customFormat="1" ht="51.9" customHeight="1" x14ac:dyDescent="0.2">
      <c r="A5198" s="5">
        <v>0</v>
      </c>
      <c r="B5198" s="6" t="s">
        <v>29953</v>
      </c>
      <c r="C5198" s="7">
        <v>1109.9000000000001</v>
      </c>
      <c r="D5198" s="8" t="s">
        <v>29954</v>
      </c>
      <c r="E5198" s="8" t="s">
        <v>29955</v>
      </c>
      <c r="F5198" s="8" t="s">
        <v>5342</v>
      </c>
      <c r="G5198" s="6" t="s">
        <v>60</v>
      </c>
      <c r="H5198" s="6" t="s">
        <v>34</v>
      </c>
      <c r="I5198" s="8" t="s">
        <v>271</v>
      </c>
      <c r="J5198" s="9">
        <v>1</v>
      </c>
      <c r="K5198" s="9">
        <v>244</v>
      </c>
      <c r="L5198" s="9">
        <v>2022</v>
      </c>
      <c r="M5198" s="8" t="s">
        <v>29956</v>
      </c>
      <c r="N5198" s="8" t="s">
        <v>37</v>
      </c>
      <c r="O5198" s="8" t="s">
        <v>233</v>
      </c>
      <c r="P5198" s="6" t="s">
        <v>51</v>
      </c>
      <c r="Q5198" s="8" t="s">
        <v>52</v>
      </c>
      <c r="R5198" s="10" t="s">
        <v>29957</v>
      </c>
      <c r="S5198" s="11" t="s">
        <v>29958</v>
      </c>
      <c r="T5198" s="6" t="s">
        <v>97</v>
      </c>
      <c r="U5198" s="15" t="str">
        <f>HYPERLINK("https://media.infra-m.ru/1844/1844827/cover/1844827.jpg", "Обложка")</f>
        <v>Обложка</v>
      </c>
      <c r="V5198" s="8" t="s">
        <v>831</v>
      </c>
      <c r="W5198" s="6"/>
      <c r="X5198" s="6"/>
      <c r="Y5198" s="6"/>
      <c r="Z5198" s="6"/>
      <c r="AA5198" s="6" t="s">
        <v>779</v>
      </c>
      <c r="AB5198" s="8"/>
      <c r="AC5198" s="27">
        <v>9785160117133</v>
      </c>
    </row>
    <row r="5199" spans="1:29" s="4" customFormat="1" ht="42" customHeight="1" x14ac:dyDescent="0.2">
      <c r="A5199" s="5">
        <v>0</v>
      </c>
      <c r="B5199" s="6" t="s">
        <v>29959</v>
      </c>
      <c r="C5199" s="7">
        <v>1080</v>
      </c>
      <c r="D5199" s="8" t="s">
        <v>29960</v>
      </c>
      <c r="E5199" s="8" t="s">
        <v>29961</v>
      </c>
      <c r="F5199" s="8" t="s">
        <v>8137</v>
      </c>
      <c r="G5199" s="6" t="s">
        <v>60</v>
      </c>
      <c r="H5199" s="6" t="s">
        <v>34</v>
      </c>
      <c r="I5199" s="8" t="s">
        <v>253</v>
      </c>
      <c r="J5199" s="9">
        <v>1</v>
      </c>
      <c r="K5199" s="9">
        <v>167</v>
      </c>
      <c r="L5199" s="9">
        <v>2025</v>
      </c>
      <c r="M5199" s="8" t="s">
        <v>29962</v>
      </c>
      <c r="N5199" s="8" t="s">
        <v>37</v>
      </c>
      <c r="O5199" s="8" t="s">
        <v>233</v>
      </c>
      <c r="P5199" s="6" t="s">
        <v>51</v>
      </c>
      <c r="Q5199" s="8" t="s">
        <v>65</v>
      </c>
      <c r="R5199" s="10" t="s">
        <v>14350</v>
      </c>
      <c r="S5199" s="11"/>
      <c r="T5199" s="6"/>
      <c r="U5199" s="15" t="str">
        <f>HYPERLINK("https://media.infra-m.ru/1242/1242225/cover/1242225.jpg", "Обложка")</f>
        <v>Обложка</v>
      </c>
      <c r="V5199" s="8" t="s">
        <v>8139</v>
      </c>
      <c r="W5199" s="6"/>
      <c r="X5199" s="6"/>
      <c r="Y5199" s="6"/>
      <c r="Z5199" s="6"/>
      <c r="AA5199" s="6" t="s">
        <v>68</v>
      </c>
      <c r="AB5199" s="8"/>
      <c r="AC5199" s="27">
        <v>9785160168227</v>
      </c>
    </row>
    <row r="5200" spans="1:29" s="4" customFormat="1" ht="51.9" customHeight="1" x14ac:dyDescent="0.2">
      <c r="A5200" s="5">
        <v>0</v>
      </c>
      <c r="B5200" s="6" t="s">
        <v>29963</v>
      </c>
      <c r="C5200" s="7">
        <v>1073.9000000000001</v>
      </c>
      <c r="D5200" s="8" t="s">
        <v>29964</v>
      </c>
      <c r="E5200" s="8" t="s">
        <v>29965</v>
      </c>
      <c r="F5200" s="8" t="s">
        <v>29966</v>
      </c>
      <c r="G5200" s="6" t="s">
        <v>60</v>
      </c>
      <c r="H5200" s="6" t="s">
        <v>1042</v>
      </c>
      <c r="I5200" s="8" t="s">
        <v>271</v>
      </c>
      <c r="J5200" s="9">
        <v>1</v>
      </c>
      <c r="K5200" s="9">
        <v>199</v>
      </c>
      <c r="L5200" s="9">
        <v>2023</v>
      </c>
      <c r="M5200" s="8" t="s">
        <v>29967</v>
      </c>
      <c r="N5200" s="8" t="s">
        <v>37</v>
      </c>
      <c r="O5200" s="8" t="s">
        <v>233</v>
      </c>
      <c r="P5200" s="6" t="s">
        <v>51</v>
      </c>
      <c r="Q5200" s="8" t="s">
        <v>52</v>
      </c>
      <c r="R5200" s="10" t="s">
        <v>3008</v>
      </c>
      <c r="S5200" s="11" t="s">
        <v>29968</v>
      </c>
      <c r="T5200" s="6"/>
      <c r="U5200" s="15" t="str">
        <f>HYPERLINK("https://media.infra-m.ru/2005/2005178/cover/2005178.jpg", "Обложка")</f>
        <v>Обложка</v>
      </c>
      <c r="V5200" s="8" t="s">
        <v>396</v>
      </c>
      <c r="W5200" s="6"/>
      <c r="X5200" s="6"/>
      <c r="Y5200" s="6"/>
      <c r="Z5200" s="6"/>
      <c r="AA5200" s="6" t="s">
        <v>1256</v>
      </c>
      <c r="AB5200" s="8"/>
      <c r="AC5200" s="27">
        <v>9785819908556</v>
      </c>
    </row>
    <row r="5201" spans="1:29" s="4" customFormat="1" ht="51.9" customHeight="1" x14ac:dyDescent="0.2">
      <c r="A5201" s="5">
        <v>0</v>
      </c>
      <c r="B5201" s="6" t="s">
        <v>29969</v>
      </c>
      <c r="C5201" s="13">
        <v>676.8</v>
      </c>
      <c r="D5201" s="8" t="s">
        <v>29970</v>
      </c>
      <c r="E5201" s="8" t="s">
        <v>29971</v>
      </c>
      <c r="F5201" s="8" t="s">
        <v>29972</v>
      </c>
      <c r="G5201" s="6" t="s">
        <v>33</v>
      </c>
      <c r="H5201" s="6" t="s">
        <v>34</v>
      </c>
      <c r="I5201" s="8" t="s">
        <v>746</v>
      </c>
      <c r="J5201" s="9">
        <v>1</v>
      </c>
      <c r="K5201" s="9">
        <v>107</v>
      </c>
      <c r="L5201" s="9">
        <v>2025</v>
      </c>
      <c r="M5201" s="8" t="s">
        <v>29973</v>
      </c>
      <c r="N5201" s="8" t="s">
        <v>243</v>
      </c>
      <c r="O5201" s="8" t="s">
        <v>385</v>
      </c>
      <c r="P5201" s="6" t="s">
        <v>748</v>
      </c>
      <c r="Q5201" s="8" t="s">
        <v>27228</v>
      </c>
      <c r="R5201" s="10" t="s">
        <v>29974</v>
      </c>
      <c r="S5201" s="11"/>
      <c r="T5201" s="6"/>
      <c r="U5201" s="15" t="str">
        <f>HYPERLINK("https://media.infra-m.ru/2142/2142177/cover/2142177.jpg", "Обложка")</f>
        <v>Обложка</v>
      </c>
      <c r="V5201" s="8" t="s">
        <v>9219</v>
      </c>
      <c r="W5201" s="6"/>
      <c r="X5201" s="6"/>
      <c r="Y5201" s="6"/>
      <c r="Z5201" s="6"/>
      <c r="AA5201" s="6" t="s">
        <v>248</v>
      </c>
      <c r="AB5201" s="8"/>
      <c r="AC5201" s="27">
        <v>9785160092256</v>
      </c>
    </row>
    <row r="5202" spans="1:29" s="4" customFormat="1" ht="51.9" customHeight="1" x14ac:dyDescent="0.2">
      <c r="A5202" s="5">
        <v>0</v>
      </c>
      <c r="B5202" s="6" t="s">
        <v>29975</v>
      </c>
      <c r="C5202" s="7">
        <v>1414.8</v>
      </c>
      <c r="D5202" s="8" t="s">
        <v>29976</v>
      </c>
      <c r="E5202" s="8" t="s">
        <v>29977</v>
      </c>
      <c r="F5202" s="8" t="s">
        <v>29978</v>
      </c>
      <c r="G5202" s="6" t="s">
        <v>118</v>
      </c>
      <c r="H5202" s="6" t="s">
        <v>34</v>
      </c>
      <c r="I5202" s="8" t="s">
        <v>5350</v>
      </c>
      <c r="J5202" s="9">
        <v>1</v>
      </c>
      <c r="K5202" s="9">
        <v>207</v>
      </c>
      <c r="L5202" s="9">
        <v>2023</v>
      </c>
      <c r="M5202" s="8" t="s">
        <v>29979</v>
      </c>
      <c r="N5202" s="8" t="s">
        <v>243</v>
      </c>
      <c r="O5202" s="8" t="s">
        <v>385</v>
      </c>
      <c r="P5202" s="6" t="s">
        <v>51</v>
      </c>
      <c r="Q5202" s="8" t="s">
        <v>377</v>
      </c>
      <c r="R5202" s="10" t="s">
        <v>29980</v>
      </c>
      <c r="S5202" s="11" t="s">
        <v>29981</v>
      </c>
      <c r="T5202" s="6"/>
      <c r="U5202" s="15" t="str">
        <f>HYPERLINK("https://media.infra-m.ru/2125/2125011/cover/2125011.jpg", "Обложка")</f>
        <v>Обложка</v>
      </c>
      <c r="V5202" s="8" t="s">
        <v>8054</v>
      </c>
      <c r="W5202" s="6"/>
      <c r="X5202" s="6"/>
      <c r="Y5202" s="6"/>
      <c r="Z5202" s="6"/>
      <c r="AA5202" s="6" t="s">
        <v>1256</v>
      </c>
      <c r="AB5202" s="8" t="s">
        <v>1317</v>
      </c>
      <c r="AC5202" s="27">
        <v>9785160146430</v>
      </c>
    </row>
    <row r="5203" spans="1:29" s="4" customFormat="1" ht="42" customHeight="1" x14ac:dyDescent="0.2">
      <c r="A5203" s="5">
        <v>0</v>
      </c>
      <c r="B5203" s="6" t="s">
        <v>29982</v>
      </c>
      <c r="C5203" s="7">
        <v>1438.8</v>
      </c>
      <c r="D5203" s="8" t="s">
        <v>29983</v>
      </c>
      <c r="E5203" s="8" t="s">
        <v>29984</v>
      </c>
      <c r="F5203" s="8" t="s">
        <v>25245</v>
      </c>
      <c r="G5203" s="6" t="s">
        <v>118</v>
      </c>
      <c r="H5203" s="6" t="s">
        <v>34</v>
      </c>
      <c r="I5203" s="8" t="s">
        <v>35</v>
      </c>
      <c r="J5203" s="9">
        <v>1</v>
      </c>
      <c r="K5203" s="9">
        <v>191</v>
      </c>
      <c r="L5203" s="9">
        <v>2025</v>
      </c>
      <c r="M5203" s="8" t="s">
        <v>29985</v>
      </c>
      <c r="N5203" s="8" t="s">
        <v>243</v>
      </c>
      <c r="O5203" s="8" t="s">
        <v>385</v>
      </c>
      <c r="P5203" s="6" t="s">
        <v>39</v>
      </c>
      <c r="Q5203" s="8" t="s">
        <v>40</v>
      </c>
      <c r="R5203" s="10" t="s">
        <v>3883</v>
      </c>
      <c r="S5203" s="11"/>
      <c r="T5203" s="6"/>
      <c r="U5203" s="15" t="str">
        <f>HYPERLINK("https://media.infra-m.ru/2205/2205606/cover/2205606.jpg", "Обложка")</f>
        <v>Обложка</v>
      </c>
      <c r="V5203" s="8" t="s">
        <v>8054</v>
      </c>
      <c r="W5203" s="6"/>
      <c r="X5203" s="6"/>
      <c r="Y5203" s="6"/>
      <c r="Z5203" s="6"/>
      <c r="AA5203" s="6" t="s">
        <v>115</v>
      </c>
      <c r="AB5203" s="8"/>
      <c r="AC5203" s="27">
        <v>9785160143415</v>
      </c>
    </row>
    <row r="5204" spans="1:29" s="4" customFormat="1" ht="51.9" customHeight="1" x14ac:dyDescent="0.2">
      <c r="A5204" s="5">
        <v>0</v>
      </c>
      <c r="B5204" s="6" t="s">
        <v>29986</v>
      </c>
      <c r="C5204" s="7">
        <v>2388</v>
      </c>
      <c r="D5204" s="8" t="s">
        <v>29987</v>
      </c>
      <c r="E5204" s="8" t="s">
        <v>29988</v>
      </c>
      <c r="F5204" s="8" t="s">
        <v>29989</v>
      </c>
      <c r="G5204" s="6" t="s">
        <v>60</v>
      </c>
      <c r="H5204" s="6" t="s">
        <v>34</v>
      </c>
      <c r="I5204" s="8" t="s">
        <v>5350</v>
      </c>
      <c r="J5204" s="9">
        <v>1</v>
      </c>
      <c r="K5204" s="9">
        <v>192</v>
      </c>
      <c r="L5204" s="9">
        <v>2020</v>
      </c>
      <c r="M5204" s="8" t="s">
        <v>29990</v>
      </c>
      <c r="N5204" s="8" t="s">
        <v>243</v>
      </c>
      <c r="O5204" s="8" t="s">
        <v>385</v>
      </c>
      <c r="P5204" s="6" t="s">
        <v>51</v>
      </c>
      <c r="Q5204" s="8" t="s">
        <v>377</v>
      </c>
      <c r="R5204" s="10" t="s">
        <v>29991</v>
      </c>
      <c r="S5204" s="11" t="s">
        <v>29981</v>
      </c>
      <c r="T5204" s="6"/>
      <c r="U5204" s="15" t="str">
        <f>HYPERLINK("https://media.infra-m.ru/0995/0995531/cover/995531.jpg", "Обложка")</f>
        <v>Обложка</v>
      </c>
      <c r="V5204" s="8" t="s">
        <v>8054</v>
      </c>
      <c r="W5204" s="6"/>
      <c r="X5204" s="6"/>
      <c r="Y5204" s="6"/>
      <c r="Z5204" s="6"/>
      <c r="AA5204" s="6" t="s">
        <v>1256</v>
      </c>
      <c r="AB5204" s="8"/>
      <c r="AC5204" s="27">
        <v>9785160146416</v>
      </c>
    </row>
    <row r="5205" spans="1:29" s="4" customFormat="1" ht="42" customHeight="1" x14ac:dyDescent="0.2">
      <c r="A5205" s="5">
        <v>0</v>
      </c>
      <c r="B5205" s="6" t="s">
        <v>29992</v>
      </c>
      <c r="C5205" s="7">
        <v>1644</v>
      </c>
      <c r="D5205" s="8" t="s">
        <v>29993</v>
      </c>
      <c r="E5205" s="8" t="s">
        <v>29994</v>
      </c>
      <c r="F5205" s="8" t="s">
        <v>25245</v>
      </c>
      <c r="G5205" s="6" t="s">
        <v>118</v>
      </c>
      <c r="H5205" s="6" t="s">
        <v>34</v>
      </c>
      <c r="I5205" s="8" t="s">
        <v>35</v>
      </c>
      <c r="J5205" s="9">
        <v>1</v>
      </c>
      <c r="K5205" s="9">
        <v>263</v>
      </c>
      <c r="L5205" s="9">
        <v>2025</v>
      </c>
      <c r="M5205" s="8" t="s">
        <v>29995</v>
      </c>
      <c r="N5205" s="8" t="s">
        <v>243</v>
      </c>
      <c r="O5205" s="8" t="s">
        <v>385</v>
      </c>
      <c r="P5205" s="6" t="s">
        <v>39</v>
      </c>
      <c r="Q5205" s="8" t="s">
        <v>40</v>
      </c>
      <c r="R5205" s="10" t="s">
        <v>378</v>
      </c>
      <c r="S5205" s="11"/>
      <c r="T5205" s="6"/>
      <c r="U5205" s="15" t="str">
        <f>HYPERLINK("https://media.infra-m.ru/2197/2197031/cover/2197031.jpg", "Обложка")</f>
        <v>Обложка</v>
      </c>
      <c r="V5205" s="8" t="s">
        <v>8054</v>
      </c>
      <c r="W5205" s="6"/>
      <c r="X5205" s="6"/>
      <c r="Y5205" s="6"/>
      <c r="Z5205" s="6"/>
      <c r="AA5205" s="6" t="s">
        <v>115</v>
      </c>
      <c r="AB5205" s="8"/>
      <c r="AC5205" s="27">
        <v>9785160142616</v>
      </c>
    </row>
    <row r="5206" spans="1:29" s="4" customFormat="1" ht="51.9" customHeight="1" x14ac:dyDescent="0.2">
      <c r="A5206" s="5">
        <v>0</v>
      </c>
      <c r="B5206" s="6" t="s">
        <v>29996</v>
      </c>
      <c r="C5206" s="7">
        <v>1528.8</v>
      </c>
      <c r="D5206" s="8" t="s">
        <v>29997</v>
      </c>
      <c r="E5206" s="8" t="s">
        <v>29998</v>
      </c>
      <c r="F5206" s="8" t="s">
        <v>29999</v>
      </c>
      <c r="G5206" s="6" t="s">
        <v>33</v>
      </c>
      <c r="H5206" s="6" t="s">
        <v>34</v>
      </c>
      <c r="I5206" s="8" t="s">
        <v>35</v>
      </c>
      <c r="J5206" s="9">
        <v>1</v>
      </c>
      <c r="K5206" s="9">
        <v>219</v>
      </c>
      <c r="L5206" s="9">
        <v>2026</v>
      </c>
      <c r="M5206" s="8" t="s">
        <v>30000</v>
      </c>
      <c r="N5206" s="8" t="s">
        <v>37</v>
      </c>
      <c r="O5206" s="8" t="s">
        <v>136</v>
      </c>
      <c r="P5206" s="6" t="s">
        <v>39</v>
      </c>
      <c r="Q5206" s="8" t="s">
        <v>40</v>
      </c>
      <c r="R5206" s="10" t="s">
        <v>30001</v>
      </c>
      <c r="S5206" s="11"/>
      <c r="T5206" s="6"/>
      <c r="U5206" s="15" t="str">
        <f>HYPERLINK("https://media.infra-m.ru/2262/2262016/cover/2262016.jpg", "Обложка")</f>
        <v>Обложка</v>
      </c>
      <c r="V5206" s="8" t="s">
        <v>11240</v>
      </c>
      <c r="W5206" s="6"/>
      <c r="X5206" s="6"/>
      <c r="Y5206" s="6"/>
      <c r="Z5206" s="6"/>
      <c r="AA5206" s="6" t="s">
        <v>148</v>
      </c>
      <c r="AB5206" s="8"/>
      <c r="AC5206" s="27">
        <v>9785160177359</v>
      </c>
    </row>
    <row r="5207" spans="1:29" s="4" customFormat="1" ht="51.9" customHeight="1" x14ac:dyDescent="0.2">
      <c r="A5207" s="5">
        <v>0</v>
      </c>
      <c r="B5207" s="6" t="s">
        <v>30002</v>
      </c>
      <c r="C5207" s="7">
        <v>1152</v>
      </c>
      <c r="D5207" s="8" t="s">
        <v>30003</v>
      </c>
      <c r="E5207" s="8" t="s">
        <v>30004</v>
      </c>
      <c r="F5207" s="8" t="s">
        <v>10487</v>
      </c>
      <c r="G5207" s="6" t="s">
        <v>60</v>
      </c>
      <c r="H5207" s="6" t="s">
        <v>34</v>
      </c>
      <c r="I5207" s="8" t="s">
        <v>263</v>
      </c>
      <c r="J5207" s="9">
        <v>1</v>
      </c>
      <c r="K5207" s="9">
        <v>198</v>
      </c>
      <c r="L5207" s="9">
        <v>2023</v>
      </c>
      <c r="M5207" s="8" t="s">
        <v>30005</v>
      </c>
      <c r="N5207" s="8" t="s">
        <v>37</v>
      </c>
      <c r="O5207" s="8" t="s">
        <v>136</v>
      </c>
      <c r="P5207" s="6" t="s">
        <v>51</v>
      </c>
      <c r="Q5207" s="8" t="s">
        <v>265</v>
      </c>
      <c r="R5207" s="10" t="s">
        <v>8557</v>
      </c>
      <c r="S5207" s="11" t="s">
        <v>30006</v>
      </c>
      <c r="T5207" s="6"/>
      <c r="U5207" s="15" t="str">
        <f>HYPERLINK("https://media.infra-m.ru/1866/1866814/cover/1866814.jpg", "Обложка")</f>
        <v>Обложка</v>
      </c>
      <c r="V5207" s="8" t="s">
        <v>10490</v>
      </c>
      <c r="W5207" s="6"/>
      <c r="X5207" s="6"/>
      <c r="Y5207" s="6"/>
      <c r="Z5207" s="6"/>
      <c r="AA5207" s="6" t="s">
        <v>157</v>
      </c>
      <c r="AB5207" s="8"/>
      <c r="AC5207" s="27">
        <v>9785160176765</v>
      </c>
    </row>
    <row r="5208" spans="1:29" s="4" customFormat="1" ht="42" customHeight="1" x14ac:dyDescent="0.2">
      <c r="A5208" s="5">
        <v>0</v>
      </c>
      <c r="B5208" s="6" t="s">
        <v>30007</v>
      </c>
      <c r="C5208" s="7">
        <v>1836</v>
      </c>
      <c r="D5208" s="8" t="s">
        <v>30008</v>
      </c>
      <c r="E5208" s="8" t="s">
        <v>30009</v>
      </c>
      <c r="F5208" s="8" t="s">
        <v>30010</v>
      </c>
      <c r="G5208" s="6" t="s">
        <v>60</v>
      </c>
      <c r="H5208" s="6" t="s">
        <v>34</v>
      </c>
      <c r="I5208" s="8" t="s">
        <v>434</v>
      </c>
      <c r="J5208" s="9">
        <v>1</v>
      </c>
      <c r="K5208" s="9">
        <v>306</v>
      </c>
      <c r="L5208" s="9">
        <v>2024</v>
      </c>
      <c r="M5208" s="8" t="s">
        <v>30011</v>
      </c>
      <c r="N5208" s="8" t="s">
        <v>37</v>
      </c>
      <c r="O5208" s="8" t="s">
        <v>233</v>
      </c>
      <c r="P5208" s="6" t="s">
        <v>306</v>
      </c>
      <c r="Q5208" s="8" t="s">
        <v>265</v>
      </c>
      <c r="R5208" s="10" t="s">
        <v>2574</v>
      </c>
      <c r="S5208" s="11"/>
      <c r="T5208" s="6"/>
      <c r="U5208" s="15" t="str">
        <f>HYPERLINK("https://media.infra-m.ru/2023/2023030/cover/2023030.jpg", "Обложка")</f>
        <v>Обложка</v>
      </c>
      <c r="V5208" s="8" t="s">
        <v>247</v>
      </c>
      <c r="W5208" s="6"/>
      <c r="X5208" s="6"/>
      <c r="Y5208" s="6"/>
      <c r="Z5208" s="6"/>
      <c r="AA5208" s="6" t="s">
        <v>76</v>
      </c>
      <c r="AB5208" s="8" t="s">
        <v>2691</v>
      </c>
      <c r="AC5208" s="27">
        <v>9785160185545</v>
      </c>
    </row>
    <row r="5209" spans="1:29" s="4" customFormat="1" ht="51.9" customHeight="1" x14ac:dyDescent="0.2">
      <c r="A5209" s="5">
        <v>0</v>
      </c>
      <c r="B5209" s="6" t="s">
        <v>30012</v>
      </c>
      <c r="C5209" s="7">
        <v>1236</v>
      </c>
      <c r="D5209" s="8" t="s">
        <v>30013</v>
      </c>
      <c r="E5209" s="8" t="s">
        <v>30014</v>
      </c>
      <c r="F5209" s="8" t="s">
        <v>509</v>
      </c>
      <c r="G5209" s="6" t="s">
        <v>60</v>
      </c>
      <c r="H5209" s="6" t="s">
        <v>34</v>
      </c>
      <c r="I5209" s="8" t="s">
        <v>35</v>
      </c>
      <c r="J5209" s="9">
        <v>1</v>
      </c>
      <c r="K5209" s="9">
        <v>211</v>
      </c>
      <c r="L5209" s="9">
        <v>2024</v>
      </c>
      <c r="M5209" s="8" t="s">
        <v>30015</v>
      </c>
      <c r="N5209" s="8" t="s">
        <v>63</v>
      </c>
      <c r="O5209" s="8" t="s">
        <v>126</v>
      </c>
      <c r="P5209" s="6" t="s">
        <v>39</v>
      </c>
      <c r="Q5209" s="8" t="s">
        <v>40</v>
      </c>
      <c r="R5209" s="10" t="s">
        <v>30016</v>
      </c>
      <c r="S5209" s="11"/>
      <c r="T5209" s="6"/>
      <c r="U5209" s="15" t="str">
        <f>HYPERLINK("https://media.infra-m.ru/2116/2116144/cover/2116144.jpg", "Обложка")</f>
        <v>Обложка</v>
      </c>
      <c r="V5209" s="8" t="s">
        <v>512</v>
      </c>
      <c r="W5209" s="6"/>
      <c r="X5209" s="6"/>
      <c r="Y5209" s="6"/>
      <c r="Z5209" s="6"/>
      <c r="AA5209" s="6" t="s">
        <v>76</v>
      </c>
      <c r="AB5209" s="8"/>
      <c r="AC5209" s="27">
        <v>9785160193953</v>
      </c>
    </row>
    <row r="5210" spans="1:29" s="4" customFormat="1" ht="51.9" customHeight="1" x14ac:dyDescent="0.2">
      <c r="A5210" s="5">
        <v>0</v>
      </c>
      <c r="B5210" s="6" t="s">
        <v>30017</v>
      </c>
      <c r="C5210" s="13">
        <v>904.8</v>
      </c>
      <c r="D5210" s="8" t="s">
        <v>30018</v>
      </c>
      <c r="E5210" s="8" t="s">
        <v>30019</v>
      </c>
      <c r="F5210" s="8" t="s">
        <v>30020</v>
      </c>
      <c r="G5210" s="6" t="s">
        <v>33</v>
      </c>
      <c r="H5210" s="6" t="s">
        <v>134</v>
      </c>
      <c r="I5210" s="8"/>
      <c r="J5210" s="9">
        <v>1</v>
      </c>
      <c r="K5210" s="9">
        <v>144</v>
      </c>
      <c r="L5210" s="9">
        <v>2025</v>
      </c>
      <c r="M5210" s="8" t="s">
        <v>30021</v>
      </c>
      <c r="N5210" s="8" t="s">
        <v>37</v>
      </c>
      <c r="O5210" s="8" t="s">
        <v>136</v>
      </c>
      <c r="P5210" s="6" t="s">
        <v>39</v>
      </c>
      <c r="Q5210" s="8" t="s">
        <v>1349</v>
      </c>
      <c r="R5210" s="10" t="s">
        <v>30022</v>
      </c>
      <c r="S5210" s="11"/>
      <c r="T5210" s="6"/>
      <c r="U5210" s="15" t="str">
        <f>HYPERLINK("https://media.infra-m.ru/2192/2192442/cover/2192442.jpg", "Обложка")</f>
        <v>Обложка</v>
      </c>
      <c r="V5210" s="8" t="s">
        <v>1069</v>
      </c>
      <c r="W5210" s="6"/>
      <c r="X5210" s="6"/>
      <c r="Y5210" s="6"/>
      <c r="Z5210" s="6"/>
      <c r="AA5210" s="6" t="s">
        <v>779</v>
      </c>
      <c r="AB5210" s="8"/>
      <c r="AC5210" s="27">
        <v>9785917687315</v>
      </c>
    </row>
    <row r="5211" spans="1:29" s="4" customFormat="1" ht="51.9" customHeight="1" x14ac:dyDescent="0.2">
      <c r="A5211" s="5">
        <v>0</v>
      </c>
      <c r="B5211" s="6" t="s">
        <v>30023</v>
      </c>
      <c r="C5211" s="13">
        <v>832.8</v>
      </c>
      <c r="D5211" s="8" t="s">
        <v>30024</v>
      </c>
      <c r="E5211" s="8" t="s">
        <v>30025</v>
      </c>
      <c r="F5211" s="8" t="s">
        <v>30026</v>
      </c>
      <c r="G5211" s="6" t="s">
        <v>60</v>
      </c>
      <c r="H5211" s="6" t="s">
        <v>134</v>
      </c>
      <c r="I5211" s="8"/>
      <c r="J5211" s="9">
        <v>1</v>
      </c>
      <c r="K5211" s="9">
        <v>128</v>
      </c>
      <c r="L5211" s="9">
        <v>2026</v>
      </c>
      <c r="M5211" s="8" t="s">
        <v>30027</v>
      </c>
      <c r="N5211" s="8" t="s">
        <v>37</v>
      </c>
      <c r="O5211" s="8" t="s">
        <v>136</v>
      </c>
      <c r="P5211" s="6" t="s">
        <v>51</v>
      </c>
      <c r="Q5211" s="8" t="s">
        <v>500</v>
      </c>
      <c r="R5211" s="10" t="s">
        <v>30028</v>
      </c>
      <c r="S5211" s="11"/>
      <c r="T5211" s="6"/>
      <c r="U5211" s="15" t="str">
        <f>HYPERLINK("https://media.infra-m.ru/2220/2220860/cover/2220860.jpg", "Обложка")</f>
        <v>Обложка</v>
      </c>
      <c r="V5211" s="8" t="s">
        <v>1184</v>
      </c>
      <c r="W5211" s="6"/>
      <c r="X5211" s="6"/>
      <c r="Y5211" s="6"/>
      <c r="Z5211" s="6"/>
      <c r="AA5211" s="6" t="s">
        <v>106</v>
      </c>
      <c r="AB5211" s="8"/>
      <c r="AC5211" s="27">
        <v>9785001563549</v>
      </c>
    </row>
    <row r="5212" spans="1:29" s="4" customFormat="1" ht="51.9" customHeight="1" x14ac:dyDescent="0.2">
      <c r="A5212" s="5">
        <v>0</v>
      </c>
      <c r="B5212" s="6" t="s">
        <v>30029</v>
      </c>
      <c r="C5212" s="13">
        <v>628.79999999999995</v>
      </c>
      <c r="D5212" s="8" t="s">
        <v>30030</v>
      </c>
      <c r="E5212" s="8" t="s">
        <v>30031</v>
      </c>
      <c r="F5212" s="8" t="s">
        <v>30026</v>
      </c>
      <c r="G5212" s="6" t="s">
        <v>33</v>
      </c>
      <c r="H5212" s="6" t="s">
        <v>134</v>
      </c>
      <c r="I5212" s="8"/>
      <c r="J5212" s="9">
        <v>1</v>
      </c>
      <c r="K5212" s="9">
        <v>112</v>
      </c>
      <c r="L5212" s="9">
        <v>2023</v>
      </c>
      <c r="M5212" s="8" t="s">
        <v>30032</v>
      </c>
      <c r="N5212" s="8" t="s">
        <v>37</v>
      </c>
      <c r="O5212" s="8" t="s">
        <v>136</v>
      </c>
      <c r="P5212" s="6" t="s">
        <v>51</v>
      </c>
      <c r="Q5212" s="8" t="s">
        <v>500</v>
      </c>
      <c r="R5212" s="10" t="s">
        <v>30028</v>
      </c>
      <c r="S5212" s="11"/>
      <c r="T5212" s="6"/>
      <c r="U5212" s="15" t="str">
        <f>HYPERLINK("https://media.infra-m.ru/2006/2006914/cover/2006914.jpg", "Обложка")</f>
        <v>Обложка</v>
      </c>
      <c r="V5212" s="8" t="s">
        <v>1184</v>
      </c>
      <c r="W5212" s="6"/>
      <c r="X5212" s="6"/>
      <c r="Y5212" s="6"/>
      <c r="Z5212" s="6"/>
      <c r="AA5212" s="6" t="s">
        <v>86</v>
      </c>
      <c r="AB5212" s="8"/>
      <c r="AC5212" s="27">
        <v>9785917688886</v>
      </c>
    </row>
    <row r="5213" spans="1:29" s="4" customFormat="1" ht="44.1" customHeight="1" x14ac:dyDescent="0.2">
      <c r="A5213" s="5">
        <v>0</v>
      </c>
      <c r="B5213" s="6" t="s">
        <v>30033</v>
      </c>
      <c r="C5213" s="7">
        <v>1264.8</v>
      </c>
      <c r="D5213" s="8" t="s">
        <v>30034</v>
      </c>
      <c r="E5213" s="8" t="s">
        <v>30035</v>
      </c>
      <c r="F5213" s="8" t="s">
        <v>30036</v>
      </c>
      <c r="G5213" s="6" t="s">
        <v>118</v>
      </c>
      <c r="H5213" s="6" t="s">
        <v>34</v>
      </c>
      <c r="I5213" s="8" t="s">
        <v>35</v>
      </c>
      <c r="J5213" s="9">
        <v>1</v>
      </c>
      <c r="K5213" s="9">
        <v>229</v>
      </c>
      <c r="L5213" s="9">
        <v>2024</v>
      </c>
      <c r="M5213" s="8" t="s">
        <v>30037</v>
      </c>
      <c r="N5213" s="8" t="s">
        <v>37</v>
      </c>
      <c r="O5213" s="8" t="s">
        <v>136</v>
      </c>
      <c r="P5213" s="6" t="s">
        <v>39</v>
      </c>
      <c r="Q5213" s="8" t="s">
        <v>40</v>
      </c>
      <c r="R5213" s="10" t="s">
        <v>30038</v>
      </c>
      <c r="S5213" s="11"/>
      <c r="T5213" s="6"/>
      <c r="U5213" s="15" t="str">
        <f>HYPERLINK("https://media.infra-m.ru/2120/2120780/cover/2120780.jpg", "Обложка")</f>
        <v>Обложка</v>
      </c>
      <c r="V5213" s="8" t="s">
        <v>227</v>
      </c>
      <c r="W5213" s="6"/>
      <c r="X5213" s="6"/>
      <c r="Y5213" s="6"/>
      <c r="Z5213" s="6"/>
      <c r="AA5213" s="6" t="s">
        <v>248</v>
      </c>
      <c r="AB5213" s="8"/>
      <c r="AC5213" s="27">
        <v>9785160096056</v>
      </c>
    </row>
    <row r="5214" spans="1:29" s="4" customFormat="1" ht="44.1" customHeight="1" x14ac:dyDescent="0.2">
      <c r="A5214" s="5">
        <v>0</v>
      </c>
      <c r="B5214" s="6" t="s">
        <v>30039</v>
      </c>
      <c r="C5214" s="7">
        <v>1380</v>
      </c>
      <c r="D5214" s="8" t="s">
        <v>30040</v>
      </c>
      <c r="E5214" s="8" t="s">
        <v>30035</v>
      </c>
      <c r="F5214" s="8" t="s">
        <v>30036</v>
      </c>
      <c r="G5214" s="6" t="s">
        <v>33</v>
      </c>
      <c r="H5214" s="6" t="s">
        <v>34</v>
      </c>
      <c r="I5214" s="8" t="s">
        <v>35</v>
      </c>
      <c r="J5214" s="9">
        <v>1</v>
      </c>
      <c r="K5214" s="9">
        <v>229</v>
      </c>
      <c r="L5214" s="9">
        <v>2025</v>
      </c>
      <c r="M5214" s="8" t="s">
        <v>30041</v>
      </c>
      <c r="N5214" s="8" t="s">
        <v>37</v>
      </c>
      <c r="O5214" s="8" t="s">
        <v>136</v>
      </c>
      <c r="P5214" s="6" t="s">
        <v>39</v>
      </c>
      <c r="Q5214" s="8" t="s">
        <v>40</v>
      </c>
      <c r="R5214" s="10" t="s">
        <v>30038</v>
      </c>
      <c r="S5214" s="11"/>
      <c r="T5214" s="6"/>
      <c r="U5214" s="15" t="str">
        <f>HYPERLINK("https://media.infra-m.ru/2168/2168871/cover/2168871.jpg", "Обложка")</f>
        <v>Обложка</v>
      </c>
      <c r="V5214" s="8" t="s">
        <v>227</v>
      </c>
      <c r="W5214" s="6"/>
      <c r="X5214" s="6"/>
      <c r="Y5214" s="6"/>
      <c r="Z5214" s="6"/>
      <c r="AA5214" s="6" t="s">
        <v>248</v>
      </c>
      <c r="AB5214" s="8"/>
      <c r="AC5214" s="27">
        <v>9785160204277</v>
      </c>
    </row>
    <row r="5215" spans="1:29" s="4" customFormat="1" ht="44.1" customHeight="1" x14ac:dyDescent="0.2">
      <c r="A5215" s="5">
        <v>0</v>
      </c>
      <c r="B5215" s="6" t="s">
        <v>30042</v>
      </c>
      <c r="C5215" s="7">
        <v>2172</v>
      </c>
      <c r="D5215" s="8" t="s">
        <v>30043</v>
      </c>
      <c r="E5215" s="8" t="s">
        <v>30044</v>
      </c>
      <c r="F5215" s="8" t="s">
        <v>30045</v>
      </c>
      <c r="G5215" s="6" t="s">
        <v>33</v>
      </c>
      <c r="H5215" s="6" t="s">
        <v>34</v>
      </c>
      <c r="I5215" s="8" t="s">
        <v>1074</v>
      </c>
      <c r="J5215" s="9">
        <v>1</v>
      </c>
      <c r="K5215" s="9">
        <v>312</v>
      </c>
      <c r="L5215" s="9">
        <v>2026</v>
      </c>
      <c r="M5215" s="8" t="s">
        <v>30046</v>
      </c>
      <c r="N5215" s="8" t="s">
        <v>37</v>
      </c>
      <c r="O5215" s="8" t="s">
        <v>136</v>
      </c>
      <c r="P5215" s="6" t="s">
        <v>3141</v>
      </c>
      <c r="Q5215" s="8" t="s">
        <v>40</v>
      </c>
      <c r="R5215" s="10" t="s">
        <v>10728</v>
      </c>
      <c r="S5215" s="11"/>
      <c r="T5215" s="6"/>
      <c r="U5215" s="15" t="str">
        <f>HYPERLINK("https://media.infra-m.ru/2261/2261237/cover/2261237.jpg", "Обложка")</f>
        <v>Обложка</v>
      </c>
      <c r="V5215" s="8" t="s">
        <v>138</v>
      </c>
      <c r="W5215" s="6"/>
      <c r="X5215" s="6"/>
      <c r="Y5215" s="6"/>
      <c r="Z5215" s="6"/>
      <c r="AA5215" s="6" t="s">
        <v>99</v>
      </c>
      <c r="AB5215" s="8"/>
      <c r="AC5215" s="27">
        <v>9785160128856</v>
      </c>
    </row>
    <row r="5216" spans="1:29" s="4" customFormat="1" ht="42" customHeight="1" x14ac:dyDescent="0.2">
      <c r="A5216" s="5">
        <v>0</v>
      </c>
      <c r="B5216" s="6" t="s">
        <v>30047</v>
      </c>
      <c r="C5216" s="7">
        <v>1008</v>
      </c>
      <c r="D5216" s="8" t="s">
        <v>30048</v>
      </c>
      <c r="E5216" s="8" t="s">
        <v>30049</v>
      </c>
      <c r="F5216" s="8" t="s">
        <v>30050</v>
      </c>
      <c r="G5216" s="6" t="s">
        <v>33</v>
      </c>
      <c r="H5216" s="6" t="s">
        <v>134</v>
      </c>
      <c r="I5216" s="8"/>
      <c r="J5216" s="9">
        <v>1</v>
      </c>
      <c r="K5216" s="9">
        <v>144</v>
      </c>
      <c r="L5216" s="9">
        <v>2027</v>
      </c>
      <c r="M5216" s="8" t="s">
        <v>30051</v>
      </c>
      <c r="N5216" s="8" t="s">
        <v>37</v>
      </c>
      <c r="O5216" s="8" t="s">
        <v>38</v>
      </c>
      <c r="P5216" s="6" t="s">
        <v>3310</v>
      </c>
      <c r="Q5216" s="8" t="s">
        <v>52</v>
      </c>
      <c r="R5216" s="10" t="s">
        <v>30052</v>
      </c>
      <c r="S5216" s="11"/>
      <c r="T5216" s="6"/>
      <c r="U5216" s="15" t="str">
        <f>HYPERLINK("https://media.infra-m.ru/2263/2263179/cover/2263179.jpg", "Обложка")</f>
        <v>Обложка</v>
      </c>
      <c r="V5216" s="8" t="s">
        <v>227</v>
      </c>
      <c r="W5216" s="6"/>
      <c r="X5216" s="6" t="s">
        <v>24</v>
      </c>
      <c r="Y5216" s="6"/>
      <c r="Z5216" s="6"/>
      <c r="AA5216" s="6" t="s">
        <v>99</v>
      </c>
      <c r="AB5216" s="8"/>
      <c r="AC5216" s="27">
        <v>9785917687964</v>
      </c>
    </row>
    <row r="5217" spans="1:29" s="4" customFormat="1" ht="42" customHeight="1" x14ac:dyDescent="0.2">
      <c r="A5217" s="5">
        <v>0</v>
      </c>
      <c r="B5217" s="6" t="s">
        <v>30053</v>
      </c>
      <c r="C5217" s="7">
        <v>2116.8000000000002</v>
      </c>
      <c r="D5217" s="8" t="s">
        <v>30054</v>
      </c>
      <c r="E5217" s="8" t="s">
        <v>30055</v>
      </c>
      <c r="F5217" s="8" t="s">
        <v>30056</v>
      </c>
      <c r="G5217" s="6" t="s">
        <v>60</v>
      </c>
      <c r="H5217" s="6" t="s">
        <v>48</v>
      </c>
      <c r="I5217" s="8" t="s">
        <v>253</v>
      </c>
      <c r="J5217" s="9">
        <v>1</v>
      </c>
      <c r="K5217" s="9">
        <v>320</v>
      </c>
      <c r="L5217" s="9">
        <v>2026</v>
      </c>
      <c r="M5217" s="8" t="s">
        <v>30057</v>
      </c>
      <c r="N5217" s="8" t="s">
        <v>37</v>
      </c>
      <c r="O5217" s="8" t="s">
        <v>38</v>
      </c>
      <c r="P5217" s="6" t="s">
        <v>1293</v>
      </c>
      <c r="Q5217" s="8" t="s">
        <v>52</v>
      </c>
      <c r="R5217" s="10" t="s">
        <v>13520</v>
      </c>
      <c r="S5217" s="11"/>
      <c r="T5217" s="6"/>
      <c r="U5217" s="15" t="str">
        <f>HYPERLINK("https://media.infra-m.ru/2244/2244246/cover/2244246.jpg", "Обложка")</f>
        <v>Обложка</v>
      </c>
      <c r="V5217" s="8" t="s">
        <v>5902</v>
      </c>
      <c r="W5217" s="6"/>
      <c r="X5217" s="6"/>
      <c r="Y5217" s="6"/>
      <c r="Z5217" s="6"/>
      <c r="AA5217" s="6" t="s">
        <v>129</v>
      </c>
      <c r="AB5217" s="8"/>
      <c r="AC5217" s="27">
        <v>9785911344900</v>
      </c>
    </row>
    <row r="5218" spans="1:29" s="4" customFormat="1" ht="51.9" customHeight="1" x14ac:dyDescent="0.2">
      <c r="A5218" s="5">
        <v>0</v>
      </c>
      <c r="B5218" s="6" t="s">
        <v>30058</v>
      </c>
      <c r="C5218" s="7">
        <v>4216.8</v>
      </c>
      <c r="D5218" s="8" t="s">
        <v>30059</v>
      </c>
      <c r="E5218" s="8" t="s">
        <v>30049</v>
      </c>
      <c r="F5218" s="8" t="s">
        <v>9033</v>
      </c>
      <c r="G5218" s="6" t="s">
        <v>60</v>
      </c>
      <c r="H5218" s="6" t="s">
        <v>5605</v>
      </c>
      <c r="I5218" s="8" t="s">
        <v>253</v>
      </c>
      <c r="J5218" s="9">
        <v>1</v>
      </c>
      <c r="K5218" s="9">
        <v>639</v>
      </c>
      <c r="L5218" s="9">
        <v>2026</v>
      </c>
      <c r="M5218" s="8" t="s">
        <v>30060</v>
      </c>
      <c r="N5218" s="8" t="s">
        <v>37</v>
      </c>
      <c r="O5218" s="8" t="s">
        <v>38</v>
      </c>
      <c r="P5218" s="6" t="s">
        <v>306</v>
      </c>
      <c r="Q5218" s="8" t="s">
        <v>52</v>
      </c>
      <c r="R5218" s="10" t="s">
        <v>13520</v>
      </c>
      <c r="S5218" s="11" t="s">
        <v>30061</v>
      </c>
      <c r="T5218" s="6"/>
      <c r="U5218" s="15" t="str">
        <f>HYPERLINK("https://media.infra-m.ru/2217/2217007/cover/2217007.jpg", "Обложка")</f>
        <v>Обложка</v>
      </c>
      <c r="V5218" s="8" t="s">
        <v>6147</v>
      </c>
      <c r="W5218" s="6"/>
      <c r="X5218" s="6"/>
      <c r="Y5218" s="6"/>
      <c r="Z5218" s="6"/>
      <c r="AA5218" s="6" t="s">
        <v>43</v>
      </c>
      <c r="AB5218" s="8"/>
      <c r="AC5218" s="27">
        <v>9785160044309</v>
      </c>
    </row>
    <row r="5219" spans="1:29" s="4" customFormat="1" ht="51.9" customHeight="1" x14ac:dyDescent="0.2">
      <c r="A5219" s="5">
        <v>0</v>
      </c>
      <c r="B5219" s="6" t="s">
        <v>30062</v>
      </c>
      <c r="C5219" s="7">
        <v>3376.8</v>
      </c>
      <c r="D5219" s="8" t="s">
        <v>30063</v>
      </c>
      <c r="E5219" s="8" t="s">
        <v>30049</v>
      </c>
      <c r="F5219" s="8" t="s">
        <v>9028</v>
      </c>
      <c r="G5219" s="6" t="s">
        <v>118</v>
      </c>
      <c r="H5219" s="6" t="s">
        <v>34</v>
      </c>
      <c r="I5219" s="8" t="s">
        <v>263</v>
      </c>
      <c r="J5219" s="9">
        <v>1</v>
      </c>
      <c r="K5219" s="9">
        <v>639</v>
      </c>
      <c r="L5219" s="9">
        <v>2025</v>
      </c>
      <c r="M5219" s="8" t="s">
        <v>30064</v>
      </c>
      <c r="N5219" s="8" t="s">
        <v>37</v>
      </c>
      <c r="O5219" s="8" t="s">
        <v>38</v>
      </c>
      <c r="P5219" s="6" t="s">
        <v>306</v>
      </c>
      <c r="Q5219" s="8" t="s">
        <v>265</v>
      </c>
      <c r="R5219" s="10" t="s">
        <v>30065</v>
      </c>
      <c r="S5219" s="11" t="s">
        <v>30066</v>
      </c>
      <c r="T5219" s="6"/>
      <c r="U5219" s="15" t="str">
        <f>HYPERLINK("https://media.infra-m.ru/2206/2206791/cover/2206791.jpg", "Обложка")</f>
        <v>Обложка</v>
      </c>
      <c r="V5219" s="8" t="s">
        <v>6147</v>
      </c>
      <c r="W5219" s="6"/>
      <c r="X5219" s="6" t="s">
        <v>24</v>
      </c>
      <c r="Y5219" s="6"/>
      <c r="Z5219" s="6" t="s">
        <v>267</v>
      </c>
      <c r="AA5219" s="6" t="s">
        <v>86</v>
      </c>
      <c r="AB5219" s="8"/>
      <c r="AC5219" s="27">
        <v>9785160139920</v>
      </c>
    </row>
    <row r="5220" spans="1:29" s="4" customFormat="1" ht="42" customHeight="1" x14ac:dyDescent="0.2">
      <c r="A5220" s="5">
        <v>0</v>
      </c>
      <c r="B5220" s="6" t="s">
        <v>30067</v>
      </c>
      <c r="C5220" s="7">
        <v>1782</v>
      </c>
      <c r="D5220" s="8" t="s">
        <v>30068</v>
      </c>
      <c r="E5220" s="8" t="s">
        <v>30069</v>
      </c>
      <c r="F5220" s="8" t="s">
        <v>30070</v>
      </c>
      <c r="G5220" s="6" t="s">
        <v>60</v>
      </c>
      <c r="H5220" s="6" t="s">
        <v>134</v>
      </c>
      <c r="I5220" s="8"/>
      <c r="J5220" s="9">
        <v>1</v>
      </c>
      <c r="K5220" s="9">
        <v>220</v>
      </c>
      <c r="L5220" s="9">
        <v>2024</v>
      </c>
      <c r="M5220" s="8" t="s">
        <v>30071</v>
      </c>
      <c r="N5220" s="8" t="s">
        <v>37</v>
      </c>
      <c r="O5220" s="8" t="s">
        <v>136</v>
      </c>
      <c r="P5220" s="6" t="s">
        <v>39</v>
      </c>
      <c r="Q5220" s="8"/>
      <c r="R5220" s="10" t="s">
        <v>25798</v>
      </c>
      <c r="S5220" s="11"/>
      <c r="T5220" s="6"/>
      <c r="U5220" s="15" t="str">
        <f>HYPERLINK("https://media.infra-m.ru/2165/2165288/cover/2165288.jpg", "Обложка")</f>
        <v>Обложка</v>
      </c>
      <c r="V5220" s="8" t="s">
        <v>15963</v>
      </c>
      <c r="W5220" s="6"/>
      <c r="X5220" s="6"/>
      <c r="Y5220" s="6"/>
      <c r="Z5220" s="6"/>
      <c r="AA5220" s="6" t="s">
        <v>76</v>
      </c>
      <c r="AB5220" s="8"/>
      <c r="AC5220" s="27">
        <v>9785001563778</v>
      </c>
    </row>
    <row r="5221" spans="1:29" s="4" customFormat="1" ht="44.1" customHeight="1" x14ac:dyDescent="0.2">
      <c r="A5221" s="5">
        <v>0</v>
      </c>
      <c r="B5221" s="6" t="s">
        <v>30072</v>
      </c>
      <c r="C5221" s="13">
        <v>960</v>
      </c>
      <c r="D5221" s="8" t="s">
        <v>30073</v>
      </c>
      <c r="E5221" s="8" t="s">
        <v>30074</v>
      </c>
      <c r="F5221" s="8" t="s">
        <v>30075</v>
      </c>
      <c r="G5221" s="6" t="s">
        <v>118</v>
      </c>
      <c r="H5221" s="6" t="s">
        <v>34</v>
      </c>
      <c r="I5221" s="8" t="s">
        <v>1074</v>
      </c>
      <c r="J5221" s="9">
        <v>1</v>
      </c>
      <c r="K5221" s="9">
        <v>234</v>
      </c>
      <c r="L5221" s="9">
        <v>2022</v>
      </c>
      <c r="M5221" s="8" t="s">
        <v>30076</v>
      </c>
      <c r="N5221" s="8" t="s">
        <v>37</v>
      </c>
      <c r="O5221" s="8" t="s">
        <v>136</v>
      </c>
      <c r="P5221" s="6" t="s">
        <v>39</v>
      </c>
      <c r="Q5221" s="8" t="s">
        <v>749</v>
      </c>
      <c r="R5221" s="10" t="s">
        <v>8485</v>
      </c>
      <c r="S5221" s="11"/>
      <c r="T5221" s="6"/>
      <c r="U5221" s="15" t="str">
        <f>HYPERLINK("https://media.infra-m.ru/1740/1740082/cover/1740082.jpg", "Обложка")</f>
        <v>Обложка</v>
      </c>
      <c r="V5221" s="8" t="s">
        <v>138</v>
      </c>
      <c r="W5221" s="6"/>
      <c r="X5221" s="6"/>
      <c r="Y5221" s="6"/>
      <c r="Z5221" s="6"/>
      <c r="AA5221" s="6" t="s">
        <v>274</v>
      </c>
      <c r="AB5221" s="8"/>
      <c r="AC5221" s="27">
        <v>9785160106427</v>
      </c>
    </row>
    <row r="5222" spans="1:29" s="4" customFormat="1" ht="44.1" customHeight="1" x14ac:dyDescent="0.2">
      <c r="A5222" s="5">
        <v>0</v>
      </c>
      <c r="B5222" s="6" t="s">
        <v>30077</v>
      </c>
      <c r="C5222" s="7">
        <v>1649.9</v>
      </c>
      <c r="D5222" s="8" t="s">
        <v>30078</v>
      </c>
      <c r="E5222" s="8" t="s">
        <v>30079</v>
      </c>
      <c r="F5222" s="8" t="s">
        <v>30080</v>
      </c>
      <c r="G5222" s="6" t="s">
        <v>60</v>
      </c>
      <c r="H5222" s="6" t="s">
        <v>134</v>
      </c>
      <c r="I5222" s="8"/>
      <c r="J5222" s="9">
        <v>1</v>
      </c>
      <c r="K5222" s="9">
        <v>352</v>
      </c>
      <c r="L5222" s="9">
        <v>2022</v>
      </c>
      <c r="M5222" s="8" t="s">
        <v>30081</v>
      </c>
      <c r="N5222" s="8" t="s">
        <v>37</v>
      </c>
      <c r="O5222" s="8" t="s">
        <v>83</v>
      </c>
      <c r="P5222" s="6" t="s">
        <v>39</v>
      </c>
      <c r="Q5222" s="8" t="s">
        <v>40</v>
      </c>
      <c r="R5222" s="10" t="s">
        <v>30082</v>
      </c>
      <c r="S5222" s="11"/>
      <c r="T5222" s="6"/>
      <c r="U5222" s="15" t="str">
        <f>HYPERLINK("https://media.infra-m.ru/1850/1850688/cover/1850688.jpg", "Обложка")</f>
        <v>Обложка</v>
      </c>
      <c r="V5222" s="8" t="s">
        <v>9869</v>
      </c>
      <c r="W5222" s="6"/>
      <c r="X5222" s="6"/>
      <c r="Y5222" s="6"/>
      <c r="Z5222" s="6"/>
      <c r="AA5222" s="6" t="s">
        <v>248</v>
      </c>
      <c r="AB5222" s="8"/>
      <c r="AC5222" s="27">
        <v>9785917684444</v>
      </c>
    </row>
    <row r="5223" spans="1:29" s="4" customFormat="1" ht="51.9" customHeight="1" x14ac:dyDescent="0.2">
      <c r="A5223" s="5">
        <v>0</v>
      </c>
      <c r="B5223" s="6" t="s">
        <v>30083</v>
      </c>
      <c r="C5223" s="7">
        <v>3336</v>
      </c>
      <c r="D5223" s="8" t="s">
        <v>30084</v>
      </c>
      <c r="E5223" s="8" t="s">
        <v>30085</v>
      </c>
      <c r="F5223" s="8" t="s">
        <v>30086</v>
      </c>
      <c r="G5223" s="6" t="s">
        <v>60</v>
      </c>
      <c r="H5223" s="6" t="s">
        <v>34</v>
      </c>
      <c r="I5223" s="8" t="s">
        <v>263</v>
      </c>
      <c r="J5223" s="9">
        <v>1</v>
      </c>
      <c r="K5223" s="9">
        <v>480</v>
      </c>
      <c r="L5223" s="9">
        <v>2027</v>
      </c>
      <c r="M5223" s="8" t="s">
        <v>30087</v>
      </c>
      <c r="N5223" s="8" t="s">
        <v>243</v>
      </c>
      <c r="O5223" s="8" t="s">
        <v>798</v>
      </c>
      <c r="P5223" s="6" t="s">
        <v>306</v>
      </c>
      <c r="Q5223" s="8" t="s">
        <v>265</v>
      </c>
      <c r="R5223" s="10" t="s">
        <v>30088</v>
      </c>
      <c r="S5223" s="11" t="s">
        <v>985</v>
      </c>
      <c r="T5223" s="6"/>
      <c r="U5223" s="15" t="str">
        <f>HYPERLINK("https://media.infra-m.ru/2266/2266849/cover/2266849.jpg", "Обложка")</f>
        <v>Обложка</v>
      </c>
      <c r="V5223" s="8" t="s">
        <v>30089</v>
      </c>
      <c r="W5223" s="6"/>
      <c r="X5223" s="6" t="s">
        <v>24</v>
      </c>
      <c r="Y5223" s="6"/>
      <c r="Z5223" s="6"/>
      <c r="AA5223" s="6" t="s">
        <v>4554</v>
      </c>
      <c r="AB5223" s="8"/>
      <c r="AC5223" s="27">
        <v>9785160171289</v>
      </c>
    </row>
    <row r="5224" spans="1:29" s="4" customFormat="1" ht="51.9" customHeight="1" x14ac:dyDescent="0.2">
      <c r="A5224" s="5">
        <v>0</v>
      </c>
      <c r="B5224" s="6" t="s">
        <v>30090</v>
      </c>
      <c r="C5224" s="7">
        <v>3120</v>
      </c>
      <c r="D5224" s="8" t="s">
        <v>30091</v>
      </c>
      <c r="E5224" s="8" t="s">
        <v>30092</v>
      </c>
      <c r="F5224" s="8" t="s">
        <v>30093</v>
      </c>
      <c r="G5224" s="6" t="s">
        <v>60</v>
      </c>
      <c r="H5224" s="6" t="s">
        <v>34</v>
      </c>
      <c r="I5224" s="8" t="s">
        <v>253</v>
      </c>
      <c r="J5224" s="9">
        <v>1</v>
      </c>
      <c r="K5224" s="9">
        <v>504</v>
      </c>
      <c r="L5224" s="9">
        <v>2026</v>
      </c>
      <c r="M5224" s="8" t="s">
        <v>30094</v>
      </c>
      <c r="N5224" s="8" t="s">
        <v>243</v>
      </c>
      <c r="O5224" s="8" t="s">
        <v>329</v>
      </c>
      <c r="P5224" s="6" t="s">
        <v>51</v>
      </c>
      <c r="Q5224" s="8" t="s">
        <v>377</v>
      </c>
      <c r="R5224" s="10" t="s">
        <v>30095</v>
      </c>
      <c r="S5224" s="11" t="s">
        <v>30096</v>
      </c>
      <c r="T5224" s="6"/>
      <c r="U5224" s="15" t="str">
        <f>HYPERLINK("https://media.infra-m.ru/2213/2213623/cover/2213623.jpg", "Обложка")</f>
        <v>Обложка</v>
      </c>
      <c r="V5224" s="8" t="s">
        <v>30097</v>
      </c>
      <c r="W5224" s="6"/>
      <c r="X5224" s="6"/>
      <c r="Y5224" s="6"/>
      <c r="Z5224" s="6"/>
      <c r="AA5224" s="6" t="s">
        <v>115</v>
      </c>
      <c r="AB5224" s="8"/>
      <c r="AC5224" s="27">
        <v>9785160211060</v>
      </c>
    </row>
    <row r="5225" spans="1:29" s="4" customFormat="1" ht="42" customHeight="1" x14ac:dyDescent="0.2">
      <c r="A5225" s="5">
        <v>0</v>
      </c>
      <c r="B5225" s="6" t="s">
        <v>30098</v>
      </c>
      <c r="C5225" s="13">
        <v>864</v>
      </c>
      <c r="D5225" s="8" t="s">
        <v>30099</v>
      </c>
      <c r="E5225" s="8" t="s">
        <v>30100</v>
      </c>
      <c r="F5225" s="8" t="s">
        <v>30101</v>
      </c>
      <c r="G5225" s="6" t="s">
        <v>33</v>
      </c>
      <c r="H5225" s="6" t="s">
        <v>34</v>
      </c>
      <c r="I5225" s="8" t="s">
        <v>1081</v>
      </c>
      <c r="J5225" s="9">
        <v>1</v>
      </c>
      <c r="K5225" s="9">
        <v>131</v>
      </c>
      <c r="L5225" s="9">
        <v>2025</v>
      </c>
      <c r="M5225" s="8" t="s">
        <v>30102</v>
      </c>
      <c r="N5225" s="8" t="s">
        <v>243</v>
      </c>
      <c r="O5225" s="8" t="s">
        <v>758</v>
      </c>
      <c r="P5225" s="6" t="s">
        <v>39</v>
      </c>
      <c r="Q5225" s="8" t="s">
        <v>40</v>
      </c>
      <c r="R5225" s="10" t="s">
        <v>4167</v>
      </c>
      <c r="S5225" s="11"/>
      <c r="T5225" s="6"/>
      <c r="U5225" s="15" t="str">
        <f>HYPERLINK("https://media.infra-m.ru/2186/2186409/cover/2186409.jpg", "Обложка")</f>
        <v>Обложка</v>
      </c>
      <c r="V5225" s="8"/>
      <c r="W5225" s="6"/>
      <c r="X5225" s="6"/>
      <c r="Y5225" s="6"/>
      <c r="Z5225" s="6"/>
      <c r="AA5225" s="6" t="s">
        <v>148</v>
      </c>
      <c r="AB5225" s="8"/>
      <c r="AC5225" s="27">
        <v>9785160172651</v>
      </c>
    </row>
    <row r="5226" spans="1:29" s="4" customFormat="1" ht="42" customHeight="1" x14ac:dyDescent="0.2">
      <c r="A5226" s="5">
        <v>0</v>
      </c>
      <c r="B5226" s="6" t="s">
        <v>30103</v>
      </c>
      <c r="C5226" s="7">
        <v>2344.8000000000002</v>
      </c>
      <c r="D5226" s="8" t="s">
        <v>30104</v>
      </c>
      <c r="E5226" s="8" t="s">
        <v>30105</v>
      </c>
      <c r="F5226" s="8" t="s">
        <v>30106</v>
      </c>
      <c r="G5226" s="6" t="s">
        <v>33</v>
      </c>
      <c r="H5226" s="6" t="s">
        <v>34</v>
      </c>
      <c r="I5226" s="8" t="s">
        <v>35</v>
      </c>
      <c r="J5226" s="9">
        <v>1</v>
      </c>
      <c r="K5226" s="9">
        <v>355</v>
      </c>
      <c r="L5226" s="9">
        <v>2026</v>
      </c>
      <c r="M5226" s="8" t="s">
        <v>30107</v>
      </c>
      <c r="N5226" s="8" t="s">
        <v>37</v>
      </c>
      <c r="O5226" s="8" t="s">
        <v>233</v>
      </c>
      <c r="P5226" s="6" t="s">
        <v>39</v>
      </c>
      <c r="Q5226" s="8" t="s">
        <v>40</v>
      </c>
      <c r="R5226" s="10" t="s">
        <v>30108</v>
      </c>
      <c r="S5226" s="11"/>
      <c r="T5226" s="6"/>
      <c r="U5226" s="15" t="str">
        <f>HYPERLINK("https://media.infra-m.ru/2249/2249526/cover/2249526.jpg", "Обложка")</f>
        <v>Обложка</v>
      </c>
      <c r="V5226" s="8"/>
      <c r="W5226" s="6"/>
      <c r="X5226" s="6"/>
      <c r="Y5226" s="6"/>
      <c r="Z5226" s="6"/>
      <c r="AA5226" s="6" t="s">
        <v>148</v>
      </c>
      <c r="AB5226" s="8"/>
      <c r="AC5226" s="27">
        <v>9785160209029</v>
      </c>
    </row>
    <row r="5227" spans="1:29" s="4" customFormat="1" ht="42" customHeight="1" x14ac:dyDescent="0.2">
      <c r="A5227" s="5">
        <v>0</v>
      </c>
      <c r="B5227" s="6" t="s">
        <v>30109</v>
      </c>
      <c r="C5227" s="7">
        <v>2128.8000000000002</v>
      </c>
      <c r="D5227" s="8" t="s">
        <v>30110</v>
      </c>
      <c r="E5227" s="8" t="s">
        <v>30105</v>
      </c>
      <c r="F5227" s="8" t="s">
        <v>30106</v>
      </c>
      <c r="G5227" s="6" t="s">
        <v>60</v>
      </c>
      <c r="H5227" s="6" t="s">
        <v>34</v>
      </c>
      <c r="I5227" s="8" t="s">
        <v>35</v>
      </c>
      <c r="J5227" s="9">
        <v>1</v>
      </c>
      <c r="K5227" s="9">
        <v>355</v>
      </c>
      <c r="L5227" s="9">
        <v>2025</v>
      </c>
      <c r="M5227" s="8" t="s">
        <v>30111</v>
      </c>
      <c r="N5227" s="8" t="s">
        <v>37</v>
      </c>
      <c r="O5227" s="8" t="s">
        <v>233</v>
      </c>
      <c r="P5227" s="6" t="s">
        <v>39</v>
      </c>
      <c r="Q5227" s="8" t="s">
        <v>40</v>
      </c>
      <c r="R5227" s="10" t="s">
        <v>30108</v>
      </c>
      <c r="S5227" s="11"/>
      <c r="T5227" s="6"/>
      <c r="U5227" s="15" t="str">
        <f>HYPERLINK("https://media.infra-m.ru/2186/2186856/cover/2186856.jpg", "Обложка")</f>
        <v>Обложка</v>
      </c>
      <c r="V5227" s="8"/>
      <c r="W5227" s="6"/>
      <c r="X5227" s="6"/>
      <c r="Y5227" s="6"/>
      <c r="Z5227" s="6"/>
      <c r="AA5227" s="6" t="s">
        <v>148</v>
      </c>
      <c r="AB5227" s="8"/>
      <c r="AC5227" s="27">
        <v>9785160172262</v>
      </c>
    </row>
    <row r="5228" spans="1:29" s="4" customFormat="1" ht="51.9" customHeight="1" x14ac:dyDescent="0.2">
      <c r="A5228" s="5">
        <v>0</v>
      </c>
      <c r="B5228" s="6" t="s">
        <v>30112</v>
      </c>
      <c r="C5228" s="13">
        <v>539.9</v>
      </c>
      <c r="D5228" s="8" t="s">
        <v>30113</v>
      </c>
      <c r="E5228" s="8" t="s">
        <v>30114</v>
      </c>
      <c r="F5228" s="8" t="s">
        <v>30115</v>
      </c>
      <c r="G5228" s="6" t="s">
        <v>60</v>
      </c>
      <c r="H5228" s="6" t="s">
        <v>34</v>
      </c>
      <c r="I5228" s="8" t="s">
        <v>504</v>
      </c>
      <c r="J5228" s="9">
        <v>16</v>
      </c>
      <c r="K5228" s="9">
        <v>352</v>
      </c>
      <c r="L5228" s="9">
        <v>2014</v>
      </c>
      <c r="M5228" s="8" t="s">
        <v>30116</v>
      </c>
      <c r="N5228" s="8" t="s">
        <v>37</v>
      </c>
      <c r="O5228" s="8" t="s">
        <v>233</v>
      </c>
      <c r="P5228" s="6" t="s">
        <v>51</v>
      </c>
      <c r="Q5228" s="8" t="s">
        <v>500</v>
      </c>
      <c r="R5228" s="10" t="s">
        <v>30117</v>
      </c>
      <c r="S5228" s="11" t="s">
        <v>30118</v>
      </c>
      <c r="T5228" s="6"/>
      <c r="U5228" s="15" t="str">
        <f>HYPERLINK("https://media.infra-m.ru/0368/0368462/cover/368462.jpg", "Обложка")</f>
        <v>Обложка</v>
      </c>
      <c r="V5228" s="8" t="s">
        <v>1647</v>
      </c>
      <c r="W5228" s="6"/>
      <c r="X5228" s="6"/>
      <c r="Y5228" s="6"/>
      <c r="Z5228" s="6"/>
      <c r="AA5228" s="6" t="s">
        <v>248</v>
      </c>
      <c r="AB5228" s="8"/>
      <c r="AC5228" s="27">
        <v>9785160062433</v>
      </c>
    </row>
    <row r="5229" spans="1:29" s="4" customFormat="1" ht="51.9" customHeight="1" x14ac:dyDescent="0.2">
      <c r="A5229" s="5">
        <v>0</v>
      </c>
      <c r="B5229" s="6" t="s">
        <v>30119</v>
      </c>
      <c r="C5229" s="7">
        <v>1420.8</v>
      </c>
      <c r="D5229" s="8" t="s">
        <v>30120</v>
      </c>
      <c r="E5229" s="8" t="s">
        <v>30121</v>
      </c>
      <c r="F5229" s="8" t="s">
        <v>1260</v>
      </c>
      <c r="G5229" s="6" t="s">
        <v>60</v>
      </c>
      <c r="H5229" s="6" t="s">
        <v>241</v>
      </c>
      <c r="I5229" s="8"/>
      <c r="J5229" s="9">
        <v>1</v>
      </c>
      <c r="K5229" s="9">
        <v>253</v>
      </c>
      <c r="L5229" s="9">
        <v>2024</v>
      </c>
      <c r="M5229" s="8" t="s">
        <v>30122</v>
      </c>
      <c r="N5229" s="8" t="s">
        <v>37</v>
      </c>
      <c r="O5229" s="8" t="s">
        <v>136</v>
      </c>
      <c r="P5229" s="6" t="s">
        <v>51</v>
      </c>
      <c r="Q5229" s="8" t="s">
        <v>52</v>
      </c>
      <c r="R5229" s="10" t="s">
        <v>4109</v>
      </c>
      <c r="S5229" s="11"/>
      <c r="T5229" s="6"/>
      <c r="U5229" s="15" t="str">
        <f>HYPERLINK("https://media.infra-m.ru/2138/2138676/cover/2138676.jpg", "Обложка")</f>
        <v>Обложка</v>
      </c>
      <c r="V5229" s="8" t="s">
        <v>1263</v>
      </c>
      <c r="W5229" s="6"/>
      <c r="X5229" s="6"/>
      <c r="Y5229" s="6"/>
      <c r="Z5229" s="6"/>
      <c r="AA5229" s="6" t="s">
        <v>274</v>
      </c>
      <c r="AB5229" s="8"/>
      <c r="AC5229" s="27">
        <v>9785955804132</v>
      </c>
    </row>
    <row r="5230" spans="1:29" s="4" customFormat="1" ht="51.9" customHeight="1" x14ac:dyDescent="0.2">
      <c r="A5230" s="5">
        <v>0</v>
      </c>
      <c r="B5230" s="6" t="s">
        <v>30123</v>
      </c>
      <c r="C5230" s="7">
        <v>1572</v>
      </c>
      <c r="D5230" s="8" t="s">
        <v>30124</v>
      </c>
      <c r="E5230" s="8" t="s">
        <v>30121</v>
      </c>
      <c r="F5230" s="8" t="s">
        <v>1260</v>
      </c>
      <c r="G5230" s="6" t="s">
        <v>118</v>
      </c>
      <c r="H5230" s="6" t="s">
        <v>241</v>
      </c>
      <c r="I5230" s="8" t="s">
        <v>263</v>
      </c>
      <c r="J5230" s="9">
        <v>1</v>
      </c>
      <c r="K5230" s="9">
        <v>251</v>
      </c>
      <c r="L5230" s="9">
        <v>2025</v>
      </c>
      <c r="M5230" s="8" t="s">
        <v>30125</v>
      </c>
      <c r="N5230" s="8" t="s">
        <v>37</v>
      </c>
      <c r="O5230" s="8" t="s">
        <v>136</v>
      </c>
      <c r="P5230" s="6" t="s">
        <v>51</v>
      </c>
      <c r="Q5230" s="8" t="s">
        <v>265</v>
      </c>
      <c r="R5230" s="10" t="s">
        <v>17055</v>
      </c>
      <c r="S5230" s="11" t="s">
        <v>30126</v>
      </c>
      <c r="T5230" s="6"/>
      <c r="U5230" s="15" t="str">
        <f>HYPERLINK("https://media.infra-m.ru/2199/2199589/cover/2199589.jpg", "Обложка")</f>
        <v>Обложка</v>
      </c>
      <c r="V5230" s="8" t="s">
        <v>1263</v>
      </c>
      <c r="W5230" s="6"/>
      <c r="X5230" s="6"/>
      <c r="Y5230" s="6"/>
      <c r="Z5230" s="6" t="s">
        <v>267</v>
      </c>
      <c r="AA5230" s="6" t="s">
        <v>115</v>
      </c>
      <c r="AB5230" s="8"/>
      <c r="AC5230" s="27">
        <v>9785955806396</v>
      </c>
    </row>
    <row r="5231" spans="1:29" s="4" customFormat="1" ht="42" customHeight="1" x14ac:dyDescent="0.2">
      <c r="A5231" s="5">
        <v>0</v>
      </c>
      <c r="B5231" s="6" t="s">
        <v>30127</v>
      </c>
      <c r="C5231" s="7">
        <v>1668</v>
      </c>
      <c r="D5231" s="8" t="s">
        <v>30128</v>
      </c>
      <c r="E5231" s="8" t="s">
        <v>30129</v>
      </c>
      <c r="F5231" s="8" t="s">
        <v>1260</v>
      </c>
      <c r="G5231" s="6" t="s">
        <v>118</v>
      </c>
      <c r="H5231" s="6" t="s">
        <v>34</v>
      </c>
      <c r="I5231" s="8" t="s">
        <v>263</v>
      </c>
      <c r="J5231" s="9">
        <v>1</v>
      </c>
      <c r="K5231" s="9">
        <v>253</v>
      </c>
      <c r="L5231" s="9">
        <v>2026</v>
      </c>
      <c r="M5231" s="8" t="s">
        <v>30130</v>
      </c>
      <c r="N5231" s="8" t="s">
        <v>37</v>
      </c>
      <c r="O5231" s="8" t="s">
        <v>136</v>
      </c>
      <c r="P5231" s="6" t="s">
        <v>51</v>
      </c>
      <c r="Q5231" s="8" t="s">
        <v>265</v>
      </c>
      <c r="R5231" s="10" t="s">
        <v>17055</v>
      </c>
      <c r="S5231" s="11"/>
      <c r="T5231" s="6"/>
      <c r="U5231" s="15" t="str">
        <f>HYPERLINK("https://media.infra-m.ru/2238/2238391/cover/2238391.jpg", "Обложка")</f>
        <v>Обложка</v>
      </c>
      <c r="V5231" s="8" t="s">
        <v>1263</v>
      </c>
      <c r="W5231" s="6" t="s">
        <v>2941</v>
      </c>
      <c r="X5231" s="6"/>
      <c r="Y5231" s="6"/>
      <c r="Z5231" s="6" t="s">
        <v>267</v>
      </c>
      <c r="AA5231" s="6" t="s">
        <v>650</v>
      </c>
      <c r="AB5231" s="8"/>
      <c r="AC5231" s="27">
        <v>9785160217918</v>
      </c>
    </row>
    <row r="5232" spans="1:29" s="4" customFormat="1" ht="51.9" customHeight="1" x14ac:dyDescent="0.2">
      <c r="A5232" s="5">
        <v>0</v>
      </c>
      <c r="B5232" s="6" t="s">
        <v>30131</v>
      </c>
      <c r="C5232" s="7">
        <v>1756.8</v>
      </c>
      <c r="D5232" s="8" t="s">
        <v>30132</v>
      </c>
      <c r="E5232" s="8" t="s">
        <v>30129</v>
      </c>
      <c r="F5232" s="8" t="s">
        <v>1260</v>
      </c>
      <c r="G5232" s="6" t="s">
        <v>60</v>
      </c>
      <c r="H5232" s="6" t="s">
        <v>34</v>
      </c>
      <c r="I5232" s="8" t="s">
        <v>253</v>
      </c>
      <c r="J5232" s="9">
        <v>1</v>
      </c>
      <c r="K5232" s="9">
        <v>253</v>
      </c>
      <c r="L5232" s="9">
        <v>2027</v>
      </c>
      <c r="M5232" s="8" t="s">
        <v>30133</v>
      </c>
      <c r="N5232" s="8" t="s">
        <v>37</v>
      </c>
      <c r="O5232" s="8" t="s">
        <v>136</v>
      </c>
      <c r="P5232" s="6" t="s">
        <v>51</v>
      </c>
      <c r="Q5232" s="8" t="s">
        <v>52</v>
      </c>
      <c r="R5232" s="10" t="s">
        <v>4109</v>
      </c>
      <c r="S5232" s="11"/>
      <c r="T5232" s="6"/>
      <c r="U5232" s="15" t="str">
        <f>HYPERLINK("https://media.infra-m.ru/2268/2268262/cover/2268262.jpg", "Обложка")</f>
        <v>Обложка</v>
      </c>
      <c r="V5232" s="8" t="s">
        <v>1263</v>
      </c>
      <c r="W5232" s="6"/>
      <c r="X5232" s="6"/>
      <c r="Y5232" s="6"/>
      <c r="Z5232" s="6"/>
      <c r="AA5232" s="6" t="s">
        <v>917</v>
      </c>
      <c r="AB5232" s="8"/>
      <c r="AC5232" s="27">
        <v>9785160200446</v>
      </c>
    </row>
    <row r="5233" spans="1:29" s="4" customFormat="1" ht="51.9" customHeight="1" x14ac:dyDescent="0.2">
      <c r="A5233" s="5">
        <v>0</v>
      </c>
      <c r="B5233" s="6" t="s">
        <v>30134</v>
      </c>
      <c r="C5233" s="7">
        <v>1132.8</v>
      </c>
      <c r="D5233" s="8" t="s">
        <v>30135</v>
      </c>
      <c r="E5233" s="8" t="s">
        <v>30136</v>
      </c>
      <c r="F5233" s="8" t="s">
        <v>4643</v>
      </c>
      <c r="G5233" s="6" t="s">
        <v>33</v>
      </c>
      <c r="H5233" s="6" t="s">
        <v>1042</v>
      </c>
      <c r="I5233" s="8" t="s">
        <v>253</v>
      </c>
      <c r="J5233" s="9">
        <v>1</v>
      </c>
      <c r="K5233" s="9">
        <v>200</v>
      </c>
      <c r="L5233" s="9">
        <v>2023</v>
      </c>
      <c r="M5233" s="8" t="s">
        <v>30137</v>
      </c>
      <c r="N5233" s="8" t="s">
        <v>585</v>
      </c>
      <c r="O5233" s="8" t="s">
        <v>775</v>
      </c>
      <c r="P5233" s="6" t="s">
        <v>51</v>
      </c>
      <c r="Q5233" s="8" t="s">
        <v>52</v>
      </c>
      <c r="R5233" s="10" t="s">
        <v>30138</v>
      </c>
      <c r="S5233" s="11" t="s">
        <v>30139</v>
      </c>
      <c r="T5233" s="6"/>
      <c r="U5233" s="15" t="str">
        <f>HYPERLINK("https://media.infra-m.ru/2111/2111794/cover/2111794.jpg", "Обложка")</f>
        <v>Обложка</v>
      </c>
      <c r="V5233" s="8" t="s">
        <v>761</v>
      </c>
      <c r="W5233" s="6"/>
      <c r="X5233" s="6"/>
      <c r="Y5233" s="6"/>
      <c r="Z5233" s="6"/>
      <c r="AA5233" s="6" t="s">
        <v>779</v>
      </c>
      <c r="AB5233" s="8"/>
      <c r="AC5233" s="27">
        <v>9785819909225</v>
      </c>
    </row>
    <row r="5234" spans="1:29" s="4" customFormat="1" ht="51.9" customHeight="1" x14ac:dyDescent="0.2">
      <c r="A5234" s="5">
        <v>0</v>
      </c>
      <c r="B5234" s="6" t="s">
        <v>30140</v>
      </c>
      <c r="C5234" s="7">
        <v>1576.8</v>
      </c>
      <c r="D5234" s="8" t="s">
        <v>30141</v>
      </c>
      <c r="E5234" s="8" t="s">
        <v>30142</v>
      </c>
      <c r="F5234" s="8" t="s">
        <v>6697</v>
      </c>
      <c r="G5234" s="6" t="s">
        <v>60</v>
      </c>
      <c r="H5234" s="6" t="s">
        <v>34</v>
      </c>
      <c r="I5234" s="8" t="s">
        <v>253</v>
      </c>
      <c r="J5234" s="9">
        <v>1</v>
      </c>
      <c r="K5234" s="9">
        <v>226</v>
      </c>
      <c r="L5234" s="9">
        <v>2026</v>
      </c>
      <c r="M5234" s="8" t="s">
        <v>30143</v>
      </c>
      <c r="N5234" s="8" t="s">
        <v>585</v>
      </c>
      <c r="O5234" s="8" t="s">
        <v>775</v>
      </c>
      <c r="P5234" s="6" t="s">
        <v>51</v>
      </c>
      <c r="Q5234" s="8" t="s">
        <v>52</v>
      </c>
      <c r="R5234" s="10" t="s">
        <v>30144</v>
      </c>
      <c r="S5234" s="11"/>
      <c r="T5234" s="6"/>
      <c r="U5234" s="15" t="str">
        <f>HYPERLINK("https://media.infra-m.ru/2251/2251516/cover/2251516.jpg", "Обложка")</f>
        <v>Обложка</v>
      </c>
      <c r="V5234" s="8" t="s">
        <v>6700</v>
      </c>
      <c r="W5234" s="6"/>
      <c r="X5234" s="6"/>
      <c r="Y5234" s="6"/>
      <c r="Z5234" s="6"/>
      <c r="AA5234" s="6" t="s">
        <v>106</v>
      </c>
      <c r="AB5234" s="8"/>
      <c r="AC5234" s="27">
        <v>9785160175171</v>
      </c>
    </row>
    <row r="5235" spans="1:29" s="4" customFormat="1" ht="51.9" customHeight="1" x14ac:dyDescent="0.2">
      <c r="A5235" s="5">
        <v>0</v>
      </c>
      <c r="B5235" s="6" t="s">
        <v>30145</v>
      </c>
      <c r="C5235" s="7">
        <v>1644</v>
      </c>
      <c r="D5235" s="8" t="s">
        <v>30146</v>
      </c>
      <c r="E5235" s="8" t="s">
        <v>30147</v>
      </c>
      <c r="F5235" s="8" t="s">
        <v>6697</v>
      </c>
      <c r="G5235" s="6" t="s">
        <v>118</v>
      </c>
      <c r="H5235" s="6" t="s">
        <v>34</v>
      </c>
      <c r="I5235" s="8" t="s">
        <v>263</v>
      </c>
      <c r="J5235" s="9">
        <v>1</v>
      </c>
      <c r="K5235" s="9">
        <v>248</v>
      </c>
      <c r="L5235" s="9">
        <v>2026</v>
      </c>
      <c r="M5235" s="8" t="s">
        <v>30148</v>
      </c>
      <c r="N5235" s="8" t="s">
        <v>585</v>
      </c>
      <c r="O5235" s="8" t="s">
        <v>775</v>
      </c>
      <c r="P5235" s="6" t="s">
        <v>51</v>
      </c>
      <c r="Q5235" s="8" t="s">
        <v>265</v>
      </c>
      <c r="R5235" s="10" t="s">
        <v>30149</v>
      </c>
      <c r="S5235" s="11" t="s">
        <v>30150</v>
      </c>
      <c r="T5235" s="6"/>
      <c r="U5235" s="15" t="str">
        <f>HYPERLINK("https://media.infra-m.ru/2251/2251514/cover/2251514.jpg", "Обложка")</f>
        <v>Обложка</v>
      </c>
      <c r="V5235" s="8" t="s">
        <v>6700</v>
      </c>
      <c r="W5235" s="6"/>
      <c r="X5235" s="6"/>
      <c r="Y5235" s="6"/>
      <c r="Z5235" s="6" t="s">
        <v>267</v>
      </c>
      <c r="AA5235" s="6" t="s">
        <v>115</v>
      </c>
      <c r="AB5235" s="8"/>
      <c r="AC5235" s="27">
        <v>9785160168388</v>
      </c>
    </row>
    <row r="5236" spans="1:29" s="4" customFormat="1" ht="51.9" customHeight="1" x14ac:dyDescent="0.2">
      <c r="A5236" s="5">
        <v>0</v>
      </c>
      <c r="B5236" s="6" t="s">
        <v>30151</v>
      </c>
      <c r="C5236" s="7">
        <v>1025.9000000000001</v>
      </c>
      <c r="D5236" s="8" t="s">
        <v>30152</v>
      </c>
      <c r="E5236" s="8" t="s">
        <v>30147</v>
      </c>
      <c r="F5236" s="8" t="s">
        <v>30153</v>
      </c>
      <c r="G5236" s="6" t="s">
        <v>60</v>
      </c>
      <c r="H5236" s="6" t="s">
        <v>48</v>
      </c>
      <c r="I5236" s="8" t="s">
        <v>271</v>
      </c>
      <c r="J5236" s="9">
        <v>1</v>
      </c>
      <c r="K5236" s="9">
        <v>248</v>
      </c>
      <c r="L5236" s="9">
        <v>2020</v>
      </c>
      <c r="M5236" s="8" t="s">
        <v>30154</v>
      </c>
      <c r="N5236" s="8" t="s">
        <v>585</v>
      </c>
      <c r="O5236" s="8" t="s">
        <v>775</v>
      </c>
      <c r="P5236" s="6" t="s">
        <v>51</v>
      </c>
      <c r="Q5236" s="8" t="s">
        <v>52</v>
      </c>
      <c r="R5236" s="10" t="s">
        <v>30144</v>
      </c>
      <c r="S5236" s="11" t="s">
        <v>30155</v>
      </c>
      <c r="T5236" s="6"/>
      <c r="U5236" s="15" t="str">
        <f>HYPERLINK("https://media.infra-m.ru/1118/1118431/cover/1118431.jpg", "Обложка")</f>
        <v>Обложка</v>
      </c>
      <c r="V5236" s="8" t="s">
        <v>6700</v>
      </c>
      <c r="W5236" s="6"/>
      <c r="X5236" s="6"/>
      <c r="Y5236" s="6"/>
      <c r="Z5236" s="6"/>
      <c r="AA5236" s="6" t="s">
        <v>55</v>
      </c>
      <c r="AB5236" s="8"/>
      <c r="AC5236" s="27">
        <v>9785000917022</v>
      </c>
    </row>
    <row r="5237" spans="1:29" s="4" customFormat="1" ht="51.9" customHeight="1" x14ac:dyDescent="0.2">
      <c r="A5237" s="5">
        <v>0</v>
      </c>
      <c r="B5237" s="6" t="s">
        <v>30156</v>
      </c>
      <c r="C5237" s="7">
        <v>2172</v>
      </c>
      <c r="D5237" s="8" t="s">
        <v>30157</v>
      </c>
      <c r="E5237" s="8" t="s">
        <v>30158</v>
      </c>
      <c r="F5237" s="8" t="s">
        <v>30159</v>
      </c>
      <c r="G5237" s="6" t="s">
        <v>118</v>
      </c>
      <c r="H5237" s="6" t="s">
        <v>34</v>
      </c>
      <c r="I5237" s="8" t="s">
        <v>263</v>
      </c>
      <c r="J5237" s="9">
        <v>1</v>
      </c>
      <c r="K5237" s="9">
        <v>328</v>
      </c>
      <c r="L5237" s="9">
        <v>2026</v>
      </c>
      <c r="M5237" s="8" t="s">
        <v>30160</v>
      </c>
      <c r="N5237" s="8" t="s">
        <v>243</v>
      </c>
      <c r="O5237" s="8" t="s">
        <v>385</v>
      </c>
      <c r="P5237" s="6" t="s">
        <v>306</v>
      </c>
      <c r="Q5237" s="8" t="s">
        <v>265</v>
      </c>
      <c r="R5237" s="10" t="s">
        <v>30161</v>
      </c>
      <c r="S5237" s="11" t="s">
        <v>30162</v>
      </c>
      <c r="T5237" s="6" t="s">
        <v>97</v>
      </c>
      <c r="U5237" s="15" t="str">
        <f>HYPERLINK("https://media.infra-m.ru/2234/2234305/cover/2234305.jpg", "Обложка")</f>
        <v>Обложка</v>
      </c>
      <c r="V5237" s="8" t="s">
        <v>30163</v>
      </c>
      <c r="W5237" s="6"/>
      <c r="X5237" s="6"/>
      <c r="Y5237" s="6"/>
      <c r="Z5237" s="6"/>
      <c r="AA5237" s="6" t="s">
        <v>99</v>
      </c>
      <c r="AB5237" s="8" t="s">
        <v>1418</v>
      </c>
      <c r="AC5237" s="27">
        <v>9785160119892</v>
      </c>
    </row>
    <row r="5238" spans="1:29" s="4" customFormat="1" ht="51.9" customHeight="1" x14ac:dyDescent="0.2">
      <c r="A5238" s="5">
        <v>0</v>
      </c>
      <c r="B5238" s="6" t="s">
        <v>30164</v>
      </c>
      <c r="C5238" s="7">
        <v>1308</v>
      </c>
      <c r="D5238" s="8" t="s">
        <v>30165</v>
      </c>
      <c r="E5238" s="8" t="s">
        <v>30166</v>
      </c>
      <c r="F5238" s="8" t="s">
        <v>30167</v>
      </c>
      <c r="G5238" s="6" t="s">
        <v>60</v>
      </c>
      <c r="H5238" s="6" t="s">
        <v>34</v>
      </c>
      <c r="I5238" s="8" t="s">
        <v>1128</v>
      </c>
      <c r="J5238" s="9">
        <v>1</v>
      </c>
      <c r="K5238" s="9">
        <v>232</v>
      </c>
      <c r="L5238" s="9">
        <v>2023</v>
      </c>
      <c r="M5238" s="8" t="s">
        <v>30168</v>
      </c>
      <c r="N5238" s="8" t="s">
        <v>243</v>
      </c>
      <c r="O5238" s="8" t="s">
        <v>1100</v>
      </c>
      <c r="P5238" s="6" t="s">
        <v>51</v>
      </c>
      <c r="Q5238" s="8" t="s">
        <v>65</v>
      </c>
      <c r="R5238" s="10" t="s">
        <v>25565</v>
      </c>
      <c r="S5238" s="11" t="s">
        <v>30169</v>
      </c>
      <c r="T5238" s="6"/>
      <c r="U5238" s="15" t="str">
        <f>HYPERLINK("https://media.infra-m.ru/1959/1959225/cover/1959225.jpg", "Обложка")</f>
        <v>Обложка</v>
      </c>
      <c r="V5238" s="8" t="s">
        <v>1132</v>
      </c>
      <c r="W5238" s="6"/>
      <c r="X5238" s="6"/>
      <c r="Y5238" s="6"/>
      <c r="Z5238" s="6"/>
      <c r="AA5238" s="6" t="s">
        <v>157</v>
      </c>
      <c r="AB5238" s="8"/>
      <c r="AC5238" s="27">
        <v>9785160182858</v>
      </c>
    </row>
    <row r="5239" spans="1:29" s="4" customFormat="1" ht="51.9" customHeight="1" x14ac:dyDescent="0.2">
      <c r="A5239" s="5">
        <v>0</v>
      </c>
      <c r="B5239" s="6" t="s">
        <v>30170</v>
      </c>
      <c r="C5239" s="7">
        <v>1132.8</v>
      </c>
      <c r="D5239" s="8" t="s">
        <v>30171</v>
      </c>
      <c r="E5239" s="8" t="s">
        <v>30172</v>
      </c>
      <c r="F5239" s="8" t="s">
        <v>30173</v>
      </c>
      <c r="G5239" s="6" t="s">
        <v>118</v>
      </c>
      <c r="H5239" s="6" t="s">
        <v>34</v>
      </c>
      <c r="I5239" s="8" t="s">
        <v>263</v>
      </c>
      <c r="J5239" s="9">
        <v>1</v>
      </c>
      <c r="K5239" s="9">
        <v>169</v>
      </c>
      <c r="L5239" s="9">
        <v>2026</v>
      </c>
      <c r="M5239" s="8" t="s">
        <v>30174</v>
      </c>
      <c r="N5239" s="8" t="s">
        <v>37</v>
      </c>
      <c r="O5239" s="8" t="s">
        <v>136</v>
      </c>
      <c r="P5239" s="6" t="s">
        <v>51</v>
      </c>
      <c r="Q5239" s="8" t="s">
        <v>265</v>
      </c>
      <c r="R5239" s="10" t="s">
        <v>30175</v>
      </c>
      <c r="S5239" s="11" t="s">
        <v>30176</v>
      </c>
      <c r="T5239" s="6"/>
      <c r="U5239" s="15" t="str">
        <f>HYPERLINK("https://media.infra-m.ru/2233/2233134/cover/2233134.jpg", "Обложка")</f>
        <v>Обложка</v>
      </c>
      <c r="V5239" s="8" t="s">
        <v>227</v>
      </c>
      <c r="W5239" s="6"/>
      <c r="X5239" s="6"/>
      <c r="Y5239" s="6"/>
      <c r="Z5239" s="6"/>
      <c r="AA5239" s="6" t="s">
        <v>1303</v>
      </c>
      <c r="AB5239" s="8"/>
      <c r="AC5239" s="27">
        <v>9785160171722</v>
      </c>
    </row>
    <row r="5240" spans="1:29" s="4" customFormat="1" ht="51.9" customHeight="1" x14ac:dyDescent="0.2">
      <c r="A5240" s="5">
        <v>0</v>
      </c>
      <c r="B5240" s="6" t="s">
        <v>30177</v>
      </c>
      <c r="C5240" s="13">
        <v>688.8</v>
      </c>
      <c r="D5240" s="8" t="s">
        <v>30178</v>
      </c>
      <c r="E5240" s="8" t="s">
        <v>30179</v>
      </c>
      <c r="F5240" s="8" t="s">
        <v>30173</v>
      </c>
      <c r="G5240" s="6" t="s">
        <v>33</v>
      </c>
      <c r="H5240" s="6" t="s">
        <v>1042</v>
      </c>
      <c r="I5240" s="8" t="s">
        <v>263</v>
      </c>
      <c r="J5240" s="9">
        <v>1</v>
      </c>
      <c r="K5240" s="9">
        <v>125</v>
      </c>
      <c r="L5240" s="9">
        <v>2023</v>
      </c>
      <c r="M5240" s="8" t="s">
        <v>30180</v>
      </c>
      <c r="N5240" s="8" t="s">
        <v>37</v>
      </c>
      <c r="O5240" s="8" t="s">
        <v>136</v>
      </c>
      <c r="P5240" s="6" t="s">
        <v>51</v>
      </c>
      <c r="Q5240" s="8" t="s">
        <v>265</v>
      </c>
      <c r="R5240" s="10" t="s">
        <v>30175</v>
      </c>
      <c r="S5240" s="11" t="s">
        <v>30176</v>
      </c>
      <c r="T5240" s="6"/>
      <c r="U5240" s="15" t="str">
        <f>HYPERLINK("https://media.infra-m.ru/2124/2124785/cover/2124785.jpg", "Обложка")</f>
        <v>Обложка</v>
      </c>
      <c r="V5240" s="8" t="s">
        <v>227</v>
      </c>
      <c r="W5240" s="6"/>
      <c r="X5240" s="6"/>
      <c r="Y5240" s="6"/>
      <c r="Z5240" s="6"/>
      <c r="AA5240" s="6" t="s">
        <v>274</v>
      </c>
      <c r="AB5240" s="8"/>
      <c r="AC5240" s="27">
        <v>9785819907061</v>
      </c>
    </row>
    <row r="5241" spans="1:29" s="4" customFormat="1" ht="42" customHeight="1" x14ac:dyDescent="0.2">
      <c r="A5241" s="5">
        <v>0</v>
      </c>
      <c r="B5241" s="6" t="s">
        <v>30181</v>
      </c>
      <c r="C5241" s="13">
        <v>948</v>
      </c>
      <c r="D5241" s="8" t="s">
        <v>30182</v>
      </c>
      <c r="E5241" s="8" t="s">
        <v>30183</v>
      </c>
      <c r="F5241" s="8" t="s">
        <v>30184</v>
      </c>
      <c r="G5241" s="6" t="s">
        <v>118</v>
      </c>
      <c r="H5241" s="6" t="s">
        <v>34</v>
      </c>
      <c r="I5241" s="8" t="s">
        <v>263</v>
      </c>
      <c r="J5241" s="9">
        <v>1</v>
      </c>
      <c r="K5241" s="9">
        <v>129</v>
      </c>
      <c r="L5241" s="9">
        <v>2026</v>
      </c>
      <c r="M5241" s="8" t="s">
        <v>30185</v>
      </c>
      <c r="N5241" s="8" t="s">
        <v>37</v>
      </c>
      <c r="O5241" s="8" t="s">
        <v>136</v>
      </c>
      <c r="P5241" s="6" t="s">
        <v>51</v>
      </c>
      <c r="Q5241" s="8" t="s">
        <v>265</v>
      </c>
      <c r="R5241" s="10" t="s">
        <v>30186</v>
      </c>
      <c r="S5241" s="11"/>
      <c r="T5241" s="6"/>
      <c r="U5241" s="15" t="str">
        <f>HYPERLINK("https://media.infra-m.ru/2232/2232955/cover/2232955.jpg", "Обложка")</f>
        <v>Обложка</v>
      </c>
      <c r="V5241" s="8" t="s">
        <v>10175</v>
      </c>
      <c r="W5241" s="6"/>
      <c r="X5241" s="6"/>
      <c r="Y5241" s="6"/>
      <c r="Z5241" s="6"/>
      <c r="AA5241" s="6" t="s">
        <v>157</v>
      </c>
      <c r="AB5241" s="8"/>
      <c r="AC5241" s="27">
        <v>9785160175355</v>
      </c>
    </row>
    <row r="5242" spans="1:29" s="4" customFormat="1" ht="51.9" customHeight="1" x14ac:dyDescent="0.2">
      <c r="A5242" s="5">
        <v>0</v>
      </c>
      <c r="B5242" s="6" t="s">
        <v>30187</v>
      </c>
      <c r="C5242" s="7">
        <v>1584</v>
      </c>
      <c r="D5242" s="8" t="s">
        <v>30188</v>
      </c>
      <c r="E5242" s="8" t="s">
        <v>30189</v>
      </c>
      <c r="F5242" s="8" t="s">
        <v>30190</v>
      </c>
      <c r="G5242" s="6" t="s">
        <v>118</v>
      </c>
      <c r="H5242" s="6" t="s">
        <v>34</v>
      </c>
      <c r="I5242" s="8" t="s">
        <v>263</v>
      </c>
      <c r="J5242" s="9">
        <v>1</v>
      </c>
      <c r="K5242" s="9">
        <v>240</v>
      </c>
      <c r="L5242" s="9">
        <v>2026</v>
      </c>
      <c r="M5242" s="8" t="s">
        <v>30191</v>
      </c>
      <c r="N5242" s="8" t="s">
        <v>37</v>
      </c>
      <c r="O5242" s="8" t="s">
        <v>136</v>
      </c>
      <c r="P5242" s="6" t="s">
        <v>51</v>
      </c>
      <c r="Q5242" s="8" t="s">
        <v>265</v>
      </c>
      <c r="R5242" s="10" t="s">
        <v>30192</v>
      </c>
      <c r="S5242" s="11" t="s">
        <v>30193</v>
      </c>
      <c r="T5242" s="6"/>
      <c r="U5242" s="15" t="str">
        <f>HYPERLINK("https://media.infra-m.ru/2223/2223157/cover/2223157.jpg", "Обложка")</f>
        <v>Обложка</v>
      </c>
      <c r="V5242" s="8" t="s">
        <v>1046</v>
      </c>
      <c r="W5242" s="6"/>
      <c r="X5242" s="6" t="s">
        <v>24</v>
      </c>
      <c r="Y5242" s="6"/>
      <c r="Z5242" s="6"/>
      <c r="AA5242" s="6" t="s">
        <v>1047</v>
      </c>
      <c r="AB5242" s="8"/>
      <c r="AC5242" s="27">
        <v>9785160213729</v>
      </c>
    </row>
    <row r="5243" spans="1:29" s="4" customFormat="1" ht="51.9" customHeight="1" x14ac:dyDescent="0.2">
      <c r="A5243" s="5">
        <v>0</v>
      </c>
      <c r="B5243" s="6" t="s">
        <v>30194</v>
      </c>
      <c r="C5243" s="7">
        <v>2484</v>
      </c>
      <c r="D5243" s="8" t="s">
        <v>30195</v>
      </c>
      <c r="E5243" s="8" t="s">
        <v>30196</v>
      </c>
      <c r="F5243" s="8" t="s">
        <v>27514</v>
      </c>
      <c r="G5243" s="6" t="s">
        <v>60</v>
      </c>
      <c r="H5243" s="6" t="s">
        <v>34</v>
      </c>
      <c r="I5243" s="8" t="s">
        <v>2518</v>
      </c>
      <c r="J5243" s="9">
        <v>1</v>
      </c>
      <c r="K5243" s="9">
        <v>451</v>
      </c>
      <c r="L5243" s="9">
        <v>2023</v>
      </c>
      <c r="M5243" s="8" t="s">
        <v>30197</v>
      </c>
      <c r="N5243" s="8" t="s">
        <v>37</v>
      </c>
      <c r="O5243" s="8" t="s">
        <v>233</v>
      </c>
      <c r="P5243" s="6" t="s">
        <v>51</v>
      </c>
      <c r="Q5243" s="8" t="s">
        <v>265</v>
      </c>
      <c r="R5243" s="10" t="s">
        <v>30198</v>
      </c>
      <c r="S5243" s="11" t="s">
        <v>30199</v>
      </c>
      <c r="T5243" s="6"/>
      <c r="U5243" s="15" t="str">
        <f>HYPERLINK("https://media.infra-m.ru/1908/1908971/cover/1908971.jpg", "Обложка")</f>
        <v>Обложка</v>
      </c>
      <c r="V5243" s="8" t="s">
        <v>1132</v>
      </c>
      <c r="W5243" s="6"/>
      <c r="X5243" s="6"/>
      <c r="Y5243" s="6"/>
      <c r="Z5243" s="6"/>
      <c r="AA5243" s="6" t="s">
        <v>1303</v>
      </c>
      <c r="AB5243" s="8"/>
      <c r="AC5243" s="27">
        <v>9785160180700</v>
      </c>
    </row>
    <row r="5244" spans="1:29" s="4" customFormat="1" ht="51.9" customHeight="1" x14ac:dyDescent="0.2">
      <c r="A5244" s="5">
        <v>0</v>
      </c>
      <c r="B5244" s="6" t="s">
        <v>30200</v>
      </c>
      <c r="C5244" s="13">
        <v>888</v>
      </c>
      <c r="D5244" s="8" t="s">
        <v>30201</v>
      </c>
      <c r="E5244" s="8" t="s">
        <v>30202</v>
      </c>
      <c r="F5244" s="8" t="s">
        <v>30203</v>
      </c>
      <c r="G5244" s="6" t="s">
        <v>33</v>
      </c>
      <c r="H5244" s="6" t="s">
        <v>313</v>
      </c>
      <c r="I5244" s="8" t="s">
        <v>748</v>
      </c>
      <c r="J5244" s="9">
        <v>1</v>
      </c>
      <c r="K5244" s="9">
        <v>149</v>
      </c>
      <c r="L5244" s="9">
        <v>2023</v>
      </c>
      <c r="M5244" s="8" t="s">
        <v>30204</v>
      </c>
      <c r="N5244" s="8" t="s">
        <v>37</v>
      </c>
      <c r="O5244" s="8" t="s">
        <v>136</v>
      </c>
      <c r="P5244" s="6" t="s">
        <v>234</v>
      </c>
      <c r="Q5244" s="8" t="s">
        <v>40</v>
      </c>
      <c r="R5244" s="10" t="s">
        <v>30205</v>
      </c>
      <c r="S5244" s="11"/>
      <c r="T5244" s="6" t="s">
        <v>97</v>
      </c>
      <c r="U5244" s="15" t="str">
        <f>HYPERLINK("https://media.infra-m.ru/2124/2124928/cover/2124928.jpg", "Обложка")</f>
        <v>Обложка</v>
      </c>
      <c r="V5244" s="8" t="s">
        <v>27053</v>
      </c>
      <c r="W5244" s="6"/>
      <c r="X5244" s="6" t="s">
        <v>24</v>
      </c>
      <c r="Y5244" s="6"/>
      <c r="Z5244" s="6"/>
      <c r="AA5244" s="6" t="s">
        <v>8754</v>
      </c>
      <c r="AB5244" s="8"/>
      <c r="AC5244" s="27">
        <v>9785369019252</v>
      </c>
    </row>
    <row r="5245" spans="1:29" s="4" customFormat="1" ht="51.9" customHeight="1" x14ac:dyDescent="0.2">
      <c r="A5245" s="5">
        <v>0</v>
      </c>
      <c r="B5245" s="6" t="s">
        <v>30206</v>
      </c>
      <c r="C5245" s="7">
        <v>1164</v>
      </c>
      <c r="D5245" s="8" t="s">
        <v>30207</v>
      </c>
      <c r="E5245" s="8" t="s">
        <v>30208</v>
      </c>
      <c r="F5245" s="8" t="s">
        <v>30203</v>
      </c>
      <c r="G5245" s="6" t="s">
        <v>33</v>
      </c>
      <c r="H5245" s="6" t="s">
        <v>313</v>
      </c>
      <c r="I5245" s="8" t="s">
        <v>748</v>
      </c>
      <c r="J5245" s="9">
        <v>1</v>
      </c>
      <c r="K5245" s="9">
        <v>152</v>
      </c>
      <c r="L5245" s="9">
        <v>2026</v>
      </c>
      <c r="M5245" s="8" t="s">
        <v>30209</v>
      </c>
      <c r="N5245" s="8" t="s">
        <v>37</v>
      </c>
      <c r="O5245" s="8" t="s">
        <v>136</v>
      </c>
      <c r="P5245" s="6" t="s">
        <v>234</v>
      </c>
      <c r="Q5245" s="8" t="s">
        <v>40</v>
      </c>
      <c r="R5245" s="10" t="s">
        <v>30205</v>
      </c>
      <c r="S5245" s="11"/>
      <c r="T5245" s="6" t="s">
        <v>97</v>
      </c>
      <c r="U5245" s="15" t="str">
        <f>HYPERLINK("https://media.infra-m.ru/2226/2226031/cover/2226031.jpg", "Обложка")</f>
        <v>Обложка</v>
      </c>
      <c r="V5245" s="8" t="s">
        <v>27053</v>
      </c>
      <c r="W5245" s="6"/>
      <c r="X5245" s="6" t="s">
        <v>24</v>
      </c>
      <c r="Y5245" s="6"/>
      <c r="Z5245" s="6"/>
      <c r="AA5245" s="6" t="s">
        <v>1406</v>
      </c>
      <c r="AB5245" s="8"/>
      <c r="AC5245" s="27">
        <v>9785369019870</v>
      </c>
    </row>
    <row r="5246" spans="1:29" s="4" customFormat="1" ht="51.9" customHeight="1" x14ac:dyDescent="0.2">
      <c r="A5246" s="5">
        <v>0</v>
      </c>
      <c r="B5246" s="6" t="s">
        <v>30210</v>
      </c>
      <c r="C5246" s="13">
        <v>624</v>
      </c>
      <c r="D5246" s="8" t="s">
        <v>30211</v>
      </c>
      <c r="E5246" s="8" t="s">
        <v>30212</v>
      </c>
      <c r="F5246" s="8" t="s">
        <v>30203</v>
      </c>
      <c r="G5246" s="6" t="s">
        <v>33</v>
      </c>
      <c r="H5246" s="6" t="s">
        <v>313</v>
      </c>
      <c r="I5246" s="8" t="s">
        <v>748</v>
      </c>
      <c r="J5246" s="9">
        <v>1</v>
      </c>
      <c r="K5246" s="9">
        <v>138</v>
      </c>
      <c r="L5246" s="9">
        <v>2021</v>
      </c>
      <c r="M5246" s="8" t="s">
        <v>30213</v>
      </c>
      <c r="N5246" s="8" t="s">
        <v>37</v>
      </c>
      <c r="O5246" s="8" t="s">
        <v>136</v>
      </c>
      <c r="P5246" s="6" t="s">
        <v>234</v>
      </c>
      <c r="Q5246" s="8" t="s">
        <v>40</v>
      </c>
      <c r="R5246" s="10" t="s">
        <v>30205</v>
      </c>
      <c r="S5246" s="11"/>
      <c r="T5246" s="6" t="s">
        <v>97</v>
      </c>
      <c r="U5246" s="15" t="str">
        <f>HYPERLINK("https://media.infra-m.ru/1215/1215351/cover/1215351.jpg", "Обложка")</f>
        <v>Обложка</v>
      </c>
      <c r="V5246" s="8" t="s">
        <v>27053</v>
      </c>
      <c r="W5246" s="6"/>
      <c r="X5246" s="6" t="s">
        <v>24</v>
      </c>
      <c r="Y5246" s="6"/>
      <c r="Z5246" s="6"/>
      <c r="AA5246" s="6" t="s">
        <v>1117</v>
      </c>
      <c r="AB5246" s="8"/>
      <c r="AC5246" s="27">
        <v>9785369007976</v>
      </c>
    </row>
    <row r="5247" spans="1:29" s="4" customFormat="1" ht="51.9" customHeight="1" x14ac:dyDescent="0.2">
      <c r="A5247" s="5">
        <v>0</v>
      </c>
      <c r="B5247" s="6" t="s">
        <v>30214</v>
      </c>
      <c r="C5247" s="13">
        <v>840</v>
      </c>
      <c r="D5247" s="8" t="s">
        <v>30215</v>
      </c>
      <c r="E5247" s="8" t="s">
        <v>30216</v>
      </c>
      <c r="F5247" s="8" t="s">
        <v>30203</v>
      </c>
      <c r="G5247" s="6" t="s">
        <v>33</v>
      </c>
      <c r="H5247" s="6" t="s">
        <v>313</v>
      </c>
      <c r="I5247" s="8" t="s">
        <v>748</v>
      </c>
      <c r="J5247" s="9">
        <v>1</v>
      </c>
      <c r="K5247" s="9">
        <v>156</v>
      </c>
      <c r="L5247" s="9">
        <v>2022</v>
      </c>
      <c r="M5247" s="8" t="s">
        <v>30217</v>
      </c>
      <c r="N5247" s="8" t="s">
        <v>37</v>
      </c>
      <c r="O5247" s="8" t="s">
        <v>136</v>
      </c>
      <c r="P5247" s="6" t="s">
        <v>234</v>
      </c>
      <c r="Q5247" s="8" t="s">
        <v>40</v>
      </c>
      <c r="R5247" s="10" t="s">
        <v>30205</v>
      </c>
      <c r="S5247" s="11"/>
      <c r="T5247" s="6" t="s">
        <v>97</v>
      </c>
      <c r="U5247" s="15" t="str">
        <f>HYPERLINK("https://media.infra-m.ru/1946/1946421/cover/1946421.jpg", "Обложка")</f>
        <v>Обложка</v>
      </c>
      <c r="V5247" s="8" t="s">
        <v>27053</v>
      </c>
      <c r="W5247" s="6"/>
      <c r="X5247" s="6" t="s">
        <v>24</v>
      </c>
      <c r="Y5247" s="6"/>
      <c r="Z5247" s="6"/>
      <c r="AA5247" s="6" t="s">
        <v>3841</v>
      </c>
      <c r="AB5247" s="8"/>
      <c r="AC5247" s="27">
        <v>9785369018897</v>
      </c>
    </row>
    <row r="5248" spans="1:29" s="4" customFormat="1" ht="51.9" customHeight="1" x14ac:dyDescent="0.2">
      <c r="A5248" s="5">
        <v>0</v>
      </c>
      <c r="B5248" s="6" t="s">
        <v>30218</v>
      </c>
      <c r="C5248" s="13">
        <v>984</v>
      </c>
      <c r="D5248" s="8" t="s">
        <v>30219</v>
      </c>
      <c r="E5248" s="8" t="s">
        <v>30220</v>
      </c>
      <c r="F5248" s="8" t="s">
        <v>30203</v>
      </c>
      <c r="G5248" s="6" t="s">
        <v>33</v>
      </c>
      <c r="H5248" s="6" t="s">
        <v>313</v>
      </c>
      <c r="I5248" s="8" t="s">
        <v>748</v>
      </c>
      <c r="J5248" s="9">
        <v>1</v>
      </c>
      <c r="K5248" s="9">
        <v>151</v>
      </c>
      <c r="L5248" s="9">
        <v>2024</v>
      </c>
      <c r="M5248" s="8" t="s">
        <v>30221</v>
      </c>
      <c r="N5248" s="8" t="s">
        <v>37</v>
      </c>
      <c r="O5248" s="8" t="s">
        <v>136</v>
      </c>
      <c r="P5248" s="6" t="s">
        <v>234</v>
      </c>
      <c r="Q5248" s="8" t="s">
        <v>40</v>
      </c>
      <c r="R5248" s="10" t="s">
        <v>30205</v>
      </c>
      <c r="S5248" s="11"/>
      <c r="T5248" s="6" t="s">
        <v>97</v>
      </c>
      <c r="U5248" s="15" t="str">
        <f>HYPERLINK("https://media.infra-m.ru/2172/2172488/cover/2172488.jpg", "Обложка")</f>
        <v>Обложка</v>
      </c>
      <c r="V5248" s="8" t="s">
        <v>27053</v>
      </c>
      <c r="W5248" s="6"/>
      <c r="X5248" s="6" t="s">
        <v>24</v>
      </c>
      <c r="Y5248" s="6"/>
      <c r="Z5248" s="6"/>
      <c r="AA5248" s="6" t="s">
        <v>23161</v>
      </c>
      <c r="AB5248" s="8"/>
      <c r="AC5248" s="27">
        <v>9785369019566</v>
      </c>
    </row>
    <row r="5249" spans="1:29" s="4" customFormat="1" ht="51.9" customHeight="1" x14ac:dyDescent="0.2">
      <c r="A5249" s="5">
        <v>0</v>
      </c>
      <c r="B5249" s="6" t="s">
        <v>30222</v>
      </c>
      <c r="C5249" s="13">
        <v>509.9</v>
      </c>
      <c r="D5249" s="8" t="s">
        <v>30223</v>
      </c>
      <c r="E5249" s="8" t="s">
        <v>30224</v>
      </c>
      <c r="F5249" s="8" t="s">
        <v>30203</v>
      </c>
      <c r="G5249" s="6" t="s">
        <v>33</v>
      </c>
      <c r="H5249" s="6" t="s">
        <v>313</v>
      </c>
      <c r="I5249" s="8" t="s">
        <v>748</v>
      </c>
      <c r="J5249" s="9">
        <v>1</v>
      </c>
      <c r="K5249" s="9">
        <v>137</v>
      </c>
      <c r="L5249" s="9">
        <v>2018</v>
      </c>
      <c r="M5249" s="8" t="s">
        <v>30225</v>
      </c>
      <c r="N5249" s="8" t="s">
        <v>37</v>
      </c>
      <c r="O5249" s="8" t="s">
        <v>136</v>
      </c>
      <c r="P5249" s="6" t="s">
        <v>234</v>
      </c>
      <c r="Q5249" s="8" t="s">
        <v>40</v>
      </c>
      <c r="R5249" s="10" t="s">
        <v>30205</v>
      </c>
      <c r="S5249" s="11"/>
      <c r="T5249" s="6" t="s">
        <v>97</v>
      </c>
      <c r="U5249" s="15" t="str">
        <f>HYPERLINK("https://media.infra-m.ru/0982/0982779/cover/982779.jpg", "Обложка")</f>
        <v>Обложка</v>
      </c>
      <c r="V5249" s="8" t="s">
        <v>27053</v>
      </c>
      <c r="W5249" s="6"/>
      <c r="X5249" s="6" t="s">
        <v>24</v>
      </c>
      <c r="Y5249" s="6"/>
      <c r="Z5249" s="6"/>
      <c r="AA5249" s="6" t="s">
        <v>623</v>
      </c>
      <c r="AB5249" s="8"/>
      <c r="AC5249" s="27">
        <v>9785369016749</v>
      </c>
    </row>
    <row r="5250" spans="1:29" s="4" customFormat="1" ht="51.9" customHeight="1" x14ac:dyDescent="0.2">
      <c r="A5250" s="5">
        <v>0</v>
      </c>
      <c r="B5250" s="6" t="s">
        <v>30226</v>
      </c>
      <c r="C5250" s="7">
        <v>1396.8</v>
      </c>
      <c r="D5250" s="8" t="s">
        <v>30227</v>
      </c>
      <c r="E5250" s="8" t="s">
        <v>30212</v>
      </c>
      <c r="F5250" s="8" t="s">
        <v>30228</v>
      </c>
      <c r="G5250" s="6" t="s">
        <v>118</v>
      </c>
      <c r="H5250" s="6" t="s">
        <v>34</v>
      </c>
      <c r="I5250" s="8" t="s">
        <v>271</v>
      </c>
      <c r="J5250" s="9">
        <v>1</v>
      </c>
      <c r="K5250" s="9">
        <v>212</v>
      </c>
      <c r="L5250" s="9">
        <v>2026</v>
      </c>
      <c r="M5250" s="8" t="s">
        <v>30229</v>
      </c>
      <c r="N5250" s="8" t="s">
        <v>37</v>
      </c>
      <c r="O5250" s="8" t="s">
        <v>136</v>
      </c>
      <c r="P5250" s="6" t="s">
        <v>306</v>
      </c>
      <c r="Q5250" s="8" t="s">
        <v>52</v>
      </c>
      <c r="R5250" s="10" t="s">
        <v>30230</v>
      </c>
      <c r="S5250" s="11" t="s">
        <v>30231</v>
      </c>
      <c r="T5250" s="6"/>
      <c r="U5250" s="15" t="str">
        <f>HYPERLINK("https://media.infra-m.ru/2214/2214879/cover/2214879.jpg", "Обложка")</f>
        <v>Обложка</v>
      </c>
      <c r="V5250" s="8" t="s">
        <v>831</v>
      </c>
      <c r="W5250" s="6"/>
      <c r="X5250" s="6"/>
      <c r="Y5250" s="6"/>
      <c r="Z5250" s="6" t="s">
        <v>632</v>
      </c>
      <c r="AA5250" s="6" t="s">
        <v>2230</v>
      </c>
      <c r="AB5250" s="8"/>
      <c r="AC5250" s="27">
        <v>9785160170077</v>
      </c>
    </row>
    <row r="5251" spans="1:29" s="4" customFormat="1" ht="51.9" customHeight="1" x14ac:dyDescent="0.2">
      <c r="A5251" s="5">
        <v>0</v>
      </c>
      <c r="B5251" s="6" t="s">
        <v>30232</v>
      </c>
      <c r="C5251" s="7">
        <v>1396.8</v>
      </c>
      <c r="D5251" s="8" t="s">
        <v>30233</v>
      </c>
      <c r="E5251" s="8" t="s">
        <v>30212</v>
      </c>
      <c r="F5251" s="8" t="s">
        <v>30228</v>
      </c>
      <c r="G5251" s="6" t="s">
        <v>118</v>
      </c>
      <c r="H5251" s="6" t="s">
        <v>34</v>
      </c>
      <c r="I5251" s="8" t="s">
        <v>263</v>
      </c>
      <c r="J5251" s="9">
        <v>1</v>
      </c>
      <c r="K5251" s="9">
        <v>212</v>
      </c>
      <c r="L5251" s="9">
        <v>2026</v>
      </c>
      <c r="M5251" s="8" t="s">
        <v>30234</v>
      </c>
      <c r="N5251" s="8" t="s">
        <v>37</v>
      </c>
      <c r="O5251" s="8" t="s">
        <v>136</v>
      </c>
      <c r="P5251" s="6" t="s">
        <v>306</v>
      </c>
      <c r="Q5251" s="8" t="s">
        <v>265</v>
      </c>
      <c r="R5251" s="10" t="s">
        <v>30235</v>
      </c>
      <c r="S5251" s="11" t="s">
        <v>30236</v>
      </c>
      <c r="T5251" s="6"/>
      <c r="U5251" s="15" t="str">
        <f>HYPERLINK("https://media.infra-m.ru/2225/2225002/cover/2225002.jpg", "Обложка")</f>
        <v>Обложка</v>
      </c>
      <c r="V5251" s="8" t="s">
        <v>831</v>
      </c>
      <c r="W5251" s="6"/>
      <c r="X5251" s="6" t="s">
        <v>24</v>
      </c>
      <c r="Y5251" s="6"/>
      <c r="Z5251" s="6"/>
      <c r="AA5251" s="6" t="s">
        <v>2230</v>
      </c>
      <c r="AB5251" s="8"/>
      <c r="AC5251" s="27">
        <v>9785160165226</v>
      </c>
    </row>
    <row r="5252" spans="1:29" s="4" customFormat="1" ht="51.9" customHeight="1" x14ac:dyDescent="0.2">
      <c r="A5252" s="5">
        <v>0</v>
      </c>
      <c r="B5252" s="6" t="s">
        <v>30237</v>
      </c>
      <c r="C5252" s="7">
        <v>1224</v>
      </c>
      <c r="D5252" s="8" t="s">
        <v>30238</v>
      </c>
      <c r="E5252" s="8" t="s">
        <v>30224</v>
      </c>
      <c r="F5252" s="8" t="s">
        <v>30228</v>
      </c>
      <c r="G5252" s="6" t="s">
        <v>118</v>
      </c>
      <c r="H5252" s="6" t="s">
        <v>48</v>
      </c>
      <c r="I5252" s="8" t="s">
        <v>263</v>
      </c>
      <c r="J5252" s="9">
        <v>1</v>
      </c>
      <c r="K5252" s="9">
        <v>298</v>
      </c>
      <c r="L5252" s="9">
        <v>2020</v>
      </c>
      <c r="M5252" s="8" t="s">
        <v>30239</v>
      </c>
      <c r="N5252" s="8" t="s">
        <v>37</v>
      </c>
      <c r="O5252" s="8" t="s">
        <v>136</v>
      </c>
      <c r="P5252" s="6" t="s">
        <v>51</v>
      </c>
      <c r="Q5252" s="8" t="s">
        <v>265</v>
      </c>
      <c r="R5252" s="10" t="s">
        <v>30235</v>
      </c>
      <c r="S5252" s="11" t="s">
        <v>30240</v>
      </c>
      <c r="T5252" s="6"/>
      <c r="U5252" s="15" t="str">
        <f>HYPERLINK("https://media.infra-m.ru/1096/1096998/cover/1096998.jpg", "Обложка")</f>
        <v>Обложка</v>
      </c>
      <c r="V5252" s="8" t="s">
        <v>831</v>
      </c>
      <c r="W5252" s="6"/>
      <c r="X5252" s="6" t="s">
        <v>24</v>
      </c>
      <c r="Y5252" s="6"/>
      <c r="Z5252" s="6"/>
      <c r="AA5252" s="6" t="s">
        <v>623</v>
      </c>
      <c r="AB5252" s="8"/>
      <c r="AC5252" s="27">
        <v>9785000914304</v>
      </c>
    </row>
    <row r="5253" spans="1:29" s="4" customFormat="1" ht="44.1" customHeight="1" x14ac:dyDescent="0.2">
      <c r="A5253" s="5">
        <v>0</v>
      </c>
      <c r="B5253" s="6" t="s">
        <v>30241</v>
      </c>
      <c r="C5253" s="7">
        <v>1260</v>
      </c>
      <c r="D5253" s="8" t="s">
        <v>30242</v>
      </c>
      <c r="E5253" s="8" t="s">
        <v>30243</v>
      </c>
      <c r="F5253" s="8" t="s">
        <v>30244</v>
      </c>
      <c r="G5253" s="6" t="s">
        <v>60</v>
      </c>
      <c r="H5253" s="6" t="s">
        <v>34</v>
      </c>
      <c r="I5253" s="8" t="s">
        <v>35</v>
      </c>
      <c r="J5253" s="9">
        <v>1</v>
      </c>
      <c r="K5253" s="9">
        <v>171</v>
      </c>
      <c r="L5253" s="9">
        <v>2026</v>
      </c>
      <c r="M5253" s="8" t="s">
        <v>30245</v>
      </c>
      <c r="N5253" s="8" t="s">
        <v>37</v>
      </c>
      <c r="O5253" s="8" t="s">
        <v>233</v>
      </c>
      <c r="P5253" s="6" t="s">
        <v>39</v>
      </c>
      <c r="Q5253" s="8" t="s">
        <v>40</v>
      </c>
      <c r="R5253" s="10" t="s">
        <v>3792</v>
      </c>
      <c r="S5253" s="11"/>
      <c r="T5253" s="6"/>
      <c r="U5253" s="15" t="str">
        <f>HYPERLINK("https://media.infra-m.ru/2228/2228551/cover/2228551.jpg", "Обложка")</f>
        <v>Обложка</v>
      </c>
      <c r="V5253" s="8" t="s">
        <v>247</v>
      </c>
      <c r="W5253" s="6" t="s">
        <v>528</v>
      </c>
      <c r="X5253" s="6"/>
      <c r="Y5253" s="6"/>
      <c r="Z5253" s="6"/>
      <c r="AA5253" s="6" t="s">
        <v>187</v>
      </c>
      <c r="AB5253" s="8" t="s">
        <v>308</v>
      </c>
      <c r="AC5253" s="27">
        <v>9785160215174</v>
      </c>
    </row>
    <row r="5254" spans="1:29" s="4" customFormat="1" ht="42" customHeight="1" x14ac:dyDescent="0.2">
      <c r="A5254" s="5">
        <v>0</v>
      </c>
      <c r="B5254" s="6" t="s">
        <v>30246</v>
      </c>
      <c r="C5254" s="13">
        <v>869.9</v>
      </c>
      <c r="D5254" s="8" t="s">
        <v>30247</v>
      </c>
      <c r="E5254" s="8" t="s">
        <v>30248</v>
      </c>
      <c r="F5254" s="8" t="s">
        <v>30249</v>
      </c>
      <c r="G5254" s="6" t="s">
        <v>33</v>
      </c>
      <c r="H5254" s="6" t="s">
        <v>34</v>
      </c>
      <c r="I5254" s="8" t="s">
        <v>35</v>
      </c>
      <c r="J5254" s="9">
        <v>1</v>
      </c>
      <c r="K5254" s="9">
        <v>160</v>
      </c>
      <c r="L5254" s="9">
        <v>2023</v>
      </c>
      <c r="M5254" s="8" t="s">
        <v>30250</v>
      </c>
      <c r="N5254" s="8" t="s">
        <v>37</v>
      </c>
      <c r="O5254" s="8" t="s">
        <v>233</v>
      </c>
      <c r="P5254" s="6" t="s">
        <v>39</v>
      </c>
      <c r="Q5254" s="8" t="s">
        <v>40</v>
      </c>
      <c r="R5254" s="10" t="s">
        <v>30251</v>
      </c>
      <c r="S5254" s="11"/>
      <c r="T5254" s="6" t="s">
        <v>97</v>
      </c>
      <c r="U5254" s="15" t="str">
        <f>HYPERLINK("https://media.infra-m.ru/1911/1911812/cover/1911812.jpg", "Обложка")</f>
        <v>Обложка</v>
      </c>
      <c r="V5254" s="8" t="s">
        <v>1994</v>
      </c>
      <c r="W5254" s="6"/>
      <c r="X5254" s="6"/>
      <c r="Y5254" s="6"/>
      <c r="Z5254" s="6"/>
      <c r="AA5254" s="6" t="s">
        <v>274</v>
      </c>
      <c r="AB5254" s="8" t="s">
        <v>1317</v>
      </c>
      <c r="AC5254" s="27">
        <v>9785160107684</v>
      </c>
    </row>
    <row r="5255" spans="1:29" s="4" customFormat="1" ht="51.9" customHeight="1" x14ac:dyDescent="0.2">
      <c r="A5255" s="5">
        <v>0</v>
      </c>
      <c r="B5255" s="6" t="s">
        <v>30252</v>
      </c>
      <c r="C5255" s="13">
        <v>888</v>
      </c>
      <c r="D5255" s="8" t="s">
        <v>30253</v>
      </c>
      <c r="E5255" s="8" t="s">
        <v>30254</v>
      </c>
      <c r="F5255" s="8" t="s">
        <v>2119</v>
      </c>
      <c r="G5255" s="6" t="s">
        <v>118</v>
      </c>
      <c r="H5255" s="6" t="s">
        <v>34</v>
      </c>
      <c r="I5255" s="8" t="s">
        <v>271</v>
      </c>
      <c r="J5255" s="9">
        <v>1</v>
      </c>
      <c r="K5255" s="9">
        <v>157</v>
      </c>
      <c r="L5255" s="9">
        <v>2023</v>
      </c>
      <c r="M5255" s="8" t="s">
        <v>30255</v>
      </c>
      <c r="N5255" s="8" t="s">
        <v>585</v>
      </c>
      <c r="O5255" s="8" t="s">
        <v>775</v>
      </c>
      <c r="P5255" s="6" t="s">
        <v>51</v>
      </c>
      <c r="Q5255" s="8" t="s">
        <v>52</v>
      </c>
      <c r="R5255" s="10" t="s">
        <v>785</v>
      </c>
      <c r="S5255" s="11" t="s">
        <v>2121</v>
      </c>
      <c r="T5255" s="6"/>
      <c r="U5255" s="15" t="str">
        <f>HYPERLINK("https://media.infra-m.ru/1811/1811409/cover/1811409.jpg", "Обложка")</f>
        <v>Обложка</v>
      </c>
      <c r="V5255" s="8" t="s">
        <v>1994</v>
      </c>
      <c r="W5255" s="6"/>
      <c r="X5255" s="6"/>
      <c r="Y5255" s="6"/>
      <c r="Z5255" s="6"/>
      <c r="AA5255" s="6" t="s">
        <v>430</v>
      </c>
      <c r="AB5255" s="8"/>
      <c r="AC5255" s="27">
        <v>9785160153902</v>
      </c>
    </row>
    <row r="5256" spans="1:29" s="4" customFormat="1" ht="51.9" customHeight="1" x14ac:dyDescent="0.2">
      <c r="A5256" s="5">
        <v>0</v>
      </c>
      <c r="B5256" s="6" t="s">
        <v>30256</v>
      </c>
      <c r="C5256" s="7">
        <v>1776</v>
      </c>
      <c r="D5256" s="8" t="s">
        <v>30257</v>
      </c>
      <c r="E5256" s="8" t="s">
        <v>30258</v>
      </c>
      <c r="F5256" s="8" t="s">
        <v>30259</v>
      </c>
      <c r="G5256" s="6" t="s">
        <v>118</v>
      </c>
      <c r="H5256" s="6" t="s">
        <v>34</v>
      </c>
      <c r="I5256" s="8" t="s">
        <v>517</v>
      </c>
      <c r="J5256" s="9">
        <v>1</v>
      </c>
      <c r="K5256" s="9">
        <v>255</v>
      </c>
      <c r="L5256" s="9">
        <v>2027</v>
      </c>
      <c r="M5256" s="8" t="s">
        <v>30260</v>
      </c>
      <c r="N5256" s="8" t="s">
        <v>37</v>
      </c>
      <c r="O5256" s="8" t="s">
        <v>280</v>
      </c>
      <c r="P5256" s="6" t="s">
        <v>234</v>
      </c>
      <c r="Q5256" s="8" t="s">
        <v>40</v>
      </c>
      <c r="R5256" s="10" t="s">
        <v>30261</v>
      </c>
      <c r="S5256" s="11"/>
      <c r="T5256" s="6" t="s">
        <v>97</v>
      </c>
      <c r="U5256" s="15" t="str">
        <f>HYPERLINK("https://media.infra-m.ru/2269/2269423/cover/2269423.jpg", "Обложка")</f>
        <v>Обложка</v>
      </c>
      <c r="V5256" s="8" t="s">
        <v>227</v>
      </c>
      <c r="W5256" s="6"/>
      <c r="X5256" s="6"/>
      <c r="Y5256" s="6"/>
      <c r="Z5256" s="6"/>
      <c r="AA5256" s="6" t="s">
        <v>55</v>
      </c>
      <c r="AB5256" s="8"/>
      <c r="AC5256" s="27">
        <v>9785160057811</v>
      </c>
    </row>
    <row r="5257" spans="1:29" s="4" customFormat="1" ht="42" customHeight="1" x14ac:dyDescent="0.2">
      <c r="A5257" s="5">
        <v>0</v>
      </c>
      <c r="B5257" s="6" t="s">
        <v>30262</v>
      </c>
      <c r="C5257" s="7">
        <v>1025.9000000000001</v>
      </c>
      <c r="D5257" s="8" t="s">
        <v>30263</v>
      </c>
      <c r="E5257" s="8" t="s">
        <v>30264</v>
      </c>
      <c r="F5257" s="8" t="s">
        <v>30265</v>
      </c>
      <c r="G5257" s="6" t="s">
        <v>33</v>
      </c>
      <c r="H5257" s="6" t="s">
        <v>313</v>
      </c>
      <c r="I5257" s="8"/>
      <c r="J5257" s="9">
        <v>1</v>
      </c>
      <c r="K5257" s="9">
        <v>243</v>
      </c>
      <c r="L5257" s="9">
        <v>2020</v>
      </c>
      <c r="M5257" s="8" t="s">
        <v>30266</v>
      </c>
      <c r="N5257" s="8" t="s">
        <v>37</v>
      </c>
      <c r="O5257" s="8" t="s">
        <v>499</v>
      </c>
      <c r="P5257" s="6" t="s">
        <v>39</v>
      </c>
      <c r="Q5257" s="8" t="s">
        <v>40</v>
      </c>
      <c r="R5257" s="10" t="s">
        <v>30267</v>
      </c>
      <c r="S5257" s="11"/>
      <c r="T5257" s="6" t="s">
        <v>97</v>
      </c>
      <c r="U5257" s="15" t="str">
        <f>HYPERLINK("https://media.infra-m.ru/1044/1044578/cover/1044578.jpg", "Обложка")</f>
        <v>Обложка</v>
      </c>
      <c r="V5257" s="8" t="s">
        <v>1878</v>
      </c>
      <c r="W5257" s="6"/>
      <c r="X5257" s="6"/>
      <c r="Y5257" s="6"/>
      <c r="Z5257" s="6"/>
      <c r="AA5257" s="6" t="s">
        <v>86</v>
      </c>
      <c r="AB5257" s="8"/>
      <c r="AC5257" s="27">
        <v>9785369017432</v>
      </c>
    </row>
    <row r="5258" spans="1:29" s="4" customFormat="1" ht="51.9" customHeight="1" x14ac:dyDescent="0.2">
      <c r="A5258" s="5">
        <v>0</v>
      </c>
      <c r="B5258" s="6" t="s">
        <v>30268</v>
      </c>
      <c r="C5258" s="7">
        <v>3876</v>
      </c>
      <c r="D5258" s="8" t="s">
        <v>30269</v>
      </c>
      <c r="E5258" s="8" t="s">
        <v>30270</v>
      </c>
      <c r="F5258" s="8" t="s">
        <v>16507</v>
      </c>
      <c r="G5258" s="6" t="s">
        <v>60</v>
      </c>
      <c r="H5258" s="6" t="s">
        <v>34</v>
      </c>
      <c r="I5258" s="8" t="s">
        <v>35</v>
      </c>
      <c r="J5258" s="14">
        <v>0</v>
      </c>
      <c r="K5258" s="9">
        <v>547</v>
      </c>
      <c r="L5258" s="9">
        <v>2027</v>
      </c>
      <c r="M5258" s="8" t="s">
        <v>30271</v>
      </c>
      <c r="N5258" s="8" t="s">
        <v>37</v>
      </c>
      <c r="O5258" s="8" t="s">
        <v>233</v>
      </c>
      <c r="P5258" s="6" t="s">
        <v>39</v>
      </c>
      <c r="Q5258" s="8" t="s">
        <v>40</v>
      </c>
      <c r="R5258" s="10" t="s">
        <v>30272</v>
      </c>
      <c r="S5258" s="11"/>
      <c r="T5258" s="6" t="s">
        <v>97</v>
      </c>
      <c r="U5258" s="12"/>
      <c r="V5258" s="8" t="s">
        <v>16510</v>
      </c>
      <c r="W5258" s="6"/>
      <c r="X5258" s="6"/>
      <c r="Y5258" s="6" t="s">
        <v>4466</v>
      </c>
      <c r="Z5258" s="6"/>
      <c r="AA5258" s="6" t="s">
        <v>420</v>
      </c>
      <c r="AB5258" s="8"/>
      <c r="AC5258" s="27">
        <v>9785160217642</v>
      </c>
    </row>
    <row r="5259" spans="1:29" s="4" customFormat="1" ht="51.9" customHeight="1" x14ac:dyDescent="0.2">
      <c r="A5259" s="5">
        <v>0</v>
      </c>
      <c r="B5259" s="6" t="s">
        <v>30273</v>
      </c>
      <c r="C5259" s="7">
        <v>1300.8</v>
      </c>
      <c r="D5259" s="8" t="s">
        <v>30274</v>
      </c>
      <c r="E5259" s="8" t="s">
        <v>30275</v>
      </c>
      <c r="F5259" s="8" t="s">
        <v>30276</v>
      </c>
      <c r="G5259" s="6" t="s">
        <v>33</v>
      </c>
      <c r="H5259" s="6" t="s">
        <v>820</v>
      </c>
      <c r="I5259" s="8"/>
      <c r="J5259" s="9">
        <v>1</v>
      </c>
      <c r="K5259" s="9">
        <v>208</v>
      </c>
      <c r="L5259" s="9">
        <v>2025</v>
      </c>
      <c r="M5259" s="8" t="s">
        <v>30277</v>
      </c>
      <c r="N5259" s="8" t="s">
        <v>37</v>
      </c>
      <c r="O5259" s="8" t="s">
        <v>280</v>
      </c>
      <c r="P5259" s="6" t="s">
        <v>39</v>
      </c>
      <c r="Q5259" s="8" t="s">
        <v>749</v>
      </c>
      <c r="R5259" s="10" t="s">
        <v>30278</v>
      </c>
      <c r="S5259" s="11"/>
      <c r="T5259" s="6"/>
      <c r="U5259" s="15" t="str">
        <f>HYPERLINK("https://media.infra-m.ru/2200/2200118/cover/2200118.jpg", "Обложка")</f>
        <v>Обложка</v>
      </c>
      <c r="V5259" s="8" t="s">
        <v>3686</v>
      </c>
      <c r="W5259" s="6"/>
      <c r="X5259" s="6"/>
      <c r="Y5259" s="6"/>
      <c r="Z5259" s="6"/>
      <c r="AA5259" s="6" t="s">
        <v>274</v>
      </c>
      <c r="AB5259" s="8"/>
      <c r="AC5259" s="27">
        <v>9785905554810</v>
      </c>
    </row>
    <row r="5260" spans="1:29" s="4" customFormat="1" ht="51.9" customHeight="1" x14ac:dyDescent="0.2">
      <c r="A5260" s="5">
        <v>0</v>
      </c>
      <c r="B5260" s="6" t="s">
        <v>30279</v>
      </c>
      <c r="C5260" s="7">
        <v>1048.8</v>
      </c>
      <c r="D5260" s="8" t="s">
        <v>30280</v>
      </c>
      <c r="E5260" s="8" t="s">
        <v>30281</v>
      </c>
      <c r="F5260" s="8" t="s">
        <v>30282</v>
      </c>
      <c r="G5260" s="6" t="s">
        <v>60</v>
      </c>
      <c r="H5260" s="6" t="s">
        <v>34</v>
      </c>
      <c r="I5260" s="8" t="s">
        <v>2025</v>
      </c>
      <c r="J5260" s="9">
        <v>1</v>
      </c>
      <c r="K5260" s="9">
        <v>175</v>
      </c>
      <c r="L5260" s="9">
        <v>2025</v>
      </c>
      <c r="M5260" s="8" t="s">
        <v>30283</v>
      </c>
      <c r="N5260" s="8" t="s">
        <v>37</v>
      </c>
      <c r="O5260" s="8" t="s">
        <v>233</v>
      </c>
      <c r="P5260" s="6" t="s">
        <v>51</v>
      </c>
      <c r="Q5260" s="8" t="s">
        <v>52</v>
      </c>
      <c r="R5260" s="10" t="s">
        <v>30284</v>
      </c>
      <c r="S5260" s="11" t="s">
        <v>30285</v>
      </c>
      <c r="T5260" s="6"/>
      <c r="U5260" s="15" t="str">
        <f>HYPERLINK("https://media.infra-m.ru/2187/2187816/cover/2187816.jpg", "Обложка")</f>
        <v>Обложка</v>
      </c>
      <c r="V5260" s="8" t="s">
        <v>445</v>
      </c>
      <c r="W5260" s="6"/>
      <c r="X5260" s="6"/>
      <c r="Y5260" s="6"/>
      <c r="Z5260" s="6"/>
      <c r="AA5260" s="6" t="s">
        <v>148</v>
      </c>
      <c r="AB5260" s="8"/>
      <c r="AC5260" s="27">
        <v>9785160175560</v>
      </c>
    </row>
    <row r="5261" spans="1:29" s="4" customFormat="1" ht="51.9" customHeight="1" x14ac:dyDescent="0.2">
      <c r="A5261" s="5">
        <v>0</v>
      </c>
      <c r="B5261" s="6" t="s">
        <v>30286</v>
      </c>
      <c r="C5261" s="7">
        <v>1128</v>
      </c>
      <c r="D5261" s="8" t="s">
        <v>30287</v>
      </c>
      <c r="E5261" s="8" t="s">
        <v>30288</v>
      </c>
      <c r="F5261" s="8" t="s">
        <v>30289</v>
      </c>
      <c r="G5261" s="6" t="s">
        <v>118</v>
      </c>
      <c r="H5261" s="6" t="s">
        <v>34</v>
      </c>
      <c r="I5261" s="8" t="s">
        <v>253</v>
      </c>
      <c r="J5261" s="9">
        <v>1</v>
      </c>
      <c r="K5261" s="9">
        <v>190</v>
      </c>
      <c r="L5261" s="9">
        <v>2024</v>
      </c>
      <c r="M5261" s="8" t="s">
        <v>30290</v>
      </c>
      <c r="N5261" s="8" t="s">
        <v>37</v>
      </c>
      <c r="O5261" s="8" t="s">
        <v>233</v>
      </c>
      <c r="P5261" s="6" t="s">
        <v>51</v>
      </c>
      <c r="Q5261" s="8" t="s">
        <v>52</v>
      </c>
      <c r="R5261" s="10" t="s">
        <v>357</v>
      </c>
      <c r="S5261" s="11" t="s">
        <v>30291</v>
      </c>
      <c r="T5261" s="6"/>
      <c r="U5261" s="15" t="str">
        <f>HYPERLINK("https://media.infra-m.ru/2089/2089367/cover/2089367.jpg", "Обложка")</f>
        <v>Обложка</v>
      </c>
      <c r="V5261" s="8" t="s">
        <v>16850</v>
      </c>
      <c r="W5261" s="6"/>
      <c r="X5261" s="6"/>
      <c r="Y5261" s="6"/>
      <c r="Z5261" s="6"/>
      <c r="AA5261" s="6" t="s">
        <v>218</v>
      </c>
      <c r="AB5261" s="8"/>
      <c r="AC5261" s="27">
        <v>9785160191201</v>
      </c>
    </row>
    <row r="5262" spans="1:29" s="4" customFormat="1" ht="51.9" customHeight="1" x14ac:dyDescent="0.2">
      <c r="A5262" s="5">
        <v>0</v>
      </c>
      <c r="B5262" s="6" t="s">
        <v>30292</v>
      </c>
      <c r="C5262" s="7">
        <v>1276.8</v>
      </c>
      <c r="D5262" s="8" t="s">
        <v>30293</v>
      </c>
      <c r="E5262" s="8" t="s">
        <v>30294</v>
      </c>
      <c r="F5262" s="8" t="s">
        <v>30295</v>
      </c>
      <c r="G5262" s="6" t="s">
        <v>33</v>
      </c>
      <c r="H5262" s="6" t="s">
        <v>34</v>
      </c>
      <c r="I5262" s="8" t="s">
        <v>271</v>
      </c>
      <c r="J5262" s="9">
        <v>1</v>
      </c>
      <c r="K5262" s="9">
        <v>182</v>
      </c>
      <c r="L5262" s="9">
        <v>2026</v>
      </c>
      <c r="M5262" s="8" t="s">
        <v>30296</v>
      </c>
      <c r="N5262" s="8" t="s">
        <v>243</v>
      </c>
      <c r="O5262" s="8" t="s">
        <v>1100</v>
      </c>
      <c r="P5262" s="6" t="s">
        <v>105</v>
      </c>
      <c r="Q5262" s="8" t="s">
        <v>52</v>
      </c>
      <c r="R5262" s="10" t="s">
        <v>22010</v>
      </c>
      <c r="S5262" s="11" t="s">
        <v>30297</v>
      </c>
      <c r="T5262" s="6"/>
      <c r="U5262" s="15" t="str">
        <f>HYPERLINK("https://media.infra-m.ru/2251/2251347/cover/2251347.jpg", "Обложка")</f>
        <v>Обложка</v>
      </c>
      <c r="V5262" s="8" t="s">
        <v>2522</v>
      </c>
      <c r="W5262" s="6"/>
      <c r="X5262" s="6"/>
      <c r="Y5262" s="6"/>
      <c r="Z5262" s="6"/>
      <c r="AA5262" s="6" t="s">
        <v>274</v>
      </c>
      <c r="AB5262" s="8"/>
      <c r="AC5262" s="27">
        <v>9785160202150</v>
      </c>
    </row>
    <row r="5263" spans="1:29" s="4" customFormat="1" ht="51.9" customHeight="1" x14ac:dyDescent="0.2">
      <c r="A5263" s="5">
        <v>0</v>
      </c>
      <c r="B5263" s="6" t="s">
        <v>30298</v>
      </c>
      <c r="C5263" s="7">
        <v>1452</v>
      </c>
      <c r="D5263" s="8" t="s">
        <v>30299</v>
      </c>
      <c r="E5263" s="8" t="s">
        <v>30300</v>
      </c>
      <c r="F5263" s="8" t="s">
        <v>30301</v>
      </c>
      <c r="G5263" s="6" t="s">
        <v>118</v>
      </c>
      <c r="H5263" s="6" t="s">
        <v>34</v>
      </c>
      <c r="I5263" s="8" t="s">
        <v>253</v>
      </c>
      <c r="J5263" s="9">
        <v>1</v>
      </c>
      <c r="K5263" s="9">
        <v>220</v>
      </c>
      <c r="L5263" s="9">
        <v>2025</v>
      </c>
      <c r="M5263" s="8" t="s">
        <v>30302</v>
      </c>
      <c r="N5263" s="8" t="s">
        <v>93</v>
      </c>
      <c r="O5263" s="8" t="s">
        <v>94</v>
      </c>
      <c r="P5263" s="6" t="s">
        <v>51</v>
      </c>
      <c r="Q5263" s="8" t="s">
        <v>500</v>
      </c>
      <c r="R5263" s="10" t="s">
        <v>30303</v>
      </c>
      <c r="S5263" s="11" t="s">
        <v>30304</v>
      </c>
      <c r="T5263" s="6"/>
      <c r="U5263" s="15" t="str">
        <f>HYPERLINK("https://media.infra-m.ru/2144/2144328/cover/2144328.jpg", "Обложка")</f>
        <v>Обложка</v>
      </c>
      <c r="V5263" s="8" t="s">
        <v>3337</v>
      </c>
      <c r="W5263" s="6"/>
      <c r="X5263" s="6"/>
      <c r="Y5263" s="6"/>
      <c r="Z5263" s="6"/>
      <c r="AA5263" s="6" t="s">
        <v>404</v>
      </c>
      <c r="AB5263" s="8"/>
      <c r="AC5263" s="27">
        <v>9785160209920</v>
      </c>
    </row>
    <row r="5264" spans="1:29" s="4" customFormat="1" ht="51.9" customHeight="1" x14ac:dyDescent="0.2">
      <c r="A5264" s="5">
        <v>0</v>
      </c>
      <c r="B5264" s="6" t="s">
        <v>30305</v>
      </c>
      <c r="C5264" s="7">
        <v>2392.8000000000002</v>
      </c>
      <c r="D5264" s="8" t="s">
        <v>30306</v>
      </c>
      <c r="E5264" s="8" t="s">
        <v>30307</v>
      </c>
      <c r="F5264" s="8" t="s">
        <v>30308</v>
      </c>
      <c r="G5264" s="6" t="s">
        <v>60</v>
      </c>
      <c r="H5264" s="6" t="s">
        <v>1042</v>
      </c>
      <c r="I5264" s="8" t="s">
        <v>253</v>
      </c>
      <c r="J5264" s="9">
        <v>1</v>
      </c>
      <c r="K5264" s="9">
        <v>400</v>
      </c>
      <c r="L5264" s="9">
        <v>2025</v>
      </c>
      <c r="M5264" s="8" t="s">
        <v>30309</v>
      </c>
      <c r="N5264" s="8" t="s">
        <v>243</v>
      </c>
      <c r="O5264" s="8" t="s">
        <v>244</v>
      </c>
      <c r="P5264" s="6" t="s">
        <v>51</v>
      </c>
      <c r="Q5264" s="8" t="s">
        <v>52</v>
      </c>
      <c r="R5264" s="10" t="s">
        <v>30310</v>
      </c>
      <c r="S5264" s="11" t="s">
        <v>30311</v>
      </c>
      <c r="T5264" s="6"/>
      <c r="U5264" s="15" t="str">
        <f>HYPERLINK("https://media.infra-m.ru/2192/2192226/cover/2192226.jpg", "Обложка")</f>
        <v>Обложка</v>
      </c>
      <c r="V5264" s="8" t="s">
        <v>396</v>
      </c>
      <c r="W5264" s="6"/>
      <c r="X5264" s="6"/>
      <c r="Y5264" s="6"/>
      <c r="Z5264" s="6"/>
      <c r="AA5264" s="6" t="s">
        <v>43</v>
      </c>
      <c r="AB5264" s="8"/>
      <c r="AC5264" s="27">
        <v>9785819905166</v>
      </c>
    </row>
    <row r="5265" spans="1:29" s="4" customFormat="1" ht="51.9" customHeight="1" x14ac:dyDescent="0.2">
      <c r="A5265" s="5">
        <v>0</v>
      </c>
      <c r="B5265" s="6" t="s">
        <v>30312</v>
      </c>
      <c r="C5265" s="7">
        <v>2248.8000000000002</v>
      </c>
      <c r="D5265" s="8" t="s">
        <v>30313</v>
      </c>
      <c r="E5265" s="8" t="s">
        <v>30314</v>
      </c>
      <c r="F5265" s="8" t="s">
        <v>30315</v>
      </c>
      <c r="G5265" s="6" t="s">
        <v>118</v>
      </c>
      <c r="H5265" s="6" t="s">
        <v>34</v>
      </c>
      <c r="I5265" s="8" t="s">
        <v>304</v>
      </c>
      <c r="J5265" s="9">
        <v>1</v>
      </c>
      <c r="K5265" s="9">
        <v>324</v>
      </c>
      <c r="L5265" s="9">
        <v>2027</v>
      </c>
      <c r="M5265" s="8" t="s">
        <v>30316</v>
      </c>
      <c r="N5265" s="8" t="s">
        <v>37</v>
      </c>
      <c r="O5265" s="8" t="s">
        <v>233</v>
      </c>
      <c r="P5265" s="6" t="s">
        <v>306</v>
      </c>
      <c r="Q5265" s="8" t="s">
        <v>52</v>
      </c>
      <c r="R5265" s="10" t="s">
        <v>2053</v>
      </c>
      <c r="S5265" s="11" t="s">
        <v>2094</v>
      </c>
      <c r="T5265" s="6"/>
      <c r="U5265" s="15" t="str">
        <f>HYPERLINK("https://media.infra-m.ru/2269/2269993/cover/2269993.jpg", "Обложка")</f>
        <v>Обложка</v>
      </c>
      <c r="V5265" s="8" t="s">
        <v>247</v>
      </c>
      <c r="W5265" s="6"/>
      <c r="X5265" s="6"/>
      <c r="Y5265" s="6"/>
      <c r="Z5265" s="6"/>
      <c r="AA5265" s="6" t="s">
        <v>623</v>
      </c>
      <c r="AB5265" s="8" t="s">
        <v>493</v>
      </c>
      <c r="AC5265" s="27">
        <v>9785160189161</v>
      </c>
    </row>
    <row r="5266" spans="1:29" s="4" customFormat="1" ht="51.9" customHeight="1" x14ac:dyDescent="0.2">
      <c r="A5266" s="5">
        <v>0</v>
      </c>
      <c r="B5266" s="6" t="s">
        <v>30317</v>
      </c>
      <c r="C5266" s="7">
        <v>1812</v>
      </c>
      <c r="D5266" s="8" t="s">
        <v>30318</v>
      </c>
      <c r="E5266" s="8" t="s">
        <v>30319</v>
      </c>
      <c r="F5266" s="8" t="s">
        <v>30320</v>
      </c>
      <c r="G5266" s="6" t="s">
        <v>118</v>
      </c>
      <c r="H5266" s="6" t="s">
        <v>34</v>
      </c>
      <c r="I5266" s="8" t="s">
        <v>253</v>
      </c>
      <c r="J5266" s="9">
        <v>1</v>
      </c>
      <c r="K5266" s="9">
        <v>320</v>
      </c>
      <c r="L5266" s="9">
        <v>2024</v>
      </c>
      <c r="M5266" s="8" t="s">
        <v>30321</v>
      </c>
      <c r="N5266" s="8" t="s">
        <v>37</v>
      </c>
      <c r="O5266" s="8" t="s">
        <v>233</v>
      </c>
      <c r="P5266" s="6" t="s">
        <v>306</v>
      </c>
      <c r="Q5266" s="8" t="s">
        <v>52</v>
      </c>
      <c r="R5266" s="10" t="s">
        <v>2601</v>
      </c>
      <c r="S5266" s="11" t="s">
        <v>30322</v>
      </c>
      <c r="T5266" s="6"/>
      <c r="U5266" s="15" t="str">
        <f>HYPERLINK("https://media.infra-m.ru/2152/2152065/cover/2152065.jpg", "Обложка")</f>
        <v>Обложка</v>
      </c>
      <c r="V5266" s="8" t="s">
        <v>2602</v>
      </c>
      <c r="W5266" s="6"/>
      <c r="X5266" s="6"/>
      <c r="Y5266" s="6"/>
      <c r="Z5266" s="6"/>
      <c r="AA5266" s="6" t="s">
        <v>4023</v>
      </c>
      <c r="AB5266" s="8"/>
      <c r="AC5266" s="27">
        <v>9785160200200</v>
      </c>
    </row>
    <row r="5267" spans="1:29" s="4" customFormat="1" ht="51.9" customHeight="1" x14ac:dyDescent="0.2">
      <c r="A5267" s="5">
        <v>0</v>
      </c>
      <c r="B5267" s="6" t="s">
        <v>30323</v>
      </c>
      <c r="C5267" s="7">
        <v>1356</v>
      </c>
      <c r="D5267" s="8" t="s">
        <v>30324</v>
      </c>
      <c r="E5267" s="8" t="s">
        <v>30325</v>
      </c>
      <c r="F5267" s="8" t="s">
        <v>30320</v>
      </c>
      <c r="G5267" s="6" t="s">
        <v>118</v>
      </c>
      <c r="H5267" s="6" t="s">
        <v>34</v>
      </c>
      <c r="I5267" s="8" t="s">
        <v>271</v>
      </c>
      <c r="J5267" s="9">
        <v>1</v>
      </c>
      <c r="K5267" s="9">
        <v>352</v>
      </c>
      <c r="L5267" s="9">
        <v>2019</v>
      </c>
      <c r="M5267" s="8" t="s">
        <v>30326</v>
      </c>
      <c r="N5267" s="8" t="s">
        <v>37</v>
      </c>
      <c r="O5267" s="8" t="s">
        <v>233</v>
      </c>
      <c r="P5267" s="6" t="s">
        <v>306</v>
      </c>
      <c r="Q5267" s="8" t="s">
        <v>52</v>
      </c>
      <c r="R5267" s="10" t="s">
        <v>2601</v>
      </c>
      <c r="S5267" s="11" t="s">
        <v>30327</v>
      </c>
      <c r="T5267" s="6"/>
      <c r="U5267" s="15" t="str">
        <f>HYPERLINK("https://media.infra-m.ru/1026/1026054/cover/1026054.jpg", "Обложка")</f>
        <v>Обложка</v>
      </c>
      <c r="V5267" s="8" t="s">
        <v>2602</v>
      </c>
      <c r="W5267" s="6"/>
      <c r="X5267" s="6"/>
      <c r="Y5267" s="6"/>
      <c r="Z5267" s="6"/>
      <c r="AA5267" s="6" t="s">
        <v>859</v>
      </c>
      <c r="AB5267" s="8"/>
      <c r="AC5267" s="27">
        <v>9785160153445</v>
      </c>
    </row>
    <row r="5268" spans="1:29" s="4" customFormat="1" ht="51.9" customHeight="1" x14ac:dyDescent="0.2">
      <c r="A5268" s="5">
        <v>0</v>
      </c>
      <c r="B5268" s="6" t="s">
        <v>30328</v>
      </c>
      <c r="C5268" s="13">
        <v>891.6</v>
      </c>
      <c r="D5268" s="8" t="s">
        <v>30329</v>
      </c>
      <c r="E5268" s="8" t="s">
        <v>30330</v>
      </c>
      <c r="F5268" s="8" t="s">
        <v>30331</v>
      </c>
      <c r="G5268" s="6" t="s">
        <v>33</v>
      </c>
      <c r="H5268" s="6" t="s">
        <v>134</v>
      </c>
      <c r="I5268" s="8"/>
      <c r="J5268" s="9">
        <v>1</v>
      </c>
      <c r="K5268" s="9">
        <v>98</v>
      </c>
      <c r="L5268" s="9">
        <v>2025</v>
      </c>
      <c r="M5268" s="8" t="s">
        <v>30332</v>
      </c>
      <c r="N5268" s="8" t="s">
        <v>243</v>
      </c>
      <c r="O5268" s="8" t="s">
        <v>385</v>
      </c>
      <c r="P5268" s="6" t="s">
        <v>39</v>
      </c>
      <c r="Q5268" s="8" t="s">
        <v>40</v>
      </c>
      <c r="R5268" s="10" t="s">
        <v>30333</v>
      </c>
      <c r="S5268" s="11"/>
      <c r="T5268" s="6"/>
      <c r="U5268" s="15" t="str">
        <f>HYPERLINK("https://media.infra-m.ru/2220/2220696/cover/2220696.jpg", "Обложка")</f>
        <v>Обложка</v>
      </c>
      <c r="V5268" s="8" t="s">
        <v>2513</v>
      </c>
      <c r="W5268" s="6"/>
      <c r="X5268" s="6"/>
      <c r="Y5268" s="6"/>
      <c r="Z5268" s="6"/>
      <c r="AA5268" s="6" t="s">
        <v>68</v>
      </c>
      <c r="AB5268" s="8"/>
      <c r="AC5268" s="27">
        <v>9785001564447</v>
      </c>
    </row>
    <row r="5269" spans="1:29" s="4" customFormat="1" ht="51.9" customHeight="1" x14ac:dyDescent="0.2">
      <c r="A5269" s="5">
        <v>0</v>
      </c>
      <c r="B5269" s="6" t="s">
        <v>30334</v>
      </c>
      <c r="C5269" s="7">
        <v>1060.8</v>
      </c>
      <c r="D5269" s="8" t="s">
        <v>30335</v>
      </c>
      <c r="E5269" s="8" t="s">
        <v>30336</v>
      </c>
      <c r="F5269" s="8" t="s">
        <v>30337</v>
      </c>
      <c r="G5269" s="6" t="s">
        <v>33</v>
      </c>
      <c r="H5269" s="6" t="s">
        <v>313</v>
      </c>
      <c r="I5269" s="8" t="s">
        <v>35</v>
      </c>
      <c r="J5269" s="9">
        <v>1</v>
      </c>
      <c r="K5269" s="9">
        <v>192</v>
      </c>
      <c r="L5269" s="9">
        <v>2024</v>
      </c>
      <c r="M5269" s="8" t="s">
        <v>30338</v>
      </c>
      <c r="N5269" s="8" t="s">
        <v>243</v>
      </c>
      <c r="O5269" s="8" t="s">
        <v>244</v>
      </c>
      <c r="P5269" s="6" t="s">
        <v>39</v>
      </c>
      <c r="Q5269" s="8" t="s">
        <v>40</v>
      </c>
      <c r="R5269" s="10" t="s">
        <v>30339</v>
      </c>
      <c r="S5269" s="11"/>
      <c r="T5269" s="6"/>
      <c r="U5269" s="15" t="str">
        <f>HYPERLINK("https://media.infra-m.ru/2079/2079652/cover/2079652.jpg", "Обложка")</f>
        <v>Обложка</v>
      </c>
      <c r="V5269" s="8" t="s">
        <v>2088</v>
      </c>
      <c r="W5269" s="6"/>
      <c r="X5269" s="6"/>
      <c r="Y5269" s="6"/>
      <c r="Z5269" s="6"/>
      <c r="AA5269" s="6" t="s">
        <v>248</v>
      </c>
      <c r="AB5269" s="8"/>
      <c r="AC5269" s="27">
        <v>9785369013717</v>
      </c>
    </row>
    <row r="5270" spans="1:29" s="4" customFormat="1" ht="51.9" customHeight="1" x14ac:dyDescent="0.2">
      <c r="A5270" s="5">
        <v>0</v>
      </c>
      <c r="B5270" s="6" t="s">
        <v>30340</v>
      </c>
      <c r="C5270" s="13">
        <v>960</v>
      </c>
      <c r="D5270" s="8" t="s">
        <v>30341</v>
      </c>
      <c r="E5270" s="8" t="s">
        <v>30342</v>
      </c>
      <c r="F5270" s="8" t="s">
        <v>30343</v>
      </c>
      <c r="G5270" s="6" t="s">
        <v>118</v>
      </c>
      <c r="H5270" s="6" t="s">
        <v>34</v>
      </c>
      <c r="I5270" s="8" t="s">
        <v>30344</v>
      </c>
      <c r="J5270" s="9">
        <v>1</v>
      </c>
      <c r="K5270" s="9">
        <v>171</v>
      </c>
      <c r="L5270" s="9">
        <v>2023</v>
      </c>
      <c r="M5270" s="8" t="s">
        <v>30345</v>
      </c>
      <c r="N5270" s="8" t="s">
        <v>37</v>
      </c>
      <c r="O5270" s="8" t="s">
        <v>280</v>
      </c>
      <c r="P5270" s="6" t="s">
        <v>51</v>
      </c>
      <c r="Q5270" s="8" t="s">
        <v>500</v>
      </c>
      <c r="R5270" s="10" t="s">
        <v>30346</v>
      </c>
      <c r="S5270" s="11" t="s">
        <v>30347</v>
      </c>
      <c r="T5270" s="6" t="s">
        <v>97</v>
      </c>
      <c r="U5270" s="15" t="str">
        <f>HYPERLINK("https://media.infra-m.ru/1907/1907026/cover/1907026.jpg", "Обложка")</f>
        <v>Обложка</v>
      </c>
      <c r="V5270" s="8" t="s">
        <v>396</v>
      </c>
      <c r="W5270" s="6"/>
      <c r="X5270" s="6"/>
      <c r="Y5270" s="6"/>
      <c r="Z5270" s="6"/>
      <c r="AA5270" s="6" t="s">
        <v>623</v>
      </c>
      <c r="AB5270" s="8"/>
      <c r="AC5270" s="27">
        <v>9785160159867</v>
      </c>
    </row>
    <row r="5271" spans="1:29" s="4" customFormat="1" ht="44.1" customHeight="1" x14ac:dyDescent="0.2">
      <c r="A5271" s="5">
        <v>0</v>
      </c>
      <c r="B5271" s="6" t="s">
        <v>30348</v>
      </c>
      <c r="C5271" s="7">
        <v>2988</v>
      </c>
      <c r="D5271" s="8" t="s">
        <v>30349</v>
      </c>
      <c r="E5271" s="8" t="s">
        <v>30350</v>
      </c>
      <c r="F5271" s="8" t="s">
        <v>30351</v>
      </c>
      <c r="G5271" s="6" t="s">
        <v>60</v>
      </c>
      <c r="H5271" s="6" t="s">
        <v>34</v>
      </c>
      <c r="I5271" s="8" t="s">
        <v>253</v>
      </c>
      <c r="J5271" s="9">
        <v>1</v>
      </c>
      <c r="K5271" s="9">
        <v>422</v>
      </c>
      <c r="L5271" s="9">
        <v>2026</v>
      </c>
      <c r="M5271" s="8" t="s">
        <v>30352</v>
      </c>
      <c r="N5271" s="8" t="s">
        <v>37</v>
      </c>
      <c r="O5271" s="8" t="s">
        <v>280</v>
      </c>
      <c r="P5271" s="6" t="s">
        <v>51</v>
      </c>
      <c r="Q5271" s="8" t="s">
        <v>52</v>
      </c>
      <c r="R5271" s="10" t="s">
        <v>30353</v>
      </c>
      <c r="S5271" s="11"/>
      <c r="T5271" s="6"/>
      <c r="U5271" s="15" t="str">
        <f>HYPERLINK("https://media.infra-m.ru/2230/2230802/cover/2230802.jpg", "Обложка")</f>
        <v>Обложка</v>
      </c>
      <c r="V5271" s="8" t="s">
        <v>12917</v>
      </c>
      <c r="W5271" s="6" t="s">
        <v>649</v>
      </c>
      <c r="X5271" s="6"/>
      <c r="Y5271" s="6"/>
      <c r="Z5271" s="6"/>
      <c r="AA5271" s="6" t="s">
        <v>157</v>
      </c>
      <c r="AB5271" s="8"/>
      <c r="AC5271" s="27">
        <v>9785160215563</v>
      </c>
    </row>
    <row r="5272" spans="1:29" s="4" customFormat="1" ht="51.9" customHeight="1" x14ac:dyDescent="0.2">
      <c r="A5272" s="5">
        <v>0</v>
      </c>
      <c r="B5272" s="6" t="s">
        <v>30354</v>
      </c>
      <c r="C5272" s="7">
        <v>1336.8</v>
      </c>
      <c r="D5272" s="8" t="s">
        <v>30355</v>
      </c>
      <c r="E5272" s="8" t="s">
        <v>30356</v>
      </c>
      <c r="F5272" s="8" t="s">
        <v>30357</v>
      </c>
      <c r="G5272" s="6" t="s">
        <v>118</v>
      </c>
      <c r="H5272" s="6" t="s">
        <v>34</v>
      </c>
      <c r="I5272" s="8" t="s">
        <v>271</v>
      </c>
      <c r="J5272" s="9">
        <v>1</v>
      </c>
      <c r="K5272" s="9">
        <v>223</v>
      </c>
      <c r="L5272" s="9">
        <v>2024</v>
      </c>
      <c r="M5272" s="8" t="s">
        <v>30358</v>
      </c>
      <c r="N5272" s="8" t="s">
        <v>37</v>
      </c>
      <c r="O5272" s="8" t="s">
        <v>136</v>
      </c>
      <c r="P5272" s="6" t="s">
        <v>51</v>
      </c>
      <c r="Q5272" s="8" t="s">
        <v>52</v>
      </c>
      <c r="R5272" s="10" t="s">
        <v>30359</v>
      </c>
      <c r="S5272" s="11" t="s">
        <v>30360</v>
      </c>
      <c r="T5272" s="6"/>
      <c r="U5272" s="15" t="str">
        <f>HYPERLINK("https://media.infra-m.ru/2157/2157926/cover/2157926.jpg", "Обложка")</f>
        <v>Обложка</v>
      </c>
      <c r="V5272" s="8" t="s">
        <v>5250</v>
      </c>
      <c r="W5272" s="6"/>
      <c r="X5272" s="6"/>
      <c r="Y5272" s="6"/>
      <c r="Z5272" s="6"/>
      <c r="AA5272" s="6" t="s">
        <v>86</v>
      </c>
      <c r="AB5272" s="8"/>
      <c r="AC5272" s="27">
        <v>9785160131252</v>
      </c>
    </row>
    <row r="5273" spans="1:29" s="4" customFormat="1" ht="44.1" customHeight="1" x14ac:dyDescent="0.2">
      <c r="A5273" s="5">
        <v>0</v>
      </c>
      <c r="B5273" s="6" t="s">
        <v>30361</v>
      </c>
      <c r="C5273" s="7">
        <v>1428</v>
      </c>
      <c r="D5273" s="8" t="s">
        <v>30362</v>
      </c>
      <c r="E5273" s="8" t="s">
        <v>30363</v>
      </c>
      <c r="F5273" s="8" t="s">
        <v>30364</v>
      </c>
      <c r="G5273" s="6" t="s">
        <v>33</v>
      </c>
      <c r="H5273" s="6" t="s">
        <v>34</v>
      </c>
      <c r="I5273" s="8" t="s">
        <v>35</v>
      </c>
      <c r="J5273" s="9">
        <v>1</v>
      </c>
      <c r="K5273" s="9">
        <v>245</v>
      </c>
      <c r="L5273" s="9">
        <v>2024</v>
      </c>
      <c r="M5273" s="8" t="s">
        <v>30365</v>
      </c>
      <c r="N5273" s="8" t="s">
        <v>93</v>
      </c>
      <c r="O5273" s="8" t="s">
        <v>94</v>
      </c>
      <c r="P5273" s="6" t="s">
        <v>39</v>
      </c>
      <c r="Q5273" s="8" t="s">
        <v>40</v>
      </c>
      <c r="R5273" s="10" t="s">
        <v>30366</v>
      </c>
      <c r="S5273" s="11"/>
      <c r="T5273" s="6"/>
      <c r="U5273" s="15" t="str">
        <f>HYPERLINK("https://media.infra-m.ru/2085/2085936/cover/2085936.jpg", "Обложка")</f>
        <v>Обложка</v>
      </c>
      <c r="V5273" s="8" t="s">
        <v>6190</v>
      </c>
      <c r="W5273" s="6"/>
      <c r="X5273" s="6"/>
      <c r="Y5273" s="6"/>
      <c r="Z5273" s="6"/>
      <c r="AA5273" s="6" t="s">
        <v>76</v>
      </c>
      <c r="AB5273" s="8"/>
      <c r="AC5273" s="27">
        <v>9785160190860</v>
      </c>
    </row>
    <row r="5274" spans="1:29" s="4" customFormat="1" ht="42" customHeight="1" x14ac:dyDescent="0.2">
      <c r="A5274" s="5">
        <v>0</v>
      </c>
      <c r="B5274" s="6" t="s">
        <v>30367</v>
      </c>
      <c r="C5274" s="7">
        <v>1428</v>
      </c>
      <c r="D5274" s="8" t="s">
        <v>30368</v>
      </c>
      <c r="E5274" s="8" t="s">
        <v>30369</v>
      </c>
      <c r="F5274" s="8" t="s">
        <v>30370</v>
      </c>
      <c r="G5274" s="6" t="s">
        <v>33</v>
      </c>
      <c r="H5274" s="6" t="s">
        <v>34</v>
      </c>
      <c r="I5274" s="8" t="s">
        <v>457</v>
      </c>
      <c r="J5274" s="9">
        <v>1</v>
      </c>
      <c r="K5274" s="9">
        <v>202</v>
      </c>
      <c r="L5274" s="9">
        <v>2026</v>
      </c>
      <c r="M5274" s="8" t="s">
        <v>30371</v>
      </c>
      <c r="N5274" s="8" t="s">
        <v>37</v>
      </c>
      <c r="O5274" s="8" t="s">
        <v>233</v>
      </c>
      <c r="P5274" s="6" t="s">
        <v>39</v>
      </c>
      <c r="Q5274" s="8" t="s">
        <v>40</v>
      </c>
      <c r="R5274" s="10" t="s">
        <v>12731</v>
      </c>
      <c r="S5274" s="11"/>
      <c r="T5274" s="6"/>
      <c r="U5274" s="15" t="str">
        <f>HYPERLINK("https://media.infra-m.ru/2226/2226229/cover/2226229.jpg", "Обложка")</f>
        <v>Обложка</v>
      </c>
      <c r="V5274" s="8" t="s">
        <v>247</v>
      </c>
      <c r="W5274" s="6" t="s">
        <v>351</v>
      </c>
      <c r="X5274" s="6"/>
      <c r="Y5274" s="6"/>
      <c r="Z5274" s="6"/>
      <c r="AA5274" s="6" t="s">
        <v>187</v>
      </c>
      <c r="AB5274" s="8" t="s">
        <v>308</v>
      </c>
      <c r="AC5274" s="27">
        <v>9785160214573</v>
      </c>
    </row>
    <row r="5275" spans="1:29" s="4" customFormat="1" ht="42" customHeight="1" x14ac:dyDescent="0.2">
      <c r="A5275" s="5">
        <v>0</v>
      </c>
      <c r="B5275" s="6" t="s">
        <v>30372</v>
      </c>
      <c r="C5275" s="7">
        <v>2380.8000000000002</v>
      </c>
      <c r="D5275" s="8" t="s">
        <v>30373</v>
      </c>
      <c r="E5275" s="8" t="s">
        <v>30374</v>
      </c>
      <c r="F5275" s="8" t="s">
        <v>30375</v>
      </c>
      <c r="G5275" s="6" t="s">
        <v>118</v>
      </c>
      <c r="H5275" s="6" t="s">
        <v>34</v>
      </c>
      <c r="I5275" s="8" t="s">
        <v>304</v>
      </c>
      <c r="J5275" s="9">
        <v>1</v>
      </c>
      <c r="K5275" s="9">
        <v>359</v>
      </c>
      <c r="L5275" s="9">
        <v>2025</v>
      </c>
      <c r="M5275" s="8" t="s">
        <v>30376</v>
      </c>
      <c r="N5275" s="8" t="s">
        <v>37</v>
      </c>
      <c r="O5275" s="8" t="s">
        <v>233</v>
      </c>
      <c r="P5275" s="6" t="s">
        <v>306</v>
      </c>
      <c r="Q5275" s="8" t="s">
        <v>65</v>
      </c>
      <c r="R5275" s="10" t="s">
        <v>30377</v>
      </c>
      <c r="S5275" s="11"/>
      <c r="T5275" s="6"/>
      <c r="U5275" s="15" t="str">
        <f>HYPERLINK("https://media.infra-m.ru/2233/2233680/cover/2233680.jpg", "Обложка")</f>
        <v>Обложка</v>
      </c>
      <c r="V5275" s="8" t="s">
        <v>247</v>
      </c>
      <c r="W5275" s="6"/>
      <c r="X5275" s="6"/>
      <c r="Y5275" s="6"/>
      <c r="Z5275" s="6"/>
      <c r="AA5275" s="6" t="s">
        <v>2240</v>
      </c>
      <c r="AB5275" s="8"/>
      <c r="AC5275" s="27">
        <v>9785160189383</v>
      </c>
    </row>
    <row r="5276" spans="1:29" s="4" customFormat="1" ht="42" customHeight="1" x14ac:dyDescent="0.2">
      <c r="A5276" s="5">
        <v>0</v>
      </c>
      <c r="B5276" s="6" t="s">
        <v>30378</v>
      </c>
      <c r="C5276" s="7">
        <v>1356</v>
      </c>
      <c r="D5276" s="8" t="s">
        <v>30379</v>
      </c>
      <c r="E5276" s="8" t="s">
        <v>30380</v>
      </c>
      <c r="F5276" s="8" t="s">
        <v>30375</v>
      </c>
      <c r="G5276" s="6" t="s">
        <v>118</v>
      </c>
      <c r="H5276" s="6" t="s">
        <v>34</v>
      </c>
      <c r="I5276" s="8" t="s">
        <v>2025</v>
      </c>
      <c r="J5276" s="9">
        <v>1</v>
      </c>
      <c r="K5276" s="9">
        <v>352</v>
      </c>
      <c r="L5276" s="9">
        <v>2019</v>
      </c>
      <c r="M5276" s="8" t="s">
        <v>30381</v>
      </c>
      <c r="N5276" s="8" t="s">
        <v>37</v>
      </c>
      <c r="O5276" s="8" t="s">
        <v>233</v>
      </c>
      <c r="P5276" s="6" t="s">
        <v>306</v>
      </c>
      <c r="Q5276" s="8" t="s">
        <v>52</v>
      </c>
      <c r="R5276" s="10" t="s">
        <v>30377</v>
      </c>
      <c r="S5276" s="11"/>
      <c r="T5276" s="6"/>
      <c r="U5276" s="15" t="str">
        <f>HYPERLINK("https://media.infra-m.ru/1004/1004233/cover/1004233.jpg", "Обложка")</f>
        <v>Обложка</v>
      </c>
      <c r="V5276" s="8" t="s">
        <v>247</v>
      </c>
      <c r="W5276" s="6"/>
      <c r="X5276" s="6"/>
      <c r="Y5276" s="6"/>
      <c r="Z5276" s="6"/>
      <c r="AA5276" s="6" t="s">
        <v>86</v>
      </c>
      <c r="AB5276" s="8"/>
      <c r="AC5276" s="27">
        <v>9785160132648</v>
      </c>
    </row>
    <row r="5277" spans="1:29" s="4" customFormat="1" ht="51.9" customHeight="1" x14ac:dyDescent="0.2">
      <c r="A5277" s="5">
        <v>0</v>
      </c>
      <c r="B5277" s="6" t="s">
        <v>30382</v>
      </c>
      <c r="C5277" s="13">
        <v>880.8</v>
      </c>
      <c r="D5277" s="8" t="s">
        <v>30383</v>
      </c>
      <c r="E5277" s="8" t="s">
        <v>30380</v>
      </c>
      <c r="F5277" s="8" t="s">
        <v>30384</v>
      </c>
      <c r="G5277" s="6" t="s">
        <v>60</v>
      </c>
      <c r="H5277" s="6" t="s">
        <v>34</v>
      </c>
      <c r="I5277" s="8" t="s">
        <v>271</v>
      </c>
      <c r="J5277" s="9">
        <v>1</v>
      </c>
      <c r="K5277" s="9">
        <v>160</v>
      </c>
      <c r="L5277" s="9">
        <v>2024</v>
      </c>
      <c r="M5277" s="8" t="s">
        <v>30385</v>
      </c>
      <c r="N5277" s="8" t="s">
        <v>37</v>
      </c>
      <c r="O5277" s="8" t="s">
        <v>233</v>
      </c>
      <c r="P5277" s="6" t="s">
        <v>51</v>
      </c>
      <c r="Q5277" s="8" t="s">
        <v>52</v>
      </c>
      <c r="R5277" s="10" t="s">
        <v>30386</v>
      </c>
      <c r="S5277" s="11" t="s">
        <v>30387</v>
      </c>
      <c r="T5277" s="6"/>
      <c r="U5277" s="15" t="str">
        <f>HYPERLINK("https://media.infra-m.ru/2125/2125184/cover/2125184.jpg", "Обложка")</f>
        <v>Обложка</v>
      </c>
      <c r="V5277" s="8" t="s">
        <v>3196</v>
      </c>
      <c r="W5277" s="6"/>
      <c r="X5277" s="6"/>
      <c r="Y5277" s="6"/>
      <c r="Z5277" s="6"/>
      <c r="AA5277" s="6" t="s">
        <v>55</v>
      </c>
      <c r="AB5277" s="8"/>
      <c r="AC5277" s="27">
        <v>9785160056500</v>
      </c>
    </row>
    <row r="5278" spans="1:29" s="4" customFormat="1" ht="51.9" customHeight="1" x14ac:dyDescent="0.2">
      <c r="A5278" s="5">
        <v>0</v>
      </c>
      <c r="B5278" s="6" t="s">
        <v>30388</v>
      </c>
      <c r="C5278" s="7">
        <v>1756.8</v>
      </c>
      <c r="D5278" s="8" t="s">
        <v>30389</v>
      </c>
      <c r="E5278" s="8" t="s">
        <v>30390</v>
      </c>
      <c r="F5278" s="8" t="s">
        <v>30391</v>
      </c>
      <c r="G5278" s="6" t="s">
        <v>60</v>
      </c>
      <c r="H5278" s="6" t="s">
        <v>34</v>
      </c>
      <c r="I5278" s="8" t="s">
        <v>504</v>
      </c>
      <c r="J5278" s="9">
        <v>1</v>
      </c>
      <c r="K5278" s="9">
        <v>253</v>
      </c>
      <c r="L5278" s="9">
        <v>2027</v>
      </c>
      <c r="M5278" s="8" t="s">
        <v>30392</v>
      </c>
      <c r="N5278" s="8" t="s">
        <v>37</v>
      </c>
      <c r="O5278" s="8" t="s">
        <v>233</v>
      </c>
      <c r="P5278" s="6" t="s">
        <v>51</v>
      </c>
      <c r="Q5278" s="8" t="s">
        <v>500</v>
      </c>
      <c r="R5278" s="10" t="s">
        <v>2033</v>
      </c>
      <c r="S5278" s="11" t="s">
        <v>30393</v>
      </c>
      <c r="T5278" s="6"/>
      <c r="U5278" s="15" t="str">
        <f>HYPERLINK("https://media.infra-m.ru/2263/2263229/cover/2263229.jpg", "Обложка")</f>
        <v>Обложка</v>
      </c>
      <c r="V5278" s="8" t="s">
        <v>2222</v>
      </c>
      <c r="W5278" s="6"/>
      <c r="X5278" s="6"/>
      <c r="Y5278" s="6"/>
      <c r="Z5278" s="6"/>
      <c r="AA5278" s="6" t="s">
        <v>1256</v>
      </c>
      <c r="AB5278" s="8"/>
      <c r="AC5278" s="27">
        <v>9785160149691</v>
      </c>
    </row>
    <row r="5279" spans="1:29" s="4" customFormat="1" ht="51.9" customHeight="1" x14ac:dyDescent="0.2">
      <c r="A5279" s="5">
        <v>0</v>
      </c>
      <c r="B5279" s="6" t="s">
        <v>30394</v>
      </c>
      <c r="C5279" s="7">
        <v>1872</v>
      </c>
      <c r="D5279" s="8" t="s">
        <v>30395</v>
      </c>
      <c r="E5279" s="8" t="s">
        <v>30396</v>
      </c>
      <c r="F5279" s="8" t="s">
        <v>30397</v>
      </c>
      <c r="G5279" s="6" t="s">
        <v>118</v>
      </c>
      <c r="H5279" s="6" t="s">
        <v>34</v>
      </c>
      <c r="I5279" s="8" t="s">
        <v>263</v>
      </c>
      <c r="J5279" s="9">
        <v>1</v>
      </c>
      <c r="K5279" s="9">
        <v>268</v>
      </c>
      <c r="L5279" s="9">
        <v>2027</v>
      </c>
      <c r="M5279" s="8" t="s">
        <v>30398</v>
      </c>
      <c r="N5279" s="8" t="s">
        <v>243</v>
      </c>
      <c r="O5279" s="8" t="s">
        <v>798</v>
      </c>
      <c r="P5279" s="6" t="s">
        <v>306</v>
      </c>
      <c r="Q5279" s="8" t="s">
        <v>265</v>
      </c>
      <c r="R5279" s="10" t="s">
        <v>25175</v>
      </c>
      <c r="S5279" s="11" t="s">
        <v>25176</v>
      </c>
      <c r="T5279" s="6"/>
      <c r="U5279" s="15" t="str">
        <f>HYPERLINK("https://media.infra-m.ru/2263/2263130/cover/2263130.jpg", "Обложка")</f>
        <v>Обложка</v>
      </c>
      <c r="V5279" s="8" t="s">
        <v>809</v>
      </c>
      <c r="W5279" s="6"/>
      <c r="X5279" s="6" t="s">
        <v>24</v>
      </c>
      <c r="Y5279" s="6"/>
      <c r="Z5279" s="6"/>
      <c r="AA5279" s="6" t="s">
        <v>4554</v>
      </c>
      <c r="AB5279" s="8"/>
      <c r="AC5279" s="27">
        <v>9785160044163</v>
      </c>
    </row>
    <row r="5280" spans="1:29" s="4" customFormat="1" ht="51.9" customHeight="1" x14ac:dyDescent="0.2">
      <c r="A5280" s="5">
        <v>0</v>
      </c>
      <c r="B5280" s="6" t="s">
        <v>30399</v>
      </c>
      <c r="C5280" s="7">
        <v>1300.8</v>
      </c>
      <c r="D5280" s="8" t="s">
        <v>30400</v>
      </c>
      <c r="E5280" s="8" t="s">
        <v>30401</v>
      </c>
      <c r="F5280" s="8" t="s">
        <v>30402</v>
      </c>
      <c r="G5280" s="6" t="s">
        <v>118</v>
      </c>
      <c r="H5280" s="6" t="s">
        <v>48</v>
      </c>
      <c r="I5280" s="8" t="s">
        <v>271</v>
      </c>
      <c r="J5280" s="9">
        <v>1</v>
      </c>
      <c r="K5280" s="9">
        <v>208</v>
      </c>
      <c r="L5280" s="9">
        <v>2025</v>
      </c>
      <c r="M5280" s="8" t="s">
        <v>30403</v>
      </c>
      <c r="N5280" s="8" t="s">
        <v>585</v>
      </c>
      <c r="O5280" s="8" t="s">
        <v>775</v>
      </c>
      <c r="P5280" s="6" t="s">
        <v>51</v>
      </c>
      <c r="Q5280" s="8" t="s">
        <v>52</v>
      </c>
      <c r="R5280" s="10" t="s">
        <v>11696</v>
      </c>
      <c r="S5280" s="11" t="s">
        <v>30404</v>
      </c>
      <c r="T5280" s="6"/>
      <c r="U5280" s="15" t="str">
        <f>HYPERLINK("https://media.infra-m.ru/2194/2194388/cover/2194388.jpg", "Обложка")</f>
        <v>Обложка</v>
      </c>
      <c r="V5280" s="8" t="s">
        <v>704</v>
      </c>
      <c r="W5280" s="6"/>
      <c r="X5280" s="6"/>
      <c r="Y5280" s="6"/>
      <c r="Z5280" s="6"/>
      <c r="AA5280" s="6" t="s">
        <v>274</v>
      </c>
      <c r="AB5280" s="8"/>
      <c r="AC5280" s="27">
        <v>9785911349325</v>
      </c>
    </row>
    <row r="5281" spans="1:29" s="4" customFormat="1" ht="42" customHeight="1" x14ac:dyDescent="0.2">
      <c r="A5281" s="5">
        <v>0</v>
      </c>
      <c r="B5281" s="6" t="s">
        <v>30405</v>
      </c>
      <c r="C5281" s="7">
        <v>1512</v>
      </c>
      <c r="D5281" s="8" t="s">
        <v>30406</v>
      </c>
      <c r="E5281" s="8" t="s">
        <v>30407</v>
      </c>
      <c r="F5281" s="8" t="s">
        <v>30408</v>
      </c>
      <c r="G5281" s="6" t="s">
        <v>60</v>
      </c>
      <c r="H5281" s="6" t="s">
        <v>34</v>
      </c>
      <c r="I5281" s="8" t="s">
        <v>35</v>
      </c>
      <c r="J5281" s="9">
        <v>1</v>
      </c>
      <c r="K5281" s="9">
        <v>237</v>
      </c>
      <c r="L5281" s="9">
        <v>2025</v>
      </c>
      <c r="M5281" s="8" t="s">
        <v>30409</v>
      </c>
      <c r="N5281" s="8" t="s">
        <v>37</v>
      </c>
      <c r="O5281" s="8" t="s">
        <v>233</v>
      </c>
      <c r="P5281" s="6" t="s">
        <v>39</v>
      </c>
      <c r="Q5281" s="8" t="s">
        <v>40</v>
      </c>
      <c r="R5281" s="10" t="s">
        <v>7833</v>
      </c>
      <c r="S5281" s="11"/>
      <c r="T5281" s="6"/>
      <c r="U5281" s="15" t="str">
        <f>HYPERLINK("https://media.infra-m.ru/2147/2147388/cover/2147388.jpg", "Обложка")</f>
        <v>Обложка</v>
      </c>
      <c r="V5281" s="8" t="s">
        <v>7167</v>
      </c>
      <c r="W5281" s="6"/>
      <c r="X5281" s="6"/>
      <c r="Y5281" s="6"/>
      <c r="Z5281" s="6"/>
      <c r="AA5281" s="6" t="s">
        <v>68</v>
      </c>
      <c r="AB5281" s="8"/>
      <c r="AC5281" s="27">
        <v>9785160199511</v>
      </c>
    </row>
    <row r="5282" spans="1:29" s="4" customFormat="1" ht="51.9" customHeight="1" x14ac:dyDescent="0.2">
      <c r="A5282" s="5">
        <v>0</v>
      </c>
      <c r="B5282" s="6" t="s">
        <v>30410</v>
      </c>
      <c r="C5282" s="7">
        <v>3744</v>
      </c>
      <c r="D5282" s="8" t="s">
        <v>30411</v>
      </c>
      <c r="E5282" s="8" t="s">
        <v>30412</v>
      </c>
      <c r="F5282" s="8" t="s">
        <v>30413</v>
      </c>
      <c r="G5282" s="6" t="s">
        <v>60</v>
      </c>
      <c r="H5282" s="6" t="s">
        <v>34</v>
      </c>
      <c r="I5282" s="8" t="s">
        <v>253</v>
      </c>
      <c r="J5282" s="9">
        <v>1</v>
      </c>
      <c r="K5282" s="9">
        <v>599</v>
      </c>
      <c r="L5282" s="9">
        <v>2025</v>
      </c>
      <c r="M5282" s="8" t="s">
        <v>30414</v>
      </c>
      <c r="N5282" s="8" t="s">
        <v>37</v>
      </c>
      <c r="O5282" s="8" t="s">
        <v>233</v>
      </c>
      <c r="P5282" s="6" t="s">
        <v>306</v>
      </c>
      <c r="Q5282" s="8" t="s">
        <v>52</v>
      </c>
      <c r="R5282" s="10" t="s">
        <v>30415</v>
      </c>
      <c r="S5282" s="11"/>
      <c r="T5282" s="6"/>
      <c r="U5282" s="15" t="str">
        <f>HYPERLINK("https://media.infra-m.ru/2170/2170477/cover/2170477.jpg", "Обложка")</f>
        <v>Обложка</v>
      </c>
      <c r="V5282" s="8" t="s">
        <v>1505</v>
      </c>
      <c r="W5282" s="6"/>
      <c r="X5282" s="6"/>
      <c r="Y5282" s="6"/>
      <c r="Z5282" s="6"/>
      <c r="AA5282" s="6" t="s">
        <v>68</v>
      </c>
      <c r="AB5282" s="8"/>
      <c r="AC5282" s="27">
        <v>9785160203607</v>
      </c>
    </row>
    <row r="5283" spans="1:29" s="4" customFormat="1" ht="42" customHeight="1" x14ac:dyDescent="0.2">
      <c r="A5283" s="5">
        <v>0</v>
      </c>
      <c r="B5283" s="6" t="s">
        <v>30416</v>
      </c>
      <c r="C5283" s="7">
        <v>1836</v>
      </c>
      <c r="D5283" s="8" t="s">
        <v>30417</v>
      </c>
      <c r="E5283" s="8" t="s">
        <v>30418</v>
      </c>
      <c r="F5283" s="8" t="s">
        <v>30419</v>
      </c>
      <c r="G5283" s="6" t="s">
        <v>60</v>
      </c>
      <c r="H5283" s="6" t="s">
        <v>34</v>
      </c>
      <c r="I5283" s="8"/>
      <c r="J5283" s="9">
        <v>1</v>
      </c>
      <c r="K5283" s="9">
        <v>256</v>
      </c>
      <c r="L5283" s="9">
        <v>2026</v>
      </c>
      <c r="M5283" s="8" t="s">
        <v>30420</v>
      </c>
      <c r="N5283" s="8" t="s">
        <v>37</v>
      </c>
      <c r="O5283" s="8" t="s">
        <v>233</v>
      </c>
      <c r="P5283" s="6" t="s">
        <v>39</v>
      </c>
      <c r="Q5283" s="8" t="s">
        <v>40</v>
      </c>
      <c r="R5283" s="10" t="s">
        <v>12731</v>
      </c>
      <c r="S5283" s="11"/>
      <c r="T5283" s="6"/>
      <c r="U5283" s="15" t="str">
        <f>HYPERLINK("https://media.infra-m.ru/2243/2243799/cover/2243799.jpg", "Обложка")</f>
        <v>Обложка</v>
      </c>
      <c r="V5283" s="8" t="s">
        <v>227</v>
      </c>
      <c r="W5283" s="6" t="s">
        <v>299</v>
      </c>
      <c r="X5283" s="6"/>
      <c r="Y5283" s="6"/>
      <c r="Z5283" s="6"/>
      <c r="AA5283" s="6"/>
      <c r="AB5283" s="8" t="s">
        <v>308</v>
      </c>
      <c r="AC5283" s="27">
        <v>9785160219691</v>
      </c>
    </row>
    <row r="5284" spans="1:29" s="4" customFormat="1" ht="51.9" customHeight="1" x14ac:dyDescent="0.2">
      <c r="A5284" s="5">
        <v>0</v>
      </c>
      <c r="B5284" s="6" t="s">
        <v>30421</v>
      </c>
      <c r="C5284" s="7">
        <v>3592.8</v>
      </c>
      <c r="D5284" s="8" t="s">
        <v>30422</v>
      </c>
      <c r="E5284" s="8" t="s">
        <v>30423</v>
      </c>
      <c r="F5284" s="8" t="s">
        <v>3255</v>
      </c>
      <c r="G5284" s="6" t="s">
        <v>60</v>
      </c>
      <c r="H5284" s="6" t="s">
        <v>34</v>
      </c>
      <c r="I5284" s="8" t="s">
        <v>35</v>
      </c>
      <c r="J5284" s="9">
        <v>1</v>
      </c>
      <c r="K5284" s="9">
        <v>583</v>
      </c>
      <c r="L5284" s="9">
        <v>2026</v>
      </c>
      <c r="M5284" s="8" t="s">
        <v>30424</v>
      </c>
      <c r="N5284" s="8" t="s">
        <v>37</v>
      </c>
      <c r="O5284" s="8" t="s">
        <v>38</v>
      </c>
      <c r="P5284" s="6" t="s">
        <v>39</v>
      </c>
      <c r="Q5284" s="8" t="s">
        <v>40</v>
      </c>
      <c r="R5284" s="10" t="s">
        <v>30425</v>
      </c>
      <c r="S5284" s="11"/>
      <c r="T5284" s="6"/>
      <c r="U5284" s="15" t="str">
        <f>HYPERLINK("https://media.infra-m.ru/2264/2264633/cover/2264633.jpg", "Обложка")</f>
        <v>Обложка</v>
      </c>
      <c r="V5284" s="8" t="s">
        <v>3109</v>
      </c>
      <c r="W5284" s="6"/>
      <c r="X5284" s="6"/>
      <c r="Y5284" s="6"/>
      <c r="Z5284" s="6"/>
      <c r="AA5284" s="6" t="s">
        <v>420</v>
      </c>
      <c r="AB5284" s="8"/>
      <c r="AC5284" s="27">
        <v>9785160212548</v>
      </c>
    </row>
    <row r="5285" spans="1:29" s="4" customFormat="1" ht="51.9" customHeight="1" x14ac:dyDescent="0.2">
      <c r="A5285" s="5">
        <v>0</v>
      </c>
      <c r="B5285" s="6" t="s">
        <v>30426</v>
      </c>
      <c r="C5285" s="13">
        <v>816</v>
      </c>
      <c r="D5285" s="8" t="s">
        <v>30427</v>
      </c>
      <c r="E5285" s="8" t="s">
        <v>30428</v>
      </c>
      <c r="F5285" s="8" t="s">
        <v>30429</v>
      </c>
      <c r="G5285" s="6" t="s">
        <v>33</v>
      </c>
      <c r="H5285" s="6" t="s">
        <v>34</v>
      </c>
      <c r="I5285" s="8" t="s">
        <v>35</v>
      </c>
      <c r="J5285" s="9">
        <v>1</v>
      </c>
      <c r="K5285" s="9">
        <v>137</v>
      </c>
      <c r="L5285" s="9">
        <v>2024</v>
      </c>
      <c r="M5285" s="8" t="s">
        <v>30430</v>
      </c>
      <c r="N5285" s="8" t="s">
        <v>63</v>
      </c>
      <c r="O5285" s="8" t="s">
        <v>64</v>
      </c>
      <c r="P5285" s="6" t="s">
        <v>1689</v>
      </c>
      <c r="Q5285" s="8" t="s">
        <v>40</v>
      </c>
      <c r="R5285" s="10" t="s">
        <v>30431</v>
      </c>
      <c r="S5285" s="11"/>
      <c r="T5285" s="6"/>
      <c r="U5285" s="15" t="str">
        <f>HYPERLINK("https://media.infra-m.ru/1911/1911446/cover/1911446.jpg", "Обложка")</f>
        <v>Обложка</v>
      </c>
      <c r="V5285" s="8"/>
      <c r="W5285" s="6"/>
      <c r="X5285" s="6"/>
      <c r="Y5285" s="6"/>
      <c r="Z5285" s="6"/>
      <c r="AA5285" s="6" t="s">
        <v>76</v>
      </c>
      <c r="AB5285" s="8"/>
      <c r="AC5285" s="27">
        <v>9785160181141</v>
      </c>
    </row>
    <row r="5286" spans="1:29" s="4" customFormat="1" ht="42" customHeight="1" x14ac:dyDescent="0.2">
      <c r="A5286" s="5">
        <v>0</v>
      </c>
      <c r="B5286" s="6" t="s">
        <v>30432</v>
      </c>
      <c r="C5286" s="7">
        <v>1140</v>
      </c>
      <c r="D5286" s="8" t="s">
        <v>30433</v>
      </c>
      <c r="E5286" s="8" t="s">
        <v>30434</v>
      </c>
      <c r="F5286" s="8" t="s">
        <v>30435</v>
      </c>
      <c r="G5286" s="6" t="s">
        <v>118</v>
      </c>
      <c r="H5286" s="6" t="s">
        <v>34</v>
      </c>
      <c r="I5286" s="8" t="s">
        <v>35</v>
      </c>
      <c r="J5286" s="9">
        <v>1</v>
      </c>
      <c r="K5286" s="9">
        <v>189</v>
      </c>
      <c r="L5286" s="9">
        <v>2025</v>
      </c>
      <c r="M5286" s="8" t="s">
        <v>30436</v>
      </c>
      <c r="N5286" s="8" t="s">
        <v>93</v>
      </c>
      <c r="O5286" s="8" t="s">
        <v>94</v>
      </c>
      <c r="P5286" s="6" t="s">
        <v>39</v>
      </c>
      <c r="Q5286" s="8" t="s">
        <v>40</v>
      </c>
      <c r="R5286" s="10" t="s">
        <v>30437</v>
      </c>
      <c r="S5286" s="11"/>
      <c r="T5286" s="6"/>
      <c r="U5286" s="15" t="str">
        <f>HYPERLINK("https://media.infra-m.ru/2158/2158048/cover/2158048.jpg", "Обложка")</f>
        <v>Обложка</v>
      </c>
      <c r="V5286" s="8" t="s">
        <v>128</v>
      </c>
      <c r="W5286" s="6"/>
      <c r="X5286" s="6"/>
      <c r="Y5286" s="6"/>
      <c r="Z5286" s="6"/>
      <c r="AA5286" s="6" t="s">
        <v>99</v>
      </c>
      <c r="AB5286" s="8"/>
      <c r="AC5286" s="27">
        <v>9785160126159</v>
      </c>
    </row>
    <row r="5287" spans="1:29" s="4" customFormat="1" ht="42" customHeight="1" x14ac:dyDescent="0.2">
      <c r="A5287" s="5">
        <v>0</v>
      </c>
      <c r="B5287" s="6" t="s">
        <v>30438</v>
      </c>
      <c r="C5287" s="7">
        <v>2716.8</v>
      </c>
      <c r="D5287" s="8" t="s">
        <v>30439</v>
      </c>
      <c r="E5287" s="8" t="s">
        <v>30440</v>
      </c>
      <c r="F5287" s="8" t="s">
        <v>30441</v>
      </c>
      <c r="G5287" s="6" t="s">
        <v>60</v>
      </c>
      <c r="H5287" s="6" t="s">
        <v>5605</v>
      </c>
      <c r="I5287" s="8" t="s">
        <v>10444</v>
      </c>
      <c r="J5287" s="9">
        <v>1</v>
      </c>
      <c r="K5287" s="9">
        <v>435</v>
      </c>
      <c r="L5287" s="9">
        <v>2025</v>
      </c>
      <c r="M5287" s="8" t="s">
        <v>30442</v>
      </c>
      <c r="N5287" s="8" t="s">
        <v>37</v>
      </c>
      <c r="O5287" s="8" t="s">
        <v>136</v>
      </c>
      <c r="P5287" s="6" t="s">
        <v>39</v>
      </c>
      <c r="Q5287" s="8" t="s">
        <v>40</v>
      </c>
      <c r="R5287" s="10" t="s">
        <v>1625</v>
      </c>
      <c r="S5287" s="11"/>
      <c r="T5287" s="6"/>
      <c r="U5287" s="15" t="str">
        <f>HYPERLINK("https://media.infra-m.ru/2208/2208467/cover/2208467.jpg", "Обложка")</f>
        <v>Обложка</v>
      </c>
      <c r="V5287" s="8" t="s">
        <v>9937</v>
      </c>
      <c r="W5287" s="6"/>
      <c r="X5287" s="6"/>
      <c r="Y5287" s="6"/>
      <c r="Z5287" s="6"/>
      <c r="AA5287" s="6" t="s">
        <v>1047</v>
      </c>
      <c r="AB5287" s="8"/>
      <c r="AC5287" s="27">
        <v>9785160031811</v>
      </c>
    </row>
    <row r="5288" spans="1:29" s="4" customFormat="1" ht="42" customHeight="1" x14ac:dyDescent="0.2">
      <c r="A5288" s="5">
        <v>0</v>
      </c>
      <c r="B5288" s="6" t="s">
        <v>30443</v>
      </c>
      <c r="C5288" s="7">
        <v>1324.8</v>
      </c>
      <c r="D5288" s="8" t="s">
        <v>30444</v>
      </c>
      <c r="E5288" s="8" t="s">
        <v>30445</v>
      </c>
      <c r="F5288" s="8" t="s">
        <v>11542</v>
      </c>
      <c r="G5288" s="6" t="s">
        <v>33</v>
      </c>
      <c r="H5288" s="6" t="s">
        <v>34</v>
      </c>
      <c r="I5288" s="8" t="s">
        <v>35</v>
      </c>
      <c r="J5288" s="9">
        <v>1</v>
      </c>
      <c r="K5288" s="9">
        <v>200</v>
      </c>
      <c r="L5288" s="9">
        <v>2026</v>
      </c>
      <c r="M5288" s="8" t="s">
        <v>30446</v>
      </c>
      <c r="N5288" s="8" t="s">
        <v>585</v>
      </c>
      <c r="O5288" s="8" t="s">
        <v>775</v>
      </c>
      <c r="P5288" s="6" t="s">
        <v>39</v>
      </c>
      <c r="Q5288" s="8" t="s">
        <v>40</v>
      </c>
      <c r="R5288" s="10" t="s">
        <v>15032</v>
      </c>
      <c r="S5288" s="11"/>
      <c r="T5288" s="6"/>
      <c r="U5288" s="15" t="str">
        <f>HYPERLINK("https://media.infra-m.ru/2249/2249528/cover/2249528.jpg", "Обложка")</f>
        <v>Обложка</v>
      </c>
      <c r="V5288" s="8" t="s">
        <v>546</v>
      </c>
      <c r="W5288" s="6"/>
      <c r="X5288" s="6"/>
      <c r="Y5288" s="6"/>
      <c r="Z5288" s="6"/>
      <c r="AA5288" s="6" t="s">
        <v>1256</v>
      </c>
      <c r="AB5288" s="8"/>
      <c r="AC5288" s="27">
        <v>9785160159355</v>
      </c>
    </row>
    <row r="5289" spans="1:29" s="4" customFormat="1" ht="51.9" customHeight="1" x14ac:dyDescent="0.2">
      <c r="A5289" s="5">
        <v>0</v>
      </c>
      <c r="B5289" s="6" t="s">
        <v>30447</v>
      </c>
      <c r="C5289" s="7">
        <v>1672.8</v>
      </c>
      <c r="D5289" s="8" t="s">
        <v>30448</v>
      </c>
      <c r="E5289" s="8" t="s">
        <v>30449</v>
      </c>
      <c r="F5289" s="8" t="s">
        <v>30450</v>
      </c>
      <c r="G5289" s="6" t="s">
        <v>33</v>
      </c>
      <c r="H5289" s="6" t="s">
        <v>1042</v>
      </c>
      <c r="I5289" s="8" t="s">
        <v>253</v>
      </c>
      <c r="J5289" s="9">
        <v>1</v>
      </c>
      <c r="K5289" s="9">
        <v>240</v>
      </c>
      <c r="L5289" s="9">
        <v>2026</v>
      </c>
      <c r="M5289" s="8" t="s">
        <v>30451</v>
      </c>
      <c r="N5289" s="8" t="s">
        <v>585</v>
      </c>
      <c r="O5289" s="8" t="s">
        <v>775</v>
      </c>
      <c r="P5289" s="6" t="s">
        <v>51</v>
      </c>
      <c r="Q5289" s="8" t="s">
        <v>52</v>
      </c>
      <c r="R5289" s="10" t="s">
        <v>30452</v>
      </c>
      <c r="S5289" s="11" t="s">
        <v>30139</v>
      </c>
      <c r="T5289" s="6"/>
      <c r="U5289" s="15" t="str">
        <f>HYPERLINK("https://media.infra-m.ru/2234/2234430/cover/2234430.jpg", "Обложка")</f>
        <v>Обложка</v>
      </c>
      <c r="V5289" s="8" t="s">
        <v>761</v>
      </c>
      <c r="W5289" s="6"/>
      <c r="X5289" s="6"/>
      <c r="Y5289" s="6"/>
      <c r="Z5289" s="6"/>
      <c r="AA5289" s="6" t="s">
        <v>99</v>
      </c>
      <c r="AB5289" s="8"/>
      <c r="AC5289" s="27">
        <v>9785819909102</v>
      </c>
    </row>
    <row r="5290" spans="1:29" s="4" customFormat="1" ht="44.1" customHeight="1" x14ac:dyDescent="0.2">
      <c r="A5290" s="5">
        <v>0</v>
      </c>
      <c r="B5290" s="6" t="s">
        <v>30453</v>
      </c>
      <c r="C5290" s="7">
        <v>1636.8</v>
      </c>
      <c r="D5290" s="8" t="s">
        <v>30454</v>
      </c>
      <c r="E5290" s="8" t="s">
        <v>30455</v>
      </c>
      <c r="F5290" s="8" t="s">
        <v>4643</v>
      </c>
      <c r="G5290" s="6" t="s">
        <v>33</v>
      </c>
      <c r="H5290" s="6" t="s">
        <v>1042</v>
      </c>
      <c r="I5290" s="8"/>
      <c r="J5290" s="9">
        <v>1</v>
      </c>
      <c r="K5290" s="9">
        <v>256</v>
      </c>
      <c r="L5290" s="9">
        <v>2026</v>
      </c>
      <c r="M5290" s="8" t="s">
        <v>30456</v>
      </c>
      <c r="N5290" s="8" t="s">
        <v>585</v>
      </c>
      <c r="O5290" s="8" t="s">
        <v>775</v>
      </c>
      <c r="P5290" s="6" t="s">
        <v>39</v>
      </c>
      <c r="Q5290" s="8" t="s">
        <v>40</v>
      </c>
      <c r="R5290" s="10" t="s">
        <v>30457</v>
      </c>
      <c r="S5290" s="11"/>
      <c r="T5290" s="6"/>
      <c r="U5290" s="15" t="str">
        <f>HYPERLINK("https://media.infra-m.ru/2217/2217458/cover/2217458.jpg", "Обложка")</f>
        <v>Обложка</v>
      </c>
      <c r="V5290" s="8" t="s">
        <v>761</v>
      </c>
      <c r="W5290" s="6"/>
      <c r="X5290" s="6"/>
      <c r="Y5290" s="6"/>
      <c r="Z5290" s="6"/>
      <c r="AA5290" s="6" t="s">
        <v>274</v>
      </c>
      <c r="AB5290" s="8"/>
      <c r="AC5290" s="27">
        <v>9785819906187</v>
      </c>
    </row>
    <row r="5291" spans="1:29" s="4" customFormat="1" ht="42" customHeight="1" x14ac:dyDescent="0.2">
      <c r="A5291" s="5">
        <v>0</v>
      </c>
      <c r="B5291" s="6" t="s">
        <v>30458</v>
      </c>
      <c r="C5291" s="7">
        <v>1260</v>
      </c>
      <c r="D5291" s="8" t="s">
        <v>30459</v>
      </c>
      <c r="E5291" s="8" t="s">
        <v>30460</v>
      </c>
      <c r="F5291" s="8" t="s">
        <v>4643</v>
      </c>
      <c r="G5291" s="6" t="s">
        <v>33</v>
      </c>
      <c r="H5291" s="6" t="s">
        <v>34</v>
      </c>
      <c r="I5291" s="8" t="s">
        <v>35</v>
      </c>
      <c r="J5291" s="9">
        <v>1</v>
      </c>
      <c r="K5291" s="9">
        <v>203</v>
      </c>
      <c r="L5291" s="9">
        <v>2021</v>
      </c>
      <c r="M5291" s="8" t="s">
        <v>30461</v>
      </c>
      <c r="N5291" s="8" t="s">
        <v>243</v>
      </c>
      <c r="O5291" s="8" t="s">
        <v>798</v>
      </c>
      <c r="P5291" s="6" t="s">
        <v>39</v>
      </c>
      <c r="Q5291" s="8" t="s">
        <v>40</v>
      </c>
      <c r="R5291" s="10" t="s">
        <v>24568</v>
      </c>
      <c r="S5291" s="11"/>
      <c r="T5291" s="6"/>
      <c r="U5291" s="15" t="str">
        <f>HYPERLINK("https://media.infra-m.ru/1230/1230211/cover/1230211.jpg", "Обложка")</f>
        <v>Обложка</v>
      </c>
      <c r="V5291" s="8" t="s">
        <v>761</v>
      </c>
      <c r="W5291" s="6"/>
      <c r="X5291" s="6"/>
      <c r="Y5291" s="6"/>
      <c r="Z5291" s="6"/>
      <c r="AA5291" s="6" t="s">
        <v>430</v>
      </c>
      <c r="AB5291" s="8"/>
      <c r="AC5291" s="27">
        <v>9785160167732</v>
      </c>
    </row>
    <row r="5292" spans="1:29" s="4" customFormat="1" ht="44.1" customHeight="1" x14ac:dyDescent="0.2">
      <c r="A5292" s="5">
        <v>0</v>
      </c>
      <c r="B5292" s="6" t="s">
        <v>30462</v>
      </c>
      <c r="C5292" s="7">
        <v>1224</v>
      </c>
      <c r="D5292" s="8" t="s">
        <v>30463</v>
      </c>
      <c r="E5292" s="8" t="s">
        <v>30464</v>
      </c>
      <c r="F5292" s="8" t="s">
        <v>30465</v>
      </c>
      <c r="G5292" s="6" t="s">
        <v>118</v>
      </c>
      <c r="H5292" s="6" t="s">
        <v>34</v>
      </c>
      <c r="I5292" s="8" t="s">
        <v>35</v>
      </c>
      <c r="J5292" s="9">
        <v>1</v>
      </c>
      <c r="K5292" s="9">
        <v>214</v>
      </c>
      <c r="L5292" s="9">
        <v>2024</v>
      </c>
      <c r="M5292" s="8" t="s">
        <v>30466</v>
      </c>
      <c r="N5292" s="8" t="s">
        <v>37</v>
      </c>
      <c r="O5292" s="8" t="s">
        <v>136</v>
      </c>
      <c r="P5292" s="6" t="s">
        <v>39</v>
      </c>
      <c r="Q5292" s="8" t="s">
        <v>40</v>
      </c>
      <c r="R5292" s="10" t="s">
        <v>14663</v>
      </c>
      <c r="S5292" s="11"/>
      <c r="T5292" s="6"/>
      <c r="U5292" s="15" t="str">
        <f>HYPERLINK("https://media.infra-m.ru/2132/2132306/cover/2132306.jpg", "Обложка")</f>
        <v>Обложка</v>
      </c>
      <c r="V5292" s="8" t="s">
        <v>1339</v>
      </c>
      <c r="W5292" s="6"/>
      <c r="X5292" s="6"/>
      <c r="Y5292" s="6"/>
      <c r="Z5292" s="6"/>
      <c r="AA5292" s="6" t="s">
        <v>1256</v>
      </c>
      <c r="AB5292" s="8"/>
      <c r="AC5292" s="27">
        <v>9785160147260</v>
      </c>
    </row>
    <row r="5293" spans="1:29" s="4" customFormat="1" ht="51.9" customHeight="1" x14ac:dyDescent="0.2">
      <c r="A5293" s="5">
        <v>0</v>
      </c>
      <c r="B5293" s="6" t="s">
        <v>30467</v>
      </c>
      <c r="C5293" s="7">
        <v>2076</v>
      </c>
      <c r="D5293" s="8" t="s">
        <v>30468</v>
      </c>
      <c r="E5293" s="8" t="s">
        <v>30469</v>
      </c>
      <c r="F5293" s="8" t="s">
        <v>9040</v>
      </c>
      <c r="G5293" s="6" t="s">
        <v>118</v>
      </c>
      <c r="H5293" s="6" t="s">
        <v>34</v>
      </c>
      <c r="I5293" s="8" t="s">
        <v>263</v>
      </c>
      <c r="J5293" s="9">
        <v>1</v>
      </c>
      <c r="K5293" s="9">
        <v>334</v>
      </c>
      <c r="L5293" s="9">
        <v>2025</v>
      </c>
      <c r="M5293" s="8" t="s">
        <v>30470</v>
      </c>
      <c r="N5293" s="8" t="s">
        <v>243</v>
      </c>
      <c r="O5293" s="8" t="s">
        <v>244</v>
      </c>
      <c r="P5293" s="6" t="s">
        <v>51</v>
      </c>
      <c r="Q5293" s="8" t="s">
        <v>265</v>
      </c>
      <c r="R5293" s="10" t="s">
        <v>30471</v>
      </c>
      <c r="S5293" s="11" t="s">
        <v>30472</v>
      </c>
      <c r="T5293" s="6"/>
      <c r="U5293" s="15" t="str">
        <f>HYPERLINK("https://media.infra-m.ru/2187/2187013/cover/2187013.jpg", "Обложка")</f>
        <v>Обложка</v>
      </c>
      <c r="V5293" s="8"/>
      <c r="W5293" s="6"/>
      <c r="X5293" s="6"/>
      <c r="Y5293" s="6"/>
      <c r="Z5293" s="6"/>
      <c r="AA5293" s="6" t="s">
        <v>430</v>
      </c>
      <c r="AB5293" s="8"/>
      <c r="AC5293" s="27">
        <v>9785160145426</v>
      </c>
    </row>
    <row r="5294" spans="1:29" s="4" customFormat="1" ht="51.9" customHeight="1" x14ac:dyDescent="0.2">
      <c r="A5294" s="5">
        <v>0</v>
      </c>
      <c r="B5294" s="6" t="s">
        <v>30473</v>
      </c>
      <c r="C5294" s="7">
        <v>1776</v>
      </c>
      <c r="D5294" s="8" t="s">
        <v>30474</v>
      </c>
      <c r="E5294" s="8" t="s">
        <v>30475</v>
      </c>
      <c r="F5294" s="8" t="s">
        <v>30476</v>
      </c>
      <c r="G5294" s="6" t="s">
        <v>118</v>
      </c>
      <c r="H5294" s="6" t="s">
        <v>34</v>
      </c>
      <c r="I5294" s="8" t="s">
        <v>253</v>
      </c>
      <c r="J5294" s="9">
        <v>1</v>
      </c>
      <c r="K5294" s="9">
        <v>268</v>
      </c>
      <c r="L5294" s="9">
        <v>2026</v>
      </c>
      <c r="M5294" s="8" t="s">
        <v>30477</v>
      </c>
      <c r="N5294" s="8" t="s">
        <v>585</v>
      </c>
      <c r="O5294" s="8" t="s">
        <v>2472</v>
      </c>
      <c r="P5294" s="6" t="s">
        <v>306</v>
      </c>
      <c r="Q5294" s="8" t="s">
        <v>52</v>
      </c>
      <c r="R5294" s="10" t="s">
        <v>18053</v>
      </c>
      <c r="S5294" s="11" t="s">
        <v>30478</v>
      </c>
      <c r="T5294" s="6"/>
      <c r="U5294" s="15" t="str">
        <f>HYPERLINK("https://media.infra-m.ru/2233/2233161/cover/2233161.jpg", "Обложка")</f>
        <v>Обложка</v>
      </c>
      <c r="V5294" s="8" t="s">
        <v>7429</v>
      </c>
      <c r="W5294" s="6"/>
      <c r="X5294" s="6"/>
      <c r="Y5294" s="6"/>
      <c r="Z5294" s="6"/>
      <c r="AA5294" s="6" t="s">
        <v>360</v>
      </c>
      <c r="AB5294" s="8"/>
      <c r="AC5294" s="27">
        <v>9785160196015</v>
      </c>
    </row>
    <row r="5295" spans="1:29" s="4" customFormat="1" ht="51.9" customHeight="1" x14ac:dyDescent="0.2">
      <c r="A5295" s="5">
        <v>0</v>
      </c>
      <c r="B5295" s="6" t="s">
        <v>30479</v>
      </c>
      <c r="C5295" s="7">
        <v>3228</v>
      </c>
      <c r="D5295" s="8" t="s">
        <v>30480</v>
      </c>
      <c r="E5295" s="8" t="s">
        <v>30481</v>
      </c>
      <c r="F5295" s="8" t="s">
        <v>30482</v>
      </c>
      <c r="G5295" s="6" t="s">
        <v>60</v>
      </c>
      <c r="H5295" s="6" t="s">
        <v>34</v>
      </c>
      <c r="I5295" s="8" t="s">
        <v>253</v>
      </c>
      <c r="J5295" s="9">
        <v>1</v>
      </c>
      <c r="K5295" s="9">
        <v>490</v>
      </c>
      <c r="L5295" s="9">
        <v>2026</v>
      </c>
      <c r="M5295" s="8" t="s">
        <v>30483</v>
      </c>
      <c r="N5295" s="8" t="s">
        <v>585</v>
      </c>
      <c r="O5295" s="8" t="s">
        <v>775</v>
      </c>
      <c r="P5295" s="6" t="s">
        <v>306</v>
      </c>
      <c r="Q5295" s="8" t="s">
        <v>65</v>
      </c>
      <c r="R5295" s="10" t="s">
        <v>30484</v>
      </c>
      <c r="S5295" s="11" t="s">
        <v>30485</v>
      </c>
      <c r="T5295" s="6"/>
      <c r="U5295" s="15" t="str">
        <f>HYPERLINK("https://media.infra-m.ru/2223/2223698/cover/2223698.jpg", "Обложка")</f>
        <v>Обложка</v>
      </c>
      <c r="V5295" s="8" t="s">
        <v>7429</v>
      </c>
      <c r="W5295" s="6"/>
      <c r="X5295" s="6" t="s">
        <v>24</v>
      </c>
      <c r="Y5295" s="6"/>
      <c r="Z5295" s="6"/>
      <c r="AA5295" s="6" t="s">
        <v>15559</v>
      </c>
      <c r="AB5295" s="8"/>
      <c r="AC5295" s="27">
        <v>9785160186672</v>
      </c>
    </row>
    <row r="5296" spans="1:29" s="4" customFormat="1" ht="51.9" customHeight="1" x14ac:dyDescent="0.2">
      <c r="A5296" s="5">
        <v>0</v>
      </c>
      <c r="B5296" s="6" t="s">
        <v>30486</v>
      </c>
      <c r="C5296" s="7">
        <v>1168.8</v>
      </c>
      <c r="D5296" s="8" t="s">
        <v>30487</v>
      </c>
      <c r="E5296" s="8" t="s">
        <v>30488</v>
      </c>
      <c r="F5296" s="8" t="s">
        <v>30489</v>
      </c>
      <c r="G5296" s="6" t="s">
        <v>118</v>
      </c>
      <c r="H5296" s="6" t="s">
        <v>134</v>
      </c>
      <c r="I5296" s="8"/>
      <c r="J5296" s="9">
        <v>1</v>
      </c>
      <c r="K5296" s="9">
        <v>168</v>
      </c>
      <c r="L5296" s="9">
        <v>2026</v>
      </c>
      <c r="M5296" s="8" t="s">
        <v>30490</v>
      </c>
      <c r="N5296" s="8" t="s">
        <v>37</v>
      </c>
      <c r="O5296" s="8" t="s">
        <v>136</v>
      </c>
      <c r="P5296" s="6" t="s">
        <v>39</v>
      </c>
      <c r="Q5296" s="8" t="s">
        <v>749</v>
      </c>
      <c r="R5296" s="10" t="s">
        <v>30491</v>
      </c>
      <c r="S5296" s="11"/>
      <c r="T5296" s="6"/>
      <c r="U5296" s="15" t="str">
        <f>HYPERLINK("https://media.infra-m.ru/2250/2250921/cover/2250921.jpg", "Обложка")</f>
        <v>Обложка</v>
      </c>
      <c r="V5296" s="8" t="s">
        <v>546</v>
      </c>
      <c r="W5296" s="6"/>
      <c r="X5296" s="6"/>
      <c r="Y5296" s="6"/>
      <c r="Z5296" s="6"/>
      <c r="AA5296" s="6" t="s">
        <v>2230</v>
      </c>
      <c r="AB5296" s="8"/>
      <c r="AC5296" s="27">
        <v>9785001561040</v>
      </c>
    </row>
    <row r="5297" spans="1:29" s="4" customFormat="1" ht="51.9" customHeight="1" x14ac:dyDescent="0.2">
      <c r="A5297" s="5">
        <v>0</v>
      </c>
      <c r="B5297" s="6" t="s">
        <v>30492</v>
      </c>
      <c r="C5297" s="13">
        <v>665.9</v>
      </c>
      <c r="D5297" s="8" t="s">
        <v>30493</v>
      </c>
      <c r="E5297" s="8" t="s">
        <v>30494</v>
      </c>
      <c r="F5297" s="8" t="s">
        <v>30489</v>
      </c>
      <c r="G5297" s="6" t="s">
        <v>33</v>
      </c>
      <c r="H5297" s="6" t="s">
        <v>134</v>
      </c>
      <c r="I5297" s="8"/>
      <c r="J5297" s="9">
        <v>40</v>
      </c>
      <c r="K5297" s="9">
        <v>160</v>
      </c>
      <c r="L5297" s="9">
        <v>2020</v>
      </c>
      <c r="M5297" s="8" t="s">
        <v>30495</v>
      </c>
      <c r="N5297" s="8" t="s">
        <v>37</v>
      </c>
      <c r="O5297" s="8" t="s">
        <v>136</v>
      </c>
      <c r="P5297" s="6" t="s">
        <v>39</v>
      </c>
      <c r="Q5297" s="8" t="s">
        <v>40</v>
      </c>
      <c r="R5297" s="10" t="s">
        <v>30491</v>
      </c>
      <c r="S5297" s="11"/>
      <c r="T5297" s="6"/>
      <c r="U5297" s="15" t="str">
        <f>HYPERLINK("https://media.infra-m.ru/1064/1064115/cover/1064115.jpg", "Обложка")</f>
        <v>Обложка</v>
      </c>
      <c r="V5297" s="8" t="s">
        <v>546</v>
      </c>
      <c r="W5297" s="6"/>
      <c r="X5297" s="6"/>
      <c r="Y5297" s="6"/>
      <c r="Z5297" s="6"/>
      <c r="AA5297" s="6" t="s">
        <v>874</v>
      </c>
      <c r="AB5297" s="8"/>
      <c r="AC5297" s="27">
        <v>9785917685489</v>
      </c>
    </row>
    <row r="5298" spans="1:29" s="4" customFormat="1" ht="51.9" customHeight="1" x14ac:dyDescent="0.2">
      <c r="A5298" s="5">
        <v>0</v>
      </c>
      <c r="B5298" s="6" t="s">
        <v>30496</v>
      </c>
      <c r="C5298" s="7">
        <v>1968</v>
      </c>
      <c r="D5298" s="8" t="s">
        <v>30497</v>
      </c>
      <c r="E5298" s="8" t="s">
        <v>30498</v>
      </c>
      <c r="F5298" s="8" t="s">
        <v>30499</v>
      </c>
      <c r="G5298" s="6" t="s">
        <v>118</v>
      </c>
      <c r="H5298" s="6" t="s">
        <v>34</v>
      </c>
      <c r="I5298" s="8" t="s">
        <v>35</v>
      </c>
      <c r="J5298" s="9">
        <v>1</v>
      </c>
      <c r="K5298" s="9">
        <v>482</v>
      </c>
      <c r="L5298" s="9">
        <v>2019</v>
      </c>
      <c r="M5298" s="8" t="s">
        <v>30500</v>
      </c>
      <c r="N5298" s="8" t="s">
        <v>63</v>
      </c>
      <c r="O5298" s="8" t="s">
        <v>64</v>
      </c>
      <c r="P5298" s="6" t="s">
        <v>39</v>
      </c>
      <c r="Q5298" s="8" t="s">
        <v>40</v>
      </c>
      <c r="R5298" s="10" t="s">
        <v>30501</v>
      </c>
      <c r="S5298" s="11"/>
      <c r="T5298" s="6"/>
      <c r="U5298" s="15" t="str">
        <f>HYPERLINK("https://media.infra-m.ru/0989/0989367/cover/989367.jpg", "Обложка")</f>
        <v>Обложка</v>
      </c>
      <c r="V5298" s="8" t="s">
        <v>445</v>
      </c>
      <c r="W5298" s="6"/>
      <c r="X5298" s="6"/>
      <c r="Y5298" s="6"/>
      <c r="Z5298" s="6"/>
      <c r="AA5298" s="6" t="s">
        <v>86</v>
      </c>
      <c r="AB5298" s="8"/>
      <c r="AC5298" s="27">
        <v>9785160128078</v>
      </c>
    </row>
    <row r="5299" spans="1:29" s="4" customFormat="1" ht="51.9" customHeight="1" x14ac:dyDescent="0.2">
      <c r="A5299" s="5">
        <v>0</v>
      </c>
      <c r="B5299" s="6" t="s">
        <v>30502</v>
      </c>
      <c r="C5299" s="7">
        <v>3180</v>
      </c>
      <c r="D5299" s="8" t="s">
        <v>30503</v>
      </c>
      <c r="E5299" s="8" t="s">
        <v>30498</v>
      </c>
      <c r="F5299" s="8" t="s">
        <v>30499</v>
      </c>
      <c r="G5299" s="6" t="s">
        <v>33</v>
      </c>
      <c r="H5299" s="6" t="s">
        <v>34</v>
      </c>
      <c r="I5299" s="8" t="s">
        <v>35</v>
      </c>
      <c r="J5299" s="9">
        <v>1</v>
      </c>
      <c r="K5299" s="9">
        <v>482</v>
      </c>
      <c r="L5299" s="9">
        <v>2026</v>
      </c>
      <c r="M5299" s="8" t="s">
        <v>30504</v>
      </c>
      <c r="N5299" s="8" t="s">
        <v>63</v>
      </c>
      <c r="O5299" s="8" t="s">
        <v>64</v>
      </c>
      <c r="P5299" s="6" t="s">
        <v>39</v>
      </c>
      <c r="Q5299" s="8" t="s">
        <v>40</v>
      </c>
      <c r="R5299" s="10" t="s">
        <v>30501</v>
      </c>
      <c r="S5299" s="11"/>
      <c r="T5299" s="6"/>
      <c r="U5299" s="15" t="str">
        <f>HYPERLINK("https://media.infra-m.ru/2219/2219330/cover/2219330.jpg", "Обложка")</f>
        <v>Обложка</v>
      </c>
      <c r="V5299" s="8" t="s">
        <v>445</v>
      </c>
      <c r="W5299" s="6"/>
      <c r="X5299" s="6"/>
      <c r="Y5299" s="6"/>
      <c r="Z5299" s="6"/>
      <c r="AA5299" s="6" t="s">
        <v>86</v>
      </c>
      <c r="AB5299" s="8"/>
      <c r="AC5299" s="27">
        <v>9785160194301</v>
      </c>
    </row>
    <row r="5300" spans="1:29" s="4" customFormat="1" ht="51.9" customHeight="1" x14ac:dyDescent="0.2">
      <c r="A5300" s="5">
        <v>0</v>
      </c>
      <c r="B5300" s="6" t="s">
        <v>30505</v>
      </c>
      <c r="C5300" s="7">
        <v>2172</v>
      </c>
      <c r="D5300" s="8" t="s">
        <v>30506</v>
      </c>
      <c r="E5300" s="8" t="s">
        <v>30507</v>
      </c>
      <c r="F5300" s="8" t="s">
        <v>30508</v>
      </c>
      <c r="G5300" s="6" t="s">
        <v>60</v>
      </c>
      <c r="H5300" s="6" t="s">
        <v>34</v>
      </c>
      <c r="I5300" s="8" t="s">
        <v>35</v>
      </c>
      <c r="J5300" s="9">
        <v>1</v>
      </c>
      <c r="K5300" s="9">
        <v>356</v>
      </c>
      <c r="L5300" s="9">
        <v>2025</v>
      </c>
      <c r="M5300" s="8" t="s">
        <v>30509</v>
      </c>
      <c r="N5300" s="8" t="s">
        <v>63</v>
      </c>
      <c r="O5300" s="8" t="s">
        <v>154</v>
      </c>
      <c r="P5300" s="6" t="s">
        <v>39</v>
      </c>
      <c r="Q5300" s="8" t="s">
        <v>40</v>
      </c>
      <c r="R5300" s="10" t="s">
        <v>30510</v>
      </c>
      <c r="S5300" s="11"/>
      <c r="T5300" s="6"/>
      <c r="U5300" s="15" t="str">
        <f>HYPERLINK("https://media.infra-m.ru/2168/2168595/cover/2168595.jpg", "Обложка")</f>
        <v>Обложка</v>
      </c>
      <c r="V5300" s="8" t="s">
        <v>54</v>
      </c>
      <c r="W5300" s="6"/>
      <c r="X5300" s="6"/>
      <c r="Y5300" s="6"/>
      <c r="Z5300" s="6"/>
      <c r="AA5300" s="6" t="s">
        <v>68</v>
      </c>
      <c r="AB5300" s="8" t="s">
        <v>8822</v>
      </c>
      <c r="AC5300" s="27">
        <v>9785160202891</v>
      </c>
    </row>
    <row r="5301" spans="1:29" s="4" customFormat="1" ht="51.9" customHeight="1" x14ac:dyDescent="0.2">
      <c r="A5301" s="5">
        <v>0</v>
      </c>
      <c r="B5301" s="6" t="s">
        <v>30511</v>
      </c>
      <c r="C5301" s="7">
        <v>1500</v>
      </c>
      <c r="D5301" s="8" t="s">
        <v>30512</v>
      </c>
      <c r="E5301" s="8" t="s">
        <v>30513</v>
      </c>
      <c r="F5301" s="8" t="s">
        <v>30514</v>
      </c>
      <c r="G5301" s="6" t="s">
        <v>60</v>
      </c>
      <c r="H5301" s="6" t="s">
        <v>34</v>
      </c>
      <c r="I5301" s="8"/>
      <c r="J5301" s="9">
        <v>1</v>
      </c>
      <c r="K5301" s="9">
        <v>632</v>
      </c>
      <c r="L5301" s="9">
        <v>2024</v>
      </c>
      <c r="M5301" s="8" t="s">
        <v>30515</v>
      </c>
      <c r="N5301" s="8" t="s">
        <v>37</v>
      </c>
      <c r="O5301" s="8" t="s">
        <v>8119</v>
      </c>
      <c r="P5301" s="6" t="s">
        <v>39</v>
      </c>
      <c r="Q5301" s="8" t="s">
        <v>40</v>
      </c>
      <c r="R5301" s="10" t="s">
        <v>30516</v>
      </c>
      <c r="S5301" s="11"/>
      <c r="T5301" s="6"/>
      <c r="U5301" s="15" t="str">
        <f>HYPERLINK("https://media.infra-m.ru/2148/2148321/cover/2148321.jpg", "Обложка")</f>
        <v>Обложка</v>
      </c>
      <c r="V5301" s="8" t="s">
        <v>3087</v>
      </c>
      <c r="W5301" s="6"/>
      <c r="X5301" s="6"/>
      <c r="Y5301" s="6"/>
      <c r="Z5301" s="6"/>
      <c r="AA5301" s="6" t="s">
        <v>76</v>
      </c>
      <c r="AB5301" s="8"/>
      <c r="AC5301" s="27">
        <v>9785160197678</v>
      </c>
    </row>
    <row r="5302" spans="1:29" s="4" customFormat="1" ht="42" customHeight="1" x14ac:dyDescent="0.2">
      <c r="A5302" s="5">
        <v>0</v>
      </c>
      <c r="B5302" s="6" t="s">
        <v>30517</v>
      </c>
      <c r="C5302" s="13">
        <v>708</v>
      </c>
      <c r="D5302" s="8" t="s">
        <v>30518</v>
      </c>
      <c r="E5302" s="8" t="s">
        <v>30519</v>
      </c>
      <c r="F5302" s="8" t="s">
        <v>1960</v>
      </c>
      <c r="G5302" s="6" t="s">
        <v>33</v>
      </c>
      <c r="H5302" s="6" t="s">
        <v>34</v>
      </c>
      <c r="I5302" s="8" t="s">
        <v>35</v>
      </c>
      <c r="J5302" s="9">
        <v>1</v>
      </c>
      <c r="K5302" s="9">
        <v>147</v>
      </c>
      <c r="L5302" s="9">
        <v>2021</v>
      </c>
      <c r="M5302" s="8" t="s">
        <v>30520</v>
      </c>
      <c r="N5302" s="8" t="s">
        <v>63</v>
      </c>
      <c r="O5302" s="8" t="s">
        <v>126</v>
      </c>
      <c r="P5302" s="6" t="s">
        <v>39</v>
      </c>
      <c r="Q5302" s="8" t="s">
        <v>40</v>
      </c>
      <c r="R5302" s="10" t="s">
        <v>10423</v>
      </c>
      <c r="S5302" s="11"/>
      <c r="T5302" s="6"/>
      <c r="U5302" s="15" t="str">
        <f>HYPERLINK("https://media.infra-m.ru/1218/1218149/cover/1218149.jpg", "Обложка")</f>
        <v>Обложка</v>
      </c>
      <c r="V5302" s="8" t="s">
        <v>227</v>
      </c>
      <c r="W5302" s="6"/>
      <c r="X5302" s="6"/>
      <c r="Y5302" s="6"/>
      <c r="Z5302" s="6"/>
      <c r="AA5302" s="6" t="s">
        <v>430</v>
      </c>
      <c r="AB5302" s="8" t="s">
        <v>2231</v>
      </c>
      <c r="AC5302" s="27">
        <v>9785160167046</v>
      </c>
    </row>
    <row r="5303" spans="1:29" s="4" customFormat="1" ht="51.9" customHeight="1" x14ac:dyDescent="0.2">
      <c r="A5303" s="5">
        <v>0</v>
      </c>
      <c r="B5303" s="6" t="s">
        <v>30521</v>
      </c>
      <c r="C5303" s="13">
        <v>712.8</v>
      </c>
      <c r="D5303" s="8" t="s">
        <v>30522</v>
      </c>
      <c r="E5303" s="8" t="s">
        <v>30523</v>
      </c>
      <c r="F5303" s="8" t="s">
        <v>30524</v>
      </c>
      <c r="G5303" s="6" t="s">
        <v>33</v>
      </c>
      <c r="H5303" s="6" t="s">
        <v>820</v>
      </c>
      <c r="I5303" s="8" t="s">
        <v>271</v>
      </c>
      <c r="J5303" s="9">
        <v>1</v>
      </c>
      <c r="K5303" s="9">
        <v>96</v>
      </c>
      <c r="L5303" s="9">
        <v>2026</v>
      </c>
      <c r="M5303" s="8" t="s">
        <v>30525</v>
      </c>
      <c r="N5303" s="8" t="s">
        <v>243</v>
      </c>
      <c r="O5303" s="8" t="s">
        <v>1100</v>
      </c>
      <c r="P5303" s="6" t="s">
        <v>306</v>
      </c>
      <c r="Q5303" s="8" t="s">
        <v>52</v>
      </c>
      <c r="R5303" s="10" t="s">
        <v>2479</v>
      </c>
      <c r="S5303" s="11" t="s">
        <v>30526</v>
      </c>
      <c r="T5303" s="6"/>
      <c r="U5303" s="15" t="str">
        <f>HYPERLINK("https://media.infra-m.ru/2226/2226525/cover/2226525.jpg", "Обложка")</f>
        <v>Обложка</v>
      </c>
      <c r="V5303" s="8" t="s">
        <v>1915</v>
      </c>
      <c r="W5303" s="6"/>
      <c r="X5303" s="6"/>
      <c r="Y5303" s="6"/>
      <c r="Z5303" s="6"/>
      <c r="AA5303" s="6" t="s">
        <v>248</v>
      </c>
      <c r="AB5303" s="8"/>
      <c r="AC5303" s="27">
        <v>9785905554643</v>
      </c>
    </row>
    <row r="5304" spans="1:29" s="4" customFormat="1" ht="51.9" customHeight="1" x14ac:dyDescent="0.2">
      <c r="A5304" s="5">
        <v>0</v>
      </c>
      <c r="B5304" s="6" t="s">
        <v>30527</v>
      </c>
      <c r="C5304" s="7">
        <v>1336.8</v>
      </c>
      <c r="D5304" s="8" t="s">
        <v>30528</v>
      </c>
      <c r="E5304" s="8" t="s">
        <v>30529</v>
      </c>
      <c r="F5304" s="8" t="s">
        <v>30530</v>
      </c>
      <c r="G5304" s="6" t="s">
        <v>118</v>
      </c>
      <c r="H5304" s="6" t="s">
        <v>313</v>
      </c>
      <c r="I5304" s="8" t="s">
        <v>253</v>
      </c>
      <c r="J5304" s="9">
        <v>1</v>
      </c>
      <c r="K5304" s="9">
        <v>192</v>
      </c>
      <c r="L5304" s="9">
        <v>2027</v>
      </c>
      <c r="M5304" s="8" t="s">
        <v>30531</v>
      </c>
      <c r="N5304" s="8" t="s">
        <v>243</v>
      </c>
      <c r="O5304" s="8" t="s">
        <v>1100</v>
      </c>
      <c r="P5304" s="6" t="s">
        <v>51</v>
      </c>
      <c r="Q5304" s="8" t="s">
        <v>65</v>
      </c>
      <c r="R5304" s="10" t="s">
        <v>30532</v>
      </c>
      <c r="S5304" s="11" t="s">
        <v>30533</v>
      </c>
      <c r="T5304" s="6"/>
      <c r="U5304" s="15" t="str">
        <f>HYPERLINK("https://media.infra-m.ru/2257/2257098/cover/2257098.jpg", "Обложка")</f>
        <v>Обложка</v>
      </c>
      <c r="V5304" s="8" t="s">
        <v>42</v>
      </c>
      <c r="W5304" s="6"/>
      <c r="X5304" s="6"/>
      <c r="Y5304" s="6"/>
      <c r="Z5304" s="6"/>
      <c r="AA5304" s="6" t="s">
        <v>55</v>
      </c>
      <c r="AB5304" s="8"/>
      <c r="AC5304" s="27">
        <v>9785369012031</v>
      </c>
    </row>
    <row r="5305" spans="1:29" s="4" customFormat="1" ht="51.9" customHeight="1" x14ac:dyDescent="0.2">
      <c r="A5305" s="5">
        <v>0</v>
      </c>
      <c r="B5305" s="6" t="s">
        <v>30534</v>
      </c>
      <c r="C5305" s="7">
        <v>2904</v>
      </c>
      <c r="D5305" s="8" t="s">
        <v>30535</v>
      </c>
      <c r="E5305" s="8" t="s">
        <v>30536</v>
      </c>
      <c r="F5305" s="8" t="s">
        <v>30537</v>
      </c>
      <c r="G5305" s="6" t="s">
        <v>60</v>
      </c>
      <c r="H5305" s="6" t="s">
        <v>34</v>
      </c>
      <c r="I5305" s="8" t="s">
        <v>263</v>
      </c>
      <c r="J5305" s="9">
        <v>1</v>
      </c>
      <c r="K5305" s="9">
        <v>467</v>
      </c>
      <c r="L5305" s="9">
        <v>2026</v>
      </c>
      <c r="M5305" s="8" t="s">
        <v>30538</v>
      </c>
      <c r="N5305" s="8" t="s">
        <v>243</v>
      </c>
      <c r="O5305" s="8" t="s">
        <v>1100</v>
      </c>
      <c r="P5305" s="6" t="s">
        <v>306</v>
      </c>
      <c r="Q5305" s="8" t="s">
        <v>265</v>
      </c>
      <c r="R5305" s="10" t="s">
        <v>30539</v>
      </c>
      <c r="S5305" s="11" t="s">
        <v>6249</v>
      </c>
      <c r="T5305" s="6" t="s">
        <v>97</v>
      </c>
      <c r="U5305" s="15" t="str">
        <f>HYPERLINK("https://media.infra-m.ru/2215/2215374/cover/2215374.jpg", "Обложка")</f>
        <v>Обложка</v>
      </c>
      <c r="V5305" s="8" t="s">
        <v>2522</v>
      </c>
      <c r="W5305" s="6"/>
      <c r="X5305" s="6"/>
      <c r="Y5305" s="6"/>
      <c r="Z5305" s="6" t="s">
        <v>267</v>
      </c>
      <c r="AA5305" s="6" t="s">
        <v>115</v>
      </c>
      <c r="AB5305" s="8" t="s">
        <v>3581</v>
      </c>
      <c r="AC5305" s="27">
        <v>9785160146973</v>
      </c>
    </row>
    <row r="5306" spans="1:29" s="4" customFormat="1" ht="51.9" customHeight="1" x14ac:dyDescent="0.2">
      <c r="A5306" s="5">
        <v>0</v>
      </c>
      <c r="B5306" s="6" t="s">
        <v>30540</v>
      </c>
      <c r="C5306" s="7">
        <v>3076.8</v>
      </c>
      <c r="D5306" s="8" t="s">
        <v>30541</v>
      </c>
      <c r="E5306" s="8" t="s">
        <v>30536</v>
      </c>
      <c r="F5306" s="8" t="s">
        <v>30537</v>
      </c>
      <c r="G5306" s="6" t="s">
        <v>118</v>
      </c>
      <c r="H5306" s="6" t="s">
        <v>34</v>
      </c>
      <c r="I5306" s="8" t="s">
        <v>271</v>
      </c>
      <c r="J5306" s="9">
        <v>1</v>
      </c>
      <c r="K5306" s="9">
        <v>467</v>
      </c>
      <c r="L5306" s="9">
        <v>2026</v>
      </c>
      <c r="M5306" s="8" t="s">
        <v>30542</v>
      </c>
      <c r="N5306" s="8" t="s">
        <v>243</v>
      </c>
      <c r="O5306" s="8" t="s">
        <v>1100</v>
      </c>
      <c r="P5306" s="6" t="s">
        <v>306</v>
      </c>
      <c r="Q5306" s="8" t="s">
        <v>52</v>
      </c>
      <c r="R5306" s="10" t="s">
        <v>2505</v>
      </c>
      <c r="S5306" s="11" t="s">
        <v>30543</v>
      </c>
      <c r="T5306" s="6"/>
      <c r="U5306" s="15" t="str">
        <f>HYPERLINK("https://media.infra-m.ru/2249/2249273/cover/2249273.jpg", "Обложка")</f>
        <v>Обложка</v>
      </c>
      <c r="V5306" s="8" t="s">
        <v>2522</v>
      </c>
      <c r="W5306" s="6"/>
      <c r="X5306" s="6"/>
      <c r="Y5306" s="6"/>
      <c r="Z5306" s="6"/>
      <c r="AA5306" s="6" t="s">
        <v>274</v>
      </c>
      <c r="AB5306" s="8"/>
      <c r="AC5306" s="27">
        <v>9785160103174</v>
      </c>
    </row>
    <row r="5307" spans="1:29" s="4" customFormat="1" ht="51.9" customHeight="1" x14ac:dyDescent="0.2">
      <c r="A5307" s="5">
        <v>0</v>
      </c>
      <c r="B5307" s="6" t="s">
        <v>30544</v>
      </c>
      <c r="C5307" s="13">
        <v>916.8</v>
      </c>
      <c r="D5307" s="8" t="s">
        <v>30545</v>
      </c>
      <c r="E5307" s="8" t="s">
        <v>30546</v>
      </c>
      <c r="F5307" s="8" t="s">
        <v>30547</v>
      </c>
      <c r="G5307" s="6" t="s">
        <v>33</v>
      </c>
      <c r="H5307" s="6" t="s">
        <v>241</v>
      </c>
      <c r="I5307" s="8" t="s">
        <v>3496</v>
      </c>
      <c r="J5307" s="9">
        <v>1</v>
      </c>
      <c r="K5307" s="9">
        <v>166</v>
      </c>
      <c r="L5307" s="9">
        <v>2024</v>
      </c>
      <c r="M5307" s="8" t="s">
        <v>30548</v>
      </c>
      <c r="N5307" s="8" t="s">
        <v>243</v>
      </c>
      <c r="O5307" s="8" t="s">
        <v>758</v>
      </c>
      <c r="P5307" s="6" t="s">
        <v>39</v>
      </c>
      <c r="Q5307" s="8" t="s">
        <v>40</v>
      </c>
      <c r="R5307" s="10" t="s">
        <v>30549</v>
      </c>
      <c r="S5307" s="11"/>
      <c r="T5307" s="6"/>
      <c r="U5307" s="15" t="str">
        <f>HYPERLINK("https://media.infra-m.ru/2091/2091885/cover/2091885.jpg", "Обложка")</f>
        <v>Обложка</v>
      </c>
      <c r="V5307" s="8" t="s">
        <v>217</v>
      </c>
      <c r="W5307" s="6"/>
      <c r="X5307" s="6"/>
      <c r="Y5307" s="6"/>
      <c r="Z5307" s="6"/>
      <c r="AA5307" s="6" t="s">
        <v>779</v>
      </c>
      <c r="AB5307" s="8"/>
      <c r="AC5307" s="27">
        <v>9785955804927</v>
      </c>
    </row>
    <row r="5308" spans="1:29" s="4" customFormat="1" ht="42" customHeight="1" x14ac:dyDescent="0.2">
      <c r="A5308" s="5">
        <v>0</v>
      </c>
      <c r="B5308" s="6" t="s">
        <v>30550</v>
      </c>
      <c r="C5308" s="7">
        <v>1672.8</v>
      </c>
      <c r="D5308" s="8" t="s">
        <v>30551</v>
      </c>
      <c r="E5308" s="8" t="s">
        <v>30552</v>
      </c>
      <c r="F5308" s="8" t="s">
        <v>30553</v>
      </c>
      <c r="G5308" s="6" t="s">
        <v>60</v>
      </c>
      <c r="H5308" s="6" t="s">
        <v>134</v>
      </c>
      <c r="I5308" s="8"/>
      <c r="J5308" s="9">
        <v>1</v>
      </c>
      <c r="K5308" s="9">
        <v>160</v>
      </c>
      <c r="L5308" s="9">
        <v>2026</v>
      </c>
      <c r="M5308" s="8" t="s">
        <v>30554</v>
      </c>
      <c r="N5308" s="8" t="s">
        <v>37</v>
      </c>
      <c r="O5308" s="8" t="s">
        <v>136</v>
      </c>
      <c r="P5308" s="6" t="s">
        <v>39</v>
      </c>
      <c r="Q5308" s="8" t="s">
        <v>40</v>
      </c>
      <c r="R5308" s="10" t="s">
        <v>30555</v>
      </c>
      <c r="S5308" s="11"/>
      <c r="T5308" s="6"/>
      <c r="U5308" s="15" t="str">
        <f>HYPERLINK("https://media.infra-m.ru/2238/2238874/cover/2238874.jpg", "Обложка")</f>
        <v>Обложка</v>
      </c>
      <c r="V5308" s="8" t="s">
        <v>3087</v>
      </c>
      <c r="W5308" s="6"/>
      <c r="X5308" s="6"/>
      <c r="Y5308" s="6"/>
      <c r="Z5308" s="6"/>
      <c r="AA5308" s="6" t="s">
        <v>157</v>
      </c>
      <c r="AB5308" s="8"/>
      <c r="AC5308" s="27">
        <v>9785001563204</v>
      </c>
    </row>
    <row r="5309" spans="1:29" s="4" customFormat="1" ht="51.9" customHeight="1" x14ac:dyDescent="0.2">
      <c r="A5309" s="5">
        <v>0</v>
      </c>
      <c r="B5309" s="6" t="s">
        <v>30556</v>
      </c>
      <c r="C5309" s="7">
        <v>1996.8</v>
      </c>
      <c r="D5309" s="8" t="s">
        <v>30557</v>
      </c>
      <c r="E5309" s="8" t="s">
        <v>30558</v>
      </c>
      <c r="F5309" s="8" t="s">
        <v>9873</v>
      </c>
      <c r="G5309" s="6" t="s">
        <v>118</v>
      </c>
      <c r="H5309" s="6" t="s">
        <v>134</v>
      </c>
      <c r="I5309" s="8"/>
      <c r="J5309" s="9">
        <v>1</v>
      </c>
      <c r="K5309" s="9">
        <v>320</v>
      </c>
      <c r="L5309" s="9">
        <v>2024</v>
      </c>
      <c r="M5309" s="8" t="s">
        <v>30559</v>
      </c>
      <c r="N5309" s="8" t="s">
        <v>37</v>
      </c>
      <c r="O5309" s="8" t="s">
        <v>136</v>
      </c>
      <c r="P5309" s="6" t="s">
        <v>51</v>
      </c>
      <c r="Q5309" s="8" t="s">
        <v>52</v>
      </c>
      <c r="R5309" s="10" t="s">
        <v>1068</v>
      </c>
      <c r="S5309" s="11"/>
      <c r="T5309" s="6"/>
      <c r="U5309" s="15" t="str">
        <f>HYPERLINK("https://media.infra-m.ru/2219/2219888/cover/2219888.jpg", "Обложка")</f>
        <v>Обложка</v>
      </c>
      <c r="V5309" s="8" t="s">
        <v>1277</v>
      </c>
      <c r="W5309" s="6"/>
      <c r="X5309" s="6"/>
      <c r="Y5309" s="6"/>
      <c r="Z5309" s="6"/>
      <c r="AA5309" s="6" t="s">
        <v>106</v>
      </c>
      <c r="AB5309" s="8"/>
      <c r="AC5309" s="27">
        <v>9785001563396</v>
      </c>
    </row>
    <row r="5310" spans="1:29" s="4" customFormat="1" ht="51.9" customHeight="1" x14ac:dyDescent="0.2">
      <c r="A5310" s="5">
        <v>0</v>
      </c>
      <c r="B5310" s="6" t="s">
        <v>30560</v>
      </c>
      <c r="C5310" s="7">
        <v>2172</v>
      </c>
      <c r="D5310" s="8" t="s">
        <v>30561</v>
      </c>
      <c r="E5310" s="8" t="s">
        <v>30562</v>
      </c>
      <c r="F5310" s="8" t="s">
        <v>30563</v>
      </c>
      <c r="G5310" s="6" t="s">
        <v>118</v>
      </c>
      <c r="H5310" s="6" t="s">
        <v>134</v>
      </c>
      <c r="I5310" s="8"/>
      <c r="J5310" s="9">
        <v>1</v>
      </c>
      <c r="K5310" s="9">
        <v>328</v>
      </c>
      <c r="L5310" s="9">
        <v>2026</v>
      </c>
      <c r="M5310" s="8" t="s">
        <v>30564</v>
      </c>
      <c r="N5310" s="8" t="s">
        <v>37</v>
      </c>
      <c r="O5310" s="8" t="s">
        <v>136</v>
      </c>
      <c r="P5310" s="6" t="s">
        <v>51</v>
      </c>
      <c r="Q5310" s="8" t="s">
        <v>52</v>
      </c>
      <c r="R5310" s="10" t="s">
        <v>1068</v>
      </c>
      <c r="S5310" s="11"/>
      <c r="T5310" s="6"/>
      <c r="U5310" s="15" t="str">
        <f>HYPERLINK("https://media.infra-m.ru/2238/2238806/cover/2238806.jpg", "Обложка")</f>
        <v>Обложка</v>
      </c>
      <c r="V5310" s="8" t="s">
        <v>1277</v>
      </c>
      <c r="W5310" s="6" t="s">
        <v>528</v>
      </c>
      <c r="X5310" s="6"/>
      <c r="Y5310" s="6"/>
      <c r="Z5310" s="6"/>
      <c r="AA5310" s="6" t="s">
        <v>3772</v>
      </c>
      <c r="AB5310" s="8"/>
      <c r="AC5310" s="27">
        <v>9785001564775</v>
      </c>
    </row>
    <row r="5311" spans="1:29" s="4" customFormat="1" ht="51.9" customHeight="1" x14ac:dyDescent="0.2">
      <c r="A5311" s="5">
        <v>0</v>
      </c>
      <c r="B5311" s="6" t="s">
        <v>30565</v>
      </c>
      <c r="C5311" s="7">
        <v>1320</v>
      </c>
      <c r="D5311" s="8" t="s">
        <v>30566</v>
      </c>
      <c r="E5311" s="8" t="s">
        <v>30567</v>
      </c>
      <c r="F5311" s="8" t="s">
        <v>9873</v>
      </c>
      <c r="G5311" s="6" t="s">
        <v>60</v>
      </c>
      <c r="H5311" s="6" t="s">
        <v>134</v>
      </c>
      <c r="I5311" s="8"/>
      <c r="J5311" s="9">
        <v>1</v>
      </c>
      <c r="K5311" s="9">
        <v>320</v>
      </c>
      <c r="L5311" s="9">
        <v>2020</v>
      </c>
      <c r="M5311" s="8" t="s">
        <v>30568</v>
      </c>
      <c r="N5311" s="8" t="s">
        <v>37</v>
      </c>
      <c r="O5311" s="8" t="s">
        <v>136</v>
      </c>
      <c r="P5311" s="6" t="s">
        <v>51</v>
      </c>
      <c r="Q5311" s="8" t="s">
        <v>52</v>
      </c>
      <c r="R5311" s="10" t="s">
        <v>1068</v>
      </c>
      <c r="S5311" s="11"/>
      <c r="T5311" s="6"/>
      <c r="U5311" s="15" t="str">
        <f>HYPERLINK("https://media.infra-m.ru/1087/1087782/cover/1087782.jpg", "Обложка")</f>
        <v>Обложка</v>
      </c>
      <c r="V5311" s="8" t="s">
        <v>1277</v>
      </c>
      <c r="W5311" s="6"/>
      <c r="X5311" s="6"/>
      <c r="Y5311" s="6"/>
      <c r="Z5311" s="6"/>
      <c r="AA5311" s="6" t="s">
        <v>1256</v>
      </c>
      <c r="AB5311" s="8"/>
      <c r="AC5311" s="27">
        <v>9785001560487</v>
      </c>
    </row>
    <row r="5312" spans="1:29" s="4" customFormat="1" ht="44.1" customHeight="1" x14ac:dyDescent="0.2">
      <c r="A5312" s="5">
        <v>0</v>
      </c>
      <c r="B5312" s="6" t="s">
        <v>30569</v>
      </c>
      <c r="C5312" s="7">
        <v>1344</v>
      </c>
      <c r="D5312" s="8" t="s">
        <v>30570</v>
      </c>
      <c r="E5312" s="8" t="s">
        <v>30571</v>
      </c>
      <c r="F5312" s="8" t="s">
        <v>4643</v>
      </c>
      <c r="G5312" s="6" t="s">
        <v>60</v>
      </c>
      <c r="H5312" s="6" t="s">
        <v>34</v>
      </c>
      <c r="I5312" s="8" t="s">
        <v>35</v>
      </c>
      <c r="J5312" s="9">
        <v>1</v>
      </c>
      <c r="K5312" s="9">
        <v>225</v>
      </c>
      <c r="L5312" s="9">
        <v>2023</v>
      </c>
      <c r="M5312" s="8" t="s">
        <v>30572</v>
      </c>
      <c r="N5312" s="8" t="s">
        <v>585</v>
      </c>
      <c r="O5312" s="8" t="s">
        <v>775</v>
      </c>
      <c r="P5312" s="6" t="s">
        <v>39</v>
      </c>
      <c r="Q5312" s="8" t="s">
        <v>40</v>
      </c>
      <c r="R5312" s="10" t="s">
        <v>30573</v>
      </c>
      <c r="S5312" s="11"/>
      <c r="T5312" s="6"/>
      <c r="U5312" s="15" t="str">
        <f>HYPERLINK("https://media.infra-m.ru/1915/1915812/cover/1915812.jpg", "Обложка")</f>
        <v>Обложка</v>
      </c>
      <c r="V5312" s="8" t="s">
        <v>761</v>
      </c>
      <c r="W5312" s="6"/>
      <c r="X5312" s="6"/>
      <c r="Y5312" s="6"/>
      <c r="Z5312" s="6"/>
      <c r="AA5312" s="6" t="s">
        <v>157</v>
      </c>
      <c r="AB5312" s="8" t="s">
        <v>1785</v>
      </c>
      <c r="AC5312" s="27">
        <v>9785160181776</v>
      </c>
    </row>
    <row r="5313" spans="1:29" s="4" customFormat="1" ht="51.9" customHeight="1" x14ac:dyDescent="0.2">
      <c r="A5313" s="5">
        <v>0</v>
      </c>
      <c r="B5313" s="6" t="s">
        <v>30574</v>
      </c>
      <c r="C5313" s="7">
        <v>2332.8000000000002</v>
      </c>
      <c r="D5313" s="8" t="s">
        <v>30575</v>
      </c>
      <c r="E5313" s="8" t="s">
        <v>30576</v>
      </c>
      <c r="F5313" s="8" t="s">
        <v>30577</v>
      </c>
      <c r="G5313" s="6" t="s">
        <v>60</v>
      </c>
      <c r="H5313" s="6" t="s">
        <v>313</v>
      </c>
      <c r="I5313" s="8"/>
      <c r="J5313" s="9">
        <v>1</v>
      </c>
      <c r="K5313" s="9">
        <v>374</v>
      </c>
      <c r="L5313" s="9">
        <v>2025</v>
      </c>
      <c r="M5313" s="8" t="s">
        <v>30578</v>
      </c>
      <c r="N5313" s="8" t="s">
        <v>93</v>
      </c>
      <c r="O5313" s="8" t="s">
        <v>1890</v>
      </c>
      <c r="P5313" s="6" t="s">
        <v>51</v>
      </c>
      <c r="Q5313" s="8" t="s">
        <v>1891</v>
      </c>
      <c r="R5313" s="10" t="s">
        <v>30579</v>
      </c>
      <c r="S5313" s="11"/>
      <c r="T5313" s="6"/>
      <c r="U5313" s="15" t="str">
        <f>HYPERLINK("https://media.infra-m.ru/2192/2192206/cover/2192206.jpg", "Обложка")</f>
        <v>Обложка</v>
      </c>
      <c r="V5313" s="8"/>
      <c r="W5313" s="6"/>
      <c r="X5313" s="6"/>
      <c r="Y5313" s="6"/>
      <c r="Z5313" s="6"/>
      <c r="AA5313" s="6" t="s">
        <v>43</v>
      </c>
      <c r="AB5313" s="8"/>
      <c r="AC5313" s="27">
        <v>9785369010389</v>
      </c>
    </row>
    <row r="5314" spans="1:29" s="4" customFormat="1" ht="51.9" customHeight="1" x14ac:dyDescent="0.2">
      <c r="A5314" s="5">
        <v>0</v>
      </c>
      <c r="B5314" s="6" t="s">
        <v>30580</v>
      </c>
      <c r="C5314" s="7">
        <v>1288.8</v>
      </c>
      <c r="D5314" s="8" t="s">
        <v>30581</v>
      </c>
      <c r="E5314" s="8" t="s">
        <v>30582</v>
      </c>
      <c r="F5314" s="8" t="s">
        <v>30583</v>
      </c>
      <c r="G5314" s="6" t="s">
        <v>33</v>
      </c>
      <c r="H5314" s="6" t="s">
        <v>34</v>
      </c>
      <c r="I5314" s="8" t="s">
        <v>271</v>
      </c>
      <c r="J5314" s="9">
        <v>1</v>
      </c>
      <c r="K5314" s="9">
        <v>184</v>
      </c>
      <c r="L5314" s="9">
        <v>2026</v>
      </c>
      <c r="M5314" s="8" t="s">
        <v>30584</v>
      </c>
      <c r="N5314" s="8" t="s">
        <v>243</v>
      </c>
      <c r="O5314" s="8" t="s">
        <v>1100</v>
      </c>
      <c r="P5314" s="6" t="s">
        <v>51</v>
      </c>
      <c r="Q5314" s="8" t="s">
        <v>52</v>
      </c>
      <c r="R5314" s="10" t="s">
        <v>5837</v>
      </c>
      <c r="S5314" s="11" t="s">
        <v>30585</v>
      </c>
      <c r="T5314" s="6"/>
      <c r="U5314" s="15" t="str">
        <f>HYPERLINK("https://media.infra-m.ru/2257/2257130/cover/2257130.jpg", "Обложка")</f>
        <v>Обложка</v>
      </c>
      <c r="V5314" s="8" t="s">
        <v>9482</v>
      </c>
      <c r="W5314" s="6"/>
      <c r="X5314" s="6"/>
      <c r="Y5314" s="6"/>
      <c r="Z5314" s="6"/>
      <c r="AA5314" s="6" t="s">
        <v>129</v>
      </c>
      <c r="AB5314" s="8"/>
      <c r="AC5314" s="27">
        <v>9785160120911</v>
      </c>
    </row>
    <row r="5315" spans="1:29" s="4" customFormat="1" ht="51.9" customHeight="1" x14ac:dyDescent="0.2">
      <c r="A5315" s="5">
        <v>0</v>
      </c>
      <c r="B5315" s="6" t="s">
        <v>30586</v>
      </c>
      <c r="C5315" s="7">
        <v>2568</v>
      </c>
      <c r="D5315" s="8" t="s">
        <v>30587</v>
      </c>
      <c r="E5315" s="8" t="s">
        <v>30588</v>
      </c>
      <c r="F5315" s="8" t="s">
        <v>30589</v>
      </c>
      <c r="G5315" s="6" t="s">
        <v>60</v>
      </c>
      <c r="H5315" s="6" t="s">
        <v>34</v>
      </c>
      <c r="I5315" s="8" t="s">
        <v>253</v>
      </c>
      <c r="J5315" s="9">
        <v>1</v>
      </c>
      <c r="K5315" s="9">
        <v>411</v>
      </c>
      <c r="L5315" s="9">
        <v>2026</v>
      </c>
      <c r="M5315" s="8" t="s">
        <v>30590</v>
      </c>
      <c r="N5315" s="8" t="s">
        <v>243</v>
      </c>
      <c r="O5315" s="8" t="s">
        <v>1100</v>
      </c>
      <c r="P5315" s="6" t="s">
        <v>306</v>
      </c>
      <c r="Q5315" s="8" t="s">
        <v>377</v>
      </c>
      <c r="R5315" s="10" t="s">
        <v>2505</v>
      </c>
      <c r="S5315" s="11" t="s">
        <v>30591</v>
      </c>
      <c r="T5315" s="6" t="s">
        <v>97</v>
      </c>
      <c r="U5315" s="15" t="str">
        <f>HYPERLINK("https://media.infra-m.ru/2216/2216044/cover/2216044.jpg", "Обложка")</f>
        <v>Обложка</v>
      </c>
      <c r="V5315" s="8" t="s">
        <v>2522</v>
      </c>
      <c r="W5315" s="6"/>
      <c r="X5315" s="6"/>
      <c r="Y5315" s="6"/>
      <c r="Z5315" s="6"/>
      <c r="AA5315" s="6" t="s">
        <v>779</v>
      </c>
      <c r="AB5315" s="8"/>
      <c r="AC5315" s="27">
        <v>9785160211695</v>
      </c>
    </row>
    <row r="5316" spans="1:29" s="4" customFormat="1" ht="51.9" customHeight="1" x14ac:dyDescent="0.2">
      <c r="A5316" s="5">
        <v>0</v>
      </c>
      <c r="B5316" s="6" t="s">
        <v>30592</v>
      </c>
      <c r="C5316" s="7">
        <v>3712.8</v>
      </c>
      <c r="D5316" s="8" t="s">
        <v>30593</v>
      </c>
      <c r="E5316" s="8" t="s">
        <v>30588</v>
      </c>
      <c r="F5316" s="8" t="s">
        <v>30594</v>
      </c>
      <c r="G5316" s="6" t="s">
        <v>60</v>
      </c>
      <c r="H5316" s="6" t="s">
        <v>34</v>
      </c>
      <c r="I5316" s="8" t="s">
        <v>5350</v>
      </c>
      <c r="J5316" s="9">
        <v>1</v>
      </c>
      <c r="K5316" s="9">
        <v>639</v>
      </c>
      <c r="L5316" s="9">
        <v>2025</v>
      </c>
      <c r="M5316" s="8" t="s">
        <v>30595</v>
      </c>
      <c r="N5316" s="8" t="s">
        <v>243</v>
      </c>
      <c r="O5316" s="8" t="s">
        <v>385</v>
      </c>
      <c r="P5316" s="6" t="s">
        <v>306</v>
      </c>
      <c r="Q5316" s="8" t="s">
        <v>377</v>
      </c>
      <c r="R5316" s="10" t="s">
        <v>30596</v>
      </c>
      <c r="S5316" s="11" t="s">
        <v>30597</v>
      </c>
      <c r="T5316" s="6" t="s">
        <v>97</v>
      </c>
      <c r="U5316" s="15" t="str">
        <f>HYPERLINK("https://media.infra-m.ru/2188/2188261/cover/2188261.jpg", "Обложка")</f>
        <v>Обложка</v>
      </c>
      <c r="V5316" s="8" t="s">
        <v>18529</v>
      </c>
      <c r="W5316" s="6"/>
      <c r="X5316" s="6"/>
      <c r="Y5316" s="6"/>
      <c r="Z5316" s="6"/>
      <c r="AA5316" s="6" t="s">
        <v>779</v>
      </c>
      <c r="AB5316" s="8"/>
      <c r="AC5316" s="27">
        <v>9785160103617</v>
      </c>
    </row>
    <row r="5317" spans="1:29" s="4" customFormat="1" ht="44.1" customHeight="1" x14ac:dyDescent="0.2">
      <c r="A5317" s="5">
        <v>0</v>
      </c>
      <c r="B5317" s="6" t="s">
        <v>30598</v>
      </c>
      <c r="C5317" s="7">
        <v>3136.8</v>
      </c>
      <c r="D5317" s="8" t="s">
        <v>30599</v>
      </c>
      <c r="E5317" s="8" t="s">
        <v>30600</v>
      </c>
      <c r="F5317" s="8" t="s">
        <v>30601</v>
      </c>
      <c r="G5317" s="6" t="s">
        <v>118</v>
      </c>
      <c r="H5317" s="6" t="s">
        <v>34</v>
      </c>
      <c r="I5317" s="8" t="s">
        <v>5350</v>
      </c>
      <c r="J5317" s="9">
        <v>1</v>
      </c>
      <c r="K5317" s="9">
        <v>844</v>
      </c>
      <c r="L5317" s="9">
        <v>2026</v>
      </c>
      <c r="M5317" s="8" t="s">
        <v>30602</v>
      </c>
      <c r="N5317" s="8" t="s">
        <v>243</v>
      </c>
      <c r="O5317" s="8" t="s">
        <v>385</v>
      </c>
      <c r="P5317" s="6" t="s">
        <v>306</v>
      </c>
      <c r="Q5317" s="8" t="s">
        <v>377</v>
      </c>
      <c r="R5317" s="10" t="s">
        <v>30603</v>
      </c>
      <c r="S5317" s="11"/>
      <c r="T5317" s="6"/>
      <c r="U5317" s="15" t="str">
        <f>HYPERLINK("https://media.infra-m.ru/2234/2234123/cover/2234123.jpg", "Обложка")</f>
        <v>Обложка</v>
      </c>
      <c r="V5317" s="8" t="s">
        <v>2529</v>
      </c>
      <c r="W5317" s="6"/>
      <c r="X5317" s="6"/>
      <c r="Y5317" s="6"/>
      <c r="Z5317" s="6"/>
      <c r="AA5317" s="6" t="s">
        <v>1256</v>
      </c>
      <c r="AB5317" s="8"/>
      <c r="AC5317" s="27">
        <v>9785160162607</v>
      </c>
    </row>
    <row r="5318" spans="1:29" s="4" customFormat="1" ht="51.9" customHeight="1" x14ac:dyDescent="0.2">
      <c r="A5318" s="5">
        <v>0</v>
      </c>
      <c r="B5318" s="6" t="s">
        <v>30604</v>
      </c>
      <c r="C5318" s="7">
        <v>1512</v>
      </c>
      <c r="D5318" s="8" t="s">
        <v>30605</v>
      </c>
      <c r="E5318" s="8" t="s">
        <v>30606</v>
      </c>
      <c r="F5318" s="8" t="s">
        <v>30607</v>
      </c>
      <c r="G5318" s="6" t="s">
        <v>60</v>
      </c>
      <c r="H5318" s="6" t="s">
        <v>34</v>
      </c>
      <c r="I5318" s="8" t="s">
        <v>30608</v>
      </c>
      <c r="J5318" s="9">
        <v>1</v>
      </c>
      <c r="K5318" s="9">
        <v>267</v>
      </c>
      <c r="L5318" s="9">
        <v>2024</v>
      </c>
      <c r="M5318" s="8" t="s">
        <v>30609</v>
      </c>
      <c r="N5318" s="8" t="s">
        <v>243</v>
      </c>
      <c r="O5318" s="8" t="s">
        <v>1100</v>
      </c>
      <c r="P5318" s="6" t="s">
        <v>51</v>
      </c>
      <c r="Q5318" s="8" t="s">
        <v>65</v>
      </c>
      <c r="R5318" s="10" t="s">
        <v>9206</v>
      </c>
      <c r="S5318" s="11" t="s">
        <v>30610</v>
      </c>
      <c r="T5318" s="6"/>
      <c r="U5318" s="15" t="str">
        <f>HYPERLINK("https://media.infra-m.ru/2082/2082626/cover/2082626.jpg", "Обложка")</f>
        <v>Обложка</v>
      </c>
      <c r="V5318" s="8" t="s">
        <v>1132</v>
      </c>
      <c r="W5318" s="6"/>
      <c r="X5318" s="6"/>
      <c r="Y5318" s="6"/>
      <c r="Z5318" s="6"/>
      <c r="AA5318" s="6" t="s">
        <v>76</v>
      </c>
      <c r="AB5318" s="8" t="s">
        <v>30611</v>
      </c>
      <c r="AC5318" s="27">
        <v>9785160189987</v>
      </c>
    </row>
    <row r="5319" spans="1:29" s="4" customFormat="1" ht="44.1" customHeight="1" x14ac:dyDescent="0.2">
      <c r="A5319" s="5">
        <v>0</v>
      </c>
      <c r="B5319" s="6" t="s">
        <v>30612</v>
      </c>
      <c r="C5319" s="7">
        <v>1516.8</v>
      </c>
      <c r="D5319" s="8" t="s">
        <v>30613</v>
      </c>
      <c r="E5319" s="8" t="s">
        <v>30614</v>
      </c>
      <c r="F5319" s="8" t="s">
        <v>30615</v>
      </c>
      <c r="G5319" s="6" t="s">
        <v>60</v>
      </c>
      <c r="H5319" s="6" t="s">
        <v>34</v>
      </c>
      <c r="I5319" s="8" t="s">
        <v>35</v>
      </c>
      <c r="J5319" s="9">
        <v>1</v>
      </c>
      <c r="K5319" s="9">
        <v>230</v>
      </c>
      <c r="L5319" s="9">
        <v>2026</v>
      </c>
      <c r="M5319" s="8" t="s">
        <v>30616</v>
      </c>
      <c r="N5319" s="8" t="s">
        <v>243</v>
      </c>
      <c r="O5319" s="8" t="s">
        <v>385</v>
      </c>
      <c r="P5319" s="6" t="s">
        <v>39</v>
      </c>
      <c r="Q5319" s="8" t="s">
        <v>40</v>
      </c>
      <c r="R5319" s="10" t="s">
        <v>30617</v>
      </c>
      <c r="S5319" s="11"/>
      <c r="T5319" s="6"/>
      <c r="U5319" s="15" t="str">
        <f>HYPERLINK("https://media.infra-m.ru/2239/2239145/cover/2239145.jpg", "Обложка")</f>
        <v>Обложка</v>
      </c>
      <c r="V5319" s="8" t="s">
        <v>2154</v>
      </c>
      <c r="W5319" s="6"/>
      <c r="X5319" s="6"/>
      <c r="Y5319" s="6"/>
      <c r="Z5319" s="6"/>
      <c r="AA5319" s="6" t="s">
        <v>1256</v>
      </c>
      <c r="AB5319" s="8"/>
      <c r="AC5319" s="27">
        <v>9785160152516</v>
      </c>
    </row>
    <row r="5320" spans="1:29" s="4" customFormat="1" ht="51.9" customHeight="1" x14ac:dyDescent="0.2">
      <c r="A5320" s="5">
        <v>0</v>
      </c>
      <c r="B5320" s="6" t="s">
        <v>30618</v>
      </c>
      <c r="C5320" s="7">
        <v>1320</v>
      </c>
      <c r="D5320" s="8" t="s">
        <v>30619</v>
      </c>
      <c r="E5320" s="8" t="s">
        <v>30620</v>
      </c>
      <c r="F5320" s="8" t="s">
        <v>30621</v>
      </c>
      <c r="G5320" s="6" t="s">
        <v>118</v>
      </c>
      <c r="H5320" s="6" t="s">
        <v>34</v>
      </c>
      <c r="I5320" s="8" t="s">
        <v>253</v>
      </c>
      <c r="J5320" s="9">
        <v>1</v>
      </c>
      <c r="K5320" s="9">
        <v>219</v>
      </c>
      <c r="L5320" s="9">
        <v>2025</v>
      </c>
      <c r="M5320" s="8" t="s">
        <v>30622</v>
      </c>
      <c r="N5320" s="8" t="s">
        <v>63</v>
      </c>
      <c r="O5320" s="8" t="s">
        <v>154</v>
      </c>
      <c r="P5320" s="6" t="s">
        <v>51</v>
      </c>
      <c r="Q5320" s="8" t="s">
        <v>377</v>
      </c>
      <c r="R5320" s="10" t="s">
        <v>30623</v>
      </c>
      <c r="S5320" s="11" t="s">
        <v>30624</v>
      </c>
      <c r="T5320" s="6" t="s">
        <v>97</v>
      </c>
      <c r="U5320" s="15" t="str">
        <f>HYPERLINK("https://media.infra-m.ru/2180/2180462/cover/2180462.jpg", "Обложка")</f>
        <v>Обложка</v>
      </c>
      <c r="V5320" s="8" t="s">
        <v>1277</v>
      </c>
      <c r="W5320" s="6"/>
      <c r="X5320" s="6"/>
      <c r="Y5320" s="6"/>
      <c r="Z5320" s="6"/>
      <c r="AA5320" s="6" t="s">
        <v>99</v>
      </c>
      <c r="AB5320" s="8"/>
      <c r="AC5320" s="27">
        <v>9785160205441</v>
      </c>
    </row>
    <row r="5321" spans="1:29" s="4" customFormat="1" ht="51.9" customHeight="1" x14ac:dyDescent="0.2">
      <c r="A5321" s="5">
        <v>0</v>
      </c>
      <c r="B5321" s="6" t="s">
        <v>30625</v>
      </c>
      <c r="C5321" s="7">
        <v>1392</v>
      </c>
      <c r="D5321" s="8" t="s">
        <v>30626</v>
      </c>
      <c r="E5321" s="8" t="s">
        <v>30627</v>
      </c>
      <c r="F5321" s="8" t="s">
        <v>30628</v>
      </c>
      <c r="G5321" s="6" t="s">
        <v>60</v>
      </c>
      <c r="H5321" s="6" t="s">
        <v>34</v>
      </c>
      <c r="I5321" s="8" t="s">
        <v>375</v>
      </c>
      <c r="J5321" s="9">
        <v>1</v>
      </c>
      <c r="K5321" s="9">
        <v>228</v>
      </c>
      <c r="L5321" s="9">
        <v>2025</v>
      </c>
      <c r="M5321" s="8" t="s">
        <v>30629</v>
      </c>
      <c r="N5321" s="8" t="s">
        <v>243</v>
      </c>
      <c r="O5321" s="8" t="s">
        <v>385</v>
      </c>
      <c r="P5321" s="6" t="s">
        <v>105</v>
      </c>
      <c r="Q5321" s="8" t="s">
        <v>377</v>
      </c>
      <c r="R5321" s="10" t="s">
        <v>12471</v>
      </c>
      <c r="S5321" s="11" t="s">
        <v>30630</v>
      </c>
      <c r="T5321" s="6"/>
      <c r="U5321" s="15" t="str">
        <f>HYPERLINK("https://media.infra-m.ru/2157/2157889/cover/2157889.jpg", "Обложка")</f>
        <v>Обложка</v>
      </c>
      <c r="V5321" s="8" t="s">
        <v>379</v>
      </c>
      <c r="W5321" s="6"/>
      <c r="X5321" s="6"/>
      <c r="Y5321" s="6"/>
      <c r="Z5321" s="6"/>
      <c r="AA5321" s="6" t="s">
        <v>68</v>
      </c>
      <c r="AB5321" s="8"/>
      <c r="AC5321" s="27">
        <v>9785160201023</v>
      </c>
    </row>
    <row r="5322" spans="1:29" s="4" customFormat="1" ht="42" customHeight="1" x14ac:dyDescent="0.2">
      <c r="A5322" s="5">
        <v>0</v>
      </c>
      <c r="B5322" s="6" t="s">
        <v>30631</v>
      </c>
      <c r="C5322" s="7">
        <v>2316</v>
      </c>
      <c r="D5322" s="8" t="s">
        <v>30632</v>
      </c>
      <c r="E5322" s="8" t="s">
        <v>30633</v>
      </c>
      <c r="F5322" s="8" t="s">
        <v>30634</v>
      </c>
      <c r="G5322" s="6" t="s">
        <v>118</v>
      </c>
      <c r="H5322" s="6" t="s">
        <v>34</v>
      </c>
      <c r="I5322" s="8" t="s">
        <v>253</v>
      </c>
      <c r="J5322" s="9">
        <v>1</v>
      </c>
      <c r="K5322" s="9">
        <v>350</v>
      </c>
      <c r="L5322" s="9">
        <v>2026</v>
      </c>
      <c r="M5322" s="8" t="s">
        <v>30635</v>
      </c>
      <c r="N5322" s="8" t="s">
        <v>93</v>
      </c>
      <c r="O5322" s="8" t="s">
        <v>94</v>
      </c>
      <c r="P5322" s="6" t="s">
        <v>51</v>
      </c>
      <c r="Q5322" s="8" t="s">
        <v>65</v>
      </c>
      <c r="R5322" s="10" t="s">
        <v>9352</v>
      </c>
      <c r="S5322" s="11"/>
      <c r="T5322" s="6"/>
      <c r="U5322" s="15" t="str">
        <f>HYPERLINK("https://media.infra-m.ru/2223/2223802/cover/2223802.jpg", "Обложка")</f>
        <v>Обложка</v>
      </c>
      <c r="V5322" s="8" t="s">
        <v>1599</v>
      </c>
      <c r="W5322" s="6"/>
      <c r="X5322" s="6"/>
      <c r="Y5322" s="6"/>
      <c r="Z5322" s="6"/>
      <c r="AA5322" s="6" t="s">
        <v>68</v>
      </c>
      <c r="AB5322" s="8"/>
      <c r="AC5322" s="27">
        <v>9785160199108</v>
      </c>
    </row>
    <row r="5323" spans="1:29" s="4" customFormat="1" ht="42" customHeight="1" x14ac:dyDescent="0.2">
      <c r="A5323" s="5">
        <v>0</v>
      </c>
      <c r="B5323" s="6" t="s">
        <v>30636</v>
      </c>
      <c r="C5323" s="7">
        <v>2520</v>
      </c>
      <c r="D5323" s="8" t="s">
        <v>30637</v>
      </c>
      <c r="E5323" s="8" t="s">
        <v>30638</v>
      </c>
      <c r="F5323" s="8" t="s">
        <v>30639</v>
      </c>
      <c r="G5323" s="6" t="s">
        <v>60</v>
      </c>
      <c r="H5323" s="6" t="s">
        <v>34</v>
      </c>
      <c r="I5323" s="8" t="s">
        <v>253</v>
      </c>
      <c r="J5323" s="9">
        <v>1</v>
      </c>
      <c r="K5323" s="9">
        <v>417</v>
      </c>
      <c r="L5323" s="9">
        <v>2025</v>
      </c>
      <c r="M5323" s="8" t="s">
        <v>30640</v>
      </c>
      <c r="N5323" s="8" t="s">
        <v>93</v>
      </c>
      <c r="O5323" s="8" t="s">
        <v>94</v>
      </c>
      <c r="P5323" s="6" t="s">
        <v>306</v>
      </c>
      <c r="Q5323" s="8" t="s">
        <v>65</v>
      </c>
      <c r="R5323" s="10" t="s">
        <v>30641</v>
      </c>
      <c r="S5323" s="11"/>
      <c r="T5323" s="6"/>
      <c r="U5323" s="15" t="str">
        <f>HYPERLINK("https://media.infra-m.ru/2137/2137639/cover/2137639.jpg", "Обложка")</f>
        <v>Обложка</v>
      </c>
      <c r="V5323" s="8" t="s">
        <v>1599</v>
      </c>
      <c r="W5323" s="6"/>
      <c r="X5323" s="6"/>
      <c r="Y5323" s="6"/>
      <c r="Z5323" s="6"/>
      <c r="AA5323" s="6" t="s">
        <v>76</v>
      </c>
      <c r="AB5323" s="8" t="s">
        <v>18275</v>
      </c>
      <c r="AC5323" s="27">
        <v>9785160197944</v>
      </c>
    </row>
    <row r="5324" spans="1:29" s="4" customFormat="1" ht="51.9" customHeight="1" x14ac:dyDescent="0.2">
      <c r="A5324" s="5">
        <v>0</v>
      </c>
      <c r="B5324" s="6" t="s">
        <v>30642</v>
      </c>
      <c r="C5324" s="7">
        <v>2668.8</v>
      </c>
      <c r="D5324" s="8" t="s">
        <v>30643</v>
      </c>
      <c r="E5324" s="8" t="s">
        <v>30644</v>
      </c>
      <c r="F5324" s="8" t="s">
        <v>21239</v>
      </c>
      <c r="G5324" s="6" t="s">
        <v>60</v>
      </c>
      <c r="H5324" s="6" t="s">
        <v>34</v>
      </c>
      <c r="I5324" s="8" t="s">
        <v>253</v>
      </c>
      <c r="J5324" s="9">
        <v>1</v>
      </c>
      <c r="K5324" s="9">
        <v>405</v>
      </c>
      <c r="L5324" s="9">
        <v>2027</v>
      </c>
      <c r="M5324" s="8" t="s">
        <v>30645</v>
      </c>
      <c r="N5324" s="8" t="s">
        <v>93</v>
      </c>
      <c r="O5324" s="8" t="s">
        <v>94</v>
      </c>
      <c r="P5324" s="6" t="s">
        <v>306</v>
      </c>
      <c r="Q5324" s="8" t="s">
        <v>65</v>
      </c>
      <c r="R5324" s="10" t="s">
        <v>10761</v>
      </c>
      <c r="S5324" s="11" t="s">
        <v>30646</v>
      </c>
      <c r="T5324" s="6" t="s">
        <v>97</v>
      </c>
      <c r="U5324" s="15" t="str">
        <f>HYPERLINK("https://media.infra-m.ru/2251/2251271/cover/2251271.jpg", "Обложка")</f>
        <v>Обложка</v>
      </c>
      <c r="V5324" s="8" t="s">
        <v>10951</v>
      </c>
      <c r="W5324" s="6"/>
      <c r="X5324" s="6"/>
      <c r="Y5324" s="6"/>
      <c r="Z5324" s="6"/>
      <c r="AA5324" s="6" t="s">
        <v>623</v>
      </c>
      <c r="AB5324" s="8"/>
      <c r="AC5324" s="27">
        <v>9785160184951</v>
      </c>
    </row>
    <row r="5325" spans="1:29" s="4" customFormat="1" ht="42" customHeight="1" x14ac:dyDescent="0.2">
      <c r="A5325" s="5">
        <v>0</v>
      </c>
      <c r="B5325" s="6" t="s">
        <v>30647</v>
      </c>
      <c r="C5325" s="7">
        <v>1492.8</v>
      </c>
      <c r="D5325" s="8" t="s">
        <v>30648</v>
      </c>
      <c r="E5325" s="8" t="s">
        <v>30649</v>
      </c>
      <c r="F5325" s="8" t="s">
        <v>30650</v>
      </c>
      <c r="G5325" s="6" t="s">
        <v>60</v>
      </c>
      <c r="H5325" s="6" t="s">
        <v>34</v>
      </c>
      <c r="I5325" s="8" t="s">
        <v>288</v>
      </c>
      <c r="J5325" s="9">
        <v>1</v>
      </c>
      <c r="K5325" s="9">
        <v>227</v>
      </c>
      <c r="L5325" s="9">
        <v>2026</v>
      </c>
      <c r="M5325" s="8" t="s">
        <v>30651</v>
      </c>
      <c r="N5325" s="8" t="s">
        <v>37</v>
      </c>
      <c r="O5325" s="8" t="s">
        <v>290</v>
      </c>
      <c r="P5325" s="6" t="s">
        <v>51</v>
      </c>
      <c r="Q5325" s="8" t="s">
        <v>65</v>
      </c>
      <c r="R5325" s="10" t="s">
        <v>30652</v>
      </c>
      <c r="S5325" s="11"/>
      <c r="T5325" s="6"/>
      <c r="U5325" s="15" t="str">
        <f>HYPERLINK("https://media.infra-m.ru/2232/2232682/cover/2232682.jpg", "Обложка")</f>
        <v>Обложка</v>
      </c>
      <c r="V5325" s="8" t="s">
        <v>292</v>
      </c>
      <c r="W5325" s="6"/>
      <c r="X5325" s="6"/>
      <c r="Y5325" s="6"/>
      <c r="Z5325" s="6"/>
      <c r="AA5325" s="6" t="s">
        <v>68</v>
      </c>
      <c r="AB5325" s="8"/>
      <c r="AC5325" s="27">
        <v>9785160199498</v>
      </c>
    </row>
    <row r="5326" spans="1:29" s="4" customFormat="1" ht="42" customHeight="1" x14ac:dyDescent="0.2">
      <c r="A5326" s="5">
        <v>0</v>
      </c>
      <c r="B5326" s="6" t="s">
        <v>30653</v>
      </c>
      <c r="C5326" s="7">
        <v>1440</v>
      </c>
      <c r="D5326" s="8" t="s">
        <v>30654</v>
      </c>
      <c r="E5326" s="8" t="s">
        <v>30655</v>
      </c>
      <c r="F5326" s="8" t="s">
        <v>30656</v>
      </c>
      <c r="G5326" s="6" t="s">
        <v>60</v>
      </c>
      <c r="H5326" s="6" t="s">
        <v>34</v>
      </c>
      <c r="I5326" s="8" t="s">
        <v>35</v>
      </c>
      <c r="J5326" s="9">
        <v>1</v>
      </c>
      <c r="K5326" s="9">
        <v>212</v>
      </c>
      <c r="L5326" s="9">
        <v>2026</v>
      </c>
      <c r="M5326" s="8" t="s">
        <v>30657</v>
      </c>
      <c r="N5326" s="8" t="s">
        <v>93</v>
      </c>
      <c r="O5326" s="8" t="s">
        <v>94</v>
      </c>
      <c r="P5326" s="6" t="s">
        <v>39</v>
      </c>
      <c r="Q5326" s="8" t="s">
        <v>40</v>
      </c>
      <c r="R5326" s="10" t="s">
        <v>30658</v>
      </c>
      <c r="S5326" s="11"/>
      <c r="T5326" s="6"/>
      <c r="U5326" s="15" t="str">
        <f>HYPERLINK("https://media.infra-m.ru/2232/2232100/cover/2232100.jpg", "Обложка")</f>
        <v>Обложка</v>
      </c>
      <c r="V5326" s="8" t="s">
        <v>631</v>
      </c>
      <c r="W5326" s="6" t="s">
        <v>9380</v>
      </c>
      <c r="X5326" s="6"/>
      <c r="Y5326" s="6"/>
      <c r="Z5326" s="6"/>
      <c r="AA5326" s="6" t="s">
        <v>187</v>
      </c>
      <c r="AB5326" s="8" t="s">
        <v>308</v>
      </c>
      <c r="AC5326" s="27">
        <v>9785160215976</v>
      </c>
    </row>
    <row r="5327" spans="1:29" s="4" customFormat="1" ht="51.9" customHeight="1" x14ac:dyDescent="0.2">
      <c r="A5327" s="5">
        <v>0</v>
      </c>
      <c r="B5327" s="6" t="s">
        <v>30659</v>
      </c>
      <c r="C5327" s="7">
        <v>1668</v>
      </c>
      <c r="D5327" s="8" t="s">
        <v>30660</v>
      </c>
      <c r="E5327" s="8" t="s">
        <v>30661</v>
      </c>
      <c r="F5327" s="8" t="s">
        <v>30662</v>
      </c>
      <c r="G5327" s="6" t="s">
        <v>118</v>
      </c>
      <c r="H5327" s="6" t="s">
        <v>34</v>
      </c>
      <c r="I5327" s="8" t="s">
        <v>253</v>
      </c>
      <c r="J5327" s="9">
        <v>1</v>
      </c>
      <c r="K5327" s="9">
        <v>257</v>
      </c>
      <c r="L5327" s="9">
        <v>2025</v>
      </c>
      <c r="M5327" s="8" t="s">
        <v>30663</v>
      </c>
      <c r="N5327" s="8" t="s">
        <v>93</v>
      </c>
      <c r="O5327" s="8" t="s">
        <v>94</v>
      </c>
      <c r="P5327" s="6" t="s">
        <v>306</v>
      </c>
      <c r="Q5327" s="8" t="s">
        <v>500</v>
      </c>
      <c r="R5327" s="10" t="s">
        <v>30664</v>
      </c>
      <c r="S5327" s="11"/>
      <c r="T5327" s="6"/>
      <c r="U5327" s="15" t="str">
        <f>HYPERLINK("https://media.infra-m.ru/2170/2170971/cover/2170971.jpg", "Обложка")</f>
        <v>Обложка</v>
      </c>
      <c r="V5327" s="8" t="s">
        <v>30665</v>
      </c>
      <c r="W5327" s="6"/>
      <c r="X5327" s="6"/>
      <c r="Y5327" s="6"/>
      <c r="Z5327" s="6"/>
      <c r="AA5327" s="6" t="s">
        <v>68</v>
      </c>
      <c r="AB5327" s="8"/>
      <c r="AC5327" s="27">
        <v>9785160203812</v>
      </c>
    </row>
    <row r="5328" spans="1:29" s="4" customFormat="1" ht="51.9" customHeight="1" x14ac:dyDescent="0.2">
      <c r="A5328" s="5">
        <v>0</v>
      </c>
      <c r="B5328" s="6" t="s">
        <v>30666</v>
      </c>
      <c r="C5328" s="7">
        <v>1180.8</v>
      </c>
      <c r="D5328" s="8" t="s">
        <v>30667</v>
      </c>
      <c r="E5328" s="8" t="s">
        <v>30661</v>
      </c>
      <c r="F5328" s="8" t="s">
        <v>11788</v>
      </c>
      <c r="G5328" s="6" t="s">
        <v>33</v>
      </c>
      <c r="H5328" s="6" t="s">
        <v>34</v>
      </c>
      <c r="I5328" s="8" t="s">
        <v>253</v>
      </c>
      <c r="J5328" s="9">
        <v>1</v>
      </c>
      <c r="K5328" s="9">
        <v>187</v>
      </c>
      <c r="L5328" s="9">
        <v>2025</v>
      </c>
      <c r="M5328" s="8" t="s">
        <v>30668</v>
      </c>
      <c r="N5328" s="8" t="s">
        <v>93</v>
      </c>
      <c r="O5328" s="8" t="s">
        <v>94</v>
      </c>
      <c r="P5328" s="6" t="s">
        <v>306</v>
      </c>
      <c r="Q5328" s="8" t="s">
        <v>500</v>
      </c>
      <c r="R5328" s="10" t="s">
        <v>30669</v>
      </c>
      <c r="S5328" s="11" t="s">
        <v>30670</v>
      </c>
      <c r="T5328" s="6"/>
      <c r="U5328" s="15" t="str">
        <f>HYPERLINK("https://media.infra-m.ru/2219/2219719/cover/2219719.jpg", "Обложка")</f>
        <v>Обложка</v>
      </c>
      <c r="V5328" s="8" t="s">
        <v>10430</v>
      </c>
      <c r="W5328" s="6"/>
      <c r="X5328" s="6"/>
      <c r="Y5328" s="6"/>
      <c r="Z5328" s="6"/>
      <c r="AA5328" s="6" t="s">
        <v>99</v>
      </c>
      <c r="AB5328" s="8"/>
      <c r="AC5328" s="27">
        <v>9785160212234</v>
      </c>
    </row>
    <row r="5329" spans="1:29" s="4" customFormat="1" ht="51.9" customHeight="1" x14ac:dyDescent="0.2">
      <c r="A5329" s="5">
        <v>0</v>
      </c>
      <c r="B5329" s="6" t="s">
        <v>30671</v>
      </c>
      <c r="C5329" s="7">
        <v>1696.8</v>
      </c>
      <c r="D5329" s="8" t="s">
        <v>30672</v>
      </c>
      <c r="E5329" s="8" t="s">
        <v>30673</v>
      </c>
      <c r="F5329" s="8" t="s">
        <v>30674</v>
      </c>
      <c r="G5329" s="6" t="s">
        <v>118</v>
      </c>
      <c r="H5329" s="6" t="s">
        <v>34</v>
      </c>
      <c r="I5329" s="8" t="s">
        <v>263</v>
      </c>
      <c r="J5329" s="9">
        <v>1</v>
      </c>
      <c r="K5329" s="9">
        <v>258</v>
      </c>
      <c r="L5329" s="9">
        <v>2026</v>
      </c>
      <c r="M5329" s="8" t="s">
        <v>30675</v>
      </c>
      <c r="N5329" s="8" t="s">
        <v>93</v>
      </c>
      <c r="O5329" s="8" t="s">
        <v>94</v>
      </c>
      <c r="P5329" s="6" t="s">
        <v>51</v>
      </c>
      <c r="Q5329" s="8" t="s">
        <v>265</v>
      </c>
      <c r="R5329" s="10" t="s">
        <v>30676</v>
      </c>
      <c r="S5329" s="11" t="s">
        <v>28500</v>
      </c>
      <c r="T5329" s="6"/>
      <c r="U5329" s="15" t="str">
        <f>HYPERLINK("https://media.infra-m.ru/2232/2232018/cover/2232018.jpg", "Обложка")</f>
        <v>Обложка</v>
      </c>
      <c r="V5329" s="8" t="s">
        <v>1599</v>
      </c>
      <c r="W5329" s="6"/>
      <c r="X5329" s="6"/>
      <c r="Y5329" s="6"/>
      <c r="Z5329" s="6" t="s">
        <v>267</v>
      </c>
      <c r="AA5329" s="6" t="s">
        <v>1256</v>
      </c>
      <c r="AB5329" s="8"/>
      <c r="AC5329" s="27">
        <v>9785160156743</v>
      </c>
    </row>
    <row r="5330" spans="1:29" s="4" customFormat="1" ht="51.9" customHeight="1" x14ac:dyDescent="0.2">
      <c r="A5330" s="5">
        <v>0</v>
      </c>
      <c r="B5330" s="6" t="s">
        <v>30677</v>
      </c>
      <c r="C5330" s="7">
        <v>1608</v>
      </c>
      <c r="D5330" s="8" t="s">
        <v>30678</v>
      </c>
      <c r="E5330" s="8" t="s">
        <v>30673</v>
      </c>
      <c r="F5330" s="8" t="s">
        <v>30679</v>
      </c>
      <c r="G5330" s="6" t="s">
        <v>118</v>
      </c>
      <c r="H5330" s="6" t="s">
        <v>34</v>
      </c>
      <c r="I5330" s="8" t="s">
        <v>253</v>
      </c>
      <c r="J5330" s="9">
        <v>1</v>
      </c>
      <c r="K5330" s="9">
        <v>258</v>
      </c>
      <c r="L5330" s="9">
        <v>2026</v>
      </c>
      <c r="M5330" s="8" t="s">
        <v>30680</v>
      </c>
      <c r="N5330" s="8" t="s">
        <v>93</v>
      </c>
      <c r="O5330" s="8" t="s">
        <v>94</v>
      </c>
      <c r="P5330" s="6" t="s">
        <v>51</v>
      </c>
      <c r="Q5330" s="8" t="s">
        <v>52</v>
      </c>
      <c r="R5330" s="10" t="s">
        <v>11871</v>
      </c>
      <c r="S5330" s="11" t="s">
        <v>20947</v>
      </c>
      <c r="T5330" s="6"/>
      <c r="U5330" s="15" t="str">
        <f>HYPERLINK("https://media.infra-m.ru/2161/2161373/cover/2161373.jpg", "Обложка")</f>
        <v>Обложка</v>
      </c>
      <c r="V5330" s="8" t="s">
        <v>1599</v>
      </c>
      <c r="W5330" s="6"/>
      <c r="X5330" s="6"/>
      <c r="Y5330" s="6"/>
      <c r="Z5330" s="6"/>
      <c r="AA5330" s="6" t="s">
        <v>99</v>
      </c>
      <c r="AB5330" s="8"/>
      <c r="AC5330" s="27">
        <v>9785160201535</v>
      </c>
    </row>
    <row r="5331" spans="1:29" s="4" customFormat="1" ht="51.9" customHeight="1" x14ac:dyDescent="0.2">
      <c r="A5331" s="5">
        <v>0</v>
      </c>
      <c r="B5331" s="6" t="s">
        <v>30681</v>
      </c>
      <c r="C5331" s="7">
        <v>1284</v>
      </c>
      <c r="D5331" s="8" t="s">
        <v>30682</v>
      </c>
      <c r="E5331" s="8" t="s">
        <v>30683</v>
      </c>
      <c r="F5331" s="8" t="s">
        <v>30679</v>
      </c>
      <c r="G5331" s="6" t="s">
        <v>118</v>
      </c>
      <c r="H5331" s="6" t="s">
        <v>34</v>
      </c>
      <c r="I5331" s="8" t="s">
        <v>263</v>
      </c>
      <c r="J5331" s="9">
        <v>1</v>
      </c>
      <c r="K5331" s="9">
        <v>216</v>
      </c>
      <c r="L5331" s="9">
        <v>2024</v>
      </c>
      <c r="M5331" s="8" t="s">
        <v>30684</v>
      </c>
      <c r="N5331" s="8" t="s">
        <v>93</v>
      </c>
      <c r="O5331" s="8" t="s">
        <v>94</v>
      </c>
      <c r="P5331" s="6" t="s">
        <v>306</v>
      </c>
      <c r="Q5331" s="8" t="s">
        <v>265</v>
      </c>
      <c r="R5331" s="10" t="s">
        <v>30685</v>
      </c>
      <c r="S5331" s="11" t="s">
        <v>12381</v>
      </c>
      <c r="T5331" s="6"/>
      <c r="U5331" s="15" t="str">
        <f>HYPERLINK("https://media.infra-m.ru/2170/2170393/cover/2170393.jpg", "Обложка")</f>
        <v>Обложка</v>
      </c>
      <c r="V5331" s="8" t="s">
        <v>1599</v>
      </c>
      <c r="W5331" s="6"/>
      <c r="X5331" s="6"/>
      <c r="Y5331" s="6"/>
      <c r="Z5331" s="6" t="s">
        <v>267</v>
      </c>
      <c r="AA5331" s="6" t="s">
        <v>115</v>
      </c>
      <c r="AB5331" s="8" t="s">
        <v>1418</v>
      </c>
      <c r="AC5331" s="27">
        <v>9785160144689</v>
      </c>
    </row>
    <row r="5332" spans="1:29" s="4" customFormat="1" ht="51.9" customHeight="1" x14ac:dyDescent="0.2">
      <c r="A5332" s="5">
        <v>0</v>
      </c>
      <c r="B5332" s="6" t="s">
        <v>30686</v>
      </c>
      <c r="C5332" s="7">
        <v>1384.8</v>
      </c>
      <c r="D5332" s="8" t="s">
        <v>30687</v>
      </c>
      <c r="E5332" s="8" t="s">
        <v>30683</v>
      </c>
      <c r="F5332" s="8" t="s">
        <v>30674</v>
      </c>
      <c r="G5332" s="6" t="s">
        <v>118</v>
      </c>
      <c r="H5332" s="6" t="s">
        <v>34</v>
      </c>
      <c r="I5332" s="8" t="s">
        <v>271</v>
      </c>
      <c r="J5332" s="9">
        <v>1</v>
      </c>
      <c r="K5332" s="9">
        <v>216</v>
      </c>
      <c r="L5332" s="9">
        <v>2026</v>
      </c>
      <c r="M5332" s="8" t="s">
        <v>30688</v>
      </c>
      <c r="N5332" s="8" t="s">
        <v>93</v>
      </c>
      <c r="O5332" s="8" t="s">
        <v>94</v>
      </c>
      <c r="P5332" s="6" t="s">
        <v>306</v>
      </c>
      <c r="Q5332" s="8" t="s">
        <v>52</v>
      </c>
      <c r="R5332" s="10" t="s">
        <v>30689</v>
      </c>
      <c r="S5332" s="11" t="s">
        <v>2487</v>
      </c>
      <c r="T5332" s="6"/>
      <c r="U5332" s="15" t="str">
        <f>HYPERLINK("https://media.infra-m.ru/2223/2223191/cover/2223191.jpg", "Обложка")</f>
        <v>Обложка</v>
      </c>
      <c r="V5332" s="8" t="s">
        <v>1599</v>
      </c>
      <c r="W5332" s="6"/>
      <c r="X5332" s="6"/>
      <c r="Y5332" s="6"/>
      <c r="Z5332" s="6"/>
      <c r="AA5332" s="6" t="s">
        <v>99</v>
      </c>
      <c r="AB5332" s="8"/>
      <c r="AC5332" s="27">
        <v>9785160125657</v>
      </c>
    </row>
    <row r="5333" spans="1:29" s="4" customFormat="1" ht="51.9" customHeight="1" x14ac:dyDescent="0.2">
      <c r="A5333" s="5">
        <v>0</v>
      </c>
      <c r="B5333" s="6" t="s">
        <v>30690</v>
      </c>
      <c r="C5333" s="7">
        <v>3360</v>
      </c>
      <c r="D5333" s="8" t="s">
        <v>30691</v>
      </c>
      <c r="E5333" s="8" t="s">
        <v>30692</v>
      </c>
      <c r="F5333" s="8" t="s">
        <v>27795</v>
      </c>
      <c r="G5333" s="6" t="s">
        <v>60</v>
      </c>
      <c r="H5333" s="6" t="s">
        <v>34</v>
      </c>
      <c r="I5333" s="8" t="s">
        <v>253</v>
      </c>
      <c r="J5333" s="9">
        <v>1</v>
      </c>
      <c r="K5333" s="9">
        <v>525</v>
      </c>
      <c r="L5333" s="9">
        <v>2026</v>
      </c>
      <c r="M5333" s="8" t="s">
        <v>30693</v>
      </c>
      <c r="N5333" s="8" t="s">
        <v>93</v>
      </c>
      <c r="O5333" s="8" t="s">
        <v>94</v>
      </c>
      <c r="P5333" s="6" t="s">
        <v>51</v>
      </c>
      <c r="Q5333" s="8" t="s">
        <v>65</v>
      </c>
      <c r="R5333" s="10" t="s">
        <v>30694</v>
      </c>
      <c r="S5333" s="11"/>
      <c r="T5333" s="6"/>
      <c r="U5333" s="15" t="str">
        <f>HYPERLINK("https://media.infra-m.ru/2181/2181450/cover/2181450.jpg", "Обложка")</f>
        <v>Обложка</v>
      </c>
      <c r="V5333" s="8" t="s">
        <v>9822</v>
      </c>
      <c r="W5333" s="6"/>
      <c r="X5333" s="6"/>
      <c r="Y5333" s="6"/>
      <c r="Z5333" s="6"/>
      <c r="AA5333" s="6" t="s">
        <v>187</v>
      </c>
      <c r="AB5333" s="8"/>
      <c r="AC5333" s="27">
        <v>9785160205540</v>
      </c>
    </row>
    <row r="5334" spans="1:29" s="4" customFormat="1" ht="51.9" customHeight="1" x14ac:dyDescent="0.2">
      <c r="A5334" s="5">
        <v>0</v>
      </c>
      <c r="B5334" s="6" t="s">
        <v>30695</v>
      </c>
      <c r="C5334" s="7">
        <v>2112</v>
      </c>
      <c r="D5334" s="8" t="s">
        <v>30696</v>
      </c>
      <c r="E5334" s="8" t="s">
        <v>30697</v>
      </c>
      <c r="F5334" s="8" t="s">
        <v>30698</v>
      </c>
      <c r="G5334" s="6" t="s">
        <v>118</v>
      </c>
      <c r="H5334" s="6" t="s">
        <v>34</v>
      </c>
      <c r="I5334" s="8" t="s">
        <v>253</v>
      </c>
      <c r="J5334" s="9">
        <v>1</v>
      </c>
      <c r="K5334" s="9">
        <v>320</v>
      </c>
      <c r="L5334" s="9">
        <v>2026</v>
      </c>
      <c r="M5334" s="8" t="s">
        <v>30699</v>
      </c>
      <c r="N5334" s="8" t="s">
        <v>93</v>
      </c>
      <c r="O5334" s="8" t="s">
        <v>94</v>
      </c>
      <c r="P5334" s="6" t="s">
        <v>51</v>
      </c>
      <c r="Q5334" s="8" t="s">
        <v>500</v>
      </c>
      <c r="R5334" s="10" t="s">
        <v>30700</v>
      </c>
      <c r="S5334" s="11" t="s">
        <v>30701</v>
      </c>
      <c r="T5334" s="6" t="s">
        <v>97</v>
      </c>
      <c r="U5334" s="15" t="str">
        <f>HYPERLINK("https://media.infra-m.ru/2227/2227315/cover/2227315.jpg", "Обложка")</f>
        <v>Обложка</v>
      </c>
      <c r="V5334" s="8" t="s">
        <v>6700</v>
      </c>
      <c r="W5334" s="6"/>
      <c r="X5334" s="6"/>
      <c r="Y5334" s="6"/>
      <c r="Z5334" s="6"/>
      <c r="AA5334" s="6" t="s">
        <v>274</v>
      </c>
      <c r="AB5334" s="8"/>
      <c r="AC5334" s="27">
        <v>9785160220000</v>
      </c>
    </row>
    <row r="5335" spans="1:29" s="4" customFormat="1" ht="51.9" customHeight="1" x14ac:dyDescent="0.2">
      <c r="A5335" s="5">
        <v>0</v>
      </c>
      <c r="B5335" s="6" t="s">
        <v>30702</v>
      </c>
      <c r="C5335" s="7">
        <v>2520</v>
      </c>
      <c r="D5335" s="8" t="s">
        <v>30703</v>
      </c>
      <c r="E5335" s="8" t="s">
        <v>30704</v>
      </c>
      <c r="F5335" s="8" t="s">
        <v>30705</v>
      </c>
      <c r="G5335" s="6" t="s">
        <v>118</v>
      </c>
      <c r="H5335" s="6" t="s">
        <v>34</v>
      </c>
      <c r="I5335" s="8" t="s">
        <v>253</v>
      </c>
      <c r="J5335" s="9">
        <v>1</v>
      </c>
      <c r="K5335" s="9">
        <v>382</v>
      </c>
      <c r="L5335" s="9">
        <v>2026</v>
      </c>
      <c r="M5335" s="8" t="s">
        <v>30706</v>
      </c>
      <c r="N5335" s="8" t="s">
        <v>93</v>
      </c>
      <c r="O5335" s="8" t="s">
        <v>94</v>
      </c>
      <c r="P5335" s="6" t="s">
        <v>306</v>
      </c>
      <c r="Q5335" s="8" t="s">
        <v>65</v>
      </c>
      <c r="R5335" s="10" t="s">
        <v>16886</v>
      </c>
      <c r="S5335" s="11" t="s">
        <v>30707</v>
      </c>
      <c r="T5335" s="6"/>
      <c r="U5335" s="15" t="str">
        <f>HYPERLINK("https://media.infra-m.ru/2244/2244782/cover/2244782.jpg", "Обложка")</f>
        <v>Обложка</v>
      </c>
      <c r="V5335" s="8" t="s">
        <v>1599</v>
      </c>
      <c r="W5335" s="6"/>
      <c r="X5335" s="6"/>
      <c r="Y5335" s="6"/>
      <c r="Z5335" s="6"/>
      <c r="AA5335" s="6" t="s">
        <v>157</v>
      </c>
      <c r="AB5335" s="8"/>
      <c r="AC5335" s="27">
        <v>9785160186368</v>
      </c>
    </row>
    <row r="5336" spans="1:29" s="4" customFormat="1" ht="42" customHeight="1" x14ac:dyDescent="0.2">
      <c r="A5336" s="5">
        <v>0</v>
      </c>
      <c r="B5336" s="6" t="s">
        <v>30708</v>
      </c>
      <c r="C5336" s="7">
        <v>2664</v>
      </c>
      <c r="D5336" s="8" t="s">
        <v>30709</v>
      </c>
      <c r="E5336" s="8" t="s">
        <v>30704</v>
      </c>
      <c r="F5336" s="8" t="s">
        <v>30705</v>
      </c>
      <c r="G5336" s="6" t="s">
        <v>118</v>
      </c>
      <c r="H5336" s="6" t="s">
        <v>34</v>
      </c>
      <c r="I5336" s="8" t="s">
        <v>263</v>
      </c>
      <c r="J5336" s="9">
        <v>1</v>
      </c>
      <c r="K5336" s="9">
        <v>382</v>
      </c>
      <c r="L5336" s="9">
        <v>2027</v>
      </c>
      <c r="M5336" s="8" t="s">
        <v>30710</v>
      </c>
      <c r="N5336" s="8" t="s">
        <v>93</v>
      </c>
      <c r="O5336" s="8" t="s">
        <v>94</v>
      </c>
      <c r="P5336" s="6" t="s">
        <v>306</v>
      </c>
      <c r="Q5336" s="8" t="s">
        <v>265</v>
      </c>
      <c r="R5336" s="10" t="s">
        <v>30711</v>
      </c>
      <c r="S5336" s="11"/>
      <c r="T5336" s="6"/>
      <c r="U5336" s="15" t="str">
        <f>HYPERLINK("https://media.infra-m.ru/2262/2262622/cover/2262622.jpg", "Обложка")</f>
        <v>Обложка</v>
      </c>
      <c r="V5336" s="8" t="s">
        <v>1599</v>
      </c>
      <c r="W5336" s="6"/>
      <c r="X5336" s="6"/>
      <c r="Y5336" s="6"/>
      <c r="Z5336" s="6" t="s">
        <v>882</v>
      </c>
      <c r="AA5336" s="6" t="s">
        <v>68</v>
      </c>
      <c r="AB5336" s="8"/>
      <c r="AC5336" s="27">
        <v>9785160202983</v>
      </c>
    </row>
    <row r="5337" spans="1:29" s="4" customFormat="1" ht="51.9" customHeight="1" x14ac:dyDescent="0.2">
      <c r="A5337" s="5">
        <v>0</v>
      </c>
      <c r="B5337" s="6" t="s">
        <v>30712</v>
      </c>
      <c r="C5337" s="13">
        <v>960</v>
      </c>
      <c r="D5337" s="8" t="s">
        <v>30713</v>
      </c>
      <c r="E5337" s="8" t="s">
        <v>30714</v>
      </c>
      <c r="F5337" s="8" t="s">
        <v>30715</v>
      </c>
      <c r="G5337" s="6" t="s">
        <v>33</v>
      </c>
      <c r="H5337" s="6" t="s">
        <v>241</v>
      </c>
      <c r="I5337" s="8" t="s">
        <v>30716</v>
      </c>
      <c r="J5337" s="9">
        <v>1</v>
      </c>
      <c r="K5337" s="9">
        <v>160</v>
      </c>
      <c r="L5337" s="9">
        <v>2025</v>
      </c>
      <c r="M5337" s="8" t="s">
        <v>30717</v>
      </c>
      <c r="N5337" s="8" t="s">
        <v>63</v>
      </c>
      <c r="O5337" s="8" t="s">
        <v>154</v>
      </c>
      <c r="P5337" s="6" t="s">
        <v>51</v>
      </c>
      <c r="Q5337" s="8" t="s">
        <v>52</v>
      </c>
      <c r="R5337" s="10" t="s">
        <v>30718</v>
      </c>
      <c r="S5337" s="11" t="s">
        <v>28111</v>
      </c>
      <c r="T5337" s="6"/>
      <c r="U5337" s="15" t="str">
        <f>HYPERLINK("https://media.infra-m.ru/2179/2179472/cover/2179472.jpg", "Обложка")</f>
        <v>Обложка</v>
      </c>
      <c r="V5337" s="8" t="s">
        <v>2389</v>
      </c>
      <c r="W5337" s="6"/>
      <c r="X5337" s="6"/>
      <c r="Y5337" s="6"/>
      <c r="Z5337" s="6"/>
      <c r="AA5337" s="6" t="s">
        <v>274</v>
      </c>
      <c r="AB5337" s="8"/>
      <c r="AC5337" s="27">
        <v>9785955802626</v>
      </c>
    </row>
    <row r="5338" spans="1:29" s="4" customFormat="1" ht="51.9" customHeight="1" x14ac:dyDescent="0.2">
      <c r="A5338" s="5">
        <v>0</v>
      </c>
      <c r="B5338" s="6" t="s">
        <v>30719</v>
      </c>
      <c r="C5338" s="7">
        <v>1080</v>
      </c>
      <c r="D5338" s="8" t="s">
        <v>30720</v>
      </c>
      <c r="E5338" s="8" t="s">
        <v>30714</v>
      </c>
      <c r="F5338" s="8" t="s">
        <v>30715</v>
      </c>
      <c r="G5338" s="6" t="s">
        <v>118</v>
      </c>
      <c r="H5338" s="6" t="s">
        <v>34</v>
      </c>
      <c r="I5338" s="8" t="s">
        <v>263</v>
      </c>
      <c r="J5338" s="9">
        <v>1</v>
      </c>
      <c r="K5338" s="9">
        <v>160</v>
      </c>
      <c r="L5338" s="9">
        <v>2026</v>
      </c>
      <c r="M5338" s="8" t="s">
        <v>30721</v>
      </c>
      <c r="N5338" s="8" t="s">
        <v>63</v>
      </c>
      <c r="O5338" s="8" t="s">
        <v>154</v>
      </c>
      <c r="P5338" s="6" t="s">
        <v>51</v>
      </c>
      <c r="Q5338" s="8" t="s">
        <v>265</v>
      </c>
      <c r="R5338" s="10" t="s">
        <v>30722</v>
      </c>
      <c r="S5338" s="11" t="s">
        <v>30723</v>
      </c>
      <c r="T5338" s="6"/>
      <c r="U5338" s="15" t="str">
        <f>HYPERLINK("https://media.infra-m.ru/2215/2215353/cover/2215353.jpg", "Обложка")</f>
        <v>Обложка</v>
      </c>
      <c r="V5338" s="8" t="s">
        <v>2389</v>
      </c>
      <c r="W5338" s="6"/>
      <c r="X5338" s="6"/>
      <c r="Y5338" s="6"/>
      <c r="Z5338" s="6" t="s">
        <v>267</v>
      </c>
      <c r="AA5338" s="6" t="s">
        <v>148</v>
      </c>
      <c r="AB5338" s="8"/>
      <c r="AC5338" s="27">
        <v>9785160211831</v>
      </c>
    </row>
    <row r="5339" spans="1:29" s="4" customFormat="1" ht="51.9" customHeight="1" x14ac:dyDescent="0.2">
      <c r="A5339" s="5">
        <v>0</v>
      </c>
      <c r="B5339" s="6" t="s">
        <v>30724</v>
      </c>
      <c r="C5339" s="7">
        <v>2208</v>
      </c>
      <c r="D5339" s="8" t="s">
        <v>30725</v>
      </c>
      <c r="E5339" s="8" t="s">
        <v>30726</v>
      </c>
      <c r="F5339" s="8" t="s">
        <v>30727</v>
      </c>
      <c r="G5339" s="6" t="s">
        <v>118</v>
      </c>
      <c r="H5339" s="6" t="s">
        <v>34</v>
      </c>
      <c r="I5339" s="8" t="s">
        <v>263</v>
      </c>
      <c r="J5339" s="9">
        <v>1</v>
      </c>
      <c r="K5339" s="9">
        <v>335</v>
      </c>
      <c r="L5339" s="9">
        <v>2026</v>
      </c>
      <c r="M5339" s="8" t="s">
        <v>30728</v>
      </c>
      <c r="N5339" s="8" t="s">
        <v>93</v>
      </c>
      <c r="O5339" s="8" t="s">
        <v>94</v>
      </c>
      <c r="P5339" s="6" t="s">
        <v>306</v>
      </c>
      <c r="Q5339" s="8" t="s">
        <v>265</v>
      </c>
      <c r="R5339" s="10" t="s">
        <v>11034</v>
      </c>
      <c r="S5339" s="11" t="s">
        <v>30729</v>
      </c>
      <c r="T5339" s="6"/>
      <c r="U5339" s="15" t="str">
        <f>HYPERLINK("https://media.infra-m.ru/2215/2215354/cover/2215354.jpg", "Обложка")</f>
        <v>Обложка</v>
      </c>
      <c r="V5339" s="8" t="s">
        <v>1599</v>
      </c>
      <c r="W5339" s="6"/>
      <c r="X5339" s="6"/>
      <c r="Y5339" s="6"/>
      <c r="Z5339" s="6" t="s">
        <v>267</v>
      </c>
      <c r="AA5339" s="6" t="s">
        <v>86</v>
      </c>
      <c r="AB5339" s="8"/>
      <c r="AC5339" s="27">
        <v>9785160139937</v>
      </c>
    </row>
    <row r="5340" spans="1:29" s="4" customFormat="1" ht="51.9" customHeight="1" x14ac:dyDescent="0.2">
      <c r="A5340" s="5">
        <v>0</v>
      </c>
      <c r="B5340" s="6" t="s">
        <v>30730</v>
      </c>
      <c r="C5340" s="7">
        <v>2892</v>
      </c>
      <c r="D5340" s="8" t="s">
        <v>30731</v>
      </c>
      <c r="E5340" s="8" t="s">
        <v>30726</v>
      </c>
      <c r="F5340" s="8" t="s">
        <v>30732</v>
      </c>
      <c r="G5340" s="6" t="s">
        <v>60</v>
      </c>
      <c r="H5340" s="6" t="s">
        <v>34</v>
      </c>
      <c r="I5340" s="8" t="s">
        <v>253</v>
      </c>
      <c r="J5340" s="9">
        <v>1</v>
      </c>
      <c r="K5340" s="9">
        <v>439</v>
      </c>
      <c r="L5340" s="9">
        <v>2026</v>
      </c>
      <c r="M5340" s="8" t="s">
        <v>30733</v>
      </c>
      <c r="N5340" s="8" t="s">
        <v>93</v>
      </c>
      <c r="O5340" s="8" t="s">
        <v>94</v>
      </c>
      <c r="P5340" s="6" t="s">
        <v>306</v>
      </c>
      <c r="Q5340" s="8" t="s">
        <v>52</v>
      </c>
      <c r="R5340" s="10" t="s">
        <v>30734</v>
      </c>
      <c r="S5340" s="11" t="s">
        <v>30735</v>
      </c>
      <c r="T5340" s="6"/>
      <c r="U5340" s="15" t="str">
        <f>HYPERLINK("https://media.infra-m.ru/2238/2238617/cover/2238617.jpg", "Обложка")</f>
        <v>Обложка</v>
      </c>
      <c r="V5340" s="8" t="s">
        <v>13825</v>
      </c>
      <c r="W5340" s="6"/>
      <c r="X5340" s="6"/>
      <c r="Y5340" s="6"/>
      <c r="Z5340" s="6"/>
      <c r="AA5340" s="6" t="s">
        <v>148</v>
      </c>
      <c r="AB5340" s="8"/>
      <c r="AC5340" s="27">
        <v>9785160195681</v>
      </c>
    </row>
    <row r="5341" spans="1:29" s="4" customFormat="1" ht="51.9" customHeight="1" x14ac:dyDescent="0.2">
      <c r="A5341" s="5">
        <v>0</v>
      </c>
      <c r="B5341" s="6" t="s">
        <v>30736</v>
      </c>
      <c r="C5341" s="7">
        <v>2092.8000000000002</v>
      </c>
      <c r="D5341" s="8" t="s">
        <v>30737</v>
      </c>
      <c r="E5341" s="8" t="s">
        <v>30726</v>
      </c>
      <c r="F5341" s="8" t="s">
        <v>30727</v>
      </c>
      <c r="G5341" s="6" t="s">
        <v>118</v>
      </c>
      <c r="H5341" s="6" t="s">
        <v>34</v>
      </c>
      <c r="I5341" s="8" t="s">
        <v>253</v>
      </c>
      <c r="J5341" s="9">
        <v>1</v>
      </c>
      <c r="K5341" s="9">
        <v>335</v>
      </c>
      <c r="L5341" s="9">
        <v>2026</v>
      </c>
      <c r="M5341" s="8" t="s">
        <v>30738</v>
      </c>
      <c r="N5341" s="8" t="s">
        <v>93</v>
      </c>
      <c r="O5341" s="8" t="s">
        <v>94</v>
      </c>
      <c r="P5341" s="6" t="s">
        <v>306</v>
      </c>
      <c r="Q5341" s="8" t="s">
        <v>52</v>
      </c>
      <c r="R5341" s="10" t="s">
        <v>30739</v>
      </c>
      <c r="S5341" s="11" t="s">
        <v>30740</v>
      </c>
      <c r="T5341" s="6"/>
      <c r="U5341" s="15" t="str">
        <f>HYPERLINK("https://media.infra-m.ru/2205/2205705/cover/2205705.jpg", "Обложка")</f>
        <v>Обложка</v>
      </c>
      <c r="V5341" s="8" t="s">
        <v>1599</v>
      </c>
      <c r="W5341" s="6"/>
      <c r="X5341" s="6" t="s">
        <v>24</v>
      </c>
      <c r="Y5341" s="6"/>
      <c r="Z5341" s="6"/>
      <c r="AA5341" s="6" t="s">
        <v>779</v>
      </c>
      <c r="AB5341" s="8"/>
      <c r="AC5341" s="27">
        <v>9785160191782</v>
      </c>
    </row>
    <row r="5342" spans="1:29" s="4" customFormat="1" ht="51.9" customHeight="1" x14ac:dyDescent="0.2">
      <c r="A5342" s="5">
        <v>0</v>
      </c>
      <c r="B5342" s="6" t="s">
        <v>30741</v>
      </c>
      <c r="C5342" s="7">
        <v>1032</v>
      </c>
      <c r="D5342" s="8" t="s">
        <v>30742</v>
      </c>
      <c r="E5342" s="8" t="s">
        <v>30743</v>
      </c>
      <c r="F5342" s="8" t="s">
        <v>30744</v>
      </c>
      <c r="G5342" s="6" t="s">
        <v>33</v>
      </c>
      <c r="H5342" s="6" t="s">
        <v>313</v>
      </c>
      <c r="I5342" s="8" t="s">
        <v>35</v>
      </c>
      <c r="J5342" s="9">
        <v>1</v>
      </c>
      <c r="K5342" s="9">
        <v>191</v>
      </c>
      <c r="L5342" s="9">
        <v>2023</v>
      </c>
      <c r="M5342" s="8" t="s">
        <v>30745</v>
      </c>
      <c r="N5342" s="8" t="s">
        <v>63</v>
      </c>
      <c r="O5342" s="8" t="s">
        <v>126</v>
      </c>
      <c r="P5342" s="6" t="s">
        <v>39</v>
      </c>
      <c r="Q5342" s="8" t="s">
        <v>749</v>
      </c>
      <c r="R5342" s="10" t="s">
        <v>30746</v>
      </c>
      <c r="S5342" s="11"/>
      <c r="T5342" s="6"/>
      <c r="U5342" s="15" t="str">
        <f>HYPERLINK("https://media.infra-m.ru/2005/2005203/cover/2005203.jpg", "Обложка")</f>
        <v>Обложка</v>
      </c>
      <c r="V5342" s="8" t="s">
        <v>6224</v>
      </c>
      <c r="W5342" s="6"/>
      <c r="X5342" s="6"/>
      <c r="Y5342" s="6"/>
      <c r="Z5342" s="6"/>
      <c r="AA5342" s="6" t="s">
        <v>360</v>
      </c>
      <c r="AB5342" s="8"/>
      <c r="AC5342" s="27">
        <v>9785369015124</v>
      </c>
    </row>
    <row r="5343" spans="1:29" s="4" customFormat="1" ht="44.1" customHeight="1" x14ac:dyDescent="0.2">
      <c r="A5343" s="5">
        <v>0</v>
      </c>
      <c r="B5343" s="6" t="s">
        <v>30747</v>
      </c>
      <c r="C5343" s="7">
        <v>1572</v>
      </c>
      <c r="D5343" s="8" t="s">
        <v>30748</v>
      </c>
      <c r="E5343" s="8" t="s">
        <v>30749</v>
      </c>
      <c r="F5343" s="8" t="s">
        <v>6330</v>
      </c>
      <c r="G5343" s="6" t="s">
        <v>60</v>
      </c>
      <c r="H5343" s="6" t="s">
        <v>34</v>
      </c>
      <c r="I5343" s="8" t="s">
        <v>253</v>
      </c>
      <c r="J5343" s="9">
        <v>1</v>
      </c>
      <c r="K5343" s="9">
        <v>281</v>
      </c>
      <c r="L5343" s="9">
        <v>2023</v>
      </c>
      <c r="M5343" s="8" t="s">
        <v>30750</v>
      </c>
      <c r="N5343" s="8" t="s">
        <v>93</v>
      </c>
      <c r="O5343" s="8" t="s">
        <v>94</v>
      </c>
      <c r="P5343" s="6" t="s">
        <v>234</v>
      </c>
      <c r="Q5343" s="8" t="s">
        <v>65</v>
      </c>
      <c r="R5343" s="10" t="s">
        <v>30751</v>
      </c>
      <c r="S5343" s="11"/>
      <c r="T5343" s="6"/>
      <c r="U5343" s="15" t="str">
        <f>HYPERLINK("https://media.infra-m.ru/1020/1020825/cover/1020825.jpg", "Обложка")</f>
        <v>Обложка</v>
      </c>
      <c r="V5343" s="8" t="s">
        <v>6190</v>
      </c>
      <c r="W5343" s="6"/>
      <c r="X5343" s="6"/>
      <c r="Y5343" s="6"/>
      <c r="Z5343" s="6"/>
      <c r="AA5343" s="6" t="s">
        <v>157</v>
      </c>
      <c r="AB5343" s="8"/>
      <c r="AC5343" s="27">
        <v>9785160152547</v>
      </c>
    </row>
    <row r="5344" spans="1:29" s="4" customFormat="1" ht="51.9" customHeight="1" x14ac:dyDescent="0.2">
      <c r="A5344" s="5">
        <v>0</v>
      </c>
      <c r="B5344" s="6" t="s">
        <v>30752</v>
      </c>
      <c r="C5344" s="7">
        <v>1380</v>
      </c>
      <c r="D5344" s="8" t="s">
        <v>30753</v>
      </c>
      <c r="E5344" s="8" t="s">
        <v>30754</v>
      </c>
      <c r="F5344" s="8" t="s">
        <v>6330</v>
      </c>
      <c r="G5344" s="6" t="s">
        <v>33</v>
      </c>
      <c r="H5344" s="6" t="s">
        <v>34</v>
      </c>
      <c r="I5344" s="8" t="s">
        <v>35</v>
      </c>
      <c r="J5344" s="9">
        <v>1</v>
      </c>
      <c r="K5344" s="9">
        <v>209</v>
      </c>
      <c r="L5344" s="9">
        <v>2026</v>
      </c>
      <c r="M5344" s="8" t="s">
        <v>30755</v>
      </c>
      <c r="N5344" s="8" t="s">
        <v>93</v>
      </c>
      <c r="O5344" s="8" t="s">
        <v>94</v>
      </c>
      <c r="P5344" s="6" t="s">
        <v>39</v>
      </c>
      <c r="Q5344" s="8" t="s">
        <v>40</v>
      </c>
      <c r="R5344" s="10" t="s">
        <v>30756</v>
      </c>
      <c r="S5344" s="11"/>
      <c r="T5344" s="6"/>
      <c r="U5344" s="15" t="str">
        <f>HYPERLINK("https://media.infra-m.ru/2231/2231976/cover/2231976.jpg", "Обложка")</f>
        <v>Обложка</v>
      </c>
      <c r="V5344" s="8" t="s">
        <v>6190</v>
      </c>
      <c r="W5344" s="6"/>
      <c r="X5344" s="6"/>
      <c r="Y5344" s="6"/>
      <c r="Z5344" s="6"/>
      <c r="AA5344" s="6" t="s">
        <v>430</v>
      </c>
      <c r="AB5344" s="8"/>
      <c r="AC5344" s="27">
        <v>9785160164991</v>
      </c>
    </row>
    <row r="5345" spans="1:29" s="4" customFormat="1" ht="51.9" customHeight="1" x14ac:dyDescent="0.2">
      <c r="A5345" s="5">
        <v>0</v>
      </c>
      <c r="B5345" s="6" t="s">
        <v>30757</v>
      </c>
      <c r="C5345" s="7">
        <v>2200.8000000000002</v>
      </c>
      <c r="D5345" s="8" t="s">
        <v>30758</v>
      </c>
      <c r="E5345" s="8" t="s">
        <v>30759</v>
      </c>
      <c r="F5345" s="8" t="s">
        <v>30760</v>
      </c>
      <c r="G5345" s="6" t="s">
        <v>60</v>
      </c>
      <c r="H5345" s="6" t="s">
        <v>34</v>
      </c>
      <c r="I5345" s="8" t="s">
        <v>253</v>
      </c>
      <c r="J5345" s="9">
        <v>1</v>
      </c>
      <c r="K5345" s="9">
        <v>334</v>
      </c>
      <c r="L5345" s="9">
        <v>2026</v>
      </c>
      <c r="M5345" s="8" t="s">
        <v>30761</v>
      </c>
      <c r="N5345" s="8" t="s">
        <v>93</v>
      </c>
      <c r="O5345" s="8" t="s">
        <v>94</v>
      </c>
      <c r="P5345" s="6" t="s">
        <v>51</v>
      </c>
      <c r="Q5345" s="8" t="s">
        <v>52</v>
      </c>
      <c r="R5345" s="10" t="s">
        <v>28492</v>
      </c>
      <c r="S5345" s="11" t="s">
        <v>30762</v>
      </c>
      <c r="T5345" s="6"/>
      <c r="U5345" s="15" t="str">
        <f>HYPERLINK("https://media.infra-m.ru/2243/2243168/cover/2243168.jpg", "Обложка")</f>
        <v>Обложка</v>
      </c>
      <c r="V5345" s="8" t="s">
        <v>13825</v>
      </c>
      <c r="W5345" s="6"/>
      <c r="X5345" s="6"/>
      <c r="Y5345" s="6"/>
      <c r="Z5345" s="6"/>
      <c r="AA5345" s="6" t="s">
        <v>157</v>
      </c>
      <c r="AB5345" s="8"/>
      <c r="AC5345" s="27">
        <v>9785160168272</v>
      </c>
    </row>
    <row r="5346" spans="1:29" s="4" customFormat="1" ht="51.9" customHeight="1" x14ac:dyDescent="0.2">
      <c r="A5346" s="5">
        <v>0</v>
      </c>
      <c r="B5346" s="6" t="s">
        <v>30763</v>
      </c>
      <c r="C5346" s="7">
        <v>3052.8</v>
      </c>
      <c r="D5346" s="8" t="s">
        <v>30764</v>
      </c>
      <c r="E5346" s="8" t="s">
        <v>30765</v>
      </c>
      <c r="F5346" s="8" t="s">
        <v>30766</v>
      </c>
      <c r="G5346" s="6" t="s">
        <v>118</v>
      </c>
      <c r="H5346" s="6" t="s">
        <v>34</v>
      </c>
      <c r="I5346" s="8" t="s">
        <v>253</v>
      </c>
      <c r="J5346" s="9">
        <v>1</v>
      </c>
      <c r="K5346" s="9">
        <v>462</v>
      </c>
      <c r="L5346" s="9">
        <v>2026</v>
      </c>
      <c r="M5346" s="8" t="s">
        <v>30767</v>
      </c>
      <c r="N5346" s="8" t="s">
        <v>93</v>
      </c>
      <c r="O5346" s="8" t="s">
        <v>94</v>
      </c>
      <c r="P5346" s="6" t="s">
        <v>306</v>
      </c>
      <c r="Q5346" s="8" t="s">
        <v>65</v>
      </c>
      <c r="R5346" s="10" t="s">
        <v>30768</v>
      </c>
      <c r="S5346" s="11" t="s">
        <v>30769</v>
      </c>
      <c r="T5346" s="6"/>
      <c r="U5346" s="15" t="str">
        <f>HYPERLINK("https://media.infra-m.ru/2239/2239437/cover/2239437.jpg", "Обложка")</f>
        <v>Обложка</v>
      </c>
      <c r="V5346" s="8"/>
      <c r="W5346" s="6"/>
      <c r="X5346" s="6"/>
      <c r="Y5346" s="6"/>
      <c r="Z5346" s="6"/>
      <c r="AA5346" s="6" t="s">
        <v>157</v>
      </c>
      <c r="AB5346" s="8"/>
      <c r="AC5346" s="27">
        <v>9785160184982</v>
      </c>
    </row>
    <row r="5347" spans="1:29" s="4" customFormat="1" ht="51.9" customHeight="1" x14ac:dyDescent="0.2">
      <c r="A5347" s="5">
        <v>0</v>
      </c>
      <c r="B5347" s="6" t="s">
        <v>30770</v>
      </c>
      <c r="C5347" s="7">
        <v>2620.8000000000002</v>
      </c>
      <c r="D5347" s="8" t="s">
        <v>30771</v>
      </c>
      <c r="E5347" s="8" t="s">
        <v>30754</v>
      </c>
      <c r="F5347" s="8" t="s">
        <v>30772</v>
      </c>
      <c r="G5347" s="6" t="s">
        <v>60</v>
      </c>
      <c r="H5347" s="6" t="s">
        <v>34</v>
      </c>
      <c r="I5347" s="8" t="s">
        <v>263</v>
      </c>
      <c r="J5347" s="9">
        <v>1</v>
      </c>
      <c r="K5347" s="9">
        <v>421</v>
      </c>
      <c r="L5347" s="9">
        <v>2026</v>
      </c>
      <c r="M5347" s="8" t="s">
        <v>30773</v>
      </c>
      <c r="N5347" s="8" t="s">
        <v>93</v>
      </c>
      <c r="O5347" s="8" t="s">
        <v>94</v>
      </c>
      <c r="P5347" s="6" t="s">
        <v>306</v>
      </c>
      <c r="Q5347" s="8" t="s">
        <v>265</v>
      </c>
      <c r="R5347" s="10" t="s">
        <v>5974</v>
      </c>
      <c r="S5347" s="11" t="s">
        <v>30774</v>
      </c>
      <c r="T5347" s="6"/>
      <c r="U5347" s="15" t="str">
        <f>HYPERLINK("https://media.infra-m.ru/2216/2216827/cover/2216827.jpg", "Обложка")</f>
        <v>Обложка</v>
      </c>
      <c r="V5347" s="8" t="s">
        <v>13825</v>
      </c>
      <c r="W5347" s="6"/>
      <c r="X5347" s="6"/>
      <c r="Y5347" s="6"/>
      <c r="Z5347" s="6" t="s">
        <v>267</v>
      </c>
      <c r="AA5347" s="6" t="s">
        <v>430</v>
      </c>
      <c r="AB5347" s="8"/>
      <c r="AC5347" s="27">
        <v>9785160168364</v>
      </c>
    </row>
    <row r="5348" spans="1:29" s="4" customFormat="1" ht="51.9" customHeight="1" x14ac:dyDescent="0.2">
      <c r="A5348" s="5">
        <v>0</v>
      </c>
      <c r="B5348" s="6" t="s">
        <v>30775</v>
      </c>
      <c r="C5348" s="7">
        <v>2700</v>
      </c>
      <c r="D5348" s="8" t="s">
        <v>30776</v>
      </c>
      <c r="E5348" s="8" t="s">
        <v>30754</v>
      </c>
      <c r="F5348" s="8" t="s">
        <v>30772</v>
      </c>
      <c r="G5348" s="6" t="s">
        <v>60</v>
      </c>
      <c r="H5348" s="6" t="s">
        <v>34</v>
      </c>
      <c r="I5348" s="8" t="s">
        <v>253</v>
      </c>
      <c r="J5348" s="9">
        <v>1</v>
      </c>
      <c r="K5348" s="9">
        <v>427</v>
      </c>
      <c r="L5348" s="9">
        <v>2026</v>
      </c>
      <c r="M5348" s="8" t="s">
        <v>30777</v>
      </c>
      <c r="N5348" s="8" t="s">
        <v>93</v>
      </c>
      <c r="O5348" s="8" t="s">
        <v>94</v>
      </c>
      <c r="P5348" s="6" t="s">
        <v>306</v>
      </c>
      <c r="Q5348" s="8" t="s">
        <v>52</v>
      </c>
      <c r="R5348" s="10" t="s">
        <v>28492</v>
      </c>
      <c r="S5348" s="11" t="s">
        <v>30778</v>
      </c>
      <c r="T5348" s="6"/>
      <c r="U5348" s="15" t="str">
        <f>HYPERLINK("https://media.infra-m.ru/2213/2213710/cover/2213710.jpg", "Обложка")</f>
        <v>Обложка</v>
      </c>
      <c r="V5348" s="8" t="s">
        <v>13825</v>
      </c>
      <c r="W5348" s="6"/>
      <c r="X5348" s="6"/>
      <c r="Y5348" s="6"/>
      <c r="Z5348" s="6"/>
      <c r="AA5348" s="6" t="s">
        <v>99</v>
      </c>
      <c r="AB5348" s="8"/>
      <c r="AC5348" s="27">
        <v>9785160184333</v>
      </c>
    </row>
    <row r="5349" spans="1:29" s="4" customFormat="1" ht="51.9" customHeight="1" x14ac:dyDescent="0.2">
      <c r="A5349" s="5">
        <v>0</v>
      </c>
      <c r="B5349" s="6" t="s">
        <v>30779</v>
      </c>
      <c r="C5349" s="7">
        <v>1896</v>
      </c>
      <c r="D5349" s="8" t="s">
        <v>30780</v>
      </c>
      <c r="E5349" s="8" t="s">
        <v>30754</v>
      </c>
      <c r="F5349" s="8" t="s">
        <v>30781</v>
      </c>
      <c r="G5349" s="6" t="s">
        <v>118</v>
      </c>
      <c r="H5349" s="6" t="s">
        <v>313</v>
      </c>
      <c r="I5349" s="8" t="s">
        <v>401</v>
      </c>
      <c r="J5349" s="9">
        <v>1</v>
      </c>
      <c r="K5349" s="9">
        <v>303</v>
      </c>
      <c r="L5349" s="9">
        <v>2025</v>
      </c>
      <c r="M5349" s="8" t="s">
        <v>30782</v>
      </c>
      <c r="N5349" s="8" t="s">
        <v>93</v>
      </c>
      <c r="O5349" s="8" t="s">
        <v>94</v>
      </c>
      <c r="P5349" s="6" t="s">
        <v>51</v>
      </c>
      <c r="Q5349" s="8" t="s">
        <v>265</v>
      </c>
      <c r="R5349" s="10" t="s">
        <v>30783</v>
      </c>
      <c r="S5349" s="11"/>
      <c r="T5349" s="6"/>
      <c r="U5349" s="15" t="str">
        <f>HYPERLINK("https://media.infra-m.ru/2208/2208979/cover/2208979.jpg", "Обложка")</f>
        <v>Обложка</v>
      </c>
      <c r="V5349" s="8" t="s">
        <v>14780</v>
      </c>
      <c r="W5349" s="6"/>
      <c r="X5349" s="6" t="s">
        <v>24</v>
      </c>
      <c r="Y5349" s="6"/>
      <c r="Z5349" s="6" t="s">
        <v>267</v>
      </c>
      <c r="AA5349" s="6" t="s">
        <v>1256</v>
      </c>
      <c r="AB5349" s="8"/>
      <c r="AC5349" s="27">
        <v>9785369018279</v>
      </c>
    </row>
    <row r="5350" spans="1:29" s="4" customFormat="1" ht="51.9" customHeight="1" x14ac:dyDescent="0.2">
      <c r="A5350" s="5">
        <v>0</v>
      </c>
      <c r="B5350" s="6" t="s">
        <v>30784</v>
      </c>
      <c r="C5350" s="7">
        <v>1660.8</v>
      </c>
      <c r="D5350" s="8" t="s">
        <v>30785</v>
      </c>
      <c r="E5350" s="8" t="s">
        <v>30786</v>
      </c>
      <c r="F5350" s="8" t="s">
        <v>30781</v>
      </c>
      <c r="G5350" s="6" t="s">
        <v>60</v>
      </c>
      <c r="H5350" s="6" t="s">
        <v>313</v>
      </c>
      <c r="I5350" s="8" t="s">
        <v>253</v>
      </c>
      <c r="J5350" s="9">
        <v>1</v>
      </c>
      <c r="K5350" s="9">
        <v>303</v>
      </c>
      <c r="L5350" s="9">
        <v>2023</v>
      </c>
      <c r="M5350" s="8" t="s">
        <v>30787</v>
      </c>
      <c r="N5350" s="8" t="s">
        <v>93</v>
      </c>
      <c r="O5350" s="8" t="s">
        <v>94</v>
      </c>
      <c r="P5350" s="6" t="s">
        <v>51</v>
      </c>
      <c r="Q5350" s="8" t="s">
        <v>52</v>
      </c>
      <c r="R5350" s="10" t="s">
        <v>28492</v>
      </c>
      <c r="S5350" s="11"/>
      <c r="T5350" s="6"/>
      <c r="U5350" s="15" t="str">
        <f>HYPERLINK("https://media.infra-m.ru/1920/1920335/cover/1920335.jpg", "Обложка")</f>
        <v>Обложка</v>
      </c>
      <c r="V5350" s="8" t="s">
        <v>14780</v>
      </c>
      <c r="W5350" s="6"/>
      <c r="X5350" s="6"/>
      <c r="Y5350" s="6"/>
      <c r="Z5350" s="6"/>
      <c r="AA5350" s="6" t="s">
        <v>360</v>
      </c>
      <c r="AB5350" s="8"/>
      <c r="AC5350" s="27">
        <v>9785369015360</v>
      </c>
    </row>
    <row r="5351" spans="1:29" s="4" customFormat="1" ht="51.9" customHeight="1" x14ac:dyDescent="0.2">
      <c r="A5351" s="5">
        <v>0</v>
      </c>
      <c r="B5351" s="6" t="s">
        <v>30788</v>
      </c>
      <c r="C5351" s="7">
        <v>1972.8</v>
      </c>
      <c r="D5351" s="8" t="s">
        <v>30789</v>
      </c>
      <c r="E5351" s="8" t="s">
        <v>30790</v>
      </c>
      <c r="F5351" s="8" t="s">
        <v>30791</v>
      </c>
      <c r="G5351" s="6" t="s">
        <v>60</v>
      </c>
      <c r="H5351" s="6" t="s">
        <v>34</v>
      </c>
      <c r="I5351" s="8" t="s">
        <v>271</v>
      </c>
      <c r="J5351" s="9">
        <v>1</v>
      </c>
      <c r="K5351" s="9">
        <v>283</v>
      </c>
      <c r="L5351" s="9">
        <v>2027</v>
      </c>
      <c r="M5351" s="8" t="s">
        <v>30792</v>
      </c>
      <c r="N5351" s="8" t="s">
        <v>93</v>
      </c>
      <c r="O5351" s="8" t="s">
        <v>94</v>
      </c>
      <c r="P5351" s="6" t="s">
        <v>51</v>
      </c>
      <c r="Q5351" s="8" t="s">
        <v>52</v>
      </c>
      <c r="R5351" s="10" t="s">
        <v>13759</v>
      </c>
      <c r="S5351" s="11" t="s">
        <v>30793</v>
      </c>
      <c r="T5351" s="6" t="s">
        <v>97</v>
      </c>
      <c r="U5351" s="15" t="str">
        <f>HYPERLINK("https://media.infra-m.ru/2268/2268251/cover/2268251.jpg", "Обложка")</f>
        <v>Обложка</v>
      </c>
      <c r="V5351" s="8" t="s">
        <v>350</v>
      </c>
      <c r="W5351" s="6"/>
      <c r="X5351" s="6"/>
      <c r="Y5351" s="6"/>
      <c r="Z5351" s="6"/>
      <c r="AA5351" s="6" t="s">
        <v>779</v>
      </c>
      <c r="AB5351" s="8"/>
      <c r="AC5351" s="27">
        <v>9785160111926</v>
      </c>
    </row>
    <row r="5352" spans="1:29" s="4" customFormat="1" ht="42" customHeight="1" x14ac:dyDescent="0.2">
      <c r="A5352" s="5">
        <v>0</v>
      </c>
      <c r="B5352" s="6" t="s">
        <v>30794</v>
      </c>
      <c r="C5352" s="7">
        <v>1000.8</v>
      </c>
      <c r="D5352" s="8" t="s">
        <v>30795</v>
      </c>
      <c r="E5352" s="8" t="s">
        <v>30796</v>
      </c>
      <c r="F5352" s="8" t="s">
        <v>30797</v>
      </c>
      <c r="G5352" s="6" t="s">
        <v>33</v>
      </c>
      <c r="H5352" s="6" t="s">
        <v>48</v>
      </c>
      <c r="I5352" s="8" t="s">
        <v>253</v>
      </c>
      <c r="J5352" s="9">
        <v>1</v>
      </c>
      <c r="K5352" s="9">
        <v>144</v>
      </c>
      <c r="L5352" s="9">
        <v>2026</v>
      </c>
      <c r="M5352" s="8" t="s">
        <v>30798</v>
      </c>
      <c r="N5352" s="8" t="s">
        <v>37</v>
      </c>
      <c r="O5352" s="8" t="s">
        <v>50</v>
      </c>
      <c r="P5352" s="6" t="s">
        <v>51</v>
      </c>
      <c r="Q5352" s="8" t="s">
        <v>52</v>
      </c>
      <c r="R5352" s="10" t="s">
        <v>18989</v>
      </c>
      <c r="S5352" s="11"/>
      <c r="T5352" s="6"/>
      <c r="U5352" s="15" t="str">
        <f>HYPERLINK("https://media.infra-m.ru/2259/2259973/cover/2259973.jpg", "Обложка")</f>
        <v>Обложка</v>
      </c>
      <c r="V5352" s="8" t="s">
        <v>227</v>
      </c>
      <c r="W5352" s="6"/>
      <c r="X5352" s="6"/>
      <c r="Y5352" s="6"/>
      <c r="Z5352" s="6"/>
      <c r="AA5352" s="6" t="s">
        <v>561</v>
      </c>
      <c r="AB5352" s="8"/>
      <c r="AC5352" s="27">
        <v>9785911343460</v>
      </c>
    </row>
    <row r="5353" spans="1:29" s="4" customFormat="1" ht="51.9" customHeight="1" x14ac:dyDescent="0.2">
      <c r="A5353" s="5">
        <v>0</v>
      </c>
      <c r="B5353" s="6" t="s">
        <v>30799</v>
      </c>
      <c r="C5353" s="7">
        <v>2296.8000000000002</v>
      </c>
      <c r="D5353" s="8" t="s">
        <v>30800</v>
      </c>
      <c r="E5353" s="8" t="s">
        <v>30801</v>
      </c>
      <c r="F5353" s="8" t="s">
        <v>6945</v>
      </c>
      <c r="G5353" s="6" t="s">
        <v>118</v>
      </c>
      <c r="H5353" s="6" t="s">
        <v>820</v>
      </c>
      <c r="I5353" s="8"/>
      <c r="J5353" s="9">
        <v>1</v>
      </c>
      <c r="K5353" s="9">
        <v>368</v>
      </c>
      <c r="L5353" s="9">
        <v>2025</v>
      </c>
      <c r="M5353" s="8" t="s">
        <v>30802</v>
      </c>
      <c r="N5353" s="8" t="s">
        <v>93</v>
      </c>
      <c r="O5353" s="8" t="s">
        <v>94</v>
      </c>
      <c r="P5353" s="6" t="s">
        <v>51</v>
      </c>
      <c r="Q5353" s="8" t="s">
        <v>52</v>
      </c>
      <c r="R5353" s="10" t="s">
        <v>30803</v>
      </c>
      <c r="S5353" s="11"/>
      <c r="T5353" s="6"/>
      <c r="U5353" s="15" t="str">
        <f>HYPERLINK("https://media.infra-m.ru/2192/2192216/cover/2192216.jpg", "Обложка")</f>
        <v>Обложка</v>
      </c>
      <c r="V5353" s="8" t="s">
        <v>617</v>
      </c>
      <c r="W5353" s="6"/>
      <c r="X5353" s="6"/>
      <c r="Y5353" s="6"/>
      <c r="Z5353" s="6"/>
      <c r="AA5353" s="6" t="s">
        <v>43</v>
      </c>
      <c r="AB5353" s="8"/>
      <c r="AC5353" s="27">
        <v>9785905554131</v>
      </c>
    </row>
    <row r="5354" spans="1:29" s="4" customFormat="1" ht="44.1" customHeight="1" x14ac:dyDescent="0.2">
      <c r="A5354" s="5">
        <v>0</v>
      </c>
      <c r="B5354" s="6" t="s">
        <v>30804</v>
      </c>
      <c r="C5354" s="13">
        <v>676.8</v>
      </c>
      <c r="D5354" s="8" t="s">
        <v>30805</v>
      </c>
      <c r="E5354" s="8" t="s">
        <v>30806</v>
      </c>
      <c r="F5354" s="8" t="s">
        <v>30807</v>
      </c>
      <c r="G5354" s="6" t="s">
        <v>33</v>
      </c>
      <c r="H5354" s="6" t="s">
        <v>313</v>
      </c>
      <c r="I5354" s="8" t="s">
        <v>253</v>
      </c>
      <c r="J5354" s="9">
        <v>1</v>
      </c>
      <c r="K5354" s="9">
        <v>90</v>
      </c>
      <c r="L5354" s="9">
        <v>2026</v>
      </c>
      <c r="M5354" s="8" t="s">
        <v>30808</v>
      </c>
      <c r="N5354" s="8" t="s">
        <v>93</v>
      </c>
      <c r="O5354" s="8" t="s">
        <v>94</v>
      </c>
      <c r="P5354" s="6" t="s">
        <v>105</v>
      </c>
      <c r="Q5354" s="8" t="s">
        <v>52</v>
      </c>
      <c r="R5354" s="10" t="s">
        <v>30809</v>
      </c>
      <c r="S5354" s="11"/>
      <c r="T5354" s="6"/>
      <c r="U5354" s="15" t="str">
        <f>HYPERLINK("https://media.infra-m.ru/2238/2238534/cover/2238534.jpg", "Обложка")</f>
        <v>Обложка</v>
      </c>
      <c r="V5354" s="8" t="s">
        <v>24394</v>
      </c>
      <c r="W5354" s="6"/>
      <c r="X5354" s="6"/>
      <c r="Y5354" s="6"/>
      <c r="Z5354" s="6"/>
      <c r="AA5354" s="6" t="s">
        <v>86</v>
      </c>
      <c r="AB5354" s="8"/>
      <c r="AC5354" s="27">
        <v>9785369016954</v>
      </c>
    </row>
    <row r="5355" spans="1:29" s="4" customFormat="1" ht="51.9" customHeight="1" x14ac:dyDescent="0.2">
      <c r="A5355" s="5">
        <v>0</v>
      </c>
      <c r="B5355" s="6" t="s">
        <v>30810</v>
      </c>
      <c r="C5355" s="7">
        <v>3448.8</v>
      </c>
      <c r="D5355" s="8" t="s">
        <v>30811</v>
      </c>
      <c r="E5355" s="8" t="s">
        <v>30812</v>
      </c>
      <c r="F5355" s="8" t="s">
        <v>30813</v>
      </c>
      <c r="G5355" s="6" t="s">
        <v>60</v>
      </c>
      <c r="H5355" s="6" t="s">
        <v>48</v>
      </c>
      <c r="I5355" s="8" t="s">
        <v>271</v>
      </c>
      <c r="J5355" s="9">
        <v>1</v>
      </c>
      <c r="K5355" s="9">
        <v>496</v>
      </c>
      <c r="L5355" s="9">
        <v>2027</v>
      </c>
      <c r="M5355" s="8" t="s">
        <v>30814</v>
      </c>
      <c r="N5355" s="8" t="s">
        <v>93</v>
      </c>
      <c r="O5355" s="8" t="s">
        <v>94</v>
      </c>
      <c r="P5355" s="6" t="s">
        <v>51</v>
      </c>
      <c r="Q5355" s="8" t="s">
        <v>52</v>
      </c>
      <c r="R5355" s="10" t="s">
        <v>28492</v>
      </c>
      <c r="S5355" s="11"/>
      <c r="T5355" s="6"/>
      <c r="U5355" s="15" t="str">
        <f>HYPERLINK("https://media.infra-m.ru/2268/2268367/cover/2268367.jpg", "Обложка")</f>
        <v>Обложка</v>
      </c>
      <c r="V5355" s="8" t="s">
        <v>6012</v>
      </c>
      <c r="W5355" s="6"/>
      <c r="X5355" s="6"/>
      <c r="Y5355" s="6"/>
      <c r="Z5355" s="6"/>
      <c r="AA5355" s="6" t="s">
        <v>55</v>
      </c>
      <c r="AB5355" s="8"/>
      <c r="AC5355" s="27">
        <v>9785911346850</v>
      </c>
    </row>
    <row r="5356" spans="1:29" s="4" customFormat="1" ht="51.9" customHeight="1" x14ac:dyDescent="0.2">
      <c r="A5356" s="5">
        <v>0</v>
      </c>
      <c r="B5356" s="6" t="s">
        <v>30815</v>
      </c>
      <c r="C5356" s="7">
        <v>1140</v>
      </c>
      <c r="D5356" s="8" t="s">
        <v>30816</v>
      </c>
      <c r="E5356" s="8" t="s">
        <v>30817</v>
      </c>
      <c r="F5356" s="8" t="s">
        <v>30818</v>
      </c>
      <c r="G5356" s="6" t="s">
        <v>33</v>
      </c>
      <c r="H5356" s="6" t="s">
        <v>34</v>
      </c>
      <c r="I5356" s="8" t="s">
        <v>35</v>
      </c>
      <c r="J5356" s="9">
        <v>1</v>
      </c>
      <c r="K5356" s="9">
        <v>205</v>
      </c>
      <c r="L5356" s="9">
        <v>2024</v>
      </c>
      <c r="M5356" s="8" t="s">
        <v>30819</v>
      </c>
      <c r="N5356" s="8" t="s">
        <v>93</v>
      </c>
      <c r="O5356" s="8" t="s">
        <v>94</v>
      </c>
      <c r="P5356" s="6" t="s">
        <v>39</v>
      </c>
      <c r="Q5356" s="8" t="s">
        <v>40</v>
      </c>
      <c r="R5356" s="10" t="s">
        <v>13759</v>
      </c>
      <c r="S5356" s="11"/>
      <c r="T5356" s="6"/>
      <c r="U5356" s="15" t="str">
        <f>HYPERLINK("https://media.infra-m.ru/2074/2074346/cover/2074346.jpg", "Обложка")</f>
        <v>Обложка</v>
      </c>
      <c r="V5356" s="8" t="s">
        <v>26715</v>
      </c>
      <c r="W5356" s="6"/>
      <c r="X5356" s="6"/>
      <c r="Y5356" s="6"/>
      <c r="Z5356" s="6"/>
      <c r="AA5356" s="6" t="s">
        <v>86</v>
      </c>
      <c r="AB5356" s="8"/>
      <c r="AC5356" s="27">
        <v>9785160140391</v>
      </c>
    </row>
    <row r="5357" spans="1:29" s="4" customFormat="1" ht="51.9" customHeight="1" x14ac:dyDescent="0.2">
      <c r="A5357" s="5">
        <v>0</v>
      </c>
      <c r="B5357" s="6" t="s">
        <v>30820</v>
      </c>
      <c r="C5357" s="7">
        <v>2800.8</v>
      </c>
      <c r="D5357" s="8" t="s">
        <v>30821</v>
      </c>
      <c r="E5357" s="8" t="s">
        <v>30822</v>
      </c>
      <c r="F5357" s="8" t="s">
        <v>25767</v>
      </c>
      <c r="G5357" s="6" t="s">
        <v>60</v>
      </c>
      <c r="H5357" s="6" t="s">
        <v>34</v>
      </c>
      <c r="I5357" s="8" t="s">
        <v>253</v>
      </c>
      <c r="J5357" s="9">
        <v>1</v>
      </c>
      <c r="K5357" s="9">
        <v>403</v>
      </c>
      <c r="L5357" s="9">
        <v>2027</v>
      </c>
      <c r="M5357" s="8" t="s">
        <v>30823</v>
      </c>
      <c r="N5357" s="8" t="s">
        <v>93</v>
      </c>
      <c r="O5357" s="8" t="s">
        <v>94</v>
      </c>
      <c r="P5357" s="6" t="s">
        <v>306</v>
      </c>
      <c r="Q5357" s="8" t="s">
        <v>52</v>
      </c>
      <c r="R5357" s="10" t="s">
        <v>30824</v>
      </c>
      <c r="S5357" s="11" t="s">
        <v>30825</v>
      </c>
      <c r="T5357" s="6"/>
      <c r="U5357" s="15" t="str">
        <f>HYPERLINK("https://media.infra-m.ru/2262/2262919/cover/2262919.jpg", "Обложка")</f>
        <v>Обложка</v>
      </c>
      <c r="V5357" s="8" t="s">
        <v>19012</v>
      </c>
      <c r="W5357" s="6"/>
      <c r="X5357" s="6"/>
      <c r="Y5357" s="6"/>
      <c r="Z5357" s="6"/>
      <c r="AA5357" s="6" t="s">
        <v>99</v>
      </c>
      <c r="AB5357" s="8"/>
      <c r="AC5357" s="27">
        <v>9785160198873</v>
      </c>
    </row>
    <row r="5358" spans="1:29" s="4" customFormat="1" ht="42" customHeight="1" x14ac:dyDescent="0.2">
      <c r="A5358" s="5">
        <v>0</v>
      </c>
      <c r="B5358" s="6" t="s">
        <v>30826</v>
      </c>
      <c r="C5358" s="7">
        <v>1188</v>
      </c>
      <c r="D5358" s="8" t="s">
        <v>30827</v>
      </c>
      <c r="E5358" s="8" t="s">
        <v>30828</v>
      </c>
      <c r="F5358" s="8" t="s">
        <v>30829</v>
      </c>
      <c r="G5358" s="6" t="s">
        <v>60</v>
      </c>
      <c r="H5358" s="6" t="s">
        <v>34</v>
      </c>
      <c r="I5358" s="8" t="s">
        <v>35</v>
      </c>
      <c r="J5358" s="9">
        <v>1</v>
      </c>
      <c r="K5358" s="9">
        <v>215</v>
      </c>
      <c r="L5358" s="9">
        <v>2023</v>
      </c>
      <c r="M5358" s="8" t="s">
        <v>30830</v>
      </c>
      <c r="N5358" s="8" t="s">
        <v>93</v>
      </c>
      <c r="O5358" s="8" t="s">
        <v>94</v>
      </c>
      <c r="P5358" s="6" t="s">
        <v>39</v>
      </c>
      <c r="Q5358" s="8" t="s">
        <v>40</v>
      </c>
      <c r="R5358" s="10" t="s">
        <v>1563</v>
      </c>
      <c r="S5358" s="11"/>
      <c r="T5358" s="6"/>
      <c r="U5358" s="15" t="str">
        <f>HYPERLINK("https://media.infra-m.ru/1938/1938061/cover/1938061.jpg", "Обложка")</f>
        <v>Обложка</v>
      </c>
      <c r="V5358" s="8" t="s">
        <v>16493</v>
      </c>
      <c r="W5358" s="6"/>
      <c r="X5358" s="6"/>
      <c r="Y5358" s="6"/>
      <c r="Z5358" s="6"/>
      <c r="AA5358" s="6" t="s">
        <v>157</v>
      </c>
      <c r="AB5358" s="8"/>
      <c r="AC5358" s="27">
        <v>9785160182407</v>
      </c>
    </row>
    <row r="5359" spans="1:29" s="4" customFormat="1" ht="51.9" customHeight="1" x14ac:dyDescent="0.2">
      <c r="A5359" s="5">
        <v>0</v>
      </c>
      <c r="B5359" s="6" t="s">
        <v>30831</v>
      </c>
      <c r="C5359" s="7">
        <v>1488</v>
      </c>
      <c r="D5359" s="8" t="s">
        <v>30832</v>
      </c>
      <c r="E5359" s="8" t="s">
        <v>30833</v>
      </c>
      <c r="F5359" s="8" t="s">
        <v>30834</v>
      </c>
      <c r="G5359" s="6" t="s">
        <v>118</v>
      </c>
      <c r="H5359" s="6" t="s">
        <v>34</v>
      </c>
      <c r="I5359" s="8" t="s">
        <v>1835</v>
      </c>
      <c r="J5359" s="9">
        <v>1</v>
      </c>
      <c r="K5359" s="9">
        <v>224</v>
      </c>
      <c r="L5359" s="9">
        <v>2026</v>
      </c>
      <c r="M5359" s="8" t="s">
        <v>30835</v>
      </c>
      <c r="N5359" s="8" t="s">
        <v>93</v>
      </c>
      <c r="O5359" s="8" t="s">
        <v>94</v>
      </c>
      <c r="P5359" s="6" t="s">
        <v>1837</v>
      </c>
      <c r="Q5359" s="8" t="s">
        <v>40</v>
      </c>
      <c r="R5359" s="10" t="s">
        <v>10761</v>
      </c>
      <c r="S5359" s="11"/>
      <c r="T5359" s="6"/>
      <c r="U5359" s="15" t="str">
        <f>HYPERLINK("https://media.infra-m.ru/2237/2237114/cover/2237114.jpg", "Обложка")</f>
        <v>Обложка</v>
      </c>
      <c r="V5359" s="8" t="s">
        <v>1599</v>
      </c>
      <c r="W5359" s="6"/>
      <c r="X5359" s="6"/>
      <c r="Y5359" s="6"/>
      <c r="Z5359" s="6"/>
      <c r="AA5359" s="6" t="s">
        <v>779</v>
      </c>
      <c r="AB5359" s="8"/>
      <c r="AC5359" s="27">
        <v>9785160117522</v>
      </c>
    </row>
    <row r="5360" spans="1:29" s="4" customFormat="1" ht="51.9" customHeight="1" x14ac:dyDescent="0.2">
      <c r="A5360" s="5">
        <v>0</v>
      </c>
      <c r="B5360" s="6" t="s">
        <v>30836</v>
      </c>
      <c r="C5360" s="7">
        <v>1248</v>
      </c>
      <c r="D5360" s="8" t="s">
        <v>30837</v>
      </c>
      <c r="E5360" s="8" t="s">
        <v>30838</v>
      </c>
      <c r="F5360" s="8" t="s">
        <v>30839</v>
      </c>
      <c r="G5360" s="6" t="s">
        <v>60</v>
      </c>
      <c r="H5360" s="6" t="s">
        <v>34</v>
      </c>
      <c r="I5360" s="8" t="s">
        <v>1835</v>
      </c>
      <c r="J5360" s="9">
        <v>1</v>
      </c>
      <c r="K5360" s="9">
        <v>186</v>
      </c>
      <c r="L5360" s="9">
        <v>2025</v>
      </c>
      <c r="M5360" s="8" t="s">
        <v>30840</v>
      </c>
      <c r="N5360" s="8" t="s">
        <v>93</v>
      </c>
      <c r="O5360" s="8" t="s">
        <v>94</v>
      </c>
      <c r="P5360" s="6" t="s">
        <v>1837</v>
      </c>
      <c r="Q5360" s="8" t="s">
        <v>65</v>
      </c>
      <c r="R5360" s="10" t="s">
        <v>30841</v>
      </c>
      <c r="S5360" s="11"/>
      <c r="T5360" s="6"/>
      <c r="U5360" s="15" t="str">
        <f>HYPERLINK("https://media.infra-m.ru/2157/2157181/cover/2157181.jpg", "Обложка")</f>
        <v>Обложка</v>
      </c>
      <c r="V5360" s="8" t="s">
        <v>6700</v>
      </c>
      <c r="W5360" s="6"/>
      <c r="X5360" s="6"/>
      <c r="Y5360" s="6"/>
      <c r="Z5360" s="6"/>
      <c r="AA5360" s="6" t="s">
        <v>68</v>
      </c>
      <c r="AB5360" s="8"/>
      <c r="AC5360" s="27">
        <v>9785160200736</v>
      </c>
    </row>
    <row r="5361" spans="1:29" s="4" customFormat="1" ht="42" customHeight="1" x14ac:dyDescent="0.2">
      <c r="A5361" s="5">
        <v>0</v>
      </c>
      <c r="B5361" s="6" t="s">
        <v>30842</v>
      </c>
      <c r="C5361" s="7">
        <v>1728</v>
      </c>
      <c r="D5361" s="8" t="s">
        <v>30843</v>
      </c>
      <c r="E5361" s="8" t="s">
        <v>30844</v>
      </c>
      <c r="F5361" s="8" t="s">
        <v>30845</v>
      </c>
      <c r="G5361" s="6" t="s">
        <v>118</v>
      </c>
      <c r="H5361" s="6" t="s">
        <v>34</v>
      </c>
      <c r="I5361" s="8" t="s">
        <v>263</v>
      </c>
      <c r="J5361" s="9">
        <v>1</v>
      </c>
      <c r="K5361" s="9">
        <v>261</v>
      </c>
      <c r="L5361" s="9">
        <v>2026</v>
      </c>
      <c r="M5361" s="8" t="s">
        <v>30846</v>
      </c>
      <c r="N5361" s="8" t="s">
        <v>93</v>
      </c>
      <c r="O5361" s="8" t="s">
        <v>94</v>
      </c>
      <c r="P5361" s="6" t="s">
        <v>105</v>
      </c>
      <c r="Q5361" s="8" t="s">
        <v>265</v>
      </c>
      <c r="R5361" s="10" t="s">
        <v>30847</v>
      </c>
      <c r="S5361" s="11"/>
      <c r="T5361" s="6"/>
      <c r="U5361" s="15" t="str">
        <f>HYPERLINK("https://media.infra-m.ru/2219/2219335/cover/2219335.jpg", "Обложка")</f>
        <v>Обложка</v>
      </c>
      <c r="V5361" s="8" t="s">
        <v>30848</v>
      </c>
      <c r="W5361" s="6"/>
      <c r="X5361" s="6"/>
      <c r="Y5361" s="6"/>
      <c r="Z5361" s="6"/>
      <c r="AA5361" s="6" t="s">
        <v>76</v>
      </c>
      <c r="AB5361" s="8"/>
      <c r="AC5361" s="27">
        <v>9785160176635</v>
      </c>
    </row>
    <row r="5362" spans="1:29" s="4" customFormat="1" ht="51.9" customHeight="1" x14ac:dyDescent="0.2">
      <c r="A5362" s="5">
        <v>0</v>
      </c>
      <c r="B5362" s="6" t="s">
        <v>30849</v>
      </c>
      <c r="C5362" s="7">
        <v>1128</v>
      </c>
      <c r="D5362" s="8" t="s">
        <v>30850</v>
      </c>
      <c r="E5362" s="8" t="s">
        <v>30851</v>
      </c>
      <c r="F5362" s="8" t="s">
        <v>30852</v>
      </c>
      <c r="G5362" s="6" t="s">
        <v>60</v>
      </c>
      <c r="H5362" s="6" t="s">
        <v>34</v>
      </c>
      <c r="I5362" s="8" t="s">
        <v>7198</v>
      </c>
      <c r="J5362" s="9">
        <v>1</v>
      </c>
      <c r="K5362" s="9">
        <v>203</v>
      </c>
      <c r="L5362" s="9">
        <v>2023</v>
      </c>
      <c r="M5362" s="8" t="s">
        <v>30853</v>
      </c>
      <c r="N5362" s="8" t="s">
        <v>243</v>
      </c>
      <c r="O5362" s="8" t="s">
        <v>244</v>
      </c>
      <c r="P5362" s="6" t="s">
        <v>51</v>
      </c>
      <c r="Q5362" s="8" t="s">
        <v>52</v>
      </c>
      <c r="R5362" s="10" t="s">
        <v>1540</v>
      </c>
      <c r="S5362" s="11" t="s">
        <v>30854</v>
      </c>
      <c r="T5362" s="6"/>
      <c r="U5362" s="15" t="str">
        <f>HYPERLINK("https://media.infra-m.ru/1910/1910892/cover/1910892.jpg", "Обложка")</f>
        <v>Обложка</v>
      </c>
      <c r="V5362" s="8" t="s">
        <v>1083</v>
      </c>
      <c r="W5362" s="6"/>
      <c r="X5362" s="6"/>
      <c r="Y5362" s="6"/>
      <c r="Z5362" s="6"/>
      <c r="AA5362" s="6" t="s">
        <v>1303</v>
      </c>
      <c r="AB5362" s="8"/>
      <c r="AC5362" s="27">
        <v>9785160180953</v>
      </c>
    </row>
    <row r="5363" spans="1:29" s="4" customFormat="1" ht="42" customHeight="1" x14ac:dyDescent="0.2">
      <c r="A5363" s="5">
        <v>0</v>
      </c>
      <c r="B5363" s="6" t="s">
        <v>30855</v>
      </c>
      <c r="C5363" s="13">
        <v>479.9</v>
      </c>
      <c r="D5363" s="8" t="s">
        <v>30856</v>
      </c>
      <c r="E5363" s="8" t="s">
        <v>30857</v>
      </c>
      <c r="F5363" s="8" t="s">
        <v>30858</v>
      </c>
      <c r="G5363" s="6"/>
      <c r="H5363" s="6" t="s">
        <v>10998</v>
      </c>
      <c r="I5363" s="8" t="s">
        <v>30859</v>
      </c>
      <c r="J5363" s="9">
        <v>12</v>
      </c>
      <c r="K5363" s="9">
        <v>384</v>
      </c>
      <c r="L5363" s="9">
        <v>2008</v>
      </c>
      <c r="M5363" s="8" t="s">
        <v>30860</v>
      </c>
      <c r="N5363" s="8" t="s">
        <v>243</v>
      </c>
      <c r="O5363" s="8" t="s">
        <v>385</v>
      </c>
      <c r="P5363" s="6" t="s">
        <v>759</v>
      </c>
      <c r="Q5363" s="8" t="s">
        <v>40</v>
      </c>
      <c r="R5363" s="10"/>
      <c r="S5363" s="11"/>
      <c r="T5363" s="6"/>
      <c r="U5363" s="15" t="str">
        <f>HYPERLINK("https://media.infra-m.ru/0169/0169482/cover/169482.jpg", "Обложка")</f>
        <v>Обложка</v>
      </c>
      <c r="V5363" s="8" t="s">
        <v>9889</v>
      </c>
      <c r="W5363" s="6"/>
      <c r="X5363" s="6"/>
      <c r="Y5363" s="6"/>
      <c r="Z5363" s="6"/>
      <c r="AA5363" s="6" t="s">
        <v>4554</v>
      </c>
      <c r="AB5363" s="8"/>
      <c r="AC5363" s="27" t="s">
        <v>53966</v>
      </c>
    </row>
    <row r="5364" spans="1:29" s="4" customFormat="1" ht="42" customHeight="1" x14ac:dyDescent="0.2">
      <c r="A5364" s="5">
        <v>0</v>
      </c>
      <c r="B5364" s="6" t="s">
        <v>30861</v>
      </c>
      <c r="C5364" s="7">
        <v>4312.8</v>
      </c>
      <c r="D5364" s="8" t="s">
        <v>30862</v>
      </c>
      <c r="E5364" s="8" t="s">
        <v>30863</v>
      </c>
      <c r="F5364" s="8" t="s">
        <v>30864</v>
      </c>
      <c r="G5364" s="6" t="s">
        <v>60</v>
      </c>
      <c r="H5364" s="6" t="s">
        <v>34</v>
      </c>
      <c r="I5364" s="8" t="s">
        <v>5350</v>
      </c>
      <c r="J5364" s="9">
        <v>1</v>
      </c>
      <c r="K5364" s="9">
        <v>1088</v>
      </c>
      <c r="L5364" s="9">
        <v>2026</v>
      </c>
      <c r="M5364" s="8" t="s">
        <v>30865</v>
      </c>
      <c r="N5364" s="8" t="s">
        <v>243</v>
      </c>
      <c r="O5364" s="8" t="s">
        <v>385</v>
      </c>
      <c r="P5364" s="6" t="s">
        <v>30866</v>
      </c>
      <c r="Q5364" s="8" t="s">
        <v>377</v>
      </c>
      <c r="R5364" s="10" t="s">
        <v>3883</v>
      </c>
      <c r="S5364" s="11"/>
      <c r="T5364" s="6"/>
      <c r="U5364" s="15" t="str">
        <f>HYPERLINK("https://media.infra-m.ru/2238/2238514/cover/2238514.jpg", "Обложка")</f>
        <v>Обложка</v>
      </c>
      <c r="V5364" s="8" t="s">
        <v>3693</v>
      </c>
      <c r="W5364" s="6"/>
      <c r="X5364" s="6"/>
      <c r="Y5364" s="6"/>
      <c r="Z5364" s="6"/>
      <c r="AA5364" s="6" t="s">
        <v>1256</v>
      </c>
      <c r="AB5364" s="8" t="s">
        <v>7101</v>
      </c>
      <c r="AC5364" s="27">
        <v>9785160155630</v>
      </c>
    </row>
    <row r="5365" spans="1:29" s="4" customFormat="1" ht="51.9" customHeight="1" x14ac:dyDescent="0.2">
      <c r="A5365" s="5">
        <v>0</v>
      </c>
      <c r="B5365" s="6" t="s">
        <v>30867</v>
      </c>
      <c r="C5365" s="7">
        <v>1428</v>
      </c>
      <c r="D5365" s="8" t="s">
        <v>30868</v>
      </c>
      <c r="E5365" s="8" t="s">
        <v>30869</v>
      </c>
      <c r="F5365" s="8" t="s">
        <v>30870</v>
      </c>
      <c r="G5365" s="6" t="s">
        <v>118</v>
      </c>
      <c r="H5365" s="6" t="s">
        <v>34</v>
      </c>
      <c r="I5365" s="8" t="s">
        <v>253</v>
      </c>
      <c r="J5365" s="9">
        <v>1</v>
      </c>
      <c r="K5365" s="9">
        <v>193</v>
      </c>
      <c r="L5365" s="9">
        <v>2027</v>
      </c>
      <c r="M5365" s="8" t="s">
        <v>30871</v>
      </c>
      <c r="N5365" s="8" t="s">
        <v>37</v>
      </c>
      <c r="O5365" s="8" t="s">
        <v>136</v>
      </c>
      <c r="P5365" s="6" t="s">
        <v>306</v>
      </c>
      <c r="Q5365" s="8" t="s">
        <v>377</v>
      </c>
      <c r="R5365" s="10" t="s">
        <v>426</v>
      </c>
      <c r="S5365" s="11" t="s">
        <v>30872</v>
      </c>
      <c r="T5365" s="6"/>
      <c r="U5365" s="15" t="str">
        <f>HYPERLINK("https://media.infra-m.ru/2243/2243616/cover/2243616.jpg", "Обложка")</f>
        <v>Обложка</v>
      </c>
      <c r="V5365" s="8" t="s">
        <v>5726</v>
      </c>
      <c r="W5365" s="6"/>
      <c r="X5365" s="6"/>
      <c r="Y5365" s="6"/>
      <c r="Z5365" s="6"/>
      <c r="AA5365" s="6" t="s">
        <v>157</v>
      </c>
      <c r="AB5365" s="8"/>
      <c r="AC5365" s="27">
        <v>9785160219660</v>
      </c>
    </row>
    <row r="5366" spans="1:29" s="4" customFormat="1" ht="44.1" customHeight="1" x14ac:dyDescent="0.2">
      <c r="A5366" s="5">
        <v>0</v>
      </c>
      <c r="B5366" s="6" t="s">
        <v>30873</v>
      </c>
      <c r="C5366" s="13">
        <v>984</v>
      </c>
      <c r="D5366" s="8" t="s">
        <v>30874</v>
      </c>
      <c r="E5366" s="8" t="s">
        <v>30875</v>
      </c>
      <c r="F5366" s="8" t="s">
        <v>30876</v>
      </c>
      <c r="G5366" s="6" t="s">
        <v>118</v>
      </c>
      <c r="H5366" s="6" t="s">
        <v>34</v>
      </c>
      <c r="I5366" s="8" t="s">
        <v>1074</v>
      </c>
      <c r="J5366" s="9">
        <v>1</v>
      </c>
      <c r="K5366" s="9">
        <v>240</v>
      </c>
      <c r="L5366" s="9">
        <v>2019</v>
      </c>
      <c r="M5366" s="8" t="s">
        <v>30877</v>
      </c>
      <c r="N5366" s="8" t="s">
        <v>37</v>
      </c>
      <c r="O5366" s="8" t="s">
        <v>136</v>
      </c>
      <c r="P5366" s="6" t="s">
        <v>39</v>
      </c>
      <c r="Q5366" s="8" t="s">
        <v>40</v>
      </c>
      <c r="R5366" s="10" t="s">
        <v>12089</v>
      </c>
      <c r="S5366" s="11"/>
      <c r="T5366" s="6"/>
      <c r="U5366" s="12"/>
      <c r="V5366" s="8" t="s">
        <v>138</v>
      </c>
      <c r="W5366" s="6"/>
      <c r="X5366" s="6"/>
      <c r="Y5366" s="6"/>
      <c r="Z5366" s="6"/>
      <c r="AA5366" s="6" t="s">
        <v>99</v>
      </c>
      <c r="AB5366" s="8"/>
      <c r="AC5366" s="27">
        <v>9785160137384</v>
      </c>
    </row>
    <row r="5367" spans="1:29" s="4" customFormat="1" ht="44.1" customHeight="1" x14ac:dyDescent="0.2">
      <c r="A5367" s="5">
        <v>0</v>
      </c>
      <c r="B5367" s="6" t="s">
        <v>30878</v>
      </c>
      <c r="C5367" s="7">
        <v>1044</v>
      </c>
      <c r="D5367" s="8" t="s">
        <v>30879</v>
      </c>
      <c r="E5367" s="8" t="s">
        <v>30875</v>
      </c>
      <c r="F5367" s="8" t="s">
        <v>30876</v>
      </c>
      <c r="G5367" s="6" t="s">
        <v>33</v>
      </c>
      <c r="H5367" s="6" t="s">
        <v>34</v>
      </c>
      <c r="I5367" s="8" t="s">
        <v>1074</v>
      </c>
      <c r="J5367" s="9">
        <v>1</v>
      </c>
      <c r="K5367" s="9">
        <v>240</v>
      </c>
      <c r="L5367" s="9">
        <v>2021</v>
      </c>
      <c r="M5367" s="8" t="s">
        <v>30880</v>
      </c>
      <c r="N5367" s="8" t="s">
        <v>37</v>
      </c>
      <c r="O5367" s="8" t="s">
        <v>136</v>
      </c>
      <c r="P5367" s="6" t="s">
        <v>39</v>
      </c>
      <c r="Q5367" s="8" t="s">
        <v>40</v>
      </c>
      <c r="R5367" s="10" t="s">
        <v>12089</v>
      </c>
      <c r="S5367" s="11"/>
      <c r="T5367" s="6"/>
      <c r="U5367" s="15" t="str">
        <f>HYPERLINK("https://media.infra-m.ru/1227/1227527/cover/1227527.jpg", "Обложка")</f>
        <v>Обложка</v>
      </c>
      <c r="V5367" s="8" t="s">
        <v>138</v>
      </c>
      <c r="W5367" s="6"/>
      <c r="X5367" s="6"/>
      <c r="Y5367" s="6"/>
      <c r="Z5367" s="6"/>
      <c r="AA5367" s="6" t="s">
        <v>99</v>
      </c>
      <c r="AB5367" s="8"/>
      <c r="AC5367" s="27">
        <v>9785160160337</v>
      </c>
    </row>
    <row r="5368" spans="1:29" s="4" customFormat="1" ht="44.1" customHeight="1" x14ac:dyDescent="0.2">
      <c r="A5368" s="5">
        <v>0</v>
      </c>
      <c r="B5368" s="6" t="s">
        <v>30881</v>
      </c>
      <c r="C5368" s="13">
        <v>796.8</v>
      </c>
      <c r="D5368" s="8" t="s">
        <v>30882</v>
      </c>
      <c r="E5368" s="8" t="s">
        <v>30883</v>
      </c>
      <c r="F5368" s="8" t="s">
        <v>30884</v>
      </c>
      <c r="G5368" s="6" t="s">
        <v>33</v>
      </c>
      <c r="H5368" s="6" t="s">
        <v>134</v>
      </c>
      <c r="I5368" s="8"/>
      <c r="J5368" s="9">
        <v>1</v>
      </c>
      <c r="K5368" s="9">
        <v>84</v>
      </c>
      <c r="L5368" s="9">
        <v>2026</v>
      </c>
      <c r="M5368" s="8" t="s">
        <v>30885</v>
      </c>
      <c r="N5368" s="8" t="s">
        <v>37</v>
      </c>
      <c r="O5368" s="8" t="s">
        <v>136</v>
      </c>
      <c r="P5368" s="6" t="s">
        <v>39</v>
      </c>
      <c r="Q5368" s="8" t="s">
        <v>40</v>
      </c>
      <c r="R5368" s="10" t="s">
        <v>10704</v>
      </c>
      <c r="S5368" s="11"/>
      <c r="T5368" s="6"/>
      <c r="U5368" s="15" t="str">
        <f>HYPERLINK("https://media.infra-m.ru/2238/2238875/cover/2238875.jpg", "Обложка")</f>
        <v>Обложка</v>
      </c>
      <c r="V5368" s="8" t="s">
        <v>138</v>
      </c>
      <c r="W5368" s="6"/>
      <c r="X5368" s="6"/>
      <c r="Y5368" s="6"/>
      <c r="Z5368" s="6"/>
      <c r="AA5368" s="6" t="s">
        <v>76</v>
      </c>
      <c r="AB5368" s="8"/>
      <c r="AC5368" s="27">
        <v>9785001563402</v>
      </c>
    </row>
    <row r="5369" spans="1:29" s="4" customFormat="1" ht="44.1" customHeight="1" x14ac:dyDescent="0.2">
      <c r="A5369" s="5">
        <v>0</v>
      </c>
      <c r="B5369" s="6" t="s">
        <v>30886</v>
      </c>
      <c r="C5369" s="13">
        <v>864</v>
      </c>
      <c r="D5369" s="8" t="s">
        <v>30887</v>
      </c>
      <c r="E5369" s="8" t="s">
        <v>30888</v>
      </c>
      <c r="F5369" s="8" t="s">
        <v>30889</v>
      </c>
      <c r="G5369" s="6" t="s">
        <v>33</v>
      </c>
      <c r="H5369" s="6" t="s">
        <v>313</v>
      </c>
      <c r="I5369" s="8" t="s">
        <v>253</v>
      </c>
      <c r="J5369" s="9">
        <v>1</v>
      </c>
      <c r="K5369" s="9">
        <v>129</v>
      </c>
      <c r="L5369" s="9">
        <v>2026</v>
      </c>
      <c r="M5369" s="8" t="s">
        <v>30890</v>
      </c>
      <c r="N5369" s="8" t="s">
        <v>243</v>
      </c>
      <c r="O5369" s="8" t="s">
        <v>385</v>
      </c>
      <c r="P5369" s="6" t="s">
        <v>51</v>
      </c>
      <c r="Q5369" s="8" t="s">
        <v>65</v>
      </c>
      <c r="R5369" s="10" t="s">
        <v>30891</v>
      </c>
      <c r="S5369" s="11"/>
      <c r="T5369" s="6"/>
      <c r="U5369" s="15" t="str">
        <f>HYPERLINK("https://media.infra-m.ru/2243/2243462/cover/2243462.jpg", "Обложка")</f>
        <v>Обложка</v>
      </c>
      <c r="V5369" s="8" t="s">
        <v>9219</v>
      </c>
      <c r="W5369" s="6"/>
      <c r="X5369" s="6"/>
      <c r="Y5369" s="6"/>
      <c r="Z5369" s="6"/>
      <c r="AA5369" s="6" t="s">
        <v>68</v>
      </c>
      <c r="AB5369" s="8"/>
      <c r="AC5369" s="27">
        <v>9785369019665</v>
      </c>
    </row>
    <row r="5370" spans="1:29" s="4" customFormat="1" ht="42" customHeight="1" x14ac:dyDescent="0.2">
      <c r="A5370" s="5">
        <v>0</v>
      </c>
      <c r="B5370" s="6" t="s">
        <v>30892</v>
      </c>
      <c r="C5370" s="7">
        <v>1488</v>
      </c>
      <c r="D5370" s="8" t="s">
        <v>30893</v>
      </c>
      <c r="E5370" s="8" t="s">
        <v>30894</v>
      </c>
      <c r="F5370" s="8" t="s">
        <v>9391</v>
      </c>
      <c r="G5370" s="6" t="s">
        <v>60</v>
      </c>
      <c r="H5370" s="6" t="s">
        <v>34</v>
      </c>
      <c r="I5370" s="8" t="s">
        <v>253</v>
      </c>
      <c r="J5370" s="9">
        <v>1</v>
      </c>
      <c r="K5370" s="9">
        <v>207</v>
      </c>
      <c r="L5370" s="9">
        <v>2026</v>
      </c>
      <c r="M5370" s="8" t="s">
        <v>30895</v>
      </c>
      <c r="N5370" s="8" t="s">
        <v>243</v>
      </c>
      <c r="O5370" s="8" t="s">
        <v>385</v>
      </c>
      <c r="P5370" s="6" t="s">
        <v>51</v>
      </c>
      <c r="Q5370" s="8" t="s">
        <v>65</v>
      </c>
      <c r="R5370" s="10" t="s">
        <v>30896</v>
      </c>
      <c r="S5370" s="11"/>
      <c r="T5370" s="6"/>
      <c r="U5370" s="15" t="str">
        <f>HYPERLINK("https://media.infra-m.ru/2211/2211621/cover/2211621.jpg", "Обложка")</f>
        <v>Обложка</v>
      </c>
      <c r="V5370" s="8" t="s">
        <v>292</v>
      </c>
      <c r="W5370" s="6" t="s">
        <v>186</v>
      </c>
      <c r="X5370" s="6"/>
      <c r="Y5370" s="6"/>
      <c r="Z5370" s="6"/>
      <c r="AA5370" s="6" t="s">
        <v>187</v>
      </c>
      <c r="AB5370" s="8"/>
      <c r="AC5370" s="27">
        <v>9785160210377</v>
      </c>
    </row>
    <row r="5371" spans="1:29" s="4" customFormat="1" ht="51.9" customHeight="1" x14ac:dyDescent="0.2">
      <c r="A5371" s="5">
        <v>0</v>
      </c>
      <c r="B5371" s="6" t="s">
        <v>30897</v>
      </c>
      <c r="C5371" s="7">
        <v>2468.4</v>
      </c>
      <c r="D5371" s="8" t="s">
        <v>30898</v>
      </c>
      <c r="E5371" s="8" t="s">
        <v>30899</v>
      </c>
      <c r="F5371" s="8" t="s">
        <v>17865</v>
      </c>
      <c r="G5371" s="6" t="s">
        <v>118</v>
      </c>
      <c r="H5371" s="6" t="s">
        <v>48</v>
      </c>
      <c r="I5371" s="8" t="s">
        <v>401</v>
      </c>
      <c r="J5371" s="9">
        <v>1</v>
      </c>
      <c r="K5371" s="9">
        <v>288</v>
      </c>
      <c r="L5371" s="9">
        <v>2026</v>
      </c>
      <c r="M5371" s="8" t="s">
        <v>30900</v>
      </c>
      <c r="N5371" s="8" t="s">
        <v>243</v>
      </c>
      <c r="O5371" s="8" t="s">
        <v>385</v>
      </c>
      <c r="P5371" s="6" t="s">
        <v>51</v>
      </c>
      <c r="Q5371" s="8" t="s">
        <v>265</v>
      </c>
      <c r="R5371" s="10" t="s">
        <v>30901</v>
      </c>
      <c r="S5371" s="11" t="s">
        <v>17868</v>
      </c>
      <c r="T5371" s="6"/>
      <c r="U5371" s="15" t="str">
        <f>HYPERLINK("https://media.infra-m.ru/2249/2249289/cover/2249289.jpg", "Обложка")</f>
        <v>Обложка</v>
      </c>
      <c r="V5371" s="8" t="s">
        <v>2154</v>
      </c>
      <c r="W5371" s="6"/>
      <c r="X5371" s="6"/>
      <c r="Y5371" s="6"/>
      <c r="Z5371" s="6"/>
      <c r="AA5371" s="6" t="s">
        <v>274</v>
      </c>
      <c r="AB5371" s="8"/>
      <c r="AC5371" s="27">
        <v>9785000917541</v>
      </c>
    </row>
    <row r="5372" spans="1:29" s="4" customFormat="1" ht="51.9" customHeight="1" x14ac:dyDescent="0.2">
      <c r="A5372" s="5">
        <v>0</v>
      </c>
      <c r="B5372" s="6" t="s">
        <v>30902</v>
      </c>
      <c r="C5372" s="7">
        <v>2272.8000000000002</v>
      </c>
      <c r="D5372" s="8" t="s">
        <v>30903</v>
      </c>
      <c r="E5372" s="8" t="s">
        <v>30904</v>
      </c>
      <c r="F5372" s="8" t="s">
        <v>30905</v>
      </c>
      <c r="G5372" s="6" t="s">
        <v>118</v>
      </c>
      <c r="H5372" s="6" t="s">
        <v>34</v>
      </c>
      <c r="I5372" s="8" t="s">
        <v>271</v>
      </c>
      <c r="J5372" s="9">
        <v>1</v>
      </c>
      <c r="K5372" s="9">
        <v>345</v>
      </c>
      <c r="L5372" s="9">
        <v>2026</v>
      </c>
      <c r="M5372" s="8" t="s">
        <v>30906</v>
      </c>
      <c r="N5372" s="8" t="s">
        <v>37</v>
      </c>
      <c r="O5372" s="8" t="s">
        <v>233</v>
      </c>
      <c r="P5372" s="6" t="s">
        <v>306</v>
      </c>
      <c r="Q5372" s="8" t="s">
        <v>52</v>
      </c>
      <c r="R5372" s="10" t="s">
        <v>1646</v>
      </c>
      <c r="S5372" s="11" t="s">
        <v>2271</v>
      </c>
      <c r="T5372" s="6"/>
      <c r="U5372" s="15" t="str">
        <f>HYPERLINK("https://media.infra-m.ru/2230/2230663/cover/2230663.jpg", "Обложка")</f>
        <v>Обложка</v>
      </c>
      <c r="V5372" s="8" t="s">
        <v>1994</v>
      </c>
      <c r="W5372" s="6"/>
      <c r="X5372" s="6"/>
      <c r="Y5372" s="6"/>
      <c r="Z5372" s="6"/>
      <c r="AA5372" s="6" t="s">
        <v>430</v>
      </c>
      <c r="AB5372" s="8"/>
      <c r="AC5372" s="27">
        <v>9785160160030</v>
      </c>
    </row>
    <row r="5373" spans="1:29" s="4" customFormat="1" ht="51.9" customHeight="1" x14ac:dyDescent="0.2">
      <c r="A5373" s="5">
        <v>0</v>
      </c>
      <c r="B5373" s="6" t="s">
        <v>30907</v>
      </c>
      <c r="C5373" s="7">
        <v>2172</v>
      </c>
      <c r="D5373" s="8" t="s">
        <v>30908</v>
      </c>
      <c r="E5373" s="8" t="s">
        <v>30904</v>
      </c>
      <c r="F5373" s="8" t="s">
        <v>30905</v>
      </c>
      <c r="G5373" s="6" t="s">
        <v>118</v>
      </c>
      <c r="H5373" s="6" t="s">
        <v>34</v>
      </c>
      <c r="I5373" s="8" t="s">
        <v>263</v>
      </c>
      <c r="J5373" s="9">
        <v>1</v>
      </c>
      <c r="K5373" s="9">
        <v>345</v>
      </c>
      <c r="L5373" s="9">
        <v>2026</v>
      </c>
      <c r="M5373" s="8" t="s">
        <v>30909</v>
      </c>
      <c r="N5373" s="8" t="s">
        <v>37</v>
      </c>
      <c r="O5373" s="8" t="s">
        <v>233</v>
      </c>
      <c r="P5373" s="6" t="s">
        <v>306</v>
      </c>
      <c r="Q5373" s="8" t="s">
        <v>265</v>
      </c>
      <c r="R5373" s="10" t="s">
        <v>30910</v>
      </c>
      <c r="S5373" s="11" t="s">
        <v>30911</v>
      </c>
      <c r="T5373" s="6"/>
      <c r="U5373" s="15" t="str">
        <f>HYPERLINK("https://media.infra-m.ru/2254/2254329/cover/2254329.jpg", "Обложка")</f>
        <v>Обложка</v>
      </c>
      <c r="V5373" s="8" t="s">
        <v>1994</v>
      </c>
      <c r="W5373" s="6"/>
      <c r="X5373" s="6"/>
      <c r="Y5373" s="6"/>
      <c r="Z5373" s="6" t="s">
        <v>267</v>
      </c>
      <c r="AA5373" s="6" t="s">
        <v>148</v>
      </c>
      <c r="AB5373" s="8"/>
      <c r="AC5373" s="27">
        <v>9785160171005</v>
      </c>
    </row>
    <row r="5374" spans="1:29" s="4" customFormat="1" ht="42" customHeight="1" x14ac:dyDescent="0.2">
      <c r="A5374" s="5">
        <v>0</v>
      </c>
      <c r="B5374" s="6" t="s">
        <v>30912</v>
      </c>
      <c r="C5374" s="13">
        <v>984</v>
      </c>
      <c r="D5374" s="8" t="s">
        <v>30913</v>
      </c>
      <c r="E5374" s="8" t="s">
        <v>30914</v>
      </c>
      <c r="F5374" s="8" t="s">
        <v>30915</v>
      </c>
      <c r="G5374" s="6" t="s">
        <v>60</v>
      </c>
      <c r="H5374" s="6" t="s">
        <v>34</v>
      </c>
      <c r="I5374" s="8" t="s">
        <v>91</v>
      </c>
      <c r="J5374" s="9">
        <v>1</v>
      </c>
      <c r="K5374" s="9">
        <v>151</v>
      </c>
      <c r="L5374" s="9">
        <v>2025</v>
      </c>
      <c r="M5374" s="8" t="s">
        <v>30916</v>
      </c>
      <c r="N5374" s="8" t="s">
        <v>93</v>
      </c>
      <c r="O5374" s="8" t="s">
        <v>94</v>
      </c>
      <c r="P5374" s="6" t="s">
        <v>105</v>
      </c>
      <c r="Q5374" s="8" t="s">
        <v>65</v>
      </c>
      <c r="R5374" s="10" t="s">
        <v>11024</v>
      </c>
      <c r="S5374" s="11"/>
      <c r="T5374" s="6"/>
      <c r="U5374" s="15" t="str">
        <f>HYPERLINK("https://media.infra-m.ru/2196/2196568/cover/2196568.jpg", "Обложка")</f>
        <v>Обложка</v>
      </c>
      <c r="V5374" s="8" t="s">
        <v>6474</v>
      </c>
      <c r="W5374" s="6" t="s">
        <v>342</v>
      </c>
      <c r="X5374" s="6"/>
      <c r="Y5374" s="6"/>
      <c r="Z5374" s="6"/>
      <c r="AA5374" s="6" t="s">
        <v>917</v>
      </c>
      <c r="AB5374" s="8"/>
      <c r="AC5374" s="27">
        <v>9785160208145</v>
      </c>
    </row>
    <row r="5375" spans="1:29" s="4" customFormat="1" ht="42" customHeight="1" x14ac:dyDescent="0.2">
      <c r="A5375" s="5">
        <v>0</v>
      </c>
      <c r="B5375" s="6" t="s">
        <v>30917</v>
      </c>
      <c r="C5375" s="13">
        <v>828</v>
      </c>
      <c r="D5375" s="8" t="s">
        <v>30918</v>
      </c>
      <c r="E5375" s="8" t="s">
        <v>30919</v>
      </c>
      <c r="F5375" s="8" t="s">
        <v>30915</v>
      </c>
      <c r="G5375" s="6" t="s">
        <v>118</v>
      </c>
      <c r="H5375" s="6" t="s">
        <v>34</v>
      </c>
      <c r="I5375" s="8" t="s">
        <v>91</v>
      </c>
      <c r="J5375" s="9">
        <v>1</v>
      </c>
      <c r="K5375" s="9">
        <v>146</v>
      </c>
      <c r="L5375" s="9">
        <v>2024</v>
      </c>
      <c r="M5375" s="8" t="s">
        <v>30920</v>
      </c>
      <c r="N5375" s="8" t="s">
        <v>93</v>
      </c>
      <c r="O5375" s="8" t="s">
        <v>94</v>
      </c>
      <c r="P5375" s="6" t="s">
        <v>105</v>
      </c>
      <c r="Q5375" s="8" t="s">
        <v>52</v>
      </c>
      <c r="R5375" s="10" t="s">
        <v>11024</v>
      </c>
      <c r="S5375" s="11"/>
      <c r="T5375" s="6"/>
      <c r="U5375" s="15" t="str">
        <f>HYPERLINK("https://media.infra-m.ru/2083/2083429/cover/2083429.jpg", "Обложка")</f>
        <v>Обложка</v>
      </c>
      <c r="V5375" s="8" t="s">
        <v>6474</v>
      </c>
      <c r="W5375" s="6"/>
      <c r="X5375" s="6"/>
      <c r="Y5375" s="6"/>
      <c r="Z5375" s="6"/>
      <c r="AA5375" s="6" t="s">
        <v>115</v>
      </c>
      <c r="AB5375" s="8"/>
      <c r="AC5375" s="27">
        <v>9785160148526</v>
      </c>
    </row>
    <row r="5376" spans="1:29" s="4" customFormat="1" ht="51.9" customHeight="1" x14ac:dyDescent="0.2">
      <c r="A5376" s="5">
        <v>0</v>
      </c>
      <c r="B5376" s="6" t="s">
        <v>30921</v>
      </c>
      <c r="C5376" s="7">
        <v>1360.8</v>
      </c>
      <c r="D5376" s="8" t="s">
        <v>30922</v>
      </c>
      <c r="E5376" s="8" t="s">
        <v>30923</v>
      </c>
      <c r="F5376" s="8" t="s">
        <v>30924</v>
      </c>
      <c r="G5376" s="6" t="s">
        <v>118</v>
      </c>
      <c r="H5376" s="6" t="s">
        <v>34</v>
      </c>
      <c r="I5376" s="8" t="s">
        <v>304</v>
      </c>
      <c r="J5376" s="9">
        <v>1</v>
      </c>
      <c r="K5376" s="9">
        <v>207</v>
      </c>
      <c r="L5376" s="9">
        <v>2026</v>
      </c>
      <c r="M5376" s="8" t="s">
        <v>30925</v>
      </c>
      <c r="N5376" s="8" t="s">
        <v>243</v>
      </c>
      <c r="O5376" s="8" t="s">
        <v>244</v>
      </c>
      <c r="P5376" s="6" t="s">
        <v>51</v>
      </c>
      <c r="Q5376" s="8" t="s">
        <v>65</v>
      </c>
      <c r="R5376" s="10" t="s">
        <v>30926</v>
      </c>
      <c r="S5376" s="11" t="s">
        <v>30927</v>
      </c>
      <c r="T5376" s="6"/>
      <c r="U5376" s="15" t="str">
        <f>HYPERLINK("https://media.infra-m.ru/2237/2237107/cover/2237107.jpg", "Обложка")</f>
        <v>Обложка</v>
      </c>
      <c r="V5376" s="8" t="s">
        <v>247</v>
      </c>
      <c r="W5376" s="6"/>
      <c r="X5376" s="6"/>
      <c r="Y5376" s="6"/>
      <c r="Z5376" s="6"/>
      <c r="AA5376" s="6" t="s">
        <v>430</v>
      </c>
      <c r="AB5376" s="8"/>
      <c r="AC5376" s="27">
        <v>9785160188508</v>
      </c>
    </row>
    <row r="5377" spans="1:29" s="4" customFormat="1" ht="42" customHeight="1" x14ac:dyDescent="0.2">
      <c r="A5377" s="5">
        <v>0</v>
      </c>
      <c r="B5377" s="6" t="s">
        <v>30928</v>
      </c>
      <c r="C5377" s="7">
        <v>2812.8</v>
      </c>
      <c r="D5377" s="8" t="s">
        <v>30929</v>
      </c>
      <c r="E5377" s="8" t="s">
        <v>30930</v>
      </c>
      <c r="F5377" s="8" t="s">
        <v>30931</v>
      </c>
      <c r="G5377" s="6" t="s">
        <v>60</v>
      </c>
      <c r="H5377" s="6" t="s">
        <v>34</v>
      </c>
      <c r="I5377" s="8" t="s">
        <v>253</v>
      </c>
      <c r="J5377" s="9">
        <v>1</v>
      </c>
      <c r="K5377" s="9">
        <v>404</v>
      </c>
      <c r="L5377" s="9">
        <v>2027</v>
      </c>
      <c r="M5377" s="8" t="s">
        <v>30932</v>
      </c>
      <c r="N5377" s="8" t="s">
        <v>243</v>
      </c>
      <c r="O5377" s="8" t="s">
        <v>1100</v>
      </c>
      <c r="P5377" s="6" t="s">
        <v>51</v>
      </c>
      <c r="Q5377" s="8" t="s">
        <v>52</v>
      </c>
      <c r="R5377" s="10" t="s">
        <v>30933</v>
      </c>
      <c r="S5377" s="11"/>
      <c r="T5377" s="6"/>
      <c r="U5377" s="15" t="str">
        <f>HYPERLINK("https://media.infra-m.ru/2270/2270910/cover/2270910.jpg", "Обложка")</f>
        <v>Обложка</v>
      </c>
      <c r="V5377" s="8" t="s">
        <v>1030</v>
      </c>
      <c r="W5377" s="6"/>
      <c r="X5377" s="6"/>
      <c r="Y5377" s="6"/>
      <c r="Z5377" s="6"/>
      <c r="AA5377" s="6" t="s">
        <v>76</v>
      </c>
      <c r="AB5377" s="8"/>
      <c r="AC5377" s="27">
        <v>9785160182933</v>
      </c>
    </row>
    <row r="5378" spans="1:29" s="4" customFormat="1" ht="51.9" customHeight="1" x14ac:dyDescent="0.2">
      <c r="A5378" s="5">
        <v>0</v>
      </c>
      <c r="B5378" s="6" t="s">
        <v>30934</v>
      </c>
      <c r="C5378" s="7">
        <v>2812.8</v>
      </c>
      <c r="D5378" s="8" t="s">
        <v>30935</v>
      </c>
      <c r="E5378" s="8" t="s">
        <v>30930</v>
      </c>
      <c r="F5378" s="8" t="s">
        <v>30931</v>
      </c>
      <c r="G5378" s="6" t="s">
        <v>60</v>
      </c>
      <c r="H5378" s="6" t="s">
        <v>34</v>
      </c>
      <c r="I5378" s="8" t="s">
        <v>263</v>
      </c>
      <c r="J5378" s="9">
        <v>1</v>
      </c>
      <c r="K5378" s="9">
        <v>404</v>
      </c>
      <c r="L5378" s="9">
        <v>2027</v>
      </c>
      <c r="M5378" s="8" t="s">
        <v>30936</v>
      </c>
      <c r="N5378" s="8" t="s">
        <v>243</v>
      </c>
      <c r="O5378" s="8" t="s">
        <v>1100</v>
      </c>
      <c r="P5378" s="6" t="s">
        <v>51</v>
      </c>
      <c r="Q5378" s="8" t="s">
        <v>265</v>
      </c>
      <c r="R5378" s="10" t="s">
        <v>25011</v>
      </c>
      <c r="S5378" s="11"/>
      <c r="T5378" s="6"/>
      <c r="U5378" s="15" t="str">
        <f>HYPERLINK("https://media.infra-m.ru/2270/2270912/cover/2270912.jpg", "Обложка")</f>
        <v>Обложка</v>
      </c>
      <c r="V5378" s="8" t="s">
        <v>1030</v>
      </c>
      <c r="W5378" s="6"/>
      <c r="X5378" s="6"/>
      <c r="Y5378" s="6"/>
      <c r="Z5378" s="6" t="s">
        <v>267</v>
      </c>
      <c r="AA5378" s="6" t="s">
        <v>68</v>
      </c>
      <c r="AB5378" s="8" t="s">
        <v>5450</v>
      </c>
      <c r="AC5378" s="27">
        <v>9785160203416</v>
      </c>
    </row>
    <row r="5379" spans="1:29" s="4" customFormat="1" ht="51.9" customHeight="1" x14ac:dyDescent="0.2">
      <c r="A5379" s="5">
        <v>0</v>
      </c>
      <c r="B5379" s="6" t="s">
        <v>30937</v>
      </c>
      <c r="C5379" s="13">
        <v>804</v>
      </c>
      <c r="D5379" s="8" t="s">
        <v>30938</v>
      </c>
      <c r="E5379" s="8" t="s">
        <v>30939</v>
      </c>
      <c r="F5379" s="8" t="s">
        <v>30940</v>
      </c>
      <c r="G5379" s="6" t="s">
        <v>33</v>
      </c>
      <c r="H5379" s="6" t="s">
        <v>34</v>
      </c>
      <c r="I5379" s="8" t="s">
        <v>35</v>
      </c>
      <c r="J5379" s="9">
        <v>1</v>
      </c>
      <c r="K5379" s="9">
        <v>128</v>
      </c>
      <c r="L5379" s="9">
        <v>2025</v>
      </c>
      <c r="M5379" s="8" t="s">
        <v>30941</v>
      </c>
      <c r="N5379" s="8" t="s">
        <v>243</v>
      </c>
      <c r="O5379" s="8" t="s">
        <v>758</v>
      </c>
      <c r="P5379" s="6" t="s">
        <v>39</v>
      </c>
      <c r="Q5379" s="8" t="s">
        <v>40</v>
      </c>
      <c r="R5379" s="10" t="s">
        <v>30942</v>
      </c>
      <c r="S5379" s="11"/>
      <c r="T5379" s="6"/>
      <c r="U5379" s="15" t="str">
        <f>HYPERLINK("https://media.infra-m.ru/2184/2184877/cover/2184877.jpg", "Обложка")</f>
        <v>Обложка</v>
      </c>
      <c r="V5379" s="8" t="s">
        <v>30943</v>
      </c>
      <c r="W5379" s="6"/>
      <c r="X5379" s="6"/>
      <c r="Y5379" s="6"/>
      <c r="Z5379" s="6"/>
      <c r="AA5379" s="6" t="s">
        <v>274</v>
      </c>
      <c r="AB5379" s="8"/>
      <c r="AC5379" s="27">
        <v>9785160112862</v>
      </c>
    </row>
    <row r="5380" spans="1:29" s="4" customFormat="1" ht="51.9" customHeight="1" x14ac:dyDescent="0.2">
      <c r="A5380" s="5">
        <v>0</v>
      </c>
      <c r="B5380" s="6" t="s">
        <v>30944</v>
      </c>
      <c r="C5380" s="7">
        <v>2524.8000000000002</v>
      </c>
      <c r="D5380" s="8" t="s">
        <v>30945</v>
      </c>
      <c r="E5380" s="8" t="s">
        <v>30946</v>
      </c>
      <c r="F5380" s="8" t="s">
        <v>30947</v>
      </c>
      <c r="G5380" s="6" t="s">
        <v>118</v>
      </c>
      <c r="H5380" s="6" t="s">
        <v>34</v>
      </c>
      <c r="I5380" s="8" t="s">
        <v>30948</v>
      </c>
      <c r="J5380" s="9">
        <v>1</v>
      </c>
      <c r="K5380" s="9">
        <v>362</v>
      </c>
      <c r="L5380" s="9">
        <v>2026</v>
      </c>
      <c r="M5380" s="8" t="s">
        <v>30949</v>
      </c>
      <c r="N5380" s="8" t="s">
        <v>243</v>
      </c>
      <c r="O5380" s="8" t="s">
        <v>758</v>
      </c>
      <c r="P5380" s="6" t="s">
        <v>51</v>
      </c>
      <c r="Q5380" s="8" t="s">
        <v>52</v>
      </c>
      <c r="R5380" s="10" t="s">
        <v>30950</v>
      </c>
      <c r="S5380" s="11" t="s">
        <v>30951</v>
      </c>
      <c r="T5380" s="6"/>
      <c r="U5380" s="15" t="str">
        <f>HYPERLINK("https://media.infra-m.ru/2262/2262005/cover/2262005.jpg", "Обложка")</f>
        <v>Обложка</v>
      </c>
      <c r="V5380" s="8" t="s">
        <v>1132</v>
      </c>
      <c r="W5380" s="6"/>
      <c r="X5380" s="6"/>
      <c r="Y5380" s="6"/>
      <c r="Z5380" s="6"/>
      <c r="AA5380" s="6" t="s">
        <v>157</v>
      </c>
      <c r="AB5380" s="8"/>
      <c r="AC5380" s="27">
        <v>9785160180670</v>
      </c>
    </row>
    <row r="5381" spans="1:29" s="4" customFormat="1" ht="42" customHeight="1" x14ac:dyDescent="0.2">
      <c r="A5381" s="5">
        <v>0</v>
      </c>
      <c r="B5381" s="6" t="s">
        <v>30952</v>
      </c>
      <c r="C5381" s="13">
        <v>564</v>
      </c>
      <c r="D5381" s="8" t="s">
        <v>30953</v>
      </c>
      <c r="E5381" s="8" t="s">
        <v>30954</v>
      </c>
      <c r="F5381" s="8" t="s">
        <v>30955</v>
      </c>
      <c r="G5381" s="6" t="s">
        <v>33</v>
      </c>
      <c r="H5381" s="6" t="s">
        <v>313</v>
      </c>
      <c r="I5381" s="8"/>
      <c r="J5381" s="9">
        <v>1</v>
      </c>
      <c r="K5381" s="9">
        <v>115</v>
      </c>
      <c r="L5381" s="9">
        <v>2021</v>
      </c>
      <c r="M5381" s="8" t="s">
        <v>30956</v>
      </c>
      <c r="N5381" s="8" t="s">
        <v>243</v>
      </c>
      <c r="O5381" s="8" t="s">
        <v>758</v>
      </c>
      <c r="P5381" s="6" t="s">
        <v>39</v>
      </c>
      <c r="Q5381" s="8" t="s">
        <v>40</v>
      </c>
      <c r="R5381" s="10" t="s">
        <v>7200</v>
      </c>
      <c r="S5381" s="11"/>
      <c r="T5381" s="6"/>
      <c r="U5381" s="15" t="str">
        <f>HYPERLINK("https://media.infra-m.ru/1244/1244225/cover/1244225.jpg", "Обложка")</f>
        <v>Обложка</v>
      </c>
      <c r="V5381" s="8" t="s">
        <v>15688</v>
      </c>
      <c r="W5381" s="6"/>
      <c r="X5381" s="6"/>
      <c r="Y5381" s="6"/>
      <c r="Z5381" s="6"/>
      <c r="AA5381" s="6" t="s">
        <v>86</v>
      </c>
      <c r="AB5381" s="8"/>
      <c r="AC5381" s="27">
        <v>9785369017340</v>
      </c>
    </row>
    <row r="5382" spans="1:29" s="4" customFormat="1" ht="51.9" customHeight="1" x14ac:dyDescent="0.2">
      <c r="A5382" s="5">
        <v>0</v>
      </c>
      <c r="B5382" s="6" t="s">
        <v>30957</v>
      </c>
      <c r="C5382" s="7">
        <v>2080.8000000000002</v>
      </c>
      <c r="D5382" s="8" t="s">
        <v>30958</v>
      </c>
      <c r="E5382" s="8" t="s">
        <v>30959</v>
      </c>
      <c r="F5382" s="8" t="s">
        <v>30960</v>
      </c>
      <c r="G5382" s="6" t="s">
        <v>118</v>
      </c>
      <c r="H5382" s="6" t="s">
        <v>34</v>
      </c>
      <c r="I5382" s="8" t="s">
        <v>271</v>
      </c>
      <c r="J5382" s="9">
        <v>1</v>
      </c>
      <c r="K5382" s="9">
        <v>347</v>
      </c>
      <c r="L5382" s="9">
        <v>2025</v>
      </c>
      <c r="M5382" s="8" t="s">
        <v>30961</v>
      </c>
      <c r="N5382" s="8" t="s">
        <v>243</v>
      </c>
      <c r="O5382" s="8" t="s">
        <v>758</v>
      </c>
      <c r="P5382" s="6" t="s">
        <v>51</v>
      </c>
      <c r="Q5382" s="8" t="s">
        <v>52</v>
      </c>
      <c r="R5382" s="10" t="s">
        <v>30962</v>
      </c>
      <c r="S5382" s="11" t="s">
        <v>22728</v>
      </c>
      <c r="T5382" s="6"/>
      <c r="U5382" s="15" t="str">
        <f>HYPERLINK("https://media.infra-m.ru/2168/2168868/cover/2168868.jpg", "Обложка")</f>
        <v>Обложка</v>
      </c>
      <c r="V5382" s="8" t="s">
        <v>2446</v>
      </c>
      <c r="W5382" s="6"/>
      <c r="X5382" s="6"/>
      <c r="Y5382" s="6"/>
      <c r="Z5382" s="6"/>
      <c r="AA5382" s="6" t="s">
        <v>404</v>
      </c>
      <c r="AB5382" s="8"/>
      <c r="AC5382" s="27">
        <v>9785160130828</v>
      </c>
    </row>
    <row r="5383" spans="1:29" s="4" customFormat="1" ht="42" customHeight="1" x14ac:dyDescent="0.2">
      <c r="A5383" s="5">
        <v>0</v>
      </c>
      <c r="B5383" s="6" t="s">
        <v>30963</v>
      </c>
      <c r="C5383" s="7">
        <v>3196.8</v>
      </c>
      <c r="D5383" s="8" t="s">
        <v>30964</v>
      </c>
      <c r="E5383" s="8" t="s">
        <v>30965</v>
      </c>
      <c r="F5383" s="8" t="s">
        <v>30966</v>
      </c>
      <c r="G5383" s="6" t="s">
        <v>60</v>
      </c>
      <c r="H5383" s="6" t="s">
        <v>34</v>
      </c>
      <c r="I5383" s="8" t="s">
        <v>253</v>
      </c>
      <c r="J5383" s="9">
        <v>1</v>
      </c>
      <c r="K5383" s="9">
        <v>484</v>
      </c>
      <c r="L5383" s="9">
        <v>2025</v>
      </c>
      <c r="M5383" s="8" t="s">
        <v>30967</v>
      </c>
      <c r="N5383" s="8" t="s">
        <v>243</v>
      </c>
      <c r="O5383" s="8" t="s">
        <v>758</v>
      </c>
      <c r="P5383" s="6" t="s">
        <v>51</v>
      </c>
      <c r="Q5383" s="8" t="s">
        <v>65</v>
      </c>
      <c r="R5383" s="10" t="s">
        <v>30968</v>
      </c>
      <c r="S5383" s="11"/>
      <c r="T5383" s="6"/>
      <c r="U5383" s="15" t="str">
        <f>HYPERLINK("https://media.infra-m.ru/2234/2234196/cover/2234196.jpg", "Обложка")</f>
        <v>Обложка</v>
      </c>
      <c r="V5383" s="8" t="s">
        <v>30969</v>
      </c>
      <c r="W5383" s="6"/>
      <c r="X5383" s="6"/>
      <c r="Y5383" s="6"/>
      <c r="Z5383" s="6"/>
      <c r="AA5383" s="6" t="s">
        <v>68</v>
      </c>
      <c r="AB5383" s="8" t="s">
        <v>308</v>
      </c>
      <c r="AC5383" s="27">
        <v>9785160209630</v>
      </c>
    </row>
    <row r="5384" spans="1:29" s="4" customFormat="1" ht="51.9" customHeight="1" x14ac:dyDescent="0.2">
      <c r="A5384" s="5">
        <v>0</v>
      </c>
      <c r="B5384" s="6" t="s">
        <v>30970</v>
      </c>
      <c r="C5384" s="7">
        <v>2392.8000000000002</v>
      </c>
      <c r="D5384" s="8" t="s">
        <v>30971</v>
      </c>
      <c r="E5384" s="8" t="s">
        <v>30972</v>
      </c>
      <c r="F5384" s="8" t="s">
        <v>12638</v>
      </c>
      <c r="G5384" s="6" t="s">
        <v>60</v>
      </c>
      <c r="H5384" s="6" t="s">
        <v>48</v>
      </c>
      <c r="I5384" s="8" t="s">
        <v>401</v>
      </c>
      <c r="J5384" s="9">
        <v>1</v>
      </c>
      <c r="K5384" s="9">
        <v>432</v>
      </c>
      <c r="L5384" s="9">
        <v>2024</v>
      </c>
      <c r="M5384" s="8" t="s">
        <v>30973</v>
      </c>
      <c r="N5384" s="8" t="s">
        <v>243</v>
      </c>
      <c r="O5384" s="8" t="s">
        <v>244</v>
      </c>
      <c r="P5384" s="6" t="s">
        <v>51</v>
      </c>
      <c r="Q5384" s="8" t="s">
        <v>265</v>
      </c>
      <c r="R5384" s="10" t="s">
        <v>30974</v>
      </c>
      <c r="S5384" s="11" t="s">
        <v>4561</v>
      </c>
      <c r="T5384" s="6"/>
      <c r="U5384" s="15" t="str">
        <f>HYPERLINK("https://media.infra-m.ru/2117/2117629/cover/2117629.jpg", "Обложка")</f>
        <v>Обложка</v>
      </c>
      <c r="V5384" s="8" t="s">
        <v>445</v>
      </c>
      <c r="W5384" s="6"/>
      <c r="X5384" s="6"/>
      <c r="Y5384" s="6"/>
      <c r="Z5384" s="6"/>
      <c r="AA5384" s="6" t="s">
        <v>7324</v>
      </c>
      <c r="AB5384" s="8"/>
      <c r="AC5384" s="27">
        <v>9785911345945</v>
      </c>
    </row>
    <row r="5385" spans="1:29" s="4" customFormat="1" ht="51.9" customHeight="1" x14ac:dyDescent="0.2">
      <c r="A5385" s="5">
        <v>0</v>
      </c>
      <c r="B5385" s="6" t="s">
        <v>30975</v>
      </c>
      <c r="C5385" s="7">
        <v>1420.8</v>
      </c>
      <c r="D5385" s="8" t="s">
        <v>30976</v>
      </c>
      <c r="E5385" s="8" t="s">
        <v>30977</v>
      </c>
      <c r="F5385" s="8" t="s">
        <v>30978</v>
      </c>
      <c r="G5385" s="6" t="s">
        <v>33</v>
      </c>
      <c r="H5385" s="6" t="s">
        <v>34</v>
      </c>
      <c r="I5385" s="8" t="s">
        <v>35</v>
      </c>
      <c r="J5385" s="9">
        <v>1</v>
      </c>
      <c r="K5385" s="9">
        <v>256</v>
      </c>
      <c r="L5385" s="9">
        <v>2023</v>
      </c>
      <c r="M5385" s="8" t="s">
        <v>30979</v>
      </c>
      <c r="N5385" s="8" t="s">
        <v>243</v>
      </c>
      <c r="O5385" s="8" t="s">
        <v>758</v>
      </c>
      <c r="P5385" s="6" t="s">
        <v>39</v>
      </c>
      <c r="Q5385" s="8" t="s">
        <v>40</v>
      </c>
      <c r="R5385" s="10" t="s">
        <v>30980</v>
      </c>
      <c r="S5385" s="11"/>
      <c r="T5385" s="6"/>
      <c r="U5385" s="15" t="str">
        <f>HYPERLINK("https://media.infra-m.ru/2054/2054123/cover/2054123.jpg", "Обложка")</f>
        <v>Обложка</v>
      </c>
      <c r="V5385" s="8" t="s">
        <v>7003</v>
      </c>
      <c r="W5385" s="6"/>
      <c r="X5385" s="6"/>
      <c r="Y5385" s="6"/>
      <c r="Z5385" s="6"/>
      <c r="AA5385" s="6" t="s">
        <v>55</v>
      </c>
      <c r="AB5385" s="8"/>
      <c r="AC5385" s="27">
        <v>9785160056135</v>
      </c>
    </row>
    <row r="5386" spans="1:29" s="4" customFormat="1" ht="42" customHeight="1" x14ac:dyDescent="0.2">
      <c r="A5386" s="5">
        <v>0</v>
      </c>
      <c r="B5386" s="6" t="s">
        <v>30981</v>
      </c>
      <c r="C5386" s="7">
        <v>1344</v>
      </c>
      <c r="D5386" s="8" t="s">
        <v>30982</v>
      </c>
      <c r="E5386" s="8" t="s">
        <v>30983</v>
      </c>
      <c r="F5386" s="8" t="s">
        <v>30984</v>
      </c>
      <c r="G5386" s="6" t="s">
        <v>60</v>
      </c>
      <c r="H5386" s="6" t="s">
        <v>34</v>
      </c>
      <c r="I5386" s="8" t="s">
        <v>1081</v>
      </c>
      <c r="J5386" s="9">
        <v>1</v>
      </c>
      <c r="K5386" s="9">
        <v>194</v>
      </c>
      <c r="L5386" s="9">
        <v>2026</v>
      </c>
      <c r="M5386" s="8" t="s">
        <v>30985</v>
      </c>
      <c r="N5386" s="8" t="s">
        <v>93</v>
      </c>
      <c r="O5386" s="8" t="s">
        <v>94</v>
      </c>
      <c r="P5386" s="6" t="s">
        <v>39</v>
      </c>
      <c r="Q5386" s="8" t="s">
        <v>40</v>
      </c>
      <c r="R5386" s="10" t="s">
        <v>11673</v>
      </c>
      <c r="S5386" s="11"/>
      <c r="T5386" s="6"/>
      <c r="U5386" s="15" t="str">
        <f>HYPERLINK("https://media.infra-m.ru/2222/2222621/cover/2222621.jpg", "Обложка")</f>
        <v>Обложка</v>
      </c>
      <c r="V5386" s="8" t="s">
        <v>1083</v>
      </c>
      <c r="W5386" s="6" t="s">
        <v>1382</v>
      </c>
      <c r="X5386" s="6"/>
      <c r="Y5386" s="6"/>
      <c r="Z5386" s="6"/>
      <c r="AA5386" s="6" t="s">
        <v>187</v>
      </c>
      <c r="AB5386" s="8"/>
      <c r="AC5386" s="27">
        <v>9785160213460</v>
      </c>
    </row>
    <row r="5387" spans="1:29" s="4" customFormat="1" ht="42" customHeight="1" x14ac:dyDescent="0.2">
      <c r="A5387" s="5">
        <v>0</v>
      </c>
      <c r="B5387" s="6" t="s">
        <v>30986</v>
      </c>
      <c r="C5387" s="7">
        <v>1356</v>
      </c>
      <c r="D5387" s="8" t="s">
        <v>30987</v>
      </c>
      <c r="E5387" s="8" t="s">
        <v>30988</v>
      </c>
      <c r="F5387" s="8" t="s">
        <v>30989</v>
      </c>
      <c r="G5387" s="6" t="s">
        <v>118</v>
      </c>
      <c r="H5387" s="6" t="s">
        <v>1644</v>
      </c>
      <c r="I5387" s="8"/>
      <c r="J5387" s="9">
        <v>1</v>
      </c>
      <c r="K5387" s="9">
        <v>240</v>
      </c>
      <c r="L5387" s="9">
        <v>2024</v>
      </c>
      <c r="M5387" s="8" t="s">
        <v>30990</v>
      </c>
      <c r="N5387" s="8" t="s">
        <v>37</v>
      </c>
      <c r="O5387" s="8" t="s">
        <v>233</v>
      </c>
      <c r="P5387" s="6" t="s">
        <v>306</v>
      </c>
      <c r="Q5387" s="8" t="s">
        <v>52</v>
      </c>
      <c r="R5387" s="10" t="s">
        <v>4087</v>
      </c>
      <c r="S5387" s="11"/>
      <c r="T5387" s="6"/>
      <c r="U5387" s="15" t="str">
        <f>HYPERLINK("https://media.infra-m.ru/2141/2141040/cover/2141040.jpg", "Обложка")</f>
        <v>Обложка</v>
      </c>
      <c r="V5387" s="8" t="s">
        <v>396</v>
      </c>
      <c r="W5387" s="6"/>
      <c r="X5387" s="6"/>
      <c r="Y5387" s="6"/>
      <c r="Z5387" s="6"/>
      <c r="AA5387" s="6" t="s">
        <v>115</v>
      </c>
      <c r="AB5387" s="8"/>
      <c r="AC5387" s="27">
        <v>9785977604987</v>
      </c>
    </row>
    <row r="5388" spans="1:29" s="4" customFormat="1" ht="51.9" customHeight="1" x14ac:dyDescent="0.2">
      <c r="A5388" s="5">
        <v>0</v>
      </c>
      <c r="B5388" s="6" t="s">
        <v>30991</v>
      </c>
      <c r="C5388" s="7">
        <v>1061.9000000000001</v>
      </c>
      <c r="D5388" s="8" t="s">
        <v>30992</v>
      </c>
      <c r="E5388" s="8" t="s">
        <v>30993</v>
      </c>
      <c r="F5388" s="8" t="s">
        <v>30994</v>
      </c>
      <c r="G5388" s="6" t="s">
        <v>60</v>
      </c>
      <c r="H5388" s="6" t="s">
        <v>5605</v>
      </c>
      <c r="I5388" s="8" t="s">
        <v>253</v>
      </c>
      <c r="J5388" s="9">
        <v>1</v>
      </c>
      <c r="K5388" s="9">
        <v>304</v>
      </c>
      <c r="L5388" s="9">
        <v>2018</v>
      </c>
      <c r="M5388" s="8" t="s">
        <v>30995</v>
      </c>
      <c r="N5388" s="8" t="s">
        <v>37</v>
      </c>
      <c r="O5388" s="8" t="s">
        <v>280</v>
      </c>
      <c r="P5388" s="6" t="s">
        <v>394</v>
      </c>
      <c r="Q5388" s="8" t="s">
        <v>52</v>
      </c>
      <c r="R5388" s="10" t="s">
        <v>30996</v>
      </c>
      <c r="S5388" s="11" t="s">
        <v>30997</v>
      </c>
      <c r="T5388" s="6"/>
      <c r="U5388" s="15" t="str">
        <f>HYPERLINK("https://media.infra-m.ru/0911/0911341/cover/911341.jpg", "Обложка")</f>
        <v>Обложка</v>
      </c>
      <c r="V5388" s="8" t="s">
        <v>3196</v>
      </c>
      <c r="W5388" s="6"/>
      <c r="X5388" s="6"/>
      <c r="Y5388" s="6"/>
      <c r="Z5388" s="6"/>
      <c r="AA5388" s="6" t="s">
        <v>11623</v>
      </c>
      <c r="AB5388" s="8"/>
      <c r="AC5388" s="27">
        <v>9785160048352</v>
      </c>
    </row>
    <row r="5389" spans="1:29" s="4" customFormat="1" ht="51.9" customHeight="1" x14ac:dyDescent="0.2">
      <c r="A5389" s="5">
        <v>0</v>
      </c>
      <c r="B5389" s="6" t="s">
        <v>30998</v>
      </c>
      <c r="C5389" s="7">
        <v>1320</v>
      </c>
      <c r="D5389" s="8" t="s">
        <v>30999</v>
      </c>
      <c r="E5389" s="8" t="s">
        <v>31000</v>
      </c>
      <c r="F5389" s="8" t="s">
        <v>31001</v>
      </c>
      <c r="G5389" s="6" t="s">
        <v>118</v>
      </c>
      <c r="H5389" s="6" t="s">
        <v>34</v>
      </c>
      <c r="I5389" s="8" t="s">
        <v>271</v>
      </c>
      <c r="J5389" s="9">
        <v>1</v>
      </c>
      <c r="K5389" s="9">
        <v>306</v>
      </c>
      <c r="L5389" s="9">
        <v>2021</v>
      </c>
      <c r="M5389" s="8" t="s">
        <v>31002</v>
      </c>
      <c r="N5389" s="8" t="s">
        <v>37</v>
      </c>
      <c r="O5389" s="8" t="s">
        <v>280</v>
      </c>
      <c r="P5389" s="6" t="s">
        <v>394</v>
      </c>
      <c r="Q5389" s="8" t="s">
        <v>52</v>
      </c>
      <c r="R5389" s="10" t="s">
        <v>30996</v>
      </c>
      <c r="S5389" s="11"/>
      <c r="T5389" s="6"/>
      <c r="U5389" s="15" t="str">
        <f>HYPERLINK("https://media.infra-m.ru/1228/1228817/cover/1228817.jpg", "Обложка")</f>
        <v>Обложка</v>
      </c>
      <c r="V5389" s="8" t="s">
        <v>3196</v>
      </c>
      <c r="W5389" s="6"/>
      <c r="X5389" s="6"/>
      <c r="Y5389" s="6"/>
      <c r="Z5389" s="6"/>
      <c r="AA5389" s="6" t="s">
        <v>2259</v>
      </c>
      <c r="AB5389" s="8"/>
      <c r="AC5389" s="27">
        <v>9785160150895</v>
      </c>
    </row>
    <row r="5390" spans="1:29" s="4" customFormat="1" ht="51.9" customHeight="1" x14ac:dyDescent="0.2">
      <c r="A5390" s="5">
        <v>0</v>
      </c>
      <c r="B5390" s="6" t="s">
        <v>31003</v>
      </c>
      <c r="C5390" s="7">
        <v>1589.9</v>
      </c>
      <c r="D5390" s="8" t="s">
        <v>31004</v>
      </c>
      <c r="E5390" s="8" t="s">
        <v>31005</v>
      </c>
      <c r="F5390" s="8" t="s">
        <v>31006</v>
      </c>
      <c r="G5390" s="6" t="s">
        <v>60</v>
      </c>
      <c r="H5390" s="6" t="s">
        <v>34</v>
      </c>
      <c r="I5390" s="8" t="s">
        <v>271</v>
      </c>
      <c r="J5390" s="9">
        <v>1</v>
      </c>
      <c r="K5390" s="9">
        <v>590</v>
      </c>
      <c r="L5390" s="9">
        <v>2018</v>
      </c>
      <c r="M5390" s="8" t="s">
        <v>31007</v>
      </c>
      <c r="N5390" s="8" t="s">
        <v>37</v>
      </c>
      <c r="O5390" s="8" t="s">
        <v>280</v>
      </c>
      <c r="P5390" s="6" t="s">
        <v>306</v>
      </c>
      <c r="Q5390" s="8" t="s">
        <v>52</v>
      </c>
      <c r="R5390" s="10" t="s">
        <v>31008</v>
      </c>
      <c r="S5390" s="11" t="s">
        <v>31009</v>
      </c>
      <c r="T5390" s="6"/>
      <c r="U5390" s="15" t="str">
        <f>HYPERLINK("https://media.infra-m.ru/0944/0944320/cover/944320.jpg", "Обложка")</f>
        <v>Обложка</v>
      </c>
      <c r="V5390" s="8" t="s">
        <v>3196</v>
      </c>
      <c r="W5390" s="6"/>
      <c r="X5390" s="6"/>
      <c r="Y5390" s="6"/>
      <c r="Z5390" s="6"/>
      <c r="AA5390" s="6" t="s">
        <v>5169</v>
      </c>
      <c r="AB5390" s="8"/>
      <c r="AC5390" s="27">
        <v>9785160113890</v>
      </c>
    </row>
    <row r="5391" spans="1:29" s="4" customFormat="1" ht="51.9" customHeight="1" x14ac:dyDescent="0.2">
      <c r="A5391" s="5">
        <v>0</v>
      </c>
      <c r="B5391" s="6" t="s">
        <v>31010</v>
      </c>
      <c r="C5391" s="7">
        <v>2448</v>
      </c>
      <c r="D5391" s="8" t="s">
        <v>31011</v>
      </c>
      <c r="E5391" s="8" t="s">
        <v>31012</v>
      </c>
      <c r="F5391" s="8" t="s">
        <v>31006</v>
      </c>
      <c r="G5391" s="6" t="s">
        <v>118</v>
      </c>
      <c r="H5391" s="6" t="s">
        <v>34</v>
      </c>
      <c r="I5391" s="8" t="s">
        <v>271</v>
      </c>
      <c r="J5391" s="9">
        <v>1</v>
      </c>
      <c r="K5391" s="9">
        <v>453</v>
      </c>
      <c r="L5391" s="9">
        <v>2023</v>
      </c>
      <c r="M5391" s="8" t="s">
        <v>31013</v>
      </c>
      <c r="N5391" s="8" t="s">
        <v>37</v>
      </c>
      <c r="O5391" s="8" t="s">
        <v>280</v>
      </c>
      <c r="P5391" s="6" t="s">
        <v>306</v>
      </c>
      <c r="Q5391" s="8" t="s">
        <v>52</v>
      </c>
      <c r="R5391" s="10" t="s">
        <v>31008</v>
      </c>
      <c r="S5391" s="11" t="s">
        <v>31014</v>
      </c>
      <c r="T5391" s="6" t="s">
        <v>97</v>
      </c>
      <c r="U5391" s="15" t="str">
        <f>HYPERLINK("https://media.infra-m.ru/1913/1913252/cover/1913252.jpg", "Обложка")</f>
        <v>Обложка</v>
      </c>
      <c r="V5391" s="8" t="s">
        <v>3196</v>
      </c>
      <c r="W5391" s="6"/>
      <c r="X5391" s="6"/>
      <c r="Y5391" s="6"/>
      <c r="Z5391" s="6"/>
      <c r="AA5391" s="6" t="s">
        <v>1411</v>
      </c>
      <c r="AB5391" s="8"/>
      <c r="AC5391" s="27">
        <v>9785160147802</v>
      </c>
    </row>
    <row r="5392" spans="1:29" s="4" customFormat="1" ht="42" customHeight="1" x14ac:dyDescent="0.2">
      <c r="A5392" s="5">
        <v>0</v>
      </c>
      <c r="B5392" s="6" t="s">
        <v>31015</v>
      </c>
      <c r="C5392" s="7">
        <v>1212</v>
      </c>
      <c r="D5392" s="8" t="s">
        <v>31016</v>
      </c>
      <c r="E5392" s="8" t="s">
        <v>31017</v>
      </c>
      <c r="F5392" s="8" t="s">
        <v>31018</v>
      </c>
      <c r="G5392" s="6" t="s">
        <v>33</v>
      </c>
      <c r="H5392" s="6" t="s">
        <v>34</v>
      </c>
      <c r="I5392" s="8" t="s">
        <v>35</v>
      </c>
      <c r="J5392" s="9">
        <v>1</v>
      </c>
      <c r="K5392" s="9">
        <v>174</v>
      </c>
      <c r="L5392" s="9">
        <v>2027</v>
      </c>
      <c r="M5392" s="8" t="s">
        <v>31019</v>
      </c>
      <c r="N5392" s="8" t="s">
        <v>37</v>
      </c>
      <c r="O5392" s="8" t="s">
        <v>38</v>
      </c>
      <c r="P5392" s="6" t="s">
        <v>39</v>
      </c>
      <c r="Q5392" s="8" t="s">
        <v>40</v>
      </c>
      <c r="R5392" s="10" t="s">
        <v>13352</v>
      </c>
      <c r="S5392" s="11"/>
      <c r="T5392" s="6"/>
      <c r="U5392" s="15" t="str">
        <f>HYPERLINK("https://media.infra-m.ru/2261/2261403/cover/2261403.jpg", "Обложка")</f>
        <v>Обложка</v>
      </c>
      <c r="V5392" s="8" t="s">
        <v>54</v>
      </c>
      <c r="W5392" s="6"/>
      <c r="X5392" s="6"/>
      <c r="Y5392" s="6"/>
      <c r="Z5392" s="6"/>
      <c r="AA5392" s="6" t="s">
        <v>248</v>
      </c>
      <c r="AB5392" s="8"/>
      <c r="AC5392" s="27">
        <v>9785160096735</v>
      </c>
    </row>
    <row r="5393" spans="1:29" s="4" customFormat="1" ht="42" customHeight="1" x14ac:dyDescent="0.2">
      <c r="A5393" s="5">
        <v>0</v>
      </c>
      <c r="B5393" s="6" t="s">
        <v>31020</v>
      </c>
      <c r="C5393" s="7">
        <v>2836.8</v>
      </c>
      <c r="D5393" s="8" t="s">
        <v>31021</v>
      </c>
      <c r="E5393" s="8" t="s">
        <v>31022</v>
      </c>
      <c r="F5393" s="8" t="s">
        <v>31023</v>
      </c>
      <c r="G5393" s="6" t="s">
        <v>33</v>
      </c>
      <c r="H5393" s="6" t="s">
        <v>34</v>
      </c>
      <c r="I5393" s="8" t="s">
        <v>35</v>
      </c>
      <c r="J5393" s="9">
        <v>1</v>
      </c>
      <c r="K5393" s="9">
        <v>430</v>
      </c>
      <c r="L5393" s="9">
        <v>2026</v>
      </c>
      <c r="M5393" s="8" t="s">
        <v>31024</v>
      </c>
      <c r="N5393" s="8" t="s">
        <v>63</v>
      </c>
      <c r="O5393" s="8" t="s">
        <v>64</v>
      </c>
      <c r="P5393" s="6" t="s">
        <v>39</v>
      </c>
      <c r="Q5393" s="8" t="s">
        <v>40</v>
      </c>
      <c r="R5393" s="10" t="s">
        <v>5704</v>
      </c>
      <c r="S5393" s="11"/>
      <c r="T5393" s="6"/>
      <c r="U5393" s="15" t="str">
        <f>HYPERLINK("https://media.infra-m.ru/2227/2227190/cover/2227190.jpg", "Обложка")</f>
        <v>Обложка</v>
      </c>
      <c r="V5393" s="8" t="s">
        <v>7920</v>
      </c>
      <c r="W5393" s="6"/>
      <c r="X5393" s="6"/>
      <c r="Y5393" s="6"/>
      <c r="Z5393" s="6"/>
      <c r="AA5393" s="6" t="s">
        <v>430</v>
      </c>
      <c r="AB5393" s="8"/>
      <c r="AC5393" s="27">
        <v>9785160163079</v>
      </c>
    </row>
    <row r="5394" spans="1:29" s="4" customFormat="1" ht="51.9" customHeight="1" x14ac:dyDescent="0.2">
      <c r="A5394" s="5">
        <v>0</v>
      </c>
      <c r="B5394" s="6" t="s">
        <v>31025</v>
      </c>
      <c r="C5394" s="13">
        <v>960</v>
      </c>
      <c r="D5394" s="8" t="s">
        <v>31026</v>
      </c>
      <c r="E5394" s="8" t="s">
        <v>31027</v>
      </c>
      <c r="F5394" s="8" t="s">
        <v>31028</v>
      </c>
      <c r="G5394" s="6" t="s">
        <v>33</v>
      </c>
      <c r="H5394" s="6" t="s">
        <v>34</v>
      </c>
      <c r="I5394" s="8" t="s">
        <v>263</v>
      </c>
      <c r="J5394" s="9">
        <v>1</v>
      </c>
      <c r="K5394" s="9">
        <v>112</v>
      </c>
      <c r="L5394" s="9">
        <v>2026</v>
      </c>
      <c r="M5394" s="8" t="s">
        <v>31029</v>
      </c>
      <c r="N5394" s="8" t="s">
        <v>63</v>
      </c>
      <c r="O5394" s="8" t="s">
        <v>181</v>
      </c>
      <c r="P5394" s="6" t="s">
        <v>51</v>
      </c>
      <c r="Q5394" s="8" t="s">
        <v>265</v>
      </c>
      <c r="R5394" s="10" t="s">
        <v>31030</v>
      </c>
      <c r="S5394" s="11" t="s">
        <v>31031</v>
      </c>
      <c r="T5394" s="6"/>
      <c r="U5394" s="15" t="str">
        <f>HYPERLINK("https://media.infra-m.ru/2225/2225026/cover/2225026.jpg", "Обложка")</f>
        <v>Обложка</v>
      </c>
      <c r="V5394" s="8" t="s">
        <v>31032</v>
      </c>
      <c r="W5394" s="6"/>
      <c r="X5394" s="6"/>
      <c r="Y5394" s="6"/>
      <c r="Z5394" s="6"/>
      <c r="AA5394" s="6" t="s">
        <v>218</v>
      </c>
      <c r="AB5394" s="8" t="s">
        <v>3581</v>
      </c>
      <c r="AC5394" s="27">
        <v>9785160214696</v>
      </c>
    </row>
    <row r="5395" spans="1:29" s="4" customFormat="1" ht="51.9" customHeight="1" x14ac:dyDescent="0.2">
      <c r="A5395" s="5">
        <v>0</v>
      </c>
      <c r="B5395" s="6" t="s">
        <v>31033</v>
      </c>
      <c r="C5395" s="13">
        <v>600</v>
      </c>
      <c r="D5395" s="8" t="s">
        <v>31034</v>
      </c>
      <c r="E5395" s="8" t="s">
        <v>31035</v>
      </c>
      <c r="F5395" s="8" t="s">
        <v>31028</v>
      </c>
      <c r="G5395" s="6" t="s">
        <v>33</v>
      </c>
      <c r="H5395" s="6" t="s">
        <v>48</v>
      </c>
      <c r="I5395" s="8" t="s">
        <v>263</v>
      </c>
      <c r="J5395" s="9">
        <v>1</v>
      </c>
      <c r="K5395" s="9">
        <v>112</v>
      </c>
      <c r="L5395" s="9">
        <v>2018</v>
      </c>
      <c r="M5395" s="8" t="s">
        <v>31036</v>
      </c>
      <c r="N5395" s="8" t="s">
        <v>63</v>
      </c>
      <c r="O5395" s="8" t="s">
        <v>181</v>
      </c>
      <c r="P5395" s="6" t="s">
        <v>51</v>
      </c>
      <c r="Q5395" s="8" t="s">
        <v>265</v>
      </c>
      <c r="R5395" s="10" t="s">
        <v>31030</v>
      </c>
      <c r="S5395" s="11" t="s">
        <v>31037</v>
      </c>
      <c r="T5395" s="6"/>
      <c r="U5395" s="15" t="str">
        <f>HYPERLINK("https://media.infra-m.ru/0958/0958278/cover/958278.jpg", "Обложка")</f>
        <v>Обложка</v>
      </c>
      <c r="V5395" s="8" t="s">
        <v>31032</v>
      </c>
      <c r="W5395" s="6"/>
      <c r="X5395" s="6"/>
      <c r="Y5395" s="6"/>
      <c r="Z5395" s="6"/>
      <c r="AA5395" s="6" t="s">
        <v>43</v>
      </c>
      <c r="AB5395" s="8" t="s">
        <v>3581</v>
      </c>
      <c r="AC5395" s="27">
        <v>9785000915288</v>
      </c>
    </row>
    <row r="5396" spans="1:29" s="4" customFormat="1" ht="42" customHeight="1" x14ac:dyDescent="0.2">
      <c r="A5396" s="5">
        <v>0</v>
      </c>
      <c r="B5396" s="6" t="s">
        <v>31038</v>
      </c>
      <c r="C5396" s="13">
        <v>984</v>
      </c>
      <c r="D5396" s="8" t="s">
        <v>31039</v>
      </c>
      <c r="E5396" s="8" t="s">
        <v>31040</v>
      </c>
      <c r="F5396" s="8" t="s">
        <v>31041</v>
      </c>
      <c r="G5396" s="6" t="s">
        <v>33</v>
      </c>
      <c r="H5396" s="6" t="s">
        <v>34</v>
      </c>
      <c r="I5396" s="8" t="s">
        <v>35</v>
      </c>
      <c r="J5396" s="9">
        <v>1</v>
      </c>
      <c r="K5396" s="9">
        <v>166</v>
      </c>
      <c r="L5396" s="9">
        <v>2024</v>
      </c>
      <c r="M5396" s="8" t="s">
        <v>31042</v>
      </c>
      <c r="N5396" s="8" t="s">
        <v>37</v>
      </c>
      <c r="O5396" s="8" t="s">
        <v>233</v>
      </c>
      <c r="P5396" s="6" t="s">
        <v>39</v>
      </c>
      <c r="Q5396" s="8" t="s">
        <v>40</v>
      </c>
      <c r="R5396" s="10" t="s">
        <v>31043</v>
      </c>
      <c r="S5396" s="11"/>
      <c r="T5396" s="6"/>
      <c r="U5396" s="15" t="str">
        <f>HYPERLINK("https://media.infra-m.ru/2135/2135415/cover/2135415.jpg", "Обложка")</f>
        <v>Обложка</v>
      </c>
      <c r="V5396" s="8" t="s">
        <v>10985</v>
      </c>
      <c r="W5396" s="6"/>
      <c r="X5396" s="6"/>
      <c r="Y5396" s="6"/>
      <c r="Z5396" s="6"/>
      <c r="AA5396" s="6" t="s">
        <v>76</v>
      </c>
      <c r="AB5396" s="8"/>
      <c r="AC5396" s="27">
        <v>9785160183039</v>
      </c>
    </row>
    <row r="5397" spans="1:29" s="4" customFormat="1" ht="51.9" customHeight="1" x14ac:dyDescent="0.2">
      <c r="A5397" s="5">
        <v>0</v>
      </c>
      <c r="B5397" s="6" t="s">
        <v>31044</v>
      </c>
      <c r="C5397" s="13">
        <v>494.4</v>
      </c>
      <c r="D5397" s="8" t="s">
        <v>31045</v>
      </c>
      <c r="E5397" s="8" t="s">
        <v>31046</v>
      </c>
      <c r="F5397" s="8" t="s">
        <v>31047</v>
      </c>
      <c r="G5397" s="6" t="s">
        <v>33</v>
      </c>
      <c r="H5397" s="6" t="s">
        <v>134</v>
      </c>
      <c r="I5397" s="8"/>
      <c r="J5397" s="9">
        <v>1</v>
      </c>
      <c r="K5397" s="9">
        <v>60</v>
      </c>
      <c r="L5397" s="9">
        <v>2025</v>
      </c>
      <c r="M5397" s="8" t="s">
        <v>31048</v>
      </c>
      <c r="N5397" s="8" t="s">
        <v>37</v>
      </c>
      <c r="O5397" s="8" t="s">
        <v>136</v>
      </c>
      <c r="P5397" s="6" t="s">
        <v>39</v>
      </c>
      <c r="Q5397" s="8" t="s">
        <v>183</v>
      </c>
      <c r="R5397" s="10" t="s">
        <v>1230</v>
      </c>
      <c r="S5397" s="11"/>
      <c r="T5397" s="6"/>
      <c r="U5397" s="15" t="str">
        <f>HYPERLINK("https://media.infra-m.ru/2211/2211779/cover/2211779.jpg", "Обложка")</f>
        <v>Обложка</v>
      </c>
      <c r="V5397" s="8" t="s">
        <v>1069</v>
      </c>
      <c r="W5397" s="6"/>
      <c r="X5397" s="6"/>
      <c r="Y5397" s="6"/>
      <c r="Z5397" s="6"/>
      <c r="AA5397" s="6" t="s">
        <v>68</v>
      </c>
      <c r="AB5397" s="8"/>
      <c r="AC5397" s="27">
        <v>9785001564362</v>
      </c>
    </row>
    <row r="5398" spans="1:29" s="4" customFormat="1" ht="42" customHeight="1" x14ac:dyDescent="0.2">
      <c r="A5398" s="5">
        <v>0</v>
      </c>
      <c r="B5398" s="6" t="s">
        <v>31049</v>
      </c>
      <c r="C5398" s="13">
        <v>857.9</v>
      </c>
      <c r="D5398" s="8" t="s">
        <v>31050</v>
      </c>
      <c r="E5398" s="8" t="s">
        <v>31051</v>
      </c>
      <c r="F5398" s="8" t="s">
        <v>31052</v>
      </c>
      <c r="G5398" s="6" t="s">
        <v>60</v>
      </c>
      <c r="H5398" s="6" t="s">
        <v>34</v>
      </c>
      <c r="I5398" s="8" t="s">
        <v>1081</v>
      </c>
      <c r="J5398" s="9">
        <v>1</v>
      </c>
      <c r="K5398" s="9">
        <v>159</v>
      </c>
      <c r="L5398" s="9">
        <v>2023</v>
      </c>
      <c r="M5398" s="8" t="s">
        <v>31053</v>
      </c>
      <c r="N5398" s="8" t="s">
        <v>585</v>
      </c>
      <c r="O5398" s="8" t="s">
        <v>775</v>
      </c>
      <c r="P5398" s="6" t="s">
        <v>39</v>
      </c>
      <c r="Q5398" s="8" t="s">
        <v>40</v>
      </c>
      <c r="R5398" s="10" t="s">
        <v>31054</v>
      </c>
      <c r="S5398" s="11"/>
      <c r="T5398" s="6"/>
      <c r="U5398" s="15" t="str">
        <f>HYPERLINK("https://media.infra-m.ru/2006/2006890/cover/2006890.jpg", "Обложка")</f>
        <v>Обложка</v>
      </c>
      <c r="V5398" s="8" t="s">
        <v>1083</v>
      </c>
      <c r="W5398" s="6"/>
      <c r="X5398" s="6"/>
      <c r="Y5398" s="6"/>
      <c r="Z5398" s="6"/>
      <c r="AA5398" s="6" t="s">
        <v>86</v>
      </c>
      <c r="AB5398" s="8"/>
      <c r="AC5398" s="27">
        <v>9785160133614</v>
      </c>
    </row>
    <row r="5399" spans="1:29" s="4" customFormat="1" ht="51.9" customHeight="1" x14ac:dyDescent="0.2">
      <c r="A5399" s="5">
        <v>0</v>
      </c>
      <c r="B5399" s="6" t="s">
        <v>31055</v>
      </c>
      <c r="C5399" s="7">
        <v>1336.8</v>
      </c>
      <c r="D5399" s="8" t="s">
        <v>31056</v>
      </c>
      <c r="E5399" s="8" t="s">
        <v>31057</v>
      </c>
      <c r="F5399" s="8" t="s">
        <v>31058</v>
      </c>
      <c r="G5399" s="6" t="s">
        <v>118</v>
      </c>
      <c r="H5399" s="6" t="s">
        <v>34</v>
      </c>
      <c r="I5399" s="8" t="s">
        <v>504</v>
      </c>
      <c r="J5399" s="9">
        <v>1</v>
      </c>
      <c r="K5399" s="9">
        <v>221</v>
      </c>
      <c r="L5399" s="9">
        <v>2025</v>
      </c>
      <c r="M5399" s="8" t="s">
        <v>31059</v>
      </c>
      <c r="N5399" s="8" t="s">
        <v>585</v>
      </c>
      <c r="O5399" s="8" t="s">
        <v>775</v>
      </c>
      <c r="P5399" s="6" t="s">
        <v>306</v>
      </c>
      <c r="Q5399" s="8" t="s">
        <v>500</v>
      </c>
      <c r="R5399" s="10" t="s">
        <v>7602</v>
      </c>
      <c r="S5399" s="11" t="s">
        <v>31060</v>
      </c>
      <c r="T5399" s="6"/>
      <c r="U5399" s="15" t="str">
        <f>HYPERLINK("https://media.infra-m.ru/2164/2164006/cover/2164006.jpg", "Обложка")</f>
        <v>Обложка</v>
      </c>
      <c r="V5399" s="8" t="s">
        <v>7429</v>
      </c>
      <c r="W5399" s="6"/>
      <c r="X5399" s="6"/>
      <c r="Y5399" s="6"/>
      <c r="Z5399" s="6"/>
      <c r="AA5399" s="6" t="s">
        <v>43</v>
      </c>
      <c r="AB5399" s="8"/>
      <c r="AC5399" s="27">
        <v>9785160116303</v>
      </c>
    </row>
    <row r="5400" spans="1:29" s="4" customFormat="1" ht="51.9" customHeight="1" x14ac:dyDescent="0.2">
      <c r="A5400" s="5">
        <v>0</v>
      </c>
      <c r="B5400" s="6" t="s">
        <v>31061</v>
      </c>
      <c r="C5400" s="13">
        <v>960</v>
      </c>
      <c r="D5400" s="8" t="s">
        <v>31062</v>
      </c>
      <c r="E5400" s="8" t="s">
        <v>31063</v>
      </c>
      <c r="F5400" s="8" t="s">
        <v>31064</v>
      </c>
      <c r="G5400" s="6" t="s">
        <v>118</v>
      </c>
      <c r="H5400" s="6" t="s">
        <v>34</v>
      </c>
      <c r="I5400" s="8" t="s">
        <v>271</v>
      </c>
      <c r="J5400" s="9">
        <v>1</v>
      </c>
      <c r="K5400" s="9">
        <v>163</v>
      </c>
      <c r="L5400" s="9">
        <v>2023</v>
      </c>
      <c r="M5400" s="8" t="s">
        <v>31065</v>
      </c>
      <c r="N5400" s="8" t="s">
        <v>243</v>
      </c>
      <c r="O5400" s="8" t="s">
        <v>758</v>
      </c>
      <c r="P5400" s="6" t="s">
        <v>51</v>
      </c>
      <c r="Q5400" s="8" t="s">
        <v>52</v>
      </c>
      <c r="R5400" s="10" t="s">
        <v>8235</v>
      </c>
      <c r="S5400" s="11" t="s">
        <v>31066</v>
      </c>
      <c r="T5400" s="6"/>
      <c r="U5400" s="15" t="str">
        <f>HYPERLINK("https://media.infra-m.ru/1911/1911144/cover/1911144.jpg", "Обложка")</f>
        <v>Обложка</v>
      </c>
      <c r="V5400" s="8" t="s">
        <v>4473</v>
      </c>
      <c r="W5400" s="6"/>
      <c r="X5400" s="6"/>
      <c r="Y5400" s="6"/>
      <c r="Z5400" s="6"/>
      <c r="AA5400" s="6" t="s">
        <v>1256</v>
      </c>
      <c r="AB5400" s="8"/>
      <c r="AC5400" s="27">
        <v>9785160158150</v>
      </c>
    </row>
    <row r="5401" spans="1:29" s="4" customFormat="1" ht="51.9" customHeight="1" x14ac:dyDescent="0.2">
      <c r="A5401" s="5">
        <v>0</v>
      </c>
      <c r="B5401" s="6" t="s">
        <v>31067</v>
      </c>
      <c r="C5401" s="13">
        <v>984</v>
      </c>
      <c r="D5401" s="8" t="s">
        <v>31068</v>
      </c>
      <c r="E5401" s="8" t="s">
        <v>31063</v>
      </c>
      <c r="F5401" s="8" t="s">
        <v>31064</v>
      </c>
      <c r="G5401" s="6" t="s">
        <v>118</v>
      </c>
      <c r="H5401" s="6" t="s">
        <v>34</v>
      </c>
      <c r="I5401" s="8" t="s">
        <v>263</v>
      </c>
      <c r="J5401" s="9">
        <v>1</v>
      </c>
      <c r="K5401" s="9">
        <v>163</v>
      </c>
      <c r="L5401" s="9">
        <v>2025</v>
      </c>
      <c r="M5401" s="8" t="s">
        <v>31069</v>
      </c>
      <c r="N5401" s="8" t="s">
        <v>243</v>
      </c>
      <c r="O5401" s="8" t="s">
        <v>758</v>
      </c>
      <c r="P5401" s="6" t="s">
        <v>51</v>
      </c>
      <c r="Q5401" s="8" t="s">
        <v>265</v>
      </c>
      <c r="R5401" s="10" t="s">
        <v>31070</v>
      </c>
      <c r="S5401" s="11" t="s">
        <v>31071</v>
      </c>
      <c r="T5401" s="6"/>
      <c r="U5401" s="15" t="str">
        <f>HYPERLINK("https://media.infra-m.ru/2163/2163207/cover/2163207.jpg", "Обложка")</f>
        <v>Обложка</v>
      </c>
      <c r="V5401" s="8" t="s">
        <v>4473</v>
      </c>
      <c r="W5401" s="6"/>
      <c r="X5401" s="6"/>
      <c r="Y5401" s="6"/>
      <c r="Z5401" s="6" t="s">
        <v>267</v>
      </c>
      <c r="AA5401" s="6" t="s">
        <v>430</v>
      </c>
      <c r="AB5401" s="8"/>
      <c r="AC5401" s="27">
        <v>9785160161976</v>
      </c>
    </row>
    <row r="5402" spans="1:29" s="4" customFormat="1" ht="51.9" customHeight="1" x14ac:dyDescent="0.2">
      <c r="A5402" s="5">
        <v>0</v>
      </c>
      <c r="B5402" s="6" t="s">
        <v>31072</v>
      </c>
      <c r="C5402" s="7">
        <v>1984.8</v>
      </c>
      <c r="D5402" s="8" t="s">
        <v>31073</v>
      </c>
      <c r="E5402" s="8" t="s">
        <v>31074</v>
      </c>
      <c r="F5402" s="8" t="s">
        <v>31075</v>
      </c>
      <c r="G5402" s="6" t="s">
        <v>118</v>
      </c>
      <c r="H5402" s="6" t="s">
        <v>34</v>
      </c>
      <c r="I5402" s="8" t="s">
        <v>263</v>
      </c>
      <c r="J5402" s="9">
        <v>1</v>
      </c>
      <c r="K5402" s="9">
        <v>318</v>
      </c>
      <c r="L5402" s="9">
        <v>2026</v>
      </c>
      <c r="M5402" s="8" t="s">
        <v>31076</v>
      </c>
      <c r="N5402" s="8" t="s">
        <v>243</v>
      </c>
      <c r="O5402" s="8" t="s">
        <v>758</v>
      </c>
      <c r="P5402" s="6" t="s">
        <v>306</v>
      </c>
      <c r="Q5402" s="8" t="s">
        <v>265</v>
      </c>
      <c r="R5402" s="10" t="s">
        <v>31077</v>
      </c>
      <c r="S5402" s="11" t="s">
        <v>31078</v>
      </c>
      <c r="T5402" s="6" t="s">
        <v>97</v>
      </c>
      <c r="U5402" s="15" t="str">
        <f>HYPERLINK("https://media.infra-m.ru/2214/2214858/cover/2214858.jpg", "Обложка")</f>
        <v>Обложка</v>
      </c>
      <c r="V5402" s="8" t="s">
        <v>31079</v>
      </c>
      <c r="W5402" s="6"/>
      <c r="X5402" s="6"/>
      <c r="Y5402" s="6"/>
      <c r="Z5402" s="6" t="s">
        <v>267</v>
      </c>
      <c r="AA5402" s="6" t="s">
        <v>148</v>
      </c>
      <c r="AB5402" s="8"/>
      <c r="AC5402" s="27">
        <v>9785160171791</v>
      </c>
    </row>
    <row r="5403" spans="1:29" s="4" customFormat="1" ht="51.9" customHeight="1" x14ac:dyDescent="0.2">
      <c r="A5403" s="5">
        <v>0</v>
      </c>
      <c r="B5403" s="6" t="s">
        <v>31080</v>
      </c>
      <c r="C5403" s="7">
        <v>2212.8000000000002</v>
      </c>
      <c r="D5403" s="8" t="s">
        <v>31081</v>
      </c>
      <c r="E5403" s="8" t="s">
        <v>31074</v>
      </c>
      <c r="F5403" s="8" t="s">
        <v>31082</v>
      </c>
      <c r="G5403" s="6" t="s">
        <v>60</v>
      </c>
      <c r="H5403" s="6" t="s">
        <v>34</v>
      </c>
      <c r="I5403" s="8" t="s">
        <v>271</v>
      </c>
      <c r="J5403" s="9">
        <v>1</v>
      </c>
      <c r="K5403" s="9">
        <v>318</v>
      </c>
      <c r="L5403" s="9">
        <v>2026</v>
      </c>
      <c r="M5403" s="8" t="s">
        <v>31083</v>
      </c>
      <c r="N5403" s="8" t="s">
        <v>243</v>
      </c>
      <c r="O5403" s="8" t="s">
        <v>758</v>
      </c>
      <c r="P5403" s="6" t="s">
        <v>306</v>
      </c>
      <c r="Q5403" s="8" t="s">
        <v>52</v>
      </c>
      <c r="R5403" s="10" t="s">
        <v>31084</v>
      </c>
      <c r="S5403" s="11" t="s">
        <v>31085</v>
      </c>
      <c r="T5403" s="6"/>
      <c r="U5403" s="15" t="str">
        <f>HYPERLINK("https://media.infra-m.ru/2251/2251091/cover/2251091.jpg", "Обложка")</f>
        <v>Обложка</v>
      </c>
      <c r="V5403" s="8" t="s">
        <v>31079</v>
      </c>
      <c r="W5403" s="6"/>
      <c r="X5403" s="6"/>
      <c r="Y5403" s="6"/>
      <c r="Z5403" s="6"/>
      <c r="AA5403" s="6" t="s">
        <v>248</v>
      </c>
      <c r="AB5403" s="8"/>
      <c r="AC5403" s="27">
        <v>9785160053097</v>
      </c>
    </row>
    <row r="5404" spans="1:29" s="4" customFormat="1" ht="51.9" customHeight="1" x14ac:dyDescent="0.2">
      <c r="A5404" s="5">
        <v>0</v>
      </c>
      <c r="B5404" s="6" t="s">
        <v>31086</v>
      </c>
      <c r="C5404" s="7">
        <v>1792.8</v>
      </c>
      <c r="D5404" s="8" t="s">
        <v>31087</v>
      </c>
      <c r="E5404" s="8" t="s">
        <v>31088</v>
      </c>
      <c r="F5404" s="8" t="s">
        <v>31089</v>
      </c>
      <c r="G5404" s="6" t="s">
        <v>118</v>
      </c>
      <c r="H5404" s="6" t="s">
        <v>34</v>
      </c>
      <c r="I5404" s="8" t="s">
        <v>504</v>
      </c>
      <c r="J5404" s="9">
        <v>1</v>
      </c>
      <c r="K5404" s="9">
        <v>257</v>
      </c>
      <c r="L5404" s="9">
        <v>2026</v>
      </c>
      <c r="M5404" s="8" t="s">
        <v>31090</v>
      </c>
      <c r="N5404" s="8" t="s">
        <v>243</v>
      </c>
      <c r="O5404" s="8" t="s">
        <v>758</v>
      </c>
      <c r="P5404" s="6" t="s">
        <v>306</v>
      </c>
      <c r="Q5404" s="8" t="s">
        <v>500</v>
      </c>
      <c r="R5404" s="10" t="s">
        <v>31091</v>
      </c>
      <c r="S5404" s="11" t="s">
        <v>31092</v>
      </c>
      <c r="T5404" s="6"/>
      <c r="U5404" s="15" t="str">
        <f>HYPERLINK("https://media.infra-m.ru/2255/2255285/cover/2255285.jpg", "Обложка")</f>
        <v>Обложка</v>
      </c>
      <c r="V5404" s="8" t="s">
        <v>1527</v>
      </c>
      <c r="W5404" s="6"/>
      <c r="X5404" s="6"/>
      <c r="Y5404" s="6"/>
      <c r="Z5404" s="6"/>
      <c r="AA5404" s="6" t="s">
        <v>99</v>
      </c>
      <c r="AB5404" s="8"/>
      <c r="AC5404" s="27">
        <v>9785160124131</v>
      </c>
    </row>
    <row r="5405" spans="1:29" s="4" customFormat="1" ht="51.9" customHeight="1" x14ac:dyDescent="0.2">
      <c r="A5405" s="5">
        <v>0</v>
      </c>
      <c r="B5405" s="6" t="s">
        <v>31093</v>
      </c>
      <c r="C5405" s="7">
        <v>1348.8</v>
      </c>
      <c r="D5405" s="8" t="s">
        <v>31094</v>
      </c>
      <c r="E5405" s="8" t="s">
        <v>31095</v>
      </c>
      <c r="F5405" s="8" t="s">
        <v>31096</v>
      </c>
      <c r="G5405" s="6" t="s">
        <v>60</v>
      </c>
      <c r="H5405" s="6" t="s">
        <v>34</v>
      </c>
      <c r="I5405" s="8" t="s">
        <v>35</v>
      </c>
      <c r="J5405" s="9">
        <v>1</v>
      </c>
      <c r="K5405" s="9">
        <v>204</v>
      </c>
      <c r="L5405" s="9">
        <v>2026</v>
      </c>
      <c r="M5405" s="8" t="s">
        <v>31097</v>
      </c>
      <c r="N5405" s="8" t="s">
        <v>243</v>
      </c>
      <c r="O5405" s="8" t="s">
        <v>758</v>
      </c>
      <c r="P5405" s="6" t="s">
        <v>39</v>
      </c>
      <c r="Q5405" s="8" t="s">
        <v>40</v>
      </c>
      <c r="R5405" s="10" t="s">
        <v>31098</v>
      </c>
      <c r="S5405" s="11"/>
      <c r="T5405" s="6"/>
      <c r="U5405" s="15" t="str">
        <f>HYPERLINK("https://media.infra-m.ru/2230/2230913/cover/2230913.jpg", "Обложка")</f>
        <v>Обложка</v>
      </c>
      <c r="V5405" s="8" t="s">
        <v>4754</v>
      </c>
      <c r="W5405" s="6"/>
      <c r="X5405" s="6"/>
      <c r="Y5405" s="6"/>
      <c r="Z5405" s="6"/>
      <c r="AA5405" s="6" t="s">
        <v>99</v>
      </c>
      <c r="AB5405" s="8"/>
      <c r="AC5405" s="27">
        <v>9785160128535</v>
      </c>
    </row>
    <row r="5406" spans="1:29" s="4" customFormat="1" ht="51.9" customHeight="1" x14ac:dyDescent="0.2">
      <c r="A5406" s="5">
        <v>0</v>
      </c>
      <c r="B5406" s="6" t="s">
        <v>31099</v>
      </c>
      <c r="C5406" s="13">
        <v>888</v>
      </c>
      <c r="D5406" s="8" t="s">
        <v>31100</v>
      </c>
      <c r="E5406" s="8" t="s">
        <v>31101</v>
      </c>
      <c r="F5406" s="8" t="s">
        <v>31102</v>
      </c>
      <c r="G5406" s="6" t="s">
        <v>33</v>
      </c>
      <c r="H5406" s="6" t="s">
        <v>34</v>
      </c>
      <c r="I5406" s="8" t="s">
        <v>253</v>
      </c>
      <c r="J5406" s="9">
        <v>1</v>
      </c>
      <c r="K5406" s="9">
        <v>143</v>
      </c>
      <c r="L5406" s="9">
        <v>2025</v>
      </c>
      <c r="M5406" s="8" t="s">
        <v>31103</v>
      </c>
      <c r="N5406" s="8" t="s">
        <v>243</v>
      </c>
      <c r="O5406" s="8" t="s">
        <v>758</v>
      </c>
      <c r="P5406" s="6" t="s">
        <v>306</v>
      </c>
      <c r="Q5406" s="8" t="s">
        <v>65</v>
      </c>
      <c r="R5406" s="10" t="s">
        <v>31104</v>
      </c>
      <c r="S5406" s="11" t="s">
        <v>31105</v>
      </c>
      <c r="T5406" s="6" t="s">
        <v>97</v>
      </c>
      <c r="U5406" s="15" t="str">
        <f>HYPERLINK("https://media.infra-m.ru/2083/2083881/cover/2083881.jpg", "Обложка")</f>
        <v>Обложка</v>
      </c>
      <c r="V5406" s="8" t="s">
        <v>4322</v>
      </c>
      <c r="W5406" s="6"/>
      <c r="X5406" s="6"/>
      <c r="Y5406" s="6"/>
      <c r="Z5406" s="6"/>
      <c r="AA5406" s="6" t="s">
        <v>99</v>
      </c>
      <c r="AB5406" s="8"/>
      <c r="AC5406" s="27">
        <v>9785160186375</v>
      </c>
    </row>
    <row r="5407" spans="1:29" s="4" customFormat="1" ht="51.9" customHeight="1" x14ac:dyDescent="0.2">
      <c r="A5407" s="5">
        <v>0</v>
      </c>
      <c r="B5407" s="6" t="s">
        <v>31106</v>
      </c>
      <c r="C5407" s="7">
        <v>1920</v>
      </c>
      <c r="D5407" s="8" t="s">
        <v>31107</v>
      </c>
      <c r="E5407" s="8" t="s">
        <v>31108</v>
      </c>
      <c r="F5407" s="8" t="s">
        <v>31109</v>
      </c>
      <c r="G5407" s="6" t="s">
        <v>118</v>
      </c>
      <c r="H5407" s="6" t="s">
        <v>34</v>
      </c>
      <c r="I5407" s="8" t="s">
        <v>253</v>
      </c>
      <c r="J5407" s="9">
        <v>1</v>
      </c>
      <c r="K5407" s="9">
        <v>290</v>
      </c>
      <c r="L5407" s="9">
        <v>2026</v>
      </c>
      <c r="M5407" s="8" t="s">
        <v>31110</v>
      </c>
      <c r="N5407" s="8" t="s">
        <v>224</v>
      </c>
      <c r="O5407" s="8" t="s">
        <v>225</v>
      </c>
      <c r="P5407" s="6" t="s">
        <v>306</v>
      </c>
      <c r="Q5407" s="8" t="s">
        <v>52</v>
      </c>
      <c r="R5407" s="10" t="s">
        <v>31111</v>
      </c>
      <c r="S5407" s="11" t="s">
        <v>31112</v>
      </c>
      <c r="T5407" s="6"/>
      <c r="U5407" s="15" t="str">
        <f>HYPERLINK("https://media.infra-m.ru/2218/2218831/cover/2218831.jpg", "Обложка")</f>
        <v>Обложка</v>
      </c>
      <c r="V5407" s="8" t="s">
        <v>9494</v>
      </c>
      <c r="W5407" s="6"/>
      <c r="X5407" s="6"/>
      <c r="Y5407" s="6"/>
      <c r="Z5407" s="6"/>
      <c r="AA5407" s="6" t="s">
        <v>779</v>
      </c>
      <c r="AB5407" s="8"/>
      <c r="AC5407" s="27">
        <v>9785160186870</v>
      </c>
    </row>
    <row r="5408" spans="1:29" s="4" customFormat="1" ht="51.9" customHeight="1" x14ac:dyDescent="0.2">
      <c r="A5408" s="5">
        <v>0</v>
      </c>
      <c r="B5408" s="6" t="s">
        <v>31113</v>
      </c>
      <c r="C5408" s="7">
        <v>1656</v>
      </c>
      <c r="D5408" s="8" t="s">
        <v>31114</v>
      </c>
      <c r="E5408" s="8" t="s">
        <v>31108</v>
      </c>
      <c r="F5408" s="8" t="s">
        <v>31109</v>
      </c>
      <c r="G5408" s="6" t="s">
        <v>118</v>
      </c>
      <c r="H5408" s="6" t="s">
        <v>34</v>
      </c>
      <c r="I5408" s="8" t="s">
        <v>263</v>
      </c>
      <c r="J5408" s="9">
        <v>1</v>
      </c>
      <c r="K5408" s="9">
        <v>290</v>
      </c>
      <c r="L5408" s="9">
        <v>2024</v>
      </c>
      <c r="M5408" s="8" t="s">
        <v>31115</v>
      </c>
      <c r="N5408" s="8" t="s">
        <v>224</v>
      </c>
      <c r="O5408" s="8" t="s">
        <v>225</v>
      </c>
      <c r="P5408" s="6" t="s">
        <v>306</v>
      </c>
      <c r="Q5408" s="8" t="s">
        <v>265</v>
      </c>
      <c r="R5408" s="10" t="s">
        <v>31116</v>
      </c>
      <c r="S5408" s="11" t="s">
        <v>31112</v>
      </c>
      <c r="T5408" s="6"/>
      <c r="U5408" s="15" t="str">
        <f>HYPERLINK("https://media.infra-m.ru/2151/2151176/cover/2151176.jpg", "Обложка")</f>
        <v>Обложка</v>
      </c>
      <c r="V5408" s="8" t="s">
        <v>9494</v>
      </c>
      <c r="W5408" s="6"/>
      <c r="X5408" s="6"/>
      <c r="Y5408" s="6"/>
      <c r="Z5408" s="6" t="s">
        <v>267</v>
      </c>
      <c r="AA5408" s="6" t="s">
        <v>76</v>
      </c>
      <c r="AB5408" s="8"/>
      <c r="AC5408" s="27">
        <v>9785160200125</v>
      </c>
    </row>
    <row r="5409" spans="1:29" s="4" customFormat="1" ht="51.9" customHeight="1" x14ac:dyDescent="0.2">
      <c r="A5409" s="5">
        <v>0</v>
      </c>
      <c r="B5409" s="6" t="s">
        <v>31117</v>
      </c>
      <c r="C5409" s="7">
        <v>4176</v>
      </c>
      <c r="D5409" s="8" t="s">
        <v>31118</v>
      </c>
      <c r="E5409" s="8" t="s">
        <v>31119</v>
      </c>
      <c r="F5409" s="8" t="s">
        <v>31120</v>
      </c>
      <c r="G5409" s="6" t="s">
        <v>60</v>
      </c>
      <c r="H5409" s="6" t="s">
        <v>34</v>
      </c>
      <c r="I5409" s="8" t="s">
        <v>253</v>
      </c>
      <c r="J5409" s="9">
        <v>1</v>
      </c>
      <c r="K5409" s="9">
        <v>601</v>
      </c>
      <c r="L5409" s="9">
        <v>2027</v>
      </c>
      <c r="M5409" s="8" t="s">
        <v>31121</v>
      </c>
      <c r="N5409" s="8" t="s">
        <v>243</v>
      </c>
      <c r="O5409" s="8" t="s">
        <v>758</v>
      </c>
      <c r="P5409" s="6" t="s">
        <v>51</v>
      </c>
      <c r="Q5409" s="8" t="s">
        <v>52</v>
      </c>
      <c r="R5409" s="10" t="s">
        <v>31122</v>
      </c>
      <c r="S5409" s="11" t="s">
        <v>31123</v>
      </c>
      <c r="T5409" s="6"/>
      <c r="U5409" s="15" t="str">
        <f>HYPERLINK("https://media.infra-m.ru/2263/2263065/cover/2263065.jpg", "Обложка")</f>
        <v>Обложка</v>
      </c>
      <c r="V5409" s="8" t="s">
        <v>4473</v>
      </c>
      <c r="W5409" s="6"/>
      <c r="X5409" s="6"/>
      <c r="Y5409" s="6"/>
      <c r="Z5409" s="6"/>
      <c r="AA5409" s="6" t="s">
        <v>2240</v>
      </c>
      <c r="AB5409" s="8"/>
      <c r="AC5409" s="27">
        <v>9785160223575</v>
      </c>
    </row>
    <row r="5410" spans="1:29" s="4" customFormat="1" ht="51.9" customHeight="1" x14ac:dyDescent="0.2">
      <c r="A5410" s="5">
        <v>0</v>
      </c>
      <c r="B5410" s="6" t="s">
        <v>31124</v>
      </c>
      <c r="C5410" s="7">
        <v>1396.8</v>
      </c>
      <c r="D5410" s="8" t="s">
        <v>31125</v>
      </c>
      <c r="E5410" s="8" t="s">
        <v>31126</v>
      </c>
      <c r="F5410" s="8" t="s">
        <v>31127</v>
      </c>
      <c r="G5410" s="6" t="s">
        <v>60</v>
      </c>
      <c r="H5410" s="6" t="s">
        <v>1042</v>
      </c>
      <c r="I5410" s="8" t="s">
        <v>253</v>
      </c>
      <c r="J5410" s="9">
        <v>1</v>
      </c>
      <c r="K5410" s="9">
        <v>200</v>
      </c>
      <c r="L5410" s="9">
        <v>2027</v>
      </c>
      <c r="M5410" s="8" t="s">
        <v>31128</v>
      </c>
      <c r="N5410" s="8" t="s">
        <v>243</v>
      </c>
      <c r="O5410" s="8" t="s">
        <v>244</v>
      </c>
      <c r="P5410" s="6" t="s">
        <v>51</v>
      </c>
      <c r="Q5410" s="8" t="s">
        <v>500</v>
      </c>
      <c r="R5410" s="10" t="s">
        <v>31129</v>
      </c>
      <c r="S5410" s="11" t="s">
        <v>31130</v>
      </c>
      <c r="T5410" s="6"/>
      <c r="U5410" s="15" t="str">
        <f>HYPERLINK("https://media.infra-m.ru/2264/2264645/cover/2264645.jpg", "Обложка")</f>
        <v>Обложка</v>
      </c>
      <c r="V5410" s="8" t="s">
        <v>4943</v>
      </c>
      <c r="W5410" s="6"/>
      <c r="X5410" s="6"/>
      <c r="Y5410" s="6"/>
      <c r="Z5410" s="6"/>
      <c r="AA5410" s="6" t="s">
        <v>99</v>
      </c>
      <c r="AB5410" s="8"/>
      <c r="AC5410" s="27">
        <v>9785819906552</v>
      </c>
    </row>
    <row r="5411" spans="1:29" s="4" customFormat="1" ht="51.9" customHeight="1" x14ac:dyDescent="0.2">
      <c r="A5411" s="5">
        <v>0</v>
      </c>
      <c r="B5411" s="6" t="s">
        <v>31131</v>
      </c>
      <c r="C5411" s="7">
        <v>1324.8</v>
      </c>
      <c r="D5411" s="8" t="s">
        <v>31132</v>
      </c>
      <c r="E5411" s="8" t="s">
        <v>31133</v>
      </c>
      <c r="F5411" s="8" t="s">
        <v>31134</v>
      </c>
      <c r="G5411" s="6" t="s">
        <v>60</v>
      </c>
      <c r="H5411" s="6" t="s">
        <v>34</v>
      </c>
      <c r="I5411" s="8" t="s">
        <v>271</v>
      </c>
      <c r="J5411" s="9">
        <v>1</v>
      </c>
      <c r="K5411" s="9">
        <v>240</v>
      </c>
      <c r="L5411" s="9">
        <v>2024</v>
      </c>
      <c r="M5411" s="8" t="s">
        <v>31135</v>
      </c>
      <c r="N5411" s="8" t="s">
        <v>37</v>
      </c>
      <c r="O5411" s="8" t="s">
        <v>233</v>
      </c>
      <c r="P5411" s="6" t="s">
        <v>51</v>
      </c>
      <c r="Q5411" s="8" t="s">
        <v>52</v>
      </c>
      <c r="R5411" s="10" t="s">
        <v>31136</v>
      </c>
      <c r="S5411" s="11"/>
      <c r="T5411" s="6"/>
      <c r="U5411" s="15" t="str">
        <f>HYPERLINK("https://media.infra-m.ru/2126/2126310/cover/2126310.jpg", "Обложка")</f>
        <v>Обложка</v>
      </c>
      <c r="V5411" s="8" t="s">
        <v>7509</v>
      </c>
      <c r="W5411" s="6"/>
      <c r="X5411" s="6"/>
      <c r="Y5411" s="6"/>
      <c r="Z5411" s="6"/>
      <c r="AA5411" s="6" t="s">
        <v>718</v>
      </c>
      <c r="AB5411" s="8"/>
      <c r="AC5411" s="27">
        <v>9785160062099</v>
      </c>
    </row>
    <row r="5412" spans="1:29" s="4" customFormat="1" ht="51.9" customHeight="1" x14ac:dyDescent="0.2">
      <c r="A5412" s="5">
        <v>0</v>
      </c>
      <c r="B5412" s="6" t="s">
        <v>31137</v>
      </c>
      <c r="C5412" s="7">
        <v>1536</v>
      </c>
      <c r="D5412" s="8" t="s">
        <v>31138</v>
      </c>
      <c r="E5412" s="8" t="s">
        <v>31133</v>
      </c>
      <c r="F5412" s="8" t="s">
        <v>31139</v>
      </c>
      <c r="G5412" s="6" t="s">
        <v>118</v>
      </c>
      <c r="H5412" s="6" t="s">
        <v>34</v>
      </c>
      <c r="I5412" s="8" t="s">
        <v>263</v>
      </c>
      <c r="J5412" s="9">
        <v>1</v>
      </c>
      <c r="K5412" s="9">
        <v>240</v>
      </c>
      <c r="L5412" s="9">
        <v>2025</v>
      </c>
      <c r="M5412" s="8" t="s">
        <v>31140</v>
      </c>
      <c r="N5412" s="8" t="s">
        <v>37</v>
      </c>
      <c r="O5412" s="8" t="s">
        <v>233</v>
      </c>
      <c r="P5412" s="6" t="s">
        <v>51</v>
      </c>
      <c r="Q5412" s="8" t="s">
        <v>265</v>
      </c>
      <c r="R5412" s="10" t="s">
        <v>31141</v>
      </c>
      <c r="S5412" s="11" t="s">
        <v>31142</v>
      </c>
      <c r="T5412" s="6"/>
      <c r="U5412" s="15" t="str">
        <f>HYPERLINK("https://media.infra-m.ru/2209/2209133/cover/2209133.jpg", "Обложка")</f>
        <v>Обложка</v>
      </c>
      <c r="V5412" s="8" t="s">
        <v>7509</v>
      </c>
      <c r="W5412" s="6"/>
      <c r="X5412" s="6"/>
      <c r="Y5412" s="6"/>
      <c r="Z5412" s="6" t="s">
        <v>267</v>
      </c>
      <c r="AA5412" s="6" t="s">
        <v>218</v>
      </c>
      <c r="AB5412" s="8"/>
      <c r="AC5412" s="27">
        <v>9785160161938</v>
      </c>
    </row>
    <row r="5413" spans="1:29" s="4" customFormat="1" ht="51.9" customHeight="1" x14ac:dyDescent="0.2">
      <c r="A5413" s="5">
        <v>0</v>
      </c>
      <c r="B5413" s="6" t="s">
        <v>31143</v>
      </c>
      <c r="C5413" s="7">
        <v>1236</v>
      </c>
      <c r="D5413" s="8" t="s">
        <v>31144</v>
      </c>
      <c r="E5413" s="8" t="s">
        <v>31145</v>
      </c>
      <c r="F5413" s="8" t="s">
        <v>21037</v>
      </c>
      <c r="G5413" s="6" t="s">
        <v>118</v>
      </c>
      <c r="H5413" s="6" t="s">
        <v>34</v>
      </c>
      <c r="I5413" s="8" t="s">
        <v>253</v>
      </c>
      <c r="J5413" s="9">
        <v>1</v>
      </c>
      <c r="K5413" s="9">
        <v>224</v>
      </c>
      <c r="L5413" s="9">
        <v>2024</v>
      </c>
      <c r="M5413" s="8" t="s">
        <v>31146</v>
      </c>
      <c r="N5413" s="8" t="s">
        <v>243</v>
      </c>
      <c r="O5413" s="8" t="s">
        <v>758</v>
      </c>
      <c r="P5413" s="6" t="s">
        <v>51</v>
      </c>
      <c r="Q5413" s="8" t="s">
        <v>52</v>
      </c>
      <c r="R5413" s="10" t="s">
        <v>31147</v>
      </c>
      <c r="S5413" s="11" t="s">
        <v>31148</v>
      </c>
      <c r="T5413" s="6" t="s">
        <v>97</v>
      </c>
      <c r="U5413" s="15" t="str">
        <f>HYPERLINK("https://media.infra-m.ru/1020/1020701/cover/1020701.jpg", "Обложка")</f>
        <v>Обложка</v>
      </c>
      <c r="V5413" s="8" t="s">
        <v>1157</v>
      </c>
      <c r="W5413" s="6"/>
      <c r="X5413" s="6"/>
      <c r="Y5413" s="6"/>
      <c r="Z5413" s="6"/>
      <c r="AA5413" s="6" t="s">
        <v>99</v>
      </c>
      <c r="AB5413" s="8"/>
      <c r="AC5413" s="27">
        <v>9785160194219</v>
      </c>
    </row>
    <row r="5414" spans="1:29" s="4" customFormat="1" ht="51.9" customHeight="1" x14ac:dyDescent="0.2">
      <c r="A5414" s="5">
        <v>0</v>
      </c>
      <c r="B5414" s="6" t="s">
        <v>31149</v>
      </c>
      <c r="C5414" s="7">
        <v>2508</v>
      </c>
      <c r="D5414" s="8" t="s">
        <v>31150</v>
      </c>
      <c r="E5414" s="8" t="s">
        <v>31151</v>
      </c>
      <c r="F5414" s="8" t="s">
        <v>31152</v>
      </c>
      <c r="G5414" s="6" t="s">
        <v>60</v>
      </c>
      <c r="H5414" s="6" t="s">
        <v>34</v>
      </c>
      <c r="I5414" s="8" t="s">
        <v>253</v>
      </c>
      <c r="J5414" s="9">
        <v>1</v>
      </c>
      <c r="K5414" s="9">
        <v>375</v>
      </c>
      <c r="L5414" s="9">
        <v>2026</v>
      </c>
      <c r="M5414" s="8" t="s">
        <v>31153</v>
      </c>
      <c r="N5414" s="8" t="s">
        <v>585</v>
      </c>
      <c r="O5414" s="8" t="s">
        <v>775</v>
      </c>
      <c r="P5414" s="6" t="s">
        <v>51</v>
      </c>
      <c r="Q5414" s="8" t="s">
        <v>52</v>
      </c>
      <c r="R5414" s="10" t="s">
        <v>31154</v>
      </c>
      <c r="S5414" s="11"/>
      <c r="T5414" s="6" t="s">
        <v>97</v>
      </c>
      <c r="U5414" s="15" t="str">
        <f>HYPERLINK("https://media.infra-m.ru/2192/2192599/cover/2192599.jpg", "Обложка")</f>
        <v>Обложка</v>
      </c>
      <c r="V5414" s="8" t="s">
        <v>4754</v>
      </c>
      <c r="W5414" s="6" t="s">
        <v>342</v>
      </c>
      <c r="X5414" s="6" t="s">
        <v>24</v>
      </c>
      <c r="Y5414" s="6"/>
      <c r="Z5414" s="6"/>
      <c r="AA5414" s="6" t="s">
        <v>650</v>
      </c>
      <c r="AB5414" s="8"/>
      <c r="AC5414" s="27">
        <v>9785160207643</v>
      </c>
    </row>
    <row r="5415" spans="1:29" s="4" customFormat="1" ht="51.9" customHeight="1" x14ac:dyDescent="0.2">
      <c r="A5415" s="5">
        <v>0</v>
      </c>
      <c r="B5415" s="6" t="s">
        <v>31155</v>
      </c>
      <c r="C5415" s="7">
        <v>2208</v>
      </c>
      <c r="D5415" s="8" t="s">
        <v>31156</v>
      </c>
      <c r="E5415" s="8" t="s">
        <v>31157</v>
      </c>
      <c r="F5415" s="8" t="s">
        <v>31152</v>
      </c>
      <c r="G5415" s="6" t="s">
        <v>118</v>
      </c>
      <c r="H5415" s="6" t="s">
        <v>34</v>
      </c>
      <c r="I5415" s="8" t="s">
        <v>253</v>
      </c>
      <c r="J5415" s="9">
        <v>1</v>
      </c>
      <c r="K5415" s="9">
        <v>400</v>
      </c>
      <c r="L5415" s="9">
        <v>2024</v>
      </c>
      <c r="M5415" s="8" t="s">
        <v>31158</v>
      </c>
      <c r="N5415" s="8" t="s">
        <v>37</v>
      </c>
      <c r="O5415" s="8" t="s">
        <v>233</v>
      </c>
      <c r="P5415" s="6" t="s">
        <v>51</v>
      </c>
      <c r="Q5415" s="8" t="s">
        <v>52</v>
      </c>
      <c r="R5415" s="10" t="s">
        <v>31154</v>
      </c>
      <c r="S5415" s="11" t="s">
        <v>31159</v>
      </c>
      <c r="T5415" s="6" t="s">
        <v>97</v>
      </c>
      <c r="U5415" s="15" t="str">
        <f>HYPERLINK("https://media.infra-m.ru/2023/2023114/cover/2023114.jpg", "Обложка")</f>
        <v>Обложка</v>
      </c>
      <c r="V5415" s="8" t="s">
        <v>4754</v>
      </c>
      <c r="W5415" s="6"/>
      <c r="X5415" s="6" t="s">
        <v>24</v>
      </c>
      <c r="Y5415" s="6"/>
      <c r="Z5415" s="6"/>
      <c r="AA5415" s="6" t="s">
        <v>248</v>
      </c>
      <c r="AB5415" s="8"/>
      <c r="AC5415" s="27">
        <v>9785160192260</v>
      </c>
    </row>
    <row r="5416" spans="1:29" s="4" customFormat="1" ht="51.9" customHeight="1" x14ac:dyDescent="0.2">
      <c r="A5416" s="5">
        <v>0</v>
      </c>
      <c r="B5416" s="6" t="s">
        <v>31160</v>
      </c>
      <c r="C5416" s="7">
        <v>1996.8</v>
      </c>
      <c r="D5416" s="8" t="s">
        <v>31161</v>
      </c>
      <c r="E5416" s="8" t="s">
        <v>31162</v>
      </c>
      <c r="F5416" s="8" t="s">
        <v>31163</v>
      </c>
      <c r="G5416" s="6" t="s">
        <v>60</v>
      </c>
      <c r="H5416" s="6" t="s">
        <v>34</v>
      </c>
      <c r="I5416" s="8" t="s">
        <v>271</v>
      </c>
      <c r="J5416" s="9">
        <v>1</v>
      </c>
      <c r="K5416" s="9">
        <v>320</v>
      </c>
      <c r="L5416" s="9">
        <v>2026</v>
      </c>
      <c r="M5416" s="8" t="s">
        <v>31164</v>
      </c>
      <c r="N5416" s="8" t="s">
        <v>37</v>
      </c>
      <c r="O5416" s="8" t="s">
        <v>233</v>
      </c>
      <c r="P5416" s="6" t="s">
        <v>51</v>
      </c>
      <c r="Q5416" s="8" t="s">
        <v>52</v>
      </c>
      <c r="R5416" s="10" t="s">
        <v>31165</v>
      </c>
      <c r="S5416" s="11" t="s">
        <v>31166</v>
      </c>
      <c r="T5416" s="6" t="s">
        <v>97</v>
      </c>
      <c r="U5416" s="15" t="str">
        <f>HYPERLINK("https://media.infra-m.ru/2218/2218024/cover/2218024.jpg", "Обложка")</f>
        <v>Обложка</v>
      </c>
      <c r="V5416" s="8" t="s">
        <v>1768</v>
      </c>
      <c r="W5416" s="6"/>
      <c r="X5416" s="6"/>
      <c r="Y5416" s="6"/>
      <c r="Z5416" s="6"/>
      <c r="AA5416" s="6" t="s">
        <v>55</v>
      </c>
      <c r="AB5416" s="8"/>
      <c r="AC5416" s="27">
        <v>9785160057842</v>
      </c>
    </row>
    <row r="5417" spans="1:29" s="4" customFormat="1" ht="51.9" customHeight="1" x14ac:dyDescent="0.2">
      <c r="A5417" s="5">
        <v>0</v>
      </c>
      <c r="B5417" s="6" t="s">
        <v>31167</v>
      </c>
      <c r="C5417" s="7">
        <v>1032</v>
      </c>
      <c r="D5417" s="8" t="s">
        <v>31168</v>
      </c>
      <c r="E5417" s="8" t="s">
        <v>31169</v>
      </c>
      <c r="F5417" s="8" t="s">
        <v>31170</v>
      </c>
      <c r="G5417" s="6" t="s">
        <v>33</v>
      </c>
      <c r="H5417" s="6" t="s">
        <v>34</v>
      </c>
      <c r="I5417" s="8" t="s">
        <v>253</v>
      </c>
      <c r="J5417" s="9">
        <v>1</v>
      </c>
      <c r="K5417" s="9">
        <v>156</v>
      </c>
      <c r="L5417" s="9">
        <v>2026</v>
      </c>
      <c r="M5417" s="8" t="s">
        <v>31171</v>
      </c>
      <c r="N5417" s="8" t="s">
        <v>37</v>
      </c>
      <c r="O5417" s="8" t="s">
        <v>280</v>
      </c>
      <c r="P5417" s="6" t="s">
        <v>51</v>
      </c>
      <c r="Q5417" s="8" t="s">
        <v>52</v>
      </c>
      <c r="R5417" s="10" t="s">
        <v>31172</v>
      </c>
      <c r="S5417" s="11" t="s">
        <v>282</v>
      </c>
      <c r="T5417" s="6"/>
      <c r="U5417" s="15" t="str">
        <f>HYPERLINK("https://media.infra-m.ru/2197/2197264/cover/2197264.jpg", "Обложка")</f>
        <v>Обложка</v>
      </c>
      <c r="V5417" s="8" t="s">
        <v>31173</v>
      </c>
      <c r="W5417" s="6"/>
      <c r="X5417" s="6"/>
      <c r="Y5417" s="6"/>
      <c r="Z5417" s="6"/>
      <c r="AA5417" s="6" t="s">
        <v>779</v>
      </c>
      <c r="AB5417" s="8"/>
      <c r="AC5417" s="27">
        <v>9785160221489</v>
      </c>
    </row>
    <row r="5418" spans="1:29" s="4" customFormat="1" ht="51.9" customHeight="1" x14ac:dyDescent="0.2">
      <c r="A5418" s="5">
        <v>0</v>
      </c>
      <c r="B5418" s="6" t="s">
        <v>31174</v>
      </c>
      <c r="C5418" s="7">
        <v>2556</v>
      </c>
      <c r="D5418" s="8" t="s">
        <v>31175</v>
      </c>
      <c r="E5418" s="8" t="s">
        <v>31176</v>
      </c>
      <c r="F5418" s="8" t="s">
        <v>31177</v>
      </c>
      <c r="G5418" s="6" t="s">
        <v>60</v>
      </c>
      <c r="H5418" s="6" t="s">
        <v>34</v>
      </c>
      <c r="I5418" s="8" t="s">
        <v>253</v>
      </c>
      <c r="J5418" s="9">
        <v>1</v>
      </c>
      <c r="K5418" s="9">
        <v>425</v>
      </c>
      <c r="L5418" s="9">
        <v>2025</v>
      </c>
      <c r="M5418" s="8" t="s">
        <v>31178</v>
      </c>
      <c r="N5418" s="8" t="s">
        <v>37</v>
      </c>
      <c r="O5418" s="8" t="s">
        <v>280</v>
      </c>
      <c r="P5418" s="6" t="s">
        <v>306</v>
      </c>
      <c r="Q5418" s="8" t="s">
        <v>52</v>
      </c>
      <c r="R5418" s="10" t="s">
        <v>31179</v>
      </c>
      <c r="S5418" s="11" t="s">
        <v>31180</v>
      </c>
      <c r="T5418" s="6" t="s">
        <v>97</v>
      </c>
      <c r="U5418" s="15" t="str">
        <f>HYPERLINK("https://media.infra-m.ru/2186/2186209/cover/2186209.jpg", "Обложка")</f>
        <v>Обложка</v>
      </c>
      <c r="V5418" s="8" t="s">
        <v>396</v>
      </c>
      <c r="W5418" s="6"/>
      <c r="X5418" s="6"/>
      <c r="Y5418" s="6"/>
      <c r="Z5418" s="6"/>
      <c r="AA5418" s="6" t="s">
        <v>55</v>
      </c>
      <c r="AB5418" s="8"/>
      <c r="AC5418" s="27">
        <v>9785160206158</v>
      </c>
    </row>
    <row r="5419" spans="1:29" s="4" customFormat="1" ht="51.9" customHeight="1" x14ac:dyDescent="0.2">
      <c r="A5419" s="5">
        <v>0</v>
      </c>
      <c r="B5419" s="6" t="s">
        <v>31181</v>
      </c>
      <c r="C5419" s="7">
        <v>2472</v>
      </c>
      <c r="D5419" s="8" t="s">
        <v>31182</v>
      </c>
      <c r="E5419" s="8" t="s">
        <v>31183</v>
      </c>
      <c r="F5419" s="8" t="s">
        <v>26539</v>
      </c>
      <c r="G5419" s="6" t="s">
        <v>60</v>
      </c>
      <c r="H5419" s="6" t="s">
        <v>34</v>
      </c>
      <c r="I5419" s="8" t="s">
        <v>271</v>
      </c>
      <c r="J5419" s="9">
        <v>1</v>
      </c>
      <c r="K5419" s="9">
        <v>411</v>
      </c>
      <c r="L5419" s="9">
        <v>2025</v>
      </c>
      <c r="M5419" s="8" t="s">
        <v>31184</v>
      </c>
      <c r="N5419" s="8" t="s">
        <v>37</v>
      </c>
      <c r="O5419" s="8" t="s">
        <v>280</v>
      </c>
      <c r="P5419" s="6" t="s">
        <v>306</v>
      </c>
      <c r="Q5419" s="8" t="s">
        <v>52</v>
      </c>
      <c r="R5419" s="10" t="s">
        <v>12043</v>
      </c>
      <c r="S5419" s="11" t="s">
        <v>31185</v>
      </c>
      <c r="T5419" s="6"/>
      <c r="U5419" s="15" t="str">
        <f>HYPERLINK("https://media.infra-m.ru/2185/2185639/cover/2185639.jpg", "Обложка")</f>
        <v>Обложка</v>
      </c>
      <c r="V5419" s="8" t="s">
        <v>2446</v>
      </c>
      <c r="W5419" s="6"/>
      <c r="X5419" s="6"/>
      <c r="Y5419" s="6"/>
      <c r="Z5419" s="6"/>
      <c r="AA5419" s="6" t="s">
        <v>17179</v>
      </c>
      <c r="AB5419" s="8"/>
      <c r="AC5419" s="27">
        <v>9785160039312</v>
      </c>
    </row>
    <row r="5420" spans="1:29" s="4" customFormat="1" ht="51.9" customHeight="1" x14ac:dyDescent="0.2">
      <c r="A5420" s="5">
        <v>0</v>
      </c>
      <c r="B5420" s="6" t="s">
        <v>31186</v>
      </c>
      <c r="C5420" s="7">
        <v>1096.8</v>
      </c>
      <c r="D5420" s="8" t="s">
        <v>31187</v>
      </c>
      <c r="E5420" s="8" t="s">
        <v>31188</v>
      </c>
      <c r="F5420" s="8" t="s">
        <v>31189</v>
      </c>
      <c r="G5420" s="6" t="s">
        <v>21</v>
      </c>
      <c r="H5420" s="6" t="s">
        <v>313</v>
      </c>
      <c r="I5420" s="8" t="s">
        <v>504</v>
      </c>
      <c r="J5420" s="9">
        <v>1</v>
      </c>
      <c r="K5420" s="9">
        <v>176</v>
      </c>
      <c r="L5420" s="9">
        <v>2025</v>
      </c>
      <c r="M5420" s="8" t="s">
        <v>31190</v>
      </c>
      <c r="N5420" s="8" t="s">
        <v>243</v>
      </c>
      <c r="O5420" s="8" t="s">
        <v>798</v>
      </c>
      <c r="P5420" s="6" t="s">
        <v>306</v>
      </c>
      <c r="Q5420" s="8" t="s">
        <v>500</v>
      </c>
      <c r="R5420" s="10" t="s">
        <v>31191</v>
      </c>
      <c r="S5420" s="11" t="s">
        <v>31192</v>
      </c>
      <c r="T5420" s="6" t="s">
        <v>97</v>
      </c>
      <c r="U5420" s="15" t="str">
        <f>HYPERLINK("https://media.infra-m.ru/2204/2204586/cover/2204586.jpg", "Обложка")</f>
        <v>Обложка</v>
      </c>
      <c r="V5420" s="8" t="s">
        <v>851</v>
      </c>
      <c r="W5420" s="6"/>
      <c r="X5420" s="6"/>
      <c r="Y5420" s="6"/>
      <c r="Z5420" s="6"/>
      <c r="AA5420" s="6" t="s">
        <v>718</v>
      </c>
      <c r="AB5420" s="8"/>
      <c r="AC5420" s="27">
        <v>9785369012291</v>
      </c>
    </row>
    <row r="5421" spans="1:29" s="4" customFormat="1" ht="51.9" customHeight="1" x14ac:dyDescent="0.2">
      <c r="A5421" s="5">
        <v>0</v>
      </c>
      <c r="B5421" s="6" t="s">
        <v>31193</v>
      </c>
      <c r="C5421" s="7">
        <v>2028</v>
      </c>
      <c r="D5421" s="8" t="s">
        <v>31194</v>
      </c>
      <c r="E5421" s="8" t="s">
        <v>31195</v>
      </c>
      <c r="F5421" s="8" t="s">
        <v>2193</v>
      </c>
      <c r="G5421" s="6" t="s">
        <v>118</v>
      </c>
      <c r="H5421" s="6" t="s">
        <v>34</v>
      </c>
      <c r="I5421" s="8" t="s">
        <v>253</v>
      </c>
      <c r="J5421" s="9">
        <v>1</v>
      </c>
      <c r="K5421" s="9">
        <v>338</v>
      </c>
      <c r="L5421" s="9">
        <v>2025</v>
      </c>
      <c r="M5421" s="8" t="s">
        <v>31196</v>
      </c>
      <c r="N5421" s="8" t="s">
        <v>37</v>
      </c>
      <c r="O5421" s="8" t="s">
        <v>233</v>
      </c>
      <c r="P5421" s="6" t="s">
        <v>306</v>
      </c>
      <c r="Q5421" s="8" t="s">
        <v>52</v>
      </c>
      <c r="R5421" s="10" t="s">
        <v>357</v>
      </c>
      <c r="S5421" s="11" t="s">
        <v>31197</v>
      </c>
      <c r="T5421" s="6"/>
      <c r="U5421" s="15" t="str">
        <f>HYPERLINK("https://media.infra-m.ru/2178/2178825/cover/2178825.jpg", "Обложка")</f>
        <v>Обложка</v>
      </c>
      <c r="V5421" s="8" t="s">
        <v>1505</v>
      </c>
      <c r="W5421" s="6"/>
      <c r="X5421" s="6"/>
      <c r="Y5421" s="6"/>
      <c r="Z5421" s="6"/>
      <c r="AA5421" s="6" t="s">
        <v>148</v>
      </c>
      <c r="AB5421" s="8"/>
      <c r="AC5421" s="27">
        <v>9785160206189</v>
      </c>
    </row>
    <row r="5422" spans="1:29" s="4" customFormat="1" ht="51.9" customHeight="1" x14ac:dyDescent="0.2">
      <c r="A5422" s="5">
        <v>0</v>
      </c>
      <c r="B5422" s="6" t="s">
        <v>31198</v>
      </c>
      <c r="C5422" s="7">
        <v>2904</v>
      </c>
      <c r="D5422" s="8" t="s">
        <v>31199</v>
      </c>
      <c r="E5422" s="8" t="s">
        <v>31200</v>
      </c>
      <c r="F5422" s="8" t="s">
        <v>9040</v>
      </c>
      <c r="G5422" s="6" t="s">
        <v>60</v>
      </c>
      <c r="H5422" s="6" t="s">
        <v>34</v>
      </c>
      <c r="I5422" s="8" t="s">
        <v>263</v>
      </c>
      <c r="J5422" s="9">
        <v>1</v>
      </c>
      <c r="K5422" s="9">
        <v>484</v>
      </c>
      <c r="L5422" s="9">
        <v>2025</v>
      </c>
      <c r="M5422" s="8" t="s">
        <v>31201</v>
      </c>
      <c r="N5422" s="8" t="s">
        <v>37</v>
      </c>
      <c r="O5422" s="8" t="s">
        <v>280</v>
      </c>
      <c r="P5422" s="6" t="s">
        <v>51</v>
      </c>
      <c r="Q5422" s="8" t="s">
        <v>265</v>
      </c>
      <c r="R5422" s="10" t="s">
        <v>31202</v>
      </c>
      <c r="S5422" s="11"/>
      <c r="T5422" s="6"/>
      <c r="U5422" s="15" t="str">
        <f>HYPERLINK("https://media.infra-m.ru/2092/2092351/cover/2092351.jpg", "Обложка")</f>
        <v>Обложка</v>
      </c>
      <c r="V5422" s="8" t="s">
        <v>227</v>
      </c>
      <c r="W5422" s="6"/>
      <c r="X5422" s="6"/>
      <c r="Y5422" s="6"/>
      <c r="Z5422" s="6"/>
      <c r="AA5422" s="6" t="s">
        <v>68</v>
      </c>
      <c r="AB5422" s="8"/>
      <c r="AC5422" s="27">
        <v>9785160191669</v>
      </c>
    </row>
    <row r="5423" spans="1:29" s="4" customFormat="1" ht="51.9" customHeight="1" x14ac:dyDescent="0.2">
      <c r="A5423" s="5">
        <v>0</v>
      </c>
      <c r="B5423" s="6" t="s">
        <v>31203</v>
      </c>
      <c r="C5423" s="13">
        <v>832.8</v>
      </c>
      <c r="D5423" s="8" t="s">
        <v>31204</v>
      </c>
      <c r="E5423" s="8" t="s">
        <v>31205</v>
      </c>
      <c r="F5423" s="8" t="s">
        <v>31206</v>
      </c>
      <c r="G5423" s="6" t="s">
        <v>118</v>
      </c>
      <c r="H5423" s="6" t="s">
        <v>34</v>
      </c>
      <c r="I5423" s="8" t="s">
        <v>271</v>
      </c>
      <c r="J5423" s="9">
        <v>1</v>
      </c>
      <c r="K5423" s="9">
        <v>133</v>
      </c>
      <c r="L5423" s="9">
        <v>2025</v>
      </c>
      <c r="M5423" s="8" t="s">
        <v>31207</v>
      </c>
      <c r="N5423" s="8" t="s">
        <v>243</v>
      </c>
      <c r="O5423" s="8" t="s">
        <v>798</v>
      </c>
      <c r="P5423" s="6" t="s">
        <v>51</v>
      </c>
      <c r="Q5423" s="8" t="s">
        <v>52</v>
      </c>
      <c r="R5423" s="10" t="s">
        <v>6735</v>
      </c>
      <c r="S5423" s="11" t="s">
        <v>31208</v>
      </c>
      <c r="T5423" s="6"/>
      <c r="U5423" s="15" t="str">
        <f>HYPERLINK("https://media.infra-m.ru/2188/2188723/cover/2188723.jpg", "Обложка")</f>
        <v>Обложка</v>
      </c>
      <c r="V5423" s="8" t="s">
        <v>1639</v>
      </c>
      <c r="W5423" s="6"/>
      <c r="X5423" s="6"/>
      <c r="Y5423" s="6"/>
      <c r="Z5423" s="6"/>
      <c r="AA5423" s="6" t="s">
        <v>1015</v>
      </c>
      <c r="AB5423" s="8"/>
      <c r="AC5423" s="27">
        <v>9785160162355</v>
      </c>
    </row>
    <row r="5424" spans="1:29" s="4" customFormat="1" ht="42" customHeight="1" x14ac:dyDescent="0.2">
      <c r="A5424" s="5">
        <v>0</v>
      </c>
      <c r="B5424" s="6" t="s">
        <v>31209</v>
      </c>
      <c r="C5424" s="7">
        <v>2292</v>
      </c>
      <c r="D5424" s="8" t="s">
        <v>31210</v>
      </c>
      <c r="E5424" s="8" t="s">
        <v>31211</v>
      </c>
      <c r="F5424" s="8" t="s">
        <v>31212</v>
      </c>
      <c r="G5424" s="6" t="s">
        <v>118</v>
      </c>
      <c r="H5424" s="6" t="s">
        <v>34</v>
      </c>
      <c r="I5424" s="8" t="s">
        <v>253</v>
      </c>
      <c r="J5424" s="9">
        <v>1</v>
      </c>
      <c r="K5424" s="9">
        <v>329</v>
      </c>
      <c r="L5424" s="9">
        <v>2026</v>
      </c>
      <c r="M5424" s="8" t="s">
        <v>31213</v>
      </c>
      <c r="N5424" s="8" t="s">
        <v>37</v>
      </c>
      <c r="O5424" s="8" t="s">
        <v>233</v>
      </c>
      <c r="P5424" s="6" t="s">
        <v>51</v>
      </c>
      <c r="Q5424" s="8" t="s">
        <v>65</v>
      </c>
      <c r="R5424" s="10" t="s">
        <v>3008</v>
      </c>
      <c r="S5424" s="11"/>
      <c r="T5424" s="6"/>
      <c r="U5424" s="15" t="str">
        <f>HYPERLINK("https://media.infra-m.ru/2260/2260343/cover/2260343.jpg", "Обложка")</f>
        <v>Обложка</v>
      </c>
      <c r="V5424" s="8" t="s">
        <v>2088</v>
      </c>
      <c r="W5424" s="6"/>
      <c r="X5424" s="6"/>
      <c r="Y5424" s="6"/>
      <c r="Z5424" s="6"/>
      <c r="AA5424" s="6" t="s">
        <v>68</v>
      </c>
      <c r="AB5424" s="8"/>
      <c r="AC5424" s="27">
        <v>9785160187365</v>
      </c>
    </row>
    <row r="5425" spans="1:29" s="4" customFormat="1" ht="51.9" customHeight="1" x14ac:dyDescent="0.2">
      <c r="A5425" s="5">
        <v>0</v>
      </c>
      <c r="B5425" s="6" t="s">
        <v>31214</v>
      </c>
      <c r="C5425" s="13">
        <v>353.9</v>
      </c>
      <c r="D5425" s="8" t="s">
        <v>31215</v>
      </c>
      <c r="E5425" s="8" t="s">
        <v>31216</v>
      </c>
      <c r="F5425" s="8" t="s">
        <v>7372</v>
      </c>
      <c r="G5425" s="6" t="s">
        <v>33</v>
      </c>
      <c r="H5425" s="6" t="s">
        <v>134</v>
      </c>
      <c r="I5425" s="8"/>
      <c r="J5425" s="9">
        <v>1</v>
      </c>
      <c r="K5425" s="9">
        <v>112</v>
      </c>
      <c r="L5425" s="9">
        <v>2018</v>
      </c>
      <c r="M5425" s="8" t="s">
        <v>31217</v>
      </c>
      <c r="N5425" s="8" t="s">
        <v>63</v>
      </c>
      <c r="O5425" s="8" t="s">
        <v>126</v>
      </c>
      <c r="P5425" s="6" t="s">
        <v>39</v>
      </c>
      <c r="Q5425" s="8" t="s">
        <v>40</v>
      </c>
      <c r="R5425" s="10" t="s">
        <v>11179</v>
      </c>
      <c r="S5425" s="11"/>
      <c r="T5425" s="6"/>
      <c r="U5425" s="15" t="str">
        <f>HYPERLINK("https://media.infra-m.ru/0969/0969941/cover/969941.jpg", "Обложка")</f>
        <v>Обложка</v>
      </c>
      <c r="V5425" s="8" t="s">
        <v>1069</v>
      </c>
      <c r="W5425" s="6"/>
      <c r="X5425" s="6"/>
      <c r="Y5425" s="6"/>
      <c r="Z5425" s="6"/>
      <c r="AA5425" s="6" t="s">
        <v>274</v>
      </c>
      <c r="AB5425" s="8"/>
      <c r="AC5425" s="27">
        <v>9785917683065</v>
      </c>
    </row>
    <row r="5426" spans="1:29" s="4" customFormat="1" ht="51.9" customHeight="1" x14ac:dyDescent="0.2">
      <c r="A5426" s="5">
        <v>0</v>
      </c>
      <c r="B5426" s="6" t="s">
        <v>31218</v>
      </c>
      <c r="C5426" s="13">
        <v>672</v>
      </c>
      <c r="D5426" s="8" t="s">
        <v>31219</v>
      </c>
      <c r="E5426" s="8" t="s">
        <v>31220</v>
      </c>
      <c r="F5426" s="8" t="s">
        <v>13835</v>
      </c>
      <c r="G5426" s="6" t="s">
        <v>33</v>
      </c>
      <c r="H5426" s="6" t="s">
        <v>134</v>
      </c>
      <c r="I5426" s="8"/>
      <c r="J5426" s="9">
        <v>1</v>
      </c>
      <c r="K5426" s="9">
        <v>112</v>
      </c>
      <c r="L5426" s="9">
        <v>2025</v>
      </c>
      <c r="M5426" s="8" t="s">
        <v>31217</v>
      </c>
      <c r="N5426" s="8" t="s">
        <v>63</v>
      </c>
      <c r="O5426" s="8" t="s">
        <v>126</v>
      </c>
      <c r="P5426" s="6" t="s">
        <v>39</v>
      </c>
      <c r="Q5426" s="8" t="s">
        <v>40</v>
      </c>
      <c r="R5426" s="10" t="s">
        <v>11179</v>
      </c>
      <c r="S5426" s="11"/>
      <c r="T5426" s="6"/>
      <c r="U5426" s="15" t="str">
        <f>HYPERLINK("https://media.infra-m.ru/2169/2169238/cover/2169238.jpg", "Обложка")</f>
        <v>Обложка</v>
      </c>
      <c r="V5426" s="8" t="s">
        <v>1069</v>
      </c>
      <c r="W5426" s="6"/>
      <c r="X5426" s="6"/>
      <c r="Y5426" s="6"/>
      <c r="Z5426" s="6"/>
      <c r="AA5426" s="6" t="s">
        <v>769</v>
      </c>
      <c r="AB5426" s="8"/>
      <c r="AC5426" s="27">
        <v>9785917683065</v>
      </c>
    </row>
    <row r="5427" spans="1:29" s="4" customFormat="1" ht="44.1" customHeight="1" x14ac:dyDescent="0.2">
      <c r="A5427" s="5">
        <v>0</v>
      </c>
      <c r="B5427" s="6" t="s">
        <v>31221</v>
      </c>
      <c r="C5427" s="7">
        <v>1406.4</v>
      </c>
      <c r="D5427" s="8" t="s">
        <v>31222</v>
      </c>
      <c r="E5427" s="8" t="s">
        <v>31223</v>
      </c>
      <c r="F5427" s="8" t="s">
        <v>31224</v>
      </c>
      <c r="G5427" s="6" t="s">
        <v>118</v>
      </c>
      <c r="H5427" s="6" t="s">
        <v>34</v>
      </c>
      <c r="I5427" s="8" t="s">
        <v>1081</v>
      </c>
      <c r="J5427" s="9">
        <v>1</v>
      </c>
      <c r="K5427" s="9">
        <v>173</v>
      </c>
      <c r="L5427" s="9">
        <v>2025</v>
      </c>
      <c r="M5427" s="8" t="s">
        <v>31225</v>
      </c>
      <c r="N5427" s="8" t="s">
        <v>243</v>
      </c>
      <c r="O5427" s="8" t="s">
        <v>798</v>
      </c>
      <c r="P5427" s="6" t="s">
        <v>39</v>
      </c>
      <c r="Q5427" s="8" t="s">
        <v>40</v>
      </c>
      <c r="R5427" s="10" t="s">
        <v>31226</v>
      </c>
      <c r="S5427" s="11"/>
      <c r="T5427" s="6"/>
      <c r="U5427" s="15" t="str">
        <f>HYPERLINK("https://media.infra-m.ru/2204/2204584/cover/2204584.jpg", "Обложка")</f>
        <v>Обложка</v>
      </c>
      <c r="V5427" s="8" t="s">
        <v>1083</v>
      </c>
      <c r="W5427" s="6"/>
      <c r="X5427" s="6"/>
      <c r="Y5427" s="6"/>
      <c r="Z5427" s="6"/>
      <c r="AA5427" s="6" t="s">
        <v>86</v>
      </c>
      <c r="AB5427" s="8"/>
      <c r="AC5427" s="27">
        <v>9785160174839</v>
      </c>
    </row>
    <row r="5428" spans="1:29" s="4" customFormat="1" ht="44.1" customHeight="1" x14ac:dyDescent="0.2">
      <c r="A5428" s="5">
        <v>0</v>
      </c>
      <c r="B5428" s="6" t="s">
        <v>31227</v>
      </c>
      <c r="C5428" s="7">
        <v>1668</v>
      </c>
      <c r="D5428" s="8" t="s">
        <v>31228</v>
      </c>
      <c r="E5428" s="8" t="s">
        <v>31229</v>
      </c>
      <c r="F5428" s="8" t="s">
        <v>31230</v>
      </c>
      <c r="G5428" s="6" t="s">
        <v>60</v>
      </c>
      <c r="H5428" s="6" t="s">
        <v>34</v>
      </c>
      <c r="I5428" s="8" t="s">
        <v>599</v>
      </c>
      <c r="J5428" s="9">
        <v>1</v>
      </c>
      <c r="K5428" s="9">
        <v>204</v>
      </c>
      <c r="L5428" s="9">
        <v>2026</v>
      </c>
      <c r="M5428" s="8" t="s">
        <v>31231</v>
      </c>
      <c r="N5428" s="8" t="s">
        <v>243</v>
      </c>
      <c r="O5428" s="8" t="s">
        <v>798</v>
      </c>
      <c r="P5428" s="6" t="s">
        <v>759</v>
      </c>
      <c r="Q5428" s="8" t="s">
        <v>65</v>
      </c>
      <c r="R5428" s="10" t="s">
        <v>18542</v>
      </c>
      <c r="S5428" s="11"/>
      <c r="T5428" s="6"/>
      <c r="U5428" s="15" t="str">
        <f>HYPERLINK("https://media.infra-m.ru/2238/2238585/cover/2238585.jpg", "Обложка")</f>
        <v>Обложка</v>
      </c>
      <c r="V5428" s="8" t="s">
        <v>1871</v>
      </c>
      <c r="W5428" s="6" t="s">
        <v>528</v>
      </c>
      <c r="X5428" s="6"/>
      <c r="Y5428" s="6"/>
      <c r="Z5428" s="6"/>
      <c r="AA5428" s="6" t="s">
        <v>187</v>
      </c>
      <c r="AB5428" s="8"/>
      <c r="AC5428" s="27">
        <v>9785160217956</v>
      </c>
    </row>
    <row r="5429" spans="1:29" s="4" customFormat="1" ht="42" customHeight="1" x14ac:dyDescent="0.2">
      <c r="A5429" s="5">
        <v>0</v>
      </c>
      <c r="B5429" s="6" t="s">
        <v>31232</v>
      </c>
      <c r="C5429" s="7">
        <v>1248</v>
      </c>
      <c r="D5429" s="8" t="s">
        <v>31233</v>
      </c>
      <c r="E5429" s="8" t="s">
        <v>31234</v>
      </c>
      <c r="F5429" s="8" t="s">
        <v>31230</v>
      </c>
      <c r="G5429" s="6" t="s">
        <v>60</v>
      </c>
      <c r="H5429" s="6" t="s">
        <v>34</v>
      </c>
      <c r="I5429" s="8" t="s">
        <v>599</v>
      </c>
      <c r="J5429" s="9">
        <v>1</v>
      </c>
      <c r="K5429" s="9">
        <v>196</v>
      </c>
      <c r="L5429" s="9">
        <v>2025</v>
      </c>
      <c r="M5429" s="8" t="s">
        <v>31235</v>
      </c>
      <c r="N5429" s="8" t="s">
        <v>243</v>
      </c>
      <c r="O5429" s="8" t="s">
        <v>798</v>
      </c>
      <c r="P5429" s="6" t="s">
        <v>759</v>
      </c>
      <c r="Q5429" s="8" t="s">
        <v>65</v>
      </c>
      <c r="R5429" s="10" t="s">
        <v>31236</v>
      </c>
      <c r="S5429" s="11"/>
      <c r="T5429" s="6"/>
      <c r="U5429" s="15" t="str">
        <f>HYPERLINK("https://media.infra-m.ru/2173/2173835/cover/2173835.jpg", "Обложка")</f>
        <v>Обложка</v>
      </c>
      <c r="V5429" s="8" t="s">
        <v>1871</v>
      </c>
      <c r="W5429" s="6"/>
      <c r="X5429" s="6"/>
      <c r="Y5429" s="6"/>
      <c r="Z5429" s="6"/>
      <c r="AA5429" s="6" t="s">
        <v>68</v>
      </c>
      <c r="AB5429" s="8"/>
      <c r="AC5429" s="27">
        <v>9785160204321</v>
      </c>
    </row>
    <row r="5430" spans="1:29" s="4" customFormat="1" ht="51.9" customHeight="1" x14ac:dyDescent="0.2">
      <c r="A5430" s="5">
        <v>0</v>
      </c>
      <c r="B5430" s="6" t="s">
        <v>31237</v>
      </c>
      <c r="C5430" s="7">
        <v>1876.8</v>
      </c>
      <c r="D5430" s="8" t="s">
        <v>31238</v>
      </c>
      <c r="E5430" s="8" t="s">
        <v>31239</v>
      </c>
      <c r="F5430" s="8" t="s">
        <v>31230</v>
      </c>
      <c r="G5430" s="6" t="s">
        <v>60</v>
      </c>
      <c r="H5430" s="6" t="s">
        <v>34</v>
      </c>
      <c r="I5430" s="8" t="s">
        <v>599</v>
      </c>
      <c r="J5430" s="9">
        <v>1</v>
      </c>
      <c r="K5430" s="9">
        <v>285</v>
      </c>
      <c r="L5430" s="9">
        <v>2026</v>
      </c>
      <c r="M5430" s="8" t="s">
        <v>31240</v>
      </c>
      <c r="N5430" s="8" t="s">
        <v>243</v>
      </c>
      <c r="O5430" s="8" t="s">
        <v>798</v>
      </c>
      <c r="P5430" s="6" t="s">
        <v>759</v>
      </c>
      <c r="Q5430" s="8" t="s">
        <v>65</v>
      </c>
      <c r="R5430" s="10" t="s">
        <v>31241</v>
      </c>
      <c r="S5430" s="11"/>
      <c r="T5430" s="6"/>
      <c r="U5430" s="15" t="str">
        <f>HYPERLINK("https://media.infra-m.ru/2237/2237093/cover/2237093.jpg", "Обложка")</f>
        <v>Обложка</v>
      </c>
      <c r="V5430" s="8" t="s">
        <v>1871</v>
      </c>
      <c r="W5430" s="6"/>
      <c r="X5430" s="6"/>
      <c r="Y5430" s="6"/>
      <c r="Z5430" s="6"/>
      <c r="AA5430" s="6" t="s">
        <v>157</v>
      </c>
      <c r="AB5430" s="8"/>
      <c r="AC5430" s="27">
        <v>9785160181851</v>
      </c>
    </row>
    <row r="5431" spans="1:29" s="4" customFormat="1" ht="44.1" customHeight="1" x14ac:dyDescent="0.2">
      <c r="A5431" s="5">
        <v>0</v>
      </c>
      <c r="B5431" s="6" t="s">
        <v>31242</v>
      </c>
      <c r="C5431" s="7">
        <v>1168.8</v>
      </c>
      <c r="D5431" s="8" t="s">
        <v>31243</v>
      </c>
      <c r="E5431" s="8" t="s">
        <v>31244</v>
      </c>
      <c r="F5431" s="8" t="s">
        <v>31230</v>
      </c>
      <c r="G5431" s="6" t="s">
        <v>60</v>
      </c>
      <c r="H5431" s="6" t="s">
        <v>34</v>
      </c>
      <c r="I5431" s="8"/>
      <c r="J5431" s="9">
        <v>1</v>
      </c>
      <c r="K5431" s="9">
        <v>178</v>
      </c>
      <c r="L5431" s="9">
        <v>2026</v>
      </c>
      <c r="M5431" s="8" t="s">
        <v>31245</v>
      </c>
      <c r="N5431" s="8" t="s">
        <v>243</v>
      </c>
      <c r="O5431" s="8" t="s">
        <v>798</v>
      </c>
      <c r="P5431" s="6" t="s">
        <v>759</v>
      </c>
      <c r="Q5431" s="8" t="s">
        <v>65</v>
      </c>
      <c r="R5431" s="10" t="s">
        <v>31246</v>
      </c>
      <c r="S5431" s="11"/>
      <c r="T5431" s="6"/>
      <c r="U5431" s="15" t="str">
        <f>HYPERLINK("https://media.infra-m.ru/2237/2237094/cover/2237094.jpg", "Обложка")</f>
        <v>Обложка</v>
      </c>
      <c r="V5431" s="8" t="s">
        <v>1871</v>
      </c>
      <c r="W5431" s="6"/>
      <c r="X5431" s="6"/>
      <c r="Y5431" s="6"/>
      <c r="Z5431" s="6"/>
      <c r="AA5431" s="6" t="s">
        <v>157</v>
      </c>
      <c r="AB5431" s="8"/>
      <c r="AC5431" s="27">
        <v>9785160182506</v>
      </c>
    </row>
    <row r="5432" spans="1:29" s="4" customFormat="1" ht="51.9" customHeight="1" x14ac:dyDescent="0.2">
      <c r="A5432" s="5">
        <v>0</v>
      </c>
      <c r="B5432" s="6" t="s">
        <v>31247</v>
      </c>
      <c r="C5432" s="7">
        <v>1564.8</v>
      </c>
      <c r="D5432" s="8" t="s">
        <v>31248</v>
      </c>
      <c r="E5432" s="8" t="s">
        <v>31249</v>
      </c>
      <c r="F5432" s="8" t="s">
        <v>31230</v>
      </c>
      <c r="G5432" s="6" t="s">
        <v>118</v>
      </c>
      <c r="H5432" s="6" t="s">
        <v>34</v>
      </c>
      <c r="I5432" s="8" t="s">
        <v>599</v>
      </c>
      <c r="J5432" s="9">
        <v>1</v>
      </c>
      <c r="K5432" s="9">
        <v>238</v>
      </c>
      <c r="L5432" s="9">
        <v>2026</v>
      </c>
      <c r="M5432" s="8" t="s">
        <v>31250</v>
      </c>
      <c r="N5432" s="8" t="s">
        <v>243</v>
      </c>
      <c r="O5432" s="8" t="s">
        <v>798</v>
      </c>
      <c r="P5432" s="6" t="s">
        <v>759</v>
      </c>
      <c r="Q5432" s="8" t="s">
        <v>65</v>
      </c>
      <c r="R5432" s="10" t="s">
        <v>31251</v>
      </c>
      <c r="S5432" s="11"/>
      <c r="T5432" s="6"/>
      <c r="U5432" s="15" t="str">
        <f>HYPERLINK("https://media.infra-m.ru/2237/2237092/cover/2237092.jpg", "Обложка")</f>
        <v>Обложка</v>
      </c>
      <c r="V5432" s="8" t="s">
        <v>1871</v>
      </c>
      <c r="W5432" s="6"/>
      <c r="X5432" s="6"/>
      <c r="Y5432" s="6"/>
      <c r="Z5432" s="6"/>
      <c r="AA5432" s="6" t="s">
        <v>115</v>
      </c>
      <c r="AB5432" s="8"/>
      <c r="AC5432" s="27">
        <v>9785160148298</v>
      </c>
    </row>
    <row r="5433" spans="1:29" s="4" customFormat="1" ht="42" customHeight="1" x14ac:dyDescent="0.2">
      <c r="A5433" s="5">
        <v>0</v>
      </c>
      <c r="B5433" s="6" t="s">
        <v>31252</v>
      </c>
      <c r="C5433" s="13">
        <v>528</v>
      </c>
      <c r="D5433" s="8" t="s">
        <v>31253</v>
      </c>
      <c r="E5433" s="8" t="s">
        <v>31254</v>
      </c>
      <c r="F5433" s="8" t="s">
        <v>31255</v>
      </c>
      <c r="G5433" s="6" t="s">
        <v>33</v>
      </c>
      <c r="H5433" s="6" t="s">
        <v>241</v>
      </c>
      <c r="I5433" s="8" t="s">
        <v>3496</v>
      </c>
      <c r="J5433" s="9">
        <v>1</v>
      </c>
      <c r="K5433" s="9">
        <v>128</v>
      </c>
      <c r="L5433" s="9">
        <v>2019</v>
      </c>
      <c r="M5433" s="8" t="s">
        <v>31256</v>
      </c>
      <c r="N5433" s="8" t="s">
        <v>243</v>
      </c>
      <c r="O5433" s="8" t="s">
        <v>758</v>
      </c>
      <c r="P5433" s="6" t="s">
        <v>39</v>
      </c>
      <c r="Q5433" s="8" t="s">
        <v>40</v>
      </c>
      <c r="R5433" s="10" t="s">
        <v>6851</v>
      </c>
      <c r="S5433" s="11"/>
      <c r="T5433" s="6"/>
      <c r="U5433" s="15" t="str">
        <f>HYPERLINK("https://media.infra-m.ru/1028/1028201/cover/1028201.jpg", "Обложка")</f>
        <v>Обложка</v>
      </c>
      <c r="V5433" s="8" t="s">
        <v>217</v>
      </c>
      <c r="W5433" s="6"/>
      <c r="X5433" s="6"/>
      <c r="Y5433" s="6"/>
      <c r="Z5433" s="6"/>
      <c r="AA5433" s="6" t="s">
        <v>99</v>
      </c>
      <c r="AB5433" s="8"/>
      <c r="AC5433" s="27">
        <v>9785955805863</v>
      </c>
    </row>
    <row r="5434" spans="1:29" s="4" customFormat="1" ht="51.9" customHeight="1" x14ac:dyDescent="0.2">
      <c r="A5434" s="5">
        <v>0</v>
      </c>
      <c r="B5434" s="6" t="s">
        <v>31257</v>
      </c>
      <c r="C5434" s="7">
        <v>2176.8000000000002</v>
      </c>
      <c r="D5434" s="8" t="s">
        <v>31258</v>
      </c>
      <c r="E5434" s="8" t="s">
        <v>31259</v>
      </c>
      <c r="F5434" s="8" t="s">
        <v>31260</v>
      </c>
      <c r="G5434" s="6" t="s">
        <v>60</v>
      </c>
      <c r="H5434" s="6" t="s">
        <v>34</v>
      </c>
      <c r="I5434" s="8" t="s">
        <v>35</v>
      </c>
      <c r="J5434" s="9">
        <v>1</v>
      </c>
      <c r="K5434" s="9">
        <v>330</v>
      </c>
      <c r="L5434" s="9">
        <v>2026</v>
      </c>
      <c r="M5434" s="8" t="s">
        <v>31261</v>
      </c>
      <c r="N5434" s="8" t="s">
        <v>63</v>
      </c>
      <c r="O5434" s="8" t="s">
        <v>64</v>
      </c>
      <c r="P5434" s="6" t="s">
        <v>39</v>
      </c>
      <c r="Q5434" s="8" t="s">
        <v>40</v>
      </c>
      <c r="R5434" s="10" t="s">
        <v>31262</v>
      </c>
      <c r="S5434" s="11"/>
      <c r="T5434" s="6"/>
      <c r="U5434" s="15" t="str">
        <f>HYPERLINK("https://media.infra-m.ru/2219/2219336/cover/2219336.jpg", "Обложка")</f>
        <v>Обложка</v>
      </c>
      <c r="V5434" s="8" t="s">
        <v>227</v>
      </c>
      <c r="W5434" s="6"/>
      <c r="X5434" s="6"/>
      <c r="Y5434" s="6"/>
      <c r="Z5434" s="6"/>
      <c r="AA5434" s="6" t="s">
        <v>76</v>
      </c>
      <c r="AB5434" s="8"/>
      <c r="AC5434" s="27">
        <v>9785160183640</v>
      </c>
    </row>
    <row r="5435" spans="1:29" s="4" customFormat="1" ht="51.9" customHeight="1" x14ac:dyDescent="0.2">
      <c r="A5435" s="5">
        <v>0</v>
      </c>
      <c r="B5435" s="6" t="s">
        <v>31263</v>
      </c>
      <c r="C5435" s="7">
        <v>1044</v>
      </c>
      <c r="D5435" s="8" t="s">
        <v>31264</v>
      </c>
      <c r="E5435" s="8" t="s">
        <v>31265</v>
      </c>
      <c r="F5435" s="8" t="s">
        <v>31266</v>
      </c>
      <c r="G5435" s="6" t="s">
        <v>33</v>
      </c>
      <c r="H5435" s="6" t="s">
        <v>34</v>
      </c>
      <c r="I5435" s="8" t="s">
        <v>35</v>
      </c>
      <c r="J5435" s="9">
        <v>1</v>
      </c>
      <c r="K5435" s="9">
        <v>184</v>
      </c>
      <c r="L5435" s="9">
        <v>2024</v>
      </c>
      <c r="M5435" s="8" t="s">
        <v>31267</v>
      </c>
      <c r="N5435" s="8" t="s">
        <v>63</v>
      </c>
      <c r="O5435" s="8" t="s">
        <v>64</v>
      </c>
      <c r="P5435" s="6" t="s">
        <v>39</v>
      </c>
      <c r="Q5435" s="8" t="s">
        <v>40</v>
      </c>
      <c r="R5435" s="10" t="s">
        <v>31268</v>
      </c>
      <c r="S5435" s="11"/>
      <c r="T5435" s="6"/>
      <c r="U5435" s="15" t="str">
        <f>HYPERLINK("https://media.infra-m.ru/2149/2149631/cover/2149631.jpg", "Обложка")</f>
        <v>Обложка</v>
      </c>
      <c r="V5435" s="8" t="s">
        <v>1206</v>
      </c>
      <c r="W5435" s="6"/>
      <c r="X5435" s="6"/>
      <c r="Y5435" s="6"/>
      <c r="Z5435" s="6"/>
      <c r="AA5435" s="6" t="s">
        <v>86</v>
      </c>
      <c r="AB5435" s="8" t="s">
        <v>1317</v>
      </c>
      <c r="AC5435" s="27">
        <v>9785160140414</v>
      </c>
    </row>
    <row r="5436" spans="1:29" s="4" customFormat="1" ht="51.9" customHeight="1" x14ac:dyDescent="0.2">
      <c r="A5436" s="5">
        <v>0</v>
      </c>
      <c r="B5436" s="6" t="s">
        <v>31269</v>
      </c>
      <c r="C5436" s="7">
        <v>1860</v>
      </c>
      <c r="D5436" s="8" t="s">
        <v>31270</v>
      </c>
      <c r="E5436" s="8" t="s">
        <v>31271</v>
      </c>
      <c r="F5436" s="8" t="s">
        <v>18764</v>
      </c>
      <c r="G5436" s="6" t="s">
        <v>118</v>
      </c>
      <c r="H5436" s="6" t="s">
        <v>34</v>
      </c>
      <c r="I5436" s="8" t="s">
        <v>271</v>
      </c>
      <c r="J5436" s="9">
        <v>1</v>
      </c>
      <c r="K5436" s="9">
        <v>345</v>
      </c>
      <c r="L5436" s="9">
        <v>2023</v>
      </c>
      <c r="M5436" s="8" t="s">
        <v>31272</v>
      </c>
      <c r="N5436" s="8" t="s">
        <v>37</v>
      </c>
      <c r="O5436" s="8" t="s">
        <v>499</v>
      </c>
      <c r="P5436" s="6" t="s">
        <v>306</v>
      </c>
      <c r="Q5436" s="8" t="s">
        <v>52</v>
      </c>
      <c r="R5436" s="10" t="s">
        <v>31273</v>
      </c>
      <c r="S5436" s="11" t="s">
        <v>31274</v>
      </c>
      <c r="T5436" s="6" t="s">
        <v>97</v>
      </c>
      <c r="U5436" s="15" t="str">
        <f>HYPERLINK("https://media.infra-m.ru/1933/1933143/cover/1933143.jpg", "Обложка")</f>
        <v>Обложка</v>
      </c>
      <c r="V5436" s="8" t="s">
        <v>1768</v>
      </c>
      <c r="W5436" s="6"/>
      <c r="X5436" s="6"/>
      <c r="Y5436" s="6"/>
      <c r="Z5436" s="6"/>
      <c r="AA5436" s="6" t="s">
        <v>218</v>
      </c>
      <c r="AB5436" s="8"/>
      <c r="AC5436" s="27">
        <v>9785160150215</v>
      </c>
    </row>
    <row r="5437" spans="1:29" s="4" customFormat="1" ht="51.9" customHeight="1" x14ac:dyDescent="0.2">
      <c r="A5437" s="5">
        <v>0</v>
      </c>
      <c r="B5437" s="6" t="s">
        <v>31275</v>
      </c>
      <c r="C5437" s="7">
        <v>1996.8</v>
      </c>
      <c r="D5437" s="8" t="s">
        <v>31276</v>
      </c>
      <c r="E5437" s="8" t="s">
        <v>31277</v>
      </c>
      <c r="F5437" s="8" t="s">
        <v>31278</v>
      </c>
      <c r="G5437" s="6" t="s">
        <v>60</v>
      </c>
      <c r="H5437" s="6" t="s">
        <v>241</v>
      </c>
      <c r="I5437" s="8"/>
      <c r="J5437" s="9">
        <v>1</v>
      </c>
      <c r="K5437" s="9">
        <v>320</v>
      </c>
      <c r="L5437" s="9">
        <v>2026</v>
      </c>
      <c r="M5437" s="8" t="s">
        <v>31279</v>
      </c>
      <c r="N5437" s="8" t="s">
        <v>37</v>
      </c>
      <c r="O5437" s="8" t="s">
        <v>499</v>
      </c>
      <c r="P5437" s="6" t="s">
        <v>51</v>
      </c>
      <c r="Q5437" s="8" t="s">
        <v>52</v>
      </c>
      <c r="R5437" s="10" t="s">
        <v>31280</v>
      </c>
      <c r="S5437" s="11" t="s">
        <v>31281</v>
      </c>
      <c r="T5437" s="6" t="s">
        <v>97</v>
      </c>
      <c r="U5437" s="15" t="str">
        <f>HYPERLINK("https://media.infra-m.ru/2222/2222254/cover/2222254.jpg", "Обложка")</f>
        <v>Обложка</v>
      </c>
      <c r="V5437" s="8" t="s">
        <v>247</v>
      </c>
      <c r="W5437" s="6"/>
      <c r="X5437" s="6"/>
      <c r="Y5437" s="6"/>
      <c r="Z5437" s="6"/>
      <c r="AA5437" s="6" t="s">
        <v>274</v>
      </c>
      <c r="AB5437" s="8"/>
      <c r="AC5437" s="27">
        <v>9785955804040</v>
      </c>
    </row>
    <row r="5438" spans="1:29" s="4" customFormat="1" ht="51.9" customHeight="1" x14ac:dyDescent="0.2">
      <c r="A5438" s="5">
        <v>0</v>
      </c>
      <c r="B5438" s="6" t="s">
        <v>31282</v>
      </c>
      <c r="C5438" s="13">
        <v>893.9</v>
      </c>
      <c r="D5438" s="8" t="s">
        <v>31283</v>
      </c>
      <c r="E5438" s="8" t="s">
        <v>31277</v>
      </c>
      <c r="F5438" s="8" t="s">
        <v>18764</v>
      </c>
      <c r="G5438" s="6" t="s">
        <v>33</v>
      </c>
      <c r="H5438" s="6" t="s">
        <v>34</v>
      </c>
      <c r="I5438" s="8" t="s">
        <v>271</v>
      </c>
      <c r="J5438" s="9">
        <v>1</v>
      </c>
      <c r="K5438" s="9">
        <v>248</v>
      </c>
      <c r="L5438" s="9">
        <v>2019</v>
      </c>
      <c r="M5438" s="8" t="s">
        <v>31284</v>
      </c>
      <c r="N5438" s="8" t="s">
        <v>37</v>
      </c>
      <c r="O5438" s="8" t="s">
        <v>280</v>
      </c>
      <c r="P5438" s="6" t="s">
        <v>51</v>
      </c>
      <c r="Q5438" s="8" t="s">
        <v>52</v>
      </c>
      <c r="R5438" s="10" t="s">
        <v>31273</v>
      </c>
      <c r="S5438" s="11" t="s">
        <v>31285</v>
      </c>
      <c r="T5438" s="6" t="s">
        <v>97</v>
      </c>
      <c r="U5438" s="15" t="str">
        <f>HYPERLINK("https://media.infra-m.ru/1001/1001329/cover/1001329.jpg", "Обложка")</f>
        <v>Обложка</v>
      </c>
      <c r="V5438" s="8" t="s">
        <v>1768</v>
      </c>
      <c r="W5438" s="6"/>
      <c r="X5438" s="6"/>
      <c r="Y5438" s="6"/>
      <c r="Z5438" s="6"/>
      <c r="AA5438" s="6" t="s">
        <v>248</v>
      </c>
      <c r="AB5438" s="8"/>
      <c r="AC5438" s="27">
        <v>9785160094168</v>
      </c>
    </row>
    <row r="5439" spans="1:29" s="4" customFormat="1" ht="51.9" customHeight="1" x14ac:dyDescent="0.2">
      <c r="A5439" s="5">
        <v>0</v>
      </c>
      <c r="B5439" s="6" t="s">
        <v>31286</v>
      </c>
      <c r="C5439" s="13">
        <v>605.9</v>
      </c>
      <c r="D5439" s="8" t="s">
        <v>31287</v>
      </c>
      <c r="E5439" s="8" t="s">
        <v>31277</v>
      </c>
      <c r="F5439" s="8" t="s">
        <v>31288</v>
      </c>
      <c r="G5439" s="6" t="s">
        <v>33</v>
      </c>
      <c r="H5439" s="6" t="s">
        <v>34</v>
      </c>
      <c r="I5439" s="8" t="s">
        <v>271</v>
      </c>
      <c r="J5439" s="9">
        <v>1</v>
      </c>
      <c r="K5439" s="9">
        <v>192</v>
      </c>
      <c r="L5439" s="9">
        <v>2017</v>
      </c>
      <c r="M5439" s="8" t="s">
        <v>31289</v>
      </c>
      <c r="N5439" s="8" t="s">
        <v>37</v>
      </c>
      <c r="O5439" s="8" t="s">
        <v>499</v>
      </c>
      <c r="P5439" s="6" t="s">
        <v>51</v>
      </c>
      <c r="Q5439" s="8" t="s">
        <v>52</v>
      </c>
      <c r="R5439" s="10" t="s">
        <v>12891</v>
      </c>
      <c r="S5439" s="11" t="s">
        <v>282</v>
      </c>
      <c r="T5439" s="6"/>
      <c r="U5439" s="15" t="str">
        <f>HYPERLINK("https://media.infra-m.ru/0945/0945887/cover/945887.jpg", "Обложка")</f>
        <v>Обложка</v>
      </c>
      <c r="V5439" s="8" t="s">
        <v>1083</v>
      </c>
      <c r="W5439" s="6"/>
      <c r="X5439" s="6"/>
      <c r="Y5439" s="6"/>
      <c r="Z5439" s="6"/>
      <c r="AA5439" s="6" t="s">
        <v>129</v>
      </c>
      <c r="AB5439" s="8"/>
      <c r="AC5439" s="27">
        <v>9785160098371</v>
      </c>
    </row>
    <row r="5440" spans="1:29" s="4" customFormat="1" ht="51.9" customHeight="1" x14ac:dyDescent="0.2">
      <c r="A5440" s="5">
        <v>0</v>
      </c>
      <c r="B5440" s="6" t="s">
        <v>31290</v>
      </c>
      <c r="C5440" s="7">
        <v>1336.8</v>
      </c>
      <c r="D5440" s="8" t="s">
        <v>31291</v>
      </c>
      <c r="E5440" s="8" t="s">
        <v>31277</v>
      </c>
      <c r="F5440" s="8" t="s">
        <v>31288</v>
      </c>
      <c r="G5440" s="6" t="s">
        <v>118</v>
      </c>
      <c r="H5440" s="6" t="s">
        <v>34</v>
      </c>
      <c r="I5440" s="8" t="s">
        <v>253</v>
      </c>
      <c r="J5440" s="9">
        <v>1</v>
      </c>
      <c r="K5440" s="9">
        <v>192</v>
      </c>
      <c r="L5440" s="9">
        <v>2026</v>
      </c>
      <c r="M5440" s="8" t="s">
        <v>31292</v>
      </c>
      <c r="N5440" s="8" t="s">
        <v>37</v>
      </c>
      <c r="O5440" s="8" t="s">
        <v>499</v>
      </c>
      <c r="P5440" s="6" t="s">
        <v>51</v>
      </c>
      <c r="Q5440" s="8" t="s">
        <v>52</v>
      </c>
      <c r="R5440" s="10" t="s">
        <v>12891</v>
      </c>
      <c r="S5440" s="11" t="s">
        <v>282</v>
      </c>
      <c r="T5440" s="6"/>
      <c r="U5440" s="15" t="str">
        <f>HYPERLINK("https://media.infra-m.ru/2250/2250937/cover/2250937.jpg", "Обложка")</f>
        <v>Обложка</v>
      </c>
      <c r="V5440" s="8" t="s">
        <v>1083</v>
      </c>
      <c r="W5440" s="6"/>
      <c r="X5440" s="6"/>
      <c r="Y5440" s="6"/>
      <c r="Z5440" s="6"/>
      <c r="AA5440" s="6" t="s">
        <v>129</v>
      </c>
      <c r="AB5440" s="8"/>
      <c r="AC5440" s="27">
        <v>9785160189178</v>
      </c>
    </row>
    <row r="5441" spans="1:29" s="4" customFormat="1" ht="44.1" customHeight="1" x14ac:dyDescent="0.2">
      <c r="A5441" s="5">
        <v>0</v>
      </c>
      <c r="B5441" s="6" t="s">
        <v>31293</v>
      </c>
      <c r="C5441" s="7">
        <v>1536</v>
      </c>
      <c r="D5441" s="8" t="s">
        <v>31294</v>
      </c>
      <c r="E5441" s="8" t="s">
        <v>31295</v>
      </c>
      <c r="F5441" s="8" t="s">
        <v>31296</v>
      </c>
      <c r="G5441" s="6" t="s">
        <v>60</v>
      </c>
      <c r="H5441" s="6" t="s">
        <v>34</v>
      </c>
      <c r="I5441" s="8" t="s">
        <v>253</v>
      </c>
      <c r="J5441" s="9">
        <v>1</v>
      </c>
      <c r="K5441" s="9">
        <v>244</v>
      </c>
      <c r="L5441" s="9">
        <v>2025</v>
      </c>
      <c r="M5441" s="8" t="s">
        <v>31297</v>
      </c>
      <c r="N5441" s="8" t="s">
        <v>37</v>
      </c>
      <c r="O5441" s="8" t="s">
        <v>233</v>
      </c>
      <c r="P5441" s="6" t="s">
        <v>51</v>
      </c>
      <c r="Q5441" s="8" t="s">
        <v>52</v>
      </c>
      <c r="R5441" s="10" t="s">
        <v>31298</v>
      </c>
      <c r="S5441" s="11"/>
      <c r="T5441" s="6"/>
      <c r="U5441" s="15" t="str">
        <f>HYPERLINK("https://media.infra-m.ru/2139/2139203/cover/2139203.jpg", "Обложка")</f>
        <v>Обложка</v>
      </c>
      <c r="V5441" s="8" t="s">
        <v>12917</v>
      </c>
      <c r="W5441" s="6"/>
      <c r="X5441" s="6"/>
      <c r="Y5441" s="6"/>
      <c r="Z5441" s="6"/>
      <c r="AA5441" s="6" t="s">
        <v>68</v>
      </c>
      <c r="AB5441" s="8"/>
      <c r="AC5441" s="27">
        <v>9785160198262</v>
      </c>
    </row>
    <row r="5442" spans="1:29" s="4" customFormat="1" ht="42" customHeight="1" x14ac:dyDescent="0.2">
      <c r="A5442" s="5">
        <v>0</v>
      </c>
      <c r="B5442" s="6" t="s">
        <v>31299</v>
      </c>
      <c r="C5442" s="7">
        <v>1152</v>
      </c>
      <c r="D5442" s="8" t="s">
        <v>31300</v>
      </c>
      <c r="E5442" s="8" t="s">
        <v>31301</v>
      </c>
      <c r="F5442" s="8" t="s">
        <v>31302</v>
      </c>
      <c r="G5442" s="6" t="s">
        <v>118</v>
      </c>
      <c r="H5442" s="6" t="s">
        <v>34</v>
      </c>
      <c r="I5442" s="8" t="s">
        <v>35</v>
      </c>
      <c r="J5442" s="9">
        <v>1</v>
      </c>
      <c r="K5442" s="9">
        <v>213</v>
      </c>
      <c r="L5442" s="9">
        <v>2023</v>
      </c>
      <c r="M5442" s="8" t="s">
        <v>31303</v>
      </c>
      <c r="N5442" s="8" t="s">
        <v>37</v>
      </c>
      <c r="O5442" s="8" t="s">
        <v>233</v>
      </c>
      <c r="P5442" s="6" t="s">
        <v>39</v>
      </c>
      <c r="Q5442" s="8" t="s">
        <v>40</v>
      </c>
      <c r="R5442" s="10" t="s">
        <v>1646</v>
      </c>
      <c r="S5442" s="11"/>
      <c r="T5442" s="6"/>
      <c r="U5442" s="15" t="str">
        <f>HYPERLINK("https://media.infra-m.ru/1903/1903382/cover/1903382.jpg", "Обложка")</f>
        <v>Обложка</v>
      </c>
      <c r="V5442" s="8" t="s">
        <v>657</v>
      </c>
      <c r="W5442" s="6"/>
      <c r="X5442" s="6"/>
      <c r="Y5442" s="6"/>
      <c r="Z5442" s="6"/>
      <c r="AA5442" s="6" t="s">
        <v>99</v>
      </c>
      <c r="AB5442" s="8"/>
      <c r="AC5442" s="27">
        <v>9785160125794</v>
      </c>
    </row>
    <row r="5443" spans="1:29" s="4" customFormat="1" ht="42" customHeight="1" x14ac:dyDescent="0.2">
      <c r="A5443" s="5">
        <v>0</v>
      </c>
      <c r="B5443" s="6" t="s">
        <v>31304</v>
      </c>
      <c r="C5443" s="7">
        <v>1356</v>
      </c>
      <c r="D5443" s="8" t="s">
        <v>31305</v>
      </c>
      <c r="E5443" s="8" t="s">
        <v>31306</v>
      </c>
      <c r="F5443" s="8" t="s">
        <v>31302</v>
      </c>
      <c r="G5443" s="6" t="s">
        <v>33</v>
      </c>
      <c r="H5443" s="6" t="s">
        <v>34</v>
      </c>
      <c r="I5443" s="8" t="s">
        <v>35</v>
      </c>
      <c r="J5443" s="9">
        <v>1</v>
      </c>
      <c r="K5443" s="9">
        <v>213</v>
      </c>
      <c r="L5443" s="9">
        <v>2025</v>
      </c>
      <c r="M5443" s="8" t="s">
        <v>31307</v>
      </c>
      <c r="N5443" s="8" t="s">
        <v>37</v>
      </c>
      <c r="O5443" s="8" t="s">
        <v>233</v>
      </c>
      <c r="P5443" s="6" t="s">
        <v>39</v>
      </c>
      <c r="Q5443" s="8" t="s">
        <v>40</v>
      </c>
      <c r="R5443" s="10" t="s">
        <v>1646</v>
      </c>
      <c r="S5443" s="11"/>
      <c r="T5443" s="6"/>
      <c r="U5443" s="15" t="str">
        <f>HYPERLINK("https://media.infra-m.ru/2191/2191603/cover/2191603.jpg", "Обложка")</f>
        <v>Обложка</v>
      </c>
      <c r="V5443" s="8" t="s">
        <v>657</v>
      </c>
      <c r="W5443" s="6"/>
      <c r="X5443" s="6"/>
      <c r="Y5443" s="6"/>
      <c r="Z5443" s="6"/>
      <c r="AA5443" s="6" t="s">
        <v>99</v>
      </c>
      <c r="AB5443" s="8"/>
      <c r="AC5443" s="27">
        <v>9785160207636</v>
      </c>
    </row>
    <row r="5444" spans="1:29" s="4" customFormat="1" ht="51.9" customHeight="1" x14ac:dyDescent="0.2">
      <c r="A5444" s="5">
        <v>0</v>
      </c>
      <c r="B5444" s="6" t="s">
        <v>31308</v>
      </c>
      <c r="C5444" s="7">
        <v>1553.9</v>
      </c>
      <c r="D5444" s="8" t="s">
        <v>31309</v>
      </c>
      <c r="E5444" s="8" t="s">
        <v>31310</v>
      </c>
      <c r="F5444" s="8" t="s">
        <v>31311</v>
      </c>
      <c r="G5444" s="6" t="s">
        <v>33</v>
      </c>
      <c r="H5444" s="6" t="s">
        <v>34</v>
      </c>
      <c r="I5444" s="8" t="s">
        <v>35</v>
      </c>
      <c r="J5444" s="9">
        <v>1</v>
      </c>
      <c r="K5444" s="9">
        <v>286</v>
      </c>
      <c r="L5444" s="9">
        <v>2023</v>
      </c>
      <c r="M5444" s="8" t="s">
        <v>31312</v>
      </c>
      <c r="N5444" s="8" t="s">
        <v>585</v>
      </c>
      <c r="O5444" s="8" t="s">
        <v>1518</v>
      </c>
      <c r="P5444" s="6" t="s">
        <v>39</v>
      </c>
      <c r="Q5444" s="8" t="s">
        <v>40</v>
      </c>
      <c r="R5444" s="10" t="s">
        <v>31313</v>
      </c>
      <c r="S5444" s="11"/>
      <c r="T5444" s="6"/>
      <c r="U5444" s="15" t="str">
        <f>HYPERLINK("https://media.infra-m.ru/1864/1864185/cover/1864185.jpg", "Обложка")</f>
        <v>Обложка</v>
      </c>
      <c r="V5444" s="8" t="s">
        <v>14780</v>
      </c>
      <c r="W5444" s="6"/>
      <c r="X5444" s="6"/>
      <c r="Y5444" s="6"/>
      <c r="Z5444" s="6"/>
      <c r="AA5444" s="6" t="s">
        <v>274</v>
      </c>
      <c r="AB5444" s="8"/>
      <c r="AC5444" s="27">
        <v>9785160112152</v>
      </c>
    </row>
    <row r="5445" spans="1:29" s="4" customFormat="1" ht="51.9" customHeight="1" x14ac:dyDescent="0.2">
      <c r="A5445" s="5">
        <v>0</v>
      </c>
      <c r="B5445" s="6" t="s">
        <v>31314</v>
      </c>
      <c r="C5445" s="7">
        <v>3898.8</v>
      </c>
      <c r="D5445" s="8" t="s">
        <v>31315</v>
      </c>
      <c r="E5445" s="8" t="s">
        <v>31316</v>
      </c>
      <c r="F5445" s="8" t="s">
        <v>31317</v>
      </c>
      <c r="G5445" s="6" t="s">
        <v>118</v>
      </c>
      <c r="H5445" s="6" t="s">
        <v>34</v>
      </c>
      <c r="I5445" s="8" t="s">
        <v>35</v>
      </c>
      <c r="J5445" s="9">
        <v>1</v>
      </c>
      <c r="K5445" s="9">
        <v>299</v>
      </c>
      <c r="L5445" s="9">
        <v>2027</v>
      </c>
      <c r="M5445" s="8" t="s">
        <v>31318</v>
      </c>
      <c r="N5445" s="8" t="s">
        <v>243</v>
      </c>
      <c r="O5445" s="8" t="s">
        <v>385</v>
      </c>
      <c r="P5445" s="6" t="s">
        <v>39</v>
      </c>
      <c r="Q5445" s="8" t="s">
        <v>40</v>
      </c>
      <c r="R5445" s="10" t="s">
        <v>31319</v>
      </c>
      <c r="S5445" s="11"/>
      <c r="T5445" s="6"/>
      <c r="U5445" s="15" t="str">
        <f>HYPERLINK("https://media.infra-m.ru/2266/2266076/cover/2266076.jpg", "Обложка")</f>
        <v>Обложка</v>
      </c>
      <c r="V5445" s="8" t="s">
        <v>8054</v>
      </c>
      <c r="W5445" s="6"/>
      <c r="X5445" s="6"/>
      <c r="Y5445" s="6"/>
      <c r="Z5445" s="6"/>
      <c r="AA5445" s="6" t="s">
        <v>157</v>
      </c>
      <c r="AB5445" s="8" t="s">
        <v>4899</v>
      </c>
      <c r="AC5445" s="27">
        <v>9785160182476</v>
      </c>
    </row>
    <row r="5446" spans="1:29" s="4" customFormat="1" ht="51.9" customHeight="1" x14ac:dyDescent="0.2">
      <c r="A5446" s="5">
        <v>0</v>
      </c>
      <c r="B5446" s="6" t="s">
        <v>31320</v>
      </c>
      <c r="C5446" s="13">
        <v>996</v>
      </c>
      <c r="D5446" s="8" t="s">
        <v>31321</v>
      </c>
      <c r="E5446" s="8" t="s">
        <v>31322</v>
      </c>
      <c r="F5446" s="8" t="s">
        <v>14402</v>
      </c>
      <c r="G5446" s="6" t="s">
        <v>33</v>
      </c>
      <c r="H5446" s="6" t="s">
        <v>313</v>
      </c>
      <c r="I5446" s="8" t="s">
        <v>35</v>
      </c>
      <c r="J5446" s="9">
        <v>1</v>
      </c>
      <c r="K5446" s="9">
        <v>150</v>
      </c>
      <c r="L5446" s="9">
        <v>2026</v>
      </c>
      <c r="M5446" s="8" t="s">
        <v>31323</v>
      </c>
      <c r="N5446" s="8" t="s">
        <v>37</v>
      </c>
      <c r="O5446" s="8" t="s">
        <v>38</v>
      </c>
      <c r="P5446" s="6" t="s">
        <v>39</v>
      </c>
      <c r="Q5446" s="8" t="s">
        <v>749</v>
      </c>
      <c r="R5446" s="10" t="s">
        <v>31324</v>
      </c>
      <c r="S5446" s="11"/>
      <c r="T5446" s="6"/>
      <c r="U5446" s="15" t="str">
        <f>HYPERLINK("https://media.infra-m.ru/2231/2231464/cover/2231464.jpg", "Обложка")</f>
        <v>Обложка</v>
      </c>
      <c r="V5446" s="8" t="s">
        <v>1030</v>
      </c>
      <c r="W5446" s="6"/>
      <c r="X5446" s="6"/>
      <c r="Y5446" s="6"/>
      <c r="Z5446" s="6"/>
      <c r="AA5446" s="6" t="s">
        <v>779</v>
      </c>
      <c r="AB5446" s="8"/>
      <c r="AC5446" s="27">
        <v>9785369014608</v>
      </c>
    </row>
    <row r="5447" spans="1:29" s="4" customFormat="1" ht="44.1" customHeight="1" x14ac:dyDescent="0.2">
      <c r="A5447" s="5">
        <v>0</v>
      </c>
      <c r="B5447" s="6" t="s">
        <v>31325</v>
      </c>
      <c r="C5447" s="13">
        <v>856.8</v>
      </c>
      <c r="D5447" s="8" t="s">
        <v>31326</v>
      </c>
      <c r="E5447" s="8" t="s">
        <v>31327</v>
      </c>
      <c r="F5447" s="8" t="s">
        <v>31328</v>
      </c>
      <c r="G5447" s="6" t="s">
        <v>33</v>
      </c>
      <c r="H5447" s="6" t="s">
        <v>34</v>
      </c>
      <c r="I5447" s="8" t="s">
        <v>6570</v>
      </c>
      <c r="J5447" s="9">
        <v>1</v>
      </c>
      <c r="K5447" s="9">
        <v>157</v>
      </c>
      <c r="L5447" s="9">
        <v>2023</v>
      </c>
      <c r="M5447" s="8" t="s">
        <v>31329</v>
      </c>
      <c r="N5447" s="8" t="s">
        <v>37</v>
      </c>
      <c r="O5447" s="8" t="s">
        <v>233</v>
      </c>
      <c r="P5447" s="6" t="s">
        <v>39</v>
      </c>
      <c r="Q5447" s="8" t="s">
        <v>40</v>
      </c>
      <c r="R5447" s="10" t="s">
        <v>21172</v>
      </c>
      <c r="S5447" s="11"/>
      <c r="T5447" s="6"/>
      <c r="U5447" s="15" t="str">
        <f>HYPERLINK("https://media.infra-m.ru/2021/2021465/cover/2021465.jpg", "Обложка")</f>
        <v>Обложка</v>
      </c>
      <c r="V5447" s="8" t="s">
        <v>247</v>
      </c>
      <c r="W5447" s="6"/>
      <c r="X5447" s="6"/>
      <c r="Y5447" s="6"/>
      <c r="Z5447" s="6"/>
      <c r="AA5447" s="6" t="s">
        <v>115</v>
      </c>
      <c r="AB5447" s="8"/>
      <c r="AC5447" s="27">
        <v>9785160142609</v>
      </c>
    </row>
    <row r="5448" spans="1:29" s="4" customFormat="1" ht="44.1" customHeight="1" x14ac:dyDescent="0.2">
      <c r="A5448" s="5">
        <v>0</v>
      </c>
      <c r="B5448" s="6" t="s">
        <v>31330</v>
      </c>
      <c r="C5448" s="7">
        <v>1024.8</v>
      </c>
      <c r="D5448" s="8" t="s">
        <v>31331</v>
      </c>
      <c r="E5448" s="8" t="s">
        <v>31332</v>
      </c>
      <c r="F5448" s="8" t="s">
        <v>31333</v>
      </c>
      <c r="G5448" s="6" t="s">
        <v>33</v>
      </c>
      <c r="H5448" s="6" t="s">
        <v>241</v>
      </c>
      <c r="I5448" s="8" t="s">
        <v>3496</v>
      </c>
      <c r="J5448" s="9">
        <v>1</v>
      </c>
      <c r="K5448" s="9">
        <v>154</v>
      </c>
      <c r="L5448" s="9">
        <v>2026</v>
      </c>
      <c r="M5448" s="8" t="s">
        <v>31334</v>
      </c>
      <c r="N5448" s="8" t="s">
        <v>243</v>
      </c>
      <c r="O5448" s="8" t="s">
        <v>758</v>
      </c>
      <c r="P5448" s="6" t="s">
        <v>39</v>
      </c>
      <c r="Q5448" s="8" t="s">
        <v>40</v>
      </c>
      <c r="R5448" s="10" t="s">
        <v>31335</v>
      </c>
      <c r="S5448" s="11"/>
      <c r="T5448" s="6"/>
      <c r="U5448" s="15" t="str">
        <f>HYPERLINK("https://media.infra-m.ru/2233/2233528/cover/2233528.jpg", "Обложка")</f>
        <v>Обложка</v>
      </c>
      <c r="V5448" s="8" t="s">
        <v>217</v>
      </c>
      <c r="W5448" s="6"/>
      <c r="X5448" s="6"/>
      <c r="Y5448" s="6"/>
      <c r="Z5448" s="6"/>
      <c r="AA5448" s="6" t="s">
        <v>86</v>
      </c>
      <c r="AB5448" s="8"/>
      <c r="AC5448" s="27">
        <v>9785955805986</v>
      </c>
    </row>
    <row r="5449" spans="1:29" s="4" customFormat="1" ht="42" customHeight="1" x14ac:dyDescent="0.2">
      <c r="A5449" s="5">
        <v>0</v>
      </c>
      <c r="B5449" s="6" t="s">
        <v>31336</v>
      </c>
      <c r="C5449" s="13">
        <v>900</v>
      </c>
      <c r="D5449" s="8" t="s">
        <v>31337</v>
      </c>
      <c r="E5449" s="8" t="s">
        <v>31338</v>
      </c>
      <c r="F5449" s="8" t="s">
        <v>31339</v>
      </c>
      <c r="G5449" s="6" t="s">
        <v>33</v>
      </c>
      <c r="H5449" s="6" t="s">
        <v>34</v>
      </c>
      <c r="I5449" s="8" t="s">
        <v>35</v>
      </c>
      <c r="J5449" s="9">
        <v>1</v>
      </c>
      <c r="K5449" s="9">
        <v>192</v>
      </c>
      <c r="L5449" s="9">
        <v>2022</v>
      </c>
      <c r="M5449" s="8" t="s">
        <v>31340</v>
      </c>
      <c r="N5449" s="8" t="s">
        <v>243</v>
      </c>
      <c r="O5449" s="8" t="s">
        <v>758</v>
      </c>
      <c r="P5449" s="6" t="s">
        <v>39</v>
      </c>
      <c r="Q5449" s="8" t="s">
        <v>40</v>
      </c>
      <c r="R5449" s="10" t="s">
        <v>1576</v>
      </c>
      <c r="S5449" s="11"/>
      <c r="T5449" s="6"/>
      <c r="U5449" s="15" t="str">
        <f>HYPERLINK("https://media.infra-m.ru/1836/1836738/cover/1836738.jpg", "Обложка")</f>
        <v>Обложка</v>
      </c>
      <c r="V5449" s="8" t="s">
        <v>3693</v>
      </c>
      <c r="W5449" s="6"/>
      <c r="X5449" s="6"/>
      <c r="Y5449" s="6"/>
      <c r="Z5449" s="6"/>
      <c r="AA5449" s="6" t="s">
        <v>86</v>
      </c>
      <c r="AB5449" s="8"/>
      <c r="AC5449" s="27">
        <v>9785160138022</v>
      </c>
    </row>
    <row r="5450" spans="1:29" s="4" customFormat="1" ht="42" customHeight="1" x14ac:dyDescent="0.2">
      <c r="A5450" s="5">
        <v>0</v>
      </c>
      <c r="B5450" s="6" t="s">
        <v>31341</v>
      </c>
      <c r="C5450" s="7">
        <v>2820</v>
      </c>
      <c r="D5450" s="8" t="s">
        <v>31342</v>
      </c>
      <c r="E5450" s="8" t="s">
        <v>31343</v>
      </c>
      <c r="F5450" s="8" t="s">
        <v>12153</v>
      </c>
      <c r="G5450" s="6" t="s">
        <v>60</v>
      </c>
      <c r="H5450" s="6" t="s">
        <v>34</v>
      </c>
      <c r="I5450" s="8" t="s">
        <v>35</v>
      </c>
      <c r="J5450" s="9">
        <v>1</v>
      </c>
      <c r="K5450" s="9">
        <v>426</v>
      </c>
      <c r="L5450" s="9">
        <v>2026</v>
      </c>
      <c r="M5450" s="8" t="s">
        <v>31344</v>
      </c>
      <c r="N5450" s="8" t="s">
        <v>243</v>
      </c>
      <c r="O5450" s="8" t="s">
        <v>758</v>
      </c>
      <c r="P5450" s="6" t="s">
        <v>39</v>
      </c>
      <c r="Q5450" s="8" t="s">
        <v>40</v>
      </c>
      <c r="R5450" s="10" t="s">
        <v>31345</v>
      </c>
      <c r="S5450" s="11"/>
      <c r="T5450" s="6" t="s">
        <v>97</v>
      </c>
      <c r="U5450" s="15" t="str">
        <f>HYPERLINK("https://media.infra-m.ru/2206/2206500/cover/2206500.jpg", "Обложка")</f>
        <v>Обложка</v>
      </c>
      <c r="V5450" s="8" t="s">
        <v>1206</v>
      </c>
      <c r="W5450" s="6" t="s">
        <v>547</v>
      </c>
      <c r="X5450" s="6"/>
      <c r="Y5450" s="6"/>
      <c r="Z5450" s="6"/>
      <c r="AA5450" s="6" t="s">
        <v>917</v>
      </c>
      <c r="AB5450" s="8"/>
      <c r="AC5450" s="27">
        <v>9785160209456</v>
      </c>
    </row>
    <row r="5451" spans="1:29" s="4" customFormat="1" ht="42" customHeight="1" x14ac:dyDescent="0.2">
      <c r="A5451" s="5">
        <v>0</v>
      </c>
      <c r="B5451" s="6" t="s">
        <v>31346</v>
      </c>
      <c r="C5451" s="7">
        <v>2356.8000000000002</v>
      </c>
      <c r="D5451" s="8" t="s">
        <v>31347</v>
      </c>
      <c r="E5451" s="8" t="s">
        <v>31348</v>
      </c>
      <c r="F5451" s="8" t="s">
        <v>12153</v>
      </c>
      <c r="G5451" s="6" t="s">
        <v>60</v>
      </c>
      <c r="H5451" s="6" t="s">
        <v>34</v>
      </c>
      <c r="I5451" s="8" t="s">
        <v>35</v>
      </c>
      <c r="J5451" s="9">
        <v>1</v>
      </c>
      <c r="K5451" s="9">
        <v>392</v>
      </c>
      <c r="L5451" s="9">
        <v>2025</v>
      </c>
      <c r="M5451" s="8" t="s">
        <v>31349</v>
      </c>
      <c r="N5451" s="8" t="s">
        <v>243</v>
      </c>
      <c r="O5451" s="8" t="s">
        <v>758</v>
      </c>
      <c r="P5451" s="6" t="s">
        <v>39</v>
      </c>
      <c r="Q5451" s="8" t="s">
        <v>40</v>
      </c>
      <c r="R5451" s="10" t="s">
        <v>31345</v>
      </c>
      <c r="S5451" s="11"/>
      <c r="T5451" s="6"/>
      <c r="U5451" s="15" t="str">
        <f>HYPERLINK("https://media.infra-m.ru/2176/2176184/cover/2176184.jpg", "Обложка")</f>
        <v>Обложка</v>
      </c>
      <c r="V5451" s="8" t="s">
        <v>1206</v>
      </c>
      <c r="W5451" s="6"/>
      <c r="X5451" s="6"/>
      <c r="Y5451" s="6"/>
      <c r="Z5451" s="6"/>
      <c r="AA5451" s="6" t="s">
        <v>148</v>
      </c>
      <c r="AB5451" s="8"/>
      <c r="AC5451" s="27">
        <v>9785160168685</v>
      </c>
    </row>
    <row r="5452" spans="1:29" s="4" customFormat="1" ht="42" customHeight="1" x14ac:dyDescent="0.2">
      <c r="A5452" s="5">
        <v>0</v>
      </c>
      <c r="B5452" s="6" t="s">
        <v>31350</v>
      </c>
      <c r="C5452" s="7">
        <v>1176</v>
      </c>
      <c r="D5452" s="8" t="s">
        <v>31351</v>
      </c>
      <c r="E5452" s="8" t="s">
        <v>31352</v>
      </c>
      <c r="F5452" s="8" t="s">
        <v>12287</v>
      </c>
      <c r="G5452" s="6" t="s">
        <v>33</v>
      </c>
      <c r="H5452" s="6" t="s">
        <v>34</v>
      </c>
      <c r="I5452" s="8"/>
      <c r="J5452" s="9">
        <v>1</v>
      </c>
      <c r="K5452" s="9">
        <v>260</v>
      </c>
      <c r="L5452" s="9">
        <v>2022</v>
      </c>
      <c r="M5452" s="8" t="s">
        <v>31353</v>
      </c>
      <c r="N5452" s="8" t="s">
        <v>23059</v>
      </c>
      <c r="O5452" s="8" t="s">
        <v>31354</v>
      </c>
      <c r="P5452" s="6" t="s">
        <v>10093</v>
      </c>
      <c r="Q5452" s="8" t="s">
        <v>3587</v>
      </c>
      <c r="R5452" s="10" t="s">
        <v>53</v>
      </c>
      <c r="S5452" s="11"/>
      <c r="T5452" s="6"/>
      <c r="U5452" s="15" t="str">
        <f>HYPERLINK("https://media.infra-m.ru/1132/1132708/cover/1132708.jpg", "Обложка")</f>
        <v>Обложка</v>
      </c>
      <c r="V5452" s="8" t="s">
        <v>546</v>
      </c>
      <c r="W5452" s="6"/>
      <c r="X5452" s="6"/>
      <c r="Y5452" s="6"/>
      <c r="Z5452" s="6"/>
      <c r="AA5452" s="6" t="s">
        <v>86</v>
      </c>
      <c r="AB5452" s="8"/>
      <c r="AC5452" s="27">
        <v>9785160138527</v>
      </c>
    </row>
    <row r="5453" spans="1:29" s="4" customFormat="1" ht="42" customHeight="1" x14ac:dyDescent="0.2">
      <c r="A5453" s="5">
        <v>0</v>
      </c>
      <c r="B5453" s="6" t="s">
        <v>31355</v>
      </c>
      <c r="C5453" s="7">
        <v>1452</v>
      </c>
      <c r="D5453" s="8" t="s">
        <v>31356</v>
      </c>
      <c r="E5453" s="8" t="s">
        <v>31357</v>
      </c>
      <c r="F5453" s="8" t="s">
        <v>9391</v>
      </c>
      <c r="G5453" s="6" t="s">
        <v>118</v>
      </c>
      <c r="H5453" s="6" t="s">
        <v>34</v>
      </c>
      <c r="I5453" s="8" t="s">
        <v>288</v>
      </c>
      <c r="J5453" s="9">
        <v>1</v>
      </c>
      <c r="K5453" s="9">
        <v>197</v>
      </c>
      <c r="L5453" s="9">
        <v>2026</v>
      </c>
      <c r="M5453" s="8" t="s">
        <v>31358</v>
      </c>
      <c r="N5453" s="8" t="s">
        <v>37</v>
      </c>
      <c r="O5453" s="8" t="s">
        <v>290</v>
      </c>
      <c r="P5453" s="6" t="s">
        <v>51</v>
      </c>
      <c r="Q5453" s="8" t="s">
        <v>65</v>
      </c>
      <c r="R5453" s="10" t="s">
        <v>31359</v>
      </c>
      <c r="S5453" s="11"/>
      <c r="T5453" s="6"/>
      <c r="U5453" s="15" t="str">
        <f>HYPERLINK("https://media.infra-m.ru/2238/2238054/cover/2238054.jpg", "Обложка")</f>
        <v>Обложка</v>
      </c>
      <c r="V5453" s="8" t="s">
        <v>292</v>
      </c>
      <c r="W5453" s="6"/>
      <c r="X5453" s="6"/>
      <c r="Y5453" s="6"/>
      <c r="Z5453" s="6"/>
      <c r="AA5453" s="6" t="s">
        <v>68</v>
      </c>
      <c r="AB5453" s="8" t="s">
        <v>12037</v>
      </c>
      <c r="AC5453" s="27">
        <v>9785160198217</v>
      </c>
    </row>
    <row r="5454" spans="1:29" s="4" customFormat="1" ht="42" customHeight="1" x14ac:dyDescent="0.2">
      <c r="A5454" s="5">
        <v>0</v>
      </c>
      <c r="B5454" s="6" t="s">
        <v>31360</v>
      </c>
      <c r="C5454" s="7">
        <v>1392</v>
      </c>
      <c r="D5454" s="8" t="s">
        <v>31361</v>
      </c>
      <c r="E5454" s="8" t="s">
        <v>31362</v>
      </c>
      <c r="F5454" s="8" t="s">
        <v>31363</v>
      </c>
      <c r="G5454" s="6" t="s">
        <v>118</v>
      </c>
      <c r="H5454" s="6" t="s">
        <v>820</v>
      </c>
      <c r="I5454" s="8"/>
      <c r="J5454" s="9">
        <v>1</v>
      </c>
      <c r="K5454" s="9">
        <v>184</v>
      </c>
      <c r="L5454" s="9">
        <v>2026</v>
      </c>
      <c r="M5454" s="8" t="s">
        <v>31364</v>
      </c>
      <c r="N5454" s="8" t="s">
        <v>243</v>
      </c>
      <c r="O5454" s="8" t="s">
        <v>244</v>
      </c>
      <c r="P5454" s="6" t="s">
        <v>51</v>
      </c>
      <c r="Q5454" s="8" t="s">
        <v>52</v>
      </c>
      <c r="R5454" s="10" t="s">
        <v>31365</v>
      </c>
      <c r="S5454" s="11"/>
      <c r="T5454" s="6"/>
      <c r="U5454" s="15" t="str">
        <f>HYPERLINK("https://media.infra-m.ru/2232/2232194/cover/2232194.jpg", "Обложка")</f>
        <v>Обложка</v>
      </c>
      <c r="V5454" s="8" t="s">
        <v>1908</v>
      </c>
      <c r="W5454" s="6"/>
      <c r="X5454" s="6"/>
      <c r="Y5454" s="6"/>
      <c r="Z5454" s="6"/>
      <c r="AA5454" s="6" t="s">
        <v>99</v>
      </c>
      <c r="AB5454" s="8"/>
      <c r="AC5454" s="27">
        <v>9785906923233</v>
      </c>
    </row>
    <row r="5455" spans="1:29" s="4" customFormat="1" ht="42" customHeight="1" x14ac:dyDescent="0.2">
      <c r="A5455" s="5">
        <v>0</v>
      </c>
      <c r="B5455" s="6" t="s">
        <v>31366</v>
      </c>
      <c r="C5455" s="7">
        <v>1492.8</v>
      </c>
      <c r="D5455" s="8" t="s">
        <v>31367</v>
      </c>
      <c r="E5455" s="8" t="s">
        <v>31368</v>
      </c>
      <c r="F5455" s="8" t="s">
        <v>9391</v>
      </c>
      <c r="G5455" s="6" t="s">
        <v>60</v>
      </c>
      <c r="H5455" s="6" t="s">
        <v>34</v>
      </c>
      <c r="I5455" s="8" t="s">
        <v>288</v>
      </c>
      <c r="J5455" s="9">
        <v>1</v>
      </c>
      <c r="K5455" s="9">
        <v>220</v>
      </c>
      <c r="L5455" s="9">
        <v>2025</v>
      </c>
      <c r="M5455" s="8" t="s">
        <v>31369</v>
      </c>
      <c r="N5455" s="8" t="s">
        <v>37</v>
      </c>
      <c r="O5455" s="8" t="s">
        <v>290</v>
      </c>
      <c r="P5455" s="6" t="s">
        <v>51</v>
      </c>
      <c r="Q5455" s="8" t="s">
        <v>65</v>
      </c>
      <c r="R5455" s="10" t="s">
        <v>31370</v>
      </c>
      <c r="S5455" s="11"/>
      <c r="T5455" s="6"/>
      <c r="U5455" s="15" t="str">
        <f>HYPERLINK("https://media.infra-m.ru/2213/2213206/cover/2213206.jpg", "Обложка")</f>
        <v>Обложка</v>
      </c>
      <c r="V5455" s="8" t="s">
        <v>292</v>
      </c>
      <c r="W5455" s="6"/>
      <c r="X5455" s="6"/>
      <c r="Y5455" s="6"/>
      <c r="Z5455" s="6"/>
      <c r="AA5455" s="6" t="s">
        <v>68</v>
      </c>
      <c r="AB5455" s="8"/>
      <c r="AC5455" s="27">
        <v>9785160206301</v>
      </c>
    </row>
    <row r="5456" spans="1:29" s="4" customFormat="1" ht="44.1" customHeight="1" x14ac:dyDescent="0.2">
      <c r="A5456" s="5">
        <v>0</v>
      </c>
      <c r="B5456" s="6" t="s">
        <v>31371</v>
      </c>
      <c r="C5456" s="7">
        <v>1500</v>
      </c>
      <c r="D5456" s="8" t="s">
        <v>31372</v>
      </c>
      <c r="E5456" s="8" t="s">
        <v>31373</v>
      </c>
      <c r="F5456" s="8" t="s">
        <v>31374</v>
      </c>
      <c r="G5456" s="6" t="s">
        <v>60</v>
      </c>
      <c r="H5456" s="6" t="s">
        <v>34</v>
      </c>
      <c r="I5456" s="8" t="s">
        <v>1248</v>
      </c>
      <c r="J5456" s="9">
        <v>1</v>
      </c>
      <c r="K5456" s="9">
        <v>217</v>
      </c>
      <c r="L5456" s="9">
        <v>2026</v>
      </c>
      <c r="M5456" s="8" t="s">
        <v>31375</v>
      </c>
      <c r="N5456" s="8" t="s">
        <v>243</v>
      </c>
      <c r="O5456" s="8" t="s">
        <v>758</v>
      </c>
      <c r="P5456" s="6" t="s">
        <v>51</v>
      </c>
      <c r="Q5456" s="8" t="s">
        <v>65</v>
      </c>
      <c r="R5456" s="10" t="s">
        <v>31376</v>
      </c>
      <c r="S5456" s="11"/>
      <c r="T5456" s="6"/>
      <c r="U5456" s="15" t="str">
        <f>HYPERLINK("https://media.infra-m.ru/2223/2223580/cover/2223580.jpg", "Обложка")</f>
        <v>Обложка</v>
      </c>
      <c r="V5456" s="8" t="s">
        <v>1083</v>
      </c>
      <c r="W5456" s="6" t="s">
        <v>186</v>
      </c>
      <c r="X5456" s="6"/>
      <c r="Y5456" s="6"/>
      <c r="Z5456" s="6"/>
      <c r="AA5456" s="6" t="s">
        <v>187</v>
      </c>
      <c r="AB5456" s="8"/>
      <c r="AC5456" s="27">
        <v>9785160213989</v>
      </c>
    </row>
    <row r="5457" spans="1:29" s="4" customFormat="1" ht="51.9" customHeight="1" x14ac:dyDescent="0.2">
      <c r="A5457" s="5">
        <v>0</v>
      </c>
      <c r="B5457" s="6" t="s">
        <v>31377</v>
      </c>
      <c r="C5457" s="13">
        <v>864</v>
      </c>
      <c r="D5457" s="8" t="s">
        <v>31378</v>
      </c>
      <c r="E5457" s="8" t="s">
        <v>31379</v>
      </c>
      <c r="F5457" s="8" t="s">
        <v>31380</v>
      </c>
      <c r="G5457" s="6" t="s">
        <v>33</v>
      </c>
      <c r="H5457" s="6" t="s">
        <v>34</v>
      </c>
      <c r="I5457" s="8" t="s">
        <v>954</v>
      </c>
      <c r="J5457" s="9">
        <v>1</v>
      </c>
      <c r="K5457" s="9">
        <v>124</v>
      </c>
      <c r="L5457" s="9">
        <v>2026</v>
      </c>
      <c r="M5457" s="8" t="s">
        <v>31381</v>
      </c>
      <c r="N5457" s="8" t="s">
        <v>37</v>
      </c>
      <c r="O5457" s="8" t="s">
        <v>290</v>
      </c>
      <c r="P5457" s="6" t="s">
        <v>51</v>
      </c>
      <c r="Q5457" s="8" t="s">
        <v>65</v>
      </c>
      <c r="R5457" s="10" t="s">
        <v>31382</v>
      </c>
      <c r="S5457" s="11" t="s">
        <v>31383</v>
      </c>
      <c r="T5457" s="6"/>
      <c r="U5457" s="15" t="str">
        <f>HYPERLINK("https://media.infra-m.ru/2215/2215745/cover/2215745.jpg", "Обложка")</f>
        <v>Обложка</v>
      </c>
      <c r="V5457" s="8" t="s">
        <v>958</v>
      </c>
      <c r="W5457" s="6"/>
      <c r="X5457" s="6"/>
      <c r="Y5457" s="6"/>
      <c r="Z5457" s="6"/>
      <c r="AA5457" s="6" t="s">
        <v>115</v>
      </c>
      <c r="AB5457" s="8"/>
      <c r="AC5457" s="27">
        <v>9785160150581</v>
      </c>
    </row>
    <row r="5458" spans="1:29" s="4" customFormat="1" ht="42" customHeight="1" x14ac:dyDescent="0.2">
      <c r="A5458" s="5">
        <v>0</v>
      </c>
      <c r="B5458" s="6" t="s">
        <v>31384</v>
      </c>
      <c r="C5458" s="7">
        <v>1060.8</v>
      </c>
      <c r="D5458" s="8" t="s">
        <v>31385</v>
      </c>
      <c r="E5458" s="8" t="s">
        <v>31386</v>
      </c>
      <c r="F5458" s="8" t="s">
        <v>31387</v>
      </c>
      <c r="G5458" s="6" t="s">
        <v>33</v>
      </c>
      <c r="H5458" s="6" t="s">
        <v>241</v>
      </c>
      <c r="I5458" s="8" t="s">
        <v>241</v>
      </c>
      <c r="J5458" s="9">
        <v>1</v>
      </c>
      <c r="K5458" s="9">
        <v>160</v>
      </c>
      <c r="L5458" s="9">
        <v>2026</v>
      </c>
      <c r="M5458" s="8" t="s">
        <v>31388</v>
      </c>
      <c r="N5458" s="8" t="s">
        <v>37</v>
      </c>
      <c r="O5458" s="8" t="s">
        <v>50</v>
      </c>
      <c r="P5458" s="6" t="s">
        <v>4401</v>
      </c>
      <c r="Q5458" s="8" t="s">
        <v>52</v>
      </c>
      <c r="R5458" s="10" t="s">
        <v>31389</v>
      </c>
      <c r="S5458" s="11"/>
      <c r="T5458" s="6"/>
      <c r="U5458" s="15" t="str">
        <f>HYPERLINK("https://media.infra-m.ru/2219/2219337/cover/2219337.jpg", "Обложка")</f>
        <v>Обложка</v>
      </c>
      <c r="V5458" s="8" t="s">
        <v>247</v>
      </c>
      <c r="W5458" s="6"/>
      <c r="X5458" s="6"/>
      <c r="Y5458" s="6"/>
      <c r="Z5458" s="6"/>
      <c r="AA5458" s="6" t="s">
        <v>360</v>
      </c>
      <c r="AB5458" s="8"/>
      <c r="AC5458" s="27">
        <v>9785955804743</v>
      </c>
    </row>
    <row r="5459" spans="1:29" s="4" customFormat="1" ht="51.9" customHeight="1" x14ac:dyDescent="0.2">
      <c r="A5459" s="5">
        <v>0</v>
      </c>
      <c r="B5459" s="6" t="s">
        <v>31390</v>
      </c>
      <c r="C5459" s="7">
        <v>1560</v>
      </c>
      <c r="D5459" s="8" t="s">
        <v>31391</v>
      </c>
      <c r="E5459" s="8" t="s">
        <v>31392</v>
      </c>
      <c r="F5459" s="8" t="s">
        <v>9391</v>
      </c>
      <c r="G5459" s="6" t="s">
        <v>118</v>
      </c>
      <c r="H5459" s="6" t="s">
        <v>34</v>
      </c>
      <c r="I5459" s="8" t="s">
        <v>288</v>
      </c>
      <c r="J5459" s="9">
        <v>1</v>
      </c>
      <c r="K5459" s="9">
        <v>235</v>
      </c>
      <c r="L5459" s="9">
        <v>2026</v>
      </c>
      <c r="M5459" s="8" t="s">
        <v>31393</v>
      </c>
      <c r="N5459" s="8" t="s">
        <v>37</v>
      </c>
      <c r="O5459" s="8" t="s">
        <v>136</v>
      </c>
      <c r="P5459" s="6" t="s">
        <v>51</v>
      </c>
      <c r="Q5459" s="8" t="s">
        <v>52</v>
      </c>
      <c r="R5459" s="10" t="s">
        <v>31394</v>
      </c>
      <c r="S5459" s="11"/>
      <c r="T5459" s="6"/>
      <c r="U5459" s="15" t="str">
        <f>HYPERLINK("https://media.infra-m.ru/2221/2221700/cover/2221700.jpg", "Обложка")</f>
        <v>Обложка</v>
      </c>
      <c r="V5459" s="8" t="s">
        <v>292</v>
      </c>
      <c r="W5459" s="6"/>
      <c r="X5459" s="6"/>
      <c r="Y5459" s="6"/>
      <c r="Z5459" s="6"/>
      <c r="AA5459" s="6" t="s">
        <v>68</v>
      </c>
      <c r="AB5459" s="8"/>
      <c r="AC5459" s="27">
        <v>9785160199269</v>
      </c>
    </row>
    <row r="5460" spans="1:29" s="4" customFormat="1" ht="51.9" customHeight="1" x14ac:dyDescent="0.2">
      <c r="A5460" s="5">
        <v>0</v>
      </c>
      <c r="B5460" s="6" t="s">
        <v>31395</v>
      </c>
      <c r="C5460" s="7">
        <v>1080</v>
      </c>
      <c r="D5460" s="8" t="s">
        <v>31396</v>
      </c>
      <c r="E5460" s="8" t="s">
        <v>31397</v>
      </c>
      <c r="F5460" s="8" t="s">
        <v>31398</v>
      </c>
      <c r="G5460" s="6" t="s">
        <v>118</v>
      </c>
      <c r="H5460" s="6" t="s">
        <v>34</v>
      </c>
      <c r="I5460" s="8" t="s">
        <v>5350</v>
      </c>
      <c r="J5460" s="9">
        <v>1</v>
      </c>
      <c r="K5460" s="9">
        <v>185</v>
      </c>
      <c r="L5460" s="9">
        <v>2024</v>
      </c>
      <c r="M5460" s="8" t="s">
        <v>31399</v>
      </c>
      <c r="N5460" s="8" t="s">
        <v>37</v>
      </c>
      <c r="O5460" s="8" t="s">
        <v>136</v>
      </c>
      <c r="P5460" s="6" t="s">
        <v>51</v>
      </c>
      <c r="Q5460" s="8" t="s">
        <v>377</v>
      </c>
      <c r="R5460" s="10" t="s">
        <v>1690</v>
      </c>
      <c r="S5460" s="11" t="s">
        <v>31400</v>
      </c>
      <c r="T5460" s="6"/>
      <c r="U5460" s="15" t="str">
        <f>HYPERLINK("https://media.infra-m.ru/2121/2121605/cover/2121605.jpg", "Обложка")</f>
        <v>Обложка</v>
      </c>
      <c r="V5460" s="8" t="s">
        <v>31401</v>
      </c>
      <c r="W5460" s="6"/>
      <c r="X5460" s="6"/>
      <c r="Y5460" s="6"/>
      <c r="Z5460" s="6"/>
      <c r="AA5460" s="6" t="s">
        <v>148</v>
      </c>
      <c r="AB5460" s="8"/>
      <c r="AC5460" s="27">
        <v>9785160161891</v>
      </c>
    </row>
    <row r="5461" spans="1:29" s="4" customFormat="1" ht="51.9" customHeight="1" x14ac:dyDescent="0.2">
      <c r="A5461" s="5">
        <v>0</v>
      </c>
      <c r="B5461" s="6" t="s">
        <v>31402</v>
      </c>
      <c r="C5461" s="7">
        <v>1152</v>
      </c>
      <c r="D5461" s="8" t="s">
        <v>31403</v>
      </c>
      <c r="E5461" s="8" t="s">
        <v>31397</v>
      </c>
      <c r="F5461" s="8" t="s">
        <v>31398</v>
      </c>
      <c r="G5461" s="6" t="s">
        <v>118</v>
      </c>
      <c r="H5461" s="6" t="s">
        <v>34</v>
      </c>
      <c r="I5461" s="8" t="s">
        <v>263</v>
      </c>
      <c r="J5461" s="9">
        <v>1</v>
      </c>
      <c r="K5461" s="9">
        <v>185</v>
      </c>
      <c r="L5461" s="9">
        <v>2025</v>
      </c>
      <c r="M5461" s="8" t="s">
        <v>31404</v>
      </c>
      <c r="N5461" s="8" t="s">
        <v>37</v>
      </c>
      <c r="O5461" s="8" t="s">
        <v>136</v>
      </c>
      <c r="P5461" s="6" t="s">
        <v>51</v>
      </c>
      <c r="Q5461" s="8" t="s">
        <v>265</v>
      </c>
      <c r="R5461" s="10" t="s">
        <v>17055</v>
      </c>
      <c r="S5461" s="11" t="s">
        <v>31405</v>
      </c>
      <c r="T5461" s="6"/>
      <c r="U5461" s="15" t="str">
        <f>HYPERLINK("https://media.infra-m.ru/2143/2143935/cover/2143935.jpg", "Обложка")</f>
        <v>Обложка</v>
      </c>
      <c r="V5461" s="8" t="s">
        <v>31401</v>
      </c>
      <c r="W5461" s="6"/>
      <c r="X5461" s="6"/>
      <c r="Y5461" s="6"/>
      <c r="Z5461" s="6" t="s">
        <v>3911</v>
      </c>
      <c r="AA5461" s="6" t="s">
        <v>148</v>
      </c>
      <c r="AB5461" s="8"/>
      <c r="AC5461" s="27">
        <v>9785160174440</v>
      </c>
    </row>
    <row r="5462" spans="1:29" s="4" customFormat="1" ht="51.9" customHeight="1" x14ac:dyDescent="0.2">
      <c r="A5462" s="5">
        <v>0</v>
      </c>
      <c r="B5462" s="6" t="s">
        <v>31406</v>
      </c>
      <c r="C5462" s="13">
        <v>876</v>
      </c>
      <c r="D5462" s="8" t="s">
        <v>31407</v>
      </c>
      <c r="E5462" s="8" t="s">
        <v>31408</v>
      </c>
      <c r="F5462" s="8" t="s">
        <v>31409</v>
      </c>
      <c r="G5462" s="6" t="s">
        <v>33</v>
      </c>
      <c r="H5462" s="6" t="s">
        <v>34</v>
      </c>
      <c r="I5462" s="8" t="s">
        <v>35</v>
      </c>
      <c r="J5462" s="9">
        <v>1</v>
      </c>
      <c r="K5462" s="9">
        <v>157</v>
      </c>
      <c r="L5462" s="9">
        <v>2024</v>
      </c>
      <c r="M5462" s="8" t="s">
        <v>31410</v>
      </c>
      <c r="N5462" s="8" t="s">
        <v>93</v>
      </c>
      <c r="O5462" s="8" t="s">
        <v>94</v>
      </c>
      <c r="P5462" s="6" t="s">
        <v>39</v>
      </c>
      <c r="Q5462" s="8" t="s">
        <v>40</v>
      </c>
      <c r="R5462" s="10" t="s">
        <v>31411</v>
      </c>
      <c r="S5462" s="11"/>
      <c r="T5462" s="6"/>
      <c r="U5462" s="15" t="str">
        <f>HYPERLINK("https://media.infra-m.ru/2100/2100994/cover/2100994.jpg", "Обложка")</f>
        <v>Обложка</v>
      </c>
      <c r="V5462" s="8" t="s">
        <v>3196</v>
      </c>
      <c r="W5462" s="6"/>
      <c r="X5462" s="6"/>
      <c r="Y5462" s="6"/>
      <c r="Z5462" s="6"/>
      <c r="AA5462" s="6" t="s">
        <v>779</v>
      </c>
      <c r="AB5462" s="8"/>
      <c r="AC5462" s="27">
        <v>9785160115702</v>
      </c>
    </row>
    <row r="5463" spans="1:29" s="4" customFormat="1" ht="51.9" customHeight="1" x14ac:dyDescent="0.2">
      <c r="A5463" s="5">
        <v>0</v>
      </c>
      <c r="B5463" s="6" t="s">
        <v>31412</v>
      </c>
      <c r="C5463" s="13">
        <v>540</v>
      </c>
      <c r="D5463" s="8" t="s">
        <v>31413</v>
      </c>
      <c r="E5463" s="8" t="s">
        <v>31414</v>
      </c>
      <c r="F5463" s="8" t="s">
        <v>31415</v>
      </c>
      <c r="G5463" s="6" t="s">
        <v>33</v>
      </c>
      <c r="H5463" s="6" t="s">
        <v>34</v>
      </c>
      <c r="I5463" s="8" t="s">
        <v>35</v>
      </c>
      <c r="J5463" s="9">
        <v>1</v>
      </c>
      <c r="K5463" s="9">
        <v>131</v>
      </c>
      <c r="L5463" s="9">
        <v>2020</v>
      </c>
      <c r="M5463" s="8" t="s">
        <v>31416</v>
      </c>
      <c r="N5463" s="8" t="s">
        <v>243</v>
      </c>
      <c r="O5463" s="8" t="s">
        <v>244</v>
      </c>
      <c r="P5463" s="6" t="s">
        <v>39</v>
      </c>
      <c r="Q5463" s="8" t="s">
        <v>40</v>
      </c>
      <c r="R5463" s="10" t="s">
        <v>31417</v>
      </c>
      <c r="S5463" s="11"/>
      <c r="T5463" s="6"/>
      <c r="U5463" s="15" t="str">
        <f>HYPERLINK("https://media.infra-m.ru/1036/1036519/cover/1036519.jpg", "Обложка")</f>
        <v>Обложка</v>
      </c>
      <c r="V5463" s="8" t="s">
        <v>1083</v>
      </c>
      <c r="W5463" s="6"/>
      <c r="X5463" s="6"/>
      <c r="Y5463" s="6"/>
      <c r="Z5463" s="6"/>
      <c r="AA5463" s="6" t="s">
        <v>248</v>
      </c>
      <c r="AB5463" s="8"/>
      <c r="AC5463" s="27">
        <v>9785160095196</v>
      </c>
    </row>
    <row r="5464" spans="1:29" s="4" customFormat="1" ht="42" customHeight="1" x14ac:dyDescent="0.2">
      <c r="A5464" s="5">
        <v>0</v>
      </c>
      <c r="B5464" s="6" t="s">
        <v>31418</v>
      </c>
      <c r="C5464" s="7">
        <v>1716</v>
      </c>
      <c r="D5464" s="8" t="s">
        <v>31419</v>
      </c>
      <c r="E5464" s="8" t="s">
        <v>31420</v>
      </c>
      <c r="F5464" s="8" t="s">
        <v>31421</v>
      </c>
      <c r="G5464" s="6" t="s">
        <v>60</v>
      </c>
      <c r="H5464" s="6" t="s">
        <v>34</v>
      </c>
      <c r="I5464" s="8" t="s">
        <v>1248</v>
      </c>
      <c r="J5464" s="9">
        <v>1</v>
      </c>
      <c r="K5464" s="9">
        <v>302</v>
      </c>
      <c r="L5464" s="9">
        <v>2024</v>
      </c>
      <c r="M5464" s="8" t="s">
        <v>31422</v>
      </c>
      <c r="N5464" s="8" t="s">
        <v>243</v>
      </c>
      <c r="O5464" s="8" t="s">
        <v>758</v>
      </c>
      <c r="P5464" s="6" t="s">
        <v>51</v>
      </c>
      <c r="Q5464" s="8" t="s">
        <v>377</v>
      </c>
      <c r="R5464" s="10" t="s">
        <v>4167</v>
      </c>
      <c r="S5464" s="11"/>
      <c r="T5464" s="6"/>
      <c r="U5464" s="15" t="str">
        <f>HYPERLINK("https://media.infra-m.ru/2125/2125180/cover/2125180.jpg", "Обложка")</f>
        <v>Обложка</v>
      </c>
      <c r="V5464" s="8" t="s">
        <v>1083</v>
      </c>
      <c r="W5464" s="6"/>
      <c r="X5464" s="6"/>
      <c r="Y5464" s="6"/>
      <c r="Z5464" s="6"/>
      <c r="AA5464" s="6" t="s">
        <v>106</v>
      </c>
      <c r="AB5464" s="8"/>
      <c r="AC5464" s="27">
        <v>9785160195124</v>
      </c>
    </row>
    <row r="5465" spans="1:29" s="4" customFormat="1" ht="51.9" customHeight="1" x14ac:dyDescent="0.2">
      <c r="A5465" s="5">
        <v>0</v>
      </c>
      <c r="B5465" s="6" t="s">
        <v>31423</v>
      </c>
      <c r="C5465" s="13">
        <v>772.8</v>
      </c>
      <c r="D5465" s="8" t="s">
        <v>31424</v>
      </c>
      <c r="E5465" s="8" t="s">
        <v>31425</v>
      </c>
      <c r="F5465" s="8" t="s">
        <v>28286</v>
      </c>
      <c r="G5465" s="6" t="s">
        <v>33</v>
      </c>
      <c r="H5465" s="6" t="s">
        <v>34</v>
      </c>
      <c r="I5465" s="8" t="s">
        <v>271</v>
      </c>
      <c r="J5465" s="9">
        <v>1</v>
      </c>
      <c r="K5465" s="9">
        <v>117</v>
      </c>
      <c r="L5465" s="9">
        <v>2026</v>
      </c>
      <c r="M5465" s="8" t="s">
        <v>31426</v>
      </c>
      <c r="N5465" s="8" t="s">
        <v>243</v>
      </c>
      <c r="O5465" s="8" t="s">
        <v>758</v>
      </c>
      <c r="P5465" s="6" t="s">
        <v>51</v>
      </c>
      <c r="Q5465" s="8" t="s">
        <v>52</v>
      </c>
      <c r="R5465" s="10" t="s">
        <v>31427</v>
      </c>
      <c r="S5465" s="11" t="s">
        <v>31428</v>
      </c>
      <c r="T5465" s="6"/>
      <c r="U5465" s="15" t="str">
        <f>HYPERLINK("https://media.infra-m.ru/2223/2223207/cover/2223207.jpg", "Обложка")</f>
        <v>Обложка</v>
      </c>
      <c r="V5465" s="8" t="s">
        <v>28290</v>
      </c>
      <c r="W5465" s="6"/>
      <c r="X5465" s="6" t="s">
        <v>24</v>
      </c>
      <c r="Y5465" s="6"/>
      <c r="Z5465" s="6"/>
      <c r="AA5465" s="6" t="s">
        <v>248</v>
      </c>
      <c r="AB5465" s="8"/>
      <c r="AC5465" s="27">
        <v>9785160067520</v>
      </c>
    </row>
    <row r="5466" spans="1:29" s="4" customFormat="1" ht="51.9" customHeight="1" x14ac:dyDescent="0.2">
      <c r="A5466" s="5">
        <v>0</v>
      </c>
      <c r="B5466" s="6" t="s">
        <v>31429</v>
      </c>
      <c r="C5466" s="7">
        <v>1852.8</v>
      </c>
      <c r="D5466" s="8" t="s">
        <v>31430</v>
      </c>
      <c r="E5466" s="8" t="s">
        <v>31431</v>
      </c>
      <c r="F5466" s="8" t="s">
        <v>31432</v>
      </c>
      <c r="G5466" s="6" t="s">
        <v>60</v>
      </c>
      <c r="H5466" s="6" t="s">
        <v>34</v>
      </c>
      <c r="I5466" s="8" t="s">
        <v>504</v>
      </c>
      <c r="J5466" s="9">
        <v>1</v>
      </c>
      <c r="K5466" s="9">
        <v>296</v>
      </c>
      <c r="L5466" s="9">
        <v>2025</v>
      </c>
      <c r="M5466" s="8" t="s">
        <v>31433</v>
      </c>
      <c r="N5466" s="8" t="s">
        <v>585</v>
      </c>
      <c r="O5466" s="8" t="s">
        <v>775</v>
      </c>
      <c r="P5466" s="6" t="s">
        <v>306</v>
      </c>
      <c r="Q5466" s="8" t="s">
        <v>500</v>
      </c>
      <c r="R5466" s="10" t="s">
        <v>31434</v>
      </c>
      <c r="S5466" s="11" t="s">
        <v>31435</v>
      </c>
      <c r="T5466" s="6"/>
      <c r="U5466" s="15" t="str">
        <f>HYPERLINK("https://media.infra-m.ru/2212/2212028/cover/2212028.jpg", "Обложка")</f>
        <v>Обложка</v>
      </c>
      <c r="V5466" s="8" t="s">
        <v>3109</v>
      </c>
      <c r="W5466" s="6"/>
      <c r="X5466" s="6"/>
      <c r="Y5466" s="6"/>
      <c r="Z5466" s="6"/>
      <c r="AA5466" s="6" t="s">
        <v>148</v>
      </c>
      <c r="AB5466" s="8"/>
      <c r="AC5466" s="27">
        <v>9785160167343</v>
      </c>
    </row>
    <row r="5467" spans="1:29" s="4" customFormat="1" ht="42" customHeight="1" x14ac:dyDescent="0.2">
      <c r="A5467" s="5">
        <v>0</v>
      </c>
      <c r="B5467" s="6" t="s">
        <v>31436</v>
      </c>
      <c r="C5467" s="7">
        <v>1980</v>
      </c>
      <c r="D5467" s="8" t="s">
        <v>31437</v>
      </c>
      <c r="E5467" s="8" t="s">
        <v>31438</v>
      </c>
      <c r="F5467" s="8" t="s">
        <v>7624</v>
      </c>
      <c r="G5467" s="6" t="s">
        <v>60</v>
      </c>
      <c r="H5467" s="6" t="s">
        <v>34</v>
      </c>
      <c r="I5467" s="8" t="s">
        <v>1248</v>
      </c>
      <c r="J5467" s="9">
        <v>1</v>
      </c>
      <c r="K5467" s="9">
        <v>295</v>
      </c>
      <c r="L5467" s="9">
        <v>2026</v>
      </c>
      <c r="M5467" s="8" t="s">
        <v>31439</v>
      </c>
      <c r="N5467" s="8" t="s">
        <v>585</v>
      </c>
      <c r="O5467" s="8" t="s">
        <v>775</v>
      </c>
      <c r="P5467" s="6" t="s">
        <v>51</v>
      </c>
      <c r="Q5467" s="8" t="s">
        <v>65</v>
      </c>
      <c r="R5467" s="10" t="s">
        <v>31440</v>
      </c>
      <c r="S5467" s="11"/>
      <c r="T5467" s="6"/>
      <c r="U5467" s="15" t="str">
        <f>HYPERLINK("https://media.infra-m.ru/2222/2222617/cover/2222617.jpg", "Обложка")</f>
        <v>Обложка</v>
      </c>
      <c r="V5467" s="8" t="s">
        <v>1083</v>
      </c>
      <c r="W5467" s="6" t="s">
        <v>1382</v>
      </c>
      <c r="X5467" s="6"/>
      <c r="Y5467" s="6"/>
      <c r="Z5467" s="6"/>
      <c r="AA5467" s="6" t="s">
        <v>187</v>
      </c>
      <c r="AB5467" s="8"/>
      <c r="AC5467" s="27">
        <v>9785160213422</v>
      </c>
    </row>
    <row r="5468" spans="1:29" s="4" customFormat="1" ht="51.9" customHeight="1" x14ac:dyDescent="0.2">
      <c r="A5468" s="5">
        <v>0</v>
      </c>
      <c r="B5468" s="6" t="s">
        <v>31441</v>
      </c>
      <c r="C5468" s="7">
        <v>1128</v>
      </c>
      <c r="D5468" s="8" t="s">
        <v>31442</v>
      </c>
      <c r="E5468" s="8" t="s">
        <v>31443</v>
      </c>
      <c r="F5468" s="8" t="s">
        <v>4643</v>
      </c>
      <c r="G5468" s="6" t="s">
        <v>33</v>
      </c>
      <c r="H5468" s="6" t="s">
        <v>34</v>
      </c>
      <c r="I5468" s="8" t="s">
        <v>35</v>
      </c>
      <c r="J5468" s="9">
        <v>1</v>
      </c>
      <c r="K5468" s="9">
        <v>190</v>
      </c>
      <c r="L5468" s="9">
        <v>2022</v>
      </c>
      <c r="M5468" s="8" t="s">
        <v>31444</v>
      </c>
      <c r="N5468" s="8" t="s">
        <v>243</v>
      </c>
      <c r="O5468" s="8" t="s">
        <v>798</v>
      </c>
      <c r="P5468" s="6" t="s">
        <v>39</v>
      </c>
      <c r="Q5468" s="8" t="s">
        <v>40</v>
      </c>
      <c r="R5468" s="10" t="s">
        <v>31445</v>
      </c>
      <c r="S5468" s="11"/>
      <c r="T5468" s="6"/>
      <c r="U5468" s="15" t="str">
        <f>HYPERLINK("https://media.infra-m.ru/1852/1852911/cover/1852911.jpg", "Обложка")</f>
        <v>Обложка</v>
      </c>
      <c r="V5468" s="8" t="s">
        <v>761</v>
      </c>
      <c r="W5468" s="6"/>
      <c r="X5468" s="6"/>
      <c r="Y5468" s="6"/>
      <c r="Z5468" s="6"/>
      <c r="AA5468" s="6" t="s">
        <v>148</v>
      </c>
      <c r="AB5468" s="8"/>
      <c r="AC5468" s="27">
        <v>9785160174310</v>
      </c>
    </row>
    <row r="5469" spans="1:29" s="4" customFormat="1" ht="42" customHeight="1" x14ac:dyDescent="0.2">
      <c r="A5469" s="5">
        <v>0</v>
      </c>
      <c r="B5469" s="6" t="s">
        <v>31446</v>
      </c>
      <c r="C5469" s="7">
        <v>1368</v>
      </c>
      <c r="D5469" s="8" t="s">
        <v>31447</v>
      </c>
      <c r="E5469" s="8" t="s">
        <v>31448</v>
      </c>
      <c r="F5469" s="8" t="s">
        <v>31449</v>
      </c>
      <c r="G5469" s="6" t="s">
        <v>118</v>
      </c>
      <c r="H5469" s="6" t="s">
        <v>34</v>
      </c>
      <c r="I5469" s="8" t="s">
        <v>1248</v>
      </c>
      <c r="J5469" s="9">
        <v>1</v>
      </c>
      <c r="K5469" s="9">
        <v>196</v>
      </c>
      <c r="L5469" s="9">
        <v>2026</v>
      </c>
      <c r="M5469" s="8" t="s">
        <v>31450</v>
      </c>
      <c r="N5469" s="8" t="s">
        <v>37</v>
      </c>
      <c r="O5469" s="8" t="s">
        <v>290</v>
      </c>
      <c r="P5469" s="6" t="s">
        <v>51</v>
      </c>
      <c r="Q5469" s="8" t="s">
        <v>65</v>
      </c>
      <c r="R5469" s="10" t="s">
        <v>31451</v>
      </c>
      <c r="S5469" s="11"/>
      <c r="T5469" s="6"/>
      <c r="U5469" s="15" t="str">
        <f>HYPERLINK("https://media.infra-m.ru/2261/2261651/cover/2261651.jpg", "Обложка")</f>
        <v>Обложка</v>
      </c>
      <c r="V5469" s="8" t="s">
        <v>31452</v>
      </c>
      <c r="W5469" s="6"/>
      <c r="X5469" s="6"/>
      <c r="Y5469" s="6"/>
      <c r="Z5469" s="6"/>
      <c r="AA5469" s="6" t="s">
        <v>76</v>
      </c>
      <c r="AB5469" s="8"/>
      <c r="AC5469" s="27">
        <v>9785160195902</v>
      </c>
    </row>
    <row r="5470" spans="1:29" s="4" customFormat="1" ht="42" customHeight="1" x14ac:dyDescent="0.2">
      <c r="A5470" s="5">
        <v>0</v>
      </c>
      <c r="B5470" s="6" t="s">
        <v>31453</v>
      </c>
      <c r="C5470" s="7">
        <v>2476.8000000000002</v>
      </c>
      <c r="D5470" s="8" t="s">
        <v>31454</v>
      </c>
      <c r="E5470" s="8" t="s">
        <v>31455</v>
      </c>
      <c r="F5470" s="8" t="s">
        <v>31456</v>
      </c>
      <c r="G5470" s="6" t="s">
        <v>60</v>
      </c>
      <c r="H5470" s="6" t="s">
        <v>34</v>
      </c>
      <c r="I5470" s="8" t="s">
        <v>35</v>
      </c>
      <c r="J5470" s="9">
        <v>1</v>
      </c>
      <c r="K5470" s="9">
        <v>356</v>
      </c>
      <c r="L5470" s="9">
        <v>2027</v>
      </c>
      <c r="M5470" s="8" t="s">
        <v>31457</v>
      </c>
      <c r="N5470" s="8" t="s">
        <v>63</v>
      </c>
      <c r="O5470" s="8" t="s">
        <v>64</v>
      </c>
      <c r="P5470" s="6" t="s">
        <v>39</v>
      </c>
      <c r="Q5470" s="8" t="s">
        <v>40</v>
      </c>
      <c r="R5470" s="10" t="s">
        <v>30641</v>
      </c>
      <c r="S5470" s="11"/>
      <c r="T5470" s="6"/>
      <c r="U5470" s="15" t="str">
        <f>HYPERLINK("https://media.infra-m.ru/2272/2272545/cover/2272545.jpg", "Обложка")</f>
        <v>Обложка</v>
      </c>
      <c r="V5470" s="8" t="s">
        <v>156</v>
      </c>
      <c r="W5470" s="6"/>
      <c r="X5470" s="6"/>
      <c r="Y5470" s="6"/>
      <c r="Z5470" s="6"/>
      <c r="AA5470" s="6" t="s">
        <v>76</v>
      </c>
      <c r="AB5470" s="8"/>
      <c r="AC5470" s="27">
        <v>9785160189376</v>
      </c>
    </row>
    <row r="5471" spans="1:29" s="4" customFormat="1" ht="42" customHeight="1" x14ac:dyDescent="0.2">
      <c r="A5471" s="5">
        <v>0</v>
      </c>
      <c r="B5471" s="6" t="s">
        <v>31458</v>
      </c>
      <c r="C5471" s="7">
        <v>1768.8</v>
      </c>
      <c r="D5471" s="8" t="s">
        <v>31459</v>
      </c>
      <c r="E5471" s="8" t="s">
        <v>31460</v>
      </c>
      <c r="F5471" s="8" t="s">
        <v>31461</v>
      </c>
      <c r="G5471" s="6" t="s">
        <v>60</v>
      </c>
      <c r="H5471" s="6" t="s">
        <v>34</v>
      </c>
      <c r="I5471" s="8" t="s">
        <v>35</v>
      </c>
      <c r="J5471" s="9">
        <v>1</v>
      </c>
      <c r="K5471" s="9">
        <v>326</v>
      </c>
      <c r="L5471" s="9">
        <v>2023</v>
      </c>
      <c r="M5471" s="8" t="s">
        <v>31462</v>
      </c>
      <c r="N5471" s="8" t="s">
        <v>37</v>
      </c>
      <c r="O5471" s="8" t="s">
        <v>207</v>
      </c>
      <c r="P5471" s="6" t="s">
        <v>39</v>
      </c>
      <c r="Q5471" s="8" t="s">
        <v>40</v>
      </c>
      <c r="R5471" s="10" t="s">
        <v>6716</v>
      </c>
      <c r="S5471" s="11"/>
      <c r="T5471" s="6"/>
      <c r="U5471" s="15" t="str">
        <f>HYPERLINK("https://media.infra-m.ru/2030/2030868/cover/2030868.jpg", "Обложка")</f>
        <v>Обложка</v>
      </c>
      <c r="V5471" s="8" t="s">
        <v>227</v>
      </c>
      <c r="W5471" s="6"/>
      <c r="X5471" s="6"/>
      <c r="Y5471" s="6"/>
      <c r="Z5471" s="6"/>
      <c r="AA5471" s="6" t="s">
        <v>430</v>
      </c>
      <c r="AB5471" s="8"/>
      <c r="AC5471" s="27">
        <v>9785160145655</v>
      </c>
    </row>
    <row r="5472" spans="1:29" s="4" customFormat="1" ht="51.9" customHeight="1" x14ac:dyDescent="0.2">
      <c r="A5472" s="5">
        <v>0</v>
      </c>
      <c r="B5472" s="6" t="s">
        <v>31463</v>
      </c>
      <c r="C5472" s="13">
        <v>952.8</v>
      </c>
      <c r="D5472" s="8" t="s">
        <v>31464</v>
      </c>
      <c r="E5472" s="8" t="s">
        <v>31465</v>
      </c>
      <c r="F5472" s="8" t="s">
        <v>31466</v>
      </c>
      <c r="G5472" s="6" t="s">
        <v>60</v>
      </c>
      <c r="H5472" s="6" t="s">
        <v>1795</v>
      </c>
      <c r="I5472" s="8" t="s">
        <v>5715</v>
      </c>
      <c r="J5472" s="9">
        <v>1</v>
      </c>
      <c r="K5472" s="9">
        <v>144</v>
      </c>
      <c r="L5472" s="9">
        <v>2026</v>
      </c>
      <c r="M5472" s="8" t="s">
        <v>31467</v>
      </c>
      <c r="N5472" s="8" t="s">
        <v>243</v>
      </c>
      <c r="O5472" s="8" t="s">
        <v>329</v>
      </c>
      <c r="P5472" s="6" t="s">
        <v>51</v>
      </c>
      <c r="Q5472" s="8" t="s">
        <v>500</v>
      </c>
      <c r="R5472" s="10" t="s">
        <v>31468</v>
      </c>
      <c r="S5472" s="11"/>
      <c r="T5472" s="6"/>
      <c r="U5472" s="15" t="str">
        <f>HYPERLINK("https://media.infra-m.ru/2238/2238475/cover/2238475.jpg", "Обложка")</f>
        <v>Обложка</v>
      </c>
      <c r="V5472" s="8" t="s">
        <v>2398</v>
      </c>
      <c r="W5472" s="6"/>
      <c r="X5472" s="6"/>
      <c r="Y5472" s="6"/>
      <c r="Z5472" s="6"/>
      <c r="AA5472" s="6" t="s">
        <v>55</v>
      </c>
      <c r="AB5472" s="8"/>
      <c r="AC5472" s="27">
        <v>9785982813558</v>
      </c>
    </row>
    <row r="5473" spans="1:29" s="4" customFormat="1" ht="42" customHeight="1" x14ac:dyDescent="0.2">
      <c r="A5473" s="5">
        <v>0</v>
      </c>
      <c r="B5473" s="6" t="s">
        <v>31469</v>
      </c>
      <c r="C5473" s="7">
        <v>1444.8</v>
      </c>
      <c r="D5473" s="8" t="s">
        <v>31470</v>
      </c>
      <c r="E5473" s="8" t="s">
        <v>31471</v>
      </c>
      <c r="F5473" s="8" t="s">
        <v>31472</v>
      </c>
      <c r="G5473" s="6" t="s">
        <v>33</v>
      </c>
      <c r="H5473" s="6" t="s">
        <v>34</v>
      </c>
      <c r="I5473" s="8" t="s">
        <v>35</v>
      </c>
      <c r="J5473" s="9">
        <v>1</v>
      </c>
      <c r="K5473" s="9">
        <v>208</v>
      </c>
      <c r="L5473" s="9">
        <v>2026</v>
      </c>
      <c r="M5473" s="8" t="s">
        <v>31473</v>
      </c>
      <c r="N5473" s="8" t="s">
        <v>37</v>
      </c>
      <c r="O5473" s="8" t="s">
        <v>233</v>
      </c>
      <c r="P5473" s="6" t="s">
        <v>39</v>
      </c>
      <c r="Q5473" s="8" t="s">
        <v>40</v>
      </c>
      <c r="R5473" s="10" t="s">
        <v>31474</v>
      </c>
      <c r="S5473" s="11"/>
      <c r="T5473" s="6"/>
      <c r="U5473" s="15" t="str">
        <f>HYPERLINK("https://media.infra-m.ru/2262/2262017/cover/2262017.jpg", "Обложка")</f>
        <v>Обложка</v>
      </c>
      <c r="V5473" s="8" t="s">
        <v>247</v>
      </c>
      <c r="W5473" s="6"/>
      <c r="X5473" s="6"/>
      <c r="Y5473" s="6"/>
      <c r="Z5473" s="6"/>
      <c r="AA5473" s="6" t="s">
        <v>148</v>
      </c>
      <c r="AB5473" s="8"/>
      <c r="AC5473" s="27">
        <v>9785160177465</v>
      </c>
    </row>
    <row r="5474" spans="1:29" s="4" customFormat="1" ht="51.9" customHeight="1" x14ac:dyDescent="0.2">
      <c r="A5474" s="5">
        <v>0</v>
      </c>
      <c r="B5474" s="6" t="s">
        <v>31475</v>
      </c>
      <c r="C5474" s="7">
        <v>3353.9</v>
      </c>
      <c r="D5474" s="8" t="s">
        <v>31476</v>
      </c>
      <c r="E5474" s="8" t="s">
        <v>31477</v>
      </c>
      <c r="F5474" s="8" t="s">
        <v>31478</v>
      </c>
      <c r="G5474" s="6" t="s">
        <v>118</v>
      </c>
      <c r="H5474" s="6" t="s">
        <v>48</v>
      </c>
      <c r="I5474" s="8" t="s">
        <v>5350</v>
      </c>
      <c r="J5474" s="9">
        <v>1</v>
      </c>
      <c r="K5474" s="9">
        <v>623</v>
      </c>
      <c r="L5474" s="9">
        <v>2023</v>
      </c>
      <c r="M5474" s="8" t="s">
        <v>31479</v>
      </c>
      <c r="N5474" s="8" t="s">
        <v>243</v>
      </c>
      <c r="O5474" s="8" t="s">
        <v>385</v>
      </c>
      <c r="P5474" s="6" t="s">
        <v>105</v>
      </c>
      <c r="Q5474" s="8" t="s">
        <v>377</v>
      </c>
      <c r="R5474" s="10" t="s">
        <v>378</v>
      </c>
      <c r="S5474" s="11" t="s">
        <v>31480</v>
      </c>
      <c r="T5474" s="6"/>
      <c r="U5474" s="15" t="str">
        <f>HYPERLINK("https://media.infra-m.ru/1916/1916059/cover/1916059.jpg", "Обложка")</f>
        <v>Обложка</v>
      </c>
      <c r="V5474" s="8" t="s">
        <v>2154</v>
      </c>
      <c r="W5474" s="6"/>
      <c r="X5474" s="6"/>
      <c r="Y5474" s="6"/>
      <c r="Z5474" s="6"/>
      <c r="AA5474" s="6" t="s">
        <v>99</v>
      </c>
      <c r="AB5474" s="8"/>
      <c r="AC5474" s="27">
        <v>9785000914465</v>
      </c>
    </row>
    <row r="5475" spans="1:29" s="4" customFormat="1" ht="51.9" customHeight="1" x14ac:dyDescent="0.2">
      <c r="A5475" s="5">
        <v>0</v>
      </c>
      <c r="B5475" s="6" t="s">
        <v>31481</v>
      </c>
      <c r="C5475" s="7">
        <v>3892.8</v>
      </c>
      <c r="D5475" s="8" t="s">
        <v>31482</v>
      </c>
      <c r="E5475" s="8" t="s">
        <v>31483</v>
      </c>
      <c r="F5475" s="8" t="s">
        <v>31478</v>
      </c>
      <c r="G5475" s="6" t="s">
        <v>118</v>
      </c>
      <c r="H5475" s="6" t="s">
        <v>48</v>
      </c>
      <c r="I5475" s="8" t="s">
        <v>5350</v>
      </c>
      <c r="J5475" s="9">
        <v>1</v>
      </c>
      <c r="K5475" s="9">
        <v>628</v>
      </c>
      <c r="L5475" s="9">
        <v>2026</v>
      </c>
      <c r="M5475" s="8" t="s">
        <v>31484</v>
      </c>
      <c r="N5475" s="8" t="s">
        <v>243</v>
      </c>
      <c r="O5475" s="8" t="s">
        <v>385</v>
      </c>
      <c r="P5475" s="6" t="s">
        <v>105</v>
      </c>
      <c r="Q5475" s="8" t="s">
        <v>377</v>
      </c>
      <c r="R5475" s="10" t="s">
        <v>378</v>
      </c>
      <c r="S5475" s="11" t="s">
        <v>31485</v>
      </c>
      <c r="T5475" s="6"/>
      <c r="U5475" s="15" t="str">
        <f>HYPERLINK("https://media.infra-m.ru/2238/2238528/cover/2238528.jpg", "Обложка")</f>
        <v>Обложка</v>
      </c>
      <c r="V5475" s="8" t="s">
        <v>2154</v>
      </c>
      <c r="W5475" s="6"/>
      <c r="X5475" s="6"/>
      <c r="Y5475" s="6"/>
      <c r="Z5475" s="6"/>
      <c r="AA5475" s="6" t="s">
        <v>86</v>
      </c>
      <c r="AB5475" s="8"/>
      <c r="AC5475" s="27">
        <v>9785000914458</v>
      </c>
    </row>
    <row r="5476" spans="1:29" s="4" customFormat="1" ht="51.9" customHeight="1" x14ac:dyDescent="0.2">
      <c r="A5476" s="5">
        <v>0</v>
      </c>
      <c r="B5476" s="6" t="s">
        <v>31486</v>
      </c>
      <c r="C5476" s="7">
        <v>2392.8000000000002</v>
      </c>
      <c r="D5476" s="8" t="s">
        <v>31487</v>
      </c>
      <c r="E5476" s="8" t="s">
        <v>31488</v>
      </c>
      <c r="F5476" s="8" t="s">
        <v>31489</v>
      </c>
      <c r="G5476" s="6" t="s">
        <v>60</v>
      </c>
      <c r="H5476" s="6" t="s">
        <v>48</v>
      </c>
      <c r="I5476" s="8" t="s">
        <v>271</v>
      </c>
      <c r="J5476" s="9">
        <v>1</v>
      </c>
      <c r="K5476" s="9">
        <v>400</v>
      </c>
      <c r="L5476" s="9">
        <v>2025</v>
      </c>
      <c r="M5476" s="8" t="s">
        <v>31490</v>
      </c>
      <c r="N5476" s="8" t="s">
        <v>243</v>
      </c>
      <c r="O5476" s="8" t="s">
        <v>329</v>
      </c>
      <c r="P5476" s="6" t="s">
        <v>51</v>
      </c>
      <c r="Q5476" s="8" t="s">
        <v>52</v>
      </c>
      <c r="R5476" s="10" t="s">
        <v>31491</v>
      </c>
      <c r="S5476" s="11" t="s">
        <v>31492</v>
      </c>
      <c r="T5476" s="6"/>
      <c r="U5476" s="15" t="str">
        <f>HYPERLINK("https://media.infra-m.ru/2179/2179106/cover/2179106.jpg", "Обложка")</f>
        <v>Обложка</v>
      </c>
      <c r="V5476" s="8" t="s">
        <v>831</v>
      </c>
      <c r="W5476" s="6"/>
      <c r="X5476" s="6" t="s">
        <v>24</v>
      </c>
      <c r="Y5476" s="6"/>
      <c r="Z5476" s="6"/>
      <c r="AA5476" s="6" t="s">
        <v>248</v>
      </c>
      <c r="AB5476" s="8"/>
      <c r="AC5476" s="27">
        <v>9785911349110</v>
      </c>
    </row>
    <row r="5477" spans="1:29" s="4" customFormat="1" ht="51.9" customHeight="1" x14ac:dyDescent="0.2">
      <c r="A5477" s="5">
        <v>0</v>
      </c>
      <c r="B5477" s="6" t="s">
        <v>31493</v>
      </c>
      <c r="C5477" s="7">
        <v>1728</v>
      </c>
      <c r="D5477" s="8" t="s">
        <v>31494</v>
      </c>
      <c r="E5477" s="8" t="s">
        <v>31495</v>
      </c>
      <c r="F5477" s="8" t="s">
        <v>11195</v>
      </c>
      <c r="G5477" s="6" t="s">
        <v>118</v>
      </c>
      <c r="H5477" s="6" t="s">
        <v>134</v>
      </c>
      <c r="I5477" s="8"/>
      <c r="J5477" s="9">
        <v>1</v>
      </c>
      <c r="K5477" s="9">
        <v>320</v>
      </c>
      <c r="L5477" s="9">
        <v>2023</v>
      </c>
      <c r="M5477" s="8" t="s">
        <v>31496</v>
      </c>
      <c r="N5477" s="8" t="s">
        <v>37</v>
      </c>
      <c r="O5477" s="8" t="s">
        <v>136</v>
      </c>
      <c r="P5477" s="6" t="s">
        <v>1689</v>
      </c>
      <c r="Q5477" s="8" t="s">
        <v>40</v>
      </c>
      <c r="R5477" s="10" t="s">
        <v>14721</v>
      </c>
      <c r="S5477" s="11"/>
      <c r="T5477" s="6"/>
      <c r="U5477" s="15" t="str">
        <f>HYPERLINK("https://media.infra-m.ru/1898/1898756/cover/1898756.jpg", "Обложка")</f>
        <v>Обложка</v>
      </c>
      <c r="V5477" s="8" t="s">
        <v>1184</v>
      </c>
      <c r="W5477" s="6"/>
      <c r="X5477" s="6"/>
      <c r="Y5477" s="6"/>
      <c r="Z5477" s="6"/>
      <c r="AA5477" s="6" t="s">
        <v>430</v>
      </c>
      <c r="AB5477" s="8"/>
      <c r="AC5477" s="27">
        <v>9785001562054</v>
      </c>
    </row>
    <row r="5478" spans="1:29" s="4" customFormat="1" ht="51.9" customHeight="1" x14ac:dyDescent="0.2">
      <c r="A5478" s="5">
        <v>0</v>
      </c>
      <c r="B5478" s="6" t="s">
        <v>31497</v>
      </c>
      <c r="C5478" s="13">
        <v>684</v>
      </c>
      <c r="D5478" s="8" t="s">
        <v>31498</v>
      </c>
      <c r="E5478" s="8" t="s">
        <v>31499</v>
      </c>
      <c r="F5478" s="8" t="s">
        <v>31500</v>
      </c>
      <c r="G5478" s="6" t="s">
        <v>33</v>
      </c>
      <c r="H5478" s="6" t="s">
        <v>241</v>
      </c>
      <c r="I5478" s="8" t="s">
        <v>31501</v>
      </c>
      <c r="J5478" s="9">
        <v>1</v>
      </c>
      <c r="K5478" s="9">
        <v>126</v>
      </c>
      <c r="L5478" s="9">
        <v>2023</v>
      </c>
      <c r="M5478" s="8" t="s">
        <v>31502</v>
      </c>
      <c r="N5478" s="8" t="s">
        <v>37</v>
      </c>
      <c r="O5478" s="8" t="s">
        <v>83</v>
      </c>
      <c r="P5478" s="6" t="s">
        <v>39</v>
      </c>
      <c r="Q5478" s="8" t="s">
        <v>40</v>
      </c>
      <c r="R5478" s="10" t="s">
        <v>31503</v>
      </c>
      <c r="S5478" s="11"/>
      <c r="T5478" s="6"/>
      <c r="U5478" s="15" t="str">
        <f>HYPERLINK("https://media.infra-m.ru/1919/1919481/cover/1919481.jpg", "Обложка")</f>
        <v>Обложка</v>
      </c>
      <c r="V5478" s="8" t="s">
        <v>247</v>
      </c>
      <c r="W5478" s="6"/>
      <c r="X5478" s="6"/>
      <c r="Y5478" s="6"/>
      <c r="Z5478" s="6"/>
      <c r="AA5478" s="6" t="s">
        <v>274</v>
      </c>
      <c r="AB5478" s="8"/>
      <c r="AC5478" s="27">
        <v>9785955805399</v>
      </c>
    </row>
    <row r="5479" spans="1:29" s="4" customFormat="1" ht="51.9" customHeight="1" x14ac:dyDescent="0.2">
      <c r="A5479" s="5">
        <v>0</v>
      </c>
      <c r="B5479" s="6" t="s">
        <v>31504</v>
      </c>
      <c r="C5479" s="7">
        <v>1404</v>
      </c>
      <c r="D5479" s="8" t="s">
        <v>31505</v>
      </c>
      <c r="E5479" s="8" t="s">
        <v>31506</v>
      </c>
      <c r="F5479" s="8" t="s">
        <v>31507</v>
      </c>
      <c r="G5479" s="6" t="s">
        <v>33</v>
      </c>
      <c r="H5479" s="6" t="s">
        <v>34</v>
      </c>
      <c r="I5479" s="8" t="s">
        <v>35</v>
      </c>
      <c r="J5479" s="9">
        <v>1</v>
      </c>
      <c r="K5479" s="9">
        <v>202</v>
      </c>
      <c r="L5479" s="9">
        <v>2027</v>
      </c>
      <c r="M5479" s="8" t="s">
        <v>31508</v>
      </c>
      <c r="N5479" s="8" t="s">
        <v>37</v>
      </c>
      <c r="O5479" s="8" t="s">
        <v>83</v>
      </c>
      <c r="P5479" s="6" t="s">
        <v>39</v>
      </c>
      <c r="Q5479" s="8" t="s">
        <v>40</v>
      </c>
      <c r="R5479" s="10" t="s">
        <v>31509</v>
      </c>
      <c r="S5479" s="11"/>
      <c r="T5479" s="6"/>
      <c r="U5479" s="15" t="str">
        <f>HYPERLINK("https://media.infra-m.ru/2244/2244469/cover/2244469.jpg", "Обложка")</f>
        <v>Обложка</v>
      </c>
      <c r="V5479" s="8" t="s">
        <v>23835</v>
      </c>
      <c r="W5479" s="6"/>
      <c r="X5479" s="6"/>
      <c r="Y5479" s="6"/>
      <c r="Z5479" s="6"/>
      <c r="AA5479" s="6" t="s">
        <v>248</v>
      </c>
      <c r="AB5479" s="8"/>
      <c r="AC5479" s="27">
        <v>9785160099309</v>
      </c>
    </row>
    <row r="5480" spans="1:29" s="4" customFormat="1" ht="51.9" customHeight="1" x14ac:dyDescent="0.2">
      <c r="A5480" s="5">
        <v>0</v>
      </c>
      <c r="B5480" s="6" t="s">
        <v>31510</v>
      </c>
      <c r="C5480" s="13">
        <v>708</v>
      </c>
      <c r="D5480" s="8" t="s">
        <v>31511</v>
      </c>
      <c r="E5480" s="8" t="s">
        <v>31512</v>
      </c>
      <c r="F5480" s="8" t="s">
        <v>31513</v>
      </c>
      <c r="G5480" s="6" t="s">
        <v>60</v>
      </c>
      <c r="H5480" s="6" t="s">
        <v>241</v>
      </c>
      <c r="I5480" s="8"/>
      <c r="J5480" s="9">
        <v>1</v>
      </c>
      <c r="K5480" s="9">
        <v>203</v>
      </c>
      <c r="L5480" s="9">
        <v>2017</v>
      </c>
      <c r="M5480" s="8" t="s">
        <v>31514</v>
      </c>
      <c r="N5480" s="8" t="s">
        <v>37</v>
      </c>
      <c r="O5480" s="8" t="s">
        <v>83</v>
      </c>
      <c r="P5480" s="6" t="s">
        <v>39</v>
      </c>
      <c r="Q5480" s="8" t="s">
        <v>1660</v>
      </c>
      <c r="R5480" s="10" t="s">
        <v>31515</v>
      </c>
      <c r="S5480" s="11"/>
      <c r="T5480" s="6"/>
      <c r="U5480" s="15" t="str">
        <f>HYPERLINK("https://media.infra-m.ru/0966/0966594/cover/966594.jpg", "Обложка")</f>
        <v>Обложка</v>
      </c>
      <c r="V5480" s="8" t="s">
        <v>2544</v>
      </c>
      <c r="W5480" s="6"/>
      <c r="X5480" s="6"/>
      <c r="Y5480" s="6"/>
      <c r="Z5480" s="6"/>
      <c r="AA5480" s="6" t="s">
        <v>99</v>
      </c>
      <c r="AB5480" s="8"/>
      <c r="AC5480" s="27">
        <v>9785955805962</v>
      </c>
    </row>
    <row r="5481" spans="1:29" s="4" customFormat="1" ht="51.9" customHeight="1" x14ac:dyDescent="0.2">
      <c r="A5481" s="5">
        <v>0</v>
      </c>
      <c r="B5481" s="6" t="s">
        <v>31516</v>
      </c>
      <c r="C5481" s="7">
        <v>2640</v>
      </c>
      <c r="D5481" s="8" t="s">
        <v>31517</v>
      </c>
      <c r="E5481" s="8" t="s">
        <v>31518</v>
      </c>
      <c r="F5481" s="8" t="s">
        <v>31519</v>
      </c>
      <c r="G5481" s="6" t="s">
        <v>60</v>
      </c>
      <c r="H5481" s="6" t="s">
        <v>34</v>
      </c>
      <c r="I5481" s="8" t="s">
        <v>35</v>
      </c>
      <c r="J5481" s="9">
        <v>1</v>
      </c>
      <c r="K5481" s="9">
        <v>423</v>
      </c>
      <c r="L5481" s="9">
        <v>2026</v>
      </c>
      <c r="M5481" s="8" t="s">
        <v>31520</v>
      </c>
      <c r="N5481" s="8" t="s">
        <v>37</v>
      </c>
      <c r="O5481" s="8" t="s">
        <v>136</v>
      </c>
      <c r="P5481" s="6" t="s">
        <v>39</v>
      </c>
      <c r="Q5481" s="8" t="s">
        <v>40</v>
      </c>
      <c r="R5481" s="10" t="s">
        <v>31521</v>
      </c>
      <c r="S5481" s="11"/>
      <c r="T5481" s="6"/>
      <c r="U5481" s="15" t="str">
        <f>HYPERLINK("https://media.infra-m.ru/2220/2220324/cover/2220324.jpg", "Обложка")</f>
        <v>Обложка</v>
      </c>
      <c r="V5481" s="8" t="s">
        <v>4923</v>
      </c>
      <c r="W5481" s="6"/>
      <c r="X5481" s="6"/>
      <c r="Y5481" s="6"/>
      <c r="Z5481" s="6"/>
      <c r="AA5481" s="6" t="s">
        <v>106</v>
      </c>
      <c r="AB5481" s="8" t="s">
        <v>2208</v>
      </c>
      <c r="AC5481" s="27">
        <v>9785160195520</v>
      </c>
    </row>
    <row r="5482" spans="1:29" s="4" customFormat="1" ht="51.9" customHeight="1" x14ac:dyDescent="0.2">
      <c r="A5482" s="5">
        <v>0</v>
      </c>
      <c r="B5482" s="6" t="s">
        <v>31522</v>
      </c>
      <c r="C5482" s="7">
        <v>1386</v>
      </c>
      <c r="D5482" s="8" t="s">
        <v>31523</v>
      </c>
      <c r="E5482" s="8" t="s">
        <v>31524</v>
      </c>
      <c r="F5482" s="8" t="s">
        <v>31525</v>
      </c>
      <c r="G5482" s="6" t="s">
        <v>33</v>
      </c>
      <c r="H5482" s="6" t="s">
        <v>134</v>
      </c>
      <c r="I5482" s="8"/>
      <c r="J5482" s="9">
        <v>1</v>
      </c>
      <c r="K5482" s="9">
        <v>120</v>
      </c>
      <c r="L5482" s="9">
        <v>2023</v>
      </c>
      <c r="M5482" s="8" t="s">
        <v>31526</v>
      </c>
      <c r="N5482" s="8" t="s">
        <v>37</v>
      </c>
      <c r="O5482" s="8" t="s">
        <v>136</v>
      </c>
      <c r="P5482" s="6" t="s">
        <v>39</v>
      </c>
      <c r="Q5482" s="8" t="s">
        <v>40</v>
      </c>
      <c r="R5482" s="10" t="s">
        <v>31527</v>
      </c>
      <c r="S5482" s="11"/>
      <c r="T5482" s="6"/>
      <c r="U5482" s="15" t="str">
        <f>HYPERLINK("https://media.infra-m.ru/1911/1911597/cover/1911597.jpg", "Обложка")</f>
        <v>Обложка</v>
      </c>
      <c r="V5482" s="8"/>
      <c r="W5482" s="6"/>
      <c r="X5482" s="6"/>
      <c r="Y5482" s="6"/>
      <c r="Z5482" s="6"/>
      <c r="AA5482" s="6" t="s">
        <v>157</v>
      </c>
      <c r="AB5482" s="8"/>
      <c r="AC5482" s="27">
        <v>9785001562641</v>
      </c>
    </row>
    <row r="5483" spans="1:29" s="4" customFormat="1" ht="42" customHeight="1" x14ac:dyDescent="0.2">
      <c r="A5483" s="5">
        <v>0</v>
      </c>
      <c r="B5483" s="6" t="s">
        <v>31528</v>
      </c>
      <c r="C5483" s="7">
        <v>1949.9</v>
      </c>
      <c r="D5483" s="8" t="s">
        <v>31529</v>
      </c>
      <c r="E5483" s="8" t="s">
        <v>31530</v>
      </c>
      <c r="F5483" s="8" t="s">
        <v>3255</v>
      </c>
      <c r="G5483" s="6" t="s">
        <v>60</v>
      </c>
      <c r="H5483" s="6" t="s">
        <v>34</v>
      </c>
      <c r="I5483" s="8" t="s">
        <v>35</v>
      </c>
      <c r="J5483" s="9">
        <v>1</v>
      </c>
      <c r="K5483" s="9">
        <v>360</v>
      </c>
      <c r="L5483" s="9">
        <v>2023</v>
      </c>
      <c r="M5483" s="8" t="s">
        <v>31531</v>
      </c>
      <c r="N5483" s="8" t="s">
        <v>37</v>
      </c>
      <c r="O5483" s="8" t="s">
        <v>83</v>
      </c>
      <c r="P5483" s="6" t="s">
        <v>39</v>
      </c>
      <c r="Q5483" s="8" t="s">
        <v>40</v>
      </c>
      <c r="R5483" s="10" t="s">
        <v>6480</v>
      </c>
      <c r="S5483" s="11"/>
      <c r="T5483" s="6"/>
      <c r="U5483" s="15" t="str">
        <f>HYPERLINK("https://media.infra-m.ru/2030/2030879/cover/2030879.jpg", "Обложка")</f>
        <v>Обложка</v>
      </c>
      <c r="V5483" s="8" t="s">
        <v>3109</v>
      </c>
      <c r="W5483" s="6"/>
      <c r="X5483" s="6"/>
      <c r="Y5483" s="6"/>
      <c r="Z5483" s="6"/>
      <c r="AA5483" s="6" t="s">
        <v>1256</v>
      </c>
      <c r="AB5483" s="8"/>
      <c r="AC5483" s="27">
        <v>9785160146386</v>
      </c>
    </row>
    <row r="5484" spans="1:29" s="4" customFormat="1" ht="42" customHeight="1" x14ac:dyDescent="0.2">
      <c r="A5484" s="5">
        <v>0</v>
      </c>
      <c r="B5484" s="6" t="s">
        <v>31532</v>
      </c>
      <c r="C5484" s="7">
        <v>1956</v>
      </c>
      <c r="D5484" s="8" t="s">
        <v>31533</v>
      </c>
      <c r="E5484" s="8" t="s">
        <v>31534</v>
      </c>
      <c r="F5484" s="8" t="s">
        <v>31535</v>
      </c>
      <c r="G5484" s="6" t="s">
        <v>60</v>
      </c>
      <c r="H5484" s="6" t="s">
        <v>34</v>
      </c>
      <c r="I5484" s="8" t="s">
        <v>304</v>
      </c>
      <c r="J5484" s="9">
        <v>1</v>
      </c>
      <c r="K5484" s="9">
        <v>278</v>
      </c>
      <c r="L5484" s="9">
        <v>2026</v>
      </c>
      <c r="M5484" s="8" t="s">
        <v>31536</v>
      </c>
      <c r="N5484" s="8" t="s">
        <v>37</v>
      </c>
      <c r="O5484" s="8" t="s">
        <v>83</v>
      </c>
      <c r="P5484" s="6" t="s">
        <v>306</v>
      </c>
      <c r="Q5484" s="8" t="s">
        <v>52</v>
      </c>
      <c r="R5484" s="10" t="s">
        <v>25356</v>
      </c>
      <c r="S5484" s="11"/>
      <c r="T5484" s="6"/>
      <c r="U5484" s="15" t="str">
        <f>HYPERLINK("https://media.infra-m.ru/2206/2206800/cover/2206800.jpg", "Обложка")</f>
        <v>Обложка</v>
      </c>
      <c r="V5484" s="8" t="s">
        <v>247</v>
      </c>
      <c r="W5484" s="6" t="s">
        <v>186</v>
      </c>
      <c r="X5484" s="6"/>
      <c r="Y5484" s="6"/>
      <c r="Z5484" s="6"/>
      <c r="AA5484" s="6" t="s">
        <v>187</v>
      </c>
      <c r="AB5484" s="8" t="s">
        <v>308</v>
      </c>
      <c r="AC5484" s="27">
        <v>9785160209487</v>
      </c>
    </row>
    <row r="5485" spans="1:29" s="4" customFormat="1" ht="51.9" customHeight="1" x14ac:dyDescent="0.2">
      <c r="A5485" s="5">
        <v>0</v>
      </c>
      <c r="B5485" s="6" t="s">
        <v>31537</v>
      </c>
      <c r="C5485" s="7">
        <v>2452.8000000000002</v>
      </c>
      <c r="D5485" s="8" t="s">
        <v>31538</v>
      </c>
      <c r="E5485" s="8" t="s">
        <v>31539</v>
      </c>
      <c r="F5485" s="8" t="s">
        <v>14019</v>
      </c>
      <c r="G5485" s="6" t="s">
        <v>118</v>
      </c>
      <c r="H5485" s="6" t="s">
        <v>134</v>
      </c>
      <c r="I5485" s="8"/>
      <c r="J5485" s="9">
        <v>1</v>
      </c>
      <c r="K5485" s="9">
        <v>384</v>
      </c>
      <c r="L5485" s="9">
        <v>2026</v>
      </c>
      <c r="M5485" s="8" t="s">
        <v>31540</v>
      </c>
      <c r="N5485" s="8" t="s">
        <v>37</v>
      </c>
      <c r="O5485" s="8" t="s">
        <v>83</v>
      </c>
      <c r="P5485" s="6" t="s">
        <v>306</v>
      </c>
      <c r="Q5485" s="8" t="s">
        <v>52</v>
      </c>
      <c r="R5485" s="10" t="s">
        <v>31541</v>
      </c>
      <c r="S5485" s="11"/>
      <c r="T5485" s="6"/>
      <c r="U5485" s="15" t="str">
        <f>HYPERLINK("https://media.infra-m.ru/2221/2221347/cover/2221347.jpg", "Обложка")</f>
        <v>Обложка</v>
      </c>
      <c r="V5485" s="8" t="s">
        <v>396</v>
      </c>
      <c r="W5485" s="6"/>
      <c r="X5485" s="6"/>
      <c r="Y5485" s="6"/>
      <c r="Z5485" s="6"/>
      <c r="AA5485" s="6" t="s">
        <v>3800</v>
      </c>
      <c r="AB5485" s="8"/>
      <c r="AC5485" s="27">
        <v>9785917686868</v>
      </c>
    </row>
    <row r="5486" spans="1:29" s="4" customFormat="1" ht="51.9" customHeight="1" x14ac:dyDescent="0.2">
      <c r="A5486" s="5">
        <v>0</v>
      </c>
      <c r="B5486" s="6" t="s">
        <v>31542</v>
      </c>
      <c r="C5486" s="7">
        <v>2428.8000000000002</v>
      </c>
      <c r="D5486" s="8" t="s">
        <v>31543</v>
      </c>
      <c r="E5486" s="8" t="s">
        <v>31544</v>
      </c>
      <c r="F5486" s="8" t="s">
        <v>16467</v>
      </c>
      <c r="G5486" s="6" t="s">
        <v>118</v>
      </c>
      <c r="H5486" s="6" t="s">
        <v>34</v>
      </c>
      <c r="I5486" s="8" t="s">
        <v>271</v>
      </c>
      <c r="J5486" s="9">
        <v>1</v>
      </c>
      <c r="K5486" s="9">
        <v>403</v>
      </c>
      <c r="L5486" s="9">
        <v>2025</v>
      </c>
      <c r="M5486" s="8" t="s">
        <v>31545</v>
      </c>
      <c r="N5486" s="8" t="s">
        <v>37</v>
      </c>
      <c r="O5486" s="8" t="s">
        <v>83</v>
      </c>
      <c r="P5486" s="6" t="s">
        <v>51</v>
      </c>
      <c r="Q5486" s="8" t="s">
        <v>52</v>
      </c>
      <c r="R5486" s="10" t="s">
        <v>13770</v>
      </c>
      <c r="S5486" s="11" t="s">
        <v>31546</v>
      </c>
      <c r="T5486" s="6"/>
      <c r="U5486" s="15" t="str">
        <f>HYPERLINK("https://media.infra-m.ru/2188/2188205/cover/2188205.jpg", "Обложка")</f>
        <v>Обложка</v>
      </c>
      <c r="V5486" s="8" t="s">
        <v>5951</v>
      </c>
      <c r="W5486" s="6"/>
      <c r="X5486" s="6"/>
      <c r="Y5486" s="6"/>
      <c r="Z5486" s="6"/>
      <c r="AA5486" s="6" t="s">
        <v>896</v>
      </c>
      <c r="AB5486" s="8"/>
      <c r="AC5486" s="27">
        <v>9785160157863</v>
      </c>
    </row>
    <row r="5487" spans="1:29" s="4" customFormat="1" ht="51.9" customHeight="1" x14ac:dyDescent="0.2">
      <c r="A5487" s="5">
        <v>0</v>
      </c>
      <c r="B5487" s="6" t="s">
        <v>31547</v>
      </c>
      <c r="C5487" s="7">
        <v>1661.9</v>
      </c>
      <c r="D5487" s="8" t="s">
        <v>31548</v>
      </c>
      <c r="E5487" s="8" t="s">
        <v>31549</v>
      </c>
      <c r="F5487" s="8" t="s">
        <v>28011</v>
      </c>
      <c r="G5487" s="6" t="s">
        <v>60</v>
      </c>
      <c r="H5487" s="6" t="s">
        <v>1042</v>
      </c>
      <c r="I5487" s="8" t="s">
        <v>253</v>
      </c>
      <c r="J5487" s="9">
        <v>1</v>
      </c>
      <c r="K5487" s="9">
        <v>432</v>
      </c>
      <c r="L5487" s="9">
        <v>2019</v>
      </c>
      <c r="M5487" s="8" t="s">
        <v>31550</v>
      </c>
      <c r="N5487" s="8" t="s">
        <v>37</v>
      </c>
      <c r="O5487" s="8" t="s">
        <v>83</v>
      </c>
      <c r="P5487" s="6" t="s">
        <v>51</v>
      </c>
      <c r="Q5487" s="8" t="s">
        <v>52</v>
      </c>
      <c r="R5487" s="10" t="s">
        <v>13770</v>
      </c>
      <c r="S5487" s="11" t="s">
        <v>31551</v>
      </c>
      <c r="T5487" s="6"/>
      <c r="U5487" s="15" t="str">
        <f>HYPERLINK("https://media.infra-m.ru/0987/0987920/cover/987920.jpg", "Обложка")</f>
        <v>Обложка</v>
      </c>
      <c r="V5487" s="8" t="s">
        <v>5951</v>
      </c>
      <c r="W5487" s="6"/>
      <c r="X5487" s="6"/>
      <c r="Y5487" s="6"/>
      <c r="Z5487" s="6"/>
      <c r="AA5487" s="6" t="s">
        <v>1047</v>
      </c>
      <c r="AB5487" s="8"/>
      <c r="AC5487" s="27">
        <v>9785819903322</v>
      </c>
    </row>
    <row r="5488" spans="1:29" s="4" customFormat="1" ht="51.9" customHeight="1" x14ac:dyDescent="0.2">
      <c r="A5488" s="5">
        <v>0</v>
      </c>
      <c r="B5488" s="6" t="s">
        <v>31552</v>
      </c>
      <c r="C5488" s="7">
        <v>1032</v>
      </c>
      <c r="D5488" s="8" t="s">
        <v>31553</v>
      </c>
      <c r="E5488" s="8" t="s">
        <v>31554</v>
      </c>
      <c r="F5488" s="8" t="s">
        <v>13768</v>
      </c>
      <c r="G5488" s="6" t="s">
        <v>118</v>
      </c>
      <c r="H5488" s="6" t="s">
        <v>34</v>
      </c>
      <c r="I5488" s="8" t="s">
        <v>35</v>
      </c>
      <c r="J5488" s="9">
        <v>1</v>
      </c>
      <c r="K5488" s="9">
        <v>221</v>
      </c>
      <c r="L5488" s="9">
        <v>2022</v>
      </c>
      <c r="M5488" s="8" t="s">
        <v>31555</v>
      </c>
      <c r="N5488" s="8" t="s">
        <v>37</v>
      </c>
      <c r="O5488" s="8" t="s">
        <v>83</v>
      </c>
      <c r="P5488" s="6" t="s">
        <v>39</v>
      </c>
      <c r="Q5488" s="8" t="s">
        <v>40</v>
      </c>
      <c r="R5488" s="10" t="s">
        <v>31556</v>
      </c>
      <c r="S5488" s="11"/>
      <c r="T5488" s="6" t="s">
        <v>97</v>
      </c>
      <c r="U5488" s="15" t="str">
        <f>HYPERLINK("https://media.infra-m.ru/1861/1861578/cover/1861578.jpg", "Обложка")</f>
        <v>Обложка</v>
      </c>
      <c r="V5488" s="8" t="s">
        <v>6700</v>
      </c>
      <c r="W5488" s="6"/>
      <c r="X5488" s="6"/>
      <c r="Y5488" s="6"/>
      <c r="Z5488" s="6"/>
      <c r="AA5488" s="6" t="s">
        <v>99</v>
      </c>
      <c r="AB5488" s="8"/>
      <c r="AC5488" s="27">
        <v>9785160128955</v>
      </c>
    </row>
    <row r="5489" spans="1:29" s="4" customFormat="1" ht="51.9" customHeight="1" x14ac:dyDescent="0.2">
      <c r="A5489" s="5">
        <v>0</v>
      </c>
      <c r="B5489" s="6" t="s">
        <v>31557</v>
      </c>
      <c r="C5489" s="7">
        <v>2124</v>
      </c>
      <c r="D5489" s="8" t="s">
        <v>31558</v>
      </c>
      <c r="E5489" s="8" t="s">
        <v>31559</v>
      </c>
      <c r="F5489" s="8" t="s">
        <v>3261</v>
      </c>
      <c r="G5489" s="6" t="s">
        <v>60</v>
      </c>
      <c r="H5489" s="6" t="s">
        <v>34</v>
      </c>
      <c r="I5489" s="8" t="s">
        <v>35</v>
      </c>
      <c r="J5489" s="9">
        <v>1</v>
      </c>
      <c r="K5489" s="9">
        <v>380</v>
      </c>
      <c r="L5489" s="9">
        <v>2023</v>
      </c>
      <c r="M5489" s="8" t="s">
        <v>31560</v>
      </c>
      <c r="N5489" s="8" t="s">
        <v>37</v>
      </c>
      <c r="O5489" s="8" t="s">
        <v>83</v>
      </c>
      <c r="P5489" s="6" t="s">
        <v>39</v>
      </c>
      <c r="Q5489" s="8" t="s">
        <v>40</v>
      </c>
      <c r="R5489" s="10" t="s">
        <v>31561</v>
      </c>
      <c r="S5489" s="11"/>
      <c r="T5489" s="6"/>
      <c r="U5489" s="15" t="str">
        <f>HYPERLINK("https://media.infra-m.ru/2009/2009681/cover/2009681.jpg", "Обложка")</f>
        <v>Обложка</v>
      </c>
      <c r="V5489" s="8" t="s">
        <v>3264</v>
      </c>
      <c r="W5489" s="6"/>
      <c r="X5489" s="6"/>
      <c r="Y5489" s="6"/>
      <c r="Z5489" s="6"/>
      <c r="AA5489" s="6" t="s">
        <v>157</v>
      </c>
      <c r="AB5489" s="8"/>
      <c r="AC5489" s="27">
        <v>9785160184746</v>
      </c>
    </row>
    <row r="5490" spans="1:29" s="4" customFormat="1" ht="51.9" customHeight="1" x14ac:dyDescent="0.2">
      <c r="A5490" s="5">
        <v>0</v>
      </c>
      <c r="B5490" s="6" t="s">
        <v>31562</v>
      </c>
      <c r="C5490" s="7">
        <v>1632</v>
      </c>
      <c r="D5490" s="8" t="s">
        <v>31563</v>
      </c>
      <c r="E5490" s="8" t="s">
        <v>31564</v>
      </c>
      <c r="F5490" s="8" t="s">
        <v>13886</v>
      </c>
      <c r="G5490" s="6" t="s">
        <v>60</v>
      </c>
      <c r="H5490" s="6" t="s">
        <v>34</v>
      </c>
      <c r="I5490" s="8" t="s">
        <v>304</v>
      </c>
      <c r="J5490" s="9">
        <v>1</v>
      </c>
      <c r="K5490" s="9">
        <v>266</v>
      </c>
      <c r="L5490" s="9">
        <v>2024</v>
      </c>
      <c r="M5490" s="8" t="s">
        <v>31565</v>
      </c>
      <c r="N5490" s="8" t="s">
        <v>37</v>
      </c>
      <c r="O5490" s="8" t="s">
        <v>83</v>
      </c>
      <c r="P5490" s="6" t="s">
        <v>306</v>
      </c>
      <c r="Q5490" s="8" t="s">
        <v>65</v>
      </c>
      <c r="R5490" s="10" t="s">
        <v>31566</v>
      </c>
      <c r="S5490" s="11"/>
      <c r="T5490" s="6"/>
      <c r="U5490" s="15" t="str">
        <f>HYPERLINK("https://media.infra-m.ru/2132/2132118/cover/2132118.jpg", "Обложка")</f>
        <v>Обложка</v>
      </c>
      <c r="V5490" s="8" t="s">
        <v>247</v>
      </c>
      <c r="W5490" s="6"/>
      <c r="X5490" s="6"/>
      <c r="Y5490" s="6"/>
      <c r="Z5490" s="6"/>
      <c r="AA5490" s="6" t="s">
        <v>76</v>
      </c>
      <c r="AB5490" s="8"/>
      <c r="AC5490" s="27">
        <v>9785160196480</v>
      </c>
    </row>
    <row r="5491" spans="1:29" s="4" customFormat="1" ht="51.9" customHeight="1" x14ac:dyDescent="0.2">
      <c r="A5491" s="5">
        <v>0</v>
      </c>
      <c r="B5491" s="6" t="s">
        <v>31567</v>
      </c>
      <c r="C5491" s="7">
        <v>2332.8000000000002</v>
      </c>
      <c r="D5491" s="8" t="s">
        <v>31568</v>
      </c>
      <c r="E5491" s="8" t="s">
        <v>31564</v>
      </c>
      <c r="F5491" s="8" t="s">
        <v>16467</v>
      </c>
      <c r="G5491" s="6" t="s">
        <v>60</v>
      </c>
      <c r="H5491" s="6" t="s">
        <v>1042</v>
      </c>
      <c r="I5491" s="8" t="s">
        <v>253</v>
      </c>
      <c r="J5491" s="9">
        <v>1</v>
      </c>
      <c r="K5491" s="9">
        <v>336</v>
      </c>
      <c r="L5491" s="9">
        <v>2027</v>
      </c>
      <c r="M5491" s="8" t="s">
        <v>31569</v>
      </c>
      <c r="N5491" s="8" t="s">
        <v>37</v>
      </c>
      <c r="O5491" s="8" t="s">
        <v>83</v>
      </c>
      <c r="P5491" s="6" t="s">
        <v>51</v>
      </c>
      <c r="Q5491" s="8" t="s">
        <v>52</v>
      </c>
      <c r="R5491" s="10" t="s">
        <v>31570</v>
      </c>
      <c r="S5491" s="11"/>
      <c r="T5491" s="6"/>
      <c r="U5491" s="15" t="str">
        <f>HYPERLINK("https://media.infra-m.ru/2258/2258568/cover/2258568.jpg", "Обложка")</f>
        <v>Обложка</v>
      </c>
      <c r="V5491" s="8" t="s">
        <v>5951</v>
      </c>
      <c r="W5491" s="6"/>
      <c r="X5491" s="6"/>
      <c r="Y5491" s="6"/>
      <c r="Z5491" s="6"/>
      <c r="AA5491" s="6" t="s">
        <v>43</v>
      </c>
      <c r="AB5491" s="8"/>
      <c r="AC5491" s="27">
        <v>9785819905401</v>
      </c>
    </row>
    <row r="5492" spans="1:29" s="4" customFormat="1" ht="51.9" customHeight="1" x14ac:dyDescent="0.2">
      <c r="A5492" s="5">
        <v>0</v>
      </c>
      <c r="B5492" s="6" t="s">
        <v>31571</v>
      </c>
      <c r="C5492" s="7">
        <v>4560</v>
      </c>
      <c r="D5492" s="8" t="s">
        <v>31572</v>
      </c>
      <c r="E5492" s="8" t="s">
        <v>31573</v>
      </c>
      <c r="F5492" s="8" t="s">
        <v>489</v>
      </c>
      <c r="G5492" s="6" t="s">
        <v>60</v>
      </c>
      <c r="H5492" s="6" t="s">
        <v>34</v>
      </c>
      <c r="I5492" s="8" t="s">
        <v>253</v>
      </c>
      <c r="J5492" s="9">
        <v>1</v>
      </c>
      <c r="K5492" s="9">
        <v>659</v>
      </c>
      <c r="L5492" s="9">
        <v>2027</v>
      </c>
      <c r="M5492" s="8" t="s">
        <v>31574</v>
      </c>
      <c r="N5492" s="8" t="s">
        <v>37</v>
      </c>
      <c r="O5492" s="8" t="s">
        <v>83</v>
      </c>
      <c r="P5492" s="6" t="s">
        <v>306</v>
      </c>
      <c r="Q5492" s="8" t="s">
        <v>52</v>
      </c>
      <c r="R5492" s="10" t="s">
        <v>13888</v>
      </c>
      <c r="S5492" s="11" t="s">
        <v>31575</v>
      </c>
      <c r="T5492" s="6"/>
      <c r="U5492" s="15" t="str">
        <f>HYPERLINK("https://media.infra-m.ru/2266/2266385/cover/2266385.jpg", "Обложка")</f>
        <v>Обложка</v>
      </c>
      <c r="V5492" s="8" t="s">
        <v>396</v>
      </c>
      <c r="W5492" s="6"/>
      <c r="X5492" s="6"/>
      <c r="Y5492" s="6"/>
      <c r="Z5492" s="6"/>
      <c r="AA5492" s="6" t="s">
        <v>148</v>
      </c>
      <c r="AB5492" s="8" t="s">
        <v>467</v>
      </c>
      <c r="AC5492" s="27">
        <v>9785160204147</v>
      </c>
    </row>
    <row r="5493" spans="1:29" s="4" customFormat="1" ht="42" customHeight="1" x14ac:dyDescent="0.2">
      <c r="A5493" s="5">
        <v>0</v>
      </c>
      <c r="B5493" s="6" t="s">
        <v>31576</v>
      </c>
      <c r="C5493" s="7">
        <v>2100</v>
      </c>
      <c r="D5493" s="8" t="s">
        <v>31577</v>
      </c>
      <c r="E5493" s="8" t="s">
        <v>31578</v>
      </c>
      <c r="F5493" s="8" t="s">
        <v>8193</v>
      </c>
      <c r="G5493" s="6" t="s">
        <v>33</v>
      </c>
      <c r="H5493" s="6" t="s">
        <v>34</v>
      </c>
      <c r="I5493" s="8" t="s">
        <v>35</v>
      </c>
      <c r="J5493" s="9">
        <v>1</v>
      </c>
      <c r="K5493" s="9">
        <v>318</v>
      </c>
      <c r="L5493" s="9">
        <v>2026</v>
      </c>
      <c r="M5493" s="8" t="s">
        <v>31579</v>
      </c>
      <c r="N5493" s="8" t="s">
        <v>37</v>
      </c>
      <c r="O5493" s="8" t="s">
        <v>83</v>
      </c>
      <c r="P5493" s="6" t="s">
        <v>1689</v>
      </c>
      <c r="Q5493" s="8" t="s">
        <v>40</v>
      </c>
      <c r="R5493" s="10" t="s">
        <v>6528</v>
      </c>
      <c r="S5493" s="11"/>
      <c r="T5493" s="6"/>
      <c r="U5493" s="15" t="str">
        <f>HYPERLINK("https://media.infra-m.ru/2249/2249527/cover/2249527.jpg", "Обложка")</f>
        <v>Обложка</v>
      </c>
      <c r="V5493" s="8" t="s">
        <v>3087</v>
      </c>
      <c r="W5493" s="6"/>
      <c r="X5493" s="6"/>
      <c r="Y5493" s="6"/>
      <c r="Z5493" s="6"/>
      <c r="AA5493" s="6" t="s">
        <v>274</v>
      </c>
      <c r="AB5493" s="8"/>
      <c r="AC5493" s="27">
        <v>9785160102825</v>
      </c>
    </row>
    <row r="5494" spans="1:29" s="4" customFormat="1" ht="51.9" customHeight="1" x14ac:dyDescent="0.2">
      <c r="A5494" s="5">
        <v>0</v>
      </c>
      <c r="B5494" s="6" t="s">
        <v>31580</v>
      </c>
      <c r="C5494" s="13">
        <v>648</v>
      </c>
      <c r="D5494" s="8" t="s">
        <v>31581</v>
      </c>
      <c r="E5494" s="8" t="s">
        <v>31582</v>
      </c>
      <c r="F5494" s="8" t="s">
        <v>31583</v>
      </c>
      <c r="G5494" s="6" t="s">
        <v>33</v>
      </c>
      <c r="H5494" s="6" t="s">
        <v>34</v>
      </c>
      <c r="I5494" s="8" t="s">
        <v>253</v>
      </c>
      <c r="J5494" s="9">
        <v>1</v>
      </c>
      <c r="K5494" s="9">
        <v>98</v>
      </c>
      <c r="L5494" s="9">
        <v>2026</v>
      </c>
      <c r="M5494" s="8" t="s">
        <v>31584</v>
      </c>
      <c r="N5494" s="8" t="s">
        <v>37</v>
      </c>
      <c r="O5494" s="8" t="s">
        <v>83</v>
      </c>
      <c r="P5494" s="6" t="s">
        <v>51</v>
      </c>
      <c r="Q5494" s="8" t="s">
        <v>65</v>
      </c>
      <c r="R5494" s="10" t="s">
        <v>31585</v>
      </c>
      <c r="S5494" s="11"/>
      <c r="T5494" s="6"/>
      <c r="U5494" s="15" t="str">
        <f>HYPERLINK("https://media.infra-m.ru/2228/2228066/cover/2228066.jpg", "Обложка")</f>
        <v>Обложка</v>
      </c>
      <c r="V5494" s="8" t="s">
        <v>1675</v>
      </c>
      <c r="W5494" s="6"/>
      <c r="X5494" s="6"/>
      <c r="Y5494" s="6"/>
      <c r="Z5494" s="6"/>
      <c r="AA5494" s="6" t="s">
        <v>99</v>
      </c>
      <c r="AB5494" s="8"/>
      <c r="AC5494" s="27">
        <v>9785160128931</v>
      </c>
    </row>
    <row r="5495" spans="1:29" s="4" customFormat="1" ht="51.9" customHeight="1" x14ac:dyDescent="0.2">
      <c r="A5495" s="5">
        <v>0</v>
      </c>
      <c r="B5495" s="6" t="s">
        <v>31586</v>
      </c>
      <c r="C5495" s="7">
        <v>1152</v>
      </c>
      <c r="D5495" s="8" t="s">
        <v>31587</v>
      </c>
      <c r="E5495" s="8" t="s">
        <v>31588</v>
      </c>
      <c r="F5495" s="8" t="s">
        <v>31589</v>
      </c>
      <c r="G5495" s="6" t="s">
        <v>118</v>
      </c>
      <c r="H5495" s="6" t="s">
        <v>34</v>
      </c>
      <c r="I5495" s="8" t="s">
        <v>14000</v>
      </c>
      <c r="J5495" s="9">
        <v>1</v>
      </c>
      <c r="K5495" s="9">
        <v>208</v>
      </c>
      <c r="L5495" s="9">
        <v>2024</v>
      </c>
      <c r="M5495" s="8" t="s">
        <v>31590</v>
      </c>
      <c r="N5495" s="8" t="s">
        <v>37</v>
      </c>
      <c r="O5495" s="8" t="s">
        <v>83</v>
      </c>
      <c r="P5495" s="6" t="s">
        <v>51</v>
      </c>
      <c r="Q5495" s="8" t="s">
        <v>52</v>
      </c>
      <c r="R5495" s="10" t="s">
        <v>31591</v>
      </c>
      <c r="S5495" s="11" t="s">
        <v>31592</v>
      </c>
      <c r="T5495" s="6"/>
      <c r="U5495" s="15" t="str">
        <f>HYPERLINK("https://media.infra-m.ru/2110/2110939/cover/2110939.jpg", "Обложка")</f>
        <v>Обложка</v>
      </c>
      <c r="V5495" s="8" t="s">
        <v>414</v>
      </c>
      <c r="W5495" s="6"/>
      <c r="X5495" s="6"/>
      <c r="Y5495" s="6"/>
      <c r="Z5495" s="6"/>
      <c r="AA5495" s="6" t="s">
        <v>1256</v>
      </c>
      <c r="AB5495" s="8"/>
      <c r="AC5495" s="27">
        <v>9785160193502</v>
      </c>
    </row>
    <row r="5496" spans="1:29" s="4" customFormat="1" ht="51.9" customHeight="1" x14ac:dyDescent="0.2">
      <c r="A5496" s="5">
        <v>0</v>
      </c>
      <c r="B5496" s="6" t="s">
        <v>31593</v>
      </c>
      <c r="C5496" s="7">
        <v>1636.8</v>
      </c>
      <c r="D5496" s="8" t="s">
        <v>31594</v>
      </c>
      <c r="E5496" s="8" t="s">
        <v>31595</v>
      </c>
      <c r="F5496" s="8" t="s">
        <v>13835</v>
      </c>
      <c r="G5496" s="6" t="s">
        <v>21</v>
      </c>
      <c r="H5496" s="6" t="s">
        <v>134</v>
      </c>
      <c r="I5496" s="8"/>
      <c r="J5496" s="9">
        <v>1</v>
      </c>
      <c r="K5496" s="9">
        <v>272</v>
      </c>
      <c r="L5496" s="9">
        <v>2025</v>
      </c>
      <c r="M5496" s="8" t="s">
        <v>31596</v>
      </c>
      <c r="N5496" s="8" t="s">
        <v>37</v>
      </c>
      <c r="O5496" s="8" t="s">
        <v>83</v>
      </c>
      <c r="P5496" s="6" t="s">
        <v>39</v>
      </c>
      <c r="Q5496" s="8"/>
      <c r="R5496" s="10" t="s">
        <v>13897</v>
      </c>
      <c r="S5496" s="11"/>
      <c r="T5496" s="6"/>
      <c r="U5496" s="15" t="str">
        <f>HYPERLINK("https://media.infra-m.ru/2184/2184381/cover/2184381.jpg", "Обложка")</f>
        <v>Обложка</v>
      </c>
      <c r="V5496" s="8" t="s">
        <v>1069</v>
      </c>
      <c r="W5496" s="6"/>
      <c r="X5496" s="6"/>
      <c r="Y5496" s="6"/>
      <c r="Z5496" s="6"/>
      <c r="AA5496" s="6" t="s">
        <v>769</v>
      </c>
      <c r="AB5496" s="8"/>
      <c r="AC5496" s="27">
        <v>9785917683157</v>
      </c>
    </row>
    <row r="5497" spans="1:29" s="4" customFormat="1" ht="51.9" customHeight="1" x14ac:dyDescent="0.2">
      <c r="A5497" s="5">
        <v>0</v>
      </c>
      <c r="B5497" s="6" t="s">
        <v>31597</v>
      </c>
      <c r="C5497" s="7">
        <v>2872.8</v>
      </c>
      <c r="D5497" s="8" t="s">
        <v>31598</v>
      </c>
      <c r="E5497" s="8" t="s">
        <v>31599</v>
      </c>
      <c r="F5497" s="8" t="s">
        <v>22766</v>
      </c>
      <c r="G5497" s="6" t="s">
        <v>118</v>
      </c>
      <c r="H5497" s="6" t="s">
        <v>34</v>
      </c>
      <c r="I5497" s="8" t="s">
        <v>2159</v>
      </c>
      <c r="J5497" s="9">
        <v>1</v>
      </c>
      <c r="K5497" s="9">
        <v>555</v>
      </c>
      <c r="L5497" s="9">
        <v>2023</v>
      </c>
      <c r="M5497" s="8" t="s">
        <v>31600</v>
      </c>
      <c r="N5497" s="8" t="s">
        <v>37</v>
      </c>
      <c r="O5497" s="8" t="s">
        <v>38</v>
      </c>
      <c r="P5497" s="6" t="s">
        <v>39</v>
      </c>
      <c r="Q5497" s="8" t="s">
        <v>40</v>
      </c>
      <c r="R5497" s="10" t="s">
        <v>31601</v>
      </c>
      <c r="S5497" s="11"/>
      <c r="T5497" s="6"/>
      <c r="U5497" s="15" t="str">
        <f>HYPERLINK("https://media.infra-m.ru/1964/1964964/cover/1964964.jpg", "Обложка")</f>
        <v>Обложка</v>
      </c>
      <c r="V5497" s="8" t="s">
        <v>445</v>
      </c>
      <c r="W5497" s="6"/>
      <c r="X5497" s="6"/>
      <c r="Y5497" s="6"/>
      <c r="Z5497" s="6"/>
      <c r="AA5497" s="6" t="s">
        <v>1256</v>
      </c>
      <c r="AB5497" s="8" t="s">
        <v>1317</v>
      </c>
      <c r="AC5497" s="27">
        <v>9785160148748</v>
      </c>
    </row>
    <row r="5498" spans="1:29" s="4" customFormat="1" ht="51.9" customHeight="1" x14ac:dyDescent="0.2">
      <c r="A5498" s="5">
        <v>0</v>
      </c>
      <c r="B5498" s="6" t="s">
        <v>31602</v>
      </c>
      <c r="C5498" s="7">
        <v>1068</v>
      </c>
      <c r="D5498" s="8" t="s">
        <v>31603</v>
      </c>
      <c r="E5498" s="8" t="s">
        <v>31604</v>
      </c>
      <c r="F5498" s="8" t="s">
        <v>31605</v>
      </c>
      <c r="G5498" s="6" t="s">
        <v>33</v>
      </c>
      <c r="H5498" s="6" t="s">
        <v>34</v>
      </c>
      <c r="I5498" s="8" t="s">
        <v>35</v>
      </c>
      <c r="J5498" s="9">
        <v>1</v>
      </c>
      <c r="K5498" s="9">
        <v>155</v>
      </c>
      <c r="L5498" s="9">
        <v>2027</v>
      </c>
      <c r="M5498" s="8" t="s">
        <v>31606</v>
      </c>
      <c r="N5498" s="8" t="s">
        <v>63</v>
      </c>
      <c r="O5498" s="8" t="s">
        <v>64</v>
      </c>
      <c r="P5498" s="6" t="s">
        <v>39</v>
      </c>
      <c r="Q5498" s="8" t="s">
        <v>40</v>
      </c>
      <c r="R5498" s="10" t="s">
        <v>31607</v>
      </c>
      <c r="S5498" s="11"/>
      <c r="T5498" s="6"/>
      <c r="U5498" s="15" t="str">
        <f>HYPERLINK("https://media.infra-m.ru/2270/2270816/cover/2270816.jpg", "Обложка")</f>
        <v>Обложка</v>
      </c>
      <c r="V5498" s="8" t="s">
        <v>644</v>
      </c>
      <c r="W5498" s="6"/>
      <c r="X5498" s="6"/>
      <c r="Y5498" s="6"/>
      <c r="Z5498" s="6"/>
      <c r="AA5498" s="6" t="s">
        <v>1303</v>
      </c>
      <c r="AB5498" s="8"/>
      <c r="AC5498" s="27">
        <v>9785160181905</v>
      </c>
    </row>
    <row r="5499" spans="1:29" s="4" customFormat="1" ht="51.9" customHeight="1" x14ac:dyDescent="0.2">
      <c r="A5499" s="5">
        <v>0</v>
      </c>
      <c r="B5499" s="6" t="s">
        <v>31608</v>
      </c>
      <c r="C5499" s="13">
        <v>492</v>
      </c>
      <c r="D5499" s="8" t="s">
        <v>31609</v>
      </c>
      <c r="E5499" s="8" t="s">
        <v>31610</v>
      </c>
      <c r="F5499" s="8" t="s">
        <v>31611</v>
      </c>
      <c r="G5499" s="6" t="s">
        <v>33</v>
      </c>
      <c r="H5499" s="6" t="s">
        <v>34</v>
      </c>
      <c r="I5499" s="8" t="s">
        <v>35</v>
      </c>
      <c r="J5499" s="9">
        <v>1</v>
      </c>
      <c r="K5499" s="9">
        <v>90</v>
      </c>
      <c r="L5499" s="9">
        <v>2022</v>
      </c>
      <c r="M5499" s="8" t="s">
        <v>31612</v>
      </c>
      <c r="N5499" s="8" t="s">
        <v>63</v>
      </c>
      <c r="O5499" s="8" t="s">
        <v>64</v>
      </c>
      <c r="P5499" s="6" t="s">
        <v>39</v>
      </c>
      <c r="Q5499" s="8" t="s">
        <v>40</v>
      </c>
      <c r="R5499" s="10" t="s">
        <v>31607</v>
      </c>
      <c r="S5499" s="11"/>
      <c r="T5499" s="6"/>
      <c r="U5499" s="15" t="str">
        <f>HYPERLINK("https://media.infra-m.ru/1862/1862650/cover/1862650.jpg", "Обложка")</f>
        <v>Обложка</v>
      </c>
      <c r="V5499" s="8" t="s">
        <v>644</v>
      </c>
      <c r="W5499" s="6"/>
      <c r="X5499" s="6"/>
      <c r="Y5499" s="6"/>
      <c r="Z5499" s="6"/>
      <c r="AA5499" s="6" t="s">
        <v>43</v>
      </c>
      <c r="AB5499" s="8"/>
      <c r="AC5499" s="27">
        <v>9785160052151</v>
      </c>
    </row>
    <row r="5500" spans="1:29" s="4" customFormat="1" ht="42" customHeight="1" x14ac:dyDescent="0.2">
      <c r="A5500" s="5">
        <v>0</v>
      </c>
      <c r="B5500" s="6" t="s">
        <v>31613</v>
      </c>
      <c r="C5500" s="13">
        <v>924</v>
      </c>
      <c r="D5500" s="8" t="s">
        <v>31614</v>
      </c>
      <c r="E5500" s="8" t="s">
        <v>31615</v>
      </c>
      <c r="F5500" s="8" t="s">
        <v>31616</v>
      </c>
      <c r="G5500" s="6" t="s">
        <v>33</v>
      </c>
      <c r="H5500" s="6" t="s">
        <v>34</v>
      </c>
      <c r="I5500" s="8" t="s">
        <v>35</v>
      </c>
      <c r="J5500" s="9">
        <v>1</v>
      </c>
      <c r="K5500" s="9">
        <v>177</v>
      </c>
      <c r="L5500" s="9">
        <v>2022</v>
      </c>
      <c r="M5500" s="8" t="s">
        <v>31617</v>
      </c>
      <c r="N5500" s="8" t="s">
        <v>37</v>
      </c>
      <c r="O5500" s="8" t="s">
        <v>83</v>
      </c>
      <c r="P5500" s="6" t="s">
        <v>39</v>
      </c>
      <c r="Q5500" s="8" t="s">
        <v>40</v>
      </c>
      <c r="R5500" s="10" t="s">
        <v>6528</v>
      </c>
      <c r="S5500" s="11"/>
      <c r="T5500" s="6"/>
      <c r="U5500" s="15" t="str">
        <f>HYPERLINK("https://media.infra-m.ru/1868/1868933/cover/1868933.jpg", "Обложка")</f>
        <v>Обложка</v>
      </c>
      <c r="V5500" s="8" t="s">
        <v>227</v>
      </c>
      <c r="W5500" s="6"/>
      <c r="X5500" s="6"/>
      <c r="Y5500" s="6"/>
      <c r="Z5500" s="6"/>
      <c r="AA5500" s="6" t="s">
        <v>148</v>
      </c>
      <c r="AB5500" s="8"/>
      <c r="AC5500" s="27">
        <v>9785160177021</v>
      </c>
    </row>
    <row r="5501" spans="1:29" s="4" customFormat="1" ht="51.9" customHeight="1" x14ac:dyDescent="0.2">
      <c r="A5501" s="5">
        <v>0</v>
      </c>
      <c r="B5501" s="6" t="s">
        <v>31618</v>
      </c>
      <c r="C5501" s="7">
        <v>1156.8</v>
      </c>
      <c r="D5501" s="8" t="s">
        <v>31619</v>
      </c>
      <c r="E5501" s="8" t="s">
        <v>31620</v>
      </c>
      <c r="F5501" s="8" t="s">
        <v>13227</v>
      </c>
      <c r="G5501" s="6" t="s">
        <v>118</v>
      </c>
      <c r="H5501" s="6" t="s">
        <v>34</v>
      </c>
      <c r="I5501" s="8" t="s">
        <v>271</v>
      </c>
      <c r="J5501" s="9">
        <v>1</v>
      </c>
      <c r="K5501" s="9">
        <v>209</v>
      </c>
      <c r="L5501" s="9">
        <v>2024</v>
      </c>
      <c r="M5501" s="8" t="s">
        <v>31621</v>
      </c>
      <c r="N5501" s="8" t="s">
        <v>37</v>
      </c>
      <c r="O5501" s="8" t="s">
        <v>83</v>
      </c>
      <c r="P5501" s="6" t="s">
        <v>51</v>
      </c>
      <c r="Q5501" s="8" t="s">
        <v>52</v>
      </c>
      <c r="R5501" s="10" t="s">
        <v>31622</v>
      </c>
      <c r="S5501" s="11" t="s">
        <v>31623</v>
      </c>
      <c r="T5501" s="6"/>
      <c r="U5501" s="15" t="str">
        <f>HYPERLINK("https://media.infra-m.ru/2002/2002595/cover/2002595.jpg", "Обложка")</f>
        <v>Обложка</v>
      </c>
      <c r="V5501" s="8" t="s">
        <v>657</v>
      </c>
      <c r="W5501" s="6"/>
      <c r="X5501" s="6"/>
      <c r="Y5501" s="6"/>
      <c r="Z5501" s="6"/>
      <c r="AA5501" s="6" t="s">
        <v>99</v>
      </c>
      <c r="AB5501" s="8" t="s">
        <v>1317</v>
      </c>
      <c r="AC5501" s="27">
        <v>9785160121987</v>
      </c>
    </row>
    <row r="5502" spans="1:29" s="4" customFormat="1" ht="42" customHeight="1" x14ac:dyDescent="0.2">
      <c r="A5502" s="5">
        <v>0</v>
      </c>
      <c r="B5502" s="6" t="s">
        <v>31624</v>
      </c>
      <c r="C5502" s="7">
        <v>1944</v>
      </c>
      <c r="D5502" s="8" t="s">
        <v>31625</v>
      </c>
      <c r="E5502" s="8" t="s">
        <v>31626</v>
      </c>
      <c r="F5502" s="8" t="s">
        <v>31627</v>
      </c>
      <c r="G5502" s="6" t="s">
        <v>118</v>
      </c>
      <c r="H5502" s="6" t="s">
        <v>313</v>
      </c>
      <c r="I5502" s="8" t="s">
        <v>253</v>
      </c>
      <c r="J5502" s="9">
        <v>1</v>
      </c>
      <c r="K5502" s="9">
        <v>274</v>
      </c>
      <c r="L5502" s="9">
        <v>2026</v>
      </c>
      <c r="M5502" s="8" t="s">
        <v>31628</v>
      </c>
      <c r="N5502" s="8" t="s">
        <v>37</v>
      </c>
      <c r="O5502" s="8" t="s">
        <v>83</v>
      </c>
      <c r="P5502" s="6" t="s">
        <v>51</v>
      </c>
      <c r="Q5502" s="8" t="s">
        <v>52</v>
      </c>
      <c r="R5502" s="10" t="s">
        <v>31629</v>
      </c>
      <c r="S5502" s="11"/>
      <c r="T5502" s="6"/>
      <c r="U5502" s="15" t="str">
        <f>HYPERLINK("https://media.infra-m.ru/2258/2258358/cover/2258358.jpg", "Обложка")</f>
        <v>Обложка</v>
      </c>
      <c r="V5502" s="8"/>
      <c r="W5502" s="6"/>
      <c r="X5502" s="6"/>
      <c r="Y5502" s="6"/>
      <c r="Z5502" s="6"/>
      <c r="AA5502" s="6" t="s">
        <v>86</v>
      </c>
      <c r="AB5502" s="8"/>
      <c r="AC5502" s="27">
        <v>9785369017173</v>
      </c>
    </row>
    <row r="5503" spans="1:29" s="4" customFormat="1" ht="51.9" customHeight="1" x14ac:dyDescent="0.2">
      <c r="A5503" s="5">
        <v>0</v>
      </c>
      <c r="B5503" s="6" t="s">
        <v>31630</v>
      </c>
      <c r="C5503" s="7">
        <v>1584</v>
      </c>
      <c r="D5503" s="8" t="s">
        <v>31631</v>
      </c>
      <c r="E5503" s="8" t="s">
        <v>31632</v>
      </c>
      <c r="F5503" s="8" t="s">
        <v>31633</v>
      </c>
      <c r="G5503" s="6" t="s">
        <v>118</v>
      </c>
      <c r="H5503" s="6" t="s">
        <v>313</v>
      </c>
      <c r="I5503" s="8" t="s">
        <v>253</v>
      </c>
      <c r="J5503" s="9">
        <v>1</v>
      </c>
      <c r="K5503" s="9">
        <v>288</v>
      </c>
      <c r="L5503" s="9">
        <v>2024</v>
      </c>
      <c r="M5503" s="8" t="s">
        <v>31634</v>
      </c>
      <c r="N5503" s="8" t="s">
        <v>37</v>
      </c>
      <c r="O5503" s="8" t="s">
        <v>83</v>
      </c>
      <c r="P5503" s="6" t="s">
        <v>306</v>
      </c>
      <c r="Q5503" s="8" t="s">
        <v>52</v>
      </c>
      <c r="R5503" s="10" t="s">
        <v>31629</v>
      </c>
      <c r="S5503" s="11" t="s">
        <v>31635</v>
      </c>
      <c r="T5503" s="6"/>
      <c r="U5503" s="15" t="str">
        <f>HYPERLINK("https://media.infra-m.ru/2103/2103697/cover/2103697.jpg", "Обложка")</f>
        <v>Обложка</v>
      </c>
      <c r="V5503" s="8" t="s">
        <v>1030</v>
      </c>
      <c r="W5503" s="6"/>
      <c r="X5503" s="6"/>
      <c r="Y5503" s="6"/>
      <c r="Z5503" s="6"/>
      <c r="AA5503" s="6" t="s">
        <v>43</v>
      </c>
      <c r="AB5503" s="8"/>
      <c r="AC5503" s="27">
        <v>9785369009819</v>
      </c>
    </row>
    <row r="5504" spans="1:29" s="4" customFormat="1" ht="51.9" customHeight="1" x14ac:dyDescent="0.2">
      <c r="A5504" s="5">
        <v>0</v>
      </c>
      <c r="B5504" s="6" t="s">
        <v>31636</v>
      </c>
      <c r="C5504" s="7">
        <v>2676</v>
      </c>
      <c r="D5504" s="8" t="s">
        <v>31637</v>
      </c>
      <c r="E5504" s="8" t="s">
        <v>31632</v>
      </c>
      <c r="F5504" s="8" t="s">
        <v>31638</v>
      </c>
      <c r="G5504" s="6" t="s">
        <v>118</v>
      </c>
      <c r="H5504" s="6" t="s">
        <v>34</v>
      </c>
      <c r="I5504" s="8" t="s">
        <v>253</v>
      </c>
      <c r="J5504" s="9">
        <v>1</v>
      </c>
      <c r="K5504" s="9">
        <v>384</v>
      </c>
      <c r="L5504" s="9">
        <v>2027</v>
      </c>
      <c r="M5504" s="8" t="s">
        <v>31639</v>
      </c>
      <c r="N5504" s="8" t="s">
        <v>37</v>
      </c>
      <c r="O5504" s="8" t="s">
        <v>83</v>
      </c>
      <c r="P5504" s="6" t="s">
        <v>306</v>
      </c>
      <c r="Q5504" s="8" t="s">
        <v>52</v>
      </c>
      <c r="R5504" s="10" t="s">
        <v>31629</v>
      </c>
      <c r="S5504" s="11" t="s">
        <v>31640</v>
      </c>
      <c r="T5504" s="6"/>
      <c r="U5504" s="15" t="str">
        <f>HYPERLINK("https://media.infra-m.ru/2261/2261876/cover/2261876.jpg", "Обложка")</f>
        <v>Обложка</v>
      </c>
      <c r="V5504" s="8" t="s">
        <v>31641</v>
      </c>
      <c r="W5504" s="6"/>
      <c r="X5504" s="6"/>
      <c r="Y5504" s="6"/>
      <c r="Z5504" s="6"/>
      <c r="AA5504" s="6" t="s">
        <v>43</v>
      </c>
      <c r="AB5504" s="8"/>
      <c r="AC5504" s="27">
        <v>9785160223155</v>
      </c>
    </row>
    <row r="5505" spans="1:29" s="4" customFormat="1" ht="51.9" customHeight="1" x14ac:dyDescent="0.2">
      <c r="A5505" s="5">
        <v>0</v>
      </c>
      <c r="B5505" s="6" t="s">
        <v>31642</v>
      </c>
      <c r="C5505" s="7">
        <v>2076</v>
      </c>
      <c r="D5505" s="8" t="s">
        <v>31643</v>
      </c>
      <c r="E5505" s="8" t="s">
        <v>31632</v>
      </c>
      <c r="F5505" s="8" t="s">
        <v>31644</v>
      </c>
      <c r="G5505" s="6" t="s">
        <v>118</v>
      </c>
      <c r="H5505" s="6" t="s">
        <v>34</v>
      </c>
      <c r="I5505" s="8" t="s">
        <v>5350</v>
      </c>
      <c r="J5505" s="9">
        <v>1</v>
      </c>
      <c r="K5505" s="9">
        <v>384</v>
      </c>
      <c r="L5505" s="9">
        <v>2021</v>
      </c>
      <c r="M5505" s="8" t="s">
        <v>31645</v>
      </c>
      <c r="N5505" s="8" t="s">
        <v>37</v>
      </c>
      <c r="O5505" s="8" t="s">
        <v>83</v>
      </c>
      <c r="P5505" s="6" t="s">
        <v>306</v>
      </c>
      <c r="Q5505" s="8" t="s">
        <v>377</v>
      </c>
      <c r="R5505" s="10" t="s">
        <v>31646</v>
      </c>
      <c r="S5505" s="11" t="s">
        <v>31640</v>
      </c>
      <c r="T5505" s="6"/>
      <c r="U5505" s="15" t="str">
        <f>HYPERLINK("https://media.infra-m.ru/1950/1950296/cover/1950296.jpg", "Обложка")</f>
        <v>Обложка</v>
      </c>
      <c r="V5505" s="8" t="s">
        <v>31641</v>
      </c>
      <c r="W5505" s="6"/>
      <c r="X5505" s="6"/>
      <c r="Y5505" s="6"/>
      <c r="Z5505" s="6" t="s">
        <v>429</v>
      </c>
      <c r="AA5505" s="6" t="s">
        <v>430</v>
      </c>
      <c r="AB5505" s="8"/>
      <c r="AC5505" s="27">
        <v>9785160165479</v>
      </c>
    </row>
    <row r="5506" spans="1:29" s="4" customFormat="1" ht="42" customHeight="1" x14ac:dyDescent="0.2">
      <c r="A5506" s="5">
        <v>0</v>
      </c>
      <c r="B5506" s="6" t="s">
        <v>31647</v>
      </c>
      <c r="C5506" s="7">
        <v>2356.8000000000002</v>
      </c>
      <c r="D5506" s="8" t="s">
        <v>31648</v>
      </c>
      <c r="E5506" s="8" t="s">
        <v>31649</v>
      </c>
      <c r="F5506" s="8" t="s">
        <v>31650</v>
      </c>
      <c r="G5506" s="6" t="s">
        <v>60</v>
      </c>
      <c r="H5506" s="6" t="s">
        <v>1644</v>
      </c>
      <c r="I5506" s="8"/>
      <c r="J5506" s="9">
        <v>1</v>
      </c>
      <c r="K5506" s="9">
        <v>336</v>
      </c>
      <c r="L5506" s="9">
        <v>2023</v>
      </c>
      <c r="M5506" s="8" t="s">
        <v>31651</v>
      </c>
      <c r="N5506" s="8" t="s">
        <v>37</v>
      </c>
      <c r="O5506" s="8" t="s">
        <v>83</v>
      </c>
      <c r="P5506" s="6" t="s">
        <v>306</v>
      </c>
      <c r="Q5506" s="8" t="s">
        <v>52</v>
      </c>
      <c r="R5506" s="10" t="s">
        <v>31629</v>
      </c>
      <c r="S5506" s="11"/>
      <c r="T5506" s="6"/>
      <c r="U5506" s="15" t="str">
        <f>HYPERLINK("https://media.infra-m.ru/1906/1906798/cover/1906798.jpg", "Обложка")</f>
        <v>Обложка</v>
      </c>
      <c r="V5506" s="8" t="s">
        <v>396</v>
      </c>
      <c r="W5506" s="6"/>
      <c r="X5506" s="6"/>
      <c r="Y5506" s="6"/>
      <c r="Z5506" s="6"/>
      <c r="AA5506" s="6" t="s">
        <v>2338</v>
      </c>
      <c r="AB5506" s="8"/>
      <c r="AC5506" s="27">
        <v>9785977601474</v>
      </c>
    </row>
    <row r="5507" spans="1:29" s="4" customFormat="1" ht="51.9" customHeight="1" x14ac:dyDescent="0.2">
      <c r="A5507" s="5">
        <v>0</v>
      </c>
      <c r="B5507" s="6" t="s">
        <v>31652</v>
      </c>
      <c r="C5507" s="7">
        <v>2584.8000000000002</v>
      </c>
      <c r="D5507" s="8" t="s">
        <v>31653</v>
      </c>
      <c r="E5507" s="8" t="s">
        <v>31649</v>
      </c>
      <c r="F5507" s="8" t="s">
        <v>31654</v>
      </c>
      <c r="G5507" s="6" t="s">
        <v>118</v>
      </c>
      <c r="H5507" s="6" t="s">
        <v>34</v>
      </c>
      <c r="I5507" s="8" t="s">
        <v>5350</v>
      </c>
      <c r="J5507" s="9">
        <v>1</v>
      </c>
      <c r="K5507" s="9">
        <v>414</v>
      </c>
      <c r="L5507" s="9">
        <v>2025</v>
      </c>
      <c r="M5507" s="8" t="s">
        <v>31655</v>
      </c>
      <c r="N5507" s="8" t="s">
        <v>37</v>
      </c>
      <c r="O5507" s="8" t="s">
        <v>83</v>
      </c>
      <c r="P5507" s="6" t="s">
        <v>306</v>
      </c>
      <c r="Q5507" s="8" t="s">
        <v>377</v>
      </c>
      <c r="R5507" s="10" t="s">
        <v>31656</v>
      </c>
      <c r="S5507" s="11" t="s">
        <v>31657</v>
      </c>
      <c r="T5507" s="6"/>
      <c r="U5507" s="15" t="str">
        <f>HYPERLINK("https://media.infra-m.ru/2163/2163849/cover/2163849.jpg", "Обложка")</f>
        <v>Обложка</v>
      </c>
      <c r="V5507" s="8" t="s">
        <v>247</v>
      </c>
      <c r="W5507" s="6"/>
      <c r="X5507" s="6"/>
      <c r="Y5507" s="6"/>
      <c r="Z5507" s="6" t="s">
        <v>429</v>
      </c>
      <c r="AA5507" s="6" t="s">
        <v>258</v>
      </c>
      <c r="AB5507" s="8"/>
      <c r="AC5507" s="27">
        <v>9785160165486</v>
      </c>
    </row>
    <row r="5508" spans="1:29" s="4" customFormat="1" ht="51.9" customHeight="1" x14ac:dyDescent="0.2">
      <c r="A5508" s="5">
        <v>0</v>
      </c>
      <c r="B5508" s="6" t="s">
        <v>31658</v>
      </c>
      <c r="C5508" s="7">
        <v>2740.8</v>
      </c>
      <c r="D5508" s="8" t="s">
        <v>31659</v>
      </c>
      <c r="E5508" s="8" t="s">
        <v>31649</v>
      </c>
      <c r="F5508" s="8" t="s">
        <v>31654</v>
      </c>
      <c r="G5508" s="6" t="s">
        <v>60</v>
      </c>
      <c r="H5508" s="6" t="s">
        <v>34</v>
      </c>
      <c r="I5508" s="8" t="s">
        <v>304</v>
      </c>
      <c r="J5508" s="9">
        <v>1</v>
      </c>
      <c r="K5508" s="9">
        <v>414</v>
      </c>
      <c r="L5508" s="9">
        <v>2026</v>
      </c>
      <c r="M5508" s="8" t="s">
        <v>31660</v>
      </c>
      <c r="N5508" s="8" t="s">
        <v>37</v>
      </c>
      <c r="O5508" s="8" t="s">
        <v>83</v>
      </c>
      <c r="P5508" s="6" t="s">
        <v>306</v>
      </c>
      <c r="Q5508" s="8" t="s">
        <v>52</v>
      </c>
      <c r="R5508" s="10" t="s">
        <v>31629</v>
      </c>
      <c r="S5508" s="11" t="s">
        <v>31661</v>
      </c>
      <c r="T5508" s="6"/>
      <c r="U5508" s="15" t="str">
        <f>HYPERLINK("https://media.infra-m.ru/2246/2246908/cover/2246908.jpg", "Обложка")</f>
        <v>Обложка</v>
      </c>
      <c r="V5508" s="8" t="s">
        <v>247</v>
      </c>
      <c r="W5508" s="6"/>
      <c r="X5508" s="6"/>
      <c r="Y5508" s="6"/>
      <c r="Z5508" s="6"/>
      <c r="AA5508" s="6" t="s">
        <v>2240</v>
      </c>
      <c r="AB5508" s="8"/>
      <c r="AC5508" s="27">
        <v>9785160201627</v>
      </c>
    </row>
    <row r="5509" spans="1:29" s="4" customFormat="1" ht="51.9" customHeight="1" x14ac:dyDescent="0.2">
      <c r="A5509" s="5">
        <v>0</v>
      </c>
      <c r="B5509" s="6" t="s">
        <v>31662</v>
      </c>
      <c r="C5509" s="7">
        <v>1320</v>
      </c>
      <c r="D5509" s="8" t="s">
        <v>31663</v>
      </c>
      <c r="E5509" s="8" t="s">
        <v>31632</v>
      </c>
      <c r="F5509" s="8" t="s">
        <v>31654</v>
      </c>
      <c r="G5509" s="6" t="s">
        <v>118</v>
      </c>
      <c r="H5509" s="6" t="s">
        <v>34</v>
      </c>
      <c r="I5509" s="8" t="s">
        <v>2025</v>
      </c>
      <c r="J5509" s="9">
        <v>1</v>
      </c>
      <c r="K5509" s="9">
        <v>366</v>
      </c>
      <c r="L5509" s="9">
        <v>2018</v>
      </c>
      <c r="M5509" s="8" t="s">
        <v>31664</v>
      </c>
      <c r="N5509" s="8" t="s">
        <v>37</v>
      </c>
      <c r="O5509" s="8" t="s">
        <v>83</v>
      </c>
      <c r="P5509" s="6" t="s">
        <v>306</v>
      </c>
      <c r="Q5509" s="8" t="s">
        <v>52</v>
      </c>
      <c r="R5509" s="10" t="s">
        <v>31629</v>
      </c>
      <c r="S5509" s="11" t="s">
        <v>31665</v>
      </c>
      <c r="T5509" s="6"/>
      <c r="U5509" s="15" t="str">
        <f>HYPERLINK("https://media.infra-m.ru/0949/0949699/cover/949699.jpg", "Обложка")</f>
        <v>Обложка</v>
      </c>
      <c r="V5509" s="8" t="s">
        <v>247</v>
      </c>
      <c r="W5509" s="6"/>
      <c r="X5509" s="6"/>
      <c r="Y5509" s="6"/>
      <c r="Z5509" s="6"/>
      <c r="AA5509" s="6" t="s">
        <v>86</v>
      </c>
      <c r="AB5509" s="8"/>
      <c r="AC5509" s="27">
        <v>9785160132273</v>
      </c>
    </row>
    <row r="5510" spans="1:29" s="4" customFormat="1" ht="51.9" customHeight="1" x14ac:dyDescent="0.2">
      <c r="A5510" s="5">
        <v>0</v>
      </c>
      <c r="B5510" s="6" t="s">
        <v>31666</v>
      </c>
      <c r="C5510" s="7">
        <v>2428.8000000000002</v>
      </c>
      <c r="D5510" s="8" t="s">
        <v>31667</v>
      </c>
      <c r="E5510" s="8" t="s">
        <v>31632</v>
      </c>
      <c r="F5510" s="8" t="s">
        <v>28011</v>
      </c>
      <c r="G5510" s="6" t="s">
        <v>118</v>
      </c>
      <c r="H5510" s="6" t="s">
        <v>34</v>
      </c>
      <c r="I5510" s="8" t="s">
        <v>253</v>
      </c>
      <c r="J5510" s="9">
        <v>1</v>
      </c>
      <c r="K5510" s="9">
        <v>368</v>
      </c>
      <c r="L5510" s="9">
        <v>2026</v>
      </c>
      <c r="M5510" s="8" t="s">
        <v>31668</v>
      </c>
      <c r="N5510" s="8" t="s">
        <v>37</v>
      </c>
      <c r="O5510" s="8" t="s">
        <v>83</v>
      </c>
      <c r="P5510" s="6" t="s">
        <v>51</v>
      </c>
      <c r="Q5510" s="8" t="s">
        <v>65</v>
      </c>
      <c r="R5510" s="10" t="s">
        <v>31629</v>
      </c>
      <c r="S5510" s="11" t="s">
        <v>31669</v>
      </c>
      <c r="T5510" s="6"/>
      <c r="U5510" s="15" t="str">
        <f>HYPERLINK("https://media.infra-m.ru/2217/2217008/cover/2217008.jpg", "Обложка")</f>
        <v>Обложка</v>
      </c>
      <c r="V5510" s="8" t="s">
        <v>5951</v>
      </c>
      <c r="W5510" s="6"/>
      <c r="X5510" s="6"/>
      <c r="Y5510" s="6"/>
      <c r="Z5510" s="6"/>
      <c r="AA5510" s="6" t="s">
        <v>561</v>
      </c>
      <c r="AB5510" s="8"/>
      <c r="AC5510" s="27">
        <v>9785160185118</v>
      </c>
    </row>
    <row r="5511" spans="1:29" s="4" customFormat="1" ht="42" customHeight="1" x14ac:dyDescent="0.2">
      <c r="A5511" s="5">
        <v>0</v>
      </c>
      <c r="B5511" s="6" t="s">
        <v>31670</v>
      </c>
      <c r="C5511" s="13">
        <v>624</v>
      </c>
      <c r="D5511" s="8" t="s">
        <v>31671</v>
      </c>
      <c r="E5511" s="8" t="s">
        <v>31672</v>
      </c>
      <c r="F5511" s="8" t="s">
        <v>6770</v>
      </c>
      <c r="G5511" s="6" t="s">
        <v>33</v>
      </c>
      <c r="H5511" s="6" t="s">
        <v>34</v>
      </c>
      <c r="I5511" s="8" t="s">
        <v>6772</v>
      </c>
      <c r="J5511" s="9">
        <v>1</v>
      </c>
      <c r="K5511" s="9">
        <v>104</v>
      </c>
      <c r="L5511" s="9">
        <v>2024</v>
      </c>
      <c r="M5511" s="8" t="s">
        <v>31673</v>
      </c>
      <c r="N5511" s="8" t="s">
        <v>37</v>
      </c>
      <c r="O5511" s="8" t="s">
        <v>136</v>
      </c>
      <c r="P5511" s="6" t="s">
        <v>6774</v>
      </c>
      <c r="Q5511" s="8" t="s">
        <v>40</v>
      </c>
      <c r="R5511" s="10" t="s">
        <v>31674</v>
      </c>
      <c r="S5511" s="11"/>
      <c r="T5511" s="6"/>
      <c r="U5511" s="15" t="str">
        <f>HYPERLINK("https://media.infra-m.ru/2177/2177684/cover/2177684.jpg", "Обложка")</f>
        <v>Обложка</v>
      </c>
      <c r="V5511" s="8"/>
      <c r="W5511" s="6"/>
      <c r="X5511" s="6"/>
      <c r="Y5511" s="6"/>
      <c r="Z5511" s="6"/>
      <c r="AA5511" s="6" t="s">
        <v>31675</v>
      </c>
      <c r="AB5511" s="8"/>
      <c r="AC5511" s="27">
        <v>9785160201207</v>
      </c>
    </row>
    <row r="5512" spans="1:29" s="4" customFormat="1" ht="42" customHeight="1" x14ac:dyDescent="0.2">
      <c r="A5512" s="5">
        <v>0</v>
      </c>
      <c r="B5512" s="6" t="s">
        <v>31676</v>
      </c>
      <c r="C5512" s="13">
        <v>660</v>
      </c>
      <c r="D5512" s="8" t="s">
        <v>31677</v>
      </c>
      <c r="E5512" s="8" t="s">
        <v>31678</v>
      </c>
      <c r="F5512" s="8" t="s">
        <v>6770</v>
      </c>
      <c r="G5512" s="6" t="s">
        <v>33</v>
      </c>
      <c r="H5512" s="6" t="s">
        <v>34</v>
      </c>
      <c r="I5512" s="8" t="s">
        <v>6772</v>
      </c>
      <c r="J5512" s="9">
        <v>1</v>
      </c>
      <c r="K5512" s="9">
        <v>104</v>
      </c>
      <c r="L5512" s="9">
        <v>2025</v>
      </c>
      <c r="M5512" s="8" t="s">
        <v>31679</v>
      </c>
      <c r="N5512" s="8" t="s">
        <v>37</v>
      </c>
      <c r="O5512" s="8" t="s">
        <v>136</v>
      </c>
      <c r="P5512" s="6" t="s">
        <v>6774</v>
      </c>
      <c r="Q5512" s="8" t="s">
        <v>40</v>
      </c>
      <c r="R5512" s="10" t="s">
        <v>31674</v>
      </c>
      <c r="S5512" s="11"/>
      <c r="T5512" s="6"/>
      <c r="U5512" s="15" t="str">
        <f>HYPERLINK("https://media.infra-m.ru/2200/2200870/cover/2200870.jpg", "Обложка")</f>
        <v>Обложка</v>
      </c>
      <c r="V5512" s="8"/>
      <c r="W5512" s="6"/>
      <c r="X5512" s="6"/>
      <c r="Y5512" s="6"/>
      <c r="Z5512" s="6"/>
      <c r="AA5512" s="6" t="s">
        <v>31680</v>
      </c>
      <c r="AB5512" s="8"/>
      <c r="AC5512" s="27">
        <v>9785160208701</v>
      </c>
    </row>
    <row r="5513" spans="1:29" s="4" customFormat="1" ht="42" customHeight="1" x14ac:dyDescent="0.2">
      <c r="A5513" s="5">
        <v>0</v>
      </c>
      <c r="B5513" s="6" t="s">
        <v>31681</v>
      </c>
      <c r="C5513" s="13">
        <v>432</v>
      </c>
      <c r="D5513" s="8" t="s">
        <v>31682</v>
      </c>
      <c r="E5513" s="8" t="s">
        <v>31683</v>
      </c>
      <c r="F5513" s="8" t="s">
        <v>6770</v>
      </c>
      <c r="G5513" s="6" t="s">
        <v>33</v>
      </c>
      <c r="H5513" s="6" t="s">
        <v>34</v>
      </c>
      <c r="I5513" s="8" t="s">
        <v>6772</v>
      </c>
      <c r="J5513" s="9">
        <v>1</v>
      </c>
      <c r="K5513" s="9">
        <v>98</v>
      </c>
      <c r="L5513" s="9">
        <v>2021</v>
      </c>
      <c r="M5513" s="8" t="s">
        <v>31684</v>
      </c>
      <c r="N5513" s="8" t="s">
        <v>37</v>
      </c>
      <c r="O5513" s="8" t="s">
        <v>136</v>
      </c>
      <c r="P5513" s="6" t="s">
        <v>6774</v>
      </c>
      <c r="Q5513" s="8" t="s">
        <v>40</v>
      </c>
      <c r="R5513" s="10" t="s">
        <v>31674</v>
      </c>
      <c r="S5513" s="11"/>
      <c r="T5513" s="6"/>
      <c r="U5513" s="15" t="str">
        <f>HYPERLINK("https://media.infra-m.ru/1455/1455885/cover/1455885.jpg", "Обложка")</f>
        <v>Обложка</v>
      </c>
      <c r="V5513" s="8"/>
      <c r="W5513" s="6"/>
      <c r="X5513" s="6"/>
      <c r="Y5513" s="6"/>
      <c r="Z5513" s="6"/>
      <c r="AA5513" s="6" t="s">
        <v>10095</v>
      </c>
      <c r="AB5513" s="8"/>
      <c r="AC5513" s="27">
        <v>9785160169897</v>
      </c>
    </row>
    <row r="5514" spans="1:29" s="4" customFormat="1" ht="42" customHeight="1" x14ac:dyDescent="0.2">
      <c r="A5514" s="5">
        <v>0</v>
      </c>
      <c r="B5514" s="6" t="s">
        <v>31685</v>
      </c>
      <c r="C5514" s="13">
        <v>540</v>
      </c>
      <c r="D5514" s="8" t="s">
        <v>31686</v>
      </c>
      <c r="E5514" s="8" t="s">
        <v>31687</v>
      </c>
      <c r="F5514" s="8" t="s">
        <v>6770</v>
      </c>
      <c r="G5514" s="6" t="s">
        <v>33</v>
      </c>
      <c r="H5514" s="6" t="s">
        <v>34</v>
      </c>
      <c r="I5514" s="8" t="s">
        <v>6772</v>
      </c>
      <c r="J5514" s="9">
        <v>1</v>
      </c>
      <c r="K5514" s="9">
        <v>104</v>
      </c>
      <c r="L5514" s="9">
        <v>2023</v>
      </c>
      <c r="M5514" s="8" t="s">
        <v>31688</v>
      </c>
      <c r="N5514" s="8" t="s">
        <v>37</v>
      </c>
      <c r="O5514" s="8" t="s">
        <v>136</v>
      </c>
      <c r="P5514" s="6" t="s">
        <v>6774</v>
      </c>
      <c r="Q5514" s="8" t="s">
        <v>40</v>
      </c>
      <c r="R5514" s="10" t="s">
        <v>31674</v>
      </c>
      <c r="S5514" s="11"/>
      <c r="T5514" s="6"/>
      <c r="U5514" s="15" t="str">
        <f>HYPERLINK("https://media.infra-m.ru/1962/1962499/cover/1962499.jpg", "Обложка")</f>
        <v>Обложка</v>
      </c>
      <c r="V5514" s="8"/>
      <c r="W5514" s="6"/>
      <c r="X5514" s="6"/>
      <c r="Y5514" s="6"/>
      <c r="Z5514" s="6"/>
      <c r="AA5514" s="6" t="s">
        <v>31689</v>
      </c>
      <c r="AB5514" s="8"/>
      <c r="AC5514" s="27">
        <v>9785160186689</v>
      </c>
    </row>
    <row r="5515" spans="1:29" s="4" customFormat="1" ht="42" customHeight="1" x14ac:dyDescent="0.2">
      <c r="A5515" s="5">
        <v>0</v>
      </c>
      <c r="B5515" s="6" t="s">
        <v>31690</v>
      </c>
      <c r="C5515" s="13">
        <v>456</v>
      </c>
      <c r="D5515" s="8" t="s">
        <v>31691</v>
      </c>
      <c r="E5515" s="8" t="s">
        <v>31692</v>
      </c>
      <c r="F5515" s="8"/>
      <c r="G5515" s="6" t="s">
        <v>33</v>
      </c>
      <c r="H5515" s="6" t="s">
        <v>34</v>
      </c>
      <c r="I5515" s="8" t="s">
        <v>6772</v>
      </c>
      <c r="J5515" s="9">
        <v>1</v>
      </c>
      <c r="K5515" s="9">
        <v>98</v>
      </c>
      <c r="L5515" s="9">
        <v>2021</v>
      </c>
      <c r="M5515" s="8" t="s">
        <v>31693</v>
      </c>
      <c r="N5515" s="8" t="s">
        <v>37</v>
      </c>
      <c r="O5515" s="8" t="s">
        <v>136</v>
      </c>
      <c r="P5515" s="6" t="s">
        <v>6774</v>
      </c>
      <c r="Q5515" s="8" t="s">
        <v>40</v>
      </c>
      <c r="R5515" s="10" t="s">
        <v>31674</v>
      </c>
      <c r="S5515" s="11"/>
      <c r="T5515" s="6"/>
      <c r="U5515" s="15" t="str">
        <f>HYPERLINK("https://media.infra-m.ru/1814/1814619/cover/1814619.jpg", "Обложка")</f>
        <v>Обложка</v>
      </c>
      <c r="V5515" s="8"/>
      <c r="W5515" s="6"/>
      <c r="X5515" s="6"/>
      <c r="Y5515" s="6"/>
      <c r="Z5515" s="6"/>
      <c r="AA5515" s="6" t="s">
        <v>14736</v>
      </c>
      <c r="AB5515" s="8"/>
      <c r="AC5515" s="27">
        <v>9785160171272</v>
      </c>
    </row>
    <row r="5516" spans="1:29" s="4" customFormat="1" ht="42" customHeight="1" x14ac:dyDescent="0.2">
      <c r="A5516" s="5">
        <v>0</v>
      </c>
      <c r="B5516" s="6" t="s">
        <v>31694</v>
      </c>
      <c r="C5516" s="13">
        <v>504</v>
      </c>
      <c r="D5516" s="8" t="s">
        <v>31695</v>
      </c>
      <c r="E5516" s="8" t="s">
        <v>31696</v>
      </c>
      <c r="F5516" s="8" t="s">
        <v>6770</v>
      </c>
      <c r="G5516" s="6" t="s">
        <v>33</v>
      </c>
      <c r="H5516" s="6" t="s">
        <v>34</v>
      </c>
      <c r="I5516" s="8" t="s">
        <v>6772</v>
      </c>
      <c r="J5516" s="9">
        <v>1</v>
      </c>
      <c r="K5516" s="9">
        <v>100</v>
      </c>
      <c r="L5516" s="9">
        <v>2022</v>
      </c>
      <c r="M5516" s="8" t="s">
        <v>31697</v>
      </c>
      <c r="N5516" s="8" t="s">
        <v>37</v>
      </c>
      <c r="O5516" s="8" t="s">
        <v>136</v>
      </c>
      <c r="P5516" s="6" t="s">
        <v>6774</v>
      </c>
      <c r="Q5516" s="8" t="s">
        <v>40</v>
      </c>
      <c r="R5516" s="10" t="s">
        <v>31674</v>
      </c>
      <c r="S5516" s="11"/>
      <c r="T5516" s="6"/>
      <c r="U5516" s="15" t="str">
        <f>HYPERLINK("https://media.infra-m.ru/1866/1866823/cover/1866823.jpg", "Обложка")</f>
        <v>Обложка</v>
      </c>
      <c r="V5516" s="8"/>
      <c r="W5516" s="6"/>
      <c r="X5516" s="6"/>
      <c r="Y5516" s="6"/>
      <c r="Z5516" s="6"/>
      <c r="AA5516" s="6" t="s">
        <v>3547</v>
      </c>
      <c r="AB5516" s="8"/>
      <c r="AC5516" s="27">
        <v>9785160176772</v>
      </c>
    </row>
    <row r="5517" spans="1:29" s="4" customFormat="1" ht="42" customHeight="1" x14ac:dyDescent="0.2">
      <c r="A5517" s="5">
        <v>0</v>
      </c>
      <c r="B5517" s="6" t="s">
        <v>31698</v>
      </c>
      <c r="C5517" s="13">
        <v>744</v>
      </c>
      <c r="D5517" s="8" t="s">
        <v>31699</v>
      </c>
      <c r="E5517" s="8" t="s">
        <v>31700</v>
      </c>
      <c r="F5517" s="8" t="s">
        <v>6770</v>
      </c>
      <c r="G5517" s="6" t="s">
        <v>33</v>
      </c>
      <c r="H5517" s="6" t="s">
        <v>34</v>
      </c>
      <c r="I5517" s="8" t="s">
        <v>6772</v>
      </c>
      <c r="J5517" s="9">
        <v>1</v>
      </c>
      <c r="K5517" s="9">
        <v>119</v>
      </c>
      <c r="L5517" s="9">
        <v>2026</v>
      </c>
      <c r="M5517" s="8" t="s">
        <v>31701</v>
      </c>
      <c r="N5517" s="8" t="s">
        <v>37</v>
      </c>
      <c r="O5517" s="8" t="s">
        <v>136</v>
      </c>
      <c r="P5517" s="6" t="s">
        <v>6774</v>
      </c>
      <c r="Q5517" s="8" t="s">
        <v>40</v>
      </c>
      <c r="R5517" s="10" t="s">
        <v>31674</v>
      </c>
      <c r="S5517" s="11"/>
      <c r="T5517" s="6"/>
      <c r="U5517" s="15" t="str">
        <f>HYPERLINK("https://media.infra-m.ru/2243/2243623/cover/2243623.jpg", "Обложка")</f>
        <v>Обложка</v>
      </c>
      <c r="V5517" s="8"/>
      <c r="W5517" s="6" t="s">
        <v>299</v>
      </c>
      <c r="X5517" s="6"/>
      <c r="Y5517" s="6"/>
      <c r="Z5517" s="6"/>
      <c r="AA5517" s="6" t="s">
        <v>31702</v>
      </c>
      <c r="AB5517" s="8"/>
      <c r="AC5517" s="27">
        <v>9785160219639</v>
      </c>
    </row>
    <row r="5518" spans="1:29" s="4" customFormat="1" ht="42" customHeight="1" x14ac:dyDescent="0.2">
      <c r="A5518" s="5">
        <v>0</v>
      </c>
      <c r="B5518" s="6" t="s">
        <v>31703</v>
      </c>
      <c r="C5518" s="13">
        <v>468</v>
      </c>
      <c r="D5518" s="8" t="s">
        <v>31704</v>
      </c>
      <c r="E5518" s="8" t="s">
        <v>31705</v>
      </c>
      <c r="F5518" s="8"/>
      <c r="G5518" s="6" t="s">
        <v>33</v>
      </c>
      <c r="H5518" s="6" t="s">
        <v>34</v>
      </c>
      <c r="I5518" s="8" t="s">
        <v>6772</v>
      </c>
      <c r="J5518" s="9">
        <v>1</v>
      </c>
      <c r="K5518" s="9">
        <v>98</v>
      </c>
      <c r="L5518" s="9">
        <v>2022</v>
      </c>
      <c r="M5518" s="8" t="s">
        <v>31706</v>
      </c>
      <c r="N5518" s="8" t="s">
        <v>37</v>
      </c>
      <c r="O5518" s="8" t="s">
        <v>136</v>
      </c>
      <c r="P5518" s="6" t="s">
        <v>6774</v>
      </c>
      <c r="Q5518" s="8" t="s">
        <v>40</v>
      </c>
      <c r="R5518" s="10" t="s">
        <v>31674</v>
      </c>
      <c r="S5518" s="11"/>
      <c r="T5518" s="6"/>
      <c r="U5518" s="15" t="str">
        <f>HYPERLINK("https://media.infra-m.ru/1844/1844856/cover/1844856.jpg", "Обложка")</f>
        <v>Обложка</v>
      </c>
      <c r="V5518" s="8"/>
      <c r="W5518" s="6"/>
      <c r="X5518" s="6"/>
      <c r="Y5518" s="6"/>
      <c r="Z5518" s="6"/>
      <c r="AA5518" s="6" t="s">
        <v>15776</v>
      </c>
      <c r="AB5518" s="8"/>
      <c r="AC5518" s="27">
        <v>9785160172071</v>
      </c>
    </row>
    <row r="5519" spans="1:29" s="4" customFormat="1" ht="51.9" customHeight="1" x14ac:dyDescent="0.2">
      <c r="A5519" s="5">
        <v>0</v>
      </c>
      <c r="B5519" s="6" t="s">
        <v>31707</v>
      </c>
      <c r="C5519" s="7">
        <v>1356</v>
      </c>
      <c r="D5519" s="8" t="s">
        <v>31708</v>
      </c>
      <c r="E5519" s="8" t="s">
        <v>31709</v>
      </c>
      <c r="F5519" s="8" t="s">
        <v>19035</v>
      </c>
      <c r="G5519" s="6" t="s">
        <v>33</v>
      </c>
      <c r="H5519" s="6" t="s">
        <v>34</v>
      </c>
      <c r="I5519" s="8" t="s">
        <v>35</v>
      </c>
      <c r="J5519" s="9">
        <v>1</v>
      </c>
      <c r="K5519" s="9">
        <v>267</v>
      </c>
      <c r="L5519" s="9">
        <v>2022</v>
      </c>
      <c r="M5519" s="8" t="s">
        <v>31710</v>
      </c>
      <c r="N5519" s="8" t="s">
        <v>585</v>
      </c>
      <c r="O5519" s="8" t="s">
        <v>667</v>
      </c>
      <c r="P5519" s="6" t="s">
        <v>39</v>
      </c>
      <c r="Q5519" s="8" t="s">
        <v>40</v>
      </c>
      <c r="R5519" s="10" t="s">
        <v>31711</v>
      </c>
      <c r="S5519" s="11"/>
      <c r="T5519" s="6"/>
      <c r="U5519" s="15" t="str">
        <f>HYPERLINK("https://media.infra-m.ru/1870/1870597/cover/1870597.jpg", "Обложка")</f>
        <v>Обложка</v>
      </c>
      <c r="V5519" s="8" t="s">
        <v>217</v>
      </c>
      <c r="W5519" s="6"/>
      <c r="X5519" s="6"/>
      <c r="Y5519" s="6"/>
      <c r="Z5519" s="6"/>
      <c r="AA5519" s="6" t="s">
        <v>148</v>
      </c>
      <c r="AB5519" s="8"/>
      <c r="AC5519" s="27">
        <v>9785160177342</v>
      </c>
    </row>
    <row r="5520" spans="1:29" s="4" customFormat="1" ht="51.9" customHeight="1" x14ac:dyDescent="0.2">
      <c r="A5520" s="5">
        <v>0</v>
      </c>
      <c r="B5520" s="6" t="s">
        <v>31712</v>
      </c>
      <c r="C5520" s="7">
        <v>1704</v>
      </c>
      <c r="D5520" s="8" t="s">
        <v>31713</v>
      </c>
      <c r="E5520" s="8" t="s">
        <v>31714</v>
      </c>
      <c r="F5520" s="8" t="s">
        <v>31715</v>
      </c>
      <c r="G5520" s="6" t="s">
        <v>118</v>
      </c>
      <c r="H5520" s="6" t="s">
        <v>34</v>
      </c>
      <c r="I5520" s="8" t="s">
        <v>253</v>
      </c>
      <c r="J5520" s="9">
        <v>1</v>
      </c>
      <c r="K5520" s="9">
        <v>315</v>
      </c>
      <c r="L5520" s="9">
        <v>2023</v>
      </c>
      <c r="M5520" s="8" t="s">
        <v>31716</v>
      </c>
      <c r="N5520" s="8" t="s">
        <v>243</v>
      </c>
      <c r="O5520" s="8" t="s">
        <v>758</v>
      </c>
      <c r="P5520" s="6" t="s">
        <v>51</v>
      </c>
      <c r="Q5520" s="8" t="s">
        <v>65</v>
      </c>
      <c r="R5520" s="10" t="s">
        <v>31717</v>
      </c>
      <c r="S5520" s="11" t="s">
        <v>31718</v>
      </c>
      <c r="T5520" s="6"/>
      <c r="U5520" s="15" t="str">
        <f>HYPERLINK("https://media.infra-m.ru/2017/2017308/cover/2017308.jpg", "Обложка")</f>
        <v>Обложка</v>
      </c>
      <c r="V5520" s="8" t="s">
        <v>831</v>
      </c>
      <c r="W5520" s="6"/>
      <c r="X5520" s="6"/>
      <c r="Y5520" s="6"/>
      <c r="Z5520" s="6"/>
      <c r="AA5520" s="6" t="s">
        <v>430</v>
      </c>
      <c r="AB5520" s="8"/>
      <c r="AC5520" s="27">
        <v>9785160185149</v>
      </c>
    </row>
    <row r="5521" spans="1:29" s="4" customFormat="1" ht="33" customHeight="1" x14ac:dyDescent="0.2">
      <c r="A5521" s="5">
        <v>0</v>
      </c>
      <c r="B5521" s="6" t="s">
        <v>31719</v>
      </c>
      <c r="C5521" s="7">
        <v>1190.3</v>
      </c>
      <c r="D5521" s="8" t="s">
        <v>31720</v>
      </c>
      <c r="E5521" s="8" t="s">
        <v>31721</v>
      </c>
      <c r="F5521" s="8" t="s">
        <v>31722</v>
      </c>
      <c r="G5521" s="6" t="s">
        <v>60</v>
      </c>
      <c r="H5521" s="6" t="s">
        <v>1644</v>
      </c>
      <c r="I5521" s="8"/>
      <c r="J5521" s="9">
        <v>1</v>
      </c>
      <c r="K5521" s="9">
        <v>176</v>
      </c>
      <c r="L5521" s="9">
        <v>2020</v>
      </c>
      <c r="M5521" s="8" t="s">
        <v>31723</v>
      </c>
      <c r="N5521" s="8" t="s">
        <v>37</v>
      </c>
      <c r="O5521" s="8" t="s">
        <v>233</v>
      </c>
      <c r="P5521" s="6" t="s">
        <v>39</v>
      </c>
      <c r="Q5521" s="8" t="s">
        <v>40</v>
      </c>
      <c r="R5521" s="10"/>
      <c r="S5521" s="11"/>
      <c r="T5521" s="6"/>
      <c r="U5521" s="12"/>
      <c r="V5521" s="8" t="s">
        <v>227</v>
      </c>
      <c r="W5521" s="6"/>
      <c r="X5521" s="6"/>
      <c r="Y5521" s="6"/>
      <c r="Z5521" s="6"/>
      <c r="AA5521" s="6" t="s">
        <v>1256</v>
      </c>
      <c r="AB5521" s="8"/>
      <c r="AC5521" s="27">
        <v>9785977605182</v>
      </c>
    </row>
    <row r="5522" spans="1:29" s="4" customFormat="1" ht="51.9" customHeight="1" x14ac:dyDescent="0.2">
      <c r="A5522" s="5">
        <v>0</v>
      </c>
      <c r="B5522" s="6" t="s">
        <v>31724</v>
      </c>
      <c r="C5522" s="13">
        <v>748.8</v>
      </c>
      <c r="D5522" s="8" t="s">
        <v>31725</v>
      </c>
      <c r="E5522" s="8" t="s">
        <v>31726</v>
      </c>
      <c r="F5522" s="8" t="s">
        <v>31727</v>
      </c>
      <c r="G5522" s="6" t="s">
        <v>60</v>
      </c>
      <c r="H5522" s="6" t="s">
        <v>34</v>
      </c>
      <c r="I5522" s="8" t="s">
        <v>6752</v>
      </c>
      <c r="J5522" s="9">
        <v>1</v>
      </c>
      <c r="K5522" s="9">
        <v>134</v>
      </c>
      <c r="L5522" s="9">
        <v>2023</v>
      </c>
      <c r="M5522" s="8" t="s">
        <v>31728</v>
      </c>
      <c r="N5522" s="8" t="s">
        <v>37</v>
      </c>
      <c r="O5522" s="8" t="s">
        <v>233</v>
      </c>
      <c r="P5522" s="6" t="s">
        <v>39</v>
      </c>
      <c r="Q5522" s="8" t="s">
        <v>40</v>
      </c>
      <c r="R5522" s="10" t="s">
        <v>31729</v>
      </c>
      <c r="S5522" s="11"/>
      <c r="T5522" s="6"/>
      <c r="U5522" s="15" t="str">
        <f>HYPERLINK("https://media.infra-m.ru/2034/2034450/cover/2034450.jpg", "Обложка")</f>
        <v>Обложка</v>
      </c>
      <c r="V5522" s="8" t="s">
        <v>22691</v>
      </c>
      <c r="W5522" s="6"/>
      <c r="X5522" s="6"/>
      <c r="Y5522" s="6"/>
      <c r="Z5522" s="6"/>
      <c r="AA5522" s="6" t="s">
        <v>86</v>
      </c>
      <c r="AB5522" s="8"/>
      <c r="AC5522" s="27">
        <v>9785160142906</v>
      </c>
    </row>
    <row r="5523" spans="1:29" s="4" customFormat="1" ht="51.9" customHeight="1" x14ac:dyDescent="0.2">
      <c r="A5523" s="5">
        <v>0</v>
      </c>
      <c r="B5523" s="6" t="s">
        <v>31730</v>
      </c>
      <c r="C5523" s="13">
        <v>792</v>
      </c>
      <c r="D5523" s="8" t="s">
        <v>31731</v>
      </c>
      <c r="E5523" s="8" t="s">
        <v>31726</v>
      </c>
      <c r="F5523" s="8" t="s">
        <v>31727</v>
      </c>
      <c r="G5523" s="6" t="s">
        <v>33</v>
      </c>
      <c r="H5523" s="6" t="s">
        <v>34</v>
      </c>
      <c r="I5523" s="8" t="s">
        <v>6752</v>
      </c>
      <c r="J5523" s="9">
        <v>1</v>
      </c>
      <c r="K5523" s="9">
        <v>134</v>
      </c>
      <c r="L5523" s="9">
        <v>2024</v>
      </c>
      <c r="M5523" s="8" t="s">
        <v>31732</v>
      </c>
      <c r="N5523" s="8" t="s">
        <v>37</v>
      </c>
      <c r="O5523" s="8" t="s">
        <v>233</v>
      </c>
      <c r="P5523" s="6" t="s">
        <v>39</v>
      </c>
      <c r="Q5523" s="8" t="s">
        <v>40</v>
      </c>
      <c r="R5523" s="10" t="s">
        <v>31729</v>
      </c>
      <c r="S5523" s="11"/>
      <c r="T5523" s="6"/>
      <c r="U5523" s="15" t="str">
        <f>HYPERLINK("https://media.infra-m.ru/2138/2138764/cover/2138764.jpg", "Обложка")</f>
        <v>Обложка</v>
      </c>
      <c r="V5523" s="8" t="s">
        <v>22691</v>
      </c>
      <c r="W5523" s="6"/>
      <c r="X5523" s="6"/>
      <c r="Y5523" s="6"/>
      <c r="Z5523" s="6"/>
      <c r="AA5523" s="6" t="s">
        <v>86</v>
      </c>
      <c r="AB5523" s="8"/>
      <c r="AC5523" s="27">
        <v>9785160165288</v>
      </c>
    </row>
    <row r="5524" spans="1:29" s="4" customFormat="1" ht="51.9" customHeight="1" x14ac:dyDescent="0.2">
      <c r="A5524" s="5">
        <v>0</v>
      </c>
      <c r="B5524" s="6" t="s">
        <v>31733</v>
      </c>
      <c r="C5524" s="7">
        <v>3238.8</v>
      </c>
      <c r="D5524" s="8" t="s">
        <v>31734</v>
      </c>
      <c r="E5524" s="8" t="s">
        <v>31735</v>
      </c>
      <c r="F5524" s="8" t="s">
        <v>31736</v>
      </c>
      <c r="G5524" s="6" t="s">
        <v>118</v>
      </c>
      <c r="H5524" s="6" t="s">
        <v>34</v>
      </c>
      <c r="I5524" s="8" t="s">
        <v>599</v>
      </c>
      <c r="J5524" s="9">
        <v>1</v>
      </c>
      <c r="K5524" s="9">
        <v>306</v>
      </c>
      <c r="L5524" s="9">
        <v>2027</v>
      </c>
      <c r="M5524" s="8" t="s">
        <v>31737</v>
      </c>
      <c r="N5524" s="8" t="s">
        <v>224</v>
      </c>
      <c r="O5524" s="8" t="s">
        <v>31738</v>
      </c>
      <c r="P5524" s="6" t="s">
        <v>601</v>
      </c>
      <c r="Q5524" s="8" t="s">
        <v>3587</v>
      </c>
      <c r="R5524" s="10" t="s">
        <v>31739</v>
      </c>
      <c r="S5524" s="11"/>
      <c r="T5524" s="6"/>
      <c r="U5524" s="15" t="str">
        <f>HYPERLINK("https://media.infra-m.ru/2272/2272093/cover/2272093.jpg", "Обложка")</f>
        <v>Обложка</v>
      </c>
      <c r="V5524" s="8" t="s">
        <v>12649</v>
      </c>
      <c r="W5524" s="6"/>
      <c r="X5524" s="6"/>
      <c r="Y5524" s="6"/>
      <c r="Z5524" s="6"/>
      <c r="AA5524" s="6" t="s">
        <v>148</v>
      </c>
      <c r="AB5524" s="8"/>
      <c r="AC5524" s="27">
        <v>9785160175799</v>
      </c>
    </row>
    <row r="5525" spans="1:29" s="4" customFormat="1" ht="42" customHeight="1" x14ac:dyDescent="0.2">
      <c r="A5525" s="5">
        <v>0</v>
      </c>
      <c r="B5525" s="6" t="s">
        <v>31740</v>
      </c>
      <c r="C5525" s="7">
        <v>1212</v>
      </c>
      <c r="D5525" s="8" t="s">
        <v>31741</v>
      </c>
      <c r="E5525" s="8" t="s">
        <v>31742</v>
      </c>
      <c r="F5525" s="8" t="s">
        <v>31743</v>
      </c>
      <c r="G5525" s="6" t="s">
        <v>118</v>
      </c>
      <c r="H5525" s="6" t="s">
        <v>34</v>
      </c>
      <c r="I5525" s="8" t="s">
        <v>35</v>
      </c>
      <c r="J5525" s="9">
        <v>1</v>
      </c>
      <c r="K5525" s="9">
        <v>224</v>
      </c>
      <c r="L5525" s="9">
        <v>2023</v>
      </c>
      <c r="M5525" s="8" t="s">
        <v>31744</v>
      </c>
      <c r="N5525" s="8" t="s">
        <v>37</v>
      </c>
      <c r="O5525" s="8" t="s">
        <v>136</v>
      </c>
      <c r="P5525" s="6" t="s">
        <v>39</v>
      </c>
      <c r="Q5525" s="8" t="s">
        <v>40</v>
      </c>
      <c r="R5525" s="10" t="s">
        <v>1631</v>
      </c>
      <c r="S5525" s="11"/>
      <c r="T5525" s="6"/>
      <c r="U5525" s="15" t="str">
        <f>HYPERLINK("https://media.infra-m.ru/1969/1969538/cover/1969538.jpg", "Обложка")</f>
        <v>Обложка</v>
      </c>
      <c r="V5525" s="8" t="s">
        <v>2382</v>
      </c>
      <c r="W5525" s="6"/>
      <c r="X5525" s="6"/>
      <c r="Y5525" s="6"/>
      <c r="Z5525" s="6"/>
      <c r="AA5525" s="6" t="s">
        <v>404</v>
      </c>
      <c r="AB5525" s="8"/>
      <c r="AC5525" s="27">
        <v>9785160131856</v>
      </c>
    </row>
    <row r="5526" spans="1:29" s="4" customFormat="1" ht="51.9" customHeight="1" x14ac:dyDescent="0.2">
      <c r="A5526" s="5">
        <v>0</v>
      </c>
      <c r="B5526" s="6" t="s">
        <v>31745</v>
      </c>
      <c r="C5526" s="7">
        <v>1672.8</v>
      </c>
      <c r="D5526" s="8" t="s">
        <v>31746</v>
      </c>
      <c r="E5526" s="8" t="s">
        <v>31747</v>
      </c>
      <c r="F5526" s="8" t="s">
        <v>31748</v>
      </c>
      <c r="G5526" s="6" t="s">
        <v>60</v>
      </c>
      <c r="H5526" s="6" t="s">
        <v>34</v>
      </c>
      <c r="I5526" s="8" t="s">
        <v>35</v>
      </c>
      <c r="J5526" s="9">
        <v>1</v>
      </c>
      <c r="K5526" s="9">
        <v>254</v>
      </c>
      <c r="L5526" s="9">
        <v>2025</v>
      </c>
      <c r="M5526" s="8" t="s">
        <v>31749</v>
      </c>
      <c r="N5526" s="8" t="s">
        <v>37</v>
      </c>
      <c r="O5526" s="8" t="s">
        <v>290</v>
      </c>
      <c r="P5526" s="6" t="s">
        <v>39</v>
      </c>
      <c r="Q5526" s="8" t="s">
        <v>40</v>
      </c>
      <c r="R5526" s="10" t="s">
        <v>31750</v>
      </c>
      <c r="S5526" s="11"/>
      <c r="T5526" s="6"/>
      <c r="U5526" s="15" t="str">
        <f>HYPERLINK("https://media.infra-m.ru/2239/2239472/cover/2239472.jpg", "Обложка")</f>
        <v>Обложка</v>
      </c>
      <c r="V5526" s="8" t="s">
        <v>9943</v>
      </c>
      <c r="W5526" s="6"/>
      <c r="X5526" s="6"/>
      <c r="Y5526" s="6"/>
      <c r="Z5526" s="6"/>
      <c r="AA5526" s="6" t="s">
        <v>917</v>
      </c>
      <c r="AB5526" s="8"/>
      <c r="AC5526" s="27">
        <v>9785160214061</v>
      </c>
    </row>
    <row r="5527" spans="1:29" s="4" customFormat="1" ht="51.9" customHeight="1" x14ac:dyDescent="0.2">
      <c r="A5527" s="5">
        <v>0</v>
      </c>
      <c r="B5527" s="6" t="s">
        <v>31751</v>
      </c>
      <c r="C5527" s="7">
        <v>1432.8</v>
      </c>
      <c r="D5527" s="8" t="s">
        <v>31752</v>
      </c>
      <c r="E5527" s="8" t="s">
        <v>31753</v>
      </c>
      <c r="F5527" s="8" t="s">
        <v>31748</v>
      </c>
      <c r="G5527" s="6" t="s">
        <v>118</v>
      </c>
      <c r="H5527" s="6" t="s">
        <v>34</v>
      </c>
      <c r="I5527" s="8" t="s">
        <v>35</v>
      </c>
      <c r="J5527" s="9">
        <v>1</v>
      </c>
      <c r="K5527" s="9">
        <v>230</v>
      </c>
      <c r="L5527" s="9">
        <v>2025</v>
      </c>
      <c r="M5527" s="8" t="s">
        <v>31754</v>
      </c>
      <c r="N5527" s="8" t="s">
        <v>37</v>
      </c>
      <c r="O5527" s="8" t="s">
        <v>290</v>
      </c>
      <c r="P5527" s="6" t="s">
        <v>39</v>
      </c>
      <c r="Q5527" s="8" t="s">
        <v>40</v>
      </c>
      <c r="R5527" s="10" t="s">
        <v>31750</v>
      </c>
      <c r="S5527" s="11"/>
      <c r="T5527" s="6"/>
      <c r="U5527" s="15" t="str">
        <f>HYPERLINK("https://media.infra-m.ru/2195/2195985/cover/2195985.jpg", "Обложка")</f>
        <v>Обложка</v>
      </c>
      <c r="V5527" s="8" t="s">
        <v>9943</v>
      </c>
      <c r="W5527" s="6"/>
      <c r="X5527" s="6"/>
      <c r="Y5527" s="6"/>
      <c r="Z5527" s="6"/>
      <c r="AA5527" s="6" t="s">
        <v>148</v>
      </c>
      <c r="AB5527" s="8"/>
      <c r="AC5527" s="27">
        <v>9785160181394</v>
      </c>
    </row>
    <row r="5528" spans="1:29" s="4" customFormat="1" ht="51.9" customHeight="1" x14ac:dyDescent="0.2">
      <c r="A5528" s="5">
        <v>0</v>
      </c>
      <c r="B5528" s="6" t="s">
        <v>31755</v>
      </c>
      <c r="C5528" s="7">
        <v>1260</v>
      </c>
      <c r="D5528" s="8" t="s">
        <v>31756</v>
      </c>
      <c r="E5528" s="8" t="s">
        <v>31753</v>
      </c>
      <c r="F5528" s="8" t="s">
        <v>31748</v>
      </c>
      <c r="G5528" s="6" t="s">
        <v>33</v>
      </c>
      <c r="H5528" s="6" t="s">
        <v>34</v>
      </c>
      <c r="I5528" s="8" t="s">
        <v>35</v>
      </c>
      <c r="J5528" s="9">
        <v>1</v>
      </c>
      <c r="K5528" s="9">
        <v>230</v>
      </c>
      <c r="L5528" s="9">
        <v>2022</v>
      </c>
      <c r="M5528" s="8" t="s">
        <v>31757</v>
      </c>
      <c r="N5528" s="8" t="s">
        <v>37</v>
      </c>
      <c r="O5528" s="8" t="s">
        <v>290</v>
      </c>
      <c r="P5528" s="6" t="s">
        <v>39</v>
      </c>
      <c r="Q5528" s="8" t="s">
        <v>40</v>
      </c>
      <c r="R5528" s="10" t="s">
        <v>31750</v>
      </c>
      <c r="S5528" s="11"/>
      <c r="T5528" s="6"/>
      <c r="U5528" s="15" t="str">
        <f>HYPERLINK("https://media.infra-m.ru/1870/1870596/cover/1870596.jpg", "Обложка")</f>
        <v>Обложка</v>
      </c>
      <c r="V5528" s="8" t="s">
        <v>9943</v>
      </c>
      <c r="W5528" s="6"/>
      <c r="X5528" s="6"/>
      <c r="Y5528" s="6"/>
      <c r="Z5528" s="6"/>
      <c r="AA5528" s="6" t="s">
        <v>148</v>
      </c>
      <c r="AB5528" s="8"/>
      <c r="AC5528" s="27">
        <v>9785160177335</v>
      </c>
    </row>
    <row r="5529" spans="1:29" s="4" customFormat="1" ht="42" customHeight="1" x14ac:dyDescent="0.2">
      <c r="A5529" s="5">
        <v>0</v>
      </c>
      <c r="B5529" s="6" t="s">
        <v>31758</v>
      </c>
      <c r="C5529" s="7">
        <v>1104</v>
      </c>
      <c r="D5529" s="8" t="s">
        <v>31759</v>
      </c>
      <c r="E5529" s="8" t="s">
        <v>31760</v>
      </c>
      <c r="F5529" s="8" t="s">
        <v>4951</v>
      </c>
      <c r="G5529" s="6" t="s">
        <v>33</v>
      </c>
      <c r="H5529" s="6" t="s">
        <v>134</v>
      </c>
      <c r="I5529" s="8"/>
      <c r="J5529" s="9">
        <v>1</v>
      </c>
      <c r="K5529" s="9">
        <v>166</v>
      </c>
      <c r="L5529" s="9">
        <v>2026</v>
      </c>
      <c r="M5529" s="8" t="s">
        <v>31761</v>
      </c>
      <c r="N5529" s="8" t="s">
        <v>37</v>
      </c>
      <c r="O5529" s="8" t="s">
        <v>136</v>
      </c>
      <c r="P5529" s="6" t="s">
        <v>39</v>
      </c>
      <c r="Q5529" s="8" t="s">
        <v>40</v>
      </c>
      <c r="R5529" s="10" t="s">
        <v>1255</v>
      </c>
      <c r="S5529" s="11"/>
      <c r="T5529" s="6"/>
      <c r="U5529" s="15" t="str">
        <f>HYPERLINK("https://media.infra-m.ru/2230/2230935/cover/2230935.jpg", "Обложка")</f>
        <v>Обложка</v>
      </c>
      <c r="V5529" s="8" t="s">
        <v>1184</v>
      </c>
      <c r="W5529" s="6"/>
      <c r="X5529" s="6"/>
      <c r="Y5529" s="6"/>
      <c r="Z5529" s="6"/>
      <c r="AA5529" s="6" t="s">
        <v>99</v>
      </c>
      <c r="AB5529" s="8"/>
      <c r="AC5529" s="27">
        <v>9785917687742</v>
      </c>
    </row>
    <row r="5530" spans="1:29" s="4" customFormat="1" ht="42" customHeight="1" x14ac:dyDescent="0.2">
      <c r="A5530" s="5">
        <v>0</v>
      </c>
      <c r="B5530" s="6" t="s">
        <v>31762</v>
      </c>
      <c r="C5530" s="7">
        <v>1920</v>
      </c>
      <c r="D5530" s="8" t="s">
        <v>31763</v>
      </c>
      <c r="E5530" s="8" t="s">
        <v>31764</v>
      </c>
      <c r="F5530" s="8" t="s">
        <v>12368</v>
      </c>
      <c r="G5530" s="6" t="s">
        <v>60</v>
      </c>
      <c r="H5530" s="6" t="s">
        <v>34</v>
      </c>
      <c r="I5530" s="8" t="s">
        <v>253</v>
      </c>
      <c r="J5530" s="9">
        <v>1</v>
      </c>
      <c r="K5530" s="9">
        <v>300</v>
      </c>
      <c r="L5530" s="9">
        <v>2025</v>
      </c>
      <c r="M5530" s="8" t="s">
        <v>31765</v>
      </c>
      <c r="N5530" s="8" t="s">
        <v>243</v>
      </c>
      <c r="O5530" s="8" t="s">
        <v>329</v>
      </c>
      <c r="P5530" s="6" t="s">
        <v>51</v>
      </c>
      <c r="Q5530" s="8" t="s">
        <v>65</v>
      </c>
      <c r="R5530" s="10" t="s">
        <v>31766</v>
      </c>
      <c r="S5530" s="11"/>
      <c r="T5530" s="6"/>
      <c r="U5530" s="15" t="str">
        <f>HYPERLINK("https://media.infra-m.ru/1995/1995198/cover/1995198.jpg", "Обложка")</f>
        <v>Обложка</v>
      </c>
      <c r="V5530" s="8" t="s">
        <v>7920</v>
      </c>
      <c r="W5530" s="6"/>
      <c r="X5530" s="6"/>
      <c r="Y5530" s="6"/>
      <c r="Z5530" s="6"/>
      <c r="AA5530" s="6" t="s">
        <v>68</v>
      </c>
      <c r="AB5530" s="8"/>
      <c r="AC5530" s="27">
        <v>9785160183947</v>
      </c>
    </row>
    <row r="5531" spans="1:29" s="4" customFormat="1" ht="42" customHeight="1" x14ac:dyDescent="0.2">
      <c r="A5531" s="5">
        <v>0</v>
      </c>
      <c r="B5531" s="6" t="s">
        <v>31767</v>
      </c>
      <c r="C5531" s="7">
        <v>2640</v>
      </c>
      <c r="D5531" s="8" t="s">
        <v>31768</v>
      </c>
      <c r="E5531" s="8" t="s">
        <v>31769</v>
      </c>
      <c r="F5531" s="8" t="s">
        <v>31770</v>
      </c>
      <c r="G5531" s="6" t="s">
        <v>118</v>
      </c>
      <c r="H5531" s="6" t="s">
        <v>34</v>
      </c>
      <c r="I5531" s="8" t="s">
        <v>253</v>
      </c>
      <c r="J5531" s="9">
        <v>1</v>
      </c>
      <c r="K5531" s="9">
        <v>400</v>
      </c>
      <c r="L5531" s="9">
        <v>2026</v>
      </c>
      <c r="M5531" s="8" t="s">
        <v>31771</v>
      </c>
      <c r="N5531" s="8" t="s">
        <v>37</v>
      </c>
      <c r="O5531" s="8" t="s">
        <v>290</v>
      </c>
      <c r="P5531" s="6" t="s">
        <v>51</v>
      </c>
      <c r="Q5531" s="8" t="s">
        <v>52</v>
      </c>
      <c r="R5531" s="10" t="s">
        <v>31772</v>
      </c>
      <c r="S5531" s="11"/>
      <c r="T5531" s="6"/>
      <c r="U5531" s="15" t="str">
        <f>HYPERLINK("https://media.infra-m.ru/2224/2224079/cover/2224079.jpg", "Обложка")</f>
        <v>Обложка</v>
      </c>
      <c r="V5531" s="8" t="s">
        <v>2427</v>
      </c>
      <c r="W5531" s="6"/>
      <c r="X5531" s="6"/>
      <c r="Y5531" s="6"/>
      <c r="Z5531" s="6"/>
      <c r="AA5531" s="6" t="s">
        <v>55</v>
      </c>
      <c r="AB5531" s="8"/>
      <c r="AC5531" s="27">
        <v>9785160200606</v>
      </c>
    </row>
    <row r="5532" spans="1:29" s="4" customFormat="1" ht="51.9" customHeight="1" x14ac:dyDescent="0.2">
      <c r="A5532" s="5">
        <v>0</v>
      </c>
      <c r="B5532" s="6" t="s">
        <v>31773</v>
      </c>
      <c r="C5532" s="7">
        <v>1584</v>
      </c>
      <c r="D5532" s="8" t="s">
        <v>31774</v>
      </c>
      <c r="E5532" s="8" t="s">
        <v>31775</v>
      </c>
      <c r="F5532" s="8" t="s">
        <v>18093</v>
      </c>
      <c r="G5532" s="6" t="s">
        <v>33</v>
      </c>
      <c r="H5532" s="6" t="s">
        <v>134</v>
      </c>
      <c r="I5532" s="8"/>
      <c r="J5532" s="9">
        <v>1</v>
      </c>
      <c r="K5532" s="9">
        <v>240</v>
      </c>
      <c r="L5532" s="9">
        <v>2026</v>
      </c>
      <c r="M5532" s="8" t="s">
        <v>31776</v>
      </c>
      <c r="N5532" s="8" t="s">
        <v>37</v>
      </c>
      <c r="O5532" s="8" t="s">
        <v>136</v>
      </c>
      <c r="P5532" s="6" t="s">
        <v>39</v>
      </c>
      <c r="Q5532" s="8" t="s">
        <v>40</v>
      </c>
      <c r="R5532" s="10" t="s">
        <v>484</v>
      </c>
      <c r="S5532" s="11"/>
      <c r="T5532" s="6"/>
      <c r="U5532" s="15" t="str">
        <f>HYPERLINK("https://media.infra-m.ru/2233/2233924/cover/2233924.jpg", "Обложка")</f>
        <v>Обложка</v>
      </c>
      <c r="V5532" s="8" t="s">
        <v>18096</v>
      </c>
      <c r="W5532" s="6"/>
      <c r="X5532" s="6"/>
      <c r="Y5532" s="6"/>
      <c r="Z5532" s="6"/>
      <c r="AA5532" s="6" t="s">
        <v>248</v>
      </c>
      <c r="AB5532" s="8"/>
      <c r="AC5532" s="27">
        <v>9785917684437</v>
      </c>
    </row>
    <row r="5533" spans="1:29" s="4" customFormat="1" ht="44.1" customHeight="1" x14ac:dyDescent="0.2">
      <c r="A5533" s="5">
        <v>0</v>
      </c>
      <c r="B5533" s="6" t="s">
        <v>31777</v>
      </c>
      <c r="C5533" s="13">
        <v>708</v>
      </c>
      <c r="D5533" s="8" t="s">
        <v>31778</v>
      </c>
      <c r="E5533" s="8" t="s">
        <v>31779</v>
      </c>
      <c r="F5533" s="8" t="s">
        <v>6770</v>
      </c>
      <c r="G5533" s="6" t="s">
        <v>33</v>
      </c>
      <c r="H5533" s="6" t="s">
        <v>34</v>
      </c>
      <c r="I5533" s="8"/>
      <c r="J5533" s="9">
        <v>1</v>
      </c>
      <c r="K5533" s="9">
        <v>108</v>
      </c>
      <c r="L5533" s="9">
        <v>2024</v>
      </c>
      <c r="M5533" s="8" t="s">
        <v>31780</v>
      </c>
      <c r="N5533" s="8" t="s">
        <v>37</v>
      </c>
      <c r="O5533" s="8" t="s">
        <v>136</v>
      </c>
      <c r="P5533" s="6" t="s">
        <v>12117</v>
      </c>
      <c r="Q5533" s="8" t="s">
        <v>40</v>
      </c>
      <c r="R5533" s="10" t="s">
        <v>31781</v>
      </c>
      <c r="S5533" s="11"/>
      <c r="T5533" s="6"/>
      <c r="U5533" s="15" t="str">
        <f>HYPERLINK("https://media.infra-m.ru/2139/2139779/cover/2139779.jpg", "Обложка")</f>
        <v>Обложка</v>
      </c>
      <c r="V5533" s="8"/>
      <c r="W5533" s="6"/>
      <c r="X5533" s="6"/>
      <c r="Y5533" s="6"/>
      <c r="Z5533" s="6"/>
      <c r="AA5533" s="6" t="s">
        <v>76</v>
      </c>
      <c r="AB5533" s="8"/>
      <c r="AC5533" s="27">
        <v>9785160196862</v>
      </c>
    </row>
    <row r="5534" spans="1:29" s="4" customFormat="1" ht="42" customHeight="1" x14ac:dyDescent="0.2">
      <c r="A5534" s="5">
        <v>0</v>
      </c>
      <c r="B5534" s="6" t="s">
        <v>31782</v>
      </c>
      <c r="C5534" s="7">
        <v>1684.8</v>
      </c>
      <c r="D5534" s="8" t="s">
        <v>31783</v>
      </c>
      <c r="E5534" s="8" t="s">
        <v>31784</v>
      </c>
      <c r="F5534" s="8" t="s">
        <v>31785</v>
      </c>
      <c r="G5534" s="6" t="s">
        <v>33</v>
      </c>
      <c r="H5534" s="6" t="s">
        <v>34</v>
      </c>
      <c r="I5534" s="8" t="s">
        <v>111</v>
      </c>
      <c r="J5534" s="9">
        <v>1</v>
      </c>
      <c r="K5534" s="9">
        <v>256</v>
      </c>
      <c r="L5534" s="9">
        <v>2026</v>
      </c>
      <c r="M5534" s="8" t="s">
        <v>31786</v>
      </c>
      <c r="N5534" s="8" t="s">
        <v>37</v>
      </c>
      <c r="O5534" s="8" t="s">
        <v>233</v>
      </c>
      <c r="P5534" s="6" t="s">
        <v>39</v>
      </c>
      <c r="Q5534" s="8" t="s">
        <v>40</v>
      </c>
      <c r="R5534" s="10" t="s">
        <v>31787</v>
      </c>
      <c r="S5534" s="11"/>
      <c r="T5534" s="6"/>
      <c r="U5534" s="15" t="str">
        <f>HYPERLINK("https://media.infra-m.ru/2238/2238394/cover/2238394.jpg", "Обложка")</f>
        <v>Обложка</v>
      </c>
      <c r="V5534" s="8" t="s">
        <v>414</v>
      </c>
      <c r="W5534" s="6"/>
      <c r="X5534" s="6"/>
      <c r="Y5534" s="6"/>
      <c r="Z5534" s="6"/>
      <c r="AA5534" s="6" t="s">
        <v>1256</v>
      </c>
      <c r="AB5534" s="8"/>
      <c r="AC5534" s="27">
        <v>9785160162508</v>
      </c>
    </row>
    <row r="5535" spans="1:29" s="4" customFormat="1" ht="51.9" customHeight="1" x14ac:dyDescent="0.2">
      <c r="A5535" s="5">
        <v>0</v>
      </c>
      <c r="B5535" s="6" t="s">
        <v>31788</v>
      </c>
      <c r="C5535" s="7">
        <v>2296.8000000000002</v>
      </c>
      <c r="D5535" s="8" t="s">
        <v>31789</v>
      </c>
      <c r="E5535" s="8" t="s">
        <v>31790</v>
      </c>
      <c r="F5535" s="8" t="s">
        <v>31791</v>
      </c>
      <c r="G5535" s="6" t="s">
        <v>118</v>
      </c>
      <c r="H5535" s="6" t="s">
        <v>48</v>
      </c>
      <c r="I5535" s="8" t="s">
        <v>271</v>
      </c>
      <c r="J5535" s="9">
        <v>1</v>
      </c>
      <c r="K5535" s="9">
        <v>383</v>
      </c>
      <c r="L5535" s="9">
        <v>2025</v>
      </c>
      <c r="M5535" s="8" t="s">
        <v>31792</v>
      </c>
      <c r="N5535" s="8" t="s">
        <v>243</v>
      </c>
      <c r="O5535" s="8" t="s">
        <v>758</v>
      </c>
      <c r="P5535" s="6" t="s">
        <v>51</v>
      </c>
      <c r="Q5535" s="8" t="s">
        <v>52</v>
      </c>
      <c r="R5535" s="10" t="s">
        <v>9434</v>
      </c>
      <c r="S5535" s="11" t="s">
        <v>31793</v>
      </c>
      <c r="T5535" s="6"/>
      <c r="U5535" s="15" t="str">
        <f>HYPERLINK("https://media.infra-m.ru/2185/2185003/cover/2185003.jpg", "Обложка")</f>
        <v>Обложка</v>
      </c>
      <c r="V5535" s="8" t="s">
        <v>227</v>
      </c>
      <c r="W5535" s="6"/>
      <c r="X5535" s="6"/>
      <c r="Y5535" s="6"/>
      <c r="Z5535" s="6"/>
      <c r="AA5535" s="6" t="s">
        <v>274</v>
      </c>
      <c r="AB5535" s="8"/>
      <c r="AC5535" s="27">
        <v>9785000917404</v>
      </c>
    </row>
    <row r="5536" spans="1:29" s="4" customFormat="1" ht="42" customHeight="1" x14ac:dyDescent="0.2">
      <c r="A5536" s="5">
        <v>0</v>
      </c>
      <c r="B5536" s="6" t="s">
        <v>31794</v>
      </c>
      <c r="C5536" s="7">
        <v>2016</v>
      </c>
      <c r="D5536" s="8" t="s">
        <v>31795</v>
      </c>
      <c r="E5536" s="8" t="s">
        <v>31796</v>
      </c>
      <c r="F5536" s="8" t="s">
        <v>31797</v>
      </c>
      <c r="G5536" s="6" t="s">
        <v>118</v>
      </c>
      <c r="H5536" s="6" t="s">
        <v>34</v>
      </c>
      <c r="I5536" s="8" t="s">
        <v>517</v>
      </c>
      <c r="J5536" s="9">
        <v>1</v>
      </c>
      <c r="K5536" s="9">
        <v>304</v>
      </c>
      <c r="L5536" s="9">
        <v>2026</v>
      </c>
      <c r="M5536" s="8" t="s">
        <v>31798</v>
      </c>
      <c r="N5536" s="8" t="s">
        <v>37</v>
      </c>
      <c r="O5536" s="8" t="s">
        <v>280</v>
      </c>
      <c r="P5536" s="6" t="s">
        <v>182</v>
      </c>
      <c r="Q5536" s="8" t="s">
        <v>40</v>
      </c>
      <c r="R5536" s="10" t="s">
        <v>4058</v>
      </c>
      <c r="S5536" s="11"/>
      <c r="T5536" s="6" t="s">
        <v>97</v>
      </c>
      <c r="U5536" s="15" t="str">
        <f>HYPERLINK("https://media.infra-m.ru/2225/2225090/cover/2225090.jpg", "Обложка")</f>
        <v>Обложка</v>
      </c>
      <c r="V5536" s="8" t="s">
        <v>227</v>
      </c>
      <c r="W5536" s="6"/>
      <c r="X5536" s="6"/>
      <c r="Y5536" s="6"/>
      <c r="Z5536" s="6"/>
      <c r="AA5536" s="6" t="s">
        <v>248</v>
      </c>
      <c r="AB5536" s="8"/>
      <c r="AC5536" s="27">
        <v>9785160092560</v>
      </c>
    </row>
    <row r="5537" spans="1:29" s="4" customFormat="1" ht="42" customHeight="1" x14ac:dyDescent="0.2">
      <c r="A5537" s="5">
        <v>0</v>
      </c>
      <c r="B5537" s="6" t="s">
        <v>31799</v>
      </c>
      <c r="C5537" s="7">
        <v>1492.8</v>
      </c>
      <c r="D5537" s="8" t="s">
        <v>31800</v>
      </c>
      <c r="E5537" s="8" t="s">
        <v>31801</v>
      </c>
      <c r="F5537" s="8" t="s">
        <v>31802</v>
      </c>
      <c r="G5537" s="6" t="s">
        <v>33</v>
      </c>
      <c r="H5537" s="6" t="s">
        <v>34</v>
      </c>
      <c r="I5537" s="8" t="s">
        <v>1081</v>
      </c>
      <c r="J5537" s="9">
        <v>1</v>
      </c>
      <c r="K5537" s="9">
        <v>226</v>
      </c>
      <c r="L5537" s="9">
        <v>2026</v>
      </c>
      <c r="M5537" s="8" t="s">
        <v>31803</v>
      </c>
      <c r="N5537" s="8" t="s">
        <v>63</v>
      </c>
      <c r="O5537" s="8" t="s">
        <v>126</v>
      </c>
      <c r="P5537" s="6" t="s">
        <v>39</v>
      </c>
      <c r="Q5537" s="8" t="s">
        <v>40</v>
      </c>
      <c r="R5537" s="10" t="s">
        <v>10423</v>
      </c>
      <c r="S5537" s="11"/>
      <c r="T5537" s="6"/>
      <c r="U5537" s="15" t="str">
        <f>HYPERLINK("https://media.infra-m.ru/2234/2234457/cover/2234457.jpg", "Обложка")</f>
        <v>Обложка</v>
      </c>
      <c r="V5537" s="8" t="s">
        <v>1132</v>
      </c>
      <c r="W5537" s="6"/>
      <c r="X5537" s="6"/>
      <c r="Y5537" s="6"/>
      <c r="Z5537" s="6"/>
      <c r="AA5537" s="6" t="s">
        <v>86</v>
      </c>
      <c r="AB5537" s="8"/>
      <c r="AC5537" s="27">
        <v>9785160182490</v>
      </c>
    </row>
    <row r="5538" spans="1:29" s="4" customFormat="1" ht="42" customHeight="1" x14ac:dyDescent="0.2">
      <c r="A5538" s="5">
        <v>0</v>
      </c>
      <c r="B5538" s="6" t="s">
        <v>31804</v>
      </c>
      <c r="C5538" s="7">
        <v>1252.8</v>
      </c>
      <c r="D5538" s="8" t="s">
        <v>31805</v>
      </c>
      <c r="E5538" s="8" t="s">
        <v>31801</v>
      </c>
      <c r="F5538" s="8" t="s">
        <v>31802</v>
      </c>
      <c r="G5538" s="6" t="s">
        <v>7062</v>
      </c>
      <c r="H5538" s="6" t="s">
        <v>34</v>
      </c>
      <c r="I5538" s="8" t="s">
        <v>1081</v>
      </c>
      <c r="J5538" s="9">
        <v>1</v>
      </c>
      <c r="K5538" s="9">
        <v>226</v>
      </c>
      <c r="L5538" s="9">
        <v>2024</v>
      </c>
      <c r="M5538" s="8" t="s">
        <v>31803</v>
      </c>
      <c r="N5538" s="8" t="s">
        <v>63</v>
      </c>
      <c r="O5538" s="8" t="s">
        <v>126</v>
      </c>
      <c r="P5538" s="6" t="s">
        <v>39</v>
      </c>
      <c r="Q5538" s="8" t="s">
        <v>40</v>
      </c>
      <c r="R5538" s="10" t="s">
        <v>10423</v>
      </c>
      <c r="S5538" s="11"/>
      <c r="T5538" s="6"/>
      <c r="U5538" s="15" t="str">
        <f>HYPERLINK("https://media.infra-m.ru/2085/2085927/cover/2085927.jpg", "Обложка")</f>
        <v>Обложка</v>
      </c>
      <c r="V5538" s="8" t="s">
        <v>1132</v>
      </c>
      <c r="W5538" s="6"/>
      <c r="X5538" s="6"/>
      <c r="Y5538" s="6"/>
      <c r="Z5538" s="6"/>
      <c r="AA5538" s="6" t="s">
        <v>86</v>
      </c>
      <c r="AB5538" s="8"/>
      <c r="AC5538" s="27">
        <v>9785160182490</v>
      </c>
    </row>
    <row r="5539" spans="1:29" s="4" customFormat="1" ht="51.9" customHeight="1" x14ac:dyDescent="0.2">
      <c r="A5539" s="5">
        <v>0</v>
      </c>
      <c r="B5539" s="6" t="s">
        <v>31806</v>
      </c>
      <c r="C5539" s="7">
        <v>1108.8</v>
      </c>
      <c r="D5539" s="8" t="s">
        <v>31807</v>
      </c>
      <c r="E5539" s="8" t="s">
        <v>31808</v>
      </c>
      <c r="F5539" s="8" t="s">
        <v>18494</v>
      </c>
      <c r="G5539" s="6" t="s">
        <v>33</v>
      </c>
      <c r="H5539" s="6" t="s">
        <v>34</v>
      </c>
      <c r="I5539" s="8" t="s">
        <v>35</v>
      </c>
      <c r="J5539" s="9">
        <v>1</v>
      </c>
      <c r="K5539" s="9">
        <v>159</v>
      </c>
      <c r="L5539" s="9">
        <v>2026</v>
      </c>
      <c r="M5539" s="8" t="s">
        <v>31809</v>
      </c>
      <c r="N5539" s="8" t="s">
        <v>37</v>
      </c>
      <c r="O5539" s="8" t="s">
        <v>233</v>
      </c>
      <c r="P5539" s="6" t="s">
        <v>39</v>
      </c>
      <c r="Q5539" s="8" t="s">
        <v>40</v>
      </c>
      <c r="R5539" s="10" t="s">
        <v>18474</v>
      </c>
      <c r="S5539" s="11"/>
      <c r="T5539" s="6"/>
      <c r="U5539" s="15" t="str">
        <f>HYPERLINK("https://media.infra-m.ru/2239/2239161/cover/2239161.jpg", "Обложка")</f>
        <v>Обложка</v>
      </c>
      <c r="V5539" s="8" t="s">
        <v>5964</v>
      </c>
      <c r="W5539" s="6"/>
      <c r="X5539" s="6"/>
      <c r="Y5539" s="6"/>
      <c r="Z5539" s="6"/>
      <c r="AA5539" s="6" t="s">
        <v>99</v>
      </c>
      <c r="AB5539" s="8"/>
      <c r="AC5539" s="27">
        <v>9785160206400</v>
      </c>
    </row>
    <row r="5540" spans="1:29" s="4" customFormat="1" ht="51.9" customHeight="1" x14ac:dyDescent="0.2">
      <c r="A5540" s="5">
        <v>0</v>
      </c>
      <c r="B5540" s="6" t="s">
        <v>31810</v>
      </c>
      <c r="C5540" s="13">
        <v>665.9</v>
      </c>
      <c r="D5540" s="8" t="s">
        <v>31811</v>
      </c>
      <c r="E5540" s="8" t="s">
        <v>31808</v>
      </c>
      <c r="F5540" s="8" t="s">
        <v>18494</v>
      </c>
      <c r="G5540" s="6" t="s">
        <v>60</v>
      </c>
      <c r="H5540" s="6" t="s">
        <v>34</v>
      </c>
      <c r="I5540" s="8" t="s">
        <v>35</v>
      </c>
      <c r="J5540" s="9">
        <v>1</v>
      </c>
      <c r="K5540" s="9">
        <v>159</v>
      </c>
      <c r="L5540" s="9">
        <v>2020</v>
      </c>
      <c r="M5540" s="8" t="s">
        <v>31812</v>
      </c>
      <c r="N5540" s="8" t="s">
        <v>37</v>
      </c>
      <c r="O5540" s="8" t="s">
        <v>233</v>
      </c>
      <c r="P5540" s="6" t="s">
        <v>39</v>
      </c>
      <c r="Q5540" s="8" t="s">
        <v>40</v>
      </c>
      <c r="R5540" s="10" t="s">
        <v>18474</v>
      </c>
      <c r="S5540" s="11"/>
      <c r="T5540" s="6"/>
      <c r="U5540" s="15" t="str">
        <f>HYPERLINK("https://media.infra-m.ru/1047/1047142/cover/1047142.jpg", "Обложка")</f>
        <v>Обложка</v>
      </c>
      <c r="V5540" s="8" t="s">
        <v>5964</v>
      </c>
      <c r="W5540" s="6"/>
      <c r="X5540" s="6"/>
      <c r="Y5540" s="6"/>
      <c r="Z5540" s="6"/>
      <c r="AA5540" s="6" t="s">
        <v>99</v>
      </c>
      <c r="AB5540" s="8"/>
      <c r="AC5540" s="27">
        <v>9785160124407</v>
      </c>
    </row>
    <row r="5541" spans="1:29" s="4" customFormat="1" ht="51.9" customHeight="1" x14ac:dyDescent="0.2">
      <c r="A5541" s="5">
        <v>0</v>
      </c>
      <c r="B5541" s="6" t="s">
        <v>31813</v>
      </c>
      <c r="C5541" s="7">
        <v>1504.8</v>
      </c>
      <c r="D5541" s="8" t="s">
        <v>31814</v>
      </c>
      <c r="E5541" s="8" t="s">
        <v>31815</v>
      </c>
      <c r="F5541" s="8" t="s">
        <v>19160</v>
      </c>
      <c r="G5541" s="6" t="s">
        <v>60</v>
      </c>
      <c r="H5541" s="6" t="s">
        <v>34</v>
      </c>
      <c r="I5541" s="8" t="s">
        <v>271</v>
      </c>
      <c r="J5541" s="9">
        <v>1</v>
      </c>
      <c r="K5541" s="9">
        <v>198</v>
      </c>
      <c r="L5541" s="9">
        <v>2027</v>
      </c>
      <c r="M5541" s="8" t="s">
        <v>31816</v>
      </c>
      <c r="N5541" s="8" t="s">
        <v>243</v>
      </c>
      <c r="O5541" s="8" t="s">
        <v>933</v>
      </c>
      <c r="P5541" s="6" t="s">
        <v>51</v>
      </c>
      <c r="Q5541" s="8" t="s">
        <v>52</v>
      </c>
      <c r="R5541" s="10" t="s">
        <v>822</v>
      </c>
      <c r="S5541" s="11" t="s">
        <v>31817</v>
      </c>
      <c r="T5541" s="6"/>
      <c r="U5541" s="15" t="str">
        <f>HYPERLINK("https://media.infra-m.ru/2258/2258324/cover/2258324.jpg", "Обложка")</f>
        <v>Обложка</v>
      </c>
      <c r="V5541" s="8" t="s">
        <v>227</v>
      </c>
      <c r="W5541" s="6"/>
      <c r="X5541" s="6"/>
      <c r="Y5541" s="6"/>
      <c r="Z5541" s="6"/>
      <c r="AA5541" s="6" t="s">
        <v>157</v>
      </c>
      <c r="AB5541" s="8"/>
      <c r="AC5541" s="27">
        <v>9785160174174</v>
      </c>
    </row>
    <row r="5542" spans="1:29" s="4" customFormat="1" ht="51.9" customHeight="1" x14ac:dyDescent="0.2">
      <c r="A5542" s="5">
        <v>0</v>
      </c>
      <c r="B5542" s="6" t="s">
        <v>31818</v>
      </c>
      <c r="C5542" s="7">
        <v>1888.8</v>
      </c>
      <c r="D5542" s="8" t="s">
        <v>31819</v>
      </c>
      <c r="E5542" s="8" t="s">
        <v>31820</v>
      </c>
      <c r="F5542" s="8" t="s">
        <v>31821</v>
      </c>
      <c r="G5542" s="6" t="s">
        <v>60</v>
      </c>
      <c r="H5542" s="6" t="s">
        <v>34</v>
      </c>
      <c r="I5542" s="8" t="s">
        <v>35</v>
      </c>
      <c r="J5542" s="9">
        <v>1</v>
      </c>
      <c r="K5542" s="9">
        <v>287</v>
      </c>
      <c r="L5542" s="9">
        <v>2026</v>
      </c>
      <c r="M5542" s="8" t="s">
        <v>31822</v>
      </c>
      <c r="N5542" s="8" t="s">
        <v>37</v>
      </c>
      <c r="O5542" s="8" t="s">
        <v>233</v>
      </c>
      <c r="P5542" s="6" t="s">
        <v>39</v>
      </c>
      <c r="Q5542" s="8" t="s">
        <v>40</v>
      </c>
      <c r="R5542" s="10" t="s">
        <v>6076</v>
      </c>
      <c r="S5542" s="11"/>
      <c r="T5542" s="6"/>
      <c r="U5542" s="15" t="str">
        <f>HYPERLINK("https://media.infra-m.ru/2239/2239070/cover/2239070.jpg", "Обложка")</f>
        <v>Обложка</v>
      </c>
      <c r="V5542" s="8" t="s">
        <v>4489</v>
      </c>
      <c r="W5542" s="6"/>
      <c r="X5542" s="6"/>
      <c r="Y5542" s="6"/>
      <c r="Z5542" s="6"/>
      <c r="AA5542" s="6" t="s">
        <v>106</v>
      </c>
      <c r="AB5542" s="8"/>
      <c r="AC5542" s="27">
        <v>9785160200408</v>
      </c>
    </row>
    <row r="5543" spans="1:29" s="4" customFormat="1" ht="51.9" customHeight="1" x14ac:dyDescent="0.2">
      <c r="A5543" s="5">
        <v>0</v>
      </c>
      <c r="B5543" s="6" t="s">
        <v>31823</v>
      </c>
      <c r="C5543" s="7">
        <v>1284</v>
      </c>
      <c r="D5543" s="8" t="s">
        <v>31824</v>
      </c>
      <c r="E5543" s="8" t="s">
        <v>31825</v>
      </c>
      <c r="F5543" s="8" t="s">
        <v>31821</v>
      </c>
      <c r="G5543" s="6" t="s">
        <v>118</v>
      </c>
      <c r="H5543" s="6" t="s">
        <v>34</v>
      </c>
      <c r="I5543" s="8" t="s">
        <v>35</v>
      </c>
      <c r="J5543" s="9">
        <v>1</v>
      </c>
      <c r="K5543" s="9">
        <v>226</v>
      </c>
      <c r="L5543" s="9">
        <v>2024</v>
      </c>
      <c r="M5543" s="8" t="s">
        <v>31826</v>
      </c>
      <c r="N5543" s="8" t="s">
        <v>37</v>
      </c>
      <c r="O5543" s="8" t="s">
        <v>233</v>
      </c>
      <c r="P5543" s="6" t="s">
        <v>39</v>
      </c>
      <c r="Q5543" s="8" t="s">
        <v>40</v>
      </c>
      <c r="R5543" s="10" t="s">
        <v>6076</v>
      </c>
      <c r="S5543" s="11"/>
      <c r="T5543" s="6"/>
      <c r="U5543" s="15" t="str">
        <f>HYPERLINK("https://media.infra-m.ru/2090/2090006/cover/2090006.jpg", "Обложка")</f>
        <v>Обложка</v>
      </c>
      <c r="V5543" s="8" t="s">
        <v>4489</v>
      </c>
      <c r="W5543" s="6"/>
      <c r="X5543" s="6"/>
      <c r="Y5543" s="6"/>
      <c r="Z5543" s="6"/>
      <c r="AA5543" s="6" t="s">
        <v>99</v>
      </c>
      <c r="AB5543" s="8"/>
      <c r="AC5543" s="27">
        <v>9785160129808</v>
      </c>
    </row>
    <row r="5544" spans="1:29" s="4" customFormat="1" ht="51.9" customHeight="1" x14ac:dyDescent="0.2">
      <c r="A5544" s="5">
        <v>0</v>
      </c>
      <c r="B5544" s="6" t="s">
        <v>31827</v>
      </c>
      <c r="C5544" s="7">
        <v>1428</v>
      </c>
      <c r="D5544" s="8" t="s">
        <v>31828</v>
      </c>
      <c r="E5544" s="8" t="s">
        <v>31829</v>
      </c>
      <c r="F5544" s="8" t="s">
        <v>31830</v>
      </c>
      <c r="G5544" s="6" t="s">
        <v>118</v>
      </c>
      <c r="H5544" s="6" t="s">
        <v>34</v>
      </c>
      <c r="I5544" s="8" t="s">
        <v>35</v>
      </c>
      <c r="J5544" s="9">
        <v>1</v>
      </c>
      <c r="K5544" s="9">
        <v>238</v>
      </c>
      <c r="L5544" s="9">
        <v>2025</v>
      </c>
      <c r="M5544" s="8" t="s">
        <v>31831</v>
      </c>
      <c r="N5544" s="8" t="s">
        <v>37</v>
      </c>
      <c r="O5544" s="8" t="s">
        <v>136</v>
      </c>
      <c r="P5544" s="6" t="s">
        <v>39</v>
      </c>
      <c r="Q5544" s="8" t="s">
        <v>40</v>
      </c>
      <c r="R5544" s="10" t="s">
        <v>4881</v>
      </c>
      <c r="S5544" s="11"/>
      <c r="T5544" s="6"/>
      <c r="U5544" s="15" t="str">
        <f>HYPERLINK("https://media.infra-m.ru/2187/2187244/cover/2187244.jpg", "Обложка")</f>
        <v>Обложка</v>
      </c>
      <c r="V5544" s="8" t="s">
        <v>1184</v>
      </c>
      <c r="W5544" s="6"/>
      <c r="X5544" s="6"/>
      <c r="Y5544" s="6"/>
      <c r="Z5544" s="6"/>
      <c r="AA5544" s="6" t="s">
        <v>157</v>
      </c>
      <c r="AB5544" s="8"/>
      <c r="AC5544" s="27">
        <v>9785160194318</v>
      </c>
    </row>
    <row r="5545" spans="1:29" s="4" customFormat="1" ht="44.1" customHeight="1" x14ac:dyDescent="0.2">
      <c r="A5545" s="5">
        <v>0</v>
      </c>
      <c r="B5545" s="6" t="s">
        <v>31832</v>
      </c>
      <c r="C5545" s="13">
        <v>696</v>
      </c>
      <c r="D5545" s="8" t="s">
        <v>31833</v>
      </c>
      <c r="E5545" s="8" t="s">
        <v>31834</v>
      </c>
      <c r="F5545" s="8" t="s">
        <v>31835</v>
      </c>
      <c r="G5545" s="6" t="s">
        <v>60</v>
      </c>
      <c r="H5545" s="6" t="s">
        <v>34</v>
      </c>
      <c r="I5545" s="8" t="s">
        <v>457</v>
      </c>
      <c r="J5545" s="9">
        <v>1</v>
      </c>
      <c r="K5545" s="9">
        <v>147</v>
      </c>
      <c r="L5545" s="9">
        <v>2018</v>
      </c>
      <c r="M5545" s="8" t="s">
        <v>31836</v>
      </c>
      <c r="N5545" s="8" t="s">
        <v>37</v>
      </c>
      <c r="O5545" s="8" t="s">
        <v>233</v>
      </c>
      <c r="P5545" s="6" t="s">
        <v>39</v>
      </c>
      <c r="Q5545" s="8" t="s">
        <v>40</v>
      </c>
      <c r="R5545" s="10" t="s">
        <v>23442</v>
      </c>
      <c r="S5545" s="11"/>
      <c r="T5545" s="6" t="s">
        <v>97</v>
      </c>
      <c r="U5545" s="15" t="str">
        <f>HYPERLINK("https://media.infra-m.ru/0902/0902302/cover/902302.jpg", "Обложка")</f>
        <v>Обложка</v>
      </c>
      <c r="V5545" s="8" t="s">
        <v>247</v>
      </c>
      <c r="W5545" s="6"/>
      <c r="X5545" s="6"/>
      <c r="Y5545" s="6"/>
      <c r="Z5545" s="6"/>
      <c r="AA5545" s="6" t="s">
        <v>86</v>
      </c>
      <c r="AB5545" s="8"/>
      <c r="AC5545" s="27">
        <v>9785160122823</v>
      </c>
    </row>
    <row r="5546" spans="1:29" s="4" customFormat="1" ht="42" customHeight="1" x14ac:dyDescent="0.2">
      <c r="A5546" s="5">
        <v>0</v>
      </c>
      <c r="B5546" s="6" t="s">
        <v>31837</v>
      </c>
      <c r="C5546" s="7">
        <v>1380</v>
      </c>
      <c r="D5546" s="8" t="s">
        <v>31838</v>
      </c>
      <c r="E5546" s="8" t="s">
        <v>31839</v>
      </c>
      <c r="F5546" s="8" t="s">
        <v>6484</v>
      </c>
      <c r="G5546" s="6" t="s">
        <v>118</v>
      </c>
      <c r="H5546" s="6" t="s">
        <v>34</v>
      </c>
      <c r="I5546" s="8" t="s">
        <v>35</v>
      </c>
      <c r="J5546" s="9">
        <v>1</v>
      </c>
      <c r="K5546" s="9">
        <v>247</v>
      </c>
      <c r="L5546" s="9">
        <v>2023</v>
      </c>
      <c r="M5546" s="8" t="s">
        <v>31840</v>
      </c>
      <c r="N5546" s="8" t="s">
        <v>243</v>
      </c>
      <c r="O5546" s="8" t="s">
        <v>964</v>
      </c>
      <c r="P5546" s="6" t="s">
        <v>39</v>
      </c>
      <c r="Q5546" s="8" t="s">
        <v>40</v>
      </c>
      <c r="R5546" s="10" t="s">
        <v>31841</v>
      </c>
      <c r="S5546" s="11"/>
      <c r="T5546" s="6"/>
      <c r="U5546" s="15" t="str">
        <f>HYPERLINK("https://media.infra-m.ru/1905/1905222/cover/1905222.jpg", "Обложка")</f>
        <v>Обложка</v>
      </c>
      <c r="V5546" s="8" t="s">
        <v>4943</v>
      </c>
      <c r="W5546" s="6"/>
      <c r="X5546" s="6"/>
      <c r="Y5546" s="6"/>
      <c r="Z5546" s="6"/>
      <c r="AA5546" s="6" t="s">
        <v>99</v>
      </c>
      <c r="AB5546" s="8" t="s">
        <v>493</v>
      </c>
      <c r="AC5546" s="27">
        <v>9785160124643</v>
      </c>
    </row>
    <row r="5547" spans="1:29" s="4" customFormat="1" ht="51.9" customHeight="1" x14ac:dyDescent="0.2">
      <c r="A5547" s="5">
        <v>0</v>
      </c>
      <c r="B5547" s="6" t="s">
        <v>31842</v>
      </c>
      <c r="C5547" s="7">
        <v>1732.8</v>
      </c>
      <c r="D5547" s="8" t="s">
        <v>31843</v>
      </c>
      <c r="E5547" s="8" t="s">
        <v>31844</v>
      </c>
      <c r="F5547" s="8" t="s">
        <v>31845</v>
      </c>
      <c r="G5547" s="6" t="s">
        <v>60</v>
      </c>
      <c r="H5547" s="6" t="s">
        <v>34</v>
      </c>
      <c r="I5547" s="8" t="s">
        <v>1128</v>
      </c>
      <c r="J5547" s="9">
        <v>1</v>
      </c>
      <c r="K5547" s="9">
        <v>263</v>
      </c>
      <c r="L5547" s="9">
        <v>2026</v>
      </c>
      <c r="M5547" s="8" t="s">
        <v>31846</v>
      </c>
      <c r="N5547" s="8" t="s">
        <v>243</v>
      </c>
      <c r="O5547" s="8" t="s">
        <v>1100</v>
      </c>
      <c r="P5547" s="6" t="s">
        <v>51</v>
      </c>
      <c r="Q5547" s="8" t="s">
        <v>52</v>
      </c>
      <c r="R5547" s="10" t="s">
        <v>31847</v>
      </c>
      <c r="S5547" s="11" t="s">
        <v>31848</v>
      </c>
      <c r="T5547" s="6"/>
      <c r="U5547" s="15" t="str">
        <f>HYPERLINK("https://media.infra-m.ru/2234/2234440/cover/2234440.jpg", "Обложка")</f>
        <v>Обложка</v>
      </c>
      <c r="V5547" s="8" t="s">
        <v>1132</v>
      </c>
      <c r="W5547" s="6"/>
      <c r="X5547" s="6"/>
      <c r="Y5547" s="6"/>
      <c r="Z5547" s="6"/>
      <c r="AA5547" s="6" t="s">
        <v>76</v>
      </c>
      <c r="AB5547" s="8"/>
      <c r="AC5547" s="27">
        <v>9785160196268</v>
      </c>
    </row>
    <row r="5548" spans="1:29" s="4" customFormat="1" ht="51.9" customHeight="1" x14ac:dyDescent="0.2">
      <c r="A5548" s="5">
        <v>0</v>
      </c>
      <c r="B5548" s="6" t="s">
        <v>31849</v>
      </c>
      <c r="C5548" s="7">
        <v>2320.8000000000002</v>
      </c>
      <c r="D5548" s="8" t="s">
        <v>31850</v>
      </c>
      <c r="E5548" s="8" t="s">
        <v>31851</v>
      </c>
      <c r="F5548" s="8" t="s">
        <v>31852</v>
      </c>
      <c r="G5548" s="6" t="s">
        <v>118</v>
      </c>
      <c r="H5548" s="6" t="s">
        <v>34</v>
      </c>
      <c r="I5548" s="8" t="s">
        <v>271</v>
      </c>
      <c r="J5548" s="9">
        <v>1</v>
      </c>
      <c r="K5548" s="9">
        <v>352</v>
      </c>
      <c r="L5548" s="9">
        <v>2026</v>
      </c>
      <c r="M5548" s="8" t="s">
        <v>31853</v>
      </c>
      <c r="N5548" s="8" t="s">
        <v>243</v>
      </c>
      <c r="O5548" s="8" t="s">
        <v>1100</v>
      </c>
      <c r="P5548" s="6" t="s">
        <v>306</v>
      </c>
      <c r="Q5548" s="8" t="s">
        <v>52</v>
      </c>
      <c r="R5548" s="10" t="s">
        <v>31854</v>
      </c>
      <c r="S5548" s="11" t="s">
        <v>31855</v>
      </c>
      <c r="T5548" s="6"/>
      <c r="U5548" s="15" t="str">
        <f>HYPERLINK("https://media.infra-m.ru/2224/2224103/cover/2224103.jpg", "Обложка")</f>
        <v>Обложка</v>
      </c>
      <c r="V5548" s="8" t="s">
        <v>1030</v>
      </c>
      <c r="W5548" s="6"/>
      <c r="X5548" s="6"/>
      <c r="Y5548" s="6"/>
      <c r="Z5548" s="6"/>
      <c r="AA5548" s="6" t="s">
        <v>55</v>
      </c>
      <c r="AB5548" s="8"/>
      <c r="AC5548" s="27">
        <v>9785160062402</v>
      </c>
    </row>
    <row r="5549" spans="1:29" s="4" customFormat="1" ht="51.9" customHeight="1" x14ac:dyDescent="0.2">
      <c r="A5549" s="5">
        <v>0</v>
      </c>
      <c r="B5549" s="6" t="s">
        <v>31856</v>
      </c>
      <c r="C5549" s="7">
        <v>1684.8</v>
      </c>
      <c r="D5549" s="8" t="s">
        <v>31857</v>
      </c>
      <c r="E5549" s="8" t="s">
        <v>31858</v>
      </c>
      <c r="F5549" s="8" t="s">
        <v>31859</v>
      </c>
      <c r="G5549" s="6" t="s">
        <v>118</v>
      </c>
      <c r="H5549" s="6" t="s">
        <v>34</v>
      </c>
      <c r="I5549" s="8" t="s">
        <v>253</v>
      </c>
      <c r="J5549" s="9">
        <v>1</v>
      </c>
      <c r="K5549" s="9">
        <v>256</v>
      </c>
      <c r="L5549" s="9">
        <v>2026</v>
      </c>
      <c r="M5549" s="8" t="s">
        <v>31860</v>
      </c>
      <c r="N5549" s="8" t="s">
        <v>243</v>
      </c>
      <c r="O5549" s="8" t="s">
        <v>1100</v>
      </c>
      <c r="P5549" s="6" t="s">
        <v>51</v>
      </c>
      <c r="Q5549" s="8" t="s">
        <v>52</v>
      </c>
      <c r="R5549" s="10" t="s">
        <v>31861</v>
      </c>
      <c r="S5549" s="11" t="s">
        <v>31862</v>
      </c>
      <c r="T5549" s="6"/>
      <c r="U5549" s="15" t="str">
        <f>HYPERLINK("https://media.infra-m.ru/2251/2251065/cover/2251065.jpg", "Обложка")</f>
        <v>Обложка</v>
      </c>
      <c r="V5549" s="8" t="s">
        <v>1030</v>
      </c>
      <c r="W5549" s="6"/>
      <c r="X5549" s="6"/>
      <c r="Y5549" s="6"/>
      <c r="Z5549" s="6"/>
      <c r="AA5549" s="6" t="s">
        <v>248</v>
      </c>
      <c r="AB5549" s="8"/>
      <c r="AC5549" s="27">
        <v>9785160188324</v>
      </c>
    </row>
    <row r="5550" spans="1:29" s="4" customFormat="1" ht="51.9" customHeight="1" x14ac:dyDescent="0.2">
      <c r="A5550" s="5">
        <v>0</v>
      </c>
      <c r="B5550" s="6" t="s">
        <v>31863</v>
      </c>
      <c r="C5550" s="7">
        <v>1504.8</v>
      </c>
      <c r="D5550" s="8" t="s">
        <v>31864</v>
      </c>
      <c r="E5550" s="8" t="s">
        <v>31858</v>
      </c>
      <c r="F5550" s="8" t="s">
        <v>31865</v>
      </c>
      <c r="G5550" s="6" t="s">
        <v>60</v>
      </c>
      <c r="H5550" s="6" t="s">
        <v>34</v>
      </c>
      <c r="I5550" s="8" t="s">
        <v>1128</v>
      </c>
      <c r="J5550" s="9">
        <v>1</v>
      </c>
      <c r="K5550" s="9">
        <v>215</v>
      </c>
      <c r="L5550" s="9">
        <v>2027</v>
      </c>
      <c r="M5550" s="8" t="s">
        <v>31866</v>
      </c>
      <c r="N5550" s="8" t="s">
        <v>243</v>
      </c>
      <c r="O5550" s="8" t="s">
        <v>1100</v>
      </c>
      <c r="P5550" s="6" t="s">
        <v>51</v>
      </c>
      <c r="Q5550" s="8" t="s">
        <v>65</v>
      </c>
      <c r="R5550" s="10" t="s">
        <v>31867</v>
      </c>
      <c r="S5550" s="11" t="s">
        <v>31868</v>
      </c>
      <c r="T5550" s="6"/>
      <c r="U5550" s="15" t="str">
        <f>HYPERLINK("https://media.infra-m.ru/2255/2255035/cover/2255035.jpg", "Обложка")</f>
        <v>Обложка</v>
      </c>
      <c r="V5550" s="8" t="s">
        <v>1132</v>
      </c>
      <c r="W5550" s="6"/>
      <c r="X5550" s="6"/>
      <c r="Y5550" s="6"/>
      <c r="Z5550" s="6"/>
      <c r="AA5550" s="6" t="s">
        <v>76</v>
      </c>
      <c r="AB5550" s="8"/>
      <c r="AC5550" s="27">
        <v>9785160195476</v>
      </c>
    </row>
    <row r="5551" spans="1:29" s="4" customFormat="1" ht="51.9" customHeight="1" x14ac:dyDescent="0.2">
      <c r="A5551" s="5">
        <v>0</v>
      </c>
      <c r="B5551" s="6" t="s">
        <v>31869</v>
      </c>
      <c r="C5551" s="7">
        <v>2404.8000000000002</v>
      </c>
      <c r="D5551" s="8" t="s">
        <v>31870</v>
      </c>
      <c r="E5551" s="8" t="s">
        <v>31871</v>
      </c>
      <c r="F5551" s="8" t="s">
        <v>31872</v>
      </c>
      <c r="G5551" s="6" t="s">
        <v>118</v>
      </c>
      <c r="H5551" s="6" t="s">
        <v>34</v>
      </c>
      <c r="I5551" s="8" t="s">
        <v>271</v>
      </c>
      <c r="J5551" s="9">
        <v>1</v>
      </c>
      <c r="K5551" s="9">
        <v>365</v>
      </c>
      <c r="L5551" s="9">
        <v>2026</v>
      </c>
      <c r="M5551" s="8" t="s">
        <v>31873</v>
      </c>
      <c r="N5551" s="8" t="s">
        <v>243</v>
      </c>
      <c r="O5551" s="8" t="s">
        <v>1100</v>
      </c>
      <c r="P5551" s="6" t="s">
        <v>51</v>
      </c>
      <c r="Q5551" s="8" t="s">
        <v>52</v>
      </c>
      <c r="R5551" s="10" t="s">
        <v>31874</v>
      </c>
      <c r="S5551" s="11" t="s">
        <v>31875</v>
      </c>
      <c r="T5551" s="6"/>
      <c r="U5551" s="15" t="str">
        <f>HYPERLINK("https://media.infra-m.ru/2242/2242901/cover/2242901.jpg", "Обложка")</f>
        <v>Обложка</v>
      </c>
      <c r="V5551" s="8" t="s">
        <v>1030</v>
      </c>
      <c r="W5551" s="6"/>
      <c r="X5551" s="6"/>
      <c r="Y5551" s="6"/>
      <c r="Z5551" s="6"/>
      <c r="AA5551" s="6" t="s">
        <v>779</v>
      </c>
      <c r="AB5551" s="8"/>
      <c r="AC5551" s="27">
        <v>9785160167312</v>
      </c>
    </row>
    <row r="5552" spans="1:29" s="4" customFormat="1" ht="51.9" customHeight="1" x14ac:dyDescent="0.2">
      <c r="A5552" s="5">
        <v>0</v>
      </c>
      <c r="B5552" s="6" t="s">
        <v>31876</v>
      </c>
      <c r="C5552" s="7">
        <v>2500.8000000000002</v>
      </c>
      <c r="D5552" s="8" t="s">
        <v>31877</v>
      </c>
      <c r="E5552" s="8" t="s">
        <v>31878</v>
      </c>
      <c r="F5552" s="8" t="s">
        <v>31879</v>
      </c>
      <c r="G5552" s="6" t="s">
        <v>60</v>
      </c>
      <c r="H5552" s="6" t="s">
        <v>34</v>
      </c>
      <c r="I5552" s="8" t="s">
        <v>271</v>
      </c>
      <c r="J5552" s="9">
        <v>1</v>
      </c>
      <c r="K5552" s="9">
        <v>400</v>
      </c>
      <c r="L5552" s="9">
        <v>2025</v>
      </c>
      <c r="M5552" s="8" t="s">
        <v>31880</v>
      </c>
      <c r="N5552" s="8" t="s">
        <v>243</v>
      </c>
      <c r="O5552" s="8" t="s">
        <v>1100</v>
      </c>
      <c r="P5552" s="6" t="s">
        <v>51</v>
      </c>
      <c r="Q5552" s="8" t="s">
        <v>52</v>
      </c>
      <c r="R5552" s="10" t="s">
        <v>31881</v>
      </c>
      <c r="S5552" s="11" t="s">
        <v>31882</v>
      </c>
      <c r="T5552" s="6"/>
      <c r="U5552" s="15" t="str">
        <f>HYPERLINK("https://media.infra-m.ru/0767/0767839/cover/767839.jpg", "Обложка")</f>
        <v>Обложка</v>
      </c>
      <c r="V5552" s="8" t="s">
        <v>227</v>
      </c>
      <c r="W5552" s="6"/>
      <c r="X5552" s="6"/>
      <c r="Y5552" s="6"/>
      <c r="Z5552" s="6"/>
      <c r="AA5552" s="6" t="s">
        <v>769</v>
      </c>
      <c r="AB5552" s="8"/>
      <c r="AC5552" s="27">
        <v>9785160056777</v>
      </c>
    </row>
    <row r="5553" spans="1:29" s="4" customFormat="1" ht="42" customHeight="1" x14ac:dyDescent="0.2">
      <c r="A5553" s="5">
        <v>0</v>
      </c>
      <c r="B5553" s="6" t="s">
        <v>31883</v>
      </c>
      <c r="C5553" s="13">
        <v>840</v>
      </c>
      <c r="D5553" s="8" t="s">
        <v>31884</v>
      </c>
      <c r="E5553" s="8" t="s">
        <v>31885</v>
      </c>
      <c r="F5553" s="8" t="s">
        <v>4896</v>
      </c>
      <c r="G5553" s="6" t="s">
        <v>33</v>
      </c>
      <c r="H5553" s="6" t="s">
        <v>34</v>
      </c>
      <c r="I5553" s="8" t="s">
        <v>35</v>
      </c>
      <c r="J5553" s="9">
        <v>1</v>
      </c>
      <c r="K5553" s="9">
        <v>121</v>
      </c>
      <c r="L5553" s="9">
        <v>2027</v>
      </c>
      <c r="M5553" s="8" t="s">
        <v>31886</v>
      </c>
      <c r="N5553" s="8" t="s">
        <v>63</v>
      </c>
      <c r="O5553" s="8" t="s">
        <v>64</v>
      </c>
      <c r="P5553" s="6" t="s">
        <v>39</v>
      </c>
      <c r="Q5553" s="8" t="s">
        <v>40</v>
      </c>
      <c r="R5553" s="10" t="s">
        <v>17696</v>
      </c>
      <c r="S5553" s="11"/>
      <c r="T5553" s="6"/>
      <c r="U5553" s="15" t="str">
        <f>HYPERLINK("https://media.infra-m.ru/2270/2270320/cover/2270320.jpg", "Обложка")</f>
        <v>Обложка</v>
      </c>
      <c r="V5553" s="8" t="s">
        <v>156</v>
      </c>
      <c r="W5553" s="6"/>
      <c r="X5553" s="6"/>
      <c r="Y5553" s="6"/>
      <c r="Z5553" s="6"/>
      <c r="AA5553" s="6" t="s">
        <v>1256</v>
      </c>
      <c r="AB5553" s="8"/>
      <c r="AC5553" s="27">
        <v>9785160158860</v>
      </c>
    </row>
    <row r="5554" spans="1:29" s="4" customFormat="1" ht="42" customHeight="1" x14ac:dyDescent="0.2">
      <c r="A5554" s="5">
        <v>0</v>
      </c>
      <c r="B5554" s="6" t="s">
        <v>31887</v>
      </c>
      <c r="C5554" s="7">
        <v>1524</v>
      </c>
      <c r="D5554" s="8" t="s">
        <v>31888</v>
      </c>
      <c r="E5554" s="8" t="s">
        <v>31889</v>
      </c>
      <c r="F5554" s="8" t="s">
        <v>31890</v>
      </c>
      <c r="G5554" s="6" t="s">
        <v>33</v>
      </c>
      <c r="H5554" s="6" t="s">
        <v>34</v>
      </c>
      <c r="I5554" s="8" t="s">
        <v>1081</v>
      </c>
      <c r="J5554" s="9">
        <v>1</v>
      </c>
      <c r="K5554" s="9">
        <v>270</v>
      </c>
      <c r="L5554" s="9">
        <v>2024</v>
      </c>
      <c r="M5554" s="8" t="s">
        <v>31891</v>
      </c>
      <c r="N5554" s="8" t="s">
        <v>63</v>
      </c>
      <c r="O5554" s="8" t="s">
        <v>64</v>
      </c>
      <c r="P5554" s="6" t="s">
        <v>39</v>
      </c>
      <c r="Q5554" s="8" t="s">
        <v>40</v>
      </c>
      <c r="R5554" s="10" t="s">
        <v>31892</v>
      </c>
      <c r="S5554" s="11"/>
      <c r="T5554" s="6"/>
      <c r="U5554" s="15" t="str">
        <f>HYPERLINK("https://media.infra-m.ru/2125/2125173/cover/2125173.jpg", "Обложка")</f>
        <v>Обложка</v>
      </c>
      <c r="V5554" s="8" t="s">
        <v>1083</v>
      </c>
      <c r="W5554" s="6"/>
      <c r="X5554" s="6"/>
      <c r="Y5554" s="6"/>
      <c r="Z5554" s="6"/>
      <c r="AA5554" s="6" t="s">
        <v>76</v>
      </c>
      <c r="AB5554" s="8"/>
      <c r="AC5554" s="27">
        <v>9785160195087</v>
      </c>
    </row>
    <row r="5555" spans="1:29" s="4" customFormat="1" ht="42" customHeight="1" x14ac:dyDescent="0.2">
      <c r="A5555" s="5">
        <v>0</v>
      </c>
      <c r="B5555" s="6" t="s">
        <v>31893</v>
      </c>
      <c r="C5555" s="13">
        <v>664.8</v>
      </c>
      <c r="D5555" s="8" t="s">
        <v>31894</v>
      </c>
      <c r="E5555" s="8" t="s">
        <v>31895</v>
      </c>
      <c r="F5555" s="8" t="s">
        <v>14123</v>
      </c>
      <c r="G5555" s="6" t="s">
        <v>33</v>
      </c>
      <c r="H5555" s="6" t="s">
        <v>34</v>
      </c>
      <c r="I5555" s="8" t="s">
        <v>35</v>
      </c>
      <c r="J5555" s="9">
        <v>1</v>
      </c>
      <c r="K5555" s="9">
        <v>100</v>
      </c>
      <c r="L5555" s="9">
        <v>2026</v>
      </c>
      <c r="M5555" s="8" t="s">
        <v>31896</v>
      </c>
      <c r="N5555" s="8" t="s">
        <v>63</v>
      </c>
      <c r="O5555" s="8" t="s">
        <v>64</v>
      </c>
      <c r="P5555" s="6" t="s">
        <v>39</v>
      </c>
      <c r="Q5555" s="8" t="s">
        <v>40</v>
      </c>
      <c r="R5555" s="10" t="s">
        <v>31897</v>
      </c>
      <c r="S5555" s="11"/>
      <c r="T5555" s="6"/>
      <c r="U5555" s="15" t="str">
        <f>HYPERLINK("https://media.infra-m.ru/2219/2219340/cover/2219340.jpg", "Обложка")</f>
        <v>Обложка</v>
      </c>
      <c r="V5555" s="8" t="s">
        <v>54</v>
      </c>
      <c r="W5555" s="6"/>
      <c r="X5555" s="6"/>
      <c r="Y5555" s="6"/>
      <c r="Z5555" s="6"/>
      <c r="AA5555" s="6" t="s">
        <v>55</v>
      </c>
      <c r="AB5555" s="8"/>
      <c r="AC5555" s="27">
        <v>9785160067735</v>
      </c>
    </row>
    <row r="5556" spans="1:29" s="4" customFormat="1" ht="51.9" customHeight="1" x14ac:dyDescent="0.2">
      <c r="A5556" s="5">
        <v>0</v>
      </c>
      <c r="B5556" s="6" t="s">
        <v>31898</v>
      </c>
      <c r="C5556" s="7">
        <v>1008</v>
      </c>
      <c r="D5556" s="8" t="s">
        <v>31899</v>
      </c>
      <c r="E5556" s="8" t="s">
        <v>31900</v>
      </c>
      <c r="F5556" s="8" t="s">
        <v>31901</v>
      </c>
      <c r="G5556" s="6" t="s">
        <v>33</v>
      </c>
      <c r="H5556" s="6" t="s">
        <v>134</v>
      </c>
      <c r="I5556" s="8"/>
      <c r="J5556" s="9">
        <v>1</v>
      </c>
      <c r="K5556" s="9">
        <v>144</v>
      </c>
      <c r="L5556" s="9">
        <v>2027</v>
      </c>
      <c r="M5556" s="8" t="s">
        <v>31902</v>
      </c>
      <c r="N5556" s="8" t="s">
        <v>37</v>
      </c>
      <c r="O5556" s="8" t="s">
        <v>136</v>
      </c>
      <c r="P5556" s="6" t="s">
        <v>39</v>
      </c>
      <c r="Q5556" s="8" t="s">
        <v>40</v>
      </c>
      <c r="R5556" s="10" t="s">
        <v>31903</v>
      </c>
      <c r="S5556" s="11"/>
      <c r="T5556" s="6"/>
      <c r="U5556" s="15" t="str">
        <f>HYPERLINK("https://media.infra-m.ru/2270/2270325/cover/2270325.jpg", "Обложка")</f>
        <v>Обложка</v>
      </c>
      <c r="V5556" s="8" t="s">
        <v>1184</v>
      </c>
      <c r="W5556" s="6"/>
      <c r="X5556" s="6"/>
      <c r="Y5556" s="6"/>
      <c r="Z5556" s="6"/>
      <c r="AA5556" s="6" t="s">
        <v>779</v>
      </c>
      <c r="AB5556" s="8"/>
      <c r="AC5556" s="27">
        <v>9785917687391</v>
      </c>
    </row>
    <row r="5557" spans="1:29" s="4" customFormat="1" ht="51.9" customHeight="1" x14ac:dyDescent="0.2">
      <c r="A5557" s="5">
        <v>0</v>
      </c>
      <c r="B5557" s="6" t="s">
        <v>31904</v>
      </c>
      <c r="C5557" s="7">
        <v>1188</v>
      </c>
      <c r="D5557" s="8" t="s">
        <v>31905</v>
      </c>
      <c r="E5557" s="8" t="s">
        <v>31906</v>
      </c>
      <c r="F5557" s="8" t="s">
        <v>26001</v>
      </c>
      <c r="G5557" s="6" t="s">
        <v>60</v>
      </c>
      <c r="H5557" s="6" t="s">
        <v>134</v>
      </c>
      <c r="I5557" s="8"/>
      <c r="J5557" s="9">
        <v>1</v>
      </c>
      <c r="K5557" s="9">
        <v>176</v>
      </c>
      <c r="L5557" s="9">
        <v>2024</v>
      </c>
      <c r="M5557" s="8" t="s">
        <v>31907</v>
      </c>
      <c r="N5557" s="8" t="s">
        <v>37</v>
      </c>
      <c r="O5557" s="8" t="s">
        <v>136</v>
      </c>
      <c r="P5557" s="6" t="s">
        <v>1689</v>
      </c>
      <c r="Q5557" s="8" t="s">
        <v>40</v>
      </c>
      <c r="R5557" s="10" t="s">
        <v>31908</v>
      </c>
      <c r="S5557" s="11"/>
      <c r="T5557" s="6"/>
      <c r="U5557" s="15" t="str">
        <f>HYPERLINK("https://media.infra-m.ru/2137/2137747/cover/2137747.jpg", "Обложка")</f>
        <v>Обложка</v>
      </c>
      <c r="V5557" s="8" t="s">
        <v>1069</v>
      </c>
      <c r="W5557" s="6"/>
      <c r="X5557" s="6"/>
      <c r="Y5557" s="6"/>
      <c r="Z5557" s="6"/>
      <c r="AA5557" s="6" t="s">
        <v>76</v>
      </c>
      <c r="AB5557" s="8"/>
      <c r="AC5557" s="27">
        <v>9785001563563</v>
      </c>
    </row>
    <row r="5558" spans="1:29" s="4" customFormat="1" ht="44.1" customHeight="1" x14ac:dyDescent="0.2">
      <c r="A5558" s="5">
        <v>0</v>
      </c>
      <c r="B5558" s="6" t="s">
        <v>31909</v>
      </c>
      <c r="C5558" s="7">
        <v>1492.8</v>
      </c>
      <c r="D5558" s="8" t="s">
        <v>31910</v>
      </c>
      <c r="E5558" s="8" t="s">
        <v>31911</v>
      </c>
      <c r="F5558" s="8" t="s">
        <v>31912</v>
      </c>
      <c r="G5558" s="6" t="s">
        <v>33</v>
      </c>
      <c r="H5558" s="6" t="s">
        <v>134</v>
      </c>
      <c r="I5558" s="8"/>
      <c r="J5558" s="9">
        <v>1</v>
      </c>
      <c r="K5558" s="9">
        <v>240</v>
      </c>
      <c r="L5558" s="9">
        <v>2026</v>
      </c>
      <c r="M5558" s="8" t="s">
        <v>31913</v>
      </c>
      <c r="N5558" s="8" t="s">
        <v>37</v>
      </c>
      <c r="O5558" s="8" t="s">
        <v>136</v>
      </c>
      <c r="P5558" s="6" t="s">
        <v>39</v>
      </c>
      <c r="Q5558" s="8" t="s">
        <v>40</v>
      </c>
      <c r="R5558" s="10" t="s">
        <v>6217</v>
      </c>
      <c r="S5558" s="11"/>
      <c r="T5558" s="6"/>
      <c r="U5558" s="15" t="str">
        <f>HYPERLINK("https://media.infra-m.ru/2215/2215241/cover/2215241.jpg", "Обложка")</f>
        <v>Обложка</v>
      </c>
      <c r="V5558" s="8" t="s">
        <v>1069</v>
      </c>
      <c r="W5558" s="6"/>
      <c r="X5558" s="6"/>
      <c r="Y5558" s="6"/>
      <c r="Z5558" s="6"/>
      <c r="AA5558" s="6" t="s">
        <v>561</v>
      </c>
      <c r="AB5558" s="8"/>
      <c r="AC5558" s="27">
        <v>9785160036441</v>
      </c>
    </row>
    <row r="5559" spans="1:29" s="4" customFormat="1" ht="44.1" customHeight="1" x14ac:dyDescent="0.2">
      <c r="A5559" s="5">
        <v>0</v>
      </c>
      <c r="B5559" s="6" t="s">
        <v>31914</v>
      </c>
      <c r="C5559" s="7">
        <v>1032</v>
      </c>
      <c r="D5559" s="8" t="s">
        <v>31915</v>
      </c>
      <c r="E5559" s="8" t="s">
        <v>31916</v>
      </c>
      <c r="F5559" s="8" t="s">
        <v>26001</v>
      </c>
      <c r="G5559" s="6" t="s">
        <v>118</v>
      </c>
      <c r="H5559" s="6" t="s">
        <v>134</v>
      </c>
      <c r="I5559" s="8"/>
      <c r="J5559" s="9">
        <v>1</v>
      </c>
      <c r="K5559" s="9">
        <v>148</v>
      </c>
      <c r="L5559" s="9">
        <v>2027</v>
      </c>
      <c r="M5559" s="8" t="s">
        <v>31917</v>
      </c>
      <c r="N5559" s="8" t="s">
        <v>37</v>
      </c>
      <c r="O5559" s="8" t="s">
        <v>136</v>
      </c>
      <c r="P5559" s="6" t="s">
        <v>39</v>
      </c>
      <c r="Q5559" s="8" t="s">
        <v>40</v>
      </c>
      <c r="R5559" s="10" t="s">
        <v>31918</v>
      </c>
      <c r="S5559" s="11"/>
      <c r="T5559" s="6"/>
      <c r="U5559" s="15" t="str">
        <f>HYPERLINK("https://media.infra-m.ru/2266/2266103/cover/2266103.jpg", "Обложка")</f>
        <v>Обложка</v>
      </c>
      <c r="V5559" s="8" t="s">
        <v>1069</v>
      </c>
      <c r="W5559" s="6"/>
      <c r="X5559" s="6"/>
      <c r="Y5559" s="6"/>
      <c r="Z5559" s="6"/>
      <c r="AA5559" s="6" t="s">
        <v>86</v>
      </c>
      <c r="AB5559" s="8"/>
      <c r="AC5559" s="27">
        <v>9785917689173</v>
      </c>
    </row>
    <row r="5560" spans="1:29" s="4" customFormat="1" ht="51.9" customHeight="1" x14ac:dyDescent="0.2">
      <c r="A5560" s="5">
        <v>0</v>
      </c>
      <c r="B5560" s="6" t="s">
        <v>31919</v>
      </c>
      <c r="C5560" s="7">
        <v>3352.8</v>
      </c>
      <c r="D5560" s="8" t="s">
        <v>31920</v>
      </c>
      <c r="E5560" s="8" t="s">
        <v>31921</v>
      </c>
      <c r="F5560" s="8" t="s">
        <v>31922</v>
      </c>
      <c r="G5560" s="6" t="s">
        <v>60</v>
      </c>
      <c r="H5560" s="6" t="s">
        <v>134</v>
      </c>
      <c r="I5560" s="8"/>
      <c r="J5560" s="9">
        <v>1</v>
      </c>
      <c r="K5560" s="9">
        <v>420</v>
      </c>
      <c r="L5560" s="9">
        <v>2027</v>
      </c>
      <c r="M5560" s="8" t="s">
        <v>31923</v>
      </c>
      <c r="N5560" s="8" t="s">
        <v>37</v>
      </c>
      <c r="O5560" s="8" t="s">
        <v>136</v>
      </c>
      <c r="P5560" s="6" t="s">
        <v>39</v>
      </c>
      <c r="Q5560" s="8" t="s">
        <v>3587</v>
      </c>
      <c r="R5560" s="10" t="s">
        <v>4348</v>
      </c>
      <c r="S5560" s="11"/>
      <c r="T5560" s="6"/>
      <c r="U5560" s="15" t="str">
        <f>HYPERLINK("https://media.infra-m.ru/2262/2262531/cover/2262531.jpg", "Обложка")</f>
        <v>Обложка</v>
      </c>
      <c r="V5560" s="8" t="s">
        <v>6114</v>
      </c>
      <c r="W5560" s="6"/>
      <c r="X5560" s="6"/>
      <c r="Y5560" s="6"/>
      <c r="Z5560" s="6"/>
      <c r="AA5560" s="6" t="s">
        <v>68</v>
      </c>
      <c r="AB5560" s="8"/>
      <c r="AC5560" s="27">
        <v>9785001564201</v>
      </c>
    </row>
    <row r="5561" spans="1:29" s="4" customFormat="1" ht="44.1" customHeight="1" x14ac:dyDescent="0.2">
      <c r="A5561" s="5">
        <v>0</v>
      </c>
      <c r="B5561" s="6" t="s">
        <v>31924</v>
      </c>
      <c r="C5561" s="7">
        <v>2100</v>
      </c>
      <c r="D5561" s="8" t="s">
        <v>31925</v>
      </c>
      <c r="E5561" s="8" t="s">
        <v>31926</v>
      </c>
      <c r="F5561" s="8" t="s">
        <v>31927</v>
      </c>
      <c r="G5561" s="6" t="s">
        <v>118</v>
      </c>
      <c r="H5561" s="6" t="s">
        <v>134</v>
      </c>
      <c r="I5561" s="8"/>
      <c r="J5561" s="9">
        <v>1</v>
      </c>
      <c r="K5561" s="9">
        <v>448</v>
      </c>
      <c r="L5561" s="9">
        <v>2022</v>
      </c>
      <c r="M5561" s="8" t="s">
        <v>31928</v>
      </c>
      <c r="N5561" s="8" t="s">
        <v>37</v>
      </c>
      <c r="O5561" s="8" t="s">
        <v>136</v>
      </c>
      <c r="P5561" s="6" t="s">
        <v>39</v>
      </c>
      <c r="Q5561" s="8" t="s">
        <v>40</v>
      </c>
      <c r="R5561" s="10" t="s">
        <v>1955</v>
      </c>
      <c r="S5561" s="11"/>
      <c r="T5561" s="6"/>
      <c r="U5561" s="15" t="str">
        <f>HYPERLINK("https://media.infra-m.ru/1864/1864968/cover/1864968.jpg", "Обложка")</f>
        <v>Обложка</v>
      </c>
      <c r="V5561" s="8" t="s">
        <v>1069</v>
      </c>
      <c r="W5561" s="6"/>
      <c r="X5561" s="6"/>
      <c r="Y5561" s="6"/>
      <c r="Z5561" s="6"/>
      <c r="AA5561" s="6" t="s">
        <v>430</v>
      </c>
      <c r="AB5561" s="8"/>
      <c r="AC5561" s="27">
        <v>9785001561804</v>
      </c>
    </row>
    <row r="5562" spans="1:29" s="4" customFormat="1" ht="51.9" customHeight="1" x14ac:dyDescent="0.2">
      <c r="A5562" s="5">
        <v>0</v>
      </c>
      <c r="B5562" s="6" t="s">
        <v>31929</v>
      </c>
      <c r="C5562" s="7">
        <v>3304.8</v>
      </c>
      <c r="D5562" s="8" t="s">
        <v>31930</v>
      </c>
      <c r="E5562" s="8" t="s">
        <v>31931</v>
      </c>
      <c r="F5562" s="8" t="s">
        <v>31932</v>
      </c>
      <c r="G5562" s="6" t="s">
        <v>118</v>
      </c>
      <c r="H5562" s="6" t="s">
        <v>134</v>
      </c>
      <c r="I5562" s="8"/>
      <c r="J5562" s="9">
        <v>1</v>
      </c>
      <c r="K5562" s="9">
        <v>512</v>
      </c>
      <c r="L5562" s="9">
        <v>2026</v>
      </c>
      <c r="M5562" s="8" t="s">
        <v>31933</v>
      </c>
      <c r="N5562" s="8" t="s">
        <v>37</v>
      </c>
      <c r="O5562" s="8" t="s">
        <v>136</v>
      </c>
      <c r="P5562" s="6" t="s">
        <v>306</v>
      </c>
      <c r="Q5562" s="8" t="s">
        <v>52</v>
      </c>
      <c r="R5562" s="10" t="s">
        <v>31934</v>
      </c>
      <c r="S5562" s="11"/>
      <c r="T5562" s="6"/>
      <c r="U5562" s="15" t="str">
        <f>HYPERLINK("https://media.infra-m.ru/2244/2244185/cover/2244185.jpg", "Обложка")</f>
        <v>Обложка</v>
      </c>
      <c r="V5562" s="8" t="s">
        <v>1069</v>
      </c>
      <c r="W5562" s="6"/>
      <c r="X5562" s="6"/>
      <c r="Y5562" s="6"/>
      <c r="Z5562" s="6"/>
      <c r="AA5562" s="6" t="s">
        <v>1123</v>
      </c>
      <c r="AB5562" s="8"/>
      <c r="AC5562" s="27">
        <v>9785917685786</v>
      </c>
    </row>
    <row r="5563" spans="1:29" s="4" customFormat="1" ht="51.9" customHeight="1" x14ac:dyDescent="0.2">
      <c r="A5563" s="5">
        <v>0</v>
      </c>
      <c r="B5563" s="6" t="s">
        <v>31935</v>
      </c>
      <c r="C5563" s="13">
        <v>828</v>
      </c>
      <c r="D5563" s="8" t="s">
        <v>31936</v>
      </c>
      <c r="E5563" s="8" t="s">
        <v>31937</v>
      </c>
      <c r="F5563" s="8" t="s">
        <v>19961</v>
      </c>
      <c r="G5563" s="6" t="s">
        <v>118</v>
      </c>
      <c r="H5563" s="6" t="s">
        <v>313</v>
      </c>
      <c r="I5563" s="8" t="s">
        <v>253</v>
      </c>
      <c r="J5563" s="9">
        <v>1</v>
      </c>
      <c r="K5563" s="9">
        <v>175</v>
      </c>
      <c r="L5563" s="9">
        <v>2021</v>
      </c>
      <c r="M5563" s="8" t="s">
        <v>31938</v>
      </c>
      <c r="N5563" s="8" t="s">
        <v>37</v>
      </c>
      <c r="O5563" s="8" t="s">
        <v>136</v>
      </c>
      <c r="P5563" s="6" t="s">
        <v>51</v>
      </c>
      <c r="Q5563" s="8" t="s">
        <v>52</v>
      </c>
      <c r="R5563" s="10" t="s">
        <v>10936</v>
      </c>
      <c r="S5563" s="11" t="s">
        <v>19967</v>
      </c>
      <c r="T5563" s="6"/>
      <c r="U5563" s="15" t="str">
        <f>HYPERLINK("https://media.infra-m.ru/1639/1639816/cover/1639816.jpg", "Обложка")</f>
        <v>Обложка</v>
      </c>
      <c r="V5563" s="8" t="s">
        <v>3735</v>
      </c>
      <c r="W5563" s="6"/>
      <c r="X5563" s="6"/>
      <c r="Y5563" s="6"/>
      <c r="Z5563" s="6"/>
      <c r="AA5563" s="6" t="s">
        <v>360</v>
      </c>
      <c r="AB5563" s="8"/>
      <c r="AC5563" s="27">
        <v>9785369015032</v>
      </c>
    </row>
    <row r="5564" spans="1:29" s="4" customFormat="1" ht="51.9" customHeight="1" x14ac:dyDescent="0.2">
      <c r="A5564" s="5">
        <v>0</v>
      </c>
      <c r="B5564" s="6" t="s">
        <v>31939</v>
      </c>
      <c r="C5564" s="7">
        <v>1104</v>
      </c>
      <c r="D5564" s="8" t="s">
        <v>31940</v>
      </c>
      <c r="E5564" s="8" t="s">
        <v>31931</v>
      </c>
      <c r="F5564" s="8" t="s">
        <v>19961</v>
      </c>
      <c r="G5564" s="6" t="s">
        <v>118</v>
      </c>
      <c r="H5564" s="6" t="s">
        <v>313</v>
      </c>
      <c r="I5564" s="8" t="s">
        <v>253</v>
      </c>
      <c r="J5564" s="9">
        <v>1</v>
      </c>
      <c r="K5564" s="9">
        <v>176</v>
      </c>
      <c r="L5564" s="9">
        <v>2026</v>
      </c>
      <c r="M5564" s="8" t="s">
        <v>31941</v>
      </c>
      <c r="N5564" s="8" t="s">
        <v>37</v>
      </c>
      <c r="O5564" s="8" t="s">
        <v>136</v>
      </c>
      <c r="P5564" s="6" t="s">
        <v>51</v>
      </c>
      <c r="Q5564" s="8" t="s">
        <v>52</v>
      </c>
      <c r="R5564" s="10" t="s">
        <v>10936</v>
      </c>
      <c r="S5564" s="11"/>
      <c r="T5564" s="6"/>
      <c r="U5564" s="15" t="str">
        <f>HYPERLINK("https://media.infra-m.ru/2206/2206846/cover/2206846.jpg", "Обложка")</f>
        <v>Обложка</v>
      </c>
      <c r="V5564" s="8" t="s">
        <v>3735</v>
      </c>
      <c r="W5564" s="6"/>
      <c r="X5564" s="6"/>
      <c r="Y5564" s="6"/>
      <c r="Z5564" s="6"/>
      <c r="AA5564" s="6" t="s">
        <v>3189</v>
      </c>
      <c r="AB5564" s="8"/>
      <c r="AC5564" s="27">
        <v>9785369018781</v>
      </c>
    </row>
    <row r="5565" spans="1:29" s="4" customFormat="1" ht="51.9" customHeight="1" x14ac:dyDescent="0.2">
      <c r="A5565" s="5">
        <v>0</v>
      </c>
      <c r="B5565" s="6" t="s">
        <v>31942</v>
      </c>
      <c r="C5565" s="7">
        <v>1056</v>
      </c>
      <c r="D5565" s="8" t="s">
        <v>31943</v>
      </c>
      <c r="E5565" s="8" t="s">
        <v>31944</v>
      </c>
      <c r="F5565" s="8" t="s">
        <v>31945</v>
      </c>
      <c r="G5565" s="6" t="s">
        <v>33</v>
      </c>
      <c r="H5565" s="6" t="s">
        <v>34</v>
      </c>
      <c r="I5565" s="8" t="s">
        <v>35</v>
      </c>
      <c r="J5565" s="9">
        <v>1</v>
      </c>
      <c r="K5565" s="9">
        <v>159</v>
      </c>
      <c r="L5565" s="9">
        <v>2026</v>
      </c>
      <c r="M5565" s="8" t="s">
        <v>31946</v>
      </c>
      <c r="N5565" s="8" t="s">
        <v>37</v>
      </c>
      <c r="O5565" s="8" t="s">
        <v>38</v>
      </c>
      <c r="P5565" s="6" t="s">
        <v>39</v>
      </c>
      <c r="Q5565" s="8" t="s">
        <v>40</v>
      </c>
      <c r="R5565" s="10" t="s">
        <v>31947</v>
      </c>
      <c r="S5565" s="11"/>
      <c r="T5565" s="6"/>
      <c r="U5565" s="15" t="str">
        <f>HYPERLINK("https://media.infra-m.ru/2237/2237110/cover/2237110.jpg", "Обложка")</f>
        <v>Обложка</v>
      </c>
      <c r="V5565" s="8" t="s">
        <v>31948</v>
      </c>
      <c r="W5565" s="6"/>
      <c r="X5565" s="6"/>
      <c r="Y5565" s="6"/>
      <c r="Z5565" s="6"/>
      <c r="AA5565" s="6" t="s">
        <v>430</v>
      </c>
      <c r="AB5565" s="8"/>
      <c r="AC5565" s="27">
        <v>9785160166551</v>
      </c>
    </row>
    <row r="5566" spans="1:29" s="4" customFormat="1" ht="42" customHeight="1" x14ac:dyDescent="0.2">
      <c r="A5566" s="5">
        <v>0</v>
      </c>
      <c r="B5566" s="6" t="s">
        <v>31949</v>
      </c>
      <c r="C5566" s="13">
        <v>472.8</v>
      </c>
      <c r="D5566" s="8" t="s">
        <v>31950</v>
      </c>
      <c r="E5566" s="8" t="s">
        <v>31951</v>
      </c>
      <c r="F5566" s="8" t="s">
        <v>6770</v>
      </c>
      <c r="G5566" s="6" t="s">
        <v>6771</v>
      </c>
      <c r="H5566" s="6" t="s">
        <v>34</v>
      </c>
      <c r="I5566" s="8" t="s">
        <v>6772</v>
      </c>
      <c r="J5566" s="9">
        <v>1</v>
      </c>
      <c r="K5566" s="9">
        <v>49</v>
      </c>
      <c r="L5566" s="9">
        <v>2026</v>
      </c>
      <c r="M5566" s="8" t="s">
        <v>31952</v>
      </c>
      <c r="N5566" s="8" t="s">
        <v>243</v>
      </c>
      <c r="O5566" s="8" t="s">
        <v>798</v>
      </c>
      <c r="P5566" s="6" t="s">
        <v>23718</v>
      </c>
      <c r="Q5566" s="8" t="s">
        <v>40</v>
      </c>
      <c r="R5566" s="10" t="s">
        <v>19521</v>
      </c>
      <c r="S5566" s="11"/>
      <c r="T5566" s="6"/>
      <c r="U5566" s="15" t="str">
        <f>HYPERLINK("https://media.infra-m.ru/2241/2241352/cover/2241352.jpg", "Обложка")</f>
        <v>Обложка</v>
      </c>
      <c r="V5566" s="8"/>
      <c r="W5566" s="6"/>
      <c r="X5566" s="6"/>
      <c r="Y5566" s="6"/>
      <c r="Z5566" s="6"/>
      <c r="AA5566" s="6" t="s">
        <v>896</v>
      </c>
      <c r="AB5566" s="8"/>
      <c r="AC5566" s="27">
        <v>9785160129259</v>
      </c>
    </row>
    <row r="5567" spans="1:29" s="4" customFormat="1" ht="42" customHeight="1" x14ac:dyDescent="0.2">
      <c r="A5567" s="5">
        <v>0</v>
      </c>
      <c r="B5567" s="6" t="s">
        <v>31953</v>
      </c>
      <c r="C5567" s="13">
        <v>252</v>
      </c>
      <c r="D5567" s="8" t="s">
        <v>31954</v>
      </c>
      <c r="E5567" s="8" t="s">
        <v>31955</v>
      </c>
      <c r="F5567" s="8" t="s">
        <v>6770</v>
      </c>
      <c r="G5567" s="6" t="s">
        <v>6771</v>
      </c>
      <c r="H5567" s="6" t="s">
        <v>34</v>
      </c>
      <c r="I5567" s="8" t="s">
        <v>6772</v>
      </c>
      <c r="J5567" s="9">
        <v>1</v>
      </c>
      <c r="K5567" s="9">
        <v>44</v>
      </c>
      <c r="L5567" s="9">
        <v>2019</v>
      </c>
      <c r="M5567" s="8" t="s">
        <v>31952</v>
      </c>
      <c r="N5567" s="8" t="s">
        <v>243</v>
      </c>
      <c r="O5567" s="8" t="s">
        <v>798</v>
      </c>
      <c r="P5567" s="6" t="s">
        <v>23718</v>
      </c>
      <c r="Q5567" s="8" t="s">
        <v>40</v>
      </c>
      <c r="R5567" s="10" t="s">
        <v>19521</v>
      </c>
      <c r="S5567" s="11"/>
      <c r="T5567" s="6"/>
      <c r="U5567" s="15" t="str">
        <f>HYPERLINK("https://media.infra-m.ru/1008/1008536/cover/1008536.jpg", "Обложка")</f>
        <v>Обложка</v>
      </c>
      <c r="V5567" s="8"/>
      <c r="W5567" s="6"/>
      <c r="X5567" s="6"/>
      <c r="Y5567" s="6"/>
      <c r="Z5567" s="6"/>
      <c r="AA5567" s="6" t="s">
        <v>99</v>
      </c>
      <c r="AB5567" s="8"/>
      <c r="AC5567" s="27">
        <v>9785160129259</v>
      </c>
    </row>
    <row r="5568" spans="1:29" s="4" customFormat="1" ht="51.9" customHeight="1" x14ac:dyDescent="0.2">
      <c r="A5568" s="5">
        <v>0</v>
      </c>
      <c r="B5568" s="6" t="s">
        <v>31956</v>
      </c>
      <c r="C5568" s="7">
        <v>2124</v>
      </c>
      <c r="D5568" s="8" t="s">
        <v>31957</v>
      </c>
      <c r="E5568" s="8" t="s">
        <v>31958</v>
      </c>
      <c r="F5568" s="8"/>
      <c r="G5568" s="6" t="s">
        <v>118</v>
      </c>
      <c r="H5568" s="6" t="s">
        <v>34</v>
      </c>
      <c r="I5568" s="8" t="s">
        <v>6772</v>
      </c>
      <c r="J5568" s="9">
        <v>1</v>
      </c>
      <c r="K5568" s="9">
        <v>304</v>
      </c>
      <c r="L5568" s="9">
        <v>2027</v>
      </c>
      <c r="M5568" s="8" t="s">
        <v>31959</v>
      </c>
      <c r="N5568" s="8" t="s">
        <v>37</v>
      </c>
      <c r="O5568" s="8" t="s">
        <v>136</v>
      </c>
      <c r="P5568" s="6" t="s">
        <v>23718</v>
      </c>
      <c r="Q5568" s="8" t="s">
        <v>40</v>
      </c>
      <c r="R5568" s="10" t="s">
        <v>31960</v>
      </c>
      <c r="S5568" s="11"/>
      <c r="T5568" s="6"/>
      <c r="U5568" s="15" t="str">
        <f>HYPERLINK("https://media.infra-m.ru/2238/2238260/cover/2238260.jpg", "Обложка")</f>
        <v>Обложка</v>
      </c>
      <c r="V5568" s="8"/>
      <c r="W5568" s="6" t="s">
        <v>649</v>
      </c>
      <c r="X5568" s="6"/>
      <c r="Y5568" s="6"/>
      <c r="Z5568" s="6"/>
      <c r="AA5568" s="6" t="s">
        <v>24740</v>
      </c>
      <c r="AB5568" s="8"/>
      <c r="AC5568" s="27">
        <v>9785160222882</v>
      </c>
    </row>
    <row r="5569" spans="1:29" s="4" customFormat="1" ht="51.9" customHeight="1" x14ac:dyDescent="0.2">
      <c r="A5569" s="5">
        <v>0</v>
      </c>
      <c r="B5569" s="6" t="s">
        <v>31961</v>
      </c>
      <c r="C5569" s="7">
        <v>1956</v>
      </c>
      <c r="D5569" s="8" t="s">
        <v>31962</v>
      </c>
      <c r="E5569" s="8" t="s">
        <v>31963</v>
      </c>
      <c r="F5569" s="8" t="s">
        <v>6770</v>
      </c>
      <c r="G5569" s="6" t="s">
        <v>118</v>
      </c>
      <c r="H5569" s="6" t="s">
        <v>34</v>
      </c>
      <c r="I5569" s="8" t="s">
        <v>6772</v>
      </c>
      <c r="J5569" s="9">
        <v>1</v>
      </c>
      <c r="K5569" s="9">
        <v>296</v>
      </c>
      <c r="L5569" s="9">
        <v>2024</v>
      </c>
      <c r="M5569" s="8" t="s">
        <v>31964</v>
      </c>
      <c r="N5569" s="8" t="s">
        <v>37</v>
      </c>
      <c r="O5569" s="8" t="s">
        <v>136</v>
      </c>
      <c r="P5569" s="6" t="s">
        <v>23718</v>
      </c>
      <c r="Q5569" s="8" t="s">
        <v>40</v>
      </c>
      <c r="R5569" s="10" t="s">
        <v>31960</v>
      </c>
      <c r="S5569" s="11"/>
      <c r="T5569" s="6"/>
      <c r="U5569" s="15" t="str">
        <f>HYPERLINK("https://media.infra-m.ru/2236/2236144/cover/2236144.jpg", "Обложка")</f>
        <v>Обложка</v>
      </c>
      <c r="V5569" s="8"/>
      <c r="W5569" s="6"/>
      <c r="X5569" s="6"/>
      <c r="Y5569" s="6"/>
      <c r="Z5569" s="6"/>
      <c r="AA5569" s="6" t="s">
        <v>106</v>
      </c>
      <c r="AB5569" s="8"/>
      <c r="AC5569" s="27">
        <v>9785160200293</v>
      </c>
    </row>
    <row r="5570" spans="1:29" s="4" customFormat="1" ht="51.9" customHeight="1" x14ac:dyDescent="0.2">
      <c r="A5570" s="5">
        <v>0</v>
      </c>
      <c r="B5570" s="6" t="s">
        <v>31965</v>
      </c>
      <c r="C5570" s="7">
        <v>1560</v>
      </c>
      <c r="D5570" s="8" t="s">
        <v>31966</v>
      </c>
      <c r="E5570" s="8" t="s">
        <v>31967</v>
      </c>
      <c r="F5570" s="8" t="s">
        <v>6770</v>
      </c>
      <c r="G5570" s="6" t="s">
        <v>118</v>
      </c>
      <c r="H5570" s="6" t="s">
        <v>34</v>
      </c>
      <c r="I5570" s="8" t="s">
        <v>6772</v>
      </c>
      <c r="J5570" s="9">
        <v>1</v>
      </c>
      <c r="K5570" s="9">
        <v>289</v>
      </c>
      <c r="L5570" s="9">
        <v>2023</v>
      </c>
      <c r="M5570" s="8" t="s">
        <v>31968</v>
      </c>
      <c r="N5570" s="8" t="s">
        <v>37</v>
      </c>
      <c r="O5570" s="8" t="s">
        <v>136</v>
      </c>
      <c r="P5570" s="6" t="s">
        <v>23718</v>
      </c>
      <c r="Q5570" s="8" t="s">
        <v>40</v>
      </c>
      <c r="R5570" s="10" t="s">
        <v>31960</v>
      </c>
      <c r="S5570" s="11"/>
      <c r="T5570" s="6"/>
      <c r="U5570" s="15" t="str">
        <f>HYPERLINK("https://media.infra-m.ru/2050/2050500/cover/2050500.jpg", "Обложка")</f>
        <v>Обложка</v>
      </c>
      <c r="V5570" s="8"/>
      <c r="W5570" s="6"/>
      <c r="X5570" s="6"/>
      <c r="Y5570" s="6"/>
      <c r="Z5570" s="6"/>
      <c r="AA5570" s="6" t="s">
        <v>157</v>
      </c>
      <c r="AB5570" s="8"/>
      <c r="AC5570" s="27">
        <v>9785160187327</v>
      </c>
    </row>
    <row r="5571" spans="1:29" s="4" customFormat="1" ht="51.9" customHeight="1" x14ac:dyDescent="0.2">
      <c r="A5571" s="5">
        <v>0</v>
      </c>
      <c r="B5571" s="6" t="s">
        <v>31969</v>
      </c>
      <c r="C5571" s="7">
        <v>1404</v>
      </c>
      <c r="D5571" s="8" t="s">
        <v>31970</v>
      </c>
      <c r="E5571" s="8" t="s">
        <v>31967</v>
      </c>
      <c r="F5571" s="8"/>
      <c r="G5571" s="6" t="s">
        <v>33</v>
      </c>
      <c r="H5571" s="6" t="s">
        <v>34</v>
      </c>
      <c r="I5571" s="8" t="s">
        <v>6772</v>
      </c>
      <c r="J5571" s="9">
        <v>1</v>
      </c>
      <c r="K5571" s="9">
        <v>289</v>
      </c>
      <c r="L5571" s="9">
        <v>2023</v>
      </c>
      <c r="M5571" s="8" t="s">
        <v>31971</v>
      </c>
      <c r="N5571" s="8" t="s">
        <v>37</v>
      </c>
      <c r="O5571" s="8" t="s">
        <v>136</v>
      </c>
      <c r="P5571" s="6" t="s">
        <v>23718</v>
      </c>
      <c r="Q5571" s="8" t="s">
        <v>40</v>
      </c>
      <c r="R5571" s="10" t="s">
        <v>31960</v>
      </c>
      <c r="S5571" s="11"/>
      <c r="T5571" s="6"/>
      <c r="U5571" s="15" t="str">
        <f>HYPERLINK("https://media.infra-m.ru/1999/1999903/cover/1999903.jpg", "Обложка")</f>
        <v>Обложка</v>
      </c>
      <c r="V5571" s="8"/>
      <c r="W5571" s="6"/>
      <c r="X5571" s="6"/>
      <c r="Y5571" s="6"/>
      <c r="Z5571" s="6"/>
      <c r="AA5571" s="6" t="s">
        <v>157</v>
      </c>
      <c r="AB5571" s="8"/>
      <c r="AC5571" s="27">
        <v>9785160184036</v>
      </c>
    </row>
    <row r="5572" spans="1:29" s="4" customFormat="1" ht="44.1" customHeight="1" x14ac:dyDescent="0.2">
      <c r="A5572" s="5">
        <v>0</v>
      </c>
      <c r="B5572" s="6" t="s">
        <v>31972</v>
      </c>
      <c r="C5572" s="7">
        <v>1872</v>
      </c>
      <c r="D5572" s="8" t="s">
        <v>31973</v>
      </c>
      <c r="E5572" s="8" t="s">
        <v>31974</v>
      </c>
      <c r="F5572" s="8" t="s">
        <v>8631</v>
      </c>
      <c r="G5572" s="6" t="s">
        <v>60</v>
      </c>
      <c r="H5572" s="6" t="s">
        <v>34</v>
      </c>
      <c r="I5572" s="8" t="s">
        <v>253</v>
      </c>
      <c r="J5572" s="9">
        <v>1</v>
      </c>
      <c r="K5572" s="9">
        <v>292</v>
      </c>
      <c r="L5572" s="9">
        <v>2025</v>
      </c>
      <c r="M5572" s="8" t="s">
        <v>31975</v>
      </c>
      <c r="N5572" s="8" t="s">
        <v>63</v>
      </c>
      <c r="O5572" s="8" t="s">
        <v>181</v>
      </c>
      <c r="P5572" s="6" t="s">
        <v>51</v>
      </c>
      <c r="Q5572" s="8" t="s">
        <v>65</v>
      </c>
      <c r="R5572" s="10" t="s">
        <v>31976</v>
      </c>
      <c r="S5572" s="11"/>
      <c r="T5572" s="6"/>
      <c r="U5572" s="15" t="str">
        <f>HYPERLINK("https://media.infra-m.ru/2023/2023027/cover/2023027.jpg", "Обложка")</f>
        <v>Обложка</v>
      </c>
      <c r="V5572" s="8" t="s">
        <v>7509</v>
      </c>
      <c r="W5572" s="6"/>
      <c r="X5572" s="6"/>
      <c r="Y5572" s="6"/>
      <c r="Z5572" s="6"/>
      <c r="AA5572" s="6" t="s">
        <v>68</v>
      </c>
      <c r="AB5572" s="8"/>
      <c r="AC5572" s="27">
        <v>9785160185538</v>
      </c>
    </row>
    <row r="5573" spans="1:29" s="4" customFormat="1" ht="44.1" customHeight="1" x14ac:dyDescent="0.2">
      <c r="A5573" s="5">
        <v>0</v>
      </c>
      <c r="B5573" s="6" t="s">
        <v>31977</v>
      </c>
      <c r="C5573" s="13">
        <v>468</v>
      </c>
      <c r="D5573" s="8" t="s">
        <v>31978</v>
      </c>
      <c r="E5573" s="8" t="s">
        <v>31979</v>
      </c>
      <c r="F5573" s="8" t="s">
        <v>6770</v>
      </c>
      <c r="G5573" s="6" t="s">
        <v>33</v>
      </c>
      <c r="H5573" s="6" t="s">
        <v>34</v>
      </c>
      <c r="I5573" s="8" t="s">
        <v>6772</v>
      </c>
      <c r="J5573" s="9">
        <v>1</v>
      </c>
      <c r="K5573" s="9">
        <v>138</v>
      </c>
      <c r="L5573" s="9">
        <v>2019</v>
      </c>
      <c r="M5573" s="8" t="s">
        <v>31980</v>
      </c>
      <c r="N5573" s="8" t="s">
        <v>243</v>
      </c>
      <c r="O5573" s="8" t="s">
        <v>758</v>
      </c>
      <c r="P5573" s="6" t="s">
        <v>748</v>
      </c>
      <c r="Q5573" s="8" t="s">
        <v>40</v>
      </c>
      <c r="R5573" s="10" t="s">
        <v>31981</v>
      </c>
      <c r="S5573" s="11"/>
      <c r="T5573" s="6"/>
      <c r="U5573" s="15" t="str">
        <f>HYPERLINK("https://media.infra-m.ru/0992/0992817/cover/992817.jpg", "Обложка")</f>
        <v>Обложка</v>
      </c>
      <c r="V5573" s="8"/>
      <c r="W5573" s="6"/>
      <c r="X5573" s="6" t="s">
        <v>24</v>
      </c>
      <c r="Y5573" s="6"/>
      <c r="Z5573" s="6"/>
      <c r="AA5573" s="6" t="s">
        <v>623</v>
      </c>
      <c r="AB5573" s="8"/>
      <c r="AC5573" s="27">
        <v>9785160120973</v>
      </c>
    </row>
    <row r="5574" spans="1:29" s="4" customFormat="1" ht="44.1" customHeight="1" x14ac:dyDescent="0.2">
      <c r="A5574" s="5">
        <v>0</v>
      </c>
      <c r="B5574" s="6" t="s">
        <v>31982</v>
      </c>
      <c r="C5574" s="13">
        <v>684</v>
      </c>
      <c r="D5574" s="8" t="s">
        <v>31983</v>
      </c>
      <c r="E5574" s="8" t="s">
        <v>31984</v>
      </c>
      <c r="F5574" s="8"/>
      <c r="G5574" s="6" t="s">
        <v>33</v>
      </c>
      <c r="H5574" s="6" t="s">
        <v>34</v>
      </c>
      <c r="I5574" s="8" t="s">
        <v>6772</v>
      </c>
      <c r="J5574" s="9">
        <v>1</v>
      </c>
      <c r="K5574" s="9">
        <v>144</v>
      </c>
      <c r="L5574" s="9">
        <v>2022</v>
      </c>
      <c r="M5574" s="8" t="s">
        <v>31985</v>
      </c>
      <c r="N5574" s="8" t="s">
        <v>243</v>
      </c>
      <c r="O5574" s="8" t="s">
        <v>758</v>
      </c>
      <c r="P5574" s="6" t="s">
        <v>23718</v>
      </c>
      <c r="Q5574" s="8" t="s">
        <v>40</v>
      </c>
      <c r="R5574" s="10" t="s">
        <v>31981</v>
      </c>
      <c r="S5574" s="11"/>
      <c r="T5574" s="6"/>
      <c r="U5574" s="15" t="str">
        <f>HYPERLINK("https://media.infra-m.ru/1860/1860810/cover/1860810.jpg", "Обложка")</f>
        <v>Обложка</v>
      </c>
      <c r="V5574" s="8"/>
      <c r="W5574" s="6"/>
      <c r="X5574" s="6" t="s">
        <v>24</v>
      </c>
      <c r="Y5574" s="6"/>
      <c r="Z5574" s="6"/>
      <c r="AA5574" s="6" t="s">
        <v>2230</v>
      </c>
      <c r="AB5574" s="8"/>
      <c r="AC5574" s="27">
        <v>9785160171104</v>
      </c>
    </row>
    <row r="5575" spans="1:29" s="4" customFormat="1" ht="44.1" customHeight="1" x14ac:dyDescent="0.2">
      <c r="A5575" s="5">
        <v>0</v>
      </c>
      <c r="B5575" s="6" t="s">
        <v>31986</v>
      </c>
      <c r="C5575" s="7">
        <v>1044</v>
      </c>
      <c r="D5575" s="8" t="s">
        <v>31987</v>
      </c>
      <c r="E5575" s="8" t="s">
        <v>31988</v>
      </c>
      <c r="F5575" s="8" t="s">
        <v>6770</v>
      </c>
      <c r="G5575" s="6" t="s">
        <v>33</v>
      </c>
      <c r="H5575" s="6" t="s">
        <v>34</v>
      </c>
      <c r="I5575" s="8" t="s">
        <v>6772</v>
      </c>
      <c r="J5575" s="9">
        <v>1</v>
      </c>
      <c r="K5575" s="9">
        <v>149</v>
      </c>
      <c r="L5575" s="9">
        <v>2027</v>
      </c>
      <c r="M5575" s="8" t="s">
        <v>31989</v>
      </c>
      <c r="N5575" s="8" t="s">
        <v>243</v>
      </c>
      <c r="O5575" s="8" t="s">
        <v>758</v>
      </c>
      <c r="P5575" s="6" t="s">
        <v>23718</v>
      </c>
      <c r="Q5575" s="8" t="s">
        <v>40</v>
      </c>
      <c r="R5575" s="10" t="s">
        <v>31981</v>
      </c>
      <c r="S5575" s="11"/>
      <c r="T5575" s="6"/>
      <c r="U5575" s="15" t="str">
        <f>HYPERLINK("https://media.infra-m.ru/2271/2271171/cover/2271171.jpg", "Обложка")</f>
        <v>Обложка</v>
      </c>
      <c r="V5575" s="8"/>
      <c r="W5575" s="6"/>
      <c r="X5575" s="6" t="s">
        <v>24</v>
      </c>
      <c r="Y5575" s="6"/>
      <c r="Z5575" s="6"/>
      <c r="AA5575" s="6" t="s">
        <v>5639</v>
      </c>
      <c r="AB5575" s="8"/>
      <c r="AC5575" s="27">
        <v>9785160180151</v>
      </c>
    </row>
    <row r="5576" spans="1:29" s="4" customFormat="1" ht="42" customHeight="1" x14ac:dyDescent="0.2">
      <c r="A5576" s="5">
        <v>0</v>
      </c>
      <c r="B5576" s="6" t="s">
        <v>31990</v>
      </c>
      <c r="C5576" s="13">
        <v>479.9</v>
      </c>
      <c r="D5576" s="8" t="s">
        <v>31991</v>
      </c>
      <c r="E5576" s="8" t="s">
        <v>31992</v>
      </c>
      <c r="F5576" s="8" t="s">
        <v>6770</v>
      </c>
      <c r="G5576" s="6" t="s">
        <v>33</v>
      </c>
      <c r="H5576" s="6" t="s">
        <v>34</v>
      </c>
      <c r="I5576" s="8" t="s">
        <v>6772</v>
      </c>
      <c r="J5576" s="9">
        <v>1</v>
      </c>
      <c r="K5576" s="9">
        <v>104</v>
      </c>
      <c r="L5576" s="9">
        <v>2021</v>
      </c>
      <c r="M5576" s="8" t="s">
        <v>31993</v>
      </c>
      <c r="N5576" s="8" t="s">
        <v>37</v>
      </c>
      <c r="O5576" s="8" t="s">
        <v>290</v>
      </c>
      <c r="P5576" s="6" t="s">
        <v>23718</v>
      </c>
      <c r="Q5576" s="8" t="s">
        <v>40</v>
      </c>
      <c r="R5576" s="10" t="s">
        <v>4236</v>
      </c>
      <c r="S5576" s="11"/>
      <c r="T5576" s="6"/>
      <c r="U5576" s="15" t="str">
        <f>HYPERLINK("https://media.infra-m.ru/1241/1241980/cover/1241980.jpg", "Обложка")</f>
        <v>Обложка</v>
      </c>
      <c r="V5576" s="8"/>
      <c r="W5576" s="6"/>
      <c r="X5576" s="6"/>
      <c r="Y5576" s="6"/>
      <c r="Z5576" s="6"/>
      <c r="AA5576" s="6" t="s">
        <v>779</v>
      </c>
      <c r="AB5576" s="8"/>
      <c r="AC5576" s="27">
        <v>9785160168173</v>
      </c>
    </row>
    <row r="5577" spans="1:29" s="4" customFormat="1" ht="44.1" customHeight="1" x14ac:dyDescent="0.2">
      <c r="A5577" s="5">
        <v>0</v>
      </c>
      <c r="B5577" s="6" t="s">
        <v>31994</v>
      </c>
      <c r="C5577" s="13">
        <v>192</v>
      </c>
      <c r="D5577" s="8" t="s">
        <v>31995</v>
      </c>
      <c r="E5577" s="8" t="s">
        <v>31996</v>
      </c>
      <c r="F5577" s="8" t="s">
        <v>6770</v>
      </c>
      <c r="G5577" s="6" t="s">
        <v>6771</v>
      </c>
      <c r="H5577" s="6" t="s">
        <v>34</v>
      </c>
      <c r="I5577" s="8" t="s">
        <v>6772</v>
      </c>
      <c r="J5577" s="9">
        <v>1</v>
      </c>
      <c r="K5577" s="9">
        <v>40</v>
      </c>
      <c r="L5577" s="9">
        <v>2022</v>
      </c>
      <c r="M5577" s="8" t="s">
        <v>31997</v>
      </c>
      <c r="N5577" s="8" t="s">
        <v>37</v>
      </c>
      <c r="O5577" s="8" t="s">
        <v>290</v>
      </c>
      <c r="P5577" s="6" t="s">
        <v>23718</v>
      </c>
      <c r="Q5577" s="8" t="s">
        <v>40</v>
      </c>
      <c r="R5577" s="10" t="s">
        <v>31998</v>
      </c>
      <c r="S5577" s="11"/>
      <c r="T5577" s="6"/>
      <c r="U5577" s="15" t="str">
        <f>HYPERLINK("https://media.infra-m.ru/1864/1864112/cover/1864112.jpg", "Обложка")</f>
        <v>Обложка</v>
      </c>
      <c r="V5577" s="8"/>
      <c r="W5577" s="6"/>
      <c r="X5577" s="6"/>
      <c r="Y5577" s="6"/>
      <c r="Z5577" s="6"/>
      <c r="AA5577" s="6" t="s">
        <v>430</v>
      </c>
      <c r="AB5577" s="8"/>
      <c r="AC5577" s="27">
        <v>9785160168180</v>
      </c>
    </row>
    <row r="5578" spans="1:29" s="4" customFormat="1" ht="51.9" customHeight="1" x14ac:dyDescent="0.2">
      <c r="A5578" s="5">
        <v>0</v>
      </c>
      <c r="B5578" s="6" t="s">
        <v>31999</v>
      </c>
      <c r="C5578" s="13">
        <v>555.6</v>
      </c>
      <c r="D5578" s="8" t="s">
        <v>32000</v>
      </c>
      <c r="E5578" s="8" t="s">
        <v>32001</v>
      </c>
      <c r="F5578" s="8" t="s">
        <v>6770</v>
      </c>
      <c r="G5578" s="6" t="s">
        <v>33</v>
      </c>
      <c r="H5578" s="6" t="s">
        <v>313</v>
      </c>
      <c r="I5578" s="8"/>
      <c r="J5578" s="9">
        <v>1</v>
      </c>
      <c r="K5578" s="9">
        <v>98</v>
      </c>
      <c r="L5578" s="9">
        <v>2026</v>
      </c>
      <c r="M5578" s="8" t="s">
        <v>32002</v>
      </c>
      <c r="N5578" s="8" t="s">
        <v>63</v>
      </c>
      <c r="O5578" s="8" t="s">
        <v>64</v>
      </c>
      <c r="P5578" s="6" t="s">
        <v>234</v>
      </c>
      <c r="Q5578" s="8" t="s">
        <v>265</v>
      </c>
      <c r="R5578" s="10" t="s">
        <v>32003</v>
      </c>
      <c r="S5578" s="11"/>
      <c r="T5578" s="6"/>
      <c r="U5578" s="15" t="str">
        <f>HYPERLINK("https://media.infra-m.ru/2250/2250947/cover/2250947.jpg", "Обложка")</f>
        <v>Обложка</v>
      </c>
      <c r="V5578" s="8"/>
      <c r="W5578" s="6"/>
      <c r="X5578" s="6"/>
      <c r="Y5578" s="6"/>
      <c r="Z5578" s="6"/>
      <c r="AA5578" s="6" t="s">
        <v>2240</v>
      </c>
      <c r="AB5578" s="8"/>
      <c r="AC5578" s="27">
        <v>9785369007389</v>
      </c>
    </row>
    <row r="5579" spans="1:29" s="4" customFormat="1" ht="51.9" customHeight="1" x14ac:dyDescent="0.2">
      <c r="A5579" s="5">
        <v>0</v>
      </c>
      <c r="B5579" s="6" t="s">
        <v>32004</v>
      </c>
      <c r="C5579" s="13">
        <v>197.9</v>
      </c>
      <c r="D5579" s="8" t="s">
        <v>32005</v>
      </c>
      <c r="E5579" s="8" t="s">
        <v>32006</v>
      </c>
      <c r="F5579" s="8"/>
      <c r="G5579" s="6" t="s">
        <v>33</v>
      </c>
      <c r="H5579" s="6" t="s">
        <v>313</v>
      </c>
      <c r="I5579" s="8"/>
      <c r="J5579" s="9">
        <v>1</v>
      </c>
      <c r="K5579" s="9">
        <v>96</v>
      </c>
      <c r="L5579" s="9">
        <v>2018</v>
      </c>
      <c r="M5579" s="8" t="s">
        <v>32007</v>
      </c>
      <c r="N5579" s="8" t="s">
        <v>63</v>
      </c>
      <c r="O5579" s="8" t="s">
        <v>64</v>
      </c>
      <c r="P5579" s="6" t="s">
        <v>234</v>
      </c>
      <c r="Q5579" s="8" t="s">
        <v>265</v>
      </c>
      <c r="R5579" s="10" t="s">
        <v>32003</v>
      </c>
      <c r="S5579" s="11"/>
      <c r="T5579" s="6"/>
      <c r="U5579" s="15" t="str">
        <f>HYPERLINK("https://media.infra-m.ru/0946/0946444/cover/946444.jpg", "Обложка")</f>
        <v>Обложка</v>
      </c>
      <c r="V5579" s="8"/>
      <c r="W5579" s="6"/>
      <c r="X5579" s="6"/>
      <c r="Y5579" s="6"/>
      <c r="Z5579" s="6"/>
      <c r="AA5579" s="6" t="s">
        <v>1007</v>
      </c>
      <c r="AB5579" s="8"/>
      <c r="AC5579" s="27">
        <v>9785955701011</v>
      </c>
    </row>
    <row r="5580" spans="1:29" s="4" customFormat="1" ht="42" customHeight="1" x14ac:dyDescent="0.2">
      <c r="A5580" s="5">
        <v>0</v>
      </c>
      <c r="B5580" s="6" t="s">
        <v>32008</v>
      </c>
      <c r="C5580" s="7">
        <v>3584.4</v>
      </c>
      <c r="D5580" s="8" t="s">
        <v>32009</v>
      </c>
      <c r="E5580" s="8" t="s">
        <v>32010</v>
      </c>
      <c r="F5580" s="8" t="s">
        <v>32011</v>
      </c>
      <c r="G5580" s="6" t="s">
        <v>60</v>
      </c>
      <c r="H5580" s="6" t="s">
        <v>34</v>
      </c>
      <c r="I5580" s="8" t="s">
        <v>253</v>
      </c>
      <c r="J5580" s="9">
        <v>1</v>
      </c>
      <c r="K5580" s="9">
        <v>416</v>
      </c>
      <c r="L5580" s="9">
        <v>2026</v>
      </c>
      <c r="M5580" s="8" t="s">
        <v>32012</v>
      </c>
      <c r="N5580" s="8" t="s">
        <v>37</v>
      </c>
      <c r="O5580" s="8" t="s">
        <v>280</v>
      </c>
      <c r="P5580" s="6" t="s">
        <v>51</v>
      </c>
      <c r="Q5580" s="8" t="s">
        <v>65</v>
      </c>
      <c r="R5580" s="10" t="s">
        <v>24707</v>
      </c>
      <c r="S5580" s="11"/>
      <c r="T5580" s="6"/>
      <c r="U5580" s="15" t="str">
        <f>HYPERLINK("https://media.infra-m.ru/2272/2272379/cover/2272379.jpg", "Обложка")</f>
        <v>Обложка</v>
      </c>
      <c r="V5580" s="8" t="s">
        <v>227</v>
      </c>
      <c r="W5580" s="6"/>
      <c r="X5580" s="6"/>
      <c r="Y5580" s="6"/>
      <c r="Z5580" s="6"/>
      <c r="AA5580" s="6" t="s">
        <v>248</v>
      </c>
      <c r="AB5580" s="8"/>
      <c r="AC5580" s="27">
        <v>9785160188669</v>
      </c>
    </row>
    <row r="5581" spans="1:29" s="4" customFormat="1" ht="51.9" customHeight="1" x14ac:dyDescent="0.2">
      <c r="A5581" s="5">
        <v>0</v>
      </c>
      <c r="B5581" s="6" t="s">
        <v>32013</v>
      </c>
      <c r="C5581" s="13">
        <v>396</v>
      </c>
      <c r="D5581" s="8" t="s">
        <v>32014</v>
      </c>
      <c r="E5581" s="8" t="s">
        <v>32015</v>
      </c>
      <c r="F5581" s="8" t="s">
        <v>6770</v>
      </c>
      <c r="G5581" s="6" t="s">
        <v>33</v>
      </c>
      <c r="H5581" s="6" t="s">
        <v>34</v>
      </c>
      <c r="I5581" s="8" t="s">
        <v>6772</v>
      </c>
      <c r="J5581" s="9">
        <v>1</v>
      </c>
      <c r="K5581" s="9">
        <v>48</v>
      </c>
      <c r="L5581" s="9">
        <v>2022</v>
      </c>
      <c r="M5581" s="8" t="s">
        <v>32016</v>
      </c>
      <c r="N5581" s="8" t="s">
        <v>243</v>
      </c>
      <c r="O5581" s="8" t="s">
        <v>964</v>
      </c>
      <c r="P5581" s="6" t="s">
        <v>23718</v>
      </c>
      <c r="Q5581" s="8" t="s">
        <v>40</v>
      </c>
      <c r="R5581" s="10" t="s">
        <v>32017</v>
      </c>
      <c r="S5581" s="11"/>
      <c r="T5581" s="6"/>
      <c r="U5581" s="15" t="str">
        <f>HYPERLINK("https://media.infra-m.ru/1173/1173599/cover/1173599.jpg", "Обложка")</f>
        <v>Обложка</v>
      </c>
      <c r="V5581" s="8"/>
      <c r="W5581" s="6"/>
      <c r="X5581" s="6"/>
      <c r="Y5581" s="6"/>
      <c r="Z5581" s="6"/>
      <c r="AA5581" s="6" t="s">
        <v>148</v>
      </c>
      <c r="AB5581" s="8"/>
      <c r="AC5581" s="27">
        <v>9785160165240</v>
      </c>
    </row>
    <row r="5582" spans="1:29" s="4" customFormat="1" ht="51.9" customHeight="1" x14ac:dyDescent="0.2">
      <c r="A5582" s="5">
        <v>0</v>
      </c>
      <c r="B5582" s="6" t="s">
        <v>32018</v>
      </c>
      <c r="C5582" s="7">
        <v>2160</v>
      </c>
      <c r="D5582" s="8" t="s">
        <v>32019</v>
      </c>
      <c r="E5582" s="8" t="s">
        <v>32020</v>
      </c>
      <c r="F5582" s="8"/>
      <c r="G5582" s="6" t="s">
        <v>33</v>
      </c>
      <c r="H5582" s="6" t="s">
        <v>34</v>
      </c>
      <c r="I5582" s="8" t="s">
        <v>6772</v>
      </c>
      <c r="J5582" s="9">
        <v>1</v>
      </c>
      <c r="K5582" s="9">
        <v>327</v>
      </c>
      <c r="L5582" s="9">
        <v>2026</v>
      </c>
      <c r="M5582" s="8" t="s">
        <v>32021</v>
      </c>
      <c r="N5582" s="8" t="s">
        <v>243</v>
      </c>
      <c r="O5582" s="8" t="s">
        <v>964</v>
      </c>
      <c r="P5582" s="6" t="s">
        <v>23718</v>
      </c>
      <c r="Q5582" s="8" t="s">
        <v>40</v>
      </c>
      <c r="R5582" s="10" t="s">
        <v>32022</v>
      </c>
      <c r="S5582" s="11"/>
      <c r="T5582" s="6"/>
      <c r="U5582" s="15" t="str">
        <f>HYPERLINK("https://media.infra-m.ru/2235/2235144/cover/2235144.jpg", "Обложка")</f>
        <v>Обложка</v>
      </c>
      <c r="V5582" s="8"/>
      <c r="W5582" s="6"/>
      <c r="X5582" s="6"/>
      <c r="Y5582" s="6"/>
      <c r="Z5582" s="6"/>
      <c r="AA5582" s="6" t="s">
        <v>148</v>
      </c>
      <c r="AB5582" s="8"/>
      <c r="AC5582" s="27">
        <v>9785160165257</v>
      </c>
    </row>
    <row r="5583" spans="1:29" s="4" customFormat="1" ht="42" customHeight="1" x14ac:dyDescent="0.2">
      <c r="A5583" s="5">
        <v>0</v>
      </c>
      <c r="B5583" s="6" t="s">
        <v>32023</v>
      </c>
      <c r="C5583" s="7">
        <v>3718.8</v>
      </c>
      <c r="D5583" s="8" t="s">
        <v>32024</v>
      </c>
      <c r="E5583" s="8" t="s">
        <v>32025</v>
      </c>
      <c r="F5583" s="8" t="s">
        <v>6770</v>
      </c>
      <c r="G5583" s="6" t="s">
        <v>60</v>
      </c>
      <c r="H5583" s="6" t="s">
        <v>34</v>
      </c>
      <c r="I5583" s="8" t="s">
        <v>6772</v>
      </c>
      <c r="J5583" s="9">
        <v>1</v>
      </c>
      <c r="K5583" s="9">
        <v>560</v>
      </c>
      <c r="L5583" s="9">
        <v>2026</v>
      </c>
      <c r="M5583" s="8" t="s">
        <v>32026</v>
      </c>
      <c r="N5583" s="8" t="s">
        <v>243</v>
      </c>
      <c r="O5583" s="8" t="s">
        <v>964</v>
      </c>
      <c r="P5583" s="6" t="s">
        <v>23718</v>
      </c>
      <c r="Q5583" s="8" t="s">
        <v>40</v>
      </c>
      <c r="R5583" s="10" t="s">
        <v>12118</v>
      </c>
      <c r="S5583" s="11"/>
      <c r="T5583" s="6"/>
      <c r="U5583" s="15" t="str">
        <f>HYPERLINK("https://media.infra-m.ru/2232/2232357/cover/2232357.jpg", "Обложка")</f>
        <v>Обложка</v>
      </c>
      <c r="V5583" s="8"/>
      <c r="W5583" s="6"/>
      <c r="X5583" s="6"/>
      <c r="Y5583" s="6"/>
      <c r="Z5583" s="6"/>
      <c r="AA5583" s="6" t="s">
        <v>5639</v>
      </c>
      <c r="AB5583" s="8"/>
      <c r="AC5583" s="27">
        <v>9785160179889</v>
      </c>
    </row>
    <row r="5584" spans="1:29" s="4" customFormat="1" ht="51.9" customHeight="1" x14ac:dyDescent="0.2">
      <c r="A5584" s="5">
        <v>0</v>
      </c>
      <c r="B5584" s="6" t="s">
        <v>32027</v>
      </c>
      <c r="C5584" s="7">
        <v>1428</v>
      </c>
      <c r="D5584" s="8" t="s">
        <v>32028</v>
      </c>
      <c r="E5584" s="8" t="s">
        <v>32029</v>
      </c>
      <c r="F5584" s="8" t="s">
        <v>6770</v>
      </c>
      <c r="G5584" s="6" t="s">
        <v>118</v>
      </c>
      <c r="H5584" s="6" t="s">
        <v>34</v>
      </c>
      <c r="I5584" s="8" t="s">
        <v>6772</v>
      </c>
      <c r="J5584" s="9">
        <v>1</v>
      </c>
      <c r="K5584" s="9">
        <v>216</v>
      </c>
      <c r="L5584" s="9">
        <v>2026</v>
      </c>
      <c r="M5584" s="8" t="s">
        <v>32030</v>
      </c>
      <c r="N5584" s="8" t="s">
        <v>243</v>
      </c>
      <c r="O5584" s="8" t="s">
        <v>758</v>
      </c>
      <c r="P5584" s="6" t="s">
        <v>23718</v>
      </c>
      <c r="Q5584" s="8" t="s">
        <v>6401</v>
      </c>
      <c r="R5584" s="10" t="s">
        <v>32031</v>
      </c>
      <c r="S5584" s="11"/>
      <c r="T5584" s="6"/>
      <c r="U5584" s="15" t="str">
        <f>HYPERLINK("https://media.infra-m.ru/2226/2226333/cover/2226333.jpg", "Обложка")</f>
        <v>Обложка</v>
      </c>
      <c r="V5584" s="8"/>
      <c r="W5584" s="6" t="s">
        <v>2941</v>
      </c>
      <c r="X5584" s="6"/>
      <c r="Y5584" s="6"/>
      <c r="Z5584" s="6"/>
      <c r="AA5584" s="6" t="s">
        <v>650</v>
      </c>
      <c r="AB5584" s="8"/>
      <c r="AC5584" s="27">
        <v>9785160214658</v>
      </c>
    </row>
    <row r="5585" spans="1:29" s="4" customFormat="1" ht="42" customHeight="1" x14ac:dyDescent="0.2">
      <c r="A5585" s="5">
        <v>0</v>
      </c>
      <c r="B5585" s="6" t="s">
        <v>32032</v>
      </c>
      <c r="C5585" s="7">
        <v>1468.8</v>
      </c>
      <c r="D5585" s="8" t="s">
        <v>32033</v>
      </c>
      <c r="E5585" s="8" t="s">
        <v>32034</v>
      </c>
      <c r="F5585" s="8" t="s">
        <v>6770</v>
      </c>
      <c r="G5585" s="6" t="s">
        <v>33</v>
      </c>
      <c r="H5585" s="6" t="s">
        <v>34</v>
      </c>
      <c r="I5585" s="8" t="s">
        <v>6772</v>
      </c>
      <c r="J5585" s="9">
        <v>1</v>
      </c>
      <c r="K5585" s="9">
        <v>211</v>
      </c>
      <c r="L5585" s="9">
        <v>2027</v>
      </c>
      <c r="M5585" s="8" t="s">
        <v>32035</v>
      </c>
      <c r="N5585" s="8" t="s">
        <v>243</v>
      </c>
      <c r="O5585" s="8" t="s">
        <v>758</v>
      </c>
      <c r="P5585" s="6" t="s">
        <v>23718</v>
      </c>
      <c r="Q5585" s="8" t="s">
        <v>40</v>
      </c>
      <c r="R5585" s="10" t="s">
        <v>32036</v>
      </c>
      <c r="S5585" s="11"/>
      <c r="T5585" s="6"/>
      <c r="U5585" s="15" t="str">
        <f>HYPERLINK("https://media.infra-m.ru/2271/2271172/cover/2271172.jpg", "Обложка")</f>
        <v>Обложка</v>
      </c>
      <c r="V5585" s="8"/>
      <c r="W5585" s="6"/>
      <c r="X5585" s="6"/>
      <c r="Y5585" s="6"/>
      <c r="Z5585" s="6"/>
      <c r="AA5585" s="6" t="s">
        <v>11168</v>
      </c>
      <c r="AB5585" s="8"/>
      <c r="AC5585" s="27">
        <v>9785160223278</v>
      </c>
    </row>
    <row r="5586" spans="1:29" s="4" customFormat="1" ht="42" customHeight="1" x14ac:dyDescent="0.2">
      <c r="A5586" s="5">
        <v>0</v>
      </c>
      <c r="B5586" s="6" t="s">
        <v>32037</v>
      </c>
      <c r="C5586" s="7">
        <v>1068</v>
      </c>
      <c r="D5586" s="8" t="s">
        <v>32038</v>
      </c>
      <c r="E5586" s="8" t="s">
        <v>32039</v>
      </c>
      <c r="F5586" s="8" t="s">
        <v>6770</v>
      </c>
      <c r="G5586" s="6" t="s">
        <v>33</v>
      </c>
      <c r="H5586" s="6" t="s">
        <v>34</v>
      </c>
      <c r="I5586" s="8" t="s">
        <v>6772</v>
      </c>
      <c r="J5586" s="9">
        <v>1</v>
      </c>
      <c r="K5586" s="9">
        <v>187</v>
      </c>
      <c r="L5586" s="9">
        <v>2024</v>
      </c>
      <c r="M5586" s="8" t="s">
        <v>32040</v>
      </c>
      <c r="N5586" s="8" t="s">
        <v>243</v>
      </c>
      <c r="O5586" s="8" t="s">
        <v>758</v>
      </c>
      <c r="P5586" s="6" t="s">
        <v>23718</v>
      </c>
      <c r="Q5586" s="8" t="s">
        <v>40</v>
      </c>
      <c r="R5586" s="10" t="s">
        <v>32036</v>
      </c>
      <c r="S5586" s="11"/>
      <c r="T5586" s="6"/>
      <c r="U5586" s="15" t="str">
        <f>HYPERLINK("https://media.infra-m.ru/2133/2133526/cover/2133526.jpg", "Обложка")</f>
        <v>Обложка</v>
      </c>
      <c r="V5586" s="8"/>
      <c r="W5586" s="6"/>
      <c r="X5586" s="6"/>
      <c r="Y5586" s="6"/>
      <c r="Z5586" s="6"/>
      <c r="AA5586" s="6" t="s">
        <v>5476</v>
      </c>
      <c r="AB5586" s="8"/>
      <c r="AC5586" s="27">
        <v>9785160201399</v>
      </c>
    </row>
    <row r="5587" spans="1:29" s="4" customFormat="1" ht="42" customHeight="1" x14ac:dyDescent="0.2">
      <c r="A5587" s="5">
        <v>0</v>
      </c>
      <c r="B5587" s="6" t="s">
        <v>32041</v>
      </c>
      <c r="C5587" s="7">
        <v>1679.9</v>
      </c>
      <c r="D5587" s="8" t="s">
        <v>32042</v>
      </c>
      <c r="E5587" s="8" t="s">
        <v>32043</v>
      </c>
      <c r="F5587" s="8" t="s">
        <v>6770</v>
      </c>
      <c r="G5587" s="6" t="s">
        <v>118</v>
      </c>
      <c r="H5587" s="6" t="s">
        <v>34</v>
      </c>
      <c r="I5587" s="8" t="s">
        <v>6772</v>
      </c>
      <c r="J5587" s="9">
        <v>1</v>
      </c>
      <c r="K5587" s="9">
        <v>487</v>
      </c>
      <c r="L5587" s="9">
        <v>2018</v>
      </c>
      <c r="M5587" s="8" t="s">
        <v>32044</v>
      </c>
      <c r="N5587" s="8" t="s">
        <v>243</v>
      </c>
      <c r="O5587" s="8" t="s">
        <v>964</v>
      </c>
      <c r="P5587" s="6" t="s">
        <v>23718</v>
      </c>
      <c r="Q5587" s="8" t="s">
        <v>40</v>
      </c>
      <c r="R5587" s="10" t="s">
        <v>12118</v>
      </c>
      <c r="S5587" s="11"/>
      <c r="T5587" s="6"/>
      <c r="U5587" s="15" t="str">
        <f>HYPERLINK("https://media.infra-m.ru/0944/0944208/cover/944208.jpg", "Обложка")</f>
        <v>Обложка</v>
      </c>
      <c r="V5587" s="8"/>
      <c r="W5587" s="6"/>
      <c r="X5587" s="6"/>
      <c r="Y5587" s="6"/>
      <c r="Z5587" s="6"/>
      <c r="AA5587" s="6" t="s">
        <v>99</v>
      </c>
      <c r="AB5587" s="8"/>
      <c r="AC5587" s="27">
        <v>9785160130040</v>
      </c>
    </row>
    <row r="5588" spans="1:29" s="4" customFormat="1" ht="42" customHeight="1" x14ac:dyDescent="0.2">
      <c r="A5588" s="5">
        <v>0</v>
      </c>
      <c r="B5588" s="6" t="s">
        <v>32045</v>
      </c>
      <c r="C5588" s="7">
        <v>2196</v>
      </c>
      <c r="D5588" s="8" t="s">
        <v>32046</v>
      </c>
      <c r="E5588" s="8" t="s">
        <v>32047</v>
      </c>
      <c r="F5588" s="8"/>
      <c r="G5588" s="6" t="s">
        <v>118</v>
      </c>
      <c r="H5588" s="6" t="s">
        <v>34</v>
      </c>
      <c r="I5588" s="8" t="s">
        <v>6772</v>
      </c>
      <c r="J5588" s="9">
        <v>1</v>
      </c>
      <c r="K5588" s="9">
        <v>528</v>
      </c>
      <c r="L5588" s="9">
        <v>2020</v>
      </c>
      <c r="M5588" s="8" t="s">
        <v>32048</v>
      </c>
      <c r="N5588" s="8" t="s">
        <v>243</v>
      </c>
      <c r="O5588" s="8" t="s">
        <v>964</v>
      </c>
      <c r="P5588" s="6" t="s">
        <v>23718</v>
      </c>
      <c r="Q5588" s="8" t="s">
        <v>40</v>
      </c>
      <c r="R5588" s="10" t="s">
        <v>12118</v>
      </c>
      <c r="S5588" s="11"/>
      <c r="T5588" s="6"/>
      <c r="U5588" s="15" t="str">
        <f>HYPERLINK("https://media.infra-m.ru/1052/1052439/cover/1052439.jpg", "Обложка")</f>
        <v>Обложка</v>
      </c>
      <c r="V5588" s="8"/>
      <c r="W5588" s="6"/>
      <c r="X5588" s="6"/>
      <c r="Y5588" s="6"/>
      <c r="Z5588" s="6"/>
      <c r="AA5588" s="6" t="s">
        <v>2240</v>
      </c>
      <c r="AB5588" s="8"/>
      <c r="AC5588" s="27">
        <v>9785160147482</v>
      </c>
    </row>
    <row r="5589" spans="1:29" s="4" customFormat="1" ht="42" customHeight="1" x14ac:dyDescent="0.2">
      <c r="A5589" s="5">
        <v>0</v>
      </c>
      <c r="B5589" s="6" t="s">
        <v>32049</v>
      </c>
      <c r="C5589" s="7">
        <v>2460</v>
      </c>
      <c r="D5589" s="8" t="s">
        <v>32050</v>
      </c>
      <c r="E5589" s="8" t="s">
        <v>32051</v>
      </c>
      <c r="F5589" s="8" t="s">
        <v>6770</v>
      </c>
      <c r="G5589" s="6" t="s">
        <v>118</v>
      </c>
      <c r="H5589" s="6" t="s">
        <v>34</v>
      </c>
      <c r="I5589" s="8" t="s">
        <v>6772</v>
      </c>
      <c r="J5589" s="9">
        <v>1</v>
      </c>
      <c r="K5589" s="9">
        <v>622</v>
      </c>
      <c r="L5589" s="9">
        <v>2022</v>
      </c>
      <c r="M5589" s="8" t="s">
        <v>32048</v>
      </c>
      <c r="N5589" s="8" t="s">
        <v>243</v>
      </c>
      <c r="O5589" s="8" t="s">
        <v>964</v>
      </c>
      <c r="P5589" s="6" t="s">
        <v>23718</v>
      </c>
      <c r="Q5589" s="8" t="s">
        <v>40</v>
      </c>
      <c r="R5589" s="10" t="s">
        <v>12118</v>
      </c>
      <c r="S5589" s="11"/>
      <c r="T5589" s="6"/>
      <c r="U5589" s="15" t="str">
        <f>HYPERLINK("https://media.infra-m.ru/1845/1845330/cover/1845330.jpg", "Обложка")</f>
        <v>Обложка</v>
      </c>
      <c r="V5589" s="8"/>
      <c r="W5589" s="6"/>
      <c r="X5589" s="6"/>
      <c r="Y5589" s="6"/>
      <c r="Z5589" s="6"/>
      <c r="AA5589" s="6" t="s">
        <v>1389</v>
      </c>
      <c r="AB5589" s="8"/>
      <c r="AC5589" s="27">
        <v>9785160147482</v>
      </c>
    </row>
    <row r="5590" spans="1:29" s="4" customFormat="1" ht="51.9" customHeight="1" x14ac:dyDescent="0.2">
      <c r="A5590" s="5">
        <v>0</v>
      </c>
      <c r="B5590" s="6" t="s">
        <v>32052</v>
      </c>
      <c r="C5590" s="7">
        <v>1044</v>
      </c>
      <c r="D5590" s="8" t="s">
        <v>32053</v>
      </c>
      <c r="E5590" s="8" t="s">
        <v>32054</v>
      </c>
      <c r="F5590" s="8" t="s">
        <v>6770</v>
      </c>
      <c r="G5590" s="6" t="s">
        <v>118</v>
      </c>
      <c r="H5590" s="6" t="s">
        <v>34</v>
      </c>
      <c r="I5590" s="8" t="s">
        <v>6772</v>
      </c>
      <c r="J5590" s="9">
        <v>1</v>
      </c>
      <c r="K5590" s="9">
        <v>184</v>
      </c>
      <c r="L5590" s="9">
        <v>2024</v>
      </c>
      <c r="M5590" s="8" t="s">
        <v>32055</v>
      </c>
      <c r="N5590" s="8" t="s">
        <v>243</v>
      </c>
      <c r="O5590" s="8" t="s">
        <v>758</v>
      </c>
      <c r="P5590" s="6" t="s">
        <v>234</v>
      </c>
      <c r="Q5590" s="8" t="s">
        <v>6401</v>
      </c>
      <c r="R5590" s="10" t="s">
        <v>32031</v>
      </c>
      <c r="S5590" s="11"/>
      <c r="T5590" s="6"/>
      <c r="U5590" s="15" t="str">
        <f>HYPERLINK("https://media.infra-m.ru/2143/2143709/cover/2143709.jpg", "Обложка")</f>
        <v>Обложка</v>
      </c>
      <c r="V5590" s="8"/>
      <c r="W5590" s="6"/>
      <c r="X5590" s="6"/>
      <c r="Y5590" s="6"/>
      <c r="Z5590" s="6"/>
      <c r="AA5590" s="6" t="s">
        <v>13424</v>
      </c>
      <c r="AB5590" s="8"/>
      <c r="AC5590" s="27">
        <v>9785160117782</v>
      </c>
    </row>
    <row r="5591" spans="1:29" s="4" customFormat="1" ht="42" customHeight="1" x14ac:dyDescent="0.2">
      <c r="A5591" s="5">
        <v>0</v>
      </c>
      <c r="B5591" s="6" t="s">
        <v>32056</v>
      </c>
      <c r="C5591" s="7">
        <v>4438.8</v>
      </c>
      <c r="D5591" s="8" t="s">
        <v>32057</v>
      </c>
      <c r="E5591" s="8" t="s">
        <v>32058</v>
      </c>
      <c r="F5591" s="8"/>
      <c r="G5591" s="6" t="s">
        <v>60</v>
      </c>
      <c r="H5591" s="6" t="s">
        <v>34</v>
      </c>
      <c r="I5591" s="8" t="s">
        <v>6772</v>
      </c>
      <c r="J5591" s="9">
        <v>1</v>
      </c>
      <c r="K5591" s="9">
        <v>828</v>
      </c>
      <c r="L5591" s="9">
        <v>2027</v>
      </c>
      <c r="M5591" s="8" t="s">
        <v>32059</v>
      </c>
      <c r="N5591" s="8" t="s">
        <v>243</v>
      </c>
      <c r="O5591" s="8" t="s">
        <v>758</v>
      </c>
      <c r="P5591" s="6" t="s">
        <v>23718</v>
      </c>
      <c r="Q5591" s="8" t="s">
        <v>40</v>
      </c>
      <c r="R5591" s="10" t="s">
        <v>32060</v>
      </c>
      <c r="S5591" s="11"/>
      <c r="T5591" s="6"/>
      <c r="U5591" s="15" t="str">
        <f>HYPERLINK("https://media.infra-m.ru/2214/2214496/cover/2214496.jpg", "Обложка")</f>
        <v>Обложка</v>
      </c>
      <c r="V5591" s="8"/>
      <c r="W5591" s="6"/>
      <c r="X5591" s="6"/>
      <c r="Y5591" s="6"/>
      <c r="Z5591" s="6"/>
      <c r="AA5591" s="6" t="s">
        <v>157</v>
      </c>
      <c r="AB5591" s="8"/>
      <c r="AC5591" s="27">
        <v>9785160181721</v>
      </c>
    </row>
    <row r="5592" spans="1:29" s="4" customFormat="1" ht="51.9" customHeight="1" x14ac:dyDescent="0.2">
      <c r="A5592" s="5">
        <v>0</v>
      </c>
      <c r="B5592" s="6" t="s">
        <v>32061</v>
      </c>
      <c r="C5592" s="7">
        <v>1176</v>
      </c>
      <c r="D5592" s="8" t="s">
        <v>32062</v>
      </c>
      <c r="E5592" s="8" t="s">
        <v>32063</v>
      </c>
      <c r="F5592" s="8" t="s">
        <v>10001</v>
      </c>
      <c r="G5592" s="6" t="s">
        <v>118</v>
      </c>
      <c r="H5592" s="6" t="s">
        <v>134</v>
      </c>
      <c r="I5592" s="8"/>
      <c r="J5592" s="9">
        <v>1</v>
      </c>
      <c r="K5592" s="9">
        <v>168</v>
      </c>
      <c r="L5592" s="9">
        <v>2026</v>
      </c>
      <c r="M5592" s="8" t="s">
        <v>32064</v>
      </c>
      <c r="N5592" s="8" t="s">
        <v>37</v>
      </c>
      <c r="O5592" s="8" t="s">
        <v>136</v>
      </c>
      <c r="P5592" s="6" t="s">
        <v>39</v>
      </c>
      <c r="Q5592" s="8" t="s">
        <v>65</v>
      </c>
      <c r="R5592" s="10" t="s">
        <v>32065</v>
      </c>
      <c r="S5592" s="11"/>
      <c r="T5592" s="6"/>
      <c r="U5592" s="15" t="str">
        <f>HYPERLINK("https://media.infra-m.ru/2254/2254017/cover/2254017.jpg", "Обложка")</f>
        <v>Обложка</v>
      </c>
      <c r="V5592" s="8" t="s">
        <v>138</v>
      </c>
      <c r="W5592" s="6"/>
      <c r="X5592" s="6"/>
      <c r="Y5592" s="6"/>
      <c r="Z5592" s="6"/>
      <c r="AA5592" s="6" t="s">
        <v>68</v>
      </c>
      <c r="AB5592" s="8"/>
      <c r="AC5592" s="27">
        <v>9785001564065</v>
      </c>
    </row>
    <row r="5593" spans="1:29" s="4" customFormat="1" ht="51.9" customHeight="1" x14ac:dyDescent="0.2">
      <c r="A5593" s="5">
        <v>0</v>
      </c>
      <c r="B5593" s="6" t="s">
        <v>32066</v>
      </c>
      <c r="C5593" s="7">
        <v>2340</v>
      </c>
      <c r="D5593" s="8" t="s">
        <v>32067</v>
      </c>
      <c r="E5593" s="8" t="s">
        <v>32068</v>
      </c>
      <c r="F5593" s="8" t="s">
        <v>32069</v>
      </c>
      <c r="G5593" s="6" t="s">
        <v>118</v>
      </c>
      <c r="H5593" s="6" t="s">
        <v>134</v>
      </c>
      <c r="I5593" s="8"/>
      <c r="J5593" s="9">
        <v>1</v>
      </c>
      <c r="K5593" s="9">
        <v>528</v>
      </c>
      <c r="L5593" s="9">
        <v>2021</v>
      </c>
      <c r="M5593" s="8" t="s">
        <v>32070</v>
      </c>
      <c r="N5593" s="8" t="s">
        <v>37</v>
      </c>
      <c r="O5593" s="8" t="s">
        <v>136</v>
      </c>
      <c r="P5593" s="6" t="s">
        <v>39</v>
      </c>
      <c r="Q5593" s="8" t="s">
        <v>1349</v>
      </c>
      <c r="R5593" s="10" t="s">
        <v>6985</v>
      </c>
      <c r="S5593" s="11"/>
      <c r="T5593" s="6"/>
      <c r="U5593" s="15" t="str">
        <f>HYPERLINK("https://media.infra-m.ru/1239/1239233/cover/1239233.jpg", "Обложка")</f>
        <v>Обложка</v>
      </c>
      <c r="V5593" s="8" t="s">
        <v>1184</v>
      </c>
      <c r="W5593" s="6"/>
      <c r="X5593" s="6"/>
      <c r="Y5593" s="6"/>
      <c r="Z5593" s="6"/>
      <c r="AA5593" s="6" t="s">
        <v>779</v>
      </c>
      <c r="AB5593" s="8"/>
      <c r="AC5593" s="27">
        <v>9785917687476</v>
      </c>
    </row>
    <row r="5594" spans="1:29" s="4" customFormat="1" ht="42" customHeight="1" x14ac:dyDescent="0.2">
      <c r="A5594" s="5">
        <v>0</v>
      </c>
      <c r="B5594" s="6" t="s">
        <v>32071</v>
      </c>
      <c r="C5594" s="13">
        <v>888</v>
      </c>
      <c r="D5594" s="8" t="s">
        <v>32072</v>
      </c>
      <c r="E5594" s="8" t="s">
        <v>32073</v>
      </c>
      <c r="F5594" s="8" t="s">
        <v>32074</v>
      </c>
      <c r="G5594" s="6" t="s">
        <v>118</v>
      </c>
      <c r="H5594" s="6" t="s">
        <v>134</v>
      </c>
      <c r="I5594" s="8"/>
      <c r="J5594" s="9">
        <v>1</v>
      </c>
      <c r="K5594" s="9">
        <v>136</v>
      </c>
      <c r="L5594" s="9">
        <v>2025</v>
      </c>
      <c r="M5594" s="8" t="s">
        <v>32075</v>
      </c>
      <c r="N5594" s="8" t="s">
        <v>37</v>
      </c>
      <c r="O5594" s="8" t="s">
        <v>136</v>
      </c>
      <c r="P5594" s="6" t="s">
        <v>39</v>
      </c>
      <c r="Q5594" s="8" t="s">
        <v>40</v>
      </c>
      <c r="R5594" s="10" t="s">
        <v>32076</v>
      </c>
      <c r="S5594" s="11"/>
      <c r="T5594" s="6"/>
      <c r="U5594" s="15" t="str">
        <f>HYPERLINK("https://media.infra-m.ru/2169/2169157/cover/2169157.jpg", "Обложка")</f>
        <v>Обложка</v>
      </c>
      <c r="V5594" s="8" t="s">
        <v>138</v>
      </c>
      <c r="W5594" s="6"/>
      <c r="X5594" s="6"/>
      <c r="Y5594" s="6"/>
      <c r="Z5594" s="6"/>
      <c r="AA5594" s="6" t="s">
        <v>430</v>
      </c>
      <c r="AB5594" s="8"/>
      <c r="AC5594" s="27">
        <v>9785001561637</v>
      </c>
    </row>
    <row r="5595" spans="1:29" s="4" customFormat="1" ht="51.9" customHeight="1" x14ac:dyDescent="0.2">
      <c r="A5595" s="5">
        <v>0</v>
      </c>
      <c r="B5595" s="6" t="s">
        <v>32077</v>
      </c>
      <c r="C5595" s="7">
        <v>1224</v>
      </c>
      <c r="D5595" s="8" t="s">
        <v>32078</v>
      </c>
      <c r="E5595" s="8" t="s">
        <v>32079</v>
      </c>
      <c r="F5595" s="8" t="s">
        <v>32080</v>
      </c>
      <c r="G5595" s="6" t="s">
        <v>60</v>
      </c>
      <c r="H5595" s="6" t="s">
        <v>134</v>
      </c>
      <c r="I5595" s="8"/>
      <c r="J5595" s="9">
        <v>1</v>
      </c>
      <c r="K5595" s="9">
        <v>172</v>
      </c>
      <c r="L5595" s="9">
        <v>2026</v>
      </c>
      <c r="M5595" s="8" t="s">
        <v>32081</v>
      </c>
      <c r="N5595" s="8" t="s">
        <v>37</v>
      </c>
      <c r="O5595" s="8" t="s">
        <v>136</v>
      </c>
      <c r="P5595" s="6" t="s">
        <v>39</v>
      </c>
      <c r="Q5595" s="8" t="s">
        <v>40</v>
      </c>
      <c r="R5595" s="10" t="s">
        <v>676</v>
      </c>
      <c r="S5595" s="11"/>
      <c r="T5595" s="6"/>
      <c r="U5595" s="15" t="str">
        <f>HYPERLINK("https://media.infra-m.ru/2242/2242104/cover/2242104.jpg", "Обложка")</f>
        <v>Обложка</v>
      </c>
      <c r="V5595" s="8" t="s">
        <v>138</v>
      </c>
      <c r="W5595" s="6" t="s">
        <v>649</v>
      </c>
      <c r="X5595" s="6"/>
      <c r="Y5595" s="6"/>
      <c r="Z5595" s="6"/>
      <c r="AA5595" s="6" t="s">
        <v>187</v>
      </c>
      <c r="AB5595" s="8"/>
      <c r="AC5595" s="27">
        <v>9785001564751</v>
      </c>
    </row>
    <row r="5596" spans="1:29" s="4" customFormat="1" ht="42" customHeight="1" x14ac:dyDescent="0.2">
      <c r="A5596" s="5">
        <v>0</v>
      </c>
      <c r="B5596" s="6" t="s">
        <v>32082</v>
      </c>
      <c r="C5596" s="13">
        <v>588</v>
      </c>
      <c r="D5596" s="8" t="s">
        <v>32083</v>
      </c>
      <c r="E5596" s="8" t="s">
        <v>32084</v>
      </c>
      <c r="F5596" s="8" t="s">
        <v>26396</v>
      </c>
      <c r="G5596" s="6" t="s">
        <v>60</v>
      </c>
      <c r="H5596" s="6" t="s">
        <v>34</v>
      </c>
      <c r="I5596" s="8" t="s">
        <v>35</v>
      </c>
      <c r="J5596" s="9">
        <v>1</v>
      </c>
      <c r="K5596" s="9">
        <v>158</v>
      </c>
      <c r="L5596" s="9">
        <v>2018</v>
      </c>
      <c r="M5596" s="8" t="s">
        <v>32085</v>
      </c>
      <c r="N5596" s="8" t="s">
        <v>37</v>
      </c>
      <c r="O5596" s="8" t="s">
        <v>136</v>
      </c>
      <c r="P5596" s="6" t="s">
        <v>39</v>
      </c>
      <c r="Q5596" s="8" t="s">
        <v>40</v>
      </c>
      <c r="R5596" s="10" t="s">
        <v>1255</v>
      </c>
      <c r="S5596" s="11"/>
      <c r="T5596" s="6"/>
      <c r="U5596" s="15" t="str">
        <f>HYPERLINK("https://media.infra-m.ru/0923/0923345/cover/923345.jpg", "Обложка")</f>
        <v>Обложка</v>
      </c>
      <c r="V5596" s="8" t="s">
        <v>2128</v>
      </c>
      <c r="W5596" s="6"/>
      <c r="X5596" s="6"/>
      <c r="Y5596" s="6"/>
      <c r="Z5596" s="6"/>
      <c r="AA5596" s="6" t="s">
        <v>99</v>
      </c>
      <c r="AB5596" s="8"/>
      <c r="AC5596" s="27">
        <v>9785160126302</v>
      </c>
    </row>
    <row r="5597" spans="1:29" s="4" customFormat="1" ht="42" customHeight="1" x14ac:dyDescent="0.2">
      <c r="A5597" s="5">
        <v>0</v>
      </c>
      <c r="B5597" s="6" t="s">
        <v>32086</v>
      </c>
      <c r="C5597" s="13">
        <v>804</v>
      </c>
      <c r="D5597" s="8" t="s">
        <v>32087</v>
      </c>
      <c r="E5597" s="8" t="s">
        <v>32084</v>
      </c>
      <c r="F5597" s="8" t="s">
        <v>26396</v>
      </c>
      <c r="G5597" s="6" t="s">
        <v>33</v>
      </c>
      <c r="H5597" s="6" t="s">
        <v>34</v>
      </c>
      <c r="I5597" s="8" t="s">
        <v>35</v>
      </c>
      <c r="J5597" s="9">
        <v>1</v>
      </c>
      <c r="K5597" s="9">
        <v>158</v>
      </c>
      <c r="L5597" s="9">
        <v>2022</v>
      </c>
      <c r="M5597" s="8" t="s">
        <v>32088</v>
      </c>
      <c r="N5597" s="8" t="s">
        <v>37</v>
      </c>
      <c r="O5597" s="8" t="s">
        <v>136</v>
      </c>
      <c r="P5597" s="6" t="s">
        <v>39</v>
      </c>
      <c r="Q5597" s="8" t="s">
        <v>40</v>
      </c>
      <c r="R5597" s="10" t="s">
        <v>1255</v>
      </c>
      <c r="S5597" s="11"/>
      <c r="T5597" s="6"/>
      <c r="U5597" s="15" t="str">
        <f>HYPERLINK("https://media.infra-m.ru/1869/1869671/cover/1869671.jpg", "Обложка")</f>
        <v>Обложка</v>
      </c>
      <c r="V5597" s="8" t="s">
        <v>2128</v>
      </c>
      <c r="W5597" s="6"/>
      <c r="X5597" s="6"/>
      <c r="Y5597" s="6"/>
      <c r="Z5597" s="6"/>
      <c r="AA5597" s="6" t="s">
        <v>99</v>
      </c>
      <c r="AB5597" s="8"/>
      <c r="AC5597" s="27">
        <v>9785160165615</v>
      </c>
    </row>
    <row r="5598" spans="1:29" s="4" customFormat="1" ht="42" customHeight="1" x14ac:dyDescent="0.2">
      <c r="A5598" s="5">
        <v>0</v>
      </c>
      <c r="B5598" s="6" t="s">
        <v>32089</v>
      </c>
      <c r="C5598" s="7">
        <v>2436</v>
      </c>
      <c r="D5598" s="8" t="s">
        <v>32090</v>
      </c>
      <c r="E5598" s="8" t="s">
        <v>32091</v>
      </c>
      <c r="F5598" s="8" t="s">
        <v>32092</v>
      </c>
      <c r="G5598" s="6" t="s">
        <v>118</v>
      </c>
      <c r="H5598" s="6" t="s">
        <v>134</v>
      </c>
      <c r="I5598" s="8"/>
      <c r="J5598" s="9">
        <v>1</v>
      </c>
      <c r="K5598" s="9">
        <v>368</v>
      </c>
      <c r="L5598" s="9">
        <v>2026</v>
      </c>
      <c r="M5598" s="8" t="s">
        <v>32093</v>
      </c>
      <c r="N5598" s="8" t="s">
        <v>37</v>
      </c>
      <c r="O5598" s="8" t="s">
        <v>136</v>
      </c>
      <c r="P5598" s="6" t="s">
        <v>39</v>
      </c>
      <c r="Q5598" s="8" t="s">
        <v>40</v>
      </c>
      <c r="R5598" s="10" t="s">
        <v>8485</v>
      </c>
      <c r="S5598" s="11"/>
      <c r="T5598" s="6"/>
      <c r="U5598" s="15" t="str">
        <f>HYPERLINK("https://media.infra-m.ru/2243/2243066/cover/2243066.jpg", "Обложка")</f>
        <v>Обложка</v>
      </c>
      <c r="V5598" s="8" t="s">
        <v>1069</v>
      </c>
      <c r="W5598" s="6"/>
      <c r="X5598" s="6"/>
      <c r="Y5598" s="6"/>
      <c r="Z5598" s="6"/>
      <c r="AA5598" s="6" t="s">
        <v>430</v>
      </c>
      <c r="AB5598" s="8"/>
      <c r="AC5598" s="27">
        <v>9785001561590</v>
      </c>
    </row>
    <row r="5599" spans="1:29" s="4" customFormat="1" ht="51.9" customHeight="1" x14ac:dyDescent="0.2">
      <c r="A5599" s="5">
        <v>0</v>
      </c>
      <c r="B5599" s="6" t="s">
        <v>32094</v>
      </c>
      <c r="C5599" s="7">
        <v>1308</v>
      </c>
      <c r="D5599" s="8" t="s">
        <v>32095</v>
      </c>
      <c r="E5599" s="8" t="s">
        <v>32096</v>
      </c>
      <c r="F5599" s="8" t="s">
        <v>32097</v>
      </c>
      <c r="G5599" s="6" t="s">
        <v>118</v>
      </c>
      <c r="H5599" s="6" t="s">
        <v>134</v>
      </c>
      <c r="I5599" s="8"/>
      <c r="J5599" s="9">
        <v>1</v>
      </c>
      <c r="K5599" s="9">
        <v>288</v>
      </c>
      <c r="L5599" s="9">
        <v>2022</v>
      </c>
      <c r="M5599" s="8" t="s">
        <v>32098</v>
      </c>
      <c r="N5599" s="8" t="s">
        <v>37</v>
      </c>
      <c r="O5599" s="8" t="s">
        <v>136</v>
      </c>
      <c r="P5599" s="6" t="s">
        <v>51</v>
      </c>
      <c r="Q5599" s="8" t="s">
        <v>52</v>
      </c>
      <c r="R5599" s="10" t="s">
        <v>4109</v>
      </c>
      <c r="S5599" s="11"/>
      <c r="T5599" s="6"/>
      <c r="U5599" s="15" t="str">
        <f>HYPERLINK("https://media.infra-m.ru/1862/1862643/cover/1862643.jpg", "Обложка")</f>
        <v>Обложка</v>
      </c>
      <c r="V5599" s="8" t="s">
        <v>1647</v>
      </c>
      <c r="W5599" s="6"/>
      <c r="X5599" s="6"/>
      <c r="Y5599" s="6"/>
      <c r="Z5599" s="6"/>
      <c r="AA5599" s="6" t="s">
        <v>360</v>
      </c>
      <c r="AB5599" s="8"/>
      <c r="AC5599" s="27">
        <v>9785917687414</v>
      </c>
    </row>
    <row r="5600" spans="1:29" s="4" customFormat="1" ht="51.9" customHeight="1" x14ac:dyDescent="0.2">
      <c r="A5600" s="5">
        <v>0</v>
      </c>
      <c r="B5600" s="6" t="s">
        <v>32099</v>
      </c>
      <c r="C5600" s="7">
        <v>2016</v>
      </c>
      <c r="D5600" s="8" t="s">
        <v>32100</v>
      </c>
      <c r="E5600" s="8" t="s">
        <v>32101</v>
      </c>
      <c r="F5600" s="8" t="s">
        <v>32102</v>
      </c>
      <c r="G5600" s="6" t="s">
        <v>118</v>
      </c>
      <c r="H5600" s="6" t="s">
        <v>134</v>
      </c>
      <c r="I5600" s="8"/>
      <c r="J5600" s="9">
        <v>1</v>
      </c>
      <c r="K5600" s="9">
        <v>304</v>
      </c>
      <c r="L5600" s="9">
        <v>2026</v>
      </c>
      <c r="M5600" s="8" t="s">
        <v>32103</v>
      </c>
      <c r="N5600" s="8" t="s">
        <v>37</v>
      </c>
      <c r="O5600" s="8" t="s">
        <v>136</v>
      </c>
      <c r="P5600" s="6" t="s">
        <v>39</v>
      </c>
      <c r="Q5600" s="8" t="s">
        <v>40</v>
      </c>
      <c r="R5600" s="10" t="s">
        <v>32104</v>
      </c>
      <c r="S5600" s="11"/>
      <c r="T5600" s="6"/>
      <c r="U5600" s="15" t="str">
        <f>HYPERLINK("https://media.infra-m.ru/2244/2244256/cover/2244256.jpg", "Обложка")</f>
        <v>Обложка</v>
      </c>
      <c r="V5600" s="8" t="s">
        <v>1184</v>
      </c>
      <c r="W5600" s="6"/>
      <c r="X5600" s="6"/>
      <c r="Y5600" s="6"/>
      <c r="Z5600" s="6"/>
      <c r="AA5600" s="6" t="s">
        <v>2230</v>
      </c>
      <c r="AB5600" s="8"/>
      <c r="AC5600" s="27">
        <v>9785001561422</v>
      </c>
    </row>
    <row r="5601" spans="1:29" s="4" customFormat="1" ht="42" customHeight="1" x14ac:dyDescent="0.2">
      <c r="A5601" s="5">
        <v>0</v>
      </c>
      <c r="B5601" s="6" t="s">
        <v>32105</v>
      </c>
      <c r="C5601" s="7">
        <v>2124</v>
      </c>
      <c r="D5601" s="8" t="s">
        <v>32106</v>
      </c>
      <c r="E5601" s="8" t="s">
        <v>32107</v>
      </c>
      <c r="F5601" s="8" t="s">
        <v>32108</v>
      </c>
      <c r="G5601" s="6" t="s">
        <v>118</v>
      </c>
      <c r="H5601" s="6" t="s">
        <v>34</v>
      </c>
      <c r="I5601" s="8" t="s">
        <v>253</v>
      </c>
      <c r="J5601" s="9">
        <v>1</v>
      </c>
      <c r="K5601" s="9">
        <v>340</v>
      </c>
      <c r="L5601" s="9">
        <v>2025</v>
      </c>
      <c r="M5601" s="8" t="s">
        <v>32109</v>
      </c>
      <c r="N5601" s="8" t="s">
        <v>37</v>
      </c>
      <c r="O5601" s="8" t="s">
        <v>136</v>
      </c>
      <c r="P5601" s="6" t="s">
        <v>51</v>
      </c>
      <c r="Q5601" s="8" t="s">
        <v>52</v>
      </c>
      <c r="R5601" s="10" t="s">
        <v>684</v>
      </c>
      <c r="S5601" s="11"/>
      <c r="T5601" s="6"/>
      <c r="U5601" s="15" t="str">
        <f>HYPERLINK("https://media.infra-m.ru/2193/2193161/cover/2193161.jpg", "Обложка")</f>
        <v>Обложка</v>
      </c>
      <c r="V5601" s="8" t="s">
        <v>657</v>
      </c>
      <c r="W5601" s="6"/>
      <c r="X5601" s="6"/>
      <c r="Y5601" s="6"/>
      <c r="Z5601" s="6"/>
      <c r="AA5601" s="6" t="s">
        <v>1303</v>
      </c>
      <c r="AB5601" s="8"/>
      <c r="AC5601" s="27">
        <v>9785160171999</v>
      </c>
    </row>
    <row r="5602" spans="1:29" s="4" customFormat="1" ht="42" customHeight="1" x14ac:dyDescent="0.2">
      <c r="A5602" s="5">
        <v>0</v>
      </c>
      <c r="B5602" s="6" t="s">
        <v>32110</v>
      </c>
      <c r="C5602" s="7">
        <v>1780.8</v>
      </c>
      <c r="D5602" s="8" t="s">
        <v>32111</v>
      </c>
      <c r="E5602" s="8" t="s">
        <v>32112</v>
      </c>
      <c r="F5602" s="8" t="s">
        <v>25985</v>
      </c>
      <c r="G5602" s="6" t="s">
        <v>118</v>
      </c>
      <c r="H5602" s="6" t="s">
        <v>134</v>
      </c>
      <c r="I5602" s="8"/>
      <c r="J5602" s="9">
        <v>1</v>
      </c>
      <c r="K5602" s="9">
        <v>256</v>
      </c>
      <c r="L5602" s="9">
        <v>2026</v>
      </c>
      <c r="M5602" s="8" t="s">
        <v>32113</v>
      </c>
      <c r="N5602" s="8" t="s">
        <v>37</v>
      </c>
      <c r="O5602" s="8" t="s">
        <v>136</v>
      </c>
      <c r="P5602" s="6" t="s">
        <v>306</v>
      </c>
      <c r="Q5602" s="8" t="s">
        <v>500</v>
      </c>
      <c r="R5602" s="10" t="s">
        <v>32114</v>
      </c>
      <c r="S5602" s="11"/>
      <c r="T5602" s="6"/>
      <c r="U5602" s="15" t="str">
        <f>HYPERLINK("https://media.infra-m.ru/2247/2247015/cover/2247015.jpg", "Обложка")</f>
        <v>Обложка</v>
      </c>
      <c r="V5602" s="8" t="s">
        <v>677</v>
      </c>
      <c r="W5602" s="6"/>
      <c r="X5602" s="6"/>
      <c r="Y5602" s="6"/>
      <c r="Z5602" s="6"/>
      <c r="AA5602" s="6" t="s">
        <v>779</v>
      </c>
      <c r="AB5602" s="8"/>
      <c r="AC5602" s="27">
        <v>9785917686950</v>
      </c>
    </row>
    <row r="5603" spans="1:29" s="4" customFormat="1" ht="51.9" customHeight="1" x14ac:dyDescent="0.2">
      <c r="A5603" s="5">
        <v>0</v>
      </c>
      <c r="B5603" s="6" t="s">
        <v>32115</v>
      </c>
      <c r="C5603" s="7">
        <v>1080</v>
      </c>
      <c r="D5603" s="8" t="s">
        <v>32116</v>
      </c>
      <c r="E5603" s="8" t="s">
        <v>32117</v>
      </c>
      <c r="F5603" s="8" t="s">
        <v>32118</v>
      </c>
      <c r="G5603" s="6" t="s">
        <v>118</v>
      </c>
      <c r="H5603" s="6" t="s">
        <v>134</v>
      </c>
      <c r="I5603" s="8"/>
      <c r="J5603" s="9">
        <v>1</v>
      </c>
      <c r="K5603" s="9">
        <v>152</v>
      </c>
      <c r="L5603" s="9">
        <v>2026</v>
      </c>
      <c r="M5603" s="8" t="s">
        <v>32119</v>
      </c>
      <c r="N5603" s="8" t="s">
        <v>37</v>
      </c>
      <c r="O5603" s="8" t="s">
        <v>136</v>
      </c>
      <c r="P5603" s="6" t="s">
        <v>39</v>
      </c>
      <c r="Q5603" s="8" t="s">
        <v>40</v>
      </c>
      <c r="R5603" s="10" t="s">
        <v>32120</v>
      </c>
      <c r="S5603" s="11"/>
      <c r="T5603" s="6"/>
      <c r="U5603" s="15" t="str">
        <f>HYPERLINK("https://media.infra-m.ru/2237/2237196/cover/2237196.jpg", "Обложка")</f>
        <v>Обложка</v>
      </c>
      <c r="V5603" s="8" t="s">
        <v>1184</v>
      </c>
      <c r="W5603" s="6"/>
      <c r="X5603" s="6"/>
      <c r="Y5603" s="6"/>
      <c r="Z5603" s="6"/>
      <c r="AA5603" s="6" t="s">
        <v>157</v>
      </c>
      <c r="AB5603" s="8"/>
      <c r="AC5603" s="27">
        <v>9785001562757</v>
      </c>
    </row>
    <row r="5604" spans="1:29" s="4" customFormat="1" ht="51.9" customHeight="1" x14ac:dyDescent="0.2">
      <c r="A5604" s="5">
        <v>0</v>
      </c>
      <c r="B5604" s="6" t="s">
        <v>32121</v>
      </c>
      <c r="C5604" s="7">
        <v>3808.8</v>
      </c>
      <c r="D5604" s="8" t="s">
        <v>32122</v>
      </c>
      <c r="E5604" s="8" t="s">
        <v>32123</v>
      </c>
      <c r="F5604" s="8" t="s">
        <v>32124</v>
      </c>
      <c r="G5604" s="6" t="s">
        <v>118</v>
      </c>
      <c r="H5604" s="6" t="s">
        <v>34</v>
      </c>
      <c r="I5604" s="8" t="s">
        <v>2025</v>
      </c>
      <c r="J5604" s="9">
        <v>1</v>
      </c>
      <c r="K5604" s="9">
        <v>548</v>
      </c>
      <c r="L5604" s="9">
        <v>2027</v>
      </c>
      <c r="M5604" s="8" t="s">
        <v>32125</v>
      </c>
      <c r="N5604" s="8" t="s">
        <v>37</v>
      </c>
      <c r="O5604" s="8" t="s">
        <v>136</v>
      </c>
      <c r="P5604" s="6" t="s">
        <v>306</v>
      </c>
      <c r="Q5604" s="8" t="s">
        <v>52</v>
      </c>
      <c r="R5604" s="10" t="s">
        <v>1068</v>
      </c>
      <c r="S5604" s="11" t="s">
        <v>32126</v>
      </c>
      <c r="T5604" s="6"/>
      <c r="U5604" s="15" t="str">
        <f>HYPERLINK("https://media.infra-m.ru/2271/2271607/cover/2271607.jpg", "Обложка")</f>
        <v>Обложка</v>
      </c>
      <c r="V5604" s="8" t="s">
        <v>247</v>
      </c>
      <c r="W5604" s="6"/>
      <c r="X5604" s="6"/>
      <c r="Y5604" s="6"/>
      <c r="Z5604" s="6"/>
      <c r="AA5604" s="6" t="s">
        <v>115</v>
      </c>
      <c r="AB5604" s="8"/>
      <c r="AC5604" s="27">
        <v>9785160159997</v>
      </c>
    </row>
    <row r="5605" spans="1:29" s="4" customFormat="1" ht="51.9" customHeight="1" x14ac:dyDescent="0.2">
      <c r="A5605" s="5">
        <v>0</v>
      </c>
      <c r="B5605" s="6" t="s">
        <v>32127</v>
      </c>
      <c r="C5605" s="7">
        <v>1528.8</v>
      </c>
      <c r="D5605" s="8" t="s">
        <v>32128</v>
      </c>
      <c r="E5605" s="8" t="s">
        <v>32129</v>
      </c>
      <c r="F5605" s="8" t="s">
        <v>32130</v>
      </c>
      <c r="G5605" s="6" t="s">
        <v>118</v>
      </c>
      <c r="H5605" s="6" t="s">
        <v>34</v>
      </c>
      <c r="I5605" s="8" t="s">
        <v>304</v>
      </c>
      <c r="J5605" s="9">
        <v>1</v>
      </c>
      <c r="K5605" s="9">
        <v>232</v>
      </c>
      <c r="L5605" s="9">
        <v>2026</v>
      </c>
      <c r="M5605" s="8" t="s">
        <v>32131</v>
      </c>
      <c r="N5605" s="8" t="s">
        <v>37</v>
      </c>
      <c r="O5605" s="8" t="s">
        <v>136</v>
      </c>
      <c r="P5605" s="6" t="s">
        <v>306</v>
      </c>
      <c r="Q5605" s="8" t="s">
        <v>65</v>
      </c>
      <c r="R5605" s="10" t="s">
        <v>1275</v>
      </c>
      <c r="S5605" s="11"/>
      <c r="T5605" s="6"/>
      <c r="U5605" s="15" t="str">
        <f>HYPERLINK("https://media.infra-m.ru/2243/2243125/cover/2243125.jpg", "Обложка")</f>
        <v>Обложка</v>
      </c>
      <c r="V5605" s="8" t="s">
        <v>247</v>
      </c>
      <c r="W5605" s="6"/>
      <c r="X5605" s="6"/>
      <c r="Y5605" s="6"/>
      <c r="Z5605" s="6"/>
      <c r="AA5605" s="6" t="s">
        <v>115</v>
      </c>
      <c r="AB5605" s="8"/>
      <c r="AC5605" s="27">
        <v>9785160141695</v>
      </c>
    </row>
    <row r="5606" spans="1:29" s="4" customFormat="1" ht="42" customHeight="1" x14ac:dyDescent="0.2">
      <c r="A5606" s="5">
        <v>0</v>
      </c>
      <c r="B5606" s="6" t="s">
        <v>32132</v>
      </c>
      <c r="C5606" s="7">
        <v>1072.8</v>
      </c>
      <c r="D5606" s="8" t="s">
        <v>32133</v>
      </c>
      <c r="E5606" s="8" t="s">
        <v>32134</v>
      </c>
      <c r="F5606" s="8" t="s">
        <v>32135</v>
      </c>
      <c r="G5606" s="6" t="s">
        <v>118</v>
      </c>
      <c r="H5606" s="6" t="s">
        <v>134</v>
      </c>
      <c r="I5606" s="8"/>
      <c r="J5606" s="9">
        <v>1</v>
      </c>
      <c r="K5606" s="9">
        <v>160</v>
      </c>
      <c r="L5606" s="9">
        <v>2025</v>
      </c>
      <c r="M5606" s="8" t="s">
        <v>32136</v>
      </c>
      <c r="N5606" s="8" t="s">
        <v>37</v>
      </c>
      <c r="O5606" s="8" t="s">
        <v>136</v>
      </c>
      <c r="P5606" s="6" t="s">
        <v>39</v>
      </c>
      <c r="Q5606" s="8" t="s">
        <v>40</v>
      </c>
      <c r="R5606" s="10" t="s">
        <v>684</v>
      </c>
      <c r="S5606" s="11"/>
      <c r="T5606" s="6"/>
      <c r="U5606" s="15" t="str">
        <f>HYPERLINK("https://media.infra-m.ru/2181/2181579/cover/2181579.jpg", "Обложка")</f>
        <v>Обложка</v>
      </c>
      <c r="V5606" s="8" t="s">
        <v>546</v>
      </c>
      <c r="W5606" s="6"/>
      <c r="X5606" s="6"/>
      <c r="Y5606" s="6"/>
      <c r="Z5606" s="6"/>
      <c r="AA5606" s="6" t="s">
        <v>148</v>
      </c>
      <c r="AB5606" s="8"/>
      <c r="AC5606" s="27">
        <v>9785001562207</v>
      </c>
    </row>
    <row r="5607" spans="1:29" s="4" customFormat="1" ht="42" customHeight="1" x14ac:dyDescent="0.2">
      <c r="A5607" s="5">
        <v>0</v>
      </c>
      <c r="B5607" s="6" t="s">
        <v>32137</v>
      </c>
      <c r="C5607" s="7">
        <v>1132.8</v>
      </c>
      <c r="D5607" s="8" t="s">
        <v>32138</v>
      </c>
      <c r="E5607" s="8" t="s">
        <v>32139</v>
      </c>
      <c r="F5607" s="8" t="s">
        <v>19986</v>
      </c>
      <c r="G5607" s="6" t="s">
        <v>60</v>
      </c>
      <c r="H5607" s="6" t="s">
        <v>134</v>
      </c>
      <c r="I5607" s="8"/>
      <c r="J5607" s="9">
        <v>1</v>
      </c>
      <c r="K5607" s="9">
        <v>176</v>
      </c>
      <c r="L5607" s="9">
        <v>2026</v>
      </c>
      <c r="M5607" s="8" t="s">
        <v>32140</v>
      </c>
      <c r="N5607" s="8" t="s">
        <v>37</v>
      </c>
      <c r="O5607" s="8" t="s">
        <v>136</v>
      </c>
      <c r="P5607" s="6" t="s">
        <v>39</v>
      </c>
      <c r="Q5607" s="8" t="s">
        <v>40</v>
      </c>
      <c r="R5607" s="10" t="s">
        <v>8485</v>
      </c>
      <c r="S5607" s="11"/>
      <c r="T5607" s="6"/>
      <c r="U5607" s="15" t="str">
        <f>HYPERLINK("https://media.infra-m.ru/2217/2217098/cover/2217098.jpg", "Обложка")</f>
        <v>Обложка</v>
      </c>
      <c r="V5607" s="8" t="s">
        <v>644</v>
      </c>
      <c r="W5607" s="6"/>
      <c r="X5607" s="6"/>
      <c r="Y5607" s="6"/>
      <c r="Z5607" s="6"/>
      <c r="AA5607" s="6" t="s">
        <v>1303</v>
      </c>
      <c r="AB5607" s="8"/>
      <c r="AC5607" s="27">
        <v>9785001562948</v>
      </c>
    </row>
    <row r="5608" spans="1:29" s="4" customFormat="1" ht="42" customHeight="1" x14ac:dyDescent="0.2">
      <c r="A5608" s="5">
        <v>0</v>
      </c>
      <c r="B5608" s="6" t="s">
        <v>32141</v>
      </c>
      <c r="C5608" s="13">
        <v>828</v>
      </c>
      <c r="D5608" s="8" t="s">
        <v>32142</v>
      </c>
      <c r="E5608" s="8" t="s">
        <v>32143</v>
      </c>
      <c r="F5608" s="8" t="s">
        <v>19986</v>
      </c>
      <c r="G5608" s="6" t="s">
        <v>118</v>
      </c>
      <c r="H5608" s="6" t="s">
        <v>134</v>
      </c>
      <c r="I5608" s="8"/>
      <c r="J5608" s="9">
        <v>1</v>
      </c>
      <c r="K5608" s="9">
        <v>144</v>
      </c>
      <c r="L5608" s="9">
        <v>2023</v>
      </c>
      <c r="M5608" s="8" t="s">
        <v>32144</v>
      </c>
      <c r="N5608" s="8" t="s">
        <v>37</v>
      </c>
      <c r="O5608" s="8" t="s">
        <v>136</v>
      </c>
      <c r="P5608" s="6" t="s">
        <v>39</v>
      </c>
      <c r="Q5608" s="8" t="s">
        <v>40</v>
      </c>
      <c r="R5608" s="10" t="s">
        <v>8485</v>
      </c>
      <c r="S5608" s="11"/>
      <c r="T5608" s="6"/>
      <c r="U5608" s="15" t="str">
        <f>HYPERLINK("https://media.infra-m.ru/1864/1864113/cover/1864113.jpg", "Обложка")</f>
        <v>Обложка</v>
      </c>
      <c r="V5608" s="8" t="s">
        <v>644</v>
      </c>
      <c r="W5608" s="6"/>
      <c r="X5608" s="6"/>
      <c r="Y5608" s="6"/>
      <c r="Z5608" s="6"/>
      <c r="AA5608" s="6" t="s">
        <v>1256</v>
      </c>
      <c r="AB5608" s="8"/>
      <c r="AC5608" s="27">
        <v>9785001560715</v>
      </c>
    </row>
    <row r="5609" spans="1:29" s="4" customFormat="1" ht="51.9" customHeight="1" x14ac:dyDescent="0.2">
      <c r="A5609" s="5">
        <v>0</v>
      </c>
      <c r="B5609" s="6" t="s">
        <v>32145</v>
      </c>
      <c r="C5609" s="7">
        <v>1668</v>
      </c>
      <c r="D5609" s="8" t="s">
        <v>32146</v>
      </c>
      <c r="E5609" s="8" t="s">
        <v>32147</v>
      </c>
      <c r="F5609" s="8" t="s">
        <v>172</v>
      </c>
      <c r="G5609" s="6" t="s">
        <v>118</v>
      </c>
      <c r="H5609" s="6" t="s">
        <v>34</v>
      </c>
      <c r="I5609" s="8" t="s">
        <v>35</v>
      </c>
      <c r="J5609" s="9">
        <v>1</v>
      </c>
      <c r="K5609" s="9">
        <v>266</v>
      </c>
      <c r="L5609" s="9">
        <v>2025</v>
      </c>
      <c r="M5609" s="8" t="s">
        <v>32148</v>
      </c>
      <c r="N5609" s="8" t="s">
        <v>37</v>
      </c>
      <c r="O5609" s="8" t="s">
        <v>83</v>
      </c>
      <c r="P5609" s="6" t="s">
        <v>39</v>
      </c>
      <c r="Q5609" s="8" t="s">
        <v>40</v>
      </c>
      <c r="R5609" s="10" t="s">
        <v>6775</v>
      </c>
      <c r="S5609" s="11"/>
      <c r="T5609" s="6"/>
      <c r="U5609" s="15" t="str">
        <f>HYPERLINK("https://media.infra-m.ru/2209/2209477/cover/2209477.jpg", "Обложка")</f>
        <v>Обложка</v>
      </c>
      <c r="V5609" s="8" t="s">
        <v>128</v>
      </c>
      <c r="W5609" s="6"/>
      <c r="X5609" s="6"/>
      <c r="Y5609" s="6"/>
      <c r="Z5609" s="6"/>
      <c r="AA5609" s="6" t="s">
        <v>779</v>
      </c>
      <c r="AB5609" s="8"/>
      <c r="AC5609" s="27">
        <v>9785160120362</v>
      </c>
    </row>
    <row r="5610" spans="1:29" s="4" customFormat="1" ht="51.9" customHeight="1" x14ac:dyDescent="0.2">
      <c r="A5610" s="5">
        <v>0</v>
      </c>
      <c r="B5610" s="6" t="s">
        <v>32149</v>
      </c>
      <c r="C5610" s="7">
        <v>1536</v>
      </c>
      <c r="D5610" s="8" t="s">
        <v>32150</v>
      </c>
      <c r="E5610" s="8" t="s">
        <v>32151</v>
      </c>
      <c r="F5610" s="8" t="s">
        <v>32152</v>
      </c>
      <c r="G5610" s="6" t="s">
        <v>60</v>
      </c>
      <c r="H5610" s="6" t="s">
        <v>34</v>
      </c>
      <c r="I5610" s="8" t="s">
        <v>35</v>
      </c>
      <c r="J5610" s="9">
        <v>1</v>
      </c>
      <c r="K5610" s="9">
        <v>221</v>
      </c>
      <c r="L5610" s="9">
        <v>2026</v>
      </c>
      <c r="M5610" s="8" t="s">
        <v>32153</v>
      </c>
      <c r="N5610" s="8" t="s">
        <v>37</v>
      </c>
      <c r="O5610" s="8" t="s">
        <v>136</v>
      </c>
      <c r="P5610" s="6" t="s">
        <v>39</v>
      </c>
      <c r="Q5610" s="8" t="s">
        <v>40</v>
      </c>
      <c r="R5610" s="10" t="s">
        <v>27223</v>
      </c>
      <c r="S5610" s="11"/>
      <c r="T5610" s="6"/>
      <c r="U5610" s="15" t="str">
        <f>HYPERLINK("https://media.infra-m.ru/2212/2212036/cover/2212036.jpg", "Обложка")</f>
        <v>Обложка</v>
      </c>
      <c r="V5610" s="8" t="s">
        <v>21052</v>
      </c>
      <c r="W5610" s="6" t="s">
        <v>186</v>
      </c>
      <c r="X5610" s="6"/>
      <c r="Y5610" s="6"/>
      <c r="Z5610" s="6"/>
      <c r="AA5610" s="6" t="s">
        <v>187</v>
      </c>
      <c r="AB5610" s="8" t="s">
        <v>308</v>
      </c>
      <c r="AC5610" s="27">
        <v>9785160210551</v>
      </c>
    </row>
    <row r="5611" spans="1:29" s="4" customFormat="1" ht="51.9" customHeight="1" x14ac:dyDescent="0.2">
      <c r="A5611" s="5">
        <v>0</v>
      </c>
      <c r="B5611" s="6" t="s">
        <v>32154</v>
      </c>
      <c r="C5611" s="7">
        <v>1080</v>
      </c>
      <c r="D5611" s="8" t="s">
        <v>32155</v>
      </c>
      <c r="E5611" s="8" t="s">
        <v>32156</v>
      </c>
      <c r="F5611" s="8" t="s">
        <v>32157</v>
      </c>
      <c r="G5611" s="6" t="s">
        <v>118</v>
      </c>
      <c r="H5611" s="6" t="s">
        <v>313</v>
      </c>
      <c r="I5611" s="8" t="s">
        <v>4551</v>
      </c>
      <c r="J5611" s="9">
        <v>1</v>
      </c>
      <c r="K5611" s="9">
        <v>194</v>
      </c>
      <c r="L5611" s="9">
        <v>2023</v>
      </c>
      <c r="M5611" s="8" t="s">
        <v>32158</v>
      </c>
      <c r="N5611" s="8" t="s">
        <v>37</v>
      </c>
      <c r="O5611" s="8" t="s">
        <v>136</v>
      </c>
      <c r="P5611" s="6" t="s">
        <v>51</v>
      </c>
      <c r="Q5611" s="8" t="s">
        <v>52</v>
      </c>
      <c r="R5611" s="10" t="s">
        <v>1631</v>
      </c>
      <c r="S5611" s="11" t="s">
        <v>32159</v>
      </c>
      <c r="T5611" s="6"/>
      <c r="U5611" s="15" t="str">
        <f>HYPERLINK("https://media.infra-m.ru/1974/1974375/cover/1974375.jpg", "Обложка")</f>
        <v>Обложка</v>
      </c>
      <c r="V5611" s="8" t="s">
        <v>512</v>
      </c>
      <c r="W5611" s="6"/>
      <c r="X5611" s="6"/>
      <c r="Y5611" s="6"/>
      <c r="Z5611" s="6"/>
      <c r="AA5611" s="6" t="s">
        <v>6898</v>
      </c>
      <c r="AB5611" s="8"/>
      <c r="AC5611" s="27">
        <v>9785369018507</v>
      </c>
    </row>
    <row r="5612" spans="1:29" s="4" customFormat="1" ht="51.9" customHeight="1" x14ac:dyDescent="0.2">
      <c r="A5612" s="5">
        <v>0</v>
      </c>
      <c r="B5612" s="6" t="s">
        <v>32160</v>
      </c>
      <c r="C5612" s="13">
        <v>672</v>
      </c>
      <c r="D5612" s="8" t="s">
        <v>32161</v>
      </c>
      <c r="E5612" s="8" t="s">
        <v>32162</v>
      </c>
      <c r="F5612" s="8" t="s">
        <v>32157</v>
      </c>
      <c r="G5612" s="6" t="s">
        <v>60</v>
      </c>
      <c r="H5612" s="6" t="s">
        <v>313</v>
      </c>
      <c r="I5612" s="8" t="s">
        <v>253</v>
      </c>
      <c r="J5612" s="9">
        <v>1</v>
      </c>
      <c r="K5612" s="9">
        <v>163</v>
      </c>
      <c r="L5612" s="9">
        <v>2018</v>
      </c>
      <c r="M5612" s="8" t="s">
        <v>32163</v>
      </c>
      <c r="N5612" s="8" t="s">
        <v>37</v>
      </c>
      <c r="O5612" s="8" t="s">
        <v>136</v>
      </c>
      <c r="P5612" s="6" t="s">
        <v>51</v>
      </c>
      <c r="Q5612" s="8" t="s">
        <v>52</v>
      </c>
      <c r="R5612" s="10" t="s">
        <v>1631</v>
      </c>
      <c r="S5612" s="11" t="s">
        <v>32159</v>
      </c>
      <c r="T5612" s="6"/>
      <c r="U5612" s="15" t="str">
        <f>HYPERLINK("https://media.infra-m.ru/1088/1088228/cover/1088228.jpg", "Обложка")</f>
        <v>Обложка</v>
      </c>
      <c r="V5612" s="8" t="s">
        <v>512</v>
      </c>
      <c r="W5612" s="6"/>
      <c r="X5612" s="6"/>
      <c r="Y5612" s="6"/>
      <c r="Z5612" s="6"/>
      <c r="AA5612" s="6" t="s">
        <v>3800</v>
      </c>
      <c r="AB5612" s="8"/>
      <c r="AC5612" s="27">
        <v>9785369014653</v>
      </c>
    </row>
    <row r="5613" spans="1:29" s="4" customFormat="1" ht="42" customHeight="1" x14ac:dyDescent="0.2">
      <c r="A5613" s="5">
        <v>0</v>
      </c>
      <c r="B5613" s="6" t="s">
        <v>32164</v>
      </c>
      <c r="C5613" s="7">
        <v>1745.9</v>
      </c>
      <c r="D5613" s="8" t="s">
        <v>32165</v>
      </c>
      <c r="E5613" s="8" t="s">
        <v>32166</v>
      </c>
      <c r="F5613" s="8" t="s">
        <v>32167</v>
      </c>
      <c r="G5613" s="6" t="s">
        <v>60</v>
      </c>
      <c r="H5613" s="6" t="s">
        <v>134</v>
      </c>
      <c r="I5613" s="8"/>
      <c r="J5613" s="9">
        <v>1</v>
      </c>
      <c r="K5613" s="9">
        <v>384</v>
      </c>
      <c r="L5613" s="9">
        <v>2022</v>
      </c>
      <c r="M5613" s="8" t="s">
        <v>32168</v>
      </c>
      <c r="N5613" s="8" t="s">
        <v>37</v>
      </c>
      <c r="O5613" s="8" t="s">
        <v>136</v>
      </c>
      <c r="P5613" s="6" t="s">
        <v>306</v>
      </c>
      <c r="Q5613" s="8" t="s">
        <v>52</v>
      </c>
      <c r="R5613" s="10" t="s">
        <v>6521</v>
      </c>
      <c r="S5613" s="11"/>
      <c r="T5613" s="6"/>
      <c r="U5613" s="15" t="str">
        <f>HYPERLINK("https://media.infra-m.ru/1852/1852230/cover/1852230.jpg", "Обложка")</f>
        <v>Обложка</v>
      </c>
      <c r="V5613" s="8" t="s">
        <v>1069</v>
      </c>
      <c r="W5613" s="6"/>
      <c r="X5613" s="6"/>
      <c r="Y5613" s="6"/>
      <c r="Z5613" s="6"/>
      <c r="AA5613" s="6" t="s">
        <v>779</v>
      </c>
      <c r="AB5613" s="8"/>
      <c r="AC5613" s="27">
        <v>9785917687230</v>
      </c>
    </row>
    <row r="5614" spans="1:29" s="4" customFormat="1" ht="51.9" customHeight="1" x14ac:dyDescent="0.2">
      <c r="A5614" s="5">
        <v>0</v>
      </c>
      <c r="B5614" s="6" t="s">
        <v>32169</v>
      </c>
      <c r="C5614" s="7">
        <v>1248</v>
      </c>
      <c r="D5614" s="8" t="s">
        <v>32170</v>
      </c>
      <c r="E5614" s="8" t="s">
        <v>32171</v>
      </c>
      <c r="F5614" s="8" t="s">
        <v>32172</v>
      </c>
      <c r="G5614" s="6" t="s">
        <v>118</v>
      </c>
      <c r="H5614" s="6" t="s">
        <v>134</v>
      </c>
      <c r="I5614" s="8"/>
      <c r="J5614" s="9">
        <v>1</v>
      </c>
      <c r="K5614" s="9">
        <v>200</v>
      </c>
      <c r="L5614" s="9">
        <v>2026</v>
      </c>
      <c r="M5614" s="8" t="s">
        <v>32173</v>
      </c>
      <c r="N5614" s="8" t="s">
        <v>37</v>
      </c>
      <c r="O5614" s="8" t="s">
        <v>136</v>
      </c>
      <c r="P5614" s="6" t="s">
        <v>39</v>
      </c>
      <c r="Q5614" s="8" t="s">
        <v>40</v>
      </c>
      <c r="R5614" s="10" t="s">
        <v>12216</v>
      </c>
      <c r="S5614" s="11"/>
      <c r="T5614" s="6"/>
      <c r="U5614" s="15" t="str">
        <f>HYPERLINK("https://media.infra-m.ru/2216/2216316/cover/2216316.jpg", "Обложка")</f>
        <v>Обложка</v>
      </c>
      <c r="V5614" s="8" t="s">
        <v>32174</v>
      </c>
      <c r="W5614" s="6"/>
      <c r="X5614" s="6"/>
      <c r="Y5614" s="6"/>
      <c r="Z5614" s="6"/>
      <c r="AA5614" s="6" t="s">
        <v>430</v>
      </c>
      <c r="AB5614" s="8"/>
      <c r="AC5614" s="27">
        <v>9785001560852</v>
      </c>
    </row>
    <row r="5615" spans="1:29" s="4" customFormat="1" ht="42" customHeight="1" x14ac:dyDescent="0.2">
      <c r="A5615" s="5">
        <v>0</v>
      </c>
      <c r="B5615" s="6" t="s">
        <v>32175</v>
      </c>
      <c r="C5615" s="7">
        <v>3540</v>
      </c>
      <c r="D5615" s="8" t="s">
        <v>32176</v>
      </c>
      <c r="E5615" s="8" t="s">
        <v>32177</v>
      </c>
      <c r="F5615" s="8" t="s">
        <v>674</v>
      </c>
      <c r="G5615" s="6" t="s">
        <v>60</v>
      </c>
      <c r="H5615" s="6" t="s">
        <v>134</v>
      </c>
      <c r="I5615" s="8"/>
      <c r="J5615" s="9">
        <v>1</v>
      </c>
      <c r="K5615" s="9">
        <v>536</v>
      </c>
      <c r="L5615" s="9">
        <v>2026</v>
      </c>
      <c r="M5615" s="8" t="s">
        <v>32178</v>
      </c>
      <c r="N5615" s="8" t="s">
        <v>37</v>
      </c>
      <c r="O5615" s="8" t="s">
        <v>136</v>
      </c>
      <c r="P5615" s="6" t="s">
        <v>39</v>
      </c>
      <c r="Q5615" s="8" t="s">
        <v>40</v>
      </c>
      <c r="R5615" s="10" t="s">
        <v>1625</v>
      </c>
      <c r="S5615" s="11"/>
      <c r="T5615" s="6"/>
      <c r="U5615" s="15" t="str">
        <f>HYPERLINK("https://media.infra-m.ru/2241/2241493/cover/2241493.jpg", "Обложка")</f>
        <v>Обложка</v>
      </c>
      <c r="V5615" s="8" t="s">
        <v>677</v>
      </c>
      <c r="W5615" s="6"/>
      <c r="X5615" s="6"/>
      <c r="Y5615" s="6"/>
      <c r="Z5615" s="6"/>
      <c r="AA5615" s="6" t="s">
        <v>4023</v>
      </c>
      <c r="AB5615" s="8"/>
      <c r="AC5615" s="27">
        <v>9785001562924</v>
      </c>
    </row>
    <row r="5616" spans="1:29" s="4" customFormat="1" ht="42" customHeight="1" x14ac:dyDescent="0.2">
      <c r="A5616" s="5">
        <v>0</v>
      </c>
      <c r="B5616" s="6" t="s">
        <v>32179</v>
      </c>
      <c r="C5616" s="7">
        <v>1992</v>
      </c>
      <c r="D5616" s="8" t="s">
        <v>32180</v>
      </c>
      <c r="E5616" s="8" t="s">
        <v>32181</v>
      </c>
      <c r="F5616" s="8" t="s">
        <v>674</v>
      </c>
      <c r="G5616" s="6" t="s">
        <v>118</v>
      </c>
      <c r="H5616" s="6" t="s">
        <v>134</v>
      </c>
      <c r="I5616" s="8"/>
      <c r="J5616" s="9">
        <v>1</v>
      </c>
      <c r="K5616" s="9">
        <v>368</v>
      </c>
      <c r="L5616" s="9">
        <v>2023</v>
      </c>
      <c r="M5616" s="8" t="s">
        <v>32182</v>
      </c>
      <c r="N5616" s="8" t="s">
        <v>37</v>
      </c>
      <c r="O5616" s="8" t="s">
        <v>136</v>
      </c>
      <c r="P5616" s="6" t="s">
        <v>39</v>
      </c>
      <c r="Q5616" s="8" t="s">
        <v>40</v>
      </c>
      <c r="R5616" s="10" t="s">
        <v>1625</v>
      </c>
      <c r="S5616" s="11"/>
      <c r="T5616" s="6"/>
      <c r="U5616" s="15" t="str">
        <f>HYPERLINK("https://media.infra-m.ru/1912/1912908/cover/1912908.jpg", "Обложка")</f>
        <v>Обложка</v>
      </c>
      <c r="V5616" s="8" t="s">
        <v>677</v>
      </c>
      <c r="W5616" s="6"/>
      <c r="X5616" s="6"/>
      <c r="Y5616" s="6"/>
      <c r="Z5616" s="6"/>
      <c r="AA5616" s="6" t="s">
        <v>404</v>
      </c>
      <c r="AB5616" s="8"/>
      <c r="AC5616" s="27">
        <v>9785917689166</v>
      </c>
    </row>
    <row r="5617" spans="1:29" s="4" customFormat="1" ht="44.1" customHeight="1" x14ac:dyDescent="0.2">
      <c r="A5617" s="5">
        <v>0</v>
      </c>
      <c r="B5617" s="6" t="s">
        <v>32183</v>
      </c>
      <c r="C5617" s="7">
        <v>2500.8000000000002</v>
      </c>
      <c r="D5617" s="8" t="s">
        <v>32184</v>
      </c>
      <c r="E5617" s="8" t="s">
        <v>32185</v>
      </c>
      <c r="F5617" s="8" t="s">
        <v>10776</v>
      </c>
      <c r="G5617" s="6" t="s">
        <v>60</v>
      </c>
      <c r="H5617" s="6" t="s">
        <v>1779</v>
      </c>
      <c r="I5617" s="8"/>
      <c r="J5617" s="9">
        <v>1</v>
      </c>
      <c r="K5617" s="9">
        <v>400</v>
      </c>
      <c r="L5617" s="9">
        <v>2026</v>
      </c>
      <c r="M5617" s="8" t="s">
        <v>32186</v>
      </c>
      <c r="N5617" s="8" t="s">
        <v>37</v>
      </c>
      <c r="O5617" s="8" t="s">
        <v>136</v>
      </c>
      <c r="P5617" s="6" t="s">
        <v>39</v>
      </c>
      <c r="Q5617" s="8" t="s">
        <v>749</v>
      </c>
      <c r="R5617" s="10" t="s">
        <v>32187</v>
      </c>
      <c r="S5617" s="11"/>
      <c r="T5617" s="6"/>
      <c r="U5617" s="15" t="str">
        <f>HYPERLINK("https://media.infra-m.ru/2210/2210342/cover/2210342.jpg", "Обложка")</f>
        <v>Обложка</v>
      </c>
      <c r="V5617" s="8" t="s">
        <v>2466</v>
      </c>
      <c r="W5617" s="6"/>
      <c r="X5617" s="6"/>
      <c r="Y5617" s="6"/>
      <c r="Z5617" s="6"/>
      <c r="AA5617" s="6" t="s">
        <v>248</v>
      </c>
      <c r="AB5617" s="8"/>
      <c r="AC5617" s="27">
        <v>9785917684383</v>
      </c>
    </row>
    <row r="5618" spans="1:29" s="4" customFormat="1" ht="51.9" customHeight="1" x14ac:dyDescent="0.2">
      <c r="A5618" s="5">
        <v>0</v>
      </c>
      <c r="B5618" s="6" t="s">
        <v>32188</v>
      </c>
      <c r="C5618" s="7">
        <v>1152</v>
      </c>
      <c r="D5618" s="8" t="s">
        <v>32189</v>
      </c>
      <c r="E5618" s="8" t="s">
        <v>32190</v>
      </c>
      <c r="F5618" s="8" t="s">
        <v>32191</v>
      </c>
      <c r="G5618" s="6" t="s">
        <v>118</v>
      </c>
      <c r="H5618" s="6" t="s">
        <v>34</v>
      </c>
      <c r="I5618" s="8" t="s">
        <v>263</v>
      </c>
      <c r="J5618" s="9">
        <v>1</v>
      </c>
      <c r="K5618" s="9">
        <v>175</v>
      </c>
      <c r="L5618" s="9">
        <v>2026</v>
      </c>
      <c r="M5618" s="8" t="s">
        <v>32192</v>
      </c>
      <c r="N5618" s="8" t="s">
        <v>37</v>
      </c>
      <c r="O5618" s="8" t="s">
        <v>136</v>
      </c>
      <c r="P5618" s="6" t="s">
        <v>51</v>
      </c>
      <c r="Q5618" s="8" t="s">
        <v>265</v>
      </c>
      <c r="R5618" s="10" t="s">
        <v>26953</v>
      </c>
      <c r="S5618" s="11" t="s">
        <v>32193</v>
      </c>
      <c r="T5618" s="6"/>
      <c r="U5618" s="15" t="str">
        <f>HYPERLINK("https://media.infra-m.ru/2227/2227330/cover/2227330.jpg", "Обложка")</f>
        <v>Обложка</v>
      </c>
      <c r="V5618" s="8" t="s">
        <v>1339</v>
      </c>
      <c r="W5618" s="6"/>
      <c r="X5618" s="6"/>
      <c r="Y5618" s="6"/>
      <c r="Z5618" s="6"/>
      <c r="AA5618" s="6" t="s">
        <v>1256</v>
      </c>
      <c r="AB5618" s="8" t="s">
        <v>3581</v>
      </c>
      <c r="AC5618" s="27">
        <v>9785160146683</v>
      </c>
    </row>
    <row r="5619" spans="1:29" s="4" customFormat="1" ht="51.9" customHeight="1" x14ac:dyDescent="0.2">
      <c r="A5619" s="5">
        <v>0</v>
      </c>
      <c r="B5619" s="6" t="s">
        <v>32194</v>
      </c>
      <c r="C5619" s="7">
        <v>2316</v>
      </c>
      <c r="D5619" s="8" t="s">
        <v>32195</v>
      </c>
      <c r="E5619" s="8" t="s">
        <v>32196</v>
      </c>
      <c r="F5619" s="8" t="s">
        <v>32197</v>
      </c>
      <c r="G5619" s="6" t="s">
        <v>118</v>
      </c>
      <c r="H5619" s="6" t="s">
        <v>34</v>
      </c>
      <c r="I5619" s="8" t="s">
        <v>263</v>
      </c>
      <c r="J5619" s="9">
        <v>1</v>
      </c>
      <c r="K5619" s="9">
        <v>386</v>
      </c>
      <c r="L5619" s="9">
        <v>2025</v>
      </c>
      <c r="M5619" s="8" t="s">
        <v>32198</v>
      </c>
      <c r="N5619" s="8" t="s">
        <v>37</v>
      </c>
      <c r="O5619" s="8" t="s">
        <v>136</v>
      </c>
      <c r="P5619" s="6" t="s">
        <v>306</v>
      </c>
      <c r="Q5619" s="8" t="s">
        <v>265</v>
      </c>
      <c r="R5619" s="10" t="s">
        <v>32199</v>
      </c>
      <c r="S5619" s="11" t="s">
        <v>32200</v>
      </c>
      <c r="T5619" s="6"/>
      <c r="U5619" s="15" t="str">
        <f>HYPERLINK("https://media.infra-m.ru/2152/2152108/cover/2152108.jpg", "Обложка")</f>
        <v>Обложка</v>
      </c>
      <c r="V5619" s="8" t="s">
        <v>4943</v>
      </c>
      <c r="W5619" s="6"/>
      <c r="X5619" s="6"/>
      <c r="Y5619" s="6"/>
      <c r="Z5619" s="6"/>
      <c r="AA5619" s="6" t="s">
        <v>115</v>
      </c>
      <c r="AB5619" s="8"/>
      <c r="AC5619" s="27">
        <v>9785160145303</v>
      </c>
    </row>
    <row r="5620" spans="1:29" s="4" customFormat="1" ht="51.9" customHeight="1" x14ac:dyDescent="0.2">
      <c r="A5620" s="5">
        <v>0</v>
      </c>
      <c r="B5620" s="6" t="s">
        <v>32201</v>
      </c>
      <c r="C5620" s="7">
        <v>3592.8</v>
      </c>
      <c r="D5620" s="8" t="s">
        <v>32202</v>
      </c>
      <c r="E5620" s="8" t="s">
        <v>32203</v>
      </c>
      <c r="F5620" s="8" t="s">
        <v>32204</v>
      </c>
      <c r="G5620" s="6" t="s">
        <v>60</v>
      </c>
      <c r="H5620" s="6" t="s">
        <v>134</v>
      </c>
      <c r="I5620" s="8" t="s">
        <v>263</v>
      </c>
      <c r="J5620" s="9">
        <v>1</v>
      </c>
      <c r="K5620" s="9">
        <v>576</v>
      </c>
      <c r="L5620" s="9">
        <v>2026</v>
      </c>
      <c r="M5620" s="8" t="s">
        <v>32205</v>
      </c>
      <c r="N5620" s="8" t="s">
        <v>37</v>
      </c>
      <c r="O5620" s="8" t="s">
        <v>136</v>
      </c>
      <c r="P5620" s="6" t="s">
        <v>306</v>
      </c>
      <c r="Q5620" s="8" t="s">
        <v>265</v>
      </c>
      <c r="R5620" s="10" t="s">
        <v>28551</v>
      </c>
      <c r="S5620" s="11" t="s">
        <v>32206</v>
      </c>
      <c r="T5620" s="6"/>
      <c r="U5620" s="15" t="str">
        <f>HYPERLINK("https://media.infra-m.ru/2237/2237710/cover/2237710.jpg", "Обложка")</f>
        <v>Обложка</v>
      </c>
      <c r="V5620" s="8" t="s">
        <v>32207</v>
      </c>
      <c r="W5620" s="6"/>
      <c r="X5620" s="6"/>
      <c r="Y5620" s="6"/>
      <c r="Z5620" s="6" t="s">
        <v>267</v>
      </c>
      <c r="AA5620" s="6" t="s">
        <v>1303</v>
      </c>
      <c r="AB5620" s="8"/>
      <c r="AC5620" s="27">
        <v>9785001562610</v>
      </c>
    </row>
    <row r="5621" spans="1:29" s="4" customFormat="1" ht="51.9" customHeight="1" x14ac:dyDescent="0.2">
      <c r="A5621" s="5">
        <v>0</v>
      </c>
      <c r="B5621" s="6" t="s">
        <v>32208</v>
      </c>
      <c r="C5621" s="7">
        <v>1565.9</v>
      </c>
      <c r="D5621" s="8" t="s">
        <v>32209</v>
      </c>
      <c r="E5621" s="8" t="s">
        <v>32196</v>
      </c>
      <c r="F5621" s="8" t="s">
        <v>32204</v>
      </c>
      <c r="G5621" s="6" t="s">
        <v>60</v>
      </c>
      <c r="H5621" s="6" t="s">
        <v>134</v>
      </c>
      <c r="I5621" s="8"/>
      <c r="J5621" s="9">
        <v>1</v>
      </c>
      <c r="K5621" s="9">
        <v>384</v>
      </c>
      <c r="L5621" s="9">
        <v>2019</v>
      </c>
      <c r="M5621" s="8" t="s">
        <v>32210</v>
      </c>
      <c r="N5621" s="8" t="s">
        <v>37</v>
      </c>
      <c r="O5621" s="8" t="s">
        <v>136</v>
      </c>
      <c r="P5621" s="6" t="s">
        <v>306</v>
      </c>
      <c r="Q5621" s="8" t="s">
        <v>52</v>
      </c>
      <c r="R5621" s="10" t="s">
        <v>32211</v>
      </c>
      <c r="S5621" s="11" t="s">
        <v>32206</v>
      </c>
      <c r="T5621" s="6"/>
      <c r="U5621" s="15" t="str">
        <f>HYPERLINK("https://media.infra-m.ru/1081/1081407/cover/1081407.jpg", "Обложка")</f>
        <v>Обложка</v>
      </c>
      <c r="V5621" s="8" t="s">
        <v>32207</v>
      </c>
      <c r="W5621" s="6"/>
      <c r="X5621" s="6"/>
      <c r="Y5621" s="6"/>
      <c r="Z5621" s="6"/>
      <c r="AA5621" s="6" t="s">
        <v>779</v>
      </c>
      <c r="AB5621" s="8"/>
      <c r="AC5621" s="27">
        <v>9785917687278</v>
      </c>
    </row>
    <row r="5622" spans="1:29" s="4" customFormat="1" ht="51.9" customHeight="1" x14ac:dyDescent="0.2">
      <c r="A5622" s="5">
        <v>0</v>
      </c>
      <c r="B5622" s="6" t="s">
        <v>32212</v>
      </c>
      <c r="C5622" s="7">
        <v>1476</v>
      </c>
      <c r="D5622" s="8" t="s">
        <v>32213</v>
      </c>
      <c r="E5622" s="8" t="s">
        <v>32196</v>
      </c>
      <c r="F5622" s="8" t="s">
        <v>32204</v>
      </c>
      <c r="G5622" s="6" t="s">
        <v>118</v>
      </c>
      <c r="H5622" s="6" t="s">
        <v>134</v>
      </c>
      <c r="I5622" s="8" t="s">
        <v>263</v>
      </c>
      <c r="J5622" s="9">
        <v>1</v>
      </c>
      <c r="K5622" s="9">
        <v>384</v>
      </c>
      <c r="L5622" s="9">
        <v>2019</v>
      </c>
      <c r="M5622" s="8" t="s">
        <v>32214</v>
      </c>
      <c r="N5622" s="8" t="s">
        <v>37</v>
      </c>
      <c r="O5622" s="8" t="s">
        <v>136</v>
      </c>
      <c r="P5622" s="6" t="s">
        <v>306</v>
      </c>
      <c r="Q5622" s="8" t="s">
        <v>265</v>
      </c>
      <c r="R5622" s="10" t="s">
        <v>28551</v>
      </c>
      <c r="S5622" s="11" t="s">
        <v>32206</v>
      </c>
      <c r="T5622" s="6"/>
      <c r="U5622" s="15" t="str">
        <f>HYPERLINK("https://media.infra-m.ru/1020/1020226/cover/1020226.jpg", "Обложка")</f>
        <v>Обложка</v>
      </c>
      <c r="V5622" s="8" t="s">
        <v>32207</v>
      </c>
      <c r="W5622" s="6"/>
      <c r="X5622" s="6"/>
      <c r="Y5622" s="6"/>
      <c r="Z5622" s="6" t="s">
        <v>267</v>
      </c>
      <c r="AA5622" s="6" t="s">
        <v>115</v>
      </c>
      <c r="AB5622" s="8"/>
      <c r="AC5622" s="27">
        <v>9785917689203</v>
      </c>
    </row>
    <row r="5623" spans="1:29" s="4" customFormat="1" ht="51.9" customHeight="1" x14ac:dyDescent="0.2">
      <c r="A5623" s="5">
        <v>0</v>
      </c>
      <c r="B5623" s="6" t="s">
        <v>32215</v>
      </c>
      <c r="C5623" s="7">
        <v>3460.8</v>
      </c>
      <c r="D5623" s="8" t="s">
        <v>32216</v>
      </c>
      <c r="E5623" s="8" t="s">
        <v>32203</v>
      </c>
      <c r="F5623" s="8" t="s">
        <v>32204</v>
      </c>
      <c r="G5623" s="6" t="s">
        <v>60</v>
      </c>
      <c r="H5623" s="6" t="s">
        <v>134</v>
      </c>
      <c r="I5623" s="8"/>
      <c r="J5623" s="9">
        <v>1</v>
      </c>
      <c r="K5623" s="9">
        <v>576</v>
      </c>
      <c r="L5623" s="9">
        <v>2025</v>
      </c>
      <c r="M5623" s="8" t="s">
        <v>32217</v>
      </c>
      <c r="N5623" s="8" t="s">
        <v>37</v>
      </c>
      <c r="O5623" s="8" t="s">
        <v>136</v>
      </c>
      <c r="P5623" s="6" t="s">
        <v>306</v>
      </c>
      <c r="Q5623" s="8" t="s">
        <v>52</v>
      </c>
      <c r="R5623" s="10" t="s">
        <v>32211</v>
      </c>
      <c r="S5623" s="11" t="s">
        <v>32206</v>
      </c>
      <c r="T5623" s="6"/>
      <c r="U5623" s="15" t="str">
        <f>HYPERLINK("https://media.infra-m.ru/2192/2192440/cover/2192440.jpg", "Обложка")</f>
        <v>Обложка</v>
      </c>
      <c r="V5623" s="8" t="s">
        <v>32207</v>
      </c>
      <c r="W5623" s="6"/>
      <c r="X5623" s="6"/>
      <c r="Y5623" s="6"/>
      <c r="Z5623" s="6"/>
      <c r="AA5623" s="6" t="s">
        <v>1303</v>
      </c>
      <c r="AB5623" s="8"/>
      <c r="AC5623" s="27">
        <v>9785001562627</v>
      </c>
    </row>
    <row r="5624" spans="1:29" s="4" customFormat="1" ht="51.9" customHeight="1" x14ac:dyDescent="0.2">
      <c r="A5624" s="5">
        <v>0</v>
      </c>
      <c r="B5624" s="6" t="s">
        <v>32218</v>
      </c>
      <c r="C5624" s="7">
        <v>2628</v>
      </c>
      <c r="D5624" s="8" t="s">
        <v>32219</v>
      </c>
      <c r="E5624" s="8" t="s">
        <v>32220</v>
      </c>
      <c r="F5624" s="8" t="s">
        <v>8184</v>
      </c>
      <c r="G5624" s="6" t="s">
        <v>60</v>
      </c>
      <c r="H5624" s="6" t="s">
        <v>134</v>
      </c>
      <c r="I5624" s="8"/>
      <c r="J5624" s="9">
        <v>1</v>
      </c>
      <c r="K5624" s="9">
        <v>368</v>
      </c>
      <c r="L5624" s="9">
        <v>2027</v>
      </c>
      <c r="M5624" s="8" t="s">
        <v>32221</v>
      </c>
      <c r="N5624" s="8" t="s">
        <v>37</v>
      </c>
      <c r="O5624" s="8" t="s">
        <v>136</v>
      </c>
      <c r="P5624" s="6" t="s">
        <v>51</v>
      </c>
      <c r="Q5624" s="8" t="s">
        <v>52</v>
      </c>
      <c r="R5624" s="10" t="s">
        <v>6914</v>
      </c>
      <c r="S5624" s="11"/>
      <c r="T5624" s="6"/>
      <c r="U5624" s="15" t="str">
        <f>HYPERLINK("https://media.infra-m.ru/2261/2261336/cover/2261336.jpg", "Обложка")</f>
        <v>Обложка</v>
      </c>
      <c r="V5624" s="8" t="s">
        <v>644</v>
      </c>
      <c r="W5624" s="6" t="s">
        <v>2115</v>
      </c>
      <c r="X5624" s="6"/>
      <c r="Y5624" s="6"/>
      <c r="Z5624" s="6"/>
      <c r="AA5624" s="6" t="s">
        <v>420</v>
      </c>
      <c r="AB5624" s="8"/>
      <c r="AC5624" s="27">
        <v>9785001564959</v>
      </c>
    </row>
    <row r="5625" spans="1:29" s="4" customFormat="1" ht="51.9" customHeight="1" x14ac:dyDescent="0.2">
      <c r="A5625" s="5">
        <v>0</v>
      </c>
      <c r="B5625" s="6" t="s">
        <v>32222</v>
      </c>
      <c r="C5625" s="7">
        <v>2568</v>
      </c>
      <c r="D5625" s="8" t="s">
        <v>32223</v>
      </c>
      <c r="E5625" s="8" t="s">
        <v>32224</v>
      </c>
      <c r="F5625" s="8" t="s">
        <v>8184</v>
      </c>
      <c r="G5625" s="6" t="s">
        <v>60</v>
      </c>
      <c r="H5625" s="6" t="s">
        <v>134</v>
      </c>
      <c r="I5625" s="8"/>
      <c r="J5625" s="9">
        <v>1</v>
      </c>
      <c r="K5625" s="9">
        <v>368</v>
      </c>
      <c r="L5625" s="9">
        <v>2027</v>
      </c>
      <c r="M5625" s="8" t="s">
        <v>32225</v>
      </c>
      <c r="N5625" s="8" t="s">
        <v>37</v>
      </c>
      <c r="O5625" s="8" t="s">
        <v>136</v>
      </c>
      <c r="P5625" s="6" t="s">
        <v>105</v>
      </c>
      <c r="Q5625" s="8" t="s">
        <v>65</v>
      </c>
      <c r="R5625" s="10" t="s">
        <v>6914</v>
      </c>
      <c r="S5625" s="11"/>
      <c r="T5625" s="6"/>
      <c r="U5625" s="15" t="str">
        <f>HYPERLINK("https://media.infra-m.ru/2256/2256521/cover/2256521.jpg", "Обложка")</f>
        <v>Обложка</v>
      </c>
      <c r="V5625" s="8" t="s">
        <v>644</v>
      </c>
      <c r="W5625" s="6" t="s">
        <v>2115</v>
      </c>
      <c r="X5625" s="6"/>
      <c r="Y5625" s="6"/>
      <c r="Z5625" s="6"/>
      <c r="AA5625" s="6" t="s">
        <v>420</v>
      </c>
      <c r="AB5625" s="8"/>
      <c r="AC5625" s="27">
        <v>9785001564874</v>
      </c>
    </row>
    <row r="5626" spans="1:29" s="4" customFormat="1" ht="51.9" customHeight="1" x14ac:dyDescent="0.2">
      <c r="A5626" s="5">
        <v>0</v>
      </c>
      <c r="B5626" s="6" t="s">
        <v>32226</v>
      </c>
      <c r="C5626" s="7">
        <v>2568</v>
      </c>
      <c r="D5626" s="8" t="s">
        <v>32227</v>
      </c>
      <c r="E5626" s="8" t="s">
        <v>32228</v>
      </c>
      <c r="F5626" s="8" t="s">
        <v>8184</v>
      </c>
      <c r="G5626" s="6" t="s">
        <v>60</v>
      </c>
      <c r="H5626" s="6" t="s">
        <v>134</v>
      </c>
      <c r="I5626" s="8"/>
      <c r="J5626" s="9">
        <v>1</v>
      </c>
      <c r="K5626" s="9">
        <v>368</v>
      </c>
      <c r="L5626" s="9">
        <v>2027</v>
      </c>
      <c r="M5626" s="8" t="s">
        <v>32229</v>
      </c>
      <c r="N5626" s="8" t="s">
        <v>37</v>
      </c>
      <c r="O5626" s="8" t="s">
        <v>136</v>
      </c>
      <c r="P5626" s="6" t="s">
        <v>306</v>
      </c>
      <c r="Q5626" s="8" t="s">
        <v>65</v>
      </c>
      <c r="R5626" s="10" t="s">
        <v>6914</v>
      </c>
      <c r="S5626" s="11"/>
      <c r="T5626" s="6"/>
      <c r="U5626" s="15" t="str">
        <f>HYPERLINK("https://media.infra-m.ru/2261/2261338/cover/2261338.jpg", "Обложка")</f>
        <v>Обложка</v>
      </c>
      <c r="V5626" s="8" t="s">
        <v>644</v>
      </c>
      <c r="W5626" s="6" t="s">
        <v>2115</v>
      </c>
      <c r="X5626" s="6"/>
      <c r="Y5626" s="6"/>
      <c r="Z5626" s="6"/>
      <c r="AA5626" s="6" t="s">
        <v>420</v>
      </c>
      <c r="AB5626" s="8"/>
      <c r="AC5626" s="27">
        <v>9785001564966</v>
      </c>
    </row>
    <row r="5627" spans="1:29" s="4" customFormat="1" ht="51.9" customHeight="1" x14ac:dyDescent="0.2">
      <c r="A5627" s="5">
        <v>0</v>
      </c>
      <c r="B5627" s="6" t="s">
        <v>32230</v>
      </c>
      <c r="C5627" s="7">
        <v>1608</v>
      </c>
      <c r="D5627" s="8" t="s">
        <v>32231</v>
      </c>
      <c r="E5627" s="8" t="s">
        <v>32232</v>
      </c>
      <c r="F5627" s="8" t="s">
        <v>32233</v>
      </c>
      <c r="G5627" s="6" t="s">
        <v>118</v>
      </c>
      <c r="H5627" s="6" t="s">
        <v>134</v>
      </c>
      <c r="I5627" s="8"/>
      <c r="J5627" s="9">
        <v>1</v>
      </c>
      <c r="K5627" s="9">
        <v>244</v>
      </c>
      <c r="L5627" s="9">
        <v>2026</v>
      </c>
      <c r="M5627" s="8" t="s">
        <v>32234</v>
      </c>
      <c r="N5627" s="8" t="s">
        <v>37</v>
      </c>
      <c r="O5627" s="8" t="s">
        <v>136</v>
      </c>
      <c r="P5627" s="6" t="s">
        <v>39</v>
      </c>
      <c r="Q5627" s="8" t="s">
        <v>40</v>
      </c>
      <c r="R5627" s="10" t="s">
        <v>1275</v>
      </c>
      <c r="S5627" s="11"/>
      <c r="T5627" s="6"/>
      <c r="U5627" s="15" t="str">
        <f>HYPERLINK("https://media.infra-m.ru/2227/2227495/cover/2227495.jpg", "Обложка")</f>
        <v>Обложка</v>
      </c>
      <c r="V5627" s="8" t="s">
        <v>644</v>
      </c>
      <c r="W5627" s="6"/>
      <c r="X5627" s="6"/>
      <c r="Y5627" s="6"/>
      <c r="Z5627" s="6"/>
      <c r="AA5627" s="6" t="s">
        <v>76</v>
      </c>
      <c r="AB5627" s="8"/>
      <c r="AC5627" s="27">
        <v>9785001563303</v>
      </c>
    </row>
    <row r="5628" spans="1:29" s="4" customFormat="1" ht="51.9" customHeight="1" x14ac:dyDescent="0.2">
      <c r="A5628" s="5">
        <v>0</v>
      </c>
      <c r="B5628" s="6" t="s">
        <v>32235</v>
      </c>
      <c r="C5628" s="7">
        <v>1584</v>
      </c>
      <c r="D5628" s="8" t="s">
        <v>32236</v>
      </c>
      <c r="E5628" s="8" t="s">
        <v>32237</v>
      </c>
      <c r="F5628" s="8" t="s">
        <v>14441</v>
      </c>
      <c r="G5628" s="6" t="s">
        <v>33</v>
      </c>
      <c r="H5628" s="6" t="s">
        <v>34</v>
      </c>
      <c r="I5628" s="8" t="s">
        <v>35</v>
      </c>
      <c r="J5628" s="9">
        <v>1</v>
      </c>
      <c r="K5628" s="9">
        <v>293</v>
      </c>
      <c r="L5628" s="9">
        <v>2023</v>
      </c>
      <c r="M5628" s="8" t="s">
        <v>32238</v>
      </c>
      <c r="N5628" s="8" t="s">
        <v>37</v>
      </c>
      <c r="O5628" s="8" t="s">
        <v>136</v>
      </c>
      <c r="P5628" s="6" t="s">
        <v>39</v>
      </c>
      <c r="Q5628" s="8" t="s">
        <v>40</v>
      </c>
      <c r="R5628" s="10" t="s">
        <v>32239</v>
      </c>
      <c r="S5628" s="11"/>
      <c r="T5628" s="6"/>
      <c r="U5628" s="15" t="str">
        <f>HYPERLINK("https://media.infra-m.ru/1898/1898824/cover/1898824.jpg", "Обложка")</f>
        <v>Обложка</v>
      </c>
      <c r="V5628" s="8" t="s">
        <v>14444</v>
      </c>
      <c r="W5628" s="6"/>
      <c r="X5628" s="6"/>
      <c r="Y5628" s="6"/>
      <c r="Z5628" s="6"/>
      <c r="AA5628" s="6" t="s">
        <v>115</v>
      </c>
      <c r="AB5628" s="8"/>
      <c r="AC5628" s="27">
        <v>9785160173757</v>
      </c>
    </row>
    <row r="5629" spans="1:29" s="4" customFormat="1" ht="51.9" customHeight="1" x14ac:dyDescent="0.2">
      <c r="A5629" s="5">
        <v>0</v>
      </c>
      <c r="B5629" s="6" t="s">
        <v>32240</v>
      </c>
      <c r="C5629" s="7">
        <v>1200</v>
      </c>
      <c r="D5629" s="8" t="s">
        <v>32241</v>
      </c>
      <c r="E5629" s="8" t="s">
        <v>32237</v>
      </c>
      <c r="F5629" s="8" t="s">
        <v>14441</v>
      </c>
      <c r="G5629" s="6" t="s">
        <v>60</v>
      </c>
      <c r="H5629" s="6" t="s">
        <v>34</v>
      </c>
      <c r="I5629" s="8" t="s">
        <v>35</v>
      </c>
      <c r="J5629" s="9">
        <v>1</v>
      </c>
      <c r="K5629" s="9">
        <v>293</v>
      </c>
      <c r="L5629" s="9">
        <v>2019</v>
      </c>
      <c r="M5629" s="8" t="s">
        <v>32242</v>
      </c>
      <c r="N5629" s="8" t="s">
        <v>37</v>
      </c>
      <c r="O5629" s="8" t="s">
        <v>136</v>
      </c>
      <c r="P5629" s="6" t="s">
        <v>39</v>
      </c>
      <c r="Q5629" s="8" t="s">
        <v>40</v>
      </c>
      <c r="R5629" s="10" t="s">
        <v>32239</v>
      </c>
      <c r="S5629" s="11"/>
      <c r="T5629" s="6"/>
      <c r="U5629" s="15" t="str">
        <f>HYPERLINK("https://media.infra-m.ru/0959/0959321/cover/959321.jpg", "Обложка")</f>
        <v>Обложка</v>
      </c>
      <c r="V5629" s="8" t="s">
        <v>14444</v>
      </c>
      <c r="W5629" s="6"/>
      <c r="X5629" s="6"/>
      <c r="Y5629" s="6"/>
      <c r="Z5629" s="6"/>
      <c r="AA5629" s="6" t="s">
        <v>115</v>
      </c>
      <c r="AB5629" s="8"/>
      <c r="AC5629" s="27">
        <v>9785160138473</v>
      </c>
    </row>
    <row r="5630" spans="1:29" s="4" customFormat="1" ht="44.1" customHeight="1" x14ac:dyDescent="0.2">
      <c r="A5630" s="5">
        <v>0</v>
      </c>
      <c r="B5630" s="6" t="s">
        <v>32243</v>
      </c>
      <c r="C5630" s="7">
        <v>1108.8</v>
      </c>
      <c r="D5630" s="8" t="s">
        <v>32244</v>
      </c>
      <c r="E5630" s="8" t="s">
        <v>32245</v>
      </c>
      <c r="F5630" s="8" t="s">
        <v>32246</v>
      </c>
      <c r="G5630" s="6" t="s">
        <v>118</v>
      </c>
      <c r="H5630" s="6" t="s">
        <v>134</v>
      </c>
      <c r="I5630" s="8"/>
      <c r="J5630" s="9">
        <v>1</v>
      </c>
      <c r="K5630" s="9">
        <v>168</v>
      </c>
      <c r="L5630" s="9">
        <v>2026</v>
      </c>
      <c r="M5630" s="8" t="s">
        <v>32247</v>
      </c>
      <c r="N5630" s="8" t="s">
        <v>37</v>
      </c>
      <c r="O5630" s="8" t="s">
        <v>136</v>
      </c>
      <c r="P5630" s="6" t="s">
        <v>39</v>
      </c>
      <c r="Q5630" s="8" t="s">
        <v>40</v>
      </c>
      <c r="R5630" s="10" t="s">
        <v>14235</v>
      </c>
      <c r="S5630" s="11"/>
      <c r="T5630" s="6"/>
      <c r="U5630" s="15" t="str">
        <f>HYPERLINK("https://media.infra-m.ru/2237/2237714/cover/2237714.jpg", "Обложка")</f>
        <v>Обложка</v>
      </c>
      <c r="V5630" s="8" t="s">
        <v>1277</v>
      </c>
      <c r="W5630" s="6"/>
      <c r="X5630" s="6"/>
      <c r="Y5630" s="6"/>
      <c r="Z5630" s="6"/>
      <c r="AA5630" s="6" t="s">
        <v>148</v>
      </c>
      <c r="AB5630" s="8"/>
      <c r="AC5630" s="27">
        <v>9785001562061</v>
      </c>
    </row>
    <row r="5631" spans="1:29" s="4" customFormat="1" ht="42" customHeight="1" x14ac:dyDescent="0.2">
      <c r="A5631" s="5">
        <v>0</v>
      </c>
      <c r="B5631" s="6" t="s">
        <v>32248</v>
      </c>
      <c r="C5631" s="7">
        <v>2116.8000000000002</v>
      </c>
      <c r="D5631" s="8" t="s">
        <v>32249</v>
      </c>
      <c r="E5631" s="8" t="s">
        <v>32250</v>
      </c>
      <c r="F5631" s="8" t="s">
        <v>4956</v>
      </c>
      <c r="G5631" s="6" t="s">
        <v>118</v>
      </c>
      <c r="H5631" s="6" t="s">
        <v>34</v>
      </c>
      <c r="I5631" s="8" t="s">
        <v>1074</v>
      </c>
      <c r="J5631" s="9">
        <v>1</v>
      </c>
      <c r="K5631" s="9">
        <v>304</v>
      </c>
      <c r="L5631" s="9">
        <v>2024</v>
      </c>
      <c r="M5631" s="8" t="s">
        <v>32251</v>
      </c>
      <c r="N5631" s="8" t="s">
        <v>37</v>
      </c>
      <c r="O5631" s="8" t="s">
        <v>136</v>
      </c>
      <c r="P5631" s="6" t="s">
        <v>39</v>
      </c>
      <c r="Q5631" s="8" t="s">
        <v>40</v>
      </c>
      <c r="R5631" s="10" t="s">
        <v>9577</v>
      </c>
      <c r="S5631" s="11"/>
      <c r="T5631" s="6"/>
      <c r="U5631" s="15" t="str">
        <f>HYPERLINK("https://media.infra-m.ru/2258/2258737/cover/2258737.jpg", "Обложка")</f>
        <v>Обложка</v>
      </c>
      <c r="V5631" s="8" t="s">
        <v>138</v>
      </c>
      <c r="W5631" s="6"/>
      <c r="X5631" s="6"/>
      <c r="Y5631" s="6"/>
      <c r="Z5631" s="6"/>
      <c r="AA5631" s="6" t="s">
        <v>99</v>
      </c>
      <c r="AB5631" s="8"/>
      <c r="AC5631" s="27">
        <v>9785160132280</v>
      </c>
    </row>
    <row r="5632" spans="1:29" s="4" customFormat="1" ht="42" customHeight="1" x14ac:dyDescent="0.2">
      <c r="A5632" s="5">
        <v>0</v>
      </c>
      <c r="B5632" s="6" t="s">
        <v>32252</v>
      </c>
      <c r="C5632" s="7">
        <v>1680</v>
      </c>
      <c r="D5632" s="8" t="s">
        <v>32253</v>
      </c>
      <c r="E5632" s="8" t="s">
        <v>32250</v>
      </c>
      <c r="F5632" s="8" t="s">
        <v>4956</v>
      </c>
      <c r="G5632" s="6" t="s">
        <v>33</v>
      </c>
      <c r="H5632" s="6" t="s">
        <v>34</v>
      </c>
      <c r="I5632" s="8" t="s">
        <v>1074</v>
      </c>
      <c r="J5632" s="9">
        <v>1</v>
      </c>
      <c r="K5632" s="9">
        <v>304</v>
      </c>
      <c r="L5632" s="9">
        <v>2024</v>
      </c>
      <c r="M5632" s="8" t="s">
        <v>32254</v>
      </c>
      <c r="N5632" s="8" t="s">
        <v>37</v>
      </c>
      <c r="O5632" s="8" t="s">
        <v>136</v>
      </c>
      <c r="P5632" s="6" t="s">
        <v>39</v>
      </c>
      <c r="Q5632" s="8" t="s">
        <v>40</v>
      </c>
      <c r="R5632" s="10" t="s">
        <v>9577</v>
      </c>
      <c r="S5632" s="11"/>
      <c r="T5632" s="6"/>
      <c r="U5632" s="15" t="str">
        <f>HYPERLINK("https://media.infra-m.ru/2125/2125840/cover/2125840.jpg", "Обложка")</f>
        <v>Обложка</v>
      </c>
      <c r="V5632" s="8" t="s">
        <v>138</v>
      </c>
      <c r="W5632" s="6"/>
      <c r="X5632" s="6"/>
      <c r="Y5632" s="6"/>
      <c r="Z5632" s="6"/>
      <c r="AA5632" s="6" t="s">
        <v>99</v>
      </c>
      <c r="AB5632" s="8"/>
      <c r="AC5632" s="27">
        <v>9785160196176</v>
      </c>
    </row>
    <row r="5633" spans="1:29" s="4" customFormat="1" ht="51.9" customHeight="1" x14ac:dyDescent="0.2">
      <c r="A5633" s="5">
        <v>0</v>
      </c>
      <c r="B5633" s="6" t="s">
        <v>32255</v>
      </c>
      <c r="C5633" s="7">
        <v>2668.8</v>
      </c>
      <c r="D5633" s="8" t="s">
        <v>32256</v>
      </c>
      <c r="E5633" s="8" t="s">
        <v>32257</v>
      </c>
      <c r="F5633" s="8" t="s">
        <v>32258</v>
      </c>
      <c r="G5633" s="6" t="s">
        <v>118</v>
      </c>
      <c r="H5633" s="6" t="s">
        <v>134</v>
      </c>
      <c r="I5633" s="8"/>
      <c r="J5633" s="9">
        <v>1</v>
      </c>
      <c r="K5633" s="9">
        <v>384</v>
      </c>
      <c r="L5633" s="9">
        <v>2027</v>
      </c>
      <c r="M5633" s="8" t="s">
        <v>32259</v>
      </c>
      <c r="N5633" s="8" t="s">
        <v>37</v>
      </c>
      <c r="O5633" s="8" t="s">
        <v>136</v>
      </c>
      <c r="P5633" s="6" t="s">
        <v>39</v>
      </c>
      <c r="Q5633" s="8" t="s">
        <v>40</v>
      </c>
      <c r="R5633" s="10" t="s">
        <v>32260</v>
      </c>
      <c r="S5633" s="11"/>
      <c r="T5633" s="6"/>
      <c r="U5633" s="15" t="str">
        <f>HYPERLINK("https://media.infra-m.ru/2266/2266041/cover/2266041.jpg", "Обложка")</f>
        <v>Обложка</v>
      </c>
      <c r="V5633" s="8" t="s">
        <v>1231</v>
      </c>
      <c r="W5633" s="6"/>
      <c r="X5633" s="6"/>
      <c r="Y5633" s="6"/>
      <c r="Z5633" s="6"/>
      <c r="AA5633" s="6" t="s">
        <v>99</v>
      </c>
      <c r="AB5633" s="8"/>
      <c r="AC5633" s="27">
        <v>9785917688411</v>
      </c>
    </row>
    <row r="5634" spans="1:29" s="4" customFormat="1" ht="42" customHeight="1" x14ac:dyDescent="0.2">
      <c r="A5634" s="5">
        <v>0</v>
      </c>
      <c r="B5634" s="6" t="s">
        <v>32261</v>
      </c>
      <c r="C5634" s="7">
        <v>1740</v>
      </c>
      <c r="D5634" s="8" t="s">
        <v>32262</v>
      </c>
      <c r="E5634" s="8" t="s">
        <v>32263</v>
      </c>
      <c r="F5634" s="8" t="s">
        <v>32264</v>
      </c>
      <c r="G5634" s="6" t="s">
        <v>60</v>
      </c>
      <c r="H5634" s="6" t="s">
        <v>34</v>
      </c>
      <c r="I5634" s="8" t="s">
        <v>35</v>
      </c>
      <c r="J5634" s="9">
        <v>1</v>
      </c>
      <c r="K5634" s="9">
        <v>289</v>
      </c>
      <c r="L5634" s="9">
        <v>2025</v>
      </c>
      <c r="M5634" s="8" t="s">
        <v>32265</v>
      </c>
      <c r="N5634" s="8" t="s">
        <v>37</v>
      </c>
      <c r="O5634" s="8" t="s">
        <v>136</v>
      </c>
      <c r="P5634" s="6" t="s">
        <v>39</v>
      </c>
      <c r="Q5634" s="8" t="s">
        <v>40</v>
      </c>
      <c r="R5634" s="10" t="s">
        <v>8485</v>
      </c>
      <c r="S5634" s="11"/>
      <c r="T5634" s="6"/>
      <c r="U5634" s="15" t="str">
        <f>HYPERLINK("https://media.infra-m.ru/2133/2133681/cover/2133681.jpg", "Обложка")</f>
        <v>Обложка</v>
      </c>
      <c r="V5634" s="8" t="s">
        <v>32266</v>
      </c>
      <c r="W5634" s="6"/>
      <c r="X5634" s="6"/>
      <c r="Y5634" s="6"/>
      <c r="Z5634" s="6"/>
      <c r="AA5634" s="6" t="s">
        <v>68</v>
      </c>
      <c r="AB5634" s="8"/>
      <c r="AC5634" s="27">
        <v>9785160196848</v>
      </c>
    </row>
    <row r="5635" spans="1:29" s="4" customFormat="1" ht="42" customHeight="1" x14ac:dyDescent="0.2">
      <c r="A5635" s="5">
        <v>0</v>
      </c>
      <c r="B5635" s="6" t="s">
        <v>32267</v>
      </c>
      <c r="C5635" s="7">
        <v>1287.5999999999999</v>
      </c>
      <c r="D5635" s="8" t="s">
        <v>32268</v>
      </c>
      <c r="E5635" s="8" t="s">
        <v>32269</v>
      </c>
      <c r="F5635" s="8"/>
      <c r="G5635" s="6" t="s">
        <v>60</v>
      </c>
      <c r="H5635" s="6" t="s">
        <v>134</v>
      </c>
      <c r="I5635" s="8"/>
      <c r="J5635" s="9">
        <v>1</v>
      </c>
      <c r="K5635" s="9">
        <v>148</v>
      </c>
      <c r="L5635" s="9">
        <v>2023</v>
      </c>
      <c r="M5635" s="8" t="s">
        <v>32270</v>
      </c>
      <c r="N5635" s="8" t="s">
        <v>37</v>
      </c>
      <c r="O5635" s="8" t="s">
        <v>136</v>
      </c>
      <c r="P5635" s="6" t="s">
        <v>1689</v>
      </c>
      <c r="Q5635" s="8" t="s">
        <v>40</v>
      </c>
      <c r="R5635" s="10" t="s">
        <v>684</v>
      </c>
      <c r="S5635" s="11"/>
      <c r="T5635" s="6"/>
      <c r="U5635" s="15" t="str">
        <f>HYPERLINK("https://media.infra-m.ru/2022/2022202/cover/2022202.jpg", "Обложка")</f>
        <v>Обложка</v>
      </c>
      <c r="V5635" s="8"/>
      <c r="W5635" s="6"/>
      <c r="X5635" s="6"/>
      <c r="Y5635" s="6"/>
      <c r="Z5635" s="6"/>
      <c r="AA5635" s="6" t="s">
        <v>157</v>
      </c>
      <c r="AB5635" s="8"/>
      <c r="AC5635" s="27">
        <v>9785001563013</v>
      </c>
    </row>
    <row r="5636" spans="1:29" s="4" customFormat="1" ht="42" customHeight="1" x14ac:dyDescent="0.2">
      <c r="A5636" s="5">
        <v>0</v>
      </c>
      <c r="B5636" s="6" t="s">
        <v>32271</v>
      </c>
      <c r="C5636" s="7">
        <v>2320.8000000000002</v>
      </c>
      <c r="D5636" s="8" t="s">
        <v>32272</v>
      </c>
      <c r="E5636" s="8" t="s">
        <v>32273</v>
      </c>
      <c r="F5636" s="8" t="s">
        <v>32274</v>
      </c>
      <c r="G5636" s="6" t="s">
        <v>60</v>
      </c>
      <c r="H5636" s="6" t="s">
        <v>134</v>
      </c>
      <c r="I5636" s="8"/>
      <c r="J5636" s="9">
        <v>1</v>
      </c>
      <c r="K5636" s="9">
        <v>352</v>
      </c>
      <c r="L5636" s="9">
        <v>2026</v>
      </c>
      <c r="M5636" s="8" t="s">
        <v>32275</v>
      </c>
      <c r="N5636" s="8" t="s">
        <v>37</v>
      </c>
      <c r="O5636" s="8" t="s">
        <v>136</v>
      </c>
      <c r="P5636" s="6" t="s">
        <v>39</v>
      </c>
      <c r="Q5636" s="8" t="s">
        <v>40</v>
      </c>
      <c r="R5636" s="10" t="s">
        <v>1631</v>
      </c>
      <c r="S5636" s="11"/>
      <c r="T5636" s="6"/>
      <c r="U5636" s="15" t="str">
        <f>HYPERLINK("https://media.infra-m.ru/2229/2229669/cover/2229669.jpg", "Обложка")</f>
        <v>Обложка</v>
      </c>
      <c r="V5636" s="8" t="s">
        <v>32276</v>
      </c>
      <c r="W5636" s="6"/>
      <c r="X5636" s="6"/>
      <c r="Y5636" s="6"/>
      <c r="Z5636" s="6"/>
      <c r="AA5636" s="6" t="s">
        <v>248</v>
      </c>
      <c r="AB5636" s="8"/>
      <c r="AC5636" s="27">
        <v>9785917685236</v>
      </c>
    </row>
    <row r="5637" spans="1:29" s="4" customFormat="1" ht="42" customHeight="1" x14ac:dyDescent="0.2">
      <c r="A5637" s="5">
        <v>0</v>
      </c>
      <c r="B5637" s="6" t="s">
        <v>32277</v>
      </c>
      <c r="C5637" s="7">
        <v>1277.9000000000001</v>
      </c>
      <c r="D5637" s="8" t="s">
        <v>32278</v>
      </c>
      <c r="E5637" s="8" t="s">
        <v>32279</v>
      </c>
      <c r="F5637" s="8" t="s">
        <v>21853</v>
      </c>
      <c r="G5637" s="6" t="s">
        <v>60</v>
      </c>
      <c r="H5637" s="6" t="s">
        <v>134</v>
      </c>
      <c r="I5637" s="8"/>
      <c r="J5637" s="9">
        <v>1</v>
      </c>
      <c r="K5637" s="9">
        <v>288</v>
      </c>
      <c r="L5637" s="9">
        <v>2021</v>
      </c>
      <c r="M5637" s="8" t="s">
        <v>32280</v>
      </c>
      <c r="N5637" s="8" t="s">
        <v>37</v>
      </c>
      <c r="O5637" s="8" t="s">
        <v>136</v>
      </c>
      <c r="P5637" s="6" t="s">
        <v>39</v>
      </c>
      <c r="Q5637" s="8" t="s">
        <v>40</v>
      </c>
      <c r="R5637" s="10" t="s">
        <v>9577</v>
      </c>
      <c r="S5637" s="11"/>
      <c r="T5637" s="6"/>
      <c r="U5637" s="15" t="str">
        <f>HYPERLINK("https://media.infra-m.ru/1221/1221171/cover/1221171.jpg", "Обложка")</f>
        <v>Обложка</v>
      </c>
      <c r="V5637" s="8" t="s">
        <v>1069</v>
      </c>
      <c r="W5637" s="6"/>
      <c r="X5637" s="6"/>
      <c r="Y5637" s="6"/>
      <c r="Z5637" s="6"/>
      <c r="AA5637" s="6" t="s">
        <v>99</v>
      </c>
      <c r="AB5637" s="8"/>
      <c r="AC5637" s="27">
        <v>9785917688466</v>
      </c>
    </row>
    <row r="5638" spans="1:29" s="4" customFormat="1" ht="51.9" customHeight="1" x14ac:dyDescent="0.2">
      <c r="A5638" s="5">
        <v>0</v>
      </c>
      <c r="B5638" s="6" t="s">
        <v>32281</v>
      </c>
      <c r="C5638" s="7">
        <v>1992</v>
      </c>
      <c r="D5638" s="8" t="s">
        <v>32282</v>
      </c>
      <c r="E5638" s="8" t="s">
        <v>32283</v>
      </c>
      <c r="F5638" s="8" t="s">
        <v>32284</v>
      </c>
      <c r="G5638" s="6" t="s">
        <v>33</v>
      </c>
      <c r="H5638" s="6" t="s">
        <v>313</v>
      </c>
      <c r="I5638" s="8" t="s">
        <v>35</v>
      </c>
      <c r="J5638" s="9">
        <v>1</v>
      </c>
      <c r="K5638" s="9">
        <v>296</v>
      </c>
      <c r="L5638" s="9">
        <v>2026</v>
      </c>
      <c r="M5638" s="8" t="s">
        <v>32285</v>
      </c>
      <c r="N5638" s="8" t="s">
        <v>37</v>
      </c>
      <c r="O5638" s="8" t="s">
        <v>136</v>
      </c>
      <c r="P5638" s="6" t="s">
        <v>39</v>
      </c>
      <c r="Q5638" s="8" t="s">
        <v>749</v>
      </c>
      <c r="R5638" s="10" t="s">
        <v>32286</v>
      </c>
      <c r="S5638" s="11"/>
      <c r="T5638" s="6"/>
      <c r="U5638" s="15" t="str">
        <f>HYPERLINK("https://media.infra-m.ru/2224/2224221/cover/2224221.jpg", "Обложка")</f>
        <v>Обложка</v>
      </c>
      <c r="V5638" s="8" t="s">
        <v>32287</v>
      </c>
      <c r="W5638" s="6" t="s">
        <v>351</v>
      </c>
      <c r="X5638" s="6"/>
      <c r="Y5638" s="6"/>
      <c r="Z5638" s="6"/>
      <c r="AA5638" s="6" t="s">
        <v>650</v>
      </c>
      <c r="AB5638" s="8"/>
      <c r="AC5638" s="27">
        <v>9785369030127</v>
      </c>
    </row>
    <row r="5639" spans="1:29" s="4" customFormat="1" ht="42" customHeight="1" x14ac:dyDescent="0.2">
      <c r="A5639" s="5">
        <v>0</v>
      </c>
      <c r="B5639" s="6" t="s">
        <v>32288</v>
      </c>
      <c r="C5639" s="13">
        <v>996</v>
      </c>
      <c r="D5639" s="8" t="s">
        <v>32289</v>
      </c>
      <c r="E5639" s="8" t="s">
        <v>32290</v>
      </c>
      <c r="F5639" s="8" t="s">
        <v>32291</v>
      </c>
      <c r="G5639" s="6" t="s">
        <v>118</v>
      </c>
      <c r="H5639" s="6" t="s">
        <v>34</v>
      </c>
      <c r="I5639" s="8" t="s">
        <v>1074</v>
      </c>
      <c r="J5639" s="9">
        <v>1</v>
      </c>
      <c r="K5639" s="9">
        <v>184</v>
      </c>
      <c r="L5639" s="9">
        <v>2023</v>
      </c>
      <c r="M5639" s="8" t="s">
        <v>32292</v>
      </c>
      <c r="N5639" s="8" t="s">
        <v>37</v>
      </c>
      <c r="O5639" s="8" t="s">
        <v>136</v>
      </c>
      <c r="P5639" s="6" t="s">
        <v>3141</v>
      </c>
      <c r="Q5639" s="8" t="s">
        <v>40</v>
      </c>
      <c r="R5639" s="10" t="s">
        <v>32293</v>
      </c>
      <c r="S5639" s="11"/>
      <c r="T5639" s="6"/>
      <c r="U5639" s="15" t="str">
        <f>HYPERLINK("https://media.infra-m.ru/2007/2007878/cover/2007878.jpg", "Обложка")</f>
        <v>Обложка</v>
      </c>
      <c r="V5639" s="8" t="s">
        <v>138</v>
      </c>
      <c r="W5639" s="6"/>
      <c r="X5639" s="6"/>
      <c r="Y5639" s="6"/>
      <c r="Z5639" s="6"/>
      <c r="AA5639" s="6" t="s">
        <v>779</v>
      </c>
      <c r="AB5639" s="8"/>
      <c r="AC5639" s="27">
        <v>9785160120003</v>
      </c>
    </row>
    <row r="5640" spans="1:29" s="4" customFormat="1" ht="51.9" customHeight="1" x14ac:dyDescent="0.2">
      <c r="A5640" s="5">
        <v>0</v>
      </c>
      <c r="B5640" s="6" t="s">
        <v>32294</v>
      </c>
      <c r="C5640" s="7">
        <v>1980</v>
      </c>
      <c r="D5640" s="8" t="s">
        <v>32295</v>
      </c>
      <c r="E5640" s="8" t="s">
        <v>32296</v>
      </c>
      <c r="F5640" s="8" t="s">
        <v>30621</v>
      </c>
      <c r="G5640" s="6" t="s">
        <v>118</v>
      </c>
      <c r="H5640" s="6" t="s">
        <v>34</v>
      </c>
      <c r="I5640" s="8" t="s">
        <v>253</v>
      </c>
      <c r="J5640" s="9">
        <v>1</v>
      </c>
      <c r="K5640" s="9">
        <v>329</v>
      </c>
      <c r="L5640" s="9">
        <v>2025</v>
      </c>
      <c r="M5640" s="8" t="s">
        <v>32297</v>
      </c>
      <c r="N5640" s="8" t="s">
        <v>37</v>
      </c>
      <c r="O5640" s="8" t="s">
        <v>136</v>
      </c>
      <c r="P5640" s="6" t="s">
        <v>51</v>
      </c>
      <c r="Q5640" s="8" t="s">
        <v>377</v>
      </c>
      <c r="R5640" s="10" t="s">
        <v>32298</v>
      </c>
      <c r="S5640" s="11" t="s">
        <v>32299</v>
      </c>
      <c r="T5640" s="6" t="s">
        <v>97</v>
      </c>
      <c r="U5640" s="15" t="str">
        <f>HYPERLINK("https://media.infra-m.ru/2163/2163183/cover/2163183.jpg", "Обложка")</f>
        <v>Обложка</v>
      </c>
      <c r="V5640" s="8" t="s">
        <v>1277</v>
      </c>
      <c r="W5640" s="6"/>
      <c r="X5640" s="6"/>
      <c r="Y5640" s="6"/>
      <c r="Z5640" s="6"/>
      <c r="AA5640" s="6" t="s">
        <v>115</v>
      </c>
      <c r="AB5640" s="8"/>
      <c r="AC5640" s="27">
        <v>9785160202280</v>
      </c>
    </row>
    <row r="5641" spans="1:29" s="4" customFormat="1" ht="42" customHeight="1" x14ac:dyDescent="0.2">
      <c r="A5641" s="5">
        <v>0</v>
      </c>
      <c r="B5641" s="6" t="s">
        <v>32300</v>
      </c>
      <c r="C5641" s="7">
        <v>1132.8</v>
      </c>
      <c r="D5641" s="8" t="s">
        <v>32301</v>
      </c>
      <c r="E5641" s="8" t="s">
        <v>32302</v>
      </c>
      <c r="F5641" s="8" t="s">
        <v>32303</v>
      </c>
      <c r="G5641" s="6" t="s">
        <v>118</v>
      </c>
      <c r="H5641" s="6" t="s">
        <v>134</v>
      </c>
      <c r="I5641" s="8"/>
      <c r="J5641" s="9">
        <v>1</v>
      </c>
      <c r="K5641" s="9">
        <v>200</v>
      </c>
      <c r="L5641" s="9">
        <v>2024</v>
      </c>
      <c r="M5641" s="8" t="s">
        <v>32304</v>
      </c>
      <c r="N5641" s="8" t="s">
        <v>37</v>
      </c>
      <c r="O5641" s="8" t="s">
        <v>136</v>
      </c>
      <c r="P5641" s="6" t="s">
        <v>39</v>
      </c>
      <c r="Q5641" s="8" t="s">
        <v>40</v>
      </c>
      <c r="R5641" s="10" t="s">
        <v>1804</v>
      </c>
      <c r="S5641" s="11"/>
      <c r="T5641" s="6"/>
      <c r="U5641" s="15" t="str">
        <f>HYPERLINK("https://media.infra-m.ru/2133/2133761/cover/2133761.jpg", "Обложка")</f>
        <v>Обложка</v>
      </c>
      <c r="V5641" s="8" t="s">
        <v>396</v>
      </c>
      <c r="W5641" s="6"/>
      <c r="X5641" s="6"/>
      <c r="Y5641" s="6"/>
      <c r="Z5641" s="6"/>
      <c r="AA5641" s="6" t="s">
        <v>430</v>
      </c>
      <c r="AB5641" s="8"/>
      <c r="AC5641" s="27">
        <v>9785001562191</v>
      </c>
    </row>
    <row r="5642" spans="1:29" s="4" customFormat="1" ht="33" customHeight="1" x14ac:dyDescent="0.2">
      <c r="A5642" s="5">
        <v>0</v>
      </c>
      <c r="B5642" s="6" t="s">
        <v>32305</v>
      </c>
      <c r="C5642" s="7">
        <v>2392.8000000000002</v>
      </c>
      <c r="D5642" s="8" t="s">
        <v>32306</v>
      </c>
      <c r="E5642" s="8" t="s">
        <v>32307</v>
      </c>
      <c r="F5642" s="8" t="s">
        <v>32308</v>
      </c>
      <c r="G5642" s="6" t="s">
        <v>60</v>
      </c>
      <c r="H5642" s="6" t="s">
        <v>1779</v>
      </c>
      <c r="I5642" s="8"/>
      <c r="J5642" s="9">
        <v>1</v>
      </c>
      <c r="K5642" s="9">
        <v>704</v>
      </c>
      <c r="L5642" s="9">
        <v>2024</v>
      </c>
      <c r="M5642" s="8"/>
      <c r="N5642" s="8" t="s">
        <v>37</v>
      </c>
      <c r="O5642" s="8" t="s">
        <v>136</v>
      </c>
      <c r="P5642" s="6" t="s">
        <v>39</v>
      </c>
      <c r="Q5642" s="8" t="s">
        <v>40</v>
      </c>
      <c r="R5642" s="10" t="s">
        <v>9577</v>
      </c>
      <c r="S5642" s="11"/>
      <c r="T5642" s="6"/>
      <c r="U5642" s="12"/>
      <c r="V5642" s="8" t="s">
        <v>2466</v>
      </c>
      <c r="W5642" s="6"/>
      <c r="X5642" s="6"/>
      <c r="Y5642" s="6"/>
      <c r="Z5642" s="6"/>
      <c r="AA5642" s="6" t="s">
        <v>43</v>
      </c>
      <c r="AB5642" s="8"/>
      <c r="AC5642" s="27"/>
    </row>
    <row r="5643" spans="1:29" s="4" customFormat="1" ht="44.1" customHeight="1" x14ac:dyDescent="0.2">
      <c r="A5643" s="5">
        <v>0</v>
      </c>
      <c r="B5643" s="6" t="s">
        <v>32309</v>
      </c>
      <c r="C5643" s="7">
        <v>4123.2</v>
      </c>
      <c r="D5643" s="8" t="s">
        <v>32310</v>
      </c>
      <c r="E5643" s="8" t="s">
        <v>32311</v>
      </c>
      <c r="F5643" s="8" t="s">
        <v>32312</v>
      </c>
      <c r="G5643" s="6" t="s">
        <v>60</v>
      </c>
      <c r="H5643" s="6" t="s">
        <v>134</v>
      </c>
      <c r="I5643" s="8"/>
      <c r="J5643" s="9">
        <v>1</v>
      </c>
      <c r="K5643" s="9">
        <v>592</v>
      </c>
      <c r="L5643" s="9">
        <v>2026</v>
      </c>
      <c r="M5643" s="8" t="s">
        <v>32313</v>
      </c>
      <c r="N5643" s="8" t="s">
        <v>37</v>
      </c>
      <c r="O5643" s="8" t="s">
        <v>136</v>
      </c>
      <c r="P5643" s="6" t="s">
        <v>306</v>
      </c>
      <c r="Q5643" s="8" t="s">
        <v>65</v>
      </c>
      <c r="R5643" s="10" t="s">
        <v>32314</v>
      </c>
      <c r="S5643" s="11"/>
      <c r="T5643" s="6"/>
      <c r="U5643" s="15" t="str">
        <f>HYPERLINK("https://media.infra-m.ru/2247/2247971/cover/2247971.jpg", "Обложка")</f>
        <v>Обложка</v>
      </c>
      <c r="V5643" s="8" t="s">
        <v>1184</v>
      </c>
      <c r="W5643" s="6"/>
      <c r="X5643" s="6"/>
      <c r="Y5643" s="6"/>
      <c r="Z5643" s="6"/>
      <c r="AA5643" s="6" t="s">
        <v>76</v>
      </c>
      <c r="AB5643" s="8"/>
      <c r="AC5643" s="27">
        <v>9785001564041</v>
      </c>
    </row>
    <row r="5644" spans="1:29" s="4" customFormat="1" ht="51.9" customHeight="1" x14ac:dyDescent="0.2">
      <c r="A5644" s="5">
        <v>0</v>
      </c>
      <c r="B5644" s="6" t="s">
        <v>32315</v>
      </c>
      <c r="C5644" s="13">
        <v>533.9</v>
      </c>
      <c r="D5644" s="8" t="s">
        <v>32316</v>
      </c>
      <c r="E5644" s="8" t="s">
        <v>32317</v>
      </c>
      <c r="F5644" s="8" t="s">
        <v>32318</v>
      </c>
      <c r="G5644" s="6" t="s">
        <v>33</v>
      </c>
      <c r="H5644" s="6" t="s">
        <v>134</v>
      </c>
      <c r="I5644" s="8"/>
      <c r="J5644" s="9">
        <v>1</v>
      </c>
      <c r="K5644" s="9">
        <v>208</v>
      </c>
      <c r="L5644" s="9">
        <v>2017</v>
      </c>
      <c r="M5644" s="8" t="s">
        <v>32319</v>
      </c>
      <c r="N5644" s="8" t="s">
        <v>37</v>
      </c>
      <c r="O5644" s="8" t="s">
        <v>136</v>
      </c>
      <c r="P5644" s="6" t="s">
        <v>1481</v>
      </c>
      <c r="Q5644" s="8" t="s">
        <v>52</v>
      </c>
      <c r="R5644" s="10" t="s">
        <v>1631</v>
      </c>
      <c r="S5644" s="11" t="s">
        <v>32320</v>
      </c>
      <c r="T5644" s="6"/>
      <c r="U5644" s="15" t="str">
        <f>HYPERLINK("https://media.infra-m.ru/0851/0851542/cover/851542.jpg", "Обложка")</f>
        <v>Обложка</v>
      </c>
      <c r="V5644" s="8" t="s">
        <v>24424</v>
      </c>
      <c r="W5644" s="6"/>
      <c r="X5644" s="6"/>
      <c r="Y5644" s="6"/>
      <c r="Z5644" s="6"/>
      <c r="AA5644" s="6" t="s">
        <v>55</v>
      </c>
      <c r="AB5644" s="8"/>
      <c r="AC5644" s="27">
        <v>9785917683195</v>
      </c>
    </row>
    <row r="5645" spans="1:29" s="4" customFormat="1" ht="51.9" customHeight="1" x14ac:dyDescent="0.2">
      <c r="A5645" s="5">
        <v>0</v>
      </c>
      <c r="B5645" s="6" t="s">
        <v>32321</v>
      </c>
      <c r="C5645" s="7">
        <v>1396.8</v>
      </c>
      <c r="D5645" s="8" t="s">
        <v>32322</v>
      </c>
      <c r="E5645" s="8" t="s">
        <v>32323</v>
      </c>
      <c r="F5645" s="8" t="s">
        <v>32318</v>
      </c>
      <c r="G5645" s="6" t="s">
        <v>60</v>
      </c>
      <c r="H5645" s="6" t="s">
        <v>134</v>
      </c>
      <c r="I5645" s="8"/>
      <c r="J5645" s="9">
        <v>1</v>
      </c>
      <c r="K5645" s="9">
        <v>224</v>
      </c>
      <c r="L5645" s="9">
        <v>2026</v>
      </c>
      <c r="M5645" s="8" t="s">
        <v>32324</v>
      </c>
      <c r="N5645" s="8" t="s">
        <v>37</v>
      </c>
      <c r="O5645" s="8" t="s">
        <v>136</v>
      </c>
      <c r="P5645" s="6" t="s">
        <v>1481</v>
      </c>
      <c r="Q5645" s="8" t="s">
        <v>52</v>
      </c>
      <c r="R5645" s="10" t="s">
        <v>1631</v>
      </c>
      <c r="S5645" s="11" t="s">
        <v>32320</v>
      </c>
      <c r="T5645" s="6"/>
      <c r="U5645" s="15" t="str">
        <f>HYPERLINK("https://media.infra-m.ru/2218/2218684/cover/2218684.jpg", "Обложка")</f>
        <v>Обложка</v>
      </c>
      <c r="V5645" s="8" t="s">
        <v>24424</v>
      </c>
      <c r="W5645" s="6"/>
      <c r="X5645" s="6"/>
      <c r="Y5645" s="6"/>
      <c r="Z5645" s="6"/>
      <c r="AA5645" s="6" t="s">
        <v>258</v>
      </c>
      <c r="AB5645" s="8"/>
      <c r="AC5645" s="27">
        <v>9785001560975</v>
      </c>
    </row>
    <row r="5646" spans="1:29" s="4" customFormat="1" ht="51.9" customHeight="1" x14ac:dyDescent="0.2">
      <c r="A5646" s="5">
        <v>0</v>
      </c>
      <c r="B5646" s="6" t="s">
        <v>32325</v>
      </c>
      <c r="C5646" s="7">
        <v>3028.8</v>
      </c>
      <c r="D5646" s="8" t="s">
        <v>32326</v>
      </c>
      <c r="E5646" s="8" t="s">
        <v>32327</v>
      </c>
      <c r="F5646" s="8" t="s">
        <v>7414</v>
      </c>
      <c r="G5646" s="6" t="s">
        <v>118</v>
      </c>
      <c r="H5646" s="6" t="s">
        <v>313</v>
      </c>
      <c r="I5646" s="8" t="s">
        <v>392</v>
      </c>
      <c r="J5646" s="9">
        <v>1</v>
      </c>
      <c r="K5646" s="9">
        <v>435</v>
      </c>
      <c r="L5646" s="9">
        <v>2026</v>
      </c>
      <c r="M5646" s="8" t="s">
        <v>32328</v>
      </c>
      <c r="N5646" s="8" t="s">
        <v>37</v>
      </c>
      <c r="O5646" s="8" t="s">
        <v>136</v>
      </c>
      <c r="P5646" s="6" t="s">
        <v>306</v>
      </c>
      <c r="Q5646" s="8" t="s">
        <v>52</v>
      </c>
      <c r="R5646" s="10" t="s">
        <v>32329</v>
      </c>
      <c r="S5646" s="11"/>
      <c r="T5646" s="6"/>
      <c r="U5646" s="15" t="str">
        <f>HYPERLINK("https://media.infra-m.ru/2257/2257335/cover/2257335.jpg", "Обложка")</f>
        <v>Обложка</v>
      </c>
      <c r="V5646" s="8" t="s">
        <v>3595</v>
      </c>
      <c r="W5646" s="6"/>
      <c r="X5646" s="6"/>
      <c r="Y5646" s="6"/>
      <c r="Z5646" s="6"/>
      <c r="AA5646" s="6" t="s">
        <v>148</v>
      </c>
      <c r="AB5646" s="8"/>
      <c r="AC5646" s="27">
        <v>9785369019092</v>
      </c>
    </row>
    <row r="5647" spans="1:29" s="4" customFormat="1" ht="51.9" customHeight="1" x14ac:dyDescent="0.2">
      <c r="A5647" s="5">
        <v>0</v>
      </c>
      <c r="B5647" s="6" t="s">
        <v>32330</v>
      </c>
      <c r="C5647" s="7">
        <v>1877.9</v>
      </c>
      <c r="D5647" s="8" t="s">
        <v>32331</v>
      </c>
      <c r="E5647" s="8" t="s">
        <v>32332</v>
      </c>
      <c r="F5647" s="8" t="s">
        <v>32333</v>
      </c>
      <c r="G5647" s="6" t="s">
        <v>60</v>
      </c>
      <c r="H5647" s="6" t="s">
        <v>313</v>
      </c>
      <c r="I5647" s="8" t="s">
        <v>253</v>
      </c>
      <c r="J5647" s="9">
        <v>1</v>
      </c>
      <c r="K5647" s="9">
        <v>422</v>
      </c>
      <c r="L5647" s="9">
        <v>2021</v>
      </c>
      <c r="M5647" s="8" t="s">
        <v>32334</v>
      </c>
      <c r="N5647" s="8" t="s">
        <v>37</v>
      </c>
      <c r="O5647" s="8" t="s">
        <v>136</v>
      </c>
      <c r="P5647" s="6" t="s">
        <v>306</v>
      </c>
      <c r="Q5647" s="8" t="s">
        <v>52</v>
      </c>
      <c r="R5647" s="10" t="s">
        <v>28556</v>
      </c>
      <c r="S5647" s="11" t="s">
        <v>32335</v>
      </c>
      <c r="T5647" s="6"/>
      <c r="U5647" s="15" t="str">
        <f>HYPERLINK("https://media.infra-m.ru/1663/1663731/cover/1663731.jpg", "Обложка")</f>
        <v>Обложка</v>
      </c>
      <c r="V5647" s="8" t="s">
        <v>2095</v>
      </c>
      <c r="W5647" s="6"/>
      <c r="X5647" s="6"/>
      <c r="Y5647" s="6"/>
      <c r="Z5647" s="6"/>
      <c r="AA5647" s="6" t="s">
        <v>3800</v>
      </c>
      <c r="AB5647" s="8"/>
      <c r="AC5647" s="27">
        <v>9785369015346</v>
      </c>
    </row>
    <row r="5648" spans="1:29" s="4" customFormat="1" ht="51.9" customHeight="1" x14ac:dyDescent="0.2">
      <c r="A5648" s="5">
        <v>0</v>
      </c>
      <c r="B5648" s="6" t="s">
        <v>32336</v>
      </c>
      <c r="C5648" s="7">
        <v>2776.8</v>
      </c>
      <c r="D5648" s="8" t="s">
        <v>32337</v>
      </c>
      <c r="E5648" s="8" t="s">
        <v>32338</v>
      </c>
      <c r="F5648" s="8" t="s">
        <v>32333</v>
      </c>
      <c r="G5648" s="6" t="s">
        <v>118</v>
      </c>
      <c r="H5648" s="6" t="s">
        <v>313</v>
      </c>
      <c r="I5648" s="8" t="s">
        <v>253</v>
      </c>
      <c r="J5648" s="9">
        <v>1</v>
      </c>
      <c r="K5648" s="9">
        <v>421</v>
      </c>
      <c r="L5648" s="9">
        <v>2026</v>
      </c>
      <c r="M5648" s="8" t="s">
        <v>32339</v>
      </c>
      <c r="N5648" s="8" t="s">
        <v>37</v>
      </c>
      <c r="O5648" s="8" t="s">
        <v>136</v>
      </c>
      <c r="P5648" s="6" t="s">
        <v>306</v>
      </c>
      <c r="Q5648" s="8" t="s">
        <v>52</v>
      </c>
      <c r="R5648" s="10" t="s">
        <v>28556</v>
      </c>
      <c r="S5648" s="11" t="s">
        <v>32335</v>
      </c>
      <c r="T5648" s="6"/>
      <c r="U5648" s="15" t="str">
        <f>HYPERLINK("https://media.infra-m.ru/2196/2196886/cover/2196886.jpg", "Обложка")</f>
        <v>Обложка</v>
      </c>
      <c r="V5648" s="8" t="s">
        <v>2095</v>
      </c>
      <c r="W5648" s="6"/>
      <c r="X5648" s="6"/>
      <c r="Y5648" s="6"/>
      <c r="Z5648" s="6"/>
      <c r="AA5648" s="6" t="s">
        <v>5639</v>
      </c>
      <c r="AB5648" s="8"/>
      <c r="AC5648" s="27">
        <v>9785369018934</v>
      </c>
    </row>
    <row r="5649" spans="1:29" s="4" customFormat="1" ht="51.9" customHeight="1" x14ac:dyDescent="0.2">
      <c r="A5649" s="5">
        <v>0</v>
      </c>
      <c r="B5649" s="6" t="s">
        <v>32340</v>
      </c>
      <c r="C5649" s="7">
        <v>2976</v>
      </c>
      <c r="D5649" s="8" t="s">
        <v>32341</v>
      </c>
      <c r="E5649" s="8" t="s">
        <v>32327</v>
      </c>
      <c r="F5649" s="8" t="s">
        <v>32342</v>
      </c>
      <c r="G5649" s="6" t="s">
        <v>60</v>
      </c>
      <c r="H5649" s="6" t="s">
        <v>34</v>
      </c>
      <c r="I5649" s="8" t="s">
        <v>253</v>
      </c>
      <c r="J5649" s="9">
        <v>1</v>
      </c>
      <c r="K5649" s="9">
        <v>428</v>
      </c>
      <c r="L5649" s="9">
        <v>2027</v>
      </c>
      <c r="M5649" s="8" t="s">
        <v>32343</v>
      </c>
      <c r="N5649" s="8" t="s">
        <v>37</v>
      </c>
      <c r="O5649" s="8" t="s">
        <v>136</v>
      </c>
      <c r="P5649" s="6" t="s">
        <v>306</v>
      </c>
      <c r="Q5649" s="8" t="s">
        <v>52</v>
      </c>
      <c r="R5649" s="10" t="s">
        <v>32344</v>
      </c>
      <c r="S5649" s="11" t="s">
        <v>32345</v>
      </c>
      <c r="T5649" s="6"/>
      <c r="U5649" s="15" t="str">
        <f>HYPERLINK("https://media.infra-m.ru/2271/2271592/cover/2271592.jpg", "Обложка")</f>
        <v>Обложка</v>
      </c>
      <c r="V5649" s="8" t="s">
        <v>8451</v>
      </c>
      <c r="W5649" s="6"/>
      <c r="X5649" s="6"/>
      <c r="Y5649" s="6"/>
      <c r="Z5649" s="6"/>
      <c r="AA5649" s="6" t="s">
        <v>430</v>
      </c>
      <c r="AB5649" s="8"/>
      <c r="AC5649" s="27">
        <v>9785160214757</v>
      </c>
    </row>
    <row r="5650" spans="1:29" s="4" customFormat="1" ht="51.9" customHeight="1" x14ac:dyDescent="0.2">
      <c r="A5650" s="5">
        <v>0</v>
      </c>
      <c r="B5650" s="6" t="s">
        <v>32346</v>
      </c>
      <c r="C5650" s="7">
        <v>3000</v>
      </c>
      <c r="D5650" s="8" t="s">
        <v>32347</v>
      </c>
      <c r="E5650" s="8" t="s">
        <v>32327</v>
      </c>
      <c r="F5650" s="8" t="s">
        <v>32342</v>
      </c>
      <c r="G5650" s="6" t="s">
        <v>60</v>
      </c>
      <c r="H5650" s="6" t="s">
        <v>34</v>
      </c>
      <c r="I5650" s="8" t="s">
        <v>263</v>
      </c>
      <c r="J5650" s="9">
        <v>1</v>
      </c>
      <c r="K5650" s="9">
        <v>428</v>
      </c>
      <c r="L5650" s="9">
        <v>2027</v>
      </c>
      <c r="M5650" s="8" t="s">
        <v>32348</v>
      </c>
      <c r="N5650" s="8" t="s">
        <v>37</v>
      </c>
      <c r="O5650" s="8" t="s">
        <v>136</v>
      </c>
      <c r="P5650" s="6" t="s">
        <v>306</v>
      </c>
      <c r="Q5650" s="8" t="s">
        <v>265</v>
      </c>
      <c r="R5650" s="10" t="s">
        <v>13793</v>
      </c>
      <c r="S5650" s="11" t="s">
        <v>32349</v>
      </c>
      <c r="T5650" s="6"/>
      <c r="U5650" s="15" t="str">
        <f>HYPERLINK("https://media.infra-m.ru/2263/2263609/cover/2263609.jpg", "Обложка")</f>
        <v>Обложка</v>
      </c>
      <c r="V5650" s="8" t="s">
        <v>8451</v>
      </c>
      <c r="W5650" s="6"/>
      <c r="X5650" s="6"/>
      <c r="Y5650" s="6"/>
      <c r="Z5650" s="6" t="s">
        <v>267</v>
      </c>
      <c r="AA5650" s="6" t="s">
        <v>148</v>
      </c>
      <c r="AB5650" s="8"/>
      <c r="AC5650" s="27">
        <v>9785160171623</v>
      </c>
    </row>
    <row r="5651" spans="1:29" s="4" customFormat="1" ht="51.9" customHeight="1" x14ac:dyDescent="0.2">
      <c r="A5651" s="5">
        <v>0</v>
      </c>
      <c r="B5651" s="6" t="s">
        <v>32350</v>
      </c>
      <c r="C5651" s="7">
        <v>2124</v>
      </c>
      <c r="D5651" s="8" t="s">
        <v>32351</v>
      </c>
      <c r="E5651" s="8" t="s">
        <v>32352</v>
      </c>
      <c r="F5651" s="8" t="s">
        <v>32353</v>
      </c>
      <c r="G5651" s="6" t="s">
        <v>118</v>
      </c>
      <c r="H5651" s="6" t="s">
        <v>134</v>
      </c>
      <c r="I5651" s="8"/>
      <c r="J5651" s="9">
        <v>1</v>
      </c>
      <c r="K5651" s="9">
        <v>384</v>
      </c>
      <c r="L5651" s="9">
        <v>2024</v>
      </c>
      <c r="M5651" s="8" t="s">
        <v>32354</v>
      </c>
      <c r="N5651" s="8" t="s">
        <v>37</v>
      </c>
      <c r="O5651" s="8" t="s">
        <v>136</v>
      </c>
      <c r="P5651" s="6" t="s">
        <v>39</v>
      </c>
      <c r="Q5651" s="8" t="s">
        <v>749</v>
      </c>
      <c r="R5651" s="10" t="s">
        <v>32355</v>
      </c>
      <c r="S5651" s="11"/>
      <c r="T5651" s="6"/>
      <c r="U5651" s="15" t="str">
        <f>HYPERLINK("https://media.infra-m.ru/2119/2119930/cover/2119930.jpg", "Обложка")</f>
        <v>Обложка</v>
      </c>
      <c r="V5651" s="8" t="s">
        <v>227</v>
      </c>
      <c r="W5651" s="6"/>
      <c r="X5651" s="6"/>
      <c r="Y5651" s="6"/>
      <c r="Z5651" s="6"/>
      <c r="AA5651" s="6" t="s">
        <v>43</v>
      </c>
      <c r="AB5651" s="8"/>
      <c r="AC5651" s="27">
        <v>9785917683492</v>
      </c>
    </row>
    <row r="5652" spans="1:29" s="4" customFormat="1" ht="51.9" customHeight="1" x14ac:dyDescent="0.2">
      <c r="A5652" s="5">
        <v>0</v>
      </c>
      <c r="B5652" s="6" t="s">
        <v>32356</v>
      </c>
      <c r="C5652" s="7">
        <v>1200</v>
      </c>
      <c r="D5652" s="8" t="s">
        <v>32357</v>
      </c>
      <c r="E5652" s="8" t="s">
        <v>32358</v>
      </c>
      <c r="F5652" s="8" t="s">
        <v>32359</v>
      </c>
      <c r="G5652" s="6" t="s">
        <v>118</v>
      </c>
      <c r="H5652" s="6" t="s">
        <v>313</v>
      </c>
      <c r="I5652" s="8" t="s">
        <v>401</v>
      </c>
      <c r="J5652" s="9">
        <v>1</v>
      </c>
      <c r="K5652" s="9">
        <v>221</v>
      </c>
      <c r="L5652" s="9">
        <v>2022</v>
      </c>
      <c r="M5652" s="8" t="s">
        <v>32360</v>
      </c>
      <c r="N5652" s="8" t="s">
        <v>37</v>
      </c>
      <c r="O5652" s="8" t="s">
        <v>136</v>
      </c>
      <c r="P5652" s="6" t="s">
        <v>306</v>
      </c>
      <c r="Q5652" s="8" t="s">
        <v>265</v>
      </c>
      <c r="R5652" s="10" t="s">
        <v>32361</v>
      </c>
      <c r="S5652" s="11" t="s">
        <v>444</v>
      </c>
      <c r="T5652" s="6"/>
      <c r="U5652" s="15" t="str">
        <f>HYPERLINK("https://media.infra-m.ru/1920/1920494/cover/1920494.jpg", "Обложка")</f>
        <v>Обложка</v>
      </c>
      <c r="V5652" s="8" t="s">
        <v>32362</v>
      </c>
      <c r="W5652" s="6"/>
      <c r="X5652" s="6" t="s">
        <v>24</v>
      </c>
      <c r="Y5652" s="6"/>
      <c r="Z5652" s="6"/>
      <c r="AA5652" s="6" t="s">
        <v>8545</v>
      </c>
      <c r="AB5652" s="8"/>
      <c r="AC5652" s="27">
        <v>9785369016572</v>
      </c>
    </row>
    <row r="5653" spans="1:29" s="4" customFormat="1" ht="51.9" customHeight="1" x14ac:dyDescent="0.2">
      <c r="A5653" s="5">
        <v>0</v>
      </c>
      <c r="B5653" s="6" t="s">
        <v>32363</v>
      </c>
      <c r="C5653" s="7">
        <v>1372.8</v>
      </c>
      <c r="D5653" s="8" t="s">
        <v>32364</v>
      </c>
      <c r="E5653" s="8" t="s">
        <v>32365</v>
      </c>
      <c r="F5653" s="8" t="s">
        <v>32359</v>
      </c>
      <c r="G5653" s="6" t="s">
        <v>118</v>
      </c>
      <c r="H5653" s="6" t="s">
        <v>313</v>
      </c>
      <c r="I5653" s="8" t="s">
        <v>401</v>
      </c>
      <c r="J5653" s="9">
        <v>1</v>
      </c>
      <c r="K5653" s="9">
        <v>212</v>
      </c>
      <c r="L5653" s="9">
        <v>2025</v>
      </c>
      <c r="M5653" s="8" t="s">
        <v>32366</v>
      </c>
      <c r="N5653" s="8" t="s">
        <v>37</v>
      </c>
      <c r="O5653" s="8" t="s">
        <v>136</v>
      </c>
      <c r="P5653" s="6" t="s">
        <v>306</v>
      </c>
      <c r="Q5653" s="8" t="s">
        <v>265</v>
      </c>
      <c r="R5653" s="10" t="s">
        <v>32361</v>
      </c>
      <c r="S5653" s="11" t="s">
        <v>444</v>
      </c>
      <c r="T5653" s="6"/>
      <c r="U5653" s="15" t="str">
        <f>HYPERLINK("https://media.infra-m.ru/2192/2192093/cover/2192093.jpg", "Обложка")</f>
        <v>Обложка</v>
      </c>
      <c r="V5653" s="8" t="s">
        <v>32362</v>
      </c>
      <c r="W5653" s="6"/>
      <c r="X5653" s="6" t="s">
        <v>24</v>
      </c>
      <c r="Y5653" s="6"/>
      <c r="Z5653" s="6"/>
      <c r="AA5653" s="6" t="s">
        <v>10805</v>
      </c>
      <c r="AB5653" s="8"/>
      <c r="AC5653" s="27">
        <v>9785369019443</v>
      </c>
    </row>
    <row r="5654" spans="1:29" s="4" customFormat="1" ht="42" customHeight="1" x14ac:dyDescent="0.2">
      <c r="A5654" s="5">
        <v>0</v>
      </c>
      <c r="B5654" s="6" t="s">
        <v>32367</v>
      </c>
      <c r="C5654" s="7">
        <v>1181.9000000000001</v>
      </c>
      <c r="D5654" s="8" t="s">
        <v>32368</v>
      </c>
      <c r="E5654" s="8" t="s">
        <v>32369</v>
      </c>
      <c r="F5654" s="8" t="s">
        <v>32370</v>
      </c>
      <c r="G5654" s="6" t="s">
        <v>60</v>
      </c>
      <c r="H5654" s="6" t="s">
        <v>313</v>
      </c>
      <c r="I5654" s="8" t="s">
        <v>253</v>
      </c>
      <c r="J5654" s="9">
        <v>1</v>
      </c>
      <c r="K5654" s="9">
        <v>267</v>
      </c>
      <c r="L5654" s="9">
        <v>2021</v>
      </c>
      <c r="M5654" s="8" t="s">
        <v>32371</v>
      </c>
      <c r="N5654" s="8" t="s">
        <v>37</v>
      </c>
      <c r="O5654" s="8" t="s">
        <v>83</v>
      </c>
      <c r="P5654" s="6" t="s">
        <v>51</v>
      </c>
      <c r="Q5654" s="8" t="s">
        <v>52</v>
      </c>
      <c r="R5654" s="10" t="s">
        <v>6011</v>
      </c>
      <c r="S5654" s="11"/>
      <c r="T5654" s="6"/>
      <c r="U5654" s="15" t="str">
        <f>HYPERLINK("https://media.infra-m.ru/1481/1481541/cover/1481541.jpg", "Обложка")</f>
        <v>Обложка</v>
      </c>
      <c r="V5654" s="8" t="s">
        <v>1425</v>
      </c>
      <c r="W5654" s="6"/>
      <c r="X5654" s="6"/>
      <c r="Y5654" s="6"/>
      <c r="Z5654" s="6"/>
      <c r="AA5654" s="6" t="s">
        <v>779</v>
      </c>
      <c r="AB5654" s="8"/>
      <c r="AC5654" s="27">
        <v>9785369015544</v>
      </c>
    </row>
    <row r="5655" spans="1:29" s="4" customFormat="1" ht="51.9" customHeight="1" x14ac:dyDescent="0.2">
      <c r="A5655" s="5">
        <v>0</v>
      </c>
      <c r="B5655" s="6" t="s">
        <v>32372</v>
      </c>
      <c r="C5655" s="7">
        <v>1068</v>
      </c>
      <c r="D5655" s="8" t="s">
        <v>32373</v>
      </c>
      <c r="E5655" s="8" t="s">
        <v>32374</v>
      </c>
      <c r="F5655" s="8" t="s">
        <v>32375</v>
      </c>
      <c r="G5655" s="6" t="s">
        <v>60</v>
      </c>
      <c r="H5655" s="6" t="s">
        <v>34</v>
      </c>
      <c r="I5655" s="8" t="s">
        <v>35</v>
      </c>
      <c r="J5655" s="9">
        <v>1</v>
      </c>
      <c r="K5655" s="9">
        <v>180</v>
      </c>
      <c r="L5655" s="9">
        <v>2023</v>
      </c>
      <c r="M5655" s="8" t="s">
        <v>32376</v>
      </c>
      <c r="N5655" s="8" t="s">
        <v>37</v>
      </c>
      <c r="O5655" s="8" t="s">
        <v>136</v>
      </c>
      <c r="P5655" s="6" t="s">
        <v>39</v>
      </c>
      <c r="Q5655" s="8" t="s">
        <v>40</v>
      </c>
      <c r="R5655" s="10" t="s">
        <v>32377</v>
      </c>
      <c r="S5655" s="11"/>
      <c r="T5655" s="6"/>
      <c r="U5655" s="15" t="str">
        <f>HYPERLINK("https://media.infra-m.ru/1911/1911711/cover/1911711.jpg", "Обложка")</f>
        <v>Обложка</v>
      </c>
      <c r="V5655" s="8" t="s">
        <v>2128</v>
      </c>
      <c r="W5655" s="6"/>
      <c r="X5655" s="6"/>
      <c r="Y5655" s="6"/>
      <c r="Z5655" s="6"/>
      <c r="AA5655" s="6" t="s">
        <v>157</v>
      </c>
      <c r="AB5655" s="8"/>
      <c r="AC5655" s="27">
        <v>9785160181271</v>
      </c>
    </row>
    <row r="5656" spans="1:29" s="4" customFormat="1" ht="42" customHeight="1" x14ac:dyDescent="0.2">
      <c r="A5656" s="5">
        <v>0</v>
      </c>
      <c r="B5656" s="6" t="s">
        <v>32378</v>
      </c>
      <c r="C5656" s="7">
        <v>1260</v>
      </c>
      <c r="D5656" s="8" t="s">
        <v>32379</v>
      </c>
      <c r="E5656" s="8" t="s">
        <v>32380</v>
      </c>
      <c r="F5656" s="8" t="s">
        <v>32381</v>
      </c>
      <c r="G5656" s="6" t="s">
        <v>60</v>
      </c>
      <c r="H5656" s="6" t="s">
        <v>313</v>
      </c>
      <c r="I5656" s="8" t="s">
        <v>253</v>
      </c>
      <c r="J5656" s="9">
        <v>1</v>
      </c>
      <c r="K5656" s="9">
        <v>299</v>
      </c>
      <c r="L5656" s="9">
        <v>2020</v>
      </c>
      <c r="M5656" s="8" t="s">
        <v>32382</v>
      </c>
      <c r="N5656" s="8" t="s">
        <v>37</v>
      </c>
      <c r="O5656" s="8" t="s">
        <v>280</v>
      </c>
      <c r="P5656" s="6" t="s">
        <v>51</v>
      </c>
      <c r="Q5656" s="8" t="s">
        <v>52</v>
      </c>
      <c r="R5656" s="10" t="s">
        <v>11492</v>
      </c>
      <c r="S5656" s="11"/>
      <c r="T5656" s="6"/>
      <c r="U5656" s="15" t="str">
        <f>HYPERLINK("https://media.infra-m.ru/0982/0982341/cover/982341.jpg", "Обложка")</f>
        <v>Обложка</v>
      </c>
      <c r="V5656" s="8" t="s">
        <v>32383</v>
      </c>
      <c r="W5656" s="6"/>
      <c r="X5656" s="6"/>
      <c r="Y5656" s="6"/>
      <c r="Z5656" s="6"/>
      <c r="AA5656" s="6" t="s">
        <v>99</v>
      </c>
      <c r="AB5656" s="8"/>
      <c r="AC5656" s="27">
        <v>9785369016534</v>
      </c>
    </row>
    <row r="5657" spans="1:29" s="4" customFormat="1" ht="42" customHeight="1" x14ac:dyDescent="0.2">
      <c r="A5657" s="5">
        <v>0</v>
      </c>
      <c r="B5657" s="6" t="s">
        <v>32384</v>
      </c>
      <c r="C5657" s="7">
        <v>1356</v>
      </c>
      <c r="D5657" s="8" t="s">
        <v>32385</v>
      </c>
      <c r="E5657" s="8" t="s">
        <v>32386</v>
      </c>
      <c r="F5657" s="8" t="s">
        <v>10487</v>
      </c>
      <c r="G5657" s="6" t="s">
        <v>60</v>
      </c>
      <c r="H5657" s="6" t="s">
        <v>34</v>
      </c>
      <c r="I5657" s="8" t="s">
        <v>253</v>
      </c>
      <c r="J5657" s="9">
        <v>1</v>
      </c>
      <c r="K5657" s="9">
        <v>200</v>
      </c>
      <c r="L5657" s="9">
        <v>2026</v>
      </c>
      <c r="M5657" s="8" t="s">
        <v>32387</v>
      </c>
      <c r="N5657" s="8" t="s">
        <v>37</v>
      </c>
      <c r="O5657" s="8" t="s">
        <v>136</v>
      </c>
      <c r="P5657" s="6" t="s">
        <v>51</v>
      </c>
      <c r="Q5657" s="8" t="s">
        <v>65</v>
      </c>
      <c r="R5657" s="10" t="s">
        <v>10884</v>
      </c>
      <c r="S5657" s="11"/>
      <c r="T5657" s="6"/>
      <c r="U5657" s="15" t="str">
        <f>HYPERLINK("https://media.infra-m.ru/2234/2234126/cover/2234126.jpg", "Обложка")</f>
        <v>Обложка</v>
      </c>
      <c r="V5657" s="8" t="s">
        <v>10490</v>
      </c>
      <c r="W5657" s="6" t="s">
        <v>186</v>
      </c>
      <c r="X5657" s="6"/>
      <c r="Y5657" s="6"/>
      <c r="Z5657" s="6"/>
      <c r="AA5657" s="6" t="s">
        <v>650</v>
      </c>
      <c r="AB5657" s="8"/>
      <c r="AC5657" s="27">
        <v>9785160216713</v>
      </c>
    </row>
    <row r="5658" spans="1:29" s="4" customFormat="1" ht="51.9" customHeight="1" x14ac:dyDescent="0.2">
      <c r="A5658" s="5">
        <v>0</v>
      </c>
      <c r="B5658" s="6" t="s">
        <v>32388</v>
      </c>
      <c r="C5658" s="7">
        <v>1049.9000000000001</v>
      </c>
      <c r="D5658" s="8" t="s">
        <v>32389</v>
      </c>
      <c r="E5658" s="8" t="s">
        <v>32390</v>
      </c>
      <c r="F5658" s="8" t="s">
        <v>10487</v>
      </c>
      <c r="G5658" s="6" t="s">
        <v>118</v>
      </c>
      <c r="H5658" s="6" t="s">
        <v>34</v>
      </c>
      <c r="I5658" s="8" t="s">
        <v>253</v>
      </c>
      <c r="J5658" s="9">
        <v>1</v>
      </c>
      <c r="K5658" s="9">
        <v>187</v>
      </c>
      <c r="L5658" s="9">
        <v>2022</v>
      </c>
      <c r="M5658" s="8" t="s">
        <v>32391</v>
      </c>
      <c r="N5658" s="8" t="s">
        <v>37</v>
      </c>
      <c r="O5658" s="8" t="s">
        <v>136</v>
      </c>
      <c r="P5658" s="6" t="s">
        <v>51</v>
      </c>
      <c r="Q5658" s="8" t="s">
        <v>65</v>
      </c>
      <c r="R5658" s="10" t="s">
        <v>10884</v>
      </c>
      <c r="S5658" s="11" t="s">
        <v>32392</v>
      </c>
      <c r="T5658" s="6"/>
      <c r="U5658" s="15" t="str">
        <f>HYPERLINK("https://media.infra-m.ru/2048/2048897/cover/2048897.jpg", "Обложка")</f>
        <v>Обложка</v>
      </c>
      <c r="V5658" s="8" t="s">
        <v>10490</v>
      </c>
      <c r="W5658" s="6"/>
      <c r="X5658" s="6"/>
      <c r="Y5658" s="6"/>
      <c r="Z5658" s="6"/>
      <c r="AA5658" s="6" t="s">
        <v>148</v>
      </c>
      <c r="AB5658" s="8"/>
      <c r="AC5658" s="27">
        <v>9785160186597</v>
      </c>
    </row>
    <row r="5659" spans="1:29" s="4" customFormat="1" ht="51.9" customHeight="1" x14ac:dyDescent="0.2">
      <c r="A5659" s="5">
        <v>0</v>
      </c>
      <c r="B5659" s="6" t="s">
        <v>32393</v>
      </c>
      <c r="C5659" s="7">
        <v>1152</v>
      </c>
      <c r="D5659" s="8" t="s">
        <v>32394</v>
      </c>
      <c r="E5659" s="8" t="s">
        <v>32395</v>
      </c>
      <c r="F5659" s="8" t="s">
        <v>22777</v>
      </c>
      <c r="G5659" s="6" t="s">
        <v>118</v>
      </c>
      <c r="H5659" s="6" t="s">
        <v>134</v>
      </c>
      <c r="I5659" s="8"/>
      <c r="J5659" s="9">
        <v>1</v>
      </c>
      <c r="K5659" s="9">
        <v>192</v>
      </c>
      <c r="L5659" s="9">
        <v>2025</v>
      </c>
      <c r="M5659" s="8" t="s">
        <v>32396</v>
      </c>
      <c r="N5659" s="8" t="s">
        <v>37</v>
      </c>
      <c r="O5659" s="8" t="s">
        <v>136</v>
      </c>
      <c r="P5659" s="6" t="s">
        <v>51</v>
      </c>
      <c r="Q5659" s="8" t="s">
        <v>500</v>
      </c>
      <c r="R5659" s="10" t="s">
        <v>32397</v>
      </c>
      <c r="S5659" s="11"/>
      <c r="T5659" s="6"/>
      <c r="U5659" s="15" t="str">
        <f>HYPERLINK("https://media.infra-m.ru/2169/2169156/cover/2169156.jpg", "Обложка")</f>
        <v>Обложка</v>
      </c>
      <c r="V5659" s="8" t="s">
        <v>1184</v>
      </c>
      <c r="W5659" s="6"/>
      <c r="X5659" s="6"/>
      <c r="Y5659" s="6"/>
      <c r="Z5659" s="6"/>
      <c r="AA5659" s="6" t="s">
        <v>86</v>
      </c>
      <c r="AB5659" s="8"/>
      <c r="AC5659" s="27">
        <v>9785917689500</v>
      </c>
    </row>
    <row r="5660" spans="1:29" s="4" customFormat="1" ht="51.9" customHeight="1" x14ac:dyDescent="0.2">
      <c r="A5660" s="5">
        <v>0</v>
      </c>
      <c r="B5660" s="6" t="s">
        <v>32398</v>
      </c>
      <c r="C5660" s="7">
        <v>1252.8</v>
      </c>
      <c r="D5660" s="8" t="s">
        <v>32399</v>
      </c>
      <c r="E5660" s="8" t="s">
        <v>32400</v>
      </c>
      <c r="F5660" s="8" t="s">
        <v>32401</v>
      </c>
      <c r="G5660" s="6" t="s">
        <v>33</v>
      </c>
      <c r="H5660" s="6" t="s">
        <v>34</v>
      </c>
      <c r="I5660" s="8" t="s">
        <v>35</v>
      </c>
      <c r="J5660" s="9">
        <v>1</v>
      </c>
      <c r="K5660" s="9">
        <v>209</v>
      </c>
      <c r="L5660" s="9">
        <v>2025</v>
      </c>
      <c r="M5660" s="8" t="s">
        <v>32402</v>
      </c>
      <c r="N5660" s="8" t="s">
        <v>37</v>
      </c>
      <c r="O5660" s="8" t="s">
        <v>136</v>
      </c>
      <c r="P5660" s="6" t="s">
        <v>39</v>
      </c>
      <c r="Q5660" s="8" t="s">
        <v>40</v>
      </c>
      <c r="R5660" s="10" t="s">
        <v>32403</v>
      </c>
      <c r="S5660" s="11"/>
      <c r="T5660" s="6"/>
      <c r="U5660" s="15" t="str">
        <f>HYPERLINK("https://media.infra-m.ru/2160/2160590/cover/2160590.jpg", "Обложка")</f>
        <v>Обложка</v>
      </c>
      <c r="V5660" s="8" t="s">
        <v>588</v>
      </c>
      <c r="W5660" s="6"/>
      <c r="X5660" s="6"/>
      <c r="Y5660" s="6"/>
      <c r="Z5660" s="6"/>
      <c r="AA5660" s="6" t="s">
        <v>43</v>
      </c>
      <c r="AB5660" s="8"/>
      <c r="AC5660" s="27">
        <v>9785160057989</v>
      </c>
    </row>
    <row r="5661" spans="1:29" s="4" customFormat="1" ht="51.9" customHeight="1" x14ac:dyDescent="0.2">
      <c r="A5661" s="5">
        <v>0</v>
      </c>
      <c r="B5661" s="6" t="s">
        <v>32404</v>
      </c>
      <c r="C5661" s="7">
        <v>1308</v>
      </c>
      <c r="D5661" s="8" t="s">
        <v>32405</v>
      </c>
      <c r="E5661" s="8" t="s">
        <v>32406</v>
      </c>
      <c r="F5661" s="8" t="s">
        <v>32407</v>
      </c>
      <c r="G5661" s="6" t="s">
        <v>60</v>
      </c>
      <c r="H5661" s="6" t="s">
        <v>34</v>
      </c>
      <c r="I5661" s="8" t="s">
        <v>35</v>
      </c>
      <c r="J5661" s="9">
        <v>1</v>
      </c>
      <c r="K5661" s="9">
        <v>187</v>
      </c>
      <c r="L5661" s="9">
        <v>2026</v>
      </c>
      <c r="M5661" s="8" t="s">
        <v>32408</v>
      </c>
      <c r="N5661" s="8" t="s">
        <v>37</v>
      </c>
      <c r="O5661" s="8" t="s">
        <v>136</v>
      </c>
      <c r="P5661" s="6" t="s">
        <v>39</v>
      </c>
      <c r="Q5661" s="8" t="s">
        <v>40</v>
      </c>
      <c r="R5661" s="10" t="s">
        <v>1512</v>
      </c>
      <c r="S5661" s="11"/>
      <c r="T5661" s="6"/>
      <c r="U5661" s="15" t="str">
        <f>HYPERLINK("https://media.infra-m.ru/2239/2239817/cover/2239817.jpg", "Обложка")</f>
        <v>Обложка</v>
      </c>
      <c r="V5661" s="8" t="s">
        <v>4923</v>
      </c>
      <c r="W5661" s="6" t="s">
        <v>9380</v>
      </c>
      <c r="X5661" s="6"/>
      <c r="Y5661" s="6"/>
      <c r="Z5661" s="6"/>
      <c r="AA5661" s="6" t="s">
        <v>187</v>
      </c>
      <c r="AB5661" s="8"/>
      <c r="AC5661" s="27">
        <v>9785160218540</v>
      </c>
    </row>
    <row r="5662" spans="1:29" s="4" customFormat="1" ht="51.9" customHeight="1" x14ac:dyDescent="0.2">
      <c r="A5662" s="5">
        <v>0</v>
      </c>
      <c r="B5662" s="6" t="s">
        <v>32409</v>
      </c>
      <c r="C5662" s="7">
        <v>2272.8000000000002</v>
      </c>
      <c r="D5662" s="8" t="s">
        <v>32410</v>
      </c>
      <c r="E5662" s="8" t="s">
        <v>32411</v>
      </c>
      <c r="F5662" s="8" t="s">
        <v>32412</v>
      </c>
      <c r="G5662" s="6" t="s">
        <v>118</v>
      </c>
      <c r="H5662" s="6" t="s">
        <v>1042</v>
      </c>
      <c r="I5662" s="8" t="s">
        <v>263</v>
      </c>
      <c r="J5662" s="9">
        <v>1</v>
      </c>
      <c r="K5662" s="9">
        <v>364</v>
      </c>
      <c r="L5662" s="9">
        <v>2026</v>
      </c>
      <c r="M5662" s="8" t="s">
        <v>32413</v>
      </c>
      <c r="N5662" s="8" t="s">
        <v>37</v>
      </c>
      <c r="O5662" s="8" t="s">
        <v>136</v>
      </c>
      <c r="P5662" s="6" t="s">
        <v>306</v>
      </c>
      <c r="Q5662" s="8" t="s">
        <v>265</v>
      </c>
      <c r="R5662" s="10" t="s">
        <v>32414</v>
      </c>
      <c r="S5662" s="11" t="s">
        <v>32415</v>
      </c>
      <c r="T5662" s="6"/>
      <c r="U5662" s="15" t="str">
        <f>HYPERLINK("https://media.infra-m.ru/2216/2216150/cover/2216150.jpg", "Обложка")</f>
        <v>Обложка</v>
      </c>
      <c r="V5662" s="8" t="s">
        <v>2466</v>
      </c>
      <c r="W5662" s="6"/>
      <c r="X5662" s="6" t="s">
        <v>24</v>
      </c>
      <c r="Y5662" s="6"/>
      <c r="Z5662" s="6"/>
      <c r="AA5662" s="6" t="s">
        <v>218</v>
      </c>
      <c r="AB5662" s="8"/>
      <c r="AC5662" s="27">
        <v>9785819908747</v>
      </c>
    </row>
    <row r="5663" spans="1:29" s="4" customFormat="1" ht="44.1" customHeight="1" x14ac:dyDescent="0.2">
      <c r="A5663" s="5">
        <v>0</v>
      </c>
      <c r="B5663" s="6" t="s">
        <v>32416</v>
      </c>
      <c r="C5663" s="7">
        <v>1060.8</v>
      </c>
      <c r="D5663" s="8" t="s">
        <v>32417</v>
      </c>
      <c r="E5663" s="8" t="s">
        <v>32418</v>
      </c>
      <c r="F5663" s="8" t="s">
        <v>7414</v>
      </c>
      <c r="G5663" s="6" t="s">
        <v>60</v>
      </c>
      <c r="H5663" s="6" t="s">
        <v>313</v>
      </c>
      <c r="I5663" s="8" t="s">
        <v>401</v>
      </c>
      <c r="J5663" s="9">
        <v>1</v>
      </c>
      <c r="K5663" s="9">
        <v>177</v>
      </c>
      <c r="L5663" s="9">
        <v>2025</v>
      </c>
      <c r="M5663" s="8" t="s">
        <v>32419</v>
      </c>
      <c r="N5663" s="8" t="s">
        <v>37</v>
      </c>
      <c r="O5663" s="8" t="s">
        <v>136</v>
      </c>
      <c r="P5663" s="6" t="s">
        <v>306</v>
      </c>
      <c r="Q5663" s="8" t="s">
        <v>265</v>
      </c>
      <c r="R5663" s="10" t="s">
        <v>32420</v>
      </c>
      <c r="S5663" s="11"/>
      <c r="T5663" s="6"/>
      <c r="U5663" s="15" t="str">
        <f>HYPERLINK("https://media.infra-m.ru/2161/2161041/cover/2161041.jpg", "Обложка")</f>
        <v>Обложка</v>
      </c>
      <c r="V5663" s="8" t="s">
        <v>3595</v>
      </c>
      <c r="W5663" s="6"/>
      <c r="X5663" s="6"/>
      <c r="Y5663" s="6"/>
      <c r="Z5663" s="6" t="s">
        <v>267</v>
      </c>
      <c r="AA5663" s="6" t="s">
        <v>430</v>
      </c>
      <c r="AB5663" s="8"/>
      <c r="AC5663" s="27">
        <v>9785369018699</v>
      </c>
    </row>
    <row r="5664" spans="1:29" s="4" customFormat="1" ht="51.9" customHeight="1" x14ac:dyDescent="0.2">
      <c r="A5664" s="5">
        <v>0</v>
      </c>
      <c r="B5664" s="6" t="s">
        <v>32421</v>
      </c>
      <c r="C5664" s="7">
        <v>2056.8000000000002</v>
      </c>
      <c r="D5664" s="8" t="s">
        <v>32422</v>
      </c>
      <c r="E5664" s="8" t="s">
        <v>32418</v>
      </c>
      <c r="F5664" s="8" t="s">
        <v>7414</v>
      </c>
      <c r="G5664" s="6" t="s">
        <v>118</v>
      </c>
      <c r="H5664" s="6" t="s">
        <v>313</v>
      </c>
      <c r="I5664" s="8" t="s">
        <v>253</v>
      </c>
      <c r="J5664" s="9">
        <v>1</v>
      </c>
      <c r="K5664" s="9">
        <v>311</v>
      </c>
      <c r="L5664" s="9">
        <v>2026</v>
      </c>
      <c r="M5664" s="8" t="s">
        <v>32423</v>
      </c>
      <c r="N5664" s="8" t="s">
        <v>37</v>
      </c>
      <c r="O5664" s="8" t="s">
        <v>136</v>
      </c>
      <c r="P5664" s="6" t="s">
        <v>306</v>
      </c>
      <c r="Q5664" s="8" t="s">
        <v>52</v>
      </c>
      <c r="R5664" s="10" t="s">
        <v>32424</v>
      </c>
      <c r="S5664" s="11"/>
      <c r="T5664" s="6"/>
      <c r="U5664" s="15" t="str">
        <f>HYPERLINK("https://media.infra-m.ru/2225/2225006/cover/2225006.jpg", "Обложка")</f>
        <v>Обложка</v>
      </c>
      <c r="V5664" s="8" t="s">
        <v>3595</v>
      </c>
      <c r="W5664" s="6"/>
      <c r="X5664" s="6"/>
      <c r="Y5664" s="6"/>
      <c r="Z5664" s="6"/>
      <c r="AA5664" s="6" t="s">
        <v>430</v>
      </c>
      <c r="AB5664" s="8"/>
      <c r="AC5664" s="27">
        <v>9785369018675</v>
      </c>
    </row>
    <row r="5665" spans="1:29" s="4" customFormat="1" ht="51.9" customHeight="1" x14ac:dyDescent="0.2">
      <c r="A5665" s="5">
        <v>0</v>
      </c>
      <c r="B5665" s="6" t="s">
        <v>32425</v>
      </c>
      <c r="C5665" s="7">
        <v>1524</v>
      </c>
      <c r="D5665" s="8" t="s">
        <v>32426</v>
      </c>
      <c r="E5665" s="8" t="s">
        <v>32418</v>
      </c>
      <c r="F5665" s="8" t="s">
        <v>32427</v>
      </c>
      <c r="G5665" s="6" t="s">
        <v>118</v>
      </c>
      <c r="H5665" s="6" t="s">
        <v>34</v>
      </c>
      <c r="I5665" s="8" t="s">
        <v>263</v>
      </c>
      <c r="J5665" s="9">
        <v>1</v>
      </c>
      <c r="K5665" s="9">
        <v>239</v>
      </c>
      <c r="L5665" s="9">
        <v>2026</v>
      </c>
      <c r="M5665" s="8" t="s">
        <v>32428</v>
      </c>
      <c r="N5665" s="8" t="s">
        <v>37</v>
      </c>
      <c r="O5665" s="8" t="s">
        <v>136</v>
      </c>
      <c r="P5665" s="6" t="s">
        <v>306</v>
      </c>
      <c r="Q5665" s="8" t="s">
        <v>265</v>
      </c>
      <c r="R5665" s="10" t="s">
        <v>32429</v>
      </c>
      <c r="S5665" s="11" t="s">
        <v>32430</v>
      </c>
      <c r="T5665" s="6"/>
      <c r="U5665" s="15" t="str">
        <f>HYPERLINK("https://media.infra-m.ru/2218/2218516/cover/2218516.jpg", "Обложка")</f>
        <v>Обложка</v>
      </c>
      <c r="V5665" s="8" t="s">
        <v>831</v>
      </c>
      <c r="W5665" s="6"/>
      <c r="X5665" s="6" t="s">
        <v>24</v>
      </c>
      <c r="Y5665" s="6"/>
      <c r="Z5665" s="6"/>
      <c r="AA5665" s="6" t="s">
        <v>43</v>
      </c>
      <c r="AB5665" s="8"/>
      <c r="AC5665" s="27">
        <v>9785160212401</v>
      </c>
    </row>
    <row r="5666" spans="1:29" s="4" customFormat="1" ht="44.1" customHeight="1" x14ac:dyDescent="0.2">
      <c r="A5666" s="5">
        <v>0</v>
      </c>
      <c r="B5666" s="6" t="s">
        <v>32431</v>
      </c>
      <c r="C5666" s="13">
        <v>844.8</v>
      </c>
      <c r="D5666" s="8" t="s">
        <v>32432</v>
      </c>
      <c r="E5666" s="8" t="s">
        <v>32433</v>
      </c>
      <c r="F5666" s="8" t="s">
        <v>29032</v>
      </c>
      <c r="G5666" s="6" t="s">
        <v>33</v>
      </c>
      <c r="H5666" s="6" t="s">
        <v>48</v>
      </c>
      <c r="I5666" s="8" t="s">
        <v>401</v>
      </c>
      <c r="J5666" s="9">
        <v>1</v>
      </c>
      <c r="K5666" s="9">
        <v>128</v>
      </c>
      <c r="L5666" s="9">
        <v>2026</v>
      </c>
      <c r="M5666" s="8" t="s">
        <v>32434</v>
      </c>
      <c r="N5666" s="8" t="s">
        <v>37</v>
      </c>
      <c r="O5666" s="8" t="s">
        <v>136</v>
      </c>
      <c r="P5666" s="6" t="s">
        <v>30716</v>
      </c>
      <c r="Q5666" s="8" t="s">
        <v>265</v>
      </c>
      <c r="R5666" s="10" t="s">
        <v>32435</v>
      </c>
      <c r="S5666" s="11"/>
      <c r="T5666" s="6"/>
      <c r="U5666" s="15" t="str">
        <f>HYPERLINK("https://media.infra-m.ru/2242/2242687/cover/2242687.jpg", "Обложка")</f>
        <v>Обложка</v>
      </c>
      <c r="V5666" s="8" t="s">
        <v>445</v>
      </c>
      <c r="W5666" s="6"/>
      <c r="X5666" s="6" t="s">
        <v>24</v>
      </c>
      <c r="Y5666" s="6"/>
      <c r="Z5666" s="6"/>
      <c r="AA5666" s="6" t="s">
        <v>1123</v>
      </c>
      <c r="AB5666" s="8"/>
      <c r="AC5666" s="27">
        <v>9785000910634</v>
      </c>
    </row>
    <row r="5667" spans="1:29" s="4" customFormat="1" ht="44.1" customHeight="1" x14ac:dyDescent="0.2">
      <c r="A5667" s="5">
        <v>0</v>
      </c>
      <c r="B5667" s="6" t="s">
        <v>32436</v>
      </c>
      <c r="C5667" s="13">
        <v>545.9</v>
      </c>
      <c r="D5667" s="8" t="s">
        <v>32437</v>
      </c>
      <c r="E5667" s="8" t="s">
        <v>32411</v>
      </c>
      <c r="F5667" s="8" t="s">
        <v>32438</v>
      </c>
      <c r="G5667" s="6" t="s">
        <v>33</v>
      </c>
      <c r="H5667" s="6" t="s">
        <v>313</v>
      </c>
      <c r="I5667" s="8" t="s">
        <v>401</v>
      </c>
      <c r="J5667" s="9">
        <v>1</v>
      </c>
      <c r="K5667" s="9">
        <v>203</v>
      </c>
      <c r="L5667" s="9">
        <v>2020</v>
      </c>
      <c r="M5667" s="8" t="s">
        <v>32439</v>
      </c>
      <c r="N5667" s="8" t="s">
        <v>37</v>
      </c>
      <c r="O5667" s="8" t="s">
        <v>136</v>
      </c>
      <c r="P5667" s="6" t="s">
        <v>51</v>
      </c>
      <c r="Q5667" s="8" t="s">
        <v>265</v>
      </c>
      <c r="R5667" s="10" t="s">
        <v>32440</v>
      </c>
      <c r="S5667" s="11"/>
      <c r="T5667" s="6"/>
      <c r="U5667" s="15" t="str">
        <f>HYPERLINK("https://media.infra-m.ru/1015/1015080/cover/1015080.jpg", "Обложка")</f>
        <v>Обложка</v>
      </c>
      <c r="V5667" s="8" t="s">
        <v>32362</v>
      </c>
      <c r="W5667" s="6"/>
      <c r="X5667" s="6" t="s">
        <v>24</v>
      </c>
      <c r="Y5667" s="6"/>
      <c r="Z5667" s="6"/>
      <c r="AA5667" s="6" t="s">
        <v>360</v>
      </c>
      <c r="AB5667" s="8"/>
      <c r="AC5667" s="27">
        <v>9785369014660</v>
      </c>
    </row>
    <row r="5668" spans="1:29" s="4" customFormat="1" ht="51.9" customHeight="1" x14ac:dyDescent="0.2">
      <c r="A5668" s="5">
        <v>0</v>
      </c>
      <c r="B5668" s="6" t="s">
        <v>32441</v>
      </c>
      <c r="C5668" s="7">
        <v>1356</v>
      </c>
      <c r="D5668" s="8" t="s">
        <v>32442</v>
      </c>
      <c r="E5668" s="8" t="s">
        <v>32418</v>
      </c>
      <c r="F5668" s="8" t="s">
        <v>32443</v>
      </c>
      <c r="G5668" s="6" t="s">
        <v>118</v>
      </c>
      <c r="H5668" s="6" t="s">
        <v>1042</v>
      </c>
      <c r="I5668" s="8" t="s">
        <v>263</v>
      </c>
      <c r="J5668" s="9">
        <v>1</v>
      </c>
      <c r="K5668" s="9">
        <v>333</v>
      </c>
      <c r="L5668" s="9">
        <v>2019</v>
      </c>
      <c r="M5668" s="8" t="s">
        <v>32444</v>
      </c>
      <c r="N5668" s="8" t="s">
        <v>37</v>
      </c>
      <c r="O5668" s="8" t="s">
        <v>136</v>
      </c>
      <c r="P5668" s="6" t="s">
        <v>306</v>
      </c>
      <c r="Q5668" s="8" t="s">
        <v>265</v>
      </c>
      <c r="R5668" s="10" t="s">
        <v>32414</v>
      </c>
      <c r="S5668" s="11" t="s">
        <v>32445</v>
      </c>
      <c r="T5668" s="6"/>
      <c r="U5668" s="15" t="str">
        <f>HYPERLINK("https://media.infra-m.ru/1003/1003313/cover/1003313.jpg", "Обложка")</f>
        <v>Обложка</v>
      </c>
      <c r="V5668" s="8" t="s">
        <v>2466</v>
      </c>
      <c r="W5668" s="6"/>
      <c r="X5668" s="6" t="s">
        <v>24</v>
      </c>
      <c r="Y5668" s="6"/>
      <c r="Z5668" s="6"/>
      <c r="AA5668" s="6" t="s">
        <v>561</v>
      </c>
      <c r="AB5668" s="8"/>
      <c r="AC5668" s="27">
        <v>9785819907177</v>
      </c>
    </row>
    <row r="5669" spans="1:29" s="4" customFormat="1" ht="51.9" customHeight="1" x14ac:dyDescent="0.2">
      <c r="A5669" s="5">
        <v>0</v>
      </c>
      <c r="B5669" s="6" t="s">
        <v>32446</v>
      </c>
      <c r="C5669" s="7">
        <v>1548</v>
      </c>
      <c r="D5669" s="8" t="s">
        <v>32447</v>
      </c>
      <c r="E5669" s="8" t="s">
        <v>32369</v>
      </c>
      <c r="F5669" s="8" t="s">
        <v>13859</v>
      </c>
      <c r="G5669" s="6" t="s">
        <v>118</v>
      </c>
      <c r="H5669" s="6" t="s">
        <v>34</v>
      </c>
      <c r="I5669" s="8" t="s">
        <v>271</v>
      </c>
      <c r="J5669" s="9">
        <v>1</v>
      </c>
      <c r="K5669" s="9">
        <v>289</v>
      </c>
      <c r="L5669" s="9">
        <v>2023</v>
      </c>
      <c r="M5669" s="8" t="s">
        <v>32448</v>
      </c>
      <c r="N5669" s="8" t="s">
        <v>37</v>
      </c>
      <c r="O5669" s="8" t="s">
        <v>136</v>
      </c>
      <c r="P5669" s="6" t="s">
        <v>306</v>
      </c>
      <c r="Q5669" s="8" t="s">
        <v>52</v>
      </c>
      <c r="R5669" s="10" t="s">
        <v>32449</v>
      </c>
      <c r="S5669" s="11" t="s">
        <v>32450</v>
      </c>
      <c r="T5669" s="6" t="s">
        <v>97</v>
      </c>
      <c r="U5669" s="15" t="str">
        <f>HYPERLINK("https://media.infra-m.ru/1861/1861158/cover/1861158.jpg", "Обложка")</f>
        <v>Обложка</v>
      </c>
      <c r="V5669" s="8" t="s">
        <v>657</v>
      </c>
      <c r="W5669" s="6"/>
      <c r="X5669" s="6"/>
      <c r="Y5669" s="6"/>
      <c r="Z5669" s="6"/>
      <c r="AA5669" s="6" t="s">
        <v>779</v>
      </c>
      <c r="AB5669" s="8"/>
      <c r="AC5669" s="27">
        <v>9785160106984</v>
      </c>
    </row>
    <row r="5670" spans="1:29" s="4" customFormat="1" ht="51.9" customHeight="1" x14ac:dyDescent="0.2">
      <c r="A5670" s="5">
        <v>0</v>
      </c>
      <c r="B5670" s="6" t="s">
        <v>32451</v>
      </c>
      <c r="C5670" s="7">
        <v>1464</v>
      </c>
      <c r="D5670" s="8" t="s">
        <v>32452</v>
      </c>
      <c r="E5670" s="8" t="s">
        <v>32369</v>
      </c>
      <c r="F5670" s="8" t="s">
        <v>13859</v>
      </c>
      <c r="G5670" s="6" t="s">
        <v>118</v>
      </c>
      <c r="H5670" s="6" t="s">
        <v>34</v>
      </c>
      <c r="I5670" s="8" t="s">
        <v>263</v>
      </c>
      <c r="J5670" s="9">
        <v>1</v>
      </c>
      <c r="K5670" s="9">
        <v>289</v>
      </c>
      <c r="L5670" s="9">
        <v>2022</v>
      </c>
      <c r="M5670" s="8" t="s">
        <v>32453</v>
      </c>
      <c r="N5670" s="8" t="s">
        <v>37</v>
      </c>
      <c r="O5670" s="8" t="s">
        <v>136</v>
      </c>
      <c r="P5670" s="6" t="s">
        <v>306</v>
      </c>
      <c r="Q5670" s="8" t="s">
        <v>265</v>
      </c>
      <c r="R5670" s="10" t="s">
        <v>26953</v>
      </c>
      <c r="S5670" s="11" t="s">
        <v>32454</v>
      </c>
      <c r="T5670" s="6" t="s">
        <v>97</v>
      </c>
      <c r="U5670" s="15" t="str">
        <f>HYPERLINK("https://media.infra-m.ru/1872/1872294/cover/1872294.jpg", "Обложка")</f>
        <v>Обложка</v>
      </c>
      <c r="V5670" s="8" t="s">
        <v>657</v>
      </c>
      <c r="W5670" s="6"/>
      <c r="X5670" s="6"/>
      <c r="Y5670" s="6"/>
      <c r="Z5670" s="6" t="s">
        <v>267</v>
      </c>
      <c r="AA5670" s="6" t="s">
        <v>148</v>
      </c>
      <c r="AB5670" s="8"/>
      <c r="AC5670" s="27">
        <v>9785160175614</v>
      </c>
    </row>
    <row r="5671" spans="1:29" s="4" customFormat="1" ht="51.9" customHeight="1" x14ac:dyDescent="0.2">
      <c r="A5671" s="5">
        <v>0</v>
      </c>
      <c r="B5671" s="6" t="s">
        <v>32455</v>
      </c>
      <c r="C5671" s="7">
        <v>1308</v>
      </c>
      <c r="D5671" s="8" t="s">
        <v>32456</v>
      </c>
      <c r="E5671" s="8" t="s">
        <v>32457</v>
      </c>
      <c r="F5671" s="8" t="s">
        <v>32458</v>
      </c>
      <c r="G5671" s="6" t="s">
        <v>118</v>
      </c>
      <c r="H5671" s="6" t="s">
        <v>34</v>
      </c>
      <c r="I5671" s="8" t="s">
        <v>35</v>
      </c>
      <c r="J5671" s="9">
        <v>1</v>
      </c>
      <c r="K5671" s="9">
        <v>280</v>
      </c>
      <c r="L5671" s="9">
        <v>2022</v>
      </c>
      <c r="M5671" s="8" t="s">
        <v>32459</v>
      </c>
      <c r="N5671" s="8" t="s">
        <v>37</v>
      </c>
      <c r="O5671" s="8" t="s">
        <v>136</v>
      </c>
      <c r="P5671" s="6" t="s">
        <v>39</v>
      </c>
      <c r="Q5671" s="8" t="s">
        <v>40</v>
      </c>
      <c r="R5671" s="10" t="s">
        <v>32460</v>
      </c>
      <c r="S5671" s="11"/>
      <c r="T5671" s="6"/>
      <c r="U5671" s="15" t="str">
        <f>HYPERLINK("https://media.infra-m.ru/1860/1860853/cover/1860853.jpg", "Обложка")</f>
        <v>Обложка</v>
      </c>
      <c r="V5671" s="8" t="s">
        <v>1768</v>
      </c>
      <c r="W5671" s="6"/>
      <c r="X5671" s="6"/>
      <c r="Y5671" s="6"/>
      <c r="Z5671" s="6"/>
      <c r="AA5671" s="6" t="s">
        <v>115</v>
      </c>
      <c r="AB5671" s="8"/>
      <c r="AC5671" s="27">
        <v>9785160137421</v>
      </c>
    </row>
    <row r="5672" spans="1:29" s="4" customFormat="1" ht="42" customHeight="1" x14ac:dyDescent="0.2">
      <c r="A5672" s="5">
        <v>0</v>
      </c>
      <c r="B5672" s="6" t="s">
        <v>32461</v>
      </c>
      <c r="C5672" s="7">
        <v>1104</v>
      </c>
      <c r="D5672" s="8" t="s">
        <v>32462</v>
      </c>
      <c r="E5672" s="8" t="s">
        <v>32463</v>
      </c>
      <c r="F5672" s="8" t="s">
        <v>32464</v>
      </c>
      <c r="G5672" s="6" t="s">
        <v>118</v>
      </c>
      <c r="H5672" s="6" t="s">
        <v>34</v>
      </c>
      <c r="I5672" s="8" t="s">
        <v>1074</v>
      </c>
      <c r="J5672" s="9">
        <v>1</v>
      </c>
      <c r="K5672" s="9">
        <v>240</v>
      </c>
      <c r="L5672" s="9">
        <v>2021</v>
      </c>
      <c r="M5672" s="8" t="s">
        <v>32465</v>
      </c>
      <c r="N5672" s="8" t="s">
        <v>37</v>
      </c>
      <c r="O5672" s="8" t="s">
        <v>136</v>
      </c>
      <c r="P5672" s="6" t="s">
        <v>39</v>
      </c>
      <c r="Q5672" s="8" t="s">
        <v>40</v>
      </c>
      <c r="R5672" s="10" t="s">
        <v>1625</v>
      </c>
      <c r="S5672" s="11"/>
      <c r="T5672" s="6"/>
      <c r="U5672" s="15" t="str">
        <f>HYPERLINK("https://media.infra-m.ru/1362/1362124/cover/1362124.jpg", "Обложка")</f>
        <v>Обложка</v>
      </c>
      <c r="V5672" s="8" t="s">
        <v>138</v>
      </c>
      <c r="W5672" s="6"/>
      <c r="X5672" s="6"/>
      <c r="Y5672" s="6"/>
      <c r="Z5672" s="6"/>
      <c r="AA5672" s="6" t="s">
        <v>115</v>
      </c>
      <c r="AB5672" s="8"/>
      <c r="AC5672" s="27">
        <v>9785160147369</v>
      </c>
    </row>
    <row r="5673" spans="1:29" s="4" customFormat="1" ht="42" customHeight="1" x14ac:dyDescent="0.2">
      <c r="A5673" s="5">
        <v>0</v>
      </c>
      <c r="B5673" s="6" t="s">
        <v>32466</v>
      </c>
      <c r="C5673" s="7">
        <v>1140</v>
      </c>
      <c r="D5673" s="8" t="s">
        <v>32467</v>
      </c>
      <c r="E5673" s="8" t="s">
        <v>32468</v>
      </c>
      <c r="F5673" s="8" t="s">
        <v>23803</v>
      </c>
      <c r="G5673" s="6" t="s">
        <v>60</v>
      </c>
      <c r="H5673" s="6" t="s">
        <v>34</v>
      </c>
      <c r="I5673" s="8" t="s">
        <v>1074</v>
      </c>
      <c r="J5673" s="9">
        <v>1</v>
      </c>
      <c r="K5673" s="9">
        <v>328</v>
      </c>
      <c r="L5673" s="9">
        <v>2018</v>
      </c>
      <c r="M5673" s="8" t="s">
        <v>32469</v>
      </c>
      <c r="N5673" s="8" t="s">
        <v>37</v>
      </c>
      <c r="O5673" s="8" t="s">
        <v>136</v>
      </c>
      <c r="P5673" s="6" t="s">
        <v>3141</v>
      </c>
      <c r="Q5673" s="8" t="s">
        <v>40</v>
      </c>
      <c r="R5673" s="10" t="s">
        <v>32470</v>
      </c>
      <c r="S5673" s="11"/>
      <c r="T5673" s="6"/>
      <c r="U5673" s="15" t="str">
        <f>HYPERLINK("https://media.infra-m.ru/0930/0930912/cover/930912.jpg", "Обложка")</f>
        <v>Обложка</v>
      </c>
      <c r="V5673" s="8" t="s">
        <v>138</v>
      </c>
      <c r="W5673" s="6"/>
      <c r="X5673" s="6"/>
      <c r="Y5673" s="6"/>
      <c r="Z5673" s="6"/>
      <c r="AA5673" s="6" t="s">
        <v>779</v>
      </c>
      <c r="AB5673" s="8"/>
      <c r="AC5673" s="27">
        <v>9785160124179</v>
      </c>
    </row>
    <row r="5674" spans="1:29" s="4" customFormat="1" ht="42" customHeight="1" x14ac:dyDescent="0.2">
      <c r="A5674" s="5">
        <v>0</v>
      </c>
      <c r="B5674" s="6" t="s">
        <v>32471</v>
      </c>
      <c r="C5674" s="7">
        <v>1169.9000000000001</v>
      </c>
      <c r="D5674" s="8" t="s">
        <v>32472</v>
      </c>
      <c r="E5674" s="8" t="s">
        <v>32473</v>
      </c>
      <c r="F5674" s="8" t="s">
        <v>32474</v>
      </c>
      <c r="G5674" s="6" t="s">
        <v>60</v>
      </c>
      <c r="H5674" s="6" t="s">
        <v>134</v>
      </c>
      <c r="I5674" s="8"/>
      <c r="J5674" s="9">
        <v>1</v>
      </c>
      <c r="K5674" s="9">
        <v>288</v>
      </c>
      <c r="L5674" s="9">
        <v>2019</v>
      </c>
      <c r="M5674" s="8" t="s">
        <v>32475</v>
      </c>
      <c r="N5674" s="8" t="s">
        <v>37</v>
      </c>
      <c r="O5674" s="8" t="s">
        <v>136</v>
      </c>
      <c r="P5674" s="6" t="s">
        <v>39</v>
      </c>
      <c r="Q5674" s="8" t="s">
        <v>40</v>
      </c>
      <c r="R5674" s="10" t="s">
        <v>1625</v>
      </c>
      <c r="S5674" s="11"/>
      <c r="T5674" s="6"/>
      <c r="U5674" s="15" t="str">
        <f>HYPERLINK("https://media.infra-m.ru/1011/1011094/cover/1011094.jpg", "Обложка")</f>
        <v>Обложка</v>
      </c>
      <c r="V5674" s="8" t="s">
        <v>227</v>
      </c>
      <c r="W5674" s="6"/>
      <c r="X5674" s="6"/>
      <c r="Y5674" s="6"/>
      <c r="Z5674" s="6"/>
      <c r="AA5674" s="6" t="s">
        <v>99</v>
      </c>
      <c r="AB5674" s="8"/>
      <c r="AC5674" s="27">
        <v>9785917688527</v>
      </c>
    </row>
    <row r="5675" spans="1:29" s="4" customFormat="1" ht="51.9" customHeight="1" x14ac:dyDescent="0.2">
      <c r="A5675" s="5">
        <v>0</v>
      </c>
      <c r="B5675" s="6" t="s">
        <v>32476</v>
      </c>
      <c r="C5675" s="13">
        <v>952.8</v>
      </c>
      <c r="D5675" s="8" t="s">
        <v>32477</v>
      </c>
      <c r="E5675" s="8" t="s">
        <v>32478</v>
      </c>
      <c r="F5675" s="8" t="s">
        <v>32479</v>
      </c>
      <c r="G5675" s="6" t="s">
        <v>60</v>
      </c>
      <c r="H5675" s="6" t="s">
        <v>134</v>
      </c>
      <c r="I5675" s="8"/>
      <c r="J5675" s="9">
        <v>1</v>
      </c>
      <c r="K5675" s="9">
        <v>144</v>
      </c>
      <c r="L5675" s="9">
        <v>2026</v>
      </c>
      <c r="M5675" s="8" t="s">
        <v>32480</v>
      </c>
      <c r="N5675" s="8" t="s">
        <v>37</v>
      </c>
      <c r="O5675" s="8" t="s">
        <v>136</v>
      </c>
      <c r="P5675" s="6" t="s">
        <v>51</v>
      </c>
      <c r="Q5675" s="8" t="s">
        <v>500</v>
      </c>
      <c r="R5675" s="10" t="s">
        <v>32481</v>
      </c>
      <c r="S5675" s="11"/>
      <c r="T5675" s="6"/>
      <c r="U5675" s="15" t="str">
        <f>HYPERLINK("https://media.infra-m.ru/2237/2237987/cover/2237987.jpg", "Обложка")</f>
        <v>Обложка</v>
      </c>
      <c r="V5675" s="8" t="s">
        <v>1184</v>
      </c>
      <c r="W5675" s="6"/>
      <c r="X5675" s="6"/>
      <c r="Y5675" s="6"/>
      <c r="Z5675" s="6"/>
      <c r="AA5675" s="6" t="s">
        <v>106</v>
      </c>
      <c r="AB5675" s="8"/>
      <c r="AC5675" s="27">
        <v>9785001563259</v>
      </c>
    </row>
    <row r="5676" spans="1:29" s="4" customFormat="1" ht="51.9" customHeight="1" x14ac:dyDescent="0.2">
      <c r="A5676" s="5">
        <v>0</v>
      </c>
      <c r="B5676" s="6" t="s">
        <v>32482</v>
      </c>
      <c r="C5676" s="7">
        <v>1480.8</v>
      </c>
      <c r="D5676" s="8" t="s">
        <v>32483</v>
      </c>
      <c r="E5676" s="8" t="s">
        <v>32484</v>
      </c>
      <c r="F5676" s="8" t="s">
        <v>32485</v>
      </c>
      <c r="G5676" s="6" t="s">
        <v>60</v>
      </c>
      <c r="H5676" s="6" t="s">
        <v>34</v>
      </c>
      <c r="I5676" s="8" t="s">
        <v>35</v>
      </c>
      <c r="J5676" s="9">
        <v>1</v>
      </c>
      <c r="K5676" s="9">
        <v>215</v>
      </c>
      <c r="L5676" s="9">
        <v>2027</v>
      </c>
      <c r="M5676" s="8" t="s">
        <v>32486</v>
      </c>
      <c r="N5676" s="8" t="s">
        <v>37</v>
      </c>
      <c r="O5676" s="8" t="s">
        <v>136</v>
      </c>
      <c r="P5676" s="6" t="s">
        <v>39</v>
      </c>
      <c r="Q5676" s="8" t="s">
        <v>40</v>
      </c>
      <c r="R5676" s="10" t="s">
        <v>32487</v>
      </c>
      <c r="S5676" s="11"/>
      <c r="T5676" s="6"/>
      <c r="U5676" s="15" t="str">
        <f>HYPERLINK("https://media.infra-m.ru/2255/2255559/cover/2255559.jpg", "Обложка")</f>
        <v>Обложка</v>
      </c>
      <c r="V5676" s="8" t="s">
        <v>644</v>
      </c>
      <c r="W5676" s="6"/>
      <c r="X5676" s="6"/>
      <c r="Y5676" s="6"/>
      <c r="Z5676" s="6"/>
      <c r="AA5676" s="6" t="s">
        <v>68</v>
      </c>
      <c r="AB5676" s="8"/>
      <c r="AC5676" s="27">
        <v>9785160209968</v>
      </c>
    </row>
    <row r="5677" spans="1:29" s="4" customFormat="1" ht="51.9" customHeight="1" x14ac:dyDescent="0.2">
      <c r="A5677" s="5">
        <v>0</v>
      </c>
      <c r="B5677" s="6" t="s">
        <v>32488</v>
      </c>
      <c r="C5677" s="7">
        <v>1192.8</v>
      </c>
      <c r="D5677" s="8" t="s">
        <v>32489</v>
      </c>
      <c r="E5677" s="8" t="s">
        <v>32490</v>
      </c>
      <c r="F5677" s="8" t="s">
        <v>32491</v>
      </c>
      <c r="G5677" s="6" t="s">
        <v>60</v>
      </c>
      <c r="H5677" s="6" t="s">
        <v>134</v>
      </c>
      <c r="I5677" s="8"/>
      <c r="J5677" s="9">
        <v>1</v>
      </c>
      <c r="K5677" s="9">
        <v>192</v>
      </c>
      <c r="L5677" s="9">
        <v>2026</v>
      </c>
      <c r="M5677" s="8" t="s">
        <v>32492</v>
      </c>
      <c r="N5677" s="8" t="s">
        <v>37</v>
      </c>
      <c r="O5677" s="8" t="s">
        <v>136</v>
      </c>
      <c r="P5677" s="6" t="s">
        <v>51</v>
      </c>
      <c r="Q5677" s="8" t="s">
        <v>52</v>
      </c>
      <c r="R5677" s="10" t="s">
        <v>32493</v>
      </c>
      <c r="S5677" s="11"/>
      <c r="T5677" s="6"/>
      <c r="U5677" s="15" t="str">
        <f>HYPERLINK("https://media.infra-m.ru/2218/2218685/cover/2218685.jpg", "Обложка")</f>
        <v>Обложка</v>
      </c>
      <c r="V5677" s="8" t="s">
        <v>4448</v>
      </c>
      <c r="W5677" s="6"/>
      <c r="X5677" s="6"/>
      <c r="Y5677" s="6"/>
      <c r="Z5677" s="6"/>
      <c r="AA5677" s="6" t="s">
        <v>1389</v>
      </c>
      <c r="AB5677" s="8"/>
      <c r="AC5677" s="27">
        <v>9785001560043</v>
      </c>
    </row>
    <row r="5678" spans="1:29" s="4" customFormat="1" ht="42" customHeight="1" x14ac:dyDescent="0.2">
      <c r="A5678" s="5">
        <v>0</v>
      </c>
      <c r="B5678" s="6" t="s">
        <v>32494</v>
      </c>
      <c r="C5678" s="7">
        <v>1744.8</v>
      </c>
      <c r="D5678" s="8" t="s">
        <v>32495</v>
      </c>
      <c r="E5678" s="8" t="s">
        <v>32496</v>
      </c>
      <c r="F5678" s="8" t="s">
        <v>32381</v>
      </c>
      <c r="G5678" s="6" t="s">
        <v>118</v>
      </c>
      <c r="H5678" s="6" t="s">
        <v>313</v>
      </c>
      <c r="I5678" s="8" t="s">
        <v>253</v>
      </c>
      <c r="J5678" s="9">
        <v>1</v>
      </c>
      <c r="K5678" s="9">
        <v>279</v>
      </c>
      <c r="L5678" s="9">
        <v>2025</v>
      </c>
      <c r="M5678" s="8" t="s">
        <v>32497</v>
      </c>
      <c r="N5678" s="8" t="s">
        <v>37</v>
      </c>
      <c r="O5678" s="8" t="s">
        <v>280</v>
      </c>
      <c r="P5678" s="6" t="s">
        <v>51</v>
      </c>
      <c r="Q5678" s="8" t="s">
        <v>65</v>
      </c>
      <c r="R5678" s="10" t="s">
        <v>11492</v>
      </c>
      <c r="S5678" s="11"/>
      <c r="T5678" s="6"/>
      <c r="U5678" s="15" t="str">
        <f>HYPERLINK("https://media.infra-m.ru/2218/2218400/cover/2218400.jpg", "Обложка")</f>
        <v>Обложка</v>
      </c>
      <c r="V5678" s="8" t="s">
        <v>32383</v>
      </c>
      <c r="W5678" s="6"/>
      <c r="X5678" s="6"/>
      <c r="Y5678" s="6"/>
      <c r="Z5678" s="6"/>
      <c r="AA5678" s="6" t="s">
        <v>106</v>
      </c>
      <c r="AB5678" s="8"/>
      <c r="AC5678" s="27">
        <v>9785369019481</v>
      </c>
    </row>
    <row r="5679" spans="1:29" s="4" customFormat="1" ht="42" customHeight="1" x14ac:dyDescent="0.2">
      <c r="A5679" s="5">
        <v>0</v>
      </c>
      <c r="B5679" s="6" t="s">
        <v>32498</v>
      </c>
      <c r="C5679" s="7">
        <v>1992</v>
      </c>
      <c r="D5679" s="8" t="s">
        <v>32499</v>
      </c>
      <c r="E5679" s="8" t="s">
        <v>32500</v>
      </c>
      <c r="F5679" s="8" t="s">
        <v>32381</v>
      </c>
      <c r="G5679" s="6" t="s">
        <v>60</v>
      </c>
      <c r="H5679" s="6" t="s">
        <v>313</v>
      </c>
      <c r="I5679" s="8" t="s">
        <v>253</v>
      </c>
      <c r="J5679" s="9">
        <v>1</v>
      </c>
      <c r="K5679" s="9">
        <v>289</v>
      </c>
      <c r="L5679" s="9">
        <v>2026</v>
      </c>
      <c r="M5679" s="8" t="s">
        <v>32501</v>
      </c>
      <c r="N5679" s="8" t="s">
        <v>37</v>
      </c>
      <c r="O5679" s="8" t="s">
        <v>280</v>
      </c>
      <c r="P5679" s="6" t="s">
        <v>51</v>
      </c>
      <c r="Q5679" s="8" t="s">
        <v>65</v>
      </c>
      <c r="R5679" s="10" t="s">
        <v>11492</v>
      </c>
      <c r="S5679" s="11"/>
      <c r="T5679" s="6"/>
      <c r="U5679" s="15" t="str">
        <f>HYPERLINK("https://media.infra-m.ru/2243/2243461/cover/2243461.jpg", "Обложка")</f>
        <v>Обложка</v>
      </c>
      <c r="V5679" s="8" t="s">
        <v>32383</v>
      </c>
      <c r="W5679" s="6" t="s">
        <v>351</v>
      </c>
      <c r="X5679" s="6"/>
      <c r="Y5679" s="6"/>
      <c r="Z5679" s="6"/>
      <c r="AA5679" s="6" t="s">
        <v>106</v>
      </c>
      <c r="AB5679" s="8"/>
      <c r="AC5679" s="27">
        <v>9785369030066</v>
      </c>
    </row>
    <row r="5680" spans="1:29" s="4" customFormat="1" ht="51.9" customHeight="1" x14ac:dyDescent="0.2">
      <c r="A5680" s="5">
        <v>0</v>
      </c>
      <c r="B5680" s="6" t="s">
        <v>32502</v>
      </c>
      <c r="C5680" s="13">
        <v>672</v>
      </c>
      <c r="D5680" s="8" t="s">
        <v>32503</v>
      </c>
      <c r="E5680" s="8" t="s">
        <v>32504</v>
      </c>
      <c r="F5680" s="8" t="s">
        <v>32505</v>
      </c>
      <c r="G5680" s="6" t="s">
        <v>33</v>
      </c>
      <c r="H5680" s="6" t="s">
        <v>134</v>
      </c>
      <c r="I5680" s="8"/>
      <c r="J5680" s="9">
        <v>1</v>
      </c>
      <c r="K5680" s="9">
        <v>96</v>
      </c>
      <c r="L5680" s="9">
        <v>2027</v>
      </c>
      <c r="M5680" s="8" t="s">
        <v>32506</v>
      </c>
      <c r="N5680" s="8" t="s">
        <v>37</v>
      </c>
      <c r="O5680" s="8" t="s">
        <v>136</v>
      </c>
      <c r="P5680" s="6" t="s">
        <v>39</v>
      </c>
      <c r="Q5680" s="8" t="s">
        <v>749</v>
      </c>
      <c r="R5680" s="10" t="s">
        <v>32507</v>
      </c>
      <c r="S5680" s="11"/>
      <c r="T5680" s="6"/>
      <c r="U5680" s="15" t="str">
        <f>HYPERLINK("https://media.infra-m.ru/2271/2271148/cover/2271148.jpg", "Обложка")</f>
        <v>Обложка</v>
      </c>
      <c r="V5680" s="8" t="s">
        <v>1184</v>
      </c>
      <c r="W5680" s="6"/>
      <c r="X5680" s="6"/>
      <c r="Y5680" s="6"/>
      <c r="Z5680" s="6"/>
      <c r="AA5680" s="6" t="s">
        <v>779</v>
      </c>
      <c r="AB5680" s="8"/>
      <c r="AC5680" s="27">
        <v>9785917687568</v>
      </c>
    </row>
    <row r="5681" spans="1:29" s="4" customFormat="1" ht="51.9" customHeight="1" x14ac:dyDescent="0.2">
      <c r="A5681" s="5">
        <v>0</v>
      </c>
      <c r="B5681" s="6" t="s">
        <v>32508</v>
      </c>
      <c r="C5681" s="13">
        <v>684</v>
      </c>
      <c r="D5681" s="8" t="s">
        <v>32509</v>
      </c>
      <c r="E5681" s="8" t="s">
        <v>32510</v>
      </c>
      <c r="F5681" s="8" t="s">
        <v>32511</v>
      </c>
      <c r="G5681" s="6" t="s">
        <v>33</v>
      </c>
      <c r="H5681" s="6" t="s">
        <v>34</v>
      </c>
      <c r="I5681" s="8" t="s">
        <v>35</v>
      </c>
      <c r="J5681" s="9">
        <v>1</v>
      </c>
      <c r="K5681" s="9">
        <v>138</v>
      </c>
      <c r="L5681" s="9">
        <v>2021</v>
      </c>
      <c r="M5681" s="8" t="s">
        <v>32512</v>
      </c>
      <c r="N5681" s="8" t="s">
        <v>37</v>
      </c>
      <c r="O5681" s="8" t="s">
        <v>136</v>
      </c>
      <c r="P5681" s="6" t="s">
        <v>39</v>
      </c>
      <c r="Q5681" s="8" t="s">
        <v>40</v>
      </c>
      <c r="R5681" s="10" t="s">
        <v>32513</v>
      </c>
      <c r="S5681" s="11"/>
      <c r="T5681" s="6"/>
      <c r="U5681" s="15" t="str">
        <f>HYPERLINK("https://media.infra-m.ru/1290/1290966/cover/1290966.jpg", "Обложка")</f>
        <v>Обложка</v>
      </c>
      <c r="V5681" s="8" t="s">
        <v>247</v>
      </c>
      <c r="W5681" s="6"/>
      <c r="X5681" s="6"/>
      <c r="Y5681" s="6"/>
      <c r="Z5681" s="6"/>
      <c r="AA5681" s="6" t="s">
        <v>115</v>
      </c>
      <c r="AB5681" s="8"/>
      <c r="AC5681" s="27">
        <v>9785160168838</v>
      </c>
    </row>
    <row r="5682" spans="1:29" s="4" customFormat="1" ht="42" customHeight="1" x14ac:dyDescent="0.2">
      <c r="A5682" s="5">
        <v>0</v>
      </c>
      <c r="B5682" s="6" t="s">
        <v>32514</v>
      </c>
      <c r="C5682" s="7">
        <v>1476</v>
      </c>
      <c r="D5682" s="8" t="s">
        <v>32515</v>
      </c>
      <c r="E5682" s="8" t="s">
        <v>32516</v>
      </c>
      <c r="F5682" s="8" t="s">
        <v>32517</v>
      </c>
      <c r="G5682" s="6" t="s">
        <v>33</v>
      </c>
      <c r="H5682" s="6" t="s">
        <v>34</v>
      </c>
      <c r="I5682" s="8" t="s">
        <v>1074</v>
      </c>
      <c r="J5682" s="9">
        <v>1</v>
      </c>
      <c r="K5682" s="9">
        <v>272</v>
      </c>
      <c r="L5682" s="9">
        <v>2023</v>
      </c>
      <c r="M5682" s="8" t="s">
        <v>32518</v>
      </c>
      <c r="N5682" s="8" t="s">
        <v>37</v>
      </c>
      <c r="O5682" s="8" t="s">
        <v>136</v>
      </c>
      <c r="P5682" s="6" t="s">
        <v>39</v>
      </c>
      <c r="Q5682" s="8" t="s">
        <v>40</v>
      </c>
      <c r="R5682" s="10" t="s">
        <v>1255</v>
      </c>
      <c r="S5682" s="11"/>
      <c r="T5682" s="6"/>
      <c r="U5682" s="15" t="str">
        <f>HYPERLINK("https://media.infra-m.ru/2029/2029816/cover/2029816.jpg", "Обложка")</f>
        <v>Обложка</v>
      </c>
      <c r="V5682" s="8" t="s">
        <v>138</v>
      </c>
      <c r="W5682" s="6"/>
      <c r="X5682" s="6"/>
      <c r="Y5682" s="6"/>
      <c r="Z5682" s="6"/>
      <c r="AA5682" s="6" t="s">
        <v>779</v>
      </c>
      <c r="AB5682" s="8"/>
      <c r="AC5682" s="27">
        <v>9785160124162</v>
      </c>
    </row>
    <row r="5683" spans="1:29" s="4" customFormat="1" ht="51.9" customHeight="1" x14ac:dyDescent="0.2">
      <c r="A5683" s="5">
        <v>0</v>
      </c>
      <c r="B5683" s="6" t="s">
        <v>32519</v>
      </c>
      <c r="C5683" s="7">
        <v>1672.8</v>
      </c>
      <c r="D5683" s="8" t="s">
        <v>32520</v>
      </c>
      <c r="E5683" s="8" t="s">
        <v>32521</v>
      </c>
      <c r="F5683" s="8" t="s">
        <v>32522</v>
      </c>
      <c r="G5683" s="6" t="s">
        <v>60</v>
      </c>
      <c r="H5683" s="6" t="s">
        <v>134</v>
      </c>
      <c r="I5683" s="8"/>
      <c r="J5683" s="9">
        <v>1</v>
      </c>
      <c r="K5683" s="9">
        <v>296</v>
      </c>
      <c r="L5683" s="9">
        <v>2024</v>
      </c>
      <c r="M5683" s="8" t="s">
        <v>32523</v>
      </c>
      <c r="N5683" s="8" t="s">
        <v>37</v>
      </c>
      <c r="O5683" s="8" t="s">
        <v>136</v>
      </c>
      <c r="P5683" s="6" t="s">
        <v>3141</v>
      </c>
      <c r="Q5683" s="8" t="s">
        <v>40</v>
      </c>
      <c r="R5683" s="10" t="s">
        <v>32524</v>
      </c>
      <c r="S5683" s="11"/>
      <c r="T5683" s="6"/>
      <c r="U5683" s="15" t="str">
        <f>HYPERLINK("https://media.infra-m.ru/2147/2147482/cover/2147482.jpg", "Обложка")</f>
        <v>Обложка</v>
      </c>
      <c r="V5683" s="8" t="s">
        <v>138</v>
      </c>
      <c r="W5683" s="6"/>
      <c r="X5683" s="6"/>
      <c r="Y5683" s="6"/>
      <c r="Z5683" s="6"/>
      <c r="AA5683" s="6" t="s">
        <v>148</v>
      </c>
      <c r="AB5683" s="8"/>
      <c r="AC5683" s="27">
        <v>9785001562146</v>
      </c>
    </row>
    <row r="5684" spans="1:29" s="4" customFormat="1" ht="51.9" customHeight="1" x14ac:dyDescent="0.2">
      <c r="A5684" s="5">
        <v>0</v>
      </c>
      <c r="B5684" s="6" t="s">
        <v>32525</v>
      </c>
      <c r="C5684" s="13">
        <v>768</v>
      </c>
      <c r="D5684" s="8" t="s">
        <v>32526</v>
      </c>
      <c r="E5684" s="8" t="s">
        <v>32527</v>
      </c>
      <c r="F5684" s="8" t="s">
        <v>32528</v>
      </c>
      <c r="G5684" s="6" t="s">
        <v>33</v>
      </c>
      <c r="H5684" s="6" t="s">
        <v>34</v>
      </c>
      <c r="I5684" s="8" t="s">
        <v>35</v>
      </c>
      <c r="J5684" s="9">
        <v>1</v>
      </c>
      <c r="K5684" s="9">
        <v>128</v>
      </c>
      <c r="L5684" s="9">
        <v>2023</v>
      </c>
      <c r="M5684" s="8" t="s">
        <v>32529</v>
      </c>
      <c r="N5684" s="8" t="s">
        <v>37</v>
      </c>
      <c r="O5684" s="8" t="s">
        <v>136</v>
      </c>
      <c r="P5684" s="6" t="s">
        <v>39</v>
      </c>
      <c r="Q5684" s="8" t="s">
        <v>40</v>
      </c>
      <c r="R5684" s="10" t="s">
        <v>32530</v>
      </c>
      <c r="S5684" s="11"/>
      <c r="T5684" s="6"/>
      <c r="U5684" s="15" t="str">
        <f>HYPERLINK("https://media.infra-m.ru/1948/1948196/cover/1948196.jpg", "Обложка")</f>
        <v>Обложка</v>
      </c>
      <c r="V5684" s="8" t="s">
        <v>32531</v>
      </c>
      <c r="W5684" s="6"/>
      <c r="X5684" s="6"/>
      <c r="Y5684" s="6"/>
      <c r="Z5684" s="6"/>
      <c r="AA5684" s="6" t="s">
        <v>157</v>
      </c>
      <c r="AB5684" s="8"/>
      <c r="AC5684" s="27">
        <v>9785160182698</v>
      </c>
    </row>
    <row r="5685" spans="1:29" s="4" customFormat="1" ht="44.1" customHeight="1" x14ac:dyDescent="0.2">
      <c r="A5685" s="5">
        <v>0</v>
      </c>
      <c r="B5685" s="6" t="s">
        <v>32532</v>
      </c>
      <c r="C5685" s="7">
        <v>1644</v>
      </c>
      <c r="D5685" s="8" t="s">
        <v>32533</v>
      </c>
      <c r="E5685" s="8" t="s">
        <v>32534</v>
      </c>
      <c r="F5685" s="8" t="s">
        <v>32535</v>
      </c>
      <c r="G5685" s="6" t="s">
        <v>118</v>
      </c>
      <c r="H5685" s="6" t="s">
        <v>34</v>
      </c>
      <c r="I5685" s="8" t="s">
        <v>1074</v>
      </c>
      <c r="J5685" s="9">
        <v>1</v>
      </c>
      <c r="K5685" s="9">
        <v>248</v>
      </c>
      <c r="L5685" s="9">
        <v>2026</v>
      </c>
      <c r="M5685" s="8" t="s">
        <v>32536</v>
      </c>
      <c r="N5685" s="8" t="s">
        <v>37</v>
      </c>
      <c r="O5685" s="8" t="s">
        <v>136</v>
      </c>
      <c r="P5685" s="6" t="s">
        <v>39</v>
      </c>
      <c r="Q5685" s="8" t="s">
        <v>40</v>
      </c>
      <c r="R5685" s="10" t="s">
        <v>32537</v>
      </c>
      <c r="S5685" s="11"/>
      <c r="T5685" s="6"/>
      <c r="U5685" s="15" t="str">
        <f>HYPERLINK("https://media.infra-m.ru/2231/2231098/cover/2231098.jpg", "Обложка")</f>
        <v>Обложка</v>
      </c>
      <c r="V5685" s="8" t="s">
        <v>138</v>
      </c>
      <c r="W5685" s="6"/>
      <c r="X5685" s="6"/>
      <c r="Y5685" s="6"/>
      <c r="Z5685" s="6"/>
      <c r="AA5685" s="6" t="s">
        <v>68</v>
      </c>
      <c r="AB5685" s="8"/>
      <c r="AC5685" s="27">
        <v>9785160204406</v>
      </c>
    </row>
    <row r="5686" spans="1:29" s="4" customFormat="1" ht="42" customHeight="1" x14ac:dyDescent="0.2">
      <c r="A5686" s="5">
        <v>0</v>
      </c>
      <c r="B5686" s="6" t="s">
        <v>32538</v>
      </c>
      <c r="C5686" s="7">
        <v>1200</v>
      </c>
      <c r="D5686" s="8" t="s">
        <v>32539</v>
      </c>
      <c r="E5686" s="8" t="s">
        <v>32540</v>
      </c>
      <c r="F5686" s="8" t="s">
        <v>32541</v>
      </c>
      <c r="G5686" s="6" t="s">
        <v>33</v>
      </c>
      <c r="H5686" s="6" t="s">
        <v>34</v>
      </c>
      <c r="I5686" s="8" t="s">
        <v>35</v>
      </c>
      <c r="J5686" s="9">
        <v>1</v>
      </c>
      <c r="K5686" s="9">
        <v>212</v>
      </c>
      <c r="L5686" s="9">
        <v>2024</v>
      </c>
      <c r="M5686" s="8" t="s">
        <v>32542</v>
      </c>
      <c r="N5686" s="8" t="s">
        <v>37</v>
      </c>
      <c r="O5686" s="8" t="s">
        <v>136</v>
      </c>
      <c r="P5686" s="6" t="s">
        <v>39</v>
      </c>
      <c r="Q5686" s="8" t="s">
        <v>40</v>
      </c>
      <c r="R5686" s="10" t="s">
        <v>1625</v>
      </c>
      <c r="S5686" s="11"/>
      <c r="T5686" s="6"/>
      <c r="U5686" s="15" t="str">
        <f>HYPERLINK("https://media.infra-m.ru/2124/2124791/cover/2124791.jpg", "Обложка")</f>
        <v>Обложка</v>
      </c>
      <c r="V5686" s="8" t="s">
        <v>546</v>
      </c>
      <c r="W5686" s="6"/>
      <c r="X5686" s="6"/>
      <c r="Y5686" s="6"/>
      <c r="Z5686" s="6"/>
      <c r="AA5686" s="6" t="s">
        <v>1256</v>
      </c>
      <c r="AB5686" s="8"/>
      <c r="AC5686" s="27">
        <v>9785160155227</v>
      </c>
    </row>
    <row r="5687" spans="1:29" s="4" customFormat="1" ht="44.1" customHeight="1" x14ac:dyDescent="0.2">
      <c r="A5687" s="5">
        <v>0</v>
      </c>
      <c r="B5687" s="6" t="s">
        <v>32543</v>
      </c>
      <c r="C5687" s="7">
        <v>1212</v>
      </c>
      <c r="D5687" s="8" t="s">
        <v>32544</v>
      </c>
      <c r="E5687" s="8" t="s">
        <v>32545</v>
      </c>
      <c r="F5687" s="8" t="s">
        <v>32546</v>
      </c>
      <c r="G5687" s="6" t="s">
        <v>33</v>
      </c>
      <c r="H5687" s="6" t="s">
        <v>34</v>
      </c>
      <c r="I5687" s="8" t="s">
        <v>35</v>
      </c>
      <c r="J5687" s="9">
        <v>1</v>
      </c>
      <c r="K5687" s="9">
        <v>174</v>
      </c>
      <c r="L5687" s="9">
        <v>2027</v>
      </c>
      <c r="M5687" s="8" t="s">
        <v>32547</v>
      </c>
      <c r="N5687" s="8" t="s">
        <v>93</v>
      </c>
      <c r="O5687" s="8" t="s">
        <v>94</v>
      </c>
      <c r="P5687" s="6" t="s">
        <v>39</v>
      </c>
      <c r="Q5687" s="8" t="s">
        <v>40</v>
      </c>
      <c r="R5687" s="10" t="s">
        <v>17679</v>
      </c>
      <c r="S5687" s="11"/>
      <c r="T5687" s="6"/>
      <c r="U5687" s="15" t="str">
        <f>HYPERLINK("https://media.infra-m.ru/2222/2222664/cover/2222664.jpg", "Обложка")</f>
        <v>Обложка</v>
      </c>
      <c r="V5687" s="8" t="s">
        <v>3243</v>
      </c>
      <c r="W5687" s="6"/>
      <c r="X5687" s="6"/>
      <c r="Y5687" s="6"/>
      <c r="Z5687" s="6"/>
      <c r="AA5687" s="6" t="s">
        <v>115</v>
      </c>
      <c r="AB5687" s="8"/>
      <c r="AC5687" s="27">
        <v>9785160148649</v>
      </c>
    </row>
    <row r="5688" spans="1:29" s="4" customFormat="1" ht="51.9" customHeight="1" x14ac:dyDescent="0.2">
      <c r="A5688" s="5">
        <v>0</v>
      </c>
      <c r="B5688" s="6" t="s">
        <v>32548</v>
      </c>
      <c r="C5688" s="7">
        <v>1584</v>
      </c>
      <c r="D5688" s="8" t="s">
        <v>32549</v>
      </c>
      <c r="E5688" s="8" t="s">
        <v>32550</v>
      </c>
      <c r="F5688" s="8" t="s">
        <v>32551</v>
      </c>
      <c r="G5688" s="6" t="s">
        <v>60</v>
      </c>
      <c r="H5688" s="6" t="s">
        <v>134</v>
      </c>
      <c r="I5688" s="8"/>
      <c r="J5688" s="9">
        <v>1</v>
      </c>
      <c r="K5688" s="9">
        <v>232</v>
      </c>
      <c r="L5688" s="9">
        <v>2026</v>
      </c>
      <c r="M5688" s="8" t="s">
        <v>32552</v>
      </c>
      <c r="N5688" s="8" t="s">
        <v>37</v>
      </c>
      <c r="O5688" s="8" t="s">
        <v>136</v>
      </c>
      <c r="P5688" s="6" t="s">
        <v>39</v>
      </c>
      <c r="Q5688" s="8" t="s">
        <v>40</v>
      </c>
      <c r="R5688" s="10" t="s">
        <v>32553</v>
      </c>
      <c r="S5688" s="11"/>
      <c r="T5688" s="6"/>
      <c r="U5688" s="15" t="str">
        <f>HYPERLINK("https://media.infra-m.ru/2235/2235919/cover/2235919.jpg", "Обложка")</f>
        <v>Обложка</v>
      </c>
      <c r="V5688" s="8" t="s">
        <v>1184</v>
      </c>
      <c r="W5688" s="6" t="s">
        <v>528</v>
      </c>
      <c r="X5688" s="6"/>
      <c r="Y5688" s="6"/>
      <c r="Z5688" s="6"/>
      <c r="AA5688" s="6" t="s">
        <v>187</v>
      </c>
      <c r="AB5688" s="8"/>
      <c r="AC5688" s="27">
        <v>9785001564720</v>
      </c>
    </row>
    <row r="5689" spans="1:29" s="4" customFormat="1" ht="42" customHeight="1" x14ac:dyDescent="0.2">
      <c r="A5689" s="5">
        <v>0</v>
      </c>
      <c r="B5689" s="6" t="s">
        <v>32554</v>
      </c>
      <c r="C5689" s="7">
        <v>1344</v>
      </c>
      <c r="D5689" s="8" t="s">
        <v>32555</v>
      </c>
      <c r="E5689" s="8" t="s">
        <v>32556</v>
      </c>
      <c r="F5689" s="8" t="s">
        <v>32557</v>
      </c>
      <c r="G5689" s="6" t="s">
        <v>118</v>
      </c>
      <c r="H5689" s="6" t="s">
        <v>134</v>
      </c>
      <c r="I5689" s="8"/>
      <c r="J5689" s="9">
        <v>1</v>
      </c>
      <c r="K5689" s="9">
        <v>204</v>
      </c>
      <c r="L5689" s="9">
        <v>2026</v>
      </c>
      <c r="M5689" s="8" t="s">
        <v>32558</v>
      </c>
      <c r="N5689" s="8" t="s">
        <v>37</v>
      </c>
      <c r="O5689" s="8" t="s">
        <v>136</v>
      </c>
      <c r="P5689" s="6" t="s">
        <v>306</v>
      </c>
      <c r="Q5689" s="8" t="s">
        <v>500</v>
      </c>
      <c r="R5689" s="10" t="s">
        <v>1667</v>
      </c>
      <c r="S5689" s="11"/>
      <c r="T5689" s="6"/>
      <c r="U5689" s="15" t="str">
        <f>HYPERLINK("https://media.infra-m.ru/2216/2216222/cover/2216222.jpg", "Обложка")</f>
        <v>Обложка</v>
      </c>
      <c r="V5689" s="8" t="s">
        <v>1184</v>
      </c>
      <c r="W5689" s="6"/>
      <c r="X5689" s="6"/>
      <c r="Y5689" s="6"/>
      <c r="Z5689" s="6"/>
      <c r="AA5689" s="6" t="s">
        <v>3772</v>
      </c>
      <c r="AB5689" s="8"/>
      <c r="AC5689" s="27">
        <v>9785001564508</v>
      </c>
    </row>
    <row r="5690" spans="1:29" s="4" customFormat="1" ht="51.9" customHeight="1" x14ac:dyDescent="0.2">
      <c r="A5690" s="5">
        <v>0</v>
      </c>
      <c r="B5690" s="6" t="s">
        <v>32559</v>
      </c>
      <c r="C5690" s="13">
        <v>868.8</v>
      </c>
      <c r="D5690" s="8" t="s">
        <v>32560</v>
      </c>
      <c r="E5690" s="8" t="s">
        <v>32561</v>
      </c>
      <c r="F5690" s="8" t="s">
        <v>32562</v>
      </c>
      <c r="G5690" s="6" t="s">
        <v>33</v>
      </c>
      <c r="H5690" s="6" t="s">
        <v>34</v>
      </c>
      <c r="I5690" s="8" t="s">
        <v>457</v>
      </c>
      <c r="J5690" s="9">
        <v>1</v>
      </c>
      <c r="K5690" s="9">
        <v>154</v>
      </c>
      <c r="L5690" s="9">
        <v>2024</v>
      </c>
      <c r="M5690" s="8" t="s">
        <v>32563</v>
      </c>
      <c r="N5690" s="8" t="s">
        <v>37</v>
      </c>
      <c r="O5690" s="8" t="s">
        <v>499</v>
      </c>
      <c r="P5690" s="6" t="s">
        <v>39</v>
      </c>
      <c r="Q5690" s="8" t="s">
        <v>40</v>
      </c>
      <c r="R5690" s="10" t="s">
        <v>32564</v>
      </c>
      <c r="S5690" s="11"/>
      <c r="T5690" s="6" t="s">
        <v>97</v>
      </c>
      <c r="U5690" s="15" t="str">
        <f>HYPERLINK("https://media.infra-m.ru/2136/2136021/cover/2136021.jpg", "Обложка")</f>
        <v>Обложка</v>
      </c>
      <c r="V5690" s="8" t="s">
        <v>247</v>
      </c>
      <c r="W5690" s="6"/>
      <c r="X5690" s="6"/>
      <c r="Y5690" s="6"/>
      <c r="Z5690" s="6"/>
      <c r="AA5690" s="6" t="s">
        <v>115</v>
      </c>
      <c r="AB5690" s="8"/>
      <c r="AC5690" s="27">
        <v>9785160142074</v>
      </c>
    </row>
    <row r="5691" spans="1:29" s="4" customFormat="1" ht="51.9" customHeight="1" x14ac:dyDescent="0.2">
      <c r="A5691" s="5">
        <v>0</v>
      </c>
      <c r="B5691" s="6" t="s">
        <v>32565</v>
      </c>
      <c r="C5691" s="7">
        <v>1548</v>
      </c>
      <c r="D5691" s="8" t="s">
        <v>32566</v>
      </c>
      <c r="E5691" s="8" t="s">
        <v>32567</v>
      </c>
      <c r="F5691" s="8" t="s">
        <v>4117</v>
      </c>
      <c r="G5691" s="6" t="s">
        <v>118</v>
      </c>
      <c r="H5691" s="6" t="s">
        <v>134</v>
      </c>
      <c r="I5691" s="8"/>
      <c r="J5691" s="9">
        <v>1</v>
      </c>
      <c r="K5691" s="9">
        <v>248</v>
      </c>
      <c r="L5691" s="9">
        <v>2025</v>
      </c>
      <c r="M5691" s="8" t="s">
        <v>32568</v>
      </c>
      <c r="N5691" s="8" t="s">
        <v>37</v>
      </c>
      <c r="O5691" s="8" t="s">
        <v>136</v>
      </c>
      <c r="P5691" s="6" t="s">
        <v>306</v>
      </c>
      <c r="Q5691" s="8" t="s">
        <v>500</v>
      </c>
      <c r="R5691" s="10" t="s">
        <v>32569</v>
      </c>
      <c r="S5691" s="11"/>
      <c r="T5691" s="6"/>
      <c r="U5691" s="15" t="str">
        <f>HYPERLINK("https://media.infra-m.ru/2174/2174335/cover/2174335.jpg", "Обложка")</f>
        <v>Обложка</v>
      </c>
      <c r="V5691" s="8" t="s">
        <v>1184</v>
      </c>
      <c r="W5691" s="6"/>
      <c r="X5691" s="6"/>
      <c r="Y5691" s="6"/>
      <c r="Z5691" s="6"/>
      <c r="AA5691" s="6" t="s">
        <v>157</v>
      </c>
      <c r="AB5691" s="8"/>
      <c r="AC5691" s="27">
        <v>9785001562764</v>
      </c>
    </row>
    <row r="5692" spans="1:29" s="4" customFormat="1" ht="42" customHeight="1" x14ac:dyDescent="0.2">
      <c r="A5692" s="5">
        <v>0</v>
      </c>
      <c r="B5692" s="6" t="s">
        <v>32570</v>
      </c>
      <c r="C5692" s="13">
        <v>996</v>
      </c>
      <c r="D5692" s="8" t="s">
        <v>32571</v>
      </c>
      <c r="E5692" s="8" t="s">
        <v>32572</v>
      </c>
      <c r="F5692" s="8" t="s">
        <v>10794</v>
      </c>
      <c r="G5692" s="6" t="s">
        <v>33</v>
      </c>
      <c r="H5692" s="6" t="s">
        <v>313</v>
      </c>
      <c r="I5692" s="8" t="s">
        <v>35</v>
      </c>
      <c r="J5692" s="9">
        <v>1</v>
      </c>
      <c r="K5692" s="9">
        <v>138</v>
      </c>
      <c r="L5692" s="9">
        <v>2026</v>
      </c>
      <c r="M5692" s="8" t="s">
        <v>32573</v>
      </c>
      <c r="N5692" s="8" t="s">
        <v>37</v>
      </c>
      <c r="O5692" s="8" t="s">
        <v>136</v>
      </c>
      <c r="P5692" s="6" t="s">
        <v>39</v>
      </c>
      <c r="Q5692" s="8" t="s">
        <v>183</v>
      </c>
      <c r="R5692" s="10" t="s">
        <v>1625</v>
      </c>
      <c r="S5692" s="11"/>
      <c r="T5692" s="6"/>
      <c r="U5692" s="15" t="str">
        <f>HYPERLINK("https://media.infra-m.ru/2224/2224224/cover/2224224.jpg", "Обложка")</f>
        <v>Обложка</v>
      </c>
      <c r="V5692" s="8" t="s">
        <v>7167</v>
      </c>
      <c r="W5692" s="6" t="s">
        <v>2941</v>
      </c>
      <c r="X5692" s="6"/>
      <c r="Y5692" s="6"/>
      <c r="Z5692" s="6"/>
      <c r="AA5692" s="6" t="s">
        <v>187</v>
      </c>
      <c r="AB5692" s="8"/>
      <c r="AC5692" s="27">
        <v>9785369020029</v>
      </c>
    </row>
    <row r="5693" spans="1:29" s="4" customFormat="1" ht="51.9" customHeight="1" x14ac:dyDescent="0.2">
      <c r="A5693" s="5">
        <v>0</v>
      </c>
      <c r="B5693" s="6" t="s">
        <v>32574</v>
      </c>
      <c r="C5693" s="13">
        <v>737.9</v>
      </c>
      <c r="D5693" s="8" t="s">
        <v>32575</v>
      </c>
      <c r="E5693" s="8" t="s">
        <v>32576</v>
      </c>
      <c r="F5693" s="8" t="s">
        <v>32491</v>
      </c>
      <c r="G5693" s="6" t="s">
        <v>60</v>
      </c>
      <c r="H5693" s="6" t="s">
        <v>134</v>
      </c>
      <c r="I5693" s="8"/>
      <c r="J5693" s="9">
        <v>1</v>
      </c>
      <c r="K5693" s="9">
        <v>192</v>
      </c>
      <c r="L5693" s="9">
        <v>2018</v>
      </c>
      <c r="M5693" s="8" t="s">
        <v>32577</v>
      </c>
      <c r="N5693" s="8" t="s">
        <v>37</v>
      </c>
      <c r="O5693" s="8" t="s">
        <v>136</v>
      </c>
      <c r="P5693" s="6" t="s">
        <v>51</v>
      </c>
      <c r="Q5693" s="8" t="s">
        <v>52</v>
      </c>
      <c r="R5693" s="10" t="s">
        <v>32493</v>
      </c>
      <c r="S5693" s="11"/>
      <c r="T5693" s="6"/>
      <c r="U5693" s="15" t="str">
        <f>HYPERLINK("https://media.infra-m.ru/0858/0858762/cover/858762.jpg", "Обложка")</f>
        <v>Обложка</v>
      </c>
      <c r="V5693" s="8" t="s">
        <v>4448</v>
      </c>
      <c r="W5693" s="6"/>
      <c r="X5693" s="6"/>
      <c r="Y5693" s="6"/>
      <c r="Z5693" s="6"/>
      <c r="AA5693" s="6" t="s">
        <v>859</v>
      </c>
      <c r="AB5693" s="8"/>
      <c r="AC5693" s="27">
        <v>9785917685359</v>
      </c>
    </row>
    <row r="5694" spans="1:29" s="4" customFormat="1" ht="42" customHeight="1" x14ac:dyDescent="0.2">
      <c r="A5694" s="5">
        <v>0</v>
      </c>
      <c r="B5694" s="6" t="s">
        <v>32578</v>
      </c>
      <c r="C5694" s="7">
        <v>2080.8000000000002</v>
      </c>
      <c r="D5694" s="8" t="s">
        <v>32579</v>
      </c>
      <c r="E5694" s="8" t="s">
        <v>32580</v>
      </c>
      <c r="F5694" s="8" t="s">
        <v>32581</v>
      </c>
      <c r="G5694" s="6" t="s">
        <v>118</v>
      </c>
      <c r="H5694" s="6" t="s">
        <v>34</v>
      </c>
      <c r="I5694" s="8" t="s">
        <v>1074</v>
      </c>
      <c r="J5694" s="9">
        <v>1</v>
      </c>
      <c r="K5694" s="9">
        <v>368</v>
      </c>
      <c r="L5694" s="9">
        <v>2024</v>
      </c>
      <c r="M5694" s="8" t="s">
        <v>32582</v>
      </c>
      <c r="N5694" s="8" t="s">
        <v>37</v>
      </c>
      <c r="O5694" s="8" t="s">
        <v>136</v>
      </c>
      <c r="P5694" s="6" t="s">
        <v>3141</v>
      </c>
      <c r="Q5694" s="8" t="s">
        <v>40</v>
      </c>
      <c r="R5694" s="10" t="s">
        <v>1255</v>
      </c>
      <c r="S5694" s="11"/>
      <c r="T5694" s="6"/>
      <c r="U5694" s="15" t="str">
        <f>HYPERLINK("https://media.infra-m.ru/2144/2144162/cover/2144162.jpg", "Обложка")</f>
        <v>Обложка</v>
      </c>
      <c r="V5694" s="8" t="s">
        <v>138</v>
      </c>
      <c r="W5694" s="6"/>
      <c r="X5694" s="6"/>
      <c r="Y5694" s="6"/>
      <c r="Z5694" s="6"/>
      <c r="AA5694" s="6" t="s">
        <v>99</v>
      </c>
      <c r="AB5694" s="8"/>
      <c r="AC5694" s="27">
        <v>9785160137025</v>
      </c>
    </row>
    <row r="5695" spans="1:29" s="4" customFormat="1" ht="44.1" customHeight="1" x14ac:dyDescent="0.2">
      <c r="A5695" s="5">
        <v>0</v>
      </c>
      <c r="B5695" s="6" t="s">
        <v>32583</v>
      </c>
      <c r="C5695" s="7">
        <v>1644</v>
      </c>
      <c r="D5695" s="8" t="s">
        <v>32584</v>
      </c>
      <c r="E5695" s="8" t="s">
        <v>32585</v>
      </c>
      <c r="F5695" s="8" t="s">
        <v>32586</v>
      </c>
      <c r="G5695" s="6" t="s">
        <v>118</v>
      </c>
      <c r="H5695" s="6" t="s">
        <v>34</v>
      </c>
      <c r="I5695" s="8" t="s">
        <v>1074</v>
      </c>
      <c r="J5695" s="9">
        <v>1</v>
      </c>
      <c r="K5695" s="9">
        <v>304</v>
      </c>
      <c r="L5695" s="9">
        <v>2023</v>
      </c>
      <c r="M5695" s="8" t="s">
        <v>32587</v>
      </c>
      <c r="N5695" s="8" t="s">
        <v>37</v>
      </c>
      <c r="O5695" s="8" t="s">
        <v>136</v>
      </c>
      <c r="P5695" s="6" t="s">
        <v>39</v>
      </c>
      <c r="Q5695" s="8" t="s">
        <v>40</v>
      </c>
      <c r="R5695" s="10" t="s">
        <v>12089</v>
      </c>
      <c r="S5695" s="11"/>
      <c r="T5695" s="6"/>
      <c r="U5695" s="15" t="str">
        <f>HYPERLINK("https://media.infra-m.ru/1964/1964967/cover/1964967.jpg", "Обложка")</f>
        <v>Обложка</v>
      </c>
      <c r="V5695" s="8" t="s">
        <v>617</v>
      </c>
      <c r="W5695" s="6"/>
      <c r="X5695" s="6"/>
      <c r="Y5695" s="6"/>
      <c r="Z5695" s="6"/>
      <c r="AA5695" s="6" t="s">
        <v>115</v>
      </c>
      <c r="AB5695" s="8" t="s">
        <v>2231</v>
      </c>
      <c r="AC5695" s="27">
        <v>9785160147321</v>
      </c>
    </row>
    <row r="5696" spans="1:29" s="4" customFormat="1" ht="51.9" customHeight="1" x14ac:dyDescent="0.2">
      <c r="A5696" s="5">
        <v>0</v>
      </c>
      <c r="B5696" s="6" t="s">
        <v>32588</v>
      </c>
      <c r="C5696" s="13">
        <v>521.9</v>
      </c>
      <c r="D5696" s="8" t="s">
        <v>32589</v>
      </c>
      <c r="E5696" s="8" t="s">
        <v>32590</v>
      </c>
      <c r="F5696" s="8" t="s">
        <v>1829</v>
      </c>
      <c r="G5696" s="6" t="s">
        <v>33</v>
      </c>
      <c r="H5696" s="6" t="s">
        <v>134</v>
      </c>
      <c r="I5696" s="8"/>
      <c r="J5696" s="9">
        <v>1</v>
      </c>
      <c r="K5696" s="9">
        <v>128</v>
      </c>
      <c r="L5696" s="9">
        <v>2020</v>
      </c>
      <c r="M5696" s="8" t="s">
        <v>32591</v>
      </c>
      <c r="N5696" s="8" t="s">
        <v>37</v>
      </c>
      <c r="O5696" s="8" t="s">
        <v>136</v>
      </c>
      <c r="P5696" s="6" t="s">
        <v>51</v>
      </c>
      <c r="Q5696" s="8" t="s">
        <v>500</v>
      </c>
      <c r="R5696" s="10" t="s">
        <v>32481</v>
      </c>
      <c r="S5696" s="11"/>
      <c r="T5696" s="6"/>
      <c r="U5696" s="15" t="str">
        <f>HYPERLINK("https://media.infra-m.ru/1044/1044597/cover/1044597.jpg", "Обложка")</f>
        <v>Обложка</v>
      </c>
      <c r="V5696" s="8" t="s">
        <v>1184</v>
      </c>
      <c r="W5696" s="6"/>
      <c r="X5696" s="6"/>
      <c r="Y5696" s="6"/>
      <c r="Z5696" s="6"/>
      <c r="AA5696" s="6" t="s">
        <v>86</v>
      </c>
      <c r="AB5696" s="8"/>
      <c r="AC5696" s="27">
        <v>9785917688763</v>
      </c>
    </row>
    <row r="5697" spans="1:29" s="4" customFormat="1" ht="51.9" customHeight="1" x14ac:dyDescent="0.2">
      <c r="A5697" s="5">
        <v>0</v>
      </c>
      <c r="B5697" s="6" t="s">
        <v>32592</v>
      </c>
      <c r="C5697" s="7">
        <v>1229.9000000000001</v>
      </c>
      <c r="D5697" s="8" t="s">
        <v>32593</v>
      </c>
      <c r="E5697" s="8" t="s">
        <v>32594</v>
      </c>
      <c r="F5697" s="8" t="s">
        <v>5570</v>
      </c>
      <c r="G5697" s="6" t="s">
        <v>60</v>
      </c>
      <c r="H5697" s="6" t="s">
        <v>1779</v>
      </c>
      <c r="I5697" s="8"/>
      <c r="J5697" s="9">
        <v>1</v>
      </c>
      <c r="K5697" s="9">
        <v>320</v>
      </c>
      <c r="L5697" s="9">
        <v>2019</v>
      </c>
      <c r="M5697" s="8"/>
      <c r="N5697" s="8" t="s">
        <v>37</v>
      </c>
      <c r="O5697" s="8" t="s">
        <v>136</v>
      </c>
      <c r="P5697" s="6" t="s">
        <v>306</v>
      </c>
      <c r="Q5697" s="8" t="s">
        <v>500</v>
      </c>
      <c r="R5697" s="10" t="s">
        <v>32595</v>
      </c>
      <c r="S5697" s="11"/>
      <c r="T5697" s="6"/>
      <c r="U5697" s="15" t="str">
        <f>HYPERLINK("https://media.infra-m.ru/1011/1011095/cover/1011095.jpg", "Обложка")</f>
        <v>Обложка</v>
      </c>
      <c r="V5697" s="8" t="s">
        <v>1184</v>
      </c>
      <c r="W5697" s="6"/>
      <c r="X5697" s="6"/>
      <c r="Y5697" s="6"/>
      <c r="Z5697" s="6"/>
      <c r="AA5697" s="6" t="s">
        <v>779</v>
      </c>
      <c r="AB5697" s="8"/>
      <c r="AC5697" s="27"/>
    </row>
    <row r="5698" spans="1:29" s="4" customFormat="1" ht="51.9" customHeight="1" x14ac:dyDescent="0.2">
      <c r="A5698" s="5">
        <v>0</v>
      </c>
      <c r="B5698" s="6" t="s">
        <v>32596</v>
      </c>
      <c r="C5698" s="7">
        <v>2212.8000000000002</v>
      </c>
      <c r="D5698" s="8" t="s">
        <v>32597</v>
      </c>
      <c r="E5698" s="8" t="s">
        <v>32598</v>
      </c>
      <c r="F5698" s="8" t="s">
        <v>5570</v>
      </c>
      <c r="G5698" s="6" t="s">
        <v>118</v>
      </c>
      <c r="H5698" s="6" t="s">
        <v>134</v>
      </c>
      <c r="I5698" s="8"/>
      <c r="J5698" s="9">
        <v>1</v>
      </c>
      <c r="K5698" s="9">
        <v>336</v>
      </c>
      <c r="L5698" s="9">
        <v>2026</v>
      </c>
      <c r="M5698" s="8" t="s">
        <v>32599</v>
      </c>
      <c r="N5698" s="8" t="s">
        <v>37</v>
      </c>
      <c r="O5698" s="8" t="s">
        <v>136</v>
      </c>
      <c r="P5698" s="6" t="s">
        <v>306</v>
      </c>
      <c r="Q5698" s="8" t="s">
        <v>500</v>
      </c>
      <c r="R5698" s="10" t="s">
        <v>32595</v>
      </c>
      <c r="S5698" s="11"/>
      <c r="T5698" s="6"/>
      <c r="U5698" s="15" t="str">
        <f>HYPERLINK("https://media.infra-m.ru/2239/2239175/cover/2239175.jpg", "Обложка")</f>
        <v>Обложка</v>
      </c>
      <c r="V5698" s="8" t="s">
        <v>1184</v>
      </c>
      <c r="W5698" s="6"/>
      <c r="X5698" s="6"/>
      <c r="Y5698" s="6"/>
      <c r="Z5698" s="6"/>
      <c r="AA5698" s="6" t="s">
        <v>106</v>
      </c>
      <c r="AB5698" s="8"/>
      <c r="AC5698" s="27">
        <v>9785001563167</v>
      </c>
    </row>
    <row r="5699" spans="1:29" s="4" customFormat="1" ht="51.9" customHeight="1" x14ac:dyDescent="0.2">
      <c r="A5699" s="5">
        <v>0</v>
      </c>
      <c r="B5699" s="6" t="s">
        <v>32600</v>
      </c>
      <c r="C5699" s="7">
        <v>2652</v>
      </c>
      <c r="D5699" s="8" t="s">
        <v>32601</v>
      </c>
      <c r="E5699" s="8" t="s">
        <v>32602</v>
      </c>
      <c r="F5699" s="8" t="s">
        <v>32603</v>
      </c>
      <c r="G5699" s="6" t="s">
        <v>60</v>
      </c>
      <c r="H5699" s="6" t="s">
        <v>34</v>
      </c>
      <c r="I5699" s="8" t="s">
        <v>504</v>
      </c>
      <c r="J5699" s="9">
        <v>1</v>
      </c>
      <c r="K5699" s="9">
        <v>479</v>
      </c>
      <c r="L5699" s="9">
        <v>2024</v>
      </c>
      <c r="M5699" s="8" t="s">
        <v>32604</v>
      </c>
      <c r="N5699" s="8" t="s">
        <v>37</v>
      </c>
      <c r="O5699" s="8" t="s">
        <v>136</v>
      </c>
      <c r="P5699" s="6" t="s">
        <v>306</v>
      </c>
      <c r="Q5699" s="8" t="s">
        <v>500</v>
      </c>
      <c r="R5699" s="10" t="s">
        <v>32605</v>
      </c>
      <c r="S5699" s="11" t="s">
        <v>32606</v>
      </c>
      <c r="T5699" s="6"/>
      <c r="U5699" s="15" t="str">
        <f>HYPERLINK("https://media.infra-m.ru/2125/2125652/cover/2125652.jpg", "Обложка")</f>
        <v>Обложка</v>
      </c>
      <c r="V5699" s="8" t="s">
        <v>809</v>
      </c>
      <c r="W5699" s="6"/>
      <c r="X5699" s="6"/>
      <c r="Y5699" s="6"/>
      <c r="Z5699" s="6"/>
      <c r="AA5699" s="6" t="s">
        <v>3736</v>
      </c>
      <c r="AB5699" s="8"/>
      <c r="AC5699" s="27">
        <v>9785160136431</v>
      </c>
    </row>
    <row r="5700" spans="1:29" s="4" customFormat="1" ht="42" customHeight="1" x14ac:dyDescent="0.2">
      <c r="A5700" s="5">
        <v>0</v>
      </c>
      <c r="B5700" s="6" t="s">
        <v>32607</v>
      </c>
      <c r="C5700" s="13">
        <v>916.8</v>
      </c>
      <c r="D5700" s="8" t="s">
        <v>32608</v>
      </c>
      <c r="E5700" s="8" t="s">
        <v>32609</v>
      </c>
      <c r="F5700" s="8" t="s">
        <v>32610</v>
      </c>
      <c r="G5700" s="6" t="s">
        <v>33</v>
      </c>
      <c r="H5700" s="6" t="s">
        <v>34</v>
      </c>
      <c r="I5700" s="8" t="s">
        <v>6570</v>
      </c>
      <c r="J5700" s="9">
        <v>1</v>
      </c>
      <c r="K5700" s="9">
        <v>168</v>
      </c>
      <c r="L5700" s="9">
        <v>2023</v>
      </c>
      <c r="M5700" s="8" t="s">
        <v>32611</v>
      </c>
      <c r="N5700" s="8" t="s">
        <v>37</v>
      </c>
      <c r="O5700" s="8" t="s">
        <v>136</v>
      </c>
      <c r="P5700" s="6" t="s">
        <v>39</v>
      </c>
      <c r="Q5700" s="8" t="s">
        <v>40</v>
      </c>
      <c r="R5700" s="10" t="s">
        <v>1631</v>
      </c>
      <c r="S5700" s="11"/>
      <c r="T5700" s="6" t="s">
        <v>97</v>
      </c>
      <c r="U5700" s="15" t="str">
        <f>HYPERLINK("https://media.infra-m.ru/2021/2021461/cover/2021461.jpg", "Обложка")</f>
        <v>Обложка</v>
      </c>
      <c r="V5700" s="8" t="s">
        <v>247</v>
      </c>
      <c r="W5700" s="6"/>
      <c r="X5700" s="6"/>
      <c r="Y5700" s="6"/>
      <c r="Z5700" s="6"/>
      <c r="AA5700" s="6" t="s">
        <v>115</v>
      </c>
      <c r="AB5700" s="8"/>
      <c r="AC5700" s="27">
        <v>9785160142159</v>
      </c>
    </row>
    <row r="5701" spans="1:29" s="4" customFormat="1" ht="42" customHeight="1" x14ac:dyDescent="0.2">
      <c r="A5701" s="5">
        <v>0</v>
      </c>
      <c r="B5701" s="6" t="s">
        <v>32612</v>
      </c>
      <c r="C5701" s="13">
        <v>652.79999999999995</v>
      </c>
      <c r="D5701" s="8" t="s">
        <v>32613</v>
      </c>
      <c r="E5701" s="8" t="s">
        <v>32614</v>
      </c>
      <c r="F5701" s="8" t="s">
        <v>32615</v>
      </c>
      <c r="G5701" s="6" t="s">
        <v>33</v>
      </c>
      <c r="H5701" s="6" t="s">
        <v>34</v>
      </c>
      <c r="I5701" s="8" t="s">
        <v>35</v>
      </c>
      <c r="J5701" s="9">
        <v>1</v>
      </c>
      <c r="K5701" s="9">
        <v>109</v>
      </c>
      <c r="L5701" s="9">
        <v>2024</v>
      </c>
      <c r="M5701" s="8" t="s">
        <v>32616</v>
      </c>
      <c r="N5701" s="8" t="s">
        <v>37</v>
      </c>
      <c r="O5701" s="8" t="s">
        <v>136</v>
      </c>
      <c r="P5701" s="6" t="s">
        <v>39</v>
      </c>
      <c r="Q5701" s="8" t="s">
        <v>40</v>
      </c>
      <c r="R5701" s="10" t="s">
        <v>1625</v>
      </c>
      <c r="S5701" s="11"/>
      <c r="T5701" s="6"/>
      <c r="U5701" s="15" t="str">
        <f>HYPERLINK("https://media.infra-m.ru/2130/2130423/cover/2130423.jpg", "Обложка")</f>
        <v>Обложка</v>
      </c>
      <c r="V5701" s="8" t="s">
        <v>257</v>
      </c>
      <c r="W5701" s="6"/>
      <c r="X5701" s="6"/>
      <c r="Y5701" s="6"/>
      <c r="Z5701" s="6"/>
      <c r="AA5701" s="6" t="s">
        <v>115</v>
      </c>
      <c r="AB5701" s="8"/>
      <c r="AC5701" s="27">
        <v>9785160142654</v>
      </c>
    </row>
    <row r="5702" spans="1:29" s="4" customFormat="1" ht="42" customHeight="1" x14ac:dyDescent="0.2">
      <c r="A5702" s="5">
        <v>0</v>
      </c>
      <c r="B5702" s="6" t="s">
        <v>32617</v>
      </c>
      <c r="C5702" s="13">
        <v>924</v>
      </c>
      <c r="D5702" s="8" t="s">
        <v>32618</v>
      </c>
      <c r="E5702" s="8" t="s">
        <v>32619</v>
      </c>
      <c r="F5702" s="8" t="s">
        <v>10595</v>
      </c>
      <c r="G5702" s="6" t="s">
        <v>33</v>
      </c>
      <c r="H5702" s="6" t="s">
        <v>34</v>
      </c>
      <c r="I5702" s="8" t="s">
        <v>35</v>
      </c>
      <c r="J5702" s="9">
        <v>1</v>
      </c>
      <c r="K5702" s="9">
        <v>219</v>
      </c>
      <c r="L5702" s="9">
        <v>2020</v>
      </c>
      <c r="M5702" s="8" t="s">
        <v>32620</v>
      </c>
      <c r="N5702" s="8" t="s">
        <v>37</v>
      </c>
      <c r="O5702" s="8" t="s">
        <v>136</v>
      </c>
      <c r="P5702" s="6" t="s">
        <v>39</v>
      </c>
      <c r="Q5702" s="8" t="s">
        <v>40</v>
      </c>
      <c r="R5702" s="10" t="s">
        <v>1625</v>
      </c>
      <c r="S5702" s="11"/>
      <c r="T5702" s="6"/>
      <c r="U5702" s="15" t="str">
        <f>HYPERLINK("https://media.infra-m.ru/1087/1087991/cover/1087991.jpg", "Обложка")</f>
        <v>Обложка</v>
      </c>
      <c r="V5702" s="8" t="s">
        <v>1184</v>
      </c>
      <c r="W5702" s="6"/>
      <c r="X5702" s="6"/>
      <c r="Y5702" s="6"/>
      <c r="Z5702" s="6"/>
      <c r="AA5702" s="6" t="s">
        <v>115</v>
      </c>
      <c r="AB5702" s="8"/>
      <c r="AC5702" s="27">
        <v>9785160146355</v>
      </c>
    </row>
    <row r="5703" spans="1:29" s="4" customFormat="1" ht="42" customHeight="1" x14ac:dyDescent="0.2">
      <c r="A5703" s="5">
        <v>0</v>
      </c>
      <c r="B5703" s="6" t="s">
        <v>32621</v>
      </c>
      <c r="C5703" s="7">
        <v>1168.8</v>
      </c>
      <c r="D5703" s="8" t="s">
        <v>32622</v>
      </c>
      <c r="E5703" s="8" t="s">
        <v>32623</v>
      </c>
      <c r="F5703" s="8" t="s">
        <v>32557</v>
      </c>
      <c r="G5703" s="6" t="s">
        <v>118</v>
      </c>
      <c r="H5703" s="6" t="s">
        <v>134</v>
      </c>
      <c r="I5703" s="8"/>
      <c r="J5703" s="9">
        <v>1</v>
      </c>
      <c r="K5703" s="9">
        <v>208</v>
      </c>
      <c r="L5703" s="9">
        <v>2024</v>
      </c>
      <c r="M5703" s="8" t="s">
        <v>32624</v>
      </c>
      <c r="N5703" s="8" t="s">
        <v>37</v>
      </c>
      <c r="O5703" s="8" t="s">
        <v>136</v>
      </c>
      <c r="P5703" s="6" t="s">
        <v>306</v>
      </c>
      <c r="Q5703" s="8" t="s">
        <v>500</v>
      </c>
      <c r="R5703" s="10" t="s">
        <v>1667</v>
      </c>
      <c r="S5703" s="11"/>
      <c r="T5703" s="6"/>
      <c r="U5703" s="15" t="str">
        <f>HYPERLINK("https://media.infra-m.ru/2141/2141775/cover/2141775.jpg", "Обложка")</f>
        <v>Обложка</v>
      </c>
      <c r="V5703" s="8" t="s">
        <v>1184</v>
      </c>
      <c r="W5703" s="6"/>
      <c r="X5703" s="6"/>
      <c r="Y5703" s="6"/>
      <c r="Z5703" s="6"/>
      <c r="AA5703" s="6" t="s">
        <v>896</v>
      </c>
      <c r="AB5703" s="8"/>
      <c r="AC5703" s="27">
        <v>9785001562245</v>
      </c>
    </row>
    <row r="5704" spans="1:29" s="4" customFormat="1" ht="42" customHeight="1" x14ac:dyDescent="0.2">
      <c r="A5704" s="5">
        <v>0</v>
      </c>
      <c r="B5704" s="6" t="s">
        <v>32625</v>
      </c>
      <c r="C5704" s="13">
        <v>948</v>
      </c>
      <c r="D5704" s="8" t="s">
        <v>32626</v>
      </c>
      <c r="E5704" s="8" t="s">
        <v>32627</v>
      </c>
      <c r="F5704" s="8" t="s">
        <v>32557</v>
      </c>
      <c r="G5704" s="6" t="s">
        <v>60</v>
      </c>
      <c r="H5704" s="6" t="s">
        <v>134</v>
      </c>
      <c r="I5704" s="8"/>
      <c r="J5704" s="9">
        <v>1</v>
      </c>
      <c r="K5704" s="9">
        <v>208</v>
      </c>
      <c r="L5704" s="9">
        <v>2020</v>
      </c>
      <c r="M5704" s="8" t="s">
        <v>32628</v>
      </c>
      <c r="N5704" s="8" t="s">
        <v>37</v>
      </c>
      <c r="O5704" s="8" t="s">
        <v>136</v>
      </c>
      <c r="P5704" s="6" t="s">
        <v>306</v>
      </c>
      <c r="Q5704" s="8" t="s">
        <v>500</v>
      </c>
      <c r="R5704" s="10" t="s">
        <v>1667</v>
      </c>
      <c r="S5704" s="11"/>
      <c r="T5704" s="6"/>
      <c r="U5704" s="15" t="str">
        <f>HYPERLINK("https://media.infra-m.ru/1087/1087549/cover/1087549.jpg", "Обложка")</f>
        <v>Обложка</v>
      </c>
      <c r="V5704" s="8" t="s">
        <v>1184</v>
      </c>
      <c r="W5704" s="6"/>
      <c r="X5704" s="6"/>
      <c r="Y5704" s="6"/>
      <c r="Z5704" s="6"/>
      <c r="AA5704" s="6" t="s">
        <v>115</v>
      </c>
      <c r="AB5704" s="8"/>
      <c r="AC5704" s="27">
        <v>9785917689647</v>
      </c>
    </row>
    <row r="5705" spans="1:29" s="4" customFormat="1" ht="42" customHeight="1" x14ac:dyDescent="0.2">
      <c r="A5705" s="5">
        <v>0</v>
      </c>
      <c r="B5705" s="6" t="s">
        <v>32629</v>
      </c>
      <c r="C5705" s="13">
        <v>744</v>
      </c>
      <c r="D5705" s="8" t="s">
        <v>32630</v>
      </c>
      <c r="E5705" s="8" t="s">
        <v>32631</v>
      </c>
      <c r="F5705" s="8" t="s">
        <v>32632</v>
      </c>
      <c r="G5705" s="6" t="s">
        <v>118</v>
      </c>
      <c r="H5705" s="6" t="s">
        <v>134</v>
      </c>
      <c r="I5705" s="8"/>
      <c r="J5705" s="9">
        <v>1</v>
      </c>
      <c r="K5705" s="9">
        <v>160</v>
      </c>
      <c r="L5705" s="9">
        <v>2022</v>
      </c>
      <c r="M5705" s="8" t="s">
        <v>32633</v>
      </c>
      <c r="N5705" s="8" t="s">
        <v>37</v>
      </c>
      <c r="O5705" s="8" t="s">
        <v>233</v>
      </c>
      <c r="P5705" s="6" t="s">
        <v>39</v>
      </c>
      <c r="Q5705" s="8" t="s">
        <v>40</v>
      </c>
      <c r="R5705" s="10" t="s">
        <v>13969</v>
      </c>
      <c r="S5705" s="11"/>
      <c r="T5705" s="6"/>
      <c r="U5705" s="15" t="str">
        <f>HYPERLINK("https://media.infra-m.ru/1864/1864381/cover/1864381.jpg", "Обложка")</f>
        <v>Обложка</v>
      </c>
      <c r="V5705" s="8" t="s">
        <v>138</v>
      </c>
      <c r="W5705" s="6"/>
      <c r="X5705" s="6"/>
      <c r="Y5705" s="6"/>
      <c r="Z5705" s="6"/>
      <c r="AA5705" s="6" t="s">
        <v>779</v>
      </c>
      <c r="AB5705" s="8"/>
      <c r="AC5705" s="27">
        <v>9785917688121</v>
      </c>
    </row>
    <row r="5706" spans="1:29" s="4" customFormat="1" ht="42" customHeight="1" x14ac:dyDescent="0.2">
      <c r="A5706" s="5">
        <v>0</v>
      </c>
      <c r="B5706" s="6" t="s">
        <v>32634</v>
      </c>
      <c r="C5706" s="7">
        <v>1860</v>
      </c>
      <c r="D5706" s="8" t="s">
        <v>32635</v>
      </c>
      <c r="E5706" s="8" t="s">
        <v>32636</v>
      </c>
      <c r="F5706" s="8" t="s">
        <v>32637</v>
      </c>
      <c r="G5706" s="6" t="s">
        <v>60</v>
      </c>
      <c r="H5706" s="6" t="s">
        <v>34</v>
      </c>
      <c r="I5706" s="8" t="s">
        <v>35</v>
      </c>
      <c r="J5706" s="9">
        <v>1</v>
      </c>
      <c r="K5706" s="9">
        <v>242</v>
      </c>
      <c r="L5706" s="9">
        <v>2026</v>
      </c>
      <c r="M5706" s="8" t="s">
        <v>32638</v>
      </c>
      <c r="N5706" s="8" t="s">
        <v>37</v>
      </c>
      <c r="O5706" s="8" t="s">
        <v>136</v>
      </c>
      <c r="P5706" s="6" t="s">
        <v>39</v>
      </c>
      <c r="Q5706" s="8" t="s">
        <v>40</v>
      </c>
      <c r="R5706" s="10" t="s">
        <v>30896</v>
      </c>
      <c r="S5706" s="11"/>
      <c r="T5706" s="6"/>
      <c r="U5706" s="15" t="str">
        <f>HYPERLINK("https://media.infra-m.ru/2251/2251253/cover/2251253.jpg", "Обложка")</f>
        <v>Обложка</v>
      </c>
      <c r="V5706" s="8" t="s">
        <v>32639</v>
      </c>
      <c r="W5706" s="6" t="s">
        <v>649</v>
      </c>
      <c r="X5706" s="6"/>
      <c r="Y5706" s="6"/>
      <c r="Z5706" s="6"/>
      <c r="AA5706" s="6" t="s">
        <v>187</v>
      </c>
      <c r="AB5706" s="8"/>
      <c r="AC5706" s="27">
        <v>9785160220888</v>
      </c>
    </row>
    <row r="5707" spans="1:29" s="4" customFormat="1" ht="42" customHeight="1" x14ac:dyDescent="0.2">
      <c r="A5707" s="5">
        <v>0</v>
      </c>
      <c r="B5707" s="6" t="s">
        <v>32640</v>
      </c>
      <c r="C5707" s="7">
        <v>1464</v>
      </c>
      <c r="D5707" s="8" t="s">
        <v>32641</v>
      </c>
      <c r="E5707" s="8" t="s">
        <v>32642</v>
      </c>
      <c r="F5707" s="8" t="s">
        <v>32643</v>
      </c>
      <c r="G5707" s="6" t="s">
        <v>118</v>
      </c>
      <c r="H5707" s="6" t="s">
        <v>34</v>
      </c>
      <c r="I5707" s="8" t="s">
        <v>1074</v>
      </c>
      <c r="J5707" s="9">
        <v>1</v>
      </c>
      <c r="K5707" s="9">
        <v>312</v>
      </c>
      <c r="L5707" s="9">
        <v>2022</v>
      </c>
      <c r="M5707" s="8" t="s">
        <v>32644</v>
      </c>
      <c r="N5707" s="8" t="s">
        <v>37</v>
      </c>
      <c r="O5707" s="8" t="s">
        <v>136</v>
      </c>
      <c r="P5707" s="6" t="s">
        <v>39</v>
      </c>
      <c r="Q5707" s="8" t="s">
        <v>40</v>
      </c>
      <c r="R5707" s="10" t="s">
        <v>1625</v>
      </c>
      <c r="S5707" s="11"/>
      <c r="T5707" s="6"/>
      <c r="U5707" s="15" t="str">
        <f>HYPERLINK("https://media.infra-m.ru/1841/1841652/cover/1841652.jpg", "Обложка")</f>
        <v>Обложка</v>
      </c>
      <c r="V5707" s="8" t="s">
        <v>138</v>
      </c>
      <c r="W5707" s="6"/>
      <c r="X5707" s="6"/>
      <c r="Y5707" s="6"/>
      <c r="Z5707" s="6"/>
      <c r="AA5707" s="6" t="s">
        <v>115</v>
      </c>
      <c r="AB5707" s="8"/>
      <c r="AC5707" s="27">
        <v>9785160146928</v>
      </c>
    </row>
    <row r="5708" spans="1:29" s="4" customFormat="1" ht="44.1" customHeight="1" x14ac:dyDescent="0.2">
      <c r="A5708" s="5">
        <v>0</v>
      </c>
      <c r="B5708" s="6" t="s">
        <v>32645</v>
      </c>
      <c r="C5708" s="7">
        <v>1176</v>
      </c>
      <c r="D5708" s="8" t="s">
        <v>32646</v>
      </c>
      <c r="E5708" s="8" t="s">
        <v>32647</v>
      </c>
      <c r="F5708" s="8" t="s">
        <v>32648</v>
      </c>
      <c r="G5708" s="6" t="s">
        <v>33</v>
      </c>
      <c r="H5708" s="6" t="s">
        <v>34</v>
      </c>
      <c r="I5708" s="8" t="s">
        <v>35</v>
      </c>
      <c r="J5708" s="9">
        <v>1</v>
      </c>
      <c r="K5708" s="9">
        <v>205</v>
      </c>
      <c r="L5708" s="9">
        <v>2024</v>
      </c>
      <c r="M5708" s="8" t="s">
        <v>32649</v>
      </c>
      <c r="N5708" s="8" t="s">
        <v>37</v>
      </c>
      <c r="O5708" s="8" t="s">
        <v>136</v>
      </c>
      <c r="P5708" s="6" t="s">
        <v>39</v>
      </c>
      <c r="Q5708" s="8" t="s">
        <v>40</v>
      </c>
      <c r="R5708" s="10" t="s">
        <v>1955</v>
      </c>
      <c r="S5708" s="11"/>
      <c r="T5708" s="6"/>
      <c r="U5708" s="15" t="str">
        <f>HYPERLINK("https://media.infra-m.ru/2124/2124800/cover/2124800.jpg", "Обложка")</f>
        <v>Обложка</v>
      </c>
      <c r="V5708" s="8" t="s">
        <v>3636</v>
      </c>
      <c r="W5708" s="6"/>
      <c r="X5708" s="6"/>
      <c r="Y5708" s="6"/>
      <c r="Z5708" s="6"/>
      <c r="AA5708" s="6" t="s">
        <v>157</v>
      </c>
      <c r="AB5708" s="8"/>
      <c r="AC5708" s="27">
        <v>9785160176086</v>
      </c>
    </row>
    <row r="5709" spans="1:29" s="4" customFormat="1" ht="42" customHeight="1" x14ac:dyDescent="0.2">
      <c r="A5709" s="5">
        <v>0</v>
      </c>
      <c r="B5709" s="6" t="s">
        <v>32650</v>
      </c>
      <c r="C5709" s="7">
        <v>1716</v>
      </c>
      <c r="D5709" s="8" t="s">
        <v>32651</v>
      </c>
      <c r="E5709" s="8" t="s">
        <v>32652</v>
      </c>
      <c r="F5709" s="8" t="s">
        <v>32653</v>
      </c>
      <c r="G5709" s="6" t="s">
        <v>60</v>
      </c>
      <c r="H5709" s="6" t="s">
        <v>134</v>
      </c>
      <c r="I5709" s="8"/>
      <c r="J5709" s="9">
        <v>1</v>
      </c>
      <c r="K5709" s="9">
        <v>272</v>
      </c>
      <c r="L5709" s="9">
        <v>2025</v>
      </c>
      <c r="M5709" s="8" t="s">
        <v>32654</v>
      </c>
      <c r="N5709" s="8" t="s">
        <v>37</v>
      </c>
      <c r="O5709" s="8" t="s">
        <v>136</v>
      </c>
      <c r="P5709" s="6" t="s">
        <v>39</v>
      </c>
      <c r="Q5709" s="8" t="s">
        <v>183</v>
      </c>
      <c r="R5709" s="10" t="s">
        <v>20821</v>
      </c>
      <c r="S5709" s="11"/>
      <c r="T5709" s="6"/>
      <c r="U5709" s="15" t="str">
        <f>HYPERLINK("https://media.infra-m.ru/2203/2203143/cover/2203143.jpg", "Обложка")</f>
        <v>Обложка</v>
      </c>
      <c r="V5709" s="8" t="s">
        <v>1277</v>
      </c>
      <c r="W5709" s="6"/>
      <c r="X5709" s="6"/>
      <c r="Y5709" s="6"/>
      <c r="Z5709" s="6"/>
      <c r="AA5709" s="6" t="s">
        <v>68</v>
      </c>
      <c r="AB5709" s="8"/>
      <c r="AC5709" s="27">
        <v>9785001564355</v>
      </c>
    </row>
    <row r="5710" spans="1:29" s="4" customFormat="1" ht="51.9" customHeight="1" x14ac:dyDescent="0.2">
      <c r="A5710" s="5">
        <v>0</v>
      </c>
      <c r="B5710" s="6" t="s">
        <v>32655</v>
      </c>
      <c r="C5710" s="7">
        <v>1344</v>
      </c>
      <c r="D5710" s="8" t="s">
        <v>32656</v>
      </c>
      <c r="E5710" s="8" t="s">
        <v>32657</v>
      </c>
      <c r="F5710" s="8" t="s">
        <v>10487</v>
      </c>
      <c r="G5710" s="6" t="s">
        <v>60</v>
      </c>
      <c r="H5710" s="6" t="s">
        <v>34</v>
      </c>
      <c r="I5710" s="8" t="s">
        <v>263</v>
      </c>
      <c r="J5710" s="9">
        <v>1</v>
      </c>
      <c r="K5710" s="9">
        <v>236</v>
      </c>
      <c r="L5710" s="9">
        <v>2023</v>
      </c>
      <c r="M5710" s="8" t="s">
        <v>32658</v>
      </c>
      <c r="N5710" s="8" t="s">
        <v>37</v>
      </c>
      <c r="O5710" s="8" t="s">
        <v>136</v>
      </c>
      <c r="P5710" s="6" t="s">
        <v>51</v>
      </c>
      <c r="Q5710" s="8" t="s">
        <v>265</v>
      </c>
      <c r="R5710" s="10" t="s">
        <v>8557</v>
      </c>
      <c r="S5710" s="11" t="s">
        <v>32659</v>
      </c>
      <c r="T5710" s="6"/>
      <c r="U5710" s="15" t="str">
        <f>HYPERLINK("https://media.infra-m.ru/1860/1860974/cover/1860974.jpg", "Обложка")</f>
        <v>Обложка</v>
      </c>
      <c r="V5710" s="8" t="s">
        <v>10490</v>
      </c>
      <c r="W5710" s="6"/>
      <c r="X5710" s="6"/>
      <c r="Y5710" s="6"/>
      <c r="Z5710" s="6"/>
      <c r="AA5710" s="6" t="s">
        <v>157</v>
      </c>
      <c r="AB5710" s="8"/>
      <c r="AC5710" s="27">
        <v>9785160175522</v>
      </c>
    </row>
    <row r="5711" spans="1:29" s="4" customFormat="1" ht="51.9" customHeight="1" x14ac:dyDescent="0.2">
      <c r="A5711" s="5">
        <v>0</v>
      </c>
      <c r="B5711" s="6" t="s">
        <v>32660</v>
      </c>
      <c r="C5711" s="7">
        <v>2052</v>
      </c>
      <c r="D5711" s="8" t="s">
        <v>32661</v>
      </c>
      <c r="E5711" s="8" t="s">
        <v>32662</v>
      </c>
      <c r="F5711" s="8" t="s">
        <v>32663</v>
      </c>
      <c r="G5711" s="6" t="s">
        <v>60</v>
      </c>
      <c r="H5711" s="6" t="s">
        <v>34</v>
      </c>
      <c r="I5711" s="8" t="s">
        <v>304</v>
      </c>
      <c r="J5711" s="9">
        <v>1</v>
      </c>
      <c r="K5711" s="9">
        <v>301</v>
      </c>
      <c r="L5711" s="9">
        <v>2026</v>
      </c>
      <c r="M5711" s="8" t="s">
        <v>32664</v>
      </c>
      <c r="N5711" s="8" t="s">
        <v>37</v>
      </c>
      <c r="O5711" s="8" t="s">
        <v>136</v>
      </c>
      <c r="P5711" s="6" t="s">
        <v>51</v>
      </c>
      <c r="Q5711" s="8" t="s">
        <v>65</v>
      </c>
      <c r="R5711" s="10" t="s">
        <v>32665</v>
      </c>
      <c r="S5711" s="11"/>
      <c r="T5711" s="6"/>
      <c r="U5711" s="15" t="str">
        <f>HYPERLINK("https://media.infra-m.ru/2192/2192606/cover/2192606.jpg", "Обложка")</f>
        <v>Обложка</v>
      </c>
      <c r="V5711" s="8" t="s">
        <v>247</v>
      </c>
      <c r="W5711" s="6" t="s">
        <v>1382</v>
      </c>
      <c r="X5711" s="6"/>
      <c r="Y5711" s="6"/>
      <c r="Z5711" s="6"/>
      <c r="AA5711" s="6" t="s">
        <v>187</v>
      </c>
      <c r="AB5711" s="8"/>
      <c r="AC5711" s="27">
        <v>9785160207711</v>
      </c>
    </row>
    <row r="5712" spans="1:29" s="4" customFormat="1" ht="51.9" customHeight="1" x14ac:dyDescent="0.2">
      <c r="A5712" s="5">
        <v>0</v>
      </c>
      <c r="B5712" s="6" t="s">
        <v>32666</v>
      </c>
      <c r="C5712" s="7">
        <v>1187.9000000000001</v>
      </c>
      <c r="D5712" s="8" t="s">
        <v>32667</v>
      </c>
      <c r="E5712" s="8" t="s">
        <v>32668</v>
      </c>
      <c r="F5712" s="8" t="s">
        <v>32669</v>
      </c>
      <c r="G5712" s="6" t="s">
        <v>60</v>
      </c>
      <c r="H5712" s="6" t="s">
        <v>134</v>
      </c>
      <c r="I5712" s="8"/>
      <c r="J5712" s="9">
        <v>1</v>
      </c>
      <c r="K5712" s="9">
        <v>284</v>
      </c>
      <c r="L5712" s="9">
        <v>2019</v>
      </c>
      <c r="M5712" s="8" t="s">
        <v>32670</v>
      </c>
      <c r="N5712" s="8" t="s">
        <v>37</v>
      </c>
      <c r="O5712" s="8" t="s">
        <v>136</v>
      </c>
      <c r="P5712" s="6" t="s">
        <v>306</v>
      </c>
      <c r="Q5712" s="8" t="s">
        <v>500</v>
      </c>
      <c r="R5712" s="10" t="s">
        <v>32671</v>
      </c>
      <c r="S5712" s="11"/>
      <c r="T5712" s="6"/>
      <c r="U5712" s="15" t="str">
        <f>HYPERLINK("https://media.infra-m.ru/0999/0999981/cover/999981.jpg", "Обложка")</f>
        <v>Обложка</v>
      </c>
      <c r="V5712" s="8" t="s">
        <v>1647</v>
      </c>
      <c r="W5712" s="6"/>
      <c r="X5712" s="6"/>
      <c r="Y5712" s="6"/>
      <c r="Z5712" s="6"/>
      <c r="AA5712" s="6" t="s">
        <v>115</v>
      </c>
      <c r="AB5712" s="8"/>
      <c r="AC5712" s="27">
        <v>9785917689753</v>
      </c>
    </row>
    <row r="5713" spans="1:29" s="4" customFormat="1" ht="42" customHeight="1" x14ac:dyDescent="0.2">
      <c r="A5713" s="5">
        <v>0</v>
      </c>
      <c r="B5713" s="6" t="s">
        <v>32672</v>
      </c>
      <c r="C5713" s="7">
        <v>2220</v>
      </c>
      <c r="D5713" s="8" t="s">
        <v>32673</v>
      </c>
      <c r="E5713" s="8" t="s">
        <v>32674</v>
      </c>
      <c r="F5713" s="8" t="s">
        <v>1442</v>
      </c>
      <c r="G5713" s="6" t="s">
        <v>60</v>
      </c>
      <c r="H5713" s="6" t="s">
        <v>34</v>
      </c>
      <c r="I5713" s="8" t="s">
        <v>253</v>
      </c>
      <c r="J5713" s="9">
        <v>1</v>
      </c>
      <c r="K5713" s="9">
        <v>343</v>
      </c>
      <c r="L5713" s="9">
        <v>2025</v>
      </c>
      <c r="M5713" s="8" t="s">
        <v>32675</v>
      </c>
      <c r="N5713" s="8" t="s">
        <v>37</v>
      </c>
      <c r="O5713" s="8" t="s">
        <v>136</v>
      </c>
      <c r="P5713" s="6" t="s">
        <v>306</v>
      </c>
      <c r="Q5713" s="8" t="s">
        <v>65</v>
      </c>
      <c r="R5713" s="10" t="s">
        <v>32676</v>
      </c>
      <c r="S5713" s="11"/>
      <c r="T5713" s="6"/>
      <c r="U5713" s="15" t="str">
        <f>HYPERLINK("https://media.infra-m.ru/2186/2186730/cover/2186730.jpg", "Обложка")</f>
        <v>Обложка</v>
      </c>
      <c r="V5713" s="8" t="s">
        <v>657</v>
      </c>
      <c r="W5713" s="6"/>
      <c r="X5713" s="6"/>
      <c r="Y5713" s="6"/>
      <c r="Z5713" s="6"/>
      <c r="AA5713" s="6" t="s">
        <v>68</v>
      </c>
      <c r="AB5713" s="8"/>
      <c r="AC5713" s="27">
        <v>9785160206318</v>
      </c>
    </row>
    <row r="5714" spans="1:29" s="4" customFormat="1" ht="51.9" customHeight="1" x14ac:dyDescent="0.2">
      <c r="A5714" s="5">
        <v>0</v>
      </c>
      <c r="B5714" s="6" t="s">
        <v>32677</v>
      </c>
      <c r="C5714" s="13">
        <v>359.9</v>
      </c>
      <c r="D5714" s="8" t="s">
        <v>32678</v>
      </c>
      <c r="E5714" s="8" t="s">
        <v>32679</v>
      </c>
      <c r="F5714" s="8" t="s">
        <v>32680</v>
      </c>
      <c r="G5714" s="6" t="s">
        <v>21</v>
      </c>
      <c r="H5714" s="6" t="s">
        <v>313</v>
      </c>
      <c r="I5714" s="8" t="s">
        <v>35</v>
      </c>
      <c r="J5714" s="9">
        <v>20</v>
      </c>
      <c r="K5714" s="9">
        <v>160</v>
      </c>
      <c r="L5714" s="9">
        <v>2015</v>
      </c>
      <c r="M5714" s="8" t="s">
        <v>32681</v>
      </c>
      <c r="N5714" s="8" t="s">
        <v>37</v>
      </c>
      <c r="O5714" s="8" t="s">
        <v>136</v>
      </c>
      <c r="P5714" s="6" t="s">
        <v>39</v>
      </c>
      <c r="Q5714" s="8" t="s">
        <v>749</v>
      </c>
      <c r="R5714" s="10" t="s">
        <v>32682</v>
      </c>
      <c r="S5714" s="11"/>
      <c r="T5714" s="6"/>
      <c r="U5714" s="15" t="str">
        <f>HYPERLINK("https://media.infra-m.ru/0502/0502507/cover/502507.jpg", "Обложка")</f>
        <v>Обложка</v>
      </c>
      <c r="V5714" s="8" t="s">
        <v>138</v>
      </c>
      <c r="W5714" s="6"/>
      <c r="X5714" s="6"/>
      <c r="Y5714" s="6"/>
      <c r="Z5714" s="6"/>
      <c r="AA5714" s="6" t="s">
        <v>274</v>
      </c>
      <c r="AB5714" s="8"/>
      <c r="AC5714" s="27">
        <v>9785369014356</v>
      </c>
    </row>
    <row r="5715" spans="1:29" s="4" customFormat="1" ht="42" customHeight="1" x14ac:dyDescent="0.2">
      <c r="A5715" s="5">
        <v>0</v>
      </c>
      <c r="B5715" s="6" t="s">
        <v>32683</v>
      </c>
      <c r="C5715" s="7">
        <v>1224</v>
      </c>
      <c r="D5715" s="8" t="s">
        <v>32684</v>
      </c>
      <c r="E5715" s="8" t="s">
        <v>32685</v>
      </c>
      <c r="F5715" s="8" t="s">
        <v>32686</v>
      </c>
      <c r="G5715" s="6" t="s">
        <v>60</v>
      </c>
      <c r="H5715" s="6" t="s">
        <v>34</v>
      </c>
      <c r="I5715" s="8" t="s">
        <v>1074</v>
      </c>
      <c r="J5715" s="9">
        <v>1</v>
      </c>
      <c r="K5715" s="9">
        <v>200</v>
      </c>
      <c r="L5715" s="9">
        <v>2024</v>
      </c>
      <c r="M5715" s="8" t="s">
        <v>32687</v>
      </c>
      <c r="N5715" s="8" t="s">
        <v>37</v>
      </c>
      <c r="O5715" s="8" t="s">
        <v>136</v>
      </c>
      <c r="P5715" s="6" t="s">
        <v>3141</v>
      </c>
      <c r="Q5715" s="8" t="s">
        <v>40</v>
      </c>
      <c r="R5715" s="10" t="s">
        <v>684</v>
      </c>
      <c r="S5715" s="11"/>
      <c r="T5715" s="6"/>
      <c r="U5715" s="15" t="str">
        <f>HYPERLINK("https://media.infra-m.ru/1963/1963278/cover/1963278.jpg", "Обложка")</f>
        <v>Обложка</v>
      </c>
      <c r="V5715" s="8" t="s">
        <v>138</v>
      </c>
      <c r="W5715" s="6"/>
      <c r="X5715" s="6"/>
      <c r="Y5715" s="6"/>
      <c r="Z5715" s="6"/>
      <c r="AA5715" s="6" t="s">
        <v>76</v>
      </c>
      <c r="AB5715" s="8"/>
      <c r="AC5715" s="27">
        <v>9785160183008</v>
      </c>
    </row>
    <row r="5716" spans="1:29" s="4" customFormat="1" ht="51.9" customHeight="1" x14ac:dyDescent="0.2">
      <c r="A5716" s="5">
        <v>0</v>
      </c>
      <c r="B5716" s="6" t="s">
        <v>32688</v>
      </c>
      <c r="C5716" s="7">
        <v>1024.8</v>
      </c>
      <c r="D5716" s="8" t="s">
        <v>32689</v>
      </c>
      <c r="E5716" s="8" t="s">
        <v>32690</v>
      </c>
      <c r="F5716" s="8" t="s">
        <v>32691</v>
      </c>
      <c r="G5716" s="6" t="s">
        <v>33</v>
      </c>
      <c r="H5716" s="6" t="s">
        <v>34</v>
      </c>
      <c r="I5716" s="8" t="s">
        <v>35</v>
      </c>
      <c r="J5716" s="9">
        <v>1</v>
      </c>
      <c r="K5716" s="9">
        <v>156</v>
      </c>
      <c r="L5716" s="9">
        <v>2026</v>
      </c>
      <c r="M5716" s="8" t="s">
        <v>32692</v>
      </c>
      <c r="N5716" s="8" t="s">
        <v>37</v>
      </c>
      <c r="O5716" s="8" t="s">
        <v>136</v>
      </c>
      <c r="P5716" s="6" t="s">
        <v>39</v>
      </c>
      <c r="Q5716" s="8" t="s">
        <v>40</v>
      </c>
      <c r="R5716" s="10" t="s">
        <v>484</v>
      </c>
      <c r="S5716" s="11"/>
      <c r="T5716" s="6"/>
      <c r="U5716" s="15" t="str">
        <f>HYPERLINK("https://media.infra-m.ru/2238/2238375/cover/2238375.jpg", "Обложка")</f>
        <v>Обложка</v>
      </c>
      <c r="V5716" s="8" t="s">
        <v>18112</v>
      </c>
      <c r="W5716" s="6"/>
      <c r="X5716" s="6"/>
      <c r="Y5716" s="6"/>
      <c r="Z5716" s="6"/>
      <c r="AA5716" s="6" t="s">
        <v>86</v>
      </c>
      <c r="AB5716" s="8"/>
      <c r="AC5716" s="27">
        <v>9785160135267</v>
      </c>
    </row>
    <row r="5717" spans="1:29" s="4" customFormat="1" ht="51.9" customHeight="1" x14ac:dyDescent="0.2">
      <c r="A5717" s="5">
        <v>0</v>
      </c>
      <c r="B5717" s="6" t="s">
        <v>32693</v>
      </c>
      <c r="C5717" s="7">
        <v>1092</v>
      </c>
      <c r="D5717" s="8" t="s">
        <v>32694</v>
      </c>
      <c r="E5717" s="8" t="s">
        <v>32695</v>
      </c>
      <c r="F5717" s="8" t="s">
        <v>32696</v>
      </c>
      <c r="G5717" s="6" t="s">
        <v>33</v>
      </c>
      <c r="H5717" s="6" t="s">
        <v>34</v>
      </c>
      <c r="I5717" s="8" t="s">
        <v>35</v>
      </c>
      <c r="J5717" s="9">
        <v>1</v>
      </c>
      <c r="K5717" s="9">
        <v>197</v>
      </c>
      <c r="L5717" s="9">
        <v>2024</v>
      </c>
      <c r="M5717" s="8" t="s">
        <v>32697</v>
      </c>
      <c r="N5717" s="8" t="s">
        <v>37</v>
      </c>
      <c r="O5717" s="8" t="s">
        <v>136</v>
      </c>
      <c r="P5717" s="6" t="s">
        <v>39</v>
      </c>
      <c r="Q5717" s="8" t="s">
        <v>40</v>
      </c>
      <c r="R5717" s="10" t="s">
        <v>32698</v>
      </c>
      <c r="S5717" s="11"/>
      <c r="T5717" s="6"/>
      <c r="U5717" s="15" t="str">
        <f>HYPERLINK("https://media.infra-m.ru/1981/1981688/cover/1981688.jpg", "Обложка")</f>
        <v>Обложка</v>
      </c>
      <c r="V5717" s="8" t="s">
        <v>32699</v>
      </c>
      <c r="W5717" s="6"/>
      <c r="X5717" s="6"/>
      <c r="Y5717" s="6"/>
      <c r="Z5717" s="6"/>
      <c r="AA5717" s="6" t="s">
        <v>76</v>
      </c>
      <c r="AB5717" s="8"/>
      <c r="AC5717" s="27">
        <v>9785160183398</v>
      </c>
    </row>
    <row r="5718" spans="1:29" s="4" customFormat="1" ht="51.9" customHeight="1" x14ac:dyDescent="0.2">
      <c r="A5718" s="5">
        <v>0</v>
      </c>
      <c r="B5718" s="6" t="s">
        <v>32700</v>
      </c>
      <c r="C5718" s="7">
        <v>1488</v>
      </c>
      <c r="D5718" s="8" t="s">
        <v>32701</v>
      </c>
      <c r="E5718" s="8" t="s">
        <v>32702</v>
      </c>
      <c r="F5718" s="8" t="s">
        <v>32703</v>
      </c>
      <c r="G5718" s="6" t="s">
        <v>118</v>
      </c>
      <c r="H5718" s="6" t="s">
        <v>134</v>
      </c>
      <c r="I5718" s="8"/>
      <c r="J5718" s="9">
        <v>1</v>
      </c>
      <c r="K5718" s="9">
        <v>248</v>
      </c>
      <c r="L5718" s="9">
        <v>2025</v>
      </c>
      <c r="M5718" s="8" t="s">
        <v>32704</v>
      </c>
      <c r="N5718" s="8" t="s">
        <v>37</v>
      </c>
      <c r="O5718" s="8" t="s">
        <v>136</v>
      </c>
      <c r="P5718" s="6" t="s">
        <v>39</v>
      </c>
      <c r="Q5718" s="8" t="s">
        <v>40</v>
      </c>
      <c r="R5718" s="10" t="s">
        <v>1230</v>
      </c>
      <c r="S5718" s="11"/>
      <c r="T5718" s="6"/>
      <c r="U5718" s="15" t="str">
        <f>HYPERLINK("https://media.infra-m.ru/2186/2186982/cover/2186982.jpg", "Обложка")</f>
        <v>Обложка</v>
      </c>
      <c r="V5718" s="8"/>
      <c r="W5718" s="6"/>
      <c r="X5718" s="6"/>
      <c r="Y5718" s="6"/>
      <c r="Z5718" s="6"/>
      <c r="AA5718" s="6" t="s">
        <v>157</v>
      </c>
      <c r="AB5718" s="8"/>
      <c r="AC5718" s="27">
        <v>9785001562801</v>
      </c>
    </row>
    <row r="5719" spans="1:29" s="4" customFormat="1" ht="51.9" customHeight="1" x14ac:dyDescent="0.2">
      <c r="A5719" s="5">
        <v>0</v>
      </c>
      <c r="B5719" s="6" t="s">
        <v>32705</v>
      </c>
      <c r="C5719" s="13">
        <v>880.8</v>
      </c>
      <c r="D5719" s="8" t="s">
        <v>32706</v>
      </c>
      <c r="E5719" s="8" t="s">
        <v>32707</v>
      </c>
      <c r="F5719" s="8" t="s">
        <v>5091</v>
      </c>
      <c r="G5719" s="6" t="s">
        <v>33</v>
      </c>
      <c r="H5719" s="6" t="s">
        <v>34</v>
      </c>
      <c r="I5719" s="8" t="s">
        <v>35</v>
      </c>
      <c r="J5719" s="9">
        <v>1</v>
      </c>
      <c r="K5719" s="9">
        <v>147</v>
      </c>
      <c r="L5719" s="9">
        <v>2025</v>
      </c>
      <c r="M5719" s="8" t="s">
        <v>32708</v>
      </c>
      <c r="N5719" s="8" t="s">
        <v>37</v>
      </c>
      <c r="O5719" s="8" t="s">
        <v>233</v>
      </c>
      <c r="P5719" s="6" t="s">
        <v>39</v>
      </c>
      <c r="Q5719" s="8" t="s">
        <v>40</v>
      </c>
      <c r="R5719" s="10" t="s">
        <v>32709</v>
      </c>
      <c r="S5719" s="11"/>
      <c r="T5719" s="6"/>
      <c r="U5719" s="15" t="str">
        <f>HYPERLINK("https://media.infra-m.ru/2178/2178774/cover/2178774.jpg", "Обложка")</f>
        <v>Обложка</v>
      </c>
      <c r="V5719" s="8" t="s">
        <v>831</v>
      </c>
      <c r="W5719" s="6"/>
      <c r="X5719" s="6"/>
      <c r="Y5719" s="6"/>
      <c r="Z5719" s="6"/>
      <c r="AA5719" s="6" t="s">
        <v>1256</v>
      </c>
      <c r="AB5719" s="8"/>
      <c r="AC5719" s="27">
        <v>9785160155753</v>
      </c>
    </row>
    <row r="5720" spans="1:29" s="4" customFormat="1" ht="51.9" customHeight="1" x14ac:dyDescent="0.2">
      <c r="A5720" s="5">
        <v>0</v>
      </c>
      <c r="B5720" s="6" t="s">
        <v>32710</v>
      </c>
      <c r="C5720" s="13">
        <v>712.8</v>
      </c>
      <c r="D5720" s="8" t="s">
        <v>32711</v>
      </c>
      <c r="E5720" s="8" t="s">
        <v>32712</v>
      </c>
      <c r="F5720" s="8" t="s">
        <v>32713</v>
      </c>
      <c r="G5720" s="6" t="s">
        <v>33</v>
      </c>
      <c r="H5720" s="6" t="s">
        <v>134</v>
      </c>
      <c r="I5720" s="8"/>
      <c r="J5720" s="9">
        <v>1</v>
      </c>
      <c r="K5720" s="9">
        <v>96</v>
      </c>
      <c r="L5720" s="9">
        <v>2027</v>
      </c>
      <c r="M5720" s="8" t="s">
        <v>32714</v>
      </c>
      <c r="N5720" s="8" t="s">
        <v>37</v>
      </c>
      <c r="O5720" s="8" t="s">
        <v>136</v>
      </c>
      <c r="P5720" s="6" t="s">
        <v>51</v>
      </c>
      <c r="Q5720" s="8" t="s">
        <v>27228</v>
      </c>
      <c r="R5720" s="10" t="s">
        <v>32715</v>
      </c>
      <c r="S5720" s="11"/>
      <c r="T5720" s="6"/>
      <c r="U5720" s="15" t="str">
        <f>HYPERLINK("https://media.infra-m.ru/2261/2261981/cover/2261981.jpg", "Обложка")</f>
        <v>Обложка</v>
      </c>
      <c r="V5720" s="8" t="s">
        <v>2513</v>
      </c>
      <c r="W5720" s="6"/>
      <c r="X5720" s="6"/>
      <c r="Y5720" s="6"/>
      <c r="Z5720" s="6"/>
      <c r="AA5720" s="6" t="s">
        <v>68</v>
      </c>
      <c r="AB5720" s="8"/>
      <c r="AC5720" s="27">
        <v>9785001563860</v>
      </c>
    </row>
    <row r="5721" spans="1:29" s="4" customFormat="1" ht="42" customHeight="1" x14ac:dyDescent="0.2">
      <c r="A5721" s="5">
        <v>0</v>
      </c>
      <c r="B5721" s="6" t="s">
        <v>32716</v>
      </c>
      <c r="C5721" s="7">
        <v>2068.8000000000002</v>
      </c>
      <c r="D5721" s="8" t="s">
        <v>32717</v>
      </c>
      <c r="E5721" s="8" t="s">
        <v>32718</v>
      </c>
      <c r="F5721" s="8" t="s">
        <v>32719</v>
      </c>
      <c r="G5721" s="6" t="s">
        <v>60</v>
      </c>
      <c r="H5721" s="6" t="s">
        <v>34</v>
      </c>
      <c r="I5721" s="8" t="s">
        <v>5350</v>
      </c>
      <c r="J5721" s="9">
        <v>1</v>
      </c>
      <c r="K5721" s="9">
        <v>298</v>
      </c>
      <c r="L5721" s="9">
        <v>2027</v>
      </c>
      <c r="M5721" s="8" t="s">
        <v>32720</v>
      </c>
      <c r="N5721" s="8" t="s">
        <v>37</v>
      </c>
      <c r="O5721" s="8" t="s">
        <v>136</v>
      </c>
      <c r="P5721" s="6" t="s">
        <v>306</v>
      </c>
      <c r="Q5721" s="8" t="s">
        <v>377</v>
      </c>
      <c r="R5721" s="10" t="s">
        <v>32721</v>
      </c>
      <c r="S5721" s="11"/>
      <c r="T5721" s="6"/>
      <c r="U5721" s="15" t="str">
        <f>HYPERLINK("https://media.infra-m.ru/2269/2269510/cover/2269510.jpg", "Обложка")</f>
        <v>Обложка</v>
      </c>
      <c r="V5721" s="8" t="s">
        <v>5801</v>
      </c>
      <c r="W5721" s="6"/>
      <c r="X5721" s="6"/>
      <c r="Y5721" s="6"/>
      <c r="Z5721" s="6"/>
      <c r="AA5721" s="6" t="s">
        <v>76</v>
      </c>
      <c r="AB5721" s="8"/>
      <c r="AC5721" s="27">
        <v>9785160179698</v>
      </c>
    </row>
    <row r="5722" spans="1:29" s="4" customFormat="1" ht="42" customHeight="1" x14ac:dyDescent="0.2">
      <c r="A5722" s="5">
        <v>0</v>
      </c>
      <c r="B5722" s="6" t="s">
        <v>32722</v>
      </c>
      <c r="C5722" s="7">
        <v>1168.8</v>
      </c>
      <c r="D5722" s="8" t="s">
        <v>32723</v>
      </c>
      <c r="E5722" s="8" t="s">
        <v>32724</v>
      </c>
      <c r="F5722" s="8" t="s">
        <v>32725</v>
      </c>
      <c r="G5722" s="6" t="s">
        <v>33</v>
      </c>
      <c r="H5722" s="6" t="s">
        <v>34</v>
      </c>
      <c r="I5722" s="8" t="s">
        <v>35</v>
      </c>
      <c r="J5722" s="9">
        <v>1</v>
      </c>
      <c r="K5722" s="9">
        <v>178</v>
      </c>
      <c r="L5722" s="9">
        <v>2026</v>
      </c>
      <c r="M5722" s="8" t="s">
        <v>32726</v>
      </c>
      <c r="N5722" s="8" t="s">
        <v>37</v>
      </c>
      <c r="O5722" s="8" t="s">
        <v>136</v>
      </c>
      <c r="P5722" s="6" t="s">
        <v>39</v>
      </c>
      <c r="Q5722" s="8" t="s">
        <v>40</v>
      </c>
      <c r="R5722" s="10" t="s">
        <v>18075</v>
      </c>
      <c r="S5722" s="11"/>
      <c r="T5722" s="6"/>
      <c r="U5722" s="15" t="str">
        <f>HYPERLINK("https://media.infra-m.ru/2239/2239121/cover/2239121.jpg", "Обложка")</f>
        <v>Обложка</v>
      </c>
      <c r="V5722" s="8" t="s">
        <v>32727</v>
      </c>
      <c r="W5722" s="6"/>
      <c r="X5722" s="6"/>
      <c r="Y5722" s="6"/>
      <c r="Z5722" s="6"/>
      <c r="AA5722" s="6" t="s">
        <v>157</v>
      </c>
      <c r="AB5722" s="8"/>
      <c r="AC5722" s="27">
        <v>9785160180786</v>
      </c>
    </row>
    <row r="5723" spans="1:29" s="4" customFormat="1" ht="42" customHeight="1" x14ac:dyDescent="0.2">
      <c r="A5723" s="5">
        <v>0</v>
      </c>
      <c r="B5723" s="6" t="s">
        <v>32728</v>
      </c>
      <c r="C5723" s="7">
        <v>1716</v>
      </c>
      <c r="D5723" s="8" t="s">
        <v>32729</v>
      </c>
      <c r="E5723" s="8" t="s">
        <v>32730</v>
      </c>
      <c r="F5723" s="8" t="s">
        <v>32731</v>
      </c>
      <c r="G5723" s="6" t="s">
        <v>118</v>
      </c>
      <c r="H5723" s="6" t="s">
        <v>134</v>
      </c>
      <c r="I5723" s="8"/>
      <c r="J5723" s="9">
        <v>1</v>
      </c>
      <c r="K5723" s="9">
        <v>264</v>
      </c>
      <c r="L5723" s="9">
        <v>2026</v>
      </c>
      <c r="M5723" s="8" t="s">
        <v>32732</v>
      </c>
      <c r="N5723" s="8" t="s">
        <v>37</v>
      </c>
      <c r="O5723" s="8" t="s">
        <v>136</v>
      </c>
      <c r="P5723" s="6" t="s">
        <v>39</v>
      </c>
      <c r="Q5723" s="8" t="s">
        <v>40</v>
      </c>
      <c r="R5723" s="10" t="s">
        <v>8485</v>
      </c>
      <c r="S5723" s="11"/>
      <c r="T5723" s="6"/>
      <c r="U5723" s="15" t="str">
        <f>HYPERLINK("https://media.infra-m.ru/2215/2215901/cover/2215901.jpg", "Обложка")</f>
        <v>Обложка</v>
      </c>
      <c r="V5723" s="8" t="s">
        <v>1069</v>
      </c>
      <c r="W5723" s="6"/>
      <c r="X5723" s="6"/>
      <c r="Y5723" s="6"/>
      <c r="Z5723" s="6"/>
      <c r="AA5723" s="6" t="s">
        <v>1256</v>
      </c>
      <c r="AB5723" s="8"/>
      <c r="AC5723" s="27">
        <v>9785001560685</v>
      </c>
    </row>
    <row r="5724" spans="1:29" s="4" customFormat="1" ht="42" customHeight="1" x14ac:dyDescent="0.2">
      <c r="A5724" s="5">
        <v>0</v>
      </c>
      <c r="B5724" s="6" t="s">
        <v>32733</v>
      </c>
      <c r="C5724" s="7">
        <v>1121.9000000000001</v>
      </c>
      <c r="D5724" s="8" t="s">
        <v>32734</v>
      </c>
      <c r="E5724" s="8" t="s">
        <v>32735</v>
      </c>
      <c r="F5724" s="8" t="s">
        <v>32736</v>
      </c>
      <c r="G5724" s="6" t="s">
        <v>33</v>
      </c>
      <c r="H5724" s="6" t="s">
        <v>34</v>
      </c>
      <c r="I5724" s="8" t="s">
        <v>35</v>
      </c>
      <c r="J5724" s="9">
        <v>1</v>
      </c>
      <c r="K5724" s="9">
        <v>207</v>
      </c>
      <c r="L5724" s="9">
        <v>2023</v>
      </c>
      <c r="M5724" s="8" t="s">
        <v>32737</v>
      </c>
      <c r="N5724" s="8" t="s">
        <v>37</v>
      </c>
      <c r="O5724" s="8" t="s">
        <v>136</v>
      </c>
      <c r="P5724" s="6" t="s">
        <v>39</v>
      </c>
      <c r="Q5724" s="8" t="s">
        <v>40</v>
      </c>
      <c r="R5724" s="10" t="s">
        <v>8485</v>
      </c>
      <c r="S5724" s="11"/>
      <c r="T5724" s="6"/>
      <c r="U5724" s="15" t="str">
        <f>HYPERLINK("https://media.infra-m.ru/2030/2030889/cover/2030889.jpg", "Обложка")</f>
        <v>Обложка</v>
      </c>
      <c r="V5724" s="8" t="s">
        <v>1184</v>
      </c>
      <c r="W5724" s="6"/>
      <c r="X5724" s="6"/>
      <c r="Y5724" s="6"/>
      <c r="Z5724" s="6"/>
      <c r="AA5724" s="6" t="s">
        <v>1256</v>
      </c>
      <c r="AB5724" s="8"/>
      <c r="AC5724" s="27">
        <v>9785160147994</v>
      </c>
    </row>
    <row r="5725" spans="1:29" s="4" customFormat="1" ht="44.1" customHeight="1" x14ac:dyDescent="0.2">
      <c r="A5725" s="5">
        <v>0</v>
      </c>
      <c r="B5725" s="6" t="s">
        <v>32738</v>
      </c>
      <c r="C5725" s="7">
        <v>1828.8</v>
      </c>
      <c r="D5725" s="8" t="s">
        <v>32739</v>
      </c>
      <c r="E5725" s="8" t="s">
        <v>32740</v>
      </c>
      <c r="F5725" s="8" t="s">
        <v>32741</v>
      </c>
      <c r="G5725" s="6" t="s">
        <v>33</v>
      </c>
      <c r="H5725" s="6" t="s">
        <v>34</v>
      </c>
      <c r="I5725" s="8" t="s">
        <v>1074</v>
      </c>
      <c r="J5725" s="9">
        <v>1</v>
      </c>
      <c r="K5725" s="9">
        <v>280</v>
      </c>
      <c r="L5725" s="9">
        <v>2025</v>
      </c>
      <c r="M5725" s="8" t="s">
        <v>32742</v>
      </c>
      <c r="N5725" s="8" t="s">
        <v>37</v>
      </c>
      <c r="O5725" s="8" t="s">
        <v>136</v>
      </c>
      <c r="P5725" s="6" t="s">
        <v>39</v>
      </c>
      <c r="Q5725" s="8" t="s">
        <v>749</v>
      </c>
      <c r="R5725" s="10" t="s">
        <v>684</v>
      </c>
      <c r="S5725" s="11"/>
      <c r="T5725" s="6"/>
      <c r="U5725" s="15" t="str">
        <f>HYPERLINK("https://media.infra-m.ru/2196/2196894/cover/2196894.jpg", "Обложка")</f>
        <v>Обложка</v>
      </c>
      <c r="V5725" s="8" t="s">
        <v>138</v>
      </c>
      <c r="W5725" s="6"/>
      <c r="X5725" s="6"/>
      <c r="Y5725" s="6"/>
      <c r="Z5725" s="6"/>
      <c r="AA5725" s="6" t="s">
        <v>248</v>
      </c>
      <c r="AB5725" s="8"/>
      <c r="AC5725" s="27">
        <v>9785160105420</v>
      </c>
    </row>
    <row r="5726" spans="1:29" s="4" customFormat="1" ht="42" customHeight="1" x14ac:dyDescent="0.2">
      <c r="A5726" s="5">
        <v>0</v>
      </c>
      <c r="B5726" s="6" t="s">
        <v>32743</v>
      </c>
      <c r="C5726" s="7">
        <v>1673.9</v>
      </c>
      <c r="D5726" s="8" t="s">
        <v>32744</v>
      </c>
      <c r="E5726" s="8" t="s">
        <v>32745</v>
      </c>
      <c r="F5726" s="8" t="s">
        <v>32746</v>
      </c>
      <c r="G5726" s="6" t="s">
        <v>60</v>
      </c>
      <c r="H5726" s="6" t="s">
        <v>34</v>
      </c>
      <c r="I5726" s="8" t="s">
        <v>35</v>
      </c>
      <c r="J5726" s="9">
        <v>1</v>
      </c>
      <c r="K5726" s="9">
        <v>309</v>
      </c>
      <c r="L5726" s="9">
        <v>2023</v>
      </c>
      <c r="M5726" s="8" t="s">
        <v>32747</v>
      </c>
      <c r="N5726" s="8" t="s">
        <v>37</v>
      </c>
      <c r="O5726" s="8" t="s">
        <v>136</v>
      </c>
      <c r="P5726" s="6" t="s">
        <v>39</v>
      </c>
      <c r="Q5726" s="8" t="s">
        <v>40</v>
      </c>
      <c r="R5726" s="10" t="s">
        <v>684</v>
      </c>
      <c r="S5726" s="11"/>
      <c r="T5726" s="6"/>
      <c r="U5726" s="15" t="str">
        <f>HYPERLINK("https://media.infra-m.ru/2030/2030881/cover/2030881.jpg", "Обложка")</f>
        <v>Обложка</v>
      </c>
      <c r="V5726" s="8" t="s">
        <v>1277</v>
      </c>
      <c r="W5726" s="6"/>
      <c r="X5726" s="6"/>
      <c r="Y5726" s="6"/>
      <c r="Z5726" s="6"/>
      <c r="AA5726" s="6" t="s">
        <v>115</v>
      </c>
      <c r="AB5726" s="8"/>
      <c r="AC5726" s="27">
        <v>9785160146287</v>
      </c>
    </row>
    <row r="5727" spans="1:29" s="4" customFormat="1" ht="42" customHeight="1" x14ac:dyDescent="0.2">
      <c r="A5727" s="5">
        <v>0</v>
      </c>
      <c r="B5727" s="6" t="s">
        <v>32748</v>
      </c>
      <c r="C5727" s="7">
        <v>1092</v>
      </c>
      <c r="D5727" s="8" t="s">
        <v>32749</v>
      </c>
      <c r="E5727" s="8" t="s">
        <v>32750</v>
      </c>
      <c r="F5727" s="8" t="s">
        <v>32751</v>
      </c>
      <c r="G5727" s="6" t="s">
        <v>118</v>
      </c>
      <c r="H5727" s="6" t="s">
        <v>34</v>
      </c>
      <c r="I5727" s="8" t="s">
        <v>253</v>
      </c>
      <c r="J5727" s="9">
        <v>1</v>
      </c>
      <c r="K5727" s="9">
        <v>156</v>
      </c>
      <c r="L5727" s="9">
        <v>2026</v>
      </c>
      <c r="M5727" s="8" t="s">
        <v>32752</v>
      </c>
      <c r="N5727" s="8" t="s">
        <v>37</v>
      </c>
      <c r="O5727" s="8" t="s">
        <v>136</v>
      </c>
      <c r="P5727" s="6" t="s">
        <v>51</v>
      </c>
      <c r="Q5727" s="8" t="s">
        <v>65</v>
      </c>
      <c r="R5727" s="10" t="s">
        <v>1218</v>
      </c>
      <c r="S5727" s="11"/>
      <c r="T5727" s="6"/>
      <c r="U5727" s="15" t="str">
        <f>HYPERLINK("https://media.infra-m.ru/2223/2223161/cover/2223161.jpg", "Обложка")</f>
        <v>Обложка</v>
      </c>
      <c r="V5727" s="8" t="s">
        <v>6535</v>
      </c>
      <c r="W5727" s="6"/>
      <c r="X5727" s="6"/>
      <c r="Y5727" s="6"/>
      <c r="Z5727" s="6"/>
      <c r="AA5727" s="6" t="s">
        <v>76</v>
      </c>
      <c r="AB5727" s="8"/>
      <c r="AC5727" s="27">
        <v>9785160192291</v>
      </c>
    </row>
    <row r="5728" spans="1:29" s="4" customFormat="1" ht="51.9" customHeight="1" x14ac:dyDescent="0.2">
      <c r="A5728" s="5">
        <v>0</v>
      </c>
      <c r="B5728" s="6" t="s">
        <v>32753</v>
      </c>
      <c r="C5728" s="13">
        <v>953.9</v>
      </c>
      <c r="D5728" s="8" t="s">
        <v>32754</v>
      </c>
      <c r="E5728" s="8" t="s">
        <v>32755</v>
      </c>
      <c r="F5728" s="8" t="s">
        <v>32756</v>
      </c>
      <c r="G5728" s="6" t="s">
        <v>33</v>
      </c>
      <c r="H5728" s="6" t="s">
        <v>34</v>
      </c>
      <c r="I5728" s="8" t="s">
        <v>35</v>
      </c>
      <c r="J5728" s="9">
        <v>1</v>
      </c>
      <c r="K5728" s="9">
        <v>177</v>
      </c>
      <c r="L5728" s="9">
        <v>2023</v>
      </c>
      <c r="M5728" s="8" t="s">
        <v>32757</v>
      </c>
      <c r="N5728" s="8" t="s">
        <v>37</v>
      </c>
      <c r="O5728" s="8" t="s">
        <v>136</v>
      </c>
      <c r="P5728" s="6" t="s">
        <v>39</v>
      </c>
      <c r="Q5728" s="8" t="s">
        <v>40</v>
      </c>
      <c r="R5728" s="10" t="s">
        <v>32758</v>
      </c>
      <c r="S5728" s="11"/>
      <c r="T5728" s="6"/>
      <c r="U5728" s="15" t="str">
        <f>HYPERLINK("https://media.infra-m.ru/2006/2006945/cover/2006945.jpg", "Обложка")</f>
        <v>Обложка</v>
      </c>
      <c r="V5728" s="8" t="s">
        <v>1675</v>
      </c>
      <c r="W5728" s="6"/>
      <c r="X5728" s="6"/>
      <c r="Y5728" s="6"/>
      <c r="Z5728" s="6"/>
      <c r="AA5728" s="6" t="s">
        <v>115</v>
      </c>
      <c r="AB5728" s="8"/>
      <c r="AC5728" s="27">
        <v>9785160145594</v>
      </c>
    </row>
    <row r="5729" spans="1:29" s="4" customFormat="1" ht="51.9" customHeight="1" x14ac:dyDescent="0.2">
      <c r="A5729" s="5">
        <v>0</v>
      </c>
      <c r="B5729" s="6" t="s">
        <v>32759</v>
      </c>
      <c r="C5729" s="7">
        <v>1248</v>
      </c>
      <c r="D5729" s="8" t="s">
        <v>32760</v>
      </c>
      <c r="E5729" s="8" t="s">
        <v>32761</v>
      </c>
      <c r="F5729" s="8" t="s">
        <v>26027</v>
      </c>
      <c r="G5729" s="6" t="s">
        <v>118</v>
      </c>
      <c r="H5729" s="6" t="s">
        <v>134</v>
      </c>
      <c r="I5729" s="8"/>
      <c r="J5729" s="9">
        <v>1</v>
      </c>
      <c r="K5729" s="9">
        <v>208</v>
      </c>
      <c r="L5729" s="9">
        <v>2025</v>
      </c>
      <c r="M5729" s="8" t="s">
        <v>32762</v>
      </c>
      <c r="N5729" s="8" t="s">
        <v>37</v>
      </c>
      <c r="O5729" s="8" t="s">
        <v>136</v>
      </c>
      <c r="P5729" s="6" t="s">
        <v>51</v>
      </c>
      <c r="Q5729" s="8" t="s">
        <v>52</v>
      </c>
      <c r="R5729" s="10" t="s">
        <v>1275</v>
      </c>
      <c r="S5729" s="11" t="s">
        <v>32763</v>
      </c>
      <c r="T5729" s="6"/>
      <c r="U5729" s="15" t="str">
        <f>HYPERLINK("https://media.infra-m.ru/2163/2163655/cover/2163655.jpg", "Обложка")</f>
        <v>Обложка</v>
      </c>
      <c r="V5729" s="8" t="s">
        <v>3615</v>
      </c>
      <c r="W5729" s="6"/>
      <c r="X5729" s="6"/>
      <c r="Y5729" s="6"/>
      <c r="Z5729" s="6"/>
      <c r="AA5729" s="6" t="s">
        <v>8551</v>
      </c>
      <c r="AB5729" s="8"/>
      <c r="AC5729" s="27">
        <v>9785001560289</v>
      </c>
    </row>
    <row r="5730" spans="1:29" s="4" customFormat="1" ht="51.9" customHeight="1" x14ac:dyDescent="0.2">
      <c r="A5730" s="5">
        <v>0</v>
      </c>
      <c r="B5730" s="6" t="s">
        <v>32764</v>
      </c>
      <c r="C5730" s="7">
        <v>1780.8</v>
      </c>
      <c r="D5730" s="8" t="s">
        <v>32765</v>
      </c>
      <c r="E5730" s="8" t="s">
        <v>32766</v>
      </c>
      <c r="F5730" s="8" t="s">
        <v>26027</v>
      </c>
      <c r="G5730" s="6" t="s">
        <v>118</v>
      </c>
      <c r="H5730" s="6" t="s">
        <v>134</v>
      </c>
      <c r="I5730" s="8"/>
      <c r="J5730" s="9">
        <v>1</v>
      </c>
      <c r="K5730" s="9">
        <v>256</v>
      </c>
      <c r="L5730" s="9">
        <v>2027</v>
      </c>
      <c r="M5730" s="8" t="s">
        <v>32767</v>
      </c>
      <c r="N5730" s="8" t="s">
        <v>37</v>
      </c>
      <c r="O5730" s="8" t="s">
        <v>136</v>
      </c>
      <c r="P5730" s="6" t="s">
        <v>51</v>
      </c>
      <c r="Q5730" s="8" t="s">
        <v>52</v>
      </c>
      <c r="R5730" s="10" t="s">
        <v>1275</v>
      </c>
      <c r="S5730" s="11" t="s">
        <v>32763</v>
      </c>
      <c r="T5730" s="6"/>
      <c r="U5730" s="15" t="str">
        <f>HYPERLINK("https://media.infra-m.ru/2250/2250843/cover/2250843.jpg", "Обложка")</f>
        <v>Обложка</v>
      </c>
      <c r="V5730" s="8" t="s">
        <v>3615</v>
      </c>
      <c r="W5730" s="6"/>
      <c r="X5730" s="6"/>
      <c r="Y5730" s="6"/>
      <c r="Z5730" s="6"/>
      <c r="AA5730" s="6" t="s">
        <v>8682</v>
      </c>
      <c r="AB5730" s="8"/>
      <c r="AC5730" s="27">
        <v>9785001564263</v>
      </c>
    </row>
    <row r="5731" spans="1:29" s="4" customFormat="1" ht="51.9" customHeight="1" x14ac:dyDescent="0.2">
      <c r="A5731" s="5">
        <v>0</v>
      </c>
      <c r="B5731" s="6" t="s">
        <v>32768</v>
      </c>
      <c r="C5731" s="13">
        <v>804</v>
      </c>
      <c r="D5731" s="8" t="s">
        <v>32769</v>
      </c>
      <c r="E5731" s="8" t="s">
        <v>32770</v>
      </c>
      <c r="F5731" s="8" t="s">
        <v>26027</v>
      </c>
      <c r="G5731" s="6" t="s">
        <v>33</v>
      </c>
      <c r="H5731" s="6" t="s">
        <v>134</v>
      </c>
      <c r="I5731" s="8"/>
      <c r="J5731" s="9">
        <v>1</v>
      </c>
      <c r="K5731" s="9">
        <v>208</v>
      </c>
      <c r="L5731" s="9">
        <v>2018</v>
      </c>
      <c r="M5731" s="8" t="s">
        <v>32771</v>
      </c>
      <c r="N5731" s="8" t="s">
        <v>37</v>
      </c>
      <c r="O5731" s="8" t="s">
        <v>136</v>
      </c>
      <c r="P5731" s="6" t="s">
        <v>51</v>
      </c>
      <c r="Q5731" s="8" t="s">
        <v>52</v>
      </c>
      <c r="R5731" s="10" t="s">
        <v>1275</v>
      </c>
      <c r="S5731" s="11" t="s">
        <v>32763</v>
      </c>
      <c r="T5731" s="6"/>
      <c r="U5731" s="15" t="str">
        <f>HYPERLINK("https://media.infra-m.ru/1029/1029221/cover/1029221.jpg", "Обложка")</f>
        <v>Обложка</v>
      </c>
      <c r="V5731" s="8" t="s">
        <v>3615</v>
      </c>
      <c r="W5731" s="6"/>
      <c r="X5731" s="6"/>
      <c r="Y5731" s="6"/>
      <c r="Z5731" s="6"/>
      <c r="AA5731" s="6" t="s">
        <v>15559</v>
      </c>
      <c r="AB5731" s="8"/>
      <c r="AC5731" s="27">
        <v>9785917687001</v>
      </c>
    </row>
    <row r="5732" spans="1:29" s="4" customFormat="1" ht="42" customHeight="1" x14ac:dyDescent="0.2">
      <c r="A5732" s="5">
        <v>0</v>
      </c>
      <c r="B5732" s="6" t="s">
        <v>32772</v>
      </c>
      <c r="C5732" s="7">
        <v>1032</v>
      </c>
      <c r="D5732" s="8" t="s">
        <v>32773</v>
      </c>
      <c r="E5732" s="8" t="s">
        <v>32774</v>
      </c>
      <c r="F5732" s="8" t="s">
        <v>32775</v>
      </c>
      <c r="G5732" s="6" t="s">
        <v>60</v>
      </c>
      <c r="H5732" s="6" t="s">
        <v>34</v>
      </c>
      <c r="I5732" s="8" t="s">
        <v>35</v>
      </c>
      <c r="J5732" s="14">
        <v>0</v>
      </c>
      <c r="K5732" s="9">
        <v>252</v>
      </c>
      <c r="L5732" s="9">
        <v>2019</v>
      </c>
      <c r="M5732" s="8" t="s">
        <v>32776</v>
      </c>
      <c r="N5732" s="8" t="s">
        <v>37</v>
      </c>
      <c r="O5732" s="8" t="s">
        <v>136</v>
      </c>
      <c r="P5732" s="6" t="s">
        <v>39</v>
      </c>
      <c r="Q5732" s="8" t="s">
        <v>40</v>
      </c>
      <c r="R5732" s="10" t="s">
        <v>3008</v>
      </c>
      <c r="S5732" s="11"/>
      <c r="T5732" s="6"/>
      <c r="U5732" s="15" t="str">
        <f>HYPERLINK("https://media.infra-m.ru/0993/0993455/cover/993455.jpg", "Обложка")</f>
        <v>Обложка</v>
      </c>
      <c r="V5732" s="8" t="s">
        <v>227</v>
      </c>
      <c r="W5732" s="6"/>
      <c r="X5732" s="6"/>
      <c r="Y5732" s="6"/>
      <c r="Z5732" s="6"/>
      <c r="AA5732" s="6" t="s">
        <v>115</v>
      </c>
      <c r="AB5732" s="8"/>
      <c r="AC5732" s="27">
        <v>9785160146034</v>
      </c>
    </row>
    <row r="5733" spans="1:29" s="4" customFormat="1" ht="42" customHeight="1" x14ac:dyDescent="0.2">
      <c r="A5733" s="5">
        <v>0</v>
      </c>
      <c r="B5733" s="6" t="s">
        <v>32777</v>
      </c>
      <c r="C5733" s="13">
        <v>780</v>
      </c>
      <c r="D5733" s="8" t="s">
        <v>32778</v>
      </c>
      <c r="E5733" s="8" t="s">
        <v>32779</v>
      </c>
      <c r="F5733" s="8" t="s">
        <v>32780</v>
      </c>
      <c r="G5733" s="6" t="s">
        <v>33</v>
      </c>
      <c r="H5733" s="6" t="s">
        <v>34</v>
      </c>
      <c r="I5733" s="8" t="s">
        <v>35</v>
      </c>
      <c r="J5733" s="9">
        <v>1</v>
      </c>
      <c r="K5733" s="9">
        <v>124</v>
      </c>
      <c r="L5733" s="9">
        <v>2025</v>
      </c>
      <c r="M5733" s="8" t="s">
        <v>32781</v>
      </c>
      <c r="N5733" s="8" t="s">
        <v>37</v>
      </c>
      <c r="O5733" s="8" t="s">
        <v>136</v>
      </c>
      <c r="P5733" s="6" t="s">
        <v>39</v>
      </c>
      <c r="Q5733" s="8" t="s">
        <v>40</v>
      </c>
      <c r="R5733" s="10" t="s">
        <v>1631</v>
      </c>
      <c r="S5733" s="11"/>
      <c r="T5733" s="6"/>
      <c r="U5733" s="15" t="str">
        <f>HYPERLINK("https://media.infra-m.ru/2188/2188289/cover/2188289.jpg", "Обложка")</f>
        <v>Обложка</v>
      </c>
      <c r="V5733" s="8" t="s">
        <v>350</v>
      </c>
      <c r="W5733" s="6"/>
      <c r="X5733" s="6"/>
      <c r="Y5733" s="6"/>
      <c r="Z5733" s="6"/>
      <c r="AA5733" s="6" t="s">
        <v>43</v>
      </c>
      <c r="AB5733" s="8"/>
      <c r="AC5733" s="27">
        <v>9785160053110</v>
      </c>
    </row>
    <row r="5734" spans="1:29" s="4" customFormat="1" ht="42" customHeight="1" x14ac:dyDescent="0.2">
      <c r="A5734" s="5">
        <v>0</v>
      </c>
      <c r="B5734" s="6" t="s">
        <v>32782</v>
      </c>
      <c r="C5734" s="7">
        <v>1648.8</v>
      </c>
      <c r="D5734" s="8" t="s">
        <v>32783</v>
      </c>
      <c r="E5734" s="8" t="s">
        <v>32784</v>
      </c>
      <c r="F5734" s="8" t="s">
        <v>32785</v>
      </c>
      <c r="G5734" s="6" t="s">
        <v>60</v>
      </c>
      <c r="H5734" s="6" t="s">
        <v>34</v>
      </c>
      <c r="I5734" s="8" t="s">
        <v>271</v>
      </c>
      <c r="J5734" s="9">
        <v>1</v>
      </c>
      <c r="K5734" s="9">
        <v>237</v>
      </c>
      <c r="L5734" s="9">
        <v>2027</v>
      </c>
      <c r="M5734" s="8" t="s">
        <v>32786</v>
      </c>
      <c r="N5734" s="8" t="s">
        <v>37</v>
      </c>
      <c r="O5734" s="8" t="s">
        <v>136</v>
      </c>
      <c r="P5734" s="6" t="s">
        <v>51</v>
      </c>
      <c r="Q5734" s="8" t="s">
        <v>52</v>
      </c>
      <c r="R5734" s="10" t="s">
        <v>32721</v>
      </c>
      <c r="S5734" s="11"/>
      <c r="T5734" s="6"/>
      <c r="U5734" s="15" t="str">
        <f>HYPERLINK("https://media.infra-m.ru/2262/2262695/cover/2262695.jpg", "Обложка")</f>
        <v>Обложка</v>
      </c>
      <c r="V5734" s="8" t="s">
        <v>5726</v>
      </c>
      <c r="W5734" s="6"/>
      <c r="X5734" s="6"/>
      <c r="Y5734" s="6"/>
      <c r="Z5734" s="6"/>
      <c r="AA5734" s="6" t="s">
        <v>157</v>
      </c>
      <c r="AB5734" s="8"/>
      <c r="AC5734" s="27">
        <v>9785160178271</v>
      </c>
    </row>
    <row r="5735" spans="1:29" s="4" customFormat="1" ht="51.9" customHeight="1" x14ac:dyDescent="0.2">
      <c r="A5735" s="5">
        <v>0</v>
      </c>
      <c r="B5735" s="6" t="s">
        <v>32787</v>
      </c>
      <c r="C5735" s="7">
        <v>1164</v>
      </c>
      <c r="D5735" s="8" t="s">
        <v>32788</v>
      </c>
      <c r="E5735" s="8" t="s">
        <v>32789</v>
      </c>
      <c r="F5735" s="8" t="s">
        <v>32790</v>
      </c>
      <c r="G5735" s="6" t="s">
        <v>33</v>
      </c>
      <c r="H5735" s="6" t="s">
        <v>34</v>
      </c>
      <c r="I5735" s="8" t="s">
        <v>35</v>
      </c>
      <c r="J5735" s="9">
        <v>1</v>
      </c>
      <c r="K5735" s="9">
        <v>230</v>
      </c>
      <c r="L5735" s="9">
        <v>2022</v>
      </c>
      <c r="M5735" s="8" t="s">
        <v>32791</v>
      </c>
      <c r="N5735" s="8" t="s">
        <v>37</v>
      </c>
      <c r="O5735" s="8" t="s">
        <v>136</v>
      </c>
      <c r="P5735" s="6" t="s">
        <v>39</v>
      </c>
      <c r="Q5735" s="8" t="s">
        <v>40</v>
      </c>
      <c r="R5735" s="10" t="s">
        <v>4348</v>
      </c>
      <c r="S5735" s="11"/>
      <c r="T5735" s="6"/>
      <c r="U5735" s="15" t="str">
        <f>HYPERLINK("https://media.infra-m.ru/1862/1862596/cover/1862596.jpg", "Обложка")</f>
        <v>Обложка</v>
      </c>
      <c r="V5735" s="8" t="s">
        <v>7435</v>
      </c>
      <c r="W5735" s="6"/>
      <c r="X5735" s="6"/>
      <c r="Y5735" s="6"/>
      <c r="Z5735" s="6"/>
      <c r="AA5735" s="6" t="s">
        <v>148</v>
      </c>
      <c r="AB5735" s="8"/>
      <c r="AC5735" s="27">
        <v>9785160175829</v>
      </c>
    </row>
    <row r="5736" spans="1:29" s="4" customFormat="1" ht="42" customHeight="1" x14ac:dyDescent="0.2">
      <c r="A5736" s="5">
        <v>0</v>
      </c>
      <c r="B5736" s="6" t="s">
        <v>32792</v>
      </c>
      <c r="C5736" s="7">
        <v>1120.8</v>
      </c>
      <c r="D5736" s="8" t="s">
        <v>32793</v>
      </c>
      <c r="E5736" s="8" t="s">
        <v>32794</v>
      </c>
      <c r="F5736" s="8" t="s">
        <v>32795</v>
      </c>
      <c r="G5736" s="6" t="s">
        <v>118</v>
      </c>
      <c r="H5736" s="6" t="s">
        <v>34</v>
      </c>
      <c r="I5736" s="8" t="s">
        <v>35</v>
      </c>
      <c r="J5736" s="9">
        <v>1</v>
      </c>
      <c r="K5736" s="9">
        <v>199</v>
      </c>
      <c r="L5736" s="9">
        <v>2024</v>
      </c>
      <c r="M5736" s="8" t="s">
        <v>32796</v>
      </c>
      <c r="N5736" s="8" t="s">
        <v>37</v>
      </c>
      <c r="O5736" s="8" t="s">
        <v>136</v>
      </c>
      <c r="P5736" s="6" t="s">
        <v>39</v>
      </c>
      <c r="Q5736" s="8" t="s">
        <v>40</v>
      </c>
      <c r="R5736" s="10" t="s">
        <v>32797</v>
      </c>
      <c r="S5736" s="11"/>
      <c r="T5736" s="6"/>
      <c r="U5736" s="15" t="str">
        <f>HYPERLINK("https://media.infra-m.ru/2152/2152064/cover/2152064.jpg", "Обложка")</f>
        <v>Обложка</v>
      </c>
      <c r="V5736" s="8" t="s">
        <v>138</v>
      </c>
      <c r="W5736" s="6"/>
      <c r="X5736" s="6"/>
      <c r="Y5736" s="6"/>
      <c r="Z5736" s="6"/>
      <c r="AA5736" s="6" t="s">
        <v>115</v>
      </c>
      <c r="AB5736" s="8"/>
      <c r="AC5736" s="27">
        <v>9785160147512</v>
      </c>
    </row>
    <row r="5737" spans="1:29" s="4" customFormat="1" ht="51.9" customHeight="1" x14ac:dyDescent="0.2">
      <c r="A5737" s="5">
        <v>0</v>
      </c>
      <c r="B5737" s="6" t="s">
        <v>32798</v>
      </c>
      <c r="C5737" s="7">
        <v>2448</v>
      </c>
      <c r="D5737" s="8" t="s">
        <v>32799</v>
      </c>
      <c r="E5737" s="8" t="s">
        <v>32800</v>
      </c>
      <c r="F5737" s="8" t="s">
        <v>26939</v>
      </c>
      <c r="G5737" s="6" t="s">
        <v>118</v>
      </c>
      <c r="H5737" s="6" t="s">
        <v>34</v>
      </c>
      <c r="I5737" s="8" t="s">
        <v>263</v>
      </c>
      <c r="J5737" s="9">
        <v>1</v>
      </c>
      <c r="K5737" s="9">
        <v>270</v>
      </c>
      <c r="L5737" s="9">
        <v>2026</v>
      </c>
      <c r="M5737" s="8" t="s">
        <v>32801</v>
      </c>
      <c r="N5737" s="8" t="s">
        <v>37</v>
      </c>
      <c r="O5737" s="8" t="s">
        <v>136</v>
      </c>
      <c r="P5737" s="6" t="s">
        <v>51</v>
      </c>
      <c r="Q5737" s="8" t="s">
        <v>265</v>
      </c>
      <c r="R5737" s="10" t="s">
        <v>26953</v>
      </c>
      <c r="S5737" s="11" t="s">
        <v>32802</v>
      </c>
      <c r="T5737" s="6"/>
      <c r="U5737" s="15" t="str">
        <f>HYPERLINK("https://media.infra-m.ru/2234/2234625/cover/2234625.jpg", "Обложка")</f>
        <v>Обложка</v>
      </c>
      <c r="V5737" s="8" t="s">
        <v>5087</v>
      </c>
      <c r="W5737" s="6"/>
      <c r="X5737" s="6"/>
      <c r="Y5737" s="6"/>
      <c r="Z5737" s="6"/>
      <c r="AA5737" s="6" t="s">
        <v>187</v>
      </c>
      <c r="AB5737" s="8" t="s">
        <v>9043</v>
      </c>
      <c r="AC5737" s="27">
        <v>9785160207896</v>
      </c>
    </row>
    <row r="5738" spans="1:29" s="4" customFormat="1" ht="44.1" customHeight="1" x14ac:dyDescent="0.2">
      <c r="A5738" s="5">
        <v>0</v>
      </c>
      <c r="B5738" s="6" t="s">
        <v>32803</v>
      </c>
      <c r="C5738" s="13">
        <v>756</v>
      </c>
      <c r="D5738" s="8" t="s">
        <v>32804</v>
      </c>
      <c r="E5738" s="8" t="s">
        <v>32805</v>
      </c>
      <c r="F5738" s="8" t="s">
        <v>32806</v>
      </c>
      <c r="G5738" s="6" t="s">
        <v>33</v>
      </c>
      <c r="H5738" s="6" t="s">
        <v>34</v>
      </c>
      <c r="I5738" s="8" t="s">
        <v>35</v>
      </c>
      <c r="J5738" s="9">
        <v>1</v>
      </c>
      <c r="K5738" s="9">
        <v>159</v>
      </c>
      <c r="L5738" s="9">
        <v>2022</v>
      </c>
      <c r="M5738" s="8" t="s">
        <v>32807</v>
      </c>
      <c r="N5738" s="8" t="s">
        <v>37</v>
      </c>
      <c r="O5738" s="8" t="s">
        <v>136</v>
      </c>
      <c r="P5738" s="6" t="s">
        <v>39</v>
      </c>
      <c r="Q5738" s="8" t="s">
        <v>40</v>
      </c>
      <c r="R5738" s="10" t="s">
        <v>9992</v>
      </c>
      <c r="S5738" s="11"/>
      <c r="T5738" s="6"/>
      <c r="U5738" s="15" t="str">
        <f>HYPERLINK("https://media.infra-m.ru/1864/1864114/cover/1864114.jpg", "Обложка")</f>
        <v>Обложка</v>
      </c>
      <c r="V5738" s="8" t="s">
        <v>428</v>
      </c>
      <c r="W5738" s="6"/>
      <c r="X5738" s="6"/>
      <c r="Y5738" s="6"/>
      <c r="Z5738" s="6"/>
      <c r="AA5738" s="6" t="s">
        <v>1256</v>
      </c>
      <c r="AB5738" s="8"/>
      <c r="AC5738" s="27">
        <v>9785160160238</v>
      </c>
    </row>
    <row r="5739" spans="1:29" s="4" customFormat="1" ht="51.9" customHeight="1" x14ac:dyDescent="0.2">
      <c r="A5739" s="5">
        <v>0</v>
      </c>
      <c r="B5739" s="6" t="s">
        <v>32808</v>
      </c>
      <c r="C5739" s="13">
        <v>928.8</v>
      </c>
      <c r="D5739" s="8" t="s">
        <v>32809</v>
      </c>
      <c r="E5739" s="8" t="s">
        <v>32810</v>
      </c>
      <c r="F5739" s="8" t="s">
        <v>32811</v>
      </c>
      <c r="G5739" s="6" t="s">
        <v>33</v>
      </c>
      <c r="H5739" s="6" t="s">
        <v>34</v>
      </c>
      <c r="I5739" s="8" t="s">
        <v>271</v>
      </c>
      <c r="J5739" s="9">
        <v>1</v>
      </c>
      <c r="K5739" s="9">
        <v>140</v>
      </c>
      <c r="L5739" s="9">
        <v>2026</v>
      </c>
      <c r="M5739" s="8" t="s">
        <v>32812</v>
      </c>
      <c r="N5739" s="8" t="s">
        <v>224</v>
      </c>
      <c r="O5739" s="8" t="s">
        <v>225</v>
      </c>
      <c r="P5739" s="6" t="s">
        <v>51</v>
      </c>
      <c r="Q5739" s="8" t="s">
        <v>52</v>
      </c>
      <c r="R5739" s="10" t="s">
        <v>32813</v>
      </c>
      <c r="S5739" s="11" t="s">
        <v>32814</v>
      </c>
      <c r="T5739" s="6" t="s">
        <v>97</v>
      </c>
      <c r="U5739" s="15" t="str">
        <f>HYPERLINK("https://media.infra-m.ru/2232/2232571/cover/2232571.jpg", "Обложка")</f>
        <v>Обложка</v>
      </c>
      <c r="V5739" s="8" t="s">
        <v>396</v>
      </c>
      <c r="W5739" s="6"/>
      <c r="X5739" s="6"/>
      <c r="Y5739" s="6"/>
      <c r="Z5739" s="6"/>
      <c r="AA5739" s="6" t="s">
        <v>99</v>
      </c>
      <c r="AB5739" s="8"/>
      <c r="AC5739" s="27">
        <v>9785160127002</v>
      </c>
    </row>
    <row r="5740" spans="1:29" s="4" customFormat="1" ht="51.9" customHeight="1" x14ac:dyDescent="0.2">
      <c r="A5740" s="5">
        <v>0</v>
      </c>
      <c r="B5740" s="6" t="s">
        <v>32815</v>
      </c>
      <c r="C5740" s="13">
        <v>988.8</v>
      </c>
      <c r="D5740" s="8" t="s">
        <v>32816</v>
      </c>
      <c r="E5740" s="8" t="s">
        <v>32817</v>
      </c>
      <c r="F5740" s="8" t="s">
        <v>10001</v>
      </c>
      <c r="G5740" s="6" t="s">
        <v>33</v>
      </c>
      <c r="H5740" s="6" t="s">
        <v>134</v>
      </c>
      <c r="I5740" s="8"/>
      <c r="J5740" s="9">
        <v>1</v>
      </c>
      <c r="K5740" s="9">
        <v>144</v>
      </c>
      <c r="L5740" s="9">
        <v>2026</v>
      </c>
      <c r="M5740" s="8" t="s">
        <v>32818</v>
      </c>
      <c r="N5740" s="8" t="s">
        <v>37</v>
      </c>
      <c r="O5740" s="8" t="s">
        <v>136</v>
      </c>
      <c r="P5740" s="6" t="s">
        <v>39</v>
      </c>
      <c r="Q5740" s="8" t="s">
        <v>40</v>
      </c>
      <c r="R5740" s="10" t="s">
        <v>32819</v>
      </c>
      <c r="S5740" s="11"/>
      <c r="T5740" s="6"/>
      <c r="U5740" s="15" t="str">
        <f>HYPERLINK("https://media.infra-m.ru/2243/2243313/cover/2243313.jpg", "Обложка")</f>
        <v>Обложка</v>
      </c>
      <c r="V5740" s="8" t="s">
        <v>138</v>
      </c>
      <c r="W5740" s="6"/>
      <c r="X5740" s="6"/>
      <c r="Y5740" s="6"/>
      <c r="Z5740" s="6"/>
      <c r="AA5740" s="6" t="s">
        <v>68</v>
      </c>
      <c r="AB5740" s="8"/>
      <c r="AC5740" s="27">
        <v>9785001564010</v>
      </c>
    </row>
    <row r="5741" spans="1:29" s="4" customFormat="1" ht="44.1" customHeight="1" x14ac:dyDescent="0.2">
      <c r="A5741" s="5">
        <v>0</v>
      </c>
      <c r="B5741" s="6" t="s">
        <v>32820</v>
      </c>
      <c r="C5741" s="7">
        <v>2524.8000000000002</v>
      </c>
      <c r="D5741" s="8" t="s">
        <v>32821</v>
      </c>
      <c r="E5741" s="8" t="s">
        <v>32822</v>
      </c>
      <c r="F5741" s="8" t="s">
        <v>32823</v>
      </c>
      <c r="G5741" s="6" t="s">
        <v>60</v>
      </c>
      <c r="H5741" s="6" t="s">
        <v>34</v>
      </c>
      <c r="I5741" s="8" t="s">
        <v>1074</v>
      </c>
      <c r="J5741" s="9">
        <v>1</v>
      </c>
      <c r="K5741" s="9">
        <v>456</v>
      </c>
      <c r="L5741" s="9">
        <v>2024</v>
      </c>
      <c r="M5741" s="8" t="s">
        <v>32824</v>
      </c>
      <c r="N5741" s="8" t="s">
        <v>37</v>
      </c>
      <c r="O5741" s="8" t="s">
        <v>136</v>
      </c>
      <c r="P5741" s="6" t="s">
        <v>39</v>
      </c>
      <c r="Q5741" s="8" t="s">
        <v>40</v>
      </c>
      <c r="R5741" s="10" t="s">
        <v>32825</v>
      </c>
      <c r="S5741" s="11"/>
      <c r="T5741" s="6"/>
      <c r="U5741" s="15" t="str">
        <f>HYPERLINK("https://media.infra-m.ru/2123/2123888/cover/2123888.jpg", "Обложка")</f>
        <v>Обложка</v>
      </c>
      <c r="V5741" s="8" t="s">
        <v>138</v>
      </c>
      <c r="W5741" s="6"/>
      <c r="X5741" s="6"/>
      <c r="Y5741" s="6"/>
      <c r="Z5741" s="6"/>
      <c r="AA5741" s="6" t="s">
        <v>148</v>
      </c>
      <c r="AB5741" s="8"/>
      <c r="AC5741" s="27">
        <v>9785160176819</v>
      </c>
    </row>
    <row r="5742" spans="1:29" s="4" customFormat="1" ht="44.1" customHeight="1" x14ac:dyDescent="0.2">
      <c r="A5742" s="5">
        <v>0</v>
      </c>
      <c r="B5742" s="6" t="s">
        <v>32826</v>
      </c>
      <c r="C5742" s="7">
        <v>3326.4</v>
      </c>
      <c r="D5742" s="8" t="s">
        <v>32827</v>
      </c>
      <c r="E5742" s="8" t="s">
        <v>32828</v>
      </c>
      <c r="F5742" s="8" t="s">
        <v>32829</v>
      </c>
      <c r="G5742" s="6" t="s">
        <v>60</v>
      </c>
      <c r="H5742" s="6" t="s">
        <v>134</v>
      </c>
      <c r="I5742" s="8"/>
      <c r="J5742" s="9">
        <v>1</v>
      </c>
      <c r="K5742" s="9">
        <v>404</v>
      </c>
      <c r="L5742" s="9">
        <v>2026</v>
      </c>
      <c r="M5742" s="8" t="s">
        <v>32830</v>
      </c>
      <c r="N5742" s="8" t="s">
        <v>37</v>
      </c>
      <c r="O5742" s="8" t="s">
        <v>136</v>
      </c>
      <c r="P5742" s="6" t="s">
        <v>39</v>
      </c>
      <c r="Q5742" s="8" t="s">
        <v>40</v>
      </c>
      <c r="R5742" s="10" t="s">
        <v>9251</v>
      </c>
      <c r="S5742" s="11"/>
      <c r="T5742" s="6"/>
      <c r="U5742" s="15" t="str">
        <f>HYPERLINK("https://media.infra-m.ru/2270/2270978/cover/2270978.jpg", "Обложка")</f>
        <v>Обложка</v>
      </c>
      <c r="V5742" s="8" t="s">
        <v>1184</v>
      </c>
      <c r="W5742" s="6" t="s">
        <v>2115</v>
      </c>
      <c r="X5742" s="6"/>
      <c r="Y5742" s="6"/>
      <c r="Z5742" s="6"/>
      <c r="AA5742" s="6" t="s">
        <v>187</v>
      </c>
      <c r="AB5742" s="8"/>
      <c r="AC5742" s="27">
        <v>9785001564881</v>
      </c>
    </row>
    <row r="5743" spans="1:29" s="4" customFormat="1" ht="42" customHeight="1" x14ac:dyDescent="0.2">
      <c r="A5743" s="5">
        <v>0</v>
      </c>
      <c r="B5743" s="6" t="s">
        <v>32831</v>
      </c>
      <c r="C5743" s="7">
        <v>1296</v>
      </c>
      <c r="D5743" s="8" t="s">
        <v>32832</v>
      </c>
      <c r="E5743" s="8" t="s">
        <v>32833</v>
      </c>
      <c r="F5743" s="8" t="s">
        <v>32834</v>
      </c>
      <c r="G5743" s="6" t="s">
        <v>118</v>
      </c>
      <c r="H5743" s="6" t="s">
        <v>134</v>
      </c>
      <c r="I5743" s="8"/>
      <c r="J5743" s="9">
        <v>1</v>
      </c>
      <c r="K5743" s="9">
        <v>240</v>
      </c>
      <c r="L5743" s="9">
        <v>2022</v>
      </c>
      <c r="M5743" s="8" t="s">
        <v>32835</v>
      </c>
      <c r="N5743" s="8" t="s">
        <v>37</v>
      </c>
      <c r="O5743" s="8" t="s">
        <v>136</v>
      </c>
      <c r="P5743" s="6" t="s">
        <v>39</v>
      </c>
      <c r="Q5743" s="8" t="s">
        <v>40</v>
      </c>
      <c r="R5743" s="10" t="s">
        <v>32836</v>
      </c>
      <c r="S5743" s="11"/>
      <c r="T5743" s="6"/>
      <c r="U5743" s="15" t="str">
        <f>HYPERLINK("https://media.infra-m.ru/2054/2054986/cover/2054986.jpg", "Обложка")</f>
        <v>Обложка</v>
      </c>
      <c r="V5743" s="8" t="s">
        <v>138</v>
      </c>
      <c r="W5743" s="6"/>
      <c r="X5743" s="6"/>
      <c r="Y5743" s="6"/>
      <c r="Z5743" s="6"/>
      <c r="AA5743" s="6" t="s">
        <v>115</v>
      </c>
      <c r="AB5743" s="8"/>
      <c r="AC5743" s="27">
        <v>9785001560227</v>
      </c>
    </row>
    <row r="5744" spans="1:29" s="4" customFormat="1" ht="51.9" customHeight="1" x14ac:dyDescent="0.2">
      <c r="A5744" s="5">
        <v>0</v>
      </c>
      <c r="B5744" s="6" t="s">
        <v>32837</v>
      </c>
      <c r="C5744" s="7">
        <v>2064</v>
      </c>
      <c r="D5744" s="8" t="s">
        <v>32838</v>
      </c>
      <c r="E5744" s="8" t="s">
        <v>32839</v>
      </c>
      <c r="F5744" s="8" t="s">
        <v>32840</v>
      </c>
      <c r="G5744" s="6" t="s">
        <v>118</v>
      </c>
      <c r="H5744" s="6" t="s">
        <v>34</v>
      </c>
      <c r="I5744" s="8" t="s">
        <v>1074</v>
      </c>
      <c r="J5744" s="9">
        <v>1</v>
      </c>
      <c r="K5744" s="9">
        <v>344</v>
      </c>
      <c r="L5744" s="9">
        <v>2025</v>
      </c>
      <c r="M5744" s="8" t="s">
        <v>32841</v>
      </c>
      <c r="N5744" s="8" t="s">
        <v>37</v>
      </c>
      <c r="O5744" s="8" t="s">
        <v>136</v>
      </c>
      <c r="P5744" s="6" t="s">
        <v>3141</v>
      </c>
      <c r="Q5744" s="8" t="s">
        <v>40</v>
      </c>
      <c r="R5744" s="10" t="s">
        <v>32842</v>
      </c>
      <c r="S5744" s="11"/>
      <c r="T5744" s="6"/>
      <c r="U5744" s="15" t="str">
        <f>HYPERLINK("https://media.infra-m.ru/2185/2185418/cover/2185418.jpg", "Обложка")</f>
        <v>Обложка</v>
      </c>
      <c r="V5744" s="8" t="s">
        <v>546</v>
      </c>
      <c r="W5744" s="6"/>
      <c r="X5744" s="6"/>
      <c r="Y5744" s="6"/>
      <c r="Z5744" s="6"/>
      <c r="AA5744" s="6" t="s">
        <v>43</v>
      </c>
      <c r="AB5744" s="8"/>
      <c r="AC5744" s="27">
        <v>9785160146409</v>
      </c>
    </row>
    <row r="5745" spans="1:29" s="4" customFormat="1" ht="42" customHeight="1" x14ac:dyDescent="0.2">
      <c r="A5745" s="5">
        <v>0</v>
      </c>
      <c r="B5745" s="6" t="s">
        <v>32843</v>
      </c>
      <c r="C5745" s="7">
        <v>1128</v>
      </c>
      <c r="D5745" s="8" t="s">
        <v>32844</v>
      </c>
      <c r="E5745" s="8" t="s">
        <v>32845</v>
      </c>
      <c r="F5745" s="8" t="s">
        <v>32846</v>
      </c>
      <c r="G5745" s="6" t="s">
        <v>60</v>
      </c>
      <c r="H5745" s="6" t="s">
        <v>34</v>
      </c>
      <c r="I5745" s="8" t="s">
        <v>35</v>
      </c>
      <c r="J5745" s="9">
        <v>1</v>
      </c>
      <c r="K5745" s="9">
        <v>185</v>
      </c>
      <c r="L5745" s="9">
        <v>2024</v>
      </c>
      <c r="M5745" s="8" t="s">
        <v>32847</v>
      </c>
      <c r="N5745" s="8" t="s">
        <v>37</v>
      </c>
      <c r="O5745" s="8" t="s">
        <v>136</v>
      </c>
      <c r="P5745" s="6" t="s">
        <v>39</v>
      </c>
      <c r="Q5745" s="8" t="s">
        <v>40</v>
      </c>
      <c r="R5745" s="10" t="s">
        <v>8485</v>
      </c>
      <c r="S5745" s="11"/>
      <c r="T5745" s="6"/>
      <c r="U5745" s="15" t="str">
        <f>HYPERLINK("https://media.infra-m.ru/2099/2099009/cover/2099009.jpg", "Обложка")</f>
        <v>Обложка</v>
      </c>
      <c r="V5745" s="8" t="s">
        <v>3087</v>
      </c>
      <c r="W5745" s="6"/>
      <c r="X5745" s="6"/>
      <c r="Y5745" s="6"/>
      <c r="Z5745" s="6"/>
      <c r="AA5745" s="6" t="s">
        <v>76</v>
      </c>
      <c r="AB5745" s="8"/>
      <c r="AC5745" s="27">
        <v>9785160192369</v>
      </c>
    </row>
    <row r="5746" spans="1:29" s="4" customFormat="1" ht="42" customHeight="1" x14ac:dyDescent="0.2">
      <c r="A5746" s="5">
        <v>0</v>
      </c>
      <c r="B5746" s="6" t="s">
        <v>32848</v>
      </c>
      <c r="C5746" s="7">
        <v>3352.8</v>
      </c>
      <c r="D5746" s="8" t="s">
        <v>32849</v>
      </c>
      <c r="E5746" s="8" t="s">
        <v>32850</v>
      </c>
      <c r="F5746" s="8" t="s">
        <v>32851</v>
      </c>
      <c r="G5746" s="6" t="s">
        <v>118</v>
      </c>
      <c r="H5746" s="6" t="s">
        <v>134</v>
      </c>
      <c r="I5746" s="8"/>
      <c r="J5746" s="9">
        <v>1</v>
      </c>
      <c r="K5746" s="9">
        <v>688</v>
      </c>
      <c r="L5746" s="9">
        <v>2025</v>
      </c>
      <c r="M5746" s="8" t="s">
        <v>32852</v>
      </c>
      <c r="N5746" s="8" t="s">
        <v>37</v>
      </c>
      <c r="O5746" s="8" t="s">
        <v>136</v>
      </c>
      <c r="P5746" s="6" t="s">
        <v>39</v>
      </c>
      <c r="Q5746" s="8" t="s">
        <v>40</v>
      </c>
      <c r="R5746" s="10" t="s">
        <v>8485</v>
      </c>
      <c r="S5746" s="11"/>
      <c r="T5746" s="6"/>
      <c r="U5746" s="15" t="str">
        <f>HYPERLINK("https://media.infra-m.ru/2206/2206126/cover/2206126.jpg", "Обложка")</f>
        <v>Обложка</v>
      </c>
      <c r="V5746" s="8" t="s">
        <v>6114</v>
      </c>
      <c r="W5746" s="6"/>
      <c r="X5746" s="6"/>
      <c r="Y5746" s="6"/>
      <c r="Z5746" s="6"/>
      <c r="AA5746" s="6" t="s">
        <v>1256</v>
      </c>
      <c r="AB5746" s="8"/>
      <c r="AC5746" s="27">
        <v>9785001560630</v>
      </c>
    </row>
    <row r="5747" spans="1:29" s="4" customFormat="1" ht="42" customHeight="1" x14ac:dyDescent="0.2">
      <c r="A5747" s="5">
        <v>0</v>
      </c>
      <c r="B5747" s="6" t="s">
        <v>32853</v>
      </c>
      <c r="C5747" s="7">
        <v>2935.2</v>
      </c>
      <c r="D5747" s="8" t="s">
        <v>32854</v>
      </c>
      <c r="E5747" s="8" t="s">
        <v>32855</v>
      </c>
      <c r="F5747" s="8" t="s">
        <v>32851</v>
      </c>
      <c r="G5747" s="6" t="s">
        <v>60</v>
      </c>
      <c r="H5747" s="6" t="s">
        <v>134</v>
      </c>
      <c r="I5747" s="8"/>
      <c r="J5747" s="9">
        <v>1</v>
      </c>
      <c r="K5747" s="9">
        <v>672</v>
      </c>
      <c r="L5747" s="9">
        <v>2025</v>
      </c>
      <c r="M5747" s="8" t="s">
        <v>32856</v>
      </c>
      <c r="N5747" s="8" t="s">
        <v>37</v>
      </c>
      <c r="O5747" s="8" t="s">
        <v>136</v>
      </c>
      <c r="P5747" s="6" t="s">
        <v>39</v>
      </c>
      <c r="Q5747" s="8"/>
      <c r="R5747" s="10" t="s">
        <v>1625</v>
      </c>
      <c r="S5747" s="11"/>
      <c r="T5747" s="6"/>
      <c r="U5747" s="15" t="str">
        <f>HYPERLINK("https://media.infra-m.ru/2169/2169370/cover/2169370.jpg", "Обложка")</f>
        <v>Обложка</v>
      </c>
      <c r="V5747" s="8" t="s">
        <v>6114</v>
      </c>
      <c r="W5747" s="6"/>
      <c r="X5747" s="6"/>
      <c r="Y5747" s="6"/>
      <c r="Z5747" s="6"/>
      <c r="AA5747" s="6" t="s">
        <v>157</v>
      </c>
      <c r="AB5747" s="8"/>
      <c r="AC5747" s="27">
        <v>9785001562474</v>
      </c>
    </row>
    <row r="5748" spans="1:29" s="4" customFormat="1" ht="42" customHeight="1" x14ac:dyDescent="0.2">
      <c r="A5748" s="5">
        <v>0</v>
      </c>
      <c r="B5748" s="6" t="s">
        <v>32857</v>
      </c>
      <c r="C5748" s="7">
        <v>2970</v>
      </c>
      <c r="D5748" s="8" t="s">
        <v>32858</v>
      </c>
      <c r="E5748" s="8" t="s">
        <v>32859</v>
      </c>
      <c r="F5748" s="8" t="s">
        <v>32851</v>
      </c>
      <c r="G5748" s="6" t="s">
        <v>60</v>
      </c>
      <c r="H5748" s="6" t="s">
        <v>134</v>
      </c>
      <c r="I5748" s="8"/>
      <c r="J5748" s="9">
        <v>1</v>
      </c>
      <c r="K5748" s="9">
        <v>872</v>
      </c>
      <c r="L5748" s="9">
        <v>2023</v>
      </c>
      <c r="M5748" s="8" t="s">
        <v>32860</v>
      </c>
      <c r="N5748" s="8" t="s">
        <v>37</v>
      </c>
      <c r="O5748" s="8" t="s">
        <v>136</v>
      </c>
      <c r="P5748" s="6" t="s">
        <v>39</v>
      </c>
      <c r="Q5748" s="8"/>
      <c r="R5748" s="10" t="s">
        <v>1625</v>
      </c>
      <c r="S5748" s="11"/>
      <c r="T5748" s="6"/>
      <c r="U5748" s="15" t="str">
        <f>HYPERLINK("https://media.infra-m.ru/1915/1915697/cover/1915697.jpg", "Обложка")</f>
        <v>Обложка</v>
      </c>
      <c r="V5748" s="8" t="s">
        <v>6114</v>
      </c>
      <c r="W5748" s="6"/>
      <c r="X5748" s="6"/>
      <c r="Y5748" s="6"/>
      <c r="Z5748" s="6"/>
      <c r="AA5748" s="6" t="s">
        <v>157</v>
      </c>
      <c r="AB5748" s="8"/>
      <c r="AC5748" s="27">
        <v>9785001562344</v>
      </c>
    </row>
    <row r="5749" spans="1:29" s="4" customFormat="1" ht="51.9" customHeight="1" x14ac:dyDescent="0.2">
      <c r="A5749" s="5">
        <v>0</v>
      </c>
      <c r="B5749" s="6" t="s">
        <v>32861</v>
      </c>
      <c r="C5749" s="7">
        <v>3564</v>
      </c>
      <c r="D5749" s="8" t="s">
        <v>32862</v>
      </c>
      <c r="E5749" s="8" t="s">
        <v>32863</v>
      </c>
      <c r="F5749" s="8" t="s">
        <v>32851</v>
      </c>
      <c r="G5749" s="6" t="s">
        <v>60</v>
      </c>
      <c r="H5749" s="6" t="s">
        <v>134</v>
      </c>
      <c r="I5749" s="8"/>
      <c r="J5749" s="9">
        <v>1</v>
      </c>
      <c r="K5749" s="9">
        <v>1056</v>
      </c>
      <c r="L5749" s="9">
        <v>2025</v>
      </c>
      <c r="M5749" s="8" t="s">
        <v>32864</v>
      </c>
      <c r="N5749" s="8" t="s">
        <v>37</v>
      </c>
      <c r="O5749" s="8" t="s">
        <v>136</v>
      </c>
      <c r="P5749" s="6" t="s">
        <v>39</v>
      </c>
      <c r="Q5749" s="8" t="s">
        <v>40</v>
      </c>
      <c r="R5749" s="10" t="s">
        <v>32865</v>
      </c>
      <c r="S5749" s="11"/>
      <c r="T5749" s="6"/>
      <c r="U5749" s="15" t="str">
        <f>HYPERLINK("https://media.infra-m.ru/2212/2212553/cover/2212553.jpg", "Обложка")</f>
        <v>Обложка</v>
      </c>
      <c r="V5749" s="8" t="s">
        <v>6114</v>
      </c>
      <c r="W5749" s="6"/>
      <c r="X5749" s="6"/>
      <c r="Y5749" s="6"/>
      <c r="Z5749" s="6"/>
      <c r="AA5749" s="6" t="s">
        <v>68</v>
      </c>
      <c r="AB5749" s="8"/>
      <c r="AC5749" s="27">
        <v>9785001564294</v>
      </c>
    </row>
    <row r="5750" spans="1:29" s="4" customFormat="1" ht="42" customHeight="1" x14ac:dyDescent="0.2">
      <c r="A5750" s="5">
        <v>0</v>
      </c>
      <c r="B5750" s="6" t="s">
        <v>32866</v>
      </c>
      <c r="C5750" s="7">
        <v>3072</v>
      </c>
      <c r="D5750" s="8" t="s">
        <v>32867</v>
      </c>
      <c r="E5750" s="8" t="s">
        <v>32868</v>
      </c>
      <c r="F5750" s="8" t="s">
        <v>32851</v>
      </c>
      <c r="G5750" s="6" t="s">
        <v>60</v>
      </c>
      <c r="H5750" s="6" t="s">
        <v>134</v>
      </c>
      <c r="I5750" s="8"/>
      <c r="J5750" s="9">
        <v>1</v>
      </c>
      <c r="K5750" s="9">
        <v>512</v>
      </c>
      <c r="L5750" s="9">
        <v>2025</v>
      </c>
      <c r="M5750" s="8" t="s">
        <v>32869</v>
      </c>
      <c r="N5750" s="8" t="s">
        <v>37</v>
      </c>
      <c r="O5750" s="8" t="s">
        <v>136</v>
      </c>
      <c r="P5750" s="6" t="s">
        <v>39</v>
      </c>
      <c r="Q5750" s="8" t="s">
        <v>40</v>
      </c>
      <c r="R5750" s="10" t="s">
        <v>684</v>
      </c>
      <c r="S5750" s="11"/>
      <c r="T5750" s="6"/>
      <c r="U5750" s="15" t="str">
        <f>HYPERLINK("https://media.infra-m.ru/2173/2173935/cover/2173935.jpg", "Обложка")</f>
        <v>Обложка</v>
      </c>
      <c r="V5750" s="8" t="s">
        <v>6114</v>
      </c>
      <c r="W5750" s="6"/>
      <c r="X5750" s="6"/>
      <c r="Y5750" s="6"/>
      <c r="Z5750" s="6"/>
      <c r="AA5750" s="6" t="s">
        <v>86</v>
      </c>
      <c r="AB5750" s="8"/>
      <c r="AC5750" s="27">
        <v>9785917689418</v>
      </c>
    </row>
    <row r="5751" spans="1:29" s="4" customFormat="1" ht="42" customHeight="1" x14ac:dyDescent="0.2">
      <c r="A5751" s="5">
        <v>0</v>
      </c>
      <c r="B5751" s="6" t="s">
        <v>32870</v>
      </c>
      <c r="C5751" s="7">
        <v>3360</v>
      </c>
      <c r="D5751" s="8" t="s">
        <v>32871</v>
      </c>
      <c r="E5751" s="8" t="s">
        <v>32872</v>
      </c>
      <c r="F5751" s="8" t="s">
        <v>32851</v>
      </c>
      <c r="G5751" s="6" t="s">
        <v>60</v>
      </c>
      <c r="H5751" s="6" t="s">
        <v>134</v>
      </c>
      <c r="I5751" s="8"/>
      <c r="J5751" s="9">
        <v>1</v>
      </c>
      <c r="K5751" s="9">
        <v>1088</v>
      </c>
      <c r="L5751" s="9">
        <v>2025</v>
      </c>
      <c r="M5751" s="8" t="s">
        <v>32873</v>
      </c>
      <c r="N5751" s="8" t="s">
        <v>37</v>
      </c>
      <c r="O5751" s="8" t="s">
        <v>136</v>
      </c>
      <c r="P5751" s="6" t="s">
        <v>39</v>
      </c>
      <c r="Q5751" s="8" t="s">
        <v>40</v>
      </c>
      <c r="R5751" s="10" t="s">
        <v>684</v>
      </c>
      <c r="S5751" s="11"/>
      <c r="T5751" s="6"/>
      <c r="U5751" s="15" t="str">
        <f>HYPERLINK("https://media.infra-m.ru/2173/2173938/cover/2173938.jpg", "Обложка")</f>
        <v>Обложка</v>
      </c>
      <c r="V5751" s="8" t="s">
        <v>6114</v>
      </c>
      <c r="W5751" s="6"/>
      <c r="X5751" s="6"/>
      <c r="Y5751" s="6"/>
      <c r="Z5751" s="6"/>
      <c r="AA5751" s="6" t="s">
        <v>86</v>
      </c>
      <c r="AB5751" s="8"/>
      <c r="AC5751" s="27">
        <v>9785917689401</v>
      </c>
    </row>
    <row r="5752" spans="1:29" s="4" customFormat="1" ht="51.9" customHeight="1" x14ac:dyDescent="0.2">
      <c r="A5752" s="5">
        <v>0</v>
      </c>
      <c r="B5752" s="6" t="s">
        <v>32874</v>
      </c>
      <c r="C5752" s="7">
        <v>4158</v>
      </c>
      <c r="D5752" s="8" t="s">
        <v>32875</v>
      </c>
      <c r="E5752" s="8" t="s">
        <v>32876</v>
      </c>
      <c r="F5752" s="8" t="s">
        <v>32851</v>
      </c>
      <c r="G5752" s="6" t="s">
        <v>60</v>
      </c>
      <c r="H5752" s="6" t="s">
        <v>134</v>
      </c>
      <c r="I5752" s="8"/>
      <c r="J5752" s="9">
        <v>1</v>
      </c>
      <c r="K5752" s="9">
        <v>1176</v>
      </c>
      <c r="L5752" s="9">
        <v>2025</v>
      </c>
      <c r="M5752" s="8" t="s">
        <v>32877</v>
      </c>
      <c r="N5752" s="8" t="s">
        <v>37</v>
      </c>
      <c r="O5752" s="8" t="s">
        <v>136</v>
      </c>
      <c r="P5752" s="6" t="s">
        <v>39</v>
      </c>
      <c r="Q5752" s="8" t="s">
        <v>183</v>
      </c>
      <c r="R5752" s="10" t="s">
        <v>32878</v>
      </c>
      <c r="S5752" s="11"/>
      <c r="T5752" s="6"/>
      <c r="U5752" s="15" t="str">
        <f>HYPERLINK("https://media.infra-m.ru/2212/2212554/cover/2212554.jpg", "Обложка")</f>
        <v>Обложка</v>
      </c>
      <c r="V5752" s="8" t="s">
        <v>6114</v>
      </c>
      <c r="W5752" s="6"/>
      <c r="X5752" s="6"/>
      <c r="Y5752" s="6"/>
      <c r="Z5752" s="6"/>
      <c r="AA5752" s="6" t="s">
        <v>68</v>
      </c>
      <c r="AB5752" s="8"/>
      <c r="AC5752" s="27">
        <v>9785001564379</v>
      </c>
    </row>
    <row r="5753" spans="1:29" s="4" customFormat="1" ht="51.9" customHeight="1" x14ac:dyDescent="0.2">
      <c r="A5753" s="5">
        <v>0</v>
      </c>
      <c r="B5753" s="6" t="s">
        <v>32879</v>
      </c>
      <c r="C5753" s="7">
        <v>2100</v>
      </c>
      <c r="D5753" s="8" t="s">
        <v>32880</v>
      </c>
      <c r="E5753" s="8" t="s">
        <v>32881</v>
      </c>
      <c r="F5753" s="8" t="s">
        <v>1479</v>
      </c>
      <c r="G5753" s="6" t="s">
        <v>118</v>
      </c>
      <c r="H5753" s="6" t="s">
        <v>34</v>
      </c>
      <c r="I5753" s="8" t="s">
        <v>35</v>
      </c>
      <c r="J5753" s="9">
        <v>1</v>
      </c>
      <c r="K5753" s="9">
        <v>318</v>
      </c>
      <c r="L5753" s="9">
        <v>2026</v>
      </c>
      <c r="M5753" s="8" t="s">
        <v>32882</v>
      </c>
      <c r="N5753" s="8" t="s">
        <v>37</v>
      </c>
      <c r="O5753" s="8" t="s">
        <v>136</v>
      </c>
      <c r="P5753" s="6" t="s">
        <v>39</v>
      </c>
      <c r="Q5753" s="8" t="s">
        <v>40</v>
      </c>
      <c r="R5753" s="10" t="s">
        <v>1661</v>
      </c>
      <c r="S5753" s="11"/>
      <c r="T5753" s="6"/>
      <c r="U5753" s="15" t="str">
        <f>HYPERLINK("https://media.infra-m.ru/2235/2235143/cover/2235143.jpg", "Обложка")</f>
        <v>Обложка</v>
      </c>
      <c r="V5753" s="8" t="s">
        <v>1483</v>
      </c>
      <c r="W5753" s="6"/>
      <c r="X5753" s="6"/>
      <c r="Y5753" s="6"/>
      <c r="Z5753" s="6"/>
      <c r="AA5753" s="6" t="s">
        <v>157</v>
      </c>
      <c r="AB5753" s="8"/>
      <c r="AC5753" s="27">
        <v>9785160185743</v>
      </c>
    </row>
    <row r="5754" spans="1:29" s="4" customFormat="1" ht="42" customHeight="1" x14ac:dyDescent="0.2">
      <c r="A5754" s="5">
        <v>0</v>
      </c>
      <c r="B5754" s="6" t="s">
        <v>32883</v>
      </c>
      <c r="C5754" s="7">
        <v>2040</v>
      </c>
      <c r="D5754" s="8" t="s">
        <v>32884</v>
      </c>
      <c r="E5754" s="8" t="s">
        <v>32885</v>
      </c>
      <c r="F5754" s="8" t="s">
        <v>32886</v>
      </c>
      <c r="G5754" s="6" t="s">
        <v>118</v>
      </c>
      <c r="H5754" s="6" t="s">
        <v>313</v>
      </c>
      <c r="I5754" s="8" t="s">
        <v>401</v>
      </c>
      <c r="J5754" s="9">
        <v>1</v>
      </c>
      <c r="K5754" s="9">
        <v>300</v>
      </c>
      <c r="L5754" s="9">
        <v>2026</v>
      </c>
      <c r="M5754" s="8" t="s">
        <v>32887</v>
      </c>
      <c r="N5754" s="8" t="s">
        <v>37</v>
      </c>
      <c r="O5754" s="8" t="s">
        <v>136</v>
      </c>
      <c r="P5754" s="6" t="s">
        <v>306</v>
      </c>
      <c r="Q5754" s="8" t="s">
        <v>265</v>
      </c>
      <c r="R5754" s="10" t="s">
        <v>13793</v>
      </c>
      <c r="S5754" s="11"/>
      <c r="T5754" s="6"/>
      <c r="U5754" s="15" t="str">
        <f>HYPERLINK("https://media.infra-m.ru/2245/2245813/cover/2245813.jpg", "Обложка")</f>
        <v>Обложка</v>
      </c>
      <c r="V5754" s="8" t="s">
        <v>32888</v>
      </c>
      <c r="W5754" s="6"/>
      <c r="X5754" s="6"/>
      <c r="Y5754" s="6"/>
      <c r="Z5754" s="6"/>
      <c r="AA5754" s="6" t="s">
        <v>68</v>
      </c>
      <c r="AB5754" s="8"/>
      <c r="AC5754" s="27">
        <v>9785369019757</v>
      </c>
    </row>
    <row r="5755" spans="1:29" s="4" customFormat="1" ht="42" customHeight="1" x14ac:dyDescent="0.2">
      <c r="A5755" s="5">
        <v>0</v>
      </c>
      <c r="B5755" s="6" t="s">
        <v>32889</v>
      </c>
      <c r="C5755" s="7">
        <v>1812</v>
      </c>
      <c r="D5755" s="8" t="s">
        <v>32890</v>
      </c>
      <c r="E5755" s="8" t="s">
        <v>32885</v>
      </c>
      <c r="F5755" s="8" t="s">
        <v>32891</v>
      </c>
      <c r="G5755" s="6" t="s">
        <v>60</v>
      </c>
      <c r="H5755" s="6" t="s">
        <v>34</v>
      </c>
      <c r="I5755" s="8" t="s">
        <v>263</v>
      </c>
      <c r="J5755" s="9">
        <v>1</v>
      </c>
      <c r="K5755" s="9">
        <v>274</v>
      </c>
      <c r="L5755" s="9">
        <v>2026</v>
      </c>
      <c r="M5755" s="8" t="s">
        <v>32892</v>
      </c>
      <c r="N5755" s="8" t="s">
        <v>37</v>
      </c>
      <c r="O5755" s="8" t="s">
        <v>136</v>
      </c>
      <c r="P5755" s="6" t="s">
        <v>306</v>
      </c>
      <c r="Q5755" s="8" t="s">
        <v>265</v>
      </c>
      <c r="R5755" s="10" t="s">
        <v>479</v>
      </c>
      <c r="S5755" s="11"/>
      <c r="T5755" s="6"/>
      <c r="U5755" s="15" t="str">
        <f>HYPERLINK("https://media.infra-m.ru/2233/2233825/cover/2233825.jpg", "Обложка")</f>
        <v>Обложка</v>
      </c>
      <c r="V5755" s="8" t="s">
        <v>3304</v>
      </c>
      <c r="W5755" s="6" t="s">
        <v>299</v>
      </c>
      <c r="X5755" s="6"/>
      <c r="Y5755" s="6"/>
      <c r="Z5755" s="6"/>
      <c r="AA5755" s="6" t="s">
        <v>187</v>
      </c>
      <c r="AB5755" s="8"/>
      <c r="AC5755" s="27">
        <v>9785160216607</v>
      </c>
    </row>
    <row r="5756" spans="1:29" s="4" customFormat="1" ht="51.9" customHeight="1" x14ac:dyDescent="0.2">
      <c r="A5756" s="5">
        <v>0</v>
      </c>
      <c r="B5756" s="6" t="s">
        <v>32893</v>
      </c>
      <c r="C5756" s="7">
        <v>1872</v>
      </c>
      <c r="D5756" s="8" t="s">
        <v>32894</v>
      </c>
      <c r="E5756" s="8" t="s">
        <v>32885</v>
      </c>
      <c r="F5756" s="8" t="s">
        <v>32891</v>
      </c>
      <c r="G5756" s="6" t="s">
        <v>60</v>
      </c>
      <c r="H5756" s="6" t="s">
        <v>34</v>
      </c>
      <c r="I5756" s="8" t="s">
        <v>253</v>
      </c>
      <c r="J5756" s="9">
        <v>1</v>
      </c>
      <c r="K5756" s="9">
        <v>274</v>
      </c>
      <c r="L5756" s="9">
        <v>2026</v>
      </c>
      <c r="M5756" s="8" t="s">
        <v>32895</v>
      </c>
      <c r="N5756" s="8" t="s">
        <v>37</v>
      </c>
      <c r="O5756" s="8" t="s">
        <v>136</v>
      </c>
      <c r="P5756" s="6" t="s">
        <v>306</v>
      </c>
      <c r="Q5756" s="8" t="s">
        <v>52</v>
      </c>
      <c r="R5756" s="10" t="s">
        <v>32896</v>
      </c>
      <c r="S5756" s="11"/>
      <c r="T5756" s="6"/>
      <c r="U5756" s="15" t="str">
        <f>HYPERLINK("https://media.infra-m.ru/2214/2214958/cover/2214958.jpg", "Обложка")</f>
        <v>Обложка</v>
      </c>
      <c r="V5756" s="8" t="s">
        <v>3304</v>
      </c>
      <c r="W5756" s="6" t="s">
        <v>547</v>
      </c>
      <c r="X5756" s="6"/>
      <c r="Y5756" s="6"/>
      <c r="Z5756" s="6"/>
      <c r="AA5756" s="6" t="s">
        <v>187</v>
      </c>
      <c r="AB5756" s="8" t="s">
        <v>308</v>
      </c>
      <c r="AC5756" s="27">
        <v>9785160211299</v>
      </c>
    </row>
    <row r="5757" spans="1:29" s="4" customFormat="1" ht="51.9" customHeight="1" x14ac:dyDescent="0.2">
      <c r="A5757" s="5">
        <v>0</v>
      </c>
      <c r="B5757" s="6" t="s">
        <v>32897</v>
      </c>
      <c r="C5757" s="7">
        <v>1632</v>
      </c>
      <c r="D5757" s="8" t="s">
        <v>32898</v>
      </c>
      <c r="E5757" s="8" t="s">
        <v>32885</v>
      </c>
      <c r="F5757" s="8" t="s">
        <v>6342</v>
      </c>
      <c r="G5757" s="6" t="s">
        <v>118</v>
      </c>
      <c r="H5757" s="6" t="s">
        <v>34</v>
      </c>
      <c r="I5757" s="8" t="s">
        <v>263</v>
      </c>
      <c r="J5757" s="9">
        <v>1</v>
      </c>
      <c r="K5757" s="9">
        <v>252</v>
      </c>
      <c r="L5757" s="9">
        <v>2025</v>
      </c>
      <c r="M5757" s="8" t="s">
        <v>32899</v>
      </c>
      <c r="N5757" s="8" t="s">
        <v>37</v>
      </c>
      <c r="O5757" s="8" t="s">
        <v>136</v>
      </c>
      <c r="P5757" s="6" t="s">
        <v>51</v>
      </c>
      <c r="Q5757" s="8" t="s">
        <v>265</v>
      </c>
      <c r="R5757" s="10" t="s">
        <v>479</v>
      </c>
      <c r="S5757" s="11" t="s">
        <v>32900</v>
      </c>
      <c r="T5757" s="6"/>
      <c r="U5757" s="15" t="str">
        <f>HYPERLINK("https://media.infra-m.ru/2186/2186171/cover/2186171.jpg", "Обложка")</f>
        <v>Обложка</v>
      </c>
      <c r="V5757" s="8" t="s">
        <v>1219</v>
      </c>
      <c r="W5757" s="6"/>
      <c r="X5757" s="6"/>
      <c r="Y5757" s="6"/>
      <c r="Z5757" s="6"/>
      <c r="AA5757" s="6" t="s">
        <v>157</v>
      </c>
      <c r="AB5757" s="8" t="s">
        <v>2697</v>
      </c>
      <c r="AC5757" s="27">
        <v>9785160178332</v>
      </c>
    </row>
    <row r="5758" spans="1:29" s="4" customFormat="1" ht="51.9" customHeight="1" x14ac:dyDescent="0.2">
      <c r="A5758" s="5">
        <v>0</v>
      </c>
      <c r="B5758" s="6" t="s">
        <v>32901</v>
      </c>
      <c r="C5758" s="7">
        <v>2860.8</v>
      </c>
      <c r="D5758" s="8" t="s">
        <v>32902</v>
      </c>
      <c r="E5758" s="8" t="s">
        <v>32903</v>
      </c>
      <c r="F5758" s="8" t="s">
        <v>32904</v>
      </c>
      <c r="G5758" s="6" t="s">
        <v>60</v>
      </c>
      <c r="H5758" s="6" t="s">
        <v>134</v>
      </c>
      <c r="I5758" s="8"/>
      <c r="J5758" s="9">
        <v>1</v>
      </c>
      <c r="K5758" s="9">
        <v>432</v>
      </c>
      <c r="L5758" s="9">
        <v>2025</v>
      </c>
      <c r="M5758" s="8" t="s">
        <v>32905</v>
      </c>
      <c r="N5758" s="8" t="s">
        <v>37</v>
      </c>
      <c r="O5758" s="8" t="s">
        <v>136</v>
      </c>
      <c r="P5758" s="6" t="s">
        <v>306</v>
      </c>
      <c r="Q5758" s="8" t="s">
        <v>52</v>
      </c>
      <c r="R5758" s="10" t="s">
        <v>1275</v>
      </c>
      <c r="S5758" s="11"/>
      <c r="T5758" s="6"/>
      <c r="U5758" s="15" t="str">
        <f>HYPERLINK("https://media.infra-m.ru/2260/2260628/cover/2260628.jpg", "Обложка")</f>
        <v>Обложка</v>
      </c>
      <c r="V5758" s="8" t="s">
        <v>28319</v>
      </c>
      <c r="W5758" s="6"/>
      <c r="X5758" s="6"/>
      <c r="Y5758" s="6"/>
      <c r="Z5758" s="6"/>
      <c r="AA5758" s="6" t="s">
        <v>896</v>
      </c>
      <c r="AB5758" s="8"/>
      <c r="AC5758" s="27">
        <v>9785001562467</v>
      </c>
    </row>
    <row r="5759" spans="1:29" s="4" customFormat="1" ht="42" customHeight="1" x14ac:dyDescent="0.2">
      <c r="A5759" s="5">
        <v>0</v>
      </c>
      <c r="B5759" s="6" t="s">
        <v>32906</v>
      </c>
      <c r="C5759" s="7">
        <v>2592</v>
      </c>
      <c r="D5759" s="8" t="s">
        <v>32907</v>
      </c>
      <c r="E5759" s="8" t="s">
        <v>32908</v>
      </c>
      <c r="F5759" s="8" t="s">
        <v>32909</v>
      </c>
      <c r="G5759" s="6" t="s">
        <v>60</v>
      </c>
      <c r="H5759" s="6" t="s">
        <v>134</v>
      </c>
      <c r="I5759" s="8" t="s">
        <v>263</v>
      </c>
      <c r="J5759" s="9">
        <v>1</v>
      </c>
      <c r="K5759" s="9">
        <v>432</v>
      </c>
      <c r="L5759" s="9">
        <v>2025</v>
      </c>
      <c r="M5759" s="8" t="s">
        <v>32910</v>
      </c>
      <c r="N5759" s="8" t="s">
        <v>37</v>
      </c>
      <c r="O5759" s="8" t="s">
        <v>136</v>
      </c>
      <c r="P5759" s="6" t="s">
        <v>306</v>
      </c>
      <c r="Q5759" s="8" t="s">
        <v>265</v>
      </c>
      <c r="R5759" s="10" t="s">
        <v>13793</v>
      </c>
      <c r="S5759" s="11"/>
      <c r="T5759" s="6"/>
      <c r="U5759" s="15" t="str">
        <f>HYPERLINK("https://media.infra-m.ru/2186/2186983/cover/2186983.jpg", "Обложка")</f>
        <v>Обложка</v>
      </c>
      <c r="V5759" s="8" t="s">
        <v>28319</v>
      </c>
      <c r="W5759" s="6"/>
      <c r="X5759" s="6"/>
      <c r="Y5759" s="6"/>
      <c r="Z5759" s="6"/>
      <c r="AA5759" s="6" t="s">
        <v>148</v>
      </c>
      <c r="AB5759" s="8"/>
      <c r="AC5759" s="27">
        <v>9785001562481</v>
      </c>
    </row>
    <row r="5760" spans="1:29" s="4" customFormat="1" ht="51.9" customHeight="1" x14ac:dyDescent="0.2">
      <c r="A5760" s="5">
        <v>0</v>
      </c>
      <c r="B5760" s="6" t="s">
        <v>32911</v>
      </c>
      <c r="C5760" s="7">
        <v>1709.9</v>
      </c>
      <c r="D5760" s="8" t="s">
        <v>32912</v>
      </c>
      <c r="E5760" s="8" t="s">
        <v>32908</v>
      </c>
      <c r="F5760" s="8" t="s">
        <v>32904</v>
      </c>
      <c r="G5760" s="6" t="s">
        <v>60</v>
      </c>
      <c r="H5760" s="6" t="s">
        <v>134</v>
      </c>
      <c r="I5760" s="8"/>
      <c r="J5760" s="9">
        <v>1</v>
      </c>
      <c r="K5760" s="9">
        <v>416</v>
      </c>
      <c r="L5760" s="9">
        <v>2020</v>
      </c>
      <c r="M5760" s="8" t="s">
        <v>32913</v>
      </c>
      <c r="N5760" s="8" t="s">
        <v>37</v>
      </c>
      <c r="O5760" s="8" t="s">
        <v>136</v>
      </c>
      <c r="P5760" s="6" t="s">
        <v>306</v>
      </c>
      <c r="Q5760" s="8" t="s">
        <v>52</v>
      </c>
      <c r="R5760" s="10" t="s">
        <v>1275</v>
      </c>
      <c r="S5760" s="11"/>
      <c r="T5760" s="6"/>
      <c r="U5760" s="15" t="str">
        <f>HYPERLINK("https://media.infra-m.ru/1081/1081355/cover/1081355.jpg", "Обложка")</f>
        <v>Обложка</v>
      </c>
      <c r="V5760" s="8" t="s">
        <v>28319</v>
      </c>
      <c r="W5760" s="6"/>
      <c r="X5760" s="6"/>
      <c r="Y5760" s="6"/>
      <c r="Z5760" s="6"/>
      <c r="AA5760" s="6" t="s">
        <v>86</v>
      </c>
      <c r="AB5760" s="8"/>
      <c r="AC5760" s="27">
        <v>9785917688824</v>
      </c>
    </row>
    <row r="5761" spans="1:29" s="4" customFormat="1" ht="42" customHeight="1" x14ac:dyDescent="0.2">
      <c r="A5761" s="5">
        <v>0</v>
      </c>
      <c r="B5761" s="6" t="s">
        <v>32914</v>
      </c>
      <c r="C5761" s="7">
        <v>1620</v>
      </c>
      <c r="D5761" s="8" t="s">
        <v>32915</v>
      </c>
      <c r="E5761" s="8" t="s">
        <v>32916</v>
      </c>
      <c r="F5761" s="8" t="s">
        <v>32917</v>
      </c>
      <c r="G5761" s="6" t="s">
        <v>60</v>
      </c>
      <c r="H5761" s="6" t="s">
        <v>34</v>
      </c>
      <c r="I5761" s="8" t="s">
        <v>263</v>
      </c>
      <c r="J5761" s="9">
        <v>1</v>
      </c>
      <c r="K5761" s="9">
        <v>287</v>
      </c>
      <c r="L5761" s="9">
        <v>2024</v>
      </c>
      <c r="M5761" s="8" t="s">
        <v>32918</v>
      </c>
      <c r="N5761" s="8" t="s">
        <v>37</v>
      </c>
      <c r="O5761" s="8" t="s">
        <v>136</v>
      </c>
      <c r="P5761" s="6" t="s">
        <v>51</v>
      </c>
      <c r="Q5761" s="8" t="s">
        <v>265</v>
      </c>
      <c r="R5761" s="10" t="s">
        <v>479</v>
      </c>
      <c r="S5761" s="11"/>
      <c r="T5761" s="6"/>
      <c r="U5761" s="15" t="str">
        <f>HYPERLINK("https://media.infra-m.ru/1865/1865662/cover/1865662.jpg", "Обложка")</f>
        <v>Обложка</v>
      </c>
      <c r="V5761" s="8" t="s">
        <v>3243</v>
      </c>
      <c r="W5761" s="6"/>
      <c r="X5761" s="6"/>
      <c r="Y5761" s="6"/>
      <c r="Z5761" s="6"/>
      <c r="AA5761" s="6" t="s">
        <v>76</v>
      </c>
      <c r="AB5761" s="8"/>
      <c r="AC5761" s="27">
        <v>9785160176581</v>
      </c>
    </row>
    <row r="5762" spans="1:29" s="4" customFormat="1" ht="51.9" customHeight="1" x14ac:dyDescent="0.2">
      <c r="A5762" s="5">
        <v>0</v>
      </c>
      <c r="B5762" s="6" t="s">
        <v>32919</v>
      </c>
      <c r="C5762" s="7">
        <v>2092.8000000000002</v>
      </c>
      <c r="D5762" s="8" t="s">
        <v>32920</v>
      </c>
      <c r="E5762" s="8" t="s">
        <v>32921</v>
      </c>
      <c r="F5762" s="8" t="s">
        <v>32886</v>
      </c>
      <c r="G5762" s="6" t="s">
        <v>118</v>
      </c>
      <c r="H5762" s="6" t="s">
        <v>313</v>
      </c>
      <c r="I5762" s="8" t="s">
        <v>253</v>
      </c>
      <c r="J5762" s="9">
        <v>1</v>
      </c>
      <c r="K5762" s="9">
        <v>300</v>
      </c>
      <c r="L5762" s="9">
        <v>2026</v>
      </c>
      <c r="M5762" s="8" t="s">
        <v>32922</v>
      </c>
      <c r="N5762" s="8" t="s">
        <v>37</v>
      </c>
      <c r="O5762" s="8" t="s">
        <v>136</v>
      </c>
      <c r="P5762" s="6" t="s">
        <v>51</v>
      </c>
      <c r="Q5762" s="8" t="s">
        <v>52</v>
      </c>
      <c r="R5762" s="10" t="s">
        <v>1275</v>
      </c>
      <c r="S5762" s="11" t="s">
        <v>32923</v>
      </c>
      <c r="T5762" s="6"/>
      <c r="U5762" s="15" t="str">
        <f>HYPERLINK("https://media.infra-m.ru/2224/2224248/cover/2224248.jpg", "Обложка")</f>
        <v>Обложка</v>
      </c>
      <c r="V5762" s="8" t="s">
        <v>32888</v>
      </c>
      <c r="W5762" s="6"/>
      <c r="X5762" s="6"/>
      <c r="Y5762" s="6"/>
      <c r="Z5762" s="6"/>
      <c r="AA5762" s="6" t="s">
        <v>8987</v>
      </c>
      <c r="AB5762" s="8"/>
      <c r="AC5762" s="27">
        <v>9785369019450</v>
      </c>
    </row>
    <row r="5763" spans="1:29" s="4" customFormat="1" ht="51.9" customHeight="1" x14ac:dyDescent="0.2">
      <c r="A5763" s="5">
        <v>0</v>
      </c>
      <c r="B5763" s="6" t="s">
        <v>32924</v>
      </c>
      <c r="C5763" s="7">
        <v>1848</v>
      </c>
      <c r="D5763" s="8" t="s">
        <v>32925</v>
      </c>
      <c r="E5763" s="8" t="s">
        <v>32926</v>
      </c>
      <c r="F5763" s="8" t="s">
        <v>6342</v>
      </c>
      <c r="G5763" s="6" t="s">
        <v>118</v>
      </c>
      <c r="H5763" s="6" t="s">
        <v>34</v>
      </c>
      <c r="I5763" s="8" t="s">
        <v>253</v>
      </c>
      <c r="J5763" s="9">
        <v>1</v>
      </c>
      <c r="K5763" s="9">
        <v>280</v>
      </c>
      <c r="L5763" s="9">
        <v>2026</v>
      </c>
      <c r="M5763" s="8" t="s">
        <v>32927</v>
      </c>
      <c r="N5763" s="8" t="s">
        <v>37</v>
      </c>
      <c r="O5763" s="8" t="s">
        <v>136</v>
      </c>
      <c r="P5763" s="6" t="s">
        <v>51</v>
      </c>
      <c r="Q5763" s="8" t="s">
        <v>52</v>
      </c>
      <c r="R5763" s="10" t="s">
        <v>1068</v>
      </c>
      <c r="S5763" s="11" t="s">
        <v>32928</v>
      </c>
      <c r="T5763" s="6"/>
      <c r="U5763" s="15" t="str">
        <f>HYPERLINK("https://media.infra-m.ru/2236/2236755/cover/2236755.jpg", "Обложка")</f>
        <v>Обложка</v>
      </c>
      <c r="V5763" s="8" t="s">
        <v>1219</v>
      </c>
      <c r="W5763" s="6"/>
      <c r="X5763" s="6"/>
      <c r="Y5763" s="6"/>
      <c r="Z5763" s="6" t="s">
        <v>632</v>
      </c>
      <c r="AA5763" s="6" t="s">
        <v>1303</v>
      </c>
      <c r="AB5763" s="8"/>
      <c r="AC5763" s="27">
        <v>9785160195650</v>
      </c>
    </row>
    <row r="5764" spans="1:29" s="4" customFormat="1" ht="51.9" customHeight="1" x14ac:dyDescent="0.2">
      <c r="A5764" s="5">
        <v>0</v>
      </c>
      <c r="B5764" s="6" t="s">
        <v>32929</v>
      </c>
      <c r="C5764" s="13">
        <v>984</v>
      </c>
      <c r="D5764" s="8" t="s">
        <v>32930</v>
      </c>
      <c r="E5764" s="8" t="s">
        <v>32916</v>
      </c>
      <c r="F5764" s="8" t="s">
        <v>6342</v>
      </c>
      <c r="G5764" s="6" t="s">
        <v>118</v>
      </c>
      <c r="H5764" s="6" t="s">
        <v>1042</v>
      </c>
      <c r="I5764" s="8" t="s">
        <v>263</v>
      </c>
      <c r="J5764" s="9">
        <v>1</v>
      </c>
      <c r="K5764" s="9">
        <v>256</v>
      </c>
      <c r="L5764" s="9">
        <v>2019</v>
      </c>
      <c r="M5764" s="8" t="s">
        <v>32931</v>
      </c>
      <c r="N5764" s="8" t="s">
        <v>37</v>
      </c>
      <c r="O5764" s="8" t="s">
        <v>136</v>
      </c>
      <c r="P5764" s="6" t="s">
        <v>51</v>
      </c>
      <c r="Q5764" s="8" t="s">
        <v>265</v>
      </c>
      <c r="R5764" s="10" t="s">
        <v>479</v>
      </c>
      <c r="S5764" s="11" t="s">
        <v>32932</v>
      </c>
      <c r="T5764" s="6"/>
      <c r="U5764" s="15" t="str">
        <f>HYPERLINK("https://media.infra-m.ru/0982/0982775/cover/982775.jpg", "Обложка")</f>
        <v>Обложка</v>
      </c>
      <c r="V5764" s="8" t="s">
        <v>1219</v>
      </c>
      <c r="W5764" s="6"/>
      <c r="X5764" s="6"/>
      <c r="Y5764" s="6"/>
      <c r="Z5764" s="6"/>
      <c r="AA5764" s="6" t="s">
        <v>274</v>
      </c>
      <c r="AB5764" s="8"/>
      <c r="AC5764" s="27">
        <v>9785819907627</v>
      </c>
    </row>
    <row r="5765" spans="1:29" s="4" customFormat="1" ht="51.9" customHeight="1" x14ac:dyDescent="0.2">
      <c r="A5765" s="5">
        <v>0</v>
      </c>
      <c r="B5765" s="6" t="s">
        <v>32933</v>
      </c>
      <c r="C5765" s="7">
        <v>1608</v>
      </c>
      <c r="D5765" s="8" t="s">
        <v>32934</v>
      </c>
      <c r="E5765" s="8" t="s">
        <v>32935</v>
      </c>
      <c r="F5765" s="8" t="s">
        <v>32886</v>
      </c>
      <c r="G5765" s="6" t="s">
        <v>118</v>
      </c>
      <c r="H5765" s="6" t="s">
        <v>313</v>
      </c>
      <c r="I5765" s="8" t="s">
        <v>253</v>
      </c>
      <c r="J5765" s="9">
        <v>1</v>
      </c>
      <c r="K5765" s="9">
        <v>298</v>
      </c>
      <c r="L5765" s="9">
        <v>2022</v>
      </c>
      <c r="M5765" s="8" t="s">
        <v>32936</v>
      </c>
      <c r="N5765" s="8" t="s">
        <v>37</v>
      </c>
      <c r="O5765" s="8" t="s">
        <v>136</v>
      </c>
      <c r="P5765" s="6" t="s">
        <v>51</v>
      </c>
      <c r="Q5765" s="8" t="s">
        <v>52</v>
      </c>
      <c r="R5765" s="10" t="s">
        <v>1275</v>
      </c>
      <c r="S5765" s="11" t="s">
        <v>32923</v>
      </c>
      <c r="T5765" s="6"/>
      <c r="U5765" s="15" t="str">
        <f>HYPERLINK("https://media.infra-m.ru/1917/1917600/cover/1917600.jpg", "Обложка")</f>
        <v>Обложка</v>
      </c>
      <c r="V5765" s="8" t="s">
        <v>32888</v>
      </c>
      <c r="W5765" s="6"/>
      <c r="X5765" s="6"/>
      <c r="Y5765" s="6"/>
      <c r="Z5765" s="6"/>
      <c r="AA5765" s="6" t="s">
        <v>2311</v>
      </c>
      <c r="AB5765" s="8"/>
      <c r="AC5765" s="27">
        <v>9785369016329</v>
      </c>
    </row>
    <row r="5766" spans="1:29" s="4" customFormat="1" ht="51.9" customHeight="1" x14ac:dyDescent="0.2">
      <c r="A5766" s="5">
        <v>0</v>
      </c>
      <c r="B5766" s="6" t="s">
        <v>32937</v>
      </c>
      <c r="C5766" s="7">
        <v>1128</v>
      </c>
      <c r="D5766" s="8" t="s">
        <v>32938</v>
      </c>
      <c r="E5766" s="8" t="s">
        <v>32939</v>
      </c>
      <c r="F5766" s="8" t="s">
        <v>32940</v>
      </c>
      <c r="G5766" s="6" t="s">
        <v>60</v>
      </c>
      <c r="H5766" s="6" t="s">
        <v>34</v>
      </c>
      <c r="I5766" s="8" t="s">
        <v>35</v>
      </c>
      <c r="J5766" s="9">
        <v>1</v>
      </c>
      <c r="K5766" s="9">
        <v>239</v>
      </c>
      <c r="L5766" s="9">
        <v>2022</v>
      </c>
      <c r="M5766" s="8" t="s">
        <v>32941</v>
      </c>
      <c r="N5766" s="8" t="s">
        <v>37</v>
      </c>
      <c r="O5766" s="8" t="s">
        <v>136</v>
      </c>
      <c r="P5766" s="6" t="s">
        <v>39</v>
      </c>
      <c r="Q5766" s="8" t="s">
        <v>40</v>
      </c>
      <c r="R5766" s="10" t="s">
        <v>32942</v>
      </c>
      <c r="S5766" s="11"/>
      <c r="T5766" s="6"/>
      <c r="U5766" s="15" t="str">
        <f>HYPERLINK("https://media.infra-m.ru/1692/1692575/cover/1692575.jpg", "Обложка")</f>
        <v>Обложка</v>
      </c>
      <c r="V5766" s="8"/>
      <c r="W5766" s="6"/>
      <c r="X5766" s="6"/>
      <c r="Y5766" s="6"/>
      <c r="Z5766" s="6"/>
      <c r="AA5766" s="6" t="s">
        <v>148</v>
      </c>
      <c r="AB5766" s="8"/>
      <c r="AC5766" s="27">
        <v>9785160170848</v>
      </c>
    </row>
    <row r="5767" spans="1:29" s="4" customFormat="1" ht="42" customHeight="1" x14ac:dyDescent="0.2">
      <c r="A5767" s="5">
        <v>0</v>
      </c>
      <c r="B5767" s="6" t="s">
        <v>32943</v>
      </c>
      <c r="C5767" s="7">
        <v>1560</v>
      </c>
      <c r="D5767" s="8" t="s">
        <v>32944</v>
      </c>
      <c r="E5767" s="8" t="s">
        <v>32945</v>
      </c>
      <c r="F5767" s="8" t="s">
        <v>32946</v>
      </c>
      <c r="G5767" s="6" t="s">
        <v>60</v>
      </c>
      <c r="H5767" s="6" t="s">
        <v>34</v>
      </c>
      <c r="I5767" s="8" t="s">
        <v>457</v>
      </c>
      <c r="J5767" s="9">
        <v>1</v>
      </c>
      <c r="K5767" s="9">
        <v>234</v>
      </c>
      <c r="L5767" s="9">
        <v>2026</v>
      </c>
      <c r="M5767" s="8" t="s">
        <v>32947</v>
      </c>
      <c r="N5767" s="8" t="s">
        <v>63</v>
      </c>
      <c r="O5767" s="8" t="s">
        <v>64</v>
      </c>
      <c r="P5767" s="6" t="s">
        <v>39</v>
      </c>
      <c r="Q5767" s="8" t="s">
        <v>40</v>
      </c>
      <c r="R5767" s="10" t="s">
        <v>32948</v>
      </c>
      <c r="S5767" s="11"/>
      <c r="T5767" s="6"/>
      <c r="U5767" s="15" t="str">
        <f>HYPERLINK("https://media.infra-m.ru/2204/2204422/cover/2204422.jpg", "Обложка")</f>
        <v>Обложка</v>
      </c>
      <c r="V5767" s="8" t="s">
        <v>2544</v>
      </c>
      <c r="W5767" s="6" t="s">
        <v>342</v>
      </c>
      <c r="X5767" s="6"/>
      <c r="Y5767" s="6"/>
      <c r="Z5767" s="6"/>
      <c r="AA5767" s="6" t="s">
        <v>187</v>
      </c>
      <c r="AB5767" s="8" t="s">
        <v>308</v>
      </c>
      <c r="AC5767" s="27">
        <v>9785160209197</v>
      </c>
    </row>
    <row r="5768" spans="1:29" s="4" customFormat="1" ht="51.9" customHeight="1" x14ac:dyDescent="0.2">
      <c r="A5768" s="5">
        <v>0</v>
      </c>
      <c r="B5768" s="6" t="s">
        <v>32949</v>
      </c>
      <c r="C5768" s="13">
        <v>864</v>
      </c>
      <c r="D5768" s="8" t="s">
        <v>32950</v>
      </c>
      <c r="E5768" s="8" t="s">
        <v>32951</v>
      </c>
      <c r="F5768" s="8" t="s">
        <v>28436</v>
      </c>
      <c r="G5768" s="6" t="s">
        <v>33</v>
      </c>
      <c r="H5768" s="6" t="s">
        <v>34</v>
      </c>
      <c r="I5768" s="8" t="s">
        <v>35</v>
      </c>
      <c r="J5768" s="9">
        <v>1</v>
      </c>
      <c r="K5768" s="9">
        <v>130</v>
      </c>
      <c r="L5768" s="9">
        <v>2027</v>
      </c>
      <c r="M5768" s="8" t="s">
        <v>32952</v>
      </c>
      <c r="N5768" s="8" t="s">
        <v>63</v>
      </c>
      <c r="O5768" s="8" t="s">
        <v>64</v>
      </c>
      <c r="P5768" s="6" t="s">
        <v>39</v>
      </c>
      <c r="Q5768" s="8" t="s">
        <v>40</v>
      </c>
      <c r="R5768" s="10" t="s">
        <v>32953</v>
      </c>
      <c r="S5768" s="11"/>
      <c r="T5768" s="6"/>
      <c r="U5768" s="15" t="str">
        <f>HYPERLINK("https://media.infra-m.ru/2244/2244475/cover/2244475.jpg", "Обложка")</f>
        <v>Обложка</v>
      </c>
      <c r="V5768" s="8" t="s">
        <v>28439</v>
      </c>
      <c r="W5768" s="6"/>
      <c r="X5768" s="6"/>
      <c r="Y5768" s="6"/>
      <c r="Z5768" s="6"/>
      <c r="AA5768" s="6" t="s">
        <v>86</v>
      </c>
      <c r="AB5768" s="8" t="s">
        <v>11686</v>
      </c>
      <c r="AC5768" s="27">
        <v>9785160135038</v>
      </c>
    </row>
    <row r="5769" spans="1:29" s="4" customFormat="1" ht="51.9" customHeight="1" x14ac:dyDescent="0.2">
      <c r="A5769" s="5">
        <v>0</v>
      </c>
      <c r="B5769" s="6" t="s">
        <v>32954</v>
      </c>
      <c r="C5769" s="7">
        <v>1080</v>
      </c>
      <c r="D5769" s="8" t="s">
        <v>32955</v>
      </c>
      <c r="E5769" s="8" t="s">
        <v>32956</v>
      </c>
      <c r="F5769" s="8" t="s">
        <v>10552</v>
      </c>
      <c r="G5769" s="6" t="s">
        <v>118</v>
      </c>
      <c r="H5769" s="6" t="s">
        <v>34</v>
      </c>
      <c r="I5769" s="8" t="s">
        <v>253</v>
      </c>
      <c r="J5769" s="9">
        <v>1</v>
      </c>
      <c r="K5769" s="9">
        <v>162</v>
      </c>
      <c r="L5769" s="9">
        <v>2026</v>
      </c>
      <c r="M5769" s="8" t="s">
        <v>32957</v>
      </c>
      <c r="N5769" s="8" t="s">
        <v>37</v>
      </c>
      <c r="O5769" s="8" t="s">
        <v>83</v>
      </c>
      <c r="P5769" s="6" t="s">
        <v>51</v>
      </c>
      <c r="Q5769" s="8" t="s">
        <v>52</v>
      </c>
      <c r="R5769" s="10" t="s">
        <v>32958</v>
      </c>
      <c r="S5769" s="11" t="s">
        <v>10555</v>
      </c>
      <c r="T5769" s="6"/>
      <c r="U5769" s="15" t="str">
        <f>HYPERLINK("https://media.infra-m.ru/2218/2218631/cover/2218631.jpg", "Обложка")</f>
        <v>Обложка</v>
      </c>
      <c r="V5769" s="8" t="s">
        <v>3087</v>
      </c>
      <c r="W5769" s="6"/>
      <c r="X5769" s="6"/>
      <c r="Y5769" s="6"/>
      <c r="Z5769" s="6"/>
      <c r="AA5769" s="6" t="s">
        <v>360</v>
      </c>
      <c r="AB5769" s="8"/>
      <c r="AC5769" s="27">
        <v>9785160212449</v>
      </c>
    </row>
    <row r="5770" spans="1:29" s="4" customFormat="1" ht="42" customHeight="1" x14ac:dyDescent="0.2">
      <c r="A5770" s="5">
        <v>0</v>
      </c>
      <c r="B5770" s="6" t="s">
        <v>32959</v>
      </c>
      <c r="C5770" s="7">
        <v>1864.8</v>
      </c>
      <c r="D5770" s="8" t="s">
        <v>32960</v>
      </c>
      <c r="E5770" s="8" t="s">
        <v>32961</v>
      </c>
      <c r="F5770" s="8" t="s">
        <v>32962</v>
      </c>
      <c r="G5770" s="6" t="s">
        <v>60</v>
      </c>
      <c r="H5770" s="6" t="s">
        <v>34</v>
      </c>
      <c r="I5770" s="8" t="s">
        <v>271</v>
      </c>
      <c r="J5770" s="9">
        <v>1</v>
      </c>
      <c r="K5770" s="9">
        <v>268</v>
      </c>
      <c r="L5770" s="9">
        <v>2027</v>
      </c>
      <c r="M5770" s="8" t="s">
        <v>32963</v>
      </c>
      <c r="N5770" s="8" t="s">
        <v>63</v>
      </c>
      <c r="O5770" s="8" t="s">
        <v>9718</v>
      </c>
      <c r="P5770" s="6" t="s">
        <v>51</v>
      </c>
      <c r="Q5770" s="8" t="s">
        <v>52</v>
      </c>
      <c r="R5770" s="10" t="s">
        <v>32964</v>
      </c>
      <c r="S5770" s="11"/>
      <c r="T5770" s="6"/>
      <c r="U5770" s="15" t="str">
        <f>HYPERLINK("https://media.infra-m.ru/2262/2262638/cover/2262638.jpg", "Обложка")</f>
        <v>Обложка</v>
      </c>
      <c r="V5770" s="8" t="s">
        <v>7920</v>
      </c>
      <c r="W5770" s="6"/>
      <c r="X5770" s="6"/>
      <c r="Y5770" s="6"/>
      <c r="Z5770" s="6" t="s">
        <v>632</v>
      </c>
      <c r="AA5770" s="6" t="s">
        <v>148</v>
      </c>
      <c r="AB5770" s="8" t="s">
        <v>1317</v>
      </c>
      <c r="AC5770" s="27">
        <v>9785160176000</v>
      </c>
    </row>
    <row r="5771" spans="1:29" s="4" customFormat="1" ht="42" customHeight="1" x14ac:dyDescent="0.2">
      <c r="A5771" s="5">
        <v>0</v>
      </c>
      <c r="B5771" s="6" t="s">
        <v>32965</v>
      </c>
      <c r="C5771" s="7">
        <v>1672.8</v>
      </c>
      <c r="D5771" s="8" t="s">
        <v>32966</v>
      </c>
      <c r="E5771" s="8" t="s">
        <v>32961</v>
      </c>
      <c r="F5771" s="8" t="s">
        <v>32962</v>
      </c>
      <c r="G5771" s="6" t="s">
        <v>60</v>
      </c>
      <c r="H5771" s="6" t="s">
        <v>34</v>
      </c>
      <c r="I5771" s="8" t="s">
        <v>263</v>
      </c>
      <c r="J5771" s="9">
        <v>1</v>
      </c>
      <c r="K5771" s="9">
        <v>268</v>
      </c>
      <c r="L5771" s="9">
        <v>2026</v>
      </c>
      <c r="M5771" s="8" t="s">
        <v>32967</v>
      </c>
      <c r="N5771" s="8" t="s">
        <v>63</v>
      </c>
      <c r="O5771" s="8" t="s">
        <v>9718</v>
      </c>
      <c r="P5771" s="6" t="s">
        <v>51</v>
      </c>
      <c r="Q5771" s="8" t="s">
        <v>265</v>
      </c>
      <c r="R5771" s="10" t="s">
        <v>10307</v>
      </c>
      <c r="S5771" s="11"/>
      <c r="T5771" s="6"/>
      <c r="U5771" s="15" t="str">
        <f>HYPERLINK("https://media.infra-m.ru/2212/2212624/cover/2212624.jpg", "Обложка")</f>
        <v>Обложка</v>
      </c>
      <c r="V5771" s="8" t="s">
        <v>7920</v>
      </c>
      <c r="W5771" s="6"/>
      <c r="X5771" s="6"/>
      <c r="Y5771" s="6"/>
      <c r="Z5771" s="6"/>
      <c r="AA5771" s="6" t="s">
        <v>148</v>
      </c>
      <c r="AB5771" s="8"/>
      <c r="AC5771" s="27">
        <v>9785160151434</v>
      </c>
    </row>
    <row r="5772" spans="1:29" s="4" customFormat="1" ht="42" customHeight="1" x14ac:dyDescent="0.2">
      <c r="A5772" s="5">
        <v>0</v>
      </c>
      <c r="B5772" s="6" t="s">
        <v>32968</v>
      </c>
      <c r="C5772" s="7">
        <v>2628</v>
      </c>
      <c r="D5772" s="8" t="s">
        <v>32969</v>
      </c>
      <c r="E5772" s="8" t="s">
        <v>32970</v>
      </c>
      <c r="F5772" s="8" t="s">
        <v>32971</v>
      </c>
      <c r="G5772" s="6" t="s">
        <v>60</v>
      </c>
      <c r="H5772" s="6" t="s">
        <v>34</v>
      </c>
      <c r="I5772" s="8" t="s">
        <v>35</v>
      </c>
      <c r="J5772" s="9">
        <v>1</v>
      </c>
      <c r="K5772" s="9">
        <v>431</v>
      </c>
      <c r="L5772" s="9">
        <v>2025</v>
      </c>
      <c r="M5772" s="8" t="s">
        <v>32972</v>
      </c>
      <c r="N5772" s="8" t="s">
        <v>37</v>
      </c>
      <c r="O5772" s="8" t="s">
        <v>136</v>
      </c>
      <c r="P5772" s="6" t="s">
        <v>39</v>
      </c>
      <c r="Q5772" s="8" t="s">
        <v>40</v>
      </c>
      <c r="R5772" s="10" t="s">
        <v>684</v>
      </c>
      <c r="S5772" s="11"/>
      <c r="T5772" s="6"/>
      <c r="U5772" s="15" t="str">
        <f>HYPERLINK("https://media.infra-m.ru/2168/2168621/cover/2168621.jpg", "Обложка")</f>
        <v>Обложка</v>
      </c>
      <c r="V5772" s="8" t="s">
        <v>1184</v>
      </c>
      <c r="W5772" s="6"/>
      <c r="X5772" s="6"/>
      <c r="Y5772" s="6"/>
      <c r="Z5772" s="6"/>
      <c r="AA5772" s="6" t="s">
        <v>68</v>
      </c>
      <c r="AB5772" s="8"/>
      <c r="AC5772" s="27">
        <v>9785160202921</v>
      </c>
    </row>
    <row r="5773" spans="1:29" s="4" customFormat="1" ht="51.9" customHeight="1" x14ac:dyDescent="0.2">
      <c r="A5773" s="5">
        <v>0</v>
      </c>
      <c r="B5773" s="6" t="s">
        <v>32973</v>
      </c>
      <c r="C5773" s="7">
        <v>2570.3000000000002</v>
      </c>
      <c r="D5773" s="8" t="s">
        <v>32974</v>
      </c>
      <c r="E5773" s="8" t="s">
        <v>32975</v>
      </c>
      <c r="F5773" s="8" t="s">
        <v>32976</v>
      </c>
      <c r="G5773" s="6" t="s">
        <v>60</v>
      </c>
      <c r="H5773" s="6" t="s">
        <v>134</v>
      </c>
      <c r="I5773" s="8"/>
      <c r="J5773" s="9">
        <v>8</v>
      </c>
      <c r="K5773" s="9">
        <v>704</v>
      </c>
      <c r="L5773" s="9">
        <v>2018</v>
      </c>
      <c r="M5773" s="8" t="s">
        <v>32977</v>
      </c>
      <c r="N5773" s="8" t="s">
        <v>37</v>
      </c>
      <c r="O5773" s="8" t="s">
        <v>136</v>
      </c>
      <c r="P5773" s="6" t="s">
        <v>39</v>
      </c>
      <c r="Q5773" s="8" t="s">
        <v>52</v>
      </c>
      <c r="R5773" s="10" t="s">
        <v>4109</v>
      </c>
      <c r="S5773" s="11"/>
      <c r="T5773" s="6"/>
      <c r="U5773" s="15" t="str">
        <f>HYPERLINK("https://media.infra-m.ru/0958/0958924/cover/958924.jpg", "Обложка")</f>
        <v>Обложка</v>
      </c>
      <c r="V5773" s="8" t="s">
        <v>138</v>
      </c>
      <c r="W5773" s="6"/>
      <c r="X5773" s="6"/>
      <c r="Y5773" s="6"/>
      <c r="Z5773" s="6"/>
      <c r="AA5773" s="6" t="s">
        <v>404</v>
      </c>
      <c r="AB5773" s="8"/>
      <c r="AC5773" s="27">
        <v>9785917688831</v>
      </c>
    </row>
    <row r="5774" spans="1:29" s="4" customFormat="1" ht="42" customHeight="1" x14ac:dyDescent="0.2">
      <c r="A5774" s="5">
        <v>0</v>
      </c>
      <c r="B5774" s="6" t="s">
        <v>32978</v>
      </c>
      <c r="C5774" s="7">
        <v>1704</v>
      </c>
      <c r="D5774" s="8" t="s">
        <v>32979</v>
      </c>
      <c r="E5774" s="8" t="s">
        <v>32980</v>
      </c>
      <c r="F5774" s="8" t="s">
        <v>21853</v>
      </c>
      <c r="G5774" s="6" t="s">
        <v>118</v>
      </c>
      <c r="H5774" s="6" t="s">
        <v>134</v>
      </c>
      <c r="I5774" s="8"/>
      <c r="J5774" s="9">
        <v>1</v>
      </c>
      <c r="K5774" s="9">
        <v>364</v>
      </c>
      <c r="L5774" s="9">
        <v>2022</v>
      </c>
      <c r="M5774" s="8" t="s">
        <v>32981</v>
      </c>
      <c r="N5774" s="8" t="s">
        <v>37</v>
      </c>
      <c r="O5774" s="8" t="s">
        <v>136</v>
      </c>
      <c r="P5774" s="6" t="s">
        <v>39</v>
      </c>
      <c r="Q5774" s="8" t="s">
        <v>40</v>
      </c>
      <c r="R5774" s="10" t="s">
        <v>684</v>
      </c>
      <c r="S5774" s="11"/>
      <c r="T5774" s="6"/>
      <c r="U5774" s="15" t="str">
        <f>HYPERLINK("https://media.infra-m.ru/1862/1862400/cover/1862400.jpg", "Обложка")</f>
        <v>Обложка</v>
      </c>
      <c r="V5774" s="8" t="s">
        <v>1069</v>
      </c>
      <c r="W5774" s="6"/>
      <c r="X5774" s="6"/>
      <c r="Y5774" s="6"/>
      <c r="Z5774" s="6"/>
      <c r="AA5774" s="6" t="s">
        <v>148</v>
      </c>
      <c r="AB5774" s="8"/>
      <c r="AC5774" s="27">
        <v>9785001561941</v>
      </c>
    </row>
    <row r="5775" spans="1:29" s="4" customFormat="1" ht="42" customHeight="1" x14ac:dyDescent="0.2">
      <c r="A5775" s="5">
        <v>0</v>
      </c>
      <c r="B5775" s="6" t="s">
        <v>32982</v>
      </c>
      <c r="C5775" s="7">
        <v>2292</v>
      </c>
      <c r="D5775" s="8" t="s">
        <v>32983</v>
      </c>
      <c r="E5775" s="8" t="s">
        <v>32984</v>
      </c>
      <c r="F5775" s="8" t="s">
        <v>21853</v>
      </c>
      <c r="G5775" s="6" t="s">
        <v>118</v>
      </c>
      <c r="H5775" s="6" t="s">
        <v>134</v>
      </c>
      <c r="I5775" s="8"/>
      <c r="J5775" s="9">
        <v>1</v>
      </c>
      <c r="K5775" s="9">
        <v>424</v>
      </c>
      <c r="L5775" s="9">
        <v>2023</v>
      </c>
      <c r="M5775" s="8" t="s">
        <v>32985</v>
      </c>
      <c r="N5775" s="8" t="s">
        <v>37</v>
      </c>
      <c r="O5775" s="8" t="s">
        <v>136</v>
      </c>
      <c r="P5775" s="6" t="s">
        <v>39</v>
      </c>
      <c r="Q5775" s="8" t="s">
        <v>40</v>
      </c>
      <c r="R5775" s="10" t="s">
        <v>684</v>
      </c>
      <c r="S5775" s="11"/>
      <c r="T5775" s="6"/>
      <c r="U5775" s="15" t="str">
        <f>HYPERLINK("https://media.infra-m.ru/1926/1926364/cover/1926364.jpg", "Обложка")</f>
        <v>Обложка</v>
      </c>
      <c r="V5775" s="8" t="s">
        <v>1069</v>
      </c>
      <c r="W5775" s="6"/>
      <c r="X5775" s="6"/>
      <c r="Y5775" s="6"/>
      <c r="Z5775" s="6"/>
      <c r="AA5775" s="6" t="s">
        <v>1303</v>
      </c>
      <c r="AB5775" s="8"/>
      <c r="AC5775" s="27">
        <v>9785001562863</v>
      </c>
    </row>
    <row r="5776" spans="1:29" s="4" customFormat="1" ht="42" customHeight="1" x14ac:dyDescent="0.2">
      <c r="A5776" s="5">
        <v>0</v>
      </c>
      <c r="B5776" s="6" t="s">
        <v>32986</v>
      </c>
      <c r="C5776" s="7">
        <v>3828</v>
      </c>
      <c r="D5776" s="8" t="s">
        <v>32987</v>
      </c>
      <c r="E5776" s="8" t="s">
        <v>32988</v>
      </c>
      <c r="F5776" s="8" t="s">
        <v>21853</v>
      </c>
      <c r="G5776" s="6" t="s">
        <v>118</v>
      </c>
      <c r="H5776" s="6" t="s">
        <v>134</v>
      </c>
      <c r="I5776" s="8"/>
      <c r="J5776" s="9">
        <v>1</v>
      </c>
      <c r="K5776" s="9">
        <v>624</v>
      </c>
      <c r="L5776" s="9">
        <v>2025</v>
      </c>
      <c r="M5776" s="8" t="s">
        <v>32989</v>
      </c>
      <c r="N5776" s="8" t="s">
        <v>37</v>
      </c>
      <c r="O5776" s="8" t="s">
        <v>136</v>
      </c>
      <c r="P5776" s="6" t="s">
        <v>39</v>
      </c>
      <c r="Q5776" s="8" t="s">
        <v>40</v>
      </c>
      <c r="R5776" s="10" t="s">
        <v>684</v>
      </c>
      <c r="S5776" s="11"/>
      <c r="T5776" s="6"/>
      <c r="U5776" s="15" t="str">
        <f>HYPERLINK("https://media.infra-m.ru/2188/2188395/cover/2188395.jpg", "Обложка")</f>
        <v>Обложка</v>
      </c>
      <c r="V5776" s="8" t="s">
        <v>1069</v>
      </c>
      <c r="W5776" s="6"/>
      <c r="X5776" s="6"/>
      <c r="Y5776" s="6"/>
      <c r="Z5776" s="6"/>
      <c r="AA5776" s="6" t="s">
        <v>1303</v>
      </c>
      <c r="AB5776" s="8"/>
      <c r="AC5776" s="27">
        <v>9785001564171</v>
      </c>
    </row>
    <row r="5777" spans="1:29" s="4" customFormat="1" ht="42" customHeight="1" x14ac:dyDescent="0.2">
      <c r="A5777" s="5">
        <v>0</v>
      </c>
      <c r="B5777" s="6" t="s">
        <v>32990</v>
      </c>
      <c r="C5777" s="7">
        <v>1236</v>
      </c>
      <c r="D5777" s="8" t="s">
        <v>32991</v>
      </c>
      <c r="E5777" s="8" t="s">
        <v>32992</v>
      </c>
      <c r="F5777" s="8" t="s">
        <v>32993</v>
      </c>
      <c r="G5777" s="6" t="s">
        <v>118</v>
      </c>
      <c r="H5777" s="6" t="s">
        <v>134</v>
      </c>
      <c r="I5777" s="8"/>
      <c r="J5777" s="9">
        <v>1</v>
      </c>
      <c r="K5777" s="9">
        <v>224</v>
      </c>
      <c r="L5777" s="9">
        <v>2024</v>
      </c>
      <c r="M5777" s="8" t="s">
        <v>32994</v>
      </c>
      <c r="N5777" s="8" t="s">
        <v>37</v>
      </c>
      <c r="O5777" s="8" t="s">
        <v>136</v>
      </c>
      <c r="P5777" s="6" t="s">
        <v>39</v>
      </c>
      <c r="Q5777" s="8" t="s">
        <v>40</v>
      </c>
      <c r="R5777" s="10" t="s">
        <v>1625</v>
      </c>
      <c r="S5777" s="11"/>
      <c r="T5777" s="6"/>
      <c r="U5777" s="15" t="str">
        <f>HYPERLINK("https://media.infra-m.ru/2126/2126342/cover/2126342.jpg", "Обложка")</f>
        <v>Обложка</v>
      </c>
      <c r="V5777" s="8" t="s">
        <v>138</v>
      </c>
      <c r="W5777" s="6"/>
      <c r="X5777" s="6"/>
      <c r="Y5777" s="6"/>
      <c r="Z5777" s="6"/>
      <c r="AA5777" s="6" t="s">
        <v>86</v>
      </c>
      <c r="AB5777" s="8"/>
      <c r="AC5777" s="27">
        <v>9785917688701</v>
      </c>
    </row>
    <row r="5778" spans="1:29" s="4" customFormat="1" ht="51.9" customHeight="1" x14ac:dyDescent="0.2">
      <c r="A5778" s="5">
        <v>0</v>
      </c>
      <c r="B5778" s="6" t="s">
        <v>32995</v>
      </c>
      <c r="C5778" s="7">
        <v>2388</v>
      </c>
      <c r="D5778" s="8" t="s">
        <v>32996</v>
      </c>
      <c r="E5778" s="8" t="s">
        <v>32997</v>
      </c>
      <c r="F5778" s="8" t="s">
        <v>32998</v>
      </c>
      <c r="G5778" s="6" t="s">
        <v>118</v>
      </c>
      <c r="H5778" s="6" t="s">
        <v>134</v>
      </c>
      <c r="I5778" s="8"/>
      <c r="J5778" s="9">
        <v>1</v>
      </c>
      <c r="K5778" s="9">
        <v>344</v>
      </c>
      <c r="L5778" s="9">
        <v>2027</v>
      </c>
      <c r="M5778" s="8" t="s">
        <v>32999</v>
      </c>
      <c r="N5778" s="8" t="s">
        <v>37</v>
      </c>
      <c r="O5778" s="8" t="s">
        <v>136</v>
      </c>
      <c r="P5778" s="6" t="s">
        <v>1689</v>
      </c>
      <c r="Q5778" s="8" t="s">
        <v>40</v>
      </c>
      <c r="R5778" s="10" t="s">
        <v>33000</v>
      </c>
      <c r="S5778" s="11"/>
      <c r="T5778" s="6"/>
      <c r="U5778" s="15" t="str">
        <f>HYPERLINK("https://media.infra-m.ru/2263/2263848/cover/2263848.jpg", "Обложка")</f>
        <v>Обложка</v>
      </c>
      <c r="V5778" s="8" t="s">
        <v>138</v>
      </c>
      <c r="W5778" s="6"/>
      <c r="X5778" s="6"/>
      <c r="Y5778" s="6"/>
      <c r="Z5778" s="6"/>
      <c r="AA5778" s="6" t="s">
        <v>148</v>
      </c>
      <c r="AB5778" s="8"/>
      <c r="AC5778" s="27">
        <v>9785001562405</v>
      </c>
    </row>
    <row r="5779" spans="1:29" s="4" customFormat="1" ht="42" customHeight="1" x14ac:dyDescent="0.2">
      <c r="A5779" s="5">
        <v>0</v>
      </c>
      <c r="B5779" s="6" t="s">
        <v>33001</v>
      </c>
      <c r="C5779" s="7">
        <v>1656</v>
      </c>
      <c r="D5779" s="8" t="s">
        <v>33002</v>
      </c>
      <c r="E5779" s="8" t="s">
        <v>33003</v>
      </c>
      <c r="F5779" s="8" t="s">
        <v>33004</v>
      </c>
      <c r="G5779" s="6" t="s">
        <v>118</v>
      </c>
      <c r="H5779" s="6" t="s">
        <v>34</v>
      </c>
      <c r="I5779" s="8" t="s">
        <v>1074</v>
      </c>
      <c r="J5779" s="9">
        <v>1</v>
      </c>
      <c r="K5779" s="9">
        <v>224</v>
      </c>
      <c r="L5779" s="9">
        <v>2026</v>
      </c>
      <c r="M5779" s="8" t="s">
        <v>33005</v>
      </c>
      <c r="N5779" s="8" t="s">
        <v>37</v>
      </c>
      <c r="O5779" s="8" t="s">
        <v>136</v>
      </c>
      <c r="P5779" s="6" t="s">
        <v>39</v>
      </c>
      <c r="Q5779" s="8" t="s">
        <v>40</v>
      </c>
      <c r="R5779" s="10" t="s">
        <v>8102</v>
      </c>
      <c r="S5779" s="11"/>
      <c r="T5779" s="6"/>
      <c r="U5779" s="15" t="str">
        <f>HYPERLINK("https://media.infra-m.ru/2231/2231280/cover/2231280.jpg", "Обложка")</f>
        <v>Обложка</v>
      </c>
      <c r="V5779" s="8" t="s">
        <v>138</v>
      </c>
      <c r="W5779" s="6"/>
      <c r="X5779" s="6"/>
      <c r="Y5779" s="6"/>
      <c r="Z5779" s="6"/>
      <c r="AA5779" s="6" t="s">
        <v>68</v>
      </c>
      <c r="AB5779" s="8"/>
      <c r="AC5779" s="27">
        <v>9785160207735</v>
      </c>
    </row>
    <row r="5780" spans="1:29" s="4" customFormat="1" ht="42" customHeight="1" x14ac:dyDescent="0.2">
      <c r="A5780" s="5">
        <v>0</v>
      </c>
      <c r="B5780" s="6" t="s">
        <v>33006</v>
      </c>
      <c r="C5780" s="7">
        <v>1944</v>
      </c>
      <c r="D5780" s="8" t="s">
        <v>33007</v>
      </c>
      <c r="E5780" s="8" t="s">
        <v>33008</v>
      </c>
      <c r="F5780" s="8" t="s">
        <v>33009</v>
      </c>
      <c r="G5780" s="6" t="s">
        <v>60</v>
      </c>
      <c r="H5780" s="6" t="s">
        <v>1644</v>
      </c>
      <c r="I5780" s="8"/>
      <c r="J5780" s="9">
        <v>1</v>
      </c>
      <c r="K5780" s="9">
        <v>352</v>
      </c>
      <c r="L5780" s="9">
        <v>2024</v>
      </c>
      <c r="M5780" s="8" t="s">
        <v>33010</v>
      </c>
      <c r="N5780" s="8" t="s">
        <v>37</v>
      </c>
      <c r="O5780" s="8" t="s">
        <v>280</v>
      </c>
      <c r="P5780" s="6" t="s">
        <v>51</v>
      </c>
      <c r="Q5780" s="8" t="s">
        <v>65</v>
      </c>
      <c r="R5780" s="10" t="s">
        <v>8257</v>
      </c>
      <c r="S5780" s="11"/>
      <c r="T5780" s="6"/>
      <c r="U5780" s="15" t="str">
        <f>HYPERLINK("https://media.infra-m.ru/2081/2081757/cover/2081757.jpg", "Обложка")</f>
        <v>Обложка</v>
      </c>
      <c r="V5780" s="8" t="s">
        <v>396</v>
      </c>
      <c r="W5780" s="6"/>
      <c r="X5780" s="6"/>
      <c r="Y5780" s="6"/>
      <c r="Z5780" s="6"/>
      <c r="AA5780" s="6" t="s">
        <v>76</v>
      </c>
      <c r="AB5780" s="8"/>
      <c r="AC5780" s="27">
        <v>9785977605571</v>
      </c>
    </row>
    <row r="5781" spans="1:29" s="4" customFormat="1" ht="51.9" customHeight="1" x14ac:dyDescent="0.2">
      <c r="A5781" s="5">
        <v>0</v>
      </c>
      <c r="B5781" s="6" t="s">
        <v>33011</v>
      </c>
      <c r="C5781" s="7">
        <v>3360</v>
      </c>
      <c r="D5781" s="8" t="s">
        <v>33012</v>
      </c>
      <c r="E5781" s="8" t="s">
        <v>33013</v>
      </c>
      <c r="F5781" s="8" t="s">
        <v>33014</v>
      </c>
      <c r="G5781" s="6" t="s">
        <v>118</v>
      </c>
      <c r="H5781" s="6" t="s">
        <v>1644</v>
      </c>
      <c r="I5781" s="8" t="s">
        <v>4073</v>
      </c>
      <c r="J5781" s="9">
        <v>1</v>
      </c>
      <c r="K5781" s="9">
        <v>560</v>
      </c>
      <c r="L5781" s="9">
        <v>2025</v>
      </c>
      <c r="M5781" s="8" t="s">
        <v>33015</v>
      </c>
      <c r="N5781" s="8" t="s">
        <v>37</v>
      </c>
      <c r="O5781" s="8" t="s">
        <v>83</v>
      </c>
      <c r="P5781" s="6" t="s">
        <v>306</v>
      </c>
      <c r="Q5781" s="8" t="s">
        <v>52</v>
      </c>
      <c r="R5781" s="10" t="s">
        <v>33016</v>
      </c>
      <c r="S5781" s="11" t="s">
        <v>22307</v>
      </c>
      <c r="T5781" s="6"/>
      <c r="U5781" s="15" t="str">
        <f>HYPERLINK("https://media.infra-m.ru/2192/2192094/cover/2192094.jpg", "Обложка")</f>
        <v>Обложка</v>
      </c>
      <c r="V5781" s="8" t="s">
        <v>1647</v>
      </c>
      <c r="W5781" s="6"/>
      <c r="X5781" s="6"/>
      <c r="Y5781" s="6"/>
      <c r="Z5781" s="6"/>
      <c r="AA5781" s="6" t="s">
        <v>248</v>
      </c>
      <c r="AB5781" s="8"/>
      <c r="AC5781" s="27">
        <v>9785977603126</v>
      </c>
    </row>
    <row r="5782" spans="1:29" s="4" customFormat="1" ht="44.1" customHeight="1" x14ac:dyDescent="0.2">
      <c r="A5782" s="5">
        <v>0</v>
      </c>
      <c r="B5782" s="6" t="s">
        <v>33017</v>
      </c>
      <c r="C5782" s="7">
        <v>2596.8000000000002</v>
      </c>
      <c r="D5782" s="8" t="s">
        <v>33018</v>
      </c>
      <c r="E5782" s="8" t="s">
        <v>33019</v>
      </c>
      <c r="F5782" s="8" t="s">
        <v>33020</v>
      </c>
      <c r="G5782" s="6" t="s">
        <v>33</v>
      </c>
      <c r="H5782" s="6" t="s">
        <v>34</v>
      </c>
      <c r="I5782" s="8" t="s">
        <v>35</v>
      </c>
      <c r="J5782" s="9">
        <v>1</v>
      </c>
      <c r="K5782" s="9">
        <v>372</v>
      </c>
      <c r="L5782" s="9">
        <v>2026</v>
      </c>
      <c r="M5782" s="8" t="s">
        <v>33021</v>
      </c>
      <c r="N5782" s="8" t="s">
        <v>93</v>
      </c>
      <c r="O5782" s="8" t="s">
        <v>94</v>
      </c>
      <c r="P5782" s="6" t="s">
        <v>39</v>
      </c>
      <c r="Q5782" s="8" t="s">
        <v>40</v>
      </c>
      <c r="R5782" s="10" t="s">
        <v>33022</v>
      </c>
      <c r="S5782" s="11"/>
      <c r="T5782" s="6"/>
      <c r="U5782" s="15" t="str">
        <f>HYPERLINK("https://media.infra-m.ru/2262/2262022/cover/2262022.jpg", "Обложка")</f>
        <v>Обложка</v>
      </c>
      <c r="V5782" s="8" t="s">
        <v>10938</v>
      </c>
      <c r="W5782" s="6"/>
      <c r="X5782" s="6"/>
      <c r="Y5782" s="6"/>
      <c r="Z5782" s="6"/>
      <c r="AA5782" s="6" t="s">
        <v>1256</v>
      </c>
      <c r="AB5782" s="8"/>
      <c r="AC5782" s="27">
        <v>9785160148311</v>
      </c>
    </row>
    <row r="5783" spans="1:29" s="4" customFormat="1" ht="44.1" customHeight="1" x14ac:dyDescent="0.2">
      <c r="A5783" s="5">
        <v>0</v>
      </c>
      <c r="B5783" s="6" t="s">
        <v>33023</v>
      </c>
      <c r="C5783" s="13">
        <v>472.8</v>
      </c>
      <c r="D5783" s="8" t="s">
        <v>33024</v>
      </c>
      <c r="E5783" s="8" t="s">
        <v>33025</v>
      </c>
      <c r="F5783" s="8" t="s">
        <v>33026</v>
      </c>
      <c r="G5783" s="6" t="s">
        <v>33</v>
      </c>
      <c r="H5783" s="6" t="s">
        <v>34</v>
      </c>
      <c r="I5783" s="8" t="s">
        <v>35</v>
      </c>
      <c r="J5783" s="9">
        <v>1</v>
      </c>
      <c r="K5783" s="9">
        <v>84</v>
      </c>
      <c r="L5783" s="9">
        <v>2024</v>
      </c>
      <c r="M5783" s="8" t="s">
        <v>33027</v>
      </c>
      <c r="N5783" s="8" t="s">
        <v>37</v>
      </c>
      <c r="O5783" s="8" t="s">
        <v>233</v>
      </c>
      <c r="P5783" s="6" t="s">
        <v>39</v>
      </c>
      <c r="Q5783" s="8" t="s">
        <v>40</v>
      </c>
      <c r="R5783" s="10" t="s">
        <v>10470</v>
      </c>
      <c r="S5783" s="11"/>
      <c r="T5783" s="6"/>
      <c r="U5783" s="15" t="str">
        <f>HYPERLINK("https://media.infra-m.ru/2117/2117139/cover/2117139.jpg", "Обложка")</f>
        <v>Обложка</v>
      </c>
      <c r="V5783" s="8" t="s">
        <v>3154</v>
      </c>
      <c r="W5783" s="6"/>
      <c r="X5783" s="6"/>
      <c r="Y5783" s="6"/>
      <c r="Z5783" s="6"/>
      <c r="AA5783" s="6" t="s">
        <v>55</v>
      </c>
      <c r="AB5783" s="8"/>
      <c r="AC5783" s="27">
        <v>9785160095059</v>
      </c>
    </row>
    <row r="5784" spans="1:29" s="4" customFormat="1" ht="42" customHeight="1" x14ac:dyDescent="0.2">
      <c r="A5784" s="5">
        <v>0</v>
      </c>
      <c r="B5784" s="6" t="s">
        <v>33028</v>
      </c>
      <c r="C5784" s="7">
        <v>1418.4</v>
      </c>
      <c r="D5784" s="8" t="s">
        <v>33029</v>
      </c>
      <c r="E5784" s="8" t="s">
        <v>33030</v>
      </c>
      <c r="F5784" s="8" t="s">
        <v>33031</v>
      </c>
      <c r="G5784" s="6" t="s">
        <v>33</v>
      </c>
      <c r="H5784" s="6" t="s">
        <v>34</v>
      </c>
      <c r="I5784" s="8" t="s">
        <v>263</v>
      </c>
      <c r="J5784" s="9">
        <v>1</v>
      </c>
      <c r="K5784" s="9">
        <v>168</v>
      </c>
      <c r="L5784" s="9">
        <v>2026</v>
      </c>
      <c r="M5784" s="8" t="s">
        <v>33032</v>
      </c>
      <c r="N5784" s="8" t="s">
        <v>243</v>
      </c>
      <c r="O5784" s="8" t="s">
        <v>244</v>
      </c>
      <c r="P5784" s="6" t="s">
        <v>105</v>
      </c>
      <c r="Q5784" s="8" t="s">
        <v>265</v>
      </c>
      <c r="R5784" s="10" t="s">
        <v>33033</v>
      </c>
      <c r="S5784" s="11"/>
      <c r="T5784" s="6"/>
      <c r="U5784" s="15" t="str">
        <f>HYPERLINK("https://media.infra-m.ru/2221/2221944/cover/2221944.jpg", "Обложка")</f>
        <v>Обложка</v>
      </c>
      <c r="V5784" s="8" t="s">
        <v>227</v>
      </c>
      <c r="W5784" s="6"/>
      <c r="X5784" s="6"/>
      <c r="Y5784" s="6"/>
      <c r="Z5784" s="6"/>
      <c r="AA5784" s="6" t="s">
        <v>874</v>
      </c>
      <c r="AB5784" s="8"/>
      <c r="AC5784" s="27">
        <v>9785160213248</v>
      </c>
    </row>
    <row r="5785" spans="1:29" s="4" customFormat="1" ht="51.9" customHeight="1" x14ac:dyDescent="0.2">
      <c r="A5785" s="5">
        <v>0</v>
      </c>
      <c r="B5785" s="6" t="s">
        <v>33034</v>
      </c>
      <c r="C5785" s="7">
        <v>1832.4</v>
      </c>
      <c r="D5785" s="8" t="s">
        <v>33035</v>
      </c>
      <c r="E5785" s="8" t="s">
        <v>33036</v>
      </c>
      <c r="F5785" s="8" t="s">
        <v>33037</v>
      </c>
      <c r="G5785" s="6" t="s">
        <v>33</v>
      </c>
      <c r="H5785" s="6" t="s">
        <v>313</v>
      </c>
      <c r="I5785" s="8" t="s">
        <v>253</v>
      </c>
      <c r="J5785" s="9">
        <v>1</v>
      </c>
      <c r="K5785" s="9">
        <v>165</v>
      </c>
      <c r="L5785" s="9">
        <v>2024</v>
      </c>
      <c r="M5785" s="8" t="s">
        <v>33038</v>
      </c>
      <c r="N5785" s="8" t="s">
        <v>37</v>
      </c>
      <c r="O5785" s="8" t="s">
        <v>233</v>
      </c>
      <c r="P5785" s="6" t="s">
        <v>51</v>
      </c>
      <c r="Q5785" s="8" t="s">
        <v>65</v>
      </c>
      <c r="R5785" s="10" t="s">
        <v>1993</v>
      </c>
      <c r="S5785" s="11" t="s">
        <v>33039</v>
      </c>
      <c r="T5785" s="6"/>
      <c r="U5785" s="15" t="str">
        <f>HYPERLINK("https://media.infra-m.ru/2052/2052313/cover/2052313.jpg", "Обложка")</f>
        <v>Обложка</v>
      </c>
      <c r="V5785" s="8" t="s">
        <v>33040</v>
      </c>
      <c r="W5785" s="6"/>
      <c r="X5785" s="6"/>
      <c r="Y5785" s="6"/>
      <c r="Z5785" s="6"/>
      <c r="AA5785" s="6" t="s">
        <v>779</v>
      </c>
      <c r="AB5785" s="8"/>
      <c r="AC5785" s="27">
        <v>9785369014912</v>
      </c>
    </row>
    <row r="5786" spans="1:29" s="4" customFormat="1" ht="51.9" customHeight="1" x14ac:dyDescent="0.2">
      <c r="A5786" s="5">
        <v>0</v>
      </c>
      <c r="B5786" s="6" t="s">
        <v>33041</v>
      </c>
      <c r="C5786" s="7">
        <v>1109.9000000000001</v>
      </c>
      <c r="D5786" s="8" t="s">
        <v>33042</v>
      </c>
      <c r="E5786" s="8" t="s">
        <v>33043</v>
      </c>
      <c r="F5786" s="8" t="s">
        <v>33044</v>
      </c>
      <c r="G5786" s="6" t="s">
        <v>60</v>
      </c>
      <c r="H5786" s="6" t="s">
        <v>48</v>
      </c>
      <c r="I5786" s="8" t="s">
        <v>253</v>
      </c>
      <c r="J5786" s="9">
        <v>1</v>
      </c>
      <c r="K5786" s="9">
        <v>288</v>
      </c>
      <c r="L5786" s="9">
        <v>2019</v>
      </c>
      <c r="M5786" s="8" t="s">
        <v>33045</v>
      </c>
      <c r="N5786" s="8" t="s">
        <v>243</v>
      </c>
      <c r="O5786" s="8" t="s">
        <v>244</v>
      </c>
      <c r="P5786" s="6" t="s">
        <v>51</v>
      </c>
      <c r="Q5786" s="8" t="s">
        <v>52</v>
      </c>
      <c r="R5786" s="10" t="s">
        <v>4506</v>
      </c>
      <c r="S5786" s="11" t="s">
        <v>33046</v>
      </c>
      <c r="T5786" s="6"/>
      <c r="U5786" s="15" t="str">
        <f>HYPERLINK("https://media.infra-m.ru/0991/0991842/cover/991842.jpg", "Обложка")</f>
        <v>Обложка</v>
      </c>
      <c r="V5786" s="8" t="s">
        <v>247</v>
      </c>
      <c r="W5786" s="6"/>
      <c r="X5786" s="6"/>
      <c r="Y5786" s="6"/>
      <c r="Z5786" s="6"/>
      <c r="AA5786" s="6" t="s">
        <v>3391</v>
      </c>
      <c r="AB5786" s="8"/>
      <c r="AC5786" s="27">
        <v>9785911343941</v>
      </c>
    </row>
    <row r="5787" spans="1:29" s="4" customFormat="1" ht="51.9" customHeight="1" x14ac:dyDescent="0.2">
      <c r="A5787" s="5">
        <v>0</v>
      </c>
      <c r="B5787" s="6" t="s">
        <v>33047</v>
      </c>
      <c r="C5787" s="13">
        <v>437.9</v>
      </c>
      <c r="D5787" s="8" t="s">
        <v>33048</v>
      </c>
      <c r="E5787" s="8" t="s">
        <v>33049</v>
      </c>
      <c r="F5787" s="8" t="s">
        <v>5183</v>
      </c>
      <c r="G5787" s="6" t="s">
        <v>33</v>
      </c>
      <c r="H5787" s="6" t="s">
        <v>48</v>
      </c>
      <c r="I5787" s="8" t="s">
        <v>253</v>
      </c>
      <c r="J5787" s="9">
        <v>1</v>
      </c>
      <c r="K5787" s="9">
        <v>120</v>
      </c>
      <c r="L5787" s="9">
        <v>2019</v>
      </c>
      <c r="M5787" s="8" t="s">
        <v>33050</v>
      </c>
      <c r="N5787" s="8" t="s">
        <v>37</v>
      </c>
      <c r="O5787" s="8" t="s">
        <v>233</v>
      </c>
      <c r="P5787" s="6" t="s">
        <v>51</v>
      </c>
      <c r="Q5787" s="8" t="s">
        <v>52</v>
      </c>
      <c r="R5787" s="10" t="s">
        <v>5221</v>
      </c>
      <c r="S5787" s="11" t="s">
        <v>5186</v>
      </c>
      <c r="T5787" s="6"/>
      <c r="U5787" s="15" t="str">
        <f>HYPERLINK("https://media.infra-m.ru/1013/1013453/cover/1013453.jpg", "Обложка")</f>
        <v>Обложка</v>
      </c>
      <c r="V5787" s="8" t="s">
        <v>247</v>
      </c>
      <c r="W5787" s="6"/>
      <c r="X5787" s="6"/>
      <c r="Y5787" s="6"/>
      <c r="Z5787" s="6"/>
      <c r="AA5787" s="6" t="s">
        <v>779</v>
      </c>
      <c r="AB5787" s="8"/>
      <c r="AC5787" s="27">
        <v>9785000911471</v>
      </c>
    </row>
    <row r="5788" spans="1:29" s="4" customFormat="1" ht="51.9" customHeight="1" x14ac:dyDescent="0.2">
      <c r="A5788" s="5">
        <v>0</v>
      </c>
      <c r="B5788" s="6" t="s">
        <v>33051</v>
      </c>
      <c r="C5788" s="7">
        <v>1284</v>
      </c>
      <c r="D5788" s="8" t="s">
        <v>33052</v>
      </c>
      <c r="E5788" s="8" t="s">
        <v>33053</v>
      </c>
      <c r="F5788" s="8" t="s">
        <v>1524</v>
      </c>
      <c r="G5788" s="6" t="s">
        <v>118</v>
      </c>
      <c r="H5788" s="6" t="s">
        <v>34</v>
      </c>
      <c r="I5788" s="8" t="s">
        <v>5350</v>
      </c>
      <c r="J5788" s="9">
        <v>1</v>
      </c>
      <c r="K5788" s="9">
        <v>232</v>
      </c>
      <c r="L5788" s="9">
        <v>2023</v>
      </c>
      <c r="M5788" s="8" t="s">
        <v>33054</v>
      </c>
      <c r="N5788" s="8" t="s">
        <v>243</v>
      </c>
      <c r="O5788" s="8" t="s">
        <v>1100</v>
      </c>
      <c r="P5788" s="6" t="s">
        <v>51</v>
      </c>
      <c r="Q5788" s="8" t="s">
        <v>377</v>
      </c>
      <c r="R5788" s="10" t="s">
        <v>2505</v>
      </c>
      <c r="S5788" s="11" t="s">
        <v>33055</v>
      </c>
      <c r="T5788" s="6" t="s">
        <v>97</v>
      </c>
      <c r="U5788" s="15" t="str">
        <f>HYPERLINK("https://media.infra-m.ru/2126/2126461/cover/2126461.jpg", "Обложка")</f>
        <v>Обложка</v>
      </c>
      <c r="V5788" s="8" t="s">
        <v>1527</v>
      </c>
      <c r="W5788" s="6"/>
      <c r="X5788" s="6"/>
      <c r="Y5788" s="6"/>
      <c r="Z5788" s="6"/>
      <c r="AA5788" s="6" t="s">
        <v>779</v>
      </c>
      <c r="AB5788" s="8"/>
      <c r="AC5788" s="27">
        <v>9785160105437</v>
      </c>
    </row>
    <row r="5789" spans="1:29" s="4" customFormat="1" ht="51.9" customHeight="1" x14ac:dyDescent="0.2">
      <c r="A5789" s="5">
        <v>0</v>
      </c>
      <c r="B5789" s="6" t="s">
        <v>33056</v>
      </c>
      <c r="C5789" s="7">
        <v>1092</v>
      </c>
      <c r="D5789" s="8" t="s">
        <v>33057</v>
      </c>
      <c r="E5789" s="8" t="s">
        <v>33058</v>
      </c>
      <c r="F5789" s="8" t="s">
        <v>33059</v>
      </c>
      <c r="G5789" s="6" t="s">
        <v>60</v>
      </c>
      <c r="H5789" s="6" t="s">
        <v>241</v>
      </c>
      <c r="I5789" s="8" t="s">
        <v>271</v>
      </c>
      <c r="J5789" s="9">
        <v>1</v>
      </c>
      <c r="K5789" s="9">
        <v>314</v>
      </c>
      <c r="L5789" s="9">
        <v>2018</v>
      </c>
      <c r="M5789" s="8" t="s">
        <v>33060</v>
      </c>
      <c r="N5789" s="8" t="s">
        <v>37</v>
      </c>
      <c r="O5789" s="8" t="s">
        <v>233</v>
      </c>
      <c r="P5789" s="6" t="s">
        <v>51</v>
      </c>
      <c r="Q5789" s="8" t="s">
        <v>52</v>
      </c>
      <c r="R5789" s="10" t="s">
        <v>357</v>
      </c>
      <c r="S5789" s="11" t="s">
        <v>33061</v>
      </c>
      <c r="T5789" s="6"/>
      <c r="U5789" s="15" t="str">
        <f>HYPERLINK("https://media.infra-m.ru/0944/0944343/cover/944343.jpg", "Обложка")</f>
        <v>Обложка</v>
      </c>
      <c r="V5789" s="8" t="s">
        <v>7287</v>
      </c>
      <c r="W5789" s="6"/>
      <c r="X5789" s="6"/>
      <c r="Y5789" s="6"/>
      <c r="Z5789" s="6"/>
      <c r="AA5789" s="6" t="s">
        <v>33062</v>
      </c>
      <c r="AB5789" s="8"/>
      <c r="AC5789" s="27">
        <v>9785955804088</v>
      </c>
    </row>
    <row r="5790" spans="1:29" s="4" customFormat="1" ht="51.9" customHeight="1" x14ac:dyDescent="0.2">
      <c r="A5790" s="5">
        <v>0</v>
      </c>
      <c r="B5790" s="6" t="s">
        <v>33063</v>
      </c>
      <c r="C5790" s="7">
        <v>2212.8000000000002</v>
      </c>
      <c r="D5790" s="8" t="s">
        <v>33064</v>
      </c>
      <c r="E5790" s="8" t="s">
        <v>33065</v>
      </c>
      <c r="F5790" s="8" t="s">
        <v>33059</v>
      </c>
      <c r="G5790" s="6" t="s">
        <v>118</v>
      </c>
      <c r="H5790" s="6" t="s">
        <v>34</v>
      </c>
      <c r="I5790" s="8" t="s">
        <v>271</v>
      </c>
      <c r="J5790" s="9">
        <v>1</v>
      </c>
      <c r="K5790" s="9">
        <v>369</v>
      </c>
      <c r="L5790" s="9">
        <v>2025</v>
      </c>
      <c r="M5790" s="8" t="s">
        <v>33066</v>
      </c>
      <c r="N5790" s="8" t="s">
        <v>37</v>
      </c>
      <c r="O5790" s="8" t="s">
        <v>233</v>
      </c>
      <c r="P5790" s="6" t="s">
        <v>51</v>
      </c>
      <c r="Q5790" s="8" t="s">
        <v>52</v>
      </c>
      <c r="R5790" s="10" t="s">
        <v>357</v>
      </c>
      <c r="S5790" s="11" t="s">
        <v>33061</v>
      </c>
      <c r="T5790" s="6"/>
      <c r="U5790" s="15" t="str">
        <f>HYPERLINK("https://media.infra-m.ru/2188/2188209/cover/2188209.jpg", "Обложка")</f>
        <v>Обложка</v>
      </c>
      <c r="V5790" s="8" t="s">
        <v>7287</v>
      </c>
      <c r="W5790" s="6"/>
      <c r="X5790" s="6"/>
      <c r="Y5790" s="6"/>
      <c r="Z5790" s="6"/>
      <c r="AA5790" s="6" t="s">
        <v>3541</v>
      </c>
      <c r="AB5790" s="8"/>
      <c r="AC5790" s="27">
        <v>9785160142029</v>
      </c>
    </row>
    <row r="5791" spans="1:29" s="4" customFormat="1" ht="51.9" customHeight="1" x14ac:dyDescent="0.2">
      <c r="A5791" s="5">
        <v>0</v>
      </c>
      <c r="B5791" s="6" t="s">
        <v>33067</v>
      </c>
      <c r="C5791" s="7">
        <v>2308.8000000000002</v>
      </c>
      <c r="D5791" s="8" t="s">
        <v>33068</v>
      </c>
      <c r="E5791" s="8" t="s">
        <v>33069</v>
      </c>
      <c r="F5791" s="8" t="s">
        <v>33070</v>
      </c>
      <c r="G5791" s="6" t="s">
        <v>60</v>
      </c>
      <c r="H5791" s="6" t="s">
        <v>34</v>
      </c>
      <c r="I5791" s="8" t="s">
        <v>271</v>
      </c>
      <c r="J5791" s="9">
        <v>1</v>
      </c>
      <c r="K5791" s="9">
        <v>248</v>
      </c>
      <c r="L5791" s="9">
        <v>2023</v>
      </c>
      <c r="M5791" s="8" t="s">
        <v>33071</v>
      </c>
      <c r="N5791" s="8" t="s">
        <v>243</v>
      </c>
      <c r="O5791" s="8" t="s">
        <v>1100</v>
      </c>
      <c r="P5791" s="6" t="s">
        <v>51</v>
      </c>
      <c r="Q5791" s="8" t="s">
        <v>52</v>
      </c>
      <c r="R5791" s="10" t="s">
        <v>33072</v>
      </c>
      <c r="S5791" s="11" t="s">
        <v>33073</v>
      </c>
      <c r="T5791" s="6"/>
      <c r="U5791" s="15" t="str">
        <f>HYPERLINK("https://media.infra-m.ru/1981/1981661/cover/1981661.jpg", "Обложка")</f>
        <v>Обложка</v>
      </c>
      <c r="V5791" s="8" t="s">
        <v>1030</v>
      </c>
      <c r="W5791" s="6"/>
      <c r="X5791" s="6"/>
      <c r="Y5791" s="6"/>
      <c r="Z5791" s="6"/>
      <c r="AA5791" s="6" t="s">
        <v>248</v>
      </c>
      <c r="AB5791" s="8"/>
      <c r="AC5791" s="27">
        <v>9785160091198</v>
      </c>
    </row>
    <row r="5792" spans="1:29" s="4" customFormat="1" ht="51.9" customHeight="1" x14ac:dyDescent="0.2">
      <c r="A5792" s="5">
        <v>0</v>
      </c>
      <c r="B5792" s="6" t="s">
        <v>33074</v>
      </c>
      <c r="C5792" s="7">
        <v>2008.8</v>
      </c>
      <c r="D5792" s="8" t="s">
        <v>33075</v>
      </c>
      <c r="E5792" s="8" t="s">
        <v>33076</v>
      </c>
      <c r="F5792" s="8" t="s">
        <v>33077</v>
      </c>
      <c r="G5792" s="6" t="s">
        <v>118</v>
      </c>
      <c r="H5792" s="6" t="s">
        <v>1042</v>
      </c>
      <c r="I5792" s="8" t="s">
        <v>263</v>
      </c>
      <c r="J5792" s="9">
        <v>1</v>
      </c>
      <c r="K5792" s="9">
        <v>288</v>
      </c>
      <c r="L5792" s="9">
        <v>2027</v>
      </c>
      <c r="M5792" s="8" t="s">
        <v>33078</v>
      </c>
      <c r="N5792" s="8" t="s">
        <v>243</v>
      </c>
      <c r="O5792" s="8" t="s">
        <v>244</v>
      </c>
      <c r="P5792" s="6" t="s">
        <v>51</v>
      </c>
      <c r="Q5792" s="8" t="s">
        <v>265</v>
      </c>
      <c r="R5792" s="10" t="s">
        <v>33079</v>
      </c>
      <c r="S5792" s="11" t="s">
        <v>9712</v>
      </c>
      <c r="T5792" s="6" t="s">
        <v>97</v>
      </c>
      <c r="U5792" s="15" t="str">
        <f>HYPERLINK("https://media.infra-m.ru/2257/2257739/cover/2257739.jpg", "Обложка")</f>
        <v>Обложка</v>
      </c>
      <c r="V5792" s="8" t="s">
        <v>15477</v>
      </c>
      <c r="W5792" s="6"/>
      <c r="X5792" s="6" t="s">
        <v>24</v>
      </c>
      <c r="Y5792" s="6"/>
      <c r="Z5792" s="6"/>
      <c r="AA5792" s="6" t="s">
        <v>1047</v>
      </c>
      <c r="AB5792" s="8"/>
      <c r="AC5792" s="27">
        <v>9785819908006</v>
      </c>
    </row>
    <row r="5793" spans="1:29" s="4" customFormat="1" ht="51.9" customHeight="1" x14ac:dyDescent="0.2">
      <c r="A5793" s="5">
        <v>0</v>
      </c>
      <c r="B5793" s="6" t="s">
        <v>33080</v>
      </c>
      <c r="C5793" s="7">
        <v>2268</v>
      </c>
      <c r="D5793" s="8" t="s">
        <v>33081</v>
      </c>
      <c r="E5793" s="8" t="s">
        <v>33082</v>
      </c>
      <c r="F5793" s="8" t="s">
        <v>33083</v>
      </c>
      <c r="G5793" s="6" t="s">
        <v>118</v>
      </c>
      <c r="H5793" s="6" t="s">
        <v>34</v>
      </c>
      <c r="I5793" s="8" t="s">
        <v>253</v>
      </c>
      <c r="J5793" s="9">
        <v>1</v>
      </c>
      <c r="K5793" s="9">
        <v>336</v>
      </c>
      <c r="L5793" s="9">
        <v>2026</v>
      </c>
      <c r="M5793" s="8" t="s">
        <v>33084</v>
      </c>
      <c r="N5793" s="8" t="s">
        <v>243</v>
      </c>
      <c r="O5793" s="8" t="s">
        <v>1100</v>
      </c>
      <c r="P5793" s="6" t="s">
        <v>51</v>
      </c>
      <c r="Q5793" s="8" t="s">
        <v>377</v>
      </c>
      <c r="R5793" s="10" t="s">
        <v>6274</v>
      </c>
      <c r="S5793" s="11" t="s">
        <v>33085</v>
      </c>
      <c r="T5793" s="6"/>
      <c r="U5793" s="15" t="str">
        <f>HYPERLINK("https://media.infra-m.ru/2248/2248486/cover/2248486.jpg", "Обложка")</f>
        <v>Обложка</v>
      </c>
      <c r="V5793" s="8" t="s">
        <v>2522</v>
      </c>
      <c r="W5793" s="6"/>
      <c r="X5793" s="6"/>
      <c r="Y5793" s="6"/>
      <c r="Z5793" s="6"/>
      <c r="AA5793" s="6" t="s">
        <v>248</v>
      </c>
      <c r="AB5793" s="8"/>
      <c r="AC5793" s="27">
        <v>9785160220451</v>
      </c>
    </row>
    <row r="5794" spans="1:29" s="4" customFormat="1" ht="51.9" customHeight="1" x14ac:dyDescent="0.2">
      <c r="A5794" s="5">
        <v>0</v>
      </c>
      <c r="B5794" s="6" t="s">
        <v>33086</v>
      </c>
      <c r="C5794" s="7">
        <v>1740</v>
      </c>
      <c r="D5794" s="8" t="s">
        <v>33087</v>
      </c>
      <c r="E5794" s="8" t="s">
        <v>33088</v>
      </c>
      <c r="F5794" s="8" t="s">
        <v>33089</v>
      </c>
      <c r="G5794" s="6" t="s">
        <v>118</v>
      </c>
      <c r="H5794" s="6" t="s">
        <v>241</v>
      </c>
      <c r="I5794" s="8"/>
      <c r="J5794" s="9">
        <v>1</v>
      </c>
      <c r="K5794" s="9">
        <v>288</v>
      </c>
      <c r="L5794" s="9">
        <v>2025</v>
      </c>
      <c r="M5794" s="8" t="s">
        <v>33090</v>
      </c>
      <c r="N5794" s="8" t="s">
        <v>585</v>
      </c>
      <c r="O5794" s="8" t="s">
        <v>1518</v>
      </c>
      <c r="P5794" s="6" t="s">
        <v>51</v>
      </c>
      <c r="Q5794" s="8" t="s">
        <v>52</v>
      </c>
      <c r="R5794" s="10" t="s">
        <v>33091</v>
      </c>
      <c r="S5794" s="11" t="s">
        <v>33092</v>
      </c>
      <c r="T5794" s="6"/>
      <c r="U5794" s="15" t="str">
        <f>HYPERLINK("https://media.infra-m.ru/2173/2173236/cover/2173236.jpg", "Обложка")</f>
        <v>Обложка</v>
      </c>
      <c r="V5794" s="8" t="s">
        <v>3087</v>
      </c>
      <c r="W5794" s="6"/>
      <c r="X5794" s="6"/>
      <c r="Y5794" s="6"/>
      <c r="Z5794" s="6"/>
      <c r="AA5794" s="6" t="s">
        <v>43</v>
      </c>
      <c r="AB5794" s="8"/>
      <c r="AC5794" s="27">
        <v>9785955802176</v>
      </c>
    </row>
    <row r="5795" spans="1:29" s="4" customFormat="1" ht="44.1" customHeight="1" x14ac:dyDescent="0.2">
      <c r="A5795" s="5">
        <v>0</v>
      </c>
      <c r="B5795" s="6" t="s">
        <v>33093</v>
      </c>
      <c r="C5795" s="7">
        <v>3036</v>
      </c>
      <c r="D5795" s="8" t="s">
        <v>33094</v>
      </c>
      <c r="E5795" s="8" t="s">
        <v>33095</v>
      </c>
      <c r="F5795" s="8" t="s">
        <v>16090</v>
      </c>
      <c r="G5795" s="6" t="s">
        <v>60</v>
      </c>
      <c r="H5795" s="6" t="s">
        <v>34</v>
      </c>
      <c r="I5795" s="8" t="s">
        <v>253</v>
      </c>
      <c r="J5795" s="9">
        <v>1</v>
      </c>
      <c r="K5795" s="9">
        <v>459</v>
      </c>
      <c r="L5795" s="9">
        <v>2026</v>
      </c>
      <c r="M5795" s="8" t="s">
        <v>33096</v>
      </c>
      <c r="N5795" s="8" t="s">
        <v>243</v>
      </c>
      <c r="O5795" s="8" t="s">
        <v>758</v>
      </c>
      <c r="P5795" s="6" t="s">
        <v>51</v>
      </c>
      <c r="Q5795" s="8" t="s">
        <v>65</v>
      </c>
      <c r="R5795" s="10" t="s">
        <v>3270</v>
      </c>
      <c r="S5795" s="11"/>
      <c r="T5795" s="6"/>
      <c r="U5795" s="15" t="str">
        <f>HYPERLINK("https://media.infra-m.ru/2239/2239059/cover/2239059.jpg", "Обложка")</f>
        <v>Обложка</v>
      </c>
      <c r="V5795" s="8" t="s">
        <v>1157</v>
      </c>
      <c r="W5795" s="6"/>
      <c r="X5795" s="6"/>
      <c r="Y5795" s="6"/>
      <c r="Z5795" s="6"/>
      <c r="AA5795" s="6" t="s">
        <v>68</v>
      </c>
      <c r="AB5795" s="8"/>
      <c r="AC5795" s="27">
        <v>9785160166827</v>
      </c>
    </row>
    <row r="5796" spans="1:29" s="4" customFormat="1" ht="51.9" customHeight="1" x14ac:dyDescent="0.2">
      <c r="A5796" s="5">
        <v>0</v>
      </c>
      <c r="B5796" s="6" t="s">
        <v>33097</v>
      </c>
      <c r="C5796" s="7">
        <v>1816.8</v>
      </c>
      <c r="D5796" s="8" t="s">
        <v>33098</v>
      </c>
      <c r="E5796" s="8" t="s">
        <v>33099</v>
      </c>
      <c r="F5796" s="8" t="s">
        <v>33100</v>
      </c>
      <c r="G5796" s="6" t="s">
        <v>118</v>
      </c>
      <c r="H5796" s="6" t="s">
        <v>34</v>
      </c>
      <c r="I5796" s="8" t="s">
        <v>253</v>
      </c>
      <c r="J5796" s="9">
        <v>1</v>
      </c>
      <c r="K5796" s="9">
        <v>275</v>
      </c>
      <c r="L5796" s="9">
        <v>2026</v>
      </c>
      <c r="M5796" s="8" t="s">
        <v>33101</v>
      </c>
      <c r="N5796" s="8" t="s">
        <v>37</v>
      </c>
      <c r="O5796" s="8" t="s">
        <v>280</v>
      </c>
      <c r="P5796" s="6" t="s">
        <v>51</v>
      </c>
      <c r="Q5796" s="8" t="s">
        <v>52</v>
      </c>
      <c r="R5796" s="10" t="s">
        <v>5054</v>
      </c>
      <c r="S5796" s="11" t="s">
        <v>282</v>
      </c>
      <c r="T5796" s="6"/>
      <c r="U5796" s="15" t="str">
        <f>HYPERLINK("https://media.infra-m.ru/2244/2244187/cover/2244187.jpg", "Обложка")</f>
        <v>Обложка</v>
      </c>
      <c r="V5796" s="8" t="s">
        <v>1505</v>
      </c>
      <c r="W5796" s="6"/>
      <c r="X5796" s="6"/>
      <c r="Y5796" s="6"/>
      <c r="Z5796" s="6"/>
      <c r="AA5796" s="6" t="s">
        <v>33102</v>
      </c>
      <c r="AB5796" s="8"/>
      <c r="AC5796" s="27">
        <v>9785160197722</v>
      </c>
    </row>
    <row r="5797" spans="1:29" s="4" customFormat="1" ht="51.9" customHeight="1" x14ac:dyDescent="0.2">
      <c r="A5797" s="5">
        <v>0</v>
      </c>
      <c r="B5797" s="6" t="s">
        <v>33103</v>
      </c>
      <c r="C5797" s="13">
        <v>952.8</v>
      </c>
      <c r="D5797" s="8" t="s">
        <v>33104</v>
      </c>
      <c r="E5797" s="8" t="s">
        <v>33105</v>
      </c>
      <c r="F5797" s="8" t="s">
        <v>33106</v>
      </c>
      <c r="G5797" s="6" t="s">
        <v>33</v>
      </c>
      <c r="H5797" s="6" t="s">
        <v>1042</v>
      </c>
      <c r="I5797" s="8" t="s">
        <v>253</v>
      </c>
      <c r="J5797" s="9">
        <v>1</v>
      </c>
      <c r="K5797" s="9">
        <v>144</v>
      </c>
      <c r="L5797" s="9">
        <v>2026</v>
      </c>
      <c r="M5797" s="8" t="s">
        <v>33107</v>
      </c>
      <c r="N5797" s="8" t="s">
        <v>243</v>
      </c>
      <c r="O5797" s="8" t="s">
        <v>758</v>
      </c>
      <c r="P5797" s="6" t="s">
        <v>51</v>
      </c>
      <c r="Q5797" s="8" t="s">
        <v>65</v>
      </c>
      <c r="R5797" s="10" t="s">
        <v>3270</v>
      </c>
      <c r="S5797" s="11" t="s">
        <v>33108</v>
      </c>
      <c r="T5797" s="6"/>
      <c r="U5797" s="15" t="str">
        <f>HYPERLINK("https://media.infra-m.ru/2192/2192479/cover/2192479.jpg", "Обложка")</f>
        <v>Обложка</v>
      </c>
      <c r="V5797" s="8" t="s">
        <v>4409</v>
      </c>
      <c r="W5797" s="6"/>
      <c r="X5797" s="6"/>
      <c r="Y5797" s="6"/>
      <c r="Z5797" s="6"/>
      <c r="AA5797" s="6" t="s">
        <v>129</v>
      </c>
      <c r="AB5797" s="8"/>
      <c r="AC5797" s="27">
        <v>9785819904732</v>
      </c>
    </row>
    <row r="5798" spans="1:29" s="4" customFormat="1" ht="51.9" customHeight="1" x14ac:dyDescent="0.2">
      <c r="A5798" s="5">
        <v>0</v>
      </c>
      <c r="B5798" s="6" t="s">
        <v>33109</v>
      </c>
      <c r="C5798" s="7">
        <v>2272.8000000000002</v>
      </c>
      <c r="D5798" s="8" t="s">
        <v>33110</v>
      </c>
      <c r="E5798" s="8" t="s">
        <v>33111</v>
      </c>
      <c r="F5798" s="8" t="s">
        <v>33112</v>
      </c>
      <c r="G5798" s="6" t="s">
        <v>21</v>
      </c>
      <c r="H5798" s="6" t="s">
        <v>134</v>
      </c>
      <c r="I5798" s="8" t="s">
        <v>1355</v>
      </c>
      <c r="J5798" s="9">
        <v>1</v>
      </c>
      <c r="K5798" s="9">
        <v>352</v>
      </c>
      <c r="L5798" s="9">
        <v>2026</v>
      </c>
      <c r="M5798" s="8" t="s">
        <v>33113</v>
      </c>
      <c r="N5798" s="8" t="s">
        <v>37</v>
      </c>
      <c r="O5798" s="8" t="s">
        <v>136</v>
      </c>
      <c r="P5798" s="6" t="s">
        <v>394</v>
      </c>
      <c r="Q5798" s="8" t="s">
        <v>52</v>
      </c>
      <c r="R5798" s="10" t="s">
        <v>4109</v>
      </c>
      <c r="S5798" s="11" t="s">
        <v>33114</v>
      </c>
      <c r="T5798" s="6"/>
      <c r="U5798" s="15" t="str">
        <f>HYPERLINK("https://media.infra-m.ru/2238/2238891/cover/2238891.jpg", "Обложка")</f>
        <v>Обложка</v>
      </c>
      <c r="V5798" s="8" t="s">
        <v>1277</v>
      </c>
      <c r="W5798" s="6"/>
      <c r="X5798" s="6"/>
      <c r="Y5798" s="6"/>
      <c r="Z5798" s="6"/>
      <c r="AA5798" s="6" t="s">
        <v>446</v>
      </c>
      <c r="AB5798" s="8"/>
      <c r="AC5798" s="27">
        <v>9785917685465</v>
      </c>
    </row>
    <row r="5799" spans="1:29" s="4" customFormat="1" ht="51.9" customHeight="1" x14ac:dyDescent="0.2">
      <c r="A5799" s="5">
        <v>0</v>
      </c>
      <c r="B5799" s="6" t="s">
        <v>33115</v>
      </c>
      <c r="C5799" s="7">
        <v>1060.8</v>
      </c>
      <c r="D5799" s="8" t="s">
        <v>33116</v>
      </c>
      <c r="E5799" s="8" t="s">
        <v>33117</v>
      </c>
      <c r="F5799" s="8" t="s">
        <v>20364</v>
      </c>
      <c r="G5799" s="6" t="s">
        <v>33</v>
      </c>
      <c r="H5799" s="6" t="s">
        <v>48</v>
      </c>
      <c r="I5799" s="8" t="s">
        <v>253</v>
      </c>
      <c r="J5799" s="9">
        <v>1</v>
      </c>
      <c r="K5799" s="9">
        <v>168</v>
      </c>
      <c r="L5799" s="9">
        <v>2025</v>
      </c>
      <c r="M5799" s="8" t="s">
        <v>33118</v>
      </c>
      <c r="N5799" s="8" t="s">
        <v>37</v>
      </c>
      <c r="O5799" s="8" t="s">
        <v>280</v>
      </c>
      <c r="P5799" s="6" t="s">
        <v>51</v>
      </c>
      <c r="Q5799" s="8" t="s">
        <v>52</v>
      </c>
      <c r="R5799" s="10" t="s">
        <v>12778</v>
      </c>
      <c r="S5799" s="11" t="s">
        <v>33119</v>
      </c>
      <c r="T5799" s="6"/>
      <c r="U5799" s="15" t="str">
        <f>HYPERLINK("https://media.infra-m.ru/2193/2193016/cover/2193016.jpg", "Обложка")</f>
        <v>Обложка</v>
      </c>
      <c r="V5799" s="8" t="s">
        <v>396</v>
      </c>
      <c r="W5799" s="6"/>
      <c r="X5799" s="6"/>
      <c r="Y5799" s="6"/>
      <c r="Z5799" s="6"/>
      <c r="AA5799" s="6" t="s">
        <v>2338</v>
      </c>
      <c r="AB5799" s="8"/>
      <c r="AC5799" s="27">
        <v>9785911344917</v>
      </c>
    </row>
    <row r="5800" spans="1:29" s="4" customFormat="1" ht="51.9" customHeight="1" x14ac:dyDescent="0.2">
      <c r="A5800" s="5">
        <v>0</v>
      </c>
      <c r="B5800" s="6" t="s">
        <v>33120</v>
      </c>
      <c r="C5800" s="7">
        <v>1396.8</v>
      </c>
      <c r="D5800" s="8" t="s">
        <v>33121</v>
      </c>
      <c r="E5800" s="8" t="s">
        <v>33122</v>
      </c>
      <c r="F5800" s="8" t="s">
        <v>7669</v>
      </c>
      <c r="G5800" s="6" t="s">
        <v>118</v>
      </c>
      <c r="H5800" s="6" t="s">
        <v>241</v>
      </c>
      <c r="I5800" s="8"/>
      <c r="J5800" s="9">
        <v>1</v>
      </c>
      <c r="K5800" s="9">
        <v>200</v>
      </c>
      <c r="L5800" s="9">
        <v>2027</v>
      </c>
      <c r="M5800" s="8" t="s">
        <v>33123</v>
      </c>
      <c r="N5800" s="8" t="s">
        <v>243</v>
      </c>
      <c r="O5800" s="8" t="s">
        <v>244</v>
      </c>
      <c r="P5800" s="6" t="s">
        <v>394</v>
      </c>
      <c r="Q5800" s="8" t="s">
        <v>52</v>
      </c>
      <c r="R5800" s="10" t="s">
        <v>33124</v>
      </c>
      <c r="S5800" s="11"/>
      <c r="T5800" s="6" t="s">
        <v>97</v>
      </c>
      <c r="U5800" s="15" t="str">
        <f>HYPERLINK("https://media.infra-m.ru/2264/2264624/cover/2264624.jpg", "Обложка")</f>
        <v>Обложка</v>
      </c>
      <c r="V5800" s="8" t="s">
        <v>4409</v>
      </c>
      <c r="W5800" s="6"/>
      <c r="X5800" s="6"/>
      <c r="Y5800" s="6"/>
      <c r="Z5800" s="6"/>
      <c r="AA5800" s="6" t="s">
        <v>274</v>
      </c>
      <c r="AB5800" s="8"/>
      <c r="AC5800" s="27">
        <v>9785955803722</v>
      </c>
    </row>
    <row r="5801" spans="1:29" s="4" customFormat="1" ht="51.9" customHeight="1" x14ac:dyDescent="0.2">
      <c r="A5801" s="5">
        <v>0</v>
      </c>
      <c r="B5801" s="6" t="s">
        <v>33125</v>
      </c>
      <c r="C5801" s="7">
        <v>2664</v>
      </c>
      <c r="D5801" s="8" t="s">
        <v>33126</v>
      </c>
      <c r="E5801" s="8" t="s">
        <v>33127</v>
      </c>
      <c r="F5801" s="8" t="s">
        <v>33128</v>
      </c>
      <c r="G5801" s="6" t="s">
        <v>118</v>
      </c>
      <c r="H5801" s="6" t="s">
        <v>34</v>
      </c>
      <c r="I5801" s="8" t="s">
        <v>253</v>
      </c>
      <c r="J5801" s="9">
        <v>1</v>
      </c>
      <c r="K5801" s="9">
        <v>382</v>
      </c>
      <c r="L5801" s="9">
        <v>2026</v>
      </c>
      <c r="M5801" s="8" t="s">
        <v>33129</v>
      </c>
      <c r="N5801" s="8" t="s">
        <v>37</v>
      </c>
      <c r="O5801" s="8" t="s">
        <v>207</v>
      </c>
      <c r="P5801" s="6" t="s">
        <v>51</v>
      </c>
      <c r="Q5801" s="8" t="s">
        <v>52</v>
      </c>
      <c r="R5801" s="10" t="s">
        <v>2479</v>
      </c>
      <c r="S5801" s="11" t="s">
        <v>33130</v>
      </c>
      <c r="T5801" s="6"/>
      <c r="U5801" s="15" t="str">
        <f>HYPERLINK("https://media.infra-m.ru/2262/2262000/cover/2262000.jpg", "Обложка")</f>
        <v>Обложка</v>
      </c>
      <c r="V5801" s="8" t="s">
        <v>3428</v>
      </c>
      <c r="W5801" s="6"/>
      <c r="X5801" s="6"/>
      <c r="Y5801" s="6"/>
      <c r="Z5801" s="6"/>
      <c r="AA5801" s="6" t="s">
        <v>779</v>
      </c>
      <c r="AB5801" s="8"/>
      <c r="AC5801" s="27">
        <v>9785160112725</v>
      </c>
    </row>
    <row r="5802" spans="1:29" s="4" customFormat="1" ht="51.9" customHeight="1" x14ac:dyDescent="0.2">
      <c r="A5802" s="5">
        <v>0</v>
      </c>
      <c r="B5802" s="6" t="s">
        <v>33131</v>
      </c>
      <c r="C5802" s="7">
        <v>1800</v>
      </c>
      <c r="D5802" s="8" t="s">
        <v>33132</v>
      </c>
      <c r="E5802" s="8" t="s">
        <v>33133</v>
      </c>
      <c r="F5802" s="8" t="s">
        <v>33134</v>
      </c>
      <c r="G5802" s="6" t="s">
        <v>118</v>
      </c>
      <c r="H5802" s="6" t="s">
        <v>48</v>
      </c>
      <c r="I5802" s="8" t="s">
        <v>263</v>
      </c>
      <c r="J5802" s="9">
        <v>1</v>
      </c>
      <c r="K5802" s="9">
        <v>288</v>
      </c>
      <c r="L5802" s="9">
        <v>2026</v>
      </c>
      <c r="M5802" s="8" t="s">
        <v>33135</v>
      </c>
      <c r="N5802" s="8" t="s">
        <v>243</v>
      </c>
      <c r="O5802" s="8" t="s">
        <v>1100</v>
      </c>
      <c r="P5802" s="6" t="s">
        <v>51</v>
      </c>
      <c r="Q5802" s="8" t="s">
        <v>265</v>
      </c>
      <c r="R5802" s="10" t="s">
        <v>29890</v>
      </c>
      <c r="S5802" s="11" t="s">
        <v>1108</v>
      </c>
      <c r="T5802" s="6"/>
      <c r="U5802" s="15" t="str">
        <f>HYPERLINK("https://media.infra-m.ru/2220/2220930/cover/2220930.jpg", "Обложка")</f>
        <v>Обложка</v>
      </c>
      <c r="V5802" s="8" t="s">
        <v>1853</v>
      </c>
      <c r="W5802" s="6"/>
      <c r="X5802" s="6"/>
      <c r="Y5802" s="6"/>
      <c r="Z5802" s="6" t="s">
        <v>267</v>
      </c>
      <c r="AA5802" s="6" t="s">
        <v>115</v>
      </c>
      <c r="AB5802" s="8"/>
      <c r="AC5802" s="27">
        <v>9785000916001</v>
      </c>
    </row>
    <row r="5803" spans="1:29" s="4" customFormat="1" ht="51.9" customHeight="1" x14ac:dyDescent="0.2">
      <c r="A5803" s="5">
        <v>0</v>
      </c>
      <c r="B5803" s="6" t="s">
        <v>33136</v>
      </c>
      <c r="C5803" s="7">
        <v>1644</v>
      </c>
      <c r="D5803" s="8" t="s">
        <v>33137</v>
      </c>
      <c r="E5803" s="8" t="s">
        <v>33133</v>
      </c>
      <c r="F5803" s="8" t="s">
        <v>33134</v>
      </c>
      <c r="G5803" s="6" t="s">
        <v>118</v>
      </c>
      <c r="H5803" s="6" t="s">
        <v>48</v>
      </c>
      <c r="I5803" s="8" t="s">
        <v>253</v>
      </c>
      <c r="J5803" s="9">
        <v>1</v>
      </c>
      <c r="K5803" s="9">
        <v>288</v>
      </c>
      <c r="L5803" s="9">
        <v>2024</v>
      </c>
      <c r="M5803" s="8" t="s">
        <v>33138</v>
      </c>
      <c r="N5803" s="8" t="s">
        <v>243</v>
      </c>
      <c r="O5803" s="8" t="s">
        <v>1100</v>
      </c>
      <c r="P5803" s="6" t="s">
        <v>51</v>
      </c>
      <c r="Q5803" s="8" t="s">
        <v>52</v>
      </c>
      <c r="R5803" s="10" t="s">
        <v>33139</v>
      </c>
      <c r="S5803" s="11" t="s">
        <v>33140</v>
      </c>
      <c r="T5803" s="6"/>
      <c r="U5803" s="15" t="str">
        <f>HYPERLINK("https://media.infra-m.ru/1899/1899882/cover/1899882.jpg", "Обложка")</f>
        <v>Обложка</v>
      </c>
      <c r="V5803" s="8" t="s">
        <v>1853</v>
      </c>
      <c r="W5803" s="6"/>
      <c r="X5803" s="6"/>
      <c r="Y5803" s="6"/>
      <c r="Z5803" s="6"/>
      <c r="AA5803" s="6" t="s">
        <v>1506</v>
      </c>
      <c r="AB5803" s="8"/>
      <c r="AC5803" s="27">
        <v>9785000917886</v>
      </c>
    </row>
    <row r="5804" spans="1:29" s="4" customFormat="1" ht="42" customHeight="1" x14ac:dyDescent="0.2">
      <c r="A5804" s="5">
        <v>0</v>
      </c>
      <c r="B5804" s="6" t="s">
        <v>33141</v>
      </c>
      <c r="C5804" s="7">
        <v>1492.8</v>
      </c>
      <c r="D5804" s="8" t="s">
        <v>33142</v>
      </c>
      <c r="E5804" s="8" t="s">
        <v>33143</v>
      </c>
      <c r="F5804" s="8" t="s">
        <v>33144</v>
      </c>
      <c r="G5804" s="6" t="s">
        <v>33</v>
      </c>
      <c r="H5804" s="6" t="s">
        <v>241</v>
      </c>
      <c r="I5804" s="8"/>
      <c r="J5804" s="9">
        <v>1</v>
      </c>
      <c r="K5804" s="9">
        <v>239</v>
      </c>
      <c r="L5804" s="9">
        <v>2026</v>
      </c>
      <c r="M5804" s="8" t="s">
        <v>33145</v>
      </c>
      <c r="N5804" s="8" t="s">
        <v>37</v>
      </c>
      <c r="O5804" s="8" t="s">
        <v>38</v>
      </c>
      <c r="P5804" s="6" t="s">
        <v>394</v>
      </c>
      <c r="Q5804" s="8" t="s">
        <v>52</v>
      </c>
      <c r="R5804" s="10" t="s">
        <v>13520</v>
      </c>
      <c r="S5804" s="11"/>
      <c r="T5804" s="6"/>
      <c r="U5804" s="15" t="str">
        <f>HYPERLINK("https://media.infra-m.ru/2218/2218858/cover/2218858.jpg", "Обложка")</f>
        <v>Обложка</v>
      </c>
      <c r="V5804" s="8" t="s">
        <v>247</v>
      </c>
      <c r="W5804" s="6"/>
      <c r="X5804" s="6"/>
      <c r="Y5804" s="6"/>
      <c r="Z5804" s="6"/>
      <c r="AA5804" s="6" t="s">
        <v>561</v>
      </c>
      <c r="AB5804" s="8"/>
      <c r="AC5804" s="27">
        <v>9785955803968</v>
      </c>
    </row>
    <row r="5805" spans="1:29" s="4" customFormat="1" ht="42" customHeight="1" x14ac:dyDescent="0.2">
      <c r="A5805" s="5">
        <v>0</v>
      </c>
      <c r="B5805" s="6" t="s">
        <v>33146</v>
      </c>
      <c r="C5805" s="13">
        <v>432</v>
      </c>
      <c r="D5805" s="8" t="s">
        <v>33147</v>
      </c>
      <c r="E5805" s="8" t="s">
        <v>33148</v>
      </c>
      <c r="F5805" s="8" t="s">
        <v>33149</v>
      </c>
      <c r="G5805" s="6" t="s">
        <v>33</v>
      </c>
      <c r="H5805" s="6" t="s">
        <v>34</v>
      </c>
      <c r="I5805" s="8" t="s">
        <v>253</v>
      </c>
      <c r="J5805" s="9">
        <v>1</v>
      </c>
      <c r="K5805" s="9">
        <v>138</v>
      </c>
      <c r="L5805" s="9">
        <v>2026</v>
      </c>
      <c r="M5805" s="8" t="s">
        <v>33150</v>
      </c>
      <c r="N5805" s="8" t="s">
        <v>37</v>
      </c>
      <c r="O5805" s="8" t="s">
        <v>233</v>
      </c>
      <c r="P5805" s="6" t="s">
        <v>394</v>
      </c>
      <c r="Q5805" s="8" t="s">
        <v>65</v>
      </c>
      <c r="R5805" s="10"/>
      <c r="S5805" s="11"/>
      <c r="T5805" s="6"/>
      <c r="U5805" s="15" t="str">
        <f>HYPERLINK("https://media.infra-m.ru/2253/2253642/cover/2253642.jpg", "Обложка")</f>
        <v>Обложка</v>
      </c>
      <c r="V5805" s="8" t="s">
        <v>1647</v>
      </c>
      <c r="W5805" s="6" t="s">
        <v>351</v>
      </c>
      <c r="X5805" s="6"/>
      <c r="Y5805" s="6"/>
      <c r="Z5805" s="6"/>
      <c r="AA5805" s="6" t="s">
        <v>187</v>
      </c>
      <c r="AB5805" s="8"/>
      <c r="AC5805" s="27">
        <v>9785160219271</v>
      </c>
    </row>
    <row r="5806" spans="1:29" s="4" customFormat="1" ht="51.9" customHeight="1" x14ac:dyDescent="0.2">
      <c r="A5806" s="5">
        <v>0</v>
      </c>
      <c r="B5806" s="6" t="s">
        <v>33151</v>
      </c>
      <c r="C5806" s="7">
        <v>2612.4</v>
      </c>
      <c r="D5806" s="8" t="s">
        <v>33152</v>
      </c>
      <c r="E5806" s="8" t="s">
        <v>33153</v>
      </c>
      <c r="F5806" s="8" t="s">
        <v>33154</v>
      </c>
      <c r="G5806" s="6" t="s">
        <v>60</v>
      </c>
      <c r="H5806" s="6" t="s">
        <v>48</v>
      </c>
      <c r="I5806" s="8" t="s">
        <v>263</v>
      </c>
      <c r="J5806" s="9">
        <v>1</v>
      </c>
      <c r="K5806" s="9">
        <v>304</v>
      </c>
      <c r="L5806" s="9">
        <v>2026</v>
      </c>
      <c r="M5806" s="8" t="s">
        <v>33155</v>
      </c>
      <c r="N5806" s="8" t="s">
        <v>243</v>
      </c>
      <c r="O5806" s="8" t="s">
        <v>244</v>
      </c>
      <c r="P5806" s="6" t="s">
        <v>51</v>
      </c>
      <c r="Q5806" s="8" t="s">
        <v>265</v>
      </c>
      <c r="R5806" s="10" t="s">
        <v>33156</v>
      </c>
      <c r="S5806" s="11" t="s">
        <v>33157</v>
      </c>
      <c r="T5806" s="6"/>
      <c r="U5806" s="15" t="str">
        <f>HYPERLINK("https://media.infra-m.ru/2238/2238497/cover/2238497.jpg", "Обложка")</f>
        <v>Обложка</v>
      </c>
      <c r="V5806" s="8" t="s">
        <v>16493</v>
      </c>
      <c r="W5806" s="6"/>
      <c r="X5806" s="6"/>
      <c r="Y5806" s="6"/>
      <c r="Z5806" s="6" t="s">
        <v>267</v>
      </c>
      <c r="AA5806" s="6" t="s">
        <v>115</v>
      </c>
      <c r="AB5806" s="8"/>
      <c r="AC5806" s="27">
        <v>9785000915547</v>
      </c>
    </row>
    <row r="5807" spans="1:29" s="4" customFormat="1" ht="51.9" customHeight="1" x14ac:dyDescent="0.2">
      <c r="A5807" s="5">
        <v>0</v>
      </c>
      <c r="B5807" s="6" t="s">
        <v>33158</v>
      </c>
      <c r="C5807" s="7">
        <v>1156.8</v>
      </c>
      <c r="D5807" s="8" t="s">
        <v>33159</v>
      </c>
      <c r="E5807" s="8" t="s">
        <v>33160</v>
      </c>
      <c r="F5807" s="8" t="s">
        <v>33161</v>
      </c>
      <c r="G5807" s="6" t="s">
        <v>21</v>
      </c>
      <c r="H5807" s="6" t="s">
        <v>48</v>
      </c>
      <c r="I5807" s="8" t="s">
        <v>401</v>
      </c>
      <c r="J5807" s="9">
        <v>1</v>
      </c>
      <c r="K5807" s="9">
        <v>192</v>
      </c>
      <c r="L5807" s="9">
        <v>2024</v>
      </c>
      <c r="M5807" s="8" t="s">
        <v>33162</v>
      </c>
      <c r="N5807" s="8" t="s">
        <v>63</v>
      </c>
      <c r="O5807" s="8" t="s">
        <v>126</v>
      </c>
      <c r="P5807" s="6" t="s">
        <v>51</v>
      </c>
      <c r="Q5807" s="8" t="s">
        <v>265</v>
      </c>
      <c r="R5807" s="10" t="s">
        <v>29557</v>
      </c>
      <c r="S5807" s="11" t="s">
        <v>560</v>
      </c>
      <c r="T5807" s="6"/>
      <c r="U5807" s="15" t="str">
        <f>HYPERLINK("https://media.infra-m.ru/2082/2082887/cover/2082887.jpg", "Обложка")</f>
        <v>Обложка</v>
      </c>
      <c r="V5807" s="8" t="s">
        <v>33163</v>
      </c>
      <c r="W5807" s="6"/>
      <c r="X5807" s="6"/>
      <c r="Y5807" s="6"/>
      <c r="Z5807" s="6"/>
      <c r="AA5807" s="6" t="s">
        <v>43</v>
      </c>
      <c r="AB5807" s="8"/>
      <c r="AC5807" s="27">
        <v>9785911345860</v>
      </c>
    </row>
    <row r="5808" spans="1:29" s="4" customFormat="1" ht="51.9" customHeight="1" x14ac:dyDescent="0.2">
      <c r="A5808" s="5">
        <v>0</v>
      </c>
      <c r="B5808" s="6" t="s">
        <v>33164</v>
      </c>
      <c r="C5808" s="7">
        <v>1152</v>
      </c>
      <c r="D5808" s="8" t="s">
        <v>33165</v>
      </c>
      <c r="E5808" s="8" t="s">
        <v>33160</v>
      </c>
      <c r="F5808" s="8" t="s">
        <v>33161</v>
      </c>
      <c r="G5808" s="6" t="s">
        <v>118</v>
      </c>
      <c r="H5808" s="6" t="s">
        <v>48</v>
      </c>
      <c r="I5808" s="8" t="s">
        <v>401</v>
      </c>
      <c r="J5808" s="9">
        <v>1</v>
      </c>
      <c r="K5808" s="9">
        <v>192</v>
      </c>
      <c r="L5808" s="9">
        <v>2024</v>
      </c>
      <c r="M5808" s="8" t="s">
        <v>33162</v>
      </c>
      <c r="N5808" s="8" t="s">
        <v>63</v>
      </c>
      <c r="O5808" s="8" t="s">
        <v>126</v>
      </c>
      <c r="P5808" s="6" t="s">
        <v>51</v>
      </c>
      <c r="Q5808" s="8" t="s">
        <v>265</v>
      </c>
      <c r="R5808" s="10" t="s">
        <v>29557</v>
      </c>
      <c r="S5808" s="11" t="s">
        <v>560</v>
      </c>
      <c r="T5808" s="6"/>
      <c r="U5808" s="15" t="str">
        <f>HYPERLINK("https://media.infra-m.ru/2161/2161052/cover/2161052.jpg", "Обложка")</f>
        <v>Обложка</v>
      </c>
      <c r="V5808" s="8" t="s">
        <v>33163</v>
      </c>
      <c r="W5808" s="6"/>
      <c r="X5808" s="6"/>
      <c r="Y5808" s="6"/>
      <c r="Z5808" s="6"/>
      <c r="AA5808" s="6" t="s">
        <v>43</v>
      </c>
      <c r="AB5808" s="8"/>
      <c r="AC5808" s="27">
        <v>9785911345860</v>
      </c>
    </row>
    <row r="5809" spans="1:29" s="4" customFormat="1" ht="51.9" customHeight="1" x14ac:dyDescent="0.2">
      <c r="A5809" s="5">
        <v>0</v>
      </c>
      <c r="B5809" s="6" t="s">
        <v>33166</v>
      </c>
      <c r="C5809" s="13">
        <v>384</v>
      </c>
      <c r="D5809" s="8" t="s">
        <v>33167</v>
      </c>
      <c r="E5809" s="8" t="s">
        <v>33168</v>
      </c>
      <c r="F5809" s="8" t="s">
        <v>33169</v>
      </c>
      <c r="G5809" s="6" t="s">
        <v>33</v>
      </c>
      <c r="H5809" s="6" t="s">
        <v>34</v>
      </c>
      <c r="I5809" s="8" t="s">
        <v>271</v>
      </c>
      <c r="J5809" s="9">
        <v>1</v>
      </c>
      <c r="K5809" s="9">
        <v>120</v>
      </c>
      <c r="L5809" s="9">
        <v>2017</v>
      </c>
      <c r="M5809" s="8" t="s">
        <v>33170</v>
      </c>
      <c r="N5809" s="8" t="s">
        <v>37</v>
      </c>
      <c r="O5809" s="8" t="s">
        <v>280</v>
      </c>
      <c r="P5809" s="6" t="s">
        <v>234</v>
      </c>
      <c r="Q5809" s="8" t="s">
        <v>52</v>
      </c>
      <c r="R5809" s="10" t="s">
        <v>33171</v>
      </c>
      <c r="S5809" s="11" t="s">
        <v>2141</v>
      </c>
      <c r="T5809" s="6"/>
      <c r="U5809" s="15" t="str">
        <f>HYPERLINK("https://media.infra-m.ru/0767/0767822/cover/767822.jpg", "Обложка")</f>
        <v>Обложка</v>
      </c>
      <c r="V5809" s="8" t="s">
        <v>227</v>
      </c>
      <c r="W5809" s="6"/>
      <c r="X5809" s="6"/>
      <c r="Y5809" s="6"/>
      <c r="Z5809" s="6"/>
      <c r="AA5809" s="6" t="s">
        <v>3391</v>
      </c>
      <c r="AB5809" s="8"/>
      <c r="AC5809" s="27">
        <v>9785160125473</v>
      </c>
    </row>
    <row r="5810" spans="1:29" s="4" customFormat="1" ht="51.9" customHeight="1" x14ac:dyDescent="0.2">
      <c r="A5810" s="5">
        <v>0</v>
      </c>
      <c r="B5810" s="6" t="s">
        <v>33172</v>
      </c>
      <c r="C5810" s="13">
        <v>724.8</v>
      </c>
      <c r="D5810" s="8" t="s">
        <v>33173</v>
      </c>
      <c r="E5810" s="8" t="s">
        <v>33174</v>
      </c>
      <c r="F5810" s="8" t="s">
        <v>33175</v>
      </c>
      <c r="G5810" s="6" t="s">
        <v>33</v>
      </c>
      <c r="H5810" s="6" t="s">
        <v>34</v>
      </c>
      <c r="I5810" s="8" t="s">
        <v>271</v>
      </c>
      <c r="J5810" s="9">
        <v>1</v>
      </c>
      <c r="K5810" s="9">
        <v>131</v>
      </c>
      <c r="L5810" s="9">
        <v>2024</v>
      </c>
      <c r="M5810" s="8" t="s">
        <v>33176</v>
      </c>
      <c r="N5810" s="8" t="s">
        <v>37</v>
      </c>
      <c r="O5810" s="8" t="s">
        <v>280</v>
      </c>
      <c r="P5810" s="6" t="s">
        <v>51</v>
      </c>
      <c r="Q5810" s="8" t="s">
        <v>52</v>
      </c>
      <c r="R5810" s="10" t="s">
        <v>33171</v>
      </c>
      <c r="S5810" s="11" t="s">
        <v>5142</v>
      </c>
      <c r="T5810" s="6"/>
      <c r="U5810" s="15" t="str">
        <f>HYPERLINK("https://media.infra-m.ru/2053/2053973/cover/2053973.jpg", "Обложка")</f>
        <v>Обложка</v>
      </c>
      <c r="V5810" s="8" t="s">
        <v>227</v>
      </c>
      <c r="W5810" s="6"/>
      <c r="X5810" s="6"/>
      <c r="Y5810" s="6"/>
      <c r="Z5810" s="6"/>
      <c r="AA5810" s="6" t="s">
        <v>1031</v>
      </c>
      <c r="AB5810" s="8"/>
      <c r="AC5810" s="27">
        <v>9785160130705</v>
      </c>
    </row>
    <row r="5811" spans="1:29" s="4" customFormat="1" ht="51.9" customHeight="1" x14ac:dyDescent="0.2">
      <c r="A5811" s="5">
        <v>0</v>
      </c>
      <c r="B5811" s="6" t="s">
        <v>33177</v>
      </c>
      <c r="C5811" s="13">
        <v>977.9</v>
      </c>
      <c r="D5811" s="8" t="s">
        <v>33178</v>
      </c>
      <c r="E5811" s="8" t="s">
        <v>33179</v>
      </c>
      <c r="F5811" s="8" t="s">
        <v>33180</v>
      </c>
      <c r="G5811" s="6" t="s">
        <v>33</v>
      </c>
      <c r="H5811" s="6" t="s">
        <v>48</v>
      </c>
      <c r="I5811" s="8" t="s">
        <v>271</v>
      </c>
      <c r="J5811" s="9">
        <v>1</v>
      </c>
      <c r="K5811" s="9">
        <v>272</v>
      </c>
      <c r="L5811" s="9">
        <v>2019</v>
      </c>
      <c r="M5811" s="8" t="s">
        <v>33181</v>
      </c>
      <c r="N5811" s="8" t="s">
        <v>243</v>
      </c>
      <c r="O5811" s="8" t="s">
        <v>1100</v>
      </c>
      <c r="P5811" s="6" t="s">
        <v>51</v>
      </c>
      <c r="Q5811" s="8" t="s">
        <v>52</v>
      </c>
      <c r="R5811" s="10" t="s">
        <v>33182</v>
      </c>
      <c r="S5811" s="11" t="s">
        <v>33183</v>
      </c>
      <c r="T5811" s="6"/>
      <c r="U5811" s="15" t="str">
        <f>HYPERLINK("https://media.infra-m.ru/1009/1009621/cover/1009621.jpg", "Обложка")</f>
        <v>Обложка</v>
      </c>
      <c r="V5811" s="8" t="s">
        <v>1030</v>
      </c>
      <c r="W5811" s="6"/>
      <c r="X5811" s="6"/>
      <c r="Y5811" s="6"/>
      <c r="Z5811" s="6"/>
      <c r="AA5811" s="6" t="s">
        <v>274</v>
      </c>
      <c r="AB5811" s="8"/>
      <c r="AC5811" s="27">
        <v>9785911349547</v>
      </c>
    </row>
    <row r="5812" spans="1:29" s="4" customFormat="1" ht="42" customHeight="1" x14ac:dyDescent="0.2">
      <c r="A5812" s="5">
        <v>0</v>
      </c>
      <c r="B5812" s="6" t="s">
        <v>33184</v>
      </c>
      <c r="C5812" s="7">
        <v>1296</v>
      </c>
      <c r="D5812" s="8" t="s">
        <v>33185</v>
      </c>
      <c r="E5812" s="8" t="s">
        <v>33186</v>
      </c>
      <c r="F5812" s="8" t="s">
        <v>33187</v>
      </c>
      <c r="G5812" s="6" t="s">
        <v>33</v>
      </c>
      <c r="H5812" s="6" t="s">
        <v>134</v>
      </c>
      <c r="I5812" s="8" t="s">
        <v>10823</v>
      </c>
      <c r="J5812" s="9">
        <v>1</v>
      </c>
      <c r="K5812" s="9">
        <v>208</v>
      </c>
      <c r="L5812" s="9">
        <v>2025</v>
      </c>
      <c r="M5812" s="8" t="s">
        <v>33188</v>
      </c>
      <c r="N5812" s="8" t="s">
        <v>37</v>
      </c>
      <c r="O5812" s="8" t="s">
        <v>136</v>
      </c>
      <c r="P5812" s="6" t="s">
        <v>394</v>
      </c>
      <c r="Q5812" s="8" t="s">
        <v>52</v>
      </c>
      <c r="R5812" s="10" t="s">
        <v>1625</v>
      </c>
      <c r="S5812" s="11"/>
      <c r="T5812" s="6"/>
      <c r="U5812" s="15" t="str">
        <f>HYPERLINK("https://media.infra-m.ru/2204/2204411/cover/2204411.jpg", "Обложка")</f>
        <v>Обложка</v>
      </c>
      <c r="V5812" s="8" t="s">
        <v>1675</v>
      </c>
      <c r="W5812" s="6"/>
      <c r="X5812" s="6"/>
      <c r="Y5812" s="6"/>
      <c r="Z5812" s="6"/>
      <c r="AA5812" s="6" t="s">
        <v>274</v>
      </c>
      <c r="AB5812" s="8"/>
      <c r="AC5812" s="27">
        <v>9785917685137</v>
      </c>
    </row>
    <row r="5813" spans="1:29" s="4" customFormat="1" ht="51.9" customHeight="1" x14ac:dyDescent="0.2">
      <c r="A5813" s="5">
        <v>0</v>
      </c>
      <c r="B5813" s="6" t="s">
        <v>33189</v>
      </c>
      <c r="C5813" s="7">
        <v>1416</v>
      </c>
      <c r="D5813" s="8" t="s">
        <v>33190</v>
      </c>
      <c r="E5813" s="8" t="s">
        <v>33191</v>
      </c>
      <c r="F5813" s="8" t="s">
        <v>24248</v>
      </c>
      <c r="G5813" s="6" t="s">
        <v>118</v>
      </c>
      <c r="H5813" s="6" t="s">
        <v>34</v>
      </c>
      <c r="I5813" s="8" t="s">
        <v>253</v>
      </c>
      <c r="J5813" s="9">
        <v>1</v>
      </c>
      <c r="K5813" s="9">
        <v>255</v>
      </c>
      <c r="L5813" s="9">
        <v>2024</v>
      </c>
      <c r="M5813" s="8" t="s">
        <v>33192</v>
      </c>
      <c r="N5813" s="8" t="s">
        <v>93</v>
      </c>
      <c r="O5813" s="8" t="s">
        <v>14479</v>
      </c>
      <c r="P5813" s="6" t="s">
        <v>51</v>
      </c>
      <c r="Q5813" s="8" t="s">
        <v>65</v>
      </c>
      <c r="R5813" s="10" t="s">
        <v>553</v>
      </c>
      <c r="S5813" s="11" t="s">
        <v>33193</v>
      </c>
      <c r="T5813" s="6"/>
      <c r="U5813" s="15" t="str">
        <f>HYPERLINK("https://media.infra-m.ru/2053/2053226/cover/2053226.jpg", "Обложка")</f>
        <v>Обложка</v>
      </c>
      <c r="V5813" s="8" t="s">
        <v>4448</v>
      </c>
      <c r="W5813" s="6"/>
      <c r="X5813" s="6"/>
      <c r="Y5813" s="6"/>
      <c r="Z5813" s="6"/>
      <c r="AA5813" s="6" t="s">
        <v>33194</v>
      </c>
      <c r="AB5813" s="8" t="s">
        <v>493</v>
      </c>
      <c r="AC5813" s="27">
        <v>9785160190129</v>
      </c>
    </row>
    <row r="5814" spans="1:29" s="4" customFormat="1" ht="51.9" customHeight="1" x14ac:dyDescent="0.2">
      <c r="A5814" s="5">
        <v>0</v>
      </c>
      <c r="B5814" s="6" t="s">
        <v>33195</v>
      </c>
      <c r="C5814" s="13">
        <v>881.9</v>
      </c>
      <c r="D5814" s="8" t="s">
        <v>33196</v>
      </c>
      <c r="E5814" s="8" t="s">
        <v>33197</v>
      </c>
      <c r="F5814" s="8" t="s">
        <v>24254</v>
      </c>
      <c r="G5814" s="6" t="s">
        <v>60</v>
      </c>
      <c r="H5814" s="6" t="s">
        <v>1795</v>
      </c>
      <c r="I5814" s="8"/>
      <c r="J5814" s="9">
        <v>1</v>
      </c>
      <c r="K5814" s="9">
        <v>252</v>
      </c>
      <c r="L5814" s="9">
        <v>2017</v>
      </c>
      <c r="M5814" s="8" t="s">
        <v>33198</v>
      </c>
      <c r="N5814" s="8" t="s">
        <v>63</v>
      </c>
      <c r="O5814" s="8" t="s">
        <v>64</v>
      </c>
      <c r="P5814" s="6" t="s">
        <v>51</v>
      </c>
      <c r="Q5814" s="8" t="s">
        <v>65</v>
      </c>
      <c r="R5814" s="10" t="s">
        <v>553</v>
      </c>
      <c r="S5814" s="11" t="s">
        <v>33199</v>
      </c>
      <c r="T5814" s="6"/>
      <c r="U5814" s="15" t="str">
        <f>HYPERLINK("https://media.infra-m.ru/0895/0895218/cover/895218.jpg", "Обложка")</f>
        <v>Обложка</v>
      </c>
      <c r="V5814" s="8" t="s">
        <v>4448</v>
      </c>
      <c r="W5814" s="6"/>
      <c r="X5814" s="6"/>
      <c r="Y5814" s="6"/>
      <c r="Z5814" s="6"/>
      <c r="AA5814" s="6" t="s">
        <v>33200</v>
      </c>
      <c r="AB5814" s="8" t="s">
        <v>493</v>
      </c>
      <c r="AC5814" s="27">
        <v>9785982814135</v>
      </c>
    </row>
    <row r="5815" spans="1:29" s="4" customFormat="1" ht="42" customHeight="1" x14ac:dyDescent="0.2">
      <c r="A5815" s="5">
        <v>0</v>
      </c>
      <c r="B5815" s="6" t="s">
        <v>33201</v>
      </c>
      <c r="C5815" s="7">
        <v>1536</v>
      </c>
      <c r="D5815" s="8" t="s">
        <v>33202</v>
      </c>
      <c r="E5815" s="8" t="s">
        <v>33203</v>
      </c>
      <c r="F5815" s="8" t="s">
        <v>33204</v>
      </c>
      <c r="G5815" s="6" t="s">
        <v>60</v>
      </c>
      <c r="H5815" s="6" t="s">
        <v>34</v>
      </c>
      <c r="I5815" s="8" t="s">
        <v>253</v>
      </c>
      <c r="J5815" s="9">
        <v>1</v>
      </c>
      <c r="K5815" s="9">
        <v>242</v>
      </c>
      <c r="L5815" s="9">
        <v>2025</v>
      </c>
      <c r="M5815" s="8" t="s">
        <v>33205</v>
      </c>
      <c r="N5815" s="8" t="s">
        <v>63</v>
      </c>
      <c r="O5815" s="8" t="s">
        <v>64</v>
      </c>
      <c r="P5815" s="6" t="s">
        <v>234</v>
      </c>
      <c r="Q5815" s="8" t="s">
        <v>52</v>
      </c>
      <c r="R5815" s="10" t="s">
        <v>2760</v>
      </c>
      <c r="S5815" s="11"/>
      <c r="T5815" s="6"/>
      <c r="U5815" s="15" t="str">
        <f>HYPERLINK("https://media.infra-m.ru/1865/1865713/cover/1865713.jpg", "Обложка")</f>
        <v>Обложка</v>
      </c>
      <c r="V5815" s="8" t="s">
        <v>227</v>
      </c>
      <c r="W5815" s="6"/>
      <c r="X5815" s="6"/>
      <c r="Y5815" s="6"/>
      <c r="Z5815" s="6"/>
      <c r="AA5815" s="6" t="s">
        <v>68</v>
      </c>
      <c r="AB5815" s="8"/>
      <c r="AC5815" s="27">
        <v>9785160176666</v>
      </c>
    </row>
    <row r="5816" spans="1:29" s="4" customFormat="1" ht="51.9" customHeight="1" x14ac:dyDescent="0.2">
      <c r="A5816" s="5">
        <v>0</v>
      </c>
      <c r="B5816" s="6" t="s">
        <v>33206</v>
      </c>
      <c r="C5816" s="13">
        <v>984</v>
      </c>
      <c r="D5816" s="8" t="s">
        <v>33207</v>
      </c>
      <c r="E5816" s="8" t="s">
        <v>33208</v>
      </c>
      <c r="F5816" s="8" t="s">
        <v>33209</v>
      </c>
      <c r="G5816" s="6" t="s">
        <v>60</v>
      </c>
      <c r="H5816" s="6" t="s">
        <v>34</v>
      </c>
      <c r="I5816" s="8" t="s">
        <v>1248</v>
      </c>
      <c r="J5816" s="9">
        <v>1</v>
      </c>
      <c r="K5816" s="9">
        <v>122</v>
      </c>
      <c r="L5816" s="9">
        <v>2026</v>
      </c>
      <c r="M5816" s="8" t="s">
        <v>33210</v>
      </c>
      <c r="N5816" s="8" t="s">
        <v>63</v>
      </c>
      <c r="O5816" s="8" t="s">
        <v>64</v>
      </c>
      <c r="P5816" s="6" t="s">
        <v>51</v>
      </c>
      <c r="Q5816" s="8" t="s">
        <v>52</v>
      </c>
      <c r="R5816" s="10" t="s">
        <v>33211</v>
      </c>
      <c r="S5816" s="11"/>
      <c r="T5816" s="6"/>
      <c r="U5816" s="15" t="str">
        <f>HYPERLINK("https://media.infra-m.ru/2223/2223542/cover/2223542.jpg", "Обложка")</f>
        <v>Обложка</v>
      </c>
      <c r="V5816" s="8" t="s">
        <v>1083</v>
      </c>
      <c r="W5816" s="6" t="s">
        <v>528</v>
      </c>
      <c r="X5816" s="6"/>
      <c r="Y5816" s="6"/>
      <c r="Z5816" s="6"/>
      <c r="AA5816" s="6" t="s">
        <v>187</v>
      </c>
      <c r="AB5816" s="8"/>
      <c r="AC5816" s="27">
        <v>9785160213910</v>
      </c>
    </row>
    <row r="5817" spans="1:29" s="4" customFormat="1" ht="51.9" customHeight="1" x14ac:dyDescent="0.2">
      <c r="A5817" s="5">
        <v>0</v>
      </c>
      <c r="B5817" s="6" t="s">
        <v>33212</v>
      </c>
      <c r="C5817" s="7">
        <v>1380</v>
      </c>
      <c r="D5817" s="8" t="s">
        <v>33213</v>
      </c>
      <c r="E5817" s="8" t="s">
        <v>33191</v>
      </c>
      <c r="F5817" s="8" t="s">
        <v>24248</v>
      </c>
      <c r="G5817" s="6" t="s">
        <v>118</v>
      </c>
      <c r="H5817" s="6" t="s">
        <v>34</v>
      </c>
      <c r="I5817" s="8" t="s">
        <v>263</v>
      </c>
      <c r="J5817" s="9">
        <v>1</v>
      </c>
      <c r="K5817" s="9">
        <v>255</v>
      </c>
      <c r="L5817" s="9">
        <v>2023</v>
      </c>
      <c r="M5817" s="8" t="s">
        <v>33214</v>
      </c>
      <c r="N5817" s="8" t="s">
        <v>63</v>
      </c>
      <c r="O5817" s="8" t="s">
        <v>64</v>
      </c>
      <c r="P5817" s="6" t="s">
        <v>51</v>
      </c>
      <c r="Q5817" s="8" t="s">
        <v>265</v>
      </c>
      <c r="R5817" s="10" t="s">
        <v>33215</v>
      </c>
      <c r="S5817" s="11" t="s">
        <v>19134</v>
      </c>
      <c r="T5817" s="6"/>
      <c r="U5817" s="15" t="str">
        <f>HYPERLINK("https://media.infra-m.ru/1931/1931473/cover/1931473.jpg", "Обложка")</f>
        <v>Обложка</v>
      </c>
      <c r="V5817" s="8" t="s">
        <v>4448</v>
      </c>
      <c r="W5817" s="6"/>
      <c r="X5817" s="6" t="s">
        <v>24</v>
      </c>
      <c r="Y5817" s="6"/>
      <c r="Z5817" s="6" t="s">
        <v>882</v>
      </c>
      <c r="AA5817" s="6" t="s">
        <v>33216</v>
      </c>
      <c r="AB5817" s="8"/>
      <c r="AC5817" s="27">
        <v>9785160157047</v>
      </c>
    </row>
    <row r="5818" spans="1:29" s="4" customFormat="1" ht="51.9" customHeight="1" x14ac:dyDescent="0.2">
      <c r="A5818" s="5">
        <v>0</v>
      </c>
      <c r="B5818" s="6" t="s">
        <v>33217</v>
      </c>
      <c r="C5818" s="7">
        <v>1800</v>
      </c>
      <c r="D5818" s="8" t="s">
        <v>33218</v>
      </c>
      <c r="E5818" s="8" t="s">
        <v>33219</v>
      </c>
      <c r="F5818" s="8" t="s">
        <v>33220</v>
      </c>
      <c r="G5818" s="6" t="s">
        <v>118</v>
      </c>
      <c r="H5818" s="6" t="s">
        <v>34</v>
      </c>
      <c r="I5818" s="8" t="s">
        <v>253</v>
      </c>
      <c r="J5818" s="9">
        <v>1</v>
      </c>
      <c r="K5818" s="9">
        <v>272</v>
      </c>
      <c r="L5818" s="9">
        <v>2026</v>
      </c>
      <c r="M5818" s="8" t="s">
        <v>33221</v>
      </c>
      <c r="N5818" s="8" t="s">
        <v>63</v>
      </c>
      <c r="O5818" s="8" t="s">
        <v>154</v>
      </c>
      <c r="P5818" s="6" t="s">
        <v>105</v>
      </c>
      <c r="Q5818" s="8" t="s">
        <v>52</v>
      </c>
      <c r="R5818" s="10" t="s">
        <v>19190</v>
      </c>
      <c r="S5818" s="11" t="s">
        <v>10984</v>
      </c>
      <c r="T5818" s="6"/>
      <c r="U5818" s="15" t="str">
        <f>HYPERLINK("https://media.infra-m.ru/2197/2197181/cover/2197181.jpg", "Обложка")</f>
        <v>Обложка</v>
      </c>
      <c r="V5818" s="8" t="s">
        <v>9514</v>
      </c>
      <c r="W5818" s="6"/>
      <c r="X5818" s="6"/>
      <c r="Y5818" s="6"/>
      <c r="Z5818" s="6"/>
      <c r="AA5818" s="6" t="s">
        <v>274</v>
      </c>
      <c r="AB5818" s="8"/>
      <c r="AC5818" s="27">
        <v>9785160216133</v>
      </c>
    </row>
    <row r="5819" spans="1:29" s="4" customFormat="1" ht="51.9" customHeight="1" x14ac:dyDescent="0.2">
      <c r="A5819" s="5">
        <v>0</v>
      </c>
      <c r="B5819" s="6" t="s">
        <v>33222</v>
      </c>
      <c r="C5819" s="13">
        <v>977.9</v>
      </c>
      <c r="D5819" s="8" t="s">
        <v>33223</v>
      </c>
      <c r="E5819" s="8" t="s">
        <v>33219</v>
      </c>
      <c r="F5819" s="8" t="s">
        <v>33220</v>
      </c>
      <c r="G5819" s="6" t="s">
        <v>33</v>
      </c>
      <c r="H5819" s="6" t="s">
        <v>48</v>
      </c>
      <c r="I5819" s="8"/>
      <c r="J5819" s="9">
        <v>1</v>
      </c>
      <c r="K5819" s="9">
        <v>272</v>
      </c>
      <c r="L5819" s="9">
        <v>2018</v>
      </c>
      <c r="M5819" s="8" t="s">
        <v>33224</v>
      </c>
      <c r="N5819" s="8" t="s">
        <v>63</v>
      </c>
      <c r="O5819" s="8" t="s">
        <v>154</v>
      </c>
      <c r="P5819" s="6" t="s">
        <v>105</v>
      </c>
      <c r="Q5819" s="8" t="s">
        <v>749</v>
      </c>
      <c r="R5819" s="10" t="s">
        <v>19190</v>
      </c>
      <c r="S5819" s="11" t="s">
        <v>33225</v>
      </c>
      <c r="T5819" s="6"/>
      <c r="U5819" s="15" t="str">
        <f>HYPERLINK("https://media.infra-m.ru/0952/0952321/cover/952321.jpg", "Обложка")</f>
        <v>Обложка</v>
      </c>
      <c r="V5819" s="8" t="s">
        <v>9514</v>
      </c>
      <c r="W5819" s="6"/>
      <c r="X5819" s="6"/>
      <c r="Y5819" s="6"/>
      <c r="Z5819" s="6"/>
      <c r="AA5819" s="6" t="s">
        <v>274</v>
      </c>
      <c r="AB5819" s="8"/>
      <c r="AC5819" s="27">
        <v>9785000910801</v>
      </c>
    </row>
    <row r="5820" spans="1:29" s="4" customFormat="1" ht="51.9" customHeight="1" x14ac:dyDescent="0.2">
      <c r="A5820" s="5">
        <v>0</v>
      </c>
      <c r="B5820" s="6" t="s">
        <v>33226</v>
      </c>
      <c r="C5820" s="7">
        <v>1308</v>
      </c>
      <c r="D5820" s="8" t="s">
        <v>33227</v>
      </c>
      <c r="E5820" s="8" t="s">
        <v>33228</v>
      </c>
      <c r="F5820" s="8" t="s">
        <v>33229</v>
      </c>
      <c r="G5820" s="6" t="s">
        <v>118</v>
      </c>
      <c r="H5820" s="6" t="s">
        <v>34</v>
      </c>
      <c r="I5820" s="8" t="s">
        <v>9737</v>
      </c>
      <c r="J5820" s="9">
        <v>1</v>
      </c>
      <c r="K5820" s="9">
        <v>219</v>
      </c>
      <c r="L5820" s="9">
        <v>2024</v>
      </c>
      <c r="M5820" s="8" t="s">
        <v>33230</v>
      </c>
      <c r="N5820" s="8" t="s">
        <v>37</v>
      </c>
      <c r="O5820" s="8" t="s">
        <v>136</v>
      </c>
      <c r="P5820" s="6" t="s">
        <v>105</v>
      </c>
      <c r="Q5820" s="8" t="s">
        <v>1349</v>
      </c>
      <c r="R5820" s="10" t="s">
        <v>1661</v>
      </c>
      <c r="S5820" s="11"/>
      <c r="T5820" s="6"/>
      <c r="U5820" s="15" t="str">
        <f>HYPERLINK("https://media.infra-m.ru/2119/2119560/cover/2119560.jpg", "Обложка")</f>
        <v>Обложка</v>
      </c>
      <c r="V5820" s="8" t="s">
        <v>22691</v>
      </c>
      <c r="W5820" s="6"/>
      <c r="X5820" s="6"/>
      <c r="Y5820" s="6"/>
      <c r="Z5820" s="6"/>
      <c r="AA5820" s="6" t="s">
        <v>76</v>
      </c>
      <c r="AB5820" s="8"/>
      <c r="AC5820" s="27">
        <v>9785160175256</v>
      </c>
    </row>
    <row r="5821" spans="1:29" s="4" customFormat="1" ht="42" customHeight="1" x14ac:dyDescent="0.2">
      <c r="A5821" s="5">
        <v>0</v>
      </c>
      <c r="B5821" s="6" t="s">
        <v>33231</v>
      </c>
      <c r="C5821" s="7">
        <v>2700</v>
      </c>
      <c r="D5821" s="8" t="s">
        <v>33232</v>
      </c>
      <c r="E5821" s="8" t="s">
        <v>33233</v>
      </c>
      <c r="F5821" s="8" t="s">
        <v>18164</v>
      </c>
      <c r="G5821" s="6" t="s">
        <v>60</v>
      </c>
      <c r="H5821" s="6" t="s">
        <v>34</v>
      </c>
      <c r="I5821" s="8" t="s">
        <v>304</v>
      </c>
      <c r="J5821" s="9">
        <v>1</v>
      </c>
      <c r="K5821" s="9">
        <v>432</v>
      </c>
      <c r="L5821" s="9">
        <v>2025</v>
      </c>
      <c r="M5821" s="8" t="s">
        <v>33234</v>
      </c>
      <c r="N5821" s="8" t="s">
        <v>63</v>
      </c>
      <c r="O5821" s="8" t="s">
        <v>64</v>
      </c>
      <c r="P5821" s="6" t="s">
        <v>306</v>
      </c>
      <c r="Q5821" s="8" t="s">
        <v>65</v>
      </c>
      <c r="R5821" s="10" t="s">
        <v>33235</v>
      </c>
      <c r="S5821" s="11"/>
      <c r="T5821" s="6"/>
      <c r="U5821" s="15" t="str">
        <f>HYPERLINK("https://media.infra-m.ru/2203/2203210/cover/2203210.jpg", "Обложка")</f>
        <v>Обложка</v>
      </c>
      <c r="V5821" s="8" t="s">
        <v>3087</v>
      </c>
      <c r="W5821" s="6"/>
      <c r="X5821" s="6"/>
      <c r="Y5821" s="6"/>
      <c r="Z5821" s="6"/>
      <c r="AA5821" s="6" t="s">
        <v>68</v>
      </c>
      <c r="AB5821" s="8" t="s">
        <v>11878</v>
      </c>
      <c r="AC5821" s="27">
        <v>9785160208015</v>
      </c>
    </row>
    <row r="5822" spans="1:29" s="4" customFormat="1" ht="51.9" customHeight="1" x14ac:dyDescent="0.2">
      <c r="A5822" s="5">
        <v>0</v>
      </c>
      <c r="B5822" s="6" t="s">
        <v>33236</v>
      </c>
      <c r="C5822" s="7">
        <v>2092.8000000000002</v>
      </c>
      <c r="D5822" s="8" t="s">
        <v>33237</v>
      </c>
      <c r="E5822" s="8" t="s">
        <v>33238</v>
      </c>
      <c r="F5822" s="8" t="s">
        <v>13238</v>
      </c>
      <c r="G5822" s="6" t="s">
        <v>118</v>
      </c>
      <c r="H5822" s="6" t="s">
        <v>1042</v>
      </c>
      <c r="I5822" s="8" t="s">
        <v>253</v>
      </c>
      <c r="J5822" s="9">
        <v>1</v>
      </c>
      <c r="K5822" s="9">
        <v>317</v>
      </c>
      <c r="L5822" s="9">
        <v>2026</v>
      </c>
      <c r="M5822" s="8" t="s">
        <v>33239</v>
      </c>
      <c r="N5822" s="8" t="s">
        <v>585</v>
      </c>
      <c r="O5822" s="8" t="s">
        <v>667</v>
      </c>
      <c r="P5822" s="6" t="s">
        <v>51</v>
      </c>
      <c r="Q5822" s="8" t="s">
        <v>52</v>
      </c>
      <c r="R5822" s="10" t="s">
        <v>33240</v>
      </c>
      <c r="S5822" s="11" t="s">
        <v>33241</v>
      </c>
      <c r="T5822" s="6" t="s">
        <v>97</v>
      </c>
      <c r="U5822" s="15" t="str">
        <f>HYPERLINK("https://media.infra-m.ru/2233/2233614/cover/2233614.jpg", "Обложка")</f>
        <v>Обложка</v>
      </c>
      <c r="V5822" s="8" t="s">
        <v>247</v>
      </c>
      <c r="W5822" s="6"/>
      <c r="X5822" s="6"/>
      <c r="Y5822" s="6"/>
      <c r="Z5822" s="6"/>
      <c r="AA5822" s="6" t="s">
        <v>779</v>
      </c>
      <c r="AB5822" s="8"/>
      <c r="AC5822" s="27">
        <v>9785819909584</v>
      </c>
    </row>
    <row r="5823" spans="1:29" s="4" customFormat="1" ht="51.9" customHeight="1" x14ac:dyDescent="0.2">
      <c r="A5823" s="5">
        <v>0</v>
      </c>
      <c r="B5823" s="6" t="s">
        <v>33242</v>
      </c>
      <c r="C5823" s="7">
        <v>1272</v>
      </c>
      <c r="D5823" s="8" t="s">
        <v>33243</v>
      </c>
      <c r="E5823" s="8" t="s">
        <v>33244</v>
      </c>
      <c r="F5823" s="8" t="s">
        <v>33245</v>
      </c>
      <c r="G5823" s="6" t="s">
        <v>118</v>
      </c>
      <c r="H5823" s="6" t="s">
        <v>134</v>
      </c>
      <c r="I5823" s="8"/>
      <c r="J5823" s="9">
        <v>1</v>
      </c>
      <c r="K5823" s="9">
        <v>192</v>
      </c>
      <c r="L5823" s="9">
        <v>2026</v>
      </c>
      <c r="M5823" s="8" t="s">
        <v>33246</v>
      </c>
      <c r="N5823" s="8" t="s">
        <v>37</v>
      </c>
      <c r="O5823" s="8" t="s">
        <v>136</v>
      </c>
      <c r="P5823" s="6" t="s">
        <v>394</v>
      </c>
      <c r="Q5823" s="8" t="s">
        <v>65</v>
      </c>
      <c r="R5823" s="10" t="s">
        <v>1275</v>
      </c>
      <c r="S5823" s="11"/>
      <c r="T5823" s="6"/>
      <c r="U5823" s="15" t="str">
        <f>HYPERLINK("https://media.infra-m.ru/2215/2215880/cover/2215880.jpg", "Обложка")</f>
        <v>Обложка</v>
      </c>
      <c r="V5823" s="8" t="s">
        <v>1184</v>
      </c>
      <c r="W5823" s="6"/>
      <c r="X5823" s="6"/>
      <c r="Y5823" s="6"/>
      <c r="Z5823" s="6"/>
      <c r="AA5823" s="6" t="s">
        <v>115</v>
      </c>
      <c r="AB5823" s="8"/>
      <c r="AC5823" s="27">
        <v>9785001560067</v>
      </c>
    </row>
    <row r="5824" spans="1:29" s="4" customFormat="1" ht="51.9" customHeight="1" x14ac:dyDescent="0.2">
      <c r="A5824" s="5">
        <v>0</v>
      </c>
      <c r="B5824" s="6" t="s">
        <v>33247</v>
      </c>
      <c r="C5824" s="7">
        <v>1008</v>
      </c>
      <c r="D5824" s="8" t="s">
        <v>33248</v>
      </c>
      <c r="E5824" s="8" t="s">
        <v>33244</v>
      </c>
      <c r="F5824" s="8" t="s">
        <v>33245</v>
      </c>
      <c r="G5824" s="6" t="s">
        <v>118</v>
      </c>
      <c r="H5824" s="6" t="s">
        <v>134</v>
      </c>
      <c r="I5824" s="8"/>
      <c r="J5824" s="9">
        <v>1</v>
      </c>
      <c r="K5824" s="9">
        <v>144</v>
      </c>
      <c r="L5824" s="9">
        <v>2027</v>
      </c>
      <c r="M5824" s="8" t="s">
        <v>33249</v>
      </c>
      <c r="N5824" s="8" t="s">
        <v>37</v>
      </c>
      <c r="O5824" s="8" t="s">
        <v>136</v>
      </c>
      <c r="P5824" s="6" t="s">
        <v>51</v>
      </c>
      <c r="Q5824" s="8" t="s">
        <v>52</v>
      </c>
      <c r="R5824" s="10" t="s">
        <v>1275</v>
      </c>
      <c r="S5824" s="11"/>
      <c r="T5824" s="6"/>
      <c r="U5824" s="15" t="str">
        <f>HYPERLINK("https://media.infra-m.ru/2261/2261238/cover/2261238.jpg", "Обложка")</f>
        <v>Обложка</v>
      </c>
      <c r="V5824" s="8" t="s">
        <v>1184</v>
      </c>
      <c r="W5824" s="6"/>
      <c r="X5824" s="6"/>
      <c r="Y5824" s="6"/>
      <c r="Z5824" s="6"/>
      <c r="AA5824" s="6" t="s">
        <v>86</v>
      </c>
      <c r="AB5824" s="8"/>
      <c r="AC5824" s="27">
        <v>9785917688947</v>
      </c>
    </row>
    <row r="5825" spans="1:29" s="4" customFormat="1" ht="51.9" customHeight="1" x14ac:dyDescent="0.2">
      <c r="A5825" s="5">
        <v>0</v>
      </c>
      <c r="B5825" s="6" t="s">
        <v>33250</v>
      </c>
      <c r="C5825" s="7">
        <v>1128</v>
      </c>
      <c r="D5825" s="8" t="s">
        <v>33251</v>
      </c>
      <c r="E5825" s="8" t="s">
        <v>33252</v>
      </c>
      <c r="F5825" s="8" t="s">
        <v>9164</v>
      </c>
      <c r="G5825" s="6" t="s">
        <v>118</v>
      </c>
      <c r="H5825" s="6" t="s">
        <v>34</v>
      </c>
      <c r="I5825" s="8" t="s">
        <v>263</v>
      </c>
      <c r="J5825" s="9">
        <v>1</v>
      </c>
      <c r="K5825" s="9">
        <v>155</v>
      </c>
      <c r="L5825" s="9">
        <v>2027</v>
      </c>
      <c r="M5825" s="8" t="s">
        <v>33253</v>
      </c>
      <c r="N5825" s="8" t="s">
        <v>37</v>
      </c>
      <c r="O5825" s="8" t="s">
        <v>233</v>
      </c>
      <c r="P5825" s="6" t="s">
        <v>51</v>
      </c>
      <c r="Q5825" s="8" t="s">
        <v>265</v>
      </c>
      <c r="R5825" s="10" t="s">
        <v>33254</v>
      </c>
      <c r="S5825" s="11"/>
      <c r="T5825" s="6"/>
      <c r="U5825" s="15" t="str">
        <f>HYPERLINK("https://media.infra-m.ru/2267/2267476/cover/2267476.jpg", "Обложка")</f>
        <v>Обложка</v>
      </c>
      <c r="V5825" s="8" t="s">
        <v>396</v>
      </c>
      <c r="W5825" s="6"/>
      <c r="X5825" s="6"/>
      <c r="Y5825" s="6"/>
      <c r="Z5825" s="6"/>
      <c r="AA5825" s="6" t="s">
        <v>76</v>
      </c>
      <c r="AB5825" s="8" t="s">
        <v>944</v>
      </c>
      <c r="AC5825" s="27">
        <v>9785160185804</v>
      </c>
    </row>
    <row r="5826" spans="1:29" s="4" customFormat="1" ht="51.9" customHeight="1" x14ac:dyDescent="0.2">
      <c r="A5826" s="5">
        <v>0</v>
      </c>
      <c r="B5826" s="6" t="s">
        <v>33255</v>
      </c>
      <c r="C5826" s="7">
        <v>2448</v>
      </c>
      <c r="D5826" s="8" t="s">
        <v>33256</v>
      </c>
      <c r="E5826" s="8" t="s">
        <v>33257</v>
      </c>
      <c r="F5826" s="8" t="s">
        <v>33258</v>
      </c>
      <c r="G5826" s="6" t="s">
        <v>118</v>
      </c>
      <c r="H5826" s="6" t="s">
        <v>34</v>
      </c>
      <c r="I5826" s="8" t="s">
        <v>263</v>
      </c>
      <c r="J5826" s="9">
        <v>1</v>
      </c>
      <c r="K5826" s="9">
        <v>352</v>
      </c>
      <c r="L5826" s="9">
        <v>2027</v>
      </c>
      <c r="M5826" s="8" t="s">
        <v>33259</v>
      </c>
      <c r="N5826" s="8" t="s">
        <v>37</v>
      </c>
      <c r="O5826" s="8" t="s">
        <v>233</v>
      </c>
      <c r="P5826" s="6" t="s">
        <v>306</v>
      </c>
      <c r="Q5826" s="8" t="s">
        <v>265</v>
      </c>
      <c r="R5826" s="10" t="s">
        <v>3777</v>
      </c>
      <c r="S5826" s="11" t="s">
        <v>33260</v>
      </c>
      <c r="T5826" s="6"/>
      <c r="U5826" s="15" t="str">
        <f>HYPERLINK("https://media.infra-m.ru/2263/2263263/cover/2263263.jpg", "Обложка")</f>
        <v>Обложка</v>
      </c>
      <c r="V5826" s="8" t="s">
        <v>5143</v>
      </c>
      <c r="W5826" s="6"/>
      <c r="X5826" s="6"/>
      <c r="Y5826" s="6"/>
      <c r="Z5826" s="6"/>
      <c r="AA5826" s="6" t="s">
        <v>1256</v>
      </c>
      <c r="AB5826" s="8" t="s">
        <v>1418</v>
      </c>
      <c r="AC5826" s="27">
        <v>9785160147949</v>
      </c>
    </row>
    <row r="5827" spans="1:29" s="4" customFormat="1" ht="51.9" customHeight="1" x14ac:dyDescent="0.2">
      <c r="A5827" s="5">
        <v>0</v>
      </c>
      <c r="B5827" s="6" t="s">
        <v>33261</v>
      </c>
      <c r="C5827" s="7">
        <v>3564</v>
      </c>
      <c r="D5827" s="8" t="s">
        <v>33262</v>
      </c>
      <c r="E5827" s="8" t="s">
        <v>33263</v>
      </c>
      <c r="F5827" s="8" t="s">
        <v>33264</v>
      </c>
      <c r="G5827" s="6" t="s">
        <v>60</v>
      </c>
      <c r="H5827" s="6" t="s">
        <v>34</v>
      </c>
      <c r="I5827" s="8" t="s">
        <v>263</v>
      </c>
      <c r="J5827" s="9">
        <v>1</v>
      </c>
      <c r="K5827" s="9">
        <v>541</v>
      </c>
      <c r="L5827" s="9">
        <v>2026</v>
      </c>
      <c r="M5827" s="8" t="s">
        <v>33265</v>
      </c>
      <c r="N5827" s="8" t="s">
        <v>37</v>
      </c>
      <c r="O5827" s="8" t="s">
        <v>233</v>
      </c>
      <c r="P5827" s="6" t="s">
        <v>51</v>
      </c>
      <c r="Q5827" s="8" t="s">
        <v>265</v>
      </c>
      <c r="R5827" s="10" t="s">
        <v>3777</v>
      </c>
      <c r="S5827" s="11" t="s">
        <v>33266</v>
      </c>
      <c r="T5827" s="6"/>
      <c r="U5827" s="15" t="str">
        <f>HYPERLINK("https://media.infra-m.ru/2227/2227842/cover/2227842.jpg", "Обложка")</f>
        <v>Обложка</v>
      </c>
      <c r="V5827" s="8" t="s">
        <v>5087</v>
      </c>
      <c r="W5827" s="6"/>
      <c r="X5827" s="6"/>
      <c r="Y5827" s="6"/>
      <c r="Z5827" s="6"/>
      <c r="AA5827" s="6" t="s">
        <v>258</v>
      </c>
      <c r="AB5827" s="8" t="s">
        <v>3596</v>
      </c>
      <c r="AC5827" s="27">
        <v>9785160157429</v>
      </c>
    </row>
    <row r="5828" spans="1:29" s="4" customFormat="1" ht="51.9" customHeight="1" x14ac:dyDescent="0.2">
      <c r="A5828" s="5">
        <v>0</v>
      </c>
      <c r="B5828" s="6" t="s">
        <v>33267</v>
      </c>
      <c r="C5828" s="7">
        <v>1452</v>
      </c>
      <c r="D5828" s="8" t="s">
        <v>33268</v>
      </c>
      <c r="E5828" s="8" t="s">
        <v>33269</v>
      </c>
      <c r="F5828" s="8" t="s">
        <v>5091</v>
      </c>
      <c r="G5828" s="6" t="s">
        <v>118</v>
      </c>
      <c r="H5828" s="6" t="s">
        <v>34</v>
      </c>
      <c r="I5828" s="8" t="s">
        <v>263</v>
      </c>
      <c r="J5828" s="9">
        <v>1</v>
      </c>
      <c r="K5828" s="9">
        <v>319</v>
      </c>
      <c r="L5828" s="9">
        <v>2022</v>
      </c>
      <c r="M5828" s="8" t="s">
        <v>33270</v>
      </c>
      <c r="N5828" s="8" t="s">
        <v>37</v>
      </c>
      <c r="O5828" s="8" t="s">
        <v>233</v>
      </c>
      <c r="P5828" s="6" t="s">
        <v>306</v>
      </c>
      <c r="Q5828" s="8" t="s">
        <v>265</v>
      </c>
      <c r="R5828" s="10" t="s">
        <v>3777</v>
      </c>
      <c r="S5828" s="11" t="s">
        <v>33271</v>
      </c>
      <c r="T5828" s="6"/>
      <c r="U5828" s="15" t="str">
        <f>HYPERLINK("https://media.infra-m.ru/1854/1854213/cover/1854213.jpg", "Обложка")</f>
        <v>Обложка</v>
      </c>
      <c r="V5828" s="8" t="s">
        <v>831</v>
      </c>
      <c r="W5828" s="6"/>
      <c r="X5828" s="6"/>
      <c r="Y5828" s="6"/>
      <c r="Z5828" s="6"/>
      <c r="AA5828" s="6" t="s">
        <v>115</v>
      </c>
      <c r="AB5828" s="8"/>
      <c r="AC5828" s="27">
        <v>9785160149516</v>
      </c>
    </row>
    <row r="5829" spans="1:29" s="4" customFormat="1" ht="51.9" customHeight="1" x14ac:dyDescent="0.2">
      <c r="A5829" s="5">
        <v>0</v>
      </c>
      <c r="B5829" s="6" t="s">
        <v>33272</v>
      </c>
      <c r="C5829" s="7">
        <v>1596</v>
      </c>
      <c r="D5829" s="8" t="s">
        <v>33273</v>
      </c>
      <c r="E5829" s="8" t="s">
        <v>33274</v>
      </c>
      <c r="F5829" s="8" t="s">
        <v>33275</v>
      </c>
      <c r="G5829" s="6" t="s">
        <v>118</v>
      </c>
      <c r="H5829" s="6" t="s">
        <v>34</v>
      </c>
      <c r="I5829" s="8" t="s">
        <v>263</v>
      </c>
      <c r="J5829" s="9">
        <v>1</v>
      </c>
      <c r="K5829" s="9">
        <v>241</v>
      </c>
      <c r="L5829" s="9">
        <v>2026</v>
      </c>
      <c r="M5829" s="8" t="s">
        <v>33276</v>
      </c>
      <c r="N5829" s="8" t="s">
        <v>37</v>
      </c>
      <c r="O5829" s="8" t="s">
        <v>233</v>
      </c>
      <c r="P5829" s="6" t="s">
        <v>306</v>
      </c>
      <c r="Q5829" s="8" t="s">
        <v>265</v>
      </c>
      <c r="R5829" s="10" t="s">
        <v>3777</v>
      </c>
      <c r="S5829" s="11" t="s">
        <v>33277</v>
      </c>
      <c r="T5829" s="6"/>
      <c r="U5829" s="15" t="str">
        <f>HYPERLINK("https://media.infra-m.ru/2256/2256959/cover/2256959.jpg", "Обложка")</f>
        <v>Обложка</v>
      </c>
      <c r="V5829" s="8" t="s">
        <v>831</v>
      </c>
      <c r="W5829" s="6"/>
      <c r="X5829" s="6"/>
      <c r="Y5829" s="6"/>
      <c r="Z5829" s="6"/>
      <c r="AA5829" s="6" t="s">
        <v>1256</v>
      </c>
      <c r="AB5829" s="8"/>
      <c r="AC5829" s="27">
        <v>9785160153254</v>
      </c>
    </row>
    <row r="5830" spans="1:29" s="4" customFormat="1" ht="44.1" customHeight="1" x14ac:dyDescent="0.2">
      <c r="A5830" s="5">
        <v>0</v>
      </c>
      <c r="B5830" s="6" t="s">
        <v>33278</v>
      </c>
      <c r="C5830" s="7">
        <v>1241.9000000000001</v>
      </c>
      <c r="D5830" s="8" t="s">
        <v>33279</v>
      </c>
      <c r="E5830" s="8" t="s">
        <v>33280</v>
      </c>
      <c r="F5830" s="8" t="s">
        <v>33281</v>
      </c>
      <c r="G5830" s="6" t="s">
        <v>33</v>
      </c>
      <c r="H5830" s="6" t="s">
        <v>34</v>
      </c>
      <c r="I5830" s="8" t="s">
        <v>35</v>
      </c>
      <c r="J5830" s="9">
        <v>1</v>
      </c>
      <c r="K5830" s="9">
        <v>231</v>
      </c>
      <c r="L5830" s="9">
        <v>2023</v>
      </c>
      <c r="M5830" s="8" t="s">
        <v>33282</v>
      </c>
      <c r="N5830" s="8" t="s">
        <v>37</v>
      </c>
      <c r="O5830" s="8" t="s">
        <v>280</v>
      </c>
      <c r="P5830" s="6" t="s">
        <v>39</v>
      </c>
      <c r="Q5830" s="8" t="s">
        <v>40</v>
      </c>
      <c r="R5830" s="10" t="s">
        <v>3614</v>
      </c>
      <c r="S5830" s="11"/>
      <c r="T5830" s="6"/>
      <c r="U5830" s="15" t="str">
        <f>HYPERLINK("https://media.infra-m.ru/1976/1976169/cover/1976169.jpg", "Обложка")</f>
        <v>Обложка</v>
      </c>
      <c r="V5830" s="8" t="s">
        <v>12106</v>
      </c>
      <c r="W5830" s="6"/>
      <c r="X5830" s="6"/>
      <c r="Y5830" s="6"/>
      <c r="Z5830" s="6"/>
      <c r="AA5830" s="6" t="s">
        <v>1256</v>
      </c>
      <c r="AB5830" s="8"/>
      <c r="AC5830" s="27">
        <v>9785160152882</v>
      </c>
    </row>
    <row r="5831" spans="1:29" s="4" customFormat="1" ht="44.1" customHeight="1" x14ac:dyDescent="0.2">
      <c r="A5831" s="5">
        <v>0</v>
      </c>
      <c r="B5831" s="6" t="s">
        <v>33283</v>
      </c>
      <c r="C5831" s="7">
        <v>1716</v>
      </c>
      <c r="D5831" s="8" t="s">
        <v>33284</v>
      </c>
      <c r="E5831" s="8" t="s">
        <v>33285</v>
      </c>
      <c r="F5831" s="8" t="s">
        <v>33286</v>
      </c>
      <c r="G5831" s="6" t="s">
        <v>60</v>
      </c>
      <c r="H5831" s="6" t="s">
        <v>34</v>
      </c>
      <c r="I5831" s="8" t="s">
        <v>253</v>
      </c>
      <c r="J5831" s="9">
        <v>1</v>
      </c>
      <c r="K5831" s="9">
        <v>309</v>
      </c>
      <c r="L5831" s="9">
        <v>2023</v>
      </c>
      <c r="M5831" s="8" t="s">
        <v>33287</v>
      </c>
      <c r="N5831" s="8" t="s">
        <v>37</v>
      </c>
      <c r="O5831" s="8" t="s">
        <v>233</v>
      </c>
      <c r="P5831" s="6" t="s">
        <v>306</v>
      </c>
      <c r="Q5831" s="8" t="s">
        <v>65</v>
      </c>
      <c r="R5831" s="10" t="s">
        <v>3781</v>
      </c>
      <c r="S5831" s="11"/>
      <c r="T5831" s="6"/>
      <c r="U5831" s="15" t="str">
        <f>HYPERLINK("https://media.infra-m.ru/1831/1831578/cover/1831578.jpg", "Обложка")</f>
        <v>Обложка</v>
      </c>
      <c r="V5831" s="8" t="s">
        <v>1994</v>
      </c>
      <c r="W5831" s="6"/>
      <c r="X5831" s="6"/>
      <c r="Y5831" s="6"/>
      <c r="Z5831" s="6"/>
      <c r="AA5831" s="6" t="s">
        <v>157</v>
      </c>
      <c r="AB5831" s="8"/>
      <c r="AC5831" s="27">
        <v>9785160172187</v>
      </c>
    </row>
    <row r="5832" spans="1:29" s="4" customFormat="1" ht="51.9" customHeight="1" x14ac:dyDescent="0.2">
      <c r="A5832" s="5">
        <v>0</v>
      </c>
      <c r="B5832" s="6" t="s">
        <v>33288</v>
      </c>
      <c r="C5832" s="7">
        <v>1512</v>
      </c>
      <c r="D5832" s="8" t="s">
        <v>33289</v>
      </c>
      <c r="E5832" s="8" t="s">
        <v>33290</v>
      </c>
      <c r="F5832" s="8" t="s">
        <v>33291</v>
      </c>
      <c r="G5832" s="6" t="s">
        <v>118</v>
      </c>
      <c r="H5832" s="6" t="s">
        <v>34</v>
      </c>
      <c r="I5832" s="8" t="s">
        <v>14000</v>
      </c>
      <c r="J5832" s="9">
        <v>1</v>
      </c>
      <c r="K5832" s="9">
        <v>218</v>
      </c>
      <c r="L5832" s="9">
        <v>2026</v>
      </c>
      <c r="M5832" s="8" t="s">
        <v>33292</v>
      </c>
      <c r="N5832" s="8" t="s">
        <v>63</v>
      </c>
      <c r="O5832" s="8" t="s">
        <v>64</v>
      </c>
      <c r="P5832" s="6" t="s">
        <v>306</v>
      </c>
      <c r="Q5832" s="8" t="s">
        <v>52</v>
      </c>
      <c r="R5832" s="10" t="s">
        <v>33293</v>
      </c>
      <c r="S5832" s="11" t="s">
        <v>33294</v>
      </c>
      <c r="T5832" s="6"/>
      <c r="U5832" s="15" t="str">
        <f>HYPERLINK("https://media.infra-m.ru/2234/2234094/cover/2234094.jpg", "Обложка")</f>
        <v>Обложка</v>
      </c>
      <c r="V5832" s="8" t="s">
        <v>414</v>
      </c>
      <c r="W5832" s="6"/>
      <c r="X5832" s="6"/>
      <c r="Y5832" s="6"/>
      <c r="Z5832" s="6"/>
      <c r="AA5832" s="6" t="s">
        <v>86</v>
      </c>
      <c r="AB5832" s="8"/>
      <c r="AC5832" s="27">
        <v>9785160193021</v>
      </c>
    </row>
    <row r="5833" spans="1:29" s="4" customFormat="1" ht="51.9" customHeight="1" x14ac:dyDescent="0.2">
      <c r="A5833" s="5">
        <v>0</v>
      </c>
      <c r="B5833" s="6" t="s">
        <v>33295</v>
      </c>
      <c r="C5833" s="7">
        <v>2188.8000000000002</v>
      </c>
      <c r="D5833" s="8" t="s">
        <v>33296</v>
      </c>
      <c r="E5833" s="8" t="s">
        <v>33297</v>
      </c>
      <c r="F5833" s="8" t="s">
        <v>33298</v>
      </c>
      <c r="G5833" s="6" t="s">
        <v>33</v>
      </c>
      <c r="H5833" s="6" t="s">
        <v>34</v>
      </c>
      <c r="I5833" s="8" t="s">
        <v>35</v>
      </c>
      <c r="J5833" s="9">
        <v>1</v>
      </c>
      <c r="K5833" s="9">
        <v>403</v>
      </c>
      <c r="L5833" s="9">
        <v>2023</v>
      </c>
      <c r="M5833" s="8" t="s">
        <v>33299</v>
      </c>
      <c r="N5833" s="8" t="s">
        <v>93</v>
      </c>
      <c r="O5833" s="8" t="s">
        <v>94</v>
      </c>
      <c r="P5833" s="6" t="s">
        <v>39</v>
      </c>
      <c r="Q5833" s="8" t="s">
        <v>40</v>
      </c>
      <c r="R5833" s="10" t="s">
        <v>33300</v>
      </c>
      <c r="S5833" s="11"/>
      <c r="T5833" s="6"/>
      <c r="U5833" s="15" t="str">
        <f>HYPERLINK("https://media.infra-m.ru/2021/2021411/cover/2021411.jpg", "Обложка")</f>
        <v>Обложка</v>
      </c>
      <c r="V5833" s="8" t="s">
        <v>25957</v>
      </c>
      <c r="W5833" s="6"/>
      <c r="X5833" s="6"/>
      <c r="Y5833" s="6"/>
      <c r="Z5833" s="6"/>
      <c r="AA5833" s="6" t="s">
        <v>1256</v>
      </c>
      <c r="AB5833" s="8"/>
      <c r="AC5833" s="27">
        <v>9785160154039</v>
      </c>
    </row>
    <row r="5834" spans="1:29" s="4" customFormat="1" ht="42" customHeight="1" x14ac:dyDescent="0.2">
      <c r="A5834" s="5">
        <v>0</v>
      </c>
      <c r="B5834" s="6" t="s">
        <v>33301</v>
      </c>
      <c r="C5834" s="13">
        <v>792</v>
      </c>
      <c r="D5834" s="8" t="s">
        <v>33302</v>
      </c>
      <c r="E5834" s="8" t="s">
        <v>33303</v>
      </c>
      <c r="F5834" s="8" t="s">
        <v>33304</v>
      </c>
      <c r="G5834" s="6" t="s">
        <v>33</v>
      </c>
      <c r="H5834" s="6" t="s">
        <v>34</v>
      </c>
      <c r="I5834" s="8" t="s">
        <v>35</v>
      </c>
      <c r="J5834" s="9">
        <v>1</v>
      </c>
      <c r="K5834" s="9">
        <v>142</v>
      </c>
      <c r="L5834" s="9">
        <v>2024</v>
      </c>
      <c r="M5834" s="8" t="s">
        <v>33305</v>
      </c>
      <c r="N5834" s="8" t="s">
        <v>585</v>
      </c>
      <c r="O5834" s="8" t="s">
        <v>775</v>
      </c>
      <c r="P5834" s="6" t="s">
        <v>39</v>
      </c>
      <c r="Q5834" s="8" t="s">
        <v>40</v>
      </c>
      <c r="R5834" s="10" t="s">
        <v>33306</v>
      </c>
      <c r="S5834" s="11"/>
      <c r="T5834" s="6"/>
      <c r="U5834" s="15" t="str">
        <f>HYPERLINK("https://media.infra-m.ru/2131/2131763/cover/2131763.jpg", "Обложка")</f>
        <v>Обложка</v>
      </c>
      <c r="V5834" s="8" t="s">
        <v>4943</v>
      </c>
      <c r="W5834" s="6"/>
      <c r="X5834" s="6"/>
      <c r="Y5834" s="6"/>
      <c r="Z5834" s="6"/>
      <c r="AA5834" s="6" t="s">
        <v>55</v>
      </c>
      <c r="AB5834" s="8"/>
      <c r="AC5834" s="27">
        <v>9785160066455</v>
      </c>
    </row>
    <row r="5835" spans="1:29" s="4" customFormat="1" ht="44.1" customHeight="1" x14ac:dyDescent="0.2">
      <c r="A5835" s="5">
        <v>0</v>
      </c>
      <c r="B5835" s="6" t="s">
        <v>33307</v>
      </c>
      <c r="C5835" s="7">
        <v>1228.8</v>
      </c>
      <c r="D5835" s="8" t="s">
        <v>33308</v>
      </c>
      <c r="E5835" s="8" t="s">
        <v>33309</v>
      </c>
      <c r="F5835" s="8" t="s">
        <v>33310</v>
      </c>
      <c r="G5835" s="6" t="s">
        <v>33</v>
      </c>
      <c r="H5835" s="6" t="s">
        <v>34</v>
      </c>
      <c r="I5835" s="8" t="s">
        <v>457</v>
      </c>
      <c r="J5835" s="9">
        <v>1</v>
      </c>
      <c r="K5835" s="9">
        <v>177</v>
      </c>
      <c r="L5835" s="9">
        <v>2026</v>
      </c>
      <c r="M5835" s="8" t="s">
        <v>33311</v>
      </c>
      <c r="N5835" s="8" t="s">
        <v>37</v>
      </c>
      <c r="O5835" s="8" t="s">
        <v>280</v>
      </c>
      <c r="P5835" s="6" t="s">
        <v>39</v>
      </c>
      <c r="Q5835" s="8" t="s">
        <v>40</v>
      </c>
      <c r="R5835" s="10" t="s">
        <v>1557</v>
      </c>
      <c r="S5835" s="11"/>
      <c r="T5835" s="6"/>
      <c r="U5835" s="15" t="str">
        <f>HYPERLINK("https://media.infra-m.ru/2262/2262025/cover/2262025.jpg", "Обложка")</f>
        <v>Обложка</v>
      </c>
      <c r="V5835" s="8" t="s">
        <v>247</v>
      </c>
      <c r="W5835" s="6"/>
      <c r="X5835" s="6"/>
      <c r="Y5835" s="6"/>
      <c r="Z5835" s="6"/>
      <c r="AA5835" s="6" t="s">
        <v>1256</v>
      </c>
      <c r="AB5835" s="8"/>
      <c r="AC5835" s="27">
        <v>9785160151724</v>
      </c>
    </row>
    <row r="5836" spans="1:29" s="4" customFormat="1" ht="44.1" customHeight="1" x14ac:dyDescent="0.2">
      <c r="A5836" s="5">
        <v>0</v>
      </c>
      <c r="B5836" s="6" t="s">
        <v>33312</v>
      </c>
      <c r="C5836" s="7">
        <v>1248</v>
      </c>
      <c r="D5836" s="8" t="s">
        <v>33313</v>
      </c>
      <c r="E5836" s="8" t="s">
        <v>33314</v>
      </c>
      <c r="F5836" s="8" t="s">
        <v>33315</v>
      </c>
      <c r="G5836" s="6" t="s">
        <v>33</v>
      </c>
      <c r="H5836" s="6" t="s">
        <v>34</v>
      </c>
      <c r="I5836" s="8" t="s">
        <v>35</v>
      </c>
      <c r="J5836" s="9">
        <v>1</v>
      </c>
      <c r="K5836" s="9">
        <v>217</v>
      </c>
      <c r="L5836" s="9">
        <v>2023</v>
      </c>
      <c r="M5836" s="8" t="s">
        <v>33316</v>
      </c>
      <c r="N5836" s="8" t="s">
        <v>37</v>
      </c>
      <c r="O5836" s="8" t="s">
        <v>233</v>
      </c>
      <c r="P5836" s="6" t="s">
        <v>39</v>
      </c>
      <c r="Q5836" s="8" t="s">
        <v>40</v>
      </c>
      <c r="R5836" s="10" t="s">
        <v>33317</v>
      </c>
      <c r="S5836" s="11"/>
      <c r="T5836" s="6"/>
      <c r="U5836" s="15" t="str">
        <f>HYPERLINK("https://media.infra-m.ru/1914/1914700/cover/1914700.jpg", "Обложка")</f>
        <v>Обложка</v>
      </c>
      <c r="V5836" s="8" t="s">
        <v>396</v>
      </c>
      <c r="W5836" s="6"/>
      <c r="X5836" s="6"/>
      <c r="Y5836" s="6"/>
      <c r="Z5836" s="6"/>
      <c r="AA5836" s="6" t="s">
        <v>148</v>
      </c>
      <c r="AB5836" s="8"/>
      <c r="AC5836" s="27">
        <v>9785160181608</v>
      </c>
    </row>
    <row r="5837" spans="1:29" s="4" customFormat="1" ht="42" customHeight="1" x14ac:dyDescent="0.2">
      <c r="A5837" s="5">
        <v>0</v>
      </c>
      <c r="B5837" s="6" t="s">
        <v>33318</v>
      </c>
      <c r="C5837" s="7">
        <v>4348.8</v>
      </c>
      <c r="D5837" s="8" t="s">
        <v>33319</v>
      </c>
      <c r="E5837" s="8" t="s">
        <v>33320</v>
      </c>
      <c r="F5837" s="8" t="s">
        <v>33321</v>
      </c>
      <c r="G5837" s="6" t="s">
        <v>118</v>
      </c>
      <c r="H5837" s="6" t="s">
        <v>134</v>
      </c>
      <c r="I5837" s="8"/>
      <c r="J5837" s="9">
        <v>1</v>
      </c>
      <c r="K5837" s="9">
        <v>752</v>
      </c>
      <c r="L5837" s="9">
        <v>2026</v>
      </c>
      <c r="M5837" s="8" t="s">
        <v>33322</v>
      </c>
      <c r="N5837" s="8" t="s">
        <v>37</v>
      </c>
      <c r="O5837" s="8" t="s">
        <v>136</v>
      </c>
      <c r="P5837" s="6" t="s">
        <v>306</v>
      </c>
      <c r="Q5837" s="8" t="s">
        <v>52</v>
      </c>
      <c r="R5837" s="10" t="s">
        <v>1625</v>
      </c>
      <c r="S5837" s="11"/>
      <c r="T5837" s="6"/>
      <c r="U5837" s="15" t="str">
        <f>HYPERLINK("https://media.infra-m.ru/2196/2196447/cover/2196447.jpg", "Обложка")</f>
        <v>Обложка</v>
      </c>
      <c r="V5837" s="8" t="s">
        <v>588</v>
      </c>
      <c r="W5837" s="6"/>
      <c r="X5837" s="6"/>
      <c r="Y5837" s="6"/>
      <c r="Z5837" s="6"/>
      <c r="AA5837" s="6" t="s">
        <v>10805</v>
      </c>
      <c r="AB5837" s="8"/>
      <c r="AC5837" s="27">
        <v>9785001563747</v>
      </c>
    </row>
    <row r="5838" spans="1:29" s="4" customFormat="1" ht="51.9" customHeight="1" x14ac:dyDescent="0.2">
      <c r="A5838" s="5">
        <v>0</v>
      </c>
      <c r="B5838" s="6" t="s">
        <v>33323</v>
      </c>
      <c r="C5838" s="7">
        <v>4848</v>
      </c>
      <c r="D5838" s="8" t="s">
        <v>33324</v>
      </c>
      <c r="E5838" s="8" t="s">
        <v>33325</v>
      </c>
      <c r="F5838" s="8" t="s">
        <v>33326</v>
      </c>
      <c r="G5838" s="6" t="s">
        <v>60</v>
      </c>
      <c r="H5838" s="6" t="s">
        <v>134</v>
      </c>
      <c r="I5838" s="8"/>
      <c r="J5838" s="9">
        <v>1</v>
      </c>
      <c r="K5838" s="9">
        <v>808</v>
      </c>
      <c r="L5838" s="9">
        <v>2026</v>
      </c>
      <c r="M5838" s="8" t="s">
        <v>33327</v>
      </c>
      <c r="N5838" s="8" t="s">
        <v>37</v>
      </c>
      <c r="O5838" s="8" t="s">
        <v>136</v>
      </c>
      <c r="P5838" s="6" t="s">
        <v>306</v>
      </c>
      <c r="Q5838" s="8" t="s">
        <v>40</v>
      </c>
      <c r="R5838" s="10" t="s">
        <v>33328</v>
      </c>
      <c r="S5838" s="11"/>
      <c r="T5838" s="6"/>
      <c r="U5838" s="15" t="str">
        <f>HYPERLINK("https://media.infra-m.ru/2225/2225926/cover/2225926.jpg", "Обложка")</f>
        <v>Обложка</v>
      </c>
      <c r="V5838" s="8" t="s">
        <v>2466</v>
      </c>
      <c r="W5838" s="6"/>
      <c r="X5838" s="6"/>
      <c r="Y5838" s="6"/>
      <c r="Z5838" s="6"/>
      <c r="AA5838" s="6" t="s">
        <v>8987</v>
      </c>
      <c r="AB5838" s="8"/>
      <c r="AC5838" s="27">
        <v>9785001563143</v>
      </c>
    </row>
    <row r="5839" spans="1:29" s="4" customFormat="1" ht="51.9" customHeight="1" x14ac:dyDescent="0.2">
      <c r="A5839" s="5">
        <v>0</v>
      </c>
      <c r="B5839" s="6" t="s">
        <v>33329</v>
      </c>
      <c r="C5839" s="7">
        <v>2884.8</v>
      </c>
      <c r="D5839" s="8" t="s">
        <v>33330</v>
      </c>
      <c r="E5839" s="8" t="s">
        <v>33331</v>
      </c>
      <c r="F5839" s="8" t="s">
        <v>33326</v>
      </c>
      <c r="G5839" s="6" t="s">
        <v>60</v>
      </c>
      <c r="H5839" s="6" t="s">
        <v>134</v>
      </c>
      <c r="I5839" s="8"/>
      <c r="J5839" s="9">
        <v>1</v>
      </c>
      <c r="K5839" s="9">
        <v>440</v>
      </c>
      <c r="L5839" s="9">
        <v>2026</v>
      </c>
      <c r="M5839" s="8" t="s">
        <v>33332</v>
      </c>
      <c r="N5839" s="8" t="s">
        <v>37</v>
      </c>
      <c r="O5839" s="8" t="s">
        <v>136</v>
      </c>
      <c r="P5839" s="6" t="s">
        <v>306</v>
      </c>
      <c r="Q5839" s="8" t="s">
        <v>65</v>
      </c>
      <c r="R5839" s="10" t="s">
        <v>33328</v>
      </c>
      <c r="S5839" s="11"/>
      <c r="T5839" s="6"/>
      <c r="U5839" s="15" t="str">
        <f>HYPERLINK("https://media.infra-m.ru/2226/2226367/cover/2226367.jpg", "Обложка")</f>
        <v>Обложка</v>
      </c>
      <c r="V5839" s="8" t="s">
        <v>2466</v>
      </c>
      <c r="W5839" s="6"/>
      <c r="X5839" s="6"/>
      <c r="Y5839" s="6"/>
      <c r="Z5839" s="6"/>
      <c r="AA5839" s="6" t="s">
        <v>8987</v>
      </c>
      <c r="AB5839" s="8"/>
      <c r="AC5839" s="27">
        <v>9785001563181</v>
      </c>
    </row>
    <row r="5840" spans="1:29" s="4" customFormat="1" ht="42" customHeight="1" x14ac:dyDescent="0.2">
      <c r="A5840" s="5">
        <v>0</v>
      </c>
      <c r="B5840" s="6" t="s">
        <v>33333</v>
      </c>
      <c r="C5840" s="7">
        <v>3648</v>
      </c>
      <c r="D5840" s="8" t="s">
        <v>33334</v>
      </c>
      <c r="E5840" s="8" t="s">
        <v>33335</v>
      </c>
      <c r="F5840" s="8" t="s">
        <v>33336</v>
      </c>
      <c r="G5840" s="6" t="s">
        <v>60</v>
      </c>
      <c r="H5840" s="6" t="s">
        <v>134</v>
      </c>
      <c r="I5840" s="8"/>
      <c r="J5840" s="9">
        <v>1</v>
      </c>
      <c r="K5840" s="9">
        <v>608</v>
      </c>
      <c r="L5840" s="9">
        <v>2025</v>
      </c>
      <c r="M5840" s="8" t="s">
        <v>33337</v>
      </c>
      <c r="N5840" s="8" t="s">
        <v>37</v>
      </c>
      <c r="O5840" s="8" t="s">
        <v>136</v>
      </c>
      <c r="P5840" s="6" t="s">
        <v>234</v>
      </c>
      <c r="Q5840" s="8" t="s">
        <v>52</v>
      </c>
      <c r="R5840" s="10" t="s">
        <v>33338</v>
      </c>
      <c r="S5840" s="11"/>
      <c r="T5840" s="6"/>
      <c r="U5840" s="15" t="str">
        <f>HYPERLINK("https://media.infra-m.ru/2170/2170598/cover/2170598.jpg", "Обложка")</f>
        <v>Обложка</v>
      </c>
      <c r="V5840" s="8" t="s">
        <v>2466</v>
      </c>
      <c r="W5840" s="6"/>
      <c r="X5840" s="6"/>
      <c r="Y5840" s="6"/>
      <c r="Z5840" s="6"/>
      <c r="AA5840" s="6" t="s">
        <v>2182</v>
      </c>
      <c r="AB5840" s="8"/>
      <c r="AC5840" s="27">
        <v>9785001563938</v>
      </c>
    </row>
    <row r="5841" spans="1:29" s="4" customFormat="1" ht="51.9" customHeight="1" x14ac:dyDescent="0.2">
      <c r="A5841" s="5">
        <v>0</v>
      </c>
      <c r="B5841" s="6" t="s">
        <v>33339</v>
      </c>
      <c r="C5841" s="7">
        <v>3156</v>
      </c>
      <c r="D5841" s="8" t="s">
        <v>33340</v>
      </c>
      <c r="E5841" s="8" t="s">
        <v>33341</v>
      </c>
      <c r="F5841" s="8" t="s">
        <v>33342</v>
      </c>
      <c r="G5841" s="6" t="s">
        <v>60</v>
      </c>
      <c r="H5841" s="6" t="s">
        <v>34</v>
      </c>
      <c r="I5841" s="8" t="s">
        <v>253</v>
      </c>
      <c r="J5841" s="9">
        <v>1</v>
      </c>
      <c r="K5841" s="9">
        <v>478</v>
      </c>
      <c r="L5841" s="9">
        <v>2026</v>
      </c>
      <c r="M5841" s="8" t="s">
        <v>33343</v>
      </c>
      <c r="N5841" s="8" t="s">
        <v>37</v>
      </c>
      <c r="O5841" s="8" t="s">
        <v>136</v>
      </c>
      <c r="P5841" s="6" t="s">
        <v>306</v>
      </c>
      <c r="Q5841" s="8" t="s">
        <v>52</v>
      </c>
      <c r="R5841" s="10" t="s">
        <v>1255</v>
      </c>
      <c r="S5841" s="11" t="s">
        <v>33344</v>
      </c>
      <c r="T5841" s="6"/>
      <c r="U5841" s="15" t="str">
        <f>HYPERLINK("https://media.infra-m.ru/2254/2254628/cover/2254628.jpg", "Обложка")</f>
        <v>Обложка</v>
      </c>
      <c r="V5841" s="8" t="s">
        <v>1715</v>
      </c>
      <c r="W5841" s="6"/>
      <c r="X5841" s="6"/>
      <c r="Y5841" s="6"/>
      <c r="Z5841" s="6"/>
      <c r="AA5841" s="6" t="s">
        <v>430</v>
      </c>
      <c r="AB5841" s="8"/>
      <c r="AC5841" s="27">
        <v>9785160196534</v>
      </c>
    </row>
    <row r="5842" spans="1:29" s="4" customFormat="1" ht="51.9" customHeight="1" x14ac:dyDescent="0.2">
      <c r="A5842" s="5">
        <v>0</v>
      </c>
      <c r="B5842" s="6" t="s">
        <v>33345</v>
      </c>
      <c r="C5842" s="7">
        <v>1236</v>
      </c>
      <c r="D5842" s="8" t="s">
        <v>33346</v>
      </c>
      <c r="E5842" s="8" t="s">
        <v>33347</v>
      </c>
      <c r="F5842" s="8" t="s">
        <v>26803</v>
      </c>
      <c r="G5842" s="6" t="s">
        <v>33</v>
      </c>
      <c r="H5842" s="6" t="s">
        <v>34</v>
      </c>
      <c r="I5842" s="8" t="s">
        <v>263</v>
      </c>
      <c r="J5842" s="9">
        <v>1</v>
      </c>
      <c r="K5842" s="9">
        <v>176</v>
      </c>
      <c r="L5842" s="9">
        <v>2027</v>
      </c>
      <c r="M5842" s="8" t="s">
        <v>33348</v>
      </c>
      <c r="N5842" s="8" t="s">
        <v>37</v>
      </c>
      <c r="O5842" s="8" t="s">
        <v>499</v>
      </c>
      <c r="P5842" s="6" t="s">
        <v>51</v>
      </c>
      <c r="Q5842" s="8" t="s">
        <v>265</v>
      </c>
      <c r="R5842" s="10" t="s">
        <v>33349</v>
      </c>
      <c r="S5842" s="11" t="s">
        <v>1013</v>
      </c>
      <c r="T5842" s="6"/>
      <c r="U5842" s="15" t="str">
        <f>HYPERLINK("https://media.infra-m.ru/2271/2271999/cover/2271999.jpg", "Обложка")</f>
        <v>Обложка</v>
      </c>
      <c r="V5842" s="8" t="s">
        <v>10694</v>
      </c>
      <c r="W5842" s="6"/>
      <c r="X5842" s="6" t="s">
        <v>24</v>
      </c>
      <c r="Y5842" s="6"/>
      <c r="Z5842" s="6"/>
      <c r="AA5842" s="6" t="s">
        <v>561</v>
      </c>
      <c r="AB5842" s="8"/>
      <c r="AC5842" s="27">
        <v>9785160214177</v>
      </c>
    </row>
    <row r="5843" spans="1:29" s="4" customFormat="1" ht="51.9" customHeight="1" x14ac:dyDescent="0.2">
      <c r="A5843" s="5">
        <v>0</v>
      </c>
      <c r="B5843" s="6" t="s">
        <v>33350</v>
      </c>
      <c r="C5843" s="7">
        <v>2536.8000000000002</v>
      </c>
      <c r="D5843" s="8" t="s">
        <v>33351</v>
      </c>
      <c r="E5843" s="8" t="s">
        <v>33352</v>
      </c>
      <c r="F5843" s="8" t="s">
        <v>33353</v>
      </c>
      <c r="G5843" s="6" t="s">
        <v>118</v>
      </c>
      <c r="H5843" s="6" t="s">
        <v>34</v>
      </c>
      <c r="I5843" s="8" t="s">
        <v>271</v>
      </c>
      <c r="J5843" s="9">
        <v>1</v>
      </c>
      <c r="K5843" s="9">
        <v>384</v>
      </c>
      <c r="L5843" s="9">
        <v>2026</v>
      </c>
      <c r="M5843" s="8" t="s">
        <v>33354</v>
      </c>
      <c r="N5843" s="8" t="s">
        <v>37</v>
      </c>
      <c r="O5843" s="8" t="s">
        <v>499</v>
      </c>
      <c r="P5843" s="6" t="s">
        <v>306</v>
      </c>
      <c r="Q5843" s="8" t="s">
        <v>52</v>
      </c>
      <c r="R5843" s="10" t="s">
        <v>33355</v>
      </c>
      <c r="S5843" s="11" t="s">
        <v>33356</v>
      </c>
      <c r="T5843" s="6" t="s">
        <v>97</v>
      </c>
      <c r="U5843" s="15" t="str">
        <f>HYPERLINK("https://media.infra-m.ru/2256/2256536/cover/2256536.jpg", "Обложка")</f>
        <v>Обложка</v>
      </c>
      <c r="V5843" s="8" t="s">
        <v>1505</v>
      </c>
      <c r="W5843" s="6"/>
      <c r="X5843" s="6" t="s">
        <v>24</v>
      </c>
      <c r="Y5843" s="6"/>
      <c r="Z5843" s="6"/>
      <c r="AA5843" s="6" t="s">
        <v>1047</v>
      </c>
      <c r="AB5843" s="8"/>
      <c r="AC5843" s="27">
        <v>9785160066028</v>
      </c>
    </row>
    <row r="5844" spans="1:29" s="4" customFormat="1" ht="44.1" customHeight="1" x14ac:dyDescent="0.2">
      <c r="A5844" s="5">
        <v>0</v>
      </c>
      <c r="B5844" s="6" t="s">
        <v>33357</v>
      </c>
      <c r="C5844" s="7">
        <v>2304</v>
      </c>
      <c r="D5844" s="8" t="s">
        <v>33358</v>
      </c>
      <c r="E5844" s="8" t="s">
        <v>33352</v>
      </c>
      <c r="F5844" s="8" t="s">
        <v>33359</v>
      </c>
      <c r="G5844" s="6" t="s">
        <v>60</v>
      </c>
      <c r="H5844" s="6" t="s">
        <v>34</v>
      </c>
      <c r="I5844" s="8" t="s">
        <v>253</v>
      </c>
      <c r="J5844" s="9">
        <v>1</v>
      </c>
      <c r="K5844" s="9">
        <v>413</v>
      </c>
      <c r="L5844" s="9">
        <v>2023</v>
      </c>
      <c r="M5844" s="8" t="s">
        <v>33360</v>
      </c>
      <c r="N5844" s="8" t="s">
        <v>37</v>
      </c>
      <c r="O5844" s="8" t="s">
        <v>499</v>
      </c>
      <c r="P5844" s="6" t="s">
        <v>306</v>
      </c>
      <c r="Q5844" s="8" t="s">
        <v>52</v>
      </c>
      <c r="R5844" s="10" t="s">
        <v>33361</v>
      </c>
      <c r="S5844" s="11"/>
      <c r="T5844" s="6"/>
      <c r="U5844" s="15" t="str">
        <f>HYPERLINK("https://media.infra-m.ru/1852/1852443/cover/1852443.jpg", "Обложка")</f>
        <v>Обложка</v>
      </c>
      <c r="V5844" s="8" t="s">
        <v>9565</v>
      </c>
      <c r="W5844" s="6"/>
      <c r="X5844" s="6"/>
      <c r="Y5844" s="6"/>
      <c r="Z5844" s="6"/>
      <c r="AA5844" s="6" t="s">
        <v>157</v>
      </c>
      <c r="AB5844" s="8"/>
      <c r="AC5844" s="27">
        <v>9785160174181</v>
      </c>
    </row>
    <row r="5845" spans="1:29" s="4" customFormat="1" ht="51.9" customHeight="1" x14ac:dyDescent="0.2">
      <c r="A5845" s="5">
        <v>0</v>
      </c>
      <c r="B5845" s="6" t="s">
        <v>33362</v>
      </c>
      <c r="C5845" s="13">
        <v>936</v>
      </c>
      <c r="D5845" s="8" t="s">
        <v>33363</v>
      </c>
      <c r="E5845" s="8" t="s">
        <v>33364</v>
      </c>
      <c r="F5845" s="8" t="s">
        <v>33365</v>
      </c>
      <c r="G5845" s="6" t="s">
        <v>118</v>
      </c>
      <c r="H5845" s="6" t="s">
        <v>34</v>
      </c>
      <c r="I5845" s="8" t="s">
        <v>253</v>
      </c>
      <c r="J5845" s="9">
        <v>1</v>
      </c>
      <c r="K5845" s="9">
        <v>156</v>
      </c>
      <c r="L5845" s="9">
        <v>2025</v>
      </c>
      <c r="M5845" s="8" t="s">
        <v>33366</v>
      </c>
      <c r="N5845" s="8" t="s">
        <v>585</v>
      </c>
      <c r="O5845" s="8" t="s">
        <v>667</v>
      </c>
      <c r="P5845" s="6" t="s">
        <v>306</v>
      </c>
      <c r="Q5845" s="8" t="s">
        <v>1349</v>
      </c>
      <c r="R5845" s="10" t="s">
        <v>33367</v>
      </c>
      <c r="S5845" s="11" t="s">
        <v>33368</v>
      </c>
      <c r="T5845" s="6" t="s">
        <v>97</v>
      </c>
      <c r="U5845" s="15" t="str">
        <f>HYPERLINK("https://media.infra-m.ru/2178/2178859/cover/2178859.jpg", "Обложка")</f>
        <v>Обложка</v>
      </c>
      <c r="V5845" s="8" t="s">
        <v>16903</v>
      </c>
      <c r="W5845" s="6"/>
      <c r="X5845" s="6"/>
      <c r="Y5845" s="6"/>
      <c r="Z5845" s="6"/>
      <c r="AA5845" s="6" t="s">
        <v>115</v>
      </c>
      <c r="AB5845" s="8"/>
      <c r="AC5845" s="27">
        <v>9785160206202</v>
      </c>
    </row>
    <row r="5846" spans="1:29" s="4" customFormat="1" ht="51.9" customHeight="1" x14ac:dyDescent="0.2">
      <c r="A5846" s="5">
        <v>0</v>
      </c>
      <c r="B5846" s="6" t="s">
        <v>33369</v>
      </c>
      <c r="C5846" s="7">
        <v>1464</v>
      </c>
      <c r="D5846" s="8" t="s">
        <v>33370</v>
      </c>
      <c r="E5846" s="8" t="s">
        <v>33371</v>
      </c>
      <c r="F5846" s="8" t="s">
        <v>33372</v>
      </c>
      <c r="G5846" s="6" t="s">
        <v>118</v>
      </c>
      <c r="H5846" s="6" t="s">
        <v>34</v>
      </c>
      <c r="I5846" s="8" t="s">
        <v>271</v>
      </c>
      <c r="J5846" s="9">
        <v>1</v>
      </c>
      <c r="K5846" s="9">
        <v>270</v>
      </c>
      <c r="L5846" s="9">
        <v>2023</v>
      </c>
      <c r="M5846" s="8" t="s">
        <v>33373</v>
      </c>
      <c r="N5846" s="8" t="s">
        <v>37</v>
      </c>
      <c r="O5846" s="8" t="s">
        <v>290</v>
      </c>
      <c r="P5846" s="6" t="s">
        <v>51</v>
      </c>
      <c r="Q5846" s="8" t="s">
        <v>52</v>
      </c>
      <c r="R5846" s="10" t="s">
        <v>29422</v>
      </c>
      <c r="S5846" s="11" t="s">
        <v>33374</v>
      </c>
      <c r="T5846" s="6"/>
      <c r="U5846" s="15" t="str">
        <f>HYPERLINK("https://media.infra-m.ru/1971/1971875/cover/1971875.jpg", "Обложка")</f>
        <v>Обложка</v>
      </c>
      <c r="V5846" s="8" t="s">
        <v>22920</v>
      </c>
      <c r="W5846" s="6"/>
      <c r="X5846" s="6"/>
      <c r="Y5846" s="6"/>
      <c r="Z5846" s="6"/>
      <c r="AA5846" s="6" t="s">
        <v>55</v>
      </c>
      <c r="AB5846" s="8"/>
      <c r="AC5846" s="27">
        <v>9785160066936</v>
      </c>
    </row>
    <row r="5847" spans="1:29" s="4" customFormat="1" ht="44.1" customHeight="1" x14ac:dyDescent="0.2">
      <c r="A5847" s="5">
        <v>0</v>
      </c>
      <c r="B5847" s="6" t="s">
        <v>33375</v>
      </c>
      <c r="C5847" s="7">
        <v>1193.9000000000001</v>
      </c>
      <c r="D5847" s="8" t="s">
        <v>33376</v>
      </c>
      <c r="E5847" s="8" t="s">
        <v>33377</v>
      </c>
      <c r="F5847" s="8" t="s">
        <v>33378</v>
      </c>
      <c r="G5847" s="6" t="s">
        <v>33</v>
      </c>
      <c r="H5847" s="6" t="s">
        <v>34</v>
      </c>
      <c r="I5847" s="8" t="s">
        <v>35</v>
      </c>
      <c r="J5847" s="9">
        <v>1</v>
      </c>
      <c r="K5847" s="9">
        <v>212</v>
      </c>
      <c r="L5847" s="9">
        <v>2023</v>
      </c>
      <c r="M5847" s="8" t="s">
        <v>33379</v>
      </c>
      <c r="N5847" s="8" t="s">
        <v>93</v>
      </c>
      <c r="O5847" s="8" t="s">
        <v>94</v>
      </c>
      <c r="P5847" s="6" t="s">
        <v>39</v>
      </c>
      <c r="Q5847" s="8" t="s">
        <v>40</v>
      </c>
      <c r="R5847" s="10" t="s">
        <v>25258</v>
      </c>
      <c r="S5847" s="11"/>
      <c r="T5847" s="6"/>
      <c r="U5847" s="15" t="str">
        <f>HYPERLINK("https://media.infra-m.ru/1915/1915662/cover/1915662.jpg", "Обложка")</f>
        <v>Обложка</v>
      </c>
      <c r="V5847" s="8" t="s">
        <v>128</v>
      </c>
      <c r="W5847" s="6"/>
      <c r="X5847" s="6"/>
      <c r="Y5847" s="6"/>
      <c r="Z5847" s="6"/>
      <c r="AA5847" s="6" t="s">
        <v>157</v>
      </c>
      <c r="AB5847" s="8"/>
      <c r="AC5847" s="27">
        <v>9785160177922</v>
      </c>
    </row>
    <row r="5848" spans="1:29" s="4" customFormat="1" ht="51.9" customHeight="1" x14ac:dyDescent="0.2">
      <c r="A5848" s="5">
        <v>0</v>
      </c>
      <c r="B5848" s="6" t="s">
        <v>33380</v>
      </c>
      <c r="C5848" s="7">
        <v>1432.8</v>
      </c>
      <c r="D5848" s="8" t="s">
        <v>33381</v>
      </c>
      <c r="E5848" s="8" t="s">
        <v>33382</v>
      </c>
      <c r="F5848" s="8" t="s">
        <v>7151</v>
      </c>
      <c r="G5848" s="6" t="s">
        <v>33</v>
      </c>
      <c r="H5848" s="6" t="s">
        <v>134</v>
      </c>
      <c r="I5848" s="8"/>
      <c r="J5848" s="9">
        <v>1</v>
      </c>
      <c r="K5848" s="9">
        <v>240</v>
      </c>
      <c r="L5848" s="9">
        <v>2025</v>
      </c>
      <c r="M5848" s="8" t="s">
        <v>33383</v>
      </c>
      <c r="N5848" s="8" t="s">
        <v>37</v>
      </c>
      <c r="O5848" s="8" t="s">
        <v>136</v>
      </c>
      <c r="P5848" s="6" t="s">
        <v>39</v>
      </c>
      <c r="Q5848" s="8" t="s">
        <v>40</v>
      </c>
      <c r="R5848" s="10" t="s">
        <v>33384</v>
      </c>
      <c r="S5848" s="11"/>
      <c r="T5848" s="6"/>
      <c r="U5848" s="15" t="str">
        <f>HYPERLINK("https://media.infra-m.ru/2169/2169372/cover/2169372.jpg", "Обложка")</f>
        <v>Обложка</v>
      </c>
      <c r="V5848" s="8" t="s">
        <v>6224</v>
      </c>
      <c r="W5848" s="6"/>
      <c r="X5848" s="6"/>
      <c r="Y5848" s="6"/>
      <c r="Z5848" s="6"/>
      <c r="AA5848" s="6" t="s">
        <v>274</v>
      </c>
      <c r="AB5848" s="8"/>
      <c r="AC5848" s="27">
        <v>9785917685656</v>
      </c>
    </row>
    <row r="5849" spans="1:29" s="4" customFormat="1" ht="44.1" customHeight="1" x14ac:dyDescent="0.2">
      <c r="A5849" s="5">
        <v>0</v>
      </c>
      <c r="B5849" s="6" t="s">
        <v>33385</v>
      </c>
      <c r="C5849" s="13">
        <v>581.9</v>
      </c>
      <c r="D5849" s="8" t="s">
        <v>33386</v>
      </c>
      <c r="E5849" s="8" t="s">
        <v>33387</v>
      </c>
      <c r="F5849" s="8" t="s">
        <v>33388</v>
      </c>
      <c r="G5849" s="6" t="s">
        <v>33</v>
      </c>
      <c r="H5849" s="6" t="s">
        <v>313</v>
      </c>
      <c r="I5849" s="8"/>
      <c r="J5849" s="9">
        <v>1</v>
      </c>
      <c r="K5849" s="9">
        <v>118</v>
      </c>
      <c r="L5849" s="9">
        <v>2021</v>
      </c>
      <c r="M5849" s="8" t="s">
        <v>33389</v>
      </c>
      <c r="N5849" s="8" t="s">
        <v>37</v>
      </c>
      <c r="O5849" s="8" t="s">
        <v>136</v>
      </c>
      <c r="P5849" s="6" t="s">
        <v>39</v>
      </c>
      <c r="Q5849" s="8" t="s">
        <v>40</v>
      </c>
      <c r="R5849" s="10" t="s">
        <v>33390</v>
      </c>
      <c r="S5849" s="11"/>
      <c r="T5849" s="6"/>
      <c r="U5849" s="15" t="str">
        <f>HYPERLINK("https://media.infra-m.ru/1844/1844468/cover/1844468.jpg", "Обложка")</f>
        <v>Обложка</v>
      </c>
      <c r="V5849" s="8" t="s">
        <v>27053</v>
      </c>
      <c r="W5849" s="6"/>
      <c r="X5849" s="6"/>
      <c r="Y5849" s="6"/>
      <c r="Z5849" s="6"/>
      <c r="AA5849" s="6" t="s">
        <v>86</v>
      </c>
      <c r="AB5849" s="8"/>
      <c r="AC5849" s="27">
        <v>9785369017135</v>
      </c>
    </row>
    <row r="5850" spans="1:29" s="4" customFormat="1" ht="42" customHeight="1" x14ac:dyDescent="0.2">
      <c r="A5850" s="5">
        <v>0</v>
      </c>
      <c r="B5850" s="6" t="s">
        <v>33391</v>
      </c>
      <c r="C5850" s="7">
        <v>1396.8</v>
      </c>
      <c r="D5850" s="8" t="s">
        <v>33392</v>
      </c>
      <c r="E5850" s="8" t="s">
        <v>33393</v>
      </c>
      <c r="F5850" s="8" t="s">
        <v>33394</v>
      </c>
      <c r="G5850" s="6" t="s">
        <v>60</v>
      </c>
      <c r="H5850" s="6" t="s">
        <v>820</v>
      </c>
      <c r="I5850" s="8" t="s">
        <v>271</v>
      </c>
      <c r="J5850" s="9">
        <v>1</v>
      </c>
      <c r="K5850" s="9">
        <v>224</v>
      </c>
      <c r="L5850" s="9">
        <v>2025</v>
      </c>
      <c r="M5850" s="8" t="s">
        <v>33395</v>
      </c>
      <c r="N5850" s="8" t="s">
        <v>243</v>
      </c>
      <c r="O5850" s="8" t="s">
        <v>758</v>
      </c>
      <c r="P5850" s="6" t="s">
        <v>306</v>
      </c>
      <c r="Q5850" s="8" t="s">
        <v>52</v>
      </c>
      <c r="R5850" s="10" t="s">
        <v>33396</v>
      </c>
      <c r="S5850" s="11"/>
      <c r="T5850" s="6"/>
      <c r="U5850" s="15" t="str">
        <f>HYPERLINK("https://media.infra-m.ru/2196/2196099/cover/2196099.jpg", "Обложка")</f>
        <v>Обложка</v>
      </c>
      <c r="V5850" s="8" t="s">
        <v>831</v>
      </c>
      <c r="W5850" s="6"/>
      <c r="X5850" s="6"/>
      <c r="Y5850" s="6"/>
      <c r="Z5850" s="6"/>
      <c r="AA5850" s="6" t="s">
        <v>86</v>
      </c>
      <c r="AB5850" s="8"/>
      <c r="AC5850" s="27">
        <v>9785906923417</v>
      </c>
    </row>
    <row r="5851" spans="1:29" s="4" customFormat="1" ht="51.9" customHeight="1" x14ac:dyDescent="0.2">
      <c r="A5851" s="5">
        <v>0</v>
      </c>
      <c r="B5851" s="6" t="s">
        <v>33397</v>
      </c>
      <c r="C5851" s="7">
        <v>1308</v>
      </c>
      <c r="D5851" s="8" t="s">
        <v>33398</v>
      </c>
      <c r="E5851" s="8" t="s">
        <v>33399</v>
      </c>
      <c r="F5851" s="8" t="s">
        <v>33400</v>
      </c>
      <c r="G5851" s="6" t="s">
        <v>33</v>
      </c>
      <c r="H5851" s="6" t="s">
        <v>34</v>
      </c>
      <c r="I5851" s="8" t="s">
        <v>253</v>
      </c>
      <c r="J5851" s="9">
        <v>1</v>
      </c>
      <c r="K5851" s="9">
        <v>160</v>
      </c>
      <c r="L5851" s="9">
        <v>2027</v>
      </c>
      <c r="M5851" s="8" t="s">
        <v>33401</v>
      </c>
      <c r="N5851" s="8" t="s">
        <v>93</v>
      </c>
      <c r="O5851" s="8" t="s">
        <v>94</v>
      </c>
      <c r="P5851" s="6" t="s">
        <v>105</v>
      </c>
      <c r="Q5851" s="8" t="s">
        <v>52</v>
      </c>
      <c r="R5851" s="10" t="s">
        <v>9415</v>
      </c>
      <c r="S5851" s="11" t="s">
        <v>33402</v>
      </c>
      <c r="T5851" s="6"/>
      <c r="U5851" s="15" t="str">
        <f>HYPERLINK("https://media.infra-m.ru/2266/2266113/cover/2266113.jpg", "Обложка")</f>
        <v>Обложка</v>
      </c>
      <c r="V5851" s="8" t="s">
        <v>9822</v>
      </c>
      <c r="W5851" s="6"/>
      <c r="X5851" s="6"/>
      <c r="Y5851" s="6"/>
      <c r="Z5851" s="6"/>
      <c r="AA5851" s="6" t="s">
        <v>779</v>
      </c>
      <c r="AB5851" s="8"/>
      <c r="AC5851" s="27">
        <v>9785160224299</v>
      </c>
    </row>
    <row r="5852" spans="1:29" s="4" customFormat="1" ht="51.9" customHeight="1" x14ac:dyDescent="0.2">
      <c r="A5852" s="5">
        <v>0</v>
      </c>
      <c r="B5852" s="6" t="s">
        <v>33403</v>
      </c>
      <c r="C5852" s="7">
        <v>1008</v>
      </c>
      <c r="D5852" s="8" t="s">
        <v>33404</v>
      </c>
      <c r="E5852" s="8" t="s">
        <v>33399</v>
      </c>
      <c r="F5852" s="8" t="s">
        <v>33400</v>
      </c>
      <c r="G5852" s="6" t="s">
        <v>118</v>
      </c>
      <c r="H5852" s="6" t="s">
        <v>48</v>
      </c>
      <c r="I5852" s="8" t="s">
        <v>263</v>
      </c>
      <c r="J5852" s="9">
        <v>1</v>
      </c>
      <c r="K5852" s="9">
        <v>160</v>
      </c>
      <c r="L5852" s="9">
        <v>2025</v>
      </c>
      <c r="M5852" s="8" t="s">
        <v>33405</v>
      </c>
      <c r="N5852" s="8" t="s">
        <v>93</v>
      </c>
      <c r="O5852" s="8" t="s">
        <v>94</v>
      </c>
      <c r="P5852" s="6" t="s">
        <v>105</v>
      </c>
      <c r="Q5852" s="8" t="s">
        <v>265</v>
      </c>
      <c r="R5852" s="10" t="s">
        <v>33406</v>
      </c>
      <c r="S5852" s="11" t="s">
        <v>33407</v>
      </c>
      <c r="T5852" s="6"/>
      <c r="U5852" s="15" t="str">
        <f>HYPERLINK("https://media.infra-m.ru/2193/2193224/cover/2193224.jpg", "Обложка")</f>
        <v>Обложка</v>
      </c>
      <c r="V5852" s="8" t="s">
        <v>9822</v>
      </c>
      <c r="W5852" s="6"/>
      <c r="X5852" s="6"/>
      <c r="Y5852" s="6"/>
      <c r="Z5852" s="6" t="s">
        <v>267</v>
      </c>
      <c r="AA5852" s="6" t="s">
        <v>1256</v>
      </c>
      <c r="AB5852" s="8"/>
      <c r="AC5852" s="27">
        <v>9785000917299</v>
      </c>
    </row>
    <row r="5853" spans="1:29" s="4" customFormat="1" ht="51.9" customHeight="1" x14ac:dyDescent="0.2">
      <c r="A5853" s="5">
        <v>0</v>
      </c>
      <c r="B5853" s="6" t="s">
        <v>33408</v>
      </c>
      <c r="C5853" s="13">
        <v>552</v>
      </c>
      <c r="D5853" s="8" t="s">
        <v>33409</v>
      </c>
      <c r="E5853" s="8" t="s">
        <v>33410</v>
      </c>
      <c r="F5853" s="8" t="s">
        <v>33411</v>
      </c>
      <c r="G5853" s="6" t="s">
        <v>33</v>
      </c>
      <c r="H5853" s="6" t="s">
        <v>34</v>
      </c>
      <c r="I5853" s="8" t="s">
        <v>1248</v>
      </c>
      <c r="J5853" s="9">
        <v>1</v>
      </c>
      <c r="K5853" s="9">
        <v>64</v>
      </c>
      <c r="L5853" s="9">
        <v>2024</v>
      </c>
      <c r="M5853" s="8" t="s">
        <v>33412</v>
      </c>
      <c r="N5853" s="8" t="s">
        <v>37</v>
      </c>
      <c r="O5853" s="8" t="s">
        <v>290</v>
      </c>
      <c r="P5853" s="6" t="s">
        <v>105</v>
      </c>
      <c r="Q5853" s="8" t="s">
        <v>65</v>
      </c>
      <c r="R5853" s="10" t="s">
        <v>33413</v>
      </c>
      <c r="S5853" s="11"/>
      <c r="T5853" s="6"/>
      <c r="U5853" s="15" t="str">
        <f>HYPERLINK("https://media.infra-m.ru/2081/2081121/cover/2081121.jpg", "Обложка")</f>
        <v>Обложка</v>
      </c>
      <c r="V5853" s="8" t="s">
        <v>1083</v>
      </c>
      <c r="W5853" s="6"/>
      <c r="X5853" s="6"/>
      <c r="Y5853" s="6"/>
      <c r="Z5853" s="6"/>
      <c r="AA5853" s="6" t="s">
        <v>157</v>
      </c>
      <c r="AB5853" s="8"/>
      <c r="AC5853" s="27">
        <v>9785160189734</v>
      </c>
    </row>
    <row r="5854" spans="1:29" s="4" customFormat="1" ht="42" customHeight="1" x14ac:dyDescent="0.2">
      <c r="A5854" s="5">
        <v>0</v>
      </c>
      <c r="B5854" s="6" t="s">
        <v>33414</v>
      </c>
      <c r="C5854" s="13">
        <v>660</v>
      </c>
      <c r="D5854" s="8" t="s">
        <v>33415</v>
      </c>
      <c r="E5854" s="8" t="s">
        <v>33416</v>
      </c>
      <c r="F5854" s="8" t="s">
        <v>33417</v>
      </c>
      <c r="G5854" s="6" t="s">
        <v>33</v>
      </c>
      <c r="H5854" s="6" t="s">
        <v>34</v>
      </c>
      <c r="I5854" s="8" t="s">
        <v>35</v>
      </c>
      <c r="J5854" s="9">
        <v>1</v>
      </c>
      <c r="K5854" s="9">
        <v>140</v>
      </c>
      <c r="L5854" s="9">
        <v>2022</v>
      </c>
      <c r="M5854" s="8" t="s">
        <v>33418</v>
      </c>
      <c r="N5854" s="8" t="s">
        <v>93</v>
      </c>
      <c r="O5854" s="8" t="s">
        <v>94</v>
      </c>
      <c r="P5854" s="6" t="s">
        <v>39</v>
      </c>
      <c r="Q5854" s="8" t="s">
        <v>40</v>
      </c>
      <c r="R5854" s="10" t="s">
        <v>33419</v>
      </c>
      <c r="S5854" s="11"/>
      <c r="T5854" s="6"/>
      <c r="U5854" s="15" t="str">
        <f>HYPERLINK("https://media.infra-m.ru/1850/1850138/cover/1850138.jpg", "Обложка")</f>
        <v>Обложка</v>
      </c>
      <c r="V5854" s="8" t="s">
        <v>3196</v>
      </c>
      <c r="W5854" s="6"/>
      <c r="X5854" s="6"/>
      <c r="Y5854" s="6"/>
      <c r="Z5854" s="6"/>
      <c r="AA5854" s="6" t="s">
        <v>218</v>
      </c>
      <c r="AB5854" s="8"/>
      <c r="AC5854" s="27">
        <v>9785160159003</v>
      </c>
    </row>
    <row r="5855" spans="1:29" s="4" customFormat="1" ht="42" customHeight="1" x14ac:dyDescent="0.2">
      <c r="A5855" s="5">
        <v>0</v>
      </c>
      <c r="B5855" s="6" t="s">
        <v>33420</v>
      </c>
      <c r="C5855" s="13">
        <v>528</v>
      </c>
      <c r="D5855" s="8" t="s">
        <v>33421</v>
      </c>
      <c r="E5855" s="8" t="s">
        <v>33422</v>
      </c>
      <c r="F5855" s="8" t="s">
        <v>33417</v>
      </c>
      <c r="G5855" s="6" t="s">
        <v>33</v>
      </c>
      <c r="H5855" s="6" t="s">
        <v>34</v>
      </c>
      <c r="I5855" s="8" t="s">
        <v>35</v>
      </c>
      <c r="J5855" s="9">
        <v>1</v>
      </c>
      <c r="K5855" s="9">
        <v>140</v>
      </c>
      <c r="L5855" s="9">
        <v>2017</v>
      </c>
      <c r="M5855" s="8" t="s">
        <v>33423</v>
      </c>
      <c r="N5855" s="8" t="s">
        <v>93</v>
      </c>
      <c r="O5855" s="8" t="s">
        <v>94</v>
      </c>
      <c r="P5855" s="6" t="s">
        <v>39</v>
      </c>
      <c r="Q5855" s="8" t="s">
        <v>40</v>
      </c>
      <c r="R5855" s="10" t="s">
        <v>33419</v>
      </c>
      <c r="S5855" s="11"/>
      <c r="T5855" s="6"/>
      <c r="U5855" s="15" t="str">
        <f>HYPERLINK("https://media.infra-m.ru/0854/0854334/cover/854334.jpg", "Обложка")</f>
        <v>Обложка</v>
      </c>
      <c r="V5855" s="8" t="s">
        <v>3196</v>
      </c>
      <c r="W5855" s="6"/>
      <c r="X5855" s="6"/>
      <c r="Y5855" s="6"/>
      <c r="Z5855" s="6"/>
      <c r="AA5855" s="6" t="s">
        <v>779</v>
      </c>
      <c r="AB5855" s="8"/>
      <c r="AC5855" s="27">
        <v>9785160117560</v>
      </c>
    </row>
    <row r="5856" spans="1:29" s="4" customFormat="1" ht="51.9" customHeight="1" x14ac:dyDescent="0.2">
      <c r="A5856" s="5">
        <v>0</v>
      </c>
      <c r="B5856" s="6" t="s">
        <v>33424</v>
      </c>
      <c r="C5856" s="7">
        <v>2320.8000000000002</v>
      </c>
      <c r="D5856" s="8" t="s">
        <v>33425</v>
      </c>
      <c r="E5856" s="8" t="s">
        <v>33426</v>
      </c>
      <c r="F5856" s="8" t="s">
        <v>33417</v>
      </c>
      <c r="G5856" s="6" t="s">
        <v>60</v>
      </c>
      <c r="H5856" s="6" t="s">
        <v>34</v>
      </c>
      <c r="I5856" s="8" t="s">
        <v>5931</v>
      </c>
      <c r="J5856" s="9">
        <v>1</v>
      </c>
      <c r="K5856" s="9">
        <v>334</v>
      </c>
      <c r="L5856" s="9">
        <v>2026</v>
      </c>
      <c r="M5856" s="8" t="s">
        <v>33427</v>
      </c>
      <c r="N5856" s="8" t="s">
        <v>93</v>
      </c>
      <c r="O5856" s="8" t="s">
        <v>94</v>
      </c>
      <c r="P5856" s="6" t="s">
        <v>306</v>
      </c>
      <c r="Q5856" s="8" t="s">
        <v>40</v>
      </c>
      <c r="R5856" s="10" t="s">
        <v>33428</v>
      </c>
      <c r="S5856" s="11"/>
      <c r="T5856" s="6"/>
      <c r="U5856" s="15" t="str">
        <f>HYPERLINK("https://media.infra-m.ru/2251/2251400/cover/2251400.jpg", "Обложка")</f>
        <v>Обложка</v>
      </c>
      <c r="V5856" s="8" t="s">
        <v>3196</v>
      </c>
      <c r="W5856" s="6"/>
      <c r="X5856" s="6"/>
      <c r="Y5856" s="6"/>
      <c r="Z5856" s="6"/>
      <c r="AA5856" s="6" t="s">
        <v>11623</v>
      </c>
      <c r="AB5856" s="8"/>
      <c r="AC5856" s="27">
        <v>9785160199924</v>
      </c>
    </row>
    <row r="5857" spans="1:29" s="4" customFormat="1" ht="51.9" customHeight="1" x14ac:dyDescent="0.2">
      <c r="A5857" s="5">
        <v>0</v>
      </c>
      <c r="B5857" s="6" t="s">
        <v>33429</v>
      </c>
      <c r="C5857" s="7">
        <v>1440</v>
      </c>
      <c r="D5857" s="8" t="s">
        <v>33430</v>
      </c>
      <c r="E5857" s="8" t="s">
        <v>33431</v>
      </c>
      <c r="F5857" s="8" t="s">
        <v>33432</v>
      </c>
      <c r="G5857" s="6" t="s">
        <v>118</v>
      </c>
      <c r="H5857" s="6" t="s">
        <v>34</v>
      </c>
      <c r="I5857" s="8" t="s">
        <v>5931</v>
      </c>
      <c r="J5857" s="9">
        <v>1</v>
      </c>
      <c r="K5857" s="9">
        <v>372</v>
      </c>
      <c r="L5857" s="9">
        <v>2018</v>
      </c>
      <c r="M5857" s="8" t="s">
        <v>33433</v>
      </c>
      <c r="N5857" s="8" t="s">
        <v>37</v>
      </c>
      <c r="O5857" s="8" t="s">
        <v>280</v>
      </c>
      <c r="P5857" s="6" t="s">
        <v>306</v>
      </c>
      <c r="Q5857" s="8" t="s">
        <v>40</v>
      </c>
      <c r="R5857" s="10" t="s">
        <v>33428</v>
      </c>
      <c r="S5857" s="11" t="s">
        <v>28636</v>
      </c>
      <c r="T5857" s="6"/>
      <c r="U5857" s="15" t="str">
        <f>HYPERLINK("https://media.infra-m.ru/1005/1005794/cover/1005794.jpg", "Обложка")</f>
        <v>Обложка</v>
      </c>
      <c r="V5857" s="8" t="s">
        <v>3196</v>
      </c>
      <c r="W5857" s="6"/>
      <c r="X5857" s="6"/>
      <c r="Y5857" s="6"/>
      <c r="Z5857" s="6"/>
      <c r="AA5857" s="6" t="s">
        <v>561</v>
      </c>
      <c r="AB5857" s="8"/>
      <c r="AC5857" s="27">
        <v>9785160130774</v>
      </c>
    </row>
    <row r="5858" spans="1:29" s="4" customFormat="1" ht="51.9" customHeight="1" x14ac:dyDescent="0.2">
      <c r="A5858" s="5">
        <v>0</v>
      </c>
      <c r="B5858" s="6" t="s">
        <v>33434</v>
      </c>
      <c r="C5858" s="7">
        <v>1920</v>
      </c>
      <c r="D5858" s="8" t="s">
        <v>33435</v>
      </c>
      <c r="E5858" s="8" t="s">
        <v>33436</v>
      </c>
      <c r="F5858" s="8" t="s">
        <v>33432</v>
      </c>
      <c r="G5858" s="6" t="s">
        <v>118</v>
      </c>
      <c r="H5858" s="6" t="s">
        <v>34</v>
      </c>
      <c r="I5858" s="8" t="s">
        <v>5931</v>
      </c>
      <c r="J5858" s="9">
        <v>1</v>
      </c>
      <c r="K5858" s="9">
        <v>339</v>
      </c>
      <c r="L5858" s="9">
        <v>2024</v>
      </c>
      <c r="M5858" s="8" t="s">
        <v>33437</v>
      </c>
      <c r="N5858" s="8" t="s">
        <v>37</v>
      </c>
      <c r="O5858" s="8" t="s">
        <v>280</v>
      </c>
      <c r="P5858" s="6" t="s">
        <v>306</v>
      </c>
      <c r="Q5858" s="8" t="s">
        <v>40</v>
      </c>
      <c r="R5858" s="10" t="s">
        <v>33428</v>
      </c>
      <c r="S5858" s="11" t="s">
        <v>28636</v>
      </c>
      <c r="T5858" s="6"/>
      <c r="U5858" s="15" t="str">
        <f>HYPERLINK("https://media.infra-m.ru/2115/2115268/cover/2115268.jpg", "Обложка")</f>
        <v>Обложка</v>
      </c>
      <c r="V5858" s="8" t="s">
        <v>3196</v>
      </c>
      <c r="W5858" s="6"/>
      <c r="X5858" s="6"/>
      <c r="Y5858" s="6"/>
      <c r="Z5858" s="6"/>
      <c r="AA5858" s="6" t="s">
        <v>2240</v>
      </c>
      <c r="AB5858" s="8"/>
      <c r="AC5858" s="27">
        <v>9785160147819</v>
      </c>
    </row>
    <row r="5859" spans="1:29" s="4" customFormat="1" ht="51.9" customHeight="1" x14ac:dyDescent="0.2">
      <c r="A5859" s="5">
        <v>0</v>
      </c>
      <c r="B5859" s="6" t="s">
        <v>33438</v>
      </c>
      <c r="C5859" s="7">
        <v>1589.9</v>
      </c>
      <c r="D5859" s="8" t="s">
        <v>33439</v>
      </c>
      <c r="E5859" s="8" t="s">
        <v>33440</v>
      </c>
      <c r="F5859" s="8" t="s">
        <v>33441</v>
      </c>
      <c r="G5859" s="6" t="s">
        <v>60</v>
      </c>
      <c r="H5859" s="6" t="s">
        <v>820</v>
      </c>
      <c r="I5859" s="8"/>
      <c r="J5859" s="9">
        <v>1</v>
      </c>
      <c r="K5859" s="9">
        <v>384</v>
      </c>
      <c r="L5859" s="9">
        <v>2019</v>
      </c>
      <c r="M5859" s="8" t="s">
        <v>33442</v>
      </c>
      <c r="N5859" s="8" t="s">
        <v>243</v>
      </c>
      <c r="O5859" s="8" t="s">
        <v>1100</v>
      </c>
      <c r="P5859" s="6" t="s">
        <v>51</v>
      </c>
      <c r="Q5859" s="8" t="s">
        <v>52</v>
      </c>
      <c r="R5859" s="10" t="s">
        <v>33443</v>
      </c>
      <c r="S5859" s="11" t="s">
        <v>33444</v>
      </c>
      <c r="T5859" s="6"/>
      <c r="U5859" s="15" t="str">
        <f>HYPERLINK("https://media.infra-m.ru/1027/1027251/cover/1027251.jpg", "Обложка")</f>
        <v>Обложка</v>
      </c>
      <c r="V5859" s="8" t="s">
        <v>1030</v>
      </c>
      <c r="W5859" s="6"/>
      <c r="X5859" s="6"/>
      <c r="Y5859" s="6"/>
      <c r="Z5859" s="6"/>
      <c r="AA5859" s="6" t="s">
        <v>274</v>
      </c>
      <c r="AB5859" s="8"/>
      <c r="AC5859" s="27">
        <v>9785905554889</v>
      </c>
    </row>
    <row r="5860" spans="1:29" s="4" customFormat="1" ht="42" customHeight="1" x14ac:dyDescent="0.2">
      <c r="A5860" s="5">
        <v>0</v>
      </c>
      <c r="B5860" s="6" t="s">
        <v>33445</v>
      </c>
      <c r="C5860" s="13">
        <v>936</v>
      </c>
      <c r="D5860" s="8" t="s">
        <v>33446</v>
      </c>
      <c r="E5860" s="8" t="s">
        <v>33447</v>
      </c>
      <c r="F5860" s="8" t="s">
        <v>13339</v>
      </c>
      <c r="G5860" s="6" t="s">
        <v>33</v>
      </c>
      <c r="H5860" s="6" t="s">
        <v>34</v>
      </c>
      <c r="I5860" s="8" t="s">
        <v>35</v>
      </c>
      <c r="J5860" s="9">
        <v>1</v>
      </c>
      <c r="K5860" s="9">
        <v>203</v>
      </c>
      <c r="L5860" s="9">
        <v>2021</v>
      </c>
      <c r="M5860" s="8" t="s">
        <v>33448</v>
      </c>
      <c r="N5860" s="8" t="s">
        <v>37</v>
      </c>
      <c r="O5860" s="8" t="s">
        <v>83</v>
      </c>
      <c r="P5860" s="6" t="s">
        <v>39</v>
      </c>
      <c r="Q5860" s="8" t="s">
        <v>40</v>
      </c>
      <c r="R5860" s="10" t="s">
        <v>33449</v>
      </c>
      <c r="S5860" s="11"/>
      <c r="T5860" s="6"/>
      <c r="U5860" s="15" t="str">
        <f>HYPERLINK("https://media.infra-m.ru/1213/1213788/cover/1213788.jpg", "Обложка")</f>
        <v>Обложка</v>
      </c>
      <c r="V5860" s="8" t="s">
        <v>10951</v>
      </c>
      <c r="W5860" s="6"/>
      <c r="X5860" s="6"/>
      <c r="Y5860" s="6"/>
      <c r="Z5860" s="6"/>
      <c r="AA5860" s="6" t="s">
        <v>258</v>
      </c>
      <c r="AB5860" s="8" t="s">
        <v>2231</v>
      </c>
      <c r="AC5860" s="27">
        <v>9785160166728</v>
      </c>
    </row>
    <row r="5861" spans="1:29" s="4" customFormat="1" ht="42" customHeight="1" x14ac:dyDescent="0.2">
      <c r="A5861" s="5">
        <v>0</v>
      </c>
      <c r="B5861" s="6" t="s">
        <v>33450</v>
      </c>
      <c r="C5861" s="7">
        <v>1104</v>
      </c>
      <c r="D5861" s="8" t="s">
        <v>33451</v>
      </c>
      <c r="E5861" s="8" t="s">
        <v>33452</v>
      </c>
      <c r="F5861" s="8" t="s">
        <v>33453</v>
      </c>
      <c r="G5861" s="6" t="s">
        <v>118</v>
      </c>
      <c r="H5861" s="6" t="s">
        <v>34</v>
      </c>
      <c r="I5861" s="8"/>
      <c r="J5861" s="9">
        <v>1</v>
      </c>
      <c r="K5861" s="9">
        <v>249</v>
      </c>
      <c r="L5861" s="9">
        <v>2021</v>
      </c>
      <c r="M5861" s="8" t="s">
        <v>33454</v>
      </c>
      <c r="N5861" s="8" t="s">
        <v>37</v>
      </c>
      <c r="O5861" s="8" t="s">
        <v>136</v>
      </c>
      <c r="P5861" s="6" t="s">
        <v>39</v>
      </c>
      <c r="Q5861" s="8" t="s">
        <v>40</v>
      </c>
      <c r="R5861" s="10" t="s">
        <v>1625</v>
      </c>
      <c r="S5861" s="11"/>
      <c r="T5861" s="6"/>
      <c r="U5861" s="15" t="str">
        <f>HYPERLINK("https://media.infra-m.ru/1230/1230615/cover/1230615.jpg", "Обложка")</f>
        <v>Обложка</v>
      </c>
      <c r="V5861" s="8" t="s">
        <v>9937</v>
      </c>
      <c r="W5861" s="6"/>
      <c r="X5861" s="6"/>
      <c r="Y5861" s="6"/>
      <c r="Z5861" s="6"/>
      <c r="AA5861" s="6" t="s">
        <v>1015</v>
      </c>
      <c r="AB5861" s="8"/>
      <c r="AC5861" s="27">
        <v>9785160167756</v>
      </c>
    </row>
    <row r="5862" spans="1:29" s="4" customFormat="1" ht="51.9" customHeight="1" x14ac:dyDescent="0.2">
      <c r="A5862" s="5">
        <v>0</v>
      </c>
      <c r="B5862" s="6" t="s">
        <v>33455</v>
      </c>
      <c r="C5862" s="7">
        <v>1912.8</v>
      </c>
      <c r="D5862" s="8" t="s">
        <v>33456</v>
      </c>
      <c r="E5862" s="8" t="s">
        <v>33457</v>
      </c>
      <c r="F5862" s="8" t="s">
        <v>18093</v>
      </c>
      <c r="G5862" s="6" t="s">
        <v>60</v>
      </c>
      <c r="H5862" s="6" t="s">
        <v>134</v>
      </c>
      <c r="I5862" s="8"/>
      <c r="J5862" s="9">
        <v>1</v>
      </c>
      <c r="K5862" s="9">
        <v>304</v>
      </c>
      <c r="L5862" s="9">
        <v>2026</v>
      </c>
      <c r="M5862" s="8" t="s">
        <v>33458</v>
      </c>
      <c r="N5862" s="8" t="s">
        <v>37</v>
      </c>
      <c r="O5862" s="8" t="s">
        <v>136</v>
      </c>
      <c r="P5862" s="6" t="s">
        <v>39</v>
      </c>
      <c r="Q5862" s="8" t="s">
        <v>40</v>
      </c>
      <c r="R5862" s="10" t="s">
        <v>33459</v>
      </c>
      <c r="S5862" s="11"/>
      <c r="T5862" s="6"/>
      <c r="U5862" s="15" t="str">
        <f>HYPERLINK("https://media.infra-m.ru/2233/2233923/cover/2233923.jpg", "Обложка")</f>
        <v>Обложка</v>
      </c>
      <c r="V5862" s="8" t="s">
        <v>6700</v>
      </c>
      <c r="W5862" s="6"/>
      <c r="X5862" s="6"/>
      <c r="Y5862" s="6"/>
      <c r="Z5862" s="6"/>
      <c r="AA5862" s="6" t="s">
        <v>248</v>
      </c>
      <c r="AB5862" s="8"/>
      <c r="AC5862" s="27">
        <v>9785917684987</v>
      </c>
    </row>
    <row r="5863" spans="1:29" s="4" customFormat="1" ht="42" customHeight="1" x14ac:dyDescent="0.2">
      <c r="A5863" s="5">
        <v>0</v>
      </c>
      <c r="B5863" s="6" t="s">
        <v>33460</v>
      </c>
      <c r="C5863" s="7">
        <v>1080</v>
      </c>
      <c r="D5863" s="8" t="s">
        <v>33461</v>
      </c>
      <c r="E5863" s="8" t="s">
        <v>33462</v>
      </c>
      <c r="F5863" s="8" t="s">
        <v>33463</v>
      </c>
      <c r="G5863" s="6" t="s">
        <v>33</v>
      </c>
      <c r="H5863" s="6" t="s">
        <v>34</v>
      </c>
      <c r="I5863" s="8" t="s">
        <v>35</v>
      </c>
      <c r="J5863" s="9">
        <v>1</v>
      </c>
      <c r="K5863" s="9">
        <v>172</v>
      </c>
      <c r="L5863" s="9">
        <v>2025</v>
      </c>
      <c r="M5863" s="8" t="s">
        <v>33464</v>
      </c>
      <c r="N5863" s="8" t="s">
        <v>37</v>
      </c>
      <c r="O5863" s="8" t="s">
        <v>136</v>
      </c>
      <c r="P5863" s="6" t="s">
        <v>39</v>
      </c>
      <c r="Q5863" s="8" t="s">
        <v>40</v>
      </c>
      <c r="R5863" s="10" t="s">
        <v>1631</v>
      </c>
      <c r="S5863" s="11"/>
      <c r="T5863" s="6"/>
      <c r="U5863" s="15" t="str">
        <f>HYPERLINK("https://media.infra-m.ru/2202/2202131/cover/2202131.jpg", "Обложка")</f>
        <v>Обложка</v>
      </c>
      <c r="V5863" s="8" t="s">
        <v>1496</v>
      </c>
      <c r="W5863" s="6"/>
      <c r="X5863" s="6"/>
      <c r="Y5863" s="6"/>
      <c r="Z5863" s="6"/>
      <c r="AA5863" s="6" t="s">
        <v>86</v>
      </c>
      <c r="AB5863" s="8"/>
      <c r="AC5863" s="27">
        <v>9785160136110</v>
      </c>
    </row>
    <row r="5864" spans="1:29" s="4" customFormat="1" ht="42" customHeight="1" x14ac:dyDescent="0.2">
      <c r="A5864" s="5">
        <v>0</v>
      </c>
      <c r="B5864" s="6" t="s">
        <v>33465</v>
      </c>
      <c r="C5864" s="7">
        <v>2068.8000000000002</v>
      </c>
      <c r="D5864" s="8" t="s">
        <v>33466</v>
      </c>
      <c r="E5864" s="8" t="s">
        <v>33467</v>
      </c>
      <c r="F5864" s="8" t="s">
        <v>33468</v>
      </c>
      <c r="G5864" s="6" t="s">
        <v>118</v>
      </c>
      <c r="H5864" s="6" t="s">
        <v>34</v>
      </c>
      <c r="I5864" s="8" t="s">
        <v>10444</v>
      </c>
      <c r="J5864" s="9">
        <v>1</v>
      </c>
      <c r="K5864" s="9">
        <v>314</v>
      </c>
      <c r="L5864" s="9">
        <v>2026</v>
      </c>
      <c r="M5864" s="8" t="s">
        <v>33469</v>
      </c>
      <c r="N5864" s="8" t="s">
        <v>37</v>
      </c>
      <c r="O5864" s="8" t="s">
        <v>136</v>
      </c>
      <c r="P5864" s="6" t="s">
        <v>39</v>
      </c>
      <c r="Q5864" s="8" t="s">
        <v>40</v>
      </c>
      <c r="R5864" s="10" t="s">
        <v>1625</v>
      </c>
      <c r="S5864" s="11"/>
      <c r="T5864" s="6"/>
      <c r="U5864" s="15" t="str">
        <f>HYPERLINK("https://media.infra-m.ru/2249/2249874/cover/2249874.jpg", "Обложка")</f>
        <v>Обложка</v>
      </c>
      <c r="V5864" s="8" t="s">
        <v>9937</v>
      </c>
      <c r="W5864" s="6"/>
      <c r="X5864" s="6"/>
      <c r="Y5864" s="6"/>
      <c r="Z5864" s="6"/>
      <c r="AA5864" s="6" t="s">
        <v>1007</v>
      </c>
      <c r="AB5864" s="8"/>
      <c r="AC5864" s="27">
        <v>9785160017150</v>
      </c>
    </row>
    <row r="5865" spans="1:29" s="4" customFormat="1" ht="51.9" customHeight="1" x14ac:dyDescent="0.2">
      <c r="A5865" s="5">
        <v>0</v>
      </c>
      <c r="B5865" s="6" t="s">
        <v>33470</v>
      </c>
      <c r="C5865" s="7">
        <v>1116</v>
      </c>
      <c r="D5865" s="8" t="s">
        <v>33471</v>
      </c>
      <c r="E5865" s="8" t="s">
        <v>33472</v>
      </c>
      <c r="F5865" s="8" t="s">
        <v>10311</v>
      </c>
      <c r="G5865" s="6" t="s">
        <v>60</v>
      </c>
      <c r="H5865" s="6" t="s">
        <v>134</v>
      </c>
      <c r="I5865" s="8"/>
      <c r="J5865" s="9">
        <v>1</v>
      </c>
      <c r="K5865" s="9">
        <v>168</v>
      </c>
      <c r="L5865" s="9">
        <v>2026</v>
      </c>
      <c r="M5865" s="8" t="s">
        <v>33473</v>
      </c>
      <c r="N5865" s="8" t="s">
        <v>37</v>
      </c>
      <c r="O5865" s="8" t="s">
        <v>136</v>
      </c>
      <c r="P5865" s="6" t="s">
        <v>51</v>
      </c>
      <c r="Q5865" s="8" t="s">
        <v>65</v>
      </c>
      <c r="R5865" s="10" t="s">
        <v>33474</v>
      </c>
      <c r="S5865" s="11"/>
      <c r="T5865" s="6"/>
      <c r="U5865" s="15" t="str">
        <f>HYPERLINK("https://media.infra-m.ru/2221/2221051/cover/2221051.jpg", "Обложка")</f>
        <v>Обложка</v>
      </c>
      <c r="V5865" s="8" t="s">
        <v>227</v>
      </c>
      <c r="W5865" s="6" t="s">
        <v>2565</v>
      </c>
      <c r="X5865" s="6"/>
      <c r="Y5865" s="6"/>
      <c r="Z5865" s="6"/>
      <c r="AA5865" s="6" t="s">
        <v>187</v>
      </c>
      <c r="AB5865" s="8"/>
      <c r="AC5865" s="27">
        <v>9785001564560</v>
      </c>
    </row>
    <row r="5866" spans="1:29" s="4" customFormat="1" ht="51.9" customHeight="1" x14ac:dyDescent="0.2">
      <c r="A5866" s="5">
        <v>0</v>
      </c>
      <c r="B5866" s="6" t="s">
        <v>33475</v>
      </c>
      <c r="C5866" s="13">
        <v>972</v>
      </c>
      <c r="D5866" s="8" t="s">
        <v>33476</v>
      </c>
      <c r="E5866" s="8" t="s">
        <v>33477</v>
      </c>
      <c r="F5866" s="8" t="s">
        <v>33478</v>
      </c>
      <c r="G5866" s="6" t="s">
        <v>60</v>
      </c>
      <c r="H5866" s="6" t="s">
        <v>34</v>
      </c>
      <c r="I5866" s="8" t="s">
        <v>1248</v>
      </c>
      <c r="J5866" s="9">
        <v>1</v>
      </c>
      <c r="K5866" s="9">
        <v>126</v>
      </c>
      <c r="L5866" s="9">
        <v>2026</v>
      </c>
      <c r="M5866" s="8" t="s">
        <v>33479</v>
      </c>
      <c r="N5866" s="8" t="s">
        <v>37</v>
      </c>
      <c r="O5866" s="8" t="s">
        <v>136</v>
      </c>
      <c r="P5866" s="6" t="s">
        <v>51</v>
      </c>
      <c r="Q5866" s="8" t="s">
        <v>65</v>
      </c>
      <c r="R5866" s="10" t="s">
        <v>6914</v>
      </c>
      <c r="S5866" s="11"/>
      <c r="T5866" s="6"/>
      <c r="U5866" s="15" t="str">
        <f>HYPERLINK("https://media.infra-m.ru/2223/2223616/cover/2223616.jpg", "Обложка")</f>
        <v>Обложка</v>
      </c>
      <c r="V5866" s="8" t="s">
        <v>1083</v>
      </c>
      <c r="W5866" s="6" t="s">
        <v>186</v>
      </c>
      <c r="X5866" s="6"/>
      <c r="Y5866" s="6"/>
      <c r="Z5866" s="6"/>
      <c r="AA5866" s="6" t="s">
        <v>187</v>
      </c>
      <c r="AB5866" s="8"/>
      <c r="AC5866" s="27">
        <v>9785160214047</v>
      </c>
    </row>
    <row r="5867" spans="1:29" s="4" customFormat="1" ht="42" customHeight="1" x14ac:dyDescent="0.2">
      <c r="A5867" s="5">
        <v>0</v>
      </c>
      <c r="B5867" s="6" t="s">
        <v>33480</v>
      </c>
      <c r="C5867" s="7">
        <v>2152.8000000000002</v>
      </c>
      <c r="D5867" s="8" t="s">
        <v>33481</v>
      </c>
      <c r="E5867" s="8" t="s">
        <v>33482</v>
      </c>
      <c r="F5867" s="8" t="s">
        <v>33483</v>
      </c>
      <c r="G5867" s="6" t="s">
        <v>60</v>
      </c>
      <c r="H5867" s="6" t="s">
        <v>5605</v>
      </c>
      <c r="I5867" s="8" t="s">
        <v>10444</v>
      </c>
      <c r="J5867" s="9">
        <v>1</v>
      </c>
      <c r="K5867" s="9">
        <v>391</v>
      </c>
      <c r="L5867" s="9">
        <v>2024</v>
      </c>
      <c r="M5867" s="8" t="s">
        <v>33484</v>
      </c>
      <c r="N5867" s="8" t="s">
        <v>37</v>
      </c>
      <c r="O5867" s="8" t="s">
        <v>136</v>
      </c>
      <c r="P5867" s="6" t="s">
        <v>8120</v>
      </c>
      <c r="Q5867" s="8" t="s">
        <v>3587</v>
      </c>
      <c r="R5867" s="10" t="s">
        <v>1625</v>
      </c>
      <c r="S5867" s="11"/>
      <c r="T5867" s="6"/>
      <c r="U5867" s="15" t="str">
        <f>HYPERLINK("https://media.infra-m.ru/2053/2053980/cover/2053980.jpg", "Обложка")</f>
        <v>Обложка</v>
      </c>
      <c r="V5867" s="8" t="s">
        <v>9937</v>
      </c>
      <c r="W5867" s="6"/>
      <c r="X5867" s="6"/>
      <c r="Y5867" s="6"/>
      <c r="Z5867" s="6"/>
      <c r="AA5867" s="6" t="s">
        <v>1007</v>
      </c>
      <c r="AB5867" s="8"/>
      <c r="AC5867" s="27">
        <v>5160019782</v>
      </c>
    </row>
    <row r="5868" spans="1:29" s="4" customFormat="1" ht="42" customHeight="1" x14ac:dyDescent="0.2">
      <c r="A5868" s="5">
        <v>0</v>
      </c>
      <c r="B5868" s="6" t="s">
        <v>33485</v>
      </c>
      <c r="C5868" s="7">
        <v>1733.9</v>
      </c>
      <c r="D5868" s="8" t="s">
        <v>33486</v>
      </c>
      <c r="E5868" s="8" t="s">
        <v>33482</v>
      </c>
      <c r="F5868" s="8" t="s">
        <v>33483</v>
      </c>
      <c r="G5868" s="6" t="s">
        <v>33</v>
      </c>
      <c r="H5868" s="6" t="s">
        <v>34</v>
      </c>
      <c r="I5868" s="8" t="s">
        <v>10444</v>
      </c>
      <c r="J5868" s="9">
        <v>1</v>
      </c>
      <c r="K5868" s="9">
        <v>391</v>
      </c>
      <c r="L5868" s="9">
        <v>2021</v>
      </c>
      <c r="M5868" s="8" t="s">
        <v>33487</v>
      </c>
      <c r="N5868" s="8" t="s">
        <v>37</v>
      </c>
      <c r="O5868" s="8" t="s">
        <v>136</v>
      </c>
      <c r="P5868" s="6" t="s">
        <v>8120</v>
      </c>
      <c r="Q5868" s="8" t="s">
        <v>40</v>
      </c>
      <c r="R5868" s="10" t="s">
        <v>1625</v>
      </c>
      <c r="S5868" s="11"/>
      <c r="T5868" s="6"/>
      <c r="U5868" s="15" t="str">
        <f>HYPERLINK("https://media.infra-m.ru/1237/1237091/cover/1237091.jpg", "Обложка")</f>
        <v>Обложка</v>
      </c>
      <c r="V5868" s="8" t="s">
        <v>9937</v>
      </c>
      <c r="W5868" s="6"/>
      <c r="X5868" s="6"/>
      <c r="Y5868" s="6"/>
      <c r="Z5868" s="6"/>
      <c r="AA5868" s="6" t="s">
        <v>1007</v>
      </c>
      <c r="AB5868" s="8"/>
      <c r="AC5868" s="27">
        <v>9785160037936</v>
      </c>
    </row>
    <row r="5869" spans="1:29" s="4" customFormat="1" ht="51.9" customHeight="1" x14ac:dyDescent="0.2">
      <c r="A5869" s="5">
        <v>0</v>
      </c>
      <c r="B5869" s="6" t="s">
        <v>33488</v>
      </c>
      <c r="C5869" s="7">
        <v>2536.8000000000002</v>
      </c>
      <c r="D5869" s="8" t="s">
        <v>33489</v>
      </c>
      <c r="E5869" s="8" t="s">
        <v>33490</v>
      </c>
      <c r="F5869" s="8" t="s">
        <v>33491</v>
      </c>
      <c r="G5869" s="6" t="s">
        <v>118</v>
      </c>
      <c r="H5869" s="6" t="s">
        <v>134</v>
      </c>
      <c r="I5869" s="8"/>
      <c r="J5869" s="9">
        <v>1</v>
      </c>
      <c r="K5869" s="9">
        <v>384</v>
      </c>
      <c r="L5869" s="9">
        <v>2026</v>
      </c>
      <c r="M5869" s="8" t="s">
        <v>33492</v>
      </c>
      <c r="N5869" s="8" t="s">
        <v>37</v>
      </c>
      <c r="O5869" s="8" t="s">
        <v>136</v>
      </c>
      <c r="P5869" s="6" t="s">
        <v>39</v>
      </c>
      <c r="Q5869" s="8" t="s">
        <v>40</v>
      </c>
      <c r="R5869" s="10" t="s">
        <v>484</v>
      </c>
      <c r="S5869" s="11"/>
      <c r="T5869" s="6"/>
      <c r="U5869" s="15" t="str">
        <f>HYPERLINK("https://media.infra-m.ru/2246/2246673/cover/2246673.jpg", "Обложка")</f>
        <v>Обложка</v>
      </c>
      <c r="V5869" s="8" t="s">
        <v>1184</v>
      </c>
      <c r="W5869" s="6"/>
      <c r="X5869" s="6"/>
      <c r="Y5869" s="6"/>
      <c r="Z5869" s="6"/>
      <c r="AA5869" s="6" t="s">
        <v>86</v>
      </c>
      <c r="AB5869" s="8"/>
      <c r="AC5869" s="27">
        <v>9785917689463</v>
      </c>
    </row>
    <row r="5870" spans="1:29" s="4" customFormat="1" ht="42" customHeight="1" x14ac:dyDescent="0.2">
      <c r="A5870" s="5">
        <v>0</v>
      </c>
      <c r="B5870" s="6" t="s">
        <v>33493</v>
      </c>
      <c r="C5870" s="7">
        <v>2248.8000000000002</v>
      </c>
      <c r="D5870" s="8" t="s">
        <v>33494</v>
      </c>
      <c r="E5870" s="8" t="s">
        <v>33495</v>
      </c>
      <c r="F5870" s="8" t="s">
        <v>33496</v>
      </c>
      <c r="G5870" s="6" t="s">
        <v>60</v>
      </c>
      <c r="H5870" s="6" t="s">
        <v>5605</v>
      </c>
      <c r="I5870" s="8" t="s">
        <v>10444</v>
      </c>
      <c r="J5870" s="9">
        <v>1</v>
      </c>
      <c r="K5870" s="9">
        <v>408</v>
      </c>
      <c r="L5870" s="9">
        <v>2024</v>
      </c>
      <c r="M5870" s="8" t="s">
        <v>33497</v>
      </c>
      <c r="N5870" s="8" t="s">
        <v>37</v>
      </c>
      <c r="O5870" s="8" t="s">
        <v>136</v>
      </c>
      <c r="P5870" s="6" t="s">
        <v>39</v>
      </c>
      <c r="Q5870" s="8" t="s">
        <v>40</v>
      </c>
      <c r="R5870" s="10" t="s">
        <v>1625</v>
      </c>
      <c r="S5870" s="11"/>
      <c r="T5870" s="6"/>
      <c r="U5870" s="15" t="str">
        <f>HYPERLINK("https://media.infra-m.ru/2056/2056641/cover/2056641.jpg", "Обложка")</f>
        <v>Обложка</v>
      </c>
      <c r="V5870" s="8" t="s">
        <v>19630</v>
      </c>
      <c r="W5870" s="6"/>
      <c r="X5870" s="6"/>
      <c r="Y5870" s="6"/>
      <c r="Z5870" s="6"/>
      <c r="AA5870" s="6" t="s">
        <v>1506</v>
      </c>
      <c r="AB5870" s="8"/>
      <c r="AC5870" s="27">
        <v>9785160031392</v>
      </c>
    </row>
    <row r="5871" spans="1:29" s="4" customFormat="1" ht="51.9" customHeight="1" x14ac:dyDescent="0.2">
      <c r="A5871" s="5">
        <v>0</v>
      </c>
      <c r="B5871" s="6" t="s">
        <v>33498</v>
      </c>
      <c r="C5871" s="7">
        <v>1480.8</v>
      </c>
      <c r="D5871" s="8" t="s">
        <v>33499</v>
      </c>
      <c r="E5871" s="8" t="s">
        <v>33500</v>
      </c>
      <c r="F5871" s="8" t="s">
        <v>33501</v>
      </c>
      <c r="G5871" s="6" t="s">
        <v>60</v>
      </c>
      <c r="H5871" s="6" t="s">
        <v>134</v>
      </c>
      <c r="I5871" s="8"/>
      <c r="J5871" s="9">
        <v>1</v>
      </c>
      <c r="K5871" s="9">
        <v>232</v>
      </c>
      <c r="L5871" s="9">
        <v>2026</v>
      </c>
      <c r="M5871" s="8" t="s">
        <v>33502</v>
      </c>
      <c r="N5871" s="8" t="s">
        <v>37</v>
      </c>
      <c r="O5871" s="8" t="s">
        <v>136</v>
      </c>
      <c r="P5871" s="6" t="s">
        <v>39</v>
      </c>
      <c r="Q5871" s="8" t="s">
        <v>40</v>
      </c>
      <c r="R5871" s="10" t="s">
        <v>33503</v>
      </c>
      <c r="S5871" s="11"/>
      <c r="T5871" s="6"/>
      <c r="U5871" s="15" t="str">
        <f>HYPERLINK("https://media.infra-m.ru/2205/2205235/cover/2205235.jpg", "Обложка")</f>
        <v>Обложка</v>
      </c>
      <c r="V5871" s="8" t="s">
        <v>5902</v>
      </c>
      <c r="W5871" s="6"/>
      <c r="X5871" s="6"/>
      <c r="Y5871" s="6"/>
      <c r="Z5871" s="6"/>
      <c r="AA5871" s="6" t="s">
        <v>157</v>
      </c>
      <c r="AB5871" s="8"/>
      <c r="AC5871" s="27">
        <v>9785001562733</v>
      </c>
    </row>
    <row r="5872" spans="1:29" s="4" customFormat="1" ht="51.9" customHeight="1" x14ac:dyDescent="0.2">
      <c r="A5872" s="5">
        <v>0</v>
      </c>
      <c r="B5872" s="6" t="s">
        <v>33504</v>
      </c>
      <c r="C5872" s="7">
        <v>1300.8</v>
      </c>
      <c r="D5872" s="8" t="s">
        <v>33505</v>
      </c>
      <c r="E5872" s="8" t="s">
        <v>33506</v>
      </c>
      <c r="F5872" s="8" t="s">
        <v>33507</v>
      </c>
      <c r="G5872" s="6" t="s">
        <v>33</v>
      </c>
      <c r="H5872" s="6" t="s">
        <v>134</v>
      </c>
      <c r="I5872" s="8"/>
      <c r="J5872" s="9">
        <v>1</v>
      </c>
      <c r="K5872" s="9">
        <v>208</v>
      </c>
      <c r="L5872" s="9">
        <v>2026</v>
      </c>
      <c r="M5872" s="8" t="s">
        <v>33508</v>
      </c>
      <c r="N5872" s="8" t="s">
        <v>37</v>
      </c>
      <c r="O5872" s="8" t="s">
        <v>136</v>
      </c>
      <c r="P5872" s="6" t="s">
        <v>39</v>
      </c>
      <c r="Q5872" s="8" t="s">
        <v>1349</v>
      </c>
      <c r="R5872" s="10" t="s">
        <v>1275</v>
      </c>
      <c r="S5872" s="11"/>
      <c r="T5872" s="6"/>
      <c r="U5872" s="15" t="str">
        <f>HYPERLINK("https://media.infra-m.ru/2220/2220705/cover/2220705.jpg", "Обложка")</f>
        <v>Обложка</v>
      </c>
      <c r="V5872" s="8" t="s">
        <v>18096</v>
      </c>
      <c r="W5872" s="6"/>
      <c r="X5872" s="6"/>
      <c r="Y5872" s="6"/>
      <c r="Z5872" s="6"/>
      <c r="AA5872" s="6" t="s">
        <v>55</v>
      </c>
      <c r="AB5872" s="8"/>
      <c r="AC5872" s="27">
        <v>9785917683201</v>
      </c>
    </row>
    <row r="5873" spans="1:29" s="4" customFormat="1" ht="42" customHeight="1" x14ac:dyDescent="0.2">
      <c r="A5873" s="5">
        <v>0</v>
      </c>
      <c r="B5873" s="6" t="s">
        <v>33509</v>
      </c>
      <c r="C5873" s="7">
        <v>1504.8</v>
      </c>
      <c r="D5873" s="8" t="s">
        <v>33510</v>
      </c>
      <c r="E5873" s="8" t="s">
        <v>33511</v>
      </c>
      <c r="F5873" s="8" t="s">
        <v>4951</v>
      </c>
      <c r="G5873" s="6" t="s">
        <v>118</v>
      </c>
      <c r="H5873" s="6" t="s">
        <v>134</v>
      </c>
      <c r="I5873" s="8"/>
      <c r="J5873" s="9">
        <v>1</v>
      </c>
      <c r="K5873" s="9">
        <v>240</v>
      </c>
      <c r="L5873" s="9">
        <v>2025</v>
      </c>
      <c r="M5873" s="8" t="s">
        <v>33512</v>
      </c>
      <c r="N5873" s="8" t="s">
        <v>37</v>
      </c>
      <c r="O5873" s="8" t="s">
        <v>136</v>
      </c>
      <c r="P5873" s="6" t="s">
        <v>39</v>
      </c>
      <c r="Q5873" s="8" t="s">
        <v>40</v>
      </c>
      <c r="R5873" s="10" t="s">
        <v>9577</v>
      </c>
      <c r="S5873" s="11"/>
      <c r="T5873" s="6"/>
      <c r="U5873" s="15" t="str">
        <f>HYPERLINK("https://media.infra-m.ru/2192/2192534/cover/2192534.jpg", "Обложка")</f>
        <v>Обложка</v>
      </c>
      <c r="V5873" s="8" t="s">
        <v>1184</v>
      </c>
      <c r="W5873" s="6"/>
      <c r="X5873" s="6"/>
      <c r="Y5873" s="6"/>
      <c r="Z5873" s="6"/>
      <c r="AA5873" s="6" t="s">
        <v>99</v>
      </c>
      <c r="AB5873" s="8"/>
      <c r="AC5873" s="27">
        <v>9785917687728</v>
      </c>
    </row>
    <row r="5874" spans="1:29" s="4" customFormat="1" ht="42" customHeight="1" x14ac:dyDescent="0.2">
      <c r="A5874" s="5">
        <v>0</v>
      </c>
      <c r="B5874" s="6" t="s">
        <v>33513</v>
      </c>
      <c r="C5874" s="7">
        <v>2752.8</v>
      </c>
      <c r="D5874" s="8" t="s">
        <v>33514</v>
      </c>
      <c r="E5874" s="8" t="s">
        <v>33515</v>
      </c>
      <c r="F5874" s="8" t="s">
        <v>33516</v>
      </c>
      <c r="G5874" s="6" t="s">
        <v>60</v>
      </c>
      <c r="H5874" s="6" t="s">
        <v>5605</v>
      </c>
      <c r="I5874" s="8" t="s">
        <v>10444</v>
      </c>
      <c r="J5874" s="9">
        <v>1</v>
      </c>
      <c r="K5874" s="9">
        <v>770</v>
      </c>
      <c r="L5874" s="9">
        <v>2024</v>
      </c>
      <c r="M5874" s="8" t="s">
        <v>33517</v>
      </c>
      <c r="N5874" s="8" t="s">
        <v>37</v>
      </c>
      <c r="O5874" s="8" t="s">
        <v>136</v>
      </c>
      <c r="P5874" s="6" t="s">
        <v>39</v>
      </c>
      <c r="Q5874" s="8" t="s">
        <v>40</v>
      </c>
      <c r="R5874" s="10" t="s">
        <v>1625</v>
      </c>
      <c r="S5874" s="11"/>
      <c r="T5874" s="6"/>
      <c r="U5874" s="15" t="str">
        <f>HYPERLINK("https://media.infra-m.ru/2137/2137027/cover/2137027.jpg", "Обложка")</f>
        <v>Обложка</v>
      </c>
      <c r="V5874" s="8" t="s">
        <v>9937</v>
      </c>
      <c r="W5874" s="6"/>
      <c r="X5874" s="6"/>
      <c r="Y5874" s="6"/>
      <c r="Z5874" s="6"/>
      <c r="AA5874" s="6" t="s">
        <v>949</v>
      </c>
      <c r="AB5874" s="8"/>
      <c r="AC5874" s="27">
        <v>9785160026831</v>
      </c>
    </row>
    <row r="5875" spans="1:29" s="4" customFormat="1" ht="42" customHeight="1" x14ac:dyDescent="0.2">
      <c r="A5875" s="5">
        <v>0</v>
      </c>
      <c r="B5875" s="6" t="s">
        <v>33518</v>
      </c>
      <c r="C5875" s="7">
        <v>1587.6</v>
      </c>
      <c r="D5875" s="8" t="s">
        <v>33519</v>
      </c>
      <c r="E5875" s="8" t="s">
        <v>33520</v>
      </c>
      <c r="F5875" s="8" t="s">
        <v>33521</v>
      </c>
      <c r="G5875" s="6" t="s">
        <v>118</v>
      </c>
      <c r="H5875" s="6" t="s">
        <v>134</v>
      </c>
      <c r="I5875" s="8"/>
      <c r="J5875" s="9">
        <v>1</v>
      </c>
      <c r="K5875" s="9">
        <v>240</v>
      </c>
      <c r="L5875" s="9">
        <v>2026</v>
      </c>
      <c r="M5875" s="8" t="s">
        <v>33522</v>
      </c>
      <c r="N5875" s="8" t="s">
        <v>37</v>
      </c>
      <c r="O5875" s="8" t="s">
        <v>136</v>
      </c>
      <c r="P5875" s="6" t="s">
        <v>39</v>
      </c>
      <c r="Q5875" s="8" t="s">
        <v>40</v>
      </c>
      <c r="R5875" s="10" t="s">
        <v>1625</v>
      </c>
      <c r="S5875" s="11"/>
      <c r="T5875" s="6"/>
      <c r="U5875" s="15" t="str">
        <f>HYPERLINK("https://media.infra-m.ru/2246/2246660/cover/2246660.jpg", "Обложка")</f>
        <v>Обложка</v>
      </c>
      <c r="V5875" s="8" t="s">
        <v>644</v>
      </c>
      <c r="W5875" s="6"/>
      <c r="X5875" s="6"/>
      <c r="Y5875" s="6"/>
      <c r="Z5875" s="6"/>
      <c r="AA5875" s="6" t="s">
        <v>99</v>
      </c>
      <c r="AB5875" s="8"/>
      <c r="AC5875" s="27">
        <v>9785917689012</v>
      </c>
    </row>
    <row r="5876" spans="1:29" s="4" customFormat="1" ht="44.1" customHeight="1" x14ac:dyDescent="0.2">
      <c r="A5876" s="5">
        <v>0</v>
      </c>
      <c r="B5876" s="6" t="s">
        <v>33523</v>
      </c>
      <c r="C5876" s="13">
        <v>900</v>
      </c>
      <c r="D5876" s="8" t="s">
        <v>33524</v>
      </c>
      <c r="E5876" s="8" t="s">
        <v>33525</v>
      </c>
      <c r="F5876" s="8" t="s">
        <v>33526</v>
      </c>
      <c r="G5876" s="6" t="s">
        <v>33</v>
      </c>
      <c r="H5876" s="6" t="s">
        <v>34</v>
      </c>
      <c r="I5876" s="8" t="s">
        <v>35</v>
      </c>
      <c r="J5876" s="9">
        <v>1</v>
      </c>
      <c r="K5876" s="9">
        <v>128</v>
      </c>
      <c r="L5876" s="9">
        <v>2025</v>
      </c>
      <c r="M5876" s="8" t="s">
        <v>33527</v>
      </c>
      <c r="N5876" s="8" t="s">
        <v>37</v>
      </c>
      <c r="O5876" s="8" t="s">
        <v>136</v>
      </c>
      <c r="P5876" s="6" t="s">
        <v>39</v>
      </c>
      <c r="Q5876" s="8" t="s">
        <v>40</v>
      </c>
      <c r="R5876" s="10" t="s">
        <v>1955</v>
      </c>
      <c r="S5876" s="11"/>
      <c r="T5876" s="6"/>
      <c r="U5876" s="15" t="str">
        <f>HYPERLINK("https://media.infra-m.ru/2180/2180375/cover/2180375.jpg", "Обложка")</f>
        <v>Обложка</v>
      </c>
      <c r="V5876" s="8" t="s">
        <v>1987</v>
      </c>
      <c r="W5876" s="6"/>
      <c r="X5876" s="6"/>
      <c r="Y5876" s="6"/>
      <c r="Z5876" s="6"/>
      <c r="AA5876" s="6" t="s">
        <v>68</v>
      </c>
      <c r="AB5876" s="8"/>
      <c r="AC5876" s="27">
        <v>9785160205311</v>
      </c>
    </row>
    <row r="5877" spans="1:29" s="4" customFormat="1" ht="42" customHeight="1" x14ac:dyDescent="0.2">
      <c r="A5877" s="5">
        <v>0</v>
      </c>
      <c r="B5877" s="6" t="s">
        <v>33528</v>
      </c>
      <c r="C5877" s="7">
        <v>1308</v>
      </c>
      <c r="D5877" s="8" t="s">
        <v>33529</v>
      </c>
      <c r="E5877" s="8" t="s">
        <v>33530</v>
      </c>
      <c r="F5877" s="8" t="s">
        <v>33531</v>
      </c>
      <c r="G5877" s="6" t="s">
        <v>118</v>
      </c>
      <c r="H5877" s="6" t="s">
        <v>134</v>
      </c>
      <c r="I5877" s="8"/>
      <c r="J5877" s="9">
        <v>1</v>
      </c>
      <c r="K5877" s="9">
        <v>208</v>
      </c>
      <c r="L5877" s="9">
        <v>2026</v>
      </c>
      <c r="M5877" s="8" t="s">
        <v>33532</v>
      </c>
      <c r="N5877" s="8" t="s">
        <v>37</v>
      </c>
      <c r="O5877" s="8" t="s">
        <v>136</v>
      </c>
      <c r="P5877" s="6" t="s">
        <v>39</v>
      </c>
      <c r="Q5877" s="8" t="s">
        <v>40</v>
      </c>
      <c r="R5877" s="10" t="s">
        <v>23283</v>
      </c>
      <c r="S5877" s="11"/>
      <c r="T5877" s="6"/>
      <c r="U5877" s="15" t="str">
        <f>HYPERLINK("https://media.infra-m.ru/2216/2216845/cover/2216845.jpg", "Обложка")</f>
        <v>Обложка</v>
      </c>
      <c r="V5877" s="8" t="s">
        <v>9937</v>
      </c>
      <c r="W5877" s="6"/>
      <c r="X5877" s="6"/>
      <c r="Y5877" s="6"/>
      <c r="Z5877" s="6"/>
      <c r="AA5877" s="6" t="s">
        <v>115</v>
      </c>
      <c r="AB5877" s="8"/>
      <c r="AC5877" s="27">
        <v>9785917686103</v>
      </c>
    </row>
    <row r="5878" spans="1:29" s="4" customFormat="1" ht="42" customHeight="1" x14ac:dyDescent="0.2">
      <c r="A5878" s="5">
        <v>0</v>
      </c>
      <c r="B5878" s="6" t="s">
        <v>33533</v>
      </c>
      <c r="C5878" s="13">
        <v>624</v>
      </c>
      <c r="D5878" s="8" t="s">
        <v>33534</v>
      </c>
      <c r="E5878" s="8" t="s">
        <v>33535</v>
      </c>
      <c r="F5878" s="8" t="s">
        <v>33536</v>
      </c>
      <c r="G5878" s="6" t="s">
        <v>33</v>
      </c>
      <c r="H5878" s="6" t="s">
        <v>34</v>
      </c>
      <c r="I5878" s="8" t="s">
        <v>35</v>
      </c>
      <c r="J5878" s="9">
        <v>1</v>
      </c>
      <c r="K5878" s="9">
        <v>134</v>
      </c>
      <c r="L5878" s="9">
        <v>2022</v>
      </c>
      <c r="M5878" s="8" t="s">
        <v>33537</v>
      </c>
      <c r="N5878" s="8" t="s">
        <v>37</v>
      </c>
      <c r="O5878" s="8" t="s">
        <v>136</v>
      </c>
      <c r="P5878" s="6" t="s">
        <v>39</v>
      </c>
      <c r="Q5878" s="8" t="s">
        <v>40</v>
      </c>
      <c r="R5878" s="10" t="s">
        <v>9577</v>
      </c>
      <c r="S5878" s="11"/>
      <c r="T5878" s="6"/>
      <c r="U5878" s="15" t="str">
        <f>HYPERLINK("https://media.infra-m.ru/1856/1856797/cover/1856797.jpg", "Обложка")</f>
        <v>Обложка</v>
      </c>
      <c r="V5878" s="8" t="s">
        <v>27840</v>
      </c>
      <c r="W5878" s="6"/>
      <c r="X5878" s="6"/>
      <c r="Y5878" s="6"/>
      <c r="Z5878" s="6"/>
      <c r="AA5878" s="6" t="s">
        <v>86</v>
      </c>
      <c r="AB5878" s="8"/>
      <c r="AC5878" s="27">
        <v>9785160133430</v>
      </c>
    </row>
    <row r="5879" spans="1:29" s="4" customFormat="1" ht="51.9" customHeight="1" x14ac:dyDescent="0.2">
      <c r="A5879" s="5">
        <v>0</v>
      </c>
      <c r="B5879" s="6" t="s">
        <v>33538</v>
      </c>
      <c r="C5879" s="13">
        <v>700.8</v>
      </c>
      <c r="D5879" s="8" t="s">
        <v>33539</v>
      </c>
      <c r="E5879" s="8" t="s">
        <v>33540</v>
      </c>
      <c r="F5879" s="8" t="s">
        <v>33541</v>
      </c>
      <c r="G5879" s="6" t="s">
        <v>33</v>
      </c>
      <c r="H5879" s="6" t="s">
        <v>34</v>
      </c>
      <c r="I5879" s="8" t="s">
        <v>271</v>
      </c>
      <c r="J5879" s="9">
        <v>1</v>
      </c>
      <c r="K5879" s="9">
        <v>112</v>
      </c>
      <c r="L5879" s="9">
        <v>2025</v>
      </c>
      <c r="M5879" s="8" t="s">
        <v>33542</v>
      </c>
      <c r="N5879" s="8" t="s">
        <v>243</v>
      </c>
      <c r="O5879" s="8" t="s">
        <v>758</v>
      </c>
      <c r="P5879" s="6" t="s">
        <v>51</v>
      </c>
      <c r="Q5879" s="8" t="s">
        <v>52</v>
      </c>
      <c r="R5879" s="10" t="s">
        <v>33543</v>
      </c>
      <c r="S5879" s="11" t="s">
        <v>33544</v>
      </c>
      <c r="T5879" s="6"/>
      <c r="U5879" s="15" t="str">
        <f>HYPERLINK("https://media.infra-m.ru/2198/2198529/cover/2198529.jpg", "Обложка")</f>
        <v>Обложка</v>
      </c>
      <c r="V5879" s="8" t="s">
        <v>3428</v>
      </c>
      <c r="W5879" s="6"/>
      <c r="X5879" s="6"/>
      <c r="Y5879" s="6"/>
      <c r="Z5879" s="6"/>
      <c r="AA5879" s="6" t="s">
        <v>248</v>
      </c>
      <c r="AB5879" s="8"/>
      <c r="AC5879" s="27">
        <v>9785160067193</v>
      </c>
    </row>
    <row r="5880" spans="1:29" s="4" customFormat="1" ht="51.9" customHeight="1" x14ac:dyDescent="0.2">
      <c r="A5880" s="5">
        <v>0</v>
      </c>
      <c r="B5880" s="6" t="s">
        <v>33545</v>
      </c>
      <c r="C5880" s="13">
        <v>832.8</v>
      </c>
      <c r="D5880" s="8" t="s">
        <v>33546</v>
      </c>
      <c r="E5880" s="8" t="s">
        <v>33547</v>
      </c>
      <c r="F5880" s="8" t="s">
        <v>33548</v>
      </c>
      <c r="G5880" s="6" t="s">
        <v>33</v>
      </c>
      <c r="H5880" s="6" t="s">
        <v>313</v>
      </c>
      <c r="I5880" s="8" t="s">
        <v>4459</v>
      </c>
      <c r="J5880" s="9">
        <v>1</v>
      </c>
      <c r="K5880" s="9">
        <v>155</v>
      </c>
      <c r="L5880" s="9">
        <v>2023</v>
      </c>
      <c r="M5880" s="8" t="s">
        <v>33549</v>
      </c>
      <c r="N5880" s="8" t="s">
        <v>37</v>
      </c>
      <c r="O5880" s="8" t="s">
        <v>280</v>
      </c>
      <c r="P5880" s="6" t="s">
        <v>39</v>
      </c>
      <c r="Q5880" s="8" t="s">
        <v>40</v>
      </c>
      <c r="R5880" s="10" t="s">
        <v>33550</v>
      </c>
      <c r="S5880" s="11"/>
      <c r="T5880" s="6"/>
      <c r="U5880" s="15" t="str">
        <f>HYPERLINK("https://media.infra-m.ru/1981/1981701/cover/1981701.jpg", "Обложка")</f>
        <v>Обложка</v>
      </c>
      <c r="V5880" s="8"/>
      <c r="W5880" s="6"/>
      <c r="X5880" s="6"/>
      <c r="Y5880" s="6"/>
      <c r="Z5880" s="6"/>
      <c r="AA5880" s="6" t="s">
        <v>55</v>
      </c>
      <c r="AB5880" s="8"/>
      <c r="AC5880" s="27">
        <v>9785369011898</v>
      </c>
    </row>
    <row r="5881" spans="1:29" s="4" customFormat="1" ht="44.1" customHeight="1" x14ac:dyDescent="0.2">
      <c r="A5881" s="5">
        <v>0</v>
      </c>
      <c r="B5881" s="6" t="s">
        <v>33551</v>
      </c>
      <c r="C5881" s="7">
        <v>2248.8000000000002</v>
      </c>
      <c r="D5881" s="8" t="s">
        <v>33552</v>
      </c>
      <c r="E5881" s="8" t="s">
        <v>33553</v>
      </c>
      <c r="F5881" s="8" t="s">
        <v>33554</v>
      </c>
      <c r="G5881" s="6" t="s">
        <v>60</v>
      </c>
      <c r="H5881" s="6" t="s">
        <v>34</v>
      </c>
      <c r="I5881" s="8" t="s">
        <v>35</v>
      </c>
      <c r="J5881" s="9">
        <v>1</v>
      </c>
      <c r="K5881" s="9">
        <v>399</v>
      </c>
      <c r="L5881" s="9">
        <v>2024</v>
      </c>
      <c r="M5881" s="8" t="s">
        <v>33555</v>
      </c>
      <c r="N5881" s="8" t="s">
        <v>37</v>
      </c>
      <c r="O5881" s="8" t="s">
        <v>136</v>
      </c>
      <c r="P5881" s="6" t="s">
        <v>39</v>
      </c>
      <c r="Q5881" s="8" t="s">
        <v>40</v>
      </c>
      <c r="R5881" s="10" t="s">
        <v>14663</v>
      </c>
      <c r="S5881" s="11"/>
      <c r="T5881" s="6"/>
      <c r="U5881" s="15" t="str">
        <f>HYPERLINK("https://media.infra-m.ru/2138/2138285/cover/2138285.jpg", "Обложка")</f>
        <v>Обложка</v>
      </c>
      <c r="V5881" s="8" t="s">
        <v>11240</v>
      </c>
      <c r="W5881" s="6"/>
      <c r="X5881" s="6"/>
      <c r="Y5881" s="6"/>
      <c r="Z5881" s="6"/>
      <c r="AA5881" s="6" t="s">
        <v>430</v>
      </c>
      <c r="AB5881" s="8"/>
      <c r="AC5881" s="27">
        <v>9785160162287</v>
      </c>
    </row>
    <row r="5882" spans="1:29" s="4" customFormat="1" ht="51.9" customHeight="1" x14ac:dyDescent="0.2">
      <c r="A5882" s="5">
        <v>0</v>
      </c>
      <c r="B5882" s="6" t="s">
        <v>33556</v>
      </c>
      <c r="C5882" s="7">
        <v>1996.8</v>
      </c>
      <c r="D5882" s="8" t="s">
        <v>33557</v>
      </c>
      <c r="E5882" s="8" t="s">
        <v>33558</v>
      </c>
      <c r="F5882" s="8" t="s">
        <v>22901</v>
      </c>
      <c r="G5882" s="6" t="s">
        <v>118</v>
      </c>
      <c r="H5882" s="6" t="s">
        <v>34</v>
      </c>
      <c r="I5882" s="8" t="s">
        <v>10637</v>
      </c>
      <c r="J5882" s="9">
        <v>1</v>
      </c>
      <c r="K5882" s="9">
        <v>354</v>
      </c>
      <c r="L5882" s="9">
        <v>2024</v>
      </c>
      <c r="M5882" s="8" t="s">
        <v>33559</v>
      </c>
      <c r="N5882" s="8" t="s">
        <v>243</v>
      </c>
      <c r="O5882" s="8" t="s">
        <v>758</v>
      </c>
      <c r="P5882" s="6" t="s">
        <v>51</v>
      </c>
      <c r="Q5882" s="8" t="s">
        <v>265</v>
      </c>
      <c r="R5882" s="10" t="s">
        <v>26912</v>
      </c>
      <c r="S5882" s="11" t="s">
        <v>22925</v>
      </c>
      <c r="T5882" s="6"/>
      <c r="U5882" s="15" t="str">
        <f>HYPERLINK("https://media.infra-m.ru/2136/2136961/cover/2136961.jpg", "Обложка")</f>
        <v>Обложка</v>
      </c>
      <c r="V5882" s="8" t="s">
        <v>1083</v>
      </c>
      <c r="W5882" s="6"/>
      <c r="X5882" s="6"/>
      <c r="Y5882" s="6"/>
      <c r="Z5882" s="6" t="s">
        <v>267</v>
      </c>
      <c r="AA5882" s="6" t="s">
        <v>1256</v>
      </c>
      <c r="AB5882" s="8"/>
      <c r="AC5882" s="27">
        <v>9785160156101</v>
      </c>
    </row>
    <row r="5883" spans="1:29" s="4" customFormat="1" ht="51.9" customHeight="1" x14ac:dyDescent="0.2">
      <c r="A5883" s="5">
        <v>0</v>
      </c>
      <c r="B5883" s="6" t="s">
        <v>33560</v>
      </c>
      <c r="C5883" s="7">
        <v>2128.8000000000002</v>
      </c>
      <c r="D5883" s="8" t="s">
        <v>33561</v>
      </c>
      <c r="E5883" s="8" t="s">
        <v>33558</v>
      </c>
      <c r="F5883" s="8" t="s">
        <v>22901</v>
      </c>
      <c r="G5883" s="6" t="s">
        <v>118</v>
      </c>
      <c r="H5883" s="6" t="s">
        <v>34</v>
      </c>
      <c r="I5883" s="8" t="s">
        <v>7198</v>
      </c>
      <c r="J5883" s="9">
        <v>1</v>
      </c>
      <c r="K5883" s="9">
        <v>354</v>
      </c>
      <c r="L5883" s="9">
        <v>2025</v>
      </c>
      <c r="M5883" s="8" t="s">
        <v>33562</v>
      </c>
      <c r="N5883" s="8" t="s">
        <v>243</v>
      </c>
      <c r="O5883" s="8" t="s">
        <v>758</v>
      </c>
      <c r="P5883" s="6" t="s">
        <v>51</v>
      </c>
      <c r="Q5883" s="8" t="s">
        <v>52</v>
      </c>
      <c r="R5883" s="10" t="s">
        <v>24400</v>
      </c>
      <c r="S5883" s="11" t="s">
        <v>33563</v>
      </c>
      <c r="T5883" s="6"/>
      <c r="U5883" s="15" t="str">
        <f>HYPERLINK("https://media.infra-m.ru/2173/2173244/cover/2173244.jpg", "Обложка")</f>
        <v>Обложка</v>
      </c>
      <c r="V5883" s="8" t="s">
        <v>1083</v>
      </c>
      <c r="W5883" s="6"/>
      <c r="X5883" s="6"/>
      <c r="Y5883" s="6"/>
      <c r="Z5883" s="6"/>
      <c r="AA5883" s="6" t="s">
        <v>86</v>
      </c>
      <c r="AB5883" s="8"/>
      <c r="AC5883" s="27">
        <v>9785160172743</v>
      </c>
    </row>
    <row r="5884" spans="1:29" s="4" customFormat="1" ht="51.9" customHeight="1" x14ac:dyDescent="0.2">
      <c r="A5884" s="5">
        <v>0</v>
      </c>
      <c r="B5884" s="6" t="s">
        <v>33564</v>
      </c>
      <c r="C5884" s="7">
        <v>1008</v>
      </c>
      <c r="D5884" s="8" t="s">
        <v>33565</v>
      </c>
      <c r="E5884" s="8" t="s">
        <v>33566</v>
      </c>
      <c r="F5884" s="8" t="s">
        <v>33567</v>
      </c>
      <c r="G5884" s="6" t="s">
        <v>33</v>
      </c>
      <c r="H5884" s="6" t="s">
        <v>34</v>
      </c>
      <c r="I5884" s="8" t="s">
        <v>271</v>
      </c>
      <c r="J5884" s="9">
        <v>1</v>
      </c>
      <c r="K5884" s="9">
        <v>174</v>
      </c>
      <c r="L5884" s="9">
        <v>2023</v>
      </c>
      <c r="M5884" s="8" t="s">
        <v>33568</v>
      </c>
      <c r="N5884" s="8" t="s">
        <v>243</v>
      </c>
      <c r="O5884" s="8" t="s">
        <v>329</v>
      </c>
      <c r="P5884" s="6" t="s">
        <v>51</v>
      </c>
      <c r="Q5884" s="8" t="s">
        <v>52</v>
      </c>
      <c r="R5884" s="10" t="s">
        <v>33569</v>
      </c>
      <c r="S5884" s="11" t="s">
        <v>33570</v>
      </c>
      <c r="T5884" s="6"/>
      <c r="U5884" s="15" t="str">
        <f>HYPERLINK("https://media.infra-m.ru/1938/1938031/cover/1938031.jpg", "Обложка")</f>
        <v>Обложка</v>
      </c>
      <c r="V5884" s="8" t="s">
        <v>809</v>
      </c>
      <c r="W5884" s="6"/>
      <c r="X5884" s="6"/>
      <c r="Y5884" s="6"/>
      <c r="Z5884" s="6"/>
      <c r="AA5884" s="6" t="s">
        <v>779</v>
      </c>
      <c r="AB5884" s="8"/>
      <c r="AC5884" s="27">
        <v>9785160115320</v>
      </c>
    </row>
    <row r="5885" spans="1:29" s="4" customFormat="1" ht="44.1" customHeight="1" x14ac:dyDescent="0.2">
      <c r="A5885" s="5">
        <v>0</v>
      </c>
      <c r="B5885" s="6" t="s">
        <v>33571</v>
      </c>
      <c r="C5885" s="7">
        <v>1480.8</v>
      </c>
      <c r="D5885" s="8" t="s">
        <v>33572</v>
      </c>
      <c r="E5885" s="8" t="s">
        <v>33573</v>
      </c>
      <c r="F5885" s="8" t="s">
        <v>33574</v>
      </c>
      <c r="G5885" s="6" t="s">
        <v>118</v>
      </c>
      <c r="H5885" s="6" t="s">
        <v>820</v>
      </c>
      <c r="I5885" s="8" t="s">
        <v>253</v>
      </c>
      <c r="J5885" s="9">
        <v>1</v>
      </c>
      <c r="K5885" s="9">
        <v>224</v>
      </c>
      <c r="L5885" s="9">
        <v>2026</v>
      </c>
      <c r="M5885" s="8" t="s">
        <v>33575</v>
      </c>
      <c r="N5885" s="8" t="s">
        <v>243</v>
      </c>
      <c r="O5885" s="8" t="s">
        <v>329</v>
      </c>
      <c r="P5885" s="6" t="s">
        <v>306</v>
      </c>
      <c r="Q5885" s="8" t="s">
        <v>52</v>
      </c>
      <c r="R5885" s="10" t="s">
        <v>33576</v>
      </c>
      <c r="S5885" s="11"/>
      <c r="T5885" s="6"/>
      <c r="U5885" s="15" t="str">
        <f>HYPERLINK("https://media.infra-m.ru/2247/2247404/cover/2247404.jpg", "Обложка")</f>
        <v>Обложка</v>
      </c>
      <c r="V5885" s="8" t="s">
        <v>33577</v>
      </c>
      <c r="W5885" s="6"/>
      <c r="X5885" s="6"/>
      <c r="Y5885" s="6"/>
      <c r="Z5885" s="6"/>
      <c r="AA5885" s="6" t="s">
        <v>99</v>
      </c>
      <c r="AB5885" s="8"/>
      <c r="AC5885" s="27">
        <v>9785906818584</v>
      </c>
    </row>
    <row r="5886" spans="1:29" s="4" customFormat="1" ht="51.9" customHeight="1" x14ac:dyDescent="0.2">
      <c r="A5886" s="5">
        <v>0</v>
      </c>
      <c r="B5886" s="6" t="s">
        <v>33578</v>
      </c>
      <c r="C5886" s="7">
        <v>1060.8</v>
      </c>
      <c r="D5886" s="8" t="s">
        <v>33579</v>
      </c>
      <c r="E5886" s="8" t="s">
        <v>33580</v>
      </c>
      <c r="F5886" s="8" t="s">
        <v>33581</v>
      </c>
      <c r="G5886" s="6" t="s">
        <v>118</v>
      </c>
      <c r="H5886" s="6" t="s">
        <v>820</v>
      </c>
      <c r="I5886" s="8" t="s">
        <v>253</v>
      </c>
      <c r="J5886" s="9">
        <v>1</v>
      </c>
      <c r="K5886" s="9">
        <v>160</v>
      </c>
      <c r="L5886" s="9">
        <v>2026</v>
      </c>
      <c r="M5886" s="8" t="s">
        <v>33582</v>
      </c>
      <c r="N5886" s="8" t="s">
        <v>243</v>
      </c>
      <c r="O5886" s="8" t="s">
        <v>329</v>
      </c>
      <c r="P5886" s="6" t="s">
        <v>306</v>
      </c>
      <c r="Q5886" s="8" t="s">
        <v>52</v>
      </c>
      <c r="R5886" s="10" t="s">
        <v>33576</v>
      </c>
      <c r="S5886" s="11" t="s">
        <v>33583</v>
      </c>
      <c r="T5886" s="6"/>
      <c r="U5886" s="15" t="str">
        <f>HYPERLINK("https://media.infra-m.ru/2247/2247406/cover/2247406.jpg", "Обложка")</f>
        <v>Обложка</v>
      </c>
      <c r="V5886" s="8" t="s">
        <v>33577</v>
      </c>
      <c r="W5886" s="6"/>
      <c r="X5886" s="6"/>
      <c r="Y5886" s="6"/>
      <c r="Z5886" s="6"/>
      <c r="AA5886" s="6" t="s">
        <v>99</v>
      </c>
      <c r="AB5886" s="8"/>
      <c r="AC5886" s="27">
        <v>9785906818577</v>
      </c>
    </row>
    <row r="5887" spans="1:29" s="4" customFormat="1" ht="51.9" customHeight="1" x14ac:dyDescent="0.2">
      <c r="A5887" s="5">
        <v>0</v>
      </c>
      <c r="B5887" s="6" t="s">
        <v>33584</v>
      </c>
      <c r="C5887" s="7">
        <v>1872</v>
      </c>
      <c r="D5887" s="8" t="s">
        <v>33585</v>
      </c>
      <c r="E5887" s="8" t="s">
        <v>33586</v>
      </c>
      <c r="F5887" s="8" t="s">
        <v>21908</v>
      </c>
      <c r="G5887" s="6" t="s">
        <v>118</v>
      </c>
      <c r="H5887" s="6" t="s">
        <v>313</v>
      </c>
      <c r="I5887" s="8" t="s">
        <v>253</v>
      </c>
      <c r="J5887" s="9">
        <v>1</v>
      </c>
      <c r="K5887" s="9">
        <v>339</v>
      </c>
      <c r="L5887" s="9">
        <v>2023</v>
      </c>
      <c r="M5887" s="8" t="s">
        <v>33587</v>
      </c>
      <c r="N5887" s="8" t="s">
        <v>243</v>
      </c>
      <c r="O5887" s="8" t="s">
        <v>329</v>
      </c>
      <c r="P5887" s="6" t="s">
        <v>51</v>
      </c>
      <c r="Q5887" s="8" t="s">
        <v>65</v>
      </c>
      <c r="R5887" s="10" t="s">
        <v>33588</v>
      </c>
      <c r="S5887" s="11" t="s">
        <v>21911</v>
      </c>
      <c r="T5887" s="6" t="s">
        <v>97</v>
      </c>
      <c r="U5887" s="15" t="str">
        <f>HYPERLINK("https://media.infra-m.ru/2079/2079244/cover/2079244.jpg", "Обложка")</f>
        <v>Обложка</v>
      </c>
      <c r="V5887" s="8" t="s">
        <v>801</v>
      </c>
      <c r="W5887" s="6"/>
      <c r="X5887" s="6"/>
      <c r="Y5887" s="6"/>
      <c r="Z5887" s="6"/>
      <c r="AA5887" s="6" t="s">
        <v>623</v>
      </c>
      <c r="AB5887" s="8"/>
      <c r="AC5887" s="27">
        <v>9785369016602</v>
      </c>
    </row>
    <row r="5888" spans="1:29" s="4" customFormat="1" ht="51.9" customHeight="1" x14ac:dyDescent="0.2">
      <c r="A5888" s="5">
        <v>0</v>
      </c>
      <c r="B5888" s="6" t="s">
        <v>33589</v>
      </c>
      <c r="C5888" s="7">
        <v>3108</v>
      </c>
      <c r="D5888" s="8" t="s">
        <v>33590</v>
      </c>
      <c r="E5888" s="8" t="s">
        <v>33591</v>
      </c>
      <c r="F5888" s="8" t="s">
        <v>33592</v>
      </c>
      <c r="G5888" s="6" t="s">
        <v>60</v>
      </c>
      <c r="H5888" s="6" t="s">
        <v>34</v>
      </c>
      <c r="I5888" s="8" t="s">
        <v>253</v>
      </c>
      <c r="J5888" s="9">
        <v>1</v>
      </c>
      <c r="K5888" s="9">
        <v>471</v>
      </c>
      <c r="L5888" s="9">
        <v>2026</v>
      </c>
      <c r="M5888" s="8" t="s">
        <v>33593</v>
      </c>
      <c r="N5888" s="8" t="s">
        <v>63</v>
      </c>
      <c r="O5888" s="8" t="s">
        <v>154</v>
      </c>
      <c r="P5888" s="6" t="s">
        <v>51</v>
      </c>
      <c r="Q5888" s="8" t="s">
        <v>52</v>
      </c>
      <c r="R5888" s="10" t="s">
        <v>33594</v>
      </c>
      <c r="S5888" s="11" t="s">
        <v>33595</v>
      </c>
      <c r="T5888" s="6"/>
      <c r="U5888" s="15" t="str">
        <f>HYPERLINK("https://media.infra-m.ru/2241/2241961/cover/2241961.jpg", "Обложка")</f>
        <v>Обложка</v>
      </c>
      <c r="V5888" s="8" t="s">
        <v>3413</v>
      </c>
      <c r="W5888" s="6"/>
      <c r="X5888" s="6"/>
      <c r="Y5888" s="6"/>
      <c r="Z5888" s="6"/>
      <c r="AA5888" s="6" t="s">
        <v>896</v>
      </c>
      <c r="AB5888" s="8"/>
      <c r="AC5888" s="27">
        <v>9785160192048</v>
      </c>
    </row>
    <row r="5889" spans="1:29" s="4" customFormat="1" ht="51.9" customHeight="1" x14ac:dyDescent="0.2">
      <c r="A5889" s="5">
        <v>0</v>
      </c>
      <c r="B5889" s="6" t="s">
        <v>33596</v>
      </c>
      <c r="C5889" s="7">
        <v>1517.9</v>
      </c>
      <c r="D5889" s="8" t="s">
        <v>33597</v>
      </c>
      <c r="E5889" s="8" t="s">
        <v>33598</v>
      </c>
      <c r="F5889" s="8" t="s">
        <v>33592</v>
      </c>
      <c r="G5889" s="6" t="s">
        <v>60</v>
      </c>
      <c r="H5889" s="6" t="s">
        <v>48</v>
      </c>
      <c r="I5889" s="8" t="s">
        <v>253</v>
      </c>
      <c r="J5889" s="9">
        <v>1</v>
      </c>
      <c r="K5889" s="9">
        <v>432</v>
      </c>
      <c r="L5889" s="9">
        <v>2018</v>
      </c>
      <c r="M5889" s="8" t="s">
        <v>33599</v>
      </c>
      <c r="N5889" s="8" t="s">
        <v>63</v>
      </c>
      <c r="O5889" s="8" t="s">
        <v>154</v>
      </c>
      <c r="P5889" s="6" t="s">
        <v>51</v>
      </c>
      <c r="Q5889" s="8" t="s">
        <v>52</v>
      </c>
      <c r="R5889" s="10" t="s">
        <v>33594</v>
      </c>
      <c r="S5889" s="11"/>
      <c r="T5889" s="6"/>
      <c r="U5889" s="12"/>
      <c r="V5889" s="8" t="s">
        <v>3413</v>
      </c>
      <c r="W5889" s="6"/>
      <c r="X5889" s="6"/>
      <c r="Y5889" s="6"/>
      <c r="Z5889" s="6"/>
      <c r="AA5889" s="6" t="s">
        <v>1506</v>
      </c>
      <c r="AB5889" s="8"/>
      <c r="AC5889" s="27">
        <v>9785911341534</v>
      </c>
    </row>
    <row r="5890" spans="1:29" s="4" customFormat="1" ht="42" customHeight="1" x14ac:dyDescent="0.2">
      <c r="A5890" s="5">
        <v>0</v>
      </c>
      <c r="B5890" s="6" t="s">
        <v>33600</v>
      </c>
      <c r="C5890" s="7">
        <v>1332</v>
      </c>
      <c r="D5890" s="8" t="s">
        <v>33601</v>
      </c>
      <c r="E5890" s="8" t="s">
        <v>33602</v>
      </c>
      <c r="F5890" s="8" t="s">
        <v>33603</v>
      </c>
      <c r="G5890" s="6" t="s">
        <v>60</v>
      </c>
      <c r="H5890" s="6" t="s">
        <v>34</v>
      </c>
      <c r="I5890" s="8" t="s">
        <v>1248</v>
      </c>
      <c r="J5890" s="9">
        <v>1</v>
      </c>
      <c r="K5890" s="9">
        <v>196</v>
      </c>
      <c r="L5890" s="9">
        <v>2026</v>
      </c>
      <c r="M5890" s="8" t="s">
        <v>33604</v>
      </c>
      <c r="N5890" s="8" t="s">
        <v>224</v>
      </c>
      <c r="O5890" s="8" t="s">
        <v>225</v>
      </c>
      <c r="P5890" s="6" t="s">
        <v>51</v>
      </c>
      <c r="Q5890" s="8" t="s">
        <v>65</v>
      </c>
      <c r="R5890" s="10" t="s">
        <v>33605</v>
      </c>
      <c r="S5890" s="11"/>
      <c r="T5890" s="6"/>
      <c r="U5890" s="15" t="str">
        <f>HYPERLINK("https://media.infra-m.ru/2223/2223575/cover/2223575.jpg", "Обложка")</f>
        <v>Обложка</v>
      </c>
      <c r="V5890" s="8" t="s">
        <v>1083</v>
      </c>
      <c r="W5890" s="6" t="s">
        <v>186</v>
      </c>
      <c r="X5890" s="6"/>
      <c r="Y5890" s="6"/>
      <c r="Z5890" s="6"/>
      <c r="AA5890" s="6" t="s">
        <v>187</v>
      </c>
      <c r="AB5890" s="8"/>
      <c r="AC5890" s="27">
        <v>9785160213934</v>
      </c>
    </row>
    <row r="5891" spans="1:29" s="4" customFormat="1" ht="42" customHeight="1" x14ac:dyDescent="0.2">
      <c r="A5891" s="5">
        <v>0</v>
      </c>
      <c r="B5891" s="6" t="s">
        <v>33606</v>
      </c>
      <c r="C5891" s="7">
        <v>1524</v>
      </c>
      <c r="D5891" s="8" t="s">
        <v>33607</v>
      </c>
      <c r="E5891" s="8" t="s">
        <v>33608</v>
      </c>
      <c r="F5891" s="8" t="s">
        <v>4896</v>
      </c>
      <c r="G5891" s="6" t="s">
        <v>33</v>
      </c>
      <c r="H5891" s="6" t="s">
        <v>34</v>
      </c>
      <c r="I5891" s="8" t="s">
        <v>35</v>
      </c>
      <c r="J5891" s="9">
        <v>1</v>
      </c>
      <c r="K5891" s="9">
        <v>217</v>
      </c>
      <c r="L5891" s="9">
        <v>2027</v>
      </c>
      <c r="M5891" s="8" t="s">
        <v>33609</v>
      </c>
      <c r="N5891" s="8" t="s">
        <v>63</v>
      </c>
      <c r="O5891" s="8" t="s">
        <v>64</v>
      </c>
      <c r="P5891" s="6" t="s">
        <v>39</v>
      </c>
      <c r="Q5891" s="8" t="s">
        <v>40</v>
      </c>
      <c r="R5891" s="10" t="s">
        <v>33610</v>
      </c>
      <c r="S5891" s="11"/>
      <c r="T5891" s="6"/>
      <c r="U5891" s="15" t="str">
        <f>HYPERLINK("https://media.infra-m.ru/2265/2265359/cover/2265359.jpg", "Обложка")</f>
        <v>Обложка</v>
      </c>
      <c r="V5891" s="8" t="s">
        <v>156</v>
      </c>
      <c r="W5891" s="6"/>
      <c r="X5891" s="6"/>
      <c r="Y5891" s="6"/>
      <c r="Z5891" s="6"/>
      <c r="AA5891" s="6" t="s">
        <v>430</v>
      </c>
      <c r="AB5891" s="8"/>
      <c r="AC5891" s="27">
        <v>9785160161174</v>
      </c>
    </row>
    <row r="5892" spans="1:29" s="4" customFormat="1" ht="51.9" customHeight="1" x14ac:dyDescent="0.2">
      <c r="A5892" s="5">
        <v>0</v>
      </c>
      <c r="B5892" s="6" t="s">
        <v>33611</v>
      </c>
      <c r="C5892" s="13">
        <v>912</v>
      </c>
      <c r="D5892" s="8" t="s">
        <v>33612</v>
      </c>
      <c r="E5892" s="8" t="s">
        <v>33613</v>
      </c>
      <c r="F5892" s="8" t="s">
        <v>33614</v>
      </c>
      <c r="G5892" s="6" t="s">
        <v>33</v>
      </c>
      <c r="H5892" s="6" t="s">
        <v>34</v>
      </c>
      <c r="I5892" s="8" t="s">
        <v>1248</v>
      </c>
      <c r="J5892" s="9">
        <v>1</v>
      </c>
      <c r="K5892" s="9">
        <v>148</v>
      </c>
      <c r="L5892" s="9">
        <v>2023</v>
      </c>
      <c r="M5892" s="8" t="s">
        <v>33615</v>
      </c>
      <c r="N5892" s="8" t="s">
        <v>585</v>
      </c>
      <c r="O5892" s="8" t="s">
        <v>1518</v>
      </c>
      <c r="P5892" s="6" t="s">
        <v>51</v>
      </c>
      <c r="Q5892" s="8" t="s">
        <v>52</v>
      </c>
      <c r="R5892" s="10" t="s">
        <v>3565</v>
      </c>
      <c r="S5892" s="11" t="s">
        <v>33616</v>
      </c>
      <c r="T5892" s="6"/>
      <c r="U5892" s="15" t="str">
        <f>HYPERLINK("https://media.infra-m.ru/2036/2036509/cover/2036509.jpg", "Обложка")</f>
        <v>Обложка</v>
      </c>
      <c r="V5892" s="8" t="s">
        <v>1083</v>
      </c>
      <c r="W5892" s="6"/>
      <c r="X5892" s="6"/>
      <c r="Y5892" s="6"/>
      <c r="Z5892" s="6"/>
      <c r="AA5892" s="6" t="s">
        <v>157</v>
      </c>
      <c r="AB5892" s="8"/>
      <c r="AC5892" s="27">
        <v>9785160186511</v>
      </c>
    </row>
    <row r="5893" spans="1:29" s="4" customFormat="1" ht="44.1" customHeight="1" x14ac:dyDescent="0.2">
      <c r="A5893" s="5">
        <v>0</v>
      </c>
      <c r="B5893" s="6" t="s">
        <v>33617</v>
      </c>
      <c r="C5893" s="7">
        <v>1896</v>
      </c>
      <c r="D5893" s="8" t="s">
        <v>33618</v>
      </c>
      <c r="E5893" s="8" t="s">
        <v>33619</v>
      </c>
      <c r="F5893" s="8" t="s">
        <v>33620</v>
      </c>
      <c r="G5893" s="6" t="s">
        <v>118</v>
      </c>
      <c r="H5893" s="6" t="s">
        <v>820</v>
      </c>
      <c r="I5893" s="8" t="s">
        <v>263</v>
      </c>
      <c r="J5893" s="9">
        <v>1</v>
      </c>
      <c r="K5893" s="9">
        <v>271</v>
      </c>
      <c r="L5893" s="9">
        <v>2026</v>
      </c>
      <c r="M5893" s="8" t="s">
        <v>33621</v>
      </c>
      <c r="N5893" s="8" t="s">
        <v>243</v>
      </c>
      <c r="O5893" s="8" t="s">
        <v>933</v>
      </c>
      <c r="P5893" s="6" t="s">
        <v>306</v>
      </c>
      <c r="Q5893" s="8" t="s">
        <v>265</v>
      </c>
      <c r="R5893" s="10" t="s">
        <v>33622</v>
      </c>
      <c r="S5893" s="11"/>
      <c r="T5893" s="6"/>
      <c r="U5893" s="15" t="str">
        <f>HYPERLINK("https://media.infra-m.ru/2260/2260402/cover/2260402.jpg", "Обложка")</f>
        <v>Обложка</v>
      </c>
      <c r="V5893" s="8" t="s">
        <v>761</v>
      </c>
      <c r="W5893" s="6"/>
      <c r="X5893" s="6"/>
      <c r="Y5893" s="6"/>
      <c r="Z5893" s="6"/>
      <c r="AA5893" s="6" t="s">
        <v>99</v>
      </c>
      <c r="AB5893" s="8"/>
      <c r="AC5893" s="27">
        <v>9785906923288</v>
      </c>
    </row>
    <row r="5894" spans="1:29" s="4" customFormat="1" ht="51.9" customHeight="1" x14ac:dyDescent="0.2">
      <c r="A5894" s="5">
        <v>0</v>
      </c>
      <c r="B5894" s="6" t="s">
        <v>33623</v>
      </c>
      <c r="C5894" s="7">
        <v>2740.8</v>
      </c>
      <c r="D5894" s="8" t="s">
        <v>33624</v>
      </c>
      <c r="E5894" s="8" t="s">
        <v>33625</v>
      </c>
      <c r="F5894" s="8" t="s">
        <v>33626</v>
      </c>
      <c r="G5894" s="6" t="s">
        <v>60</v>
      </c>
      <c r="H5894" s="6" t="s">
        <v>34</v>
      </c>
      <c r="I5894" s="8" t="s">
        <v>35</v>
      </c>
      <c r="J5894" s="9">
        <v>1</v>
      </c>
      <c r="K5894" s="9">
        <v>501</v>
      </c>
      <c r="L5894" s="9">
        <v>2025</v>
      </c>
      <c r="M5894" s="8" t="s">
        <v>33627</v>
      </c>
      <c r="N5894" s="8" t="s">
        <v>243</v>
      </c>
      <c r="O5894" s="8" t="s">
        <v>244</v>
      </c>
      <c r="P5894" s="6" t="s">
        <v>39</v>
      </c>
      <c r="Q5894" s="8" t="s">
        <v>40</v>
      </c>
      <c r="R5894" s="10" t="s">
        <v>33628</v>
      </c>
      <c r="S5894" s="11"/>
      <c r="T5894" s="6"/>
      <c r="U5894" s="15" t="str">
        <f>HYPERLINK("https://media.infra-m.ru/2237/2237127/cover/2237127.jpg", "Обложка")</f>
        <v>Обложка</v>
      </c>
      <c r="V5894" s="8" t="s">
        <v>2055</v>
      </c>
      <c r="W5894" s="6"/>
      <c r="X5894" s="6"/>
      <c r="Y5894" s="6"/>
      <c r="Z5894" s="6"/>
      <c r="AA5894" s="6" t="s">
        <v>68</v>
      </c>
      <c r="AB5894" s="8" t="s">
        <v>2634</v>
      </c>
      <c r="AC5894" s="27">
        <v>9785160215099</v>
      </c>
    </row>
    <row r="5895" spans="1:29" s="4" customFormat="1" ht="51.9" customHeight="1" x14ac:dyDescent="0.2">
      <c r="A5895" s="5">
        <v>0</v>
      </c>
      <c r="B5895" s="6" t="s">
        <v>33629</v>
      </c>
      <c r="C5895" s="7">
        <v>2712</v>
      </c>
      <c r="D5895" s="8" t="s">
        <v>33630</v>
      </c>
      <c r="E5895" s="8" t="s">
        <v>33631</v>
      </c>
      <c r="F5895" s="8" t="s">
        <v>33626</v>
      </c>
      <c r="G5895" s="6" t="s">
        <v>118</v>
      </c>
      <c r="H5895" s="6" t="s">
        <v>34</v>
      </c>
      <c r="I5895" s="8" t="s">
        <v>35</v>
      </c>
      <c r="J5895" s="9">
        <v>1</v>
      </c>
      <c r="K5895" s="9">
        <v>390</v>
      </c>
      <c r="L5895" s="9">
        <v>2027</v>
      </c>
      <c r="M5895" s="8" t="s">
        <v>33632</v>
      </c>
      <c r="N5895" s="8" t="s">
        <v>243</v>
      </c>
      <c r="O5895" s="8" t="s">
        <v>244</v>
      </c>
      <c r="P5895" s="6" t="s">
        <v>39</v>
      </c>
      <c r="Q5895" s="8" t="s">
        <v>40</v>
      </c>
      <c r="R5895" s="10" t="s">
        <v>33633</v>
      </c>
      <c r="S5895" s="11"/>
      <c r="T5895" s="6"/>
      <c r="U5895" s="15" t="str">
        <f>HYPERLINK("https://media.infra-m.ru/2269/2269267/cover/2269267.jpg", "Обложка")</f>
        <v>Обложка</v>
      </c>
      <c r="V5895" s="8" t="s">
        <v>2055</v>
      </c>
      <c r="W5895" s="6"/>
      <c r="X5895" s="6"/>
      <c r="Y5895" s="6"/>
      <c r="Z5895" s="6"/>
      <c r="AA5895" s="6" t="s">
        <v>68</v>
      </c>
      <c r="AB5895" s="8"/>
      <c r="AC5895" s="27">
        <v>9785160218557</v>
      </c>
    </row>
    <row r="5896" spans="1:29" s="4" customFormat="1" ht="51.9" customHeight="1" x14ac:dyDescent="0.2">
      <c r="A5896" s="5">
        <v>0</v>
      </c>
      <c r="B5896" s="6" t="s">
        <v>33634</v>
      </c>
      <c r="C5896" s="7">
        <v>5748</v>
      </c>
      <c r="D5896" s="8" t="s">
        <v>33635</v>
      </c>
      <c r="E5896" s="8" t="s">
        <v>33636</v>
      </c>
      <c r="F5896" s="8" t="s">
        <v>33626</v>
      </c>
      <c r="G5896" s="6" t="s">
        <v>60</v>
      </c>
      <c r="H5896" s="6" t="s">
        <v>34</v>
      </c>
      <c r="I5896" s="8" t="s">
        <v>253</v>
      </c>
      <c r="J5896" s="9">
        <v>1</v>
      </c>
      <c r="K5896" s="9">
        <v>786</v>
      </c>
      <c r="L5896" s="9">
        <v>2026</v>
      </c>
      <c r="M5896" s="8" t="s">
        <v>33637</v>
      </c>
      <c r="N5896" s="8" t="s">
        <v>243</v>
      </c>
      <c r="O5896" s="8" t="s">
        <v>244</v>
      </c>
      <c r="P5896" s="6" t="s">
        <v>306</v>
      </c>
      <c r="Q5896" s="8" t="s">
        <v>65</v>
      </c>
      <c r="R5896" s="10" t="s">
        <v>33638</v>
      </c>
      <c r="S5896" s="11"/>
      <c r="T5896" s="6"/>
      <c r="U5896" s="15" t="str">
        <f>HYPERLINK("https://media.infra-m.ru/2258/2258190/cover/2258190.jpg", "Обложка")</f>
        <v>Обложка</v>
      </c>
      <c r="V5896" s="8" t="s">
        <v>2055</v>
      </c>
      <c r="W5896" s="6"/>
      <c r="X5896" s="6"/>
      <c r="Y5896" s="6"/>
      <c r="Z5896" s="6"/>
      <c r="AA5896" s="6" t="s">
        <v>68</v>
      </c>
      <c r="AB5896" s="8" t="s">
        <v>33639</v>
      </c>
      <c r="AC5896" s="27">
        <v>9785160217628</v>
      </c>
    </row>
    <row r="5897" spans="1:29" s="4" customFormat="1" ht="51.9" customHeight="1" x14ac:dyDescent="0.2">
      <c r="A5897" s="5">
        <v>0</v>
      </c>
      <c r="B5897" s="6" t="s">
        <v>33640</v>
      </c>
      <c r="C5897" s="13">
        <v>708</v>
      </c>
      <c r="D5897" s="8" t="s">
        <v>33641</v>
      </c>
      <c r="E5897" s="8" t="s">
        <v>33642</v>
      </c>
      <c r="F5897" s="8" t="s">
        <v>33643</v>
      </c>
      <c r="G5897" s="6" t="s">
        <v>33</v>
      </c>
      <c r="H5897" s="6" t="s">
        <v>241</v>
      </c>
      <c r="I5897" s="8" t="s">
        <v>3496</v>
      </c>
      <c r="J5897" s="9">
        <v>1</v>
      </c>
      <c r="K5897" s="9">
        <v>174</v>
      </c>
      <c r="L5897" s="9">
        <v>2018</v>
      </c>
      <c r="M5897" s="8" t="s">
        <v>33644</v>
      </c>
      <c r="N5897" s="8" t="s">
        <v>243</v>
      </c>
      <c r="O5897" s="8" t="s">
        <v>964</v>
      </c>
      <c r="P5897" s="6" t="s">
        <v>39</v>
      </c>
      <c r="Q5897" s="8" t="s">
        <v>40</v>
      </c>
      <c r="R5897" s="10" t="s">
        <v>33645</v>
      </c>
      <c r="S5897" s="11"/>
      <c r="T5897" s="6"/>
      <c r="U5897" s="15" t="str">
        <f>HYPERLINK("https://media.infra-m.ru/0959/0959869/cover/959869.jpg", "Обложка")</f>
        <v>Обложка</v>
      </c>
      <c r="V5897" s="8" t="s">
        <v>217</v>
      </c>
      <c r="W5897" s="6"/>
      <c r="X5897" s="6"/>
      <c r="Y5897" s="6"/>
      <c r="Z5897" s="6"/>
      <c r="AA5897" s="6" t="s">
        <v>99</v>
      </c>
      <c r="AB5897" s="8"/>
      <c r="AC5897" s="27">
        <v>9785955805795</v>
      </c>
    </row>
    <row r="5898" spans="1:29" s="4" customFormat="1" ht="51.9" customHeight="1" x14ac:dyDescent="0.2">
      <c r="A5898" s="5">
        <v>0</v>
      </c>
      <c r="B5898" s="6" t="s">
        <v>33646</v>
      </c>
      <c r="C5898" s="7">
        <v>2092.8000000000002</v>
      </c>
      <c r="D5898" s="8" t="s">
        <v>33647</v>
      </c>
      <c r="E5898" s="8" t="s">
        <v>33648</v>
      </c>
      <c r="F5898" s="8" t="s">
        <v>33649</v>
      </c>
      <c r="G5898" s="6" t="s">
        <v>118</v>
      </c>
      <c r="H5898" s="6" t="s">
        <v>1042</v>
      </c>
      <c r="I5898" s="8" t="s">
        <v>253</v>
      </c>
      <c r="J5898" s="9">
        <v>1</v>
      </c>
      <c r="K5898" s="9">
        <v>336</v>
      </c>
      <c r="L5898" s="9">
        <v>2025</v>
      </c>
      <c r="M5898" s="8" t="s">
        <v>33650</v>
      </c>
      <c r="N5898" s="8" t="s">
        <v>243</v>
      </c>
      <c r="O5898" s="8" t="s">
        <v>244</v>
      </c>
      <c r="P5898" s="6" t="s">
        <v>306</v>
      </c>
      <c r="Q5898" s="8" t="s">
        <v>52</v>
      </c>
      <c r="R5898" s="10" t="s">
        <v>33651</v>
      </c>
      <c r="S5898" s="11" t="s">
        <v>33652</v>
      </c>
      <c r="T5898" s="6"/>
      <c r="U5898" s="15" t="str">
        <f>HYPERLINK("https://media.infra-m.ru/2192/2192236/cover/2192236.jpg", "Обложка")</f>
        <v>Обложка</v>
      </c>
      <c r="V5898" s="8" t="s">
        <v>3428</v>
      </c>
      <c r="W5898" s="6"/>
      <c r="X5898" s="6"/>
      <c r="Y5898" s="6"/>
      <c r="Z5898" s="6"/>
      <c r="AA5898" s="6" t="s">
        <v>55</v>
      </c>
      <c r="AB5898" s="8"/>
      <c r="AC5898" s="27">
        <v>9785819905388</v>
      </c>
    </row>
    <row r="5899" spans="1:29" s="4" customFormat="1" ht="51.9" customHeight="1" x14ac:dyDescent="0.2">
      <c r="A5899" s="5">
        <v>0</v>
      </c>
      <c r="B5899" s="6" t="s">
        <v>33653</v>
      </c>
      <c r="C5899" s="7">
        <v>1816.8</v>
      </c>
      <c r="D5899" s="8" t="s">
        <v>33654</v>
      </c>
      <c r="E5899" s="8" t="s">
        <v>33648</v>
      </c>
      <c r="F5899" s="8" t="s">
        <v>33649</v>
      </c>
      <c r="G5899" s="6" t="s">
        <v>60</v>
      </c>
      <c r="H5899" s="6" t="s">
        <v>1042</v>
      </c>
      <c r="I5899" s="8" t="s">
        <v>263</v>
      </c>
      <c r="J5899" s="9">
        <v>1</v>
      </c>
      <c r="K5899" s="9">
        <v>335</v>
      </c>
      <c r="L5899" s="9">
        <v>2023</v>
      </c>
      <c r="M5899" s="8" t="s">
        <v>33655</v>
      </c>
      <c r="N5899" s="8" t="s">
        <v>243</v>
      </c>
      <c r="O5899" s="8" t="s">
        <v>244</v>
      </c>
      <c r="P5899" s="6" t="s">
        <v>51</v>
      </c>
      <c r="Q5899" s="8" t="s">
        <v>265</v>
      </c>
      <c r="R5899" s="10" t="s">
        <v>12566</v>
      </c>
      <c r="S5899" s="11" t="s">
        <v>3949</v>
      </c>
      <c r="T5899" s="6"/>
      <c r="U5899" s="15" t="str">
        <f>HYPERLINK("https://media.infra-m.ru/2045/2045975/cover/2045975.jpg", "Обложка")</f>
        <v>Обложка</v>
      </c>
      <c r="V5899" s="8" t="s">
        <v>3428</v>
      </c>
      <c r="W5899" s="6"/>
      <c r="X5899" s="6"/>
      <c r="Y5899" s="6"/>
      <c r="Z5899" s="6" t="s">
        <v>267</v>
      </c>
      <c r="AA5899" s="6" t="s">
        <v>1256</v>
      </c>
      <c r="AB5899" s="8"/>
      <c r="AC5899" s="27">
        <v>9785819908976</v>
      </c>
    </row>
    <row r="5900" spans="1:29" s="4" customFormat="1" ht="42" customHeight="1" x14ac:dyDescent="0.2">
      <c r="A5900" s="5">
        <v>0</v>
      </c>
      <c r="B5900" s="6" t="s">
        <v>33656</v>
      </c>
      <c r="C5900" s="13">
        <v>964.8</v>
      </c>
      <c r="D5900" s="8" t="s">
        <v>33657</v>
      </c>
      <c r="E5900" s="8" t="s">
        <v>33658</v>
      </c>
      <c r="F5900" s="8" t="s">
        <v>33659</v>
      </c>
      <c r="G5900" s="6" t="s">
        <v>33</v>
      </c>
      <c r="H5900" s="6" t="s">
        <v>48</v>
      </c>
      <c r="I5900" s="8" t="s">
        <v>271</v>
      </c>
      <c r="J5900" s="9">
        <v>1</v>
      </c>
      <c r="K5900" s="9">
        <v>176</v>
      </c>
      <c r="L5900" s="9">
        <v>2024</v>
      </c>
      <c r="M5900" s="8" t="s">
        <v>33660</v>
      </c>
      <c r="N5900" s="8" t="s">
        <v>243</v>
      </c>
      <c r="O5900" s="8" t="s">
        <v>758</v>
      </c>
      <c r="P5900" s="6" t="s">
        <v>51</v>
      </c>
      <c r="Q5900" s="8" t="s">
        <v>500</v>
      </c>
      <c r="R5900" s="10" t="s">
        <v>33661</v>
      </c>
      <c r="S5900" s="11"/>
      <c r="T5900" s="6"/>
      <c r="U5900" s="15" t="str">
        <f>HYPERLINK("https://media.infra-m.ru/2087/2087281/cover/2087281.jpg", "Обложка")</f>
        <v>Обложка</v>
      </c>
      <c r="V5900" s="8" t="s">
        <v>13400</v>
      </c>
      <c r="W5900" s="6"/>
      <c r="X5900" s="6"/>
      <c r="Y5900" s="6"/>
      <c r="Z5900" s="6"/>
      <c r="AA5900" s="6" t="s">
        <v>274</v>
      </c>
      <c r="AB5900" s="8"/>
      <c r="AC5900" s="27">
        <v>9785911349400</v>
      </c>
    </row>
    <row r="5901" spans="1:29" s="4" customFormat="1" ht="42" customHeight="1" x14ac:dyDescent="0.2">
      <c r="A5901" s="5">
        <v>0</v>
      </c>
      <c r="B5901" s="6" t="s">
        <v>33662</v>
      </c>
      <c r="C5901" s="7">
        <v>1440</v>
      </c>
      <c r="D5901" s="8" t="s">
        <v>33663</v>
      </c>
      <c r="E5901" s="8" t="s">
        <v>33664</v>
      </c>
      <c r="F5901" s="8" t="s">
        <v>33665</v>
      </c>
      <c r="G5901" s="6" t="s">
        <v>60</v>
      </c>
      <c r="H5901" s="6" t="s">
        <v>34</v>
      </c>
      <c r="I5901" s="8" t="s">
        <v>35</v>
      </c>
      <c r="J5901" s="9">
        <v>1</v>
      </c>
      <c r="K5901" s="9">
        <v>263</v>
      </c>
      <c r="L5901" s="9">
        <v>2023</v>
      </c>
      <c r="M5901" s="8" t="s">
        <v>33666</v>
      </c>
      <c r="N5901" s="8" t="s">
        <v>585</v>
      </c>
      <c r="O5901" s="8" t="s">
        <v>667</v>
      </c>
      <c r="P5901" s="6" t="s">
        <v>39</v>
      </c>
      <c r="Q5901" s="8" t="s">
        <v>40</v>
      </c>
      <c r="R5901" s="10" t="s">
        <v>22441</v>
      </c>
      <c r="S5901" s="11"/>
      <c r="T5901" s="6"/>
      <c r="U5901" s="15" t="str">
        <f>HYPERLINK("https://media.infra-m.ru/1900/1900641/cover/1900641.jpg", "Обложка")</f>
        <v>Обложка</v>
      </c>
      <c r="V5901" s="8" t="s">
        <v>911</v>
      </c>
      <c r="W5901" s="6"/>
      <c r="X5901" s="6"/>
      <c r="Y5901" s="6"/>
      <c r="Z5901" s="6"/>
      <c r="AA5901" s="6" t="s">
        <v>157</v>
      </c>
      <c r="AB5901" s="8" t="s">
        <v>4899</v>
      </c>
      <c r="AC5901" s="27">
        <v>9785160179766</v>
      </c>
    </row>
    <row r="5902" spans="1:29" s="4" customFormat="1" ht="51.9" customHeight="1" x14ac:dyDescent="0.2">
      <c r="A5902" s="5">
        <v>0</v>
      </c>
      <c r="B5902" s="6" t="s">
        <v>33667</v>
      </c>
      <c r="C5902" s="13">
        <v>612</v>
      </c>
      <c r="D5902" s="8" t="s">
        <v>33668</v>
      </c>
      <c r="E5902" s="8" t="s">
        <v>33669</v>
      </c>
      <c r="F5902" s="8" t="s">
        <v>33670</v>
      </c>
      <c r="G5902" s="6" t="s">
        <v>33</v>
      </c>
      <c r="H5902" s="6" t="s">
        <v>34</v>
      </c>
      <c r="I5902" s="8" t="s">
        <v>35</v>
      </c>
      <c r="J5902" s="9">
        <v>1</v>
      </c>
      <c r="K5902" s="9">
        <v>110</v>
      </c>
      <c r="L5902" s="9">
        <v>2024</v>
      </c>
      <c r="M5902" s="8" t="s">
        <v>33671</v>
      </c>
      <c r="N5902" s="8" t="s">
        <v>243</v>
      </c>
      <c r="O5902" s="8" t="s">
        <v>329</v>
      </c>
      <c r="P5902" s="6" t="s">
        <v>39</v>
      </c>
      <c r="Q5902" s="8" t="s">
        <v>40</v>
      </c>
      <c r="R5902" s="10" t="s">
        <v>33672</v>
      </c>
      <c r="S5902" s="11"/>
      <c r="T5902" s="6"/>
      <c r="U5902" s="15" t="str">
        <f>HYPERLINK("https://media.infra-m.ru/2117/2117154/cover/2117154.jpg", "Обложка")</f>
        <v>Обложка</v>
      </c>
      <c r="V5902" s="8" t="s">
        <v>4368</v>
      </c>
      <c r="W5902" s="6"/>
      <c r="X5902" s="6"/>
      <c r="Y5902" s="6"/>
      <c r="Z5902" s="6"/>
      <c r="AA5902" s="6" t="s">
        <v>874</v>
      </c>
      <c r="AB5902" s="8"/>
      <c r="AC5902" s="27">
        <v>9785160108018</v>
      </c>
    </row>
    <row r="5903" spans="1:29" s="4" customFormat="1" ht="51.9" customHeight="1" x14ac:dyDescent="0.2">
      <c r="A5903" s="5">
        <v>0</v>
      </c>
      <c r="B5903" s="6" t="s">
        <v>33673</v>
      </c>
      <c r="C5903" s="7">
        <v>1464</v>
      </c>
      <c r="D5903" s="8" t="s">
        <v>33674</v>
      </c>
      <c r="E5903" s="8" t="s">
        <v>33675</v>
      </c>
      <c r="F5903" s="8" t="s">
        <v>33676</v>
      </c>
      <c r="G5903" s="6" t="s">
        <v>60</v>
      </c>
      <c r="H5903" s="6" t="s">
        <v>1042</v>
      </c>
      <c r="I5903" s="8" t="s">
        <v>263</v>
      </c>
      <c r="J5903" s="9">
        <v>1</v>
      </c>
      <c r="K5903" s="9">
        <v>320</v>
      </c>
      <c r="L5903" s="9">
        <v>2022</v>
      </c>
      <c r="M5903" s="8" t="s">
        <v>33677</v>
      </c>
      <c r="N5903" s="8" t="s">
        <v>243</v>
      </c>
      <c r="O5903" s="8" t="s">
        <v>244</v>
      </c>
      <c r="P5903" s="6" t="s">
        <v>51</v>
      </c>
      <c r="Q5903" s="8" t="s">
        <v>265</v>
      </c>
      <c r="R5903" s="10" t="s">
        <v>2200</v>
      </c>
      <c r="S5903" s="11" t="s">
        <v>33678</v>
      </c>
      <c r="T5903" s="6"/>
      <c r="U5903" s="15" t="str">
        <f>HYPERLINK("https://media.infra-m.ru/1862/1862906/cover/1862906.jpg", "Обложка")</f>
        <v>Обложка</v>
      </c>
      <c r="V5903" s="8" t="s">
        <v>644</v>
      </c>
      <c r="W5903" s="6"/>
      <c r="X5903" s="6"/>
      <c r="Y5903" s="6"/>
      <c r="Z5903" s="6" t="s">
        <v>267</v>
      </c>
      <c r="AA5903" s="6" t="s">
        <v>896</v>
      </c>
      <c r="AB5903" s="8"/>
      <c r="AC5903" s="27">
        <v>9785819909324</v>
      </c>
    </row>
    <row r="5904" spans="1:29" s="4" customFormat="1" ht="51.9" customHeight="1" x14ac:dyDescent="0.2">
      <c r="A5904" s="5">
        <v>0</v>
      </c>
      <c r="B5904" s="6" t="s">
        <v>33679</v>
      </c>
      <c r="C5904" s="7">
        <v>1996.8</v>
      </c>
      <c r="D5904" s="8" t="s">
        <v>33680</v>
      </c>
      <c r="E5904" s="8" t="s">
        <v>33675</v>
      </c>
      <c r="F5904" s="8" t="s">
        <v>21250</v>
      </c>
      <c r="G5904" s="6" t="s">
        <v>60</v>
      </c>
      <c r="H5904" s="6" t="s">
        <v>1042</v>
      </c>
      <c r="I5904" s="8" t="s">
        <v>253</v>
      </c>
      <c r="J5904" s="9">
        <v>1</v>
      </c>
      <c r="K5904" s="9">
        <v>320</v>
      </c>
      <c r="L5904" s="9">
        <v>2025</v>
      </c>
      <c r="M5904" s="8" t="s">
        <v>33681</v>
      </c>
      <c r="N5904" s="8" t="s">
        <v>243</v>
      </c>
      <c r="O5904" s="8" t="s">
        <v>244</v>
      </c>
      <c r="P5904" s="6" t="s">
        <v>51</v>
      </c>
      <c r="Q5904" s="8" t="s">
        <v>52</v>
      </c>
      <c r="R5904" s="10" t="s">
        <v>19207</v>
      </c>
      <c r="S5904" s="11" t="s">
        <v>21258</v>
      </c>
      <c r="T5904" s="6"/>
      <c r="U5904" s="15" t="str">
        <f>HYPERLINK("https://media.infra-m.ru/2194/2194294/cover/2194294.jpg", "Обложка")</f>
        <v>Обложка</v>
      </c>
      <c r="V5904" s="8" t="s">
        <v>644</v>
      </c>
      <c r="W5904" s="6"/>
      <c r="X5904" s="6"/>
      <c r="Y5904" s="6"/>
      <c r="Z5904" s="6"/>
      <c r="AA5904" s="6" t="s">
        <v>769</v>
      </c>
      <c r="AB5904" s="8"/>
      <c r="AC5904" s="27">
        <v>9785819904954</v>
      </c>
    </row>
    <row r="5905" spans="1:29" s="4" customFormat="1" ht="42" customHeight="1" x14ac:dyDescent="0.2">
      <c r="A5905" s="5">
        <v>0</v>
      </c>
      <c r="B5905" s="6" t="s">
        <v>33682</v>
      </c>
      <c r="C5905" s="7">
        <v>1036.8</v>
      </c>
      <c r="D5905" s="8" t="s">
        <v>33683</v>
      </c>
      <c r="E5905" s="8" t="s">
        <v>33684</v>
      </c>
      <c r="F5905" s="8" t="s">
        <v>33685</v>
      </c>
      <c r="G5905" s="6" t="s">
        <v>60</v>
      </c>
      <c r="H5905" s="6" t="s">
        <v>34</v>
      </c>
      <c r="I5905" s="8" t="s">
        <v>1081</v>
      </c>
      <c r="J5905" s="9">
        <v>1</v>
      </c>
      <c r="K5905" s="9">
        <v>191</v>
      </c>
      <c r="L5905" s="9">
        <v>2023</v>
      </c>
      <c r="M5905" s="8" t="s">
        <v>33686</v>
      </c>
      <c r="N5905" s="8" t="s">
        <v>243</v>
      </c>
      <c r="O5905" s="8" t="s">
        <v>758</v>
      </c>
      <c r="P5905" s="6" t="s">
        <v>39</v>
      </c>
      <c r="Q5905" s="8" t="s">
        <v>40</v>
      </c>
      <c r="R5905" s="10" t="s">
        <v>33687</v>
      </c>
      <c r="S5905" s="11"/>
      <c r="T5905" s="6"/>
      <c r="U5905" s="15" t="str">
        <f>HYPERLINK("https://media.infra-m.ru/2006/2006894/cover/2006894.jpg", "Обложка")</f>
        <v>Обложка</v>
      </c>
      <c r="V5905" s="8" t="s">
        <v>1083</v>
      </c>
      <c r="W5905" s="6"/>
      <c r="X5905" s="6"/>
      <c r="Y5905" s="6"/>
      <c r="Z5905" s="6"/>
      <c r="AA5905" s="6" t="s">
        <v>86</v>
      </c>
      <c r="AB5905" s="8"/>
      <c r="AC5905" s="27">
        <v>9785160134031</v>
      </c>
    </row>
    <row r="5906" spans="1:29" s="4" customFormat="1" ht="51.9" customHeight="1" x14ac:dyDescent="0.2">
      <c r="A5906" s="5">
        <v>0</v>
      </c>
      <c r="B5906" s="6" t="s">
        <v>33688</v>
      </c>
      <c r="C5906" s="13">
        <v>768</v>
      </c>
      <c r="D5906" s="8" t="s">
        <v>33689</v>
      </c>
      <c r="E5906" s="8" t="s">
        <v>33690</v>
      </c>
      <c r="F5906" s="8" t="s">
        <v>33691</v>
      </c>
      <c r="G5906" s="6" t="s">
        <v>33</v>
      </c>
      <c r="H5906" s="6" t="s">
        <v>34</v>
      </c>
      <c r="I5906" s="8" t="s">
        <v>253</v>
      </c>
      <c r="J5906" s="9">
        <v>1</v>
      </c>
      <c r="K5906" s="9">
        <v>104</v>
      </c>
      <c r="L5906" s="9">
        <v>2026</v>
      </c>
      <c r="M5906" s="8" t="s">
        <v>33692</v>
      </c>
      <c r="N5906" s="8" t="s">
        <v>585</v>
      </c>
      <c r="O5906" s="8" t="s">
        <v>2472</v>
      </c>
      <c r="P5906" s="6" t="s">
        <v>51</v>
      </c>
      <c r="Q5906" s="8" t="s">
        <v>52</v>
      </c>
      <c r="R5906" s="10" t="s">
        <v>33693</v>
      </c>
      <c r="S5906" s="11" t="s">
        <v>33694</v>
      </c>
      <c r="T5906" s="6"/>
      <c r="U5906" s="15" t="str">
        <f>HYPERLINK("https://media.infra-m.ru/2224/2224072/cover/2224072.jpg", "Обложка")</f>
        <v>Обложка</v>
      </c>
      <c r="V5906" s="8" t="s">
        <v>3087</v>
      </c>
      <c r="W5906" s="6"/>
      <c r="X5906" s="6"/>
      <c r="Y5906" s="6"/>
      <c r="Z5906" s="6"/>
      <c r="AA5906" s="6" t="s">
        <v>43</v>
      </c>
      <c r="AB5906" s="8"/>
      <c r="AC5906" s="27">
        <v>9785160190280</v>
      </c>
    </row>
    <row r="5907" spans="1:29" s="4" customFormat="1" ht="44.1" customHeight="1" x14ac:dyDescent="0.2">
      <c r="A5907" s="5">
        <v>0</v>
      </c>
      <c r="B5907" s="6" t="s">
        <v>33695</v>
      </c>
      <c r="C5907" s="7">
        <v>1088.3</v>
      </c>
      <c r="D5907" s="8" t="s">
        <v>33696</v>
      </c>
      <c r="E5907" s="8" t="s">
        <v>33697</v>
      </c>
      <c r="F5907" s="8" t="s">
        <v>33698</v>
      </c>
      <c r="G5907" s="6" t="s">
        <v>7062</v>
      </c>
      <c r="H5907" s="6" t="s">
        <v>134</v>
      </c>
      <c r="I5907" s="8"/>
      <c r="J5907" s="14">
        <v>0</v>
      </c>
      <c r="K5907" s="9">
        <v>336</v>
      </c>
      <c r="L5907" s="9">
        <v>2016</v>
      </c>
      <c r="M5907" s="8" t="s">
        <v>33699</v>
      </c>
      <c r="N5907" s="8" t="s">
        <v>37</v>
      </c>
      <c r="O5907" s="8" t="s">
        <v>136</v>
      </c>
      <c r="P5907" s="6" t="s">
        <v>3141</v>
      </c>
      <c r="Q5907" s="8" t="s">
        <v>749</v>
      </c>
      <c r="R5907" s="10"/>
      <c r="S5907" s="11"/>
      <c r="T5907" s="6"/>
      <c r="U5907" s="15" t="str">
        <f>HYPERLINK("https://media.infra-m.ru/0765/0765882/cover/765882.jpg", "Обложка")</f>
        <v>Обложка</v>
      </c>
      <c r="V5907" s="8" t="s">
        <v>1928</v>
      </c>
      <c r="W5907" s="6"/>
      <c r="X5907" s="6"/>
      <c r="Y5907" s="6"/>
      <c r="Z5907" s="6"/>
      <c r="AA5907" s="6" t="s">
        <v>779</v>
      </c>
      <c r="AB5907" s="8"/>
      <c r="AC5907" s="27">
        <v>9785917686837</v>
      </c>
    </row>
    <row r="5908" spans="1:29" s="4" customFormat="1" ht="42" customHeight="1" x14ac:dyDescent="0.2">
      <c r="A5908" s="5">
        <v>0</v>
      </c>
      <c r="B5908" s="6" t="s">
        <v>33700</v>
      </c>
      <c r="C5908" s="7">
        <v>4348.8</v>
      </c>
      <c r="D5908" s="8" t="s">
        <v>33701</v>
      </c>
      <c r="E5908" s="8" t="s">
        <v>33702</v>
      </c>
      <c r="F5908" s="8" t="s">
        <v>33703</v>
      </c>
      <c r="G5908" s="6" t="s">
        <v>60</v>
      </c>
      <c r="H5908" s="6" t="s">
        <v>34</v>
      </c>
      <c r="I5908" s="8" t="s">
        <v>35</v>
      </c>
      <c r="J5908" s="9">
        <v>1</v>
      </c>
      <c r="K5908" s="9">
        <v>164</v>
      </c>
      <c r="L5908" s="9">
        <v>2026</v>
      </c>
      <c r="M5908" s="8" t="s">
        <v>33704</v>
      </c>
      <c r="N5908" s="8" t="s">
        <v>243</v>
      </c>
      <c r="O5908" s="8" t="s">
        <v>385</v>
      </c>
      <c r="P5908" s="6" t="s">
        <v>39</v>
      </c>
      <c r="Q5908" s="8" t="s">
        <v>40</v>
      </c>
      <c r="R5908" s="10" t="s">
        <v>33705</v>
      </c>
      <c r="S5908" s="11"/>
      <c r="T5908" s="6"/>
      <c r="U5908" s="15" t="str">
        <f>HYPERLINK("https://media.infra-m.ru/2238/2238523/cover/2238523.jpg", "Обложка")</f>
        <v>Обложка</v>
      </c>
      <c r="V5908" s="8" t="s">
        <v>546</v>
      </c>
      <c r="W5908" s="6"/>
      <c r="X5908" s="6"/>
      <c r="Y5908" s="6"/>
      <c r="Z5908" s="6"/>
      <c r="AA5908" s="6" t="s">
        <v>76</v>
      </c>
      <c r="AB5908" s="8" t="s">
        <v>2208</v>
      </c>
      <c r="AC5908" s="27">
        <v>9785160196824</v>
      </c>
    </row>
    <row r="5909" spans="1:29" s="4" customFormat="1" ht="51.9" customHeight="1" x14ac:dyDescent="0.2">
      <c r="A5909" s="5">
        <v>0</v>
      </c>
      <c r="B5909" s="6" t="s">
        <v>33706</v>
      </c>
      <c r="C5909" s="7">
        <v>1692</v>
      </c>
      <c r="D5909" s="8" t="s">
        <v>33707</v>
      </c>
      <c r="E5909" s="8" t="s">
        <v>33708</v>
      </c>
      <c r="F5909" s="8" t="s">
        <v>33709</v>
      </c>
      <c r="G5909" s="6" t="s">
        <v>118</v>
      </c>
      <c r="H5909" s="6" t="s">
        <v>34</v>
      </c>
      <c r="I5909" s="8" t="s">
        <v>253</v>
      </c>
      <c r="J5909" s="9">
        <v>1</v>
      </c>
      <c r="K5909" s="9">
        <v>301</v>
      </c>
      <c r="L5909" s="9">
        <v>2024</v>
      </c>
      <c r="M5909" s="8" t="s">
        <v>33710</v>
      </c>
      <c r="N5909" s="8" t="s">
        <v>243</v>
      </c>
      <c r="O5909" s="8" t="s">
        <v>758</v>
      </c>
      <c r="P5909" s="6" t="s">
        <v>51</v>
      </c>
      <c r="Q5909" s="8" t="s">
        <v>65</v>
      </c>
      <c r="R5909" s="10" t="s">
        <v>33711</v>
      </c>
      <c r="S5909" s="11" t="s">
        <v>33712</v>
      </c>
      <c r="T5909" s="6" t="s">
        <v>97</v>
      </c>
      <c r="U5909" s="15" t="str">
        <f>HYPERLINK("https://media.infra-m.ru/2141/2141027/cover/2141027.jpg", "Обложка")</f>
        <v>Обложка</v>
      </c>
      <c r="V5909" s="8" t="s">
        <v>4368</v>
      </c>
      <c r="W5909" s="6"/>
      <c r="X5909" s="6"/>
      <c r="Y5909" s="6"/>
      <c r="Z5909" s="6"/>
      <c r="AA5909" s="6" t="s">
        <v>86</v>
      </c>
      <c r="AB5909" s="8"/>
      <c r="AC5909" s="27">
        <v>9785160198897</v>
      </c>
    </row>
    <row r="5910" spans="1:29" s="4" customFormat="1" ht="44.1" customHeight="1" x14ac:dyDescent="0.2">
      <c r="A5910" s="5">
        <v>0</v>
      </c>
      <c r="B5910" s="6" t="s">
        <v>33713</v>
      </c>
      <c r="C5910" s="13">
        <v>972</v>
      </c>
      <c r="D5910" s="8" t="s">
        <v>33714</v>
      </c>
      <c r="E5910" s="8" t="s">
        <v>33715</v>
      </c>
      <c r="F5910" s="8" t="s">
        <v>33716</v>
      </c>
      <c r="G5910" s="6" t="s">
        <v>33</v>
      </c>
      <c r="H5910" s="6" t="s">
        <v>34</v>
      </c>
      <c r="I5910" s="8" t="s">
        <v>35</v>
      </c>
      <c r="J5910" s="9">
        <v>1</v>
      </c>
      <c r="K5910" s="9">
        <v>162</v>
      </c>
      <c r="L5910" s="9">
        <v>2024</v>
      </c>
      <c r="M5910" s="8" t="s">
        <v>33717</v>
      </c>
      <c r="N5910" s="8" t="s">
        <v>37</v>
      </c>
      <c r="O5910" s="8" t="s">
        <v>290</v>
      </c>
      <c r="P5910" s="6" t="s">
        <v>39</v>
      </c>
      <c r="Q5910" s="8" t="s">
        <v>40</v>
      </c>
      <c r="R5910" s="10" t="s">
        <v>33718</v>
      </c>
      <c r="S5910" s="11"/>
      <c r="T5910" s="6"/>
      <c r="U5910" s="15" t="str">
        <f>HYPERLINK("https://media.infra-m.ru/2114/2114387/cover/2114387.jpg", "Обложка")</f>
        <v>Обложка</v>
      </c>
      <c r="V5910" s="8" t="s">
        <v>4923</v>
      </c>
      <c r="W5910" s="6"/>
      <c r="X5910" s="6"/>
      <c r="Y5910" s="6"/>
      <c r="Z5910" s="6"/>
      <c r="AA5910" s="6" t="s">
        <v>76</v>
      </c>
      <c r="AB5910" s="8" t="s">
        <v>2208</v>
      </c>
      <c r="AC5910" s="27">
        <v>9785160193885</v>
      </c>
    </row>
    <row r="5911" spans="1:29" s="4" customFormat="1" ht="51.9" customHeight="1" x14ac:dyDescent="0.2">
      <c r="A5911" s="5">
        <v>0</v>
      </c>
      <c r="B5911" s="6" t="s">
        <v>33719</v>
      </c>
      <c r="C5911" s="7">
        <v>1248</v>
      </c>
      <c r="D5911" s="8" t="s">
        <v>33720</v>
      </c>
      <c r="E5911" s="8" t="s">
        <v>33721</v>
      </c>
      <c r="F5911" s="8" t="s">
        <v>1802</v>
      </c>
      <c r="G5911" s="6" t="s">
        <v>60</v>
      </c>
      <c r="H5911" s="6" t="s">
        <v>34</v>
      </c>
      <c r="I5911" s="8" t="s">
        <v>35</v>
      </c>
      <c r="J5911" s="9">
        <v>1</v>
      </c>
      <c r="K5911" s="9">
        <v>171</v>
      </c>
      <c r="L5911" s="9">
        <v>2026</v>
      </c>
      <c r="M5911" s="8" t="s">
        <v>33722</v>
      </c>
      <c r="N5911" s="8" t="s">
        <v>37</v>
      </c>
      <c r="O5911" s="8" t="s">
        <v>136</v>
      </c>
      <c r="P5911" s="6" t="s">
        <v>39</v>
      </c>
      <c r="Q5911" s="8" t="s">
        <v>40</v>
      </c>
      <c r="R5911" s="10" t="s">
        <v>33723</v>
      </c>
      <c r="S5911" s="11"/>
      <c r="T5911" s="6"/>
      <c r="U5911" s="15" t="str">
        <f>HYPERLINK("https://media.infra-m.ru/2214/2214920/cover/2214920.jpg", "Обложка")</f>
        <v>Обложка</v>
      </c>
      <c r="V5911" s="8" t="s">
        <v>1805</v>
      </c>
      <c r="W5911" s="6" t="s">
        <v>186</v>
      </c>
      <c r="X5911" s="6"/>
      <c r="Y5911" s="6"/>
      <c r="Z5911" s="6"/>
      <c r="AA5911" s="6" t="s">
        <v>187</v>
      </c>
      <c r="AB5911" s="8" t="s">
        <v>11878</v>
      </c>
      <c r="AC5911" s="27">
        <v>9785160211251</v>
      </c>
    </row>
    <row r="5912" spans="1:29" s="4" customFormat="1" ht="44.1" customHeight="1" x14ac:dyDescent="0.2">
      <c r="A5912" s="5">
        <v>0</v>
      </c>
      <c r="B5912" s="6" t="s">
        <v>33724</v>
      </c>
      <c r="C5912" s="13">
        <v>624</v>
      </c>
      <c r="D5912" s="8" t="s">
        <v>33725</v>
      </c>
      <c r="E5912" s="8" t="s">
        <v>33726</v>
      </c>
      <c r="F5912" s="8" t="s">
        <v>33727</v>
      </c>
      <c r="G5912" s="6" t="s">
        <v>33</v>
      </c>
      <c r="H5912" s="6" t="s">
        <v>34</v>
      </c>
      <c r="I5912" s="8" t="s">
        <v>35</v>
      </c>
      <c r="J5912" s="9">
        <v>1</v>
      </c>
      <c r="K5912" s="9">
        <v>104</v>
      </c>
      <c r="L5912" s="9">
        <v>2024</v>
      </c>
      <c r="M5912" s="8" t="s">
        <v>33728</v>
      </c>
      <c r="N5912" s="8" t="s">
        <v>93</v>
      </c>
      <c r="O5912" s="8" t="s">
        <v>94</v>
      </c>
      <c r="P5912" s="6" t="s">
        <v>39</v>
      </c>
      <c r="Q5912" s="8" t="s">
        <v>40</v>
      </c>
      <c r="R5912" s="10" t="s">
        <v>5799</v>
      </c>
      <c r="S5912" s="11"/>
      <c r="T5912" s="6"/>
      <c r="U5912" s="15" t="str">
        <f>HYPERLINK("https://media.infra-m.ru/2052/2052444/cover/2052444.jpg", "Обложка")</f>
        <v>Обложка</v>
      </c>
      <c r="V5912" s="8" t="s">
        <v>3595</v>
      </c>
      <c r="W5912" s="6"/>
      <c r="X5912" s="6"/>
      <c r="Y5912" s="6"/>
      <c r="Z5912" s="6"/>
      <c r="AA5912" s="6" t="s">
        <v>99</v>
      </c>
      <c r="AB5912" s="8"/>
      <c r="AC5912" s="27">
        <v>9785160103471</v>
      </c>
    </row>
    <row r="5913" spans="1:29" s="4" customFormat="1" ht="51.9" customHeight="1" x14ac:dyDescent="0.2">
      <c r="A5913" s="5">
        <v>0</v>
      </c>
      <c r="B5913" s="6" t="s">
        <v>33729</v>
      </c>
      <c r="C5913" s="7">
        <v>2200.8000000000002</v>
      </c>
      <c r="D5913" s="8" t="s">
        <v>33730</v>
      </c>
      <c r="E5913" s="8" t="s">
        <v>33731</v>
      </c>
      <c r="F5913" s="8" t="s">
        <v>33732</v>
      </c>
      <c r="G5913" s="6" t="s">
        <v>118</v>
      </c>
      <c r="H5913" s="6" t="s">
        <v>34</v>
      </c>
      <c r="I5913" s="8" t="s">
        <v>271</v>
      </c>
      <c r="J5913" s="9">
        <v>1</v>
      </c>
      <c r="K5913" s="9">
        <v>352</v>
      </c>
      <c r="L5913" s="9">
        <v>2025</v>
      </c>
      <c r="M5913" s="8" t="s">
        <v>33733</v>
      </c>
      <c r="N5913" s="8" t="s">
        <v>243</v>
      </c>
      <c r="O5913" s="8" t="s">
        <v>758</v>
      </c>
      <c r="P5913" s="6" t="s">
        <v>306</v>
      </c>
      <c r="Q5913" s="8" t="s">
        <v>52</v>
      </c>
      <c r="R5913" s="10" t="s">
        <v>33734</v>
      </c>
      <c r="S5913" s="11" t="s">
        <v>33735</v>
      </c>
      <c r="T5913" s="6" t="s">
        <v>97</v>
      </c>
      <c r="U5913" s="15" t="str">
        <f>HYPERLINK("https://media.infra-m.ru/2196/2196138/cover/2196138.jpg", "Обложка")</f>
        <v>Обложка</v>
      </c>
      <c r="V5913" s="8" t="s">
        <v>4368</v>
      </c>
      <c r="W5913" s="6"/>
      <c r="X5913" s="6"/>
      <c r="Y5913" s="6"/>
      <c r="Z5913" s="6"/>
      <c r="AA5913" s="6" t="s">
        <v>86</v>
      </c>
      <c r="AB5913" s="8"/>
      <c r="AC5913" s="27">
        <v>9785160131948</v>
      </c>
    </row>
    <row r="5914" spans="1:29" s="4" customFormat="1" ht="42" customHeight="1" x14ac:dyDescent="0.2">
      <c r="A5914" s="5">
        <v>0</v>
      </c>
      <c r="B5914" s="6" t="s">
        <v>33736</v>
      </c>
      <c r="C5914" s="7">
        <v>1020</v>
      </c>
      <c r="D5914" s="8" t="s">
        <v>33737</v>
      </c>
      <c r="E5914" s="8" t="s">
        <v>33738</v>
      </c>
      <c r="F5914" s="8" t="s">
        <v>33739</v>
      </c>
      <c r="G5914" s="6" t="s">
        <v>33</v>
      </c>
      <c r="H5914" s="6" t="s">
        <v>34</v>
      </c>
      <c r="I5914" s="8" t="s">
        <v>35</v>
      </c>
      <c r="J5914" s="9">
        <v>1</v>
      </c>
      <c r="K5914" s="9">
        <v>143</v>
      </c>
      <c r="L5914" s="9">
        <v>2026</v>
      </c>
      <c r="M5914" s="8" t="s">
        <v>33740</v>
      </c>
      <c r="N5914" s="8" t="s">
        <v>243</v>
      </c>
      <c r="O5914" s="8" t="s">
        <v>1100</v>
      </c>
      <c r="P5914" s="6" t="s">
        <v>39</v>
      </c>
      <c r="Q5914" s="8" t="s">
        <v>40</v>
      </c>
      <c r="R5914" s="10" t="s">
        <v>23799</v>
      </c>
      <c r="S5914" s="11"/>
      <c r="T5914" s="6"/>
      <c r="U5914" s="15" t="str">
        <f>HYPERLINK("https://media.infra-m.ru/2186/2186794/cover/2186794.jpg", "Обложка")</f>
        <v>Обложка</v>
      </c>
      <c r="V5914" s="8" t="s">
        <v>1994</v>
      </c>
      <c r="W5914" s="6"/>
      <c r="X5914" s="6"/>
      <c r="Y5914" s="6"/>
      <c r="Z5914" s="6"/>
      <c r="AA5914" s="6" t="s">
        <v>187</v>
      </c>
      <c r="AB5914" s="8"/>
      <c r="AC5914" s="27">
        <v>9785160206349</v>
      </c>
    </row>
    <row r="5915" spans="1:29" s="4" customFormat="1" ht="51.9" customHeight="1" x14ac:dyDescent="0.2">
      <c r="A5915" s="5">
        <v>0</v>
      </c>
      <c r="B5915" s="6" t="s">
        <v>33741</v>
      </c>
      <c r="C5915" s="7">
        <v>1188</v>
      </c>
      <c r="D5915" s="8" t="s">
        <v>33742</v>
      </c>
      <c r="E5915" s="8" t="s">
        <v>33743</v>
      </c>
      <c r="F5915" s="8" t="s">
        <v>33744</v>
      </c>
      <c r="G5915" s="6" t="s">
        <v>33</v>
      </c>
      <c r="H5915" s="6" t="s">
        <v>34</v>
      </c>
      <c r="I5915" s="8" t="s">
        <v>35</v>
      </c>
      <c r="J5915" s="9">
        <v>1</v>
      </c>
      <c r="K5915" s="9">
        <v>202</v>
      </c>
      <c r="L5915" s="9">
        <v>2022</v>
      </c>
      <c r="M5915" s="8" t="s">
        <v>33745</v>
      </c>
      <c r="N5915" s="8" t="s">
        <v>585</v>
      </c>
      <c r="O5915" s="8" t="s">
        <v>667</v>
      </c>
      <c r="P5915" s="6" t="s">
        <v>39</v>
      </c>
      <c r="Q5915" s="8" t="s">
        <v>40</v>
      </c>
      <c r="R5915" s="10" t="s">
        <v>33746</v>
      </c>
      <c r="S5915" s="11"/>
      <c r="T5915" s="6"/>
      <c r="U5915" s="15" t="str">
        <f>HYPERLINK("https://media.infra-m.ru/1865/1865188/cover/1865188.jpg", "Обложка")</f>
        <v>Обложка</v>
      </c>
      <c r="V5915" s="8" t="s">
        <v>414</v>
      </c>
      <c r="W5915" s="6"/>
      <c r="X5915" s="6"/>
      <c r="Y5915" s="6"/>
      <c r="Z5915" s="6"/>
      <c r="AA5915" s="6" t="s">
        <v>148</v>
      </c>
      <c r="AB5915" s="8"/>
      <c r="AC5915" s="27">
        <v>9785160176536</v>
      </c>
    </row>
    <row r="5916" spans="1:29" s="4" customFormat="1" ht="42" customHeight="1" x14ac:dyDescent="0.2">
      <c r="A5916" s="5">
        <v>0</v>
      </c>
      <c r="B5916" s="6" t="s">
        <v>33747</v>
      </c>
      <c r="C5916" s="7">
        <v>1476</v>
      </c>
      <c r="D5916" s="8" t="s">
        <v>33748</v>
      </c>
      <c r="E5916" s="8" t="s">
        <v>33749</v>
      </c>
      <c r="F5916" s="8" t="s">
        <v>33750</v>
      </c>
      <c r="G5916" s="6" t="s">
        <v>118</v>
      </c>
      <c r="H5916" s="6" t="s">
        <v>34</v>
      </c>
      <c r="I5916" s="8" t="s">
        <v>253</v>
      </c>
      <c r="J5916" s="9">
        <v>1</v>
      </c>
      <c r="K5916" s="9">
        <v>233</v>
      </c>
      <c r="L5916" s="9">
        <v>2025</v>
      </c>
      <c r="M5916" s="8" t="s">
        <v>33751</v>
      </c>
      <c r="N5916" s="8" t="s">
        <v>243</v>
      </c>
      <c r="O5916" s="8" t="s">
        <v>385</v>
      </c>
      <c r="P5916" s="6" t="s">
        <v>306</v>
      </c>
      <c r="Q5916" s="8" t="s">
        <v>500</v>
      </c>
      <c r="R5916" s="10" t="s">
        <v>33752</v>
      </c>
      <c r="S5916" s="11"/>
      <c r="T5916" s="6"/>
      <c r="U5916" s="15" t="str">
        <f>HYPERLINK("https://media.infra-m.ru/2191/2191621/cover/2191621.jpg", "Обложка")</f>
        <v>Обложка</v>
      </c>
      <c r="V5916" s="8" t="s">
        <v>33753</v>
      </c>
      <c r="W5916" s="6"/>
      <c r="X5916" s="6"/>
      <c r="Y5916" s="6"/>
      <c r="Z5916" s="6"/>
      <c r="AA5916" s="6" t="s">
        <v>157</v>
      </c>
      <c r="AB5916" s="8"/>
      <c r="AC5916" s="27">
        <v>9785160207452</v>
      </c>
    </row>
    <row r="5917" spans="1:29" s="4" customFormat="1" ht="51.9" customHeight="1" x14ac:dyDescent="0.2">
      <c r="A5917" s="5">
        <v>0</v>
      </c>
      <c r="B5917" s="6" t="s">
        <v>33754</v>
      </c>
      <c r="C5917" s="7">
        <v>1133.9000000000001</v>
      </c>
      <c r="D5917" s="8" t="s">
        <v>33755</v>
      </c>
      <c r="E5917" s="8" t="s">
        <v>33756</v>
      </c>
      <c r="F5917" s="8" t="s">
        <v>33757</v>
      </c>
      <c r="G5917" s="6" t="s">
        <v>60</v>
      </c>
      <c r="H5917" s="6" t="s">
        <v>34</v>
      </c>
      <c r="I5917" s="8" t="s">
        <v>6752</v>
      </c>
      <c r="J5917" s="9">
        <v>1</v>
      </c>
      <c r="K5917" s="9">
        <v>216</v>
      </c>
      <c r="L5917" s="9">
        <v>2021</v>
      </c>
      <c r="M5917" s="8" t="s">
        <v>33758</v>
      </c>
      <c r="N5917" s="8" t="s">
        <v>37</v>
      </c>
      <c r="O5917" s="8" t="s">
        <v>233</v>
      </c>
      <c r="P5917" s="6" t="s">
        <v>39</v>
      </c>
      <c r="Q5917" s="8" t="s">
        <v>40</v>
      </c>
      <c r="R5917" s="10" t="s">
        <v>33759</v>
      </c>
      <c r="S5917" s="11"/>
      <c r="T5917" s="6"/>
      <c r="U5917" s="15" t="str">
        <f>HYPERLINK("https://media.infra-m.ru/1247/1247047/cover/1247047.jpg", "Обложка")</f>
        <v>Обложка</v>
      </c>
      <c r="V5917" s="8" t="s">
        <v>22691</v>
      </c>
      <c r="W5917" s="6"/>
      <c r="X5917" s="6"/>
      <c r="Y5917" s="6"/>
      <c r="Z5917" s="6"/>
      <c r="AA5917" s="6" t="s">
        <v>86</v>
      </c>
      <c r="AB5917" s="8"/>
      <c r="AC5917" s="27">
        <v>9785160143958</v>
      </c>
    </row>
    <row r="5918" spans="1:29" s="4" customFormat="1" ht="51.9" customHeight="1" x14ac:dyDescent="0.2">
      <c r="A5918" s="5">
        <v>0</v>
      </c>
      <c r="B5918" s="6" t="s">
        <v>33760</v>
      </c>
      <c r="C5918" s="7">
        <v>1176</v>
      </c>
      <c r="D5918" s="8" t="s">
        <v>33761</v>
      </c>
      <c r="E5918" s="8" t="s">
        <v>33756</v>
      </c>
      <c r="F5918" s="8" t="s">
        <v>33757</v>
      </c>
      <c r="G5918" s="6" t="s">
        <v>33</v>
      </c>
      <c r="H5918" s="6" t="s">
        <v>34</v>
      </c>
      <c r="I5918" s="8" t="s">
        <v>6752</v>
      </c>
      <c r="J5918" s="9">
        <v>1</v>
      </c>
      <c r="K5918" s="9">
        <v>216</v>
      </c>
      <c r="L5918" s="9">
        <v>2023</v>
      </c>
      <c r="M5918" s="8" t="s">
        <v>33762</v>
      </c>
      <c r="N5918" s="8" t="s">
        <v>37</v>
      </c>
      <c r="O5918" s="8" t="s">
        <v>233</v>
      </c>
      <c r="P5918" s="6" t="s">
        <v>39</v>
      </c>
      <c r="Q5918" s="8" t="s">
        <v>40</v>
      </c>
      <c r="R5918" s="10" t="s">
        <v>33759</v>
      </c>
      <c r="S5918" s="11"/>
      <c r="T5918" s="6"/>
      <c r="U5918" s="15" t="str">
        <f>HYPERLINK("https://media.infra-m.ru/2032/2032492/cover/2032492.jpg", "Обложка")</f>
        <v>Обложка</v>
      </c>
      <c r="V5918" s="8" t="s">
        <v>22691</v>
      </c>
      <c r="W5918" s="6"/>
      <c r="X5918" s="6"/>
      <c r="Y5918" s="6"/>
      <c r="Z5918" s="6"/>
      <c r="AA5918" s="6" t="s">
        <v>86</v>
      </c>
      <c r="AB5918" s="8"/>
      <c r="AC5918" s="27">
        <v>9785160186184</v>
      </c>
    </row>
    <row r="5919" spans="1:29" s="4" customFormat="1" ht="44.1" customHeight="1" x14ac:dyDescent="0.2">
      <c r="A5919" s="5">
        <v>0</v>
      </c>
      <c r="B5919" s="6" t="s">
        <v>33763</v>
      </c>
      <c r="C5919" s="13">
        <v>869.9</v>
      </c>
      <c r="D5919" s="8" t="s">
        <v>33764</v>
      </c>
      <c r="E5919" s="8" t="s">
        <v>33765</v>
      </c>
      <c r="F5919" s="8" t="s">
        <v>33766</v>
      </c>
      <c r="G5919" s="6" t="s">
        <v>33</v>
      </c>
      <c r="H5919" s="6" t="s">
        <v>34</v>
      </c>
      <c r="I5919" s="8" t="s">
        <v>35</v>
      </c>
      <c r="J5919" s="9">
        <v>1</v>
      </c>
      <c r="K5919" s="9">
        <v>160</v>
      </c>
      <c r="L5919" s="9">
        <v>2023</v>
      </c>
      <c r="M5919" s="8" t="s">
        <v>33767</v>
      </c>
      <c r="N5919" s="8" t="s">
        <v>63</v>
      </c>
      <c r="O5919" s="8" t="s">
        <v>64</v>
      </c>
      <c r="P5919" s="6" t="s">
        <v>39</v>
      </c>
      <c r="Q5919" s="8" t="s">
        <v>40</v>
      </c>
      <c r="R5919" s="10" t="s">
        <v>2558</v>
      </c>
      <c r="S5919" s="11"/>
      <c r="T5919" s="6"/>
      <c r="U5919" s="15" t="str">
        <f>HYPERLINK("https://media.infra-m.ru/1911/1911171/cover/1911171.jpg", "Обложка")</f>
        <v>Обложка</v>
      </c>
      <c r="V5919" s="8" t="s">
        <v>156</v>
      </c>
      <c r="W5919" s="6"/>
      <c r="X5919" s="6"/>
      <c r="Y5919" s="6"/>
      <c r="Z5919" s="6"/>
      <c r="AA5919" s="6" t="s">
        <v>248</v>
      </c>
      <c r="AB5919" s="8"/>
      <c r="AC5919" s="27">
        <v>9785160092546</v>
      </c>
    </row>
    <row r="5920" spans="1:29" s="4" customFormat="1" ht="44.1" customHeight="1" x14ac:dyDescent="0.2">
      <c r="A5920" s="5">
        <v>0</v>
      </c>
      <c r="B5920" s="6" t="s">
        <v>33768</v>
      </c>
      <c r="C5920" s="7">
        <v>2160</v>
      </c>
      <c r="D5920" s="8" t="s">
        <v>33769</v>
      </c>
      <c r="E5920" s="8" t="s">
        <v>33770</v>
      </c>
      <c r="F5920" s="8" t="s">
        <v>33771</v>
      </c>
      <c r="G5920" s="6" t="s">
        <v>60</v>
      </c>
      <c r="H5920" s="6" t="s">
        <v>34</v>
      </c>
      <c r="I5920" s="8" t="s">
        <v>35</v>
      </c>
      <c r="J5920" s="9">
        <v>1</v>
      </c>
      <c r="K5920" s="9">
        <v>340</v>
      </c>
      <c r="L5920" s="9">
        <v>2025</v>
      </c>
      <c r="M5920" s="8" t="s">
        <v>33772</v>
      </c>
      <c r="N5920" s="8" t="s">
        <v>37</v>
      </c>
      <c r="O5920" s="8" t="s">
        <v>136</v>
      </c>
      <c r="P5920" s="6" t="s">
        <v>39</v>
      </c>
      <c r="Q5920" s="8" t="s">
        <v>40</v>
      </c>
      <c r="R5920" s="10" t="s">
        <v>33773</v>
      </c>
      <c r="S5920" s="11"/>
      <c r="T5920" s="6"/>
      <c r="U5920" s="15" t="str">
        <f>HYPERLINK("https://media.infra-m.ru/2170/2170825/cover/2170825.jpg", "Обложка")</f>
        <v>Обложка</v>
      </c>
      <c r="V5920" s="8" t="s">
        <v>3304</v>
      </c>
      <c r="W5920" s="6"/>
      <c r="X5920" s="6"/>
      <c r="Y5920" s="6"/>
      <c r="Z5920" s="6"/>
      <c r="AA5920" s="6" t="s">
        <v>68</v>
      </c>
      <c r="AB5920" s="8"/>
      <c r="AC5920" s="27">
        <v>9785160203744</v>
      </c>
    </row>
    <row r="5921" spans="1:29" s="4" customFormat="1" ht="51.9" customHeight="1" x14ac:dyDescent="0.2">
      <c r="A5921" s="5">
        <v>0</v>
      </c>
      <c r="B5921" s="6" t="s">
        <v>33774</v>
      </c>
      <c r="C5921" s="7">
        <v>1032</v>
      </c>
      <c r="D5921" s="8" t="s">
        <v>33775</v>
      </c>
      <c r="E5921" s="8" t="s">
        <v>33776</v>
      </c>
      <c r="F5921" s="8" t="s">
        <v>33777</v>
      </c>
      <c r="G5921" s="6" t="s">
        <v>33</v>
      </c>
      <c r="H5921" s="6" t="s">
        <v>34</v>
      </c>
      <c r="I5921" s="8" t="s">
        <v>35</v>
      </c>
      <c r="J5921" s="9">
        <v>1</v>
      </c>
      <c r="K5921" s="9">
        <v>225</v>
      </c>
      <c r="L5921" s="9">
        <v>2021</v>
      </c>
      <c r="M5921" s="8" t="s">
        <v>33778</v>
      </c>
      <c r="N5921" s="8" t="s">
        <v>37</v>
      </c>
      <c r="O5921" s="8" t="s">
        <v>136</v>
      </c>
      <c r="P5921" s="6" t="s">
        <v>39</v>
      </c>
      <c r="Q5921" s="8" t="s">
        <v>40</v>
      </c>
      <c r="R5921" s="10" t="s">
        <v>33779</v>
      </c>
      <c r="S5921" s="11"/>
      <c r="T5921" s="6"/>
      <c r="U5921" s="15" t="str">
        <f>HYPERLINK("https://media.infra-m.ru/1383/1383687/cover/1383687.jpg", "Обложка")</f>
        <v>Обложка</v>
      </c>
      <c r="V5921" s="8" t="s">
        <v>644</v>
      </c>
      <c r="W5921" s="6"/>
      <c r="X5921" s="6"/>
      <c r="Y5921" s="6"/>
      <c r="Z5921" s="6"/>
      <c r="AA5921" s="6" t="s">
        <v>430</v>
      </c>
      <c r="AB5921" s="8"/>
      <c r="AC5921" s="27">
        <v>9785160169255</v>
      </c>
    </row>
    <row r="5922" spans="1:29" s="4" customFormat="1" ht="42" customHeight="1" x14ac:dyDescent="0.2">
      <c r="A5922" s="5">
        <v>0</v>
      </c>
      <c r="B5922" s="6" t="s">
        <v>33780</v>
      </c>
      <c r="C5922" s="7">
        <v>1080</v>
      </c>
      <c r="D5922" s="8" t="s">
        <v>33781</v>
      </c>
      <c r="E5922" s="8" t="s">
        <v>33782</v>
      </c>
      <c r="F5922" s="8" t="s">
        <v>33783</v>
      </c>
      <c r="G5922" s="6" t="s">
        <v>33</v>
      </c>
      <c r="H5922" s="6" t="s">
        <v>34</v>
      </c>
      <c r="I5922" s="8" t="s">
        <v>35</v>
      </c>
      <c r="J5922" s="9">
        <v>1</v>
      </c>
      <c r="K5922" s="9">
        <v>194</v>
      </c>
      <c r="L5922" s="9">
        <v>2024</v>
      </c>
      <c r="M5922" s="8" t="s">
        <v>33784</v>
      </c>
      <c r="N5922" s="8" t="s">
        <v>37</v>
      </c>
      <c r="O5922" s="8" t="s">
        <v>233</v>
      </c>
      <c r="P5922" s="6" t="s">
        <v>39</v>
      </c>
      <c r="Q5922" s="8" t="s">
        <v>40</v>
      </c>
      <c r="R5922" s="10" t="s">
        <v>2033</v>
      </c>
      <c r="S5922" s="11"/>
      <c r="T5922" s="6"/>
      <c r="U5922" s="15" t="str">
        <f>HYPERLINK("https://media.infra-m.ru/2106/2106199/cover/2106199.jpg", "Обложка")</f>
        <v>Обложка</v>
      </c>
      <c r="V5922" s="8" t="s">
        <v>1768</v>
      </c>
      <c r="W5922" s="6"/>
      <c r="X5922" s="6"/>
      <c r="Y5922" s="6"/>
      <c r="Z5922" s="6"/>
      <c r="AA5922" s="6" t="s">
        <v>55</v>
      </c>
      <c r="AB5922" s="8"/>
      <c r="AC5922" s="27">
        <v>9785160094403</v>
      </c>
    </row>
    <row r="5923" spans="1:29" s="4" customFormat="1" ht="42" customHeight="1" x14ac:dyDescent="0.2">
      <c r="A5923" s="5">
        <v>0</v>
      </c>
      <c r="B5923" s="6" t="s">
        <v>33785</v>
      </c>
      <c r="C5923" s="7">
        <v>4944</v>
      </c>
      <c r="D5923" s="8" t="s">
        <v>33786</v>
      </c>
      <c r="E5923" s="8" t="s">
        <v>33787</v>
      </c>
      <c r="F5923" s="8" t="s">
        <v>33788</v>
      </c>
      <c r="G5923" s="6" t="s">
        <v>60</v>
      </c>
      <c r="H5923" s="6" t="s">
        <v>134</v>
      </c>
      <c r="I5923" s="8"/>
      <c r="J5923" s="9">
        <v>1</v>
      </c>
      <c r="K5923" s="9">
        <v>792</v>
      </c>
      <c r="L5923" s="9">
        <v>2026</v>
      </c>
      <c r="M5923" s="8" t="s">
        <v>33789</v>
      </c>
      <c r="N5923" s="8" t="s">
        <v>37</v>
      </c>
      <c r="O5923" s="8" t="s">
        <v>136</v>
      </c>
      <c r="P5923" s="6" t="s">
        <v>39</v>
      </c>
      <c r="Q5923" s="8" t="s">
        <v>40</v>
      </c>
      <c r="R5923" s="10" t="s">
        <v>1625</v>
      </c>
      <c r="S5923" s="11"/>
      <c r="T5923" s="6"/>
      <c r="U5923" s="15" t="str">
        <f>HYPERLINK("https://media.infra-m.ru/2216/2216583/cover/2216583.jpg", "Обложка")</f>
        <v>Обложка</v>
      </c>
      <c r="V5923" s="8"/>
      <c r="W5923" s="6"/>
      <c r="X5923" s="6"/>
      <c r="Y5923" s="6"/>
      <c r="Z5923" s="6"/>
      <c r="AA5923" s="6" t="s">
        <v>148</v>
      </c>
      <c r="AB5923" s="8"/>
      <c r="AC5923" s="27">
        <v>9785001561958</v>
      </c>
    </row>
    <row r="5924" spans="1:29" s="4" customFormat="1" ht="42" customHeight="1" x14ac:dyDescent="0.2">
      <c r="A5924" s="5">
        <v>0</v>
      </c>
      <c r="B5924" s="6" t="s">
        <v>33790</v>
      </c>
      <c r="C5924" s="7">
        <v>3960</v>
      </c>
      <c r="D5924" s="8" t="s">
        <v>33791</v>
      </c>
      <c r="E5924" s="8" t="s">
        <v>33787</v>
      </c>
      <c r="F5924" s="8" t="s">
        <v>33788</v>
      </c>
      <c r="G5924" s="6" t="s">
        <v>33</v>
      </c>
      <c r="H5924" s="6" t="s">
        <v>134</v>
      </c>
      <c r="I5924" s="8"/>
      <c r="J5924" s="9">
        <v>1</v>
      </c>
      <c r="K5924" s="9">
        <v>792</v>
      </c>
      <c r="L5924" s="9">
        <v>2022</v>
      </c>
      <c r="M5924" s="8" t="s">
        <v>33789</v>
      </c>
      <c r="N5924" s="8" t="s">
        <v>37</v>
      </c>
      <c r="O5924" s="8" t="s">
        <v>136</v>
      </c>
      <c r="P5924" s="6" t="s">
        <v>39</v>
      </c>
      <c r="Q5924" s="8"/>
      <c r="R5924" s="10" t="s">
        <v>1625</v>
      </c>
      <c r="S5924" s="11"/>
      <c r="T5924" s="6"/>
      <c r="U5924" s="15" t="str">
        <f>HYPERLINK("https://media.infra-m.ru/1844/1844454/cover/1844454.jpg", "Обложка")</f>
        <v>Обложка</v>
      </c>
      <c r="V5924" s="8"/>
      <c r="W5924" s="6"/>
      <c r="X5924" s="6"/>
      <c r="Y5924" s="6"/>
      <c r="Z5924" s="6"/>
      <c r="AA5924" s="6" t="s">
        <v>148</v>
      </c>
      <c r="AB5924" s="8"/>
      <c r="AC5924" s="27">
        <v>9785001561958</v>
      </c>
    </row>
    <row r="5925" spans="1:29" s="4" customFormat="1" ht="42" customHeight="1" x14ac:dyDescent="0.2">
      <c r="A5925" s="5">
        <v>0</v>
      </c>
      <c r="B5925" s="6" t="s">
        <v>33792</v>
      </c>
      <c r="C5925" s="7">
        <v>1432.8</v>
      </c>
      <c r="D5925" s="8" t="s">
        <v>33793</v>
      </c>
      <c r="E5925" s="8" t="s">
        <v>33794</v>
      </c>
      <c r="F5925" s="8" t="s">
        <v>31945</v>
      </c>
      <c r="G5925" s="6" t="s">
        <v>60</v>
      </c>
      <c r="H5925" s="6" t="s">
        <v>34</v>
      </c>
      <c r="I5925" s="8" t="s">
        <v>35</v>
      </c>
      <c r="J5925" s="9">
        <v>1</v>
      </c>
      <c r="K5925" s="9">
        <v>217</v>
      </c>
      <c r="L5925" s="9">
        <v>2026</v>
      </c>
      <c r="M5925" s="8" t="s">
        <v>33795</v>
      </c>
      <c r="N5925" s="8" t="s">
        <v>63</v>
      </c>
      <c r="O5925" s="8" t="s">
        <v>126</v>
      </c>
      <c r="P5925" s="6" t="s">
        <v>39</v>
      </c>
      <c r="Q5925" s="8" t="s">
        <v>40</v>
      </c>
      <c r="R5925" s="10" t="s">
        <v>33796</v>
      </c>
      <c r="S5925" s="11"/>
      <c r="T5925" s="6"/>
      <c r="U5925" s="15" t="str">
        <f>HYPERLINK("https://media.infra-m.ru/2232/2232681/cover/2232681.jpg", "Обложка")</f>
        <v>Обложка</v>
      </c>
      <c r="V5925" s="8" t="s">
        <v>31948</v>
      </c>
      <c r="W5925" s="6"/>
      <c r="X5925" s="6"/>
      <c r="Y5925" s="6"/>
      <c r="Z5925" s="6"/>
      <c r="AA5925" s="6" t="s">
        <v>76</v>
      </c>
      <c r="AB5925" s="8" t="s">
        <v>670</v>
      </c>
      <c r="AC5925" s="27">
        <v>9785160189352</v>
      </c>
    </row>
    <row r="5926" spans="1:29" s="4" customFormat="1" ht="42" customHeight="1" x14ac:dyDescent="0.2">
      <c r="A5926" s="5">
        <v>0</v>
      </c>
      <c r="B5926" s="6" t="s">
        <v>33797</v>
      </c>
      <c r="C5926" s="7">
        <v>1104</v>
      </c>
      <c r="D5926" s="8" t="s">
        <v>33798</v>
      </c>
      <c r="E5926" s="8" t="s">
        <v>33799</v>
      </c>
      <c r="F5926" s="8" t="s">
        <v>33800</v>
      </c>
      <c r="G5926" s="6" t="s">
        <v>118</v>
      </c>
      <c r="H5926" s="6" t="s">
        <v>134</v>
      </c>
      <c r="I5926" s="8"/>
      <c r="J5926" s="9">
        <v>1</v>
      </c>
      <c r="K5926" s="9">
        <v>192</v>
      </c>
      <c r="L5926" s="9">
        <v>2024</v>
      </c>
      <c r="M5926" s="8" t="s">
        <v>33801</v>
      </c>
      <c r="N5926" s="8" t="s">
        <v>37</v>
      </c>
      <c r="O5926" s="8" t="s">
        <v>136</v>
      </c>
      <c r="P5926" s="6" t="s">
        <v>39</v>
      </c>
      <c r="Q5926" s="8" t="s">
        <v>40</v>
      </c>
      <c r="R5926" s="10" t="s">
        <v>13607</v>
      </c>
      <c r="S5926" s="11"/>
      <c r="T5926" s="6"/>
      <c r="U5926" s="15" t="str">
        <f>HYPERLINK("https://media.infra-m.ru/2135/2135815/cover/2135815.jpg", "Обложка")</f>
        <v>Обложка</v>
      </c>
      <c r="V5926" s="8" t="s">
        <v>1184</v>
      </c>
      <c r="W5926" s="6"/>
      <c r="X5926" s="6"/>
      <c r="Y5926" s="6"/>
      <c r="Z5926" s="6"/>
      <c r="AA5926" s="6" t="s">
        <v>86</v>
      </c>
      <c r="AB5926" s="8"/>
      <c r="AC5926" s="27">
        <v>9785917688879</v>
      </c>
    </row>
    <row r="5927" spans="1:29" s="4" customFormat="1" ht="51.9" customHeight="1" x14ac:dyDescent="0.2">
      <c r="A5927" s="5">
        <v>0</v>
      </c>
      <c r="B5927" s="6" t="s">
        <v>33802</v>
      </c>
      <c r="C5927" s="13">
        <v>576</v>
      </c>
      <c r="D5927" s="8" t="s">
        <v>33803</v>
      </c>
      <c r="E5927" s="8" t="s">
        <v>33804</v>
      </c>
      <c r="F5927" s="8" t="s">
        <v>33805</v>
      </c>
      <c r="G5927" s="6" t="s">
        <v>33</v>
      </c>
      <c r="H5927" s="6" t="s">
        <v>34</v>
      </c>
      <c r="I5927" s="8" t="s">
        <v>253</v>
      </c>
      <c r="J5927" s="9">
        <v>1</v>
      </c>
      <c r="K5927" s="9">
        <v>104</v>
      </c>
      <c r="L5927" s="9">
        <v>2024</v>
      </c>
      <c r="M5927" s="8" t="s">
        <v>33806</v>
      </c>
      <c r="N5927" s="8" t="s">
        <v>585</v>
      </c>
      <c r="O5927" s="8" t="s">
        <v>775</v>
      </c>
      <c r="P5927" s="6" t="s">
        <v>51</v>
      </c>
      <c r="Q5927" s="8" t="s">
        <v>52</v>
      </c>
      <c r="R5927" s="10" t="s">
        <v>29422</v>
      </c>
      <c r="S5927" s="11" t="s">
        <v>33807</v>
      </c>
      <c r="T5927" s="6"/>
      <c r="U5927" s="15" t="str">
        <f>HYPERLINK("https://media.infra-m.ru/2099/2099069/cover/2099069.jpg", "Обложка")</f>
        <v>Обложка</v>
      </c>
      <c r="V5927" s="8" t="s">
        <v>13023</v>
      </c>
      <c r="W5927" s="6"/>
      <c r="X5927" s="6"/>
      <c r="Y5927" s="6"/>
      <c r="Z5927" s="6"/>
      <c r="AA5927" s="6" t="s">
        <v>779</v>
      </c>
      <c r="AB5927" s="8"/>
      <c r="AC5927" s="27">
        <v>9785160192383</v>
      </c>
    </row>
    <row r="5928" spans="1:29" s="4" customFormat="1" ht="51.9" customHeight="1" x14ac:dyDescent="0.2">
      <c r="A5928" s="5">
        <v>0</v>
      </c>
      <c r="B5928" s="6" t="s">
        <v>33808</v>
      </c>
      <c r="C5928" s="7">
        <v>1156.8</v>
      </c>
      <c r="D5928" s="8" t="s">
        <v>33809</v>
      </c>
      <c r="E5928" s="8" t="s">
        <v>33810</v>
      </c>
      <c r="F5928" s="8" t="s">
        <v>33811</v>
      </c>
      <c r="G5928" s="6" t="s">
        <v>33</v>
      </c>
      <c r="H5928" s="6" t="s">
        <v>48</v>
      </c>
      <c r="I5928" s="8"/>
      <c r="J5928" s="9">
        <v>1</v>
      </c>
      <c r="K5928" s="9">
        <v>176</v>
      </c>
      <c r="L5928" s="9">
        <v>2026</v>
      </c>
      <c r="M5928" s="8" t="s">
        <v>33812</v>
      </c>
      <c r="N5928" s="8" t="s">
        <v>63</v>
      </c>
      <c r="O5928" s="8" t="s">
        <v>154</v>
      </c>
      <c r="P5928" s="6" t="s">
        <v>39</v>
      </c>
      <c r="Q5928" s="8" t="s">
        <v>40</v>
      </c>
      <c r="R5928" s="10" t="s">
        <v>33813</v>
      </c>
      <c r="S5928" s="11"/>
      <c r="T5928" s="6"/>
      <c r="U5928" s="15" t="str">
        <f>HYPERLINK("https://media.infra-m.ru/2225/2225054/cover/2225054.jpg", "Обложка")</f>
        <v>Обложка</v>
      </c>
      <c r="V5928" s="8" t="s">
        <v>33814</v>
      </c>
      <c r="W5928" s="6"/>
      <c r="X5928" s="6"/>
      <c r="Y5928" s="6"/>
      <c r="Z5928" s="6"/>
      <c r="AA5928" s="6" t="s">
        <v>129</v>
      </c>
      <c r="AB5928" s="8"/>
      <c r="AC5928" s="27">
        <v>9785911345921</v>
      </c>
    </row>
    <row r="5929" spans="1:29" s="4" customFormat="1" ht="51.9" customHeight="1" x14ac:dyDescent="0.2">
      <c r="A5929" s="5">
        <v>0</v>
      </c>
      <c r="B5929" s="6" t="s">
        <v>33815</v>
      </c>
      <c r="C5929" s="7">
        <v>1380</v>
      </c>
      <c r="D5929" s="8" t="s">
        <v>33816</v>
      </c>
      <c r="E5929" s="8" t="s">
        <v>33817</v>
      </c>
      <c r="F5929" s="8" t="s">
        <v>12214</v>
      </c>
      <c r="G5929" s="6" t="s">
        <v>60</v>
      </c>
      <c r="H5929" s="6" t="s">
        <v>134</v>
      </c>
      <c r="I5929" s="8"/>
      <c r="J5929" s="9">
        <v>1</v>
      </c>
      <c r="K5929" s="9">
        <v>200</v>
      </c>
      <c r="L5929" s="9">
        <v>2026</v>
      </c>
      <c r="M5929" s="8" t="s">
        <v>33818</v>
      </c>
      <c r="N5929" s="8" t="s">
        <v>37</v>
      </c>
      <c r="O5929" s="8" t="s">
        <v>136</v>
      </c>
      <c r="P5929" s="6" t="s">
        <v>39</v>
      </c>
      <c r="Q5929" s="8" t="s">
        <v>40</v>
      </c>
      <c r="R5929" s="10" t="s">
        <v>676</v>
      </c>
      <c r="S5929" s="11"/>
      <c r="T5929" s="6"/>
      <c r="U5929" s="15" t="str">
        <f>HYPERLINK("https://media.infra-m.ru/2238/2238848/cover/2238848.jpg", "Обложка")</f>
        <v>Обложка</v>
      </c>
      <c r="V5929" s="8" t="s">
        <v>1069</v>
      </c>
      <c r="W5929" s="6" t="s">
        <v>528</v>
      </c>
      <c r="X5929" s="6"/>
      <c r="Y5929" s="6"/>
      <c r="Z5929" s="6"/>
      <c r="AA5929" s="6" t="s">
        <v>187</v>
      </c>
      <c r="AB5929" s="8"/>
      <c r="AC5929" s="27">
        <v>9785001564782</v>
      </c>
    </row>
    <row r="5930" spans="1:29" s="4" customFormat="1" ht="51.9" customHeight="1" x14ac:dyDescent="0.2">
      <c r="A5930" s="5">
        <v>0</v>
      </c>
      <c r="B5930" s="6" t="s">
        <v>33819</v>
      </c>
      <c r="C5930" s="7">
        <v>1128</v>
      </c>
      <c r="D5930" s="8" t="s">
        <v>33820</v>
      </c>
      <c r="E5930" s="8" t="s">
        <v>33821</v>
      </c>
      <c r="F5930" s="8" t="s">
        <v>33822</v>
      </c>
      <c r="G5930" s="6" t="s">
        <v>33</v>
      </c>
      <c r="H5930" s="6" t="s">
        <v>34</v>
      </c>
      <c r="I5930" s="8" t="s">
        <v>35</v>
      </c>
      <c r="J5930" s="9">
        <v>1</v>
      </c>
      <c r="K5930" s="9">
        <v>198</v>
      </c>
      <c r="L5930" s="9">
        <v>2022</v>
      </c>
      <c r="M5930" s="8" t="s">
        <v>33823</v>
      </c>
      <c r="N5930" s="8" t="s">
        <v>37</v>
      </c>
      <c r="O5930" s="8" t="s">
        <v>233</v>
      </c>
      <c r="P5930" s="6" t="s">
        <v>39</v>
      </c>
      <c r="Q5930" s="8" t="s">
        <v>40</v>
      </c>
      <c r="R5930" s="10" t="s">
        <v>33824</v>
      </c>
      <c r="S5930" s="11"/>
      <c r="T5930" s="6"/>
      <c r="U5930" s="15" t="str">
        <f>HYPERLINK("https://media.infra-m.ru/1870/1870593/cover/1870593.jpg", "Обложка")</f>
        <v>Обложка</v>
      </c>
      <c r="V5930" s="8" t="s">
        <v>9514</v>
      </c>
      <c r="W5930" s="6"/>
      <c r="X5930" s="6"/>
      <c r="Y5930" s="6"/>
      <c r="Z5930" s="6"/>
      <c r="AA5930" s="6" t="s">
        <v>148</v>
      </c>
      <c r="AB5930" s="8" t="s">
        <v>4423</v>
      </c>
      <c r="AC5930" s="27">
        <v>9785160177304</v>
      </c>
    </row>
    <row r="5931" spans="1:29" s="4" customFormat="1" ht="42" customHeight="1" x14ac:dyDescent="0.2">
      <c r="A5931" s="5">
        <v>0</v>
      </c>
      <c r="B5931" s="6" t="s">
        <v>33825</v>
      </c>
      <c r="C5931" s="7">
        <v>1864.8</v>
      </c>
      <c r="D5931" s="8" t="s">
        <v>33826</v>
      </c>
      <c r="E5931" s="8" t="s">
        <v>33827</v>
      </c>
      <c r="F5931" s="8" t="s">
        <v>33828</v>
      </c>
      <c r="G5931" s="6" t="s">
        <v>33</v>
      </c>
      <c r="H5931" s="6" t="s">
        <v>313</v>
      </c>
      <c r="I5931" s="8" t="s">
        <v>35</v>
      </c>
      <c r="J5931" s="9">
        <v>1</v>
      </c>
      <c r="K5931" s="9">
        <v>299</v>
      </c>
      <c r="L5931" s="9">
        <v>2025</v>
      </c>
      <c r="M5931" s="8" t="s">
        <v>33829</v>
      </c>
      <c r="N5931" s="8" t="s">
        <v>585</v>
      </c>
      <c r="O5931" s="8" t="s">
        <v>667</v>
      </c>
      <c r="P5931" s="6" t="s">
        <v>39</v>
      </c>
      <c r="Q5931" s="8" t="s">
        <v>40</v>
      </c>
      <c r="R5931" s="10" t="s">
        <v>9849</v>
      </c>
      <c r="S5931" s="11"/>
      <c r="T5931" s="6"/>
      <c r="U5931" s="15" t="str">
        <f>HYPERLINK("https://media.infra-m.ru/1894/1894491/cover/1894491.jpg", "Обложка")</f>
        <v>Обложка</v>
      </c>
      <c r="V5931" s="8"/>
      <c r="W5931" s="6"/>
      <c r="X5931" s="6"/>
      <c r="Y5931" s="6"/>
      <c r="Z5931" s="6"/>
      <c r="AA5931" s="6" t="s">
        <v>55</v>
      </c>
      <c r="AB5931" s="8"/>
      <c r="AC5931" s="27">
        <v>9785369012208</v>
      </c>
    </row>
    <row r="5932" spans="1:29" s="4" customFormat="1" ht="42" customHeight="1" x14ac:dyDescent="0.2">
      <c r="A5932" s="5">
        <v>0</v>
      </c>
      <c r="B5932" s="6" t="s">
        <v>33830</v>
      </c>
      <c r="C5932" s="13">
        <v>857.9</v>
      </c>
      <c r="D5932" s="8" t="s">
        <v>33831</v>
      </c>
      <c r="E5932" s="8" t="s">
        <v>33832</v>
      </c>
      <c r="F5932" s="8" t="s">
        <v>17033</v>
      </c>
      <c r="G5932" s="6" t="s">
        <v>60</v>
      </c>
      <c r="H5932" s="6" t="s">
        <v>34</v>
      </c>
      <c r="I5932" s="8" t="s">
        <v>1081</v>
      </c>
      <c r="J5932" s="9">
        <v>1</v>
      </c>
      <c r="K5932" s="9">
        <v>203</v>
      </c>
      <c r="L5932" s="9">
        <v>2020</v>
      </c>
      <c r="M5932" s="8" t="s">
        <v>33833</v>
      </c>
      <c r="N5932" s="8" t="s">
        <v>63</v>
      </c>
      <c r="O5932" s="8" t="s">
        <v>126</v>
      </c>
      <c r="P5932" s="6" t="s">
        <v>39</v>
      </c>
      <c r="Q5932" s="8" t="s">
        <v>40</v>
      </c>
      <c r="R5932" s="10" t="s">
        <v>9551</v>
      </c>
      <c r="S5932" s="11"/>
      <c r="T5932" s="6"/>
      <c r="U5932" s="15" t="str">
        <f>HYPERLINK("https://media.infra-m.ru/1045/1045746/cover/1045746.jpg", "Обложка")</f>
        <v>Обложка</v>
      </c>
      <c r="V5932" s="8" t="s">
        <v>1083</v>
      </c>
      <c r="W5932" s="6"/>
      <c r="X5932" s="6"/>
      <c r="Y5932" s="6"/>
      <c r="Z5932" s="6"/>
      <c r="AA5932" s="6" t="s">
        <v>11574</v>
      </c>
      <c r="AB5932" s="8"/>
      <c r="AC5932" s="27">
        <v>9785160132013</v>
      </c>
    </row>
    <row r="5933" spans="1:29" s="4" customFormat="1" ht="42" customHeight="1" x14ac:dyDescent="0.2">
      <c r="A5933" s="5">
        <v>0</v>
      </c>
      <c r="B5933" s="6" t="s">
        <v>33834</v>
      </c>
      <c r="C5933" s="7">
        <v>2328</v>
      </c>
      <c r="D5933" s="8" t="s">
        <v>33835</v>
      </c>
      <c r="E5933" s="8" t="s">
        <v>33836</v>
      </c>
      <c r="F5933" s="8" t="s">
        <v>33837</v>
      </c>
      <c r="G5933" s="6" t="s">
        <v>33</v>
      </c>
      <c r="H5933" s="6" t="s">
        <v>34</v>
      </c>
      <c r="I5933" s="8" t="s">
        <v>35</v>
      </c>
      <c r="J5933" s="9">
        <v>1</v>
      </c>
      <c r="K5933" s="9">
        <v>421</v>
      </c>
      <c r="L5933" s="9">
        <v>2023</v>
      </c>
      <c r="M5933" s="8" t="s">
        <v>33838</v>
      </c>
      <c r="N5933" s="8" t="s">
        <v>585</v>
      </c>
      <c r="O5933" s="8" t="s">
        <v>775</v>
      </c>
      <c r="P5933" s="6" t="s">
        <v>39</v>
      </c>
      <c r="Q5933" s="8" t="s">
        <v>40</v>
      </c>
      <c r="R5933" s="10" t="s">
        <v>33839</v>
      </c>
      <c r="S5933" s="11"/>
      <c r="T5933" s="6"/>
      <c r="U5933" s="15" t="str">
        <f>HYPERLINK("https://media.infra-m.ru/2023/2023195/cover/2023195.jpg", "Обложка")</f>
        <v>Обложка</v>
      </c>
      <c r="V5933" s="8" t="s">
        <v>227</v>
      </c>
      <c r="W5933" s="6"/>
      <c r="X5933" s="6"/>
      <c r="Y5933" s="6"/>
      <c r="Z5933" s="6"/>
      <c r="AA5933" s="6" t="s">
        <v>148</v>
      </c>
      <c r="AB5933" s="8"/>
      <c r="AC5933" s="27">
        <v>9785160165967</v>
      </c>
    </row>
    <row r="5934" spans="1:29" s="4" customFormat="1" ht="51.9" customHeight="1" x14ac:dyDescent="0.2">
      <c r="A5934" s="5">
        <v>0</v>
      </c>
      <c r="B5934" s="6" t="s">
        <v>33840</v>
      </c>
      <c r="C5934" s="7">
        <v>1168.8</v>
      </c>
      <c r="D5934" s="8" t="s">
        <v>33841</v>
      </c>
      <c r="E5934" s="8" t="s">
        <v>33842</v>
      </c>
      <c r="F5934" s="8" t="s">
        <v>22168</v>
      </c>
      <c r="G5934" s="6" t="s">
        <v>118</v>
      </c>
      <c r="H5934" s="6" t="s">
        <v>34</v>
      </c>
      <c r="I5934" s="8" t="s">
        <v>35</v>
      </c>
      <c r="J5934" s="9">
        <v>1</v>
      </c>
      <c r="K5934" s="9">
        <v>207</v>
      </c>
      <c r="L5934" s="9">
        <v>2024</v>
      </c>
      <c r="M5934" s="8" t="s">
        <v>33843</v>
      </c>
      <c r="N5934" s="8" t="s">
        <v>585</v>
      </c>
      <c r="O5934" s="8" t="s">
        <v>775</v>
      </c>
      <c r="P5934" s="6" t="s">
        <v>39</v>
      </c>
      <c r="Q5934" s="8" t="s">
        <v>749</v>
      </c>
      <c r="R5934" s="10" t="s">
        <v>33844</v>
      </c>
      <c r="S5934" s="11"/>
      <c r="T5934" s="6"/>
      <c r="U5934" s="15" t="str">
        <f>HYPERLINK("https://media.infra-m.ru/2136/2136022/cover/2136022.jpg", "Обложка")</f>
        <v>Обложка</v>
      </c>
      <c r="V5934" s="8" t="s">
        <v>7429</v>
      </c>
      <c r="W5934" s="6"/>
      <c r="X5934" s="6"/>
      <c r="Y5934" s="6"/>
      <c r="Z5934" s="6"/>
      <c r="AA5934" s="6" t="s">
        <v>33845</v>
      </c>
      <c r="AB5934" s="8"/>
      <c r="AC5934" s="27">
        <v>9785160111902</v>
      </c>
    </row>
    <row r="5935" spans="1:29" s="4" customFormat="1" ht="51.9" customHeight="1" x14ac:dyDescent="0.2">
      <c r="A5935" s="5">
        <v>0</v>
      </c>
      <c r="B5935" s="6" t="s">
        <v>33846</v>
      </c>
      <c r="C5935" s="7">
        <v>1452</v>
      </c>
      <c r="D5935" s="8" t="s">
        <v>33847</v>
      </c>
      <c r="E5935" s="8" t="s">
        <v>33842</v>
      </c>
      <c r="F5935" s="8" t="s">
        <v>22168</v>
      </c>
      <c r="G5935" s="6" t="s">
        <v>33</v>
      </c>
      <c r="H5935" s="6" t="s">
        <v>34</v>
      </c>
      <c r="I5935" s="8" t="s">
        <v>35</v>
      </c>
      <c r="J5935" s="9">
        <v>1</v>
      </c>
      <c r="K5935" s="9">
        <v>207</v>
      </c>
      <c r="L5935" s="9">
        <v>2027</v>
      </c>
      <c r="M5935" s="8" t="s">
        <v>33848</v>
      </c>
      <c r="N5935" s="8" t="s">
        <v>585</v>
      </c>
      <c r="O5935" s="8" t="s">
        <v>775</v>
      </c>
      <c r="P5935" s="6" t="s">
        <v>39</v>
      </c>
      <c r="Q5935" s="8" t="s">
        <v>749</v>
      </c>
      <c r="R5935" s="10" t="s">
        <v>33844</v>
      </c>
      <c r="S5935" s="11"/>
      <c r="T5935" s="6"/>
      <c r="U5935" s="15" t="str">
        <f>HYPERLINK("https://media.infra-m.ru/2271/2271615/cover/2271615.jpg", "Обложка")</f>
        <v>Обложка</v>
      </c>
      <c r="V5935" s="8" t="s">
        <v>7429</v>
      </c>
      <c r="W5935" s="6"/>
      <c r="X5935" s="6"/>
      <c r="Y5935" s="6"/>
      <c r="Z5935" s="6"/>
      <c r="AA5935" s="6" t="s">
        <v>33845</v>
      </c>
      <c r="AB5935" s="8"/>
      <c r="AC5935" s="27">
        <v>9785160225173</v>
      </c>
    </row>
    <row r="5936" spans="1:29" s="4" customFormat="1" ht="51.9" customHeight="1" x14ac:dyDescent="0.2">
      <c r="A5936" s="5">
        <v>0</v>
      </c>
      <c r="B5936" s="6" t="s">
        <v>33849</v>
      </c>
      <c r="C5936" s="7">
        <v>1397.9</v>
      </c>
      <c r="D5936" s="8" t="s">
        <v>33850</v>
      </c>
      <c r="E5936" s="8" t="s">
        <v>33851</v>
      </c>
      <c r="F5936" s="8" t="s">
        <v>33852</v>
      </c>
      <c r="G5936" s="6" t="s">
        <v>60</v>
      </c>
      <c r="H5936" s="6" t="s">
        <v>34</v>
      </c>
      <c r="I5936" s="8" t="s">
        <v>271</v>
      </c>
      <c r="J5936" s="9">
        <v>1</v>
      </c>
      <c r="K5936" s="9">
        <v>259</v>
      </c>
      <c r="L5936" s="9">
        <v>2023</v>
      </c>
      <c r="M5936" s="8" t="s">
        <v>33853</v>
      </c>
      <c r="N5936" s="8" t="s">
        <v>243</v>
      </c>
      <c r="O5936" s="8" t="s">
        <v>385</v>
      </c>
      <c r="P5936" s="6" t="s">
        <v>51</v>
      </c>
      <c r="Q5936" s="8" t="s">
        <v>52</v>
      </c>
      <c r="R5936" s="10" t="s">
        <v>33854</v>
      </c>
      <c r="S5936" s="11"/>
      <c r="T5936" s="6"/>
      <c r="U5936" s="15" t="str">
        <f>HYPERLINK("https://media.infra-m.ru/1981/1981665/cover/1981665.jpg", "Обложка")</f>
        <v>Обложка</v>
      </c>
      <c r="V5936" s="8" t="s">
        <v>6147</v>
      </c>
      <c r="W5936" s="6"/>
      <c r="X5936" s="6"/>
      <c r="Y5936" s="6"/>
      <c r="Z5936" s="6"/>
      <c r="AA5936" s="6" t="s">
        <v>248</v>
      </c>
      <c r="AB5936" s="8"/>
      <c r="AC5936" s="27">
        <v>9785160090443</v>
      </c>
    </row>
    <row r="5937" spans="1:29" s="4" customFormat="1" ht="51.9" customHeight="1" x14ac:dyDescent="0.2">
      <c r="A5937" s="5">
        <v>0</v>
      </c>
      <c r="B5937" s="6" t="s">
        <v>33855</v>
      </c>
      <c r="C5937" s="7">
        <v>1060.8</v>
      </c>
      <c r="D5937" s="8" t="s">
        <v>33856</v>
      </c>
      <c r="E5937" s="8" t="s">
        <v>33857</v>
      </c>
      <c r="F5937" s="8" t="s">
        <v>28286</v>
      </c>
      <c r="G5937" s="6" t="s">
        <v>60</v>
      </c>
      <c r="H5937" s="6" t="s">
        <v>34</v>
      </c>
      <c r="I5937" s="8" t="s">
        <v>271</v>
      </c>
      <c r="J5937" s="9">
        <v>1</v>
      </c>
      <c r="K5937" s="9">
        <v>192</v>
      </c>
      <c r="L5937" s="9">
        <v>2023</v>
      </c>
      <c r="M5937" s="8" t="s">
        <v>33858</v>
      </c>
      <c r="N5937" s="8" t="s">
        <v>243</v>
      </c>
      <c r="O5937" s="8" t="s">
        <v>758</v>
      </c>
      <c r="P5937" s="6" t="s">
        <v>51</v>
      </c>
      <c r="Q5937" s="8" t="s">
        <v>52</v>
      </c>
      <c r="R5937" s="10" t="s">
        <v>33859</v>
      </c>
      <c r="S5937" s="11" t="s">
        <v>33860</v>
      </c>
      <c r="T5937" s="6"/>
      <c r="U5937" s="15" t="str">
        <f>HYPERLINK("https://media.infra-m.ru/1981/1981677/cover/1981677.jpg", "Обложка")</f>
        <v>Обложка</v>
      </c>
      <c r="V5937" s="8" t="s">
        <v>28290</v>
      </c>
      <c r="W5937" s="6"/>
      <c r="X5937" s="6" t="s">
        <v>24</v>
      </c>
      <c r="Y5937" s="6"/>
      <c r="Z5937" s="6"/>
      <c r="AA5937" s="6" t="s">
        <v>248</v>
      </c>
      <c r="AB5937" s="8"/>
      <c r="AC5937" s="27">
        <v>9785160067490</v>
      </c>
    </row>
    <row r="5938" spans="1:29" s="4" customFormat="1" ht="51.9" customHeight="1" x14ac:dyDescent="0.2">
      <c r="A5938" s="5">
        <v>0</v>
      </c>
      <c r="B5938" s="6" t="s">
        <v>33861</v>
      </c>
      <c r="C5938" s="7">
        <v>1000.8</v>
      </c>
      <c r="D5938" s="8" t="s">
        <v>33862</v>
      </c>
      <c r="E5938" s="8" t="s">
        <v>33863</v>
      </c>
      <c r="F5938" s="8" t="s">
        <v>33864</v>
      </c>
      <c r="G5938" s="6" t="s">
        <v>21</v>
      </c>
      <c r="H5938" s="6" t="s">
        <v>134</v>
      </c>
      <c r="I5938" s="8"/>
      <c r="J5938" s="9">
        <v>1</v>
      </c>
      <c r="K5938" s="9">
        <v>160</v>
      </c>
      <c r="L5938" s="9">
        <v>2025</v>
      </c>
      <c r="M5938" s="8" t="s">
        <v>33865</v>
      </c>
      <c r="N5938" s="8" t="s">
        <v>37</v>
      </c>
      <c r="O5938" s="8" t="s">
        <v>136</v>
      </c>
      <c r="P5938" s="6" t="s">
        <v>39</v>
      </c>
      <c r="Q5938" s="8" t="s">
        <v>749</v>
      </c>
      <c r="R5938" s="10" t="s">
        <v>33866</v>
      </c>
      <c r="S5938" s="11"/>
      <c r="T5938" s="6"/>
      <c r="U5938" s="15" t="str">
        <f>HYPERLINK("https://media.infra-m.ru/2184/2184903/cover/2184903.jpg", "Обложка")</f>
        <v>Обложка</v>
      </c>
      <c r="V5938" s="8" t="s">
        <v>1184</v>
      </c>
      <c r="W5938" s="6"/>
      <c r="X5938" s="6"/>
      <c r="Y5938" s="6"/>
      <c r="Z5938" s="6"/>
      <c r="AA5938" s="6" t="s">
        <v>248</v>
      </c>
      <c r="AB5938" s="8"/>
      <c r="AC5938" s="27">
        <v>9785917684574</v>
      </c>
    </row>
    <row r="5939" spans="1:29" s="4" customFormat="1" ht="42" customHeight="1" x14ac:dyDescent="0.2">
      <c r="A5939" s="5">
        <v>0</v>
      </c>
      <c r="B5939" s="6" t="s">
        <v>33867</v>
      </c>
      <c r="C5939" s="7">
        <v>2172</v>
      </c>
      <c r="D5939" s="8" t="s">
        <v>33868</v>
      </c>
      <c r="E5939" s="8" t="s">
        <v>33869</v>
      </c>
      <c r="F5939" s="8" t="s">
        <v>33870</v>
      </c>
      <c r="G5939" s="6" t="s">
        <v>33</v>
      </c>
      <c r="H5939" s="6" t="s">
        <v>313</v>
      </c>
      <c r="I5939" s="8" t="s">
        <v>35</v>
      </c>
      <c r="J5939" s="9">
        <v>1</v>
      </c>
      <c r="K5939" s="9">
        <v>311</v>
      </c>
      <c r="L5939" s="9">
        <v>2026</v>
      </c>
      <c r="M5939" s="8" t="s">
        <v>33871</v>
      </c>
      <c r="N5939" s="8" t="s">
        <v>37</v>
      </c>
      <c r="O5939" s="8" t="s">
        <v>136</v>
      </c>
      <c r="P5939" s="6" t="s">
        <v>39</v>
      </c>
      <c r="Q5939" s="8" t="s">
        <v>40</v>
      </c>
      <c r="R5939" s="10" t="s">
        <v>23283</v>
      </c>
      <c r="S5939" s="11"/>
      <c r="T5939" s="6"/>
      <c r="U5939" s="15" t="str">
        <f>HYPERLINK("https://media.infra-m.ru/2251/2251195/cover/2251195.jpg", "Обложка")</f>
        <v>Обложка</v>
      </c>
      <c r="V5939" s="8" t="s">
        <v>1184</v>
      </c>
      <c r="W5939" s="6" t="s">
        <v>9380</v>
      </c>
      <c r="X5939" s="6"/>
      <c r="Y5939" s="6"/>
      <c r="Z5939" s="6"/>
      <c r="AA5939" s="6" t="s">
        <v>187</v>
      </c>
      <c r="AB5939" s="8"/>
      <c r="AC5939" s="27">
        <v>9785369030158</v>
      </c>
    </row>
    <row r="5940" spans="1:29" s="4" customFormat="1" ht="42" customHeight="1" x14ac:dyDescent="0.2">
      <c r="A5940" s="5">
        <v>0</v>
      </c>
      <c r="B5940" s="6" t="s">
        <v>33872</v>
      </c>
      <c r="C5940" s="7">
        <v>1228.8</v>
      </c>
      <c r="D5940" s="8" t="s">
        <v>33873</v>
      </c>
      <c r="E5940" s="8" t="s">
        <v>33874</v>
      </c>
      <c r="F5940" s="8" t="s">
        <v>4951</v>
      </c>
      <c r="G5940" s="6" t="s">
        <v>118</v>
      </c>
      <c r="H5940" s="6" t="s">
        <v>134</v>
      </c>
      <c r="I5940" s="8"/>
      <c r="J5940" s="9">
        <v>1</v>
      </c>
      <c r="K5940" s="9">
        <v>176</v>
      </c>
      <c r="L5940" s="9">
        <v>2026</v>
      </c>
      <c r="M5940" s="8" t="s">
        <v>33875</v>
      </c>
      <c r="N5940" s="8" t="s">
        <v>37</v>
      </c>
      <c r="O5940" s="8" t="s">
        <v>136</v>
      </c>
      <c r="P5940" s="6" t="s">
        <v>39</v>
      </c>
      <c r="Q5940" s="8" t="s">
        <v>40</v>
      </c>
      <c r="R5940" s="10" t="s">
        <v>33876</v>
      </c>
      <c r="S5940" s="11"/>
      <c r="T5940" s="6"/>
      <c r="U5940" s="15" t="str">
        <f>HYPERLINK("https://media.infra-m.ru/2244/2244432/cover/2244432.jpg", "Обложка")</f>
        <v>Обложка</v>
      </c>
      <c r="V5940" s="8" t="s">
        <v>1184</v>
      </c>
      <c r="W5940" s="6"/>
      <c r="X5940" s="6"/>
      <c r="Y5940" s="6"/>
      <c r="Z5940" s="6"/>
      <c r="AA5940" s="6" t="s">
        <v>115</v>
      </c>
      <c r="AB5940" s="8"/>
      <c r="AC5940" s="27">
        <v>9785917689760</v>
      </c>
    </row>
    <row r="5941" spans="1:29" s="4" customFormat="1" ht="44.1" customHeight="1" x14ac:dyDescent="0.2">
      <c r="A5941" s="5">
        <v>0</v>
      </c>
      <c r="B5941" s="6" t="s">
        <v>33877</v>
      </c>
      <c r="C5941" s="7">
        <v>1896</v>
      </c>
      <c r="D5941" s="8" t="s">
        <v>33878</v>
      </c>
      <c r="E5941" s="8" t="s">
        <v>33879</v>
      </c>
      <c r="F5941" s="8" t="s">
        <v>33880</v>
      </c>
      <c r="G5941" s="6" t="s">
        <v>118</v>
      </c>
      <c r="H5941" s="6" t="s">
        <v>134</v>
      </c>
      <c r="I5941" s="8"/>
      <c r="J5941" s="9">
        <v>1</v>
      </c>
      <c r="K5941" s="9">
        <v>272</v>
      </c>
      <c r="L5941" s="9">
        <v>2026</v>
      </c>
      <c r="M5941" s="8" t="s">
        <v>33881</v>
      </c>
      <c r="N5941" s="8" t="s">
        <v>37</v>
      </c>
      <c r="O5941" s="8" t="s">
        <v>136</v>
      </c>
      <c r="P5941" s="6" t="s">
        <v>39</v>
      </c>
      <c r="Q5941" s="8" t="s">
        <v>749</v>
      </c>
      <c r="R5941" s="10" t="s">
        <v>6065</v>
      </c>
      <c r="S5941" s="11"/>
      <c r="T5941" s="6"/>
      <c r="U5941" s="15" t="str">
        <f>HYPERLINK("https://media.infra-m.ru/2249/2249256/cover/2249256.jpg", "Обложка")</f>
        <v>Обложка</v>
      </c>
      <c r="V5941" s="8" t="s">
        <v>1184</v>
      </c>
      <c r="W5941" s="6"/>
      <c r="X5941" s="6"/>
      <c r="Y5941" s="6"/>
      <c r="Z5941" s="6"/>
      <c r="AA5941" s="6" t="s">
        <v>106</v>
      </c>
      <c r="AB5941" s="8"/>
      <c r="AC5941" s="27">
        <v>9785001563648</v>
      </c>
    </row>
    <row r="5942" spans="1:29" s="4" customFormat="1" ht="44.1" customHeight="1" x14ac:dyDescent="0.2">
      <c r="A5942" s="5">
        <v>0</v>
      </c>
      <c r="B5942" s="6" t="s">
        <v>33882</v>
      </c>
      <c r="C5942" s="7">
        <v>1380</v>
      </c>
      <c r="D5942" s="8" t="s">
        <v>33883</v>
      </c>
      <c r="E5942" s="8" t="s">
        <v>33884</v>
      </c>
      <c r="F5942" s="8" t="s">
        <v>33880</v>
      </c>
      <c r="G5942" s="6" t="s">
        <v>33</v>
      </c>
      <c r="H5942" s="6" t="s">
        <v>134</v>
      </c>
      <c r="I5942" s="8"/>
      <c r="J5942" s="9">
        <v>1</v>
      </c>
      <c r="K5942" s="9">
        <v>256</v>
      </c>
      <c r="L5942" s="9">
        <v>2023</v>
      </c>
      <c r="M5942" s="8" t="s">
        <v>33885</v>
      </c>
      <c r="N5942" s="8" t="s">
        <v>37</v>
      </c>
      <c r="O5942" s="8" t="s">
        <v>136</v>
      </c>
      <c r="P5942" s="6" t="s">
        <v>39</v>
      </c>
      <c r="Q5942" s="8" t="s">
        <v>749</v>
      </c>
      <c r="R5942" s="10" t="s">
        <v>6065</v>
      </c>
      <c r="S5942" s="11"/>
      <c r="T5942" s="6"/>
      <c r="U5942" s="15" t="str">
        <f>HYPERLINK("https://media.infra-m.ru/1986/1986693/cover/1986693.jpg", "Обложка")</f>
        <v>Обложка</v>
      </c>
      <c r="V5942" s="8" t="s">
        <v>1184</v>
      </c>
      <c r="W5942" s="6"/>
      <c r="X5942" s="6"/>
      <c r="Y5942" s="6"/>
      <c r="Z5942" s="6"/>
      <c r="AA5942" s="6" t="s">
        <v>274</v>
      </c>
      <c r="AB5942" s="8"/>
      <c r="AC5942" s="27">
        <v>9785917686066</v>
      </c>
    </row>
    <row r="5943" spans="1:29" s="4" customFormat="1" ht="42" customHeight="1" x14ac:dyDescent="0.2">
      <c r="A5943" s="5">
        <v>0</v>
      </c>
      <c r="B5943" s="6" t="s">
        <v>33886</v>
      </c>
      <c r="C5943" s="7">
        <v>1732.8</v>
      </c>
      <c r="D5943" s="8" t="s">
        <v>33887</v>
      </c>
      <c r="E5943" s="8" t="s">
        <v>33888</v>
      </c>
      <c r="F5943" s="8" t="s">
        <v>4951</v>
      </c>
      <c r="G5943" s="6" t="s">
        <v>118</v>
      </c>
      <c r="H5943" s="6" t="s">
        <v>134</v>
      </c>
      <c r="I5943" s="8"/>
      <c r="J5943" s="9">
        <v>1</v>
      </c>
      <c r="K5943" s="9">
        <v>288</v>
      </c>
      <c r="L5943" s="9">
        <v>2025</v>
      </c>
      <c r="M5943" s="8" t="s">
        <v>33889</v>
      </c>
      <c r="N5943" s="8" t="s">
        <v>37</v>
      </c>
      <c r="O5943" s="8" t="s">
        <v>136</v>
      </c>
      <c r="P5943" s="6" t="s">
        <v>39</v>
      </c>
      <c r="Q5943" s="8" t="s">
        <v>40</v>
      </c>
      <c r="R5943" s="10" t="s">
        <v>9577</v>
      </c>
      <c r="S5943" s="11"/>
      <c r="T5943" s="6"/>
      <c r="U5943" s="15" t="str">
        <f>HYPERLINK("https://media.infra-m.ru/2170/2170337/cover/2170337.jpg", "Обложка")</f>
        <v>Обложка</v>
      </c>
      <c r="V5943" s="8" t="s">
        <v>1184</v>
      </c>
      <c r="W5943" s="6"/>
      <c r="X5943" s="6"/>
      <c r="Y5943" s="6"/>
      <c r="Z5943" s="6"/>
      <c r="AA5943" s="6" t="s">
        <v>99</v>
      </c>
      <c r="AB5943" s="8"/>
      <c r="AC5943" s="27">
        <v>9785917687759</v>
      </c>
    </row>
    <row r="5944" spans="1:29" s="4" customFormat="1" ht="42" customHeight="1" x14ac:dyDescent="0.2">
      <c r="A5944" s="5">
        <v>0</v>
      </c>
      <c r="B5944" s="6" t="s">
        <v>33890</v>
      </c>
      <c r="C5944" s="13">
        <v>876</v>
      </c>
      <c r="D5944" s="8" t="s">
        <v>33891</v>
      </c>
      <c r="E5944" s="8" t="s">
        <v>33892</v>
      </c>
      <c r="F5944" s="8" t="s">
        <v>33893</v>
      </c>
      <c r="G5944" s="6" t="s">
        <v>33</v>
      </c>
      <c r="H5944" s="6" t="s">
        <v>134</v>
      </c>
      <c r="I5944" s="8"/>
      <c r="J5944" s="9">
        <v>1</v>
      </c>
      <c r="K5944" s="9">
        <v>128</v>
      </c>
      <c r="L5944" s="9">
        <v>2025</v>
      </c>
      <c r="M5944" s="8" t="s">
        <v>33894</v>
      </c>
      <c r="N5944" s="8" t="s">
        <v>37</v>
      </c>
      <c r="O5944" s="8" t="s">
        <v>136</v>
      </c>
      <c r="P5944" s="6" t="s">
        <v>39</v>
      </c>
      <c r="Q5944" s="8" t="s">
        <v>40</v>
      </c>
      <c r="R5944" s="10" t="s">
        <v>8485</v>
      </c>
      <c r="S5944" s="11"/>
      <c r="T5944" s="6"/>
      <c r="U5944" s="15" t="str">
        <f>HYPERLINK("https://media.infra-m.ru/2217/2217133/cover/2217133.jpg", "Обложка")</f>
        <v>Обложка</v>
      </c>
      <c r="V5944" s="8" t="s">
        <v>1184</v>
      </c>
      <c r="W5944" s="6"/>
      <c r="X5944" s="6"/>
      <c r="Y5944" s="6"/>
      <c r="Z5944" s="6"/>
      <c r="AA5944" s="6" t="s">
        <v>129</v>
      </c>
      <c r="AB5944" s="8"/>
      <c r="AC5944" s="27">
        <v>9785917681764</v>
      </c>
    </row>
    <row r="5945" spans="1:29" s="4" customFormat="1" ht="42" customHeight="1" x14ac:dyDescent="0.2">
      <c r="A5945" s="5">
        <v>0</v>
      </c>
      <c r="B5945" s="6" t="s">
        <v>33895</v>
      </c>
      <c r="C5945" s="7">
        <v>1728</v>
      </c>
      <c r="D5945" s="8" t="s">
        <v>33896</v>
      </c>
      <c r="E5945" s="8" t="s">
        <v>33897</v>
      </c>
      <c r="F5945" s="8" t="s">
        <v>33898</v>
      </c>
      <c r="G5945" s="6" t="s">
        <v>33</v>
      </c>
      <c r="H5945" s="6" t="s">
        <v>34</v>
      </c>
      <c r="I5945" s="8" t="s">
        <v>1081</v>
      </c>
      <c r="J5945" s="9">
        <v>1</v>
      </c>
      <c r="K5945" s="9">
        <v>261</v>
      </c>
      <c r="L5945" s="9">
        <v>2026</v>
      </c>
      <c r="M5945" s="8" t="s">
        <v>33899</v>
      </c>
      <c r="N5945" s="8" t="s">
        <v>37</v>
      </c>
      <c r="O5945" s="8" t="s">
        <v>50</v>
      </c>
      <c r="P5945" s="6" t="s">
        <v>39</v>
      </c>
      <c r="Q5945" s="8" t="s">
        <v>40</v>
      </c>
      <c r="R5945" s="10" t="s">
        <v>33900</v>
      </c>
      <c r="S5945" s="11"/>
      <c r="T5945" s="6"/>
      <c r="U5945" s="15" t="str">
        <f>HYPERLINK("https://media.infra-m.ru/2226/2226511/cover/2226511.jpg", "Обложка")</f>
        <v>Обложка</v>
      </c>
      <c r="V5945" s="8" t="s">
        <v>1083</v>
      </c>
      <c r="W5945" s="6"/>
      <c r="X5945" s="6"/>
      <c r="Y5945" s="6"/>
      <c r="Z5945" s="6"/>
      <c r="AA5945" s="6" t="s">
        <v>1256</v>
      </c>
      <c r="AB5945" s="8"/>
      <c r="AC5945" s="27">
        <v>9785160175850</v>
      </c>
    </row>
    <row r="5946" spans="1:29" s="4" customFormat="1" ht="42" customHeight="1" x14ac:dyDescent="0.2">
      <c r="A5946" s="5">
        <v>0</v>
      </c>
      <c r="B5946" s="6" t="s">
        <v>33901</v>
      </c>
      <c r="C5946" s="7">
        <v>1480.8</v>
      </c>
      <c r="D5946" s="8" t="s">
        <v>33902</v>
      </c>
      <c r="E5946" s="8" t="s">
        <v>33897</v>
      </c>
      <c r="F5946" s="8" t="s">
        <v>33898</v>
      </c>
      <c r="G5946" s="6" t="s">
        <v>60</v>
      </c>
      <c r="H5946" s="6" t="s">
        <v>34</v>
      </c>
      <c r="I5946" s="8" t="s">
        <v>1081</v>
      </c>
      <c r="J5946" s="9">
        <v>1</v>
      </c>
      <c r="K5946" s="9">
        <v>261</v>
      </c>
      <c r="L5946" s="9">
        <v>2024</v>
      </c>
      <c r="M5946" s="8" t="s">
        <v>33903</v>
      </c>
      <c r="N5946" s="8" t="s">
        <v>37</v>
      </c>
      <c r="O5946" s="8" t="s">
        <v>50</v>
      </c>
      <c r="P5946" s="6" t="s">
        <v>39</v>
      </c>
      <c r="Q5946" s="8" t="s">
        <v>40</v>
      </c>
      <c r="R5946" s="10" t="s">
        <v>33900</v>
      </c>
      <c r="S5946" s="11"/>
      <c r="T5946" s="6"/>
      <c r="U5946" s="15" t="str">
        <f>HYPERLINK("https://media.infra-m.ru/2101/2101612/cover/2101612.jpg", "Обложка")</f>
        <v>Обложка</v>
      </c>
      <c r="V5946" s="8" t="s">
        <v>1083</v>
      </c>
      <c r="W5946" s="6"/>
      <c r="X5946" s="6"/>
      <c r="Y5946" s="6"/>
      <c r="Z5946" s="6"/>
      <c r="AA5946" s="6" t="s">
        <v>1256</v>
      </c>
      <c r="AB5946" s="8"/>
      <c r="AC5946" s="27">
        <v>9785160163819</v>
      </c>
    </row>
    <row r="5947" spans="1:29" s="4" customFormat="1" ht="42" customHeight="1" x14ac:dyDescent="0.2">
      <c r="A5947" s="5">
        <v>0</v>
      </c>
      <c r="B5947" s="6" t="s">
        <v>33904</v>
      </c>
      <c r="C5947" s="7">
        <v>1188</v>
      </c>
      <c r="D5947" s="8" t="s">
        <v>33905</v>
      </c>
      <c r="E5947" s="8" t="s">
        <v>33906</v>
      </c>
      <c r="F5947" s="8" t="s">
        <v>32998</v>
      </c>
      <c r="G5947" s="6" t="s">
        <v>118</v>
      </c>
      <c r="H5947" s="6" t="s">
        <v>134</v>
      </c>
      <c r="I5947" s="8"/>
      <c r="J5947" s="9">
        <v>1</v>
      </c>
      <c r="K5947" s="9">
        <v>184</v>
      </c>
      <c r="L5947" s="9">
        <v>2025</v>
      </c>
      <c r="M5947" s="8" t="s">
        <v>33907</v>
      </c>
      <c r="N5947" s="8" t="s">
        <v>37</v>
      </c>
      <c r="O5947" s="8" t="s">
        <v>136</v>
      </c>
      <c r="P5947" s="6" t="s">
        <v>39</v>
      </c>
      <c r="Q5947" s="8" t="s">
        <v>40</v>
      </c>
      <c r="R5947" s="10" t="s">
        <v>1255</v>
      </c>
      <c r="S5947" s="11"/>
      <c r="T5947" s="6"/>
      <c r="U5947" s="15" t="str">
        <f>HYPERLINK("https://media.infra-m.ru/2205/2205237/cover/2205237.jpg", "Обложка")</f>
        <v>Обложка</v>
      </c>
      <c r="V5947" s="8" t="s">
        <v>138</v>
      </c>
      <c r="W5947" s="6"/>
      <c r="X5947" s="6"/>
      <c r="Y5947" s="6"/>
      <c r="Z5947" s="6"/>
      <c r="AA5947" s="6" t="s">
        <v>86</v>
      </c>
      <c r="AB5947" s="8"/>
      <c r="AC5947" s="27">
        <v>9785917685601</v>
      </c>
    </row>
    <row r="5948" spans="1:29" s="4" customFormat="1" ht="51.9" customHeight="1" x14ac:dyDescent="0.2">
      <c r="A5948" s="5">
        <v>0</v>
      </c>
      <c r="B5948" s="6" t="s">
        <v>33908</v>
      </c>
      <c r="C5948" s="7">
        <v>1348.8</v>
      </c>
      <c r="D5948" s="8" t="s">
        <v>33909</v>
      </c>
      <c r="E5948" s="8" t="s">
        <v>33910</v>
      </c>
      <c r="F5948" s="8" t="s">
        <v>33911</v>
      </c>
      <c r="G5948" s="6" t="s">
        <v>33</v>
      </c>
      <c r="H5948" s="6" t="s">
        <v>34</v>
      </c>
      <c r="I5948" s="8" t="s">
        <v>35</v>
      </c>
      <c r="J5948" s="9">
        <v>1</v>
      </c>
      <c r="K5948" s="9">
        <v>204</v>
      </c>
      <c r="L5948" s="9">
        <v>2026</v>
      </c>
      <c r="M5948" s="8" t="s">
        <v>33912</v>
      </c>
      <c r="N5948" s="8" t="s">
        <v>37</v>
      </c>
      <c r="O5948" s="8" t="s">
        <v>136</v>
      </c>
      <c r="P5948" s="6" t="s">
        <v>39</v>
      </c>
      <c r="Q5948" s="8" t="s">
        <v>40</v>
      </c>
      <c r="R5948" s="10" t="s">
        <v>33913</v>
      </c>
      <c r="S5948" s="11"/>
      <c r="T5948" s="6"/>
      <c r="U5948" s="15" t="str">
        <f>HYPERLINK("https://media.infra-m.ru/2231/2231589/cover/2231589.jpg", "Обложка")</f>
        <v>Обложка</v>
      </c>
      <c r="V5948" s="8" t="s">
        <v>227</v>
      </c>
      <c r="W5948" s="6"/>
      <c r="X5948" s="6"/>
      <c r="Y5948" s="6"/>
      <c r="Z5948" s="6"/>
      <c r="AA5948" s="6" t="s">
        <v>157</v>
      </c>
      <c r="AB5948" s="8"/>
      <c r="AC5948" s="27">
        <v>9785160187013</v>
      </c>
    </row>
    <row r="5949" spans="1:29" s="4" customFormat="1" ht="44.1" customHeight="1" x14ac:dyDescent="0.2">
      <c r="A5949" s="5">
        <v>0</v>
      </c>
      <c r="B5949" s="6" t="s">
        <v>33914</v>
      </c>
      <c r="C5949" s="7">
        <v>1168.8</v>
      </c>
      <c r="D5949" s="8" t="s">
        <v>33915</v>
      </c>
      <c r="E5949" s="8" t="s">
        <v>33916</v>
      </c>
      <c r="F5949" s="8" t="s">
        <v>33917</v>
      </c>
      <c r="G5949" s="6" t="s">
        <v>33</v>
      </c>
      <c r="H5949" s="6" t="s">
        <v>241</v>
      </c>
      <c r="I5949" s="8" t="s">
        <v>3496</v>
      </c>
      <c r="J5949" s="9">
        <v>1</v>
      </c>
      <c r="K5949" s="9">
        <v>157</v>
      </c>
      <c r="L5949" s="9">
        <v>2025</v>
      </c>
      <c r="M5949" s="8" t="s">
        <v>33918</v>
      </c>
      <c r="N5949" s="8" t="s">
        <v>37</v>
      </c>
      <c r="O5949" s="8" t="s">
        <v>233</v>
      </c>
      <c r="P5949" s="6" t="s">
        <v>39</v>
      </c>
      <c r="Q5949" s="8" t="s">
        <v>749</v>
      </c>
      <c r="R5949" s="10" t="s">
        <v>1646</v>
      </c>
      <c r="S5949" s="11"/>
      <c r="T5949" s="6"/>
      <c r="U5949" s="15" t="str">
        <f>HYPERLINK("https://media.infra-m.ru/2195/2195019/cover/2195019.jpg", "Обложка")</f>
        <v>Обложка</v>
      </c>
      <c r="V5949" s="8" t="s">
        <v>247</v>
      </c>
      <c r="W5949" s="6"/>
      <c r="X5949" s="6"/>
      <c r="Y5949" s="6"/>
      <c r="Z5949" s="6"/>
      <c r="AA5949" s="6" t="s">
        <v>274</v>
      </c>
      <c r="AB5949" s="8"/>
      <c r="AC5949" s="27">
        <v>9785955804392</v>
      </c>
    </row>
    <row r="5950" spans="1:29" s="4" customFormat="1" ht="51.9" customHeight="1" x14ac:dyDescent="0.2">
      <c r="A5950" s="5">
        <v>0</v>
      </c>
      <c r="B5950" s="6" t="s">
        <v>33919</v>
      </c>
      <c r="C5950" s="7">
        <v>1440</v>
      </c>
      <c r="D5950" s="8" t="s">
        <v>33920</v>
      </c>
      <c r="E5950" s="8" t="s">
        <v>33921</v>
      </c>
      <c r="F5950" s="8" t="s">
        <v>33922</v>
      </c>
      <c r="G5950" s="6" t="s">
        <v>60</v>
      </c>
      <c r="H5950" s="6" t="s">
        <v>34</v>
      </c>
      <c r="I5950" s="8" t="s">
        <v>35</v>
      </c>
      <c r="J5950" s="9">
        <v>1</v>
      </c>
      <c r="K5950" s="9">
        <v>207</v>
      </c>
      <c r="L5950" s="9">
        <v>2026</v>
      </c>
      <c r="M5950" s="8" t="s">
        <v>33923</v>
      </c>
      <c r="N5950" s="8" t="s">
        <v>585</v>
      </c>
      <c r="O5950" s="8" t="s">
        <v>667</v>
      </c>
      <c r="P5950" s="6" t="s">
        <v>39</v>
      </c>
      <c r="Q5950" s="8" t="s">
        <v>40</v>
      </c>
      <c r="R5950" s="10" t="s">
        <v>3303</v>
      </c>
      <c r="S5950" s="11"/>
      <c r="T5950" s="6"/>
      <c r="U5950" s="15" t="str">
        <f>HYPERLINK("https://media.infra-m.ru/2245/2245564/cover/2245564.jpg", "Обложка")</f>
        <v>Обложка</v>
      </c>
      <c r="V5950" s="8" t="s">
        <v>3588</v>
      </c>
      <c r="W5950" s="6" t="s">
        <v>351</v>
      </c>
      <c r="X5950" s="6"/>
      <c r="Y5950" s="6"/>
      <c r="Z5950" s="6"/>
      <c r="AA5950" s="6" t="s">
        <v>187</v>
      </c>
      <c r="AB5950" s="8"/>
      <c r="AC5950" s="27">
        <v>9785160219967</v>
      </c>
    </row>
    <row r="5951" spans="1:29" s="4" customFormat="1" ht="42" customHeight="1" x14ac:dyDescent="0.2">
      <c r="A5951" s="5">
        <v>0</v>
      </c>
      <c r="B5951" s="6" t="s">
        <v>33924</v>
      </c>
      <c r="C5951" s="7">
        <v>1104</v>
      </c>
      <c r="D5951" s="8" t="s">
        <v>33925</v>
      </c>
      <c r="E5951" s="8" t="s">
        <v>33926</v>
      </c>
      <c r="F5951" s="8" t="s">
        <v>20781</v>
      </c>
      <c r="G5951" s="6" t="s">
        <v>33</v>
      </c>
      <c r="H5951" s="6" t="s">
        <v>34</v>
      </c>
      <c r="I5951" s="8" t="s">
        <v>35</v>
      </c>
      <c r="J5951" s="9">
        <v>1</v>
      </c>
      <c r="K5951" s="9">
        <v>168</v>
      </c>
      <c r="L5951" s="9">
        <v>2026</v>
      </c>
      <c r="M5951" s="8" t="s">
        <v>33927</v>
      </c>
      <c r="N5951" s="8" t="s">
        <v>37</v>
      </c>
      <c r="O5951" s="8" t="s">
        <v>50</v>
      </c>
      <c r="P5951" s="6" t="s">
        <v>39</v>
      </c>
      <c r="Q5951" s="8" t="s">
        <v>40</v>
      </c>
      <c r="R5951" s="10" t="s">
        <v>9551</v>
      </c>
      <c r="S5951" s="11"/>
      <c r="T5951" s="6"/>
      <c r="U5951" s="15" t="str">
        <f>HYPERLINK("https://media.infra-m.ru/2226/2226480/cover/2226480.jpg", "Обложка")</f>
        <v>Обложка</v>
      </c>
      <c r="V5951" s="8" t="s">
        <v>546</v>
      </c>
      <c r="W5951" s="6"/>
      <c r="X5951" s="6"/>
      <c r="Y5951" s="6"/>
      <c r="Z5951" s="6"/>
      <c r="AA5951" s="6" t="s">
        <v>43</v>
      </c>
      <c r="AB5951" s="8"/>
      <c r="AC5951" s="27">
        <v>9785160055022</v>
      </c>
    </row>
    <row r="5952" spans="1:29" s="4" customFormat="1" ht="42" customHeight="1" x14ac:dyDescent="0.2">
      <c r="A5952" s="5">
        <v>0</v>
      </c>
      <c r="B5952" s="6" t="s">
        <v>33928</v>
      </c>
      <c r="C5952" s="13">
        <v>509.9</v>
      </c>
      <c r="D5952" s="8" t="s">
        <v>33929</v>
      </c>
      <c r="E5952" s="8" t="s">
        <v>33930</v>
      </c>
      <c r="F5952" s="8" t="s">
        <v>33931</v>
      </c>
      <c r="G5952" s="6" t="s">
        <v>33</v>
      </c>
      <c r="H5952" s="6" t="s">
        <v>34</v>
      </c>
      <c r="I5952" s="8" t="s">
        <v>35</v>
      </c>
      <c r="J5952" s="9">
        <v>1</v>
      </c>
      <c r="K5952" s="9">
        <v>94</v>
      </c>
      <c r="L5952" s="9">
        <v>2023</v>
      </c>
      <c r="M5952" s="8" t="s">
        <v>33932</v>
      </c>
      <c r="N5952" s="8" t="s">
        <v>37</v>
      </c>
      <c r="O5952" s="8" t="s">
        <v>136</v>
      </c>
      <c r="P5952" s="6" t="s">
        <v>39</v>
      </c>
      <c r="Q5952" s="8" t="s">
        <v>40</v>
      </c>
      <c r="R5952" s="10" t="s">
        <v>1667</v>
      </c>
      <c r="S5952" s="11"/>
      <c r="T5952" s="6"/>
      <c r="U5952" s="15" t="str">
        <f>HYPERLINK("https://media.infra-m.ru/1913/1913031/cover/1913031.jpg", "Обложка")</f>
        <v>Обложка</v>
      </c>
      <c r="V5952" s="8" t="s">
        <v>227</v>
      </c>
      <c r="W5952" s="6"/>
      <c r="X5952" s="6"/>
      <c r="Y5952" s="6"/>
      <c r="Z5952" s="6"/>
      <c r="AA5952" s="6" t="s">
        <v>274</v>
      </c>
      <c r="AB5952" s="8"/>
      <c r="AC5952" s="27">
        <v>9785160111070</v>
      </c>
    </row>
    <row r="5953" spans="1:29" s="4" customFormat="1" ht="42" customHeight="1" x14ac:dyDescent="0.2">
      <c r="A5953" s="5">
        <v>0</v>
      </c>
      <c r="B5953" s="6" t="s">
        <v>33933</v>
      </c>
      <c r="C5953" s="7">
        <v>1188</v>
      </c>
      <c r="D5953" s="8" t="s">
        <v>33934</v>
      </c>
      <c r="E5953" s="8" t="s">
        <v>33935</v>
      </c>
      <c r="F5953" s="8" t="s">
        <v>33936</v>
      </c>
      <c r="G5953" s="6" t="s">
        <v>15293</v>
      </c>
      <c r="H5953" s="6" t="s">
        <v>34</v>
      </c>
      <c r="I5953" s="8"/>
      <c r="J5953" s="9">
        <v>1</v>
      </c>
      <c r="K5953" s="9">
        <v>191</v>
      </c>
      <c r="L5953" s="9">
        <v>2023</v>
      </c>
      <c r="M5953" s="8" t="s">
        <v>33937</v>
      </c>
      <c r="N5953" s="8" t="s">
        <v>63</v>
      </c>
      <c r="O5953" s="8" t="s">
        <v>126</v>
      </c>
      <c r="P5953" s="6" t="s">
        <v>39</v>
      </c>
      <c r="Q5953" s="8" t="s">
        <v>40</v>
      </c>
      <c r="R5953" s="10" t="s">
        <v>10423</v>
      </c>
      <c r="S5953" s="11"/>
      <c r="T5953" s="6"/>
      <c r="U5953" s="15" t="str">
        <f>HYPERLINK("https://media.infra-m.ru/2131/2131471/cover/2131471.jpg", "Обложка")</f>
        <v>Обложка</v>
      </c>
      <c r="V5953" s="8" t="s">
        <v>227</v>
      </c>
      <c r="W5953" s="6"/>
      <c r="X5953" s="6"/>
      <c r="Y5953" s="6"/>
      <c r="Z5953" s="6"/>
      <c r="AA5953" s="6" t="s">
        <v>157</v>
      </c>
      <c r="AB5953" s="8"/>
      <c r="AC5953" s="27">
        <v>9785160193915</v>
      </c>
    </row>
    <row r="5954" spans="1:29" s="4" customFormat="1" ht="44.1" customHeight="1" x14ac:dyDescent="0.2">
      <c r="A5954" s="5">
        <v>0</v>
      </c>
      <c r="B5954" s="6" t="s">
        <v>33938</v>
      </c>
      <c r="C5954" s="7">
        <v>1300.8</v>
      </c>
      <c r="D5954" s="8" t="s">
        <v>33939</v>
      </c>
      <c r="E5954" s="8" t="s">
        <v>33940</v>
      </c>
      <c r="F5954" s="8" t="s">
        <v>33941</v>
      </c>
      <c r="G5954" s="6" t="s">
        <v>33</v>
      </c>
      <c r="H5954" s="6" t="s">
        <v>34</v>
      </c>
      <c r="I5954" s="8" t="s">
        <v>35</v>
      </c>
      <c r="J5954" s="9">
        <v>1</v>
      </c>
      <c r="K5954" s="9">
        <v>198</v>
      </c>
      <c r="L5954" s="9">
        <v>2026</v>
      </c>
      <c r="M5954" s="8" t="s">
        <v>33942</v>
      </c>
      <c r="N5954" s="8" t="s">
        <v>63</v>
      </c>
      <c r="O5954" s="8" t="s">
        <v>64</v>
      </c>
      <c r="P5954" s="6" t="s">
        <v>39</v>
      </c>
      <c r="Q5954" s="8" t="s">
        <v>40</v>
      </c>
      <c r="R5954" s="10" t="s">
        <v>17696</v>
      </c>
      <c r="S5954" s="11"/>
      <c r="T5954" s="6"/>
      <c r="U5954" s="15" t="str">
        <f>HYPERLINK("https://media.infra-m.ru/2239/2239146/cover/2239146.jpg", "Обложка")</f>
        <v>Обложка</v>
      </c>
      <c r="V5954" s="8" t="s">
        <v>227</v>
      </c>
      <c r="W5954" s="6"/>
      <c r="X5954" s="6"/>
      <c r="Y5954" s="6"/>
      <c r="Z5954" s="6"/>
      <c r="AA5954" s="6" t="s">
        <v>430</v>
      </c>
      <c r="AB5954" s="8"/>
      <c r="AC5954" s="27">
        <v>9785160156354</v>
      </c>
    </row>
    <row r="5955" spans="1:29" s="4" customFormat="1" ht="51.9" customHeight="1" x14ac:dyDescent="0.2">
      <c r="A5955" s="5">
        <v>0</v>
      </c>
      <c r="B5955" s="6" t="s">
        <v>33943</v>
      </c>
      <c r="C5955" s="13">
        <v>924</v>
      </c>
      <c r="D5955" s="8" t="s">
        <v>33944</v>
      </c>
      <c r="E5955" s="8" t="s">
        <v>33945</v>
      </c>
      <c r="F5955" s="8" t="s">
        <v>33946</v>
      </c>
      <c r="G5955" s="6" t="s">
        <v>33</v>
      </c>
      <c r="H5955" s="6" t="s">
        <v>34</v>
      </c>
      <c r="I5955" s="8" t="s">
        <v>457</v>
      </c>
      <c r="J5955" s="9">
        <v>1</v>
      </c>
      <c r="K5955" s="9">
        <v>170</v>
      </c>
      <c r="L5955" s="9">
        <v>2022</v>
      </c>
      <c r="M5955" s="8" t="s">
        <v>33947</v>
      </c>
      <c r="N5955" s="8" t="s">
        <v>37</v>
      </c>
      <c r="O5955" s="8" t="s">
        <v>280</v>
      </c>
      <c r="P5955" s="6" t="s">
        <v>39</v>
      </c>
      <c r="Q5955" s="8" t="s">
        <v>40</v>
      </c>
      <c r="R5955" s="10" t="s">
        <v>33948</v>
      </c>
      <c r="S5955" s="11"/>
      <c r="T5955" s="6"/>
      <c r="U5955" s="15" t="str">
        <f>HYPERLINK("https://media.infra-m.ru/1873/1873865/cover/1873865.jpg", "Обложка")</f>
        <v>Обложка</v>
      </c>
      <c r="V5955" s="8" t="s">
        <v>247</v>
      </c>
      <c r="W5955" s="6"/>
      <c r="X5955" s="6"/>
      <c r="Y5955" s="6"/>
      <c r="Z5955" s="6"/>
      <c r="AA5955" s="6" t="s">
        <v>148</v>
      </c>
      <c r="AB5955" s="8"/>
      <c r="AC5955" s="27">
        <v>9785160177687</v>
      </c>
    </row>
    <row r="5956" spans="1:29" s="4" customFormat="1" ht="51.9" customHeight="1" x14ac:dyDescent="0.2">
      <c r="A5956" s="5">
        <v>0</v>
      </c>
      <c r="B5956" s="6" t="s">
        <v>33949</v>
      </c>
      <c r="C5956" s="7">
        <v>2196</v>
      </c>
      <c r="D5956" s="8" t="s">
        <v>33950</v>
      </c>
      <c r="E5956" s="8" t="s">
        <v>33951</v>
      </c>
      <c r="F5956" s="8" t="s">
        <v>21184</v>
      </c>
      <c r="G5956" s="6" t="s">
        <v>118</v>
      </c>
      <c r="H5956" s="6" t="s">
        <v>241</v>
      </c>
      <c r="I5956" s="8"/>
      <c r="J5956" s="9">
        <v>1</v>
      </c>
      <c r="K5956" s="9">
        <v>392</v>
      </c>
      <c r="L5956" s="9">
        <v>2024</v>
      </c>
      <c r="M5956" s="8" t="s">
        <v>33952</v>
      </c>
      <c r="N5956" s="8" t="s">
        <v>93</v>
      </c>
      <c r="O5956" s="8" t="s">
        <v>94</v>
      </c>
      <c r="P5956" s="6" t="s">
        <v>51</v>
      </c>
      <c r="Q5956" s="8" t="s">
        <v>500</v>
      </c>
      <c r="R5956" s="10" t="s">
        <v>594</v>
      </c>
      <c r="S5956" s="11" t="s">
        <v>33953</v>
      </c>
      <c r="T5956" s="6"/>
      <c r="U5956" s="15" t="str">
        <f>HYPERLINK("https://media.infra-m.ru/2086/2086853/cover/2086853.jpg", "Обложка")</f>
        <v>Обложка</v>
      </c>
      <c r="V5956" s="8" t="s">
        <v>6059</v>
      </c>
      <c r="W5956" s="6"/>
      <c r="X5956" s="6"/>
      <c r="Y5956" s="6"/>
      <c r="Z5956" s="6"/>
      <c r="AA5956" s="6" t="s">
        <v>43</v>
      </c>
      <c r="AB5956" s="8"/>
      <c r="AC5956" s="27">
        <v>9785955802619</v>
      </c>
    </row>
    <row r="5957" spans="1:29" s="4" customFormat="1" ht="42" customHeight="1" x14ac:dyDescent="0.2">
      <c r="A5957" s="5">
        <v>0</v>
      </c>
      <c r="B5957" s="6" t="s">
        <v>33954</v>
      </c>
      <c r="C5957" s="7">
        <v>1836</v>
      </c>
      <c r="D5957" s="8" t="s">
        <v>33955</v>
      </c>
      <c r="E5957" s="8" t="s">
        <v>33956</v>
      </c>
      <c r="F5957" s="8" t="s">
        <v>33957</v>
      </c>
      <c r="G5957" s="6" t="s">
        <v>60</v>
      </c>
      <c r="H5957" s="6" t="s">
        <v>313</v>
      </c>
      <c r="I5957" s="8" t="s">
        <v>10560</v>
      </c>
      <c r="J5957" s="9">
        <v>1</v>
      </c>
      <c r="K5957" s="9">
        <v>392</v>
      </c>
      <c r="L5957" s="9">
        <v>2022</v>
      </c>
      <c r="M5957" s="8" t="s">
        <v>33958</v>
      </c>
      <c r="N5957" s="8" t="s">
        <v>37</v>
      </c>
      <c r="O5957" s="8" t="s">
        <v>136</v>
      </c>
      <c r="P5957" s="6" t="s">
        <v>39</v>
      </c>
      <c r="Q5957" s="8" t="s">
        <v>40</v>
      </c>
      <c r="R5957" s="10" t="s">
        <v>33959</v>
      </c>
      <c r="S5957" s="11"/>
      <c r="T5957" s="6"/>
      <c r="U5957" s="15" t="str">
        <f>HYPERLINK("https://media.infra-m.ru/1862/1862568/cover/1862568.jpg", "Обложка")</f>
        <v>Обложка</v>
      </c>
      <c r="V5957" s="8" t="s">
        <v>1949</v>
      </c>
      <c r="W5957" s="6"/>
      <c r="X5957" s="6"/>
      <c r="Y5957" s="6"/>
      <c r="Z5957" s="6"/>
      <c r="AA5957" s="6" t="s">
        <v>148</v>
      </c>
      <c r="AB5957" s="8"/>
      <c r="AC5957" s="27">
        <v>9785369019047</v>
      </c>
    </row>
    <row r="5958" spans="1:29" s="4" customFormat="1" ht="44.1" customHeight="1" x14ac:dyDescent="0.2">
      <c r="A5958" s="5">
        <v>0</v>
      </c>
      <c r="B5958" s="6" t="s">
        <v>33960</v>
      </c>
      <c r="C5958" s="7">
        <v>1180.8</v>
      </c>
      <c r="D5958" s="8" t="s">
        <v>33961</v>
      </c>
      <c r="E5958" s="8" t="s">
        <v>33962</v>
      </c>
      <c r="F5958" s="8" t="s">
        <v>33963</v>
      </c>
      <c r="G5958" s="6" t="s">
        <v>33</v>
      </c>
      <c r="H5958" s="6" t="s">
        <v>34</v>
      </c>
      <c r="I5958" s="8" t="s">
        <v>35</v>
      </c>
      <c r="J5958" s="9">
        <v>1</v>
      </c>
      <c r="K5958" s="9">
        <v>171</v>
      </c>
      <c r="L5958" s="9">
        <v>2025</v>
      </c>
      <c r="M5958" s="8" t="s">
        <v>33964</v>
      </c>
      <c r="N5958" s="8" t="s">
        <v>93</v>
      </c>
      <c r="O5958" s="8" t="s">
        <v>94</v>
      </c>
      <c r="P5958" s="6" t="s">
        <v>39</v>
      </c>
      <c r="Q5958" s="8" t="s">
        <v>40</v>
      </c>
      <c r="R5958" s="10" t="s">
        <v>25258</v>
      </c>
      <c r="S5958" s="11"/>
      <c r="T5958" s="6"/>
      <c r="U5958" s="15" t="str">
        <f>HYPERLINK("https://media.infra-m.ru/2231/2231328/cover/2231328.jpg", "Обложка")</f>
        <v>Обложка</v>
      </c>
      <c r="V5958" s="8" t="s">
        <v>2382</v>
      </c>
      <c r="W5958" s="6"/>
      <c r="X5958" s="6"/>
      <c r="Y5958" s="6"/>
      <c r="Z5958" s="6"/>
      <c r="AA5958" s="6" t="s">
        <v>68</v>
      </c>
      <c r="AB5958" s="8" t="s">
        <v>308</v>
      </c>
      <c r="AC5958" s="27">
        <v>9785160209425</v>
      </c>
    </row>
    <row r="5959" spans="1:29" s="4" customFormat="1" ht="42" customHeight="1" x14ac:dyDescent="0.2">
      <c r="A5959" s="5">
        <v>0</v>
      </c>
      <c r="B5959" s="6" t="s">
        <v>33965</v>
      </c>
      <c r="C5959" s="7">
        <v>1656</v>
      </c>
      <c r="D5959" s="8" t="s">
        <v>33966</v>
      </c>
      <c r="E5959" s="8" t="s">
        <v>33967</v>
      </c>
      <c r="F5959" s="8" t="s">
        <v>1253</v>
      </c>
      <c r="G5959" s="6" t="s">
        <v>118</v>
      </c>
      <c r="H5959" s="6" t="s">
        <v>134</v>
      </c>
      <c r="I5959" s="8"/>
      <c r="J5959" s="9">
        <v>1</v>
      </c>
      <c r="K5959" s="9">
        <v>264</v>
      </c>
      <c r="L5959" s="9">
        <v>2025</v>
      </c>
      <c r="M5959" s="8" t="s">
        <v>33968</v>
      </c>
      <c r="N5959" s="8" t="s">
        <v>37</v>
      </c>
      <c r="O5959" s="8" t="s">
        <v>136</v>
      </c>
      <c r="P5959" s="6" t="s">
        <v>39</v>
      </c>
      <c r="Q5959" s="8" t="s">
        <v>40</v>
      </c>
      <c r="R5959" s="10" t="s">
        <v>8485</v>
      </c>
      <c r="S5959" s="11"/>
      <c r="T5959" s="6"/>
      <c r="U5959" s="15" t="str">
        <f>HYPERLINK("https://media.infra-m.ru/2202/2202515/cover/2202515.jpg", "Обложка")</f>
        <v>Обложка</v>
      </c>
      <c r="V5959" s="8" t="s">
        <v>1184</v>
      </c>
      <c r="W5959" s="6"/>
      <c r="X5959" s="6"/>
      <c r="Y5959" s="6"/>
      <c r="Z5959" s="6"/>
      <c r="AA5959" s="6" t="s">
        <v>430</v>
      </c>
      <c r="AB5959" s="8"/>
      <c r="AC5959" s="27">
        <v>9785001561439</v>
      </c>
    </row>
    <row r="5960" spans="1:29" s="4" customFormat="1" ht="42" customHeight="1" x14ac:dyDescent="0.2">
      <c r="A5960" s="5">
        <v>0</v>
      </c>
      <c r="B5960" s="6" t="s">
        <v>33969</v>
      </c>
      <c r="C5960" s="13">
        <v>588</v>
      </c>
      <c r="D5960" s="8" t="s">
        <v>33970</v>
      </c>
      <c r="E5960" s="8" t="s">
        <v>33971</v>
      </c>
      <c r="F5960" s="8" t="s">
        <v>33972</v>
      </c>
      <c r="G5960" s="6" t="s">
        <v>33</v>
      </c>
      <c r="H5960" s="6" t="s">
        <v>34</v>
      </c>
      <c r="I5960" s="8" t="s">
        <v>35</v>
      </c>
      <c r="J5960" s="9">
        <v>1</v>
      </c>
      <c r="K5960" s="9">
        <v>89</v>
      </c>
      <c r="L5960" s="9">
        <v>2026</v>
      </c>
      <c r="M5960" s="8" t="s">
        <v>33973</v>
      </c>
      <c r="N5960" s="8" t="s">
        <v>63</v>
      </c>
      <c r="O5960" s="8" t="s">
        <v>154</v>
      </c>
      <c r="P5960" s="6" t="s">
        <v>39</v>
      </c>
      <c r="Q5960" s="8" t="s">
        <v>40</v>
      </c>
      <c r="R5960" s="10" t="s">
        <v>33974</v>
      </c>
      <c r="S5960" s="11"/>
      <c r="T5960" s="6"/>
      <c r="U5960" s="15" t="str">
        <f>HYPERLINK("https://media.infra-m.ru/2230/2230799/cover/2230799.jpg", "Обложка")</f>
        <v>Обложка</v>
      </c>
      <c r="V5960" s="8" t="s">
        <v>3087</v>
      </c>
      <c r="W5960" s="6"/>
      <c r="X5960" s="6"/>
      <c r="Y5960" s="6"/>
      <c r="Z5960" s="6"/>
      <c r="AA5960" s="6" t="s">
        <v>779</v>
      </c>
      <c r="AB5960" s="8"/>
      <c r="AC5960" s="27">
        <v>9785160120454</v>
      </c>
    </row>
    <row r="5961" spans="1:29" s="4" customFormat="1" ht="51.9" customHeight="1" x14ac:dyDescent="0.2">
      <c r="A5961" s="5">
        <v>0</v>
      </c>
      <c r="B5961" s="6" t="s">
        <v>33975</v>
      </c>
      <c r="C5961" s="7">
        <v>1032</v>
      </c>
      <c r="D5961" s="8" t="s">
        <v>33976</v>
      </c>
      <c r="E5961" s="8" t="s">
        <v>33977</v>
      </c>
      <c r="F5961" s="8" t="s">
        <v>33978</v>
      </c>
      <c r="G5961" s="6" t="s">
        <v>118</v>
      </c>
      <c r="H5961" s="6" t="s">
        <v>34</v>
      </c>
      <c r="I5961" s="8" t="s">
        <v>253</v>
      </c>
      <c r="J5961" s="9">
        <v>1</v>
      </c>
      <c r="K5961" s="9">
        <v>178</v>
      </c>
      <c r="L5961" s="9">
        <v>2024</v>
      </c>
      <c r="M5961" s="8" t="s">
        <v>33979</v>
      </c>
      <c r="N5961" s="8" t="s">
        <v>37</v>
      </c>
      <c r="O5961" s="8" t="s">
        <v>83</v>
      </c>
      <c r="P5961" s="6" t="s">
        <v>51</v>
      </c>
      <c r="Q5961" s="8" t="s">
        <v>52</v>
      </c>
      <c r="R5961" s="10" t="s">
        <v>33980</v>
      </c>
      <c r="S5961" s="11" t="s">
        <v>33981</v>
      </c>
      <c r="T5961" s="6"/>
      <c r="U5961" s="15" t="str">
        <f>HYPERLINK("https://media.infra-m.ru/2155/2155015/cover/2155015.jpg", "Обложка")</f>
        <v>Обложка</v>
      </c>
      <c r="V5961" s="8" t="s">
        <v>6135</v>
      </c>
      <c r="W5961" s="6"/>
      <c r="X5961" s="6"/>
      <c r="Y5961" s="6"/>
      <c r="Z5961" s="6"/>
      <c r="AA5961" s="6" t="s">
        <v>1256</v>
      </c>
      <c r="AB5961" s="8"/>
      <c r="AC5961" s="27">
        <v>9785160200385</v>
      </c>
    </row>
    <row r="5962" spans="1:29" s="4" customFormat="1" ht="44.1" customHeight="1" x14ac:dyDescent="0.2">
      <c r="A5962" s="5">
        <v>0</v>
      </c>
      <c r="B5962" s="6" t="s">
        <v>33982</v>
      </c>
      <c r="C5962" s="7">
        <v>1572</v>
      </c>
      <c r="D5962" s="8" t="s">
        <v>33983</v>
      </c>
      <c r="E5962" s="8" t="s">
        <v>33984</v>
      </c>
      <c r="F5962" s="8" t="s">
        <v>33985</v>
      </c>
      <c r="G5962" s="6" t="s">
        <v>33</v>
      </c>
      <c r="H5962" s="6" t="s">
        <v>34</v>
      </c>
      <c r="I5962" s="8" t="s">
        <v>35</v>
      </c>
      <c r="J5962" s="9">
        <v>1</v>
      </c>
      <c r="K5962" s="9">
        <v>239</v>
      </c>
      <c r="L5962" s="9">
        <v>2026</v>
      </c>
      <c r="M5962" s="8" t="s">
        <v>33986</v>
      </c>
      <c r="N5962" s="8" t="s">
        <v>243</v>
      </c>
      <c r="O5962" s="8" t="s">
        <v>798</v>
      </c>
      <c r="P5962" s="6" t="s">
        <v>39</v>
      </c>
      <c r="Q5962" s="8" t="s">
        <v>40</v>
      </c>
      <c r="R5962" s="10" t="s">
        <v>33987</v>
      </c>
      <c r="S5962" s="11"/>
      <c r="T5962" s="6"/>
      <c r="U5962" s="15" t="str">
        <f>HYPERLINK("https://media.infra-m.ru/2225/2225636/cover/2225636.jpg", "Обложка")</f>
        <v>Обложка</v>
      </c>
      <c r="V5962" s="8" t="s">
        <v>3196</v>
      </c>
      <c r="W5962" s="6"/>
      <c r="X5962" s="6"/>
      <c r="Y5962" s="6"/>
      <c r="Z5962" s="6"/>
      <c r="AA5962" s="6" t="s">
        <v>43</v>
      </c>
      <c r="AB5962" s="8"/>
      <c r="AC5962" s="27">
        <v>9785160062655</v>
      </c>
    </row>
    <row r="5963" spans="1:29" s="4" customFormat="1" ht="51.9" customHeight="1" x14ac:dyDescent="0.2">
      <c r="A5963" s="5">
        <v>0</v>
      </c>
      <c r="B5963" s="6" t="s">
        <v>33988</v>
      </c>
      <c r="C5963" s="7">
        <v>1128</v>
      </c>
      <c r="D5963" s="8" t="s">
        <v>33989</v>
      </c>
      <c r="E5963" s="8" t="s">
        <v>33990</v>
      </c>
      <c r="F5963" s="8" t="s">
        <v>33991</v>
      </c>
      <c r="G5963" s="6" t="s">
        <v>33</v>
      </c>
      <c r="H5963" s="6" t="s">
        <v>34</v>
      </c>
      <c r="I5963" s="8" t="s">
        <v>35</v>
      </c>
      <c r="J5963" s="9">
        <v>1</v>
      </c>
      <c r="K5963" s="9">
        <v>151</v>
      </c>
      <c r="L5963" s="9">
        <v>2027</v>
      </c>
      <c r="M5963" s="8" t="s">
        <v>33992</v>
      </c>
      <c r="N5963" s="8" t="s">
        <v>37</v>
      </c>
      <c r="O5963" s="8" t="s">
        <v>136</v>
      </c>
      <c r="P5963" s="6" t="s">
        <v>39</v>
      </c>
      <c r="Q5963" s="8" t="s">
        <v>40</v>
      </c>
      <c r="R5963" s="10" t="s">
        <v>33993</v>
      </c>
      <c r="S5963" s="11"/>
      <c r="T5963" s="6"/>
      <c r="U5963" s="15" t="str">
        <f>HYPERLINK("https://media.infra-m.ru/2263/2263627/cover/2263627.jpg", "Обложка")</f>
        <v>Обложка</v>
      </c>
      <c r="V5963" s="8" t="s">
        <v>1339</v>
      </c>
      <c r="W5963" s="6"/>
      <c r="X5963" s="6"/>
      <c r="Y5963" s="6"/>
      <c r="Z5963" s="6"/>
      <c r="AA5963" s="6" t="s">
        <v>187</v>
      </c>
      <c r="AB5963" s="8"/>
      <c r="AC5963" s="27">
        <v>9785160218526</v>
      </c>
    </row>
    <row r="5964" spans="1:29" s="4" customFormat="1" ht="42" customHeight="1" x14ac:dyDescent="0.2">
      <c r="A5964" s="5">
        <v>0</v>
      </c>
      <c r="B5964" s="6" t="s">
        <v>33994</v>
      </c>
      <c r="C5964" s="7">
        <v>3484.8</v>
      </c>
      <c r="D5964" s="8" t="s">
        <v>33995</v>
      </c>
      <c r="E5964" s="8" t="s">
        <v>33996</v>
      </c>
      <c r="F5964" s="8" t="s">
        <v>33997</v>
      </c>
      <c r="G5964" s="6" t="s">
        <v>118</v>
      </c>
      <c r="H5964" s="6" t="s">
        <v>134</v>
      </c>
      <c r="I5964" s="8"/>
      <c r="J5964" s="9">
        <v>1</v>
      </c>
      <c r="K5964" s="9">
        <v>528</v>
      </c>
      <c r="L5964" s="9">
        <v>2026</v>
      </c>
      <c r="M5964" s="8" t="s">
        <v>33998</v>
      </c>
      <c r="N5964" s="8" t="s">
        <v>37</v>
      </c>
      <c r="O5964" s="8" t="s">
        <v>136</v>
      </c>
      <c r="P5964" s="6" t="s">
        <v>39</v>
      </c>
      <c r="Q5964" s="8" t="s">
        <v>40</v>
      </c>
      <c r="R5964" s="10" t="s">
        <v>1625</v>
      </c>
      <c r="S5964" s="11"/>
      <c r="T5964" s="6"/>
      <c r="U5964" s="15" t="str">
        <f>HYPERLINK("https://media.infra-m.ru/2221/2221163/cover/2221163.jpg", "Обложка")</f>
        <v>Обложка</v>
      </c>
      <c r="V5964" s="8" t="s">
        <v>1184</v>
      </c>
      <c r="W5964" s="6"/>
      <c r="X5964" s="6"/>
      <c r="Y5964" s="6"/>
      <c r="Z5964" s="6"/>
      <c r="AA5964" s="6" t="s">
        <v>99</v>
      </c>
      <c r="AB5964" s="8"/>
      <c r="AC5964" s="27">
        <v>9785917687896</v>
      </c>
    </row>
    <row r="5965" spans="1:29" s="4" customFormat="1" ht="42" customHeight="1" x14ac:dyDescent="0.2">
      <c r="A5965" s="5">
        <v>0</v>
      </c>
      <c r="B5965" s="6" t="s">
        <v>33999</v>
      </c>
      <c r="C5965" s="7">
        <v>1308</v>
      </c>
      <c r="D5965" s="8" t="s">
        <v>34000</v>
      </c>
      <c r="E5965" s="8" t="s">
        <v>34001</v>
      </c>
      <c r="F5965" s="8" t="s">
        <v>30244</v>
      </c>
      <c r="G5965" s="6" t="s">
        <v>33</v>
      </c>
      <c r="H5965" s="6" t="s">
        <v>34</v>
      </c>
      <c r="I5965" s="8" t="s">
        <v>457</v>
      </c>
      <c r="J5965" s="9">
        <v>1</v>
      </c>
      <c r="K5965" s="9">
        <v>228</v>
      </c>
      <c r="L5965" s="9">
        <v>2024</v>
      </c>
      <c r="M5965" s="8" t="s">
        <v>34002</v>
      </c>
      <c r="N5965" s="8" t="s">
        <v>37</v>
      </c>
      <c r="O5965" s="8" t="s">
        <v>233</v>
      </c>
      <c r="P5965" s="6" t="s">
        <v>39</v>
      </c>
      <c r="Q5965" s="8" t="s">
        <v>40</v>
      </c>
      <c r="R5965" s="10" t="s">
        <v>34003</v>
      </c>
      <c r="S5965" s="11"/>
      <c r="T5965" s="6"/>
      <c r="U5965" s="15" t="str">
        <f>HYPERLINK("https://media.infra-m.ru/2030/2030736/cover/2030736.jpg", "Обложка")</f>
        <v>Обложка</v>
      </c>
      <c r="V5965" s="8" t="s">
        <v>247</v>
      </c>
      <c r="W5965" s="6"/>
      <c r="X5965" s="6"/>
      <c r="Y5965" s="6"/>
      <c r="Z5965" s="6"/>
      <c r="AA5965" s="6" t="s">
        <v>76</v>
      </c>
      <c r="AB5965" s="8"/>
      <c r="AC5965" s="27">
        <v>9785160185750</v>
      </c>
    </row>
    <row r="5966" spans="1:29" s="4" customFormat="1" ht="51.9" customHeight="1" x14ac:dyDescent="0.2">
      <c r="A5966" s="5">
        <v>0</v>
      </c>
      <c r="B5966" s="6" t="s">
        <v>34004</v>
      </c>
      <c r="C5966" s="7">
        <v>3544.8</v>
      </c>
      <c r="D5966" s="8" t="s">
        <v>34005</v>
      </c>
      <c r="E5966" s="8" t="s">
        <v>34006</v>
      </c>
      <c r="F5966" s="8" t="s">
        <v>34007</v>
      </c>
      <c r="G5966" s="6" t="s">
        <v>60</v>
      </c>
      <c r="H5966" s="6" t="s">
        <v>48</v>
      </c>
      <c r="I5966" s="8" t="s">
        <v>253</v>
      </c>
      <c r="J5966" s="9">
        <v>1</v>
      </c>
      <c r="K5966" s="9">
        <v>592</v>
      </c>
      <c r="L5966" s="9">
        <v>2025</v>
      </c>
      <c r="M5966" s="8" t="s">
        <v>34008</v>
      </c>
      <c r="N5966" s="8" t="s">
        <v>37</v>
      </c>
      <c r="O5966" s="8" t="s">
        <v>136</v>
      </c>
      <c r="P5966" s="6" t="s">
        <v>51</v>
      </c>
      <c r="Q5966" s="8" t="s">
        <v>52</v>
      </c>
      <c r="R5966" s="10" t="s">
        <v>34009</v>
      </c>
      <c r="S5966" s="11" t="s">
        <v>10937</v>
      </c>
      <c r="T5966" s="6"/>
      <c r="U5966" s="15" t="str">
        <f>HYPERLINK("https://media.infra-m.ru/2172/2172403/cover/2172403.jpg", "Обложка")</f>
        <v>Обложка</v>
      </c>
      <c r="V5966" s="8" t="s">
        <v>5902</v>
      </c>
      <c r="W5966" s="6"/>
      <c r="X5966" s="6"/>
      <c r="Y5966" s="6"/>
      <c r="Z5966" s="6"/>
      <c r="AA5966" s="6" t="s">
        <v>43</v>
      </c>
      <c r="AB5966" s="8"/>
      <c r="AC5966" s="27">
        <v>9785911345716</v>
      </c>
    </row>
    <row r="5967" spans="1:29" s="4" customFormat="1" ht="44.1" customHeight="1" x14ac:dyDescent="0.2">
      <c r="A5967" s="5">
        <v>0</v>
      </c>
      <c r="B5967" s="6" t="s">
        <v>34010</v>
      </c>
      <c r="C5967" s="13">
        <v>448.8</v>
      </c>
      <c r="D5967" s="8" t="s">
        <v>34011</v>
      </c>
      <c r="E5967" s="8" t="s">
        <v>34012</v>
      </c>
      <c r="F5967" s="8" t="s">
        <v>34013</v>
      </c>
      <c r="G5967" s="6" t="s">
        <v>33</v>
      </c>
      <c r="H5967" s="6" t="s">
        <v>34</v>
      </c>
      <c r="I5967" s="8" t="s">
        <v>504</v>
      </c>
      <c r="J5967" s="9">
        <v>1</v>
      </c>
      <c r="K5967" s="9">
        <v>58</v>
      </c>
      <c r="L5967" s="9">
        <v>2024</v>
      </c>
      <c r="M5967" s="8" t="s">
        <v>34014</v>
      </c>
      <c r="N5967" s="8" t="s">
        <v>93</v>
      </c>
      <c r="O5967" s="8" t="s">
        <v>94</v>
      </c>
      <c r="P5967" s="6" t="s">
        <v>51</v>
      </c>
      <c r="Q5967" s="8" t="s">
        <v>500</v>
      </c>
      <c r="R5967" s="10" t="s">
        <v>9837</v>
      </c>
      <c r="S5967" s="11"/>
      <c r="T5967" s="6"/>
      <c r="U5967" s="15" t="str">
        <f>HYPERLINK("https://media.infra-m.ru/2095/2095589/cover/2095589.jpg", "Обложка")</f>
        <v>Обложка</v>
      </c>
      <c r="V5967" s="8" t="s">
        <v>1599</v>
      </c>
      <c r="W5967" s="6"/>
      <c r="X5967" s="6"/>
      <c r="Y5967" s="6"/>
      <c r="Z5967" s="6"/>
      <c r="AA5967" s="6" t="s">
        <v>55</v>
      </c>
      <c r="AB5967" s="8"/>
      <c r="AC5967" s="27">
        <v>9785160063645</v>
      </c>
    </row>
    <row r="5968" spans="1:29" s="4" customFormat="1" ht="51.9" customHeight="1" x14ac:dyDescent="0.2">
      <c r="A5968" s="5">
        <v>0</v>
      </c>
      <c r="B5968" s="6" t="s">
        <v>34015</v>
      </c>
      <c r="C5968" s="7">
        <v>3472.8</v>
      </c>
      <c r="D5968" s="8" t="s">
        <v>34016</v>
      </c>
      <c r="E5968" s="8" t="s">
        <v>34017</v>
      </c>
      <c r="F5968" s="8" t="s">
        <v>13835</v>
      </c>
      <c r="G5968" s="6" t="s">
        <v>60</v>
      </c>
      <c r="H5968" s="6" t="s">
        <v>134</v>
      </c>
      <c r="I5968" s="8"/>
      <c r="J5968" s="9">
        <v>1</v>
      </c>
      <c r="K5968" s="9">
        <v>816</v>
      </c>
      <c r="L5968" s="9">
        <v>2026</v>
      </c>
      <c r="M5968" s="8" t="s">
        <v>34018</v>
      </c>
      <c r="N5968" s="8" t="s">
        <v>37</v>
      </c>
      <c r="O5968" s="8" t="s">
        <v>136</v>
      </c>
      <c r="P5968" s="6" t="s">
        <v>306</v>
      </c>
      <c r="Q5968" s="8" t="s">
        <v>52</v>
      </c>
      <c r="R5968" s="10" t="s">
        <v>34019</v>
      </c>
      <c r="S5968" s="11"/>
      <c r="T5968" s="6"/>
      <c r="U5968" s="15" t="str">
        <f>HYPERLINK("https://media.infra-m.ru/2243/2243064/cover/2243064.jpg", "Обложка")</f>
        <v>Обложка</v>
      </c>
      <c r="V5968" s="8" t="s">
        <v>1069</v>
      </c>
      <c r="W5968" s="6"/>
      <c r="X5968" s="6"/>
      <c r="Y5968" s="6"/>
      <c r="Z5968" s="6"/>
      <c r="AA5968" s="6" t="s">
        <v>3391</v>
      </c>
      <c r="AB5968" s="8"/>
      <c r="AC5968" s="27">
        <v>9785917681160</v>
      </c>
    </row>
    <row r="5969" spans="1:29" s="4" customFormat="1" ht="42" customHeight="1" x14ac:dyDescent="0.2">
      <c r="A5969" s="5">
        <v>0</v>
      </c>
      <c r="B5969" s="6" t="s">
        <v>34020</v>
      </c>
      <c r="C5969" s="7">
        <v>3468</v>
      </c>
      <c r="D5969" s="8" t="s">
        <v>34021</v>
      </c>
      <c r="E5969" s="8" t="s">
        <v>34022</v>
      </c>
      <c r="F5969" s="8" t="s">
        <v>34023</v>
      </c>
      <c r="G5969" s="6" t="s">
        <v>60</v>
      </c>
      <c r="H5969" s="6" t="s">
        <v>134</v>
      </c>
      <c r="I5969" s="8"/>
      <c r="J5969" s="9">
        <v>1</v>
      </c>
      <c r="K5969" s="9">
        <v>656</v>
      </c>
      <c r="L5969" s="9">
        <v>2025</v>
      </c>
      <c r="M5969" s="8" t="s">
        <v>34024</v>
      </c>
      <c r="N5969" s="8" t="s">
        <v>37</v>
      </c>
      <c r="O5969" s="8" t="s">
        <v>136</v>
      </c>
      <c r="P5969" s="6" t="s">
        <v>306</v>
      </c>
      <c r="Q5969" s="8" t="s">
        <v>52</v>
      </c>
      <c r="R5969" s="10" t="s">
        <v>1667</v>
      </c>
      <c r="S5969" s="11"/>
      <c r="T5969" s="6"/>
      <c r="U5969" s="15" t="str">
        <f>HYPERLINK("https://media.infra-m.ru/2165/2165975/cover/2165975.jpg", "Обложка")</f>
        <v>Обложка</v>
      </c>
      <c r="V5969" s="8" t="s">
        <v>138</v>
      </c>
      <c r="W5969" s="6"/>
      <c r="X5969" s="6"/>
      <c r="Y5969" s="6"/>
      <c r="Z5969" s="6"/>
      <c r="AA5969" s="6" t="s">
        <v>43</v>
      </c>
      <c r="AB5969" s="8"/>
      <c r="AC5969" s="27">
        <v>9785917682563</v>
      </c>
    </row>
    <row r="5970" spans="1:29" s="4" customFormat="1" ht="44.1" customHeight="1" x14ac:dyDescent="0.2">
      <c r="A5970" s="5">
        <v>0</v>
      </c>
      <c r="B5970" s="6" t="s">
        <v>34025</v>
      </c>
      <c r="C5970" s="7">
        <v>1020</v>
      </c>
      <c r="D5970" s="8" t="s">
        <v>34026</v>
      </c>
      <c r="E5970" s="8" t="s">
        <v>34027</v>
      </c>
      <c r="F5970" s="8" t="s">
        <v>15020</v>
      </c>
      <c r="G5970" s="6" t="s">
        <v>118</v>
      </c>
      <c r="H5970" s="6" t="s">
        <v>34</v>
      </c>
      <c r="I5970" s="8" t="s">
        <v>1074</v>
      </c>
      <c r="J5970" s="9">
        <v>1</v>
      </c>
      <c r="K5970" s="9">
        <v>176</v>
      </c>
      <c r="L5970" s="9">
        <v>2023</v>
      </c>
      <c r="M5970" s="8" t="s">
        <v>34028</v>
      </c>
      <c r="N5970" s="8" t="s">
        <v>37</v>
      </c>
      <c r="O5970" s="8" t="s">
        <v>136</v>
      </c>
      <c r="P5970" s="6" t="s">
        <v>1293</v>
      </c>
      <c r="Q5970" s="8" t="s">
        <v>749</v>
      </c>
      <c r="R5970" s="10" t="s">
        <v>1625</v>
      </c>
      <c r="S5970" s="11"/>
      <c r="T5970" s="6"/>
      <c r="U5970" s="15" t="str">
        <f>HYPERLINK("https://media.infra-m.ru/1905/1905876/cover/1905876.jpg", "Обложка")</f>
        <v>Обложка</v>
      </c>
      <c r="V5970" s="8" t="s">
        <v>546</v>
      </c>
      <c r="W5970" s="6"/>
      <c r="X5970" s="6"/>
      <c r="Y5970" s="6"/>
      <c r="Z5970" s="6"/>
      <c r="AA5970" s="6" t="s">
        <v>274</v>
      </c>
      <c r="AB5970" s="8"/>
      <c r="AC5970" s="27">
        <v>9785160111360</v>
      </c>
    </row>
    <row r="5971" spans="1:29" s="4" customFormat="1" ht="42" customHeight="1" x14ac:dyDescent="0.2">
      <c r="A5971" s="5">
        <v>0</v>
      </c>
      <c r="B5971" s="6" t="s">
        <v>34029</v>
      </c>
      <c r="C5971" s="13">
        <v>840</v>
      </c>
      <c r="D5971" s="8" t="s">
        <v>34030</v>
      </c>
      <c r="E5971" s="8" t="s">
        <v>34031</v>
      </c>
      <c r="F5971" s="8" t="s">
        <v>34032</v>
      </c>
      <c r="G5971" s="6" t="s">
        <v>33</v>
      </c>
      <c r="H5971" s="6" t="s">
        <v>34</v>
      </c>
      <c r="I5971" s="8" t="s">
        <v>35</v>
      </c>
      <c r="J5971" s="9">
        <v>1</v>
      </c>
      <c r="K5971" s="9">
        <v>151</v>
      </c>
      <c r="L5971" s="9">
        <v>2024</v>
      </c>
      <c r="M5971" s="8" t="s">
        <v>34033</v>
      </c>
      <c r="N5971" s="8" t="s">
        <v>585</v>
      </c>
      <c r="O5971" s="8" t="s">
        <v>775</v>
      </c>
      <c r="P5971" s="6" t="s">
        <v>39</v>
      </c>
      <c r="Q5971" s="8" t="s">
        <v>40</v>
      </c>
      <c r="R5971" s="10" t="s">
        <v>7774</v>
      </c>
      <c r="S5971" s="11"/>
      <c r="T5971" s="6"/>
      <c r="U5971" s="15" t="str">
        <f>HYPERLINK("https://media.infra-m.ru/2104/2104850/cover/2104850.jpg", "Обложка")</f>
        <v>Обложка</v>
      </c>
      <c r="V5971" s="8" t="s">
        <v>34034</v>
      </c>
      <c r="W5971" s="6"/>
      <c r="X5971" s="6"/>
      <c r="Y5971" s="6"/>
      <c r="Z5971" s="6"/>
      <c r="AA5971" s="6" t="s">
        <v>86</v>
      </c>
      <c r="AB5971" s="8"/>
      <c r="AC5971" s="27">
        <v>9785160142722</v>
      </c>
    </row>
    <row r="5972" spans="1:29" s="4" customFormat="1" ht="51.9" customHeight="1" x14ac:dyDescent="0.2">
      <c r="A5972" s="5">
        <v>0</v>
      </c>
      <c r="B5972" s="6" t="s">
        <v>34035</v>
      </c>
      <c r="C5972" s="7">
        <v>1236</v>
      </c>
      <c r="D5972" s="8" t="s">
        <v>34036</v>
      </c>
      <c r="E5972" s="8" t="s">
        <v>34037</v>
      </c>
      <c r="F5972" s="8" t="s">
        <v>18494</v>
      </c>
      <c r="G5972" s="6" t="s">
        <v>33</v>
      </c>
      <c r="H5972" s="6" t="s">
        <v>34</v>
      </c>
      <c r="I5972" s="8" t="s">
        <v>35</v>
      </c>
      <c r="J5972" s="9">
        <v>1</v>
      </c>
      <c r="K5972" s="9">
        <v>181</v>
      </c>
      <c r="L5972" s="9">
        <v>2025</v>
      </c>
      <c r="M5972" s="8" t="s">
        <v>34038</v>
      </c>
      <c r="N5972" s="8" t="s">
        <v>37</v>
      </c>
      <c r="O5972" s="8" t="s">
        <v>233</v>
      </c>
      <c r="P5972" s="6" t="s">
        <v>39</v>
      </c>
      <c r="Q5972" s="8" t="s">
        <v>40</v>
      </c>
      <c r="R5972" s="10" t="s">
        <v>4360</v>
      </c>
      <c r="S5972" s="11"/>
      <c r="T5972" s="6"/>
      <c r="U5972" s="15" t="str">
        <f>HYPERLINK("https://media.infra-m.ru/2148/2148762/cover/2148762.jpg", "Обложка")</f>
        <v>Обложка</v>
      </c>
      <c r="V5972" s="8" t="s">
        <v>5964</v>
      </c>
      <c r="W5972" s="6"/>
      <c r="X5972" s="6"/>
      <c r="Y5972" s="6"/>
      <c r="Z5972" s="6"/>
      <c r="AA5972" s="6" t="s">
        <v>68</v>
      </c>
      <c r="AB5972" s="8"/>
      <c r="AC5972" s="27">
        <v>9785160199658</v>
      </c>
    </row>
    <row r="5973" spans="1:29" s="4" customFormat="1" ht="51.9" customHeight="1" x14ac:dyDescent="0.2">
      <c r="A5973" s="5">
        <v>0</v>
      </c>
      <c r="B5973" s="6" t="s">
        <v>34039</v>
      </c>
      <c r="C5973" s="7">
        <v>2880</v>
      </c>
      <c r="D5973" s="8" t="s">
        <v>34040</v>
      </c>
      <c r="E5973" s="8" t="s">
        <v>34041</v>
      </c>
      <c r="F5973" s="8" t="s">
        <v>34042</v>
      </c>
      <c r="G5973" s="6" t="s">
        <v>60</v>
      </c>
      <c r="H5973" s="6" t="s">
        <v>134</v>
      </c>
      <c r="I5973" s="8"/>
      <c r="J5973" s="9">
        <v>1</v>
      </c>
      <c r="K5973" s="9">
        <v>416</v>
      </c>
      <c r="L5973" s="9">
        <v>2026</v>
      </c>
      <c r="M5973" s="8" t="s">
        <v>34043</v>
      </c>
      <c r="N5973" s="8" t="s">
        <v>37</v>
      </c>
      <c r="O5973" s="8" t="s">
        <v>136</v>
      </c>
      <c r="P5973" s="6" t="s">
        <v>39</v>
      </c>
      <c r="Q5973" s="8" t="s">
        <v>40</v>
      </c>
      <c r="R5973" s="10" t="s">
        <v>34044</v>
      </c>
      <c r="S5973" s="11"/>
      <c r="T5973" s="6"/>
      <c r="U5973" s="15" t="str">
        <f>HYPERLINK("https://media.infra-m.ru/2247/2247248/cover/2247248.jpg", "Обложка")</f>
        <v>Обложка</v>
      </c>
      <c r="V5973" s="8" t="s">
        <v>138</v>
      </c>
      <c r="W5973" s="6"/>
      <c r="X5973" s="6"/>
      <c r="Y5973" s="6"/>
      <c r="Z5973" s="6"/>
      <c r="AA5973" s="6" t="s">
        <v>76</v>
      </c>
      <c r="AB5973" s="8"/>
      <c r="AC5973" s="27">
        <v>9785001563334</v>
      </c>
    </row>
    <row r="5974" spans="1:29" s="4" customFormat="1" ht="42" customHeight="1" x14ac:dyDescent="0.2">
      <c r="A5974" s="5">
        <v>0</v>
      </c>
      <c r="B5974" s="6" t="s">
        <v>34045</v>
      </c>
      <c r="C5974" s="7">
        <v>2212.8000000000002</v>
      </c>
      <c r="D5974" s="8" t="s">
        <v>34046</v>
      </c>
      <c r="E5974" s="8" t="s">
        <v>34047</v>
      </c>
      <c r="F5974" s="8" t="s">
        <v>15801</v>
      </c>
      <c r="G5974" s="6" t="s">
        <v>60</v>
      </c>
      <c r="H5974" s="6" t="s">
        <v>134</v>
      </c>
      <c r="I5974" s="8"/>
      <c r="J5974" s="9">
        <v>1</v>
      </c>
      <c r="K5974" s="9">
        <v>336</v>
      </c>
      <c r="L5974" s="9">
        <v>2026</v>
      </c>
      <c r="M5974" s="8" t="s">
        <v>34048</v>
      </c>
      <c r="N5974" s="8" t="s">
        <v>37</v>
      </c>
      <c r="O5974" s="8" t="s">
        <v>136</v>
      </c>
      <c r="P5974" s="6" t="s">
        <v>39</v>
      </c>
      <c r="Q5974" s="8" t="s">
        <v>40</v>
      </c>
      <c r="R5974" s="10" t="s">
        <v>6521</v>
      </c>
      <c r="S5974" s="11"/>
      <c r="T5974" s="6"/>
      <c r="U5974" s="15" t="str">
        <f>HYPERLINK("https://media.infra-m.ru/2221/2221650/cover/2221650.jpg", "Обложка")</f>
        <v>Обложка</v>
      </c>
      <c r="V5974" s="8" t="s">
        <v>13400</v>
      </c>
      <c r="W5974" s="6"/>
      <c r="X5974" s="6"/>
      <c r="Y5974" s="6"/>
      <c r="Z5974" s="6"/>
      <c r="AA5974" s="6" t="s">
        <v>86</v>
      </c>
      <c r="AB5974" s="8"/>
      <c r="AC5974" s="27">
        <v>9785917688787</v>
      </c>
    </row>
    <row r="5975" spans="1:29" s="4" customFormat="1" ht="51.9" customHeight="1" x14ac:dyDescent="0.2">
      <c r="A5975" s="5">
        <v>0</v>
      </c>
      <c r="B5975" s="6" t="s">
        <v>34049</v>
      </c>
      <c r="C5975" s="7">
        <v>1104</v>
      </c>
      <c r="D5975" s="8" t="s">
        <v>34050</v>
      </c>
      <c r="E5975" s="8" t="s">
        <v>34051</v>
      </c>
      <c r="F5975" s="8" t="s">
        <v>34052</v>
      </c>
      <c r="G5975" s="6" t="s">
        <v>33</v>
      </c>
      <c r="H5975" s="6" t="s">
        <v>34</v>
      </c>
      <c r="I5975" s="8" t="s">
        <v>35</v>
      </c>
      <c r="J5975" s="9">
        <v>1</v>
      </c>
      <c r="K5975" s="9">
        <v>175</v>
      </c>
      <c r="L5975" s="9">
        <v>2025</v>
      </c>
      <c r="M5975" s="8" t="s">
        <v>34053</v>
      </c>
      <c r="N5975" s="8" t="s">
        <v>37</v>
      </c>
      <c r="O5975" s="8" t="s">
        <v>233</v>
      </c>
      <c r="P5975" s="6" t="s">
        <v>39</v>
      </c>
      <c r="Q5975" s="8" t="s">
        <v>40</v>
      </c>
      <c r="R5975" s="10" t="s">
        <v>1993</v>
      </c>
      <c r="S5975" s="11"/>
      <c r="T5975" s="6"/>
      <c r="U5975" s="15" t="str">
        <f>HYPERLINK("https://media.infra-m.ru/2208/2208451/cover/2208451.jpg", "Обложка")</f>
        <v>Обложка</v>
      </c>
      <c r="V5975" s="8" t="s">
        <v>8716</v>
      </c>
      <c r="W5975" s="6"/>
      <c r="X5975" s="6"/>
      <c r="Y5975" s="6"/>
      <c r="Z5975" s="6"/>
      <c r="AA5975" s="6" t="s">
        <v>86</v>
      </c>
      <c r="AB5975" s="8"/>
      <c r="AC5975" s="27">
        <v>9785160146256</v>
      </c>
    </row>
    <row r="5976" spans="1:29" s="4" customFormat="1" ht="42" customHeight="1" x14ac:dyDescent="0.2">
      <c r="A5976" s="5">
        <v>0</v>
      </c>
      <c r="B5976" s="6" t="s">
        <v>34054</v>
      </c>
      <c r="C5976" s="13">
        <v>936</v>
      </c>
      <c r="D5976" s="8" t="s">
        <v>34055</v>
      </c>
      <c r="E5976" s="8" t="s">
        <v>34056</v>
      </c>
      <c r="F5976" s="8" t="s">
        <v>34057</v>
      </c>
      <c r="G5976" s="6" t="s">
        <v>33</v>
      </c>
      <c r="H5976" s="6" t="s">
        <v>34</v>
      </c>
      <c r="I5976" s="8" t="s">
        <v>35</v>
      </c>
      <c r="J5976" s="9">
        <v>1</v>
      </c>
      <c r="K5976" s="9">
        <v>202</v>
      </c>
      <c r="L5976" s="9">
        <v>2021</v>
      </c>
      <c r="M5976" s="8" t="s">
        <v>34058</v>
      </c>
      <c r="N5976" s="8" t="s">
        <v>243</v>
      </c>
      <c r="O5976" s="8" t="s">
        <v>329</v>
      </c>
      <c r="P5976" s="6" t="s">
        <v>39</v>
      </c>
      <c r="Q5976" s="8" t="s">
        <v>40</v>
      </c>
      <c r="R5976" s="10" t="s">
        <v>23924</v>
      </c>
      <c r="S5976" s="11"/>
      <c r="T5976" s="6"/>
      <c r="U5976" s="15" t="str">
        <f>HYPERLINK("https://media.infra-m.ru/1194/1194152/cover/1194152.jpg", "Обложка")</f>
        <v>Обложка</v>
      </c>
      <c r="V5976" s="8" t="s">
        <v>644</v>
      </c>
      <c r="W5976" s="6"/>
      <c r="X5976" s="6"/>
      <c r="Y5976" s="6"/>
      <c r="Z5976" s="6"/>
      <c r="AA5976" s="6" t="s">
        <v>430</v>
      </c>
      <c r="AB5976" s="8"/>
      <c r="AC5976" s="27">
        <v>9785160165936</v>
      </c>
    </row>
    <row r="5977" spans="1:29" s="4" customFormat="1" ht="42" customHeight="1" x14ac:dyDescent="0.2">
      <c r="A5977" s="5">
        <v>0</v>
      </c>
      <c r="B5977" s="6" t="s">
        <v>34059</v>
      </c>
      <c r="C5977" s="7">
        <v>1020</v>
      </c>
      <c r="D5977" s="8" t="s">
        <v>34060</v>
      </c>
      <c r="E5977" s="8" t="s">
        <v>34056</v>
      </c>
      <c r="F5977" s="8" t="s">
        <v>34057</v>
      </c>
      <c r="G5977" s="6" t="s">
        <v>118</v>
      </c>
      <c r="H5977" s="6" t="s">
        <v>34</v>
      </c>
      <c r="I5977" s="8" t="s">
        <v>35</v>
      </c>
      <c r="J5977" s="9">
        <v>1</v>
      </c>
      <c r="K5977" s="9">
        <v>202</v>
      </c>
      <c r="L5977" s="9">
        <v>2022</v>
      </c>
      <c r="M5977" s="8" t="s">
        <v>34061</v>
      </c>
      <c r="N5977" s="8" t="s">
        <v>243</v>
      </c>
      <c r="O5977" s="8" t="s">
        <v>329</v>
      </c>
      <c r="P5977" s="6" t="s">
        <v>39</v>
      </c>
      <c r="Q5977" s="8" t="s">
        <v>40</v>
      </c>
      <c r="R5977" s="10" t="s">
        <v>23924</v>
      </c>
      <c r="S5977" s="11"/>
      <c r="T5977" s="6"/>
      <c r="U5977" s="15" t="str">
        <f>HYPERLINK("https://media.infra-m.ru/1836/1836396/cover/1836396.jpg", "Обложка")</f>
        <v>Обложка</v>
      </c>
      <c r="V5977" s="8" t="s">
        <v>644</v>
      </c>
      <c r="W5977" s="6"/>
      <c r="X5977" s="6"/>
      <c r="Y5977" s="6"/>
      <c r="Z5977" s="6"/>
      <c r="AA5977" s="6" t="s">
        <v>430</v>
      </c>
      <c r="AB5977" s="8"/>
      <c r="AC5977" s="27">
        <v>9785160170190</v>
      </c>
    </row>
    <row r="5978" spans="1:29" s="4" customFormat="1" ht="51.9" customHeight="1" x14ac:dyDescent="0.2">
      <c r="A5978" s="5">
        <v>0</v>
      </c>
      <c r="B5978" s="6" t="s">
        <v>34062</v>
      </c>
      <c r="C5978" s="7">
        <v>1608</v>
      </c>
      <c r="D5978" s="8" t="s">
        <v>34063</v>
      </c>
      <c r="E5978" s="8" t="s">
        <v>34064</v>
      </c>
      <c r="F5978" s="8" t="s">
        <v>34065</v>
      </c>
      <c r="G5978" s="6" t="s">
        <v>118</v>
      </c>
      <c r="H5978" s="6" t="s">
        <v>134</v>
      </c>
      <c r="I5978" s="8"/>
      <c r="J5978" s="9">
        <v>1</v>
      </c>
      <c r="K5978" s="9">
        <v>256</v>
      </c>
      <c r="L5978" s="9">
        <v>2025</v>
      </c>
      <c r="M5978" s="8" t="s">
        <v>34066</v>
      </c>
      <c r="N5978" s="8" t="s">
        <v>37</v>
      </c>
      <c r="O5978" s="8" t="s">
        <v>136</v>
      </c>
      <c r="P5978" s="6" t="s">
        <v>51</v>
      </c>
      <c r="Q5978" s="8" t="s">
        <v>500</v>
      </c>
      <c r="R5978" s="10" t="s">
        <v>11161</v>
      </c>
      <c r="S5978" s="11"/>
      <c r="T5978" s="6"/>
      <c r="U5978" s="15" t="str">
        <f>HYPERLINK("https://media.infra-m.ru/2205/2205960/cover/2205960.jpg", "Обложка")</f>
        <v>Обложка</v>
      </c>
      <c r="V5978" s="8" t="s">
        <v>1184</v>
      </c>
      <c r="W5978" s="6"/>
      <c r="X5978" s="6"/>
      <c r="Y5978" s="6"/>
      <c r="Z5978" s="6"/>
      <c r="AA5978" s="6" t="s">
        <v>115</v>
      </c>
      <c r="AB5978" s="8"/>
      <c r="AC5978" s="27">
        <v>9785001560012</v>
      </c>
    </row>
    <row r="5979" spans="1:29" s="4" customFormat="1" ht="42" customHeight="1" x14ac:dyDescent="0.2">
      <c r="A5979" s="5">
        <v>0</v>
      </c>
      <c r="B5979" s="6" t="s">
        <v>34067</v>
      </c>
      <c r="C5979" s="7">
        <v>2056.8000000000002</v>
      </c>
      <c r="D5979" s="8" t="s">
        <v>34068</v>
      </c>
      <c r="E5979" s="8" t="s">
        <v>34069</v>
      </c>
      <c r="F5979" s="8" t="s">
        <v>34070</v>
      </c>
      <c r="G5979" s="6" t="s">
        <v>60</v>
      </c>
      <c r="H5979" s="6" t="s">
        <v>134</v>
      </c>
      <c r="I5979" s="8"/>
      <c r="J5979" s="9">
        <v>1</v>
      </c>
      <c r="K5979" s="9">
        <v>296</v>
      </c>
      <c r="L5979" s="9">
        <v>2027</v>
      </c>
      <c r="M5979" s="8" t="s">
        <v>34071</v>
      </c>
      <c r="N5979" s="8" t="s">
        <v>37</v>
      </c>
      <c r="O5979" s="8" t="s">
        <v>136</v>
      </c>
      <c r="P5979" s="6" t="s">
        <v>306</v>
      </c>
      <c r="Q5979" s="8" t="s">
        <v>500</v>
      </c>
      <c r="R5979" s="10" t="s">
        <v>8485</v>
      </c>
      <c r="S5979" s="11"/>
      <c r="T5979" s="6"/>
      <c r="U5979" s="15" t="str">
        <f>HYPERLINK("https://media.infra-m.ru/2269/2269364/cover/2269364.jpg", "Обложка")</f>
        <v>Обложка</v>
      </c>
      <c r="V5979" s="8" t="s">
        <v>657</v>
      </c>
      <c r="W5979" s="6"/>
      <c r="X5979" s="6"/>
      <c r="Y5979" s="6"/>
      <c r="Z5979" s="6"/>
      <c r="AA5979" s="6" t="s">
        <v>430</v>
      </c>
      <c r="AB5979" s="8"/>
      <c r="AC5979" s="27">
        <v>9785001560999</v>
      </c>
    </row>
    <row r="5980" spans="1:29" s="4" customFormat="1" ht="44.1" customHeight="1" x14ac:dyDescent="0.2">
      <c r="A5980" s="5">
        <v>0</v>
      </c>
      <c r="B5980" s="6" t="s">
        <v>34072</v>
      </c>
      <c r="C5980" s="7">
        <v>2124</v>
      </c>
      <c r="D5980" s="8" t="s">
        <v>34073</v>
      </c>
      <c r="E5980" s="8" t="s">
        <v>34069</v>
      </c>
      <c r="F5980" s="8" t="s">
        <v>8500</v>
      </c>
      <c r="G5980" s="6" t="s">
        <v>60</v>
      </c>
      <c r="H5980" s="6" t="s">
        <v>34</v>
      </c>
      <c r="I5980" s="8" t="s">
        <v>253</v>
      </c>
      <c r="J5980" s="9">
        <v>1</v>
      </c>
      <c r="K5980" s="9">
        <v>246</v>
      </c>
      <c r="L5980" s="9">
        <v>2026</v>
      </c>
      <c r="M5980" s="8" t="s">
        <v>34074</v>
      </c>
      <c r="N5980" s="8" t="s">
        <v>37</v>
      </c>
      <c r="O5980" s="8" t="s">
        <v>136</v>
      </c>
      <c r="P5980" s="6" t="s">
        <v>306</v>
      </c>
      <c r="Q5980" s="8" t="s">
        <v>52</v>
      </c>
      <c r="R5980" s="10" t="s">
        <v>34009</v>
      </c>
      <c r="S5980" s="11"/>
      <c r="T5980" s="6"/>
      <c r="U5980" s="15" t="str">
        <f>HYPERLINK("https://media.infra-m.ru/2211/2211137/cover/2211137.jpg", "Обложка")</f>
        <v>Обложка</v>
      </c>
      <c r="V5980" s="8" t="s">
        <v>8502</v>
      </c>
      <c r="W5980" s="6" t="s">
        <v>342</v>
      </c>
      <c r="X5980" s="6"/>
      <c r="Y5980" s="6"/>
      <c r="Z5980" s="6"/>
      <c r="AA5980" s="6" t="s">
        <v>187</v>
      </c>
      <c r="AB5980" s="8" t="s">
        <v>308</v>
      </c>
      <c r="AC5980" s="27">
        <v>9785160210254</v>
      </c>
    </row>
    <row r="5981" spans="1:29" s="4" customFormat="1" ht="42" customHeight="1" x14ac:dyDescent="0.2">
      <c r="A5981" s="5">
        <v>0</v>
      </c>
      <c r="B5981" s="6" t="s">
        <v>34075</v>
      </c>
      <c r="C5981" s="7">
        <v>3592.8</v>
      </c>
      <c r="D5981" s="8" t="s">
        <v>34076</v>
      </c>
      <c r="E5981" s="8" t="s">
        <v>34069</v>
      </c>
      <c r="F5981" s="8" t="s">
        <v>15020</v>
      </c>
      <c r="G5981" s="6" t="s">
        <v>118</v>
      </c>
      <c r="H5981" s="6" t="s">
        <v>134</v>
      </c>
      <c r="I5981" s="8"/>
      <c r="J5981" s="9">
        <v>1</v>
      </c>
      <c r="K5981" s="9">
        <v>544</v>
      </c>
      <c r="L5981" s="9">
        <v>2026</v>
      </c>
      <c r="M5981" s="8" t="s">
        <v>34077</v>
      </c>
      <c r="N5981" s="8" t="s">
        <v>37</v>
      </c>
      <c r="O5981" s="8" t="s">
        <v>136</v>
      </c>
      <c r="P5981" s="6" t="s">
        <v>306</v>
      </c>
      <c r="Q5981" s="8" t="s">
        <v>500</v>
      </c>
      <c r="R5981" s="10" t="s">
        <v>684</v>
      </c>
      <c r="S5981" s="11"/>
      <c r="T5981" s="6"/>
      <c r="U5981" s="15" t="str">
        <f>HYPERLINK("https://media.infra-m.ru/2231/2231150/cover/2231150.jpg", "Обложка")</f>
        <v>Обложка</v>
      </c>
      <c r="V5981" s="8" t="s">
        <v>546</v>
      </c>
      <c r="W5981" s="6"/>
      <c r="X5981" s="6"/>
      <c r="Y5981" s="6"/>
      <c r="Z5981" s="6"/>
      <c r="AA5981" s="6" t="s">
        <v>1256</v>
      </c>
      <c r="AB5981" s="8"/>
      <c r="AC5981" s="27">
        <v>9785001560678</v>
      </c>
    </row>
    <row r="5982" spans="1:29" s="4" customFormat="1" ht="42" customHeight="1" x14ac:dyDescent="0.2">
      <c r="A5982" s="5">
        <v>0</v>
      </c>
      <c r="B5982" s="6" t="s">
        <v>34078</v>
      </c>
      <c r="C5982" s="7">
        <v>1612.8</v>
      </c>
      <c r="D5982" s="8" t="s">
        <v>34079</v>
      </c>
      <c r="E5982" s="8" t="s">
        <v>34080</v>
      </c>
      <c r="F5982" s="8" t="s">
        <v>8137</v>
      </c>
      <c r="G5982" s="6" t="s">
        <v>33</v>
      </c>
      <c r="H5982" s="6" t="s">
        <v>34</v>
      </c>
      <c r="I5982" s="8" t="s">
        <v>35</v>
      </c>
      <c r="J5982" s="9">
        <v>1</v>
      </c>
      <c r="K5982" s="9">
        <v>269</v>
      </c>
      <c r="L5982" s="9">
        <v>2025</v>
      </c>
      <c r="M5982" s="8" t="s">
        <v>34081</v>
      </c>
      <c r="N5982" s="8" t="s">
        <v>37</v>
      </c>
      <c r="O5982" s="8" t="s">
        <v>233</v>
      </c>
      <c r="P5982" s="6" t="s">
        <v>39</v>
      </c>
      <c r="Q5982" s="8" t="s">
        <v>40</v>
      </c>
      <c r="R5982" s="10" t="s">
        <v>5320</v>
      </c>
      <c r="S5982" s="11"/>
      <c r="T5982" s="6"/>
      <c r="U5982" s="15" t="str">
        <f>HYPERLINK("https://media.infra-m.ru/2161/2161514/cover/2161514.jpg", "Обложка")</f>
        <v>Обложка</v>
      </c>
      <c r="V5982" s="8" t="s">
        <v>8139</v>
      </c>
      <c r="W5982" s="6"/>
      <c r="X5982" s="6"/>
      <c r="Y5982" s="6"/>
      <c r="Z5982" s="6"/>
      <c r="AA5982" s="6" t="s">
        <v>430</v>
      </c>
      <c r="AB5982" s="8"/>
      <c r="AC5982" s="27">
        <v>9785160165639</v>
      </c>
    </row>
    <row r="5983" spans="1:29" s="4" customFormat="1" ht="42" customHeight="1" x14ac:dyDescent="0.2">
      <c r="A5983" s="5">
        <v>0</v>
      </c>
      <c r="B5983" s="6" t="s">
        <v>34082</v>
      </c>
      <c r="C5983" s="7">
        <v>2256</v>
      </c>
      <c r="D5983" s="8" t="s">
        <v>34083</v>
      </c>
      <c r="E5983" s="8" t="s">
        <v>34084</v>
      </c>
      <c r="F5983" s="8" t="s">
        <v>34085</v>
      </c>
      <c r="G5983" s="6" t="s">
        <v>60</v>
      </c>
      <c r="H5983" s="6" t="s">
        <v>34</v>
      </c>
      <c r="I5983" s="8" t="s">
        <v>35</v>
      </c>
      <c r="J5983" s="9">
        <v>1</v>
      </c>
      <c r="K5983" s="9">
        <v>341</v>
      </c>
      <c r="L5983" s="9">
        <v>2026</v>
      </c>
      <c r="M5983" s="8" t="s">
        <v>34086</v>
      </c>
      <c r="N5983" s="8" t="s">
        <v>63</v>
      </c>
      <c r="O5983" s="8" t="s">
        <v>126</v>
      </c>
      <c r="P5983" s="6" t="s">
        <v>39</v>
      </c>
      <c r="Q5983" s="8" t="s">
        <v>40</v>
      </c>
      <c r="R5983" s="10" t="s">
        <v>34087</v>
      </c>
      <c r="S5983" s="11"/>
      <c r="T5983" s="6"/>
      <c r="U5983" s="15" t="str">
        <f>HYPERLINK("https://media.infra-m.ru/2189/2189087/cover/2189087.jpg", "Обложка")</f>
        <v>Обложка</v>
      </c>
      <c r="V5983" s="8" t="s">
        <v>34088</v>
      </c>
      <c r="W5983" s="6" t="s">
        <v>547</v>
      </c>
      <c r="X5983" s="6"/>
      <c r="Y5983" s="6"/>
      <c r="Z5983" s="6"/>
      <c r="AA5983" s="6" t="s">
        <v>187</v>
      </c>
      <c r="AB5983" s="8"/>
      <c r="AC5983" s="27">
        <v>9785160207223</v>
      </c>
    </row>
    <row r="5984" spans="1:29" s="4" customFormat="1" ht="42" customHeight="1" x14ac:dyDescent="0.2">
      <c r="A5984" s="5">
        <v>0</v>
      </c>
      <c r="B5984" s="6" t="s">
        <v>34089</v>
      </c>
      <c r="C5984" s="7">
        <v>1344</v>
      </c>
      <c r="D5984" s="8" t="s">
        <v>34090</v>
      </c>
      <c r="E5984" s="8" t="s">
        <v>34091</v>
      </c>
      <c r="F5984" s="8" t="s">
        <v>34092</v>
      </c>
      <c r="G5984" s="6" t="s">
        <v>118</v>
      </c>
      <c r="H5984" s="6" t="s">
        <v>134</v>
      </c>
      <c r="I5984" s="8"/>
      <c r="J5984" s="9">
        <v>1</v>
      </c>
      <c r="K5984" s="9">
        <v>224</v>
      </c>
      <c r="L5984" s="9">
        <v>2025</v>
      </c>
      <c r="M5984" s="8" t="s">
        <v>34093</v>
      </c>
      <c r="N5984" s="8" t="s">
        <v>37</v>
      </c>
      <c r="O5984" s="8" t="s">
        <v>136</v>
      </c>
      <c r="P5984" s="6" t="s">
        <v>51</v>
      </c>
      <c r="Q5984" s="8" t="s">
        <v>52</v>
      </c>
      <c r="R5984" s="10" t="s">
        <v>1255</v>
      </c>
      <c r="S5984" s="11"/>
      <c r="T5984" s="6"/>
      <c r="U5984" s="15" t="str">
        <f>HYPERLINK("https://media.infra-m.ru/2170/2170038/cover/2170038.jpg", "Обложка")</f>
        <v>Обложка</v>
      </c>
      <c r="V5984" s="8" t="s">
        <v>1184</v>
      </c>
      <c r="W5984" s="6"/>
      <c r="X5984" s="6"/>
      <c r="Y5984" s="6"/>
      <c r="Z5984" s="6"/>
      <c r="AA5984" s="6" t="s">
        <v>430</v>
      </c>
      <c r="AB5984" s="8"/>
      <c r="AC5984" s="27">
        <v>9785001561545</v>
      </c>
    </row>
    <row r="5985" spans="1:29" s="4" customFormat="1" ht="51.9" customHeight="1" x14ac:dyDescent="0.2">
      <c r="A5985" s="5">
        <v>0</v>
      </c>
      <c r="B5985" s="6" t="s">
        <v>34094</v>
      </c>
      <c r="C5985" s="7">
        <v>1132.8</v>
      </c>
      <c r="D5985" s="8" t="s">
        <v>34095</v>
      </c>
      <c r="E5985" s="8" t="s">
        <v>34096</v>
      </c>
      <c r="F5985" s="8" t="s">
        <v>34097</v>
      </c>
      <c r="G5985" s="6" t="s">
        <v>33</v>
      </c>
      <c r="H5985" s="6" t="s">
        <v>313</v>
      </c>
      <c r="I5985" s="8" t="s">
        <v>35</v>
      </c>
      <c r="J5985" s="9">
        <v>1</v>
      </c>
      <c r="K5985" s="9">
        <v>244</v>
      </c>
      <c r="L5985" s="9">
        <v>2020</v>
      </c>
      <c r="M5985" s="8" t="s">
        <v>34098</v>
      </c>
      <c r="N5985" s="8" t="s">
        <v>37</v>
      </c>
      <c r="O5985" s="8" t="s">
        <v>499</v>
      </c>
      <c r="P5985" s="6" t="s">
        <v>39</v>
      </c>
      <c r="Q5985" s="8" t="s">
        <v>40</v>
      </c>
      <c r="R5985" s="10" t="s">
        <v>34099</v>
      </c>
      <c r="S5985" s="11"/>
      <c r="T5985" s="6"/>
      <c r="U5985" s="15" t="str">
        <f>HYPERLINK("https://media.infra-m.ru/2117/2117162/cover/2117162.jpg", "Обложка")</f>
        <v>Обложка</v>
      </c>
      <c r="V5985" s="8" t="s">
        <v>4368</v>
      </c>
      <c r="W5985" s="6"/>
      <c r="X5985" s="6"/>
      <c r="Y5985" s="6"/>
      <c r="Z5985" s="6"/>
      <c r="AA5985" s="6" t="s">
        <v>274</v>
      </c>
      <c r="AB5985" s="8"/>
      <c r="AC5985" s="27">
        <v>9785369014059</v>
      </c>
    </row>
    <row r="5986" spans="1:29" s="4" customFormat="1" ht="42" customHeight="1" x14ac:dyDescent="0.2">
      <c r="A5986" s="5">
        <v>0</v>
      </c>
      <c r="B5986" s="6" t="s">
        <v>34100</v>
      </c>
      <c r="C5986" s="13">
        <v>803.9</v>
      </c>
      <c r="D5986" s="8" t="s">
        <v>34101</v>
      </c>
      <c r="E5986" s="8" t="s">
        <v>34102</v>
      </c>
      <c r="F5986" s="8" t="s">
        <v>34103</v>
      </c>
      <c r="G5986" s="6" t="s">
        <v>60</v>
      </c>
      <c r="H5986" s="6" t="s">
        <v>134</v>
      </c>
      <c r="I5986" s="8"/>
      <c r="J5986" s="9">
        <v>1</v>
      </c>
      <c r="K5986" s="9">
        <v>168</v>
      </c>
      <c r="L5986" s="9">
        <v>2022</v>
      </c>
      <c r="M5986" s="8" t="s">
        <v>34104</v>
      </c>
      <c r="N5986" s="8" t="s">
        <v>37</v>
      </c>
      <c r="O5986" s="8" t="s">
        <v>136</v>
      </c>
      <c r="P5986" s="6" t="s">
        <v>39</v>
      </c>
      <c r="Q5986" s="8" t="s">
        <v>40</v>
      </c>
      <c r="R5986" s="10" t="s">
        <v>1804</v>
      </c>
      <c r="S5986" s="11"/>
      <c r="T5986" s="6"/>
      <c r="U5986" s="15" t="str">
        <f>HYPERLINK("https://media.infra-m.ru/1836/1836962/cover/1836962.jpg", "Обложка")</f>
        <v>Обложка</v>
      </c>
      <c r="V5986" s="8" t="s">
        <v>1184</v>
      </c>
      <c r="W5986" s="6"/>
      <c r="X5986" s="6"/>
      <c r="Y5986" s="6"/>
      <c r="Z5986" s="6"/>
      <c r="AA5986" s="6" t="s">
        <v>148</v>
      </c>
      <c r="AB5986" s="8"/>
      <c r="AC5986" s="27">
        <v>9785001562023</v>
      </c>
    </row>
    <row r="5987" spans="1:29" s="4" customFormat="1" ht="42" customHeight="1" x14ac:dyDescent="0.2">
      <c r="A5987" s="5">
        <v>0</v>
      </c>
      <c r="B5987" s="6" t="s">
        <v>34105</v>
      </c>
      <c r="C5987" s="7">
        <v>1188</v>
      </c>
      <c r="D5987" s="8" t="s">
        <v>34106</v>
      </c>
      <c r="E5987" s="8" t="s">
        <v>34107</v>
      </c>
      <c r="F5987" s="8" t="s">
        <v>34108</v>
      </c>
      <c r="G5987" s="6" t="s">
        <v>60</v>
      </c>
      <c r="H5987" s="6" t="s">
        <v>34</v>
      </c>
      <c r="I5987" s="8" t="s">
        <v>35</v>
      </c>
      <c r="J5987" s="9">
        <v>1</v>
      </c>
      <c r="K5987" s="9">
        <v>192</v>
      </c>
      <c r="L5987" s="9">
        <v>2024</v>
      </c>
      <c r="M5987" s="8" t="s">
        <v>34109</v>
      </c>
      <c r="N5987" s="8" t="s">
        <v>37</v>
      </c>
      <c r="O5987" s="8" t="s">
        <v>136</v>
      </c>
      <c r="P5987" s="6" t="s">
        <v>39</v>
      </c>
      <c r="Q5987" s="8" t="s">
        <v>40</v>
      </c>
      <c r="R5987" s="10" t="s">
        <v>8102</v>
      </c>
      <c r="S5987" s="11"/>
      <c r="T5987" s="6"/>
      <c r="U5987" s="15" t="str">
        <f>HYPERLINK("https://media.infra-m.ru/2056/2056731/cover/2056731.jpg", "Обложка")</f>
        <v>Обложка</v>
      </c>
      <c r="V5987" s="8" t="s">
        <v>588</v>
      </c>
      <c r="W5987" s="6"/>
      <c r="X5987" s="6"/>
      <c r="Y5987" s="6"/>
      <c r="Z5987" s="6"/>
      <c r="AA5987" s="6" t="s">
        <v>76</v>
      </c>
      <c r="AB5987" s="8"/>
      <c r="AC5987" s="27">
        <v>9785160187792</v>
      </c>
    </row>
    <row r="5988" spans="1:29" s="4" customFormat="1" ht="42" customHeight="1" x14ac:dyDescent="0.2">
      <c r="A5988" s="5">
        <v>0</v>
      </c>
      <c r="B5988" s="6" t="s">
        <v>34110</v>
      </c>
      <c r="C5988" s="13">
        <v>701.9</v>
      </c>
      <c r="D5988" s="8" t="s">
        <v>34111</v>
      </c>
      <c r="E5988" s="8" t="s">
        <v>34112</v>
      </c>
      <c r="F5988" s="8" t="s">
        <v>3868</v>
      </c>
      <c r="G5988" s="6" t="s">
        <v>33</v>
      </c>
      <c r="H5988" s="6" t="s">
        <v>34</v>
      </c>
      <c r="I5988" s="8" t="s">
        <v>35</v>
      </c>
      <c r="J5988" s="9">
        <v>1</v>
      </c>
      <c r="K5988" s="9">
        <v>171</v>
      </c>
      <c r="L5988" s="9">
        <v>2019</v>
      </c>
      <c r="M5988" s="8" t="s">
        <v>34113</v>
      </c>
      <c r="N5988" s="8" t="s">
        <v>243</v>
      </c>
      <c r="O5988" s="8" t="s">
        <v>758</v>
      </c>
      <c r="P5988" s="6" t="s">
        <v>39</v>
      </c>
      <c r="Q5988" s="8" t="s">
        <v>40</v>
      </c>
      <c r="R5988" s="10" t="s">
        <v>3870</v>
      </c>
      <c r="S5988" s="11"/>
      <c r="T5988" s="6"/>
      <c r="U5988" s="15" t="str">
        <f>HYPERLINK("https://media.infra-m.ru/0792/0792757/cover/792757.jpg", "Обложка")</f>
        <v>Обложка</v>
      </c>
      <c r="V5988" s="8" t="s">
        <v>3871</v>
      </c>
      <c r="W5988" s="6"/>
      <c r="X5988" s="6"/>
      <c r="Y5988" s="6"/>
      <c r="Z5988" s="6"/>
      <c r="AA5988" s="6" t="s">
        <v>274</v>
      </c>
      <c r="AB5988" s="8"/>
      <c r="AC5988" s="27">
        <v>9785160100920</v>
      </c>
    </row>
    <row r="5989" spans="1:29" s="4" customFormat="1" ht="51.9" customHeight="1" x14ac:dyDescent="0.2">
      <c r="A5989" s="5">
        <v>0</v>
      </c>
      <c r="B5989" s="6" t="s">
        <v>34114</v>
      </c>
      <c r="C5989" s="13">
        <v>305.89999999999998</v>
      </c>
      <c r="D5989" s="8" t="s">
        <v>34115</v>
      </c>
      <c r="E5989" s="8" t="s">
        <v>34116</v>
      </c>
      <c r="F5989" s="8" t="s">
        <v>34117</v>
      </c>
      <c r="G5989" s="6" t="s">
        <v>60</v>
      </c>
      <c r="H5989" s="6" t="s">
        <v>313</v>
      </c>
      <c r="I5989" s="8" t="s">
        <v>748</v>
      </c>
      <c r="J5989" s="9">
        <v>1</v>
      </c>
      <c r="K5989" s="9">
        <v>85</v>
      </c>
      <c r="L5989" s="9">
        <v>2017</v>
      </c>
      <c r="M5989" s="8" t="s">
        <v>34118</v>
      </c>
      <c r="N5989" s="8" t="s">
        <v>37</v>
      </c>
      <c r="O5989" s="8" t="s">
        <v>233</v>
      </c>
      <c r="P5989" s="6" t="s">
        <v>748</v>
      </c>
      <c r="Q5989" s="8" t="s">
        <v>40</v>
      </c>
      <c r="R5989" s="10" t="s">
        <v>34119</v>
      </c>
      <c r="S5989" s="11"/>
      <c r="T5989" s="6"/>
      <c r="U5989" s="15" t="str">
        <f>HYPERLINK("https://media.infra-m.ru/0615/0615199/cover/615199.jpg", "Обложка")</f>
        <v>Обложка</v>
      </c>
      <c r="V5989" s="8"/>
      <c r="W5989" s="6"/>
      <c r="X5989" s="6"/>
      <c r="Y5989" s="6"/>
      <c r="Z5989" s="6"/>
      <c r="AA5989" s="6" t="s">
        <v>1015</v>
      </c>
      <c r="AB5989" s="8"/>
      <c r="AC5989" s="27">
        <v>9785369007761</v>
      </c>
    </row>
    <row r="5990" spans="1:29" s="4" customFormat="1" ht="51.9" customHeight="1" x14ac:dyDescent="0.2">
      <c r="A5990" s="5">
        <v>0</v>
      </c>
      <c r="B5990" s="6" t="s">
        <v>34120</v>
      </c>
      <c r="C5990" s="7">
        <v>1312.8</v>
      </c>
      <c r="D5990" s="8" t="s">
        <v>34121</v>
      </c>
      <c r="E5990" s="8" t="s">
        <v>34122</v>
      </c>
      <c r="F5990" s="8" t="s">
        <v>34123</v>
      </c>
      <c r="G5990" s="6" t="s">
        <v>33</v>
      </c>
      <c r="H5990" s="6" t="s">
        <v>34</v>
      </c>
      <c r="I5990" s="8" t="s">
        <v>35</v>
      </c>
      <c r="J5990" s="9">
        <v>1</v>
      </c>
      <c r="K5990" s="9">
        <v>199</v>
      </c>
      <c r="L5990" s="9">
        <v>2026</v>
      </c>
      <c r="M5990" s="8" t="s">
        <v>34124</v>
      </c>
      <c r="N5990" s="8" t="s">
        <v>243</v>
      </c>
      <c r="O5990" s="8" t="s">
        <v>385</v>
      </c>
      <c r="P5990" s="6" t="s">
        <v>39</v>
      </c>
      <c r="Q5990" s="8" t="s">
        <v>40</v>
      </c>
      <c r="R5990" s="10" t="s">
        <v>34125</v>
      </c>
      <c r="S5990" s="11"/>
      <c r="T5990" s="6"/>
      <c r="U5990" s="15" t="str">
        <f>HYPERLINK("https://media.infra-m.ru/2238/2238524/cover/2238524.jpg", "Обложка")</f>
        <v>Обложка</v>
      </c>
      <c r="V5990" s="8" t="s">
        <v>18536</v>
      </c>
      <c r="W5990" s="6"/>
      <c r="X5990" s="6"/>
      <c r="Y5990" s="6"/>
      <c r="Z5990" s="6"/>
      <c r="AA5990" s="6" t="s">
        <v>148</v>
      </c>
      <c r="AB5990" s="8"/>
      <c r="AC5990" s="27">
        <v>9785160176048</v>
      </c>
    </row>
    <row r="5991" spans="1:29" s="4" customFormat="1" ht="42" customHeight="1" x14ac:dyDescent="0.2">
      <c r="A5991" s="5">
        <v>0</v>
      </c>
      <c r="B5991" s="6" t="s">
        <v>34126</v>
      </c>
      <c r="C5991" s="7">
        <v>1164</v>
      </c>
      <c r="D5991" s="8" t="s">
        <v>34127</v>
      </c>
      <c r="E5991" s="8" t="s">
        <v>34128</v>
      </c>
      <c r="F5991" s="8" t="s">
        <v>34129</v>
      </c>
      <c r="G5991" s="6" t="s">
        <v>33</v>
      </c>
      <c r="H5991" s="6" t="s">
        <v>34</v>
      </c>
      <c r="I5991" s="8" t="s">
        <v>35</v>
      </c>
      <c r="J5991" s="9">
        <v>1</v>
      </c>
      <c r="K5991" s="9">
        <v>211</v>
      </c>
      <c r="L5991" s="9">
        <v>2024</v>
      </c>
      <c r="M5991" s="8" t="s">
        <v>34130</v>
      </c>
      <c r="N5991" s="8" t="s">
        <v>243</v>
      </c>
      <c r="O5991" s="8" t="s">
        <v>798</v>
      </c>
      <c r="P5991" s="6" t="s">
        <v>39</v>
      </c>
      <c r="Q5991" s="8" t="s">
        <v>40</v>
      </c>
      <c r="R5991" s="10" t="s">
        <v>6735</v>
      </c>
      <c r="S5991" s="11"/>
      <c r="T5991" s="6"/>
      <c r="U5991" s="15" t="str">
        <f>HYPERLINK("https://media.infra-m.ru/2105/2105792/cover/2105792.jpg", "Обложка")</f>
        <v>Обложка</v>
      </c>
      <c r="V5991" s="8" t="s">
        <v>7509</v>
      </c>
      <c r="W5991" s="6"/>
      <c r="X5991" s="6"/>
      <c r="Y5991" s="6"/>
      <c r="Z5991" s="6"/>
      <c r="AA5991" s="6" t="s">
        <v>115</v>
      </c>
      <c r="AB5991" s="8"/>
      <c r="AC5991" s="27">
        <v>9785160143613</v>
      </c>
    </row>
    <row r="5992" spans="1:29" s="4" customFormat="1" ht="51.9" customHeight="1" x14ac:dyDescent="0.2">
      <c r="A5992" s="5">
        <v>0</v>
      </c>
      <c r="B5992" s="6" t="s">
        <v>34131</v>
      </c>
      <c r="C5992" s="13">
        <v>521.9</v>
      </c>
      <c r="D5992" s="8" t="s">
        <v>34132</v>
      </c>
      <c r="E5992" s="8" t="s">
        <v>34133</v>
      </c>
      <c r="F5992" s="8" t="s">
        <v>1643</v>
      </c>
      <c r="G5992" s="6" t="s">
        <v>33</v>
      </c>
      <c r="H5992" s="6" t="s">
        <v>1644</v>
      </c>
      <c r="I5992" s="8"/>
      <c r="J5992" s="9">
        <v>1</v>
      </c>
      <c r="K5992" s="9">
        <v>142</v>
      </c>
      <c r="L5992" s="9">
        <v>2019</v>
      </c>
      <c r="M5992" s="8" t="s">
        <v>34134</v>
      </c>
      <c r="N5992" s="8" t="s">
        <v>37</v>
      </c>
      <c r="O5992" s="8" t="s">
        <v>233</v>
      </c>
      <c r="P5992" s="6" t="s">
        <v>51</v>
      </c>
      <c r="Q5992" s="8" t="s">
        <v>52</v>
      </c>
      <c r="R5992" s="10" t="s">
        <v>34135</v>
      </c>
      <c r="S5992" s="11" t="s">
        <v>34136</v>
      </c>
      <c r="T5992" s="6"/>
      <c r="U5992" s="15" t="str">
        <f>HYPERLINK("https://media.infra-m.ru/1001/1001512/cover/1001512.jpg", "Обложка")</f>
        <v>Обложка</v>
      </c>
      <c r="V5992" s="8" t="s">
        <v>1647</v>
      </c>
      <c r="W5992" s="6"/>
      <c r="X5992" s="6"/>
      <c r="Y5992" s="6"/>
      <c r="Z5992" s="6"/>
      <c r="AA5992" s="6" t="s">
        <v>1015</v>
      </c>
      <c r="AB5992" s="8"/>
      <c r="AC5992" s="27">
        <v>9785977601313</v>
      </c>
    </row>
    <row r="5993" spans="1:29" s="4" customFormat="1" ht="44.1" customHeight="1" x14ac:dyDescent="0.2">
      <c r="A5993" s="5">
        <v>0</v>
      </c>
      <c r="B5993" s="6" t="s">
        <v>34137</v>
      </c>
      <c r="C5993" s="7">
        <v>1348.8</v>
      </c>
      <c r="D5993" s="8" t="s">
        <v>34138</v>
      </c>
      <c r="E5993" s="8" t="s">
        <v>34139</v>
      </c>
      <c r="F5993" s="8" t="s">
        <v>34140</v>
      </c>
      <c r="G5993" s="6" t="s">
        <v>118</v>
      </c>
      <c r="H5993" s="6" t="s">
        <v>1644</v>
      </c>
      <c r="I5993" s="8"/>
      <c r="J5993" s="9">
        <v>1</v>
      </c>
      <c r="K5993" s="9">
        <v>216</v>
      </c>
      <c r="L5993" s="9">
        <v>2025</v>
      </c>
      <c r="M5993" s="8" t="s">
        <v>34141</v>
      </c>
      <c r="N5993" s="8" t="s">
        <v>37</v>
      </c>
      <c r="O5993" s="8" t="s">
        <v>233</v>
      </c>
      <c r="P5993" s="6" t="s">
        <v>51</v>
      </c>
      <c r="Q5993" s="8" t="s">
        <v>52</v>
      </c>
      <c r="R5993" s="10" t="s">
        <v>34142</v>
      </c>
      <c r="S5993" s="11"/>
      <c r="T5993" s="6"/>
      <c r="U5993" s="15" t="str">
        <f>HYPERLINK("https://media.infra-m.ru/2192/2192777/cover/2192777.jpg", "Обложка")</f>
        <v>Обложка</v>
      </c>
      <c r="V5993" s="8" t="s">
        <v>1647</v>
      </c>
      <c r="W5993" s="6"/>
      <c r="X5993" s="6"/>
      <c r="Y5993" s="6"/>
      <c r="Z5993" s="6"/>
      <c r="AA5993" s="6" t="s">
        <v>148</v>
      </c>
      <c r="AB5993" s="8"/>
      <c r="AC5993" s="27">
        <v>9785977605373</v>
      </c>
    </row>
    <row r="5994" spans="1:29" s="4" customFormat="1" ht="42" customHeight="1" x14ac:dyDescent="0.2">
      <c r="A5994" s="5">
        <v>0</v>
      </c>
      <c r="B5994" s="6" t="s">
        <v>34143</v>
      </c>
      <c r="C5994" s="7">
        <v>1816.8</v>
      </c>
      <c r="D5994" s="8" t="s">
        <v>34144</v>
      </c>
      <c r="E5994" s="8" t="s">
        <v>34145</v>
      </c>
      <c r="F5994" s="8" t="s">
        <v>13556</v>
      </c>
      <c r="G5994" s="6" t="s">
        <v>118</v>
      </c>
      <c r="H5994" s="6" t="s">
        <v>34</v>
      </c>
      <c r="I5994" s="8" t="s">
        <v>271</v>
      </c>
      <c r="J5994" s="9">
        <v>1</v>
      </c>
      <c r="K5994" s="9">
        <v>260</v>
      </c>
      <c r="L5994" s="9">
        <v>2027</v>
      </c>
      <c r="M5994" s="8" t="s">
        <v>34146</v>
      </c>
      <c r="N5994" s="8" t="s">
        <v>37</v>
      </c>
      <c r="O5994" s="8" t="s">
        <v>280</v>
      </c>
      <c r="P5994" s="6" t="s">
        <v>51</v>
      </c>
      <c r="Q5994" s="8" t="s">
        <v>52</v>
      </c>
      <c r="R5994" s="10" t="s">
        <v>357</v>
      </c>
      <c r="S5994" s="11"/>
      <c r="T5994" s="6"/>
      <c r="U5994" s="15" t="str">
        <f>HYPERLINK("https://media.infra-m.ru/2271/2271627/cover/2271627.jpg", "Обложка")</f>
        <v>Обложка</v>
      </c>
      <c r="V5994" s="8" t="s">
        <v>5964</v>
      </c>
      <c r="W5994" s="6"/>
      <c r="X5994" s="6"/>
      <c r="Y5994" s="6"/>
      <c r="Z5994" s="6"/>
      <c r="AA5994" s="6" t="s">
        <v>1716</v>
      </c>
      <c r="AB5994" s="8"/>
      <c r="AC5994" s="27">
        <v>9785160041988</v>
      </c>
    </row>
    <row r="5995" spans="1:29" s="4" customFormat="1" ht="51.9" customHeight="1" x14ac:dyDescent="0.2">
      <c r="A5995" s="5">
        <v>0</v>
      </c>
      <c r="B5995" s="6" t="s">
        <v>34147</v>
      </c>
      <c r="C5995" s="13">
        <v>688.8</v>
      </c>
      <c r="D5995" s="8" t="s">
        <v>34148</v>
      </c>
      <c r="E5995" s="8" t="s">
        <v>34149</v>
      </c>
      <c r="F5995" s="8" t="s">
        <v>34150</v>
      </c>
      <c r="G5995" s="6" t="s">
        <v>33</v>
      </c>
      <c r="H5995" s="6" t="s">
        <v>241</v>
      </c>
      <c r="I5995" s="8" t="s">
        <v>3496</v>
      </c>
      <c r="J5995" s="9">
        <v>1</v>
      </c>
      <c r="K5995" s="9">
        <v>126</v>
      </c>
      <c r="L5995" s="9">
        <v>2023</v>
      </c>
      <c r="M5995" s="8" t="s">
        <v>34151</v>
      </c>
      <c r="N5995" s="8" t="s">
        <v>37</v>
      </c>
      <c r="O5995" s="8" t="s">
        <v>233</v>
      </c>
      <c r="P5995" s="6" t="s">
        <v>39</v>
      </c>
      <c r="Q5995" s="8" t="s">
        <v>40</v>
      </c>
      <c r="R5995" s="10" t="s">
        <v>34152</v>
      </c>
      <c r="S5995" s="11"/>
      <c r="T5995" s="6"/>
      <c r="U5995" s="15" t="str">
        <f>HYPERLINK("https://media.infra-m.ru/2080/2080770/cover/2080770.jpg", "Обложка")</f>
        <v>Обложка</v>
      </c>
      <c r="V5995" s="8" t="s">
        <v>247</v>
      </c>
      <c r="W5995" s="6"/>
      <c r="X5995" s="6"/>
      <c r="Y5995" s="6"/>
      <c r="Z5995" s="6"/>
      <c r="AA5995" s="6" t="s">
        <v>274</v>
      </c>
      <c r="AB5995" s="8"/>
      <c r="AC5995" s="27">
        <v>9785955804439</v>
      </c>
    </row>
    <row r="5996" spans="1:29" s="4" customFormat="1" ht="51.9" customHeight="1" x14ac:dyDescent="0.2">
      <c r="A5996" s="5">
        <v>0</v>
      </c>
      <c r="B5996" s="6" t="s">
        <v>34153</v>
      </c>
      <c r="C5996" s="7">
        <v>1672.8</v>
      </c>
      <c r="D5996" s="8" t="s">
        <v>34154</v>
      </c>
      <c r="E5996" s="8" t="s">
        <v>34155</v>
      </c>
      <c r="F5996" s="8" t="s">
        <v>2005</v>
      </c>
      <c r="G5996" s="6" t="s">
        <v>60</v>
      </c>
      <c r="H5996" s="6" t="s">
        <v>34</v>
      </c>
      <c r="I5996" s="8" t="s">
        <v>304</v>
      </c>
      <c r="J5996" s="9">
        <v>1</v>
      </c>
      <c r="K5996" s="9">
        <v>188</v>
      </c>
      <c r="L5996" s="9">
        <v>2026</v>
      </c>
      <c r="M5996" s="8" t="s">
        <v>34156</v>
      </c>
      <c r="N5996" s="8" t="s">
        <v>37</v>
      </c>
      <c r="O5996" s="8" t="s">
        <v>83</v>
      </c>
      <c r="P5996" s="6" t="s">
        <v>51</v>
      </c>
      <c r="Q5996" s="8" t="s">
        <v>65</v>
      </c>
      <c r="R5996" s="10" t="s">
        <v>34157</v>
      </c>
      <c r="S5996" s="11"/>
      <c r="T5996" s="6"/>
      <c r="U5996" s="15" t="str">
        <f>HYPERLINK("https://media.infra-m.ru/2210/2210359/cover/2210359.jpg", "Обложка")</f>
        <v>Обложка</v>
      </c>
      <c r="V5996" s="8" t="s">
        <v>247</v>
      </c>
      <c r="W5996" s="6"/>
      <c r="X5996" s="6"/>
      <c r="Y5996" s="6"/>
      <c r="Z5996" s="6"/>
      <c r="AA5996" s="6" t="s">
        <v>76</v>
      </c>
      <c r="AB5996" s="8"/>
      <c r="AC5996" s="27">
        <v>9785160183459</v>
      </c>
    </row>
    <row r="5997" spans="1:29" s="4" customFormat="1" ht="51.9" customHeight="1" x14ac:dyDescent="0.2">
      <c r="A5997" s="5">
        <v>0</v>
      </c>
      <c r="B5997" s="6" t="s">
        <v>34158</v>
      </c>
      <c r="C5997" s="7">
        <v>1380</v>
      </c>
      <c r="D5997" s="8" t="s">
        <v>34159</v>
      </c>
      <c r="E5997" s="8" t="s">
        <v>34160</v>
      </c>
      <c r="F5997" s="8" t="s">
        <v>34161</v>
      </c>
      <c r="G5997" s="6" t="s">
        <v>118</v>
      </c>
      <c r="H5997" s="6" t="s">
        <v>34</v>
      </c>
      <c r="I5997" s="8" t="s">
        <v>271</v>
      </c>
      <c r="J5997" s="9">
        <v>1</v>
      </c>
      <c r="K5997" s="9">
        <v>249</v>
      </c>
      <c r="L5997" s="9">
        <v>2023</v>
      </c>
      <c r="M5997" s="8" t="s">
        <v>34162</v>
      </c>
      <c r="N5997" s="8" t="s">
        <v>243</v>
      </c>
      <c r="O5997" s="8" t="s">
        <v>244</v>
      </c>
      <c r="P5997" s="6" t="s">
        <v>51</v>
      </c>
      <c r="Q5997" s="8" t="s">
        <v>52</v>
      </c>
      <c r="R5997" s="10" t="s">
        <v>1906</v>
      </c>
      <c r="S5997" s="11" t="s">
        <v>34163</v>
      </c>
      <c r="T5997" s="6" t="s">
        <v>97</v>
      </c>
      <c r="U5997" s="15" t="str">
        <f>HYPERLINK("https://media.infra-m.ru/2125/2125021/cover/2125021.jpg", "Обложка")</f>
        <v>Обложка</v>
      </c>
      <c r="V5997" s="8" t="s">
        <v>831</v>
      </c>
      <c r="W5997" s="6"/>
      <c r="X5997" s="6"/>
      <c r="Y5997" s="6"/>
      <c r="Z5997" s="6"/>
      <c r="AA5997" s="6" t="s">
        <v>430</v>
      </c>
      <c r="AB5997" s="8"/>
      <c r="AC5997" s="27">
        <v>9785160145730</v>
      </c>
    </row>
    <row r="5998" spans="1:29" s="4" customFormat="1" ht="51.9" customHeight="1" x14ac:dyDescent="0.2">
      <c r="A5998" s="5">
        <v>0</v>
      </c>
      <c r="B5998" s="6" t="s">
        <v>34164</v>
      </c>
      <c r="C5998" s="7">
        <v>2568</v>
      </c>
      <c r="D5998" s="8" t="s">
        <v>34165</v>
      </c>
      <c r="E5998" s="8" t="s">
        <v>34166</v>
      </c>
      <c r="F5998" s="8" t="s">
        <v>34161</v>
      </c>
      <c r="G5998" s="6" t="s">
        <v>60</v>
      </c>
      <c r="H5998" s="6" t="s">
        <v>34</v>
      </c>
      <c r="I5998" s="8" t="s">
        <v>271</v>
      </c>
      <c r="J5998" s="9">
        <v>1</v>
      </c>
      <c r="K5998" s="9">
        <v>476</v>
      </c>
      <c r="L5998" s="9">
        <v>2022</v>
      </c>
      <c r="M5998" s="8" t="s">
        <v>34167</v>
      </c>
      <c r="N5998" s="8" t="s">
        <v>243</v>
      </c>
      <c r="O5998" s="8" t="s">
        <v>244</v>
      </c>
      <c r="P5998" s="6" t="s">
        <v>51</v>
      </c>
      <c r="Q5998" s="8" t="s">
        <v>52</v>
      </c>
      <c r="R5998" s="10" t="s">
        <v>1906</v>
      </c>
      <c r="S5998" s="11" t="s">
        <v>34168</v>
      </c>
      <c r="T5998" s="6"/>
      <c r="U5998" s="15" t="str">
        <f>HYPERLINK("https://media.infra-m.ru/0991/0991757/cover/991757.jpg", "Обложка")</f>
        <v>Обложка</v>
      </c>
      <c r="V5998" s="8" t="s">
        <v>831</v>
      </c>
      <c r="W5998" s="6"/>
      <c r="X5998" s="6"/>
      <c r="Y5998" s="6"/>
      <c r="Z5998" s="6"/>
      <c r="AA5998" s="6" t="s">
        <v>148</v>
      </c>
      <c r="AB5998" s="8"/>
      <c r="AC5998" s="27">
        <v>9785160145723</v>
      </c>
    </row>
    <row r="5999" spans="1:29" s="4" customFormat="1" ht="51.9" customHeight="1" x14ac:dyDescent="0.2">
      <c r="A5999" s="5">
        <v>0</v>
      </c>
      <c r="B5999" s="6" t="s">
        <v>34169</v>
      </c>
      <c r="C5999" s="7">
        <v>2888.4</v>
      </c>
      <c r="D5999" s="8" t="s">
        <v>34170</v>
      </c>
      <c r="E5999" s="8" t="s">
        <v>34171</v>
      </c>
      <c r="F5999" s="8" t="s">
        <v>1882</v>
      </c>
      <c r="G5999" s="6" t="s">
        <v>118</v>
      </c>
      <c r="H5999" s="6" t="s">
        <v>48</v>
      </c>
      <c r="I5999" s="8" t="s">
        <v>263</v>
      </c>
      <c r="J5999" s="9">
        <v>1</v>
      </c>
      <c r="K5999" s="9">
        <v>336</v>
      </c>
      <c r="L5999" s="9">
        <v>2026</v>
      </c>
      <c r="M5999" s="8" t="s">
        <v>34172</v>
      </c>
      <c r="N5999" s="8" t="s">
        <v>243</v>
      </c>
      <c r="O5999" s="8" t="s">
        <v>244</v>
      </c>
      <c r="P5999" s="6" t="s">
        <v>51</v>
      </c>
      <c r="Q5999" s="8" t="s">
        <v>265</v>
      </c>
      <c r="R5999" s="10" t="s">
        <v>28673</v>
      </c>
      <c r="S5999" s="11" t="s">
        <v>3985</v>
      </c>
      <c r="T5999" s="6"/>
      <c r="U5999" s="15" t="str">
        <f>HYPERLINK("https://media.infra-m.ru/2232/2232770/cover/2232770.jpg", "Обложка")</f>
        <v>Обложка</v>
      </c>
      <c r="V5999" s="8" t="s">
        <v>1206</v>
      </c>
      <c r="W5999" s="6"/>
      <c r="X5999" s="6"/>
      <c r="Y5999" s="6"/>
      <c r="Z5999" s="6" t="s">
        <v>267</v>
      </c>
      <c r="AA5999" s="6" t="s">
        <v>115</v>
      </c>
      <c r="AB5999" s="8"/>
      <c r="AC5999" s="27">
        <v>9785000915554</v>
      </c>
    </row>
    <row r="6000" spans="1:29" s="4" customFormat="1" ht="51.9" customHeight="1" x14ac:dyDescent="0.2">
      <c r="A6000" s="5">
        <v>0</v>
      </c>
      <c r="B6000" s="6" t="s">
        <v>34173</v>
      </c>
      <c r="C6000" s="7">
        <v>3412.8</v>
      </c>
      <c r="D6000" s="8" t="s">
        <v>34174</v>
      </c>
      <c r="E6000" s="8" t="s">
        <v>34175</v>
      </c>
      <c r="F6000" s="8" t="s">
        <v>6440</v>
      </c>
      <c r="G6000" s="6" t="s">
        <v>60</v>
      </c>
      <c r="H6000" s="6" t="s">
        <v>34</v>
      </c>
      <c r="I6000" s="8"/>
      <c r="J6000" s="9">
        <v>1</v>
      </c>
      <c r="K6000" s="9">
        <v>517</v>
      </c>
      <c r="L6000" s="9">
        <v>2026</v>
      </c>
      <c r="M6000" s="8" t="s">
        <v>34176</v>
      </c>
      <c r="N6000" s="8" t="s">
        <v>243</v>
      </c>
      <c r="O6000" s="8" t="s">
        <v>244</v>
      </c>
      <c r="P6000" s="6" t="s">
        <v>51</v>
      </c>
      <c r="Q6000" s="8" t="s">
        <v>52</v>
      </c>
      <c r="R6000" s="10" t="s">
        <v>34177</v>
      </c>
      <c r="S6000" s="11" t="s">
        <v>34178</v>
      </c>
      <c r="T6000" s="6"/>
      <c r="U6000" s="15" t="str">
        <f>HYPERLINK("https://media.infra-m.ru/2239/2239110/cover/2239110.jpg", "Обложка")</f>
        <v>Обложка</v>
      </c>
      <c r="V6000" s="8" t="s">
        <v>3428</v>
      </c>
      <c r="W6000" s="6"/>
      <c r="X6000" s="6"/>
      <c r="Y6000" s="6"/>
      <c r="Z6000" s="6"/>
      <c r="AA6000" s="6" t="s">
        <v>99</v>
      </c>
      <c r="AB6000" s="8"/>
      <c r="AC6000" s="27">
        <v>9785160179148</v>
      </c>
    </row>
    <row r="6001" spans="1:29" s="4" customFormat="1" ht="51.9" customHeight="1" x14ac:dyDescent="0.2">
      <c r="A6001" s="5">
        <v>0</v>
      </c>
      <c r="B6001" s="6" t="s">
        <v>34179</v>
      </c>
      <c r="C6001" s="13">
        <v>928.8</v>
      </c>
      <c r="D6001" s="8" t="s">
        <v>34180</v>
      </c>
      <c r="E6001" s="8" t="s">
        <v>34181</v>
      </c>
      <c r="F6001" s="8" t="s">
        <v>34182</v>
      </c>
      <c r="G6001" s="6" t="s">
        <v>118</v>
      </c>
      <c r="H6001" s="6" t="s">
        <v>313</v>
      </c>
      <c r="I6001" s="8" t="s">
        <v>392</v>
      </c>
      <c r="J6001" s="9">
        <v>1</v>
      </c>
      <c r="K6001" s="9">
        <v>167</v>
      </c>
      <c r="L6001" s="9">
        <v>2024</v>
      </c>
      <c r="M6001" s="8" t="s">
        <v>34183</v>
      </c>
      <c r="N6001" s="8" t="s">
        <v>243</v>
      </c>
      <c r="O6001" s="8" t="s">
        <v>244</v>
      </c>
      <c r="P6001" s="6" t="s">
        <v>51</v>
      </c>
      <c r="Q6001" s="8" t="s">
        <v>52</v>
      </c>
      <c r="R6001" s="10" t="s">
        <v>22671</v>
      </c>
      <c r="S6001" s="11" t="s">
        <v>34184</v>
      </c>
      <c r="T6001" s="6"/>
      <c r="U6001" s="15" t="str">
        <f>HYPERLINK("https://media.infra-m.ru/2102/2102708/cover/2102708.jpg", "Обложка")</f>
        <v>Обложка</v>
      </c>
      <c r="V6001" s="8" t="s">
        <v>12649</v>
      </c>
      <c r="W6001" s="6"/>
      <c r="X6001" s="6"/>
      <c r="Y6001" s="6"/>
      <c r="Z6001" s="6"/>
      <c r="AA6001" s="6" t="s">
        <v>859</v>
      </c>
      <c r="AB6001" s="8"/>
      <c r="AC6001" s="27">
        <v>9785369011959</v>
      </c>
    </row>
    <row r="6002" spans="1:29" s="4" customFormat="1" ht="44.1" customHeight="1" x14ac:dyDescent="0.2">
      <c r="A6002" s="5">
        <v>0</v>
      </c>
      <c r="B6002" s="6" t="s">
        <v>34185</v>
      </c>
      <c r="C6002" s="7">
        <v>2580</v>
      </c>
      <c r="D6002" s="8" t="s">
        <v>34186</v>
      </c>
      <c r="E6002" s="8" t="s">
        <v>34187</v>
      </c>
      <c r="F6002" s="8" t="s">
        <v>9040</v>
      </c>
      <c r="G6002" s="6" t="s">
        <v>60</v>
      </c>
      <c r="H6002" s="6" t="s">
        <v>34</v>
      </c>
      <c r="I6002" s="8" t="s">
        <v>253</v>
      </c>
      <c r="J6002" s="9">
        <v>1</v>
      </c>
      <c r="K6002" s="9">
        <v>412</v>
      </c>
      <c r="L6002" s="9">
        <v>2025</v>
      </c>
      <c r="M6002" s="8" t="s">
        <v>34188</v>
      </c>
      <c r="N6002" s="8" t="s">
        <v>243</v>
      </c>
      <c r="O6002" s="8" t="s">
        <v>244</v>
      </c>
      <c r="P6002" s="6" t="s">
        <v>51</v>
      </c>
      <c r="Q6002" s="8" t="s">
        <v>52</v>
      </c>
      <c r="R6002" s="10" t="s">
        <v>1906</v>
      </c>
      <c r="S6002" s="11"/>
      <c r="T6002" s="6"/>
      <c r="U6002" s="15" t="str">
        <f>HYPERLINK("https://media.infra-m.ru/2162/2162065/cover/2162065.jpg", "Обложка")</f>
        <v>Обложка</v>
      </c>
      <c r="V6002" s="8" t="s">
        <v>227</v>
      </c>
      <c r="W6002" s="6"/>
      <c r="X6002" s="6"/>
      <c r="Y6002" s="6"/>
      <c r="Z6002" s="6"/>
      <c r="AA6002" s="6" t="s">
        <v>68</v>
      </c>
      <c r="AB6002" s="8"/>
      <c r="AC6002" s="27">
        <v>9785160201689</v>
      </c>
    </row>
    <row r="6003" spans="1:29" s="4" customFormat="1" ht="51.9" customHeight="1" x14ac:dyDescent="0.2">
      <c r="A6003" s="5">
        <v>0</v>
      </c>
      <c r="B6003" s="6" t="s">
        <v>34189</v>
      </c>
      <c r="C6003" s="7">
        <v>1224</v>
      </c>
      <c r="D6003" s="8" t="s">
        <v>34190</v>
      </c>
      <c r="E6003" s="8" t="s">
        <v>34191</v>
      </c>
      <c r="F6003" s="8" t="s">
        <v>34192</v>
      </c>
      <c r="G6003" s="6" t="s">
        <v>60</v>
      </c>
      <c r="H6003" s="6" t="s">
        <v>34</v>
      </c>
      <c r="I6003" s="8" t="s">
        <v>253</v>
      </c>
      <c r="J6003" s="9">
        <v>1</v>
      </c>
      <c r="K6003" s="9">
        <v>189</v>
      </c>
      <c r="L6003" s="9">
        <v>2025</v>
      </c>
      <c r="M6003" s="8" t="s">
        <v>34193</v>
      </c>
      <c r="N6003" s="8" t="s">
        <v>243</v>
      </c>
      <c r="O6003" s="8" t="s">
        <v>244</v>
      </c>
      <c r="P6003" s="6" t="s">
        <v>51</v>
      </c>
      <c r="Q6003" s="8" t="s">
        <v>52</v>
      </c>
      <c r="R6003" s="10" t="s">
        <v>34194</v>
      </c>
      <c r="S6003" s="11"/>
      <c r="T6003" s="6"/>
      <c r="U6003" s="15" t="str">
        <f>HYPERLINK("https://media.infra-m.ru/2160/2160989/cover/2160989.jpg", "Обложка")</f>
        <v>Обложка</v>
      </c>
      <c r="V6003" s="8" t="s">
        <v>911</v>
      </c>
      <c r="W6003" s="6"/>
      <c r="X6003" s="6"/>
      <c r="Y6003" s="6"/>
      <c r="Z6003" s="6"/>
      <c r="AA6003" s="6" t="s">
        <v>68</v>
      </c>
      <c r="AB6003" s="8"/>
      <c r="AC6003" s="27">
        <v>9785160201368</v>
      </c>
    </row>
    <row r="6004" spans="1:29" s="4" customFormat="1" ht="51.9" customHeight="1" x14ac:dyDescent="0.2">
      <c r="A6004" s="5">
        <v>0</v>
      </c>
      <c r="B6004" s="6" t="s">
        <v>34195</v>
      </c>
      <c r="C6004" s="7">
        <v>2680.8</v>
      </c>
      <c r="D6004" s="8" t="s">
        <v>34196</v>
      </c>
      <c r="E6004" s="8" t="s">
        <v>34197</v>
      </c>
      <c r="F6004" s="8" t="s">
        <v>34198</v>
      </c>
      <c r="G6004" s="6" t="s">
        <v>60</v>
      </c>
      <c r="H6004" s="6" t="s">
        <v>1042</v>
      </c>
      <c r="I6004" s="8" t="s">
        <v>271</v>
      </c>
      <c r="J6004" s="9">
        <v>1</v>
      </c>
      <c r="K6004" s="9">
        <v>496</v>
      </c>
      <c r="L6004" s="9">
        <v>2023</v>
      </c>
      <c r="M6004" s="8" t="s">
        <v>34199</v>
      </c>
      <c r="N6004" s="8" t="s">
        <v>243</v>
      </c>
      <c r="O6004" s="8" t="s">
        <v>244</v>
      </c>
      <c r="P6004" s="6" t="s">
        <v>51</v>
      </c>
      <c r="Q6004" s="8" t="s">
        <v>52</v>
      </c>
      <c r="R6004" s="10" t="s">
        <v>34200</v>
      </c>
      <c r="S6004" s="11" t="s">
        <v>34201</v>
      </c>
      <c r="T6004" s="6" t="s">
        <v>97</v>
      </c>
      <c r="U6004" s="15" t="str">
        <f>HYPERLINK("https://media.infra-m.ru/2045/2045990/cover/2045990.jpg", "Обложка")</f>
        <v>Обложка</v>
      </c>
      <c r="V6004" s="8" t="s">
        <v>15477</v>
      </c>
      <c r="W6004" s="6"/>
      <c r="X6004" s="6"/>
      <c r="Y6004" s="6"/>
      <c r="Z6004" s="6" t="s">
        <v>632</v>
      </c>
      <c r="AA6004" s="6" t="s">
        <v>1256</v>
      </c>
      <c r="AB6004" s="8"/>
      <c r="AC6004" s="27">
        <v>9785819909010</v>
      </c>
    </row>
    <row r="6005" spans="1:29" s="4" customFormat="1" ht="51.9" customHeight="1" x14ac:dyDescent="0.2">
      <c r="A6005" s="5">
        <v>0</v>
      </c>
      <c r="B6005" s="6" t="s">
        <v>34202</v>
      </c>
      <c r="C6005" s="7">
        <v>3268.8</v>
      </c>
      <c r="D6005" s="8" t="s">
        <v>34203</v>
      </c>
      <c r="E6005" s="8" t="s">
        <v>34197</v>
      </c>
      <c r="F6005" s="8" t="s">
        <v>34204</v>
      </c>
      <c r="G6005" s="6" t="s">
        <v>118</v>
      </c>
      <c r="H6005" s="6" t="s">
        <v>1042</v>
      </c>
      <c r="I6005" s="8" t="s">
        <v>263</v>
      </c>
      <c r="J6005" s="9">
        <v>1</v>
      </c>
      <c r="K6005" s="9">
        <v>496</v>
      </c>
      <c r="L6005" s="9">
        <v>2026</v>
      </c>
      <c r="M6005" s="8" t="s">
        <v>34205</v>
      </c>
      <c r="N6005" s="8" t="s">
        <v>243</v>
      </c>
      <c r="O6005" s="8" t="s">
        <v>244</v>
      </c>
      <c r="P6005" s="6" t="s">
        <v>51</v>
      </c>
      <c r="Q6005" s="8" t="s">
        <v>265</v>
      </c>
      <c r="R6005" s="10" t="s">
        <v>34206</v>
      </c>
      <c r="S6005" s="11" t="s">
        <v>34207</v>
      </c>
      <c r="T6005" s="6" t="s">
        <v>97</v>
      </c>
      <c r="U6005" s="15" t="str">
        <f>HYPERLINK("https://media.infra-m.ru/2236/2236008/cover/2236008.jpg", "Обложка")</f>
        <v>Обложка</v>
      </c>
      <c r="V6005" s="8" t="s">
        <v>15477</v>
      </c>
      <c r="W6005" s="6"/>
      <c r="X6005" s="6"/>
      <c r="Y6005" s="6"/>
      <c r="Z6005" s="6"/>
      <c r="AA6005" s="6" t="s">
        <v>561</v>
      </c>
      <c r="AB6005" s="8"/>
      <c r="AC6005" s="27">
        <v>9785819907535</v>
      </c>
    </row>
    <row r="6006" spans="1:29" s="4" customFormat="1" ht="51.9" customHeight="1" x14ac:dyDescent="0.2">
      <c r="A6006" s="5">
        <v>0</v>
      </c>
      <c r="B6006" s="6" t="s">
        <v>34208</v>
      </c>
      <c r="C6006" s="7">
        <v>3268.8</v>
      </c>
      <c r="D6006" s="8" t="s">
        <v>34209</v>
      </c>
      <c r="E6006" s="8" t="s">
        <v>34210</v>
      </c>
      <c r="F6006" s="8" t="s">
        <v>34211</v>
      </c>
      <c r="G6006" s="6" t="s">
        <v>60</v>
      </c>
      <c r="H6006" s="6" t="s">
        <v>48</v>
      </c>
      <c r="I6006" s="8" t="s">
        <v>401</v>
      </c>
      <c r="J6006" s="9">
        <v>1</v>
      </c>
      <c r="K6006" s="9">
        <v>496</v>
      </c>
      <c r="L6006" s="9">
        <v>2026</v>
      </c>
      <c r="M6006" s="8" t="s">
        <v>34212</v>
      </c>
      <c r="N6006" s="8" t="s">
        <v>243</v>
      </c>
      <c r="O6006" s="8" t="s">
        <v>244</v>
      </c>
      <c r="P6006" s="6" t="s">
        <v>51</v>
      </c>
      <c r="Q6006" s="8" t="s">
        <v>265</v>
      </c>
      <c r="R6006" s="10" t="s">
        <v>34213</v>
      </c>
      <c r="S6006" s="11"/>
      <c r="T6006" s="6"/>
      <c r="U6006" s="15" t="str">
        <f>HYPERLINK("https://media.infra-m.ru/2207/2207927/cover/2207927.jpg", "Обложка")</f>
        <v>Обложка</v>
      </c>
      <c r="V6006" s="8" t="s">
        <v>3413</v>
      </c>
      <c r="W6006" s="6"/>
      <c r="X6006" s="6"/>
      <c r="Y6006" s="6"/>
      <c r="Z6006" s="6"/>
      <c r="AA6006" s="6" t="s">
        <v>1047</v>
      </c>
      <c r="AB6006" s="8"/>
      <c r="AC6006" s="27">
        <v>9785911342098</v>
      </c>
    </row>
    <row r="6007" spans="1:29" s="4" customFormat="1" ht="51.9" customHeight="1" x14ac:dyDescent="0.2">
      <c r="A6007" s="5">
        <v>0</v>
      </c>
      <c r="B6007" s="6" t="s">
        <v>34214</v>
      </c>
      <c r="C6007" s="7">
        <v>3014.4</v>
      </c>
      <c r="D6007" s="8" t="s">
        <v>34215</v>
      </c>
      <c r="E6007" s="8" t="s">
        <v>34216</v>
      </c>
      <c r="F6007" s="8" t="s">
        <v>1882</v>
      </c>
      <c r="G6007" s="6" t="s">
        <v>60</v>
      </c>
      <c r="H6007" s="6" t="s">
        <v>34</v>
      </c>
      <c r="I6007" s="8" t="s">
        <v>253</v>
      </c>
      <c r="J6007" s="9">
        <v>1</v>
      </c>
      <c r="K6007" s="9">
        <v>332</v>
      </c>
      <c r="L6007" s="9">
        <v>2026</v>
      </c>
      <c r="M6007" s="8" t="s">
        <v>34217</v>
      </c>
      <c r="N6007" s="8" t="s">
        <v>243</v>
      </c>
      <c r="O6007" s="8" t="s">
        <v>244</v>
      </c>
      <c r="P6007" s="6" t="s">
        <v>51</v>
      </c>
      <c r="Q6007" s="8" t="s">
        <v>52</v>
      </c>
      <c r="R6007" s="10" t="s">
        <v>34218</v>
      </c>
      <c r="S6007" s="11"/>
      <c r="T6007" s="6"/>
      <c r="U6007" s="15" t="str">
        <f>HYPERLINK("https://media.infra-m.ru/2230/2230807/cover/2230807.jpg", "Обложка")</f>
        <v>Обложка</v>
      </c>
      <c r="V6007" s="8" t="s">
        <v>1206</v>
      </c>
      <c r="W6007" s="6" t="s">
        <v>9380</v>
      </c>
      <c r="X6007" s="6"/>
      <c r="Y6007" s="6"/>
      <c r="Z6007" s="6"/>
      <c r="AA6007" s="6" t="s">
        <v>187</v>
      </c>
      <c r="AB6007" s="8" t="s">
        <v>11878</v>
      </c>
      <c r="AC6007" s="27">
        <v>9785160215624</v>
      </c>
    </row>
    <row r="6008" spans="1:29" s="4" customFormat="1" ht="51.9" customHeight="1" x14ac:dyDescent="0.2">
      <c r="A6008" s="5">
        <v>0</v>
      </c>
      <c r="B6008" s="6" t="s">
        <v>34219</v>
      </c>
      <c r="C6008" s="7">
        <v>2990.4</v>
      </c>
      <c r="D6008" s="8" t="s">
        <v>34220</v>
      </c>
      <c r="E6008" s="8" t="s">
        <v>34216</v>
      </c>
      <c r="F6008" s="8" t="s">
        <v>1882</v>
      </c>
      <c r="G6008" s="6" t="s">
        <v>60</v>
      </c>
      <c r="H6008" s="6" t="s">
        <v>34</v>
      </c>
      <c r="I6008" s="8" t="s">
        <v>263</v>
      </c>
      <c r="J6008" s="9">
        <v>1</v>
      </c>
      <c r="K6008" s="9">
        <v>332</v>
      </c>
      <c r="L6008" s="9">
        <v>2027</v>
      </c>
      <c r="M6008" s="8" t="s">
        <v>34221</v>
      </c>
      <c r="N6008" s="8" t="s">
        <v>243</v>
      </c>
      <c r="O6008" s="8" t="s">
        <v>244</v>
      </c>
      <c r="P6008" s="6" t="s">
        <v>51</v>
      </c>
      <c r="Q6008" s="8" t="s">
        <v>265</v>
      </c>
      <c r="R6008" s="10" t="s">
        <v>27332</v>
      </c>
      <c r="S6008" s="11"/>
      <c r="T6008" s="6"/>
      <c r="U6008" s="15" t="str">
        <f>HYPERLINK("https://media.infra-m.ru/2231/2231590/cover/2231590.jpg", "Обложка")</f>
        <v>Обложка</v>
      </c>
      <c r="V6008" s="8" t="s">
        <v>1206</v>
      </c>
      <c r="W6008" s="6" t="s">
        <v>649</v>
      </c>
      <c r="X6008" s="6"/>
      <c r="Y6008" s="6"/>
      <c r="Z6008" s="6"/>
      <c r="AA6008" s="6" t="s">
        <v>420</v>
      </c>
      <c r="AB6008" s="8" t="s">
        <v>9043</v>
      </c>
      <c r="AC6008" s="27">
        <v>9785160215891</v>
      </c>
    </row>
    <row r="6009" spans="1:29" s="4" customFormat="1" ht="51.9" customHeight="1" x14ac:dyDescent="0.2">
      <c r="A6009" s="5">
        <v>0</v>
      </c>
      <c r="B6009" s="6" t="s">
        <v>34222</v>
      </c>
      <c r="C6009" s="7">
        <v>1336.8</v>
      </c>
      <c r="D6009" s="8" t="s">
        <v>34223</v>
      </c>
      <c r="E6009" s="8" t="s">
        <v>34224</v>
      </c>
      <c r="F6009" s="8" t="s">
        <v>27368</v>
      </c>
      <c r="G6009" s="6" t="s">
        <v>33</v>
      </c>
      <c r="H6009" s="6" t="s">
        <v>34</v>
      </c>
      <c r="I6009" s="8"/>
      <c r="J6009" s="9">
        <v>1</v>
      </c>
      <c r="K6009" s="9">
        <v>144</v>
      </c>
      <c r="L6009" s="9">
        <v>2026</v>
      </c>
      <c r="M6009" s="8" t="s">
        <v>34225</v>
      </c>
      <c r="N6009" s="8" t="s">
        <v>243</v>
      </c>
      <c r="O6009" s="8" t="s">
        <v>244</v>
      </c>
      <c r="P6009" s="6" t="s">
        <v>51</v>
      </c>
      <c r="Q6009" s="8" t="s">
        <v>52</v>
      </c>
      <c r="R6009" s="10" t="s">
        <v>34226</v>
      </c>
      <c r="S6009" s="11"/>
      <c r="T6009" s="6"/>
      <c r="U6009" s="15" t="str">
        <f>HYPERLINK("https://media.infra-m.ru/2218/2218788/cover/2218788.jpg", "Обложка")</f>
        <v>Обложка</v>
      </c>
      <c r="V6009" s="8" t="s">
        <v>3337</v>
      </c>
      <c r="W6009" s="6"/>
      <c r="X6009" s="6"/>
      <c r="Y6009" s="6"/>
      <c r="Z6009" s="6"/>
      <c r="AA6009" s="6" t="s">
        <v>274</v>
      </c>
      <c r="AB6009" s="8"/>
      <c r="AC6009" s="27">
        <v>9785160212425</v>
      </c>
    </row>
    <row r="6010" spans="1:29" s="4" customFormat="1" ht="51.9" customHeight="1" x14ac:dyDescent="0.2">
      <c r="A6010" s="5">
        <v>0</v>
      </c>
      <c r="B6010" s="6" t="s">
        <v>34227</v>
      </c>
      <c r="C6010" s="7">
        <v>1184.4000000000001</v>
      </c>
      <c r="D6010" s="8" t="s">
        <v>34228</v>
      </c>
      <c r="E6010" s="8" t="s">
        <v>34224</v>
      </c>
      <c r="F6010" s="8" t="s">
        <v>27368</v>
      </c>
      <c r="G6010" s="6" t="s">
        <v>33</v>
      </c>
      <c r="H6010" s="6" t="s">
        <v>48</v>
      </c>
      <c r="I6010" s="8" t="s">
        <v>263</v>
      </c>
      <c r="J6010" s="9">
        <v>1</v>
      </c>
      <c r="K6010" s="9">
        <v>143</v>
      </c>
      <c r="L6010" s="9">
        <v>2025</v>
      </c>
      <c r="M6010" s="8" t="s">
        <v>34229</v>
      </c>
      <c r="N6010" s="8" t="s">
        <v>243</v>
      </c>
      <c r="O6010" s="8" t="s">
        <v>244</v>
      </c>
      <c r="P6010" s="6" t="s">
        <v>51</v>
      </c>
      <c r="Q6010" s="8" t="s">
        <v>265</v>
      </c>
      <c r="R6010" s="10" t="s">
        <v>34230</v>
      </c>
      <c r="S6010" s="11" t="s">
        <v>34231</v>
      </c>
      <c r="T6010" s="6"/>
      <c r="U6010" s="15" t="str">
        <f>HYPERLINK("https://media.infra-m.ru/2205/2205738/cover/2205738.jpg", "Обложка")</f>
        <v>Обложка</v>
      </c>
      <c r="V6010" s="8" t="s">
        <v>3337</v>
      </c>
      <c r="W6010" s="6"/>
      <c r="X6010" s="6"/>
      <c r="Y6010" s="6"/>
      <c r="Z6010" s="6" t="s">
        <v>267</v>
      </c>
      <c r="AA6010" s="6" t="s">
        <v>1256</v>
      </c>
      <c r="AB6010" s="8"/>
      <c r="AC6010" s="27">
        <v>9785000915561</v>
      </c>
    </row>
    <row r="6011" spans="1:29" s="4" customFormat="1" ht="51.9" customHeight="1" x14ac:dyDescent="0.2">
      <c r="A6011" s="5">
        <v>0</v>
      </c>
      <c r="B6011" s="6" t="s">
        <v>34232</v>
      </c>
      <c r="C6011" s="7">
        <v>3384</v>
      </c>
      <c r="D6011" s="8" t="s">
        <v>34233</v>
      </c>
      <c r="E6011" s="8" t="s">
        <v>34234</v>
      </c>
      <c r="F6011" s="8" t="s">
        <v>34235</v>
      </c>
      <c r="G6011" s="6" t="s">
        <v>60</v>
      </c>
      <c r="H6011" s="6" t="s">
        <v>1042</v>
      </c>
      <c r="I6011" s="8" t="s">
        <v>401</v>
      </c>
      <c r="J6011" s="9">
        <v>1</v>
      </c>
      <c r="K6011" s="9">
        <v>512</v>
      </c>
      <c r="L6011" s="9">
        <v>2026</v>
      </c>
      <c r="M6011" s="8" t="s">
        <v>34236</v>
      </c>
      <c r="N6011" s="8" t="s">
        <v>243</v>
      </c>
      <c r="O6011" s="8" t="s">
        <v>244</v>
      </c>
      <c r="P6011" s="6" t="s">
        <v>51</v>
      </c>
      <c r="Q6011" s="8" t="s">
        <v>265</v>
      </c>
      <c r="R6011" s="10" t="s">
        <v>34237</v>
      </c>
      <c r="S6011" s="11" t="s">
        <v>34238</v>
      </c>
      <c r="T6011" s="6" t="s">
        <v>97</v>
      </c>
      <c r="U6011" s="15" t="str">
        <f>HYPERLINK("https://media.infra-m.ru/2254/2254476/cover/2254476.jpg", "Обложка")</f>
        <v>Обложка</v>
      </c>
      <c r="V6011" s="8" t="s">
        <v>15477</v>
      </c>
      <c r="W6011" s="6"/>
      <c r="X6011" s="6"/>
      <c r="Y6011" s="6"/>
      <c r="Z6011" s="6"/>
      <c r="AA6011" s="6" t="s">
        <v>43</v>
      </c>
      <c r="AB6011" s="8"/>
      <c r="AC6011" s="27">
        <v>9785819906996</v>
      </c>
    </row>
    <row r="6012" spans="1:29" s="4" customFormat="1" ht="51.9" customHeight="1" x14ac:dyDescent="0.2">
      <c r="A6012" s="5">
        <v>0</v>
      </c>
      <c r="B6012" s="6" t="s">
        <v>34239</v>
      </c>
      <c r="C6012" s="7">
        <v>2412</v>
      </c>
      <c r="D6012" s="8" t="s">
        <v>34240</v>
      </c>
      <c r="E6012" s="8" t="s">
        <v>34241</v>
      </c>
      <c r="F6012" s="8" t="s">
        <v>34242</v>
      </c>
      <c r="G6012" s="6" t="s">
        <v>118</v>
      </c>
      <c r="H6012" s="6" t="s">
        <v>34</v>
      </c>
      <c r="I6012" s="8" t="s">
        <v>263</v>
      </c>
      <c r="J6012" s="9">
        <v>1</v>
      </c>
      <c r="K6012" s="9">
        <v>365</v>
      </c>
      <c r="L6012" s="9">
        <v>2026</v>
      </c>
      <c r="M6012" s="8" t="s">
        <v>34243</v>
      </c>
      <c r="N6012" s="8" t="s">
        <v>243</v>
      </c>
      <c r="O6012" s="8" t="s">
        <v>933</v>
      </c>
      <c r="P6012" s="6" t="s">
        <v>306</v>
      </c>
      <c r="Q6012" s="8" t="s">
        <v>265</v>
      </c>
      <c r="R6012" s="10" t="s">
        <v>34244</v>
      </c>
      <c r="S6012" s="11" t="s">
        <v>34245</v>
      </c>
      <c r="T6012" s="6" t="s">
        <v>97</v>
      </c>
      <c r="U6012" s="15" t="str">
        <f>HYPERLINK("https://media.infra-m.ru/2250/2250380/cover/2250380.jpg", "Обложка")</f>
        <v>Обложка</v>
      </c>
      <c r="V6012" s="8" t="s">
        <v>3693</v>
      </c>
      <c r="W6012" s="6"/>
      <c r="X6012" s="6" t="s">
        <v>24</v>
      </c>
      <c r="Y6012" s="6"/>
      <c r="Z6012" s="6" t="s">
        <v>267</v>
      </c>
      <c r="AA6012" s="6" t="s">
        <v>1256</v>
      </c>
      <c r="AB6012" s="8"/>
      <c r="AC6012" s="27">
        <v>9785160153216</v>
      </c>
    </row>
    <row r="6013" spans="1:29" s="4" customFormat="1" ht="51.9" customHeight="1" x14ac:dyDescent="0.2">
      <c r="A6013" s="5">
        <v>0</v>
      </c>
      <c r="B6013" s="6" t="s">
        <v>34246</v>
      </c>
      <c r="C6013" s="7">
        <v>2412</v>
      </c>
      <c r="D6013" s="8" t="s">
        <v>34247</v>
      </c>
      <c r="E6013" s="8" t="s">
        <v>34241</v>
      </c>
      <c r="F6013" s="8" t="s">
        <v>34242</v>
      </c>
      <c r="G6013" s="6" t="s">
        <v>118</v>
      </c>
      <c r="H6013" s="6" t="s">
        <v>34</v>
      </c>
      <c r="I6013" s="8" t="s">
        <v>253</v>
      </c>
      <c r="J6013" s="9">
        <v>1</v>
      </c>
      <c r="K6013" s="9">
        <v>365</v>
      </c>
      <c r="L6013" s="9">
        <v>2026</v>
      </c>
      <c r="M6013" s="8" t="s">
        <v>34248</v>
      </c>
      <c r="N6013" s="8" t="s">
        <v>243</v>
      </c>
      <c r="O6013" s="8" t="s">
        <v>933</v>
      </c>
      <c r="P6013" s="6" t="s">
        <v>306</v>
      </c>
      <c r="Q6013" s="8" t="s">
        <v>52</v>
      </c>
      <c r="R6013" s="10" t="s">
        <v>34249</v>
      </c>
      <c r="S6013" s="11" t="s">
        <v>34250</v>
      </c>
      <c r="T6013" s="6" t="s">
        <v>97</v>
      </c>
      <c r="U6013" s="15" t="str">
        <f>HYPERLINK("https://media.infra-m.ru/2231/2231740/cover/2231740.jpg", "Обложка")</f>
        <v>Обложка</v>
      </c>
      <c r="V6013" s="8" t="s">
        <v>3693</v>
      </c>
      <c r="W6013" s="6"/>
      <c r="X6013" s="6"/>
      <c r="Y6013" s="6"/>
      <c r="Z6013" s="6"/>
      <c r="AA6013" s="6" t="s">
        <v>779</v>
      </c>
      <c r="AB6013" s="8"/>
      <c r="AC6013" s="27">
        <v>9785160191010</v>
      </c>
    </row>
    <row r="6014" spans="1:29" s="4" customFormat="1" ht="42" customHeight="1" x14ac:dyDescent="0.2">
      <c r="A6014" s="5">
        <v>0</v>
      </c>
      <c r="B6014" s="6" t="s">
        <v>34251</v>
      </c>
      <c r="C6014" s="7">
        <v>1344</v>
      </c>
      <c r="D6014" s="8" t="s">
        <v>34252</v>
      </c>
      <c r="E6014" s="8" t="s">
        <v>34253</v>
      </c>
      <c r="F6014" s="8" t="s">
        <v>34254</v>
      </c>
      <c r="G6014" s="6" t="s">
        <v>60</v>
      </c>
      <c r="H6014" s="6" t="s">
        <v>34</v>
      </c>
      <c r="I6014" s="8" t="s">
        <v>1248</v>
      </c>
      <c r="J6014" s="9">
        <v>1</v>
      </c>
      <c r="K6014" s="9">
        <v>224</v>
      </c>
      <c r="L6014" s="9">
        <v>2024</v>
      </c>
      <c r="M6014" s="8" t="s">
        <v>34255</v>
      </c>
      <c r="N6014" s="8" t="s">
        <v>243</v>
      </c>
      <c r="O6014" s="8" t="s">
        <v>244</v>
      </c>
      <c r="P6014" s="6" t="s">
        <v>51</v>
      </c>
      <c r="Q6014" s="8" t="s">
        <v>65</v>
      </c>
      <c r="R6014" s="10" t="s">
        <v>27301</v>
      </c>
      <c r="S6014" s="11"/>
      <c r="T6014" s="6"/>
      <c r="U6014" s="15" t="str">
        <f>HYPERLINK("https://media.infra-m.ru/2096/2096116/cover/2096116.jpg", "Обложка")</f>
        <v>Обложка</v>
      </c>
      <c r="V6014" s="8" t="s">
        <v>1083</v>
      </c>
      <c r="W6014" s="6"/>
      <c r="X6014" s="6"/>
      <c r="Y6014" s="6"/>
      <c r="Z6014" s="6"/>
      <c r="AA6014" s="6" t="s">
        <v>76</v>
      </c>
      <c r="AB6014" s="8"/>
      <c r="AC6014" s="27">
        <v>9785160191881</v>
      </c>
    </row>
    <row r="6015" spans="1:29" s="4" customFormat="1" ht="44.1" customHeight="1" x14ac:dyDescent="0.2">
      <c r="A6015" s="5">
        <v>0</v>
      </c>
      <c r="B6015" s="6" t="s">
        <v>34256</v>
      </c>
      <c r="C6015" s="7">
        <v>3048</v>
      </c>
      <c r="D6015" s="8" t="s">
        <v>34257</v>
      </c>
      <c r="E6015" s="8" t="s">
        <v>34258</v>
      </c>
      <c r="F6015" s="8" t="s">
        <v>34242</v>
      </c>
      <c r="G6015" s="6" t="s">
        <v>60</v>
      </c>
      <c r="H6015" s="6" t="s">
        <v>34</v>
      </c>
      <c r="I6015" s="8" t="s">
        <v>253</v>
      </c>
      <c r="J6015" s="9">
        <v>1</v>
      </c>
      <c r="K6015" s="9">
        <v>461</v>
      </c>
      <c r="L6015" s="9">
        <v>2026</v>
      </c>
      <c r="M6015" s="8" t="s">
        <v>34259</v>
      </c>
      <c r="N6015" s="8" t="s">
        <v>243</v>
      </c>
      <c r="O6015" s="8" t="s">
        <v>244</v>
      </c>
      <c r="P6015" s="6" t="s">
        <v>306</v>
      </c>
      <c r="Q6015" s="8" t="s">
        <v>65</v>
      </c>
      <c r="R6015" s="10" t="s">
        <v>34260</v>
      </c>
      <c r="S6015" s="11"/>
      <c r="T6015" s="6"/>
      <c r="U6015" s="15" t="str">
        <f>HYPERLINK("https://media.infra-m.ru/2253/2253657/cover/2253657.jpg", "Обложка")</f>
        <v>Обложка</v>
      </c>
      <c r="V6015" s="8" t="s">
        <v>3693</v>
      </c>
      <c r="W6015" s="6"/>
      <c r="X6015" s="6"/>
      <c r="Y6015" s="6"/>
      <c r="Z6015" s="6"/>
      <c r="AA6015" s="6" t="s">
        <v>76</v>
      </c>
      <c r="AB6015" s="8"/>
      <c r="AC6015" s="27">
        <v>9785160185811</v>
      </c>
    </row>
    <row r="6016" spans="1:29" s="4" customFormat="1" ht="51.9" customHeight="1" x14ac:dyDescent="0.2">
      <c r="A6016" s="5">
        <v>0</v>
      </c>
      <c r="B6016" s="6" t="s">
        <v>34261</v>
      </c>
      <c r="C6016" s="7">
        <v>1752</v>
      </c>
      <c r="D6016" s="8" t="s">
        <v>34262</v>
      </c>
      <c r="E6016" s="8" t="s">
        <v>34263</v>
      </c>
      <c r="F6016" s="8" t="s">
        <v>34264</v>
      </c>
      <c r="G6016" s="6" t="s">
        <v>118</v>
      </c>
      <c r="H6016" s="6" t="s">
        <v>1042</v>
      </c>
      <c r="I6016" s="8" t="s">
        <v>34265</v>
      </c>
      <c r="J6016" s="9">
        <v>1</v>
      </c>
      <c r="K6016" s="9">
        <v>325</v>
      </c>
      <c r="L6016" s="9">
        <v>2024</v>
      </c>
      <c r="M6016" s="8" t="s">
        <v>34266</v>
      </c>
      <c r="N6016" s="8" t="s">
        <v>243</v>
      </c>
      <c r="O6016" s="8" t="s">
        <v>244</v>
      </c>
      <c r="P6016" s="6" t="s">
        <v>51</v>
      </c>
      <c r="Q6016" s="8" t="s">
        <v>52</v>
      </c>
      <c r="R6016" s="10" t="s">
        <v>34267</v>
      </c>
      <c r="S6016" s="11" t="s">
        <v>34268</v>
      </c>
      <c r="T6016" s="6" t="s">
        <v>97</v>
      </c>
      <c r="U6016" s="15" t="str">
        <f>HYPERLINK("https://media.infra-m.ru/2059/2059558/cover/2059558.jpg", "Обложка")</f>
        <v>Обложка</v>
      </c>
      <c r="V6016" s="8" t="s">
        <v>3428</v>
      </c>
      <c r="W6016" s="6"/>
      <c r="X6016" s="6"/>
      <c r="Y6016" s="6"/>
      <c r="Z6016" s="6"/>
      <c r="AA6016" s="6" t="s">
        <v>86</v>
      </c>
      <c r="AB6016" s="8"/>
      <c r="AC6016" s="27">
        <v>9785819908242</v>
      </c>
    </row>
    <row r="6017" spans="1:29" s="4" customFormat="1" ht="51.9" customHeight="1" x14ac:dyDescent="0.2">
      <c r="A6017" s="5">
        <v>0</v>
      </c>
      <c r="B6017" s="6" t="s">
        <v>34269</v>
      </c>
      <c r="C6017" s="7">
        <v>2316</v>
      </c>
      <c r="D6017" s="8" t="s">
        <v>34270</v>
      </c>
      <c r="E6017" s="8" t="s">
        <v>34271</v>
      </c>
      <c r="F6017" s="8" t="s">
        <v>25829</v>
      </c>
      <c r="G6017" s="6" t="s">
        <v>118</v>
      </c>
      <c r="H6017" s="6" t="s">
        <v>48</v>
      </c>
      <c r="I6017" s="8" t="s">
        <v>263</v>
      </c>
      <c r="J6017" s="9">
        <v>1</v>
      </c>
      <c r="K6017" s="9">
        <v>352</v>
      </c>
      <c r="L6017" s="9">
        <v>2026</v>
      </c>
      <c r="M6017" s="8" t="s">
        <v>34272</v>
      </c>
      <c r="N6017" s="8" t="s">
        <v>243</v>
      </c>
      <c r="O6017" s="8" t="s">
        <v>244</v>
      </c>
      <c r="P6017" s="6" t="s">
        <v>51</v>
      </c>
      <c r="Q6017" s="8" t="s">
        <v>265</v>
      </c>
      <c r="R6017" s="10" t="s">
        <v>34273</v>
      </c>
      <c r="S6017" s="11" t="s">
        <v>34274</v>
      </c>
      <c r="T6017" s="6"/>
      <c r="U6017" s="15" t="str">
        <f>HYPERLINK("https://media.infra-m.ru/2207/2207457/cover/2207457.jpg", "Обложка")</f>
        <v>Обложка</v>
      </c>
      <c r="V6017" s="8" t="s">
        <v>1871</v>
      </c>
      <c r="W6017" s="6"/>
      <c r="X6017" s="6"/>
      <c r="Y6017" s="6"/>
      <c r="Z6017" s="6" t="s">
        <v>267</v>
      </c>
      <c r="AA6017" s="6" t="s">
        <v>404</v>
      </c>
      <c r="AB6017" s="8"/>
      <c r="AC6017" s="27">
        <v>9785000915578</v>
      </c>
    </row>
    <row r="6018" spans="1:29" s="4" customFormat="1" ht="51.9" customHeight="1" x14ac:dyDescent="0.2">
      <c r="A6018" s="5">
        <v>0</v>
      </c>
      <c r="B6018" s="6" t="s">
        <v>34275</v>
      </c>
      <c r="C6018" s="7">
        <v>2152.8000000000002</v>
      </c>
      <c r="D6018" s="8" t="s">
        <v>34276</v>
      </c>
      <c r="E6018" s="8" t="s">
        <v>34277</v>
      </c>
      <c r="F6018" s="8" t="s">
        <v>25829</v>
      </c>
      <c r="G6018" s="6" t="s">
        <v>118</v>
      </c>
      <c r="H6018" s="6" t="s">
        <v>34</v>
      </c>
      <c r="I6018" s="8" t="s">
        <v>271</v>
      </c>
      <c r="J6018" s="9">
        <v>1</v>
      </c>
      <c r="K6018" s="9">
        <v>327</v>
      </c>
      <c r="L6018" s="9">
        <v>2026</v>
      </c>
      <c r="M6018" s="8" t="s">
        <v>34278</v>
      </c>
      <c r="N6018" s="8" t="s">
        <v>243</v>
      </c>
      <c r="O6018" s="8" t="s">
        <v>244</v>
      </c>
      <c r="P6018" s="6" t="s">
        <v>51</v>
      </c>
      <c r="Q6018" s="8" t="s">
        <v>52</v>
      </c>
      <c r="R6018" s="10" t="s">
        <v>34279</v>
      </c>
      <c r="S6018" s="11" t="s">
        <v>34280</v>
      </c>
      <c r="T6018" s="6"/>
      <c r="U6018" s="15" t="str">
        <f>HYPERLINK("https://media.infra-m.ru/2240/2240317/cover/2240317.jpg", "Обложка")</f>
        <v>Обложка</v>
      </c>
      <c r="V6018" s="8" t="s">
        <v>1871</v>
      </c>
      <c r="W6018" s="6"/>
      <c r="X6018" s="6"/>
      <c r="Y6018" s="6"/>
      <c r="Z6018" s="6"/>
      <c r="AA6018" s="6" t="s">
        <v>1389</v>
      </c>
      <c r="AB6018" s="8"/>
      <c r="AC6018" s="27">
        <v>9785160154718</v>
      </c>
    </row>
    <row r="6019" spans="1:29" s="4" customFormat="1" ht="51.9" customHeight="1" x14ac:dyDescent="0.2">
      <c r="A6019" s="5">
        <v>0</v>
      </c>
      <c r="B6019" s="6" t="s">
        <v>34281</v>
      </c>
      <c r="C6019" s="7">
        <v>1356</v>
      </c>
      <c r="D6019" s="8" t="s">
        <v>34282</v>
      </c>
      <c r="E6019" s="8" t="s">
        <v>34271</v>
      </c>
      <c r="F6019" s="8" t="s">
        <v>25829</v>
      </c>
      <c r="G6019" s="6" t="s">
        <v>118</v>
      </c>
      <c r="H6019" s="6" t="s">
        <v>48</v>
      </c>
      <c r="I6019" s="8" t="s">
        <v>253</v>
      </c>
      <c r="J6019" s="9">
        <v>1</v>
      </c>
      <c r="K6019" s="9">
        <v>352</v>
      </c>
      <c r="L6019" s="9">
        <v>2019</v>
      </c>
      <c r="M6019" s="8" t="s">
        <v>34283</v>
      </c>
      <c r="N6019" s="8" t="s">
        <v>243</v>
      </c>
      <c r="O6019" s="8" t="s">
        <v>244</v>
      </c>
      <c r="P6019" s="6" t="s">
        <v>51</v>
      </c>
      <c r="Q6019" s="8" t="s">
        <v>52</v>
      </c>
      <c r="R6019" s="10" t="s">
        <v>34279</v>
      </c>
      <c r="S6019" s="11" t="s">
        <v>34280</v>
      </c>
      <c r="T6019" s="6"/>
      <c r="U6019" s="15" t="str">
        <f>HYPERLINK("https://media.infra-m.ru/1025/1025261/cover/1025261.jpg", "Обложка")</f>
        <v>Обложка</v>
      </c>
      <c r="V6019" s="8" t="s">
        <v>1871</v>
      </c>
      <c r="W6019" s="6"/>
      <c r="X6019" s="6"/>
      <c r="Y6019" s="6"/>
      <c r="Z6019" s="6"/>
      <c r="AA6019" s="6" t="s">
        <v>874</v>
      </c>
      <c r="AB6019" s="8"/>
      <c r="AC6019" s="27">
        <v>9785000917091</v>
      </c>
    </row>
    <row r="6020" spans="1:29" s="4" customFormat="1" ht="51.9" customHeight="1" x14ac:dyDescent="0.2">
      <c r="A6020" s="5">
        <v>0</v>
      </c>
      <c r="B6020" s="6" t="s">
        <v>34284</v>
      </c>
      <c r="C6020" s="13">
        <v>960</v>
      </c>
      <c r="D6020" s="8" t="s">
        <v>34285</v>
      </c>
      <c r="E6020" s="8" t="s">
        <v>34286</v>
      </c>
      <c r="F6020" s="8" t="s">
        <v>34287</v>
      </c>
      <c r="G6020" s="6" t="s">
        <v>118</v>
      </c>
      <c r="H6020" s="6" t="s">
        <v>34</v>
      </c>
      <c r="I6020" s="8" t="s">
        <v>263</v>
      </c>
      <c r="J6020" s="9">
        <v>1</v>
      </c>
      <c r="K6020" s="9">
        <v>145</v>
      </c>
      <c r="L6020" s="9">
        <v>2026</v>
      </c>
      <c r="M6020" s="8" t="s">
        <v>34288</v>
      </c>
      <c r="N6020" s="8" t="s">
        <v>243</v>
      </c>
      <c r="O6020" s="8" t="s">
        <v>244</v>
      </c>
      <c r="P6020" s="6" t="s">
        <v>51</v>
      </c>
      <c r="Q6020" s="8" t="s">
        <v>265</v>
      </c>
      <c r="R6020" s="10" t="s">
        <v>34289</v>
      </c>
      <c r="S6020" s="11" t="s">
        <v>34290</v>
      </c>
      <c r="T6020" s="6"/>
      <c r="U6020" s="15" t="str">
        <f>HYPERLINK("https://media.infra-m.ru/2242/2242625/cover/2242625.jpg", "Обложка")</f>
        <v>Обложка</v>
      </c>
      <c r="V6020" s="8" t="s">
        <v>10175</v>
      </c>
      <c r="W6020" s="6"/>
      <c r="X6020" s="6"/>
      <c r="Y6020" s="6"/>
      <c r="Z6020" s="6" t="s">
        <v>267</v>
      </c>
      <c r="AA6020" s="6" t="s">
        <v>115</v>
      </c>
      <c r="AB6020" s="8"/>
      <c r="AC6020" s="27">
        <v>9785160145143</v>
      </c>
    </row>
    <row r="6021" spans="1:29" s="4" customFormat="1" ht="51.9" customHeight="1" x14ac:dyDescent="0.2">
      <c r="A6021" s="5">
        <v>0</v>
      </c>
      <c r="B6021" s="6" t="s">
        <v>34291</v>
      </c>
      <c r="C6021" s="13">
        <v>952.8</v>
      </c>
      <c r="D6021" s="8" t="s">
        <v>34292</v>
      </c>
      <c r="E6021" s="8" t="s">
        <v>34286</v>
      </c>
      <c r="F6021" s="8" t="s">
        <v>34287</v>
      </c>
      <c r="G6021" s="6" t="s">
        <v>118</v>
      </c>
      <c r="H6021" s="6" t="s">
        <v>34</v>
      </c>
      <c r="I6021" s="8" t="s">
        <v>271</v>
      </c>
      <c r="J6021" s="9">
        <v>1</v>
      </c>
      <c r="K6021" s="9">
        <v>145</v>
      </c>
      <c r="L6021" s="9">
        <v>2026</v>
      </c>
      <c r="M6021" s="8" t="s">
        <v>34293</v>
      </c>
      <c r="N6021" s="8" t="s">
        <v>243</v>
      </c>
      <c r="O6021" s="8" t="s">
        <v>244</v>
      </c>
      <c r="P6021" s="6" t="s">
        <v>51</v>
      </c>
      <c r="Q6021" s="8" t="s">
        <v>52</v>
      </c>
      <c r="R6021" s="10" t="s">
        <v>34294</v>
      </c>
      <c r="S6021" s="11" t="s">
        <v>34295</v>
      </c>
      <c r="T6021" s="6"/>
      <c r="U6021" s="15" t="str">
        <f>HYPERLINK("https://media.infra-m.ru/2239/2239932/cover/2239932.jpg", "Обложка")</f>
        <v>Обложка</v>
      </c>
      <c r="V6021" s="8" t="s">
        <v>10175</v>
      </c>
      <c r="W6021" s="6"/>
      <c r="X6021" s="6"/>
      <c r="Y6021" s="6"/>
      <c r="Z6021" s="6"/>
      <c r="AA6021" s="6" t="s">
        <v>86</v>
      </c>
      <c r="AB6021" s="8"/>
      <c r="AC6021" s="27">
        <v>9785160135656</v>
      </c>
    </row>
    <row r="6022" spans="1:29" s="4" customFormat="1" ht="51.9" customHeight="1" x14ac:dyDescent="0.2">
      <c r="A6022" s="5">
        <v>0</v>
      </c>
      <c r="B6022" s="6" t="s">
        <v>34296</v>
      </c>
      <c r="C6022" s="7">
        <v>1048.8</v>
      </c>
      <c r="D6022" s="8" t="s">
        <v>34297</v>
      </c>
      <c r="E6022" s="8" t="s">
        <v>34298</v>
      </c>
      <c r="F6022" s="8" t="s">
        <v>3971</v>
      </c>
      <c r="G6022" s="6" t="s">
        <v>33</v>
      </c>
      <c r="H6022" s="6" t="s">
        <v>34</v>
      </c>
      <c r="I6022" s="8" t="s">
        <v>263</v>
      </c>
      <c r="J6022" s="9">
        <v>1</v>
      </c>
      <c r="K6022" s="9">
        <v>158</v>
      </c>
      <c r="L6022" s="9">
        <v>2026</v>
      </c>
      <c r="M6022" s="8" t="s">
        <v>34299</v>
      </c>
      <c r="N6022" s="8" t="s">
        <v>243</v>
      </c>
      <c r="O6022" s="8" t="s">
        <v>244</v>
      </c>
      <c r="P6022" s="6" t="s">
        <v>51</v>
      </c>
      <c r="Q6022" s="8" t="s">
        <v>265</v>
      </c>
      <c r="R6022" s="10" t="s">
        <v>34300</v>
      </c>
      <c r="S6022" s="11" t="s">
        <v>34301</v>
      </c>
      <c r="T6022" s="6"/>
      <c r="U6022" s="15" t="str">
        <f>HYPERLINK("https://media.infra-m.ru/2236/2236115/cover/2236115.jpg", "Обложка")</f>
        <v>Обложка</v>
      </c>
      <c r="V6022" s="8" t="s">
        <v>54</v>
      </c>
      <c r="W6022" s="6"/>
      <c r="X6022" s="6" t="s">
        <v>24</v>
      </c>
      <c r="Y6022" s="6"/>
      <c r="Z6022" s="6"/>
      <c r="AA6022" s="6" t="s">
        <v>218</v>
      </c>
      <c r="AB6022" s="8"/>
      <c r="AC6022" s="27">
        <v>9785160154473</v>
      </c>
    </row>
    <row r="6023" spans="1:29" s="4" customFormat="1" ht="51.9" customHeight="1" x14ac:dyDescent="0.2">
      <c r="A6023" s="5">
        <v>0</v>
      </c>
      <c r="B6023" s="6" t="s">
        <v>34302</v>
      </c>
      <c r="C6023" s="13">
        <v>420</v>
      </c>
      <c r="D6023" s="8" t="s">
        <v>34303</v>
      </c>
      <c r="E6023" s="8" t="s">
        <v>34304</v>
      </c>
      <c r="F6023" s="8" t="s">
        <v>3971</v>
      </c>
      <c r="G6023" s="6" t="s">
        <v>33</v>
      </c>
      <c r="H6023" s="6" t="s">
        <v>34</v>
      </c>
      <c r="I6023" s="8" t="s">
        <v>263</v>
      </c>
      <c r="J6023" s="9">
        <v>1</v>
      </c>
      <c r="K6023" s="9">
        <v>117</v>
      </c>
      <c r="L6023" s="9">
        <v>2019</v>
      </c>
      <c r="M6023" s="8" t="s">
        <v>34305</v>
      </c>
      <c r="N6023" s="8" t="s">
        <v>243</v>
      </c>
      <c r="O6023" s="8" t="s">
        <v>244</v>
      </c>
      <c r="P6023" s="6" t="s">
        <v>51</v>
      </c>
      <c r="Q6023" s="8" t="s">
        <v>265</v>
      </c>
      <c r="R6023" s="10" t="s">
        <v>34300</v>
      </c>
      <c r="S6023" s="11" t="s">
        <v>34306</v>
      </c>
      <c r="T6023" s="6"/>
      <c r="U6023" s="15" t="str">
        <f>HYPERLINK("https://media.infra-m.ru/0989/0989894/cover/989894.jpg", "Обложка")</f>
        <v>Обложка</v>
      </c>
      <c r="V6023" s="8" t="s">
        <v>54</v>
      </c>
      <c r="W6023" s="6"/>
      <c r="X6023" s="6" t="s">
        <v>24</v>
      </c>
      <c r="Y6023" s="6"/>
      <c r="Z6023" s="6"/>
      <c r="AA6023" s="6" t="s">
        <v>43</v>
      </c>
      <c r="AB6023" s="8"/>
      <c r="AC6023" s="27">
        <v>9785160048581</v>
      </c>
    </row>
    <row r="6024" spans="1:29" s="4" customFormat="1" ht="51.9" customHeight="1" x14ac:dyDescent="0.2">
      <c r="A6024" s="5">
        <v>0</v>
      </c>
      <c r="B6024" s="6" t="s">
        <v>34307</v>
      </c>
      <c r="C6024" s="7">
        <v>2956.8</v>
      </c>
      <c r="D6024" s="8" t="s">
        <v>34308</v>
      </c>
      <c r="E6024" s="8" t="s">
        <v>34309</v>
      </c>
      <c r="F6024" s="8" t="s">
        <v>34310</v>
      </c>
      <c r="G6024" s="6" t="s">
        <v>60</v>
      </c>
      <c r="H6024" s="6" t="s">
        <v>48</v>
      </c>
      <c r="I6024" s="8" t="s">
        <v>401</v>
      </c>
      <c r="J6024" s="9">
        <v>1</v>
      </c>
      <c r="K6024" s="9">
        <v>448</v>
      </c>
      <c r="L6024" s="9">
        <v>2026</v>
      </c>
      <c r="M6024" s="8" t="s">
        <v>34311</v>
      </c>
      <c r="N6024" s="8" t="s">
        <v>243</v>
      </c>
      <c r="O6024" s="8" t="s">
        <v>244</v>
      </c>
      <c r="P6024" s="6" t="s">
        <v>51</v>
      </c>
      <c r="Q6024" s="8" t="s">
        <v>265</v>
      </c>
      <c r="R6024" s="10" t="s">
        <v>34312</v>
      </c>
      <c r="S6024" s="11" t="s">
        <v>34313</v>
      </c>
      <c r="T6024" s="6"/>
      <c r="U6024" s="15" t="str">
        <f>HYPERLINK("https://media.infra-m.ru/2243/2243781/cover/2243781.jpg", "Обложка")</f>
        <v>Обложка</v>
      </c>
      <c r="V6024" s="8" t="s">
        <v>3413</v>
      </c>
      <c r="W6024" s="6"/>
      <c r="X6024" s="6" t="s">
        <v>24</v>
      </c>
      <c r="Y6024" s="6"/>
      <c r="Z6024" s="6"/>
      <c r="AA6024" s="6" t="s">
        <v>15057</v>
      </c>
      <c r="AB6024" s="8"/>
      <c r="AC6024" s="27">
        <v>9785911347116</v>
      </c>
    </row>
    <row r="6025" spans="1:29" s="4" customFormat="1" ht="51.9" customHeight="1" x14ac:dyDescent="0.2">
      <c r="A6025" s="5">
        <v>0</v>
      </c>
      <c r="B6025" s="6" t="s">
        <v>34314</v>
      </c>
      <c r="C6025" s="13">
        <v>756</v>
      </c>
      <c r="D6025" s="8" t="s">
        <v>34315</v>
      </c>
      <c r="E6025" s="8" t="s">
        <v>34316</v>
      </c>
      <c r="F6025" s="8" t="s">
        <v>12989</v>
      </c>
      <c r="G6025" s="6" t="s">
        <v>33</v>
      </c>
      <c r="H6025" s="6" t="s">
        <v>313</v>
      </c>
      <c r="I6025" s="8" t="s">
        <v>35</v>
      </c>
      <c r="J6025" s="9">
        <v>1</v>
      </c>
      <c r="K6025" s="9">
        <v>136</v>
      </c>
      <c r="L6025" s="9">
        <v>2024</v>
      </c>
      <c r="M6025" s="8" t="s">
        <v>34317</v>
      </c>
      <c r="N6025" s="8" t="s">
        <v>243</v>
      </c>
      <c r="O6025" s="8" t="s">
        <v>244</v>
      </c>
      <c r="P6025" s="6" t="s">
        <v>39</v>
      </c>
      <c r="Q6025" s="8" t="s">
        <v>40</v>
      </c>
      <c r="R6025" s="10" t="s">
        <v>34318</v>
      </c>
      <c r="S6025" s="11"/>
      <c r="T6025" s="6"/>
      <c r="U6025" s="15" t="str">
        <f>HYPERLINK("https://media.infra-m.ru/2081/2081054/cover/2081054.jpg", "Обложка")</f>
        <v>Обложка</v>
      </c>
      <c r="V6025" s="8" t="s">
        <v>12649</v>
      </c>
      <c r="W6025" s="6"/>
      <c r="X6025" s="6"/>
      <c r="Y6025" s="6"/>
      <c r="Z6025" s="6"/>
      <c r="AA6025" s="6" t="s">
        <v>55</v>
      </c>
      <c r="AB6025" s="8"/>
      <c r="AC6025" s="27">
        <v>9785369011966</v>
      </c>
    </row>
    <row r="6026" spans="1:29" s="4" customFormat="1" ht="44.1" customHeight="1" x14ac:dyDescent="0.2">
      <c r="A6026" s="5">
        <v>0</v>
      </c>
      <c r="B6026" s="6" t="s">
        <v>34319</v>
      </c>
      <c r="C6026" s="7">
        <v>2392.8000000000002</v>
      </c>
      <c r="D6026" s="8" t="s">
        <v>34320</v>
      </c>
      <c r="E6026" s="8" t="s">
        <v>34321</v>
      </c>
      <c r="F6026" s="8" t="s">
        <v>34322</v>
      </c>
      <c r="G6026" s="6" t="s">
        <v>60</v>
      </c>
      <c r="H6026" s="6" t="s">
        <v>1644</v>
      </c>
      <c r="I6026" s="8"/>
      <c r="J6026" s="9">
        <v>1</v>
      </c>
      <c r="K6026" s="9">
        <v>384</v>
      </c>
      <c r="L6026" s="9">
        <v>2025</v>
      </c>
      <c r="M6026" s="8" t="s">
        <v>34323</v>
      </c>
      <c r="N6026" s="8" t="s">
        <v>37</v>
      </c>
      <c r="O6026" s="8" t="s">
        <v>233</v>
      </c>
      <c r="P6026" s="6" t="s">
        <v>51</v>
      </c>
      <c r="Q6026" s="8"/>
      <c r="R6026" s="10" t="s">
        <v>2228</v>
      </c>
      <c r="S6026" s="11"/>
      <c r="T6026" s="6"/>
      <c r="U6026" s="15" t="str">
        <f>HYPERLINK("https://media.infra-m.ru/2192/2192233/cover/2192233.jpg", "Обложка")</f>
        <v>Обложка</v>
      </c>
      <c r="V6026" s="8" t="s">
        <v>644</v>
      </c>
      <c r="W6026" s="6"/>
      <c r="X6026" s="6"/>
      <c r="Y6026" s="6"/>
      <c r="Z6026" s="6"/>
      <c r="AA6026" s="6" t="s">
        <v>43</v>
      </c>
      <c r="AB6026" s="8"/>
      <c r="AC6026" s="27">
        <v>9785977602310</v>
      </c>
    </row>
    <row r="6027" spans="1:29" s="4" customFormat="1" ht="51.9" customHeight="1" x14ac:dyDescent="0.2">
      <c r="A6027" s="5">
        <v>0</v>
      </c>
      <c r="B6027" s="6" t="s">
        <v>34324</v>
      </c>
      <c r="C6027" s="13">
        <v>972</v>
      </c>
      <c r="D6027" s="8" t="s">
        <v>34325</v>
      </c>
      <c r="E6027" s="8" t="s">
        <v>34326</v>
      </c>
      <c r="F6027" s="8" t="s">
        <v>34327</v>
      </c>
      <c r="G6027" s="6" t="s">
        <v>33</v>
      </c>
      <c r="H6027" s="6" t="s">
        <v>34</v>
      </c>
      <c r="I6027" s="8" t="s">
        <v>35</v>
      </c>
      <c r="J6027" s="9">
        <v>1</v>
      </c>
      <c r="K6027" s="9">
        <v>174</v>
      </c>
      <c r="L6027" s="9">
        <v>2024</v>
      </c>
      <c r="M6027" s="8" t="s">
        <v>34328</v>
      </c>
      <c r="N6027" s="8" t="s">
        <v>37</v>
      </c>
      <c r="O6027" s="8" t="s">
        <v>233</v>
      </c>
      <c r="P6027" s="6" t="s">
        <v>39</v>
      </c>
      <c r="Q6027" s="8" t="s">
        <v>40</v>
      </c>
      <c r="R6027" s="10" t="s">
        <v>34329</v>
      </c>
      <c r="S6027" s="11"/>
      <c r="T6027" s="6"/>
      <c r="U6027" s="15" t="str">
        <f>HYPERLINK("https://media.infra-m.ru/2117/2117120/cover/2117120.jpg", "Обложка")</f>
        <v>Обложка</v>
      </c>
      <c r="V6027" s="8" t="s">
        <v>911</v>
      </c>
      <c r="W6027" s="6"/>
      <c r="X6027" s="6"/>
      <c r="Y6027" s="6"/>
      <c r="Z6027" s="6"/>
      <c r="AA6027" s="6" t="s">
        <v>1015</v>
      </c>
      <c r="AB6027" s="8"/>
      <c r="AC6027" s="27">
        <v>9785160046327</v>
      </c>
    </row>
    <row r="6028" spans="1:29" s="4" customFormat="1" ht="42" customHeight="1" x14ac:dyDescent="0.2">
      <c r="A6028" s="5">
        <v>0</v>
      </c>
      <c r="B6028" s="6" t="s">
        <v>34330</v>
      </c>
      <c r="C6028" s="7">
        <v>1404</v>
      </c>
      <c r="D6028" s="8" t="s">
        <v>34331</v>
      </c>
      <c r="E6028" s="8" t="s">
        <v>34332</v>
      </c>
      <c r="F6028" s="8" t="s">
        <v>7831</v>
      </c>
      <c r="G6028" s="6" t="s">
        <v>33</v>
      </c>
      <c r="H6028" s="6" t="s">
        <v>34</v>
      </c>
      <c r="I6028" s="8" t="s">
        <v>2159</v>
      </c>
      <c r="J6028" s="9">
        <v>1</v>
      </c>
      <c r="K6028" s="9">
        <v>219</v>
      </c>
      <c r="L6028" s="9">
        <v>2025</v>
      </c>
      <c r="M6028" s="8" t="s">
        <v>34333</v>
      </c>
      <c r="N6028" s="8" t="s">
        <v>37</v>
      </c>
      <c r="O6028" s="8" t="s">
        <v>233</v>
      </c>
      <c r="P6028" s="6" t="s">
        <v>39</v>
      </c>
      <c r="Q6028" s="8" t="s">
        <v>40</v>
      </c>
      <c r="R6028" s="10" t="s">
        <v>13064</v>
      </c>
      <c r="S6028" s="11"/>
      <c r="T6028" s="6"/>
      <c r="U6028" s="15" t="str">
        <f>HYPERLINK("https://media.infra-m.ru/2169/2169738/cover/2169738.jpg", "Обложка")</f>
        <v>Обложка</v>
      </c>
      <c r="V6028" s="8" t="s">
        <v>445</v>
      </c>
      <c r="W6028" s="6"/>
      <c r="X6028" s="6"/>
      <c r="Y6028" s="6"/>
      <c r="Z6028" s="6"/>
      <c r="AA6028" s="6" t="s">
        <v>68</v>
      </c>
      <c r="AB6028" s="8"/>
      <c r="AC6028" s="27">
        <v>9785160203317</v>
      </c>
    </row>
    <row r="6029" spans="1:29" s="4" customFormat="1" ht="51.9" customHeight="1" x14ac:dyDescent="0.2">
      <c r="A6029" s="5">
        <v>0</v>
      </c>
      <c r="B6029" s="6" t="s">
        <v>34334</v>
      </c>
      <c r="C6029" s="7">
        <v>1200</v>
      </c>
      <c r="D6029" s="8" t="s">
        <v>34335</v>
      </c>
      <c r="E6029" s="8" t="s">
        <v>34336</v>
      </c>
      <c r="F6029" s="8" t="s">
        <v>34337</v>
      </c>
      <c r="G6029" s="6" t="s">
        <v>60</v>
      </c>
      <c r="H6029" s="6" t="s">
        <v>34</v>
      </c>
      <c r="I6029" s="8" t="s">
        <v>35</v>
      </c>
      <c r="J6029" s="9">
        <v>1</v>
      </c>
      <c r="K6029" s="9">
        <v>170</v>
      </c>
      <c r="L6029" s="9">
        <v>2026</v>
      </c>
      <c r="M6029" s="8" t="s">
        <v>34338</v>
      </c>
      <c r="N6029" s="8" t="s">
        <v>37</v>
      </c>
      <c r="O6029" s="8" t="s">
        <v>233</v>
      </c>
      <c r="P6029" s="6" t="s">
        <v>39</v>
      </c>
      <c r="Q6029" s="8" t="s">
        <v>40</v>
      </c>
      <c r="R6029" s="10" t="s">
        <v>34339</v>
      </c>
      <c r="S6029" s="11"/>
      <c r="T6029" s="6"/>
      <c r="U6029" s="15" t="str">
        <f>HYPERLINK("https://media.infra-m.ru/2227/2227082/cover/2227082.jpg", "Обложка")</f>
        <v>Обложка</v>
      </c>
      <c r="V6029" s="8" t="s">
        <v>13266</v>
      </c>
      <c r="W6029" s="6" t="s">
        <v>528</v>
      </c>
      <c r="X6029" s="6"/>
      <c r="Y6029" s="6"/>
      <c r="Z6029" s="6"/>
      <c r="AA6029" s="6" t="s">
        <v>187</v>
      </c>
      <c r="AB6029" s="8" t="s">
        <v>308</v>
      </c>
      <c r="AC6029" s="27">
        <v>9785160214931</v>
      </c>
    </row>
    <row r="6030" spans="1:29" s="4" customFormat="1" ht="51.9" customHeight="1" x14ac:dyDescent="0.2">
      <c r="A6030" s="5">
        <v>0</v>
      </c>
      <c r="B6030" s="6" t="s">
        <v>34340</v>
      </c>
      <c r="C6030" s="7">
        <v>1440</v>
      </c>
      <c r="D6030" s="8" t="s">
        <v>34341</v>
      </c>
      <c r="E6030" s="8" t="s">
        <v>34342</v>
      </c>
      <c r="F6030" s="8" t="s">
        <v>34343</v>
      </c>
      <c r="G6030" s="6" t="s">
        <v>60</v>
      </c>
      <c r="H6030" s="6" t="s">
        <v>34</v>
      </c>
      <c r="I6030" s="8" t="s">
        <v>35</v>
      </c>
      <c r="J6030" s="9">
        <v>1</v>
      </c>
      <c r="K6030" s="9">
        <v>202</v>
      </c>
      <c r="L6030" s="9">
        <v>2027</v>
      </c>
      <c r="M6030" s="8" t="s">
        <v>34344</v>
      </c>
      <c r="N6030" s="8" t="s">
        <v>37</v>
      </c>
      <c r="O6030" s="8" t="s">
        <v>233</v>
      </c>
      <c r="P6030" s="6" t="s">
        <v>39</v>
      </c>
      <c r="Q6030" s="8" t="s">
        <v>40</v>
      </c>
      <c r="R6030" s="10" t="s">
        <v>34345</v>
      </c>
      <c r="S6030" s="11"/>
      <c r="T6030" s="6"/>
      <c r="U6030" s="15" t="str">
        <f>HYPERLINK("https://media.infra-m.ru/2250/2250021/cover/2250021.jpg", "Обложка")</f>
        <v>Обложка</v>
      </c>
      <c r="V6030" s="8" t="s">
        <v>1647</v>
      </c>
      <c r="W6030" s="6" t="s">
        <v>2115</v>
      </c>
      <c r="X6030" s="6"/>
      <c r="Y6030" s="6"/>
      <c r="Z6030" s="6"/>
      <c r="AA6030" s="6" t="s">
        <v>420</v>
      </c>
      <c r="AB6030" s="8"/>
      <c r="AC6030" s="27">
        <v>9785160220697</v>
      </c>
    </row>
    <row r="6031" spans="1:29" s="4" customFormat="1" ht="51.9" customHeight="1" x14ac:dyDescent="0.2">
      <c r="A6031" s="5">
        <v>0</v>
      </c>
      <c r="B6031" s="6" t="s">
        <v>34346</v>
      </c>
      <c r="C6031" s="7">
        <v>2200.8000000000002</v>
      </c>
      <c r="D6031" s="8" t="s">
        <v>34347</v>
      </c>
      <c r="E6031" s="8" t="s">
        <v>34348</v>
      </c>
      <c r="F6031" s="8" t="s">
        <v>870</v>
      </c>
      <c r="G6031" s="6" t="s">
        <v>60</v>
      </c>
      <c r="H6031" s="6" t="s">
        <v>48</v>
      </c>
      <c r="I6031" s="8" t="s">
        <v>253</v>
      </c>
      <c r="J6031" s="9">
        <v>1</v>
      </c>
      <c r="K6031" s="9">
        <v>352</v>
      </c>
      <c r="L6031" s="9">
        <v>2025</v>
      </c>
      <c r="M6031" s="8" t="s">
        <v>34349</v>
      </c>
      <c r="N6031" s="8" t="s">
        <v>243</v>
      </c>
      <c r="O6031" s="8" t="s">
        <v>758</v>
      </c>
      <c r="P6031" s="6" t="s">
        <v>51</v>
      </c>
      <c r="Q6031" s="8" t="s">
        <v>52</v>
      </c>
      <c r="R6031" s="10" t="s">
        <v>841</v>
      </c>
      <c r="S6031" s="11" t="s">
        <v>34350</v>
      </c>
      <c r="T6031" s="6"/>
      <c r="U6031" s="15" t="str">
        <f>HYPERLINK("https://media.infra-m.ru/2192/2192220/cover/2192220.jpg", "Обложка")</f>
        <v>Обложка</v>
      </c>
      <c r="V6031" s="8" t="s">
        <v>867</v>
      </c>
      <c r="W6031" s="6"/>
      <c r="X6031" s="6"/>
      <c r="Y6031" s="6"/>
      <c r="Z6031" s="6"/>
      <c r="AA6031" s="6" t="s">
        <v>43</v>
      </c>
      <c r="AB6031" s="8"/>
      <c r="AC6031" s="27">
        <v>9785911346423</v>
      </c>
    </row>
    <row r="6032" spans="1:29" s="4" customFormat="1" ht="51.9" customHeight="1" x14ac:dyDescent="0.2">
      <c r="A6032" s="5">
        <v>0</v>
      </c>
      <c r="B6032" s="6" t="s">
        <v>34351</v>
      </c>
      <c r="C6032" s="7">
        <v>1685.9</v>
      </c>
      <c r="D6032" s="8" t="s">
        <v>34352</v>
      </c>
      <c r="E6032" s="8" t="s">
        <v>34353</v>
      </c>
      <c r="F6032" s="8" t="s">
        <v>34354</v>
      </c>
      <c r="G6032" s="6" t="s">
        <v>60</v>
      </c>
      <c r="H6032" s="6" t="s">
        <v>820</v>
      </c>
      <c r="I6032" s="8"/>
      <c r="J6032" s="9">
        <v>1</v>
      </c>
      <c r="K6032" s="9">
        <v>312</v>
      </c>
      <c r="L6032" s="9">
        <v>2023</v>
      </c>
      <c r="M6032" s="8" t="s">
        <v>34355</v>
      </c>
      <c r="N6032" s="8" t="s">
        <v>243</v>
      </c>
      <c r="O6032" s="8" t="s">
        <v>933</v>
      </c>
      <c r="P6032" s="6" t="s">
        <v>51</v>
      </c>
      <c r="Q6032" s="8" t="s">
        <v>65</v>
      </c>
      <c r="R6032" s="10" t="s">
        <v>34356</v>
      </c>
      <c r="S6032" s="11" t="s">
        <v>34357</v>
      </c>
      <c r="T6032" s="6"/>
      <c r="U6032" s="15" t="str">
        <f>HYPERLINK("https://media.infra-m.ru/1900/1900561/cover/1900561.jpg", "Обложка")</f>
        <v>Обложка</v>
      </c>
      <c r="V6032" s="8" t="s">
        <v>4473</v>
      </c>
      <c r="W6032" s="6"/>
      <c r="X6032" s="6"/>
      <c r="Y6032" s="6"/>
      <c r="Z6032" s="6"/>
      <c r="AA6032" s="6" t="s">
        <v>248</v>
      </c>
      <c r="AB6032" s="8"/>
      <c r="AC6032" s="27">
        <v>9785905554537</v>
      </c>
    </row>
    <row r="6033" spans="1:29" s="4" customFormat="1" ht="51.9" customHeight="1" x14ac:dyDescent="0.2">
      <c r="A6033" s="5">
        <v>0</v>
      </c>
      <c r="B6033" s="6" t="s">
        <v>34358</v>
      </c>
      <c r="C6033" s="7">
        <v>1468.8</v>
      </c>
      <c r="D6033" s="8" t="s">
        <v>34359</v>
      </c>
      <c r="E6033" s="8" t="s">
        <v>34360</v>
      </c>
      <c r="F6033" s="8" t="s">
        <v>34361</v>
      </c>
      <c r="G6033" s="6" t="s">
        <v>118</v>
      </c>
      <c r="H6033" s="6" t="s">
        <v>34</v>
      </c>
      <c r="I6033" s="8" t="s">
        <v>271</v>
      </c>
      <c r="J6033" s="9">
        <v>1</v>
      </c>
      <c r="K6033" s="9">
        <v>245</v>
      </c>
      <c r="L6033" s="9">
        <v>2024</v>
      </c>
      <c r="M6033" s="8" t="s">
        <v>34362</v>
      </c>
      <c r="N6033" s="8" t="s">
        <v>243</v>
      </c>
      <c r="O6033" s="8" t="s">
        <v>329</v>
      </c>
      <c r="P6033" s="6" t="s">
        <v>51</v>
      </c>
      <c r="Q6033" s="8" t="s">
        <v>52</v>
      </c>
      <c r="R6033" s="10" t="s">
        <v>34363</v>
      </c>
      <c r="S6033" s="11" t="s">
        <v>34364</v>
      </c>
      <c r="T6033" s="6"/>
      <c r="U6033" s="15" t="str">
        <f>HYPERLINK("https://media.infra-m.ru/2084/2084311/cover/2084311.jpg", "Обложка")</f>
        <v>Обложка</v>
      </c>
      <c r="V6033" s="8" t="s">
        <v>911</v>
      </c>
      <c r="W6033" s="6"/>
      <c r="X6033" s="6" t="s">
        <v>24</v>
      </c>
      <c r="Y6033" s="6"/>
      <c r="Z6033" s="6"/>
      <c r="AA6033" s="6" t="s">
        <v>258</v>
      </c>
      <c r="AB6033" s="8"/>
      <c r="AC6033" s="27">
        <v>9785160159379</v>
      </c>
    </row>
    <row r="6034" spans="1:29" s="4" customFormat="1" ht="44.1" customHeight="1" x14ac:dyDescent="0.2">
      <c r="A6034" s="5">
        <v>0</v>
      </c>
      <c r="B6034" s="6" t="s">
        <v>34365</v>
      </c>
      <c r="C6034" s="7">
        <v>1948.8</v>
      </c>
      <c r="D6034" s="8" t="s">
        <v>34366</v>
      </c>
      <c r="E6034" s="8" t="s">
        <v>34367</v>
      </c>
      <c r="F6034" s="8" t="s">
        <v>34192</v>
      </c>
      <c r="G6034" s="6" t="s">
        <v>60</v>
      </c>
      <c r="H6034" s="6" t="s">
        <v>34</v>
      </c>
      <c r="I6034" s="8" t="s">
        <v>253</v>
      </c>
      <c r="J6034" s="9">
        <v>1</v>
      </c>
      <c r="K6034" s="9">
        <v>281</v>
      </c>
      <c r="L6034" s="9">
        <v>2026</v>
      </c>
      <c r="M6034" s="8" t="s">
        <v>34368</v>
      </c>
      <c r="N6034" s="8" t="s">
        <v>243</v>
      </c>
      <c r="O6034" s="8" t="s">
        <v>244</v>
      </c>
      <c r="P6034" s="6" t="s">
        <v>51</v>
      </c>
      <c r="Q6034" s="8" t="s">
        <v>52</v>
      </c>
      <c r="R6034" s="10" t="s">
        <v>34363</v>
      </c>
      <c r="S6034" s="11"/>
      <c r="T6034" s="6"/>
      <c r="U6034" s="15" t="str">
        <f>HYPERLINK("https://media.infra-m.ru/2261/2261996/cover/2261996.jpg", "Обложка")</f>
        <v>Обложка</v>
      </c>
      <c r="V6034" s="8" t="s">
        <v>911</v>
      </c>
      <c r="W6034" s="6"/>
      <c r="X6034" s="6" t="s">
        <v>24</v>
      </c>
      <c r="Y6034" s="6"/>
      <c r="Z6034" s="6"/>
      <c r="AA6034" s="6" t="s">
        <v>1295</v>
      </c>
      <c r="AB6034" s="8"/>
      <c r="AC6034" s="27">
        <v>9785160199320</v>
      </c>
    </row>
    <row r="6035" spans="1:29" s="4" customFormat="1" ht="51.9" customHeight="1" x14ac:dyDescent="0.2">
      <c r="A6035" s="5">
        <v>0</v>
      </c>
      <c r="B6035" s="6" t="s">
        <v>34369</v>
      </c>
      <c r="C6035" s="13">
        <v>509.9</v>
      </c>
      <c r="D6035" s="8" t="s">
        <v>34370</v>
      </c>
      <c r="E6035" s="8" t="s">
        <v>34371</v>
      </c>
      <c r="F6035" s="8" t="s">
        <v>34372</v>
      </c>
      <c r="G6035" s="6" t="s">
        <v>33</v>
      </c>
      <c r="H6035" s="6" t="s">
        <v>34</v>
      </c>
      <c r="I6035" s="8" t="s">
        <v>271</v>
      </c>
      <c r="J6035" s="9">
        <v>1</v>
      </c>
      <c r="K6035" s="9">
        <v>143</v>
      </c>
      <c r="L6035" s="9">
        <v>2019</v>
      </c>
      <c r="M6035" s="8" t="s">
        <v>34373</v>
      </c>
      <c r="N6035" s="8" t="s">
        <v>243</v>
      </c>
      <c r="O6035" s="8" t="s">
        <v>329</v>
      </c>
      <c r="P6035" s="6" t="s">
        <v>51</v>
      </c>
      <c r="Q6035" s="8" t="s">
        <v>52</v>
      </c>
      <c r="R6035" s="10" t="s">
        <v>34363</v>
      </c>
      <c r="S6035" s="11" t="s">
        <v>34374</v>
      </c>
      <c r="T6035" s="6"/>
      <c r="U6035" s="15" t="str">
        <f>HYPERLINK("https://media.infra-m.ru/0982/0982322/cover/982322.jpg", "Обложка")</f>
        <v>Обложка</v>
      </c>
      <c r="V6035" s="8" t="s">
        <v>911</v>
      </c>
      <c r="W6035" s="6"/>
      <c r="X6035" s="6" t="s">
        <v>24</v>
      </c>
      <c r="Y6035" s="6"/>
      <c r="Z6035" s="6"/>
      <c r="AA6035" s="6" t="s">
        <v>248</v>
      </c>
      <c r="AB6035" s="8"/>
      <c r="AC6035" s="27">
        <v>9785160091013</v>
      </c>
    </row>
    <row r="6036" spans="1:29" s="4" customFormat="1" ht="51.9" customHeight="1" x14ac:dyDescent="0.2">
      <c r="A6036" s="5">
        <v>0</v>
      </c>
      <c r="B6036" s="6" t="s">
        <v>34375</v>
      </c>
      <c r="C6036" s="7">
        <v>1212</v>
      </c>
      <c r="D6036" s="8" t="s">
        <v>34376</v>
      </c>
      <c r="E6036" s="8" t="s">
        <v>34377</v>
      </c>
      <c r="F6036" s="8" t="s">
        <v>34378</v>
      </c>
      <c r="G6036" s="6" t="s">
        <v>118</v>
      </c>
      <c r="H6036" s="6" t="s">
        <v>34</v>
      </c>
      <c r="I6036" s="8" t="s">
        <v>253</v>
      </c>
      <c r="J6036" s="9">
        <v>1</v>
      </c>
      <c r="K6036" s="9">
        <v>183</v>
      </c>
      <c r="L6036" s="9">
        <v>2026</v>
      </c>
      <c r="M6036" s="8" t="s">
        <v>34379</v>
      </c>
      <c r="N6036" s="8" t="s">
        <v>243</v>
      </c>
      <c r="O6036" s="8" t="s">
        <v>244</v>
      </c>
      <c r="P6036" s="6" t="s">
        <v>51</v>
      </c>
      <c r="Q6036" s="8" t="s">
        <v>500</v>
      </c>
      <c r="R6036" s="10" t="s">
        <v>34380</v>
      </c>
      <c r="S6036" s="11" t="s">
        <v>34381</v>
      </c>
      <c r="T6036" s="6" t="s">
        <v>97</v>
      </c>
      <c r="U6036" s="15" t="str">
        <f>HYPERLINK("https://media.infra-m.ru/2243/2243995/cover/2243995.jpg", "Обложка")</f>
        <v>Обложка</v>
      </c>
      <c r="V6036" s="8" t="s">
        <v>2398</v>
      </c>
      <c r="W6036" s="6"/>
      <c r="X6036" s="6"/>
      <c r="Y6036" s="6"/>
      <c r="Z6036" s="6"/>
      <c r="AA6036" s="6" t="s">
        <v>86</v>
      </c>
      <c r="AB6036" s="8" t="s">
        <v>493</v>
      </c>
      <c r="AC6036" s="27">
        <v>9785160219776</v>
      </c>
    </row>
    <row r="6037" spans="1:29" s="4" customFormat="1" ht="44.1" customHeight="1" x14ac:dyDescent="0.2">
      <c r="A6037" s="5">
        <v>0</v>
      </c>
      <c r="B6037" s="6" t="s">
        <v>34382</v>
      </c>
      <c r="C6037" s="7">
        <v>2004</v>
      </c>
      <c r="D6037" s="8" t="s">
        <v>34383</v>
      </c>
      <c r="E6037" s="8" t="s">
        <v>34384</v>
      </c>
      <c r="F6037" s="8" t="s">
        <v>5824</v>
      </c>
      <c r="G6037" s="6" t="s">
        <v>118</v>
      </c>
      <c r="H6037" s="6" t="s">
        <v>34</v>
      </c>
      <c r="I6037" s="8" t="s">
        <v>263</v>
      </c>
      <c r="J6037" s="9">
        <v>1</v>
      </c>
      <c r="K6037" s="9">
        <v>334</v>
      </c>
      <c r="L6037" s="9">
        <v>2025</v>
      </c>
      <c r="M6037" s="8" t="s">
        <v>34385</v>
      </c>
      <c r="N6037" s="8" t="s">
        <v>243</v>
      </c>
      <c r="O6037" s="8" t="s">
        <v>244</v>
      </c>
      <c r="P6037" s="6" t="s">
        <v>51</v>
      </c>
      <c r="Q6037" s="8" t="s">
        <v>265</v>
      </c>
      <c r="R6037" s="10" t="s">
        <v>5831</v>
      </c>
      <c r="S6037" s="11"/>
      <c r="T6037" s="6"/>
      <c r="U6037" s="15" t="str">
        <f>HYPERLINK("https://media.infra-m.ru/2181/2181823/cover/2181823.jpg", "Обложка")</f>
        <v>Обложка</v>
      </c>
      <c r="V6037" s="8" t="s">
        <v>3428</v>
      </c>
      <c r="W6037" s="6"/>
      <c r="X6037" s="6" t="s">
        <v>24</v>
      </c>
      <c r="Y6037" s="6"/>
      <c r="Z6037" s="6" t="s">
        <v>267</v>
      </c>
      <c r="AA6037" s="6" t="s">
        <v>917</v>
      </c>
      <c r="AB6037" s="8"/>
      <c r="AC6037" s="27">
        <v>9785160205656</v>
      </c>
    </row>
    <row r="6038" spans="1:29" s="4" customFormat="1" ht="42" customHeight="1" x14ac:dyDescent="0.2">
      <c r="A6038" s="5">
        <v>0</v>
      </c>
      <c r="B6038" s="6" t="s">
        <v>34386</v>
      </c>
      <c r="C6038" s="7">
        <v>2080.8000000000002</v>
      </c>
      <c r="D6038" s="8" t="s">
        <v>34387</v>
      </c>
      <c r="E6038" s="8" t="s">
        <v>34384</v>
      </c>
      <c r="F6038" s="8" t="s">
        <v>5824</v>
      </c>
      <c r="G6038" s="6" t="s">
        <v>60</v>
      </c>
      <c r="H6038" s="6" t="s">
        <v>34</v>
      </c>
      <c r="I6038" s="8" t="s">
        <v>253</v>
      </c>
      <c r="J6038" s="9">
        <v>1</v>
      </c>
      <c r="K6038" s="9">
        <v>334</v>
      </c>
      <c r="L6038" s="9">
        <v>2026</v>
      </c>
      <c r="M6038" s="8" t="s">
        <v>34388</v>
      </c>
      <c r="N6038" s="8" t="s">
        <v>243</v>
      </c>
      <c r="O6038" s="8" t="s">
        <v>244</v>
      </c>
      <c r="P6038" s="6" t="s">
        <v>51</v>
      </c>
      <c r="Q6038" s="8" t="s">
        <v>52</v>
      </c>
      <c r="R6038" s="10" t="s">
        <v>5826</v>
      </c>
      <c r="S6038" s="11"/>
      <c r="T6038" s="6"/>
      <c r="U6038" s="15" t="str">
        <f>HYPERLINK("https://media.infra-m.ru/2223/2223178/cover/2223178.jpg", "Обложка")</f>
        <v>Обложка</v>
      </c>
      <c r="V6038" s="8" t="s">
        <v>3428</v>
      </c>
      <c r="W6038" s="6"/>
      <c r="X6038" s="6"/>
      <c r="Y6038" s="6"/>
      <c r="Z6038" s="6"/>
      <c r="AA6038" s="6" t="s">
        <v>917</v>
      </c>
      <c r="AB6038" s="8"/>
      <c r="AC6038" s="27">
        <v>9785160160160</v>
      </c>
    </row>
    <row r="6039" spans="1:29" s="4" customFormat="1" ht="51.9" customHeight="1" x14ac:dyDescent="0.2">
      <c r="A6039" s="5">
        <v>0</v>
      </c>
      <c r="B6039" s="6" t="s">
        <v>34389</v>
      </c>
      <c r="C6039" s="7">
        <v>1216.8</v>
      </c>
      <c r="D6039" s="8" t="s">
        <v>34390</v>
      </c>
      <c r="E6039" s="8" t="s">
        <v>34391</v>
      </c>
      <c r="F6039" s="8" t="s">
        <v>34392</v>
      </c>
      <c r="G6039" s="6" t="s">
        <v>60</v>
      </c>
      <c r="H6039" s="6" t="s">
        <v>34</v>
      </c>
      <c r="I6039" s="8" t="s">
        <v>271</v>
      </c>
      <c r="J6039" s="9">
        <v>1</v>
      </c>
      <c r="K6039" s="9">
        <v>174</v>
      </c>
      <c r="L6039" s="9">
        <v>2027</v>
      </c>
      <c r="M6039" s="8" t="s">
        <v>34393</v>
      </c>
      <c r="N6039" s="8" t="s">
        <v>243</v>
      </c>
      <c r="O6039" s="8" t="s">
        <v>244</v>
      </c>
      <c r="P6039" s="6" t="s">
        <v>51</v>
      </c>
      <c r="Q6039" s="8" t="s">
        <v>52</v>
      </c>
      <c r="R6039" s="10" t="s">
        <v>34394</v>
      </c>
      <c r="S6039" s="11" t="s">
        <v>34395</v>
      </c>
      <c r="T6039" s="6"/>
      <c r="U6039" s="15" t="str">
        <f>HYPERLINK("https://media.infra-m.ru/2263/2263928/cover/2263928.jpg", "Обложка")</f>
        <v>Обложка</v>
      </c>
      <c r="V6039" s="8" t="s">
        <v>7332</v>
      </c>
      <c r="W6039" s="6"/>
      <c r="X6039" s="6"/>
      <c r="Y6039" s="6"/>
      <c r="Z6039" s="6"/>
      <c r="AA6039" s="6" t="s">
        <v>1256</v>
      </c>
      <c r="AB6039" s="8"/>
      <c r="AC6039" s="27">
        <v>9785160141732</v>
      </c>
    </row>
    <row r="6040" spans="1:29" s="4" customFormat="1" ht="42" customHeight="1" x14ac:dyDescent="0.2">
      <c r="A6040" s="5">
        <v>0</v>
      </c>
      <c r="B6040" s="6" t="s">
        <v>34396</v>
      </c>
      <c r="C6040" s="7">
        <v>1553.9</v>
      </c>
      <c r="D6040" s="8" t="s">
        <v>34397</v>
      </c>
      <c r="E6040" s="8" t="s">
        <v>34398</v>
      </c>
      <c r="F6040" s="8" t="s">
        <v>34399</v>
      </c>
      <c r="G6040" s="6" t="s">
        <v>60</v>
      </c>
      <c r="H6040" s="6" t="s">
        <v>34</v>
      </c>
      <c r="I6040" s="8"/>
      <c r="J6040" s="9">
        <v>1</v>
      </c>
      <c r="K6040" s="9">
        <v>288</v>
      </c>
      <c r="L6040" s="9">
        <v>2023</v>
      </c>
      <c r="M6040" s="8" t="s">
        <v>34400</v>
      </c>
      <c r="N6040" s="8" t="s">
        <v>243</v>
      </c>
      <c r="O6040" s="8" t="s">
        <v>798</v>
      </c>
      <c r="P6040" s="6" t="s">
        <v>51</v>
      </c>
      <c r="Q6040" s="8" t="s">
        <v>52</v>
      </c>
      <c r="R6040" s="10" t="s">
        <v>6735</v>
      </c>
      <c r="S6040" s="11"/>
      <c r="T6040" s="6" t="s">
        <v>97</v>
      </c>
      <c r="U6040" s="15" t="str">
        <f>HYPERLINK("https://media.infra-m.ru/1894/1894505/cover/1894505.jpg", "Обложка")</f>
        <v>Обложка</v>
      </c>
      <c r="V6040" s="8" t="s">
        <v>3196</v>
      </c>
      <c r="W6040" s="6"/>
      <c r="X6040" s="6"/>
      <c r="Y6040" s="6"/>
      <c r="Z6040" s="6"/>
      <c r="AA6040" s="6" t="s">
        <v>874</v>
      </c>
      <c r="AB6040" s="8"/>
      <c r="AC6040" s="27">
        <v>9785160093345</v>
      </c>
    </row>
    <row r="6041" spans="1:29" s="4" customFormat="1" ht="51.9" customHeight="1" x14ac:dyDescent="0.2">
      <c r="A6041" s="5">
        <v>0</v>
      </c>
      <c r="B6041" s="6" t="s">
        <v>34401</v>
      </c>
      <c r="C6041" s="13">
        <v>864</v>
      </c>
      <c r="D6041" s="8" t="s">
        <v>34402</v>
      </c>
      <c r="E6041" s="8" t="s">
        <v>34403</v>
      </c>
      <c r="F6041" s="8" t="s">
        <v>3915</v>
      </c>
      <c r="G6041" s="6" t="s">
        <v>118</v>
      </c>
      <c r="H6041" s="6" t="s">
        <v>1042</v>
      </c>
      <c r="I6041" s="8" t="s">
        <v>263</v>
      </c>
      <c r="J6041" s="9">
        <v>1</v>
      </c>
      <c r="K6041" s="9">
        <v>160</v>
      </c>
      <c r="L6041" s="9">
        <v>2023</v>
      </c>
      <c r="M6041" s="8" t="s">
        <v>34404</v>
      </c>
      <c r="N6041" s="8" t="s">
        <v>243</v>
      </c>
      <c r="O6041" s="8" t="s">
        <v>244</v>
      </c>
      <c r="P6041" s="6" t="s">
        <v>51</v>
      </c>
      <c r="Q6041" s="8" t="s">
        <v>265</v>
      </c>
      <c r="R6041" s="10" t="s">
        <v>703</v>
      </c>
      <c r="S6041" s="11" t="s">
        <v>34405</v>
      </c>
      <c r="T6041" s="6"/>
      <c r="U6041" s="15" t="str">
        <f>HYPERLINK("https://media.infra-m.ru/1926/1926394/cover/1926394.jpg", "Обложка")</f>
        <v>Обложка</v>
      </c>
      <c r="V6041" s="8" t="s">
        <v>3919</v>
      </c>
      <c r="W6041" s="6"/>
      <c r="X6041" s="6"/>
      <c r="Y6041" s="6"/>
      <c r="Z6041" s="6" t="s">
        <v>267</v>
      </c>
      <c r="AA6041" s="6" t="s">
        <v>86</v>
      </c>
      <c r="AB6041" s="8"/>
      <c r="AC6041" s="27">
        <v>9785819908112</v>
      </c>
    </row>
    <row r="6042" spans="1:29" s="4" customFormat="1" ht="51.9" customHeight="1" x14ac:dyDescent="0.2">
      <c r="A6042" s="5">
        <v>0</v>
      </c>
      <c r="B6042" s="6" t="s">
        <v>34406</v>
      </c>
      <c r="C6042" s="13">
        <v>964.8</v>
      </c>
      <c r="D6042" s="8" t="s">
        <v>34407</v>
      </c>
      <c r="E6042" s="8" t="s">
        <v>34403</v>
      </c>
      <c r="F6042" s="8" t="s">
        <v>29173</v>
      </c>
      <c r="G6042" s="6" t="s">
        <v>60</v>
      </c>
      <c r="H6042" s="6" t="s">
        <v>1042</v>
      </c>
      <c r="I6042" s="8" t="s">
        <v>253</v>
      </c>
      <c r="J6042" s="9">
        <v>1</v>
      </c>
      <c r="K6042" s="9">
        <v>160</v>
      </c>
      <c r="L6042" s="9">
        <v>2025</v>
      </c>
      <c r="M6042" s="8" t="s">
        <v>34408</v>
      </c>
      <c r="N6042" s="8" t="s">
        <v>243</v>
      </c>
      <c r="O6042" s="8" t="s">
        <v>244</v>
      </c>
      <c r="P6042" s="6" t="s">
        <v>51</v>
      </c>
      <c r="Q6042" s="8" t="s">
        <v>52</v>
      </c>
      <c r="R6042" s="10" t="s">
        <v>34409</v>
      </c>
      <c r="S6042" s="11"/>
      <c r="T6042" s="6"/>
      <c r="U6042" s="15" t="str">
        <f>HYPERLINK("https://media.infra-m.ru/2179/2179079/cover/2179079.jpg", "Обложка")</f>
        <v>Обложка</v>
      </c>
      <c r="V6042" s="8" t="s">
        <v>3919</v>
      </c>
      <c r="W6042" s="6"/>
      <c r="X6042" s="6"/>
      <c r="Y6042" s="6"/>
      <c r="Z6042" s="6"/>
      <c r="AA6042" s="6" t="s">
        <v>43</v>
      </c>
      <c r="AB6042" s="8"/>
      <c r="AC6042" s="27">
        <v>9785819905173</v>
      </c>
    </row>
    <row r="6043" spans="1:29" s="4" customFormat="1" ht="51.9" customHeight="1" x14ac:dyDescent="0.2">
      <c r="A6043" s="5">
        <v>0</v>
      </c>
      <c r="B6043" s="6" t="s">
        <v>34410</v>
      </c>
      <c r="C6043" s="7">
        <v>1469.9</v>
      </c>
      <c r="D6043" s="8" t="s">
        <v>34411</v>
      </c>
      <c r="E6043" s="8" t="s">
        <v>34412</v>
      </c>
      <c r="F6043" s="8" t="s">
        <v>34413</v>
      </c>
      <c r="G6043" s="6" t="s">
        <v>60</v>
      </c>
      <c r="H6043" s="6" t="s">
        <v>34</v>
      </c>
      <c r="I6043" s="8" t="s">
        <v>271</v>
      </c>
      <c r="J6043" s="9">
        <v>1</v>
      </c>
      <c r="K6043" s="9">
        <v>272</v>
      </c>
      <c r="L6043" s="9">
        <v>2023</v>
      </c>
      <c r="M6043" s="8" t="s">
        <v>34414</v>
      </c>
      <c r="N6043" s="8" t="s">
        <v>243</v>
      </c>
      <c r="O6043" s="8" t="s">
        <v>758</v>
      </c>
      <c r="P6043" s="6" t="s">
        <v>51</v>
      </c>
      <c r="Q6043" s="8" t="s">
        <v>52</v>
      </c>
      <c r="R6043" s="10" t="s">
        <v>34415</v>
      </c>
      <c r="S6043" s="11" t="s">
        <v>34416</v>
      </c>
      <c r="T6043" s="6"/>
      <c r="U6043" s="15" t="str">
        <f>HYPERLINK("https://media.infra-m.ru/1981/1981654/cover/1981654.jpg", "Обложка")</f>
        <v>Обложка</v>
      </c>
      <c r="V6043" s="8" t="s">
        <v>761</v>
      </c>
      <c r="W6043" s="6"/>
      <c r="X6043" s="6"/>
      <c r="Y6043" s="6"/>
      <c r="Z6043" s="6"/>
      <c r="AA6043" s="6" t="s">
        <v>248</v>
      </c>
      <c r="AB6043" s="8"/>
      <c r="AC6043" s="27">
        <v>9785160053615</v>
      </c>
    </row>
    <row r="6044" spans="1:29" s="4" customFormat="1" ht="51.9" customHeight="1" x14ac:dyDescent="0.2">
      <c r="A6044" s="5">
        <v>0</v>
      </c>
      <c r="B6044" s="6" t="s">
        <v>34417</v>
      </c>
      <c r="C6044" s="7">
        <v>3838.8</v>
      </c>
      <c r="D6044" s="8" t="s">
        <v>34418</v>
      </c>
      <c r="E6044" s="8" t="s">
        <v>34419</v>
      </c>
      <c r="F6044" s="8" t="s">
        <v>34420</v>
      </c>
      <c r="G6044" s="6" t="s">
        <v>60</v>
      </c>
      <c r="H6044" s="6" t="s">
        <v>34</v>
      </c>
      <c r="I6044" s="8" t="s">
        <v>253</v>
      </c>
      <c r="J6044" s="9">
        <v>1</v>
      </c>
      <c r="K6044" s="9">
        <v>286</v>
      </c>
      <c r="L6044" s="9">
        <v>2027</v>
      </c>
      <c r="M6044" s="8" t="s">
        <v>34421</v>
      </c>
      <c r="N6044" s="8" t="s">
        <v>585</v>
      </c>
      <c r="O6044" s="8" t="s">
        <v>775</v>
      </c>
      <c r="P6044" s="6" t="s">
        <v>306</v>
      </c>
      <c r="Q6044" s="8" t="s">
        <v>377</v>
      </c>
      <c r="R6044" s="10" t="s">
        <v>34422</v>
      </c>
      <c r="S6044" s="11" t="s">
        <v>34423</v>
      </c>
      <c r="T6044" s="6"/>
      <c r="U6044" s="15" t="str">
        <f>HYPERLINK("https://media.infra-m.ru/2257/2257116/cover/2257116.jpg", "Обложка")</f>
        <v>Обложка</v>
      </c>
      <c r="V6044" s="8" t="s">
        <v>7003</v>
      </c>
      <c r="W6044" s="6"/>
      <c r="X6044" s="6"/>
      <c r="Y6044" s="6"/>
      <c r="Z6044" s="6"/>
      <c r="AA6044" s="6" t="s">
        <v>430</v>
      </c>
      <c r="AB6044" s="8"/>
      <c r="AC6044" s="27">
        <v>9785160164168</v>
      </c>
    </row>
    <row r="6045" spans="1:29" s="4" customFormat="1" ht="51.9" customHeight="1" x14ac:dyDescent="0.2">
      <c r="A6045" s="5">
        <v>0</v>
      </c>
      <c r="B6045" s="6" t="s">
        <v>34424</v>
      </c>
      <c r="C6045" s="7">
        <v>2020.8</v>
      </c>
      <c r="D6045" s="8" t="s">
        <v>34425</v>
      </c>
      <c r="E6045" s="8" t="s">
        <v>34426</v>
      </c>
      <c r="F6045" s="8" t="s">
        <v>34427</v>
      </c>
      <c r="G6045" s="6" t="s">
        <v>60</v>
      </c>
      <c r="H6045" s="6" t="s">
        <v>1042</v>
      </c>
      <c r="I6045" s="8" t="s">
        <v>253</v>
      </c>
      <c r="J6045" s="9">
        <v>1</v>
      </c>
      <c r="K6045" s="9">
        <v>336</v>
      </c>
      <c r="L6045" s="9">
        <v>2025</v>
      </c>
      <c r="M6045" s="8" t="s">
        <v>34428</v>
      </c>
      <c r="N6045" s="8" t="s">
        <v>243</v>
      </c>
      <c r="O6045" s="8" t="s">
        <v>758</v>
      </c>
      <c r="P6045" s="6" t="s">
        <v>51</v>
      </c>
      <c r="Q6045" s="8" t="s">
        <v>52</v>
      </c>
      <c r="R6045" s="10" t="s">
        <v>16131</v>
      </c>
      <c r="S6045" s="11" t="s">
        <v>34429</v>
      </c>
      <c r="T6045" s="6"/>
      <c r="U6045" s="15" t="str">
        <f>HYPERLINK("https://media.infra-m.ru/2184/2184904/cover/2184904.jpg", "Обложка")</f>
        <v>Обложка</v>
      </c>
      <c r="V6045" s="8"/>
      <c r="W6045" s="6"/>
      <c r="X6045" s="6"/>
      <c r="Y6045" s="6"/>
      <c r="Z6045" s="6"/>
      <c r="AA6045" s="6" t="s">
        <v>55</v>
      </c>
      <c r="AB6045" s="8"/>
      <c r="AC6045" s="27">
        <v>9785819905463</v>
      </c>
    </row>
    <row r="6046" spans="1:29" s="4" customFormat="1" ht="51.9" customHeight="1" x14ac:dyDescent="0.2">
      <c r="A6046" s="5">
        <v>0</v>
      </c>
      <c r="B6046" s="6" t="s">
        <v>34430</v>
      </c>
      <c r="C6046" s="7">
        <v>2208</v>
      </c>
      <c r="D6046" s="8" t="s">
        <v>34431</v>
      </c>
      <c r="E6046" s="8" t="s">
        <v>34426</v>
      </c>
      <c r="F6046" s="8" t="s">
        <v>34432</v>
      </c>
      <c r="G6046" s="6" t="s">
        <v>60</v>
      </c>
      <c r="H6046" s="6" t="s">
        <v>1042</v>
      </c>
      <c r="I6046" s="8" t="s">
        <v>263</v>
      </c>
      <c r="J6046" s="14">
        <v>0</v>
      </c>
      <c r="K6046" s="9">
        <v>336</v>
      </c>
      <c r="L6046" s="9">
        <v>2026</v>
      </c>
      <c r="M6046" s="8" t="s">
        <v>34433</v>
      </c>
      <c r="N6046" s="8" t="s">
        <v>243</v>
      </c>
      <c r="O6046" s="8" t="s">
        <v>758</v>
      </c>
      <c r="P6046" s="6" t="s">
        <v>51</v>
      </c>
      <c r="Q6046" s="8" t="s">
        <v>265</v>
      </c>
      <c r="R6046" s="10"/>
      <c r="S6046" s="11" t="s">
        <v>34429</v>
      </c>
      <c r="T6046" s="6"/>
      <c r="U6046" s="15" t="str">
        <f>HYPERLINK("https://media.infra-m.ru/0967/0967598/cover/967598.jpg", "Обложка")</f>
        <v>Обложка</v>
      </c>
      <c r="V6046" s="8"/>
      <c r="W6046" s="6"/>
      <c r="X6046" s="6"/>
      <c r="Y6046" s="6"/>
      <c r="Z6046" s="6" t="s">
        <v>267</v>
      </c>
      <c r="AA6046" s="6" t="s">
        <v>86</v>
      </c>
      <c r="AB6046" s="8"/>
      <c r="AC6046" s="27">
        <v>9785819908136</v>
      </c>
    </row>
    <row r="6047" spans="1:29" s="4" customFormat="1" ht="51.9" customHeight="1" x14ac:dyDescent="0.2">
      <c r="A6047" s="5">
        <v>0</v>
      </c>
      <c r="B6047" s="6" t="s">
        <v>34434</v>
      </c>
      <c r="C6047" s="7">
        <v>1296</v>
      </c>
      <c r="D6047" s="8" t="s">
        <v>34435</v>
      </c>
      <c r="E6047" s="8" t="s">
        <v>34436</v>
      </c>
      <c r="F6047" s="8" t="s">
        <v>34437</v>
      </c>
      <c r="G6047" s="6" t="s">
        <v>118</v>
      </c>
      <c r="H6047" s="6" t="s">
        <v>34</v>
      </c>
      <c r="I6047" s="8" t="s">
        <v>504</v>
      </c>
      <c r="J6047" s="9">
        <v>1</v>
      </c>
      <c r="K6047" s="9">
        <v>240</v>
      </c>
      <c r="L6047" s="9">
        <v>2023</v>
      </c>
      <c r="M6047" s="8" t="s">
        <v>34438</v>
      </c>
      <c r="N6047" s="8" t="s">
        <v>93</v>
      </c>
      <c r="O6047" s="8" t="s">
        <v>94</v>
      </c>
      <c r="P6047" s="6" t="s">
        <v>105</v>
      </c>
      <c r="Q6047" s="8" t="s">
        <v>500</v>
      </c>
      <c r="R6047" s="10" t="s">
        <v>6332</v>
      </c>
      <c r="S6047" s="11" t="s">
        <v>34439</v>
      </c>
      <c r="T6047" s="6"/>
      <c r="U6047" s="15" t="str">
        <f>HYPERLINK("https://media.infra-m.ru/1959/1959261/cover/1959261.jpg", "Обложка")</f>
        <v>Обложка</v>
      </c>
      <c r="V6047" s="8" t="s">
        <v>1599</v>
      </c>
      <c r="W6047" s="6"/>
      <c r="X6047" s="6"/>
      <c r="Y6047" s="6"/>
      <c r="Z6047" s="6"/>
      <c r="AA6047" s="6" t="s">
        <v>1256</v>
      </c>
      <c r="AB6047" s="8"/>
      <c r="AC6047" s="27">
        <v>9785160161792</v>
      </c>
    </row>
    <row r="6048" spans="1:29" s="4" customFormat="1" ht="51.9" customHeight="1" x14ac:dyDescent="0.2">
      <c r="A6048" s="5">
        <v>0</v>
      </c>
      <c r="B6048" s="6" t="s">
        <v>34440</v>
      </c>
      <c r="C6048" s="7">
        <v>2188.8000000000002</v>
      </c>
      <c r="D6048" s="8" t="s">
        <v>34441</v>
      </c>
      <c r="E6048" s="8" t="s">
        <v>34442</v>
      </c>
      <c r="F6048" s="8" t="s">
        <v>34443</v>
      </c>
      <c r="G6048" s="6" t="s">
        <v>118</v>
      </c>
      <c r="H6048" s="6" t="s">
        <v>48</v>
      </c>
      <c r="I6048" s="8" t="s">
        <v>271</v>
      </c>
      <c r="J6048" s="9">
        <v>1</v>
      </c>
      <c r="K6048" s="9">
        <v>357</v>
      </c>
      <c r="L6048" s="9">
        <v>2025</v>
      </c>
      <c r="M6048" s="8" t="s">
        <v>34444</v>
      </c>
      <c r="N6048" s="8" t="s">
        <v>243</v>
      </c>
      <c r="O6048" s="8" t="s">
        <v>244</v>
      </c>
      <c r="P6048" s="6" t="s">
        <v>51</v>
      </c>
      <c r="Q6048" s="8" t="s">
        <v>52</v>
      </c>
      <c r="R6048" s="10" t="s">
        <v>34445</v>
      </c>
      <c r="S6048" s="11" t="s">
        <v>34446</v>
      </c>
      <c r="T6048" s="6"/>
      <c r="U6048" s="15" t="str">
        <f>HYPERLINK("https://media.infra-m.ru/2188/2188762/cover/2188762.jpg", "Обложка")</f>
        <v>Обложка</v>
      </c>
      <c r="V6048" s="8" t="s">
        <v>3686</v>
      </c>
      <c r="W6048" s="6"/>
      <c r="X6048" s="6"/>
      <c r="Y6048" s="6"/>
      <c r="Z6048" s="6"/>
      <c r="AA6048" s="6" t="s">
        <v>258</v>
      </c>
      <c r="AB6048" s="8"/>
      <c r="AC6048" s="27">
        <v>9785000917831</v>
      </c>
    </row>
    <row r="6049" spans="1:29" s="4" customFormat="1" ht="51.9" customHeight="1" x14ac:dyDescent="0.2">
      <c r="A6049" s="5">
        <v>0</v>
      </c>
      <c r="B6049" s="6" t="s">
        <v>34447</v>
      </c>
      <c r="C6049" s="7">
        <v>1128</v>
      </c>
      <c r="D6049" s="8" t="s">
        <v>34448</v>
      </c>
      <c r="E6049" s="8" t="s">
        <v>34449</v>
      </c>
      <c r="F6049" s="8" t="s">
        <v>34443</v>
      </c>
      <c r="G6049" s="6" t="s">
        <v>118</v>
      </c>
      <c r="H6049" s="6" t="s">
        <v>48</v>
      </c>
      <c r="I6049" s="8" t="s">
        <v>253</v>
      </c>
      <c r="J6049" s="9">
        <v>1</v>
      </c>
      <c r="K6049" s="9">
        <v>320</v>
      </c>
      <c r="L6049" s="9">
        <v>2018</v>
      </c>
      <c r="M6049" s="8" t="s">
        <v>34450</v>
      </c>
      <c r="N6049" s="8" t="s">
        <v>243</v>
      </c>
      <c r="O6049" s="8" t="s">
        <v>244</v>
      </c>
      <c r="P6049" s="6" t="s">
        <v>51</v>
      </c>
      <c r="Q6049" s="8" t="s">
        <v>52</v>
      </c>
      <c r="R6049" s="10" t="s">
        <v>34445</v>
      </c>
      <c r="S6049" s="11" t="s">
        <v>34451</v>
      </c>
      <c r="T6049" s="6"/>
      <c r="U6049" s="15" t="str">
        <f>HYPERLINK("https://media.infra-m.ru/0980/0980117/cover/980117.jpg", "Обложка")</f>
        <v>Обложка</v>
      </c>
      <c r="V6049" s="8" t="s">
        <v>3686</v>
      </c>
      <c r="W6049" s="6"/>
      <c r="X6049" s="6"/>
      <c r="Y6049" s="6"/>
      <c r="Z6049" s="6"/>
      <c r="AA6049" s="6" t="s">
        <v>43</v>
      </c>
      <c r="AB6049" s="8"/>
      <c r="AC6049" s="27">
        <v>9785000916285</v>
      </c>
    </row>
    <row r="6050" spans="1:29" s="4" customFormat="1" ht="51.9" customHeight="1" x14ac:dyDescent="0.2">
      <c r="A6050" s="5">
        <v>0</v>
      </c>
      <c r="B6050" s="6" t="s">
        <v>34452</v>
      </c>
      <c r="C6050" s="7">
        <v>1828.8</v>
      </c>
      <c r="D6050" s="8" t="s">
        <v>34453</v>
      </c>
      <c r="E6050" s="8" t="s">
        <v>34449</v>
      </c>
      <c r="F6050" s="8" t="s">
        <v>21401</v>
      </c>
      <c r="G6050" s="6" t="s">
        <v>118</v>
      </c>
      <c r="H6050" s="6" t="s">
        <v>34</v>
      </c>
      <c r="I6050" s="8" t="s">
        <v>271</v>
      </c>
      <c r="J6050" s="9">
        <v>1</v>
      </c>
      <c r="K6050" s="9">
        <v>331</v>
      </c>
      <c r="L6050" s="9">
        <v>2024</v>
      </c>
      <c r="M6050" s="8" t="s">
        <v>34454</v>
      </c>
      <c r="N6050" s="8" t="s">
        <v>243</v>
      </c>
      <c r="O6050" s="8" t="s">
        <v>244</v>
      </c>
      <c r="P6050" s="6" t="s">
        <v>51</v>
      </c>
      <c r="Q6050" s="8" t="s">
        <v>52</v>
      </c>
      <c r="R6050" s="10" t="s">
        <v>34455</v>
      </c>
      <c r="S6050" s="11" t="s">
        <v>34456</v>
      </c>
      <c r="T6050" s="6"/>
      <c r="U6050" s="15" t="str">
        <f>HYPERLINK("https://media.infra-m.ru/2079/2079166/cover/2079166.jpg", "Обложка")</f>
        <v>Обложка</v>
      </c>
      <c r="V6050" s="8" t="s">
        <v>21405</v>
      </c>
      <c r="W6050" s="6"/>
      <c r="X6050" s="6"/>
      <c r="Y6050" s="6"/>
      <c r="Z6050" s="6"/>
      <c r="AA6050" s="6" t="s">
        <v>129</v>
      </c>
      <c r="AB6050" s="8"/>
      <c r="AC6050" s="27">
        <v>9785160045092</v>
      </c>
    </row>
    <row r="6051" spans="1:29" s="4" customFormat="1" ht="42" customHeight="1" x14ac:dyDescent="0.2">
      <c r="A6051" s="5">
        <v>0</v>
      </c>
      <c r="B6051" s="6" t="s">
        <v>34457</v>
      </c>
      <c r="C6051" s="7">
        <v>2004</v>
      </c>
      <c r="D6051" s="8" t="s">
        <v>34458</v>
      </c>
      <c r="E6051" s="8" t="s">
        <v>34459</v>
      </c>
      <c r="F6051" s="8" t="s">
        <v>34460</v>
      </c>
      <c r="G6051" s="6" t="s">
        <v>118</v>
      </c>
      <c r="H6051" s="6" t="s">
        <v>34</v>
      </c>
      <c r="I6051" s="8" t="s">
        <v>253</v>
      </c>
      <c r="J6051" s="9">
        <v>1</v>
      </c>
      <c r="K6051" s="9">
        <v>287</v>
      </c>
      <c r="L6051" s="9">
        <v>2026</v>
      </c>
      <c r="M6051" s="8" t="s">
        <v>34461</v>
      </c>
      <c r="N6051" s="8" t="s">
        <v>37</v>
      </c>
      <c r="O6051" s="8" t="s">
        <v>50</v>
      </c>
      <c r="P6051" s="6" t="s">
        <v>306</v>
      </c>
      <c r="Q6051" s="8" t="s">
        <v>52</v>
      </c>
      <c r="R6051" s="10" t="s">
        <v>4382</v>
      </c>
      <c r="S6051" s="11"/>
      <c r="T6051" s="6"/>
      <c r="U6051" s="15" t="str">
        <f>HYPERLINK("https://media.infra-m.ru/2219/2219343/cover/2219343.jpg", "Обложка")</f>
        <v>Обложка</v>
      </c>
      <c r="V6051" s="8" t="s">
        <v>34462</v>
      </c>
      <c r="W6051" s="6"/>
      <c r="X6051" s="6"/>
      <c r="Y6051" s="6"/>
      <c r="Z6051" s="6"/>
      <c r="AA6051" s="6" t="s">
        <v>157</v>
      </c>
      <c r="AB6051" s="8" t="s">
        <v>4899</v>
      </c>
      <c r="AC6051" s="27">
        <v>9785160180410</v>
      </c>
    </row>
    <row r="6052" spans="1:29" s="4" customFormat="1" ht="51.9" customHeight="1" x14ac:dyDescent="0.2">
      <c r="A6052" s="5">
        <v>0</v>
      </c>
      <c r="B6052" s="6" t="s">
        <v>34463</v>
      </c>
      <c r="C6052" s="7">
        <v>2848.8</v>
      </c>
      <c r="D6052" s="8" t="s">
        <v>34464</v>
      </c>
      <c r="E6052" s="8" t="s">
        <v>34465</v>
      </c>
      <c r="F6052" s="8" t="s">
        <v>34466</v>
      </c>
      <c r="G6052" s="6" t="s">
        <v>60</v>
      </c>
      <c r="H6052" s="6" t="s">
        <v>1042</v>
      </c>
      <c r="I6052" s="8" t="s">
        <v>253</v>
      </c>
      <c r="J6052" s="9">
        <v>1</v>
      </c>
      <c r="K6052" s="9">
        <v>432</v>
      </c>
      <c r="L6052" s="9">
        <v>2026</v>
      </c>
      <c r="M6052" s="8" t="s">
        <v>34467</v>
      </c>
      <c r="N6052" s="8" t="s">
        <v>243</v>
      </c>
      <c r="O6052" s="8" t="s">
        <v>758</v>
      </c>
      <c r="P6052" s="6" t="s">
        <v>51</v>
      </c>
      <c r="Q6052" s="8" t="s">
        <v>52</v>
      </c>
      <c r="R6052" s="10" t="s">
        <v>34468</v>
      </c>
      <c r="S6052" s="11" t="s">
        <v>29946</v>
      </c>
      <c r="T6052" s="6"/>
      <c r="U6052" s="15" t="str">
        <f>HYPERLINK("https://media.infra-m.ru/2244/2244321/cover/2244321.jpg", "Обложка")</f>
        <v>Обложка</v>
      </c>
      <c r="V6052" s="8" t="s">
        <v>4409</v>
      </c>
      <c r="W6052" s="6"/>
      <c r="X6052" s="6"/>
      <c r="Y6052" s="6"/>
      <c r="Z6052" s="6"/>
      <c r="AA6052" s="6" t="s">
        <v>4554</v>
      </c>
      <c r="AB6052" s="8"/>
      <c r="AC6052" s="27">
        <v>5819901878</v>
      </c>
    </row>
    <row r="6053" spans="1:29" s="4" customFormat="1" ht="51.9" customHeight="1" x14ac:dyDescent="0.2">
      <c r="A6053" s="5">
        <v>0</v>
      </c>
      <c r="B6053" s="6" t="s">
        <v>34469</v>
      </c>
      <c r="C6053" s="7">
        <v>2992.8</v>
      </c>
      <c r="D6053" s="8" t="s">
        <v>34470</v>
      </c>
      <c r="E6053" s="8" t="s">
        <v>34465</v>
      </c>
      <c r="F6053" s="8" t="s">
        <v>34471</v>
      </c>
      <c r="G6053" s="6" t="s">
        <v>60</v>
      </c>
      <c r="H6053" s="6" t="s">
        <v>34</v>
      </c>
      <c r="I6053" s="8" t="s">
        <v>263</v>
      </c>
      <c r="J6053" s="9">
        <v>1</v>
      </c>
      <c r="K6053" s="9">
        <v>430</v>
      </c>
      <c r="L6053" s="9">
        <v>2027</v>
      </c>
      <c r="M6053" s="8" t="s">
        <v>34472</v>
      </c>
      <c r="N6053" s="8" t="s">
        <v>243</v>
      </c>
      <c r="O6053" s="8" t="s">
        <v>758</v>
      </c>
      <c r="P6053" s="6" t="s">
        <v>51</v>
      </c>
      <c r="Q6053" s="8" t="s">
        <v>265</v>
      </c>
      <c r="R6053" s="10" t="s">
        <v>34473</v>
      </c>
      <c r="S6053" s="11" t="s">
        <v>34474</v>
      </c>
      <c r="T6053" s="6"/>
      <c r="U6053" s="15" t="str">
        <f>HYPERLINK("https://media.infra-m.ru/2264/2264625/cover/2264625.jpg", "Обложка")</f>
        <v>Обложка</v>
      </c>
      <c r="V6053" s="8" t="s">
        <v>4409</v>
      </c>
      <c r="W6053" s="6"/>
      <c r="X6053" s="6"/>
      <c r="Y6053" s="6"/>
      <c r="Z6053" s="6" t="s">
        <v>267</v>
      </c>
      <c r="AA6053" s="6" t="s">
        <v>115</v>
      </c>
      <c r="AB6053" s="8"/>
      <c r="AC6053" s="27">
        <v>9785160149066</v>
      </c>
    </row>
    <row r="6054" spans="1:29" s="4" customFormat="1" ht="51.9" customHeight="1" x14ac:dyDescent="0.2">
      <c r="A6054" s="5">
        <v>0</v>
      </c>
      <c r="B6054" s="6" t="s">
        <v>34475</v>
      </c>
      <c r="C6054" s="7">
        <v>1584</v>
      </c>
      <c r="D6054" s="8" t="s">
        <v>34476</v>
      </c>
      <c r="E6054" s="8" t="s">
        <v>34477</v>
      </c>
      <c r="F6054" s="8" t="s">
        <v>27973</v>
      </c>
      <c r="G6054" s="6" t="s">
        <v>118</v>
      </c>
      <c r="H6054" s="6" t="s">
        <v>34</v>
      </c>
      <c r="I6054" s="8" t="s">
        <v>253</v>
      </c>
      <c r="J6054" s="9">
        <v>1</v>
      </c>
      <c r="K6054" s="9">
        <v>239</v>
      </c>
      <c r="L6054" s="9">
        <v>2026</v>
      </c>
      <c r="M6054" s="8" t="s">
        <v>34478</v>
      </c>
      <c r="N6054" s="8" t="s">
        <v>243</v>
      </c>
      <c r="O6054" s="8" t="s">
        <v>758</v>
      </c>
      <c r="P6054" s="6" t="s">
        <v>306</v>
      </c>
      <c r="Q6054" s="8" t="s">
        <v>52</v>
      </c>
      <c r="R6054" s="10" t="s">
        <v>34479</v>
      </c>
      <c r="S6054" s="11" t="s">
        <v>34480</v>
      </c>
      <c r="T6054" s="6" t="s">
        <v>97</v>
      </c>
      <c r="U6054" s="15" t="str">
        <f>HYPERLINK("https://media.infra-m.ru/2235/2235150/cover/2235150.jpg", "Обложка")</f>
        <v>Обложка</v>
      </c>
      <c r="V6054" s="8" t="s">
        <v>27976</v>
      </c>
      <c r="W6054" s="6"/>
      <c r="X6054" s="6"/>
      <c r="Y6054" s="6"/>
      <c r="Z6054" s="6"/>
      <c r="AA6054" s="6" t="s">
        <v>274</v>
      </c>
      <c r="AB6054" s="8" t="s">
        <v>1317</v>
      </c>
      <c r="AC6054" s="27">
        <v>9785160190587</v>
      </c>
    </row>
    <row r="6055" spans="1:29" s="4" customFormat="1" ht="51.9" customHeight="1" x14ac:dyDescent="0.2">
      <c r="A6055" s="5">
        <v>0</v>
      </c>
      <c r="B6055" s="6" t="s">
        <v>34481</v>
      </c>
      <c r="C6055" s="7">
        <v>1620</v>
      </c>
      <c r="D6055" s="8" t="s">
        <v>34482</v>
      </c>
      <c r="E6055" s="8" t="s">
        <v>34483</v>
      </c>
      <c r="F6055" s="8" t="s">
        <v>34484</v>
      </c>
      <c r="G6055" s="6" t="s">
        <v>118</v>
      </c>
      <c r="H6055" s="6" t="s">
        <v>34</v>
      </c>
      <c r="I6055" s="8" t="s">
        <v>263</v>
      </c>
      <c r="J6055" s="9">
        <v>1</v>
      </c>
      <c r="K6055" s="9">
        <v>264</v>
      </c>
      <c r="L6055" s="9">
        <v>2025</v>
      </c>
      <c r="M6055" s="8" t="s">
        <v>34485</v>
      </c>
      <c r="N6055" s="8" t="s">
        <v>243</v>
      </c>
      <c r="O6055" s="8" t="s">
        <v>329</v>
      </c>
      <c r="P6055" s="6" t="s">
        <v>51</v>
      </c>
      <c r="Q6055" s="8" t="s">
        <v>265</v>
      </c>
      <c r="R6055" s="10" t="s">
        <v>34486</v>
      </c>
      <c r="S6055" s="11" t="s">
        <v>34487</v>
      </c>
      <c r="T6055" s="6"/>
      <c r="U6055" s="15" t="str">
        <f>HYPERLINK("https://media.infra-m.ru/2184/2184878/cover/2184878.jpg", "Обложка")</f>
        <v>Обложка</v>
      </c>
      <c r="V6055" s="8" t="s">
        <v>843</v>
      </c>
      <c r="W6055" s="6"/>
      <c r="X6055" s="6"/>
      <c r="Y6055" s="6"/>
      <c r="Z6055" s="6" t="s">
        <v>267</v>
      </c>
      <c r="AA6055" s="6" t="s">
        <v>86</v>
      </c>
      <c r="AB6055" s="8"/>
      <c r="AC6055" s="27">
        <v>9785160143248</v>
      </c>
    </row>
    <row r="6056" spans="1:29" s="4" customFormat="1" ht="51.9" customHeight="1" x14ac:dyDescent="0.2">
      <c r="A6056" s="5">
        <v>0</v>
      </c>
      <c r="B6056" s="6" t="s">
        <v>34488</v>
      </c>
      <c r="C6056" s="7">
        <v>1744.8</v>
      </c>
      <c r="D6056" s="8" t="s">
        <v>34489</v>
      </c>
      <c r="E6056" s="8" t="s">
        <v>34483</v>
      </c>
      <c r="F6056" s="8" t="s">
        <v>34484</v>
      </c>
      <c r="G6056" s="6" t="s">
        <v>118</v>
      </c>
      <c r="H6056" s="6" t="s">
        <v>34</v>
      </c>
      <c r="I6056" s="8" t="s">
        <v>271</v>
      </c>
      <c r="J6056" s="9">
        <v>1</v>
      </c>
      <c r="K6056" s="9">
        <v>264</v>
      </c>
      <c r="L6056" s="9">
        <v>2026</v>
      </c>
      <c r="M6056" s="8" t="s">
        <v>34490</v>
      </c>
      <c r="N6056" s="8" t="s">
        <v>243</v>
      </c>
      <c r="O6056" s="8" t="s">
        <v>329</v>
      </c>
      <c r="P6056" s="6" t="s">
        <v>51</v>
      </c>
      <c r="Q6056" s="8" t="s">
        <v>52</v>
      </c>
      <c r="R6056" s="10" t="s">
        <v>34491</v>
      </c>
      <c r="S6056" s="11" t="s">
        <v>34492</v>
      </c>
      <c r="T6056" s="6"/>
      <c r="U6056" s="15" t="str">
        <f>HYPERLINK("https://media.infra-m.ru/2233/2233800/cover/2233800.jpg", "Обложка")</f>
        <v>Обложка</v>
      </c>
      <c r="V6056" s="8" t="s">
        <v>843</v>
      </c>
      <c r="W6056" s="6"/>
      <c r="X6056" s="6"/>
      <c r="Y6056" s="6"/>
      <c r="Z6056" s="6"/>
      <c r="AA6056" s="6" t="s">
        <v>86</v>
      </c>
      <c r="AB6056" s="8"/>
      <c r="AC6056" s="27">
        <v>9785160128405</v>
      </c>
    </row>
    <row r="6057" spans="1:29" s="4" customFormat="1" ht="51.9" customHeight="1" x14ac:dyDescent="0.2">
      <c r="A6057" s="5">
        <v>0</v>
      </c>
      <c r="B6057" s="6" t="s">
        <v>34493</v>
      </c>
      <c r="C6057" s="7">
        <v>1181.9000000000001</v>
      </c>
      <c r="D6057" s="8" t="s">
        <v>34494</v>
      </c>
      <c r="E6057" s="8" t="s">
        <v>34495</v>
      </c>
      <c r="F6057" s="8" t="s">
        <v>34496</v>
      </c>
      <c r="G6057" s="6" t="s">
        <v>60</v>
      </c>
      <c r="H6057" s="6" t="s">
        <v>34</v>
      </c>
      <c r="I6057" s="8" t="s">
        <v>19365</v>
      </c>
      <c r="J6057" s="9">
        <v>1</v>
      </c>
      <c r="K6057" s="9">
        <v>260</v>
      </c>
      <c r="L6057" s="9">
        <v>2022</v>
      </c>
      <c r="M6057" s="8" t="s">
        <v>34497</v>
      </c>
      <c r="N6057" s="8" t="s">
        <v>243</v>
      </c>
      <c r="O6057" s="8" t="s">
        <v>758</v>
      </c>
      <c r="P6057" s="6" t="s">
        <v>51</v>
      </c>
      <c r="Q6057" s="8" t="s">
        <v>52</v>
      </c>
      <c r="R6057" s="10" t="s">
        <v>11597</v>
      </c>
      <c r="S6057" s="11" t="s">
        <v>34498</v>
      </c>
      <c r="T6057" s="6" t="s">
        <v>97</v>
      </c>
      <c r="U6057" s="15" t="str">
        <f>HYPERLINK("https://media.infra-m.ru/1845/1845219/cover/1845219.jpg", "Обложка")</f>
        <v>Обложка</v>
      </c>
      <c r="V6057" s="8" t="s">
        <v>227</v>
      </c>
      <c r="W6057" s="6"/>
      <c r="X6057" s="6"/>
      <c r="Y6057" s="6"/>
      <c r="Z6057" s="6"/>
      <c r="AA6057" s="6" t="s">
        <v>779</v>
      </c>
      <c r="AB6057" s="8"/>
      <c r="AC6057" s="27">
        <v>9785160111087</v>
      </c>
    </row>
    <row r="6058" spans="1:29" s="4" customFormat="1" ht="51.9" customHeight="1" x14ac:dyDescent="0.2">
      <c r="A6058" s="5">
        <v>0</v>
      </c>
      <c r="B6058" s="6" t="s">
        <v>34499</v>
      </c>
      <c r="C6058" s="7">
        <v>3208.8</v>
      </c>
      <c r="D6058" s="8" t="s">
        <v>34500</v>
      </c>
      <c r="E6058" s="8" t="s">
        <v>34501</v>
      </c>
      <c r="F6058" s="8" t="s">
        <v>34502</v>
      </c>
      <c r="G6058" s="6" t="s">
        <v>60</v>
      </c>
      <c r="H6058" s="6" t="s">
        <v>34</v>
      </c>
      <c r="I6058" s="8" t="s">
        <v>271</v>
      </c>
      <c r="J6058" s="9">
        <v>1</v>
      </c>
      <c r="K6058" s="9">
        <v>536</v>
      </c>
      <c r="L6058" s="9">
        <v>2025</v>
      </c>
      <c r="M6058" s="8" t="s">
        <v>34503</v>
      </c>
      <c r="N6058" s="8" t="s">
        <v>243</v>
      </c>
      <c r="O6058" s="8" t="s">
        <v>758</v>
      </c>
      <c r="P6058" s="6" t="s">
        <v>51</v>
      </c>
      <c r="Q6058" s="8" t="s">
        <v>52</v>
      </c>
      <c r="R6058" s="10" t="s">
        <v>34504</v>
      </c>
      <c r="S6058" s="11" t="s">
        <v>34505</v>
      </c>
      <c r="T6058" s="6"/>
      <c r="U6058" s="15" t="str">
        <f>HYPERLINK("https://media.infra-m.ru/2188/2188720/cover/2188720.jpg", "Обложка")</f>
        <v>Обложка</v>
      </c>
      <c r="V6058" s="8" t="s">
        <v>1030</v>
      </c>
      <c r="W6058" s="6"/>
      <c r="X6058" s="6"/>
      <c r="Y6058" s="6"/>
      <c r="Z6058" s="6"/>
      <c r="AA6058" s="6" t="s">
        <v>34506</v>
      </c>
      <c r="AB6058" s="8"/>
      <c r="AC6058" s="27">
        <v>9785160044705</v>
      </c>
    </row>
    <row r="6059" spans="1:29" s="4" customFormat="1" ht="42" customHeight="1" x14ac:dyDescent="0.2">
      <c r="A6059" s="5">
        <v>0</v>
      </c>
      <c r="B6059" s="6" t="s">
        <v>34507</v>
      </c>
      <c r="C6059" s="7">
        <v>3568.8</v>
      </c>
      <c r="D6059" s="8" t="s">
        <v>34508</v>
      </c>
      <c r="E6059" s="8" t="s">
        <v>34509</v>
      </c>
      <c r="F6059" s="8" t="s">
        <v>34510</v>
      </c>
      <c r="G6059" s="6" t="s">
        <v>60</v>
      </c>
      <c r="H6059" s="6" t="s">
        <v>34</v>
      </c>
      <c r="I6059" s="8" t="s">
        <v>271</v>
      </c>
      <c r="J6059" s="9">
        <v>1</v>
      </c>
      <c r="K6059" s="9">
        <v>540</v>
      </c>
      <c r="L6059" s="9">
        <v>2026</v>
      </c>
      <c r="M6059" s="8" t="s">
        <v>34511</v>
      </c>
      <c r="N6059" s="8" t="s">
        <v>243</v>
      </c>
      <c r="O6059" s="8" t="s">
        <v>758</v>
      </c>
      <c r="P6059" s="6" t="s">
        <v>306</v>
      </c>
      <c r="Q6059" s="8" t="s">
        <v>52</v>
      </c>
      <c r="R6059" s="10" t="s">
        <v>34512</v>
      </c>
      <c r="S6059" s="11"/>
      <c r="T6059" s="6"/>
      <c r="U6059" s="15" t="str">
        <f>HYPERLINK("https://media.infra-m.ru/2247/2247582/cover/2247582.jpg", "Обложка")</f>
        <v>Обложка</v>
      </c>
      <c r="V6059" s="8" t="s">
        <v>7509</v>
      </c>
      <c r="W6059" s="6"/>
      <c r="X6059" s="6" t="s">
        <v>24</v>
      </c>
      <c r="Y6059" s="6"/>
      <c r="Z6059" s="6"/>
      <c r="AA6059" s="6" t="s">
        <v>274</v>
      </c>
      <c r="AB6059" s="8"/>
      <c r="AC6059" s="27">
        <v>9785160103006</v>
      </c>
    </row>
    <row r="6060" spans="1:29" s="4" customFormat="1" ht="51.9" customHeight="1" x14ac:dyDescent="0.2">
      <c r="A6060" s="5">
        <v>0</v>
      </c>
      <c r="B6060" s="6" t="s">
        <v>34513</v>
      </c>
      <c r="C6060" s="7">
        <v>1668</v>
      </c>
      <c r="D6060" s="8" t="s">
        <v>34514</v>
      </c>
      <c r="E6060" s="8" t="s">
        <v>34515</v>
      </c>
      <c r="F6060" s="8" t="s">
        <v>34516</v>
      </c>
      <c r="G6060" s="6" t="s">
        <v>60</v>
      </c>
      <c r="H6060" s="6" t="s">
        <v>34</v>
      </c>
      <c r="I6060" s="8" t="s">
        <v>304</v>
      </c>
      <c r="J6060" s="9">
        <v>1</v>
      </c>
      <c r="K6060" s="9">
        <v>258</v>
      </c>
      <c r="L6060" s="9">
        <v>2025</v>
      </c>
      <c r="M6060" s="8" t="s">
        <v>34517</v>
      </c>
      <c r="N6060" s="8" t="s">
        <v>37</v>
      </c>
      <c r="O6060" s="8" t="s">
        <v>280</v>
      </c>
      <c r="P6060" s="6" t="s">
        <v>306</v>
      </c>
      <c r="Q6060" s="8" t="s">
        <v>500</v>
      </c>
      <c r="R6060" s="10" t="s">
        <v>34518</v>
      </c>
      <c r="S6060" s="11"/>
      <c r="T6060" s="6"/>
      <c r="U6060" s="15" t="str">
        <f>HYPERLINK("https://media.infra-m.ru/2170/2170986/cover/2170986.jpg", "Обложка")</f>
        <v>Обложка</v>
      </c>
      <c r="V6060" s="8" t="s">
        <v>247</v>
      </c>
      <c r="W6060" s="6"/>
      <c r="X6060" s="6"/>
      <c r="Y6060" s="6"/>
      <c r="Z6060" s="6"/>
      <c r="AA6060" s="6" t="s">
        <v>68</v>
      </c>
      <c r="AB6060" s="8"/>
      <c r="AC6060" s="27">
        <v>9785160203843</v>
      </c>
    </row>
    <row r="6061" spans="1:29" s="4" customFormat="1" ht="51.9" customHeight="1" x14ac:dyDescent="0.2">
      <c r="A6061" s="5">
        <v>0</v>
      </c>
      <c r="B6061" s="6" t="s">
        <v>34519</v>
      </c>
      <c r="C6061" s="7">
        <v>1252.8</v>
      </c>
      <c r="D6061" s="8" t="s">
        <v>34520</v>
      </c>
      <c r="E6061" s="8" t="s">
        <v>34521</v>
      </c>
      <c r="F6061" s="8" t="s">
        <v>34522</v>
      </c>
      <c r="G6061" s="6" t="s">
        <v>118</v>
      </c>
      <c r="H6061" s="6" t="s">
        <v>34</v>
      </c>
      <c r="I6061" s="8" t="s">
        <v>504</v>
      </c>
      <c r="J6061" s="9">
        <v>1</v>
      </c>
      <c r="K6061" s="9">
        <v>200</v>
      </c>
      <c r="L6061" s="9">
        <v>2025</v>
      </c>
      <c r="M6061" s="8" t="s">
        <v>34523</v>
      </c>
      <c r="N6061" s="8" t="s">
        <v>585</v>
      </c>
      <c r="O6061" s="8" t="s">
        <v>775</v>
      </c>
      <c r="P6061" s="6" t="s">
        <v>51</v>
      </c>
      <c r="Q6061" s="8" t="s">
        <v>500</v>
      </c>
      <c r="R6061" s="10" t="s">
        <v>34524</v>
      </c>
      <c r="S6061" s="11" t="s">
        <v>34525</v>
      </c>
      <c r="T6061" s="6"/>
      <c r="U6061" s="15" t="str">
        <f>HYPERLINK("https://media.infra-m.ru/2196/2196906/cover/2196906.jpg", "Обложка")</f>
        <v>Обложка</v>
      </c>
      <c r="V6061" s="8" t="s">
        <v>7003</v>
      </c>
      <c r="W6061" s="6"/>
      <c r="X6061" s="6" t="s">
        <v>24</v>
      </c>
      <c r="Y6061" s="6"/>
      <c r="Z6061" s="6"/>
      <c r="AA6061" s="6" t="s">
        <v>274</v>
      </c>
      <c r="AB6061" s="8"/>
      <c r="AC6061" s="27">
        <v>9785160108216</v>
      </c>
    </row>
    <row r="6062" spans="1:29" s="4" customFormat="1" ht="51.9" customHeight="1" x14ac:dyDescent="0.2">
      <c r="A6062" s="5">
        <v>0</v>
      </c>
      <c r="B6062" s="6" t="s">
        <v>34526</v>
      </c>
      <c r="C6062" s="7">
        <v>2404.8000000000002</v>
      </c>
      <c r="D6062" s="8" t="s">
        <v>34527</v>
      </c>
      <c r="E6062" s="8" t="s">
        <v>34528</v>
      </c>
      <c r="F6062" s="8" t="s">
        <v>34529</v>
      </c>
      <c r="G6062" s="6" t="s">
        <v>118</v>
      </c>
      <c r="H6062" s="6" t="s">
        <v>34</v>
      </c>
      <c r="I6062" s="8" t="s">
        <v>271</v>
      </c>
      <c r="J6062" s="9">
        <v>1</v>
      </c>
      <c r="K6062" s="9">
        <v>364</v>
      </c>
      <c r="L6062" s="9">
        <v>2026</v>
      </c>
      <c r="M6062" s="8" t="s">
        <v>34530</v>
      </c>
      <c r="N6062" s="8" t="s">
        <v>243</v>
      </c>
      <c r="O6062" s="8" t="s">
        <v>758</v>
      </c>
      <c r="P6062" s="6" t="s">
        <v>306</v>
      </c>
      <c r="Q6062" s="8" t="s">
        <v>52</v>
      </c>
      <c r="R6062" s="10" t="s">
        <v>34531</v>
      </c>
      <c r="S6062" s="11" t="s">
        <v>34532</v>
      </c>
      <c r="T6062" s="6"/>
      <c r="U6062" s="15" t="str">
        <f>HYPERLINK("https://media.infra-m.ru/2239/2239436/cover/2239436.jpg", "Обложка")</f>
        <v>Обложка</v>
      </c>
      <c r="V6062" s="8" t="s">
        <v>7920</v>
      </c>
      <c r="W6062" s="6"/>
      <c r="X6062" s="6"/>
      <c r="Y6062" s="6"/>
      <c r="Z6062" s="6"/>
      <c r="AA6062" s="6" t="s">
        <v>2240</v>
      </c>
      <c r="AB6062" s="8"/>
      <c r="AC6062" s="27">
        <v>9785160156217</v>
      </c>
    </row>
    <row r="6063" spans="1:29" s="4" customFormat="1" ht="42" customHeight="1" x14ac:dyDescent="0.2">
      <c r="A6063" s="5">
        <v>0</v>
      </c>
      <c r="B6063" s="6" t="s">
        <v>34533</v>
      </c>
      <c r="C6063" s="7">
        <v>1212</v>
      </c>
      <c r="D6063" s="8" t="s">
        <v>34534</v>
      </c>
      <c r="E6063" s="8" t="s">
        <v>34535</v>
      </c>
      <c r="F6063" s="8" t="s">
        <v>34536</v>
      </c>
      <c r="G6063" s="6" t="s">
        <v>60</v>
      </c>
      <c r="H6063" s="6" t="s">
        <v>34</v>
      </c>
      <c r="I6063" s="8" t="s">
        <v>253</v>
      </c>
      <c r="J6063" s="9">
        <v>1</v>
      </c>
      <c r="K6063" s="9">
        <v>166</v>
      </c>
      <c r="L6063" s="9">
        <v>2026</v>
      </c>
      <c r="M6063" s="8" t="s">
        <v>34537</v>
      </c>
      <c r="N6063" s="8" t="s">
        <v>243</v>
      </c>
      <c r="O6063" s="8" t="s">
        <v>798</v>
      </c>
      <c r="P6063" s="6" t="s">
        <v>51</v>
      </c>
      <c r="Q6063" s="8" t="s">
        <v>52</v>
      </c>
      <c r="R6063" s="10" t="s">
        <v>3870</v>
      </c>
      <c r="S6063" s="11"/>
      <c r="T6063" s="6"/>
      <c r="U6063" s="15" t="str">
        <f>HYPERLINK("https://media.infra-m.ru/2230/2230808/cover/2230808.jpg", "Обложка")</f>
        <v>Обложка</v>
      </c>
      <c r="V6063" s="8" t="s">
        <v>3177</v>
      </c>
      <c r="W6063" s="6" t="s">
        <v>186</v>
      </c>
      <c r="X6063" s="6"/>
      <c r="Y6063" s="6"/>
      <c r="Z6063" s="6"/>
      <c r="AA6063" s="6" t="s">
        <v>187</v>
      </c>
      <c r="AB6063" s="8" t="s">
        <v>11878</v>
      </c>
      <c r="AC6063" s="27">
        <v>9785160215631</v>
      </c>
    </row>
    <row r="6064" spans="1:29" s="4" customFormat="1" ht="51.9" customHeight="1" x14ac:dyDescent="0.2">
      <c r="A6064" s="5">
        <v>0</v>
      </c>
      <c r="B6064" s="6" t="s">
        <v>34538</v>
      </c>
      <c r="C6064" s="7">
        <v>2224.8000000000002</v>
      </c>
      <c r="D6064" s="8" t="s">
        <v>34539</v>
      </c>
      <c r="E6064" s="8" t="s">
        <v>34540</v>
      </c>
      <c r="F6064" s="8" t="s">
        <v>863</v>
      </c>
      <c r="G6064" s="6" t="s">
        <v>118</v>
      </c>
      <c r="H6064" s="6" t="s">
        <v>48</v>
      </c>
      <c r="I6064" s="8" t="s">
        <v>271</v>
      </c>
      <c r="J6064" s="9">
        <v>1</v>
      </c>
      <c r="K6064" s="9">
        <v>320</v>
      </c>
      <c r="L6064" s="9">
        <v>2026</v>
      </c>
      <c r="M6064" s="8" t="s">
        <v>34541</v>
      </c>
      <c r="N6064" s="8" t="s">
        <v>243</v>
      </c>
      <c r="O6064" s="8" t="s">
        <v>758</v>
      </c>
      <c r="P6064" s="6" t="s">
        <v>51</v>
      </c>
      <c r="Q6064" s="8" t="s">
        <v>52</v>
      </c>
      <c r="R6064" s="10" t="s">
        <v>835</v>
      </c>
      <c r="S6064" s="11" t="s">
        <v>34542</v>
      </c>
      <c r="T6064" s="6"/>
      <c r="U6064" s="15" t="str">
        <f>HYPERLINK("https://media.infra-m.ru/2238/2238493/cover/2238493.jpg", "Обложка")</f>
        <v>Обложка</v>
      </c>
      <c r="V6064" s="8" t="s">
        <v>867</v>
      </c>
      <c r="W6064" s="6"/>
      <c r="X6064" s="6"/>
      <c r="Y6064" s="6"/>
      <c r="Z6064" s="6"/>
      <c r="AA6064" s="6" t="s">
        <v>248</v>
      </c>
      <c r="AB6064" s="8"/>
      <c r="AC6064" s="27">
        <v>9785911348991</v>
      </c>
    </row>
    <row r="6065" spans="1:29" s="4" customFormat="1" ht="44.1" customHeight="1" x14ac:dyDescent="0.2">
      <c r="A6065" s="5">
        <v>0</v>
      </c>
      <c r="B6065" s="6" t="s">
        <v>34543</v>
      </c>
      <c r="C6065" s="7">
        <v>1300.8</v>
      </c>
      <c r="D6065" s="8" t="s">
        <v>34544</v>
      </c>
      <c r="E6065" s="8" t="s">
        <v>34545</v>
      </c>
      <c r="F6065" s="8" t="s">
        <v>18252</v>
      </c>
      <c r="G6065" s="6" t="s">
        <v>118</v>
      </c>
      <c r="H6065" s="6" t="s">
        <v>34</v>
      </c>
      <c r="I6065" s="8" t="s">
        <v>35</v>
      </c>
      <c r="J6065" s="9">
        <v>1</v>
      </c>
      <c r="K6065" s="9">
        <v>235</v>
      </c>
      <c r="L6065" s="9">
        <v>2024</v>
      </c>
      <c r="M6065" s="8" t="s">
        <v>34546</v>
      </c>
      <c r="N6065" s="8" t="s">
        <v>37</v>
      </c>
      <c r="O6065" s="8" t="s">
        <v>280</v>
      </c>
      <c r="P6065" s="6" t="s">
        <v>39</v>
      </c>
      <c r="Q6065" s="8" t="s">
        <v>40</v>
      </c>
      <c r="R6065" s="10" t="s">
        <v>34547</v>
      </c>
      <c r="S6065" s="11"/>
      <c r="T6065" s="6"/>
      <c r="U6065" s="15" t="str">
        <f>HYPERLINK("https://media.infra-m.ru/2117/2117143/cover/2117143.jpg", "Обложка")</f>
        <v>Обложка</v>
      </c>
      <c r="V6065" s="8" t="s">
        <v>644</v>
      </c>
      <c r="W6065" s="6"/>
      <c r="X6065" s="6"/>
      <c r="Y6065" s="6"/>
      <c r="Z6065" s="6"/>
      <c r="AA6065" s="6" t="s">
        <v>99</v>
      </c>
      <c r="AB6065" s="8"/>
      <c r="AC6065" s="27">
        <v>9785160126142</v>
      </c>
    </row>
    <row r="6066" spans="1:29" s="4" customFormat="1" ht="51.9" customHeight="1" x14ac:dyDescent="0.2">
      <c r="A6066" s="5">
        <v>0</v>
      </c>
      <c r="B6066" s="6" t="s">
        <v>34548</v>
      </c>
      <c r="C6066" s="7">
        <v>2044.8</v>
      </c>
      <c r="D6066" s="8" t="s">
        <v>34549</v>
      </c>
      <c r="E6066" s="8" t="s">
        <v>34550</v>
      </c>
      <c r="F6066" s="8" t="s">
        <v>26207</v>
      </c>
      <c r="G6066" s="6" t="s">
        <v>60</v>
      </c>
      <c r="H6066" s="6" t="s">
        <v>34</v>
      </c>
      <c r="I6066" s="8" t="s">
        <v>271</v>
      </c>
      <c r="J6066" s="9">
        <v>1</v>
      </c>
      <c r="K6066" s="9">
        <v>327</v>
      </c>
      <c r="L6066" s="9">
        <v>2025</v>
      </c>
      <c r="M6066" s="8" t="s">
        <v>34551</v>
      </c>
      <c r="N6066" s="8" t="s">
        <v>243</v>
      </c>
      <c r="O6066" s="8" t="s">
        <v>758</v>
      </c>
      <c r="P6066" s="6" t="s">
        <v>51</v>
      </c>
      <c r="Q6066" s="8" t="s">
        <v>52</v>
      </c>
      <c r="R6066" s="10" t="s">
        <v>34552</v>
      </c>
      <c r="S6066" s="11" t="s">
        <v>34553</v>
      </c>
      <c r="T6066" s="6"/>
      <c r="U6066" s="15" t="str">
        <f>HYPERLINK("https://media.infra-m.ru/2196/2196038/cover/2196038.jpg", "Обложка")</f>
        <v>Обложка</v>
      </c>
      <c r="V6066" s="8" t="s">
        <v>1083</v>
      </c>
      <c r="W6066" s="6"/>
      <c r="X6066" s="6"/>
      <c r="Y6066" s="6"/>
      <c r="Z6066" s="6"/>
      <c r="AA6066" s="6" t="s">
        <v>874</v>
      </c>
      <c r="AB6066" s="8"/>
      <c r="AC6066" s="27">
        <v>9785160099880</v>
      </c>
    </row>
    <row r="6067" spans="1:29" s="4" customFormat="1" ht="42" customHeight="1" x14ac:dyDescent="0.2">
      <c r="A6067" s="5">
        <v>0</v>
      </c>
      <c r="B6067" s="6" t="s">
        <v>34554</v>
      </c>
      <c r="C6067" s="13">
        <v>772.8</v>
      </c>
      <c r="D6067" s="8" t="s">
        <v>34555</v>
      </c>
      <c r="E6067" s="8" t="s">
        <v>34556</v>
      </c>
      <c r="F6067" s="8" t="s">
        <v>34557</v>
      </c>
      <c r="G6067" s="6" t="s">
        <v>33</v>
      </c>
      <c r="H6067" s="6" t="s">
        <v>34</v>
      </c>
      <c r="I6067" s="8" t="s">
        <v>35</v>
      </c>
      <c r="J6067" s="9">
        <v>1</v>
      </c>
      <c r="K6067" s="9">
        <v>140</v>
      </c>
      <c r="L6067" s="9">
        <v>2024</v>
      </c>
      <c r="M6067" s="8" t="s">
        <v>34558</v>
      </c>
      <c r="N6067" s="8" t="s">
        <v>93</v>
      </c>
      <c r="O6067" s="8" t="s">
        <v>94</v>
      </c>
      <c r="P6067" s="6" t="s">
        <v>39</v>
      </c>
      <c r="Q6067" s="8" t="s">
        <v>40</v>
      </c>
      <c r="R6067" s="10" t="s">
        <v>11024</v>
      </c>
      <c r="S6067" s="11"/>
      <c r="T6067" s="6"/>
      <c r="U6067" s="15" t="str">
        <f>HYPERLINK("https://media.infra-m.ru/2090/2090022/cover/2090022.jpg", "Обложка")</f>
        <v>Обложка</v>
      </c>
      <c r="V6067" s="8" t="s">
        <v>1083</v>
      </c>
      <c r="W6067" s="6"/>
      <c r="X6067" s="6"/>
      <c r="Y6067" s="6"/>
      <c r="Z6067" s="6"/>
      <c r="AA6067" s="6" t="s">
        <v>55</v>
      </c>
      <c r="AB6067" s="8"/>
      <c r="AC6067" s="27">
        <v>9785160063751</v>
      </c>
    </row>
    <row r="6068" spans="1:29" s="4" customFormat="1" ht="51.9" customHeight="1" x14ac:dyDescent="0.2">
      <c r="A6068" s="5">
        <v>0</v>
      </c>
      <c r="B6068" s="6" t="s">
        <v>34559</v>
      </c>
      <c r="C6068" s="7">
        <v>1008</v>
      </c>
      <c r="D6068" s="8" t="s">
        <v>34560</v>
      </c>
      <c r="E6068" s="8" t="s">
        <v>34561</v>
      </c>
      <c r="F6068" s="8" t="s">
        <v>34562</v>
      </c>
      <c r="G6068" s="6" t="s">
        <v>33</v>
      </c>
      <c r="H6068" s="6" t="s">
        <v>34</v>
      </c>
      <c r="I6068" s="8" t="s">
        <v>253</v>
      </c>
      <c r="J6068" s="9">
        <v>1</v>
      </c>
      <c r="K6068" s="9">
        <v>155</v>
      </c>
      <c r="L6068" s="9">
        <v>2025</v>
      </c>
      <c r="M6068" s="8" t="s">
        <v>34563</v>
      </c>
      <c r="N6068" s="8" t="s">
        <v>243</v>
      </c>
      <c r="O6068" s="8" t="s">
        <v>758</v>
      </c>
      <c r="P6068" s="6" t="s">
        <v>51</v>
      </c>
      <c r="Q6068" s="8" t="s">
        <v>52</v>
      </c>
      <c r="R6068" s="10" t="s">
        <v>29945</v>
      </c>
      <c r="S6068" s="11" t="s">
        <v>34564</v>
      </c>
      <c r="T6068" s="6" t="s">
        <v>97</v>
      </c>
      <c r="U6068" s="15" t="str">
        <f>HYPERLINK("https://media.infra-m.ru/2177/2177791/cover/2177791.jpg", "Обложка")</f>
        <v>Обложка</v>
      </c>
      <c r="V6068" s="8" t="s">
        <v>1157</v>
      </c>
      <c r="W6068" s="6"/>
      <c r="X6068" s="6"/>
      <c r="Y6068" s="6"/>
      <c r="Z6068" s="6"/>
      <c r="AA6068" s="6" t="s">
        <v>99</v>
      </c>
      <c r="AB6068" s="8"/>
      <c r="AC6068" s="27">
        <v>9785160204840</v>
      </c>
    </row>
    <row r="6069" spans="1:29" s="4" customFormat="1" ht="51.9" customHeight="1" x14ac:dyDescent="0.2">
      <c r="A6069" s="5">
        <v>0</v>
      </c>
      <c r="B6069" s="6" t="s">
        <v>34565</v>
      </c>
      <c r="C6069" s="7">
        <v>1828.8</v>
      </c>
      <c r="D6069" s="8" t="s">
        <v>34566</v>
      </c>
      <c r="E6069" s="8" t="s">
        <v>34567</v>
      </c>
      <c r="F6069" s="8" t="s">
        <v>34568</v>
      </c>
      <c r="G6069" s="6" t="s">
        <v>60</v>
      </c>
      <c r="H6069" s="6" t="s">
        <v>34</v>
      </c>
      <c r="I6069" s="8" t="s">
        <v>271</v>
      </c>
      <c r="J6069" s="9">
        <v>1</v>
      </c>
      <c r="K6069" s="9">
        <v>337</v>
      </c>
      <c r="L6069" s="9">
        <v>2023</v>
      </c>
      <c r="M6069" s="8" t="s">
        <v>34569</v>
      </c>
      <c r="N6069" s="8" t="s">
        <v>243</v>
      </c>
      <c r="O6069" s="8" t="s">
        <v>758</v>
      </c>
      <c r="P6069" s="6" t="s">
        <v>51</v>
      </c>
      <c r="Q6069" s="8" t="s">
        <v>65</v>
      </c>
      <c r="R6069" s="10" t="s">
        <v>11597</v>
      </c>
      <c r="S6069" s="11" t="s">
        <v>34570</v>
      </c>
      <c r="T6069" s="6"/>
      <c r="U6069" s="15" t="str">
        <f>HYPERLINK("https://media.infra-m.ru/2006/2006097/cover/2006097.jpg", "Обложка")</f>
        <v>Обложка</v>
      </c>
      <c r="V6069" s="8" t="s">
        <v>843</v>
      </c>
      <c r="W6069" s="6"/>
      <c r="X6069" s="6"/>
      <c r="Y6069" s="6"/>
      <c r="Z6069" s="6"/>
      <c r="AA6069" s="6" t="s">
        <v>258</v>
      </c>
      <c r="AB6069" s="8"/>
      <c r="AC6069" s="27">
        <v>9785160170275</v>
      </c>
    </row>
    <row r="6070" spans="1:29" s="4" customFormat="1" ht="42" customHeight="1" x14ac:dyDescent="0.2">
      <c r="A6070" s="5">
        <v>0</v>
      </c>
      <c r="B6070" s="6" t="s">
        <v>34571</v>
      </c>
      <c r="C6070" s="7">
        <v>1344</v>
      </c>
      <c r="D6070" s="8" t="s">
        <v>34572</v>
      </c>
      <c r="E6070" s="8" t="s">
        <v>34573</v>
      </c>
      <c r="F6070" s="8" t="s">
        <v>34574</v>
      </c>
      <c r="G6070" s="6" t="s">
        <v>60</v>
      </c>
      <c r="H6070" s="6" t="s">
        <v>34</v>
      </c>
      <c r="I6070" s="8" t="s">
        <v>253</v>
      </c>
      <c r="J6070" s="9">
        <v>1</v>
      </c>
      <c r="K6070" s="9">
        <v>184</v>
      </c>
      <c r="L6070" s="9">
        <v>2025</v>
      </c>
      <c r="M6070" s="8" t="s">
        <v>34575</v>
      </c>
      <c r="N6070" s="8" t="s">
        <v>243</v>
      </c>
      <c r="O6070" s="8" t="s">
        <v>933</v>
      </c>
      <c r="P6070" s="6" t="s">
        <v>51</v>
      </c>
      <c r="Q6070" s="8" t="s">
        <v>65</v>
      </c>
      <c r="R6070" s="10" t="s">
        <v>6845</v>
      </c>
      <c r="S6070" s="11"/>
      <c r="T6070" s="6"/>
      <c r="U6070" s="15" t="str">
        <f>HYPERLINK("https://media.infra-m.ru/2155/2155769/cover/2155769.jpg", "Обложка")</f>
        <v>Обложка</v>
      </c>
      <c r="V6070" s="8" t="s">
        <v>34576</v>
      </c>
      <c r="W6070" s="6"/>
      <c r="X6070" s="6"/>
      <c r="Y6070" s="6"/>
      <c r="Z6070" s="6"/>
      <c r="AA6070" s="6" t="s">
        <v>68</v>
      </c>
      <c r="AB6070" s="8"/>
      <c r="AC6070" s="27">
        <v>9785160200439</v>
      </c>
    </row>
    <row r="6071" spans="1:29" s="4" customFormat="1" ht="44.1" customHeight="1" x14ac:dyDescent="0.2">
      <c r="A6071" s="5">
        <v>0</v>
      </c>
      <c r="B6071" s="6" t="s">
        <v>34577</v>
      </c>
      <c r="C6071" s="7">
        <v>1852.8</v>
      </c>
      <c r="D6071" s="8" t="s">
        <v>34578</v>
      </c>
      <c r="E6071" s="8" t="s">
        <v>34579</v>
      </c>
      <c r="F6071" s="8" t="s">
        <v>16507</v>
      </c>
      <c r="G6071" s="6" t="s">
        <v>33</v>
      </c>
      <c r="H6071" s="6" t="s">
        <v>34</v>
      </c>
      <c r="I6071" s="8" t="s">
        <v>35</v>
      </c>
      <c r="J6071" s="9">
        <v>1</v>
      </c>
      <c r="K6071" s="9">
        <v>326</v>
      </c>
      <c r="L6071" s="9">
        <v>2024</v>
      </c>
      <c r="M6071" s="8" t="s">
        <v>34580</v>
      </c>
      <c r="N6071" s="8" t="s">
        <v>37</v>
      </c>
      <c r="O6071" s="8" t="s">
        <v>233</v>
      </c>
      <c r="P6071" s="6" t="s">
        <v>39</v>
      </c>
      <c r="Q6071" s="8" t="s">
        <v>40</v>
      </c>
      <c r="R6071" s="10" t="s">
        <v>34581</v>
      </c>
      <c r="S6071" s="11"/>
      <c r="T6071" s="6" t="s">
        <v>97</v>
      </c>
      <c r="U6071" s="15" t="str">
        <f>HYPERLINK("https://media.infra-m.ru/2149/2149660/cover/2149660.jpg", "Обложка")</f>
        <v>Обложка</v>
      </c>
      <c r="V6071" s="8" t="s">
        <v>16510</v>
      </c>
      <c r="W6071" s="6"/>
      <c r="X6071" s="6"/>
      <c r="Y6071" s="6"/>
      <c r="Z6071" s="6"/>
      <c r="AA6071" s="6" t="s">
        <v>1256</v>
      </c>
      <c r="AB6071" s="8"/>
      <c r="AC6071" s="27">
        <v>9785160151953</v>
      </c>
    </row>
    <row r="6072" spans="1:29" s="4" customFormat="1" ht="42" customHeight="1" x14ac:dyDescent="0.2">
      <c r="A6072" s="5">
        <v>0</v>
      </c>
      <c r="B6072" s="6" t="s">
        <v>34582</v>
      </c>
      <c r="C6072" s="7">
        <v>2508</v>
      </c>
      <c r="D6072" s="8" t="s">
        <v>34583</v>
      </c>
      <c r="E6072" s="8" t="s">
        <v>34584</v>
      </c>
      <c r="F6072" s="8" t="s">
        <v>34585</v>
      </c>
      <c r="G6072" s="6" t="s">
        <v>118</v>
      </c>
      <c r="H6072" s="6" t="s">
        <v>820</v>
      </c>
      <c r="I6072" s="8" t="s">
        <v>263</v>
      </c>
      <c r="J6072" s="9">
        <v>1</v>
      </c>
      <c r="K6072" s="9">
        <v>352</v>
      </c>
      <c r="L6072" s="9">
        <v>2027</v>
      </c>
      <c r="M6072" s="8" t="s">
        <v>34586</v>
      </c>
      <c r="N6072" s="8" t="s">
        <v>243</v>
      </c>
      <c r="O6072" s="8" t="s">
        <v>244</v>
      </c>
      <c r="P6072" s="6" t="s">
        <v>306</v>
      </c>
      <c r="Q6072" s="8" t="s">
        <v>265</v>
      </c>
      <c r="R6072" s="10" t="s">
        <v>34587</v>
      </c>
      <c r="S6072" s="11"/>
      <c r="T6072" s="6"/>
      <c r="U6072" s="15" t="str">
        <f>HYPERLINK("https://media.infra-m.ru/2268/2268179/cover/2268179.jpg", "Обложка")</f>
        <v>Обложка</v>
      </c>
      <c r="V6072" s="8" t="s">
        <v>1908</v>
      </c>
      <c r="W6072" s="6"/>
      <c r="X6072" s="6" t="s">
        <v>24</v>
      </c>
      <c r="Y6072" s="6"/>
      <c r="Z6072" s="6"/>
      <c r="AA6072" s="6" t="s">
        <v>99</v>
      </c>
      <c r="AB6072" s="8"/>
      <c r="AC6072" s="27">
        <v>9785906818591</v>
      </c>
    </row>
    <row r="6073" spans="1:29" s="4" customFormat="1" ht="51.9" customHeight="1" x14ac:dyDescent="0.2">
      <c r="A6073" s="5">
        <v>0</v>
      </c>
      <c r="B6073" s="6" t="s">
        <v>34588</v>
      </c>
      <c r="C6073" s="7">
        <v>1992</v>
      </c>
      <c r="D6073" s="8" t="s">
        <v>34589</v>
      </c>
      <c r="E6073" s="8" t="s">
        <v>34590</v>
      </c>
      <c r="F6073" s="8" t="s">
        <v>34591</v>
      </c>
      <c r="G6073" s="6" t="s">
        <v>118</v>
      </c>
      <c r="H6073" s="6" t="s">
        <v>34</v>
      </c>
      <c r="I6073" s="8" t="s">
        <v>263</v>
      </c>
      <c r="J6073" s="9">
        <v>1</v>
      </c>
      <c r="K6073" s="9">
        <v>286</v>
      </c>
      <c r="L6073" s="9">
        <v>2027</v>
      </c>
      <c r="M6073" s="8" t="s">
        <v>34592</v>
      </c>
      <c r="N6073" s="8" t="s">
        <v>243</v>
      </c>
      <c r="O6073" s="8" t="s">
        <v>758</v>
      </c>
      <c r="P6073" s="6" t="s">
        <v>306</v>
      </c>
      <c r="Q6073" s="8" t="s">
        <v>265</v>
      </c>
      <c r="R6073" s="10" t="s">
        <v>34593</v>
      </c>
      <c r="S6073" s="11" t="s">
        <v>34594</v>
      </c>
      <c r="T6073" s="6"/>
      <c r="U6073" s="15" t="str">
        <f>HYPERLINK("https://media.infra-m.ru/2266/2266100/cover/2266100.jpg", "Обложка")</f>
        <v>Обложка</v>
      </c>
      <c r="V6073" s="8" t="s">
        <v>1157</v>
      </c>
      <c r="W6073" s="6"/>
      <c r="X6073" s="6"/>
      <c r="Y6073" s="6"/>
      <c r="Z6073" s="6" t="s">
        <v>267</v>
      </c>
      <c r="AA6073" s="6" t="s">
        <v>115</v>
      </c>
      <c r="AB6073" s="8"/>
      <c r="AC6073" s="27">
        <v>9785160213057</v>
      </c>
    </row>
    <row r="6074" spans="1:29" s="4" customFormat="1" ht="51.9" customHeight="1" x14ac:dyDescent="0.2">
      <c r="A6074" s="5">
        <v>0</v>
      </c>
      <c r="B6074" s="6" t="s">
        <v>34595</v>
      </c>
      <c r="C6074" s="7">
        <v>1620</v>
      </c>
      <c r="D6074" s="8" t="s">
        <v>34596</v>
      </c>
      <c r="E6074" s="8" t="s">
        <v>34590</v>
      </c>
      <c r="F6074" s="8" t="s">
        <v>34591</v>
      </c>
      <c r="G6074" s="6" t="s">
        <v>118</v>
      </c>
      <c r="H6074" s="6" t="s">
        <v>1042</v>
      </c>
      <c r="I6074" s="8" t="s">
        <v>271</v>
      </c>
      <c r="J6074" s="9">
        <v>1</v>
      </c>
      <c r="K6074" s="9">
        <v>286</v>
      </c>
      <c r="L6074" s="9">
        <v>2023</v>
      </c>
      <c r="M6074" s="8" t="s">
        <v>34597</v>
      </c>
      <c r="N6074" s="8" t="s">
        <v>243</v>
      </c>
      <c r="O6074" s="8" t="s">
        <v>758</v>
      </c>
      <c r="P6074" s="6" t="s">
        <v>51</v>
      </c>
      <c r="Q6074" s="8" t="s">
        <v>52</v>
      </c>
      <c r="R6074" s="10" t="s">
        <v>2452</v>
      </c>
      <c r="S6074" s="11" t="s">
        <v>34598</v>
      </c>
      <c r="T6074" s="6"/>
      <c r="U6074" s="15" t="str">
        <f>HYPERLINK("https://media.infra-m.ru/1899/1899762/cover/1899762.jpg", "Обложка")</f>
        <v>Обложка</v>
      </c>
      <c r="V6074" s="8" t="s">
        <v>1157</v>
      </c>
      <c r="W6074" s="6"/>
      <c r="X6074" s="6"/>
      <c r="Y6074" s="6"/>
      <c r="Z6074" s="6"/>
      <c r="AA6074" s="6" t="s">
        <v>779</v>
      </c>
      <c r="AB6074" s="8"/>
      <c r="AC6074" s="27">
        <v>9785819908181</v>
      </c>
    </row>
    <row r="6075" spans="1:29" s="4" customFormat="1" ht="51.9" customHeight="1" x14ac:dyDescent="0.2">
      <c r="A6075" s="5">
        <v>0</v>
      </c>
      <c r="B6075" s="6" t="s">
        <v>34599</v>
      </c>
      <c r="C6075" s="13">
        <v>852</v>
      </c>
      <c r="D6075" s="8" t="s">
        <v>34600</v>
      </c>
      <c r="E6075" s="8" t="s">
        <v>34601</v>
      </c>
      <c r="F6075" s="8" t="s">
        <v>34602</v>
      </c>
      <c r="G6075" s="6" t="s">
        <v>33</v>
      </c>
      <c r="H6075" s="6" t="s">
        <v>34</v>
      </c>
      <c r="I6075" s="8" t="s">
        <v>253</v>
      </c>
      <c r="J6075" s="9">
        <v>1</v>
      </c>
      <c r="K6075" s="9">
        <v>128</v>
      </c>
      <c r="L6075" s="9">
        <v>2026</v>
      </c>
      <c r="M6075" s="8" t="s">
        <v>34603</v>
      </c>
      <c r="N6075" s="8" t="s">
        <v>243</v>
      </c>
      <c r="O6075" s="8" t="s">
        <v>758</v>
      </c>
      <c r="P6075" s="6" t="s">
        <v>51</v>
      </c>
      <c r="Q6075" s="8" t="s">
        <v>52</v>
      </c>
      <c r="R6075" s="10" t="s">
        <v>34604</v>
      </c>
      <c r="S6075" s="11" t="s">
        <v>34605</v>
      </c>
      <c r="T6075" s="6"/>
      <c r="U6075" s="15" t="str">
        <f>HYPERLINK("https://media.infra-m.ru/2236/2236376/cover/2236376.jpg", "Обложка")</f>
        <v>Обложка</v>
      </c>
      <c r="V6075" s="8" t="s">
        <v>227</v>
      </c>
      <c r="W6075" s="6"/>
      <c r="X6075" s="6"/>
      <c r="Y6075" s="6"/>
      <c r="Z6075" s="6"/>
      <c r="AA6075" s="6" t="s">
        <v>949</v>
      </c>
      <c r="AB6075" s="8"/>
      <c r="AC6075" s="27">
        <v>9785160217154</v>
      </c>
    </row>
    <row r="6076" spans="1:29" s="4" customFormat="1" ht="51.9" customHeight="1" x14ac:dyDescent="0.2">
      <c r="A6076" s="5">
        <v>0</v>
      </c>
      <c r="B6076" s="6" t="s">
        <v>34606</v>
      </c>
      <c r="C6076" s="13">
        <v>900</v>
      </c>
      <c r="D6076" s="8" t="s">
        <v>34607</v>
      </c>
      <c r="E6076" s="8" t="s">
        <v>34601</v>
      </c>
      <c r="F6076" s="8" t="s">
        <v>34602</v>
      </c>
      <c r="G6076" s="6" t="s">
        <v>33</v>
      </c>
      <c r="H6076" s="6" t="s">
        <v>34</v>
      </c>
      <c r="I6076" s="8" t="s">
        <v>263</v>
      </c>
      <c r="J6076" s="9">
        <v>1</v>
      </c>
      <c r="K6076" s="9">
        <v>128</v>
      </c>
      <c r="L6076" s="9">
        <v>2027</v>
      </c>
      <c r="M6076" s="8" t="s">
        <v>34608</v>
      </c>
      <c r="N6076" s="8" t="s">
        <v>243</v>
      </c>
      <c r="O6076" s="8" t="s">
        <v>758</v>
      </c>
      <c r="P6076" s="6" t="s">
        <v>51</v>
      </c>
      <c r="Q6076" s="8" t="s">
        <v>265</v>
      </c>
      <c r="R6076" s="10" t="s">
        <v>34609</v>
      </c>
      <c r="S6076" s="11" t="s">
        <v>34610</v>
      </c>
      <c r="T6076" s="6"/>
      <c r="U6076" s="15" t="str">
        <f>HYPERLINK("https://media.infra-m.ru/2271/2271538/cover/2271538.jpg", "Обложка")</f>
        <v>Обложка</v>
      </c>
      <c r="V6076" s="8" t="s">
        <v>227</v>
      </c>
      <c r="W6076" s="6"/>
      <c r="X6076" s="6"/>
      <c r="Y6076" s="6"/>
      <c r="Z6076" s="6" t="s">
        <v>267</v>
      </c>
      <c r="AA6076" s="6" t="s">
        <v>148</v>
      </c>
      <c r="AB6076" s="8"/>
      <c r="AC6076" s="27">
        <v>9785160217147</v>
      </c>
    </row>
    <row r="6077" spans="1:29" s="4" customFormat="1" ht="51.9" customHeight="1" x14ac:dyDescent="0.2">
      <c r="A6077" s="5">
        <v>0</v>
      </c>
      <c r="B6077" s="6" t="s">
        <v>34611</v>
      </c>
      <c r="C6077" s="7">
        <v>1680</v>
      </c>
      <c r="D6077" s="8" t="s">
        <v>34612</v>
      </c>
      <c r="E6077" s="8" t="s">
        <v>34613</v>
      </c>
      <c r="F6077" s="8" t="s">
        <v>34614</v>
      </c>
      <c r="G6077" s="6" t="s">
        <v>118</v>
      </c>
      <c r="H6077" s="6" t="s">
        <v>34</v>
      </c>
      <c r="I6077" s="8" t="s">
        <v>7625</v>
      </c>
      <c r="J6077" s="9">
        <v>1</v>
      </c>
      <c r="K6077" s="9">
        <v>304</v>
      </c>
      <c r="L6077" s="9">
        <v>2023</v>
      </c>
      <c r="M6077" s="8" t="s">
        <v>34615</v>
      </c>
      <c r="N6077" s="8" t="s">
        <v>243</v>
      </c>
      <c r="O6077" s="8" t="s">
        <v>758</v>
      </c>
      <c r="P6077" s="6" t="s">
        <v>51</v>
      </c>
      <c r="Q6077" s="8" t="s">
        <v>377</v>
      </c>
      <c r="R6077" s="10" t="s">
        <v>4167</v>
      </c>
      <c r="S6077" s="11" t="s">
        <v>34616</v>
      </c>
      <c r="T6077" s="6"/>
      <c r="U6077" s="15" t="str">
        <f>HYPERLINK("https://media.infra-m.ru/2126/2126508/cover/2126508.jpg", "Обложка")</f>
        <v>Обложка</v>
      </c>
      <c r="V6077" s="8" t="s">
        <v>6642</v>
      </c>
      <c r="W6077" s="6"/>
      <c r="X6077" s="6"/>
      <c r="Y6077" s="6"/>
      <c r="Z6077" s="6"/>
      <c r="AA6077" s="6" t="s">
        <v>86</v>
      </c>
      <c r="AB6077" s="8"/>
      <c r="AC6077" s="27">
        <v>9785160195445</v>
      </c>
    </row>
    <row r="6078" spans="1:29" s="4" customFormat="1" ht="51.9" customHeight="1" x14ac:dyDescent="0.2">
      <c r="A6078" s="5">
        <v>0</v>
      </c>
      <c r="B6078" s="6" t="s">
        <v>34617</v>
      </c>
      <c r="C6078" s="7">
        <v>1576.8</v>
      </c>
      <c r="D6078" s="8" t="s">
        <v>34618</v>
      </c>
      <c r="E6078" s="8" t="s">
        <v>34619</v>
      </c>
      <c r="F6078" s="8" t="s">
        <v>27425</v>
      </c>
      <c r="G6078" s="6" t="s">
        <v>118</v>
      </c>
      <c r="H6078" s="6" t="s">
        <v>34</v>
      </c>
      <c r="I6078" s="8" t="s">
        <v>2772</v>
      </c>
      <c r="J6078" s="9">
        <v>1</v>
      </c>
      <c r="K6078" s="9">
        <v>226</v>
      </c>
      <c r="L6078" s="9">
        <v>2026</v>
      </c>
      <c r="M6078" s="8" t="s">
        <v>34620</v>
      </c>
      <c r="N6078" s="8" t="s">
        <v>243</v>
      </c>
      <c r="O6078" s="8" t="s">
        <v>798</v>
      </c>
      <c r="P6078" s="6" t="s">
        <v>51</v>
      </c>
      <c r="Q6078" s="8" t="s">
        <v>52</v>
      </c>
      <c r="R6078" s="10" t="s">
        <v>6735</v>
      </c>
      <c r="S6078" s="11" t="s">
        <v>34621</v>
      </c>
      <c r="T6078" s="6"/>
      <c r="U6078" s="15" t="str">
        <f>HYPERLINK("https://media.infra-m.ru/2264/2264701/cover/2264701.jpg", "Обложка")</f>
        <v>Обложка</v>
      </c>
      <c r="V6078" s="8" t="s">
        <v>414</v>
      </c>
      <c r="W6078" s="6"/>
      <c r="X6078" s="6"/>
      <c r="Y6078" s="6"/>
      <c r="Z6078" s="6"/>
      <c r="AA6078" s="6" t="s">
        <v>1256</v>
      </c>
      <c r="AB6078" s="8"/>
      <c r="AC6078" s="27">
        <v>9785160186528</v>
      </c>
    </row>
    <row r="6079" spans="1:29" s="4" customFormat="1" ht="51.9" customHeight="1" x14ac:dyDescent="0.2">
      <c r="A6079" s="5">
        <v>0</v>
      </c>
      <c r="B6079" s="6" t="s">
        <v>34622</v>
      </c>
      <c r="C6079" s="7">
        <v>1624.8</v>
      </c>
      <c r="D6079" s="8" t="s">
        <v>34623</v>
      </c>
      <c r="E6079" s="8" t="s">
        <v>34624</v>
      </c>
      <c r="F6079" s="8" t="s">
        <v>34625</v>
      </c>
      <c r="G6079" s="6" t="s">
        <v>33</v>
      </c>
      <c r="H6079" s="6" t="s">
        <v>34</v>
      </c>
      <c r="I6079" s="8" t="s">
        <v>35</v>
      </c>
      <c r="J6079" s="9">
        <v>1</v>
      </c>
      <c r="K6079" s="9">
        <v>246</v>
      </c>
      <c r="L6079" s="9">
        <v>2026</v>
      </c>
      <c r="M6079" s="8" t="s">
        <v>34626</v>
      </c>
      <c r="N6079" s="8" t="s">
        <v>93</v>
      </c>
      <c r="O6079" s="8" t="s">
        <v>94</v>
      </c>
      <c r="P6079" s="6" t="s">
        <v>39</v>
      </c>
      <c r="Q6079" s="8" t="s">
        <v>40</v>
      </c>
      <c r="R6079" s="10" t="s">
        <v>34627</v>
      </c>
      <c r="S6079" s="11"/>
      <c r="T6079" s="6"/>
      <c r="U6079" s="15" t="str">
        <f>HYPERLINK("https://media.infra-m.ru/2210/2210247/cover/2210247.jpg", "Обложка")</f>
        <v>Обложка</v>
      </c>
      <c r="V6079" s="8" t="s">
        <v>5250</v>
      </c>
      <c r="W6079" s="6"/>
      <c r="X6079" s="6"/>
      <c r="Y6079" s="6"/>
      <c r="Z6079" s="6"/>
      <c r="AA6079" s="6" t="s">
        <v>148</v>
      </c>
      <c r="AB6079" s="8" t="s">
        <v>34628</v>
      </c>
      <c r="AC6079" s="27">
        <v>9785160174075</v>
      </c>
    </row>
    <row r="6080" spans="1:29" s="4" customFormat="1" ht="51.9" customHeight="1" x14ac:dyDescent="0.2">
      <c r="A6080" s="5">
        <v>0</v>
      </c>
      <c r="B6080" s="6" t="s">
        <v>34629</v>
      </c>
      <c r="C6080" s="7">
        <v>1972.8</v>
      </c>
      <c r="D6080" s="8" t="s">
        <v>34630</v>
      </c>
      <c r="E6080" s="8" t="s">
        <v>34631</v>
      </c>
      <c r="F6080" s="8" t="s">
        <v>34632</v>
      </c>
      <c r="G6080" s="6" t="s">
        <v>60</v>
      </c>
      <c r="H6080" s="6" t="s">
        <v>241</v>
      </c>
      <c r="I6080" s="8" t="s">
        <v>23395</v>
      </c>
      <c r="J6080" s="9">
        <v>1</v>
      </c>
      <c r="K6080" s="9">
        <v>364</v>
      </c>
      <c r="L6080" s="9">
        <v>2023</v>
      </c>
      <c r="M6080" s="8" t="s">
        <v>34633</v>
      </c>
      <c r="N6080" s="8" t="s">
        <v>37</v>
      </c>
      <c r="O6080" s="8" t="s">
        <v>280</v>
      </c>
      <c r="P6080" s="6" t="s">
        <v>306</v>
      </c>
      <c r="Q6080" s="8" t="s">
        <v>52</v>
      </c>
      <c r="R6080" s="10" t="s">
        <v>34634</v>
      </c>
      <c r="S6080" s="11" t="s">
        <v>34635</v>
      </c>
      <c r="T6080" s="6"/>
      <c r="U6080" s="15" t="str">
        <f>HYPERLINK("https://media.infra-m.ru/2006/2006827/cover/2006827.jpg", "Обложка")</f>
        <v>Обложка</v>
      </c>
      <c r="V6080" s="8" t="s">
        <v>247</v>
      </c>
      <c r="W6080" s="6"/>
      <c r="X6080" s="6"/>
      <c r="Y6080" s="6"/>
      <c r="Z6080" s="6"/>
      <c r="AA6080" s="6" t="s">
        <v>86</v>
      </c>
      <c r="AB6080" s="8"/>
      <c r="AC6080" s="27">
        <v>9785955805900</v>
      </c>
    </row>
    <row r="6081" spans="1:29" s="4" customFormat="1" ht="51.9" customHeight="1" x14ac:dyDescent="0.2">
      <c r="A6081" s="5">
        <v>0</v>
      </c>
      <c r="B6081" s="6" t="s">
        <v>34636</v>
      </c>
      <c r="C6081" s="7">
        <v>2040</v>
      </c>
      <c r="D6081" s="8" t="s">
        <v>34637</v>
      </c>
      <c r="E6081" s="8" t="s">
        <v>34638</v>
      </c>
      <c r="F6081" s="8" t="s">
        <v>15650</v>
      </c>
      <c r="G6081" s="6" t="s">
        <v>118</v>
      </c>
      <c r="H6081" s="6" t="s">
        <v>34</v>
      </c>
      <c r="I6081" s="8" t="s">
        <v>3119</v>
      </c>
      <c r="J6081" s="9">
        <v>1</v>
      </c>
      <c r="K6081" s="9">
        <v>294</v>
      </c>
      <c r="L6081" s="9">
        <v>2026</v>
      </c>
      <c r="M6081" s="8" t="s">
        <v>34639</v>
      </c>
      <c r="N6081" s="8" t="s">
        <v>37</v>
      </c>
      <c r="O6081" s="8" t="s">
        <v>280</v>
      </c>
      <c r="P6081" s="6" t="s">
        <v>306</v>
      </c>
      <c r="Q6081" s="8" t="s">
        <v>65</v>
      </c>
      <c r="R6081" s="10" t="s">
        <v>34640</v>
      </c>
      <c r="S6081" s="11" t="s">
        <v>34641</v>
      </c>
      <c r="T6081" s="6"/>
      <c r="U6081" s="15" t="str">
        <f>HYPERLINK("https://media.infra-m.ru/2260/2260345/cover/2260345.jpg", "Обложка")</f>
        <v>Обложка</v>
      </c>
      <c r="V6081" s="8" t="s">
        <v>3177</v>
      </c>
      <c r="W6081" s="6"/>
      <c r="X6081" s="6"/>
      <c r="Y6081" s="6"/>
      <c r="Z6081" s="6"/>
      <c r="AA6081" s="6" t="s">
        <v>148</v>
      </c>
      <c r="AB6081" s="8"/>
      <c r="AC6081" s="27">
        <v>9785160184586</v>
      </c>
    </row>
    <row r="6082" spans="1:29" s="4" customFormat="1" ht="51.9" customHeight="1" x14ac:dyDescent="0.2">
      <c r="A6082" s="5">
        <v>0</v>
      </c>
      <c r="B6082" s="6" t="s">
        <v>34642</v>
      </c>
      <c r="C6082" s="7">
        <v>2116.8000000000002</v>
      </c>
      <c r="D6082" s="8" t="s">
        <v>34643</v>
      </c>
      <c r="E6082" s="8" t="s">
        <v>34644</v>
      </c>
      <c r="F6082" s="8" t="s">
        <v>34645</v>
      </c>
      <c r="G6082" s="6" t="s">
        <v>60</v>
      </c>
      <c r="H6082" s="6" t="s">
        <v>34</v>
      </c>
      <c r="I6082" s="8" t="s">
        <v>504</v>
      </c>
      <c r="J6082" s="9">
        <v>1</v>
      </c>
      <c r="K6082" s="9">
        <v>384</v>
      </c>
      <c r="L6082" s="9">
        <v>2024</v>
      </c>
      <c r="M6082" s="8" t="s">
        <v>34646</v>
      </c>
      <c r="N6082" s="8" t="s">
        <v>37</v>
      </c>
      <c r="O6082" s="8" t="s">
        <v>280</v>
      </c>
      <c r="P6082" s="6" t="s">
        <v>51</v>
      </c>
      <c r="Q6082" s="8" t="s">
        <v>52</v>
      </c>
      <c r="R6082" s="10" t="s">
        <v>1993</v>
      </c>
      <c r="S6082" s="11"/>
      <c r="T6082" s="6"/>
      <c r="U6082" s="15" t="str">
        <f>HYPERLINK("https://media.infra-m.ru/2126/2126339/cover/2126339.jpg", "Обложка")</f>
        <v>Обложка</v>
      </c>
      <c r="V6082" s="8" t="s">
        <v>6700</v>
      </c>
      <c r="W6082" s="6"/>
      <c r="X6082" s="6"/>
      <c r="Y6082" s="6"/>
      <c r="Z6082" s="6"/>
      <c r="AA6082" s="6" t="s">
        <v>274</v>
      </c>
      <c r="AB6082" s="8"/>
      <c r="AC6082" s="27">
        <v>9785160056319</v>
      </c>
    </row>
    <row r="6083" spans="1:29" s="4" customFormat="1" ht="51.9" customHeight="1" x14ac:dyDescent="0.2">
      <c r="A6083" s="5">
        <v>0</v>
      </c>
      <c r="B6083" s="6" t="s">
        <v>34647</v>
      </c>
      <c r="C6083" s="13">
        <v>792</v>
      </c>
      <c r="D6083" s="8" t="s">
        <v>34648</v>
      </c>
      <c r="E6083" s="8" t="s">
        <v>34649</v>
      </c>
      <c r="F6083" s="8" t="s">
        <v>34437</v>
      </c>
      <c r="G6083" s="6" t="s">
        <v>33</v>
      </c>
      <c r="H6083" s="6" t="s">
        <v>34</v>
      </c>
      <c r="I6083" s="8" t="s">
        <v>35</v>
      </c>
      <c r="J6083" s="9">
        <v>1</v>
      </c>
      <c r="K6083" s="9">
        <v>128</v>
      </c>
      <c r="L6083" s="9">
        <v>2026</v>
      </c>
      <c r="M6083" s="8" t="s">
        <v>34650</v>
      </c>
      <c r="N6083" s="8" t="s">
        <v>93</v>
      </c>
      <c r="O6083" s="8" t="s">
        <v>94</v>
      </c>
      <c r="P6083" s="6" t="s">
        <v>39</v>
      </c>
      <c r="Q6083" s="8" t="s">
        <v>40</v>
      </c>
      <c r="R6083" s="10" t="s">
        <v>34651</v>
      </c>
      <c r="S6083" s="11"/>
      <c r="T6083" s="6"/>
      <c r="U6083" s="15" t="str">
        <f>HYPERLINK("https://media.infra-m.ru/2197/2197256/cover/2197256.jpg", "Обложка")</f>
        <v>Обложка</v>
      </c>
      <c r="V6083" s="8" t="s">
        <v>1599</v>
      </c>
      <c r="W6083" s="6"/>
      <c r="X6083" s="6"/>
      <c r="Y6083" s="6"/>
      <c r="Z6083" s="6"/>
      <c r="AA6083" s="6" t="s">
        <v>623</v>
      </c>
      <c r="AB6083" s="8"/>
      <c r="AC6083" s="27">
        <v>9785160124469</v>
      </c>
    </row>
    <row r="6084" spans="1:29" s="4" customFormat="1" ht="51.9" customHeight="1" x14ac:dyDescent="0.2">
      <c r="A6084" s="5">
        <v>0</v>
      </c>
      <c r="B6084" s="6" t="s">
        <v>34652</v>
      </c>
      <c r="C6084" s="7">
        <v>2008.8</v>
      </c>
      <c r="D6084" s="8" t="s">
        <v>34653</v>
      </c>
      <c r="E6084" s="8" t="s">
        <v>34654</v>
      </c>
      <c r="F6084" s="8" t="s">
        <v>34655</v>
      </c>
      <c r="G6084" s="6" t="s">
        <v>118</v>
      </c>
      <c r="H6084" s="6" t="s">
        <v>34</v>
      </c>
      <c r="I6084" s="8" t="s">
        <v>263</v>
      </c>
      <c r="J6084" s="9">
        <v>1</v>
      </c>
      <c r="K6084" s="9">
        <v>352</v>
      </c>
      <c r="L6084" s="9">
        <v>2024</v>
      </c>
      <c r="M6084" s="8" t="s">
        <v>34656</v>
      </c>
      <c r="N6084" s="8" t="s">
        <v>243</v>
      </c>
      <c r="O6084" s="8" t="s">
        <v>798</v>
      </c>
      <c r="P6084" s="6" t="s">
        <v>51</v>
      </c>
      <c r="Q6084" s="8" t="s">
        <v>265</v>
      </c>
      <c r="R6084" s="10" t="s">
        <v>34657</v>
      </c>
      <c r="S6084" s="11" t="s">
        <v>34658</v>
      </c>
      <c r="T6084" s="6"/>
      <c r="U6084" s="15" t="str">
        <f>HYPERLINK("https://media.infra-m.ru/2149/2149188/cover/2149188.jpg", "Обложка")</f>
        <v>Обложка</v>
      </c>
      <c r="V6084" s="8" t="s">
        <v>227</v>
      </c>
      <c r="W6084" s="6"/>
      <c r="X6084" s="6"/>
      <c r="Y6084" s="6"/>
      <c r="Z6084" s="6"/>
      <c r="AA6084" s="6" t="s">
        <v>1047</v>
      </c>
      <c r="AB6084" s="8"/>
      <c r="AC6084" s="27">
        <v>9785160154268</v>
      </c>
    </row>
    <row r="6085" spans="1:29" s="4" customFormat="1" ht="44.1" customHeight="1" x14ac:dyDescent="0.2">
      <c r="A6085" s="5">
        <v>0</v>
      </c>
      <c r="B6085" s="6" t="s">
        <v>34659</v>
      </c>
      <c r="C6085" s="7">
        <v>2232</v>
      </c>
      <c r="D6085" s="8" t="s">
        <v>34660</v>
      </c>
      <c r="E6085" s="8" t="s">
        <v>34661</v>
      </c>
      <c r="F6085" s="8" t="s">
        <v>34655</v>
      </c>
      <c r="G6085" s="6" t="s">
        <v>118</v>
      </c>
      <c r="H6085" s="6" t="s">
        <v>34</v>
      </c>
      <c r="I6085" s="8" t="s">
        <v>263</v>
      </c>
      <c r="J6085" s="9">
        <v>1</v>
      </c>
      <c r="K6085" s="9">
        <v>323</v>
      </c>
      <c r="L6085" s="9">
        <v>2026</v>
      </c>
      <c r="M6085" s="8" t="s">
        <v>34662</v>
      </c>
      <c r="N6085" s="8" t="s">
        <v>243</v>
      </c>
      <c r="O6085" s="8" t="s">
        <v>798</v>
      </c>
      <c r="P6085" s="6" t="s">
        <v>51</v>
      </c>
      <c r="Q6085" s="8" t="s">
        <v>265</v>
      </c>
      <c r="R6085" s="10" t="s">
        <v>34657</v>
      </c>
      <c r="S6085" s="11"/>
      <c r="T6085" s="6"/>
      <c r="U6085" s="15" t="str">
        <f>HYPERLINK("https://media.infra-m.ru/2221/2221466/cover/2221466.jpg", "Обложка")</f>
        <v>Обложка</v>
      </c>
      <c r="V6085" s="8" t="s">
        <v>227</v>
      </c>
      <c r="W6085" s="6"/>
      <c r="X6085" s="6"/>
      <c r="Y6085" s="6"/>
      <c r="Z6085" s="6"/>
      <c r="AA6085" s="6" t="s">
        <v>917</v>
      </c>
      <c r="AB6085" s="8"/>
      <c r="AC6085" s="27">
        <v>9785160193038</v>
      </c>
    </row>
    <row r="6086" spans="1:29" s="4" customFormat="1" ht="44.1" customHeight="1" x14ac:dyDescent="0.2">
      <c r="A6086" s="5">
        <v>0</v>
      </c>
      <c r="B6086" s="6" t="s">
        <v>34663</v>
      </c>
      <c r="C6086" s="7">
        <v>3456</v>
      </c>
      <c r="D6086" s="8" t="s">
        <v>34664</v>
      </c>
      <c r="E6086" s="8" t="s">
        <v>34665</v>
      </c>
      <c r="F6086" s="8" t="s">
        <v>34666</v>
      </c>
      <c r="G6086" s="6" t="s">
        <v>60</v>
      </c>
      <c r="H6086" s="6" t="s">
        <v>34</v>
      </c>
      <c r="I6086" s="8" t="s">
        <v>304</v>
      </c>
      <c r="J6086" s="9">
        <v>1</v>
      </c>
      <c r="K6086" s="9">
        <v>575</v>
      </c>
      <c r="L6086" s="9">
        <v>2025</v>
      </c>
      <c r="M6086" s="8" t="s">
        <v>34667</v>
      </c>
      <c r="N6086" s="8" t="s">
        <v>37</v>
      </c>
      <c r="O6086" s="8" t="s">
        <v>280</v>
      </c>
      <c r="P6086" s="6" t="s">
        <v>306</v>
      </c>
      <c r="Q6086" s="8" t="s">
        <v>65</v>
      </c>
      <c r="R6086" s="10" t="s">
        <v>34668</v>
      </c>
      <c r="S6086" s="11"/>
      <c r="T6086" s="6"/>
      <c r="U6086" s="15" t="str">
        <f>HYPERLINK("https://media.infra-m.ru/2016/2016339/cover/2016339.jpg", "Обложка")</f>
        <v>Обложка</v>
      </c>
      <c r="V6086" s="8" t="s">
        <v>247</v>
      </c>
      <c r="W6086" s="6"/>
      <c r="X6086" s="6"/>
      <c r="Y6086" s="6"/>
      <c r="Z6086" s="6"/>
      <c r="AA6086" s="6" t="s">
        <v>68</v>
      </c>
      <c r="AB6086" s="8" t="s">
        <v>2208</v>
      </c>
      <c r="AC6086" s="27">
        <v>9785160185088</v>
      </c>
    </row>
    <row r="6087" spans="1:29" s="4" customFormat="1" ht="42" customHeight="1" x14ac:dyDescent="0.2">
      <c r="A6087" s="5">
        <v>0</v>
      </c>
      <c r="B6087" s="6" t="s">
        <v>34669</v>
      </c>
      <c r="C6087" s="7">
        <v>1476</v>
      </c>
      <c r="D6087" s="8" t="s">
        <v>34670</v>
      </c>
      <c r="E6087" s="8" t="s">
        <v>34671</v>
      </c>
      <c r="F6087" s="8" t="s">
        <v>34672</v>
      </c>
      <c r="G6087" s="6" t="s">
        <v>118</v>
      </c>
      <c r="H6087" s="6" t="s">
        <v>34</v>
      </c>
      <c r="I6087" s="8" t="s">
        <v>35</v>
      </c>
      <c r="J6087" s="9">
        <v>1</v>
      </c>
      <c r="K6087" s="9">
        <v>267</v>
      </c>
      <c r="L6087" s="9">
        <v>2024</v>
      </c>
      <c r="M6087" s="8" t="s">
        <v>34673</v>
      </c>
      <c r="N6087" s="8" t="s">
        <v>37</v>
      </c>
      <c r="O6087" s="8" t="s">
        <v>280</v>
      </c>
      <c r="P6087" s="6" t="s">
        <v>39</v>
      </c>
      <c r="Q6087" s="8" t="s">
        <v>40</v>
      </c>
      <c r="R6087" s="10" t="s">
        <v>3013</v>
      </c>
      <c r="S6087" s="11"/>
      <c r="T6087" s="6" t="s">
        <v>97</v>
      </c>
      <c r="U6087" s="15" t="str">
        <f>HYPERLINK("https://media.infra-m.ru/2082/2082167/cover/2082167.jpg", "Обложка")</f>
        <v>Обложка</v>
      </c>
      <c r="V6087" s="8" t="s">
        <v>644</v>
      </c>
      <c r="W6087" s="6"/>
      <c r="X6087" s="6"/>
      <c r="Y6087" s="6"/>
      <c r="Z6087" s="6"/>
      <c r="AA6087" s="6" t="s">
        <v>274</v>
      </c>
      <c r="AB6087" s="8"/>
      <c r="AC6087" s="27">
        <v>9785160120119</v>
      </c>
    </row>
    <row r="6088" spans="1:29" s="4" customFormat="1" ht="51.9" customHeight="1" x14ac:dyDescent="0.2">
      <c r="A6088" s="5">
        <v>0</v>
      </c>
      <c r="B6088" s="6" t="s">
        <v>34674</v>
      </c>
      <c r="C6088" s="7">
        <v>1104</v>
      </c>
      <c r="D6088" s="8" t="s">
        <v>34675</v>
      </c>
      <c r="E6088" s="8" t="s">
        <v>34676</v>
      </c>
      <c r="F6088" s="8" t="s">
        <v>34677</v>
      </c>
      <c r="G6088" s="6" t="s">
        <v>33</v>
      </c>
      <c r="H6088" s="6" t="s">
        <v>34</v>
      </c>
      <c r="I6088" s="8" t="s">
        <v>35</v>
      </c>
      <c r="J6088" s="9">
        <v>1</v>
      </c>
      <c r="K6088" s="9">
        <v>199</v>
      </c>
      <c r="L6088" s="9">
        <v>2024</v>
      </c>
      <c r="M6088" s="8" t="s">
        <v>34678</v>
      </c>
      <c r="N6088" s="8" t="s">
        <v>37</v>
      </c>
      <c r="O6088" s="8" t="s">
        <v>233</v>
      </c>
      <c r="P6088" s="6" t="s">
        <v>39</v>
      </c>
      <c r="Q6088" s="8" t="s">
        <v>40</v>
      </c>
      <c r="R6088" s="10" t="s">
        <v>34679</v>
      </c>
      <c r="S6088" s="11"/>
      <c r="T6088" s="6"/>
      <c r="U6088" s="15" t="str">
        <f>HYPERLINK("https://media.infra-m.ru/2125/2125183/cover/2125183.jpg", "Обложка")</f>
        <v>Обложка</v>
      </c>
      <c r="V6088" s="8" t="s">
        <v>911</v>
      </c>
      <c r="W6088" s="6"/>
      <c r="X6088" s="6"/>
      <c r="Y6088" s="6"/>
      <c r="Z6088" s="6"/>
      <c r="AA6088" s="6" t="s">
        <v>43</v>
      </c>
      <c r="AB6088" s="8"/>
      <c r="AC6088" s="27">
        <v>9785160056852</v>
      </c>
    </row>
    <row r="6089" spans="1:29" s="4" customFormat="1" ht="51.9" customHeight="1" x14ac:dyDescent="0.2">
      <c r="A6089" s="5">
        <v>0</v>
      </c>
      <c r="B6089" s="6" t="s">
        <v>34680</v>
      </c>
      <c r="C6089" s="7">
        <v>1464</v>
      </c>
      <c r="D6089" s="8" t="s">
        <v>34681</v>
      </c>
      <c r="E6089" s="8" t="s">
        <v>34682</v>
      </c>
      <c r="F6089" s="8" t="s">
        <v>34683</v>
      </c>
      <c r="G6089" s="6" t="s">
        <v>33</v>
      </c>
      <c r="H6089" s="6" t="s">
        <v>34</v>
      </c>
      <c r="I6089" s="8" t="s">
        <v>253</v>
      </c>
      <c r="J6089" s="9">
        <v>1</v>
      </c>
      <c r="K6089" s="9">
        <v>221</v>
      </c>
      <c r="L6089" s="9">
        <v>2026</v>
      </c>
      <c r="M6089" s="8" t="s">
        <v>34684</v>
      </c>
      <c r="N6089" s="8" t="s">
        <v>37</v>
      </c>
      <c r="O6089" s="8" t="s">
        <v>233</v>
      </c>
      <c r="P6089" s="6" t="s">
        <v>306</v>
      </c>
      <c r="Q6089" s="8" t="s">
        <v>65</v>
      </c>
      <c r="R6089" s="10" t="s">
        <v>34685</v>
      </c>
      <c r="S6089" s="11" t="s">
        <v>5134</v>
      </c>
      <c r="T6089" s="6"/>
      <c r="U6089" s="15" t="str">
        <f>HYPERLINK("https://media.infra-m.ru/2239/2239819/cover/2239819.jpg", "Обложка")</f>
        <v>Обложка</v>
      </c>
      <c r="V6089" s="8" t="s">
        <v>396</v>
      </c>
      <c r="W6089" s="6"/>
      <c r="X6089" s="6"/>
      <c r="Y6089" s="6"/>
      <c r="Z6089" s="6"/>
      <c r="AA6089" s="6" t="s">
        <v>623</v>
      </c>
      <c r="AB6089" s="8"/>
      <c r="AC6089" s="27">
        <v>9785160122724</v>
      </c>
    </row>
    <row r="6090" spans="1:29" s="4" customFormat="1" ht="42" customHeight="1" x14ac:dyDescent="0.2">
      <c r="A6090" s="5">
        <v>0</v>
      </c>
      <c r="B6090" s="6" t="s">
        <v>34686</v>
      </c>
      <c r="C6090" s="7">
        <v>3592.8</v>
      </c>
      <c r="D6090" s="8" t="s">
        <v>34687</v>
      </c>
      <c r="E6090" s="8" t="s">
        <v>34688</v>
      </c>
      <c r="F6090" s="8" t="s">
        <v>34689</v>
      </c>
      <c r="G6090" s="6" t="s">
        <v>60</v>
      </c>
      <c r="H6090" s="6" t="s">
        <v>34</v>
      </c>
      <c r="I6090" s="8" t="s">
        <v>253</v>
      </c>
      <c r="J6090" s="9">
        <v>1</v>
      </c>
      <c r="K6090" s="9">
        <v>581</v>
      </c>
      <c r="L6090" s="9">
        <v>2025</v>
      </c>
      <c r="M6090" s="8" t="s">
        <v>34690</v>
      </c>
      <c r="N6090" s="8" t="s">
        <v>243</v>
      </c>
      <c r="O6090" s="8" t="s">
        <v>758</v>
      </c>
      <c r="P6090" s="6" t="s">
        <v>51</v>
      </c>
      <c r="Q6090" s="8" t="s">
        <v>52</v>
      </c>
      <c r="R6090" s="10" t="s">
        <v>34691</v>
      </c>
      <c r="S6090" s="11"/>
      <c r="T6090" s="6"/>
      <c r="U6090" s="15" t="str">
        <f>HYPERLINK("https://media.infra-m.ru/2194/2194355/cover/2194355.jpg", "Обложка")</f>
        <v>Обложка</v>
      </c>
      <c r="V6090" s="8" t="s">
        <v>704</v>
      </c>
      <c r="W6090" s="6"/>
      <c r="X6090" s="6"/>
      <c r="Y6090" s="6"/>
      <c r="Z6090" s="6"/>
      <c r="AA6090" s="6" t="s">
        <v>248</v>
      </c>
      <c r="AB6090" s="8"/>
      <c r="AC6090" s="27">
        <v>9785160167640</v>
      </c>
    </row>
    <row r="6091" spans="1:29" s="4" customFormat="1" ht="51.9" customHeight="1" x14ac:dyDescent="0.2">
      <c r="A6091" s="5">
        <v>0</v>
      </c>
      <c r="B6091" s="6" t="s">
        <v>34692</v>
      </c>
      <c r="C6091" s="7">
        <v>2696.4</v>
      </c>
      <c r="D6091" s="8" t="s">
        <v>34693</v>
      </c>
      <c r="E6091" s="8" t="s">
        <v>34694</v>
      </c>
      <c r="F6091" s="8" t="s">
        <v>34695</v>
      </c>
      <c r="G6091" s="6" t="s">
        <v>60</v>
      </c>
      <c r="H6091" s="6" t="s">
        <v>48</v>
      </c>
      <c r="I6091" s="8" t="s">
        <v>271</v>
      </c>
      <c r="J6091" s="9">
        <v>7</v>
      </c>
      <c r="K6091" s="9">
        <v>336</v>
      </c>
      <c r="L6091" s="9">
        <v>2026</v>
      </c>
      <c r="M6091" s="8" t="s">
        <v>34696</v>
      </c>
      <c r="N6091" s="8" t="s">
        <v>243</v>
      </c>
      <c r="O6091" s="8" t="s">
        <v>758</v>
      </c>
      <c r="P6091" s="6" t="s">
        <v>51</v>
      </c>
      <c r="Q6091" s="8" t="s">
        <v>52</v>
      </c>
      <c r="R6091" s="10" t="s">
        <v>4167</v>
      </c>
      <c r="S6091" s="11" t="s">
        <v>34697</v>
      </c>
      <c r="T6091" s="6"/>
      <c r="U6091" s="15" t="str">
        <f>HYPERLINK("https://media.infra-m.ru/2194/2194367/cover/2194367.jpg", "Обложка")</f>
        <v>Обложка</v>
      </c>
      <c r="V6091" s="8" t="s">
        <v>704</v>
      </c>
      <c r="W6091" s="6"/>
      <c r="X6091" s="6"/>
      <c r="Y6091" s="6"/>
      <c r="Z6091" s="6"/>
      <c r="AA6091" s="6" t="s">
        <v>248</v>
      </c>
      <c r="AB6091" s="8"/>
      <c r="AC6091" s="27">
        <v>9785911348458</v>
      </c>
    </row>
    <row r="6092" spans="1:29" s="4" customFormat="1" ht="51.9" customHeight="1" x14ac:dyDescent="0.2">
      <c r="A6092" s="5">
        <v>0</v>
      </c>
      <c r="B6092" s="6" t="s">
        <v>34698</v>
      </c>
      <c r="C6092" s="7">
        <v>1536</v>
      </c>
      <c r="D6092" s="8" t="s">
        <v>34699</v>
      </c>
      <c r="E6092" s="8" t="s">
        <v>34700</v>
      </c>
      <c r="F6092" s="8" t="s">
        <v>34701</v>
      </c>
      <c r="G6092" s="6" t="s">
        <v>60</v>
      </c>
      <c r="H6092" s="6" t="s">
        <v>34</v>
      </c>
      <c r="I6092" s="8" t="s">
        <v>1248</v>
      </c>
      <c r="J6092" s="9">
        <v>1</v>
      </c>
      <c r="K6092" s="9">
        <v>253</v>
      </c>
      <c r="L6092" s="9">
        <v>2025</v>
      </c>
      <c r="M6092" s="8" t="s">
        <v>34702</v>
      </c>
      <c r="N6092" s="8" t="s">
        <v>37</v>
      </c>
      <c r="O6092" s="8" t="s">
        <v>280</v>
      </c>
      <c r="P6092" s="6" t="s">
        <v>51</v>
      </c>
      <c r="Q6092" s="8" t="s">
        <v>52</v>
      </c>
      <c r="R6092" s="10" t="s">
        <v>34703</v>
      </c>
      <c r="S6092" s="11"/>
      <c r="T6092" s="6"/>
      <c r="U6092" s="15" t="str">
        <f>HYPERLINK("https://media.infra-m.ru/2167/2167522/cover/2167522.jpg", "Обложка")</f>
        <v>Обложка</v>
      </c>
      <c r="V6092" s="8" t="s">
        <v>1083</v>
      </c>
      <c r="W6092" s="6"/>
      <c r="X6092" s="6"/>
      <c r="Y6092" s="6"/>
      <c r="Z6092" s="6"/>
      <c r="AA6092" s="6" t="s">
        <v>68</v>
      </c>
      <c r="AB6092" s="8"/>
      <c r="AC6092" s="27">
        <v>9785160202785</v>
      </c>
    </row>
    <row r="6093" spans="1:29" s="4" customFormat="1" ht="51.9" customHeight="1" x14ac:dyDescent="0.2">
      <c r="A6093" s="5">
        <v>0</v>
      </c>
      <c r="B6093" s="6" t="s">
        <v>34704</v>
      </c>
      <c r="C6093" s="7">
        <v>2860.8</v>
      </c>
      <c r="D6093" s="8" t="s">
        <v>34705</v>
      </c>
      <c r="E6093" s="8" t="s">
        <v>34706</v>
      </c>
      <c r="F6093" s="8" t="s">
        <v>34707</v>
      </c>
      <c r="G6093" s="6" t="s">
        <v>60</v>
      </c>
      <c r="H6093" s="6" t="s">
        <v>34</v>
      </c>
      <c r="I6093" s="8" t="s">
        <v>253</v>
      </c>
      <c r="J6093" s="9">
        <v>1</v>
      </c>
      <c r="K6093" s="9">
        <v>433</v>
      </c>
      <c r="L6093" s="9">
        <v>2026</v>
      </c>
      <c r="M6093" s="8" t="s">
        <v>34708</v>
      </c>
      <c r="N6093" s="8" t="s">
        <v>243</v>
      </c>
      <c r="O6093" s="8" t="s">
        <v>385</v>
      </c>
      <c r="P6093" s="6" t="s">
        <v>306</v>
      </c>
      <c r="Q6093" s="8" t="s">
        <v>52</v>
      </c>
      <c r="R6093" s="10" t="s">
        <v>19712</v>
      </c>
      <c r="S6093" s="11" t="s">
        <v>34709</v>
      </c>
      <c r="T6093" s="6"/>
      <c r="U6093" s="15" t="str">
        <f>HYPERLINK("https://media.infra-m.ru/2224/2224173/cover/2224173.jpg", "Обложка")</f>
        <v>Обложка</v>
      </c>
      <c r="V6093" s="8" t="s">
        <v>2427</v>
      </c>
      <c r="W6093" s="6"/>
      <c r="X6093" s="6"/>
      <c r="Y6093" s="6"/>
      <c r="Z6093" s="6"/>
      <c r="AA6093" s="6" t="s">
        <v>274</v>
      </c>
      <c r="AB6093" s="8"/>
      <c r="AC6093" s="27">
        <v>9785160192284</v>
      </c>
    </row>
    <row r="6094" spans="1:29" s="4" customFormat="1" ht="51.9" customHeight="1" x14ac:dyDescent="0.2">
      <c r="A6094" s="5">
        <v>0</v>
      </c>
      <c r="B6094" s="6" t="s">
        <v>34710</v>
      </c>
      <c r="C6094" s="7">
        <v>2512.8000000000002</v>
      </c>
      <c r="D6094" s="8" t="s">
        <v>34711</v>
      </c>
      <c r="E6094" s="8" t="s">
        <v>34706</v>
      </c>
      <c r="F6094" s="8" t="s">
        <v>34712</v>
      </c>
      <c r="G6094" s="6" t="s">
        <v>118</v>
      </c>
      <c r="H6094" s="6" t="s">
        <v>34</v>
      </c>
      <c r="I6094" s="8" t="s">
        <v>253</v>
      </c>
      <c r="J6094" s="9">
        <v>1</v>
      </c>
      <c r="K6094" s="9">
        <v>382</v>
      </c>
      <c r="L6094" s="9">
        <v>2026</v>
      </c>
      <c r="M6094" s="8" t="s">
        <v>34713</v>
      </c>
      <c r="N6094" s="8" t="s">
        <v>243</v>
      </c>
      <c r="O6094" s="8" t="s">
        <v>385</v>
      </c>
      <c r="P6094" s="6" t="s">
        <v>51</v>
      </c>
      <c r="Q6094" s="8" t="s">
        <v>65</v>
      </c>
      <c r="R6094" s="10" t="s">
        <v>34714</v>
      </c>
      <c r="S6094" s="11" t="s">
        <v>34715</v>
      </c>
      <c r="T6094" s="6"/>
      <c r="U6094" s="15" t="str">
        <f>HYPERLINK("https://media.infra-m.ru/2238/2238511/cover/2238511.jpg", "Обложка")</f>
        <v>Обложка</v>
      </c>
      <c r="V6094" s="8" t="s">
        <v>23835</v>
      </c>
      <c r="W6094" s="6"/>
      <c r="X6094" s="6"/>
      <c r="Y6094" s="6"/>
      <c r="Z6094" s="6"/>
      <c r="AA6094" s="6" t="s">
        <v>55</v>
      </c>
      <c r="AB6094" s="8"/>
      <c r="AC6094" s="27">
        <v>9785160185842</v>
      </c>
    </row>
    <row r="6095" spans="1:29" s="4" customFormat="1" ht="51.9" customHeight="1" x14ac:dyDescent="0.2">
      <c r="A6095" s="5">
        <v>0</v>
      </c>
      <c r="B6095" s="6" t="s">
        <v>34716</v>
      </c>
      <c r="C6095" s="7">
        <v>1788</v>
      </c>
      <c r="D6095" s="8" t="s">
        <v>34717</v>
      </c>
      <c r="E6095" s="8" t="s">
        <v>34718</v>
      </c>
      <c r="F6095" s="8" t="s">
        <v>12232</v>
      </c>
      <c r="G6095" s="6" t="s">
        <v>60</v>
      </c>
      <c r="H6095" s="6" t="s">
        <v>34</v>
      </c>
      <c r="I6095" s="8" t="s">
        <v>271</v>
      </c>
      <c r="J6095" s="9">
        <v>1</v>
      </c>
      <c r="K6095" s="9">
        <v>374</v>
      </c>
      <c r="L6095" s="9">
        <v>2022</v>
      </c>
      <c r="M6095" s="8" t="s">
        <v>34719</v>
      </c>
      <c r="N6095" s="8" t="s">
        <v>37</v>
      </c>
      <c r="O6095" s="8" t="s">
        <v>280</v>
      </c>
      <c r="P6095" s="6" t="s">
        <v>306</v>
      </c>
      <c r="Q6095" s="8" t="s">
        <v>52</v>
      </c>
      <c r="R6095" s="10" t="s">
        <v>2053</v>
      </c>
      <c r="S6095" s="11" t="s">
        <v>6607</v>
      </c>
      <c r="T6095" s="6"/>
      <c r="U6095" s="15" t="str">
        <f>HYPERLINK("https://media.infra-m.ru/1077/1077327/cover/1077327.jpg", "Обложка")</f>
        <v>Обложка</v>
      </c>
      <c r="V6095" s="8" t="s">
        <v>12235</v>
      </c>
      <c r="W6095" s="6"/>
      <c r="X6095" s="6"/>
      <c r="Y6095" s="6"/>
      <c r="Z6095" s="6"/>
      <c r="AA6095" s="6" t="s">
        <v>148</v>
      </c>
      <c r="AB6095" s="8"/>
      <c r="AC6095" s="27">
        <v>9785160160054</v>
      </c>
    </row>
    <row r="6096" spans="1:29" s="4" customFormat="1" ht="51.9" customHeight="1" x14ac:dyDescent="0.2">
      <c r="A6096" s="5">
        <v>0</v>
      </c>
      <c r="B6096" s="6" t="s">
        <v>34720</v>
      </c>
      <c r="C6096" s="7">
        <v>1788</v>
      </c>
      <c r="D6096" s="8" t="s">
        <v>34721</v>
      </c>
      <c r="E6096" s="8" t="s">
        <v>34722</v>
      </c>
      <c r="F6096" s="8" t="s">
        <v>34723</v>
      </c>
      <c r="G6096" s="6" t="s">
        <v>118</v>
      </c>
      <c r="H6096" s="6" t="s">
        <v>34</v>
      </c>
      <c r="I6096" s="8" t="s">
        <v>253</v>
      </c>
      <c r="J6096" s="9">
        <v>1</v>
      </c>
      <c r="K6096" s="9">
        <v>256</v>
      </c>
      <c r="L6096" s="9">
        <v>2026</v>
      </c>
      <c r="M6096" s="8" t="s">
        <v>34724</v>
      </c>
      <c r="N6096" s="8" t="s">
        <v>243</v>
      </c>
      <c r="O6096" s="8" t="s">
        <v>758</v>
      </c>
      <c r="P6096" s="6" t="s">
        <v>306</v>
      </c>
      <c r="Q6096" s="8" t="s">
        <v>52</v>
      </c>
      <c r="R6096" s="10" t="s">
        <v>34725</v>
      </c>
      <c r="S6096" s="11" t="s">
        <v>34726</v>
      </c>
      <c r="T6096" s="6"/>
      <c r="U6096" s="15" t="str">
        <f>HYPERLINK("https://media.infra-m.ru/2262/2262006/cover/2262006.jpg", "Обложка")</f>
        <v>Обложка</v>
      </c>
      <c r="V6096" s="8" t="s">
        <v>2475</v>
      </c>
      <c r="W6096" s="6"/>
      <c r="X6096" s="6"/>
      <c r="Y6096" s="6"/>
      <c r="Z6096" s="6"/>
      <c r="AA6096" s="6" t="s">
        <v>1303</v>
      </c>
      <c r="AB6096" s="8"/>
      <c r="AC6096" s="27">
        <v>9785160223209</v>
      </c>
    </row>
    <row r="6097" spans="1:29" s="4" customFormat="1" ht="51.9" customHeight="1" x14ac:dyDescent="0.2">
      <c r="A6097" s="5">
        <v>0</v>
      </c>
      <c r="B6097" s="6" t="s">
        <v>34727</v>
      </c>
      <c r="C6097" s="7">
        <v>1068</v>
      </c>
      <c r="D6097" s="8" t="s">
        <v>34728</v>
      </c>
      <c r="E6097" s="8" t="s">
        <v>34729</v>
      </c>
      <c r="F6097" s="8" t="s">
        <v>34730</v>
      </c>
      <c r="G6097" s="6" t="s">
        <v>118</v>
      </c>
      <c r="H6097" s="6" t="s">
        <v>34</v>
      </c>
      <c r="I6097" s="8" t="s">
        <v>271</v>
      </c>
      <c r="J6097" s="9">
        <v>1</v>
      </c>
      <c r="K6097" s="9">
        <v>248</v>
      </c>
      <c r="L6097" s="9">
        <v>2021</v>
      </c>
      <c r="M6097" s="8" t="s">
        <v>34731</v>
      </c>
      <c r="N6097" s="8" t="s">
        <v>243</v>
      </c>
      <c r="O6097" s="8" t="s">
        <v>758</v>
      </c>
      <c r="P6097" s="6" t="s">
        <v>306</v>
      </c>
      <c r="Q6097" s="8" t="s">
        <v>52</v>
      </c>
      <c r="R6097" s="10" t="s">
        <v>34725</v>
      </c>
      <c r="S6097" s="11" t="s">
        <v>34732</v>
      </c>
      <c r="T6097" s="6"/>
      <c r="U6097" s="15" t="str">
        <f>HYPERLINK("https://media.infra-m.ru/1233/1233172/cover/1233172.jpg", "Обложка")</f>
        <v>Обложка</v>
      </c>
      <c r="V6097" s="8" t="s">
        <v>2475</v>
      </c>
      <c r="W6097" s="6"/>
      <c r="X6097" s="6"/>
      <c r="Y6097" s="6"/>
      <c r="Z6097" s="6"/>
      <c r="AA6097" s="6" t="s">
        <v>248</v>
      </c>
      <c r="AB6097" s="8"/>
      <c r="AC6097" s="27">
        <v>9785160089812</v>
      </c>
    </row>
    <row r="6098" spans="1:29" s="4" customFormat="1" ht="51.9" customHeight="1" x14ac:dyDescent="0.2">
      <c r="A6098" s="5">
        <v>0</v>
      </c>
      <c r="B6098" s="6" t="s">
        <v>34733</v>
      </c>
      <c r="C6098" s="7">
        <v>2368.8000000000002</v>
      </c>
      <c r="D6098" s="8" t="s">
        <v>34734</v>
      </c>
      <c r="E6098" s="8" t="s">
        <v>34735</v>
      </c>
      <c r="F6098" s="8" t="s">
        <v>26539</v>
      </c>
      <c r="G6098" s="6" t="s">
        <v>118</v>
      </c>
      <c r="H6098" s="6" t="s">
        <v>34</v>
      </c>
      <c r="I6098" s="8" t="s">
        <v>271</v>
      </c>
      <c r="J6098" s="9">
        <v>1</v>
      </c>
      <c r="K6098" s="9">
        <v>395</v>
      </c>
      <c r="L6098" s="9">
        <v>2025</v>
      </c>
      <c r="M6098" s="8" t="s">
        <v>34736</v>
      </c>
      <c r="N6098" s="8" t="s">
        <v>37</v>
      </c>
      <c r="O6098" s="8" t="s">
        <v>280</v>
      </c>
      <c r="P6098" s="6" t="s">
        <v>306</v>
      </c>
      <c r="Q6098" s="8" t="s">
        <v>52</v>
      </c>
      <c r="R6098" s="10" t="s">
        <v>34737</v>
      </c>
      <c r="S6098" s="11" t="s">
        <v>34738</v>
      </c>
      <c r="T6098" s="6" t="s">
        <v>97</v>
      </c>
      <c r="U6098" s="15" t="str">
        <f>HYPERLINK("https://media.infra-m.ru/2188/2188719/cover/2188719.jpg", "Обложка")</f>
        <v>Обложка</v>
      </c>
      <c r="V6098" s="8" t="s">
        <v>2446</v>
      </c>
      <c r="W6098" s="6"/>
      <c r="X6098" s="6" t="s">
        <v>24</v>
      </c>
      <c r="Y6098" s="6"/>
      <c r="Z6098" s="6"/>
      <c r="AA6098" s="6" t="s">
        <v>874</v>
      </c>
      <c r="AB6098" s="8"/>
      <c r="AC6098" s="27">
        <v>9785160096100</v>
      </c>
    </row>
    <row r="6099" spans="1:29" s="4" customFormat="1" ht="51.9" customHeight="1" x14ac:dyDescent="0.2">
      <c r="A6099" s="5">
        <v>0</v>
      </c>
      <c r="B6099" s="6" t="s">
        <v>34739</v>
      </c>
      <c r="C6099" s="7">
        <v>2452.8000000000002</v>
      </c>
      <c r="D6099" s="8" t="s">
        <v>34740</v>
      </c>
      <c r="E6099" s="8" t="s">
        <v>34741</v>
      </c>
      <c r="F6099" s="8" t="s">
        <v>34742</v>
      </c>
      <c r="G6099" s="6" t="s">
        <v>60</v>
      </c>
      <c r="H6099" s="6" t="s">
        <v>34</v>
      </c>
      <c r="I6099" s="8" t="s">
        <v>271</v>
      </c>
      <c r="J6099" s="9">
        <v>1</v>
      </c>
      <c r="K6099" s="9">
        <v>352</v>
      </c>
      <c r="L6099" s="9">
        <v>2026</v>
      </c>
      <c r="M6099" s="8" t="s">
        <v>34743</v>
      </c>
      <c r="N6099" s="8" t="s">
        <v>37</v>
      </c>
      <c r="O6099" s="8" t="s">
        <v>280</v>
      </c>
      <c r="P6099" s="6" t="s">
        <v>306</v>
      </c>
      <c r="Q6099" s="8" t="s">
        <v>52</v>
      </c>
      <c r="R6099" s="10" t="s">
        <v>2237</v>
      </c>
      <c r="S6099" s="11" t="s">
        <v>34744</v>
      </c>
      <c r="T6099" s="6"/>
      <c r="U6099" s="15" t="str">
        <f>HYPERLINK("https://media.infra-m.ru/2260/2260409/cover/2260409.jpg", "Обложка")</f>
        <v>Обложка</v>
      </c>
      <c r="V6099" s="8" t="s">
        <v>1505</v>
      </c>
      <c r="W6099" s="6"/>
      <c r="X6099" s="6"/>
      <c r="Y6099" s="6"/>
      <c r="Z6099" s="6"/>
      <c r="AA6099" s="6" t="s">
        <v>779</v>
      </c>
      <c r="AB6099" s="8"/>
      <c r="AC6099" s="27">
        <v>9785160109657</v>
      </c>
    </row>
    <row r="6100" spans="1:29" s="4" customFormat="1" ht="42" customHeight="1" x14ac:dyDescent="0.2">
      <c r="A6100" s="5">
        <v>0</v>
      </c>
      <c r="B6100" s="6" t="s">
        <v>34745</v>
      </c>
      <c r="C6100" s="7">
        <v>2668.8</v>
      </c>
      <c r="D6100" s="8" t="s">
        <v>34746</v>
      </c>
      <c r="E6100" s="8" t="s">
        <v>34747</v>
      </c>
      <c r="F6100" s="8" t="s">
        <v>34748</v>
      </c>
      <c r="G6100" s="6" t="s">
        <v>60</v>
      </c>
      <c r="H6100" s="6" t="s">
        <v>34</v>
      </c>
      <c r="I6100" s="8" t="s">
        <v>253</v>
      </c>
      <c r="J6100" s="9">
        <v>1</v>
      </c>
      <c r="K6100" s="9">
        <v>424</v>
      </c>
      <c r="L6100" s="9">
        <v>2027</v>
      </c>
      <c r="M6100" s="8" t="s">
        <v>34749</v>
      </c>
      <c r="N6100" s="8" t="s">
        <v>37</v>
      </c>
      <c r="O6100" s="8" t="s">
        <v>280</v>
      </c>
      <c r="P6100" s="6" t="s">
        <v>306</v>
      </c>
      <c r="Q6100" s="8" t="s">
        <v>52</v>
      </c>
      <c r="R6100" s="10" t="s">
        <v>2134</v>
      </c>
      <c r="S6100" s="11"/>
      <c r="T6100" s="6"/>
      <c r="U6100" s="15" t="str">
        <f>HYPERLINK("https://media.infra-m.ru/2257/2257171/cover/2257171.jpg", "Обложка")</f>
        <v>Обложка</v>
      </c>
      <c r="V6100" s="8" t="s">
        <v>16903</v>
      </c>
      <c r="W6100" s="6"/>
      <c r="X6100" s="6"/>
      <c r="Y6100" s="6"/>
      <c r="Z6100" s="6"/>
      <c r="AA6100" s="6" t="s">
        <v>76</v>
      </c>
      <c r="AB6100" s="8"/>
      <c r="AC6100" s="27">
        <v>9785160167411</v>
      </c>
    </row>
    <row r="6101" spans="1:29" s="4" customFormat="1" ht="51.9" customHeight="1" x14ac:dyDescent="0.2">
      <c r="A6101" s="5">
        <v>0</v>
      </c>
      <c r="B6101" s="6" t="s">
        <v>34750</v>
      </c>
      <c r="C6101" s="7">
        <v>4936.8</v>
      </c>
      <c r="D6101" s="8" t="s">
        <v>34751</v>
      </c>
      <c r="E6101" s="8" t="s">
        <v>34752</v>
      </c>
      <c r="F6101" s="8" t="s">
        <v>34748</v>
      </c>
      <c r="G6101" s="6" t="s">
        <v>60</v>
      </c>
      <c r="H6101" s="6" t="s">
        <v>34</v>
      </c>
      <c r="I6101" s="8" t="s">
        <v>253</v>
      </c>
      <c r="J6101" s="9">
        <v>1</v>
      </c>
      <c r="K6101" s="9">
        <v>749</v>
      </c>
      <c r="L6101" s="9">
        <v>2027</v>
      </c>
      <c r="M6101" s="8" t="s">
        <v>34753</v>
      </c>
      <c r="N6101" s="8" t="s">
        <v>37</v>
      </c>
      <c r="O6101" s="8" t="s">
        <v>280</v>
      </c>
      <c r="P6101" s="6" t="s">
        <v>306</v>
      </c>
      <c r="Q6101" s="8" t="s">
        <v>52</v>
      </c>
      <c r="R6101" s="10" t="s">
        <v>34754</v>
      </c>
      <c r="S6101" s="11"/>
      <c r="T6101" s="6"/>
      <c r="U6101" s="15" t="str">
        <f>HYPERLINK("https://media.infra-m.ru/2257/2257172/cover/2257172.jpg", "Обложка")</f>
        <v>Обложка</v>
      </c>
      <c r="V6101" s="8" t="s">
        <v>16903</v>
      </c>
      <c r="W6101" s="6"/>
      <c r="X6101" s="6"/>
      <c r="Y6101" s="6"/>
      <c r="Z6101" s="6"/>
      <c r="AA6101" s="6" t="s">
        <v>68</v>
      </c>
      <c r="AB6101" s="8"/>
      <c r="AC6101" s="27">
        <v>9785160167435</v>
      </c>
    </row>
    <row r="6102" spans="1:29" s="4" customFormat="1" ht="42" customHeight="1" x14ac:dyDescent="0.2">
      <c r="A6102" s="5">
        <v>0</v>
      </c>
      <c r="B6102" s="6" t="s">
        <v>34755</v>
      </c>
      <c r="C6102" s="7">
        <v>1792.8</v>
      </c>
      <c r="D6102" s="8" t="s">
        <v>34756</v>
      </c>
      <c r="E6102" s="8" t="s">
        <v>34757</v>
      </c>
      <c r="F6102" s="8" t="s">
        <v>34758</v>
      </c>
      <c r="G6102" s="6" t="s">
        <v>60</v>
      </c>
      <c r="H6102" s="6" t="s">
        <v>1795</v>
      </c>
      <c r="I6102" s="8"/>
      <c r="J6102" s="9">
        <v>1</v>
      </c>
      <c r="K6102" s="9">
        <v>272</v>
      </c>
      <c r="L6102" s="9">
        <v>2026</v>
      </c>
      <c r="M6102" s="8" t="s">
        <v>34759</v>
      </c>
      <c r="N6102" s="8" t="s">
        <v>37</v>
      </c>
      <c r="O6102" s="8" t="s">
        <v>280</v>
      </c>
      <c r="P6102" s="6" t="s">
        <v>51</v>
      </c>
      <c r="Q6102" s="8" t="s">
        <v>52</v>
      </c>
      <c r="R6102" s="10" t="s">
        <v>34760</v>
      </c>
      <c r="S6102" s="11"/>
      <c r="T6102" s="6"/>
      <c r="U6102" s="15" t="str">
        <f>HYPERLINK("https://media.infra-m.ru/2238/2238476/cover/2238476.jpg", "Обложка")</f>
        <v>Обложка</v>
      </c>
      <c r="V6102" s="8" t="s">
        <v>1505</v>
      </c>
      <c r="W6102" s="6"/>
      <c r="X6102" s="6"/>
      <c r="Y6102" s="6"/>
      <c r="Z6102" s="6"/>
      <c r="AA6102" s="6" t="s">
        <v>55</v>
      </c>
      <c r="AB6102" s="8"/>
      <c r="AC6102" s="27">
        <v>9785982813213</v>
      </c>
    </row>
    <row r="6103" spans="1:29" s="4" customFormat="1" ht="51.9" customHeight="1" x14ac:dyDescent="0.2">
      <c r="A6103" s="5">
        <v>0</v>
      </c>
      <c r="B6103" s="6" t="s">
        <v>34761</v>
      </c>
      <c r="C6103" s="7">
        <v>2716.8</v>
      </c>
      <c r="D6103" s="8" t="s">
        <v>34762</v>
      </c>
      <c r="E6103" s="8" t="s">
        <v>34763</v>
      </c>
      <c r="F6103" s="8" t="s">
        <v>34764</v>
      </c>
      <c r="G6103" s="6" t="s">
        <v>60</v>
      </c>
      <c r="H6103" s="6" t="s">
        <v>34</v>
      </c>
      <c r="I6103" s="8" t="s">
        <v>271</v>
      </c>
      <c r="J6103" s="9">
        <v>1</v>
      </c>
      <c r="K6103" s="9">
        <v>412</v>
      </c>
      <c r="L6103" s="9">
        <v>2026</v>
      </c>
      <c r="M6103" s="8" t="s">
        <v>34765</v>
      </c>
      <c r="N6103" s="8" t="s">
        <v>37</v>
      </c>
      <c r="O6103" s="8" t="s">
        <v>280</v>
      </c>
      <c r="P6103" s="6" t="s">
        <v>306</v>
      </c>
      <c r="Q6103" s="8" t="s">
        <v>52</v>
      </c>
      <c r="R6103" s="10" t="s">
        <v>357</v>
      </c>
      <c r="S6103" s="11" t="s">
        <v>34766</v>
      </c>
      <c r="T6103" s="6" t="s">
        <v>97</v>
      </c>
      <c r="U6103" s="15" t="str">
        <f>HYPERLINK("https://media.infra-m.ru/2237/2237000/cover/2237000.jpg", "Обложка")</f>
        <v>Обложка</v>
      </c>
      <c r="V6103" s="8" t="s">
        <v>396</v>
      </c>
      <c r="W6103" s="6"/>
      <c r="X6103" s="6"/>
      <c r="Y6103" s="6"/>
      <c r="Z6103" s="6"/>
      <c r="AA6103" s="6" t="s">
        <v>859</v>
      </c>
      <c r="AB6103" s="8"/>
      <c r="AC6103" s="27">
        <v>9785160062037</v>
      </c>
    </row>
    <row r="6104" spans="1:29" s="4" customFormat="1" ht="51.9" customHeight="1" x14ac:dyDescent="0.2">
      <c r="A6104" s="5">
        <v>0</v>
      </c>
      <c r="B6104" s="6" t="s">
        <v>34767</v>
      </c>
      <c r="C6104" s="7">
        <v>1168.8</v>
      </c>
      <c r="D6104" s="8" t="s">
        <v>34768</v>
      </c>
      <c r="E6104" s="8" t="s">
        <v>34769</v>
      </c>
      <c r="F6104" s="8" t="s">
        <v>34770</v>
      </c>
      <c r="G6104" s="6" t="s">
        <v>33</v>
      </c>
      <c r="H6104" s="6" t="s">
        <v>34</v>
      </c>
      <c r="I6104" s="8" t="s">
        <v>35</v>
      </c>
      <c r="J6104" s="9">
        <v>1</v>
      </c>
      <c r="K6104" s="9">
        <v>211</v>
      </c>
      <c r="L6104" s="9">
        <v>2024</v>
      </c>
      <c r="M6104" s="8" t="s">
        <v>34771</v>
      </c>
      <c r="N6104" s="8" t="s">
        <v>37</v>
      </c>
      <c r="O6104" s="8" t="s">
        <v>280</v>
      </c>
      <c r="P6104" s="6" t="s">
        <v>39</v>
      </c>
      <c r="Q6104" s="8" t="s">
        <v>40</v>
      </c>
      <c r="R6104" s="10" t="s">
        <v>2061</v>
      </c>
      <c r="S6104" s="11"/>
      <c r="T6104" s="6"/>
      <c r="U6104" s="15" t="str">
        <f>HYPERLINK("https://media.infra-m.ru/2086/2086863/cover/2086863.jpg", "Обложка")</f>
        <v>Обложка</v>
      </c>
      <c r="V6104" s="8" t="s">
        <v>2446</v>
      </c>
      <c r="W6104" s="6"/>
      <c r="X6104" s="6"/>
      <c r="Y6104" s="6"/>
      <c r="Z6104" s="6"/>
      <c r="AA6104" s="6" t="s">
        <v>248</v>
      </c>
      <c r="AB6104" s="8"/>
      <c r="AC6104" s="27">
        <v>9785160094823</v>
      </c>
    </row>
    <row r="6105" spans="1:29" s="4" customFormat="1" ht="51.9" customHeight="1" x14ac:dyDescent="0.2">
      <c r="A6105" s="5">
        <v>0</v>
      </c>
      <c r="B6105" s="6" t="s">
        <v>34772</v>
      </c>
      <c r="C6105" s="7">
        <v>2356.8000000000002</v>
      </c>
      <c r="D6105" s="8" t="s">
        <v>34773</v>
      </c>
      <c r="E6105" s="8" t="s">
        <v>34774</v>
      </c>
      <c r="F6105" s="8" t="s">
        <v>20707</v>
      </c>
      <c r="G6105" s="6" t="s">
        <v>118</v>
      </c>
      <c r="H6105" s="6" t="s">
        <v>1042</v>
      </c>
      <c r="I6105" s="8" t="s">
        <v>263</v>
      </c>
      <c r="J6105" s="9">
        <v>1</v>
      </c>
      <c r="K6105" s="9">
        <v>367</v>
      </c>
      <c r="L6105" s="9">
        <v>2026</v>
      </c>
      <c r="M6105" s="8" t="s">
        <v>34775</v>
      </c>
      <c r="N6105" s="8" t="s">
        <v>243</v>
      </c>
      <c r="O6105" s="8" t="s">
        <v>758</v>
      </c>
      <c r="P6105" s="6" t="s">
        <v>306</v>
      </c>
      <c r="Q6105" s="8" t="s">
        <v>265</v>
      </c>
      <c r="R6105" s="10" t="s">
        <v>34776</v>
      </c>
      <c r="S6105" s="11" t="s">
        <v>21923</v>
      </c>
      <c r="T6105" s="6"/>
      <c r="U6105" s="15" t="str">
        <f>HYPERLINK("https://media.infra-m.ru/2222/2222657/cover/2222657.jpg", "Обложка")</f>
        <v>Обложка</v>
      </c>
      <c r="V6105" s="8" t="s">
        <v>831</v>
      </c>
      <c r="W6105" s="6"/>
      <c r="X6105" s="6"/>
      <c r="Y6105" s="6"/>
      <c r="Z6105" s="6"/>
      <c r="AA6105" s="6" t="s">
        <v>779</v>
      </c>
      <c r="AB6105" s="8"/>
      <c r="AC6105" s="27">
        <v>9785819908174</v>
      </c>
    </row>
    <row r="6106" spans="1:29" s="4" customFormat="1" ht="51.9" customHeight="1" x14ac:dyDescent="0.2">
      <c r="A6106" s="5">
        <v>0</v>
      </c>
      <c r="B6106" s="6" t="s">
        <v>34777</v>
      </c>
      <c r="C6106" s="7">
        <v>1308</v>
      </c>
      <c r="D6106" s="8" t="s">
        <v>34778</v>
      </c>
      <c r="E6106" s="8" t="s">
        <v>34779</v>
      </c>
      <c r="F6106" s="8" t="s">
        <v>10966</v>
      </c>
      <c r="G6106" s="6" t="s">
        <v>118</v>
      </c>
      <c r="H6106" s="6" t="s">
        <v>820</v>
      </c>
      <c r="I6106" s="8" t="s">
        <v>271</v>
      </c>
      <c r="J6106" s="9">
        <v>1</v>
      </c>
      <c r="K6106" s="9">
        <v>188</v>
      </c>
      <c r="L6106" s="9">
        <v>2027</v>
      </c>
      <c r="M6106" s="8" t="s">
        <v>34780</v>
      </c>
      <c r="N6106" s="8" t="s">
        <v>243</v>
      </c>
      <c r="O6106" s="8" t="s">
        <v>1100</v>
      </c>
      <c r="P6106" s="6" t="s">
        <v>306</v>
      </c>
      <c r="Q6106" s="8" t="s">
        <v>52</v>
      </c>
      <c r="R6106" s="10" t="s">
        <v>34781</v>
      </c>
      <c r="S6106" s="11" t="s">
        <v>34782</v>
      </c>
      <c r="T6106" s="6"/>
      <c r="U6106" s="15" t="str">
        <f>HYPERLINK("https://media.infra-m.ru/2259/2259650/cover/2259650.jpg", "Обложка")</f>
        <v>Обложка</v>
      </c>
      <c r="V6106" s="8" t="s">
        <v>1915</v>
      </c>
      <c r="W6106" s="6"/>
      <c r="X6106" s="6"/>
      <c r="Y6106" s="6"/>
      <c r="Z6106" s="6"/>
      <c r="AA6106" s="6" t="s">
        <v>779</v>
      </c>
      <c r="AB6106" s="8"/>
      <c r="AC6106" s="27">
        <v>9785906818034</v>
      </c>
    </row>
    <row r="6107" spans="1:29" s="4" customFormat="1" ht="42" customHeight="1" x14ac:dyDescent="0.2">
      <c r="A6107" s="5">
        <v>0</v>
      </c>
      <c r="B6107" s="6" t="s">
        <v>34783</v>
      </c>
      <c r="C6107" s="7">
        <v>1782</v>
      </c>
      <c r="D6107" s="8" t="s">
        <v>34784</v>
      </c>
      <c r="E6107" s="8" t="s">
        <v>34785</v>
      </c>
      <c r="F6107" s="8" t="s">
        <v>30070</v>
      </c>
      <c r="G6107" s="6" t="s">
        <v>60</v>
      </c>
      <c r="H6107" s="6" t="s">
        <v>134</v>
      </c>
      <c r="I6107" s="8"/>
      <c r="J6107" s="9">
        <v>1</v>
      </c>
      <c r="K6107" s="9">
        <v>220</v>
      </c>
      <c r="L6107" s="9">
        <v>2023</v>
      </c>
      <c r="M6107" s="8" t="s">
        <v>34786</v>
      </c>
      <c r="N6107" s="8" t="s">
        <v>37</v>
      </c>
      <c r="O6107" s="8" t="s">
        <v>136</v>
      </c>
      <c r="P6107" s="6" t="s">
        <v>39</v>
      </c>
      <c r="Q6107" s="8" t="s">
        <v>40</v>
      </c>
      <c r="R6107" s="10" t="s">
        <v>34787</v>
      </c>
      <c r="S6107" s="11"/>
      <c r="T6107" s="6"/>
      <c r="U6107" s="15" t="str">
        <f>HYPERLINK("https://media.infra-m.ru/2088/2088675/cover/2088675.jpg", "Обложка")</f>
        <v>Обложка</v>
      </c>
      <c r="V6107" s="8" t="s">
        <v>15963</v>
      </c>
      <c r="W6107" s="6"/>
      <c r="X6107" s="6"/>
      <c r="Y6107" s="6"/>
      <c r="Z6107" s="6"/>
      <c r="AA6107" s="6" t="s">
        <v>157</v>
      </c>
      <c r="AB6107" s="8"/>
      <c r="AC6107" s="27">
        <v>9785001563136</v>
      </c>
    </row>
    <row r="6108" spans="1:29" s="4" customFormat="1" ht="51.9" customHeight="1" x14ac:dyDescent="0.2">
      <c r="A6108" s="5">
        <v>0</v>
      </c>
      <c r="B6108" s="6" t="s">
        <v>34788</v>
      </c>
      <c r="C6108" s="7">
        <v>2676</v>
      </c>
      <c r="D6108" s="8" t="s">
        <v>34789</v>
      </c>
      <c r="E6108" s="8" t="s">
        <v>34790</v>
      </c>
      <c r="F6108" s="8" t="s">
        <v>27812</v>
      </c>
      <c r="G6108" s="6" t="s">
        <v>60</v>
      </c>
      <c r="H6108" s="6" t="s">
        <v>34</v>
      </c>
      <c r="I6108" s="8" t="s">
        <v>1128</v>
      </c>
      <c r="J6108" s="9">
        <v>1</v>
      </c>
      <c r="K6108" s="9">
        <v>405</v>
      </c>
      <c r="L6108" s="9">
        <v>2026</v>
      </c>
      <c r="M6108" s="8" t="s">
        <v>34791</v>
      </c>
      <c r="N6108" s="8" t="s">
        <v>243</v>
      </c>
      <c r="O6108" s="8" t="s">
        <v>1100</v>
      </c>
      <c r="P6108" s="6" t="s">
        <v>51</v>
      </c>
      <c r="Q6108" s="8" t="s">
        <v>52</v>
      </c>
      <c r="R6108" s="10" t="s">
        <v>34781</v>
      </c>
      <c r="S6108" s="11" t="s">
        <v>31868</v>
      </c>
      <c r="T6108" s="6"/>
      <c r="U6108" s="15" t="str">
        <f>HYPERLINK("https://media.infra-m.ru/2257/2257144/cover/2257144.jpg", "Обложка")</f>
        <v>Обложка</v>
      </c>
      <c r="V6108" s="8" t="s">
        <v>1132</v>
      </c>
      <c r="W6108" s="6"/>
      <c r="X6108" s="6"/>
      <c r="Y6108" s="6"/>
      <c r="Z6108" s="6"/>
      <c r="AA6108" s="6" t="s">
        <v>76</v>
      </c>
      <c r="AB6108" s="8"/>
      <c r="AC6108" s="27">
        <v>9785160193960</v>
      </c>
    </row>
    <row r="6109" spans="1:29" s="4" customFormat="1" ht="42" customHeight="1" x14ac:dyDescent="0.2">
      <c r="A6109" s="5">
        <v>0</v>
      </c>
      <c r="B6109" s="6" t="s">
        <v>34792</v>
      </c>
      <c r="C6109" s="7">
        <v>2008.8</v>
      </c>
      <c r="D6109" s="8" t="s">
        <v>34793</v>
      </c>
      <c r="E6109" s="8" t="s">
        <v>34794</v>
      </c>
      <c r="F6109" s="8" t="s">
        <v>20707</v>
      </c>
      <c r="G6109" s="6" t="s">
        <v>60</v>
      </c>
      <c r="H6109" s="6" t="s">
        <v>1042</v>
      </c>
      <c r="I6109" s="8" t="s">
        <v>65</v>
      </c>
      <c r="J6109" s="9">
        <v>1</v>
      </c>
      <c r="K6109" s="9">
        <v>288</v>
      </c>
      <c r="L6109" s="9">
        <v>2027</v>
      </c>
      <c r="M6109" s="8" t="s">
        <v>34795</v>
      </c>
      <c r="N6109" s="8" t="s">
        <v>243</v>
      </c>
      <c r="O6109" s="8" t="s">
        <v>758</v>
      </c>
      <c r="P6109" s="6" t="s">
        <v>51</v>
      </c>
      <c r="Q6109" s="8" t="s">
        <v>65</v>
      </c>
      <c r="R6109" s="10" t="s">
        <v>34796</v>
      </c>
      <c r="S6109" s="11"/>
      <c r="T6109" s="6"/>
      <c r="U6109" s="15" t="str">
        <f>HYPERLINK("https://media.infra-m.ru/2262/2262664/cover/2262664.jpg", "Обложка")</f>
        <v>Обложка</v>
      </c>
      <c r="V6109" s="8" t="s">
        <v>831</v>
      </c>
      <c r="W6109" s="6"/>
      <c r="X6109" s="6"/>
      <c r="Y6109" s="6"/>
      <c r="Z6109" s="6"/>
      <c r="AA6109" s="6" t="s">
        <v>274</v>
      </c>
      <c r="AB6109" s="8"/>
      <c r="AC6109" s="27">
        <v>9785819906224</v>
      </c>
    </row>
    <row r="6110" spans="1:29" s="4" customFormat="1" ht="51.9" customHeight="1" x14ac:dyDescent="0.2">
      <c r="A6110" s="5">
        <v>0</v>
      </c>
      <c r="B6110" s="6" t="s">
        <v>34797</v>
      </c>
      <c r="C6110" s="7">
        <v>1428</v>
      </c>
      <c r="D6110" s="8" t="s">
        <v>34798</v>
      </c>
      <c r="E6110" s="8" t="s">
        <v>34799</v>
      </c>
      <c r="F6110" s="8" t="s">
        <v>34800</v>
      </c>
      <c r="G6110" s="6" t="s">
        <v>118</v>
      </c>
      <c r="H6110" s="6" t="s">
        <v>34</v>
      </c>
      <c r="I6110" s="8" t="s">
        <v>263</v>
      </c>
      <c r="J6110" s="9">
        <v>1</v>
      </c>
      <c r="K6110" s="9">
        <v>216</v>
      </c>
      <c r="L6110" s="9">
        <v>2026</v>
      </c>
      <c r="M6110" s="8" t="s">
        <v>34801</v>
      </c>
      <c r="N6110" s="8" t="s">
        <v>243</v>
      </c>
      <c r="O6110" s="8" t="s">
        <v>758</v>
      </c>
      <c r="P6110" s="6" t="s">
        <v>51</v>
      </c>
      <c r="Q6110" s="8" t="s">
        <v>265</v>
      </c>
      <c r="R6110" s="10" t="s">
        <v>34802</v>
      </c>
      <c r="S6110" s="11" t="s">
        <v>34803</v>
      </c>
      <c r="T6110" s="6"/>
      <c r="U6110" s="15" t="str">
        <f>HYPERLINK("https://media.infra-m.ru/2231/2231768/cover/2231768.jpg", "Обложка")</f>
        <v>Обложка</v>
      </c>
      <c r="V6110" s="8" t="s">
        <v>831</v>
      </c>
      <c r="W6110" s="6"/>
      <c r="X6110" s="6" t="s">
        <v>24</v>
      </c>
      <c r="Y6110" s="6"/>
      <c r="Z6110" s="6"/>
      <c r="AA6110" s="6" t="s">
        <v>99</v>
      </c>
      <c r="AB6110" s="8"/>
      <c r="AC6110" s="27">
        <v>9785160222967</v>
      </c>
    </row>
    <row r="6111" spans="1:29" s="4" customFormat="1" ht="51.9" customHeight="1" x14ac:dyDescent="0.2">
      <c r="A6111" s="5">
        <v>0</v>
      </c>
      <c r="B6111" s="6" t="s">
        <v>34804</v>
      </c>
      <c r="C6111" s="7">
        <v>2008.8</v>
      </c>
      <c r="D6111" s="8" t="s">
        <v>34805</v>
      </c>
      <c r="E6111" s="8" t="s">
        <v>34794</v>
      </c>
      <c r="F6111" s="8" t="s">
        <v>20707</v>
      </c>
      <c r="G6111" s="6" t="s">
        <v>60</v>
      </c>
      <c r="H6111" s="6" t="s">
        <v>1042</v>
      </c>
      <c r="I6111" s="8" t="s">
        <v>263</v>
      </c>
      <c r="J6111" s="9">
        <v>1</v>
      </c>
      <c r="K6111" s="9">
        <v>288</v>
      </c>
      <c r="L6111" s="9">
        <v>2027</v>
      </c>
      <c r="M6111" s="8" t="s">
        <v>34806</v>
      </c>
      <c r="N6111" s="8" t="s">
        <v>243</v>
      </c>
      <c r="O6111" s="8" t="s">
        <v>758</v>
      </c>
      <c r="P6111" s="6" t="s">
        <v>51</v>
      </c>
      <c r="Q6111" s="8" t="s">
        <v>265</v>
      </c>
      <c r="R6111" s="10" t="s">
        <v>34807</v>
      </c>
      <c r="S6111" s="11" t="s">
        <v>20710</v>
      </c>
      <c r="T6111" s="6"/>
      <c r="U6111" s="15" t="str">
        <f>HYPERLINK("https://media.infra-m.ru/2262/2262862/cover/2262862.jpg", "Обложка")</f>
        <v>Обложка</v>
      </c>
      <c r="V6111" s="8" t="s">
        <v>831</v>
      </c>
      <c r="W6111" s="6"/>
      <c r="X6111" s="6"/>
      <c r="Y6111" s="6"/>
      <c r="Z6111" s="6" t="s">
        <v>882</v>
      </c>
      <c r="AA6111" s="6" t="s">
        <v>76</v>
      </c>
      <c r="AB6111" s="8"/>
      <c r="AC6111" s="27">
        <v>9785819909607</v>
      </c>
    </row>
    <row r="6112" spans="1:29" s="4" customFormat="1" ht="51.9" customHeight="1" x14ac:dyDescent="0.2">
      <c r="A6112" s="5">
        <v>0</v>
      </c>
      <c r="B6112" s="6" t="s">
        <v>34808</v>
      </c>
      <c r="C6112" s="7">
        <v>2476.8000000000002</v>
      </c>
      <c r="D6112" s="8" t="s">
        <v>34809</v>
      </c>
      <c r="E6112" s="8" t="s">
        <v>34810</v>
      </c>
      <c r="F6112" s="8" t="s">
        <v>34811</v>
      </c>
      <c r="G6112" s="6" t="s">
        <v>118</v>
      </c>
      <c r="H6112" s="6" t="s">
        <v>34</v>
      </c>
      <c r="I6112" s="8" t="s">
        <v>263</v>
      </c>
      <c r="J6112" s="9">
        <v>1</v>
      </c>
      <c r="K6112" s="9">
        <v>375</v>
      </c>
      <c r="L6112" s="9">
        <v>2026</v>
      </c>
      <c r="M6112" s="8" t="s">
        <v>34812</v>
      </c>
      <c r="N6112" s="8" t="s">
        <v>243</v>
      </c>
      <c r="O6112" s="8" t="s">
        <v>758</v>
      </c>
      <c r="P6112" s="6" t="s">
        <v>306</v>
      </c>
      <c r="Q6112" s="8" t="s">
        <v>265</v>
      </c>
      <c r="R6112" s="10" t="s">
        <v>34813</v>
      </c>
      <c r="S6112" s="11" t="s">
        <v>34814</v>
      </c>
      <c r="T6112" s="6"/>
      <c r="U6112" s="15" t="str">
        <f>HYPERLINK("https://media.infra-m.ru/2224/2224188/cover/2224188.jpg", "Обложка")</f>
        <v>Обложка</v>
      </c>
      <c r="V6112" s="8" t="s">
        <v>1083</v>
      </c>
      <c r="W6112" s="6"/>
      <c r="X6112" s="6"/>
      <c r="Y6112" s="6"/>
      <c r="Z6112" s="6" t="s">
        <v>267</v>
      </c>
      <c r="AA6112" s="6" t="s">
        <v>258</v>
      </c>
      <c r="AB6112" s="8"/>
      <c r="AC6112" s="27">
        <v>9785160152745</v>
      </c>
    </row>
    <row r="6113" spans="1:29" s="4" customFormat="1" ht="51.9" customHeight="1" x14ac:dyDescent="0.2">
      <c r="A6113" s="5">
        <v>0</v>
      </c>
      <c r="B6113" s="6" t="s">
        <v>34815</v>
      </c>
      <c r="C6113" s="7">
        <v>2616</v>
      </c>
      <c r="D6113" s="8" t="s">
        <v>34816</v>
      </c>
      <c r="E6113" s="8" t="s">
        <v>34810</v>
      </c>
      <c r="F6113" s="8" t="s">
        <v>34811</v>
      </c>
      <c r="G6113" s="6" t="s">
        <v>118</v>
      </c>
      <c r="H6113" s="6" t="s">
        <v>34</v>
      </c>
      <c r="I6113" s="8" t="s">
        <v>253</v>
      </c>
      <c r="J6113" s="9">
        <v>1</v>
      </c>
      <c r="K6113" s="9">
        <v>375</v>
      </c>
      <c r="L6113" s="9">
        <v>2027</v>
      </c>
      <c r="M6113" s="8" t="s">
        <v>34817</v>
      </c>
      <c r="N6113" s="8" t="s">
        <v>243</v>
      </c>
      <c r="O6113" s="8" t="s">
        <v>758</v>
      </c>
      <c r="P6113" s="6" t="s">
        <v>306</v>
      </c>
      <c r="Q6113" s="8" t="s">
        <v>52</v>
      </c>
      <c r="R6113" s="10" t="s">
        <v>34818</v>
      </c>
      <c r="S6113" s="11" t="s">
        <v>34819</v>
      </c>
      <c r="T6113" s="6"/>
      <c r="U6113" s="15" t="str">
        <f>HYPERLINK("https://media.infra-m.ru/2265/2265512/cover/2265512.jpg", "Обложка")</f>
        <v>Обложка</v>
      </c>
      <c r="V6113" s="8" t="s">
        <v>1083</v>
      </c>
      <c r="W6113" s="6"/>
      <c r="X6113" s="6"/>
      <c r="Y6113" s="6"/>
      <c r="Z6113" s="6"/>
      <c r="AA6113" s="6" t="s">
        <v>360</v>
      </c>
      <c r="AB6113" s="8"/>
      <c r="AC6113" s="27">
        <v>9785160199771</v>
      </c>
    </row>
    <row r="6114" spans="1:29" s="4" customFormat="1" ht="51.9" customHeight="1" x14ac:dyDescent="0.2">
      <c r="A6114" s="5">
        <v>0</v>
      </c>
      <c r="B6114" s="6" t="s">
        <v>34820</v>
      </c>
      <c r="C6114" s="7">
        <v>3556.8</v>
      </c>
      <c r="D6114" s="8" t="s">
        <v>34821</v>
      </c>
      <c r="E6114" s="8" t="s">
        <v>34822</v>
      </c>
      <c r="F6114" s="8" t="s">
        <v>34823</v>
      </c>
      <c r="G6114" s="6" t="s">
        <v>60</v>
      </c>
      <c r="H6114" s="6" t="s">
        <v>34</v>
      </c>
      <c r="I6114" s="8" t="s">
        <v>263</v>
      </c>
      <c r="J6114" s="9">
        <v>1</v>
      </c>
      <c r="K6114" s="9">
        <v>511</v>
      </c>
      <c r="L6114" s="9">
        <v>2027</v>
      </c>
      <c r="M6114" s="8" t="s">
        <v>34824</v>
      </c>
      <c r="N6114" s="8" t="s">
        <v>243</v>
      </c>
      <c r="O6114" s="8" t="s">
        <v>758</v>
      </c>
      <c r="P6114" s="6" t="s">
        <v>306</v>
      </c>
      <c r="Q6114" s="8" t="s">
        <v>265</v>
      </c>
      <c r="R6114" s="10" t="s">
        <v>34825</v>
      </c>
      <c r="S6114" s="11" t="s">
        <v>34826</v>
      </c>
      <c r="T6114" s="6"/>
      <c r="U6114" s="15" t="str">
        <f>HYPERLINK("https://media.infra-m.ru/2178/2178284/cover/2178284.jpg", "Обложка")</f>
        <v>Обложка</v>
      </c>
      <c r="V6114" s="8" t="s">
        <v>1083</v>
      </c>
      <c r="W6114" s="6"/>
      <c r="X6114" s="6"/>
      <c r="Y6114" s="6"/>
      <c r="Z6114" s="6" t="s">
        <v>267</v>
      </c>
      <c r="AA6114" s="6" t="s">
        <v>2240</v>
      </c>
      <c r="AB6114" s="8"/>
      <c r="AC6114" s="27">
        <v>9785160152806</v>
      </c>
    </row>
    <row r="6115" spans="1:29" s="4" customFormat="1" ht="51.9" customHeight="1" x14ac:dyDescent="0.2">
      <c r="A6115" s="5">
        <v>0</v>
      </c>
      <c r="B6115" s="6" t="s">
        <v>34827</v>
      </c>
      <c r="C6115" s="7">
        <v>3556.8</v>
      </c>
      <c r="D6115" s="8" t="s">
        <v>34828</v>
      </c>
      <c r="E6115" s="8" t="s">
        <v>34822</v>
      </c>
      <c r="F6115" s="8" t="s">
        <v>34829</v>
      </c>
      <c r="G6115" s="6" t="s">
        <v>60</v>
      </c>
      <c r="H6115" s="6" t="s">
        <v>34</v>
      </c>
      <c r="I6115" s="8" t="s">
        <v>271</v>
      </c>
      <c r="J6115" s="9">
        <v>1</v>
      </c>
      <c r="K6115" s="9">
        <v>511</v>
      </c>
      <c r="L6115" s="9">
        <v>2027</v>
      </c>
      <c r="M6115" s="8" t="s">
        <v>34830</v>
      </c>
      <c r="N6115" s="8" t="s">
        <v>243</v>
      </c>
      <c r="O6115" s="8" t="s">
        <v>758</v>
      </c>
      <c r="P6115" s="6" t="s">
        <v>306</v>
      </c>
      <c r="Q6115" s="8" t="s">
        <v>52</v>
      </c>
      <c r="R6115" s="10" t="s">
        <v>17217</v>
      </c>
      <c r="S6115" s="11" t="s">
        <v>34831</v>
      </c>
      <c r="T6115" s="6"/>
      <c r="U6115" s="15" t="str">
        <f>HYPERLINK("https://media.infra-m.ru/2264/2264687/cover/2264687.jpg", "Обложка")</f>
        <v>Обложка</v>
      </c>
      <c r="V6115" s="8" t="s">
        <v>1083</v>
      </c>
      <c r="W6115" s="6"/>
      <c r="X6115" s="6"/>
      <c r="Y6115" s="6"/>
      <c r="Z6115" s="6"/>
      <c r="AA6115" s="6" t="s">
        <v>859</v>
      </c>
      <c r="AB6115" s="8"/>
      <c r="AC6115" s="27">
        <v>9785160098487</v>
      </c>
    </row>
    <row r="6116" spans="1:29" s="4" customFormat="1" ht="44.1" customHeight="1" x14ac:dyDescent="0.2">
      <c r="A6116" s="5">
        <v>0</v>
      </c>
      <c r="B6116" s="6" t="s">
        <v>34832</v>
      </c>
      <c r="C6116" s="13">
        <v>468</v>
      </c>
      <c r="D6116" s="8" t="s">
        <v>34833</v>
      </c>
      <c r="E6116" s="8" t="s">
        <v>34834</v>
      </c>
      <c r="F6116" s="8" t="s">
        <v>34835</v>
      </c>
      <c r="G6116" s="6" t="s">
        <v>33</v>
      </c>
      <c r="H6116" s="6" t="s">
        <v>34</v>
      </c>
      <c r="I6116" s="8" t="s">
        <v>35</v>
      </c>
      <c r="J6116" s="9">
        <v>1</v>
      </c>
      <c r="K6116" s="9">
        <v>100</v>
      </c>
      <c r="L6116" s="9">
        <v>2020</v>
      </c>
      <c r="M6116" s="8" t="s">
        <v>34836</v>
      </c>
      <c r="N6116" s="8" t="s">
        <v>37</v>
      </c>
      <c r="O6116" s="8" t="s">
        <v>233</v>
      </c>
      <c r="P6116" s="6" t="s">
        <v>39</v>
      </c>
      <c r="Q6116" s="8" t="s">
        <v>40</v>
      </c>
      <c r="R6116" s="10" t="s">
        <v>34837</v>
      </c>
      <c r="S6116" s="11"/>
      <c r="T6116" s="6"/>
      <c r="U6116" s="15" t="str">
        <f>HYPERLINK("https://media.infra-m.ru/1003/1003262/cover/1003262.jpg", "Обложка")</f>
        <v>Обложка</v>
      </c>
      <c r="V6116" s="8" t="s">
        <v>7175</v>
      </c>
      <c r="W6116" s="6"/>
      <c r="X6116" s="6"/>
      <c r="Y6116" s="6"/>
      <c r="Z6116" s="6"/>
      <c r="AA6116" s="6" t="s">
        <v>99</v>
      </c>
      <c r="AB6116" s="8"/>
      <c r="AC6116" s="27">
        <v>9785160127569</v>
      </c>
    </row>
    <row r="6117" spans="1:29" s="4" customFormat="1" ht="51.9" customHeight="1" x14ac:dyDescent="0.2">
      <c r="A6117" s="5">
        <v>0</v>
      </c>
      <c r="B6117" s="6" t="s">
        <v>34838</v>
      </c>
      <c r="C6117" s="13">
        <v>816</v>
      </c>
      <c r="D6117" s="8" t="s">
        <v>34839</v>
      </c>
      <c r="E6117" s="8" t="s">
        <v>34840</v>
      </c>
      <c r="F6117" s="8" t="s">
        <v>34841</v>
      </c>
      <c r="G6117" s="6" t="s">
        <v>33</v>
      </c>
      <c r="H6117" s="6" t="s">
        <v>34</v>
      </c>
      <c r="I6117" s="8" t="s">
        <v>253</v>
      </c>
      <c r="J6117" s="9">
        <v>1</v>
      </c>
      <c r="K6117" s="9">
        <v>118</v>
      </c>
      <c r="L6117" s="9">
        <v>2026</v>
      </c>
      <c r="M6117" s="8" t="s">
        <v>34842</v>
      </c>
      <c r="N6117" s="8" t="s">
        <v>37</v>
      </c>
      <c r="O6117" s="8" t="s">
        <v>136</v>
      </c>
      <c r="P6117" s="6" t="s">
        <v>51</v>
      </c>
      <c r="Q6117" s="8" t="s">
        <v>52</v>
      </c>
      <c r="R6117" s="10" t="s">
        <v>1068</v>
      </c>
      <c r="S6117" s="11" t="s">
        <v>13412</v>
      </c>
      <c r="T6117" s="6"/>
      <c r="U6117" s="15" t="str">
        <f>HYPERLINK("https://media.infra-m.ru/2219/2219344/cover/2219344.jpg", "Обложка")</f>
        <v>Обложка</v>
      </c>
      <c r="V6117" s="8" t="s">
        <v>9943</v>
      </c>
      <c r="W6117" s="6"/>
      <c r="X6117" s="6"/>
      <c r="Y6117" s="6"/>
      <c r="Z6117" s="6"/>
      <c r="AA6117" s="6" t="s">
        <v>623</v>
      </c>
      <c r="AB6117" s="8"/>
      <c r="AC6117" s="27">
        <v>9785160184654</v>
      </c>
    </row>
    <row r="6118" spans="1:29" s="4" customFormat="1" ht="51.9" customHeight="1" x14ac:dyDescent="0.2">
      <c r="A6118" s="5">
        <v>0</v>
      </c>
      <c r="B6118" s="6" t="s">
        <v>34843</v>
      </c>
      <c r="C6118" s="7">
        <v>1404</v>
      </c>
      <c r="D6118" s="8" t="s">
        <v>34844</v>
      </c>
      <c r="E6118" s="8" t="s">
        <v>34845</v>
      </c>
      <c r="F6118" s="8" t="s">
        <v>34846</v>
      </c>
      <c r="G6118" s="6" t="s">
        <v>60</v>
      </c>
      <c r="H6118" s="6" t="s">
        <v>34</v>
      </c>
      <c r="I6118" s="8" t="s">
        <v>1248</v>
      </c>
      <c r="J6118" s="9">
        <v>1</v>
      </c>
      <c r="K6118" s="9">
        <v>212</v>
      </c>
      <c r="L6118" s="9">
        <v>2026</v>
      </c>
      <c r="M6118" s="8" t="s">
        <v>34847</v>
      </c>
      <c r="N6118" s="8" t="s">
        <v>37</v>
      </c>
      <c r="O6118" s="8" t="s">
        <v>136</v>
      </c>
      <c r="P6118" s="6" t="s">
        <v>51</v>
      </c>
      <c r="Q6118" s="8" t="s">
        <v>65</v>
      </c>
      <c r="R6118" s="10" t="s">
        <v>34848</v>
      </c>
      <c r="S6118" s="11"/>
      <c r="T6118" s="6"/>
      <c r="U6118" s="15" t="str">
        <f>HYPERLINK("https://media.infra-m.ru/2222/2222612/cover/2222612.jpg", "Обложка")</f>
        <v>Обложка</v>
      </c>
      <c r="V6118" s="8" t="s">
        <v>1083</v>
      </c>
      <c r="W6118" s="6" t="s">
        <v>342</v>
      </c>
      <c r="X6118" s="6"/>
      <c r="Y6118" s="6"/>
      <c r="Z6118" s="6"/>
      <c r="AA6118" s="6" t="s">
        <v>187</v>
      </c>
      <c r="AB6118" s="8"/>
      <c r="AC6118" s="27">
        <v>9785160213361</v>
      </c>
    </row>
    <row r="6119" spans="1:29" s="4" customFormat="1" ht="51.9" customHeight="1" x14ac:dyDescent="0.2">
      <c r="A6119" s="5">
        <v>0</v>
      </c>
      <c r="B6119" s="6" t="s">
        <v>34849</v>
      </c>
      <c r="C6119" s="7">
        <v>3172.8</v>
      </c>
      <c r="D6119" s="8" t="s">
        <v>34850</v>
      </c>
      <c r="E6119" s="8" t="s">
        <v>34851</v>
      </c>
      <c r="F6119" s="8" t="s">
        <v>34852</v>
      </c>
      <c r="G6119" s="6" t="s">
        <v>60</v>
      </c>
      <c r="H6119" s="6" t="s">
        <v>134</v>
      </c>
      <c r="I6119" s="8"/>
      <c r="J6119" s="9">
        <v>1</v>
      </c>
      <c r="K6119" s="9">
        <v>480</v>
      </c>
      <c r="L6119" s="9">
        <v>2026</v>
      </c>
      <c r="M6119" s="8" t="s">
        <v>34853</v>
      </c>
      <c r="N6119" s="8" t="s">
        <v>37</v>
      </c>
      <c r="O6119" s="8" t="s">
        <v>136</v>
      </c>
      <c r="P6119" s="6" t="s">
        <v>306</v>
      </c>
      <c r="Q6119" s="8" t="s">
        <v>52</v>
      </c>
      <c r="R6119" s="10" t="s">
        <v>34854</v>
      </c>
      <c r="S6119" s="11"/>
      <c r="T6119" s="6"/>
      <c r="U6119" s="15" t="str">
        <f>HYPERLINK("https://media.infra-m.ru/2242/2242691/cover/2242691.jpg", "Обложка")</f>
        <v>Обложка</v>
      </c>
      <c r="V6119" s="8" t="s">
        <v>5726</v>
      </c>
      <c r="W6119" s="6"/>
      <c r="X6119" s="6"/>
      <c r="Y6119" s="6"/>
      <c r="Z6119" s="6"/>
      <c r="AA6119" s="6" t="s">
        <v>16547</v>
      </c>
      <c r="AB6119" s="8"/>
      <c r="AC6119" s="27">
        <v>9785917682136</v>
      </c>
    </row>
    <row r="6120" spans="1:29" s="4" customFormat="1" ht="51.9" customHeight="1" x14ac:dyDescent="0.2">
      <c r="A6120" s="5">
        <v>0</v>
      </c>
      <c r="B6120" s="6" t="s">
        <v>34855</v>
      </c>
      <c r="C6120" s="13">
        <v>903.6</v>
      </c>
      <c r="D6120" s="8" t="s">
        <v>34856</v>
      </c>
      <c r="E6120" s="8" t="s">
        <v>34857</v>
      </c>
      <c r="F6120" s="8" t="s">
        <v>34858</v>
      </c>
      <c r="G6120" s="6" t="s">
        <v>33</v>
      </c>
      <c r="H6120" s="6" t="s">
        <v>313</v>
      </c>
      <c r="I6120" s="8" t="s">
        <v>253</v>
      </c>
      <c r="J6120" s="9">
        <v>1</v>
      </c>
      <c r="K6120" s="9">
        <v>222</v>
      </c>
      <c r="L6120" s="9">
        <v>2025</v>
      </c>
      <c r="M6120" s="8" t="s">
        <v>34859</v>
      </c>
      <c r="N6120" s="8" t="s">
        <v>37</v>
      </c>
      <c r="O6120" s="8" t="s">
        <v>136</v>
      </c>
      <c r="P6120" s="6" t="s">
        <v>51</v>
      </c>
      <c r="Q6120" s="8" t="s">
        <v>65</v>
      </c>
      <c r="R6120" s="10" t="s">
        <v>1275</v>
      </c>
      <c r="S6120" s="11"/>
      <c r="T6120" s="6"/>
      <c r="U6120" s="15" t="str">
        <f>HYPERLINK("https://media.infra-m.ru/2185/2185020/cover/2185020.jpg", "Обложка")</f>
        <v>Обложка</v>
      </c>
      <c r="V6120" s="8" t="s">
        <v>1231</v>
      </c>
      <c r="W6120" s="6"/>
      <c r="X6120" s="6"/>
      <c r="Y6120" s="6"/>
      <c r="Z6120" s="6"/>
      <c r="AA6120" s="6" t="s">
        <v>23845</v>
      </c>
      <c r="AB6120" s="8"/>
      <c r="AC6120" s="27">
        <v>9785369019559</v>
      </c>
    </row>
    <row r="6121" spans="1:29" s="4" customFormat="1" ht="51.9" customHeight="1" x14ac:dyDescent="0.2">
      <c r="A6121" s="5">
        <v>0</v>
      </c>
      <c r="B6121" s="6" t="s">
        <v>34860</v>
      </c>
      <c r="C6121" s="13">
        <v>768</v>
      </c>
      <c r="D6121" s="8" t="s">
        <v>34861</v>
      </c>
      <c r="E6121" s="8" t="s">
        <v>34862</v>
      </c>
      <c r="F6121" s="8" t="s">
        <v>34863</v>
      </c>
      <c r="G6121" s="6" t="s">
        <v>33</v>
      </c>
      <c r="H6121" s="6" t="s">
        <v>313</v>
      </c>
      <c r="I6121" s="8" t="s">
        <v>253</v>
      </c>
      <c r="J6121" s="9">
        <v>1</v>
      </c>
      <c r="K6121" s="9">
        <v>218</v>
      </c>
      <c r="L6121" s="9">
        <v>2023</v>
      </c>
      <c r="M6121" s="8" t="s">
        <v>34864</v>
      </c>
      <c r="N6121" s="8" t="s">
        <v>37</v>
      </c>
      <c r="O6121" s="8" t="s">
        <v>136</v>
      </c>
      <c r="P6121" s="6" t="s">
        <v>51</v>
      </c>
      <c r="Q6121" s="8" t="s">
        <v>65</v>
      </c>
      <c r="R6121" s="10" t="s">
        <v>1275</v>
      </c>
      <c r="S6121" s="11"/>
      <c r="T6121" s="6"/>
      <c r="U6121" s="15" t="str">
        <f>HYPERLINK("https://media.infra-m.ru/1912/1912370/cover/1912370.jpg", "Обложка")</f>
        <v>Обложка</v>
      </c>
      <c r="V6121" s="8" t="s">
        <v>1231</v>
      </c>
      <c r="W6121" s="6"/>
      <c r="X6121" s="6"/>
      <c r="Y6121" s="6"/>
      <c r="Z6121" s="6"/>
      <c r="AA6121" s="6" t="s">
        <v>34865</v>
      </c>
      <c r="AB6121" s="8"/>
      <c r="AC6121" s="27">
        <v>9785369019009</v>
      </c>
    </row>
    <row r="6122" spans="1:29" s="4" customFormat="1" ht="51.9" customHeight="1" x14ac:dyDescent="0.2">
      <c r="A6122" s="5">
        <v>0</v>
      </c>
      <c r="B6122" s="6" t="s">
        <v>34866</v>
      </c>
      <c r="C6122" s="13">
        <v>473.9</v>
      </c>
      <c r="D6122" s="8" t="s">
        <v>34867</v>
      </c>
      <c r="E6122" s="8" t="s">
        <v>34868</v>
      </c>
      <c r="F6122" s="8" t="s">
        <v>34858</v>
      </c>
      <c r="G6122" s="6" t="s">
        <v>33</v>
      </c>
      <c r="H6122" s="6" t="s">
        <v>313</v>
      </c>
      <c r="I6122" s="8" t="s">
        <v>4551</v>
      </c>
      <c r="J6122" s="9">
        <v>1</v>
      </c>
      <c r="K6122" s="9">
        <v>215</v>
      </c>
      <c r="L6122" s="9">
        <v>2020</v>
      </c>
      <c r="M6122" s="8" t="s">
        <v>34869</v>
      </c>
      <c r="N6122" s="8" t="s">
        <v>37</v>
      </c>
      <c r="O6122" s="8" t="s">
        <v>136</v>
      </c>
      <c r="P6122" s="6" t="s">
        <v>51</v>
      </c>
      <c r="Q6122" s="8" t="s">
        <v>52</v>
      </c>
      <c r="R6122" s="10" t="s">
        <v>1275</v>
      </c>
      <c r="S6122" s="11"/>
      <c r="T6122" s="6"/>
      <c r="U6122" s="15" t="str">
        <f>HYPERLINK("https://media.infra-m.ru/1052/1052238/cover/1052238.jpg", "Обложка")</f>
        <v>Обложка</v>
      </c>
      <c r="V6122" s="8" t="s">
        <v>1231</v>
      </c>
      <c r="W6122" s="6"/>
      <c r="X6122" s="6"/>
      <c r="Y6122" s="6"/>
      <c r="Z6122" s="6"/>
      <c r="AA6122" s="6" t="s">
        <v>11562</v>
      </c>
      <c r="AB6122" s="8"/>
      <c r="AC6122" s="27">
        <v>9785369015186</v>
      </c>
    </row>
    <row r="6123" spans="1:29" s="4" customFormat="1" ht="51.9" customHeight="1" x14ac:dyDescent="0.2">
      <c r="A6123" s="5">
        <v>0</v>
      </c>
      <c r="B6123" s="6" t="s">
        <v>34870</v>
      </c>
      <c r="C6123" s="7">
        <v>2008.8</v>
      </c>
      <c r="D6123" s="8" t="s">
        <v>34871</v>
      </c>
      <c r="E6123" s="8" t="s">
        <v>34872</v>
      </c>
      <c r="F6123" s="8" t="s">
        <v>34873</v>
      </c>
      <c r="G6123" s="6" t="s">
        <v>60</v>
      </c>
      <c r="H6123" s="6" t="s">
        <v>48</v>
      </c>
      <c r="I6123" s="8" t="s">
        <v>401</v>
      </c>
      <c r="J6123" s="9">
        <v>1</v>
      </c>
      <c r="K6123" s="9">
        <v>304</v>
      </c>
      <c r="L6123" s="9">
        <v>2026</v>
      </c>
      <c r="M6123" s="8" t="s">
        <v>34874</v>
      </c>
      <c r="N6123" s="8" t="s">
        <v>37</v>
      </c>
      <c r="O6123" s="8" t="s">
        <v>280</v>
      </c>
      <c r="P6123" s="6" t="s">
        <v>51</v>
      </c>
      <c r="Q6123" s="8" t="s">
        <v>265</v>
      </c>
      <c r="R6123" s="10" t="s">
        <v>27961</v>
      </c>
      <c r="S6123" s="11" t="s">
        <v>18811</v>
      </c>
      <c r="T6123" s="6"/>
      <c r="U6123" s="15" t="str">
        <f>HYPERLINK("https://media.infra-m.ru/2237/2237189/cover/2237189.jpg", "Обложка")</f>
        <v>Обложка</v>
      </c>
      <c r="V6123" s="8" t="s">
        <v>1014</v>
      </c>
      <c r="W6123" s="6"/>
      <c r="X6123" s="6"/>
      <c r="Y6123" s="6"/>
      <c r="Z6123" s="6"/>
      <c r="AA6123" s="6" t="s">
        <v>561</v>
      </c>
      <c r="AB6123" s="8"/>
      <c r="AC6123" s="27">
        <v>9785911342838</v>
      </c>
    </row>
    <row r="6124" spans="1:29" s="4" customFormat="1" ht="44.1" customHeight="1" x14ac:dyDescent="0.2">
      <c r="A6124" s="5">
        <v>0</v>
      </c>
      <c r="B6124" s="6" t="s">
        <v>34875</v>
      </c>
      <c r="C6124" s="7">
        <v>1540.8</v>
      </c>
      <c r="D6124" s="8" t="s">
        <v>34876</v>
      </c>
      <c r="E6124" s="8" t="s">
        <v>34877</v>
      </c>
      <c r="F6124" s="8" t="s">
        <v>34878</v>
      </c>
      <c r="G6124" s="6" t="s">
        <v>33</v>
      </c>
      <c r="H6124" s="6" t="s">
        <v>313</v>
      </c>
      <c r="I6124" s="8" t="s">
        <v>35</v>
      </c>
      <c r="J6124" s="9">
        <v>1</v>
      </c>
      <c r="K6124" s="9">
        <v>246</v>
      </c>
      <c r="L6124" s="9">
        <v>2026</v>
      </c>
      <c r="M6124" s="8" t="s">
        <v>34879</v>
      </c>
      <c r="N6124" s="8" t="s">
        <v>37</v>
      </c>
      <c r="O6124" s="8" t="s">
        <v>280</v>
      </c>
      <c r="P6124" s="6" t="s">
        <v>39</v>
      </c>
      <c r="Q6124" s="8" t="s">
        <v>40</v>
      </c>
      <c r="R6124" s="10" t="s">
        <v>2053</v>
      </c>
      <c r="S6124" s="11"/>
      <c r="T6124" s="6"/>
      <c r="U6124" s="15" t="str">
        <f>HYPERLINK("https://media.infra-m.ru/1920/1920371/cover/1920371.jpg", "Обложка")</f>
        <v>Обложка</v>
      </c>
      <c r="V6124" s="8" t="s">
        <v>4038</v>
      </c>
      <c r="W6124" s="6"/>
      <c r="X6124" s="6"/>
      <c r="Y6124" s="6"/>
      <c r="Z6124" s="6"/>
      <c r="AA6124" s="6" t="s">
        <v>99</v>
      </c>
      <c r="AB6124" s="8"/>
      <c r="AC6124" s="27">
        <v>9785369015971</v>
      </c>
    </row>
    <row r="6125" spans="1:29" s="4" customFormat="1" ht="51.9" customHeight="1" x14ac:dyDescent="0.2">
      <c r="A6125" s="5">
        <v>0</v>
      </c>
      <c r="B6125" s="6" t="s">
        <v>34880</v>
      </c>
      <c r="C6125" s="13">
        <v>796.8</v>
      </c>
      <c r="D6125" s="8" t="s">
        <v>34881</v>
      </c>
      <c r="E6125" s="8" t="s">
        <v>34882</v>
      </c>
      <c r="F6125" s="8" t="s">
        <v>34883</v>
      </c>
      <c r="G6125" s="6" t="s">
        <v>33</v>
      </c>
      <c r="H6125" s="6" t="s">
        <v>48</v>
      </c>
      <c r="I6125" s="8" t="s">
        <v>271</v>
      </c>
      <c r="J6125" s="9">
        <v>1</v>
      </c>
      <c r="K6125" s="9">
        <v>128</v>
      </c>
      <c r="L6125" s="9">
        <v>2026</v>
      </c>
      <c r="M6125" s="8" t="s">
        <v>34884</v>
      </c>
      <c r="N6125" s="8" t="s">
        <v>585</v>
      </c>
      <c r="O6125" s="8" t="s">
        <v>775</v>
      </c>
      <c r="P6125" s="6" t="s">
        <v>51</v>
      </c>
      <c r="Q6125" s="8" t="s">
        <v>52</v>
      </c>
      <c r="R6125" s="10" t="s">
        <v>34885</v>
      </c>
      <c r="S6125" s="11" t="s">
        <v>34886</v>
      </c>
      <c r="T6125" s="6"/>
      <c r="U6125" s="15" t="str">
        <f>HYPERLINK("https://media.infra-m.ru/2222/2222239/cover/2222239.jpg", "Обложка")</f>
        <v>Обложка</v>
      </c>
      <c r="V6125" s="8" t="s">
        <v>704</v>
      </c>
      <c r="W6125" s="6"/>
      <c r="X6125" s="6"/>
      <c r="Y6125" s="6"/>
      <c r="Z6125" s="6"/>
      <c r="AA6125" s="6" t="s">
        <v>248</v>
      </c>
      <c r="AB6125" s="8"/>
      <c r="AC6125" s="27">
        <v>9785000917336</v>
      </c>
    </row>
    <row r="6126" spans="1:29" s="4" customFormat="1" ht="51.9" customHeight="1" x14ac:dyDescent="0.2">
      <c r="A6126" s="5">
        <v>0</v>
      </c>
      <c r="B6126" s="6" t="s">
        <v>34887</v>
      </c>
      <c r="C6126" s="13">
        <v>724.8</v>
      </c>
      <c r="D6126" s="8" t="s">
        <v>34888</v>
      </c>
      <c r="E6126" s="8" t="s">
        <v>34882</v>
      </c>
      <c r="F6126" s="8" t="s">
        <v>34883</v>
      </c>
      <c r="G6126" s="6" t="s">
        <v>33</v>
      </c>
      <c r="H6126" s="6" t="s">
        <v>48</v>
      </c>
      <c r="I6126" s="8" t="s">
        <v>263</v>
      </c>
      <c r="J6126" s="9">
        <v>1</v>
      </c>
      <c r="K6126" s="9">
        <v>128</v>
      </c>
      <c r="L6126" s="9">
        <v>2024</v>
      </c>
      <c r="M6126" s="8" t="s">
        <v>34889</v>
      </c>
      <c r="N6126" s="8" t="s">
        <v>585</v>
      </c>
      <c r="O6126" s="8" t="s">
        <v>775</v>
      </c>
      <c r="P6126" s="6" t="s">
        <v>51</v>
      </c>
      <c r="Q6126" s="8" t="s">
        <v>265</v>
      </c>
      <c r="R6126" s="10" t="s">
        <v>34890</v>
      </c>
      <c r="S6126" s="11" t="s">
        <v>34891</v>
      </c>
      <c r="T6126" s="6"/>
      <c r="U6126" s="15" t="str">
        <f>HYPERLINK("https://media.infra-m.ru/2145/2145336/cover/2145336.jpg", "Обложка")</f>
        <v>Обложка</v>
      </c>
      <c r="V6126" s="8" t="s">
        <v>704</v>
      </c>
      <c r="W6126" s="6"/>
      <c r="X6126" s="6"/>
      <c r="Y6126" s="6"/>
      <c r="Z6126" s="6" t="s">
        <v>267</v>
      </c>
      <c r="AA6126" s="6" t="s">
        <v>1256</v>
      </c>
      <c r="AB6126" s="8"/>
      <c r="AC6126" s="27">
        <v>9785000917190</v>
      </c>
    </row>
    <row r="6127" spans="1:29" s="4" customFormat="1" ht="51.9" customHeight="1" x14ac:dyDescent="0.2">
      <c r="A6127" s="5">
        <v>0</v>
      </c>
      <c r="B6127" s="6" t="s">
        <v>34892</v>
      </c>
      <c r="C6127" s="7">
        <v>1372.8</v>
      </c>
      <c r="D6127" s="8" t="s">
        <v>34893</v>
      </c>
      <c r="E6127" s="8" t="s">
        <v>34894</v>
      </c>
      <c r="F6127" s="8" t="s">
        <v>34895</v>
      </c>
      <c r="G6127" s="6" t="s">
        <v>118</v>
      </c>
      <c r="H6127" s="6" t="s">
        <v>48</v>
      </c>
      <c r="I6127" s="8" t="s">
        <v>253</v>
      </c>
      <c r="J6127" s="9">
        <v>1</v>
      </c>
      <c r="K6127" s="9">
        <v>208</v>
      </c>
      <c r="L6127" s="9">
        <v>2026</v>
      </c>
      <c r="M6127" s="8" t="s">
        <v>34896</v>
      </c>
      <c r="N6127" s="8" t="s">
        <v>585</v>
      </c>
      <c r="O6127" s="8" t="s">
        <v>775</v>
      </c>
      <c r="P6127" s="6" t="s">
        <v>306</v>
      </c>
      <c r="Q6127" s="8" t="s">
        <v>52</v>
      </c>
      <c r="R6127" s="10" t="s">
        <v>34897</v>
      </c>
      <c r="S6127" s="11" t="s">
        <v>34898</v>
      </c>
      <c r="T6127" s="6"/>
      <c r="U6127" s="15" t="str">
        <f>HYPERLINK("https://media.infra-m.ru/2238/2238490/cover/2238490.jpg", "Обложка")</f>
        <v>Обложка</v>
      </c>
      <c r="V6127" s="8" t="s">
        <v>809</v>
      </c>
      <c r="W6127" s="6"/>
      <c r="X6127" s="6"/>
      <c r="Y6127" s="6"/>
      <c r="Z6127" s="6"/>
      <c r="AA6127" s="6" t="s">
        <v>129</v>
      </c>
      <c r="AB6127" s="8"/>
      <c r="AC6127" s="27">
        <v>9785000917626</v>
      </c>
    </row>
    <row r="6128" spans="1:29" s="4" customFormat="1" ht="51.9" customHeight="1" x14ac:dyDescent="0.2">
      <c r="A6128" s="5">
        <v>0</v>
      </c>
      <c r="B6128" s="6" t="s">
        <v>34899</v>
      </c>
      <c r="C6128" s="7">
        <v>1372.8</v>
      </c>
      <c r="D6128" s="8" t="s">
        <v>34900</v>
      </c>
      <c r="E6128" s="8" t="s">
        <v>34894</v>
      </c>
      <c r="F6128" s="8" t="s">
        <v>34901</v>
      </c>
      <c r="G6128" s="6" t="s">
        <v>118</v>
      </c>
      <c r="H6128" s="6" t="s">
        <v>48</v>
      </c>
      <c r="I6128" s="8" t="s">
        <v>263</v>
      </c>
      <c r="J6128" s="9">
        <v>1</v>
      </c>
      <c r="K6128" s="9">
        <v>208</v>
      </c>
      <c r="L6128" s="9">
        <v>2026</v>
      </c>
      <c r="M6128" s="8" t="s">
        <v>34902</v>
      </c>
      <c r="N6128" s="8" t="s">
        <v>585</v>
      </c>
      <c r="O6128" s="8" t="s">
        <v>775</v>
      </c>
      <c r="P6128" s="6" t="s">
        <v>306</v>
      </c>
      <c r="Q6128" s="8" t="s">
        <v>265</v>
      </c>
      <c r="R6128" s="10" t="s">
        <v>34903</v>
      </c>
      <c r="S6128" s="11" t="s">
        <v>34904</v>
      </c>
      <c r="T6128" s="6"/>
      <c r="U6128" s="15" t="str">
        <f>HYPERLINK("https://media.infra-m.ru/2130/2130244/cover/2130244.jpg", "Обложка")</f>
        <v>Обложка</v>
      </c>
      <c r="V6128" s="8" t="s">
        <v>809</v>
      </c>
      <c r="W6128" s="6"/>
      <c r="X6128" s="6"/>
      <c r="Y6128" s="6"/>
      <c r="Z6128" s="6" t="s">
        <v>267</v>
      </c>
      <c r="AA6128" s="6" t="s">
        <v>1256</v>
      </c>
      <c r="AB6128" s="8"/>
      <c r="AC6128" s="27">
        <v>9785000916988</v>
      </c>
    </row>
    <row r="6129" spans="1:29" s="4" customFormat="1" ht="51.9" customHeight="1" x14ac:dyDescent="0.2">
      <c r="A6129" s="5">
        <v>0</v>
      </c>
      <c r="B6129" s="6" t="s">
        <v>34905</v>
      </c>
      <c r="C6129" s="7">
        <v>1612.8</v>
      </c>
      <c r="D6129" s="8" t="s">
        <v>34906</v>
      </c>
      <c r="E6129" s="8" t="s">
        <v>34894</v>
      </c>
      <c r="F6129" s="8" t="s">
        <v>34907</v>
      </c>
      <c r="G6129" s="6" t="s">
        <v>60</v>
      </c>
      <c r="H6129" s="6" t="s">
        <v>34</v>
      </c>
      <c r="I6129" s="8" t="s">
        <v>271</v>
      </c>
      <c r="J6129" s="9">
        <v>1</v>
      </c>
      <c r="K6129" s="9">
        <v>292</v>
      </c>
      <c r="L6129" s="9">
        <v>2024</v>
      </c>
      <c r="M6129" s="8" t="s">
        <v>34908</v>
      </c>
      <c r="N6129" s="8" t="s">
        <v>585</v>
      </c>
      <c r="O6129" s="8" t="s">
        <v>775</v>
      </c>
      <c r="P6129" s="6" t="s">
        <v>51</v>
      </c>
      <c r="Q6129" s="8" t="s">
        <v>52</v>
      </c>
      <c r="R6129" s="10" t="s">
        <v>34909</v>
      </c>
      <c r="S6129" s="11"/>
      <c r="T6129" s="6"/>
      <c r="U6129" s="15" t="str">
        <f>HYPERLINK("https://media.infra-m.ru/2126/2126333/cover/2126333.jpg", "Обложка")</f>
        <v>Обложка</v>
      </c>
      <c r="V6129" s="8" t="s">
        <v>6147</v>
      </c>
      <c r="W6129" s="6"/>
      <c r="X6129" s="6"/>
      <c r="Y6129" s="6"/>
      <c r="Z6129" s="6"/>
      <c r="AA6129" s="6" t="s">
        <v>55</v>
      </c>
      <c r="AB6129" s="8"/>
      <c r="AC6129" s="27">
        <v>9785160066929</v>
      </c>
    </row>
    <row r="6130" spans="1:29" s="4" customFormat="1" ht="51.9" customHeight="1" x14ac:dyDescent="0.2">
      <c r="A6130" s="5">
        <v>0</v>
      </c>
      <c r="B6130" s="6" t="s">
        <v>34910</v>
      </c>
      <c r="C6130" s="7">
        <v>1068</v>
      </c>
      <c r="D6130" s="8" t="s">
        <v>34911</v>
      </c>
      <c r="E6130" s="8" t="s">
        <v>34912</v>
      </c>
      <c r="F6130" s="8" t="s">
        <v>34913</v>
      </c>
      <c r="G6130" s="6" t="s">
        <v>118</v>
      </c>
      <c r="H6130" s="6" t="s">
        <v>34</v>
      </c>
      <c r="I6130" s="8" t="s">
        <v>271</v>
      </c>
      <c r="J6130" s="9">
        <v>1</v>
      </c>
      <c r="K6130" s="9">
        <v>193</v>
      </c>
      <c r="L6130" s="9">
        <v>2023</v>
      </c>
      <c r="M6130" s="8" t="s">
        <v>34914</v>
      </c>
      <c r="N6130" s="8" t="s">
        <v>585</v>
      </c>
      <c r="O6130" s="8" t="s">
        <v>775</v>
      </c>
      <c r="P6130" s="6" t="s">
        <v>51</v>
      </c>
      <c r="Q6130" s="8" t="s">
        <v>52</v>
      </c>
      <c r="R6130" s="10" t="s">
        <v>7774</v>
      </c>
      <c r="S6130" s="11" t="s">
        <v>34915</v>
      </c>
      <c r="T6130" s="6"/>
      <c r="U6130" s="15" t="str">
        <f>HYPERLINK("https://media.infra-m.ru/1971/1971860/cover/1971860.jpg", "Обложка")</f>
        <v>Обложка</v>
      </c>
      <c r="V6130" s="8" t="s">
        <v>761</v>
      </c>
      <c r="W6130" s="6"/>
      <c r="X6130" s="6"/>
      <c r="Y6130" s="6"/>
      <c r="Z6130" s="6"/>
      <c r="AA6130" s="6" t="s">
        <v>218</v>
      </c>
      <c r="AB6130" s="8"/>
      <c r="AC6130" s="27">
        <v>9785160151090</v>
      </c>
    </row>
    <row r="6131" spans="1:29" s="4" customFormat="1" ht="51.9" customHeight="1" x14ac:dyDescent="0.2">
      <c r="A6131" s="5">
        <v>0</v>
      </c>
      <c r="B6131" s="6" t="s">
        <v>34916</v>
      </c>
      <c r="C6131" s="7">
        <v>1469.9</v>
      </c>
      <c r="D6131" s="8" t="s">
        <v>34917</v>
      </c>
      <c r="E6131" s="8" t="s">
        <v>34912</v>
      </c>
      <c r="F6131" s="8" t="s">
        <v>34918</v>
      </c>
      <c r="G6131" s="6" t="s">
        <v>60</v>
      </c>
      <c r="H6131" s="6" t="s">
        <v>34</v>
      </c>
      <c r="I6131" s="8" t="s">
        <v>271</v>
      </c>
      <c r="J6131" s="9">
        <v>1</v>
      </c>
      <c r="K6131" s="9">
        <v>322</v>
      </c>
      <c r="L6131" s="9">
        <v>2022</v>
      </c>
      <c r="M6131" s="8" t="s">
        <v>34919</v>
      </c>
      <c r="N6131" s="8" t="s">
        <v>585</v>
      </c>
      <c r="O6131" s="8" t="s">
        <v>775</v>
      </c>
      <c r="P6131" s="6" t="s">
        <v>51</v>
      </c>
      <c r="Q6131" s="8" t="s">
        <v>52</v>
      </c>
      <c r="R6131" s="10" t="s">
        <v>34920</v>
      </c>
      <c r="S6131" s="11" t="s">
        <v>34921</v>
      </c>
      <c r="T6131" s="6"/>
      <c r="U6131" s="15" t="str">
        <f>HYPERLINK("https://media.infra-m.ru/1853/1853539/cover/1853539.jpg", "Обложка")</f>
        <v>Обложка</v>
      </c>
      <c r="V6131" s="8" t="s">
        <v>2475</v>
      </c>
      <c r="W6131" s="6"/>
      <c r="X6131" s="6"/>
      <c r="Y6131" s="6"/>
      <c r="Z6131" s="6"/>
      <c r="AA6131" s="6" t="s">
        <v>218</v>
      </c>
      <c r="AB6131" s="8"/>
      <c r="AC6131" s="27">
        <v>9785160149837</v>
      </c>
    </row>
    <row r="6132" spans="1:29" s="4" customFormat="1" ht="51.9" customHeight="1" x14ac:dyDescent="0.2">
      <c r="A6132" s="5">
        <v>0</v>
      </c>
      <c r="B6132" s="6" t="s">
        <v>34922</v>
      </c>
      <c r="C6132" s="7">
        <v>1816.8</v>
      </c>
      <c r="D6132" s="8" t="s">
        <v>34923</v>
      </c>
      <c r="E6132" s="8" t="s">
        <v>34912</v>
      </c>
      <c r="F6132" s="8" t="s">
        <v>34918</v>
      </c>
      <c r="G6132" s="6" t="s">
        <v>118</v>
      </c>
      <c r="H6132" s="6" t="s">
        <v>34</v>
      </c>
      <c r="I6132" s="8" t="s">
        <v>263</v>
      </c>
      <c r="J6132" s="9">
        <v>1</v>
      </c>
      <c r="K6132" s="9">
        <v>322</v>
      </c>
      <c r="L6132" s="9">
        <v>2024</v>
      </c>
      <c r="M6132" s="8" t="s">
        <v>34924</v>
      </c>
      <c r="N6132" s="8" t="s">
        <v>585</v>
      </c>
      <c r="O6132" s="8" t="s">
        <v>775</v>
      </c>
      <c r="P6132" s="6" t="s">
        <v>51</v>
      </c>
      <c r="Q6132" s="8" t="s">
        <v>265</v>
      </c>
      <c r="R6132" s="10" t="s">
        <v>34925</v>
      </c>
      <c r="S6132" s="11" t="s">
        <v>34926</v>
      </c>
      <c r="T6132" s="6"/>
      <c r="U6132" s="15" t="str">
        <f>HYPERLINK("https://media.infra-m.ru/2155/2155299/cover/2155299.jpg", "Обложка")</f>
        <v>Обложка</v>
      </c>
      <c r="V6132" s="8" t="s">
        <v>2475</v>
      </c>
      <c r="W6132" s="6"/>
      <c r="X6132" s="6"/>
      <c r="Y6132" s="6"/>
      <c r="Z6132" s="6" t="s">
        <v>882</v>
      </c>
      <c r="AA6132" s="6" t="s">
        <v>258</v>
      </c>
      <c r="AB6132" s="8"/>
      <c r="AC6132" s="27">
        <v>9785160163765</v>
      </c>
    </row>
    <row r="6133" spans="1:29" s="4" customFormat="1" ht="51.9" customHeight="1" x14ac:dyDescent="0.2">
      <c r="A6133" s="5">
        <v>0</v>
      </c>
      <c r="B6133" s="6" t="s">
        <v>34927</v>
      </c>
      <c r="C6133" s="7">
        <v>2536.8000000000002</v>
      </c>
      <c r="D6133" s="8" t="s">
        <v>34928</v>
      </c>
      <c r="E6133" s="8" t="s">
        <v>34929</v>
      </c>
      <c r="F6133" s="8" t="s">
        <v>34918</v>
      </c>
      <c r="G6133" s="6" t="s">
        <v>60</v>
      </c>
      <c r="H6133" s="6" t="s">
        <v>34</v>
      </c>
      <c r="I6133" s="8" t="s">
        <v>253</v>
      </c>
      <c r="J6133" s="9">
        <v>1</v>
      </c>
      <c r="K6133" s="9">
        <v>383</v>
      </c>
      <c r="L6133" s="9">
        <v>2026</v>
      </c>
      <c r="M6133" s="8" t="s">
        <v>34930</v>
      </c>
      <c r="N6133" s="8" t="s">
        <v>585</v>
      </c>
      <c r="O6133" s="8" t="s">
        <v>775</v>
      </c>
      <c r="P6133" s="6" t="s">
        <v>51</v>
      </c>
      <c r="Q6133" s="8" t="s">
        <v>65</v>
      </c>
      <c r="R6133" s="10" t="s">
        <v>34920</v>
      </c>
      <c r="S6133" s="11" t="s">
        <v>34921</v>
      </c>
      <c r="T6133" s="6"/>
      <c r="U6133" s="15" t="str">
        <f>HYPERLINK("https://media.infra-m.ru/2244/2244113/cover/2244113.jpg", "Обложка")</f>
        <v>Обложка</v>
      </c>
      <c r="V6133" s="8" t="s">
        <v>2475</v>
      </c>
      <c r="W6133" s="6"/>
      <c r="X6133" s="6"/>
      <c r="Y6133" s="6"/>
      <c r="Z6133" s="6"/>
      <c r="AA6133" s="6" t="s">
        <v>5476</v>
      </c>
      <c r="AB6133" s="8"/>
      <c r="AC6133" s="27">
        <v>9785160188607</v>
      </c>
    </row>
    <row r="6134" spans="1:29" s="4" customFormat="1" ht="44.1" customHeight="1" x14ac:dyDescent="0.2">
      <c r="A6134" s="5">
        <v>0</v>
      </c>
      <c r="B6134" s="6" t="s">
        <v>34931</v>
      </c>
      <c r="C6134" s="7">
        <v>2524.8000000000002</v>
      </c>
      <c r="D6134" s="8" t="s">
        <v>34932</v>
      </c>
      <c r="E6134" s="8" t="s">
        <v>34929</v>
      </c>
      <c r="F6134" s="8" t="s">
        <v>34918</v>
      </c>
      <c r="G6134" s="6" t="s">
        <v>118</v>
      </c>
      <c r="H6134" s="6" t="s">
        <v>34</v>
      </c>
      <c r="I6134" s="8" t="s">
        <v>263</v>
      </c>
      <c r="J6134" s="9">
        <v>1</v>
      </c>
      <c r="K6134" s="9">
        <v>383</v>
      </c>
      <c r="L6134" s="9">
        <v>2026</v>
      </c>
      <c r="M6134" s="8" t="s">
        <v>34933</v>
      </c>
      <c r="N6134" s="8" t="s">
        <v>585</v>
      </c>
      <c r="O6134" s="8" t="s">
        <v>775</v>
      </c>
      <c r="P6134" s="6" t="s">
        <v>51</v>
      </c>
      <c r="Q6134" s="8" t="s">
        <v>265</v>
      </c>
      <c r="R6134" s="10" t="s">
        <v>34925</v>
      </c>
      <c r="S6134" s="11"/>
      <c r="T6134" s="6"/>
      <c r="U6134" s="15" t="str">
        <f>HYPERLINK("https://media.infra-m.ru/2242/2242913/cover/2242913.jpg", "Обложка")</f>
        <v>Обложка</v>
      </c>
      <c r="V6134" s="8" t="s">
        <v>2475</v>
      </c>
      <c r="W6134" s="6"/>
      <c r="X6134" s="6"/>
      <c r="Y6134" s="6"/>
      <c r="Z6134" s="6" t="s">
        <v>882</v>
      </c>
      <c r="AA6134" s="6" t="s">
        <v>1295</v>
      </c>
      <c r="AB6134" s="8"/>
      <c r="AC6134" s="27">
        <v>9785160201450</v>
      </c>
    </row>
    <row r="6135" spans="1:29" s="4" customFormat="1" ht="51.9" customHeight="1" x14ac:dyDescent="0.2">
      <c r="A6135" s="5">
        <v>0</v>
      </c>
      <c r="B6135" s="6" t="s">
        <v>34934</v>
      </c>
      <c r="C6135" s="7">
        <v>1756.8</v>
      </c>
      <c r="D6135" s="8" t="s">
        <v>34935</v>
      </c>
      <c r="E6135" s="8" t="s">
        <v>34894</v>
      </c>
      <c r="F6135" s="8" t="s">
        <v>34936</v>
      </c>
      <c r="G6135" s="6" t="s">
        <v>60</v>
      </c>
      <c r="H6135" s="6" t="s">
        <v>34</v>
      </c>
      <c r="I6135" s="8" t="s">
        <v>263</v>
      </c>
      <c r="J6135" s="9">
        <v>1</v>
      </c>
      <c r="K6135" s="9">
        <v>292</v>
      </c>
      <c r="L6135" s="9">
        <v>2023</v>
      </c>
      <c r="M6135" s="8" t="s">
        <v>34937</v>
      </c>
      <c r="N6135" s="8" t="s">
        <v>585</v>
      </c>
      <c r="O6135" s="8" t="s">
        <v>775</v>
      </c>
      <c r="P6135" s="6" t="s">
        <v>51</v>
      </c>
      <c r="Q6135" s="8" t="s">
        <v>265</v>
      </c>
      <c r="R6135" s="10" t="s">
        <v>34938</v>
      </c>
      <c r="S6135" s="11" t="s">
        <v>34939</v>
      </c>
      <c r="T6135" s="6"/>
      <c r="U6135" s="15" t="str">
        <f>HYPERLINK("https://media.infra-m.ru/1976/1976195/cover/1976195.jpg", "Обложка")</f>
        <v>Обложка</v>
      </c>
      <c r="V6135" s="8" t="s">
        <v>6147</v>
      </c>
      <c r="W6135" s="6"/>
      <c r="X6135" s="6"/>
      <c r="Y6135" s="6"/>
      <c r="Z6135" s="6" t="s">
        <v>267</v>
      </c>
      <c r="AA6135" s="6" t="s">
        <v>115</v>
      </c>
      <c r="AB6135" s="8"/>
      <c r="AC6135" s="27">
        <v>9785160153018</v>
      </c>
    </row>
    <row r="6136" spans="1:29" s="4" customFormat="1" ht="51.9" customHeight="1" x14ac:dyDescent="0.2">
      <c r="A6136" s="5">
        <v>0</v>
      </c>
      <c r="B6136" s="6" t="s">
        <v>34940</v>
      </c>
      <c r="C6136" s="7">
        <v>1788</v>
      </c>
      <c r="D6136" s="8" t="s">
        <v>34941</v>
      </c>
      <c r="E6136" s="8" t="s">
        <v>34942</v>
      </c>
      <c r="F6136" s="8" t="s">
        <v>34943</v>
      </c>
      <c r="G6136" s="6" t="s">
        <v>118</v>
      </c>
      <c r="H6136" s="6" t="s">
        <v>34</v>
      </c>
      <c r="I6136" s="8" t="s">
        <v>263</v>
      </c>
      <c r="J6136" s="9">
        <v>1</v>
      </c>
      <c r="K6136" s="9">
        <v>271</v>
      </c>
      <c r="L6136" s="9">
        <v>2026</v>
      </c>
      <c r="M6136" s="8" t="s">
        <v>34944</v>
      </c>
      <c r="N6136" s="8" t="s">
        <v>243</v>
      </c>
      <c r="O6136" s="8" t="s">
        <v>758</v>
      </c>
      <c r="P6136" s="6" t="s">
        <v>51</v>
      </c>
      <c r="Q6136" s="8" t="s">
        <v>265</v>
      </c>
      <c r="R6136" s="10" t="s">
        <v>34945</v>
      </c>
      <c r="S6136" s="11" t="s">
        <v>34946</v>
      </c>
      <c r="T6136" s="6"/>
      <c r="U6136" s="15" t="str">
        <f>HYPERLINK("https://media.infra-m.ru/2239/2239072/cover/2239072.jpg", "Обложка")</f>
        <v>Обложка</v>
      </c>
      <c r="V6136" s="8" t="s">
        <v>7920</v>
      </c>
      <c r="W6136" s="6"/>
      <c r="X6136" s="6"/>
      <c r="Y6136" s="6"/>
      <c r="Z6136" s="6" t="s">
        <v>267</v>
      </c>
      <c r="AA6136" s="6" t="s">
        <v>148</v>
      </c>
      <c r="AB6136" s="8"/>
      <c r="AC6136" s="27">
        <v>9785160176338</v>
      </c>
    </row>
    <row r="6137" spans="1:29" s="4" customFormat="1" ht="51.9" customHeight="1" x14ac:dyDescent="0.2">
      <c r="A6137" s="5">
        <v>0</v>
      </c>
      <c r="B6137" s="6" t="s">
        <v>34947</v>
      </c>
      <c r="C6137" s="7">
        <v>1800</v>
      </c>
      <c r="D6137" s="8" t="s">
        <v>34948</v>
      </c>
      <c r="E6137" s="8" t="s">
        <v>34942</v>
      </c>
      <c r="F6137" s="8" t="s">
        <v>34943</v>
      </c>
      <c r="G6137" s="6" t="s">
        <v>118</v>
      </c>
      <c r="H6137" s="6" t="s">
        <v>34</v>
      </c>
      <c r="I6137" s="8" t="s">
        <v>253</v>
      </c>
      <c r="J6137" s="9">
        <v>1</v>
      </c>
      <c r="K6137" s="9">
        <v>271</v>
      </c>
      <c r="L6137" s="9">
        <v>2026</v>
      </c>
      <c r="M6137" s="8" t="s">
        <v>34949</v>
      </c>
      <c r="N6137" s="8" t="s">
        <v>243</v>
      </c>
      <c r="O6137" s="8" t="s">
        <v>758</v>
      </c>
      <c r="P6137" s="6" t="s">
        <v>51</v>
      </c>
      <c r="Q6137" s="8" t="s">
        <v>52</v>
      </c>
      <c r="R6137" s="10" t="s">
        <v>25006</v>
      </c>
      <c r="S6137" s="11" t="s">
        <v>34950</v>
      </c>
      <c r="T6137" s="6"/>
      <c r="U6137" s="15" t="str">
        <f>HYPERLINK("https://media.infra-m.ru/2239/2239454/cover/2239454.jpg", "Обложка")</f>
        <v>Обложка</v>
      </c>
      <c r="V6137" s="8" t="s">
        <v>7920</v>
      </c>
      <c r="W6137" s="6"/>
      <c r="X6137" s="6"/>
      <c r="Y6137" s="6"/>
      <c r="Z6137" s="6"/>
      <c r="AA6137" s="6" t="s">
        <v>148</v>
      </c>
      <c r="AB6137" s="8"/>
      <c r="AC6137" s="27">
        <v>9785160218472</v>
      </c>
    </row>
    <row r="6138" spans="1:29" s="4" customFormat="1" ht="42" customHeight="1" x14ac:dyDescent="0.2">
      <c r="A6138" s="5">
        <v>0</v>
      </c>
      <c r="B6138" s="6" t="s">
        <v>34951</v>
      </c>
      <c r="C6138" s="7">
        <v>2184</v>
      </c>
      <c r="D6138" s="8" t="s">
        <v>34952</v>
      </c>
      <c r="E6138" s="8" t="s">
        <v>34953</v>
      </c>
      <c r="F6138" s="8" t="s">
        <v>34954</v>
      </c>
      <c r="G6138" s="6" t="s">
        <v>118</v>
      </c>
      <c r="H6138" s="6" t="s">
        <v>34</v>
      </c>
      <c r="I6138" s="8" t="s">
        <v>35</v>
      </c>
      <c r="J6138" s="9">
        <v>1</v>
      </c>
      <c r="K6138" s="9">
        <v>395</v>
      </c>
      <c r="L6138" s="9">
        <v>2024</v>
      </c>
      <c r="M6138" s="8" t="s">
        <v>34955</v>
      </c>
      <c r="N6138" s="8" t="s">
        <v>243</v>
      </c>
      <c r="O6138" s="8" t="s">
        <v>798</v>
      </c>
      <c r="P6138" s="6" t="s">
        <v>39</v>
      </c>
      <c r="Q6138" s="8" t="s">
        <v>40</v>
      </c>
      <c r="R6138" s="10" t="s">
        <v>13215</v>
      </c>
      <c r="S6138" s="11"/>
      <c r="T6138" s="6"/>
      <c r="U6138" s="15" t="str">
        <f>HYPERLINK("https://media.infra-m.ru/2111/2111784/cover/2111784.jpg", "Обложка")</f>
        <v>Обложка</v>
      </c>
      <c r="V6138" s="8" t="s">
        <v>809</v>
      </c>
      <c r="W6138" s="6"/>
      <c r="X6138" s="6"/>
      <c r="Y6138" s="6"/>
      <c r="Z6138" s="6"/>
      <c r="AA6138" s="6" t="s">
        <v>1256</v>
      </c>
      <c r="AB6138" s="8"/>
      <c r="AC6138" s="27">
        <v>9785160158792</v>
      </c>
    </row>
    <row r="6139" spans="1:29" s="4" customFormat="1" ht="44.1" customHeight="1" x14ac:dyDescent="0.2">
      <c r="A6139" s="5">
        <v>0</v>
      </c>
      <c r="B6139" s="6" t="s">
        <v>34956</v>
      </c>
      <c r="C6139" s="7">
        <v>1536</v>
      </c>
      <c r="D6139" s="8" t="s">
        <v>34957</v>
      </c>
      <c r="E6139" s="8" t="s">
        <v>34958</v>
      </c>
      <c r="F6139" s="8" t="s">
        <v>34959</v>
      </c>
      <c r="G6139" s="6" t="s">
        <v>118</v>
      </c>
      <c r="H6139" s="6" t="s">
        <v>34</v>
      </c>
      <c r="I6139" s="8" t="s">
        <v>1081</v>
      </c>
      <c r="J6139" s="9">
        <v>1</v>
      </c>
      <c r="K6139" s="9">
        <v>247</v>
      </c>
      <c r="L6139" s="9">
        <v>2025</v>
      </c>
      <c r="M6139" s="8" t="s">
        <v>34960</v>
      </c>
      <c r="N6139" s="8" t="s">
        <v>37</v>
      </c>
      <c r="O6139" s="8" t="s">
        <v>280</v>
      </c>
      <c r="P6139" s="6" t="s">
        <v>39</v>
      </c>
      <c r="Q6139" s="8" t="s">
        <v>40</v>
      </c>
      <c r="R6139" s="10" t="s">
        <v>34961</v>
      </c>
      <c r="S6139" s="11"/>
      <c r="T6139" s="6"/>
      <c r="U6139" s="15" t="str">
        <f>HYPERLINK("https://media.infra-m.ru/2194/2194985/cover/2194985.jpg", "Обложка")</f>
        <v>Обложка</v>
      </c>
      <c r="V6139" s="8" t="s">
        <v>1083</v>
      </c>
      <c r="W6139" s="6"/>
      <c r="X6139" s="6"/>
      <c r="Y6139" s="6"/>
      <c r="Z6139" s="6"/>
      <c r="AA6139" s="6" t="s">
        <v>86</v>
      </c>
      <c r="AB6139" s="8"/>
      <c r="AC6139" s="27">
        <v>9785160208091</v>
      </c>
    </row>
    <row r="6140" spans="1:29" s="4" customFormat="1" ht="51.9" customHeight="1" x14ac:dyDescent="0.2">
      <c r="A6140" s="5">
        <v>0</v>
      </c>
      <c r="B6140" s="6" t="s">
        <v>34962</v>
      </c>
      <c r="C6140" s="13">
        <v>904.8</v>
      </c>
      <c r="D6140" s="8" t="s">
        <v>34963</v>
      </c>
      <c r="E6140" s="8" t="s">
        <v>34964</v>
      </c>
      <c r="F6140" s="8" t="s">
        <v>34965</v>
      </c>
      <c r="G6140" s="6" t="s">
        <v>33</v>
      </c>
      <c r="H6140" s="6" t="s">
        <v>34</v>
      </c>
      <c r="I6140" s="8" t="s">
        <v>35</v>
      </c>
      <c r="J6140" s="9">
        <v>1</v>
      </c>
      <c r="K6140" s="9">
        <v>160</v>
      </c>
      <c r="L6140" s="9">
        <v>2024</v>
      </c>
      <c r="M6140" s="8" t="s">
        <v>34966</v>
      </c>
      <c r="N6140" s="8" t="s">
        <v>63</v>
      </c>
      <c r="O6140" s="8" t="s">
        <v>64</v>
      </c>
      <c r="P6140" s="6" t="s">
        <v>39</v>
      </c>
      <c r="Q6140" s="8" t="s">
        <v>40</v>
      </c>
      <c r="R6140" s="10" t="s">
        <v>34967</v>
      </c>
      <c r="S6140" s="11"/>
      <c r="T6140" s="6"/>
      <c r="U6140" s="15" t="str">
        <f>HYPERLINK("https://media.infra-m.ru/2134/2134158/cover/2134158.jpg", "Обложка")</f>
        <v>Обложка</v>
      </c>
      <c r="V6140" s="8" t="s">
        <v>3693</v>
      </c>
      <c r="W6140" s="6"/>
      <c r="X6140" s="6"/>
      <c r="Y6140" s="6"/>
      <c r="Z6140" s="6"/>
      <c r="AA6140" s="6" t="s">
        <v>874</v>
      </c>
      <c r="AB6140" s="8"/>
      <c r="AC6140" s="27">
        <v>9785160109688</v>
      </c>
    </row>
    <row r="6141" spans="1:29" s="4" customFormat="1" ht="51.9" customHeight="1" x14ac:dyDescent="0.2">
      <c r="A6141" s="5">
        <v>0</v>
      </c>
      <c r="B6141" s="6" t="s">
        <v>34968</v>
      </c>
      <c r="C6141" s="7">
        <v>1432.8</v>
      </c>
      <c r="D6141" s="8" t="s">
        <v>34969</v>
      </c>
      <c r="E6141" s="8" t="s">
        <v>34970</v>
      </c>
      <c r="F6141" s="8" t="s">
        <v>34971</v>
      </c>
      <c r="G6141" s="6" t="s">
        <v>33</v>
      </c>
      <c r="H6141" s="6" t="s">
        <v>34</v>
      </c>
      <c r="I6141" s="8" t="s">
        <v>253</v>
      </c>
      <c r="J6141" s="9">
        <v>1</v>
      </c>
      <c r="K6141" s="9">
        <v>116</v>
      </c>
      <c r="L6141" s="9">
        <v>2026</v>
      </c>
      <c r="M6141" s="8" t="s">
        <v>34972</v>
      </c>
      <c r="N6141" s="8" t="s">
        <v>63</v>
      </c>
      <c r="O6141" s="8" t="s">
        <v>181</v>
      </c>
      <c r="P6141" s="6" t="s">
        <v>306</v>
      </c>
      <c r="Q6141" s="8" t="s">
        <v>65</v>
      </c>
      <c r="R6141" s="10" t="s">
        <v>34973</v>
      </c>
      <c r="S6141" s="11" t="s">
        <v>34974</v>
      </c>
      <c r="T6141" s="6"/>
      <c r="U6141" s="15" t="str">
        <f>HYPERLINK("https://media.infra-m.ru/2149/2149178/cover/2149178.jpg", "Обложка")</f>
        <v>Обложка</v>
      </c>
      <c r="V6141" s="8" t="s">
        <v>2427</v>
      </c>
      <c r="W6141" s="6"/>
      <c r="X6141" s="6"/>
      <c r="Y6141" s="6"/>
      <c r="Z6141" s="6"/>
      <c r="AA6141" s="6" t="s">
        <v>430</v>
      </c>
      <c r="AB6141" s="8"/>
      <c r="AC6141" s="27">
        <v>9785160186382</v>
      </c>
    </row>
    <row r="6142" spans="1:29" s="4" customFormat="1" ht="51.9" customHeight="1" x14ac:dyDescent="0.2">
      <c r="A6142" s="5">
        <v>0</v>
      </c>
      <c r="B6142" s="6" t="s">
        <v>34975</v>
      </c>
      <c r="C6142" s="7">
        <v>1774.8</v>
      </c>
      <c r="D6142" s="8" t="s">
        <v>34976</v>
      </c>
      <c r="E6142" s="8" t="s">
        <v>34970</v>
      </c>
      <c r="F6142" s="8" t="s">
        <v>34971</v>
      </c>
      <c r="G6142" s="6" t="s">
        <v>33</v>
      </c>
      <c r="H6142" s="6" t="s">
        <v>34</v>
      </c>
      <c r="I6142" s="8" t="s">
        <v>263</v>
      </c>
      <c r="J6142" s="9">
        <v>1</v>
      </c>
      <c r="K6142" s="9">
        <v>116</v>
      </c>
      <c r="L6142" s="9">
        <v>2026</v>
      </c>
      <c r="M6142" s="8" t="s">
        <v>34977</v>
      </c>
      <c r="N6142" s="8" t="s">
        <v>63</v>
      </c>
      <c r="O6142" s="8" t="s">
        <v>181</v>
      </c>
      <c r="P6142" s="6" t="s">
        <v>306</v>
      </c>
      <c r="Q6142" s="8" t="s">
        <v>265</v>
      </c>
      <c r="R6142" s="10" t="s">
        <v>34978</v>
      </c>
      <c r="S6142" s="11"/>
      <c r="T6142" s="6"/>
      <c r="U6142" s="15" t="str">
        <f>HYPERLINK("https://media.infra-m.ru/2256/2256419/cover/2256419.jpg", "Обложка")</f>
        <v>Обложка</v>
      </c>
      <c r="V6142" s="8" t="s">
        <v>2427</v>
      </c>
      <c r="W6142" s="6"/>
      <c r="X6142" s="6"/>
      <c r="Y6142" s="6"/>
      <c r="Z6142" s="6" t="s">
        <v>882</v>
      </c>
      <c r="AA6142" s="6" t="s">
        <v>68</v>
      </c>
      <c r="AB6142" s="8"/>
      <c r="AC6142" s="27">
        <v>9785160221632</v>
      </c>
    </row>
    <row r="6143" spans="1:29" s="4" customFormat="1" ht="51.9" customHeight="1" x14ac:dyDescent="0.2">
      <c r="A6143" s="5">
        <v>0</v>
      </c>
      <c r="B6143" s="6" t="s">
        <v>34979</v>
      </c>
      <c r="C6143" s="7">
        <v>5868</v>
      </c>
      <c r="D6143" s="8" t="s">
        <v>34980</v>
      </c>
      <c r="E6143" s="8" t="s">
        <v>34981</v>
      </c>
      <c r="F6143" s="8" t="s">
        <v>34982</v>
      </c>
      <c r="G6143" s="6" t="s">
        <v>60</v>
      </c>
      <c r="H6143" s="6" t="s">
        <v>34</v>
      </c>
      <c r="I6143" s="8" t="s">
        <v>375</v>
      </c>
      <c r="J6143" s="9">
        <v>1</v>
      </c>
      <c r="K6143" s="9">
        <v>1107</v>
      </c>
      <c r="L6143" s="9">
        <v>2025</v>
      </c>
      <c r="M6143" s="8" t="s">
        <v>34983</v>
      </c>
      <c r="N6143" s="8" t="s">
        <v>243</v>
      </c>
      <c r="O6143" s="8" t="s">
        <v>385</v>
      </c>
      <c r="P6143" s="6" t="s">
        <v>51</v>
      </c>
      <c r="Q6143" s="8" t="s">
        <v>65</v>
      </c>
      <c r="R6143" s="10" t="s">
        <v>6671</v>
      </c>
      <c r="S6143" s="11" t="s">
        <v>34984</v>
      </c>
      <c r="T6143" s="6"/>
      <c r="U6143" s="15" t="str">
        <f>HYPERLINK("https://media.infra-m.ru/2155/2155740/cover/2155740.jpg", "Обложка")</f>
        <v>Обложка</v>
      </c>
      <c r="V6143" s="8" t="s">
        <v>379</v>
      </c>
      <c r="W6143" s="6"/>
      <c r="X6143" s="6"/>
      <c r="Y6143" s="6"/>
      <c r="Z6143" s="6"/>
      <c r="AA6143" s="6" t="s">
        <v>68</v>
      </c>
      <c r="AB6143" s="8"/>
      <c r="AC6143" s="27">
        <v>9785160200415</v>
      </c>
    </row>
    <row r="6144" spans="1:29" s="4" customFormat="1" ht="44.1" customHeight="1" x14ac:dyDescent="0.2">
      <c r="A6144" s="5">
        <v>0</v>
      </c>
      <c r="B6144" s="6" t="s">
        <v>34985</v>
      </c>
      <c r="C6144" s="7">
        <v>1188</v>
      </c>
      <c r="D6144" s="8" t="s">
        <v>34986</v>
      </c>
      <c r="E6144" s="8" t="s">
        <v>34987</v>
      </c>
      <c r="F6144" s="8" t="s">
        <v>8137</v>
      </c>
      <c r="G6144" s="6" t="s">
        <v>60</v>
      </c>
      <c r="H6144" s="6" t="s">
        <v>34</v>
      </c>
      <c r="I6144" s="8" t="s">
        <v>35</v>
      </c>
      <c r="J6144" s="9">
        <v>1</v>
      </c>
      <c r="K6144" s="9">
        <v>206</v>
      </c>
      <c r="L6144" s="9">
        <v>2024</v>
      </c>
      <c r="M6144" s="8" t="s">
        <v>34988</v>
      </c>
      <c r="N6144" s="8" t="s">
        <v>37</v>
      </c>
      <c r="O6144" s="8" t="s">
        <v>233</v>
      </c>
      <c r="P6144" s="6" t="s">
        <v>39</v>
      </c>
      <c r="Q6144" s="8" t="s">
        <v>40</v>
      </c>
      <c r="R6144" s="10" t="s">
        <v>459</v>
      </c>
      <c r="S6144" s="11"/>
      <c r="T6144" s="6"/>
      <c r="U6144" s="15" t="str">
        <f>HYPERLINK("https://media.infra-m.ru/2108/2108537/cover/2108537.jpg", "Обложка")</f>
        <v>Обложка</v>
      </c>
      <c r="V6144" s="8" t="s">
        <v>8139</v>
      </c>
      <c r="W6144" s="6"/>
      <c r="X6144" s="6"/>
      <c r="Y6144" s="6"/>
      <c r="Z6144" s="6"/>
      <c r="AA6144" s="6" t="s">
        <v>76</v>
      </c>
      <c r="AB6144" s="8"/>
      <c r="AC6144" s="27">
        <v>9785160193229</v>
      </c>
    </row>
    <row r="6145" spans="1:29" s="4" customFormat="1" ht="51.9" customHeight="1" x14ac:dyDescent="0.2">
      <c r="A6145" s="5">
        <v>0</v>
      </c>
      <c r="B6145" s="6" t="s">
        <v>34989</v>
      </c>
      <c r="C6145" s="7">
        <v>1188</v>
      </c>
      <c r="D6145" s="8" t="s">
        <v>34990</v>
      </c>
      <c r="E6145" s="8" t="s">
        <v>34991</v>
      </c>
      <c r="F6145" s="8" t="s">
        <v>34992</v>
      </c>
      <c r="G6145" s="6" t="s">
        <v>33</v>
      </c>
      <c r="H6145" s="6" t="s">
        <v>34</v>
      </c>
      <c r="I6145" s="8" t="s">
        <v>35</v>
      </c>
      <c r="J6145" s="9">
        <v>1</v>
      </c>
      <c r="K6145" s="9">
        <v>197</v>
      </c>
      <c r="L6145" s="9">
        <v>2025</v>
      </c>
      <c r="M6145" s="8" t="s">
        <v>34993</v>
      </c>
      <c r="N6145" s="8" t="s">
        <v>63</v>
      </c>
      <c r="O6145" s="8" t="s">
        <v>64</v>
      </c>
      <c r="P6145" s="6" t="s">
        <v>39</v>
      </c>
      <c r="Q6145" s="8" t="s">
        <v>40</v>
      </c>
      <c r="R6145" s="10" t="s">
        <v>34994</v>
      </c>
      <c r="S6145" s="11"/>
      <c r="T6145" s="6"/>
      <c r="U6145" s="15" t="str">
        <f>HYPERLINK("https://media.infra-m.ru/2140/2140133/cover/2140133.jpg", "Обложка")</f>
        <v>Обложка</v>
      </c>
      <c r="V6145" s="8" t="s">
        <v>227</v>
      </c>
      <c r="W6145" s="6"/>
      <c r="X6145" s="6"/>
      <c r="Y6145" s="6"/>
      <c r="Z6145" s="6"/>
      <c r="AA6145" s="6" t="s">
        <v>68</v>
      </c>
      <c r="AB6145" s="8" t="s">
        <v>34995</v>
      </c>
      <c r="AC6145" s="27">
        <v>9785160198378</v>
      </c>
    </row>
    <row r="6146" spans="1:29" s="4" customFormat="1" ht="42" customHeight="1" x14ac:dyDescent="0.2">
      <c r="A6146" s="5">
        <v>0</v>
      </c>
      <c r="B6146" s="6" t="s">
        <v>34996</v>
      </c>
      <c r="C6146" s="13">
        <v>916.8</v>
      </c>
      <c r="D6146" s="8" t="s">
        <v>34997</v>
      </c>
      <c r="E6146" s="8" t="s">
        <v>34998</v>
      </c>
      <c r="F6146" s="8" t="s">
        <v>34999</v>
      </c>
      <c r="G6146" s="6" t="s">
        <v>33</v>
      </c>
      <c r="H6146" s="6" t="s">
        <v>34</v>
      </c>
      <c r="I6146" s="8" t="s">
        <v>111</v>
      </c>
      <c r="J6146" s="9">
        <v>1</v>
      </c>
      <c r="K6146" s="9">
        <v>139</v>
      </c>
      <c r="L6146" s="9">
        <v>2026</v>
      </c>
      <c r="M6146" s="8" t="s">
        <v>35000</v>
      </c>
      <c r="N6146" s="8" t="s">
        <v>243</v>
      </c>
      <c r="O6146" s="8" t="s">
        <v>385</v>
      </c>
      <c r="P6146" s="6" t="s">
        <v>39</v>
      </c>
      <c r="Q6146" s="8" t="s">
        <v>40</v>
      </c>
      <c r="R6146" s="10" t="s">
        <v>35001</v>
      </c>
      <c r="S6146" s="11"/>
      <c r="T6146" s="6"/>
      <c r="U6146" s="15" t="str">
        <f>HYPERLINK("https://media.infra-m.ru/2179/2179414/cover/2179414.jpg", "Обложка")</f>
        <v>Обложка</v>
      </c>
      <c r="V6146" s="8" t="s">
        <v>414</v>
      </c>
      <c r="W6146" s="6"/>
      <c r="X6146" s="6"/>
      <c r="Y6146" s="6"/>
      <c r="Z6146" s="6"/>
      <c r="AA6146" s="6" t="s">
        <v>115</v>
      </c>
      <c r="AB6146" s="8"/>
      <c r="AC6146" s="27">
        <v>9785160175447</v>
      </c>
    </row>
    <row r="6147" spans="1:29" s="4" customFormat="1" ht="44.1" customHeight="1" x14ac:dyDescent="0.2">
      <c r="A6147" s="5">
        <v>0</v>
      </c>
      <c r="B6147" s="6" t="s">
        <v>35002</v>
      </c>
      <c r="C6147" s="7">
        <v>1576.8</v>
      </c>
      <c r="D6147" s="8" t="s">
        <v>35003</v>
      </c>
      <c r="E6147" s="8" t="s">
        <v>35004</v>
      </c>
      <c r="F6147" s="8" t="s">
        <v>35005</v>
      </c>
      <c r="G6147" s="6" t="s">
        <v>33</v>
      </c>
      <c r="H6147" s="6" t="s">
        <v>34</v>
      </c>
      <c r="I6147" s="8" t="s">
        <v>35</v>
      </c>
      <c r="J6147" s="9">
        <v>1</v>
      </c>
      <c r="K6147" s="9">
        <v>226</v>
      </c>
      <c r="L6147" s="9">
        <v>2027</v>
      </c>
      <c r="M6147" s="8" t="s">
        <v>35006</v>
      </c>
      <c r="N6147" s="8" t="s">
        <v>37</v>
      </c>
      <c r="O6147" s="8" t="s">
        <v>136</v>
      </c>
      <c r="P6147" s="6" t="s">
        <v>39</v>
      </c>
      <c r="Q6147" s="8" t="s">
        <v>40</v>
      </c>
      <c r="R6147" s="10" t="s">
        <v>1625</v>
      </c>
      <c r="S6147" s="11"/>
      <c r="T6147" s="6"/>
      <c r="U6147" s="15" t="str">
        <f>HYPERLINK("https://media.infra-m.ru/2230/2230075/cover/2230075.jpg", "Обложка")</f>
        <v>Обложка</v>
      </c>
      <c r="V6147" s="8" t="s">
        <v>1231</v>
      </c>
      <c r="W6147" s="6"/>
      <c r="X6147" s="6"/>
      <c r="Y6147" s="6"/>
      <c r="Z6147" s="6"/>
      <c r="AA6147" s="6" t="s">
        <v>76</v>
      </c>
      <c r="AB6147" s="8"/>
      <c r="AC6147" s="27">
        <v>9785160196367</v>
      </c>
    </row>
    <row r="6148" spans="1:29" s="4" customFormat="1" ht="51.9" customHeight="1" x14ac:dyDescent="0.2">
      <c r="A6148" s="5">
        <v>0</v>
      </c>
      <c r="B6148" s="6" t="s">
        <v>35007</v>
      </c>
      <c r="C6148" s="7">
        <v>1284</v>
      </c>
      <c r="D6148" s="8" t="s">
        <v>35008</v>
      </c>
      <c r="E6148" s="8" t="s">
        <v>35009</v>
      </c>
      <c r="F6148" s="8" t="s">
        <v>35010</v>
      </c>
      <c r="G6148" s="6" t="s">
        <v>33</v>
      </c>
      <c r="H6148" s="6" t="s">
        <v>34</v>
      </c>
      <c r="I6148" s="8" t="s">
        <v>1074</v>
      </c>
      <c r="J6148" s="9">
        <v>1</v>
      </c>
      <c r="K6148" s="9">
        <v>184</v>
      </c>
      <c r="L6148" s="9">
        <v>2025</v>
      </c>
      <c r="M6148" s="8" t="s">
        <v>35011</v>
      </c>
      <c r="N6148" s="8" t="s">
        <v>37</v>
      </c>
      <c r="O6148" s="8" t="s">
        <v>136</v>
      </c>
      <c r="P6148" s="6" t="s">
        <v>3141</v>
      </c>
      <c r="Q6148" s="8" t="s">
        <v>40</v>
      </c>
      <c r="R6148" s="10" t="s">
        <v>35012</v>
      </c>
      <c r="S6148" s="11"/>
      <c r="T6148" s="6"/>
      <c r="U6148" s="15" t="str">
        <f>HYPERLINK("https://media.infra-m.ru/2261/2261828/cover/2261828.jpg", "Обложка")</f>
        <v>Обложка</v>
      </c>
      <c r="V6148" s="8" t="s">
        <v>138</v>
      </c>
      <c r="W6148" s="6"/>
      <c r="X6148" s="6"/>
      <c r="Y6148" s="6"/>
      <c r="Z6148" s="6"/>
      <c r="AA6148" s="6" t="s">
        <v>779</v>
      </c>
      <c r="AB6148" s="8"/>
      <c r="AC6148" s="27">
        <v>9785160167909</v>
      </c>
    </row>
    <row r="6149" spans="1:29" s="4" customFormat="1" ht="51.9" customHeight="1" x14ac:dyDescent="0.2">
      <c r="A6149" s="5">
        <v>0</v>
      </c>
      <c r="B6149" s="6" t="s">
        <v>35013</v>
      </c>
      <c r="C6149" s="13">
        <v>636</v>
      </c>
      <c r="D6149" s="8" t="s">
        <v>35014</v>
      </c>
      <c r="E6149" s="8" t="s">
        <v>35009</v>
      </c>
      <c r="F6149" s="8" t="s">
        <v>35010</v>
      </c>
      <c r="G6149" s="6" t="s">
        <v>60</v>
      </c>
      <c r="H6149" s="6" t="s">
        <v>34</v>
      </c>
      <c r="I6149" s="8" t="s">
        <v>1074</v>
      </c>
      <c r="J6149" s="9">
        <v>1</v>
      </c>
      <c r="K6149" s="9">
        <v>184</v>
      </c>
      <c r="L6149" s="9">
        <v>2018</v>
      </c>
      <c r="M6149" s="8" t="s">
        <v>35015</v>
      </c>
      <c r="N6149" s="8" t="s">
        <v>37</v>
      </c>
      <c r="O6149" s="8" t="s">
        <v>136</v>
      </c>
      <c r="P6149" s="6" t="s">
        <v>3141</v>
      </c>
      <c r="Q6149" s="8" t="s">
        <v>40</v>
      </c>
      <c r="R6149" s="10" t="s">
        <v>35012</v>
      </c>
      <c r="S6149" s="11"/>
      <c r="T6149" s="6"/>
      <c r="U6149" s="12"/>
      <c r="V6149" s="8" t="s">
        <v>138</v>
      </c>
      <c r="W6149" s="6"/>
      <c r="X6149" s="6"/>
      <c r="Y6149" s="6"/>
      <c r="Z6149" s="6"/>
      <c r="AA6149" s="6" t="s">
        <v>779</v>
      </c>
      <c r="AB6149" s="8"/>
      <c r="AC6149" s="27">
        <v>9785160119991</v>
      </c>
    </row>
    <row r="6150" spans="1:29" s="4" customFormat="1" ht="44.1" customHeight="1" x14ac:dyDescent="0.2">
      <c r="A6150" s="5">
        <v>0</v>
      </c>
      <c r="B6150" s="6" t="s">
        <v>35016</v>
      </c>
      <c r="C6150" s="13">
        <v>892.8</v>
      </c>
      <c r="D6150" s="8" t="s">
        <v>35017</v>
      </c>
      <c r="E6150" s="8" t="s">
        <v>35018</v>
      </c>
      <c r="F6150" s="8" t="s">
        <v>35019</v>
      </c>
      <c r="G6150" s="6" t="s">
        <v>33</v>
      </c>
      <c r="H6150" s="6" t="s">
        <v>1644</v>
      </c>
      <c r="I6150" s="8"/>
      <c r="J6150" s="9">
        <v>1</v>
      </c>
      <c r="K6150" s="9">
        <v>128</v>
      </c>
      <c r="L6150" s="9">
        <v>2026</v>
      </c>
      <c r="M6150" s="8" t="s">
        <v>35020</v>
      </c>
      <c r="N6150" s="8" t="s">
        <v>37</v>
      </c>
      <c r="O6150" s="8" t="s">
        <v>136</v>
      </c>
      <c r="P6150" s="6" t="s">
        <v>234</v>
      </c>
      <c r="Q6150" s="8" t="s">
        <v>40</v>
      </c>
      <c r="R6150" s="10" t="s">
        <v>20032</v>
      </c>
      <c r="S6150" s="11"/>
      <c r="T6150" s="6"/>
      <c r="U6150" s="15" t="str">
        <f>HYPERLINK("https://media.infra-m.ru/2250/2250923/cover/2250923.jpg", "Обложка")</f>
        <v>Обложка</v>
      </c>
      <c r="V6150" s="8" t="s">
        <v>247</v>
      </c>
      <c r="W6150" s="6"/>
      <c r="X6150" s="6"/>
      <c r="Y6150" s="6"/>
      <c r="Z6150" s="6"/>
      <c r="AA6150" s="6" t="s">
        <v>43</v>
      </c>
      <c r="AB6150" s="8"/>
      <c r="AC6150" s="27">
        <v>9785977602150</v>
      </c>
    </row>
    <row r="6151" spans="1:29" s="4" customFormat="1" ht="51.9" customHeight="1" x14ac:dyDescent="0.2">
      <c r="A6151" s="5">
        <v>0</v>
      </c>
      <c r="B6151" s="6" t="s">
        <v>35021</v>
      </c>
      <c r="C6151" s="7">
        <v>1212</v>
      </c>
      <c r="D6151" s="8" t="s">
        <v>35022</v>
      </c>
      <c r="E6151" s="8" t="s">
        <v>35023</v>
      </c>
      <c r="F6151" s="8" t="s">
        <v>35024</v>
      </c>
      <c r="G6151" s="6" t="s">
        <v>118</v>
      </c>
      <c r="H6151" s="6" t="s">
        <v>34</v>
      </c>
      <c r="I6151" s="8" t="s">
        <v>35</v>
      </c>
      <c r="J6151" s="9">
        <v>1</v>
      </c>
      <c r="K6151" s="9">
        <v>187</v>
      </c>
      <c r="L6151" s="9">
        <v>2025</v>
      </c>
      <c r="M6151" s="8" t="s">
        <v>35025</v>
      </c>
      <c r="N6151" s="8" t="s">
        <v>37</v>
      </c>
      <c r="O6151" s="8" t="s">
        <v>136</v>
      </c>
      <c r="P6151" s="6" t="s">
        <v>39</v>
      </c>
      <c r="Q6151" s="8" t="s">
        <v>40</v>
      </c>
      <c r="R6151" s="10" t="s">
        <v>676</v>
      </c>
      <c r="S6151" s="11"/>
      <c r="T6151" s="6"/>
      <c r="U6151" s="15" t="str">
        <f>HYPERLINK("https://media.infra-m.ru/2208/2208736/cover/2208736.jpg", "Обложка")</f>
        <v>Обложка</v>
      </c>
      <c r="V6151" s="8" t="s">
        <v>396</v>
      </c>
      <c r="W6151" s="6"/>
      <c r="X6151" s="6"/>
      <c r="Y6151" s="6"/>
      <c r="Z6151" s="6"/>
      <c r="AA6151" s="6" t="s">
        <v>148</v>
      </c>
      <c r="AB6151" s="8"/>
      <c r="AC6151" s="27">
        <v>9785160175508</v>
      </c>
    </row>
    <row r="6152" spans="1:29" s="4" customFormat="1" ht="51.9" customHeight="1" x14ac:dyDescent="0.2">
      <c r="A6152" s="5">
        <v>0</v>
      </c>
      <c r="B6152" s="6" t="s">
        <v>35026</v>
      </c>
      <c r="C6152" s="7">
        <v>1164</v>
      </c>
      <c r="D6152" s="8" t="s">
        <v>35027</v>
      </c>
      <c r="E6152" s="8" t="s">
        <v>35028</v>
      </c>
      <c r="F6152" s="8" t="s">
        <v>35029</v>
      </c>
      <c r="G6152" s="6" t="s">
        <v>33</v>
      </c>
      <c r="H6152" s="6" t="s">
        <v>34</v>
      </c>
      <c r="I6152" s="8" t="s">
        <v>35</v>
      </c>
      <c r="J6152" s="9">
        <v>1</v>
      </c>
      <c r="K6152" s="9">
        <v>210</v>
      </c>
      <c r="L6152" s="9">
        <v>2024</v>
      </c>
      <c r="M6152" s="8" t="s">
        <v>35030</v>
      </c>
      <c r="N6152" s="8" t="s">
        <v>37</v>
      </c>
      <c r="O6152" s="8" t="s">
        <v>136</v>
      </c>
      <c r="P6152" s="6" t="s">
        <v>39</v>
      </c>
      <c r="Q6152" s="8" t="s">
        <v>40</v>
      </c>
      <c r="R6152" s="10" t="s">
        <v>33993</v>
      </c>
      <c r="S6152" s="11"/>
      <c r="T6152" s="6"/>
      <c r="U6152" s="15" t="str">
        <f>HYPERLINK("https://media.infra-m.ru/2083/2083372/cover/2083372.jpg", "Обложка")</f>
        <v>Обложка</v>
      </c>
      <c r="V6152" s="8" t="s">
        <v>1675</v>
      </c>
      <c r="W6152" s="6"/>
      <c r="X6152" s="6"/>
      <c r="Y6152" s="6"/>
      <c r="Z6152" s="6"/>
      <c r="AA6152" s="6" t="s">
        <v>157</v>
      </c>
      <c r="AB6152" s="8"/>
      <c r="AC6152" s="27">
        <v>9785160178813</v>
      </c>
    </row>
    <row r="6153" spans="1:29" s="4" customFormat="1" ht="51.9" customHeight="1" x14ac:dyDescent="0.2">
      <c r="A6153" s="5">
        <v>0</v>
      </c>
      <c r="B6153" s="6" t="s">
        <v>35031</v>
      </c>
      <c r="C6153" s="7">
        <v>4312.8</v>
      </c>
      <c r="D6153" s="8" t="s">
        <v>35032</v>
      </c>
      <c r="E6153" s="8" t="s">
        <v>35033</v>
      </c>
      <c r="F6153" s="8" t="s">
        <v>35034</v>
      </c>
      <c r="G6153" s="6" t="s">
        <v>60</v>
      </c>
      <c r="H6153" s="6" t="s">
        <v>34</v>
      </c>
      <c r="I6153" s="8" t="s">
        <v>253</v>
      </c>
      <c r="J6153" s="9">
        <v>1</v>
      </c>
      <c r="K6153" s="9">
        <v>806</v>
      </c>
      <c r="L6153" s="9">
        <v>2026</v>
      </c>
      <c r="M6153" s="8" t="s">
        <v>35035</v>
      </c>
      <c r="N6153" s="8" t="s">
        <v>37</v>
      </c>
      <c r="O6153" s="8" t="s">
        <v>136</v>
      </c>
      <c r="P6153" s="6" t="s">
        <v>306</v>
      </c>
      <c r="Q6153" s="8" t="s">
        <v>65</v>
      </c>
      <c r="R6153" s="10" t="s">
        <v>35036</v>
      </c>
      <c r="S6153" s="11"/>
      <c r="T6153" s="6"/>
      <c r="U6153" s="15" t="str">
        <f>HYPERLINK("https://media.infra-m.ru/2219/2219345/cover/2219345.jpg", "Обложка")</f>
        <v>Обложка</v>
      </c>
      <c r="V6153" s="8" t="s">
        <v>1231</v>
      </c>
      <c r="W6153" s="6"/>
      <c r="X6153" s="6"/>
      <c r="Y6153" s="6"/>
      <c r="Z6153" s="6"/>
      <c r="AA6153" s="6" t="s">
        <v>68</v>
      </c>
      <c r="AB6153" s="8"/>
      <c r="AC6153" s="27">
        <v>9785160198071</v>
      </c>
    </row>
    <row r="6154" spans="1:29" s="4" customFormat="1" ht="51.9" customHeight="1" x14ac:dyDescent="0.2">
      <c r="A6154" s="5">
        <v>0</v>
      </c>
      <c r="B6154" s="6" t="s">
        <v>35037</v>
      </c>
      <c r="C6154" s="7">
        <v>3540</v>
      </c>
      <c r="D6154" s="8" t="s">
        <v>35038</v>
      </c>
      <c r="E6154" s="8" t="s">
        <v>35039</v>
      </c>
      <c r="F6154" s="8" t="s">
        <v>35040</v>
      </c>
      <c r="G6154" s="6" t="s">
        <v>60</v>
      </c>
      <c r="H6154" s="6" t="s">
        <v>34</v>
      </c>
      <c r="I6154" s="8" t="s">
        <v>5350</v>
      </c>
      <c r="J6154" s="9">
        <v>1</v>
      </c>
      <c r="K6154" s="9">
        <v>642</v>
      </c>
      <c r="L6154" s="9">
        <v>2024</v>
      </c>
      <c r="M6154" s="8" t="s">
        <v>35041</v>
      </c>
      <c r="N6154" s="8" t="s">
        <v>37</v>
      </c>
      <c r="O6154" s="8" t="s">
        <v>136</v>
      </c>
      <c r="P6154" s="6" t="s">
        <v>306</v>
      </c>
      <c r="Q6154" s="8" t="s">
        <v>377</v>
      </c>
      <c r="R6154" s="10" t="s">
        <v>35042</v>
      </c>
      <c r="S6154" s="11" t="s">
        <v>35043</v>
      </c>
      <c r="T6154" s="6"/>
      <c r="U6154" s="15" t="str">
        <f>HYPERLINK("https://media.infra-m.ru/2121/2121606/cover/2121606.jpg", "Обложка")</f>
        <v>Обложка</v>
      </c>
      <c r="V6154" s="8" t="s">
        <v>1231</v>
      </c>
      <c r="W6154" s="6"/>
      <c r="X6154" s="6"/>
      <c r="Y6154" s="6"/>
      <c r="Z6154" s="6"/>
      <c r="AA6154" s="6" t="s">
        <v>157</v>
      </c>
      <c r="AB6154" s="8"/>
      <c r="AC6154" s="27">
        <v>9785160178387</v>
      </c>
    </row>
    <row r="6155" spans="1:29" s="4" customFormat="1" ht="51.9" customHeight="1" x14ac:dyDescent="0.2">
      <c r="A6155" s="5">
        <v>0</v>
      </c>
      <c r="B6155" s="6" t="s">
        <v>35044</v>
      </c>
      <c r="C6155" s="7">
        <v>1396.8</v>
      </c>
      <c r="D6155" s="8" t="s">
        <v>35045</v>
      </c>
      <c r="E6155" s="8" t="s">
        <v>35046</v>
      </c>
      <c r="F6155" s="8" t="s">
        <v>35047</v>
      </c>
      <c r="G6155" s="6" t="s">
        <v>118</v>
      </c>
      <c r="H6155" s="6" t="s">
        <v>34</v>
      </c>
      <c r="I6155" s="8" t="s">
        <v>504</v>
      </c>
      <c r="J6155" s="9">
        <v>1</v>
      </c>
      <c r="K6155" s="9">
        <v>211</v>
      </c>
      <c r="L6155" s="9">
        <v>2026</v>
      </c>
      <c r="M6155" s="8" t="s">
        <v>35048</v>
      </c>
      <c r="N6155" s="8" t="s">
        <v>37</v>
      </c>
      <c r="O6155" s="8" t="s">
        <v>136</v>
      </c>
      <c r="P6155" s="6" t="s">
        <v>51</v>
      </c>
      <c r="Q6155" s="8" t="s">
        <v>500</v>
      </c>
      <c r="R6155" s="10" t="s">
        <v>21450</v>
      </c>
      <c r="S6155" s="11" t="s">
        <v>35049</v>
      </c>
      <c r="T6155" s="6"/>
      <c r="U6155" s="15" t="str">
        <f>HYPERLINK("https://media.infra-m.ru/2241/2241776/cover/2241776.jpg", "Обложка")</f>
        <v>Обложка</v>
      </c>
      <c r="V6155" s="8" t="s">
        <v>19630</v>
      </c>
      <c r="W6155" s="6"/>
      <c r="X6155" s="6"/>
      <c r="Y6155" s="6"/>
      <c r="Z6155" s="6"/>
      <c r="AA6155" s="6" t="s">
        <v>148</v>
      </c>
      <c r="AB6155" s="8" t="s">
        <v>6422</v>
      </c>
      <c r="AC6155" s="27">
        <v>9785160177250</v>
      </c>
    </row>
    <row r="6156" spans="1:29" s="4" customFormat="1" ht="44.1" customHeight="1" x14ac:dyDescent="0.2">
      <c r="A6156" s="5">
        <v>0</v>
      </c>
      <c r="B6156" s="6" t="s">
        <v>35050</v>
      </c>
      <c r="C6156" s="13">
        <v>912</v>
      </c>
      <c r="D6156" s="8" t="s">
        <v>35051</v>
      </c>
      <c r="E6156" s="8" t="s">
        <v>35052</v>
      </c>
      <c r="F6156" s="8" t="s">
        <v>35053</v>
      </c>
      <c r="G6156" s="6" t="s">
        <v>118</v>
      </c>
      <c r="H6156" s="6" t="s">
        <v>134</v>
      </c>
      <c r="I6156" s="8"/>
      <c r="J6156" s="9">
        <v>1</v>
      </c>
      <c r="K6156" s="9">
        <v>128</v>
      </c>
      <c r="L6156" s="9">
        <v>2026</v>
      </c>
      <c r="M6156" s="8" t="s">
        <v>35054</v>
      </c>
      <c r="N6156" s="8" t="s">
        <v>37</v>
      </c>
      <c r="O6156" s="8" t="s">
        <v>136</v>
      </c>
      <c r="P6156" s="6" t="s">
        <v>51</v>
      </c>
      <c r="Q6156" s="8" t="s">
        <v>52</v>
      </c>
      <c r="R6156" s="10" t="s">
        <v>6534</v>
      </c>
      <c r="S6156" s="11"/>
      <c r="T6156" s="6"/>
      <c r="U6156" s="15" t="str">
        <f>HYPERLINK("https://media.infra-m.ru/2248/2248348/cover/2248348.jpg", "Обложка")</f>
        <v>Обложка</v>
      </c>
      <c r="V6156" s="8" t="s">
        <v>1184</v>
      </c>
      <c r="W6156" s="6"/>
      <c r="X6156" s="6"/>
      <c r="Y6156" s="6"/>
      <c r="Z6156" s="6"/>
      <c r="AA6156" s="6" t="s">
        <v>430</v>
      </c>
      <c r="AB6156" s="8"/>
      <c r="AC6156" s="27">
        <v>9785001561460</v>
      </c>
    </row>
    <row r="6157" spans="1:29" s="4" customFormat="1" ht="51.9" customHeight="1" x14ac:dyDescent="0.2">
      <c r="A6157" s="5">
        <v>0</v>
      </c>
      <c r="B6157" s="6" t="s">
        <v>35055</v>
      </c>
      <c r="C6157" s="7">
        <v>1296</v>
      </c>
      <c r="D6157" s="8" t="s">
        <v>35056</v>
      </c>
      <c r="E6157" s="8" t="s">
        <v>35057</v>
      </c>
      <c r="F6157" s="8" t="s">
        <v>35058</v>
      </c>
      <c r="G6157" s="6" t="s">
        <v>118</v>
      </c>
      <c r="H6157" s="6" t="s">
        <v>34</v>
      </c>
      <c r="I6157" s="8" t="s">
        <v>253</v>
      </c>
      <c r="J6157" s="9">
        <v>1</v>
      </c>
      <c r="K6157" s="9">
        <v>233</v>
      </c>
      <c r="L6157" s="9">
        <v>2023</v>
      </c>
      <c r="M6157" s="8" t="s">
        <v>35059</v>
      </c>
      <c r="N6157" s="8" t="s">
        <v>37</v>
      </c>
      <c r="O6157" s="8" t="s">
        <v>50</v>
      </c>
      <c r="P6157" s="6" t="s">
        <v>51</v>
      </c>
      <c r="Q6157" s="8" t="s">
        <v>65</v>
      </c>
      <c r="R6157" s="10" t="s">
        <v>35060</v>
      </c>
      <c r="S6157" s="11" t="s">
        <v>35061</v>
      </c>
      <c r="T6157" s="6"/>
      <c r="U6157" s="15" t="str">
        <f>HYPERLINK("https://media.infra-m.ru/2036/2036510/cover/2036510.jpg", "Обложка")</f>
        <v>Обложка</v>
      </c>
      <c r="V6157" s="8" t="s">
        <v>1357</v>
      </c>
      <c r="W6157" s="6"/>
      <c r="X6157" s="6"/>
      <c r="Y6157" s="6"/>
      <c r="Z6157" s="6"/>
      <c r="AA6157" s="6" t="s">
        <v>148</v>
      </c>
      <c r="AB6157" s="8"/>
      <c r="AC6157" s="27">
        <v>9785160186474</v>
      </c>
    </row>
    <row r="6158" spans="1:29" s="4" customFormat="1" ht="42" customHeight="1" x14ac:dyDescent="0.2">
      <c r="A6158" s="5">
        <v>0</v>
      </c>
      <c r="B6158" s="6" t="s">
        <v>35062</v>
      </c>
      <c r="C6158" s="7">
        <v>1164</v>
      </c>
      <c r="D6158" s="8" t="s">
        <v>35063</v>
      </c>
      <c r="E6158" s="8" t="s">
        <v>35064</v>
      </c>
      <c r="F6158" s="8" t="s">
        <v>35065</v>
      </c>
      <c r="G6158" s="6" t="s">
        <v>33</v>
      </c>
      <c r="H6158" s="6" t="s">
        <v>34</v>
      </c>
      <c r="I6158" s="8" t="s">
        <v>35</v>
      </c>
      <c r="J6158" s="9">
        <v>1</v>
      </c>
      <c r="K6158" s="9">
        <v>176</v>
      </c>
      <c r="L6158" s="9">
        <v>2026</v>
      </c>
      <c r="M6158" s="8" t="s">
        <v>35066</v>
      </c>
      <c r="N6158" s="8" t="s">
        <v>243</v>
      </c>
      <c r="O6158" s="8" t="s">
        <v>1100</v>
      </c>
      <c r="P6158" s="6" t="s">
        <v>39</v>
      </c>
      <c r="Q6158" s="8" t="s">
        <v>40</v>
      </c>
      <c r="R6158" s="10" t="s">
        <v>2505</v>
      </c>
      <c r="S6158" s="11"/>
      <c r="T6158" s="6"/>
      <c r="U6158" s="15" t="str">
        <f>HYPERLINK("https://media.infra-m.ru/2238/2238382/cover/2238382.jpg", "Обложка")</f>
        <v>Обложка</v>
      </c>
      <c r="V6158" s="8" t="s">
        <v>1613</v>
      </c>
      <c r="W6158" s="6"/>
      <c r="X6158" s="6"/>
      <c r="Y6158" s="6"/>
      <c r="Z6158" s="6"/>
      <c r="AA6158" s="6" t="s">
        <v>779</v>
      </c>
      <c r="AB6158" s="8"/>
      <c r="AC6158" s="27">
        <v>9785160186849</v>
      </c>
    </row>
    <row r="6159" spans="1:29" s="4" customFormat="1" ht="42" customHeight="1" x14ac:dyDescent="0.2">
      <c r="A6159" s="5">
        <v>0</v>
      </c>
      <c r="B6159" s="6" t="s">
        <v>35067</v>
      </c>
      <c r="C6159" s="13">
        <v>828</v>
      </c>
      <c r="D6159" s="8" t="s">
        <v>35068</v>
      </c>
      <c r="E6159" s="8" t="s">
        <v>35064</v>
      </c>
      <c r="F6159" s="8" t="s">
        <v>35069</v>
      </c>
      <c r="G6159" s="6" t="s">
        <v>118</v>
      </c>
      <c r="H6159" s="6" t="s">
        <v>34</v>
      </c>
      <c r="I6159" s="8" t="s">
        <v>35</v>
      </c>
      <c r="J6159" s="9">
        <v>1</v>
      </c>
      <c r="K6159" s="9">
        <v>176</v>
      </c>
      <c r="L6159" s="9">
        <v>2022</v>
      </c>
      <c r="M6159" s="8" t="s">
        <v>35070</v>
      </c>
      <c r="N6159" s="8" t="s">
        <v>243</v>
      </c>
      <c r="O6159" s="8" t="s">
        <v>1100</v>
      </c>
      <c r="P6159" s="6" t="s">
        <v>39</v>
      </c>
      <c r="Q6159" s="8" t="s">
        <v>40</v>
      </c>
      <c r="R6159" s="10" t="s">
        <v>2505</v>
      </c>
      <c r="S6159" s="11"/>
      <c r="T6159" s="6"/>
      <c r="U6159" s="15" t="str">
        <f>HYPERLINK("https://media.infra-m.ru/1850/1850131/cover/1850131.jpg", "Обложка")</f>
        <v>Обложка</v>
      </c>
      <c r="V6159" s="8" t="s">
        <v>1613</v>
      </c>
      <c r="W6159" s="6"/>
      <c r="X6159" s="6"/>
      <c r="Y6159" s="6"/>
      <c r="Z6159" s="6"/>
      <c r="AA6159" s="6" t="s">
        <v>779</v>
      </c>
      <c r="AB6159" s="8"/>
      <c r="AC6159" s="27">
        <v>9785160118093</v>
      </c>
    </row>
    <row r="6160" spans="1:29" s="4" customFormat="1" ht="51.9" customHeight="1" x14ac:dyDescent="0.2">
      <c r="A6160" s="5">
        <v>0</v>
      </c>
      <c r="B6160" s="6" t="s">
        <v>35071</v>
      </c>
      <c r="C6160" s="7">
        <v>1188</v>
      </c>
      <c r="D6160" s="8" t="s">
        <v>35072</v>
      </c>
      <c r="E6160" s="8" t="s">
        <v>35073</v>
      </c>
      <c r="F6160" s="8" t="s">
        <v>10982</v>
      </c>
      <c r="G6160" s="6" t="s">
        <v>118</v>
      </c>
      <c r="H6160" s="6" t="s">
        <v>34</v>
      </c>
      <c r="I6160" s="8" t="s">
        <v>253</v>
      </c>
      <c r="J6160" s="9">
        <v>1</v>
      </c>
      <c r="K6160" s="9">
        <v>174</v>
      </c>
      <c r="L6160" s="9">
        <v>2026</v>
      </c>
      <c r="M6160" s="8" t="s">
        <v>35074</v>
      </c>
      <c r="N6160" s="8" t="s">
        <v>37</v>
      </c>
      <c r="O6160" s="8" t="s">
        <v>83</v>
      </c>
      <c r="P6160" s="6" t="s">
        <v>306</v>
      </c>
      <c r="Q6160" s="8" t="s">
        <v>52</v>
      </c>
      <c r="R6160" s="10" t="s">
        <v>35075</v>
      </c>
      <c r="S6160" s="11" t="s">
        <v>35076</v>
      </c>
      <c r="T6160" s="6"/>
      <c r="U6160" s="15" t="str">
        <f>HYPERLINK("https://media.infra-m.ru/2223/2223182/cover/2223182.jpg", "Обложка")</f>
        <v>Обложка</v>
      </c>
      <c r="V6160" s="8" t="s">
        <v>10985</v>
      </c>
      <c r="W6160" s="6"/>
      <c r="X6160" s="6"/>
      <c r="Y6160" s="6"/>
      <c r="Z6160" s="6"/>
      <c r="AA6160" s="6" t="s">
        <v>623</v>
      </c>
      <c r="AB6160" s="8"/>
      <c r="AC6160" s="27">
        <v>9785160214443</v>
      </c>
    </row>
    <row r="6161" spans="1:29" s="4" customFormat="1" ht="51.9" customHeight="1" x14ac:dyDescent="0.2">
      <c r="A6161" s="5">
        <v>0</v>
      </c>
      <c r="B6161" s="6" t="s">
        <v>35077</v>
      </c>
      <c r="C6161" s="13">
        <v>864</v>
      </c>
      <c r="D6161" s="8" t="s">
        <v>35078</v>
      </c>
      <c r="E6161" s="8" t="s">
        <v>35079</v>
      </c>
      <c r="F6161" s="8" t="s">
        <v>35080</v>
      </c>
      <c r="G6161" s="6" t="s">
        <v>118</v>
      </c>
      <c r="H6161" s="6" t="s">
        <v>34</v>
      </c>
      <c r="I6161" s="8" t="s">
        <v>504</v>
      </c>
      <c r="J6161" s="9">
        <v>1</v>
      </c>
      <c r="K6161" s="9">
        <v>194</v>
      </c>
      <c r="L6161" s="9">
        <v>2020</v>
      </c>
      <c r="M6161" s="8" t="s">
        <v>35081</v>
      </c>
      <c r="N6161" s="8" t="s">
        <v>63</v>
      </c>
      <c r="O6161" s="8" t="s">
        <v>154</v>
      </c>
      <c r="P6161" s="6" t="s">
        <v>51</v>
      </c>
      <c r="Q6161" s="8" t="s">
        <v>500</v>
      </c>
      <c r="R6161" s="10" t="s">
        <v>28781</v>
      </c>
      <c r="S6161" s="11" t="s">
        <v>35082</v>
      </c>
      <c r="T6161" s="6"/>
      <c r="U6161" s="15" t="str">
        <f>HYPERLINK("https://media.infra-m.ru/1082/1082912/cover/1082912.jpg", "Обложка")</f>
        <v>Обложка</v>
      </c>
      <c r="V6161" s="8" t="s">
        <v>5250</v>
      </c>
      <c r="W6161" s="6"/>
      <c r="X6161" s="6"/>
      <c r="Y6161" s="6"/>
      <c r="Z6161" s="6"/>
      <c r="AA6161" s="6" t="s">
        <v>115</v>
      </c>
      <c r="AB6161" s="8"/>
      <c r="AC6161" s="27">
        <v>9785160144078</v>
      </c>
    </row>
    <row r="6162" spans="1:29" s="4" customFormat="1" ht="51.9" customHeight="1" x14ac:dyDescent="0.2">
      <c r="A6162" s="5">
        <v>0</v>
      </c>
      <c r="B6162" s="6" t="s">
        <v>35083</v>
      </c>
      <c r="C6162" s="7">
        <v>1732.8</v>
      </c>
      <c r="D6162" s="8" t="s">
        <v>35084</v>
      </c>
      <c r="E6162" s="8" t="s">
        <v>35085</v>
      </c>
      <c r="F6162" s="8" t="s">
        <v>35086</v>
      </c>
      <c r="G6162" s="6" t="s">
        <v>33</v>
      </c>
      <c r="H6162" s="6" t="s">
        <v>34</v>
      </c>
      <c r="I6162" s="8" t="s">
        <v>111</v>
      </c>
      <c r="J6162" s="9">
        <v>1</v>
      </c>
      <c r="K6162" s="9">
        <v>314</v>
      </c>
      <c r="L6162" s="9">
        <v>2023</v>
      </c>
      <c r="M6162" s="8" t="s">
        <v>35087</v>
      </c>
      <c r="N6162" s="8" t="s">
        <v>93</v>
      </c>
      <c r="O6162" s="8" t="s">
        <v>94</v>
      </c>
      <c r="P6162" s="6" t="s">
        <v>39</v>
      </c>
      <c r="Q6162" s="8" t="s">
        <v>40</v>
      </c>
      <c r="R6162" s="10" t="s">
        <v>35088</v>
      </c>
      <c r="S6162" s="11"/>
      <c r="T6162" s="6"/>
      <c r="U6162" s="15" t="str">
        <f>HYPERLINK("https://media.infra-m.ru/2080/2080771/cover/2080771.jpg", "Обложка")</f>
        <v>Обложка</v>
      </c>
      <c r="V6162" s="8" t="s">
        <v>414</v>
      </c>
      <c r="W6162" s="6"/>
      <c r="X6162" s="6"/>
      <c r="Y6162" s="6"/>
      <c r="Z6162" s="6"/>
      <c r="AA6162" s="6" t="s">
        <v>115</v>
      </c>
      <c r="AB6162" s="8"/>
      <c r="AC6162" s="27">
        <v>9785160158303</v>
      </c>
    </row>
    <row r="6163" spans="1:29" s="4" customFormat="1" ht="51.9" customHeight="1" x14ac:dyDescent="0.2">
      <c r="A6163" s="5">
        <v>0</v>
      </c>
      <c r="B6163" s="6" t="s">
        <v>35089</v>
      </c>
      <c r="C6163" s="7">
        <v>1284</v>
      </c>
      <c r="D6163" s="8" t="s">
        <v>35090</v>
      </c>
      <c r="E6163" s="8" t="s">
        <v>35085</v>
      </c>
      <c r="F6163" s="8" t="s">
        <v>35086</v>
      </c>
      <c r="G6163" s="6" t="s">
        <v>60</v>
      </c>
      <c r="H6163" s="6" t="s">
        <v>34</v>
      </c>
      <c r="I6163" s="8" t="s">
        <v>119</v>
      </c>
      <c r="J6163" s="9">
        <v>1</v>
      </c>
      <c r="K6163" s="9">
        <v>314</v>
      </c>
      <c r="L6163" s="9">
        <v>2019</v>
      </c>
      <c r="M6163" s="8" t="s">
        <v>35091</v>
      </c>
      <c r="N6163" s="8" t="s">
        <v>93</v>
      </c>
      <c r="O6163" s="8" t="s">
        <v>94</v>
      </c>
      <c r="P6163" s="6" t="s">
        <v>39</v>
      </c>
      <c r="Q6163" s="8" t="s">
        <v>40</v>
      </c>
      <c r="R6163" s="10" t="s">
        <v>35088</v>
      </c>
      <c r="S6163" s="11"/>
      <c r="T6163" s="6"/>
      <c r="U6163" s="15" t="str">
        <f>HYPERLINK("https://media.infra-m.ru/0977/0977688/cover/977688.jpg", "Обложка")</f>
        <v>Обложка</v>
      </c>
      <c r="V6163" s="8" t="s">
        <v>414</v>
      </c>
      <c r="W6163" s="6"/>
      <c r="X6163" s="6"/>
      <c r="Y6163" s="6"/>
      <c r="Z6163" s="6"/>
      <c r="AA6163" s="6" t="s">
        <v>115</v>
      </c>
      <c r="AB6163" s="8"/>
      <c r="AC6163" s="27">
        <v>9785160143521</v>
      </c>
    </row>
    <row r="6164" spans="1:29" s="4" customFormat="1" ht="42" customHeight="1" x14ac:dyDescent="0.2">
      <c r="A6164" s="5">
        <v>0</v>
      </c>
      <c r="B6164" s="6" t="s">
        <v>35092</v>
      </c>
      <c r="C6164" s="13">
        <v>616.79999999999995</v>
      </c>
      <c r="D6164" s="8" t="s">
        <v>35093</v>
      </c>
      <c r="E6164" s="8" t="s">
        <v>35094</v>
      </c>
      <c r="F6164" s="8" t="s">
        <v>35095</v>
      </c>
      <c r="G6164" s="6" t="s">
        <v>33</v>
      </c>
      <c r="H6164" s="6" t="s">
        <v>241</v>
      </c>
      <c r="I6164" s="8" t="s">
        <v>3496</v>
      </c>
      <c r="J6164" s="9">
        <v>1</v>
      </c>
      <c r="K6164" s="9">
        <v>98</v>
      </c>
      <c r="L6164" s="9">
        <v>2025</v>
      </c>
      <c r="M6164" s="8" t="s">
        <v>35096</v>
      </c>
      <c r="N6164" s="8" t="s">
        <v>243</v>
      </c>
      <c r="O6164" s="8" t="s">
        <v>385</v>
      </c>
      <c r="P6164" s="6" t="s">
        <v>39</v>
      </c>
      <c r="Q6164" s="8" t="s">
        <v>500</v>
      </c>
      <c r="R6164" s="10" t="s">
        <v>17896</v>
      </c>
      <c r="S6164" s="11"/>
      <c r="T6164" s="6"/>
      <c r="U6164" s="15" t="str">
        <f>HYPERLINK("https://media.infra-m.ru/2201/2201909/cover/2201909.jpg", "Обложка")</f>
        <v>Обложка</v>
      </c>
      <c r="V6164" s="8" t="s">
        <v>3329</v>
      </c>
      <c r="W6164" s="6"/>
      <c r="X6164" s="6"/>
      <c r="Y6164" s="6"/>
      <c r="Z6164" s="6"/>
      <c r="AA6164" s="6" t="s">
        <v>779</v>
      </c>
      <c r="AB6164" s="8"/>
      <c r="AC6164" s="27">
        <v>9785955805016</v>
      </c>
    </row>
    <row r="6165" spans="1:29" s="4" customFormat="1" ht="51.9" customHeight="1" x14ac:dyDescent="0.2">
      <c r="A6165" s="5">
        <v>0</v>
      </c>
      <c r="B6165" s="6" t="s">
        <v>35097</v>
      </c>
      <c r="C6165" s="7">
        <v>1240.8</v>
      </c>
      <c r="D6165" s="8" t="s">
        <v>35098</v>
      </c>
      <c r="E6165" s="8" t="s">
        <v>35099</v>
      </c>
      <c r="F6165" s="8" t="s">
        <v>35100</v>
      </c>
      <c r="G6165" s="6" t="s">
        <v>33</v>
      </c>
      <c r="H6165" s="6" t="s">
        <v>34</v>
      </c>
      <c r="I6165" s="8" t="s">
        <v>35</v>
      </c>
      <c r="J6165" s="9">
        <v>1</v>
      </c>
      <c r="K6165" s="9">
        <v>199</v>
      </c>
      <c r="L6165" s="9">
        <v>2025</v>
      </c>
      <c r="M6165" s="8" t="s">
        <v>35101</v>
      </c>
      <c r="N6165" s="8" t="s">
        <v>37</v>
      </c>
      <c r="O6165" s="8" t="s">
        <v>136</v>
      </c>
      <c r="P6165" s="6" t="s">
        <v>39</v>
      </c>
      <c r="Q6165" s="8" t="s">
        <v>40</v>
      </c>
      <c r="R6165" s="10" t="s">
        <v>1230</v>
      </c>
      <c r="S6165" s="11"/>
      <c r="T6165" s="6"/>
      <c r="U6165" s="15" t="str">
        <f>HYPERLINK("https://media.infra-m.ru/2206/2206556/cover/2206556.jpg", "Обложка")</f>
        <v>Обложка</v>
      </c>
      <c r="V6165" s="8" t="s">
        <v>1715</v>
      </c>
      <c r="W6165" s="6"/>
      <c r="X6165" s="6"/>
      <c r="Y6165" s="6"/>
      <c r="Z6165" s="6"/>
      <c r="AA6165" s="6" t="s">
        <v>76</v>
      </c>
      <c r="AB6165" s="8"/>
      <c r="AC6165" s="27">
        <v>9785160194691</v>
      </c>
    </row>
    <row r="6166" spans="1:29" s="4" customFormat="1" ht="51.9" customHeight="1" x14ac:dyDescent="0.2">
      <c r="A6166" s="5">
        <v>0</v>
      </c>
      <c r="B6166" s="6" t="s">
        <v>35102</v>
      </c>
      <c r="C6166" s="7">
        <v>1552.8</v>
      </c>
      <c r="D6166" s="8" t="s">
        <v>35103</v>
      </c>
      <c r="E6166" s="8" t="s">
        <v>35104</v>
      </c>
      <c r="F6166" s="8" t="s">
        <v>35105</v>
      </c>
      <c r="G6166" s="6" t="s">
        <v>33</v>
      </c>
      <c r="H6166" s="6" t="s">
        <v>34</v>
      </c>
      <c r="I6166" s="8" t="s">
        <v>35</v>
      </c>
      <c r="J6166" s="9">
        <v>1</v>
      </c>
      <c r="K6166" s="9">
        <v>235</v>
      </c>
      <c r="L6166" s="9">
        <v>2026</v>
      </c>
      <c r="M6166" s="8" t="s">
        <v>35106</v>
      </c>
      <c r="N6166" s="8" t="s">
        <v>243</v>
      </c>
      <c r="O6166" s="8" t="s">
        <v>385</v>
      </c>
      <c r="P6166" s="6" t="s">
        <v>39</v>
      </c>
      <c r="Q6166" s="8" t="s">
        <v>40</v>
      </c>
      <c r="R6166" s="10" t="s">
        <v>35107</v>
      </c>
      <c r="S6166" s="11"/>
      <c r="T6166" s="6"/>
      <c r="U6166" s="15" t="str">
        <f>HYPERLINK("https://media.infra-m.ru/2238/2238519/cover/2238519.jpg", "Обложка")</f>
        <v>Обложка</v>
      </c>
      <c r="V6166" s="8" t="s">
        <v>26770</v>
      </c>
      <c r="W6166" s="6"/>
      <c r="X6166" s="6"/>
      <c r="Y6166" s="6"/>
      <c r="Z6166" s="6"/>
      <c r="AA6166" s="6" t="s">
        <v>148</v>
      </c>
      <c r="AB6166" s="8"/>
      <c r="AC6166" s="27">
        <v>9785160176147</v>
      </c>
    </row>
    <row r="6167" spans="1:29" s="4" customFormat="1" ht="51.9" customHeight="1" x14ac:dyDescent="0.2">
      <c r="A6167" s="5">
        <v>0</v>
      </c>
      <c r="B6167" s="6" t="s">
        <v>35108</v>
      </c>
      <c r="C6167" s="7">
        <v>2964</v>
      </c>
      <c r="D6167" s="8" t="s">
        <v>35109</v>
      </c>
      <c r="E6167" s="8" t="s">
        <v>35110</v>
      </c>
      <c r="F6167" s="8" t="s">
        <v>29084</v>
      </c>
      <c r="G6167" s="6" t="s">
        <v>60</v>
      </c>
      <c r="H6167" s="6" t="s">
        <v>134</v>
      </c>
      <c r="I6167" s="8"/>
      <c r="J6167" s="9">
        <v>1</v>
      </c>
      <c r="K6167" s="9">
        <v>448</v>
      </c>
      <c r="L6167" s="9">
        <v>2026</v>
      </c>
      <c r="M6167" s="8" t="s">
        <v>35111</v>
      </c>
      <c r="N6167" s="8" t="s">
        <v>37</v>
      </c>
      <c r="O6167" s="8" t="s">
        <v>136</v>
      </c>
      <c r="P6167" s="6" t="s">
        <v>51</v>
      </c>
      <c r="Q6167" s="8" t="s">
        <v>65</v>
      </c>
      <c r="R6167" s="10" t="s">
        <v>7447</v>
      </c>
      <c r="S6167" s="11"/>
      <c r="T6167" s="6"/>
      <c r="U6167" s="15" t="str">
        <f>HYPERLINK("https://media.infra-m.ru/2254/2254357/cover/2254357.jpg", "Обложка")</f>
        <v>Обложка</v>
      </c>
      <c r="V6167" s="8" t="s">
        <v>1083</v>
      </c>
      <c r="W6167" s="6"/>
      <c r="X6167" s="6"/>
      <c r="Y6167" s="6"/>
      <c r="Z6167" s="6"/>
      <c r="AA6167" s="6" t="s">
        <v>1047</v>
      </c>
      <c r="AB6167" s="8"/>
      <c r="AC6167" s="27">
        <v>9785917683744</v>
      </c>
    </row>
    <row r="6168" spans="1:29" s="4" customFormat="1" ht="51.9" customHeight="1" x14ac:dyDescent="0.2">
      <c r="A6168" s="5">
        <v>0</v>
      </c>
      <c r="B6168" s="6" t="s">
        <v>35112</v>
      </c>
      <c r="C6168" s="7">
        <v>2376</v>
      </c>
      <c r="D6168" s="8" t="s">
        <v>35113</v>
      </c>
      <c r="E6168" s="8" t="s">
        <v>35114</v>
      </c>
      <c r="F6168" s="8" t="s">
        <v>17737</v>
      </c>
      <c r="G6168" s="6" t="s">
        <v>118</v>
      </c>
      <c r="H6168" s="6" t="s">
        <v>34</v>
      </c>
      <c r="I6168" s="8" t="s">
        <v>263</v>
      </c>
      <c r="J6168" s="9">
        <v>1</v>
      </c>
      <c r="K6168" s="9">
        <v>359</v>
      </c>
      <c r="L6168" s="9">
        <v>2026</v>
      </c>
      <c r="M6168" s="8" t="s">
        <v>35115</v>
      </c>
      <c r="N6168" s="8" t="s">
        <v>63</v>
      </c>
      <c r="O6168" s="8" t="s">
        <v>64</v>
      </c>
      <c r="P6168" s="6" t="s">
        <v>306</v>
      </c>
      <c r="Q6168" s="8" t="s">
        <v>265</v>
      </c>
      <c r="R6168" s="10" t="s">
        <v>35116</v>
      </c>
      <c r="S6168" s="11" t="s">
        <v>35117</v>
      </c>
      <c r="T6168" s="6"/>
      <c r="U6168" s="15" t="str">
        <f>HYPERLINK("https://media.infra-m.ru/2234/2234308/cover/2234308.jpg", "Обложка")</f>
        <v>Обложка</v>
      </c>
      <c r="V6168" s="8" t="s">
        <v>17741</v>
      </c>
      <c r="W6168" s="6"/>
      <c r="X6168" s="6"/>
      <c r="Y6168" s="6"/>
      <c r="Z6168" s="6" t="s">
        <v>267</v>
      </c>
      <c r="AA6168" s="6" t="s">
        <v>115</v>
      </c>
      <c r="AB6168" s="8"/>
      <c r="AC6168" s="27">
        <v>9785160146423</v>
      </c>
    </row>
    <row r="6169" spans="1:29" s="4" customFormat="1" ht="51.9" customHeight="1" x14ac:dyDescent="0.2">
      <c r="A6169" s="5">
        <v>0</v>
      </c>
      <c r="B6169" s="6" t="s">
        <v>35118</v>
      </c>
      <c r="C6169" s="13">
        <v>528</v>
      </c>
      <c r="D6169" s="8" t="s">
        <v>35119</v>
      </c>
      <c r="E6169" s="8" t="s">
        <v>35120</v>
      </c>
      <c r="F6169" s="8" t="s">
        <v>35121</v>
      </c>
      <c r="G6169" s="6" t="s">
        <v>33</v>
      </c>
      <c r="H6169" s="6" t="s">
        <v>34</v>
      </c>
      <c r="I6169" s="8" t="s">
        <v>35</v>
      </c>
      <c r="J6169" s="9">
        <v>1</v>
      </c>
      <c r="K6169" s="9">
        <v>76</v>
      </c>
      <c r="L6169" s="9">
        <v>2027</v>
      </c>
      <c r="M6169" s="8" t="s">
        <v>35122</v>
      </c>
      <c r="N6169" s="8" t="s">
        <v>93</v>
      </c>
      <c r="O6169" s="8" t="s">
        <v>94</v>
      </c>
      <c r="P6169" s="6" t="s">
        <v>39</v>
      </c>
      <c r="Q6169" s="8" t="s">
        <v>40</v>
      </c>
      <c r="R6169" s="10" t="s">
        <v>35123</v>
      </c>
      <c r="S6169" s="11"/>
      <c r="T6169" s="6"/>
      <c r="U6169" s="15" t="str">
        <f>HYPERLINK("https://media.infra-m.ru/2262/2262620/cover/2262620.jpg", "Обложка")</f>
        <v>Обложка</v>
      </c>
      <c r="V6169" s="8" t="s">
        <v>1094</v>
      </c>
      <c r="W6169" s="6"/>
      <c r="X6169" s="6"/>
      <c r="Y6169" s="6"/>
      <c r="Z6169" s="6"/>
      <c r="AA6169" s="6" t="s">
        <v>86</v>
      </c>
      <c r="AB6169" s="8"/>
      <c r="AC6169" s="27">
        <v>9785160136554</v>
      </c>
    </row>
    <row r="6170" spans="1:29" s="4" customFormat="1" ht="51.9" customHeight="1" x14ac:dyDescent="0.2">
      <c r="A6170" s="5">
        <v>0</v>
      </c>
      <c r="B6170" s="6" t="s">
        <v>35124</v>
      </c>
      <c r="C6170" s="7">
        <v>2004</v>
      </c>
      <c r="D6170" s="8" t="s">
        <v>35125</v>
      </c>
      <c r="E6170" s="8" t="s">
        <v>35126</v>
      </c>
      <c r="F6170" s="8" t="s">
        <v>21775</v>
      </c>
      <c r="G6170" s="6" t="s">
        <v>118</v>
      </c>
      <c r="H6170" s="6" t="s">
        <v>34</v>
      </c>
      <c r="I6170" s="8" t="s">
        <v>263</v>
      </c>
      <c r="J6170" s="9">
        <v>1</v>
      </c>
      <c r="K6170" s="9">
        <v>304</v>
      </c>
      <c r="L6170" s="9">
        <v>2026</v>
      </c>
      <c r="M6170" s="8" t="s">
        <v>35127</v>
      </c>
      <c r="N6170" s="8" t="s">
        <v>37</v>
      </c>
      <c r="O6170" s="8" t="s">
        <v>499</v>
      </c>
      <c r="P6170" s="6" t="s">
        <v>51</v>
      </c>
      <c r="Q6170" s="8" t="s">
        <v>265</v>
      </c>
      <c r="R6170" s="10" t="s">
        <v>35128</v>
      </c>
      <c r="S6170" s="11" t="s">
        <v>4567</v>
      </c>
      <c r="T6170" s="6"/>
      <c r="U6170" s="15" t="str">
        <f>HYPERLINK("https://media.infra-m.ru/2237/2237131/cover/2237131.jpg", "Обложка")</f>
        <v>Обложка</v>
      </c>
      <c r="V6170" s="8" t="s">
        <v>1505</v>
      </c>
      <c r="W6170" s="6"/>
      <c r="X6170" s="6" t="s">
        <v>24</v>
      </c>
      <c r="Y6170" s="6"/>
      <c r="Z6170" s="6"/>
      <c r="AA6170" s="6" t="s">
        <v>561</v>
      </c>
      <c r="AB6170" s="8"/>
      <c r="AC6170" s="27">
        <v>9785160217482</v>
      </c>
    </row>
    <row r="6171" spans="1:29" s="4" customFormat="1" ht="51.9" customHeight="1" x14ac:dyDescent="0.2">
      <c r="A6171" s="5">
        <v>0</v>
      </c>
      <c r="B6171" s="6" t="s">
        <v>35129</v>
      </c>
      <c r="C6171" s="7">
        <v>1324.8</v>
      </c>
      <c r="D6171" s="8" t="s">
        <v>35130</v>
      </c>
      <c r="E6171" s="8" t="s">
        <v>35131</v>
      </c>
      <c r="F6171" s="8" t="s">
        <v>35132</v>
      </c>
      <c r="G6171" s="6" t="s">
        <v>33</v>
      </c>
      <c r="H6171" s="6" t="s">
        <v>48</v>
      </c>
      <c r="I6171" s="8" t="s">
        <v>271</v>
      </c>
      <c r="J6171" s="9">
        <v>1</v>
      </c>
      <c r="K6171" s="9">
        <v>191</v>
      </c>
      <c r="L6171" s="9">
        <v>2027</v>
      </c>
      <c r="M6171" s="8" t="s">
        <v>35133</v>
      </c>
      <c r="N6171" s="8" t="s">
        <v>93</v>
      </c>
      <c r="O6171" s="8" t="s">
        <v>94</v>
      </c>
      <c r="P6171" s="6" t="s">
        <v>105</v>
      </c>
      <c r="Q6171" s="8" t="s">
        <v>52</v>
      </c>
      <c r="R6171" s="10" t="s">
        <v>9415</v>
      </c>
      <c r="S6171" s="11" t="s">
        <v>35134</v>
      </c>
      <c r="T6171" s="6"/>
      <c r="U6171" s="15" t="str">
        <f>HYPERLINK("https://media.infra-m.ru/2262/2262646/cover/2262646.jpg", "Обложка")</f>
        <v>Обложка</v>
      </c>
      <c r="V6171" s="8" t="s">
        <v>9822</v>
      </c>
      <c r="W6171" s="6"/>
      <c r="X6171" s="6"/>
      <c r="Y6171" s="6"/>
      <c r="Z6171" s="6"/>
      <c r="AA6171" s="6" t="s">
        <v>779</v>
      </c>
      <c r="AB6171" s="8"/>
      <c r="AC6171" s="27">
        <v>9785000916056</v>
      </c>
    </row>
    <row r="6172" spans="1:29" s="4" customFormat="1" ht="51.9" customHeight="1" x14ac:dyDescent="0.2">
      <c r="A6172" s="5">
        <v>0</v>
      </c>
      <c r="B6172" s="6" t="s">
        <v>35135</v>
      </c>
      <c r="C6172" s="13">
        <v>976.8</v>
      </c>
      <c r="D6172" s="8" t="s">
        <v>35136</v>
      </c>
      <c r="E6172" s="8" t="s">
        <v>35137</v>
      </c>
      <c r="F6172" s="8" t="s">
        <v>35138</v>
      </c>
      <c r="G6172" s="6" t="s">
        <v>60</v>
      </c>
      <c r="H6172" s="6" t="s">
        <v>313</v>
      </c>
      <c r="I6172" s="8" t="s">
        <v>65</v>
      </c>
      <c r="J6172" s="9">
        <v>1</v>
      </c>
      <c r="K6172" s="9">
        <v>110</v>
      </c>
      <c r="L6172" s="9">
        <v>2026</v>
      </c>
      <c r="M6172" s="8" t="s">
        <v>35139</v>
      </c>
      <c r="N6172" s="8" t="s">
        <v>37</v>
      </c>
      <c r="O6172" s="8" t="s">
        <v>499</v>
      </c>
      <c r="P6172" s="6" t="s">
        <v>51</v>
      </c>
      <c r="Q6172" s="8" t="s">
        <v>265</v>
      </c>
      <c r="R6172" s="10" t="s">
        <v>35140</v>
      </c>
      <c r="S6172" s="11" t="s">
        <v>12519</v>
      </c>
      <c r="T6172" s="6"/>
      <c r="U6172" s="15" t="str">
        <f>HYPERLINK("https://media.infra-m.ru/2244/2244292/cover/2244292.jpg", "Обложка")</f>
        <v>Обложка</v>
      </c>
      <c r="V6172" s="8" t="s">
        <v>12520</v>
      </c>
      <c r="W6172" s="6"/>
      <c r="X6172" s="6" t="s">
        <v>24</v>
      </c>
      <c r="Y6172" s="6"/>
      <c r="Z6172" s="6"/>
      <c r="AA6172" s="6" t="s">
        <v>248</v>
      </c>
      <c r="AB6172" s="8"/>
      <c r="AC6172" s="27">
        <v>9785369013113</v>
      </c>
    </row>
    <row r="6173" spans="1:29" s="4" customFormat="1" ht="42" customHeight="1" x14ac:dyDescent="0.2">
      <c r="A6173" s="5">
        <v>0</v>
      </c>
      <c r="B6173" s="6" t="s">
        <v>35141</v>
      </c>
      <c r="C6173" s="7">
        <v>1188</v>
      </c>
      <c r="D6173" s="8" t="s">
        <v>35142</v>
      </c>
      <c r="E6173" s="8" t="s">
        <v>35143</v>
      </c>
      <c r="F6173" s="8" t="s">
        <v>35144</v>
      </c>
      <c r="G6173" s="6" t="s">
        <v>60</v>
      </c>
      <c r="H6173" s="6" t="s">
        <v>34</v>
      </c>
      <c r="I6173" s="8" t="s">
        <v>35</v>
      </c>
      <c r="J6173" s="9">
        <v>1</v>
      </c>
      <c r="K6173" s="9">
        <v>184</v>
      </c>
      <c r="L6173" s="9">
        <v>2025</v>
      </c>
      <c r="M6173" s="8" t="s">
        <v>35145</v>
      </c>
      <c r="N6173" s="8" t="s">
        <v>93</v>
      </c>
      <c r="O6173" s="8" t="s">
        <v>94</v>
      </c>
      <c r="P6173" s="6" t="s">
        <v>39</v>
      </c>
      <c r="Q6173" s="8" t="s">
        <v>40</v>
      </c>
      <c r="R6173" s="10" t="s">
        <v>35146</v>
      </c>
      <c r="S6173" s="11"/>
      <c r="T6173" s="6"/>
      <c r="U6173" s="15" t="str">
        <f>HYPERLINK("https://media.infra-m.ru/2180/2180635/cover/2180635.jpg", "Обложка")</f>
        <v>Обложка</v>
      </c>
      <c r="V6173" s="8" t="s">
        <v>6474</v>
      </c>
      <c r="W6173" s="6"/>
      <c r="X6173" s="6"/>
      <c r="Y6173" s="6"/>
      <c r="Z6173" s="6"/>
      <c r="AA6173" s="6" t="s">
        <v>68</v>
      </c>
      <c r="AB6173" s="8"/>
      <c r="AC6173" s="27">
        <v>9785160205465</v>
      </c>
    </row>
    <row r="6174" spans="1:29" s="4" customFormat="1" ht="51.9" customHeight="1" x14ac:dyDescent="0.2">
      <c r="A6174" s="5">
        <v>0</v>
      </c>
      <c r="B6174" s="6" t="s">
        <v>35147</v>
      </c>
      <c r="C6174" s="7">
        <v>1672.8</v>
      </c>
      <c r="D6174" s="8" t="s">
        <v>35148</v>
      </c>
      <c r="E6174" s="8" t="s">
        <v>35149</v>
      </c>
      <c r="F6174" s="8" t="s">
        <v>35150</v>
      </c>
      <c r="G6174" s="6" t="s">
        <v>60</v>
      </c>
      <c r="H6174" s="6" t="s">
        <v>34</v>
      </c>
      <c r="I6174" s="8" t="s">
        <v>271</v>
      </c>
      <c r="J6174" s="9">
        <v>1</v>
      </c>
      <c r="K6174" s="9">
        <v>304</v>
      </c>
      <c r="L6174" s="9">
        <v>2024</v>
      </c>
      <c r="M6174" s="8" t="s">
        <v>35151</v>
      </c>
      <c r="N6174" s="8" t="s">
        <v>93</v>
      </c>
      <c r="O6174" s="8" t="s">
        <v>94</v>
      </c>
      <c r="P6174" s="6" t="s">
        <v>51</v>
      </c>
      <c r="Q6174" s="8" t="s">
        <v>52</v>
      </c>
      <c r="R6174" s="10" t="s">
        <v>35152</v>
      </c>
      <c r="S6174" s="11"/>
      <c r="T6174" s="6"/>
      <c r="U6174" s="15" t="str">
        <f>HYPERLINK("https://media.infra-m.ru/2102/2102175/cover/2102175.jpg", "Обложка")</f>
        <v>Обложка</v>
      </c>
      <c r="V6174" s="8" t="s">
        <v>10325</v>
      </c>
      <c r="W6174" s="6"/>
      <c r="X6174" s="6"/>
      <c r="Y6174" s="6"/>
      <c r="Z6174" s="6"/>
      <c r="AA6174" s="6" t="s">
        <v>248</v>
      </c>
      <c r="AB6174" s="8"/>
      <c r="AC6174" s="27">
        <v>9785160065830</v>
      </c>
    </row>
    <row r="6175" spans="1:29" s="4" customFormat="1" ht="51.9" customHeight="1" x14ac:dyDescent="0.2">
      <c r="A6175" s="5">
        <v>0</v>
      </c>
      <c r="B6175" s="6" t="s">
        <v>35153</v>
      </c>
      <c r="C6175" s="7">
        <v>1572</v>
      </c>
      <c r="D6175" s="8" t="s">
        <v>35154</v>
      </c>
      <c r="E6175" s="8" t="s">
        <v>35155</v>
      </c>
      <c r="F6175" s="8" t="s">
        <v>14929</v>
      </c>
      <c r="G6175" s="6" t="s">
        <v>118</v>
      </c>
      <c r="H6175" s="6" t="s">
        <v>241</v>
      </c>
      <c r="I6175" s="8"/>
      <c r="J6175" s="9">
        <v>1</v>
      </c>
      <c r="K6175" s="9">
        <v>252</v>
      </c>
      <c r="L6175" s="9">
        <v>2025</v>
      </c>
      <c r="M6175" s="8" t="s">
        <v>35156</v>
      </c>
      <c r="N6175" s="8" t="s">
        <v>243</v>
      </c>
      <c r="O6175" s="8" t="s">
        <v>385</v>
      </c>
      <c r="P6175" s="6" t="s">
        <v>39</v>
      </c>
      <c r="Q6175" s="8" t="s">
        <v>65</v>
      </c>
      <c r="R6175" s="10" t="s">
        <v>35157</v>
      </c>
      <c r="S6175" s="11" t="s">
        <v>35158</v>
      </c>
      <c r="T6175" s="6"/>
      <c r="U6175" s="15" t="str">
        <f>HYPERLINK("https://media.infra-m.ru/2143/2143231/cover/2143231.jpg", "Обложка")</f>
        <v>Обложка</v>
      </c>
      <c r="V6175" s="8" t="s">
        <v>3329</v>
      </c>
      <c r="W6175" s="6"/>
      <c r="X6175" s="6"/>
      <c r="Y6175" s="6"/>
      <c r="Z6175" s="6"/>
      <c r="AA6175" s="6" t="s">
        <v>129</v>
      </c>
      <c r="AB6175" s="8"/>
      <c r="AC6175" s="27">
        <v>9785955801780</v>
      </c>
    </row>
    <row r="6176" spans="1:29" s="4" customFormat="1" ht="44.1" customHeight="1" x14ac:dyDescent="0.2">
      <c r="A6176" s="5">
        <v>0</v>
      </c>
      <c r="B6176" s="6" t="s">
        <v>35159</v>
      </c>
      <c r="C6176" s="13">
        <v>880.8</v>
      </c>
      <c r="D6176" s="8" t="s">
        <v>35160</v>
      </c>
      <c r="E6176" s="8" t="s">
        <v>35161</v>
      </c>
      <c r="F6176" s="8" t="s">
        <v>14929</v>
      </c>
      <c r="G6176" s="6" t="s">
        <v>33</v>
      </c>
      <c r="H6176" s="6" t="s">
        <v>34</v>
      </c>
      <c r="I6176" s="8" t="s">
        <v>746</v>
      </c>
      <c r="J6176" s="9">
        <v>1</v>
      </c>
      <c r="K6176" s="9">
        <v>142</v>
      </c>
      <c r="L6176" s="9">
        <v>2026</v>
      </c>
      <c r="M6176" s="8" t="s">
        <v>35162</v>
      </c>
      <c r="N6176" s="8" t="s">
        <v>243</v>
      </c>
      <c r="O6176" s="8" t="s">
        <v>385</v>
      </c>
      <c r="P6176" s="6" t="s">
        <v>748</v>
      </c>
      <c r="Q6176" s="8" t="s">
        <v>27228</v>
      </c>
      <c r="R6176" s="10" t="s">
        <v>35163</v>
      </c>
      <c r="S6176" s="11"/>
      <c r="T6176" s="6"/>
      <c r="U6176" s="15" t="str">
        <f>HYPERLINK("https://media.infra-m.ru/2216/2216614/cover/2216614.jpg", "Обложка")</f>
        <v>Обложка</v>
      </c>
      <c r="V6176" s="8" t="s">
        <v>3329</v>
      </c>
      <c r="W6176" s="6"/>
      <c r="X6176" s="6"/>
      <c r="Y6176" s="6"/>
      <c r="Z6176" s="6"/>
      <c r="AA6176" s="6" t="s">
        <v>248</v>
      </c>
      <c r="AB6176" s="8"/>
      <c r="AC6176" s="27">
        <v>9785160090276</v>
      </c>
    </row>
    <row r="6177" spans="1:29" s="4" customFormat="1" ht="44.1" customHeight="1" x14ac:dyDescent="0.2">
      <c r="A6177" s="5">
        <v>0</v>
      </c>
      <c r="B6177" s="6" t="s">
        <v>35164</v>
      </c>
      <c r="C6177" s="7">
        <v>1144.8</v>
      </c>
      <c r="D6177" s="8" t="s">
        <v>35165</v>
      </c>
      <c r="E6177" s="8" t="s">
        <v>35166</v>
      </c>
      <c r="F6177" s="8" t="s">
        <v>35167</v>
      </c>
      <c r="G6177" s="6" t="s">
        <v>33</v>
      </c>
      <c r="H6177" s="6" t="s">
        <v>34</v>
      </c>
      <c r="I6177" s="8" t="s">
        <v>35</v>
      </c>
      <c r="J6177" s="9">
        <v>1</v>
      </c>
      <c r="K6177" s="9">
        <v>174</v>
      </c>
      <c r="L6177" s="9">
        <v>2026</v>
      </c>
      <c r="M6177" s="8" t="s">
        <v>35168</v>
      </c>
      <c r="N6177" s="8" t="s">
        <v>243</v>
      </c>
      <c r="O6177" s="8" t="s">
        <v>385</v>
      </c>
      <c r="P6177" s="6" t="s">
        <v>39</v>
      </c>
      <c r="Q6177" s="8" t="s">
        <v>40</v>
      </c>
      <c r="R6177" s="10" t="s">
        <v>27154</v>
      </c>
      <c r="S6177" s="11"/>
      <c r="T6177" s="6"/>
      <c r="U6177" s="15" t="str">
        <f>HYPERLINK("https://media.infra-m.ru/2238/2238512/cover/2238512.jpg", "Обложка")</f>
        <v>Обложка</v>
      </c>
      <c r="V6177" s="8" t="s">
        <v>3329</v>
      </c>
      <c r="W6177" s="6"/>
      <c r="X6177" s="6"/>
      <c r="Y6177" s="6"/>
      <c r="Z6177" s="6"/>
      <c r="AA6177" s="6" t="s">
        <v>43</v>
      </c>
      <c r="AB6177" s="8"/>
      <c r="AC6177" s="27">
        <v>9785160062204</v>
      </c>
    </row>
    <row r="6178" spans="1:29" s="4" customFormat="1" ht="51.9" customHeight="1" x14ac:dyDescent="0.2">
      <c r="A6178" s="5">
        <v>0</v>
      </c>
      <c r="B6178" s="6" t="s">
        <v>35169</v>
      </c>
      <c r="C6178" s="13">
        <v>640.79999999999995</v>
      </c>
      <c r="D6178" s="8" t="s">
        <v>35170</v>
      </c>
      <c r="E6178" s="8" t="s">
        <v>35171</v>
      </c>
      <c r="F6178" s="8" t="s">
        <v>14929</v>
      </c>
      <c r="G6178" s="6" t="s">
        <v>33</v>
      </c>
      <c r="H6178" s="6" t="s">
        <v>34</v>
      </c>
      <c r="I6178" s="8" t="s">
        <v>253</v>
      </c>
      <c r="J6178" s="9">
        <v>1</v>
      </c>
      <c r="K6178" s="9">
        <v>112</v>
      </c>
      <c r="L6178" s="9">
        <v>2024</v>
      </c>
      <c r="M6178" s="8" t="s">
        <v>35172</v>
      </c>
      <c r="N6178" s="8" t="s">
        <v>243</v>
      </c>
      <c r="O6178" s="8" t="s">
        <v>385</v>
      </c>
      <c r="P6178" s="6" t="s">
        <v>51</v>
      </c>
      <c r="Q6178" s="8" t="s">
        <v>377</v>
      </c>
      <c r="R6178" s="10" t="s">
        <v>35173</v>
      </c>
      <c r="S6178" s="11" t="s">
        <v>35174</v>
      </c>
      <c r="T6178" s="6"/>
      <c r="U6178" s="15" t="str">
        <f>HYPERLINK("https://media.infra-m.ru/2144/2144961/cover/2144961.jpg", "Обложка")</f>
        <v>Обложка</v>
      </c>
      <c r="V6178" s="8" t="s">
        <v>3329</v>
      </c>
      <c r="W6178" s="6"/>
      <c r="X6178" s="6"/>
      <c r="Y6178" s="6"/>
      <c r="Z6178" s="6"/>
      <c r="AA6178" s="6" t="s">
        <v>55</v>
      </c>
      <c r="AB6178" s="8"/>
      <c r="AC6178" s="27">
        <v>9785160062211</v>
      </c>
    </row>
    <row r="6179" spans="1:29" s="4" customFormat="1" ht="51.9" customHeight="1" x14ac:dyDescent="0.2">
      <c r="A6179" s="5">
        <v>0</v>
      </c>
      <c r="B6179" s="6" t="s">
        <v>35175</v>
      </c>
      <c r="C6179" s="13">
        <v>852</v>
      </c>
      <c r="D6179" s="8" t="s">
        <v>35176</v>
      </c>
      <c r="E6179" s="8" t="s">
        <v>35177</v>
      </c>
      <c r="F6179" s="8" t="s">
        <v>35178</v>
      </c>
      <c r="G6179" s="6" t="s">
        <v>60</v>
      </c>
      <c r="H6179" s="6" t="s">
        <v>34</v>
      </c>
      <c r="I6179" s="8" t="s">
        <v>1248</v>
      </c>
      <c r="J6179" s="9">
        <v>1</v>
      </c>
      <c r="K6179" s="9">
        <v>148</v>
      </c>
      <c r="L6179" s="9">
        <v>2024</v>
      </c>
      <c r="M6179" s="8" t="s">
        <v>35179</v>
      </c>
      <c r="N6179" s="8" t="s">
        <v>37</v>
      </c>
      <c r="O6179" s="8" t="s">
        <v>136</v>
      </c>
      <c r="P6179" s="6" t="s">
        <v>51</v>
      </c>
      <c r="Q6179" s="8" t="s">
        <v>65</v>
      </c>
      <c r="R6179" s="10" t="s">
        <v>1275</v>
      </c>
      <c r="S6179" s="11"/>
      <c r="T6179" s="6"/>
      <c r="U6179" s="15" t="str">
        <f>HYPERLINK("https://media.infra-m.ru/2130/2130600/cover/2130600.jpg", "Обложка")</f>
        <v>Обложка</v>
      </c>
      <c r="V6179" s="8" t="s">
        <v>1083</v>
      </c>
      <c r="W6179" s="6"/>
      <c r="X6179" s="6"/>
      <c r="Y6179" s="6"/>
      <c r="Z6179" s="6"/>
      <c r="AA6179" s="6" t="s">
        <v>76</v>
      </c>
      <c r="AB6179" s="8"/>
      <c r="AC6179" s="27">
        <v>9785160195995</v>
      </c>
    </row>
    <row r="6180" spans="1:29" s="4" customFormat="1" ht="51.9" customHeight="1" x14ac:dyDescent="0.2">
      <c r="A6180" s="5">
        <v>0</v>
      </c>
      <c r="B6180" s="6" t="s">
        <v>35180</v>
      </c>
      <c r="C6180" s="13">
        <v>808.8</v>
      </c>
      <c r="D6180" s="8" t="s">
        <v>35181</v>
      </c>
      <c r="E6180" s="8" t="s">
        <v>35182</v>
      </c>
      <c r="F6180" s="8" t="s">
        <v>35183</v>
      </c>
      <c r="G6180" s="6" t="s">
        <v>33</v>
      </c>
      <c r="H6180" s="6" t="s">
        <v>134</v>
      </c>
      <c r="I6180" s="8"/>
      <c r="J6180" s="9">
        <v>1</v>
      </c>
      <c r="K6180" s="9">
        <v>112</v>
      </c>
      <c r="L6180" s="9">
        <v>2026</v>
      </c>
      <c r="M6180" s="8" t="s">
        <v>35184</v>
      </c>
      <c r="N6180" s="8" t="s">
        <v>37</v>
      </c>
      <c r="O6180" s="8" t="s">
        <v>136</v>
      </c>
      <c r="P6180" s="6" t="s">
        <v>51</v>
      </c>
      <c r="Q6180" s="8" t="s">
        <v>52</v>
      </c>
      <c r="R6180" s="10" t="s">
        <v>1653</v>
      </c>
      <c r="S6180" s="11"/>
      <c r="T6180" s="6"/>
      <c r="U6180" s="15" t="str">
        <f>HYPERLINK("https://media.infra-m.ru/2237/2237200/cover/2237200.jpg", "Обложка")</f>
        <v>Обложка</v>
      </c>
      <c r="V6180" s="8" t="s">
        <v>1184</v>
      </c>
      <c r="W6180" s="6"/>
      <c r="X6180" s="6"/>
      <c r="Y6180" s="6"/>
      <c r="Z6180" s="6"/>
      <c r="AA6180" s="6" t="s">
        <v>99</v>
      </c>
      <c r="AB6180" s="8"/>
      <c r="AC6180" s="27">
        <v>9785917687988</v>
      </c>
    </row>
    <row r="6181" spans="1:29" s="4" customFormat="1" ht="51.9" customHeight="1" x14ac:dyDescent="0.2">
      <c r="A6181" s="5">
        <v>0</v>
      </c>
      <c r="B6181" s="6" t="s">
        <v>35185</v>
      </c>
      <c r="C6181" s="7">
        <v>1428</v>
      </c>
      <c r="D6181" s="8" t="s">
        <v>35186</v>
      </c>
      <c r="E6181" s="8" t="s">
        <v>35187</v>
      </c>
      <c r="F6181" s="8" t="s">
        <v>35188</v>
      </c>
      <c r="G6181" s="6" t="s">
        <v>60</v>
      </c>
      <c r="H6181" s="6" t="s">
        <v>34</v>
      </c>
      <c r="I6181" s="8" t="s">
        <v>1248</v>
      </c>
      <c r="J6181" s="9">
        <v>1</v>
      </c>
      <c r="K6181" s="9">
        <v>231</v>
      </c>
      <c r="L6181" s="9">
        <v>2025</v>
      </c>
      <c r="M6181" s="8" t="s">
        <v>35189</v>
      </c>
      <c r="N6181" s="8" t="s">
        <v>63</v>
      </c>
      <c r="O6181" s="8" t="s">
        <v>64</v>
      </c>
      <c r="P6181" s="6" t="s">
        <v>306</v>
      </c>
      <c r="Q6181" s="8" t="s">
        <v>52</v>
      </c>
      <c r="R6181" s="10" t="s">
        <v>35190</v>
      </c>
      <c r="S6181" s="11" t="s">
        <v>35191</v>
      </c>
      <c r="T6181" s="6"/>
      <c r="U6181" s="15" t="str">
        <f>HYPERLINK("https://media.infra-m.ru/2168/2168125/cover/2168125.jpg", "Обложка")</f>
        <v>Обложка</v>
      </c>
      <c r="V6181" s="8" t="s">
        <v>1083</v>
      </c>
      <c r="W6181" s="6"/>
      <c r="X6181" s="6"/>
      <c r="Y6181" s="6"/>
      <c r="Z6181" s="6"/>
      <c r="AA6181" s="6" t="s">
        <v>68</v>
      </c>
      <c r="AB6181" s="8"/>
      <c r="AC6181" s="27">
        <v>9785160202839</v>
      </c>
    </row>
    <row r="6182" spans="1:29" s="4" customFormat="1" ht="42" customHeight="1" x14ac:dyDescent="0.2">
      <c r="A6182" s="5">
        <v>0</v>
      </c>
      <c r="B6182" s="6" t="s">
        <v>35192</v>
      </c>
      <c r="C6182" s="7">
        <v>1492.8</v>
      </c>
      <c r="D6182" s="8" t="s">
        <v>35193</v>
      </c>
      <c r="E6182" s="8" t="s">
        <v>35194</v>
      </c>
      <c r="F6182" s="8" t="s">
        <v>35195</v>
      </c>
      <c r="G6182" s="6" t="s">
        <v>60</v>
      </c>
      <c r="H6182" s="6" t="s">
        <v>34</v>
      </c>
      <c r="I6182" s="8" t="s">
        <v>304</v>
      </c>
      <c r="J6182" s="9">
        <v>1</v>
      </c>
      <c r="K6182" s="9">
        <v>217</v>
      </c>
      <c r="L6182" s="9">
        <v>2026</v>
      </c>
      <c r="M6182" s="8" t="s">
        <v>35196</v>
      </c>
      <c r="N6182" s="8" t="s">
        <v>63</v>
      </c>
      <c r="O6182" s="8" t="s">
        <v>64</v>
      </c>
      <c r="P6182" s="6" t="s">
        <v>306</v>
      </c>
      <c r="Q6182" s="8" t="s">
        <v>65</v>
      </c>
      <c r="R6182" s="10" t="s">
        <v>357</v>
      </c>
      <c r="S6182" s="11"/>
      <c r="T6182" s="6"/>
      <c r="U6182" s="15" t="str">
        <f>HYPERLINK("https://media.infra-m.ru/2229/2229235/cover/2229235.jpg", "Обложка")</f>
        <v>Обложка</v>
      </c>
      <c r="V6182" s="8" t="s">
        <v>247</v>
      </c>
      <c r="W6182" s="6"/>
      <c r="X6182" s="6"/>
      <c r="Y6182" s="6"/>
      <c r="Z6182" s="6"/>
      <c r="AA6182" s="6" t="s">
        <v>76</v>
      </c>
      <c r="AB6182" s="8"/>
      <c r="AC6182" s="27">
        <v>9785160191454</v>
      </c>
    </row>
    <row r="6183" spans="1:29" s="4" customFormat="1" ht="42" customHeight="1" x14ac:dyDescent="0.2">
      <c r="A6183" s="5">
        <v>0</v>
      </c>
      <c r="B6183" s="6" t="s">
        <v>35197</v>
      </c>
      <c r="C6183" s="13">
        <v>964.8</v>
      </c>
      <c r="D6183" s="8" t="s">
        <v>35198</v>
      </c>
      <c r="E6183" s="8" t="s">
        <v>35199</v>
      </c>
      <c r="F6183" s="8" t="s">
        <v>35200</v>
      </c>
      <c r="G6183" s="6" t="s">
        <v>118</v>
      </c>
      <c r="H6183" s="6" t="s">
        <v>34</v>
      </c>
      <c r="I6183" s="8" t="s">
        <v>5350</v>
      </c>
      <c r="J6183" s="9">
        <v>1</v>
      </c>
      <c r="K6183" s="9">
        <v>147</v>
      </c>
      <c r="L6183" s="9">
        <v>2026</v>
      </c>
      <c r="M6183" s="8" t="s">
        <v>35201</v>
      </c>
      <c r="N6183" s="8" t="s">
        <v>243</v>
      </c>
      <c r="O6183" s="8" t="s">
        <v>385</v>
      </c>
      <c r="P6183" s="6" t="s">
        <v>51</v>
      </c>
      <c r="Q6183" s="8" t="s">
        <v>377</v>
      </c>
      <c r="R6183" s="10" t="s">
        <v>11301</v>
      </c>
      <c r="S6183" s="11"/>
      <c r="T6183" s="6" t="s">
        <v>97</v>
      </c>
      <c r="U6183" s="15" t="str">
        <f>HYPERLINK("https://media.infra-m.ru/2238/2238533/cover/2238533.jpg", "Обложка")</f>
        <v>Обложка</v>
      </c>
      <c r="V6183" s="8" t="s">
        <v>3329</v>
      </c>
      <c r="W6183" s="6"/>
      <c r="X6183" s="6"/>
      <c r="Y6183" s="6"/>
      <c r="Z6183" s="6"/>
      <c r="AA6183" s="6" t="s">
        <v>115</v>
      </c>
      <c r="AB6183" s="8"/>
      <c r="AC6183" s="27">
        <v>9785160145808</v>
      </c>
    </row>
    <row r="6184" spans="1:29" s="4" customFormat="1" ht="42" customHeight="1" x14ac:dyDescent="0.2">
      <c r="A6184" s="5">
        <v>0</v>
      </c>
      <c r="B6184" s="6" t="s">
        <v>35202</v>
      </c>
      <c r="C6184" s="7">
        <v>1792.8</v>
      </c>
      <c r="D6184" s="8" t="s">
        <v>35203</v>
      </c>
      <c r="E6184" s="8" t="s">
        <v>35204</v>
      </c>
      <c r="F6184" s="8" t="s">
        <v>35205</v>
      </c>
      <c r="G6184" s="6" t="s">
        <v>118</v>
      </c>
      <c r="H6184" s="6" t="s">
        <v>241</v>
      </c>
      <c r="I6184" s="8" t="s">
        <v>263</v>
      </c>
      <c r="J6184" s="9">
        <v>1</v>
      </c>
      <c r="K6184" s="9">
        <v>272</v>
      </c>
      <c r="L6184" s="9">
        <v>2026</v>
      </c>
      <c r="M6184" s="8" t="s">
        <v>35206</v>
      </c>
      <c r="N6184" s="8" t="s">
        <v>37</v>
      </c>
      <c r="O6184" s="8" t="s">
        <v>136</v>
      </c>
      <c r="P6184" s="6" t="s">
        <v>51</v>
      </c>
      <c r="Q6184" s="8" t="s">
        <v>265</v>
      </c>
      <c r="R6184" s="10" t="s">
        <v>479</v>
      </c>
      <c r="S6184" s="11"/>
      <c r="T6184" s="6"/>
      <c r="U6184" s="15" t="str">
        <f>HYPERLINK("https://media.infra-m.ru/2239/2239814/cover/2239814.jpg", "Обложка")</f>
        <v>Обложка</v>
      </c>
      <c r="V6184" s="8" t="s">
        <v>1263</v>
      </c>
      <c r="W6184" s="6"/>
      <c r="X6184" s="6"/>
      <c r="Y6184" s="6"/>
      <c r="Z6184" s="6" t="s">
        <v>882</v>
      </c>
      <c r="AA6184" s="6" t="s">
        <v>157</v>
      </c>
      <c r="AB6184" s="8"/>
      <c r="AC6184" s="27">
        <v>9785955806563</v>
      </c>
    </row>
    <row r="6185" spans="1:29" s="4" customFormat="1" ht="51.9" customHeight="1" x14ac:dyDescent="0.2">
      <c r="A6185" s="5">
        <v>0</v>
      </c>
      <c r="B6185" s="6" t="s">
        <v>35207</v>
      </c>
      <c r="C6185" s="7">
        <v>3364.8</v>
      </c>
      <c r="D6185" s="8" t="s">
        <v>35208</v>
      </c>
      <c r="E6185" s="8" t="s">
        <v>35204</v>
      </c>
      <c r="F6185" s="8" t="s">
        <v>1260</v>
      </c>
      <c r="G6185" s="6" t="s">
        <v>60</v>
      </c>
      <c r="H6185" s="6" t="s">
        <v>34</v>
      </c>
      <c r="I6185" s="8" t="s">
        <v>253</v>
      </c>
      <c r="J6185" s="9">
        <v>1</v>
      </c>
      <c r="K6185" s="9">
        <v>484</v>
      </c>
      <c r="L6185" s="9">
        <v>2026</v>
      </c>
      <c r="M6185" s="8" t="s">
        <v>35209</v>
      </c>
      <c r="N6185" s="8" t="s">
        <v>37</v>
      </c>
      <c r="O6185" s="8" t="s">
        <v>136</v>
      </c>
      <c r="P6185" s="6" t="s">
        <v>306</v>
      </c>
      <c r="Q6185" s="8" t="s">
        <v>65</v>
      </c>
      <c r="R6185" s="10" t="s">
        <v>35210</v>
      </c>
      <c r="S6185" s="11"/>
      <c r="T6185" s="6" t="s">
        <v>97</v>
      </c>
      <c r="U6185" s="15" t="str">
        <f>HYPERLINK("https://media.infra-m.ru/2267/2267357/cover/2267357.jpg", "Обложка")</f>
        <v>Обложка</v>
      </c>
      <c r="V6185" s="8" t="s">
        <v>1263</v>
      </c>
      <c r="W6185" s="6"/>
      <c r="X6185" s="6"/>
      <c r="Y6185" s="6"/>
      <c r="Z6185" s="6"/>
      <c r="AA6185" s="6" t="s">
        <v>274</v>
      </c>
      <c r="AB6185" s="8"/>
      <c r="AC6185" s="27">
        <v>9785160220147</v>
      </c>
    </row>
    <row r="6186" spans="1:29" s="4" customFormat="1" ht="42" customHeight="1" x14ac:dyDescent="0.2">
      <c r="A6186" s="5">
        <v>0</v>
      </c>
      <c r="B6186" s="6" t="s">
        <v>35211</v>
      </c>
      <c r="C6186" s="7">
        <v>2758.8</v>
      </c>
      <c r="D6186" s="8" t="s">
        <v>35212</v>
      </c>
      <c r="E6186" s="8" t="s">
        <v>35213</v>
      </c>
      <c r="F6186" s="8"/>
      <c r="G6186" s="6" t="s">
        <v>33</v>
      </c>
      <c r="H6186" s="6" t="s">
        <v>34</v>
      </c>
      <c r="I6186" s="8"/>
      <c r="J6186" s="9">
        <v>1</v>
      </c>
      <c r="K6186" s="9">
        <v>44</v>
      </c>
      <c r="L6186" s="9">
        <v>2024</v>
      </c>
      <c r="M6186" s="8"/>
      <c r="N6186" s="8" t="s">
        <v>93</v>
      </c>
      <c r="O6186" s="8" t="s">
        <v>94</v>
      </c>
      <c r="P6186" s="6" t="s">
        <v>314</v>
      </c>
      <c r="Q6186" s="8"/>
      <c r="R6186" s="10"/>
      <c r="S6186" s="11"/>
      <c r="T6186" s="6"/>
      <c r="U6186" s="15" t="str">
        <f>HYPERLINK("https://media.infra-m.ru/2081/2081592/cover/2081592.jpg", "Обложка")</f>
        <v>Обложка</v>
      </c>
      <c r="V6186" s="8"/>
      <c r="W6186" s="6"/>
      <c r="X6186" s="6"/>
      <c r="Y6186" s="6"/>
      <c r="Z6186" s="6"/>
      <c r="AA6186" s="6" t="s">
        <v>55</v>
      </c>
      <c r="AB6186" s="8"/>
      <c r="AC6186" s="27"/>
    </row>
    <row r="6187" spans="1:29" s="4" customFormat="1" ht="42" customHeight="1" x14ac:dyDescent="0.2">
      <c r="A6187" s="5">
        <v>0</v>
      </c>
      <c r="B6187" s="6" t="s">
        <v>35214</v>
      </c>
      <c r="C6187" s="7">
        <v>2758.8</v>
      </c>
      <c r="D6187" s="8" t="s">
        <v>35215</v>
      </c>
      <c r="E6187" s="8" t="s">
        <v>35216</v>
      </c>
      <c r="F6187" s="8"/>
      <c r="G6187" s="6" t="s">
        <v>33</v>
      </c>
      <c r="H6187" s="6" t="s">
        <v>34</v>
      </c>
      <c r="I6187" s="8"/>
      <c r="J6187" s="9">
        <v>1</v>
      </c>
      <c r="K6187" s="9">
        <v>50</v>
      </c>
      <c r="L6187" s="9">
        <v>2026</v>
      </c>
      <c r="M6187" s="8"/>
      <c r="N6187" s="8" t="s">
        <v>93</v>
      </c>
      <c r="O6187" s="8" t="s">
        <v>94</v>
      </c>
      <c r="P6187" s="6" t="s">
        <v>314</v>
      </c>
      <c r="Q6187" s="8"/>
      <c r="R6187" s="10"/>
      <c r="S6187" s="11"/>
      <c r="T6187" s="6"/>
      <c r="U6187" s="15" t="str">
        <f>HYPERLINK("https://media.infra-m.ru/2228/2228175/cover/2228175.jpg", "Обложка")</f>
        <v>Обложка</v>
      </c>
      <c r="V6187" s="8"/>
      <c r="W6187" s="6" t="s">
        <v>2115</v>
      </c>
      <c r="X6187" s="6"/>
      <c r="Y6187" s="6"/>
      <c r="Z6187" s="6"/>
      <c r="AA6187" s="6" t="s">
        <v>13424</v>
      </c>
      <c r="AB6187" s="8"/>
      <c r="AC6187" s="27"/>
    </row>
    <row r="6188" spans="1:29" s="4" customFormat="1" ht="51.9" customHeight="1" x14ac:dyDescent="0.2">
      <c r="A6188" s="5">
        <v>0</v>
      </c>
      <c r="B6188" s="6" t="s">
        <v>35217</v>
      </c>
      <c r="C6188" s="7">
        <v>1272</v>
      </c>
      <c r="D6188" s="8" t="s">
        <v>35218</v>
      </c>
      <c r="E6188" s="8" t="s">
        <v>35219</v>
      </c>
      <c r="F6188" s="8" t="s">
        <v>35220</v>
      </c>
      <c r="G6188" s="6" t="s">
        <v>118</v>
      </c>
      <c r="H6188" s="6" t="s">
        <v>34</v>
      </c>
      <c r="I6188" s="8" t="s">
        <v>91</v>
      </c>
      <c r="J6188" s="9">
        <v>1</v>
      </c>
      <c r="K6188" s="9">
        <v>198</v>
      </c>
      <c r="L6188" s="9">
        <v>2026</v>
      </c>
      <c r="M6188" s="8" t="s">
        <v>35221</v>
      </c>
      <c r="N6188" s="8" t="s">
        <v>93</v>
      </c>
      <c r="O6188" s="8" t="s">
        <v>94</v>
      </c>
      <c r="P6188" s="6" t="s">
        <v>51</v>
      </c>
      <c r="Q6188" s="8" t="s">
        <v>52</v>
      </c>
      <c r="R6188" s="10" t="s">
        <v>18401</v>
      </c>
      <c r="S6188" s="11" t="s">
        <v>35222</v>
      </c>
      <c r="T6188" s="6"/>
      <c r="U6188" s="15" t="str">
        <f>HYPERLINK("https://media.infra-m.ru/2221/2221545/cover/2221545.jpg", "Обложка")</f>
        <v>Обложка</v>
      </c>
      <c r="V6188" s="8" t="s">
        <v>54</v>
      </c>
      <c r="W6188" s="6"/>
      <c r="X6188" s="6"/>
      <c r="Y6188" s="6"/>
      <c r="Z6188" s="6"/>
      <c r="AA6188" s="6" t="s">
        <v>1256</v>
      </c>
      <c r="AB6188" s="8"/>
      <c r="AC6188" s="27">
        <v>9785160150048</v>
      </c>
    </row>
    <row r="6189" spans="1:29" s="4" customFormat="1" ht="51.9" customHeight="1" x14ac:dyDescent="0.2">
      <c r="A6189" s="5">
        <v>0</v>
      </c>
      <c r="B6189" s="6" t="s">
        <v>35223</v>
      </c>
      <c r="C6189" s="7">
        <v>1372.8</v>
      </c>
      <c r="D6189" s="8" t="s">
        <v>35224</v>
      </c>
      <c r="E6189" s="8" t="s">
        <v>35219</v>
      </c>
      <c r="F6189" s="8" t="s">
        <v>35220</v>
      </c>
      <c r="G6189" s="6" t="s">
        <v>118</v>
      </c>
      <c r="H6189" s="6" t="s">
        <v>34</v>
      </c>
      <c r="I6189" s="8" t="s">
        <v>263</v>
      </c>
      <c r="J6189" s="9">
        <v>1</v>
      </c>
      <c r="K6189" s="9">
        <v>198</v>
      </c>
      <c r="L6189" s="9">
        <v>2027</v>
      </c>
      <c r="M6189" s="8" t="s">
        <v>35225</v>
      </c>
      <c r="N6189" s="8" t="s">
        <v>93</v>
      </c>
      <c r="O6189" s="8" t="s">
        <v>94</v>
      </c>
      <c r="P6189" s="6" t="s">
        <v>51</v>
      </c>
      <c r="Q6189" s="8" t="s">
        <v>265</v>
      </c>
      <c r="R6189" s="10" t="s">
        <v>35226</v>
      </c>
      <c r="S6189" s="11" t="s">
        <v>35227</v>
      </c>
      <c r="T6189" s="6"/>
      <c r="U6189" s="15" t="str">
        <f>HYPERLINK("https://media.infra-m.ru/2263/2263886/cover/2263886.jpg", "Обложка")</f>
        <v>Обложка</v>
      </c>
      <c r="V6189" s="8" t="s">
        <v>54</v>
      </c>
      <c r="W6189" s="6"/>
      <c r="X6189" s="6"/>
      <c r="Y6189" s="6"/>
      <c r="Z6189" s="6" t="s">
        <v>267</v>
      </c>
      <c r="AA6189" s="6" t="s">
        <v>430</v>
      </c>
      <c r="AB6189" s="8"/>
      <c r="AC6189" s="27">
        <v>9785160164090</v>
      </c>
    </row>
    <row r="6190" spans="1:29" s="4" customFormat="1" ht="51.9" customHeight="1" x14ac:dyDescent="0.2">
      <c r="A6190" s="5">
        <v>0</v>
      </c>
      <c r="B6190" s="6" t="s">
        <v>35228</v>
      </c>
      <c r="C6190" s="13">
        <v>708</v>
      </c>
      <c r="D6190" s="8" t="s">
        <v>35229</v>
      </c>
      <c r="E6190" s="8" t="s">
        <v>35230</v>
      </c>
      <c r="F6190" s="8" t="s">
        <v>35231</v>
      </c>
      <c r="G6190" s="6" t="s">
        <v>33</v>
      </c>
      <c r="H6190" s="6" t="s">
        <v>34</v>
      </c>
      <c r="I6190" s="8" t="s">
        <v>35</v>
      </c>
      <c r="J6190" s="9">
        <v>1</v>
      </c>
      <c r="K6190" s="9">
        <v>128</v>
      </c>
      <c r="L6190" s="9">
        <v>2024</v>
      </c>
      <c r="M6190" s="8" t="s">
        <v>35232</v>
      </c>
      <c r="N6190" s="8" t="s">
        <v>63</v>
      </c>
      <c r="O6190" s="8" t="s">
        <v>126</v>
      </c>
      <c r="P6190" s="6" t="s">
        <v>39</v>
      </c>
      <c r="Q6190" s="8" t="s">
        <v>40</v>
      </c>
      <c r="R6190" s="10" t="s">
        <v>35233</v>
      </c>
      <c r="S6190" s="11"/>
      <c r="T6190" s="6"/>
      <c r="U6190" s="15" t="str">
        <f>HYPERLINK("https://media.infra-m.ru/2084/2084532/cover/2084532.jpg", "Обложка")</f>
        <v>Обложка</v>
      </c>
      <c r="V6190" s="8" t="s">
        <v>1505</v>
      </c>
      <c r="W6190" s="6"/>
      <c r="X6190" s="6"/>
      <c r="Y6190" s="6"/>
      <c r="Z6190" s="6"/>
      <c r="AA6190" s="6" t="s">
        <v>55</v>
      </c>
      <c r="AB6190" s="8"/>
      <c r="AC6190" s="27">
        <v>9785160069029</v>
      </c>
    </row>
    <row r="6191" spans="1:29" s="4" customFormat="1" ht="51.9" customHeight="1" x14ac:dyDescent="0.2">
      <c r="A6191" s="5">
        <v>0</v>
      </c>
      <c r="B6191" s="6" t="s">
        <v>35234</v>
      </c>
      <c r="C6191" s="7">
        <v>1684.8</v>
      </c>
      <c r="D6191" s="8" t="s">
        <v>35235</v>
      </c>
      <c r="E6191" s="8" t="s">
        <v>35236</v>
      </c>
      <c r="F6191" s="8" t="s">
        <v>11542</v>
      </c>
      <c r="G6191" s="6" t="s">
        <v>118</v>
      </c>
      <c r="H6191" s="6" t="s">
        <v>34</v>
      </c>
      <c r="I6191" s="8" t="s">
        <v>263</v>
      </c>
      <c r="J6191" s="9">
        <v>1</v>
      </c>
      <c r="K6191" s="9">
        <v>242</v>
      </c>
      <c r="L6191" s="9">
        <v>2027</v>
      </c>
      <c r="M6191" s="8" t="s">
        <v>35237</v>
      </c>
      <c r="N6191" s="8" t="s">
        <v>585</v>
      </c>
      <c r="O6191" s="8" t="s">
        <v>775</v>
      </c>
      <c r="P6191" s="6" t="s">
        <v>51</v>
      </c>
      <c r="Q6191" s="8" t="s">
        <v>265</v>
      </c>
      <c r="R6191" s="10" t="s">
        <v>35238</v>
      </c>
      <c r="S6191" s="11" t="s">
        <v>35239</v>
      </c>
      <c r="T6191" s="6"/>
      <c r="U6191" s="15" t="str">
        <f>HYPERLINK("https://media.infra-m.ru/2267/2267160/cover/2267160.jpg", "Обложка")</f>
        <v>Обложка</v>
      </c>
      <c r="V6191" s="8" t="s">
        <v>546</v>
      </c>
      <c r="W6191" s="6"/>
      <c r="X6191" s="6"/>
      <c r="Y6191" s="6"/>
      <c r="Z6191" s="6" t="s">
        <v>267</v>
      </c>
      <c r="AA6191" s="6" t="s">
        <v>430</v>
      </c>
      <c r="AB6191" s="8"/>
      <c r="AC6191" s="27">
        <v>9785160169262</v>
      </c>
    </row>
    <row r="6192" spans="1:29" s="4" customFormat="1" ht="51.9" customHeight="1" x14ac:dyDescent="0.2">
      <c r="A6192" s="5">
        <v>0</v>
      </c>
      <c r="B6192" s="6" t="s">
        <v>35240</v>
      </c>
      <c r="C6192" s="7">
        <v>1452</v>
      </c>
      <c r="D6192" s="8" t="s">
        <v>35241</v>
      </c>
      <c r="E6192" s="8" t="s">
        <v>35236</v>
      </c>
      <c r="F6192" s="8" t="s">
        <v>11542</v>
      </c>
      <c r="G6192" s="6" t="s">
        <v>118</v>
      </c>
      <c r="H6192" s="6" t="s">
        <v>34</v>
      </c>
      <c r="I6192" s="8" t="s">
        <v>253</v>
      </c>
      <c r="J6192" s="9">
        <v>1</v>
      </c>
      <c r="K6192" s="9">
        <v>242</v>
      </c>
      <c r="L6192" s="9">
        <v>2025</v>
      </c>
      <c r="M6192" s="8" t="s">
        <v>35242</v>
      </c>
      <c r="N6192" s="8" t="s">
        <v>585</v>
      </c>
      <c r="O6192" s="8" t="s">
        <v>775</v>
      </c>
      <c r="P6192" s="6" t="s">
        <v>51</v>
      </c>
      <c r="Q6192" s="8" t="s">
        <v>52</v>
      </c>
      <c r="R6192" s="10" t="s">
        <v>30457</v>
      </c>
      <c r="S6192" s="11" t="s">
        <v>35243</v>
      </c>
      <c r="T6192" s="6"/>
      <c r="U6192" s="15" t="str">
        <f>HYPERLINK("https://media.infra-m.ru/2168/2168872/cover/2168872.jpg", "Обложка")</f>
        <v>Обложка</v>
      </c>
      <c r="V6192" s="8" t="s">
        <v>546</v>
      </c>
      <c r="W6192" s="6"/>
      <c r="X6192" s="6"/>
      <c r="Y6192" s="6"/>
      <c r="Z6192" s="6"/>
      <c r="AA6192" s="6" t="s">
        <v>779</v>
      </c>
      <c r="AB6192" s="8"/>
      <c r="AC6192" s="27">
        <v>9785160204246</v>
      </c>
    </row>
    <row r="6193" spans="1:29" s="4" customFormat="1" ht="42" customHeight="1" x14ac:dyDescent="0.2">
      <c r="A6193" s="5">
        <v>0</v>
      </c>
      <c r="B6193" s="6" t="s">
        <v>35244</v>
      </c>
      <c r="C6193" s="7">
        <v>1720.8</v>
      </c>
      <c r="D6193" s="8" t="s">
        <v>35245</v>
      </c>
      <c r="E6193" s="8" t="s">
        <v>35246</v>
      </c>
      <c r="F6193" s="8" t="s">
        <v>31489</v>
      </c>
      <c r="G6193" s="6" t="s">
        <v>60</v>
      </c>
      <c r="H6193" s="6" t="s">
        <v>48</v>
      </c>
      <c r="I6193" s="8" t="s">
        <v>271</v>
      </c>
      <c r="J6193" s="9">
        <v>1</v>
      </c>
      <c r="K6193" s="9">
        <v>287</v>
      </c>
      <c r="L6193" s="9">
        <v>2025</v>
      </c>
      <c r="M6193" s="8" t="s">
        <v>35247</v>
      </c>
      <c r="N6193" s="8" t="s">
        <v>243</v>
      </c>
      <c r="O6193" s="8" t="s">
        <v>964</v>
      </c>
      <c r="P6193" s="6" t="s">
        <v>51</v>
      </c>
      <c r="Q6193" s="8" t="s">
        <v>52</v>
      </c>
      <c r="R6193" s="10" t="s">
        <v>34691</v>
      </c>
      <c r="S6193" s="11"/>
      <c r="T6193" s="6"/>
      <c r="U6193" s="15" t="str">
        <f>HYPERLINK("https://media.infra-m.ru/2173/2173964/cover/2173964.jpg", "Обложка")</f>
        <v>Обложка</v>
      </c>
      <c r="V6193" s="8" t="s">
        <v>831</v>
      </c>
      <c r="W6193" s="6"/>
      <c r="X6193" s="6"/>
      <c r="Y6193" s="6"/>
      <c r="Z6193" s="6"/>
      <c r="AA6193" s="6" t="s">
        <v>55</v>
      </c>
      <c r="AB6193" s="8"/>
      <c r="AC6193" s="27">
        <v>9785911347208</v>
      </c>
    </row>
    <row r="6194" spans="1:29" s="4" customFormat="1" ht="51.9" customHeight="1" x14ac:dyDescent="0.2">
      <c r="A6194" s="5">
        <v>0</v>
      </c>
      <c r="B6194" s="6" t="s">
        <v>35248</v>
      </c>
      <c r="C6194" s="7">
        <v>1524</v>
      </c>
      <c r="D6194" s="8" t="s">
        <v>35249</v>
      </c>
      <c r="E6194" s="8" t="s">
        <v>35250</v>
      </c>
      <c r="F6194" s="8" t="s">
        <v>35251</v>
      </c>
      <c r="G6194" s="6" t="s">
        <v>60</v>
      </c>
      <c r="H6194" s="6" t="s">
        <v>34</v>
      </c>
      <c r="I6194" s="8" t="s">
        <v>1128</v>
      </c>
      <c r="J6194" s="9">
        <v>1</v>
      </c>
      <c r="K6194" s="9">
        <v>273</v>
      </c>
      <c r="L6194" s="9">
        <v>2023</v>
      </c>
      <c r="M6194" s="8" t="s">
        <v>35252</v>
      </c>
      <c r="N6194" s="8" t="s">
        <v>243</v>
      </c>
      <c r="O6194" s="8" t="s">
        <v>758</v>
      </c>
      <c r="P6194" s="6" t="s">
        <v>51</v>
      </c>
      <c r="Q6194" s="8" t="s">
        <v>65</v>
      </c>
      <c r="R6194" s="10" t="s">
        <v>35253</v>
      </c>
      <c r="S6194" s="11" t="s">
        <v>35254</v>
      </c>
      <c r="T6194" s="6"/>
      <c r="U6194" s="15" t="str">
        <f>HYPERLINK("https://media.infra-m.ru/2001/2001720/cover/2001720.jpg", "Обложка")</f>
        <v>Обложка</v>
      </c>
      <c r="V6194" s="8" t="s">
        <v>1132</v>
      </c>
      <c r="W6194" s="6"/>
      <c r="X6194" s="6"/>
      <c r="Y6194" s="6"/>
      <c r="Z6194" s="6"/>
      <c r="AA6194" s="6" t="s">
        <v>157</v>
      </c>
      <c r="AB6194" s="8"/>
      <c r="AC6194" s="27">
        <v>9785160184142</v>
      </c>
    </row>
    <row r="6195" spans="1:29" s="4" customFormat="1" ht="51.9" customHeight="1" x14ac:dyDescent="0.2">
      <c r="A6195" s="5">
        <v>0</v>
      </c>
      <c r="B6195" s="6" t="s">
        <v>35255</v>
      </c>
      <c r="C6195" s="7">
        <v>1744.8</v>
      </c>
      <c r="D6195" s="8" t="s">
        <v>35256</v>
      </c>
      <c r="E6195" s="8" t="s">
        <v>35257</v>
      </c>
      <c r="F6195" s="8" t="s">
        <v>25550</v>
      </c>
      <c r="G6195" s="6" t="s">
        <v>60</v>
      </c>
      <c r="H6195" s="6" t="s">
        <v>34</v>
      </c>
      <c r="I6195" s="8" t="s">
        <v>271</v>
      </c>
      <c r="J6195" s="9">
        <v>1</v>
      </c>
      <c r="K6195" s="9">
        <v>321</v>
      </c>
      <c r="L6195" s="9">
        <v>2023</v>
      </c>
      <c r="M6195" s="8" t="s">
        <v>35258</v>
      </c>
      <c r="N6195" s="8" t="s">
        <v>243</v>
      </c>
      <c r="O6195" s="8" t="s">
        <v>758</v>
      </c>
      <c r="P6195" s="6" t="s">
        <v>51</v>
      </c>
      <c r="Q6195" s="8" t="s">
        <v>52</v>
      </c>
      <c r="R6195" s="10" t="s">
        <v>35259</v>
      </c>
      <c r="S6195" s="11" t="s">
        <v>35260</v>
      </c>
      <c r="T6195" s="6"/>
      <c r="U6195" s="15" t="str">
        <f>HYPERLINK("https://media.infra-m.ru/2006/2006840/cover/2006840.jpg", "Обложка")</f>
        <v>Обложка</v>
      </c>
      <c r="V6195" s="8" t="s">
        <v>1157</v>
      </c>
      <c r="W6195" s="6"/>
      <c r="X6195" s="6"/>
      <c r="Y6195" s="6"/>
      <c r="Z6195" s="6"/>
      <c r="AA6195" s="6" t="s">
        <v>115</v>
      </c>
      <c r="AB6195" s="8"/>
      <c r="AC6195" s="27">
        <v>9785160144207</v>
      </c>
    </row>
    <row r="6196" spans="1:29" s="4" customFormat="1" ht="51.9" customHeight="1" x14ac:dyDescent="0.2">
      <c r="A6196" s="5">
        <v>0</v>
      </c>
      <c r="B6196" s="6" t="s">
        <v>35261</v>
      </c>
      <c r="C6196" s="7">
        <v>2236.8000000000002</v>
      </c>
      <c r="D6196" s="8" t="s">
        <v>35262</v>
      </c>
      <c r="E6196" s="8" t="s">
        <v>35257</v>
      </c>
      <c r="F6196" s="8" t="s">
        <v>25550</v>
      </c>
      <c r="G6196" s="6" t="s">
        <v>60</v>
      </c>
      <c r="H6196" s="6" t="s">
        <v>34</v>
      </c>
      <c r="I6196" s="8" t="s">
        <v>263</v>
      </c>
      <c r="J6196" s="9">
        <v>1</v>
      </c>
      <c r="K6196" s="9">
        <v>321</v>
      </c>
      <c r="L6196" s="9">
        <v>2027</v>
      </c>
      <c r="M6196" s="8" t="s">
        <v>35263</v>
      </c>
      <c r="N6196" s="8" t="s">
        <v>243</v>
      </c>
      <c r="O6196" s="8" t="s">
        <v>758</v>
      </c>
      <c r="P6196" s="6" t="s">
        <v>51</v>
      </c>
      <c r="Q6196" s="8" t="s">
        <v>265</v>
      </c>
      <c r="R6196" s="10" t="s">
        <v>35264</v>
      </c>
      <c r="S6196" s="11" t="s">
        <v>35265</v>
      </c>
      <c r="T6196" s="6"/>
      <c r="U6196" s="15" t="str">
        <f>HYPERLINK("https://media.infra-m.ru/2267/2267451/cover/2267451.jpg", "Обложка")</f>
        <v>Обложка</v>
      </c>
      <c r="V6196" s="8" t="s">
        <v>1157</v>
      </c>
      <c r="W6196" s="6"/>
      <c r="X6196" s="6"/>
      <c r="Y6196" s="6"/>
      <c r="Z6196" s="6" t="s">
        <v>267</v>
      </c>
      <c r="AA6196" s="6" t="s">
        <v>1256</v>
      </c>
      <c r="AB6196" s="8"/>
      <c r="AC6196" s="27">
        <v>9785160152776</v>
      </c>
    </row>
    <row r="6197" spans="1:29" s="4" customFormat="1" ht="51.9" customHeight="1" x14ac:dyDescent="0.2">
      <c r="A6197" s="5">
        <v>0</v>
      </c>
      <c r="B6197" s="6" t="s">
        <v>35266</v>
      </c>
      <c r="C6197" s="7">
        <v>1396.8</v>
      </c>
      <c r="D6197" s="8" t="s">
        <v>35267</v>
      </c>
      <c r="E6197" s="8" t="s">
        <v>35268</v>
      </c>
      <c r="F6197" s="8" t="s">
        <v>35269</v>
      </c>
      <c r="G6197" s="6" t="s">
        <v>118</v>
      </c>
      <c r="H6197" s="6" t="s">
        <v>34</v>
      </c>
      <c r="I6197" s="8" t="s">
        <v>253</v>
      </c>
      <c r="J6197" s="9">
        <v>1</v>
      </c>
      <c r="K6197" s="9">
        <v>211</v>
      </c>
      <c r="L6197" s="9">
        <v>2026</v>
      </c>
      <c r="M6197" s="8" t="s">
        <v>35270</v>
      </c>
      <c r="N6197" s="8" t="s">
        <v>243</v>
      </c>
      <c r="O6197" s="8" t="s">
        <v>758</v>
      </c>
      <c r="P6197" s="6" t="s">
        <v>51</v>
      </c>
      <c r="Q6197" s="8" t="s">
        <v>52</v>
      </c>
      <c r="R6197" s="10" t="s">
        <v>35271</v>
      </c>
      <c r="S6197" s="11" t="s">
        <v>35272</v>
      </c>
      <c r="T6197" s="6"/>
      <c r="U6197" s="15" t="str">
        <f>HYPERLINK("https://media.infra-m.ru/2249/2249279/cover/2249279.jpg", "Обложка")</f>
        <v>Обложка</v>
      </c>
      <c r="V6197" s="8"/>
      <c r="W6197" s="6"/>
      <c r="X6197" s="6"/>
      <c r="Y6197" s="6"/>
      <c r="Z6197" s="6"/>
      <c r="AA6197" s="6" t="s">
        <v>1015</v>
      </c>
      <c r="AB6197" s="8"/>
      <c r="AC6197" s="27">
        <v>9785160204260</v>
      </c>
    </row>
    <row r="6198" spans="1:29" s="4" customFormat="1" ht="51.9" customHeight="1" x14ac:dyDescent="0.2">
      <c r="A6198" s="5">
        <v>0</v>
      </c>
      <c r="B6198" s="6" t="s">
        <v>35273</v>
      </c>
      <c r="C6198" s="7">
        <v>2476.8000000000002</v>
      </c>
      <c r="D6198" s="8" t="s">
        <v>35274</v>
      </c>
      <c r="E6198" s="8" t="s">
        <v>35275</v>
      </c>
      <c r="F6198" s="8" t="s">
        <v>35276</v>
      </c>
      <c r="G6198" s="6" t="s">
        <v>60</v>
      </c>
      <c r="H6198" s="6" t="s">
        <v>34</v>
      </c>
      <c r="I6198" s="8" t="s">
        <v>271</v>
      </c>
      <c r="J6198" s="9">
        <v>1</v>
      </c>
      <c r="K6198" s="9">
        <v>412</v>
      </c>
      <c r="L6198" s="9">
        <v>2025</v>
      </c>
      <c r="M6198" s="8" t="s">
        <v>35277</v>
      </c>
      <c r="N6198" s="8" t="s">
        <v>243</v>
      </c>
      <c r="O6198" s="8" t="s">
        <v>758</v>
      </c>
      <c r="P6198" s="6" t="s">
        <v>51</v>
      </c>
      <c r="Q6198" s="8" t="s">
        <v>52</v>
      </c>
      <c r="R6198" s="10" t="s">
        <v>35278</v>
      </c>
      <c r="S6198" s="11" t="s">
        <v>35279</v>
      </c>
      <c r="T6198" s="6"/>
      <c r="U6198" s="15" t="str">
        <f>HYPERLINK("https://media.infra-m.ru/2168/2168869/cover/2168869.jpg", "Обложка")</f>
        <v>Обложка</v>
      </c>
      <c r="V6198" s="8" t="s">
        <v>19024</v>
      </c>
      <c r="W6198" s="6"/>
      <c r="X6198" s="6"/>
      <c r="Y6198" s="6"/>
      <c r="Z6198" s="6"/>
      <c r="AA6198" s="6" t="s">
        <v>248</v>
      </c>
      <c r="AB6198" s="8"/>
      <c r="AC6198" s="27">
        <v>9785160092584</v>
      </c>
    </row>
    <row r="6199" spans="1:29" s="4" customFormat="1" ht="51.9" customHeight="1" x14ac:dyDescent="0.2">
      <c r="A6199" s="5">
        <v>0</v>
      </c>
      <c r="B6199" s="6" t="s">
        <v>35280</v>
      </c>
      <c r="C6199" s="7">
        <v>1348.8</v>
      </c>
      <c r="D6199" s="8" t="s">
        <v>35281</v>
      </c>
      <c r="E6199" s="8" t="s">
        <v>35282</v>
      </c>
      <c r="F6199" s="8" t="s">
        <v>35283</v>
      </c>
      <c r="G6199" s="6" t="s">
        <v>60</v>
      </c>
      <c r="H6199" s="6" t="s">
        <v>34</v>
      </c>
      <c r="I6199" s="8" t="s">
        <v>263</v>
      </c>
      <c r="J6199" s="9">
        <v>1</v>
      </c>
      <c r="K6199" s="9">
        <v>203</v>
      </c>
      <c r="L6199" s="9">
        <v>2026</v>
      </c>
      <c r="M6199" s="8" t="s">
        <v>35284</v>
      </c>
      <c r="N6199" s="8" t="s">
        <v>243</v>
      </c>
      <c r="O6199" s="8" t="s">
        <v>758</v>
      </c>
      <c r="P6199" s="6" t="s">
        <v>51</v>
      </c>
      <c r="Q6199" s="8" t="s">
        <v>265</v>
      </c>
      <c r="R6199" s="10" t="s">
        <v>35285</v>
      </c>
      <c r="S6199" s="11"/>
      <c r="T6199" s="6"/>
      <c r="U6199" s="15" t="str">
        <f>HYPERLINK("https://media.infra-m.ru/2230/2230629/cover/2230629.jpg", "Обложка")</f>
        <v>Обложка</v>
      </c>
      <c r="V6199" s="8" t="s">
        <v>35286</v>
      </c>
      <c r="W6199" s="6"/>
      <c r="X6199" s="6"/>
      <c r="Y6199" s="6"/>
      <c r="Z6199" s="6"/>
      <c r="AA6199" s="6" t="s">
        <v>76</v>
      </c>
      <c r="AB6199" s="8" t="s">
        <v>17125</v>
      </c>
      <c r="AC6199" s="27">
        <v>9785160178899</v>
      </c>
    </row>
    <row r="6200" spans="1:29" s="4" customFormat="1" ht="51.9" customHeight="1" x14ac:dyDescent="0.2">
      <c r="A6200" s="5">
        <v>0</v>
      </c>
      <c r="B6200" s="6" t="s">
        <v>35287</v>
      </c>
      <c r="C6200" s="7">
        <v>1740</v>
      </c>
      <c r="D6200" s="8" t="s">
        <v>35288</v>
      </c>
      <c r="E6200" s="8" t="s">
        <v>35289</v>
      </c>
      <c r="F6200" s="8" t="s">
        <v>35290</v>
      </c>
      <c r="G6200" s="6" t="s">
        <v>60</v>
      </c>
      <c r="H6200" s="6" t="s">
        <v>34</v>
      </c>
      <c r="I6200" s="8" t="s">
        <v>35</v>
      </c>
      <c r="J6200" s="9">
        <v>1</v>
      </c>
      <c r="K6200" s="9">
        <v>249</v>
      </c>
      <c r="L6200" s="9">
        <v>2024</v>
      </c>
      <c r="M6200" s="8" t="s">
        <v>35291</v>
      </c>
      <c r="N6200" s="8" t="s">
        <v>243</v>
      </c>
      <c r="O6200" s="8" t="s">
        <v>758</v>
      </c>
      <c r="P6200" s="6" t="s">
        <v>39</v>
      </c>
      <c r="Q6200" s="8" t="s">
        <v>40</v>
      </c>
      <c r="R6200" s="10" t="s">
        <v>35292</v>
      </c>
      <c r="S6200" s="11"/>
      <c r="T6200" s="6"/>
      <c r="U6200" s="15" t="str">
        <f>HYPERLINK("https://media.infra-m.ru/2048/2048109/cover/2048109.jpg", "Обложка")</f>
        <v>Обложка</v>
      </c>
      <c r="V6200" s="8" t="s">
        <v>35293</v>
      </c>
      <c r="W6200" s="6"/>
      <c r="X6200" s="6"/>
      <c r="Y6200" s="6"/>
      <c r="Z6200" s="6"/>
      <c r="AA6200" s="6" t="s">
        <v>76</v>
      </c>
      <c r="AB6200" s="8"/>
      <c r="AC6200" s="27">
        <v>9785160187020</v>
      </c>
    </row>
    <row r="6201" spans="1:29" s="4" customFormat="1" ht="51.9" customHeight="1" x14ac:dyDescent="0.2">
      <c r="A6201" s="5">
        <v>0</v>
      </c>
      <c r="B6201" s="6" t="s">
        <v>35294</v>
      </c>
      <c r="C6201" s="7">
        <v>1560</v>
      </c>
      <c r="D6201" s="8" t="s">
        <v>35295</v>
      </c>
      <c r="E6201" s="8" t="s">
        <v>35296</v>
      </c>
      <c r="F6201" s="8" t="s">
        <v>35297</v>
      </c>
      <c r="G6201" s="6" t="s">
        <v>118</v>
      </c>
      <c r="H6201" s="6" t="s">
        <v>820</v>
      </c>
      <c r="I6201" s="8" t="s">
        <v>263</v>
      </c>
      <c r="J6201" s="9">
        <v>1</v>
      </c>
      <c r="K6201" s="9">
        <v>224</v>
      </c>
      <c r="L6201" s="9">
        <v>2026</v>
      </c>
      <c r="M6201" s="8" t="s">
        <v>35298</v>
      </c>
      <c r="N6201" s="8" t="s">
        <v>243</v>
      </c>
      <c r="O6201" s="8" t="s">
        <v>758</v>
      </c>
      <c r="P6201" s="6" t="s">
        <v>306</v>
      </c>
      <c r="Q6201" s="8" t="s">
        <v>265</v>
      </c>
      <c r="R6201" s="10" t="s">
        <v>35299</v>
      </c>
      <c r="S6201" s="11"/>
      <c r="T6201" s="6"/>
      <c r="U6201" s="15" t="str">
        <f>HYPERLINK("https://media.infra-m.ru/2215/2215731/cover/2215731.jpg", "Обложка")</f>
        <v>Обложка</v>
      </c>
      <c r="V6201" s="8" t="s">
        <v>831</v>
      </c>
      <c r="W6201" s="6"/>
      <c r="X6201" s="6"/>
      <c r="Y6201" s="6"/>
      <c r="Z6201" s="6"/>
      <c r="AA6201" s="6" t="s">
        <v>99</v>
      </c>
      <c r="AB6201" s="8"/>
      <c r="AC6201" s="27">
        <v>9785906818430</v>
      </c>
    </row>
    <row r="6202" spans="1:29" s="4" customFormat="1" ht="42" customHeight="1" x14ac:dyDescent="0.2">
      <c r="A6202" s="5">
        <v>0</v>
      </c>
      <c r="B6202" s="6" t="s">
        <v>35300</v>
      </c>
      <c r="C6202" s="7">
        <v>2304</v>
      </c>
      <c r="D6202" s="8" t="s">
        <v>35301</v>
      </c>
      <c r="E6202" s="8" t="s">
        <v>35296</v>
      </c>
      <c r="F6202" s="8" t="s">
        <v>35302</v>
      </c>
      <c r="G6202" s="6" t="s">
        <v>60</v>
      </c>
      <c r="H6202" s="6" t="s">
        <v>34</v>
      </c>
      <c r="I6202" s="8" t="s">
        <v>253</v>
      </c>
      <c r="J6202" s="9">
        <v>1</v>
      </c>
      <c r="K6202" s="9">
        <v>371</v>
      </c>
      <c r="L6202" s="9">
        <v>2025</v>
      </c>
      <c r="M6202" s="8" t="s">
        <v>35303</v>
      </c>
      <c r="N6202" s="8" t="s">
        <v>243</v>
      </c>
      <c r="O6202" s="8" t="s">
        <v>758</v>
      </c>
      <c r="P6202" s="6" t="s">
        <v>306</v>
      </c>
      <c r="Q6202" s="8" t="s">
        <v>52</v>
      </c>
      <c r="R6202" s="10" t="s">
        <v>5717</v>
      </c>
      <c r="S6202" s="11"/>
      <c r="T6202" s="6"/>
      <c r="U6202" s="15" t="str">
        <f>HYPERLINK("https://media.infra-m.ru/1214/1214787/cover/1214787.jpg", "Обложка")</f>
        <v>Обложка</v>
      </c>
      <c r="V6202" s="8" t="s">
        <v>843</v>
      </c>
      <c r="W6202" s="6"/>
      <c r="X6202" s="6"/>
      <c r="Y6202" s="6"/>
      <c r="Z6202" s="6"/>
      <c r="AA6202" s="6" t="s">
        <v>68</v>
      </c>
      <c r="AB6202" s="8" t="s">
        <v>17933</v>
      </c>
      <c r="AC6202" s="27">
        <v>9785160166841</v>
      </c>
    </row>
    <row r="6203" spans="1:29" s="4" customFormat="1" ht="42" customHeight="1" x14ac:dyDescent="0.2">
      <c r="A6203" s="5">
        <v>0</v>
      </c>
      <c r="B6203" s="6" t="s">
        <v>35304</v>
      </c>
      <c r="C6203" s="7">
        <v>1800</v>
      </c>
      <c r="D6203" s="8" t="s">
        <v>35305</v>
      </c>
      <c r="E6203" s="8" t="s">
        <v>35306</v>
      </c>
      <c r="F6203" s="8" t="s">
        <v>35307</v>
      </c>
      <c r="G6203" s="6" t="s">
        <v>118</v>
      </c>
      <c r="H6203" s="6" t="s">
        <v>34</v>
      </c>
      <c r="I6203" s="8" t="s">
        <v>35</v>
      </c>
      <c r="J6203" s="9">
        <v>1</v>
      </c>
      <c r="K6203" s="9">
        <v>258</v>
      </c>
      <c r="L6203" s="9">
        <v>2027</v>
      </c>
      <c r="M6203" s="8" t="s">
        <v>35308</v>
      </c>
      <c r="N6203" s="8" t="s">
        <v>243</v>
      </c>
      <c r="O6203" s="8" t="s">
        <v>798</v>
      </c>
      <c r="P6203" s="6" t="s">
        <v>39</v>
      </c>
      <c r="Q6203" s="8" t="s">
        <v>40</v>
      </c>
      <c r="R6203" s="10" t="s">
        <v>7812</v>
      </c>
      <c r="S6203" s="11"/>
      <c r="T6203" s="6"/>
      <c r="U6203" s="15" t="str">
        <f>HYPERLINK("https://media.infra-m.ru/2161/2161261/cover/2161261.jpg", "Обложка")</f>
        <v>Обложка</v>
      </c>
      <c r="V6203" s="8" t="s">
        <v>7509</v>
      </c>
      <c r="W6203" s="6"/>
      <c r="X6203" s="6"/>
      <c r="Y6203" s="6"/>
      <c r="Z6203" s="6"/>
      <c r="AA6203" s="6" t="s">
        <v>86</v>
      </c>
      <c r="AB6203" s="8"/>
      <c r="AC6203" s="27">
        <v>9785160131917</v>
      </c>
    </row>
    <row r="6204" spans="1:29" s="4" customFormat="1" ht="44.1" customHeight="1" x14ac:dyDescent="0.2">
      <c r="A6204" s="5">
        <v>0</v>
      </c>
      <c r="B6204" s="6" t="s">
        <v>35309</v>
      </c>
      <c r="C6204" s="7">
        <v>1187.9000000000001</v>
      </c>
      <c r="D6204" s="8" t="s">
        <v>35310</v>
      </c>
      <c r="E6204" s="8" t="s">
        <v>35311</v>
      </c>
      <c r="F6204" s="8" t="s">
        <v>35312</v>
      </c>
      <c r="G6204" s="6" t="s">
        <v>33</v>
      </c>
      <c r="H6204" s="6" t="s">
        <v>1644</v>
      </c>
      <c r="I6204" s="8"/>
      <c r="J6204" s="9">
        <v>1</v>
      </c>
      <c r="K6204" s="9">
        <v>204</v>
      </c>
      <c r="L6204" s="9">
        <v>2019</v>
      </c>
      <c r="M6204" s="8" t="s">
        <v>35313</v>
      </c>
      <c r="N6204" s="8" t="s">
        <v>37</v>
      </c>
      <c r="O6204" s="8" t="s">
        <v>233</v>
      </c>
      <c r="P6204" s="6" t="s">
        <v>39</v>
      </c>
      <c r="Q6204" s="8" t="s">
        <v>40</v>
      </c>
      <c r="R6204" s="10" t="s">
        <v>35314</v>
      </c>
      <c r="S6204" s="11"/>
      <c r="T6204" s="6"/>
      <c r="U6204" s="12"/>
      <c r="V6204" s="8" t="s">
        <v>227</v>
      </c>
      <c r="W6204" s="6"/>
      <c r="X6204" s="6"/>
      <c r="Y6204" s="6"/>
      <c r="Z6204" s="6"/>
      <c r="AA6204" s="6" t="s">
        <v>115</v>
      </c>
      <c r="AB6204" s="8"/>
      <c r="AC6204" s="27">
        <v>9785977605106</v>
      </c>
    </row>
    <row r="6205" spans="1:29" s="4" customFormat="1" ht="51.9" customHeight="1" x14ac:dyDescent="0.2">
      <c r="A6205" s="5">
        <v>0</v>
      </c>
      <c r="B6205" s="6" t="s">
        <v>35315</v>
      </c>
      <c r="C6205" s="7">
        <v>2308.8000000000002</v>
      </c>
      <c r="D6205" s="8" t="s">
        <v>35316</v>
      </c>
      <c r="E6205" s="8" t="s">
        <v>35317</v>
      </c>
      <c r="F6205" s="8" t="s">
        <v>35318</v>
      </c>
      <c r="G6205" s="6" t="s">
        <v>118</v>
      </c>
      <c r="H6205" s="6" t="s">
        <v>34</v>
      </c>
      <c r="I6205" s="8" t="s">
        <v>271</v>
      </c>
      <c r="J6205" s="9">
        <v>1</v>
      </c>
      <c r="K6205" s="9">
        <v>350</v>
      </c>
      <c r="L6205" s="9">
        <v>2026</v>
      </c>
      <c r="M6205" s="8" t="s">
        <v>35319</v>
      </c>
      <c r="N6205" s="8" t="s">
        <v>93</v>
      </c>
      <c r="O6205" s="8" t="s">
        <v>94</v>
      </c>
      <c r="P6205" s="6" t="s">
        <v>306</v>
      </c>
      <c r="Q6205" s="8" t="s">
        <v>52</v>
      </c>
      <c r="R6205" s="10" t="s">
        <v>35320</v>
      </c>
      <c r="S6205" s="11" t="s">
        <v>35321</v>
      </c>
      <c r="T6205" s="6"/>
      <c r="U6205" s="15" t="str">
        <f>HYPERLINK("https://media.infra-m.ru/2247/2247249/cover/2247249.jpg", "Обложка")</f>
        <v>Обложка</v>
      </c>
      <c r="V6205" s="8" t="s">
        <v>128</v>
      </c>
      <c r="W6205" s="6"/>
      <c r="X6205" s="6"/>
      <c r="Y6205" s="6"/>
      <c r="Z6205" s="6"/>
      <c r="AA6205" s="6" t="s">
        <v>218</v>
      </c>
      <c r="AB6205" s="8"/>
      <c r="AC6205" s="27">
        <v>9785160151328</v>
      </c>
    </row>
    <row r="6206" spans="1:29" s="4" customFormat="1" ht="51.9" customHeight="1" x14ac:dyDescent="0.2">
      <c r="A6206" s="5">
        <v>0</v>
      </c>
      <c r="B6206" s="6" t="s">
        <v>35322</v>
      </c>
      <c r="C6206" s="7">
        <v>1678.8</v>
      </c>
      <c r="D6206" s="8" t="s">
        <v>35323</v>
      </c>
      <c r="E6206" s="8" t="s">
        <v>35324</v>
      </c>
      <c r="F6206" s="8" t="s">
        <v>35325</v>
      </c>
      <c r="G6206" s="6" t="s">
        <v>118</v>
      </c>
      <c r="H6206" s="6" t="s">
        <v>34</v>
      </c>
      <c r="I6206" s="8" t="s">
        <v>91</v>
      </c>
      <c r="J6206" s="9">
        <v>1</v>
      </c>
      <c r="K6206" s="9">
        <v>191</v>
      </c>
      <c r="L6206" s="9">
        <v>2026</v>
      </c>
      <c r="M6206" s="8" t="s">
        <v>35326</v>
      </c>
      <c r="N6206" s="8" t="s">
        <v>93</v>
      </c>
      <c r="O6206" s="8" t="s">
        <v>94</v>
      </c>
      <c r="P6206" s="6" t="s">
        <v>105</v>
      </c>
      <c r="Q6206" s="8" t="s">
        <v>40</v>
      </c>
      <c r="R6206" s="10" t="s">
        <v>7388</v>
      </c>
      <c r="S6206" s="11"/>
      <c r="T6206" s="6"/>
      <c r="U6206" s="15" t="str">
        <f>HYPERLINK("https://media.infra-m.ru/2253/2253924/cover/2253924.jpg", "Обложка")</f>
        <v>Обложка</v>
      </c>
      <c r="V6206" s="8" t="s">
        <v>54</v>
      </c>
      <c r="W6206" s="6"/>
      <c r="X6206" s="6"/>
      <c r="Y6206" s="6"/>
      <c r="Z6206" s="6"/>
      <c r="AA6206" s="6" t="s">
        <v>99</v>
      </c>
      <c r="AB6206" s="8" t="s">
        <v>1317</v>
      </c>
      <c r="AC6206" s="27">
        <v>9785160126265</v>
      </c>
    </row>
    <row r="6207" spans="1:29" s="4" customFormat="1" ht="42" customHeight="1" x14ac:dyDescent="0.2">
      <c r="A6207" s="5">
        <v>0</v>
      </c>
      <c r="B6207" s="6" t="s">
        <v>35327</v>
      </c>
      <c r="C6207" s="7">
        <v>1860</v>
      </c>
      <c r="D6207" s="8" t="s">
        <v>35328</v>
      </c>
      <c r="E6207" s="8" t="s">
        <v>35329</v>
      </c>
      <c r="F6207" s="8" t="s">
        <v>35330</v>
      </c>
      <c r="G6207" s="6" t="s">
        <v>118</v>
      </c>
      <c r="H6207" s="6" t="s">
        <v>34</v>
      </c>
      <c r="I6207" s="8" t="s">
        <v>253</v>
      </c>
      <c r="J6207" s="9">
        <v>1</v>
      </c>
      <c r="K6207" s="9">
        <v>279</v>
      </c>
      <c r="L6207" s="9">
        <v>2026</v>
      </c>
      <c r="M6207" s="8" t="s">
        <v>35331</v>
      </c>
      <c r="N6207" s="8" t="s">
        <v>63</v>
      </c>
      <c r="O6207" s="8" t="s">
        <v>64</v>
      </c>
      <c r="P6207" s="6" t="s">
        <v>51</v>
      </c>
      <c r="Q6207" s="8" t="s">
        <v>52</v>
      </c>
      <c r="R6207" s="10" t="s">
        <v>35332</v>
      </c>
      <c r="S6207" s="11"/>
      <c r="T6207" s="6"/>
      <c r="U6207" s="15" t="str">
        <f>HYPERLINK("https://media.infra-m.ru/2219/2219346/cover/2219346.jpg", "Обложка")</f>
        <v>Обложка</v>
      </c>
      <c r="V6207" s="8" t="s">
        <v>9822</v>
      </c>
      <c r="W6207" s="6"/>
      <c r="X6207" s="6"/>
      <c r="Y6207" s="6"/>
      <c r="Z6207" s="6"/>
      <c r="AA6207" s="6" t="s">
        <v>76</v>
      </c>
      <c r="AB6207" s="8" t="s">
        <v>77</v>
      </c>
      <c r="AC6207" s="27">
        <v>9785160173719</v>
      </c>
    </row>
    <row r="6208" spans="1:29" s="4" customFormat="1" ht="51.9" customHeight="1" x14ac:dyDescent="0.2">
      <c r="A6208" s="5">
        <v>0</v>
      </c>
      <c r="B6208" s="6" t="s">
        <v>35333</v>
      </c>
      <c r="C6208" s="7">
        <v>1672.8</v>
      </c>
      <c r="D6208" s="8" t="s">
        <v>35334</v>
      </c>
      <c r="E6208" s="8" t="s">
        <v>35335</v>
      </c>
      <c r="F6208" s="8" t="s">
        <v>35336</v>
      </c>
      <c r="G6208" s="6" t="s">
        <v>118</v>
      </c>
      <c r="H6208" s="6" t="s">
        <v>241</v>
      </c>
      <c r="I6208" s="8"/>
      <c r="J6208" s="9">
        <v>1</v>
      </c>
      <c r="K6208" s="9">
        <v>268</v>
      </c>
      <c r="L6208" s="9">
        <v>2025</v>
      </c>
      <c r="M6208" s="8" t="s">
        <v>35337</v>
      </c>
      <c r="N6208" s="8" t="s">
        <v>93</v>
      </c>
      <c r="O6208" s="8" t="s">
        <v>94</v>
      </c>
      <c r="P6208" s="6" t="s">
        <v>51</v>
      </c>
      <c r="Q6208" s="8" t="s">
        <v>52</v>
      </c>
      <c r="R6208" s="10" t="s">
        <v>35338</v>
      </c>
      <c r="S6208" s="11"/>
      <c r="T6208" s="6"/>
      <c r="U6208" s="15" t="str">
        <f>HYPERLINK("https://media.infra-m.ru/2196/2196129/cover/2196129.jpg", "Обложка")</f>
        <v>Обложка</v>
      </c>
      <c r="V6208" s="8" t="s">
        <v>98</v>
      </c>
      <c r="W6208" s="6"/>
      <c r="X6208" s="6"/>
      <c r="Y6208" s="6"/>
      <c r="Z6208" s="6"/>
      <c r="AA6208" s="6" t="s">
        <v>99</v>
      </c>
      <c r="AB6208" s="8"/>
      <c r="AC6208" s="27">
        <v>9785955801322</v>
      </c>
    </row>
    <row r="6209" spans="1:29" s="4" customFormat="1" ht="51.9" customHeight="1" x14ac:dyDescent="0.2">
      <c r="A6209" s="5">
        <v>0</v>
      </c>
      <c r="B6209" s="6" t="s">
        <v>35339</v>
      </c>
      <c r="C6209" s="7">
        <v>2172</v>
      </c>
      <c r="D6209" s="8" t="s">
        <v>35340</v>
      </c>
      <c r="E6209" s="8" t="s">
        <v>35341</v>
      </c>
      <c r="F6209" s="8" t="s">
        <v>10235</v>
      </c>
      <c r="G6209" s="6" t="s">
        <v>118</v>
      </c>
      <c r="H6209" s="6" t="s">
        <v>34</v>
      </c>
      <c r="I6209" s="8" t="s">
        <v>253</v>
      </c>
      <c r="J6209" s="9">
        <v>1</v>
      </c>
      <c r="K6209" s="9">
        <v>329</v>
      </c>
      <c r="L6209" s="9">
        <v>2026</v>
      </c>
      <c r="M6209" s="8" t="s">
        <v>35342</v>
      </c>
      <c r="N6209" s="8" t="s">
        <v>93</v>
      </c>
      <c r="O6209" s="8" t="s">
        <v>94</v>
      </c>
      <c r="P6209" s="6" t="s">
        <v>51</v>
      </c>
      <c r="Q6209" s="8" t="s">
        <v>52</v>
      </c>
      <c r="R6209" s="10" t="s">
        <v>28492</v>
      </c>
      <c r="S6209" s="11" t="s">
        <v>35343</v>
      </c>
      <c r="T6209" s="6"/>
      <c r="U6209" s="15" t="str">
        <f>HYPERLINK("https://media.infra-m.ru/2223/2223933/cover/2223933.jpg", "Обложка")</f>
        <v>Обложка</v>
      </c>
      <c r="V6209" s="8" t="s">
        <v>10238</v>
      </c>
      <c r="W6209" s="6"/>
      <c r="X6209" s="6"/>
      <c r="Y6209" s="6"/>
      <c r="Z6209" s="6"/>
      <c r="AA6209" s="6" t="s">
        <v>1256</v>
      </c>
      <c r="AB6209" s="8"/>
      <c r="AC6209" s="27">
        <v>9785160186344</v>
      </c>
    </row>
    <row r="6210" spans="1:29" s="4" customFormat="1" ht="42" customHeight="1" x14ac:dyDescent="0.2">
      <c r="A6210" s="5">
        <v>0</v>
      </c>
      <c r="B6210" s="6" t="s">
        <v>35344</v>
      </c>
      <c r="C6210" s="7">
        <v>1656</v>
      </c>
      <c r="D6210" s="8" t="s">
        <v>35345</v>
      </c>
      <c r="E6210" s="8" t="s">
        <v>35346</v>
      </c>
      <c r="F6210" s="8" t="s">
        <v>35347</v>
      </c>
      <c r="G6210" s="6" t="s">
        <v>60</v>
      </c>
      <c r="H6210" s="6" t="s">
        <v>34</v>
      </c>
      <c r="I6210" s="8" t="s">
        <v>253</v>
      </c>
      <c r="J6210" s="9">
        <v>1</v>
      </c>
      <c r="K6210" s="9">
        <v>233</v>
      </c>
      <c r="L6210" s="9">
        <v>2026</v>
      </c>
      <c r="M6210" s="8" t="s">
        <v>35348</v>
      </c>
      <c r="N6210" s="8" t="s">
        <v>63</v>
      </c>
      <c r="O6210" s="8" t="s">
        <v>154</v>
      </c>
      <c r="P6210" s="6" t="s">
        <v>306</v>
      </c>
      <c r="Q6210" s="8" t="s">
        <v>65</v>
      </c>
      <c r="R6210" s="10" t="s">
        <v>35349</v>
      </c>
      <c r="S6210" s="11"/>
      <c r="T6210" s="6"/>
      <c r="U6210" s="15" t="str">
        <f>HYPERLINK("https://media.infra-m.ru/2227/2227074/cover/2227074.jpg", "Обложка")</f>
        <v>Обложка</v>
      </c>
      <c r="V6210" s="8" t="s">
        <v>4923</v>
      </c>
      <c r="W6210" s="6" t="s">
        <v>351</v>
      </c>
      <c r="X6210" s="6"/>
      <c r="Y6210" s="6"/>
      <c r="Z6210" s="6"/>
      <c r="AA6210" s="6" t="s">
        <v>187</v>
      </c>
      <c r="AB6210" s="8" t="s">
        <v>6493</v>
      </c>
      <c r="AC6210" s="27">
        <v>9785160214849</v>
      </c>
    </row>
    <row r="6211" spans="1:29" s="4" customFormat="1" ht="44.1" customHeight="1" x14ac:dyDescent="0.2">
      <c r="A6211" s="5">
        <v>0</v>
      </c>
      <c r="B6211" s="6" t="s">
        <v>35350</v>
      </c>
      <c r="C6211" s="7">
        <v>2416.8000000000002</v>
      </c>
      <c r="D6211" s="8" t="s">
        <v>35351</v>
      </c>
      <c r="E6211" s="8" t="s">
        <v>35352</v>
      </c>
      <c r="F6211" s="8" t="s">
        <v>3350</v>
      </c>
      <c r="G6211" s="6" t="s">
        <v>118</v>
      </c>
      <c r="H6211" s="6" t="s">
        <v>34</v>
      </c>
      <c r="I6211" s="8" t="s">
        <v>179</v>
      </c>
      <c r="J6211" s="9">
        <v>1</v>
      </c>
      <c r="K6211" s="9">
        <v>378</v>
      </c>
      <c r="L6211" s="9">
        <v>2025</v>
      </c>
      <c r="M6211" s="8" t="s">
        <v>35353</v>
      </c>
      <c r="N6211" s="8" t="s">
        <v>63</v>
      </c>
      <c r="O6211" s="8" t="s">
        <v>154</v>
      </c>
      <c r="P6211" s="6" t="s">
        <v>182</v>
      </c>
      <c r="Q6211" s="8"/>
      <c r="R6211" s="10" t="s">
        <v>35354</v>
      </c>
      <c r="S6211" s="11"/>
      <c r="T6211" s="6"/>
      <c r="U6211" s="15" t="str">
        <f>HYPERLINK("https://media.infra-m.ru/2213/2213133/cover/2213133.jpg", "Обложка")</f>
        <v>Обложка</v>
      </c>
      <c r="V6211" s="8" t="s">
        <v>2389</v>
      </c>
      <c r="W6211" s="6"/>
      <c r="X6211" s="6"/>
      <c r="Y6211" s="6"/>
      <c r="Z6211" s="6"/>
      <c r="AA6211" s="6" t="s">
        <v>68</v>
      </c>
      <c r="AB6211" s="8"/>
      <c r="AC6211" s="27">
        <v>9785160204895</v>
      </c>
    </row>
    <row r="6212" spans="1:29" s="4" customFormat="1" ht="42" customHeight="1" x14ac:dyDescent="0.2">
      <c r="A6212" s="5">
        <v>0</v>
      </c>
      <c r="B6212" s="6" t="s">
        <v>35355</v>
      </c>
      <c r="C6212" s="7">
        <v>3004.8</v>
      </c>
      <c r="D6212" s="8" t="s">
        <v>35356</v>
      </c>
      <c r="E6212" s="8" t="s">
        <v>35352</v>
      </c>
      <c r="F6212" s="8" t="s">
        <v>3350</v>
      </c>
      <c r="G6212" s="6" t="s">
        <v>60</v>
      </c>
      <c r="H6212" s="6" t="s">
        <v>34</v>
      </c>
      <c r="I6212" s="8" t="s">
        <v>5350</v>
      </c>
      <c r="J6212" s="9">
        <v>1</v>
      </c>
      <c r="K6212" s="9">
        <v>454</v>
      </c>
      <c r="L6212" s="9">
        <v>2026</v>
      </c>
      <c r="M6212" s="8" t="s">
        <v>35357</v>
      </c>
      <c r="N6212" s="8" t="s">
        <v>63</v>
      </c>
      <c r="O6212" s="8" t="s">
        <v>154</v>
      </c>
      <c r="P6212" s="6" t="s">
        <v>51</v>
      </c>
      <c r="Q6212" s="8" t="s">
        <v>377</v>
      </c>
      <c r="R6212" s="10" t="s">
        <v>35358</v>
      </c>
      <c r="S6212" s="11"/>
      <c r="T6212" s="6"/>
      <c r="U6212" s="15" t="str">
        <f>HYPERLINK("https://media.infra-m.ru/2255/2255714/cover/2255714.jpg", "Обложка")</f>
        <v>Обложка</v>
      </c>
      <c r="V6212" s="8" t="s">
        <v>2389</v>
      </c>
      <c r="W6212" s="6"/>
      <c r="X6212" s="6"/>
      <c r="Y6212" s="6"/>
      <c r="Z6212" s="6"/>
      <c r="AA6212" s="6" t="s">
        <v>68</v>
      </c>
      <c r="AB6212" s="8"/>
      <c r="AC6212" s="27">
        <v>9785160171340</v>
      </c>
    </row>
    <row r="6213" spans="1:29" s="4" customFormat="1" ht="51.9" customHeight="1" x14ac:dyDescent="0.2">
      <c r="A6213" s="5">
        <v>0</v>
      </c>
      <c r="B6213" s="6" t="s">
        <v>35359</v>
      </c>
      <c r="C6213" s="7">
        <v>2068.8000000000002</v>
      </c>
      <c r="D6213" s="8" t="s">
        <v>35360</v>
      </c>
      <c r="E6213" s="8" t="s">
        <v>35361</v>
      </c>
      <c r="F6213" s="8" t="s">
        <v>35362</v>
      </c>
      <c r="G6213" s="6" t="s">
        <v>118</v>
      </c>
      <c r="H6213" s="6" t="s">
        <v>34</v>
      </c>
      <c r="I6213" s="8" t="s">
        <v>271</v>
      </c>
      <c r="J6213" s="9">
        <v>1</v>
      </c>
      <c r="K6213" s="9">
        <v>314</v>
      </c>
      <c r="L6213" s="9">
        <v>2026</v>
      </c>
      <c r="M6213" s="8" t="s">
        <v>35363</v>
      </c>
      <c r="N6213" s="8" t="s">
        <v>93</v>
      </c>
      <c r="O6213" s="8" t="s">
        <v>94</v>
      </c>
      <c r="P6213" s="6" t="s">
        <v>306</v>
      </c>
      <c r="Q6213" s="8" t="s">
        <v>52</v>
      </c>
      <c r="R6213" s="10" t="s">
        <v>20850</v>
      </c>
      <c r="S6213" s="11" t="s">
        <v>35364</v>
      </c>
      <c r="T6213" s="6"/>
      <c r="U6213" s="15" t="str">
        <f>HYPERLINK("https://media.infra-m.ru/2244/2244457/cover/2244457.jpg", "Обложка")</f>
        <v>Обложка</v>
      </c>
      <c r="V6213" s="8"/>
      <c r="W6213" s="6"/>
      <c r="X6213" s="6"/>
      <c r="Y6213" s="6"/>
      <c r="Z6213" s="6"/>
      <c r="AA6213" s="6" t="s">
        <v>779</v>
      </c>
      <c r="AB6213" s="8"/>
      <c r="AC6213" s="27">
        <v>9785160111995</v>
      </c>
    </row>
    <row r="6214" spans="1:29" s="4" customFormat="1" ht="51.9" customHeight="1" x14ac:dyDescent="0.2">
      <c r="A6214" s="5">
        <v>0</v>
      </c>
      <c r="B6214" s="6" t="s">
        <v>35365</v>
      </c>
      <c r="C6214" s="7">
        <v>1488</v>
      </c>
      <c r="D6214" s="8" t="s">
        <v>35366</v>
      </c>
      <c r="E6214" s="8" t="s">
        <v>35367</v>
      </c>
      <c r="F6214" s="8" t="s">
        <v>35368</v>
      </c>
      <c r="G6214" s="6" t="s">
        <v>118</v>
      </c>
      <c r="H6214" s="6" t="s">
        <v>313</v>
      </c>
      <c r="I6214" s="8" t="s">
        <v>504</v>
      </c>
      <c r="J6214" s="9">
        <v>1</v>
      </c>
      <c r="K6214" s="9">
        <v>275</v>
      </c>
      <c r="L6214" s="9">
        <v>2023</v>
      </c>
      <c r="M6214" s="8" t="s">
        <v>35369</v>
      </c>
      <c r="N6214" s="8" t="s">
        <v>93</v>
      </c>
      <c r="O6214" s="8" t="s">
        <v>94</v>
      </c>
      <c r="P6214" s="6" t="s">
        <v>51</v>
      </c>
      <c r="Q6214" s="8" t="s">
        <v>500</v>
      </c>
      <c r="R6214" s="10" t="s">
        <v>35370</v>
      </c>
      <c r="S6214" s="11"/>
      <c r="T6214" s="6"/>
      <c r="U6214" s="15" t="str">
        <f>HYPERLINK("https://media.infra-m.ru/1993/1993508/cover/1993508.jpg", "Обложка")</f>
        <v>Обложка</v>
      </c>
      <c r="V6214" s="8" t="s">
        <v>8243</v>
      </c>
      <c r="W6214" s="6"/>
      <c r="X6214" s="6"/>
      <c r="Y6214" s="6"/>
      <c r="Z6214" s="6"/>
      <c r="AA6214" s="6" t="s">
        <v>623</v>
      </c>
      <c r="AB6214" s="8"/>
      <c r="AC6214" s="27">
        <v>9785369016473</v>
      </c>
    </row>
    <row r="6215" spans="1:29" s="4" customFormat="1" ht="51.9" customHeight="1" x14ac:dyDescent="0.2">
      <c r="A6215" s="5">
        <v>0</v>
      </c>
      <c r="B6215" s="6" t="s">
        <v>35371</v>
      </c>
      <c r="C6215" s="7">
        <v>2848.8</v>
      </c>
      <c r="D6215" s="8" t="s">
        <v>35372</v>
      </c>
      <c r="E6215" s="8" t="s">
        <v>35373</v>
      </c>
      <c r="F6215" s="8" t="s">
        <v>8475</v>
      </c>
      <c r="G6215" s="6" t="s">
        <v>60</v>
      </c>
      <c r="H6215" s="6" t="s">
        <v>5605</v>
      </c>
      <c r="I6215" s="8"/>
      <c r="J6215" s="9">
        <v>1</v>
      </c>
      <c r="K6215" s="9">
        <v>432</v>
      </c>
      <c r="L6215" s="9">
        <v>2026</v>
      </c>
      <c r="M6215" s="8" t="s">
        <v>35374</v>
      </c>
      <c r="N6215" s="8" t="s">
        <v>37</v>
      </c>
      <c r="O6215" s="8" t="s">
        <v>280</v>
      </c>
      <c r="P6215" s="6" t="s">
        <v>51</v>
      </c>
      <c r="Q6215" s="8" t="s">
        <v>52</v>
      </c>
      <c r="R6215" s="10" t="s">
        <v>2068</v>
      </c>
      <c r="S6215" s="11"/>
      <c r="T6215" s="6"/>
      <c r="U6215" s="15" t="str">
        <f>HYPERLINK("https://media.infra-m.ru/2226/2226488/cover/2226488.jpg", "Обложка")</f>
        <v>Обложка</v>
      </c>
      <c r="V6215" s="8" t="s">
        <v>8479</v>
      </c>
      <c r="W6215" s="6"/>
      <c r="X6215" s="6"/>
      <c r="Y6215" s="6"/>
      <c r="Z6215" s="6"/>
      <c r="AA6215" s="6" t="s">
        <v>4554</v>
      </c>
      <c r="AB6215" s="8"/>
      <c r="AC6215" s="27">
        <v>5160024549</v>
      </c>
    </row>
    <row r="6216" spans="1:29" s="4" customFormat="1" ht="51.9" customHeight="1" x14ac:dyDescent="0.2">
      <c r="A6216" s="5">
        <v>0</v>
      </c>
      <c r="B6216" s="6" t="s">
        <v>35375</v>
      </c>
      <c r="C6216" s="7">
        <v>1140</v>
      </c>
      <c r="D6216" s="8" t="s">
        <v>35376</v>
      </c>
      <c r="E6216" s="8" t="s">
        <v>35377</v>
      </c>
      <c r="F6216" s="8" t="s">
        <v>35378</v>
      </c>
      <c r="G6216" s="6" t="s">
        <v>33</v>
      </c>
      <c r="H6216" s="6" t="s">
        <v>34</v>
      </c>
      <c r="I6216" s="8" t="s">
        <v>35</v>
      </c>
      <c r="J6216" s="9">
        <v>1</v>
      </c>
      <c r="K6216" s="9">
        <v>135</v>
      </c>
      <c r="L6216" s="9">
        <v>2026</v>
      </c>
      <c r="M6216" s="8" t="s">
        <v>35379</v>
      </c>
      <c r="N6216" s="8" t="s">
        <v>63</v>
      </c>
      <c r="O6216" s="8" t="s">
        <v>154</v>
      </c>
      <c r="P6216" s="6" t="s">
        <v>39</v>
      </c>
      <c r="Q6216" s="8" t="s">
        <v>40</v>
      </c>
      <c r="R6216" s="10" t="s">
        <v>35380</v>
      </c>
      <c r="S6216" s="11"/>
      <c r="T6216" s="6"/>
      <c r="U6216" s="15" t="str">
        <f>HYPERLINK("https://media.infra-m.ru/2227/2227050/cover/2227050.jpg", "Обложка")</f>
        <v>Обложка</v>
      </c>
      <c r="V6216" s="8" t="s">
        <v>3595</v>
      </c>
      <c r="W6216" s="6"/>
      <c r="X6216" s="6"/>
      <c r="Y6216" s="6"/>
      <c r="Z6216" s="6"/>
      <c r="AA6216" s="6" t="s">
        <v>68</v>
      </c>
      <c r="AB6216" s="8" t="s">
        <v>308</v>
      </c>
      <c r="AC6216" s="27">
        <v>9785160209234</v>
      </c>
    </row>
    <row r="6217" spans="1:29" s="4" customFormat="1" ht="42" customHeight="1" x14ac:dyDescent="0.2">
      <c r="A6217" s="5">
        <v>0</v>
      </c>
      <c r="B6217" s="6" t="s">
        <v>35381</v>
      </c>
      <c r="C6217" s="13">
        <v>876</v>
      </c>
      <c r="D6217" s="8" t="s">
        <v>35382</v>
      </c>
      <c r="E6217" s="8" t="s">
        <v>35383</v>
      </c>
      <c r="F6217" s="8" t="s">
        <v>35384</v>
      </c>
      <c r="G6217" s="6" t="s">
        <v>33</v>
      </c>
      <c r="H6217" s="6" t="s">
        <v>34</v>
      </c>
      <c r="I6217" s="8" t="s">
        <v>1248</v>
      </c>
      <c r="J6217" s="9">
        <v>1</v>
      </c>
      <c r="K6217" s="9">
        <v>118</v>
      </c>
      <c r="L6217" s="9">
        <v>2026</v>
      </c>
      <c r="M6217" s="8" t="s">
        <v>35385</v>
      </c>
      <c r="N6217" s="8" t="s">
        <v>63</v>
      </c>
      <c r="O6217" s="8" t="s">
        <v>154</v>
      </c>
      <c r="P6217" s="6" t="s">
        <v>51</v>
      </c>
      <c r="Q6217" s="8" t="s">
        <v>52</v>
      </c>
      <c r="R6217" s="10" t="s">
        <v>3565</v>
      </c>
      <c r="S6217" s="11"/>
      <c r="T6217" s="6"/>
      <c r="U6217" s="15" t="str">
        <f>HYPERLINK("https://media.infra-m.ru/2223/2223581/cover/2223581.jpg", "Обложка")</f>
        <v>Обложка</v>
      </c>
      <c r="V6217" s="8" t="s">
        <v>1083</v>
      </c>
      <c r="W6217" s="6" t="s">
        <v>186</v>
      </c>
      <c r="X6217" s="6"/>
      <c r="Y6217" s="6"/>
      <c r="Z6217" s="6"/>
      <c r="AA6217" s="6" t="s">
        <v>187</v>
      </c>
      <c r="AB6217" s="8"/>
      <c r="AC6217" s="27">
        <v>9785160213996</v>
      </c>
    </row>
    <row r="6218" spans="1:29" s="4" customFormat="1" ht="42" customHeight="1" x14ac:dyDescent="0.2">
      <c r="A6218" s="5">
        <v>0</v>
      </c>
      <c r="B6218" s="6" t="s">
        <v>35386</v>
      </c>
      <c r="C6218" s="7">
        <v>2476.8000000000002</v>
      </c>
      <c r="D6218" s="8" t="s">
        <v>35387</v>
      </c>
      <c r="E6218" s="8" t="s">
        <v>35388</v>
      </c>
      <c r="F6218" s="8" t="s">
        <v>35389</v>
      </c>
      <c r="G6218" s="6" t="s">
        <v>60</v>
      </c>
      <c r="H6218" s="6" t="s">
        <v>5605</v>
      </c>
      <c r="I6218" s="8" t="s">
        <v>35</v>
      </c>
      <c r="J6218" s="9">
        <v>1</v>
      </c>
      <c r="K6218" s="9">
        <v>413</v>
      </c>
      <c r="L6218" s="9">
        <v>2025</v>
      </c>
      <c r="M6218" s="8" t="s">
        <v>35390</v>
      </c>
      <c r="N6218" s="8" t="s">
        <v>37</v>
      </c>
      <c r="O6218" s="8" t="s">
        <v>233</v>
      </c>
      <c r="P6218" s="6" t="s">
        <v>39</v>
      </c>
      <c r="Q6218" s="8" t="s">
        <v>40</v>
      </c>
      <c r="R6218" s="10" t="s">
        <v>1646</v>
      </c>
      <c r="S6218" s="11"/>
      <c r="T6218" s="6"/>
      <c r="U6218" s="15" t="str">
        <f>HYPERLINK("https://media.infra-m.ru/2161/2161381/cover/2161381.jpg", "Обложка")</f>
        <v>Обложка</v>
      </c>
      <c r="V6218" s="8" t="s">
        <v>2055</v>
      </c>
      <c r="W6218" s="6"/>
      <c r="X6218" s="6"/>
      <c r="Y6218" s="6"/>
      <c r="Z6218" s="6"/>
      <c r="AA6218" s="6" t="s">
        <v>561</v>
      </c>
      <c r="AB6218" s="8"/>
      <c r="AC6218" s="27">
        <v>9785160036281</v>
      </c>
    </row>
    <row r="6219" spans="1:29" s="4" customFormat="1" ht="42" customHeight="1" x14ac:dyDescent="0.2">
      <c r="A6219" s="5">
        <v>0</v>
      </c>
      <c r="B6219" s="6" t="s">
        <v>35391</v>
      </c>
      <c r="C6219" s="7">
        <v>2028</v>
      </c>
      <c r="D6219" s="8" t="s">
        <v>35392</v>
      </c>
      <c r="E6219" s="8" t="s">
        <v>35393</v>
      </c>
      <c r="F6219" s="8" t="s">
        <v>25790</v>
      </c>
      <c r="G6219" s="6" t="s">
        <v>118</v>
      </c>
      <c r="H6219" s="6" t="s">
        <v>34</v>
      </c>
      <c r="I6219" s="8" t="s">
        <v>35</v>
      </c>
      <c r="J6219" s="9">
        <v>1</v>
      </c>
      <c r="K6219" s="9">
        <v>306</v>
      </c>
      <c r="L6219" s="9">
        <v>2026</v>
      </c>
      <c r="M6219" s="8" t="s">
        <v>35394</v>
      </c>
      <c r="N6219" s="8" t="s">
        <v>63</v>
      </c>
      <c r="O6219" s="8" t="s">
        <v>154</v>
      </c>
      <c r="P6219" s="6" t="s">
        <v>39</v>
      </c>
      <c r="Q6219" s="8" t="s">
        <v>40</v>
      </c>
      <c r="R6219" s="10" t="s">
        <v>35395</v>
      </c>
      <c r="S6219" s="11"/>
      <c r="T6219" s="6"/>
      <c r="U6219" s="15" t="str">
        <f>HYPERLINK("https://media.infra-m.ru/2242/2242624/cover/2242624.jpg", "Обложка")</f>
        <v>Обложка</v>
      </c>
      <c r="V6219" s="8" t="s">
        <v>3087</v>
      </c>
      <c r="W6219" s="6"/>
      <c r="X6219" s="6"/>
      <c r="Y6219" s="6"/>
      <c r="Z6219" s="6"/>
      <c r="AA6219" s="6" t="s">
        <v>623</v>
      </c>
      <c r="AB6219" s="8"/>
      <c r="AC6219" s="27">
        <v>9785160122557</v>
      </c>
    </row>
    <row r="6220" spans="1:29" s="4" customFormat="1" ht="42" customHeight="1" x14ac:dyDescent="0.2">
      <c r="A6220" s="5">
        <v>0</v>
      </c>
      <c r="B6220" s="6" t="s">
        <v>35396</v>
      </c>
      <c r="C6220" s="7">
        <v>1824</v>
      </c>
      <c r="D6220" s="8" t="s">
        <v>35397</v>
      </c>
      <c r="E6220" s="8" t="s">
        <v>35398</v>
      </c>
      <c r="F6220" s="8" t="s">
        <v>25790</v>
      </c>
      <c r="G6220" s="6" t="s">
        <v>118</v>
      </c>
      <c r="H6220" s="6" t="s">
        <v>34</v>
      </c>
      <c r="I6220" s="8" t="s">
        <v>35</v>
      </c>
      <c r="J6220" s="9">
        <v>1</v>
      </c>
      <c r="K6220" s="9">
        <v>262</v>
      </c>
      <c r="L6220" s="9">
        <v>2027</v>
      </c>
      <c r="M6220" s="8" t="s">
        <v>35399</v>
      </c>
      <c r="N6220" s="8" t="s">
        <v>63</v>
      </c>
      <c r="O6220" s="8" t="s">
        <v>154</v>
      </c>
      <c r="P6220" s="6" t="s">
        <v>39</v>
      </c>
      <c r="Q6220" s="8" t="s">
        <v>40</v>
      </c>
      <c r="R6220" s="10" t="s">
        <v>2956</v>
      </c>
      <c r="S6220" s="11"/>
      <c r="T6220" s="6"/>
      <c r="U6220" s="15" t="str">
        <f>HYPERLINK("https://media.infra-m.ru/2263/2263570/cover/2263570.jpg", "Обложка")</f>
        <v>Обложка</v>
      </c>
      <c r="V6220" s="8" t="s">
        <v>3087</v>
      </c>
      <c r="W6220" s="6"/>
      <c r="X6220" s="6"/>
      <c r="Y6220" s="6"/>
      <c r="Z6220" s="6"/>
      <c r="AA6220" s="6" t="s">
        <v>274</v>
      </c>
      <c r="AB6220" s="8"/>
      <c r="AC6220" s="27">
        <v>9785160101538</v>
      </c>
    </row>
    <row r="6221" spans="1:29" s="4" customFormat="1" ht="42" customHeight="1" x14ac:dyDescent="0.2">
      <c r="A6221" s="5">
        <v>0</v>
      </c>
      <c r="B6221" s="6" t="s">
        <v>35400</v>
      </c>
      <c r="C6221" s="7">
        <v>1080</v>
      </c>
      <c r="D6221" s="8" t="s">
        <v>35401</v>
      </c>
      <c r="E6221" s="8" t="s">
        <v>35402</v>
      </c>
      <c r="F6221" s="8" t="s">
        <v>35403</v>
      </c>
      <c r="G6221" s="6" t="s">
        <v>33</v>
      </c>
      <c r="H6221" s="6" t="s">
        <v>34</v>
      </c>
      <c r="I6221" s="8" t="s">
        <v>35</v>
      </c>
      <c r="J6221" s="9">
        <v>1</v>
      </c>
      <c r="K6221" s="9">
        <v>167</v>
      </c>
      <c r="L6221" s="9">
        <v>2025</v>
      </c>
      <c r="M6221" s="8" t="s">
        <v>35404</v>
      </c>
      <c r="N6221" s="8" t="s">
        <v>63</v>
      </c>
      <c r="O6221" s="8" t="s">
        <v>154</v>
      </c>
      <c r="P6221" s="6" t="s">
        <v>39</v>
      </c>
      <c r="Q6221" s="8" t="s">
        <v>40</v>
      </c>
      <c r="R6221" s="10" t="s">
        <v>35405</v>
      </c>
      <c r="S6221" s="11"/>
      <c r="T6221" s="6"/>
      <c r="U6221" s="15" t="str">
        <f>HYPERLINK("https://media.infra-m.ru/2188/2188421/cover/2188421.jpg", "Обложка")</f>
        <v>Обложка</v>
      </c>
      <c r="V6221" s="8" t="s">
        <v>35406</v>
      </c>
      <c r="W6221" s="6"/>
      <c r="X6221" s="6"/>
      <c r="Y6221" s="6"/>
      <c r="Z6221" s="6"/>
      <c r="AA6221" s="6" t="s">
        <v>68</v>
      </c>
      <c r="AB6221" s="8"/>
      <c r="AC6221" s="27">
        <v>9785160207001</v>
      </c>
    </row>
    <row r="6222" spans="1:29" s="4" customFormat="1" ht="51.9" customHeight="1" x14ac:dyDescent="0.2">
      <c r="A6222" s="5">
        <v>0</v>
      </c>
      <c r="B6222" s="6" t="s">
        <v>35407</v>
      </c>
      <c r="C6222" s="13">
        <v>744</v>
      </c>
      <c r="D6222" s="8" t="s">
        <v>35408</v>
      </c>
      <c r="E6222" s="8" t="s">
        <v>35409</v>
      </c>
      <c r="F6222" s="8" t="s">
        <v>35410</v>
      </c>
      <c r="G6222" s="6" t="s">
        <v>33</v>
      </c>
      <c r="H6222" s="6" t="s">
        <v>313</v>
      </c>
      <c r="I6222" s="8" t="s">
        <v>253</v>
      </c>
      <c r="J6222" s="9">
        <v>1</v>
      </c>
      <c r="K6222" s="9">
        <v>95</v>
      </c>
      <c r="L6222" s="9">
        <v>2027</v>
      </c>
      <c r="M6222" s="8" t="s">
        <v>35411</v>
      </c>
      <c r="N6222" s="8" t="s">
        <v>63</v>
      </c>
      <c r="O6222" s="8" t="s">
        <v>154</v>
      </c>
      <c r="P6222" s="6" t="s">
        <v>51</v>
      </c>
      <c r="Q6222" s="8" t="s">
        <v>52</v>
      </c>
      <c r="R6222" s="10" t="s">
        <v>1275</v>
      </c>
      <c r="S6222" s="11"/>
      <c r="T6222" s="6"/>
      <c r="U6222" s="15" t="str">
        <f>HYPERLINK("https://media.infra-m.ru/2266/2266953/cover/2266953.jpg", "Обложка")</f>
        <v>Обложка</v>
      </c>
      <c r="V6222" s="8" t="s">
        <v>9614</v>
      </c>
      <c r="W6222" s="6"/>
      <c r="X6222" s="6"/>
      <c r="Y6222" s="6"/>
      <c r="Z6222" s="6"/>
      <c r="AA6222" s="6" t="s">
        <v>1256</v>
      </c>
      <c r="AB6222" s="8"/>
      <c r="AC6222" s="27">
        <v>9785369018569</v>
      </c>
    </row>
    <row r="6223" spans="1:29" s="4" customFormat="1" ht="42" customHeight="1" x14ac:dyDescent="0.2">
      <c r="A6223" s="5">
        <v>0</v>
      </c>
      <c r="B6223" s="6" t="s">
        <v>35412</v>
      </c>
      <c r="C6223" s="13">
        <v>900</v>
      </c>
      <c r="D6223" s="8" t="s">
        <v>35413</v>
      </c>
      <c r="E6223" s="8" t="s">
        <v>35414</v>
      </c>
      <c r="F6223" s="8" t="s">
        <v>35415</v>
      </c>
      <c r="G6223" s="6" t="s">
        <v>33</v>
      </c>
      <c r="H6223" s="6" t="s">
        <v>313</v>
      </c>
      <c r="I6223" s="8" t="s">
        <v>253</v>
      </c>
      <c r="J6223" s="9">
        <v>1</v>
      </c>
      <c r="K6223" s="9">
        <v>136</v>
      </c>
      <c r="L6223" s="9">
        <v>2026</v>
      </c>
      <c r="M6223" s="8" t="s">
        <v>35416</v>
      </c>
      <c r="N6223" s="8" t="s">
        <v>63</v>
      </c>
      <c r="O6223" s="8" t="s">
        <v>154</v>
      </c>
      <c r="P6223" s="6" t="s">
        <v>51</v>
      </c>
      <c r="Q6223" s="8" t="s">
        <v>377</v>
      </c>
      <c r="R6223" s="10" t="s">
        <v>35417</v>
      </c>
      <c r="S6223" s="11"/>
      <c r="T6223" s="6"/>
      <c r="U6223" s="15" t="str">
        <f>HYPERLINK("https://media.infra-m.ru/2218/2218687/cover/2218687.jpg", "Обложка")</f>
        <v>Обложка</v>
      </c>
      <c r="V6223" s="8" t="s">
        <v>9614</v>
      </c>
      <c r="W6223" s="6"/>
      <c r="X6223" s="6"/>
      <c r="Y6223" s="6"/>
      <c r="Z6223" s="6"/>
      <c r="AA6223" s="6" t="s">
        <v>1256</v>
      </c>
      <c r="AB6223" s="8"/>
      <c r="AC6223" s="27">
        <v>9785369018361</v>
      </c>
    </row>
    <row r="6224" spans="1:29" s="4" customFormat="1" ht="42" customHeight="1" x14ac:dyDescent="0.2">
      <c r="A6224" s="5">
        <v>0</v>
      </c>
      <c r="B6224" s="6" t="s">
        <v>35418</v>
      </c>
      <c r="C6224" s="7">
        <v>1752</v>
      </c>
      <c r="D6224" s="8" t="s">
        <v>35419</v>
      </c>
      <c r="E6224" s="8" t="s">
        <v>35420</v>
      </c>
      <c r="F6224" s="8" t="s">
        <v>35421</v>
      </c>
      <c r="G6224" s="6" t="s">
        <v>60</v>
      </c>
      <c r="H6224" s="6" t="s">
        <v>313</v>
      </c>
      <c r="I6224" s="8" t="s">
        <v>401</v>
      </c>
      <c r="J6224" s="9">
        <v>1</v>
      </c>
      <c r="K6224" s="9">
        <v>280</v>
      </c>
      <c r="L6224" s="9">
        <v>2025</v>
      </c>
      <c r="M6224" s="8" t="s">
        <v>35422</v>
      </c>
      <c r="N6224" s="8" t="s">
        <v>37</v>
      </c>
      <c r="O6224" s="8" t="s">
        <v>290</v>
      </c>
      <c r="P6224" s="6" t="s">
        <v>306</v>
      </c>
      <c r="Q6224" s="8" t="s">
        <v>265</v>
      </c>
      <c r="R6224" s="10" t="s">
        <v>17055</v>
      </c>
      <c r="S6224" s="11"/>
      <c r="T6224" s="6" t="s">
        <v>97</v>
      </c>
      <c r="U6224" s="15" t="str">
        <f>HYPERLINK("https://media.infra-m.ru/2192/2192115/cover/2192115.jpg", "Обложка")</f>
        <v>Обложка</v>
      </c>
      <c r="V6224" s="8" t="s">
        <v>9614</v>
      </c>
      <c r="W6224" s="6"/>
      <c r="X6224" s="6"/>
      <c r="Y6224" s="6"/>
      <c r="Z6224" s="6"/>
      <c r="AA6224" s="6" t="s">
        <v>68</v>
      </c>
      <c r="AB6224" s="8"/>
      <c r="AC6224" s="27">
        <v>9785369019825</v>
      </c>
    </row>
    <row r="6225" spans="1:29" s="4" customFormat="1" ht="51.9" customHeight="1" x14ac:dyDescent="0.2">
      <c r="A6225" s="5">
        <v>0</v>
      </c>
      <c r="B6225" s="6" t="s">
        <v>35423</v>
      </c>
      <c r="C6225" s="7">
        <v>1816.8</v>
      </c>
      <c r="D6225" s="8" t="s">
        <v>35424</v>
      </c>
      <c r="E6225" s="8" t="s">
        <v>35425</v>
      </c>
      <c r="F6225" s="8" t="s">
        <v>35426</v>
      </c>
      <c r="G6225" s="6" t="s">
        <v>118</v>
      </c>
      <c r="H6225" s="6" t="s">
        <v>34</v>
      </c>
      <c r="I6225" s="8" t="s">
        <v>5350</v>
      </c>
      <c r="J6225" s="9">
        <v>1</v>
      </c>
      <c r="K6225" s="9">
        <v>273</v>
      </c>
      <c r="L6225" s="9">
        <v>2026</v>
      </c>
      <c r="M6225" s="8" t="s">
        <v>35427</v>
      </c>
      <c r="N6225" s="8" t="s">
        <v>63</v>
      </c>
      <c r="O6225" s="8" t="s">
        <v>154</v>
      </c>
      <c r="P6225" s="6" t="s">
        <v>51</v>
      </c>
      <c r="Q6225" s="8" t="s">
        <v>377</v>
      </c>
      <c r="R6225" s="10" t="s">
        <v>35428</v>
      </c>
      <c r="S6225" s="11" t="s">
        <v>35429</v>
      </c>
      <c r="T6225" s="6"/>
      <c r="U6225" s="15" t="str">
        <f>HYPERLINK("https://media.infra-m.ru/2249/2249018/cover/2249018.jpg", "Обложка")</f>
        <v>Обложка</v>
      </c>
      <c r="V6225" s="8" t="s">
        <v>9063</v>
      </c>
      <c r="W6225" s="6"/>
      <c r="X6225" s="6"/>
      <c r="Y6225" s="6"/>
      <c r="Z6225" s="6"/>
      <c r="AA6225" s="6" t="s">
        <v>404</v>
      </c>
      <c r="AB6225" s="8"/>
      <c r="AC6225" s="27">
        <v>9785160138367</v>
      </c>
    </row>
    <row r="6226" spans="1:29" s="4" customFormat="1" ht="51.9" customHeight="1" x14ac:dyDescent="0.2">
      <c r="A6226" s="5">
        <v>0</v>
      </c>
      <c r="B6226" s="6" t="s">
        <v>35430</v>
      </c>
      <c r="C6226" s="7">
        <v>1416</v>
      </c>
      <c r="D6226" s="8" t="s">
        <v>35431</v>
      </c>
      <c r="E6226" s="8" t="s">
        <v>35432</v>
      </c>
      <c r="F6226" s="8" t="s">
        <v>19691</v>
      </c>
      <c r="G6226" s="6" t="s">
        <v>60</v>
      </c>
      <c r="H6226" s="6" t="s">
        <v>34</v>
      </c>
      <c r="I6226" s="8" t="s">
        <v>253</v>
      </c>
      <c r="J6226" s="9">
        <v>1</v>
      </c>
      <c r="K6226" s="9">
        <v>196</v>
      </c>
      <c r="L6226" s="9">
        <v>2026</v>
      </c>
      <c r="M6226" s="8" t="s">
        <v>35433</v>
      </c>
      <c r="N6226" s="8" t="s">
        <v>63</v>
      </c>
      <c r="O6226" s="8" t="s">
        <v>154</v>
      </c>
      <c r="P6226" s="6" t="s">
        <v>51</v>
      </c>
      <c r="Q6226" s="8" t="s">
        <v>65</v>
      </c>
      <c r="R6226" s="10" t="s">
        <v>35434</v>
      </c>
      <c r="S6226" s="11"/>
      <c r="T6226" s="6"/>
      <c r="U6226" s="15" t="str">
        <f>HYPERLINK("https://media.infra-m.ru/2206/2206785/cover/2206785.jpg", "Обложка")</f>
        <v>Обложка</v>
      </c>
      <c r="V6226" s="8" t="s">
        <v>5964</v>
      </c>
      <c r="W6226" s="6" t="s">
        <v>547</v>
      </c>
      <c r="X6226" s="6"/>
      <c r="Y6226" s="6"/>
      <c r="Z6226" s="6"/>
      <c r="AA6226" s="6" t="s">
        <v>187</v>
      </c>
      <c r="AB6226" s="8"/>
      <c r="AC6226" s="27">
        <v>9785160209470</v>
      </c>
    </row>
    <row r="6227" spans="1:29" s="4" customFormat="1" ht="51.9" customHeight="1" x14ac:dyDescent="0.2">
      <c r="A6227" s="5">
        <v>0</v>
      </c>
      <c r="B6227" s="6" t="s">
        <v>35435</v>
      </c>
      <c r="C6227" s="7">
        <v>1504.8</v>
      </c>
      <c r="D6227" s="8" t="s">
        <v>35436</v>
      </c>
      <c r="E6227" s="8" t="s">
        <v>35437</v>
      </c>
      <c r="F6227" s="8" t="s">
        <v>33220</v>
      </c>
      <c r="G6227" s="6" t="s">
        <v>33</v>
      </c>
      <c r="H6227" s="6" t="s">
        <v>48</v>
      </c>
      <c r="I6227" s="8" t="s">
        <v>271</v>
      </c>
      <c r="J6227" s="9">
        <v>1</v>
      </c>
      <c r="K6227" s="9">
        <v>240</v>
      </c>
      <c r="L6227" s="9">
        <v>2026</v>
      </c>
      <c r="M6227" s="8" t="s">
        <v>35438</v>
      </c>
      <c r="N6227" s="8" t="s">
        <v>63</v>
      </c>
      <c r="O6227" s="8" t="s">
        <v>154</v>
      </c>
      <c r="P6227" s="6" t="s">
        <v>51</v>
      </c>
      <c r="Q6227" s="8" t="s">
        <v>52</v>
      </c>
      <c r="R6227" s="10" t="s">
        <v>7394</v>
      </c>
      <c r="S6227" s="11" t="s">
        <v>35439</v>
      </c>
      <c r="T6227" s="6"/>
      <c r="U6227" s="15" t="str">
        <f>HYPERLINK("https://media.infra-m.ru/2215/2215935/cover/2215935.jpg", "Обложка")</f>
        <v>Обложка</v>
      </c>
      <c r="V6227" s="8" t="s">
        <v>9514</v>
      </c>
      <c r="W6227" s="6"/>
      <c r="X6227" s="6"/>
      <c r="Y6227" s="6"/>
      <c r="Z6227" s="6"/>
      <c r="AA6227" s="6" t="s">
        <v>274</v>
      </c>
      <c r="AB6227" s="8"/>
      <c r="AC6227" s="27">
        <v>9785000914830</v>
      </c>
    </row>
    <row r="6228" spans="1:29" s="4" customFormat="1" ht="42" customHeight="1" x14ac:dyDescent="0.2">
      <c r="A6228" s="5">
        <v>0</v>
      </c>
      <c r="B6228" s="6" t="s">
        <v>35440</v>
      </c>
      <c r="C6228" s="7">
        <v>1596</v>
      </c>
      <c r="D6228" s="8" t="s">
        <v>35441</v>
      </c>
      <c r="E6228" s="8" t="s">
        <v>35437</v>
      </c>
      <c r="F6228" s="8" t="s">
        <v>33220</v>
      </c>
      <c r="G6228" s="6" t="s">
        <v>118</v>
      </c>
      <c r="H6228" s="6" t="s">
        <v>48</v>
      </c>
      <c r="I6228" s="8" t="s">
        <v>179</v>
      </c>
      <c r="J6228" s="9">
        <v>1</v>
      </c>
      <c r="K6228" s="9">
        <v>240</v>
      </c>
      <c r="L6228" s="9">
        <v>2026</v>
      </c>
      <c r="M6228" s="8" t="s">
        <v>35442</v>
      </c>
      <c r="N6228" s="8" t="s">
        <v>63</v>
      </c>
      <c r="O6228" s="8" t="s">
        <v>154</v>
      </c>
      <c r="P6228" s="6" t="s">
        <v>182</v>
      </c>
      <c r="Q6228" s="8" t="s">
        <v>65</v>
      </c>
      <c r="R6228" s="10" t="s">
        <v>35443</v>
      </c>
      <c r="S6228" s="11"/>
      <c r="T6228" s="6"/>
      <c r="U6228" s="15" t="str">
        <f>HYPERLINK("https://media.infra-m.ru/2250/2250943/cover/2250943.jpg", "Обложка")</f>
        <v>Обложка</v>
      </c>
      <c r="V6228" s="8" t="s">
        <v>9514</v>
      </c>
      <c r="W6228" s="6"/>
      <c r="X6228" s="6"/>
      <c r="Y6228" s="6"/>
      <c r="Z6228" s="6"/>
      <c r="AA6228" s="6" t="s">
        <v>76</v>
      </c>
      <c r="AB6228" s="8"/>
      <c r="AC6228" s="27">
        <v>9785000918166</v>
      </c>
    </row>
    <row r="6229" spans="1:29" s="4" customFormat="1" ht="51.9" customHeight="1" x14ac:dyDescent="0.2">
      <c r="A6229" s="5">
        <v>0</v>
      </c>
      <c r="B6229" s="6" t="s">
        <v>35444</v>
      </c>
      <c r="C6229" s="7">
        <v>2056.8000000000002</v>
      </c>
      <c r="D6229" s="8" t="s">
        <v>35445</v>
      </c>
      <c r="E6229" s="8" t="s">
        <v>35446</v>
      </c>
      <c r="F6229" s="8" t="s">
        <v>9835</v>
      </c>
      <c r="G6229" s="6" t="s">
        <v>33</v>
      </c>
      <c r="H6229" s="6" t="s">
        <v>34</v>
      </c>
      <c r="I6229" s="8" t="s">
        <v>35</v>
      </c>
      <c r="J6229" s="9">
        <v>1</v>
      </c>
      <c r="K6229" s="9">
        <v>330</v>
      </c>
      <c r="L6229" s="9">
        <v>2025</v>
      </c>
      <c r="M6229" s="8" t="s">
        <v>35447</v>
      </c>
      <c r="N6229" s="8" t="s">
        <v>63</v>
      </c>
      <c r="O6229" s="8" t="s">
        <v>154</v>
      </c>
      <c r="P6229" s="6" t="s">
        <v>39</v>
      </c>
      <c r="Q6229" s="8" t="s">
        <v>40</v>
      </c>
      <c r="R6229" s="10" t="s">
        <v>35448</v>
      </c>
      <c r="S6229" s="11"/>
      <c r="T6229" s="6" t="s">
        <v>97</v>
      </c>
      <c r="U6229" s="15" t="str">
        <f>HYPERLINK("https://media.infra-m.ru/2206/2206797/cover/2206797.jpg", "Обложка")</f>
        <v>Обложка</v>
      </c>
      <c r="V6229" s="8" t="s">
        <v>7920</v>
      </c>
      <c r="W6229" s="6"/>
      <c r="X6229" s="6"/>
      <c r="Y6229" s="6"/>
      <c r="Z6229" s="6"/>
      <c r="AA6229" s="6" t="s">
        <v>55</v>
      </c>
      <c r="AB6229" s="8"/>
      <c r="AC6229" s="27">
        <v>9785160068510</v>
      </c>
    </row>
    <row r="6230" spans="1:29" s="4" customFormat="1" ht="42" customHeight="1" x14ac:dyDescent="0.2">
      <c r="A6230" s="5">
        <v>0</v>
      </c>
      <c r="B6230" s="6" t="s">
        <v>35449</v>
      </c>
      <c r="C6230" s="7">
        <v>1992</v>
      </c>
      <c r="D6230" s="8" t="s">
        <v>35450</v>
      </c>
      <c r="E6230" s="8" t="s">
        <v>35451</v>
      </c>
      <c r="F6230" s="8" t="s">
        <v>35452</v>
      </c>
      <c r="G6230" s="6" t="s">
        <v>60</v>
      </c>
      <c r="H6230" s="6" t="s">
        <v>34</v>
      </c>
      <c r="I6230" s="8" t="s">
        <v>253</v>
      </c>
      <c r="J6230" s="9">
        <v>1</v>
      </c>
      <c r="K6230" s="9">
        <v>313</v>
      </c>
      <c r="L6230" s="9">
        <v>2025</v>
      </c>
      <c r="M6230" s="8" t="s">
        <v>35453</v>
      </c>
      <c r="N6230" s="8" t="s">
        <v>63</v>
      </c>
      <c r="O6230" s="8" t="s">
        <v>154</v>
      </c>
      <c r="P6230" s="6" t="s">
        <v>51</v>
      </c>
      <c r="Q6230" s="8" t="s">
        <v>500</v>
      </c>
      <c r="R6230" s="10" t="s">
        <v>35454</v>
      </c>
      <c r="S6230" s="11"/>
      <c r="T6230" s="6"/>
      <c r="U6230" s="15" t="str">
        <f>HYPERLINK("https://media.infra-m.ru/2137/2137944/cover/2137944.jpg", "Обложка")</f>
        <v>Обложка</v>
      </c>
      <c r="V6230" s="8" t="s">
        <v>9318</v>
      </c>
      <c r="W6230" s="6"/>
      <c r="X6230" s="6"/>
      <c r="Y6230" s="6"/>
      <c r="Z6230" s="6"/>
      <c r="AA6230" s="6" t="s">
        <v>68</v>
      </c>
      <c r="AB6230" s="8"/>
      <c r="AC6230" s="27">
        <v>9785160198040</v>
      </c>
    </row>
    <row r="6231" spans="1:29" s="4" customFormat="1" ht="51.9" customHeight="1" x14ac:dyDescent="0.2">
      <c r="A6231" s="5">
        <v>0</v>
      </c>
      <c r="B6231" s="6" t="s">
        <v>35455</v>
      </c>
      <c r="C6231" s="7">
        <v>2116.8000000000002</v>
      </c>
      <c r="D6231" s="8" t="s">
        <v>35456</v>
      </c>
      <c r="E6231" s="8" t="s">
        <v>35457</v>
      </c>
      <c r="F6231" s="8" t="s">
        <v>35458</v>
      </c>
      <c r="G6231" s="6" t="s">
        <v>118</v>
      </c>
      <c r="H6231" s="6" t="s">
        <v>34</v>
      </c>
      <c r="I6231" s="8" t="s">
        <v>271</v>
      </c>
      <c r="J6231" s="9">
        <v>1</v>
      </c>
      <c r="K6231" s="9">
        <v>320</v>
      </c>
      <c r="L6231" s="9">
        <v>2026</v>
      </c>
      <c r="M6231" s="8" t="s">
        <v>35459</v>
      </c>
      <c r="N6231" s="8" t="s">
        <v>37</v>
      </c>
      <c r="O6231" s="8" t="s">
        <v>499</v>
      </c>
      <c r="P6231" s="6" t="s">
        <v>306</v>
      </c>
      <c r="Q6231" s="8" t="s">
        <v>52</v>
      </c>
      <c r="R6231" s="10" t="s">
        <v>35460</v>
      </c>
      <c r="S6231" s="11" t="s">
        <v>35461</v>
      </c>
      <c r="T6231" s="6"/>
      <c r="U6231" s="15" t="str">
        <f>HYPERLINK("https://media.infra-m.ru/2241/2241261/cover/2241261.jpg", "Обложка")</f>
        <v>Обложка</v>
      </c>
      <c r="V6231" s="8" t="s">
        <v>35462</v>
      </c>
      <c r="W6231" s="6"/>
      <c r="X6231" s="6"/>
      <c r="Y6231" s="6"/>
      <c r="Z6231" s="6"/>
      <c r="AA6231" s="6" t="s">
        <v>1031</v>
      </c>
      <c r="AB6231" s="8"/>
      <c r="AC6231" s="27">
        <v>9785160132921</v>
      </c>
    </row>
    <row r="6232" spans="1:29" s="4" customFormat="1" ht="51.9" customHeight="1" x14ac:dyDescent="0.2">
      <c r="A6232" s="5">
        <v>0</v>
      </c>
      <c r="B6232" s="6" t="s">
        <v>35463</v>
      </c>
      <c r="C6232" s="7">
        <v>2116.8000000000002</v>
      </c>
      <c r="D6232" s="8" t="s">
        <v>35464</v>
      </c>
      <c r="E6232" s="8" t="s">
        <v>35457</v>
      </c>
      <c r="F6232" s="8" t="s">
        <v>35458</v>
      </c>
      <c r="G6232" s="6" t="s">
        <v>118</v>
      </c>
      <c r="H6232" s="6" t="s">
        <v>34</v>
      </c>
      <c r="I6232" s="8" t="s">
        <v>263</v>
      </c>
      <c r="J6232" s="9">
        <v>1</v>
      </c>
      <c r="K6232" s="9">
        <v>320</v>
      </c>
      <c r="L6232" s="9">
        <v>2026</v>
      </c>
      <c r="M6232" s="8" t="s">
        <v>35465</v>
      </c>
      <c r="N6232" s="8" t="s">
        <v>37</v>
      </c>
      <c r="O6232" s="8" t="s">
        <v>499</v>
      </c>
      <c r="P6232" s="6" t="s">
        <v>306</v>
      </c>
      <c r="Q6232" s="8" t="s">
        <v>265</v>
      </c>
      <c r="R6232" s="10" t="s">
        <v>35466</v>
      </c>
      <c r="S6232" s="11" t="s">
        <v>35467</v>
      </c>
      <c r="T6232" s="6"/>
      <c r="U6232" s="15" t="str">
        <f>HYPERLINK("https://media.infra-m.ru/2239/2239076/cover/2239076.jpg", "Обложка")</f>
        <v>Обложка</v>
      </c>
      <c r="V6232" s="8" t="s">
        <v>35462</v>
      </c>
      <c r="W6232" s="6"/>
      <c r="X6232" s="6" t="s">
        <v>24</v>
      </c>
      <c r="Y6232" s="6"/>
      <c r="Z6232" s="6" t="s">
        <v>267</v>
      </c>
      <c r="AA6232" s="6" t="s">
        <v>1117</v>
      </c>
      <c r="AB6232" s="8"/>
      <c r="AC6232" s="27">
        <v>9785160153971</v>
      </c>
    </row>
    <row r="6233" spans="1:29" s="4" customFormat="1" ht="51.9" customHeight="1" x14ac:dyDescent="0.2">
      <c r="A6233" s="5">
        <v>0</v>
      </c>
      <c r="B6233" s="6" t="s">
        <v>35468</v>
      </c>
      <c r="C6233" s="7">
        <v>2796</v>
      </c>
      <c r="D6233" s="8" t="s">
        <v>35469</v>
      </c>
      <c r="E6233" s="8" t="s">
        <v>35470</v>
      </c>
      <c r="F6233" s="8" t="s">
        <v>9342</v>
      </c>
      <c r="G6233" s="6" t="s">
        <v>60</v>
      </c>
      <c r="H6233" s="6" t="s">
        <v>34</v>
      </c>
      <c r="I6233" s="8" t="s">
        <v>263</v>
      </c>
      <c r="J6233" s="9">
        <v>1</v>
      </c>
      <c r="K6233" s="9">
        <v>401</v>
      </c>
      <c r="L6233" s="9">
        <v>2027</v>
      </c>
      <c r="M6233" s="8" t="s">
        <v>35471</v>
      </c>
      <c r="N6233" s="8" t="s">
        <v>93</v>
      </c>
      <c r="O6233" s="8" t="s">
        <v>94</v>
      </c>
      <c r="P6233" s="6" t="s">
        <v>51</v>
      </c>
      <c r="Q6233" s="8" t="s">
        <v>265</v>
      </c>
      <c r="R6233" s="10" t="s">
        <v>35472</v>
      </c>
      <c r="S6233" s="11" t="s">
        <v>35473</v>
      </c>
      <c r="T6233" s="6"/>
      <c r="U6233" s="15" t="str">
        <f>HYPERLINK("https://media.infra-m.ru/2254/2254494/cover/2254494.jpg", "Обложка")</f>
        <v>Обложка</v>
      </c>
      <c r="V6233" s="8" t="s">
        <v>9346</v>
      </c>
      <c r="W6233" s="6"/>
      <c r="X6233" s="6"/>
      <c r="Y6233" s="6"/>
      <c r="Z6233" s="6" t="s">
        <v>267</v>
      </c>
      <c r="AA6233" s="6" t="s">
        <v>1375</v>
      </c>
      <c r="AB6233" s="8"/>
      <c r="AC6233" s="27">
        <v>9785160169675</v>
      </c>
    </row>
    <row r="6234" spans="1:29" s="4" customFormat="1" ht="51.9" customHeight="1" x14ac:dyDescent="0.2">
      <c r="A6234" s="5">
        <v>0</v>
      </c>
      <c r="B6234" s="6" t="s">
        <v>35474</v>
      </c>
      <c r="C6234" s="7">
        <v>2796</v>
      </c>
      <c r="D6234" s="8" t="s">
        <v>35475</v>
      </c>
      <c r="E6234" s="8" t="s">
        <v>35470</v>
      </c>
      <c r="F6234" s="8" t="s">
        <v>9342</v>
      </c>
      <c r="G6234" s="6" t="s">
        <v>60</v>
      </c>
      <c r="H6234" s="6" t="s">
        <v>34</v>
      </c>
      <c r="I6234" s="8" t="s">
        <v>253</v>
      </c>
      <c r="J6234" s="9">
        <v>1</v>
      </c>
      <c r="K6234" s="9">
        <v>401</v>
      </c>
      <c r="L6234" s="9">
        <v>2027</v>
      </c>
      <c r="M6234" s="8" t="s">
        <v>35476</v>
      </c>
      <c r="N6234" s="8" t="s">
        <v>93</v>
      </c>
      <c r="O6234" s="8" t="s">
        <v>94</v>
      </c>
      <c r="P6234" s="6" t="s">
        <v>51</v>
      </c>
      <c r="Q6234" s="8" t="s">
        <v>52</v>
      </c>
      <c r="R6234" s="10" t="s">
        <v>35477</v>
      </c>
      <c r="S6234" s="11" t="s">
        <v>35478</v>
      </c>
      <c r="T6234" s="6"/>
      <c r="U6234" s="15" t="str">
        <f>HYPERLINK("https://media.infra-m.ru/2266/2266146/cover/2266146.jpg", "Обложка")</f>
        <v>Обложка</v>
      </c>
      <c r="V6234" s="8" t="s">
        <v>9346</v>
      </c>
      <c r="W6234" s="6"/>
      <c r="X6234" s="6"/>
      <c r="Y6234" s="6"/>
      <c r="Z6234" s="6"/>
      <c r="AA6234" s="6" t="s">
        <v>1375</v>
      </c>
      <c r="AB6234" s="8"/>
      <c r="AC6234" s="27">
        <v>9785160194356</v>
      </c>
    </row>
    <row r="6235" spans="1:29" s="4" customFormat="1" ht="51.9" customHeight="1" x14ac:dyDescent="0.2">
      <c r="A6235" s="5">
        <v>0</v>
      </c>
      <c r="B6235" s="6" t="s">
        <v>35479</v>
      </c>
      <c r="C6235" s="7">
        <v>2328</v>
      </c>
      <c r="D6235" s="8" t="s">
        <v>35480</v>
      </c>
      <c r="E6235" s="8" t="s">
        <v>35481</v>
      </c>
      <c r="F6235" s="8" t="s">
        <v>613</v>
      </c>
      <c r="G6235" s="6" t="s">
        <v>118</v>
      </c>
      <c r="H6235" s="6" t="s">
        <v>34</v>
      </c>
      <c r="I6235" s="8" t="s">
        <v>253</v>
      </c>
      <c r="J6235" s="9">
        <v>1</v>
      </c>
      <c r="K6235" s="9">
        <v>334</v>
      </c>
      <c r="L6235" s="9">
        <v>2027</v>
      </c>
      <c r="M6235" s="8" t="s">
        <v>35482</v>
      </c>
      <c r="N6235" s="8" t="s">
        <v>63</v>
      </c>
      <c r="O6235" s="8" t="s">
        <v>154</v>
      </c>
      <c r="P6235" s="6" t="s">
        <v>51</v>
      </c>
      <c r="Q6235" s="8" t="s">
        <v>52</v>
      </c>
      <c r="R6235" s="10" t="s">
        <v>35483</v>
      </c>
      <c r="S6235" s="11" t="s">
        <v>35484</v>
      </c>
      <c r="T6235" s="6"/>
      <c r="U6235" s="15" t="str">
        <f>HYPERLINK("https://media.infra-m.ru/2263/2263912/cover/2263912.jpg", "Обложка")</f>
        <v>Обложка</v>
      </c>
      <c r="V6235" s="8" t="s">
        <v>617</v>
      </c>
      <c r="W6235" s="6"/>
      <c r="X6235" s="6"/>
      <c r="Y6235" s="6"/>
      <c r="Z6235" s="6"/>
      <c r="AA6235" s="6" t="s">
        <v>218</v>
      </c>
      <c r="AB6235" s="8"/>
      <c r="AC6235" s="27">
        <v>9785160198842</v>
      </c>
    </row>
    <row r="6236" spans="1:29" s="4" customFormat="1" ht="51.9" customHeight="1" x14ac:dyDescent="0.2">
      <c r="A6236" s="5">
        <v>0</v>
      </c>
      <c r="B6236" s="6" t="s">
        <v>35485</v>
      </c>
      <c r="C6236" s="7">
        <v>1260</v>
      </c>
      <c r="D6236" s="8" t="s">
        <v>35486</v>
      </c>
      <c r="E6236" s="8" t="s">
        <v>35487</v>
      </c>
      <c r="F6236" s="8" t="s">
        <v>613</v>
      </c>
      <c r="G6236" s="6" t="s">
        <v>118</v>
      </c>
      <c r="H6236" s="6" t="s">
        <v>241</v>
      </c>
      <c r="I6236" s="8"/>
      <c r="J6236" s="9">
        <v>1</v>
      </c>
      <c r="K6236" s="9">
        <v>320</v>
      </c>
      <c r="L6236" s="9">
        <v>2019</v>
      </c>
      <c r="M6236" s="8" t="s">
        <v>35488</v>
      </c>
      <c r="N6236" s="8" t="s">
        <v>63</v>
      </c>
      <c r="O6236" s="8" t="s">
        <v>154</v>
      </c>
      <c r="P6236" s="6" t="s">
        <v>51</v>
      </c>
      <c r="Q6236" s="8" t="s">
        <v>52</v>
      </c>
      <c r="R6236" s="10" t="s">
        <v>35483</v>
      </c>
      <c r="S6236" s="11"/>
      <c r="T6236" s="6"/>
      <c r="U6236" s="15" t="str">
        <f>HYPERLINK("https://media.infra-m.ru/0982/0982130/cover/982130.jpg", "Обложка")</f>
        <v>Обложка</v>
      </c>
      <c r="V6236" s="8" t="s">
        <v>617</v>
      </c>
      <c r="W6236" s="6"/>
      <c r="X6236" s="6"/>
      <c r="Y6236" s="6"/>
      <c r="Z6236" s="6"/>
      <c r="AA6236" s="6" t="s">
        <v>43</v>
      </c>
      <c r="AB6236" s="8"/>
      <c r="AC6236" s="27">
        <v>9785955804064</v>
      </c>
    </row>
    <row r="6237" spans="1:29" s="4" customFormat="1" ht="51.9" customHeight="1" x14ac:dyDescent="0.2">
      <c r="A6237" s="5">
        <v>0</v>
      </c>
      <c r="B6237" s="6" t="s">
        <v>35489</v>
      </c>
      <c r="C6237" s="7">
        <v>1980</v>
      </c>
      <c r="D6237" s="8" t="s">
        <v>35490</v>
      </c>
      <c r="E6237" s="8" t="s">
        <v>35491</v>
      </c>
      <c r="F6237" s="8" t="s">
        <v>35492</v>
      </c>
      <c r="G6237" s="6" t="s">
        <v>118</v>
      </c>
      <c r="H6237" s="6" t="s">
        <v>34</v>
      </c>
      <c r="I6237" s="8" t="s">
        <v>253</v>
      </c>
      <c r="J6237" s="9">
        <v>1</v>
      </c>
      <c r="K6237" s="9">
        <v>352</v>
      </c>
      <c r="L6237" s="9">
        <v>2024</v>
      </c>
      <c r="M6237" s="8" t="s">
        <v>35493</v>
      </c>
      <c r="N6237" s="8" t="s">
        <v>93</v>
      </c>
      <c r="O6237" s="8" t="s">
        <v>94</v>
      </c>
      <c r="P6237" s="6" t="s">
        <v>306</v>
      </c>
      <c r="Q6237" s="8" t="s">
        <v>52</v>
      </c>
      <c r="R6237" s="10" t="s">
        <v>30718</v>
      </c>
      <c r="S6237" s="11" t="s">
        <v>35494</v>
      </c>
      <c r="T6237" s="6" t="s">
        <v>97</v>
      </c>
      <c r="U6237" s="15" t="str">
        <f>HYPERLINK("https://media.infra-m.ru/2103/2103722/cover/2103722.jpg", "Обложка")</f>
        <v>Обложка</v>
      </c>
      <c r="V6237" s="8" t="s">
        <v>3087</v>
      </c>
      <c r="W6237" s="6"/>
      <c r="X6237" s="6"/>
      <c r="Y6237" s="6"/>
      <c r="Z6237" s="6"/>
      <c r="AA6237" s="6" t="s">
        <v>1047</v>
      </c>
      <c r="AB6237" s="8"/>
      <c r="AC6237" s="27">
        <v>9785160192789</v>
      </c>
    </row>
    <row r="6238" spans="1:29" s="4" customFormat="1" ht="51.9" customHeight="1" x14ac:dyDescent="0.2">
      <c r="A6238" s="5">
        <v>0</v>
      </c>
      <c r="B6238" s="6" t="s">
        <v>35495</v>
      </c>
      <c r="C6238" s="13">
        <v>612</v>
      </c>
      <c r="D6238" s="8" t="s">
        <v>35496</v>
      </c>
      <c r="E6238" s="8" t="s">
        <v>35491</v>
      </c>
      <c r="F6238" s="8" t="s">
        <v>35492</v>
      </c>
      <c r="G6238" s="6" t="s">
        <v>33</v>
      </c>
      <c r="H6238" s="6" t="s">
        <v>313</v>
      </c>
      <c r="I6238" s="8" t="s">
        <v>4551</v>
      </c>
      <c r="J6238" s="9">
        <v>1</v>
      </c>
      <c r="K6238" s="9">
        <v>112</v>
      </c>
      <c r="L6238" s="9">
        <v>2026</v>
      </c>
      <c r="M6238" s="8" t="s">
        <v>35497</v>
      </c>
      <c r="N6238" s="8" t="s">
        <v>93</v>
      </c>
      <c r="O6238" s="8" t="s">
        <v>94</v>
      </c>
      <c r="P6238" s="6" t="s">
        <v>51</v>
      </c>
      <c r="Q6238" s="8" t="s">
        <v>52</v>
      </c>
      <c r="R6238" s="10" t="s">
        <v>35498</v>
      </c>
      <c r="S6238" s="11" t="s">
        <v>35499</v>
      </c>
      <c r="T6238" s="6"/>
      <c r="U6238" s="15" t="str">
        <f>HYPERLINK("https://media.infra-m.ru/2235/2235141/cover/2235141.jpg", "Обложка")</f>
        <v>Обложка</v>
      </c>
      <c r="V6238" s="8" t="s">
        <v>3087</v>
      </c>
      <c r="W6238" s="6"/>
      <c r="X6238" s="6"/>
      <c r="Y6238" s="6"/>
      <c r="Z6238" s="6"/>
      <c r="AA6238" s="6" t="s">
        <v>1015</v>
      </c>
      <c r="AB6238" s="8"/>
      <c r="AC6238" s="27">
        <v>9785369005446</v>
      </c>
    </row>
    <row r="6239" spans="1:29" s="4" customFormat="1" ht="51.9" customHeight="1" x14ac:dyDescent="0.2">
      <c r="A6239" s="5">
        <v>0</v>
      </c>
      <c r="B6239" s="6" t="s">
        <v>35500</v>
      </c>
      <c r="C6239" s="7">
        <v>1032</v>
      </c>
      <c r="D6239" s="8" t="s">
        <v>35501</v>
      </c>
      <c r="E6239" s="8" t="s">
        <v>35491</v>
      </c>
      <c r="F6239" s="8" t="s">
        <v>35502</v>
      </c>
      <c r="G6239" s="6" t="s">
        <v>118</v>
      </c>
      <c r="H6239" s="6" t="s">
        <v>34</v>
      </c>
      <c r="I6239" s="8" t="s">
        <v>253</v>
      </c>
      <c r="J6239" s="9">
        <v>1</v>
      </c>
      <c r="K6239" s="9">
        <v>160</v>
      </c>
      <c r="L6239" s="9">
        <v>2025</v>
      </c>
      <c r="M6239" s="8" t="s">
        <v>35503</v>
      </c>
      <c r="N6239" s="8" t="s">
        <v>63</v>
      </c>
      <c r="O6239" s="8" t="s">
        <v>154</v>
      </c>
      <c r="P6239" s="6" t="s">
        <v>51</v>
      </c>
      <c r="Q6239" s="8" t="s">
        <v>52</v>
      </c>
      <c r="R6239" s="10" t="s">
        <v>35504</v>
      </c>
      <c r="S6239" s="11" t="s">
        <v>35505</v>
      </c>
      <c r="T6239" s="6" t="s">
        <v>97</v>
      </c>
      <c r="U6239" s="15" t="str">
        <f>HYPERLINK("https://media.infra-m.ru/2208/2208660/cover/2208660.jpg", "Обложка")</f>
        <v>Обложка</v>
      </c>
      <c r="V6239" s="8" t="s">
        <v>14444</v>
      </c>
      <c r="W6239" s="6"/>
      <c r="X6239" s="6"/>
      <c r="Y6239" s="6"/>
      <c r="Z6239" s="6"/>
      <c r="AA6239" s="6" t="s">
        <v>55</v>
      </c>
      <c r="AB6239" s="8"/>
      <c r="AC6239" s="27">
        <v>9785160209906</v>
      </c>
    </row>
    <row r="6240" spans="1:29" s="4" customFormat="1" ht="51.9" customHeight="1" x14ac:dyDescent="0.2">
      <c r="A6240" s="5">
        <v>0</v>
      </c>
      <c r="B6240" s="6" t="s">
        <v>35506</v>
      </c>
      <c r="C6240" s="7">
        <v>2296.8000000000002</v>
      </c>
      <c r="D6240" s="8" t="s">
        <v>35507</v>
      </c>
      <c r="E6240" s="8" t="s">
        <v>35508</v>
      </c>
      <c r="F6240" s="8" t="s">
        <v>35509</v>
      </c>
      <c r="G6240" s="6" t="s">
        <v>118</v>
      </c>
      <c r="H6240" s="6" t="s">
        <v>241</v>
      </c>
      <c r="I6240" s="8"/>
      <c r="J6240" s="9">
        <v>1</v>
      </c>
      <c r="K6240" s="9">
        <v>368</v>
      </c>
      <c r="L6240" s="9">
        <v>2025</v>
      </c>
      <c r="M6240" s="8" t="s">
        <v>35510</v>
      </c>
      <c r="N6240" s="8" t="s">
        <v>93</v>
      </c>
      <c r="O6240" s="8" t="s">
        <v>94</v>
      </c>
      <c r="P6240" s="6" t="s">
        <v>51</v>
      </c>
      <c r="Q6240" s="8" t="s">
        <v>52</v>
      </c>
      <c r="R6240" s="10" t="s">
        <v>30718</v>
      </c>
      <c r="S6240" s="11" t="s">
        <v>35511</v>
      </c>
      <c r="T6240" s="6"/>
      <c r="U6240" s="15" t="str">
        <f>HYPERLINK("https://media.infra-m.ru/2118/2118734/cover/2118734.jpg", "Обложка")</f>
        <v>Обложка</v>
      </c>
      <c r="V6240" s="8" t="s">
        <v>247</v>
      </c>
      <c r="W6240" s="6"/>
      <c r="X6240" s="6"/>
      <c r="Y6240" s="6"/>
      <c r="Z6240" s="6"/>
      <c r="AA6240" s="6" t="s">
        <v>623</v>
      </c>
      <c r="AB6240" s="8"/>
      <c r="AC6240" s="27">
        <v>9785955805382</v>
      </c>
    </row>
    <row r="6241" spans="1:29" s="4" customFormat="1" ht="51.9" customHeight="1" x14ac:dyDescent="0.2">
      <c r="A6241" s="5">
        <v>0</v>
      </c>
      <c r="B6241" s="6" t="s">
        <v>35512</v>
      </c>
      <c r="C6241" s="7">
        <v>1588.8</v>
      </c>
      <c r="D6241" s="8" t="s">
        <v>35513</v>
      </c>
      <c r="E6241" s="8" t="s">
        <v>35514</v>
      </c>
      <c r="F6241" s="8" t="s">
        <v>35515</v>
      </c>
      <c r="G6241" s="6" t="s">
        <v>33</v>
      </c>
      <c r="H6241" s="6" t="s">
        <v>34</v>
      </c>
      <c r="I6241" s="8" t="s">
        <v>253</v>
      </c>
      <c r="J6241" s="9">
        <v>1</v>
      </c>
      <c r="K6241" s="9">
        <v>240</v>
      </c>
      <c r="L6241" s="9">
        <v>2026</v>
      </c>
      <c r="M6241" s="8" t="s">
        <v>35516</v>
      </c>
      <c r="N6241" s="8" t="s">
        <v>63</v>
      </c>
      <c r="O6241" s="8" t="s">
        <v>154</v>
      </c>
      <c r="P6241" s="6" t="s">
        <v>51</v>
      </c>
      <c r="Q6241" s="8" t="s">
        <v>65</v>
      </c>
      <c r="R6241" s="10" t="s">
        <v>35517</v>
      </c>
      <c r="S6241" s="11" t="s">
        <v>35518</v>
      </c>
      <c r="T6241" s="6"/>
      <c r="U6241" s="15" t="str">
        <f>HYPERLINK("https://media.infra-m.ru/2251/2251088/cover/2251088.jpg", "Обложка")</f>
        <v>Обложка</v>
      </c>
      <c r="V6241" s="8" t="s">
        <v>35519</v>
      </c>
      <c r="W6241" s="6"/>
      <c r="X6241" s="6"/>
      <c r="Y6241" s="6"/>
      <c r="Z6241" s="6"/>
      <c r="AA6241" s="6" t="s">
        <v>779</v>
      </c>
      <c r="AB6241" s="8"/>
      <c r="AC6241" s="27">
        <v>9785160136349</v>
      </c>
    </row>
    <row r="6242" spans="1:29" s="4" customFormat="1" ht="51.9" customHeight="1" x14ac:dyDescent="0.2">
      <c r="A6242" s="5">
        <v>0</v>
      </c>
      <c r="B6242" s="6" t="s">
        <v>35520</v>
      </c>
      <c r="C6242" s="7">
        <v>1360.8</v>
      </c>
      <c r="D6242" s="8" t="s">
        <v>35521</v>
      </c>
      <c r="E6242" s="8" t="s">
        <v>35522</v>
      </c>
      <c r="F6242" s="8" t="s">
        <v>4996</v>
      </c>
      <c r="G6242" s="6" t="s">
        <v>60</v>
      </c>
      <c r="H6242" s="6" t="s">
        <v>313</v>
      </c>
      <c r="I6242" s="8" t="s">
        <v>271</v>
      </c>
      <c r="J6242" s="9">
        <v>1</v>
      </c>
      <c r="K6242" s="9">
        <v>218</v>
      </c>
      <c r="L6242" s="9">
        <v>2025</v>
      </c>
      <c r="M6242" s="8" t="s">
        <v>35523</v>
      </c>
      <c r="N6242" s="8" t="s">
        <v>37</v>
      </c>
      <c r="O6242" s="8" t="s">
        <v>499</v>
      </c>
      <c r="P6242" s="6" t="s">
        <v>51</v>
      </c>
      <c r="Q6242" s="8" t="s">
        <v>52</v>
      </c>
      <c r="R6242" s="10" t="s">
        <v>12247</v>
      </c>
      <c r="S6242" s="11" t="s">
        <v>35524</v>
      </c>
      <c r="T6242" s="6"/>
      <c r="U6242" s="15" t="str">
        <f>HYPERLINK("https://media.infra-m.ru/2125/2125001/cover/2125001.jpg", "Обложка")</f>
        <v>Обложка</v>
      </c>
      <c r="V6242" s="8" t="s">
        <v>657</v>
      </c>
      <c r="W6242" s="6"/>
      <c r="X6242" s="6"/>
      <c r="Y6242" s="6"/>
      <c r="Z6242" s="6"/>
      <c r="AA6242" s="6" t="s">
        <v>43</v>
      </c>
      <c r="AB6242" s="8"/>
      <c r="AC6242" s="27">
        <v>9785369009901</v>
      </c>
    </row>
    <row r="6243" spans="1:29" s="4" customFormat="1" ht="42" customHeight="1" x14ac:dyDescent="0.2">
      <c r="A6243" s="5">
        <v>0</v>
      </c>
      <c r="B6243" s="6" t="s">
        <v>35525</v>
      </c>
      <c r="C6243" s="7">
        <v>1656</v>
      </c>
      <c r="D6243" s="8" t="s">
        <v>35526</v>
      </c>
      <c r="E6243" s="8" t="s">
        <v>35527</v>
      </c>
      <c r="F6243" s="8" t="s">
        <v>35528</v>
      </c>
      <c r="G6243" s="6" t="s">
        <v>118</v>
      </c>
      <c r="H6243" s="6" t="s">
        <v>313</v>
      </c>
      <c r="I6243" s="8" t="s">
        <v>392</v>
      </c>
      <c r="J6243" s="9">
        <v>1</v>
      </c>
      <c r="K6243" s="9">
        <v>300</v>
      </c>
      <c r="L6243" s="9">
        <v>2024</v>
      </c>
      <c r="M6243" s="8" t="s">
        <v>35529</v>
      </c>
      <c r="N6243" s="8" t="s">
        <v>63</v>
      </c>
      <c r="O6243" s="8" t="s">
        <v>154</v>
      </c>
      <c r="P6243" s="6" t="s">
        <v>51</v>
      </c>
      <c r="Q6243" s="8" t="s">
        <v>52</v>
      </c>
      <c r="R6243" s="10" t="s">
        <v>35530</v>
      </c>
      <c r="S6243" s="11"/>
      <c r="T6243" s="6" t="s">
        <v>97</v>
      </c>
      <c r="U6243" s="15" t="str">
        <f>HYPERLINK("https://media.infra-m.ru/1916/1916399/cover/1916399.jpg", "Обложка")</f>
        <v>Обложка</v>
      </c>
      <c r="V6243" s="8" t="s">
        <v>8243</v>
      </c>
      <c r="W6243" s="6"/>
      <c r="X6243" s="6"/>
      <c r="Y6243" s="6"/>
      <c r="Z6243" s="6"/>
      <c r="AA6243" s="6" t="s">
        <v>779</v>
      </c>
      <c r="AB6243" s="8"/>
      <c r="AC6243" s="27">
        <v>9785369015377</v>
      </c>
    </row>
    <row r="6244" spans="1:29" s="4" customFormat="1" ht="51.9" customHeight="1" x14ac:dyDescent="0.2">
      <c r="A6244" s="5">
        <v>0</v>
      </c>
      <c r="B6244" s="6" t="s">
        <v>35531</v>
      </c>
      <c r="C6244" s="7">
        <v>2992.8</v>
      </c>
      <c r="D6244" s="8" t="s">
        <v>35532</v>
      </c>
      <c r="E6244" s="8" t="s">
        <v>35533</v>
      </c>
      <c r="F6244" s="8" t="s">
        <v>6002</v>
      </c>
      <c r="G6244" s="6" t="s">
        <v>60</v>
      </c>
      <c r="H6244" s="6" t="s">
        <v>34</v>
      </c>
      <c r="I6244" s="8" t="s">
        <v>253</v>
      </c>
      <c r="J6244" s="9">
        <v>1</v>
      </c>
      <c r="K6244" s="9">
        <v>479</v>
      </c>
      <c r="L6244" s="9">
        <v>2026</v>
      </c>
      <c r="M6244" s="8" t="s">
        <v>35534</v>
      </c>
      <c r="N6244" s="8" t="s">
        <v>63</v>
      </c>
      <c r="O6244" s="8" t="s">
        <v>154</v>
      </c>
      <c r="P6244" s="6" t="s">
        <v>306</v>
      </c>
      <c r="Q6244" s="8" t="s">
        <v>52</v>
      </c>
      <c r="R6244" s="10" t="s">
        <v>2956</v>
      </c>
      <c r="S6244" s="11" t="s">
        <v>35535</v>
      </c>
      <c r="T6244" s="6"/>
      <c r="U6244" s="15" t="str">
        <f>HYPERLINK("https://media.infra-m.ru/2218/2218526/cover/2218526.jpg", "Обложка")</f>
        <v>Обложка</v>
      </c>
      <c r="V6244" s="8" t="s">
        <v>6005</v>
      </c>
      <c r="W6244" s="6"/>
      <c r="X6244" s="6"/>
      <c r="Y6244" s="6"/>
      <c r="Z6244" s="6"/>
      <c r="AA6244" s="6" t="s">
        <v>874</v>
      </c>
      <c r="AB6244" s="8"/>
      <c r="AC6244" s="27">
        <v>9785160193496</v>
      </c>
    </row>
    <row r="6245" spans="1:29" s="4" customFormat="1" ht="44.1" customHeight="1" x14ac:dyDescent="0.2">
      <c r="A6245" s="5">
        <v>0</v>
      </c>
      <c r="B6245" s="6" t="s">
        <v>35536</v>
      </c>
      <c r="C6245" s="13">
        <v>888</v>
      </c>
      <c r="D6245" s="8" t="s">
        <v>35537</v>
      </c>
      <c r="E6245" s="8" t="s">
        <v>35538</v>
      </c>
      <c r="F6245" s="8" t="s">
        <v>35539</v>
      </c>
      <c r="G6245" s="6" t="s">
        <v>33</v>
      </c>
      <c r="H6245" s="6" t="s">
        <v>48</v>
      </c>
      <c r="I6245" s="8"/>
      <c r="J6245" s="9">
        <v>1</v>
      </c>
      <c r="K6245" s="9">
        <v>159</v>
      </c>
      <c r="L6245" s="9">
        <v>2024</v>
      </c>
      <c r="M6245" s="8" t="s">
        <v>35540</v>
      </c>
      <c r="N6245" s="8" t="s">
        <v>63</v>
      </c>
      <c r="O6245" s="8" t="s">
        <v>154</v>
      </c>
      <c r="P6245" s="6" t="s">
        <v>39</v>
      </c>
      <c r="Q6245" s="8" t="s">
        <v>40</v>
      </c>
      <c r="R6245" s="10" t="s">
        <v>10324</v>
      </c>
      <c r="S6245" s="11"/>
      <c r="T6245" s="6"/>
      <c r="U6245" s="15" t="str">
        <f>HYPERLINK("https://media.infra-m.ru/2102/2102667/cover/2102667.jpg", "Обложка")</f>
        <v>Обложка</v>
      </c>
      <c r="V6245" s="8" t="s">
        <v>9318</v>
      </c>
      <c r="W6245" s="6"/>
      <c r="X6245" s="6"/>
      <c r="Y6245" s="6"/>
      <c r="Z6245" s="6"/>
      <c r="AA6245" s="6" t="s">
        <v>274</v>
      </c>
      <c r="AB6245" s="8"/>
      <c r="AC6245" s="27">
        <v>9785000910030</v>
      </c>
    </row>
    <row r="6246" spans="1:29" s="4" customFormat="1" ht="42" customHeight="1" x14ac:dyDescent="0.2">
      <c r="A6246" s="5">
        <v>0</v>
      </c>
      <c r="B6246" s="6" t="s">
        <v>35541</v>
      </c>
      <c r="C6246" s="7">
        <v>1816.8</v>
      </c>
      <c r="D6246" s="8" t="s">
        <v>35542</v>
      </c>
      <c r="E6246" s="8" t="s">
        <v>35543</v>
      </c>
      <c r="F6246" s="8" t="s">
        <v>35544</v>
      </c>
      <c r="G6246" s="6" t="s">
        <v>118</v>
      </c>
      <c r="H6246" s="6" t="s">
        <v>313</v>
      </c>
      <c r="I6246" s="8" t="s">
        <v>253</v>
      </c>
      <c r="J6246" s="9">
        <v>1</v>
      </c>
      <c r="K6246" s="9">
        <v>303</v>
      </c>
      <c r="L6246" s="9">
        <v>2023</v>
      </c>
      <c r="M6246" s="8" t="s">
        <v>35545</v>
      </c>
      <c r="N6246" s="8" t="s">
        <v>63</v>
      </c>
      <c r="O6246" s="8" t="s">
        <v>154</v>
      </c>
      <c r="P6246" s="6" t="s">
        <v>306</v>
      </c>
      <c r="Q6246" s="8" t="s">
        <v>65</v>
      </c>
      <c r="R6246" s="10" t="s">
        <v>26960</v>
      </c>
      <c r="S6246" s="11"/>
      <c r="T6246" s="6"/>
      <c r="U6246" s="15" t="str">
        <f>HYPERLINK("https://media.infra-m.ru/2172/2172842/cover/2172842.jpg", "Обложка")</f>
        <v>Обложка</v>
      </c>
      <c r="V6246" s="8" t="s">
        <v>13370</v>
      </c>
      <c r="W6246" s="6"/>
      <c r="X6246" s="6"/>
      <c r="Y6246" s="6"/>
      <c r="Z6246" s="6"/>
      <c r="AA6246" s="6" t="s">
        <v>99</v>
      </c>
      <c r="AB6246" s="8"/>
      <c r="AC6246" s="27">
        <v>9785369016633</v>
      </c>
    </row>
    <row r="6247" spans="1:29" s="4" customFormat="1" ht="44.1" customHeight="1" x14ac:dyDescent="0.2">
      <c r="A6247" s="5">
        <v>0</v>
      </c>
      <c r="B6247" s="6" t="s">
        <v>35546</v>
      </c>
      <c r="C6247" s="7">
        <v>1504.8</v>
      </c>
      <c r="D6247" s="8" t="s">
        <v>35547</v>
      </c>
      <c r="E6247" s="8" t="s">
        <v>35548</v>
      </c>
      <c r="F6247" s="8" t="s">
        <v>25408</v>
      </c>
      <c r="G6247" s="6" t="s">
        <v>118</v>
      </c>
      <c r="H6247" s="6" t="s">
        <v>34</v>
      </c>
      <c r="I6247" s="8"/>
      <c r="J6247" s="9">
        <v>1</v>
      </c>
      <c r="K6247" s="9">
        <v>228</v>
      </c>
      <c r="L6247" s="9">
        <v>2026</v>
      </c>
      <c r="M6247" s="8" t="s">
        <v>35549</v>
      </c>
      <c r="N6247" s="8" t="s">
        <v>63</v>
      </c>
      <c r="O6247" s="8" t="s">
        <v>154</v>
      </c>
      <c r="P6247" s="6" t="s">
        <v>1293</v>
      </c>
      <c r="Q6247" s="8" t="s">
        <v>52</v>
      </c>
      <c r="R6247" s="10" t="s">
        <v>35550</v>
      </c>
      <c r="S6247" s="11"/>
      <c r="T6247" s="6"/>
      <c r="U6247" s="15" t="str">
        <f>HYPERLINK("https://media.infra-m.ru/2244/2244248/cover/2244248.jpg", "Обложка")</f>
        <v>Обложка</v>
      </c>
      <c r="V6247" s="8" t="s">
        <v>1505</v>
      </c>
      <c r="W6247" s="6"/>
      <c r="X6247" s="6"/>
      <c r="Y6247" s="6"/>
      <c r="Z6247" s="6"/>
      <c r="AA6247" s="6" t="s">
        <v>623</v>
      </c>
      <c r="AB6247" s="8"/>
      <c r="AC6247" s="27">
        <v>9785160201917</v>
      </c>
    </row>
    <row r="6248" spans="1:29" s="4" customFormat="1" ht="51.9" customHeight="1" x14ac:dyDescent="0.2">
      <c r="A6248" s="5">
        <v>0</v>
      </c>
      <c r="B6248" s="6" t="s">
        <v>35551</v>
      </c>
      <c r="C6248" s="7">
        <v>1301.9000000000001</v>
      </c>
      <c r="D6248" s="8" t="s">
        <v>35552</v>
      </c>
      <c r="E6248" s="8" t="s">
        <v>35553</v>
      </c>
      <c r="F6248" s="8" t="s">
        <v>13631</v>
      </c>
      <c r="G6248" s="6" t="s">
        <v>60</v>
      </c>
      <c r="H6248" s="6" t="s">
        <v>241</v>
      </c>
      <c r="I6248" s="8"/>
      <c r="J6248" s="9">
        <v>1</v>
      </c>
      <c r="K6248" s="9">
        <v>240</v>
      </c>
      <c r="L6248" s="9">
        <v>2023</v>
      </c>
      <c r="M6248" s="8" t="s">
        <v>35554</v>
      </c>
      <c r="N6248" s="8" t="s">
        <v>37</v>
      </c>
      <c r="O6248" s="8" t="s">
        <v>280</v>
      </c>
      <c r="P6248" s="6" t="s">
        <v>51</v>
      </c>
      <c r="Q6248" s="8" t="s">
        <v>52</v>
      </c>
      <c r="R6248" s="10" t="s">
        <v>35555</v>
      </c>
      <c r="S6248" s="11"/>
      <c r="T6248" s="6"/>
      <c r="U6248" s="15" t="str">
        <f>HYPERLINK("https://media.infra-m.ru/1971/1971824/cover/1971824.jpg", "Обложка")</f>
        <v>Обложка</v>
      </c>
      <c r="V6248" s="8" t="s">
        <v>247</v>
      </c>
      <c r="W6248" s="6"/>
      <c r="X6248" s="6"/>
      <c r="Y6248" s="6"/>
      <c r="Z6248" s="6"/>
      <c r="AA6248" s="6" t="s">
        <v>248</v>
      </c>
      <c r="AB6248" s="8"/>
      <c r="AC6248" s="27">
        <v>9785955803401</v>
      </c>
    </row>
    <row r="6249" spans="1:29" s="4" customFormat="1" ht="42" customHeight="1" x14ac:dyDescent="0.2">
      <c r="A6249" s="5">
        <v>0</v>
      </c>
      <c r="B6249" s="6" t="s">
        <v>35556</v>
      </c>
      <c r="C6249" s="7">
        <v>1540.8</v>
      </c>
      <c r="D6249" s="8" t="s">
        <v>35557</v>
      </c>
      <c r="E6249" s="8" t="s">
        <v>35558</v>
      </c>
      <c r="F6249" s="8" t="s">
        <v>35559</v>
      </c>
      <c r="G6249" s="6" t="s">
        <v>60</v>
      </c>
      <c r="H6249" s="6" t="s">
        <v>34</v>
      </c>
      <c r="I6249" s="8" t="s">
        <v>35</v>
      </c>
      <c r="J6249" s="9">
        <v>1</v>
      </c>
      <c r="K6249" s="9">
        <v>256</v>
      </c>
      <c r="L6249" s="9">
        <v>2024</v>
      </c>
      <c r="M6249" s="8" t="s">
        <v>35560</v>
      </c>
      <c r="N6249" s="8" t="s">
        <v>93</v>
      </c>
      <c r="O6249" s="8" t="s">
        <v>94</v>
      </c>
      <c r="P6249" s="6" t="s">
        <v>39</v>
      </c>
      <c r="Q6249" s="8" t="s">
        <v>3587</v>
      </c>
      <c r="R6249" s="10" t="s">
        <v>35561</v>
      </c>
      <c r="S6249" s="11"/>
      <c r="T6249" s="6"/>
      <c r="U6249" s="15" t="str">
        <f>HYPERLINK("https://media.infra-m.ru/2115/2115272/cover/2115272.jpg", "Обложка")</f>
        <v>Обложка</v>
      </c>
      <c r="V6249" s="8" t="s">
        <v>7920</v>
      </c>
      <c r="W6249" s="6"/>
      <c r="X6249" s="6"/>
      <c r="Y6249" s="6"/>
      <c r="Z6249" s="6"/>
      <c r="AA6249" s="6" t="s">
        <v>99</v>
      </c>
      <c r="AB6249" s="8"/>
      <c r="AC6249" s="27">
        <v>9785160127194</v>
      </c>
    </row>
    <row r="6250" spans="1:29" s="4" customFormat="1" ht="51.9" customHeight="1" x14ac:dyDescent="0.2">
      <c r="A6250" s="5">
        <v>0</v>
      </c>
      <c r="B6250" s="6" t="s">
        <v>35562</v>
      </c>
      <c r="C6250" s="7">
        <v>1264.8</v>
      </c>
      <c r="D6250" s="8" t="s">
        <v>35563</v>
      </c>
      <c r="E6250" s="8" t="s">
        <v>35564</v>
      </c>
      <c r="F6250" s="8" t="s">
        <v>28365</v>
      </c>
      <c r="G6250" s="6" t="s">
        <v>118</v>
      </c>
      <c r="H6250" s="6" t="s">
        <v>1042</v>
      </c>
      <c r="I6250" s="8" t="s">
        <v>263</v>
      </c>
      <c r="J6250" s="9">
        <v>1</v>
      </c>
      <c r="K6250" s="9">
        <v>192</v>
      </c>
      <c r="L6250" s="9">
        <v>2026</v>
      </c>
      <c r="M6250" s="8" t="s">
        <v>35565</v>
      </c>
      <c r="N6250" s="8" t="s">
        <v>63</v>
      </c>
      <c r="O6250" s="8" t="s">
        <v>154</v>
      </c>
      <c r="P6250" s="6" t="s">
        <v>51</v>
      </c>
      <c r="Q6250" s="8" t="s">
        <v>265</v>
      </c>
      <c r="R6250" s="10" t="s">
        <v>35566</v>
      </c>
      <c r="S6250" s="11" t="s">
        <v>35567</v>
      </c>
      <c r="T6250" s="6"/>
      <c r="U6250" s="15" t="str">
        <f>HYPERLINK("https://media.infra-m.ru/2214/2214791/cover/2214791.jpg", "Обложка")</f>
        <v>Обложка</v>
      </c>
      <c r="V6250" s="8" t="s">
        <v>5951</v>
      </c>
      <c r="W6250" s="6"/>
      <c r="X6250" s="6" t="s">
        <v>24</v>
      </c>
      <c r="Y6250" s="6"/>
      <c r="Z6250" s="6"/>
      <c r="AA6250" s="6" t="s">
        <v>949</v>
      </c>
      <c r="AB6250" s="8"/>
      <c r="AC6250" s="27">
        <v>9785819906934</v>
      </c>
    </row>
    <row r="6251" spans="1:29" s="4" customFormat="1" ht="51.9" customHeight="1" x14ac:dyDescent="0.2">
      <c r="A6251" s="5">
        <v>0</v>
      </c>
      <c r="B6251" s="6" t="s">
        <v>35568</v>
      </c>
      <c r="C6251" s="7">
        <v>1272</v>
      </c>
      <c r="D6251" s="8" t="s">
        <v>35569</v>
      </c>
      <c r="E6251" s="8" t="s">
        <v>35564</v>
      </c>
      <c r="F6251" s="8" t="s">
        <v>28365</v>
      </c>
      <c r="G6251" s="6" t="s">
        <v>118</v>
      </c>
      <c r="H6251" s="6" t="s">
        <v>34</v>
      </c>
      <c r="I6251" s="8" t="s">
        <v>253</v>
      </c>
      <c r="J6251" s="9">
        <v>1</v>
      </c>
      <c r="K6251" s="9">
        <v>192</v>
      </c>
      <c r="L6251" s="9">
        <v>2026</v>
      </c>
      <c r="M6251" s="8" t="s">
        <v>35570</v>
      </c>
      <c r="N6251" s="8" t="s">
        <v>63</v>
      </c>
      <c r="O6251" s="8" t="s">
        <v>154</v>
      </c>
      <c r="P6251" s="6" t="s">
        <v>51</v>
      </c>
      <c r="Q6251" s="8" t="s">
        <v>52</v>
      </c>
      <c r="R6251" s="10" t="s">
        <v>35571</v>
      </c>
      <c r="S6251" s="11" t="s">
        <v>35572</v>
      </c>
      <c r="T6251" s="6"/>
      <c r="U6251" s="15" t="str">
        <f>HYPERLINK("https://media.infra-m.ru/2230/2230642/cover/2230642.jpg", "Обложка")</f>
        <v>Обложка</v>
      </c>
      <c r="V6251" s="8" t="s">
        <v>5951</v>
      </c>
      <c r="W6251" s="6"/>
      <c r="X6251" s="6"/>
      <c r="Y6251" s="6"/>
      <c r="Z6251" s="6" t="s">
        <v>632</v>
      </c>
      <c r="AA6251" s="6" t="s">
        <v>86</v>
      </c>
      <c r="AB6251" s="8"/>
      <c r="AC6251" s="27">
        <v>9785160215556</v>
      </c>
    </row>
    <row r="6252" spans="1:29" s="4" customFormat="1" ht="51.9" customHeight="1" x14ac:dyDescent="0.2">
      <c r="A6252" s="5">
        <v>0</v>
      </c>
      <c r="B6252" s="6" t="s">
        <v>35573</v>
      </c>
      <c r="C6252" s="13">
        <v>984</v>
      </c>
      <c r="D6252" s="8" t="s">
        <v>35574</v>
      </c>
      <c r="E6252" s="8" t="s">
        <v>35575</v>
      </c>
      <c r="F6252" s="8" t="s">
        <v>10691</v>
      </c>
      <c r="G6252" s="6" t="s">
        <v>118</v>
      </c>
      <c r="H6252" s="6" t="s">
        <v>313</v>
      </c>
      <c r="I6252" s="8" t="s">
        <v>4459</v>
      </c>
      <c r="J6252" s="9">
        <v>1</v>
      </c>
      <c r="K6252" s="9">
        <v>176</v>
      </c>
      <c r="L6252" s="9">
        <v>2023</v>
      </c>
      <c r="M6252" s="8" t="s">
        <v>35576</v>
      </c>
      <c r="N6252" s="8" t="s">
        <v>63</v>
      </c>
      <c r="O6252" s="8" t="s">
        <v>154</v>
      </c>
      <c r="P6252" s="6" t="s">
        <v>234</v>
      </c>
      <c r="Q6252" s="8" t="s">
        <v>40</v>
      </c>
      <c r="R6252" s="10" t="s">
        <v>35577</v>
      </c>
      <c r="S6252" s="11"/>
      <c r="T6252" s="6"/>
      <c r="U6252" s="15" t="str">
        <f>HYPERLINK("https://media.infra-m.ru/2029/2029832/cover/2029832.jpg", "Обложка")</f>
        <v>Обложка</v>
      </c>
      <c r="V6252" s="8" t="s">
        <v>10694</v>
      </c>
      <c r="W6252" s="6"/>
      <c r="X6252" s="6" t="s">
        <v>24</v>
      </c>
      <c r="Y6252" s="6"/>
      <c r="Z6252" s="6"/>
      <c r="AA6252" s="6" t="s">
        <v>86</v>
      </c>
      <c r="AB6252" s="8"/>
      <c r="AC6252" s="27">
        <v>9785369017388</v>
      </c>
    </row>
    <row r="6253" spans="1:29" s="4" customFormat="1" ht="42" customHeight="1" x14ac:dyDescent="0.2">
      <c r="A6253" s="5">
        <v>0</v>
      </c>
      <c r="B6253" s="6" t="s">
        <v>35578</v>
      </c>
      <c r="C6253" s="13">
        <v>900</v>
      </c>
      <c r="D6253" s="8" t="s">
        <v>35579</v>
      </c>
      <c r="E6253" s="8" t="s">
        <v>35580</v>
      </c>
      <c r="F6253" s="8" t="s">
        <v>35581</v>
      </c>
      <c r="G6253" s="6" t="s">
        <v>33</v>
      </c>
      <c r="H6253" s="6" t="s">
        <v>313</v>
      </c>
      <c r="I6253" s="8"/>
      <c r="J6253" s="9">
        <v>1</v>
      </c>
      <c r="K6253" s="9">
        <v>137</v>
      </c>
      <c r="L6253" s="9">
        <v>2025</v>
      </c>
      <c r="M6253" s="8" t="s">
        <v>35582</v>
      </c>
      <c r="N6253" s="8" t="s">
        <v>63</v>
      </c>
      <c r="O6253" s="8" t="s">
        <v>154</v>
      </c>
      <c r="P6253" s="6" t="s">
        <v>51</v>
      </c>
      <c r="Q6253" s="8" t="s">
        <v>52</v>
      </c>
      <c r="R6253" s="10" t="s">
        <v>35583</v>
      </c>
      <c r="S6253" s="11"/>
      <c r="T6253" s="6"/>
      <c r="U6253" s="15" t="str">
        <f>HYPERLINK("https://media.infra-m.ru/2188/2188053/cover/2188053.jpg", "Обложка")</f>
        <v>Обложка</v>
      </c>
      <c r="V6253" s="8" t="s">
        <v>8243</v>
      </c>
      <c r="W6253" s="6"/>
      <c r="X6253" s="6"/>
      <c r="Y6253" s="6"/>
      <c r="Z6253" s="6"/>
      <c r="AA6253" s="6" t="s">
        <v>99</v>
      </c>
      <c r="AB6253" s="8"/>
      <c r="AC6253" s="27">
        <v>9785369016138</v>
      </c>
    </row>
    <row r="6254" spans="1:29" s="4" customFormat="1" ht="42" customHeight="1" x14ac:dyDescent="0.2">
      <c r="A6254" s="5">
        <v>0</v>
      </c>
      <c r="B6254" s="6" t="s">
        <v>35584</v>
      </c>
      <c r="C6254" s="7">
        <v>1428</v>
      </c>
      <c r="D6254" s="8" t="s">
        <v>35585</v>
      </c>
      <c r="E6254" s="8" t="s">
        <v>35586</v>
      </c>
      <c r="F6254" s="8" t="s">
        <v>35587</v>
      </c>
      <c r="G6254" s="6" t="s">
        <v>33</v>
      </c>
      <c r="H6254" s="6" t="s">
        <v>34</v>
      </c>
      <c r="I6254" s="8" t="s">
        <v>35</v>
      </c>
      <c r="J6254" s="9">
        <v>1</v>
      </c>
      <c r="K6254" s="9">
        <v>215</v>
      </c>
      <c r="L6254" s="9">
        <v>2026</v>
      </c>
      <c r="M6254" s="8" t="s">
        <v>35588</v>
      </c>
      <c r="N6254" s="8" t="s">
        <v>93</v>
      </c>
      <c r="O6254" s="8" t="s">
        <v>94</v>
      </c>
      <c r="P6254" s="6" t="s">
        <v>39</v>
      </c>
      <c r="Q6254" s="8" t="s">
        <v>40</v>
      </c>
      <c r="R6254" s="10" t="s">
        <v>35477</v>
      </c>
      <c r="S6254" s="11"/>
      <c r="T6254" s="6"/>
      <c r="U6254" s="15" t="str">
        <f>HYPERLINK("https://media.infra-m.ru/2238/2238262/cover/2238262.jpg", "Обложка")</f>
        <v>Обложка</v>
      </c>
      <c r="V6254" s="8" t="s">
        <v>9346</v>
      </c>
      <c r="W6254" s="6"/>
      <c r="X6254" s="6"/>
      <c r="Y6254" s="6"/>
      <c r="Z6254" s="6"/>
      <c r="AA6254" s="6" t="s">
        <v>1256</v>
      </c>
      <c r="AB6254" s="8"/>
      <c r="AC6254" s="27">
        <v>9785160159942</v>
      </c>
    </row>
    <row r="6255" spans="1:29" s="4" customFormat="1" ht="51.9" customHeight="1" x14ac:dyDescent="0.2">
      <c r="A6255" s="5">
        <v>0</v>
      </c>
      <c r="B6255" s="6" t="s">
        <v>35589</v>
      </c>
      <c r="C6255" s="7">
        <v>2268</v>
      </c>
      <c r="D6255" s="8" t="s">
        <v>35590</v>
      </c>
      <c r="E6255" s="8" t="s">
        <v>35591</v>
      </c>
      <c r="F6255" s="8" t="s">
        <v>35592</v>
      </c>
      <c r="G6255" s="6" t="s">
        <v>118</v>
      </c>
      <c r="H6255" s="6" t="s">
        <v>34</v>
      </c>
      <c r="I6255" s="8" t="s">
        <v>253</v>
      </c>
      <c r="J6255" s="9">
        <v>1</v>
      </c>
      <c r="K6255" s="9">
        <v>325</v>
      </c>
      <c r="L6255" s="9">
        <v>2027</v>
      </c>
      <c r="M6255" s="8" t="s">
        <v>35593</v>
      </c>
      <c r="N6255" s="8" t="s">
        <v>63</v>
      </c>
      <c r="O6255" s="8" t="s">
        <v>154</v>
      </c>
      <c r="P6255" s="6" t="s">
        <v>51</v>
      </c>
      <c r="Q6255" s="8" t="s">
        <v>500</v>
      </c>
      <c r="R6255" s="10" t="s">
        <v>35594</v>
      </c>
      <c r="S6255" s="11" t="s">
        <v>35595</v>
      </c>
      <c r="T6255" s="6" t="s">
        <v>97</v>
      </c>
      <c r="U6255" s="15" t="str">
        <f>HYPERLINK("https://media.infra-m.ru/2266/2266153/cover/2266153.jpg", "Обложка")</f>
        <v>Обложка</v>
      </c>
      <c r="V6255" s="8" t="s">
        <v>644</v>
      </c>
      <c r="W6255" s="6"/>
      <c r="X6255" s="6"/>
      <c r="Y6255" s="6"/>
      <c r="Z6255" s="6"/>
      <c r="AA6255" s="6" t="s">
        <v>779</v>
      </c>
      <c r="AB6255" s="8"/>
      <c r="AC6255" s="27">
        <v>9785160207926</v>
      </c>
    </row>
    <row r="6256" spans="1:29" s="4" customFormat="1" ht="51.9" customHeight="1" x14ac:dyDescent="0.2">
      <c r="A6256" s="5">
        <v>0</v>
      </c>
      <c r="B6256" s="6" t="s">
        <v>35596</v>
      </c>
      <c r="C6256" s="7">
        <v>4444.8</v>
      </c>
      <c r="D6256" s="8" t="s">
        <v>35597</v>
      </c>
      <c r="E6256" s="8" t="s">
        <v>35598</v>
      </c>
      <c r="F6256" s="8" t="s">
        <v>16287</v>
      </c>
      <c r="G6256" s="6" t="s">
        <v>60</v>
      </c>
      <c r="H6256" s="6" t="s">
        <v>34</v>
      </c>
      <c r="I6256" s="8" t="s">
        <v>253</v>
      </c>
      <c r="J6256" s="9">
        <v>1</v>
      </c>
      <c r="K6256" s="9">
        <v>638</v>
      </c>
      <c r="L6256" s="9">
        <v>2027</v>
      </c>
      <c r="M6256" s="8" t="s">
        <v>35599</v>
      </c>
      <c r="N6256" s="8" t="s">
        <v>63</v>
      </c>
      <c r="O6256" s="8" t="s">
        <v>154</v>
      </c>
      <c r="P6256" s="6" t="s">
        <v>51</v>
      </c>
      <c r="Q6256" s="8" t="s">
        <v>52</v>
      </c>
      <c r="R6256" s="10" t="s">
        <v>35600</v>
      </c>
      <c r="S6256" s="11" t="s">
        <v>25427</v>
      </c>
      <c r="T6256" s="6"/>
      <c r="U6256" s="15" t="str">
        <f>HYPERLINK("https://media.infra-m.ru/2237/2237201/cover/2237201.jpg", "Обложка")</f>
        <v>Обложка</v>
      </c>
      <c r="V6256" s="8" t="s">
        <v>54</v>
      </c>
      <c r="W6256" s="6"/>
      <c r="X6256" s="6"/>
      <c r="Y6256" s="6"/>
      <c r="Z6256" s="6"/>
      <c r="AA6256" s="6" t="s">
        <v>896</v>
      </c>
      <c r="AB6256" s="8"/>
      <c r="AC6256" s="27">
        <v>9785160204536</v>
      </c>
    </row>
    <row r="6257" spans="1:29" s="4" customFormat="1" ht="44.1" customHeight="1" x14ac:dyDescent="0.2">
      <c r="A6257" s="5">
        <v>0</v>
      </c>
      <c r="B6257" s="6" t="s">
        <v>35601</v>
      </c>
      <c r="C6257" s="7">
        <v>1156.8</v>
      </c>
      <c r="D6257" s="8" t="s">
        <v>35602</v>
      </c>
      <c r="E6257" s="8" t="s">
        <v>35603</v>
      </c>
      <c r="F6257" s="8" t="s">
        <v>35336</v>
      </c>
      <c r="G6257" s="6" t="s">
        <v>33</v>
      </c>
      <c r="H6257" s="6" t="s">
        <v>241</v>
      </c>
      <c r="I6257" s="8" t="s">
        <v>3496</v>
      </c>
      <c r="J6257" s="9">
        <v>1</v>
      </c>
      <c r="K6257" s="9">
        <v>192</v>
      </c>
      <c r="L6257" s="9">
        <v>2025</v>
      </c>
      <c r="M6257" s="8" t="s">
        <v>35604</v>
      </c>
      <c r="N6257" s="8" t="s">
        <v>63</v>
      </c>
      <c r="O6257" s="8" t="s">
        <v>154</v>
      </c>
      <c r="P6257" s="6" t="s">
        <v>39</v>
      </c>
      <c r="Q6257" s="8" t="s">
        <v>40</v>
      </c>
      <c r="R6257" s="10" t="s">
        <v>9837</v>
      </c>
      <c r="S6257" s="11"/>
      <c r="T6257" s="6"/>
      <c r="U6257" s="15" t="str">
        <f>HYPERLINK("https://media.infra-m.ru/2180/2180554/cover/2180554.jpg", "Обложка")</f>
        <v>Обложка</v>
      </c>
      <c r="V6257" s="8" t="s">
        <v>98</v>
      </c>
      <c r="W6257" s="6"/>
      <c r="X6257" s="6"/>
      <c r="Y6257" s="6"/>
      <c r="Z6257" s="6"/>
      <c r="AA6257" s="6" t="s">
        <v>274</v>
      </c>
      <c r="AB6257" s="8"/>
      <c r="AC6257" s="27">
        <v>9785955803852</v>
      </c>
    </row>
    <row r="6258" spans="1:29" s="4" customFormat="1" ht="44.1" customHeight="1" x14ac:dyDescent="0.2">
      <c r="A6258" s="5">
        <v>0</v>
      </c>
      <c r="B6258" s="6" t="s">
        <v>35605</v>
      </c>
      <c r="C6258" s="7">
        <v>1432.8</v>
      </c>
      <c r="D6258" s="8" t="s">
        <v>35606</v>
      </c>
      <c r="E6258" s="8" t="s">
        <v>35603</v>
      </c>
      <c r="F6258" s="8" t="s">
        <v>35336</v>
      </c>
      <c r="G6258" s="6" t="s">
        <v>60</v>
      </c>
      <c r="H6258" s="6" t="s">
        <v>34</v>
      </c>
      <c r="I6258" s="8" t="s">
        <v>504</v>
      </c>
      <c r="J6258" s="9">
        <v>1</v>
      </c>
      <c r="K6258" s="9">
        <v>230</v>
      </c>
      <c r="L6258" s="9">
        <v>2025</v>
      </c>
      <c r="M6258" s="8" t="s">
        <v>35607</v>
      </c>
      <c r="N6258" s="8" t="s">
        <v>63</v>
      </c>
      <c r="O6258" s="8" t="s">
        <v>154</v>
      </c>
      <c r="P6258" s="6" t="s">
        <v>51</v>
      </c>
      <c r="Q6258" s="8" t="s">
        <v>500</v>
      </c>
      <c r="R6258" s="10" t="s">
        <v>35608</v>
      </c>
      <c r="S6258" s="11"/>
      <c r="T6258" s="6"/>
      <c r="U6258" s="15" t="str">
        <f>HYPERLINK("https://media.infra-m.ru/2210/2210626/cover/2210626.jpg", "Обложка")</f>
        <v>Обложка</v>
      </c>
      <c r="V6258" s="8" t="s">
        <v>98</v>
      </c>
      <c r="W6258" s="6"/>
      <c r="X6258" s="6"/>
      <c r="Y6258" s="6"/>
      <c r="Z6258" s="6"/>
      <c r="AA6258" s="6" t="s">
        <v>430</v>
      </c>
      <c r="AB6258" s="8"/>
      <c r="AC6258" s="27">
        <v>9785160160993</v>
      </c>
    </row>
    <row r="6259" spans="1:29" s="4" customFormat="1" ht="44.1" customHeight="1" x14ac:dyDescent="0.2">
      <c r="A6259" s="5">
        <v>0</v>
      </c>
      <c r="B6259" s="6" t="s">
        <v>35609</v>
      </c>
      <c r="C6259" s="7">
        <v>1608</v>
      </c>
      <c r="D6259" s="8" t="s">
        <v>35610</v>
      </c>
      <c r="E6259" s="8" t="s">
        <v>35611</v>
      </c>
      <c r="F6259" s="8" t="s">
        <v>35612</v>
      </c>
      <c r="G6259" s="6" t="s">
        <v>33</v>
      </c>
      <c r="H6259" s="6" t="s">
        <v>34</v>
      </c>
      <c r="I6259" s="8" t="s">
        <v>35</v>
      </c>
      <c r="J6259" s="9">
        <v>1</v>
      </c>
      <c r="K6259" s="9">
        <v>251</v>
      </c>
      <c r="L6259" s="9">
        <v>2026</v>
      </c>
      <c r="M6259" s="8" t="s">
        <v>35613</v>
      </c>
      <c r="N6259" s="8" t="s">
        <v>63</v>
      </c>
      <c r="O6259" s="8" t="s">
        <v>154</v>
      </c>
      <c r="P6259" s="6" t="s">
        <v>39</v>
      </c>
      <c r="Q6259" s="8" t="s">
        <v>40</v>
      </c>
      <c r="R6259" s="10" t="s">
        <v>35614</v>
      </c>
      <c r="S6259" s="11"/>
      <c r="T6259" s="6"/>
      <c r="U6259" s="15" t="str">
        <f>HYPERLINK("https://media.infra-m.ru/2221/2221550/cover/2221550.jpg", "Обложка")</f>
        <v>Обложка</v>
      </c>
      <c r="V6259" s="8" t="s">
        <v>35615</v>
      </c>
      <c r="W6259" s="6"/>
      <c r="X6259" s="6"/>
      <c r="Y6259" s="6"/>
      <c r="Z6259" s="6"/>
      <c r="AA6259" s="6" t="s">
        <v>430</v>
      </c>
      <c r="AB6259" s="8"/>
      <c r="AC6259" s="27">
        <v>9785160164847</v>
      </c>
    </row>
    <row r="6260" spans="1:29" s="4" customFormat="1" ht="51.9" customHeight="1" x14ac:dyDescent="0.2">
      <c r="A6260" s="5">
        <v>0</v>
      </c>
      <c r="B6260" s="6" t="s">
        <v>35616</v>
      </c>
      <c r="C6260" s="7">
        <v>1000.8</v>
      </c>
      <c r="D6260" s="8" t="s">
        <v>35617</v>
      </c>
      <c r="E6260" s="8" t="s">
        <v>35618</v>
      </c>
      <c r="F6260" s="8" t="s">
        <v>35619</v>
      </c>
      <c r="G6260" s="6" t="s">
        <v>33</v>
      </c>
      <c r="H6260" s="6" t="s">
        <v>48</v>
      </c>
      <c r="I6260" s="8"/>
      <c r="J6260" s="9">
        <v>1</v>
      </c>
      <c r="K6260" s="9">
        <v>152</v>
      </c>
      <c r="L6260" s="9">
        <v>2026</v>
      </c>
      <c r="M6260" s="8" t="s">
        <v>35620</v>
      </c>
      <c r="N6260" s="8" t="s">
        <v>63</v>
      </c>
      <c r="O6260" s="8" t="s">
        <v>154</v>
      </c>
      <c r="P6260" s="6" t="s">
        <v>51</v>
      </c>
      <c r="Q6260" s="8" t="s">
        <v>52</v>
      </c>
      <c r="R6260" s="10" t="s">
        <v>35621</v>
      </c>
      <c r="S6260" s="11"/>
      <c r="T6260" s="6"/>
      <c r="U6260" s="15" t="str">
        <f>HYPERLINK("https://media.infra-m.ru/2241/2241180/cover/2241180.jpg", "Обложка")</f>
        <v>Обложка</v>
      </c>
      <c r="V6260" s="8" t="s">
        <v>1805</v>
      </c>
      <c r="W6260" s="6"/>
      <c r="X6260" s="6"/>
      <c r="Y6260" s="6"/>
      <c r="Z6260" s="6"/>
      <c r="AA6260" s="6" t="s">
        <v>248</v>
      </c>
      <c r="AB6260" s="8"/>
      <c r="AC6260" s="27">
        <v>9785911348151</v>
      </c>
    </row>
    <row r="6261" spans="1:29" s="4" customFormat="1" ht="51.9" customHeight="1" x14ac:dyDescent="0.2">
      <c r="A6261" s="5">
        <v>0</v>
      </c>
      <c r="B6261" s="6" t="s">
        <v>35622</v>
      </c>
      <c r="C6261" s="13">
        <v>903.6</v>
      </c>
      <c r="D6261" s="8" t="s">
        <v>35623</v>
      </c>
      <c r="E6261" s="8" t="s">
        <v>35624</v>
      </c>
      <c r="F6261" s="8" t="s">
        <v>35625</v>
      </c>
      <c r="G6261" s="6" t="s">
        <v>33</v>
      </c>
      <c r="H6261" s="6" t="s">
        <v>313</v>
      </c>
      <c r="I6261" s="8" t="s">
        <v>15740</v>
      </c>
      <c r="J6261" s="9">
        <v>1</v>
      </c>
      <c r="K6261" s="9">
        <v>224</v>
      </c>
      <c r="L6261" s="9">
        <v>2025</v>
      </c>
      <c r="M6261" s="8" t="s">
        <v>35626</v>
      </c>
      <c r="N6261" s="8" t="s">
        <v>63</v>
      </c>
      <c r="O6261" s="8" t="s">
        <v>154</v>
      </c>
      <c r="P6261" s="6" t="s">
        <v>51</v>
      </c>
      <c r="Q6261" s="8" t="s">
        <v>52</v>
      </c>
      <c r="R6261" s="10" t="s">
        <v>35627</v>
      </c>
      <c r="S6261" s="11"/>
      <c r="T6261" s="6"/>
      <c r="U6261" s="15" t="str">
        <f>HYPERLINK("https://media.infra-m.ru/2211/2211121/cover/2211121.jpg", "Обложка")</f>
        <v>Обложка</v>
      </c>
      <c r="V6261" s="8" t="s">
        <v>18848</v>
      </c>
      <c r="W6261" s="6"/>
      <c r="X6261" s="6"/>
      <c r="Y6261" s="6"/>
      <c r="Z6261" s="6"/>
      <c r="AA6261" s="6" t="s">
        <v>874</v>
      </c>
      <c r="AB6261" s="8"/>
      <c r="AC6261" s="27">
        <v>9785369013731</v>
      </c>
    </row>
    <row r="6262" spans="1:29" s="4" customFormat="1" ht="51.9" customHeight="1" x14ac:dyDescent="0.2">
      <c r="A6262" s="5">
        <v>0</v>
      </c>
      <c r="B6262" s="6" t="s">
        <v>35628</v>
      </c>
      <c r="C6262" s="13">
        <v>756</v>
      </c>
      <c r="D6262" s="8" t="s">
        <v>35629</v>
      </c>
      <c r="E6262" s="8" t="s">
        <v>35630</v>
      </c>
      <c r="F6262" s="8" t="s">
        <v>35631</v>
      </c>
      <c r="G6262" s="6" t="s">
        <v>33</v>
      </c>
      <c r="H6262" s="6" t="s">
        <v>34</v>
      </c>
      <c r="I6262" s="8" t="s">
        <v>35</v>
      </c>
      <c r="J6262" s="9">
        <v>1</v>
      </c>
      <c r="K6262" s="9">
        <v>139</v>
      </c>
      <c r="L6262" s="9">
        <v>2019</v>
      </c>
      <c r="M6262" s="8" t="s">
        <v>35632</v>
      </c>
      <c r="N6262" s="8" t="s">
        <v>37</v>
      </c>
      <c r="O6262" s="8" t="s">
        <v>499</v>
      </c>
      <c r="P6262" s="6" t="s">
        <v>39</v>
      </c>
      <c r="Q6262" s="8" t="s">
        <v>40</v>
      </c>
      <c r="R6262" s="10" t="s">
        <v>35633</v>
      </c>
      <c r="S6262" s="11"/>
      <c r="T6262" s="6"/>
      <c r="U6262" s="15" t="str">
        <f>HYPERLINK("https://media.infra-m.ru/1031/1031271/cover/1031271.jpg", "Обложка")</f>
        <v>Обложка</v>
      </c>
      <c r="V6262" s="8" t="s">
        <v>657</v>
      </c>
      <c r="W6262" s="6"/>
      <c r="X6262" s="6"/>
      <c r="Y6262" s="6"/>
      <c r="Z6262" s="6"/>
      <c r="AA6262" s="6" t="s">
        <v>99</v>
      </c>
      <c r="AB6262" s="8"/>
      <c r="AC6262" s="27">
        <v>9785160127972</v>
      </c>
    </row>
    <row r="6263" spans="1:29" s="4" customFormat="1" ht="51.9" customHeight="1" x14ac:dyDescent="0.2">
      <c r="A6263" s="5">
        <v>0</v>
      </c>
      <c r="B6263" s="6" t="s">
        <v>35634</v>
      </c>
      <c r="C6263" s="7">
        <v>2484</v>
      </c>
      <c r="D6263" s="8" t="s">
        <v>35635</v>
      </c>
      <c r="E6263" s="8" t="s">
        <v>35636</v>
      </c>
      <c r="F6263" s="8" t="s">
        <v>23041</v>
      </c>
      <c r="G6263" s="6" t="s">
        <v>118</v>
      </c>
      <c r="H6263" s="6" t="s">
        <v>34</v>
      </c>
      <c r="I6263" s="8" t="s">
        <v>35</v>
      </c>
      <c r="J6263" s="9">
        <v>1</v>
      </c>
      <c r="K6263" s="9">
        <v>356</v>
      </c>
      <c r="L6263" s="9">
        <v>2027</v>
      </c>
      <c r="M6263" s="8" t="s">
        <v>35637</v>
      </c>
      <c r="N6263" s="8" t="s">
        <v>63</v>
      </c>
      <c r="O6263" s="8" t="s">
        <v>154</v>
      </c>
      <c r="P6263" s="6" t="s">
        <v>39</v>
      </c>
      <c r="Q6263" s="8" t="s">
        <v>40</v>
      </c>
      <c r="R6263" s="10" t="s">
        <v>35638</v>
      </c>
      <c r="S6263" s="11"/>
      <c r="T6263" s="6"/>
      <c r="U6263" s="15" t="str">
        <f>HYPERLINK("https://media.infra-m.ru/2264/2264816/cover/2264816.jpg", "Обложка")</f>
        <v>Обложка</v>
      </c>
      <c r="V6263" s="8" t="s">
        <v>10412</v>
      </c>
      <c r="W6263" s="6"/>
      <c r="X6263" s="6"/>
      <c r="Y6263" s="6"/>
      <c r="Z6263" s="6"/>
      <c r="AA6263" s="6" t="s">
        <v>157</v>
      </c>
      <c r="AB6263" s="8" t="s">
        <v>6422</v>
      </c>
      <c r="AC6263" s="27">
        <v>9785160183046</v>
      </c>
    </row>
    <row r="6264" spans="1:29" s="4" customFormat="1" ht="51.9" customHeight="1" x14ac:dyDescent="0.2">
      <c r="A6264" s="5">
        <v>0</v>
      </c>
      <c r="B6264" s="6" t="s">
        <v>35639</v>
      </c>
      <c r="C6264" s="7">
        <v>2004</v>
      </c>
      <c r="D6264" s="8" t="s">
        <v>35640</v>
      </c>
      <c r="E6264" s="8" t="s">
        <v>35641</v>
      </c>
      <c r="F6264" s="8" t="s">
        <v>35642</v>
      </c>
      <c r="G6264" s="6" t="s">
        <v>118</v>
      </c>
      <c r="H6264" s="6" t="s">
        <v>34</v>
      </c>
      <c r="I6264" s="8" t="s">
        <v>35</v>
      </c>
      <c r="J6264" s="9">
        <v>1</v>
      </c>
      <c r="K6264" s="9">
        <v>320</v>
      </c>
      <c r="L6264" s="9">
        <v>2026</v>
      </c>
      <c r="M6264" s="8" t="s">
        <v>35643</v>
      </c>
      <c r="N6264" s="8" t="s">
        <v>63</v>
      </c>
      <c r="O6264" s="8" t="s">
        <v>154</v>
      </c>
      <c r="P6264" s="6" t="s">
        <v>39</v>
      </c>
      <c r="Q6264" s="8" t="s">
        <v>40</v>
      </c>
      <c r="R6264" s="10" t="s">
        <v>35644</v>
      </c>
      <c r="S6264" s="11"/>
      <c r="T6264" s="6"/>
      <c r="U6264" s="15" t="str">
        <f>HYPERLINK("https://media.infra-m.ru/2205/2205020/cover/2205020.jpg", "Обложка")</f>
        <v>Обложка</v>
      </c>
      <c r="V6264" s="8" t="s">
        <v>644</v>
      </c>
      <c r="W6264" s="6"/>
      <c r="X6264" s="6"/>
      <c r="Y6264" s="6"/>
      <c r="Z6264" s="6"/>
      <c r="AA6264" s="6" t="s">
        <v>55</v>
      </c>
      <c r="AB6264" s="8"/>
      <c r="AC6264" s="27">
        <v>9785160069265</v>
      </c>
    </row>
    <row r="6265" spans="1:29" s="4" customFormat="1" ht="51.9" customHeight="1" x14ac:dyDescent="0.2">
      <c r="A6265" s="5">
        <v>0</v>
      </c>
      <c r="B6265" s="6" t="s">
        <v>35645</v>
      </c>
      <c r="C6265" s="7">
        <v>1080</v>
      </c>
      <c r="D6265" s="8" t="s">
        <v>35646</v>
      </c>
      <c r="E6265" s="8" t="s">
        <v>35647</v>
      </c>
      <c r="F6265" s="8" t="s">
        <v>35539</v>
      </c>
      <c r="G6265" s="6" t="s">
        <v>33</v>
      </c>
      <c r="H6265" s="6" t="s">
        <v>34</v>
      </c>
      <c r="I6265" s="8" t="s">
        <v>253</v>
      </c>
      <c r="J6265" s="9">
        <v>1</v>
      </c>
      <c r="K6265" s="9">
        <v>160</v>
      </c>
      <c r="L6265" s="9">
        <v>2026</v>
      </c>
      <c r="M6265" s="8" t="s">
        <v>35648</v>
      </c>
      <c r="N6265" s="8" t="s">
        <v>37</v>
      </c>
      <c r="O6265" s="8" t="s">
        <v>83</v>
      </c>
      <c r="P6265" s="6" t="s">
        <v>51</v>
      </c>
      <c r="Q6265" s="8" t="s">
        <v>52</v>
      </c>
      <c r="R6265" s="10" t="s">
        <v>35649</v>
      </c>
      <c r="S6265" s="11" t="s">
        <v>35650</v>
      </c>
      <c r="T6265" s="6"/>
      <c r="U6265" s="15" t="str">
        <f>HYPERLINK("https://media.infra-m.ru/2230/2230616/cover/2230616.jpg", "Обложка")</f>
        <v>Обложка</v>
      </c>
      <c r="V6265" s="8" t="s">
        <v>9318</v>
      </c>
      <c r="W6265" s="6"/>
      <c r="X6265" s="6"/>
      <c r="Y6265" s="6"/>
      <c r="Z6265" s="6"/>
      <c r="AA6265" s="6" t="s">
        <v>360</v>
      </c>
      <c r="AB6265" s="8"/>
      <c r="AC6265" s="27">
        <v>9785160215525</v>
      </c>
    </row>
    <row r="6266" spans="1:29" s="4" customFormat="1" ht="51.9" customHeight="1" x14ac:dyDescent="0.2">
      <c r="A6266" s="5">
        <v>0</v>
      </c>
      <c r="B6266" s="6" t="s">
        <v>35651</v>
      </c>
      <c r="C6266" s="7">
        <v>1224</v>
      </c>
      <c r="D6266" s="8" t="s">
        <v>35652</v>
      </c>
      <c r="E6266" s="8" t="s">
        <v>35653</v>
      </c>
      <c r="F6266" s="8" t="s">
        <v>3633</v>
      </c>
      <c r="G6266" s="6" t="s">
        <v>118</v>
      </c>
      <c r="H6266" s="6" t="s">
        <v>34</v>
      </c>
      <c r="I6266" s="8" t="s">
        <v>253</v>
      </c>
      <c r="J6266" s="9">
        <v>1</v>
      </c>
      <c r="K6266" s="9">
        <v>185</v>
      </c>
      <c r="L6266" s="9">
        <v>2026</v>
      </c>
      <c r="M6266" s="8" t="s">
        <v>35654</v>
      </c>
      <c r="N6266" s="8" t="s">
        <v>63</v>
      </c>
      <c r="O6266" s="8" t="s">
        <v>154</v>
      </c>
      <c r="P6266" s="6" t="s">
        <v>51</v>
      </c>
      <c r="Q6266" s="8" t="s">
        <v>65</v>
      </c>
      <c r="R6266" s="10" t="s">
        <v>35655</v>
      </c>
      <c r="S6266" s="11"/>
      <c r="T6266" s="6"/>
      <c r="U6266" s="15" t="str">
        <f>HYPERLINK("https://media.infra-m.ru/2213/2213013/cover/2213013.jpg", "Обложка")</f>
        <v>Обложка</v>
      </c>
      <c r="V6266" s="8" t="s">
        <v>3636</v>
      </c>
      <c r="W6266" s="6"/>
      <c r="X6266" s="6"/>
      <c r="Y6266" s="6"/>
      <c r="Z6266" s="6"/>
      <c r="AA6266" s="6" t="s">
        <v>68</v>
      </c>
      <c r="AB6266" s="8"/>
      <c r="AC6266" s="27">
        <v>9785160193274</v>
      </c>
    </row>
    <row r="6267" spans="1:29" s="4" customFormat="1" ht="42" customHeight="1" x14ac:dyDescent="0.2">
      <c r="A6267" s="5">
        <v>0</v>
      </c>
      <c r="B6267" s="6" t="s">
        <v>35656</v>
      </c>
      <c r="C6267" s="7">
        <v>1874.4</v>
      </c>
      <c r="D6267" s="8" t="s">
        <v>35657</v>
      </c>
      <c r="E6267" s="8" t="s">
        <v>35658</v>
      </c>
      <c r="F6267" s="8" t="s">
        <v>35659</v>
      </c>
      <c r="G6267" s="6" t="s">
        <v>33</v>
      </c>
      <c r="H6267" s="6" t="s">
        <v>48</v>
      </c>
      <c r="I6267" s="8"/>
      <c r="J6267" s="9">
        <v>1</v>
      </c>
      <c r="K6267" s="9">
        <v>256</v>
      </c>
      <c r="L6267" s="9">
        <v>2023</v>
      </c>
      <c r="M6267" s="8" t="s">
        <v>35660</v>
      </c>
      <c r="N6267" s="8" t="s">
        <v>63</v>
      </c>
      <c r="O6267" s="8" t="s">
        <v>154</v>
      </c>
      <c r="P6267" s="6" t="s">
        <v>39</v>
      </c>
      <c r="Q6267" s="8" t="s">
        <v>40</v>
      </c>
      <c r="R6267" s="10" t="s">
        <v>2956</v>
      </c>
      <c r="S6267" s="11"/>
      <c r="T6267" s="6"/>
      <c r="U6267" s="15" t="str">
        <f>HYPERLINK("https://media.infra-m.ru/1895/1895670/cover/1895670.jpg", "Обложка")</f>
        <v>Обложка</v>
      </c>
      <c r="V6267" s="8" t="s">
        <v>9318</v>
      </c>
      <c r="W6267" s="6"/>
      <c r="X6267" s="6"/>
      <c r="Y6267" s="6"/>
      <c r="Z6267" s="6"/>
      <c r="AA6267" s="6" t="s">
        <v>43</v>
      </c>
      <c r="AB6267" s="8"/>
      <c r="AC6267" s="27">
        <v>9785000916438</v>
      </c>
    </row>
    <row r="6268" spans="1:29" s="4" customFormat="1" ht="51.9" customHeight="1" x14ac:dyDescent="0.2">
      <c r="A6268" s="5">
        <v>0</v>
      </c>
      <c r="B6268" s="6" t="s">
        <v>35661</v>
      </c>
      <c r="C6268" s="7">
        <v>3028.8</v>
      </c>
      <c r="D6268" s="8" t="s">
        <v>35662</v>
      </c>
      <c r="E6268" s="8" t="s">
        <v>35663</v>
      </c>
      <c r="F6268" s="8" t="s">
        <v>35664</v>
      </c>
      <c r="G6268" s="6" t="s">
        <v>60</v>
      </c>
      <c r="H6268" s="6" t="s">
        <v>34</v>
      </c>
      <c r="I6268" s="8" t="s">
        <v>271</v>
      </c>
      <c r="J6268" s="9">
        <v>1</v>
      </c>
      <c r="K6268" s="9">
        <v>436</v>
      </c>
      <c r="L6268" s="9">
        <v>2027</v>
      </c>
      <c r="M6268" s="8" t="s">
        <v>35665</v>
      </c>
      <c r="N6268" s="8" t="s">
        <v>63</v>
      </c>
      <c r="O6268" s="8" t="s">
        <v>154</v>
      </c>
      <c r="P6268" s="6" t="s">
        <v>51</v>
      </c>
      <c r="Q6268" s="8" t="s">
        <v>52</v>
      </c>
      <c r="R6268" s="10" t="s">
        <v>35666</v>
      </c>
      <c r="S6268" s="11" t="s">
        <v>35667</v>
      </c>
      <c r="T6268" s="6" t="s">
        <v>97</v>
      </c>
      <c r="U6268" s="15" t="str">
        <f>HYPERLINK("https://media.infra-m.ru/2221/2221117/cover/2221117.jpg", "Обложка")</f>
        <v>Обложка</v>
      </c>
      <c r="V6268" s="8" t="s">
        <v>1805</v>
      </c>
      <c r="W6268" s="6"/>
      <c r="X6268" s="6"/>
      <c r="Y6268" s="6"/>
      <c r="Z6268" s="6"/>
      <c r="AA6268" s="6" t="s">
        <v>99</v>
      </c>
      <c r="AB6268" s="8"/>
      <c r="AC6268" s="27">
        <v>9785160192628</v>
      </c>
    </row>
    <row r="6269" spans="1:29" s="4" customFormat="1" ht="42" customHeight="1" x14ac:dyDescent="0.2">
      <c r="A6269" s="5">
        <v>0</v>
      </c>
      <c r="B6269" s="6" t="s">
        <v>35668</v>
      </c>
      <c r="C6269" s="7">
        <v>1224</v>
      </c>
      <c r="D6269" s="8" t="s">
        <v>35669</v>
      </c>
      <c r="E6269" s="8" t="s">
        <v>35670</v>
      </c>
      <c r="F6269" s="8" t="s">
        <v>152</v>
      </c>
      <c r="G6269" s="6" t="s">
        <v>118</v>
      </c>
      <c r="H6269" s="6" t="s">
        <v>34</v>
      </c>
      <c r="I6269" s="8" t="s">
        <v>4459</v>
      </c>
      <c r="J6269" s="9">
        <v>1</v>
      </c>
      <c r="K6269" s="9">
        <v>184</v>
      </c>
      <c r="L6269" s="9">
        <v>2026</v>
      </c>
      <c r="M6269" s="8" t="s">
        <v>35671</v>
      </c>
      <c r="N6269" s="8" t="s">
        <v>63</v>
      </c>
      <c r="O6269" s="8" t="s">
        <v>154</v>
      </c>
      <c r="P6269" s="6" t="s">
        <v>234</v>
      </c>
      <c r="Q6269" s="8" t="s">
        <v>40</v>
      </c>
      <c r="R6269" s="10" t="s">
        <v>35672</v>
      </c>
      <c r="S6269" s="11"/>
      <c r="T6269" s="6"/>
      <c r="U6269" s="15" t="str">
        <f>HYPERLINK("https://media.infra-m.ru/2247/2247486/cover/2247486.jpg", "Обложка")</f>
        <v>Обложка</v>
      </c>
      <c r="V6269" s="8" t="s">
        <v>156</v>
      </c>
      <c r="W6269" s="6"/>
      <c r="X6269" s="6"/>
      <c r="Y6269" s="6"/>
      <c r="Z6269" s="6"/>
      <c r="AA6269" s="6" t="s">
        <v>187</v>
      </c>
      <c r="AB6269" s="8"/>
      <c r="AC6269" s="27">
        <v>9785160207780</v>
      </c>
    </row>
    <row r="6270" spans="1:29" s="4" customFormat="1" ht="51.9" customHeight="1" x14ac:dyDescent="0.2">
      <c r="A6270" s="5">
        <v>0</v>
      </c>
      <c r="B6270" s="6" t="s">
        <v>35673</v>
      </c>
      <c r="C6270" s="7">
        <v>3588</v>
      </c>
      <c r="D6270" s="8" t="s">
        <v>35674</v>
      </c>
      <c r="E6270" s="8" t="s">
        <v>35675</v>
      </c>
      <c r="F6270" s="8" t="s">
        <v>35676</v>
      </c>
      <c r="G6270" s="6" t="s">
        <v>60</v>
      </c>
      <c r="H6270" s="6" t="s">
        <v>34</v>
      </c>
      <c r="I6270" s="8"/>
      <c r="J6270" s="9">
        <v>1</v>
      </c>
      <c r="K6270" s="9">
        <v>544</v>
      </c>
      <c r="L6270" s="9">
        <v>2026</v>
      </c>
      <c r="M6270" s="8" t="s">
        <v>35677</v>
      </c>
      <c r="N6270" s="8" t="s">
        <v>63</v>
      </c>
      <c r="O6270" s="8" t="s">
        <v>154</v>
      </c>
      <c r="P6270" s="6" t="s">
        <v>51</v>
      </c>
      <c r="Q6270" s="8" t="s">
        <v>52</v>
      </c>
      <c r="R6270" s="10" t="s">
        <v>35678</v>
      </c>
      <c r="S6270" s="11" t="s">
        <v>35679</v>
      </c>
      <c r="T6270" s="6"/>
      <c r="U6270" s="15" t="str">
        <f>HYPERLINK("https://media.infra-m.ru/2212/2212968/cover/2212968.jpg", "Обложка")</f>
        <v>Обложка</v>
      </c>
      <c r="V6270" s="8" t="s">
        <v>445</v>
      </c>
      <c r="W6270" s="6"/>
      <c r="X6270" s="6"/>
      <c r="Y6270" s="6"/>
      <c r="Z6270" s="6"/>
      <c r="AA6270" s="6" t="s">
        <v>43</v>
      </c>
      <c r="AB6270" s="8"/>
      <c r="AC6270" s="27">
        <v>9785160210865</v>
      </c>
    </row>
    <row r="6271" spans="1:29" s="4" customFormat="1" ht="42" customHeight="1" x14ac:dyDescent="0.2">
      <c r="A6271" s="5">
        <v>0</v>
      </c>
      <c r="B6271" s="6" t="s">
        <v>35680</v>
      </c>
      <c r="C6271" s="7">
        <v>1349.9</v>
      </c>
      <c r="D6271" s="8" t="s">
        <v>35681</v>
      </c>
      <c r="E6271" s="8" t="s">
        <v>35682</v>
      </c>
      <c r="F6271" s="8" t="s">
        <v>25408</v>
      </c>
      <c r="G6271" s="6" t="s">
        <v>60</v>
      </c>
      <c r="H6271" s="6" t="s">
        <v>241</v>
      </c>
      <c r="I6271" s="8"/>
      <c r="J6271" s="9">
        <v>1</v>
      </c>
      <c r="K6271" s="9">
        <v>251</v>
      </c>
      <c r="L6271" s="9">
        <v>2023</v>
      </c>
      <c r="M6271" s="8" t="s">
        <v>35683</v>
      </c>
      <c r="N6271" s="8" t="s">
        <v>63</v>
      </c>
      <c r="O6271" s="8" t="s">
        <v>154</v>
      </c>
      <c r="P6271" s="6" t="s">
        <v>51</v>
      </c>
      <c r="Q6271" s="8" t="s">
        <v>52</v>
      </c>
      <c r="R6271" s="10" t="s">
        <v>30718</v>
      </c>
      <c r="S6271" s="11"/>
      <c r="T6271" s="6"/>
      <c r="U6271" s="15" t="str">
        <f>HYPERLINK("https://media.infra-m.ru/1914/1914065/cover/1914065.jpg", "Обложка")</f>
        <v>Обложка</v>
      </c>
      <c r="V6271" s="8" t="s">
        <v>1505</v>
      </c>
      <c r="W6271" s="6"/>
      <c r="X6271" s="6"/>
      <c r="Y6271" s="6"/>
      <c r="Z6271" s="6"/>
      <c r="AA6271" s="6" t="s">
        <v>55</v>
      </c>
      <c r="AB6271" s="8"/>
      <c r="AC6271" s="27">
        <v>9785955802497</v>
      </c>
    </row>
    <row r="6272" spans="1:29" s="4" customFormat="1" ht="42" customHeight="1" x14ac:dyDescent="0.2">
      <c r="A6272" s="5">
        <v>0</v>
      </c>
      <c r="B6272" s="6" t="s">
        <v>35684</v>
      </c>
      <c r="C6272" s="7">
        <v>1356</v>
      </c>
      <c r="D6272" s="8" t="s">
        <v>35685</v>
      </c>
      <c r="E6272" s="8" t="s">
        <v>35682</v>
      </c>
      <c r="F6272" s="8" t="s">
        <v>25408</v>
      </c>
      <c r="G6272" s="6" t="s">
        <v>118</v>
      </c>
      <c r="H6272" s="6" t="s">
        <v>241</v>
      </c>
      <c r="I6272" s="8" t="s">
        <v>263</v>
      </c>
      <c r="J6272" s="9">
        <v>1</v>
      </c>
      <c r="K6272" s="9">
        <v>251</v>
      </c>
      <c r="L6272" s="9">
        <v>2023</v>
      </c>
      <c r="M6272" s="8" t="s">
        <v>35686</v>
      </c>
      <c r="N6272" s="8" t="s">
        <v>63</v>
      </c>
      <c r="O6272" s="8" t="s">
        <v>154</v>
      </c>
      <c r="P6272" s="6" t="s">
        <v>51</v>
      </c>
      <c r="Q6272" s="8" t="s">
        <v>265</v>
      </c>
      <c r="R6272" s="10" t="s">
        <v>35687</v>
      </c>
      <c r="S6272" s="11"/>
      <c r="T6272" s="6"/>
      <c r="U6272" s="15" t="str">
        <f>HYPERLINK("https://media.infra-m.ru/1914/1914070/cover/1914070.jpg", "Обложка")</f>
        <v>Обложка</v>
      </c>
      <c r="V6272" s="8" t="s">
        <v>1505</v>
      </c>
      <c r="W6272" s="6"/>
      <c r="X6272" s="6"/>
      <c r="Y6272" s="6"/>
      <c r="Z6272" s="6" t="s">
        <v>267</v>
      </c>
      <c r="AA6272" s="6" t="s">
        <v>1256</v>
      </c>
      <c r="AB6272" s="8"/>
      <c r="AC6272" s="27">
        <v>9785955806389</v>
      </c>
    </row>
    <row r="6273" spans="1:29" s="4" customFormat="1" ht="44.1" customHeight="1" x14ac:dyDescent="0.2">
      <c r="A6273" s="5">
        <v>0</v>
      </c>
      <c r="B6273" s="6" t="s">
        <v>35688</v>
      </c>
      <c r="C6273" s="7">
        <v>1996.8</v>
      </c>
      <c r="D6273" s="8" t="s">
        <v>35689</v>
      </c>
      <c r="E6273" s="8" t="s">
        <v>35690</v>
      </c>
      <c r="F6273" s="8" t="s">
        <v>6002</v>
      </c>
      <c r="G6273" s="6" t="s">
        <v>118</v>
      </c>
      <c r="H6273" s="6" t="s">
        <v>34</v>
      </c>
      <c r="I6273" s="8" t="s">
        <v>271</v>
      </c>
      <c r="J6273" s="9">
        <v>1</v>
      </c>
      <c r="K6273" s="9">
        <v>332</v>
      </c>
      <c r="L6273" s="9">
        <v>2025</v>
      </c>
      <c r="M6273" s="8" t="s">
        <v>35691</v>
      </c>
      <c r="N6273" s="8" t="s">
        <v>63</v>
      </c>
      <c r="O6273" s="8" t="s">
        <v>154</v>
      </c>
      <c r="P6273" s="6" t="s">
        <v>306</v>
      </c>
      <c r="Q6273" s="8" t="s">
        <v>52</v>
      </c>
      <c r="R6273" s="10" t="s">
        <v>6004</v>
      </c>
      <c r="S6273" s="11"/>
      <c r="T6273" s="6"/>
      <c r="U6273" s="15" t="str">
        <f>HYPERLINK("https://media.infra-m.ru/2184/2184160/cover/2184160.jpg", "Обложка")</f>
        <v>Обложка</v>
      </c>
      <c r="V6273" s="8" t="s">
        <v>6005</v>
      </c>
      <c r="W6273" s="6"/>
      <c r="X6273" s="6"/>
      <c r="Y6273" s="6"/>
      <c r="Z6273" s="6"/>
      <c r="AA6273" s="6" t="s">
        <v>874</v>
      </c>
      <c r="AB6273" s="8"/>
      <c r="AC6273" s="27">
        <v>9785160096513</v>
      </c>
    </row>
    <row r="6274" spans="1:29" s="4" customFormat="1" ht="51.9" customHeight="1" x14ac:dyDescent="0.2">
      <c r="A6274" s="5">
        <v>0</v>
      </c>
      <c r="B6274" s="6" t="s">
        <v>35692</v>
      </c>
      <c r="C6274" s="7">
        <v>1720.8</v>
      </c>
      <c r="D6274" s="8" t="s">
        <v>35693</v>
      </c>
      <c r="E6274" s="8" t="s">
        <v>35694</v>
      </c>
      <c r="F6274" s="8" t="s">
        <v>35421</v>
      </c>
      <c r="G6274" s="6" t="s">
        <v>118</v>
      </c>
      <c r="H6274" s="6" t="s">
        <v>313</v>
      </c>
      <c r="I6274" s="8" t="s">
        <v>253</v>
      </c>
      <c r="J6274" s="9">
        <v>1</v>
      </c>
      <c r="K6274" s="9">
        <v>275</v>
      </c>
      <c r="L6274" s="9">
        <v>2025</v>
      </c>
      <c r="M6274" s="8" t="s">
        <v>35695</v>
      </c>
      <c r="N6274" s="8" t="s">
        <v>37</v>
      </c>
      <c r="O6274" s="8" t="s">
        <v>136</v>
      </c>
      <c r="P6274" s="6" t="s">
        <v>51</v>
      </c>
      <c r="Q6274" s="8" t="s">
        <v>65</v>
      </c>
      <c r="R6274" s="10" t="s">
        <v>4109</v>
      </c>
      <c r="S6274" s="11"/>
      <c r="T6274" s="6" t="s">
        <v>97</v>
      </c>
      <c r="U6274" s="15" t="str">
        <f>HYPERLINK("https://media.infra-m.ru/2217/2217140/cover/2217140.jpg", "Обложка")</f>
        <v>Обложка</v>
      </c>
      <c r="V6274" s="8" t="s">
        <v>9614</v>
      </c>
      <c r="W6274" s="6"/>
      <c r="X6274" s="6"/>
      <c r="Y6274" s="6"/>
      <c r="Z6274" s="6"/>
      <c r="AA6274" s="6" t="s">
        <v>99</v>
      </c>
      <c r="AB6274" s="8"/>
      <c r="AC6274" s="27">
        <v>9785369016398</v>
      </c>
    </row>
    <row r="6275" spans="1:29" s="4" customFormat="1" ht="51.9" customHeight="1" x14ac:dyDescent="0.2">
      <c r="A6275" s="5">
        <v>0</v>
      </c>
      <c r="B6275" s="6" t="s">
        <v>35696</v>
      </c>
      <c r="C6275" s="7">
        <v>1216.8</v>
      </c>
      <c r="D6275" s="8" t="s">
        <v>35697</v>
      </c>
      <c r="E6275" s="8" t="s">
        <v>35698</v>
      </c>
      <c r="F6275" s="8" t="s">
        <v>35699</v>
      </c>
      <c r="G6275" s="6" t="s">
        <v>118</v>
      </c>
      <c r="H6275" s="6" t="s">
        <v>34</v>
      </c>
      <c r="I6275" s="8" t="s">
        <v>253</v>
      </c>
      <c r="J6275" s="9">
        <v>1</v>
      </c>
      <c r="K6275" s="9">
        <v>184</v>
      </c>
      <c r="L6275" s="9">
        <v>2026</v>
      </c>
      <c r="M6275" s="8" t="s">
        <v>35700</v>
      </c>
      <c r="N6275" s="8" t="s">
        <v>93</v>
      </c>
      <c r="O6275" s="8" t="s">
        <v>94</v>
      </c>
      <c r="P6275" s="6" t="s">
        <v>306</v>
      </c>
      <c r="Q6275" s="8" t="s">
        <v>65</v>
      </c>
      <c r="R6275" s="10" t="s">
        <v>20850</v>
      </c>
      <c r="S6275" s="11" t="s">
        <v>35701</v>
      </c>
      <c r="T6275" s="6"/>
      <c r="U6275" s="15" t="str">
        <f>HYPERLINK("https://media.infra-m.ru/2232/2232546/cover/2232546.jpg", "Обложка")</f>
        <v>Обложка</v>
      </c>
      <c r="V6275" s="8" t="s">
        <v>6474</v>
      </c>
      <c r="W6275" s="6"/>
      <c r="X6275" s="6"/>
      <c r="Y6275" s="6"/>
      <c r="Z6275" s="6"/>
      <c r="AA6275" s="6" t="s">
        <v>1256</v>
      </c>
      <c r="AB6275" s="8"/>
      <c r="AC6275" s="27">
        <v>9785160187990</v>
      </c>
    </row>
    <row r="6276" spans="1:29" s="4" customFormat="1" ht="51.9" customHeight="1" x14ac:dyDescent="0.2">
      <c r="A6276" s="5">
        <v>0</v>
      </c>
      <c r="B6276" s="6" t="s">
        <v>35702</v>
      </c>
      <c r="C6276" s="7">
        <v>1248</v>
      </c>
      <c r="D6276" s="8" t="s">
        <v>35703</v>
      </c>
      <c r="E6276" s="8" t="s">
        <v>35704</v>
      </c>
      <c r="F6276" s="8" t="s">
        <v>35705</v>
      </c>
      <c r="G6276" s="6" t="s">
        <v>118</v>
      </c>
      <c r="H6276" s="6" t="s">
        <v>34</v>
      </c>
      <c r="I6276" s="8" t="s">
        <v>271</v>
      </c>
      <c r="J6276" s="9">
        <v>1</v>
      </c>
      <c r="K6276" s="9">
        <v>231</v>
      </c>
      <c r="L6276" s="9">
        <v>2023</v>
      </c>
      <c r="M6276" s="8" t="s">
        <v>35706</v>
      </c>
      <c r="N6276" s="8" t="s">
        <v>93</v>
      </c>
      <c r="O6276" s="8" t="s">
        <v>94</v>
      </c>
      <c r="P6276" s="6" t="s">
        <v>105</v>
      </c>
      <c r="Q6276" s="8" t="s">
        <v>52</v>
      </c>
      <c r="R6276" s="10" t="s">
        <v>30689</v>
      </c>
      <c r="S6276" s="11" t="s">
        <v>35707</v>
      </c>
      <c r="T6276" s="6"/>
      <c r="U6276" s="15" t="str">
        <f>HYPERLINK("https://media.infra-m.ru/1915/1915951/cover/1915951.jpg", "Обложка")</f>
        <v>Обложка</v>
      </c>
      <c r="V6276" s="8" t="s">
        <v>20005</v>
      </c>
      <c r="W6276" s="6"/>
      <c r="X6276" s="6"/>
      <c r="Y6276" s="6"/>
      <c r="Z6276" s="6"/>
      <c r="AA6276" s="6" t="s">
        <v>430</v>
      </c>
      <c r="AB6276" s="8"/>
      <c r="AC6276" s="27">
        <v>9785160147376</v>
      </c>
    </row>
    <row r="6277" spans="1:29" s="4" customFormat="1" ht="51.9" customHeight="1" x14ac:dyDescent="0.2">
      <c r="A6277" s="5">
        <v>0</v>
      </c>
      <c r="B6277" s="6" t="s">
        <v>35708</v>
      </c>
      <c r="C6277" s="7">
        <v>1380</v>
      </c>
      <c r="D6277" s="8" t="s">
        <v>35709</v>
      </c>
      <c r="E6277" s="8" t="s">
        <v>35710</v>
      </c>
      <c r="F6277" s="8" t="s">
        <v>35711</v>
      </c>
      <c r="G6277" s="6" t="s">
        <v>60</v>
      </c>
      <c r="H6277" s="6" t="s">
        <v>34</v>
      </c>
      <c r="I6277" s="8" t="s">
        <v>253</v>
      </c>
      <c r="J6277" s="9">
        <v>1</v>
      </c>
      <c r="K6277" s="9">
        <v>188</v>
      </c>
      <c r="L6277" s="9">
        <v>2027</v>
      </c>
      <c r="M6277" s="8" t="s">
        <v>35712</v>
      </c>
      <c r="N6277" s="8" t="s">
        <v>63</v>
      </c>
      <c r="O6277" s="8" t="s">
        <v>154</v>
      </c>
      <c r="P6277" s="6" t="s">
        <v>51</v>
      </c>
      <c r="Q6277" s="8" t="s">
        <v>65</v>
      </c>
      <c r="R6277" s="10" t="s">
        <v>35713</v>
      </c>
      <c r="S6277" s="11"/>
      <c r="T6277" s="6"/>
      <c r="U6277" s="15" t="str">
        <f>HYPERLINK("https://media.infra-m.ru/2236/2236089/cover/2236089.jpg", "Обложка")</f>
        <v>Обложка</v>
      </c>
      <c r="V6277" s="8" t="s">
        <v>6583</v>
      </c>
      <c r="W6277" s="6" t="s">
        <v>2115</v>
      </c>
      <c r="X6277" s="6"/>
      <c r="Y6277" s="6"/>
      <c r="Z6277" s="6"/>
      <c r="AA6277" s="6" t="s">
        <v>420</v>
      </c>
      <c r="AB6277" s="8" t="s">
        <v>6493</v>
      </c>
      <c r="AC6277" s="27">
        <v>9785160217017</v>
      </c>
    </row>
    <row r="6278" spans="1:29" s="4" customFormat="1" ht="51.9" customHeight="1" x14ac:dyDescent="0.2">
      <c r="A6278" s="5">
        <v>0</v>
      </c>
      <c r="B6278" s="6" t="s">
        <v>35714</v>
      </c>
      <c r="C6278" s="7">
        <v>1236</v>
      </c>
      <c r="D6278" s="8" t="s">
        <v>35715</v>
      </c>
      <c r="E6278" s="8" t="s">
        <v>35716</v>
      </c>
      <c r="F6278" s="8" t="s">
        <v>35699</v>
      </c>
      <c r="G6278" s="6" t="s">
        <v>118</v>
      </c>
      <c r="H6278" s="6" t="s">
        <v>34</v>
      </c>
      <c r="I6278" s="8" t="s">
        <v>263</v>
      </c>
      <c r="J6278" s="9">
        <v>1</v>
      </c>
      <c r="K6278" s="9">
        <v>178</v>
      </c>
      <c r="L6278" s="9">
        <v>2026</v>
      </c>
      <c r="M6278" s="8" t="s">
        <v>35717</v>
      </c>
      <c r="N6278" s="8" t="s">
        <v>93</v>
      </c>
      <c r="O6278" s="8" t="s">
        <v>94</v>
      </c>
      <c r="P6278" s="6" t="s">
        <v>306</v>
      </c>
      <c r="Q6278" s="8" t="s">
        <v>265</v>
      </c>
      <c r="R6278" s="10" t="s">
        <v>35718</v>
      </c>
      <c r="S6278" s="11" t="s">
        <v>35719</v>
      </c>
      <c r="T6278" s="6"/>
      <c r="U6278" s="15" t="str">
        <f>HYPERLINK("https://media.infra-m.ru/2215/2215378/cover/2215378.jpg", "Обложка")</f>
        <v>Обложка</v>
      </c>
      <c r="V6278" s="8" t="s">
        <v>6474</v>
      </c>
      <c r="W6278" s="6"/>
      <c r="X6278" s="6"/>
      <c r="Y6278" s="6"/>
      <c r="Z6278" s="6" t="s">
        <v>882</v>
      </c>
      <c r="AA6278" s="6" t="s">
        <v>1256</v>
      </c>
      <c r="AB6278" s="8"/>
      <c r="AC6278" s="27">
        <v>9785160159218</v>
      </c>
    </row>
    <row r="6279" spans="1:29" s="4" customFormat="1" ht="42" customHeight="1" x14ac:dyDescent="0.2">
      <c r="A6279" s="5">
        <v>0</v>
      </c>
      <c r="B6279" s="6" t="s">
        <v>35720</v>
      </c>
      <c r="C6279" s="13">
        <v>948</v>
      </c>
      <c r="D6279" s="8" t="s">
        <v>35721</v>
      </c>
      <c r="E6279" s="8" t="s">
        <v>35722</v>
      </c>
      <c r="F6279" s="8" t="s">
        <v>613</v>
      </c>
      <c r="G6279" s="6" t="s">
        <v>33</v>
      </c>
      <c r="H6279" s="6" t="s">
        <v>34</v>
      </c>
      <c r="I6279" s="8" t="s">
        <v>253</v>
      </c>
      <c r="J6279" s="9">
        <v>1</v>
      </c>
      <c r="K6279" s="9">
        <v>152</v>
      </c>
      <c r="L6279" s="9">
        <v>2026</v>
      </c>
      <c r="M6279" s="8" t="s">
        <v>35723</v>
      </c>
      <c r="N6279" s="8" t="s">
        <v>93</v>
      </c>
      <c r="O6279" s="8" t="s">
        <v>94</v>
      </c>
      <c r="P6279" s="6" t="s">
        <v>51</v>
      </c>
      <c r="Q6279" s="8" t="s">
        <v>500</v>
      </c>
      <c r="R6279" s="10" t="s">
        <v>35724</v>
      </c>
      <c r="S6279" s="11"/>
      <c r="T6279" s="6"/>
      <c r="U6279" s="15" t="str">
        <f>HYPERLINK("https://media.infra-m.ru/2214/2214243/cover/2214243.jpg", "Обложка")</f>
        <v>Обложка</v>
      </c>
      <c r="V6279" s="8" t="s">
        <v>617</v>
      </c>
      <c r="W6279" s="6"/>
      <c r="X6279" s="6"/>
      <c r="Y6279" s="6"/>
      <c r="Z6279" s="6"/>
      <c r="AA6279" s="6" t="s">
        <v>779</v>
      </c>
      <c r="AB6279" s="8"/>
      <c r="AC6279" s="27">
        <v>9785160211329</v>
      </c>
    </row>
    <row r="6280" spans="1:29" s="4" customFormat="1" ht="42" customHeight="1" x14ac:dyDescent="0.2">
      <c r="A6280" s="5">
        <v>0</v>
      </c>
      <c r="B6280" s="6" t="s">
        <v>35725</v>
      </c>
      <c r="C6280" s="7">
        <v>1548</v>
      </c>
      <c r="D6280" s="8" t="s">
        <v>35726</v>
      </c>
      <c r="E6280" s="8" t="s">
        <v>35727</v>
      </c>
      <c r="F6280" s="8" t="s">
        <v>35728</v>
      </c>
      <c r="G6280" s="6" t="s">
        <v>60</v>
      </c>
      <c r="H6280" s="6" t="s">
        <v>34</v>
      </c>
      <c r="I6280" s="8" t="s">
        <v>253</v>
      </c>
      <c r="J6280" s="9">
        <v>1</v>
      </c>
      <c r="K6280" s="9">
        <v>239</v>
      </c>
      <c r="L6280" s="9">
        <v>2025</v>
      </c>
      <c r="M6280" s="8" t="s">
        <v>35729</v>
      </c>
      <c r="N6280" s="8" t="s">
        <v>93</v>
      </c>
      <c r="O6280" s="8" t="s">
        <v>94</v>
      </c>
      <c r="P6280" s="6" t="s">
        <v>51</v>
      </c>
      <c r="Q6280" s="8" t="s">
        <v>65</v>
      </c>
      <c r="R6280" s="10" t="s">
        <v>35730</v>
      </c>
      <c r="S6280" s="11"/>
      <c r="T6280" s="6"/>
      <c r="U6280" s="15" t="str">
        <f>HYPERLINK("https://media.infra-m.ru/2181/2181084/cover/2181084.jpg", "Обложка")</f>
        <v>Обложка</v>
      </c>
      <c r="V6280" s="8" t="s">
        <v>3177</v>
      </c>
      <c r="W6280" s="6"/>
      <c r="X6280" s="6"/>
      <c r="Y6280" s="6"/>
      <c r="Z6280" s="6"/>
      <c r="AA6280" s="6" t="s">
        <v>68</v>
      </c>
      <c r="AB6280" s="8"/>
      <c r="AC6280" s="27">
        <v>9785160205496</v>
      </c>
    </row>
    <row r="6281" spans="1:29" s="4" customFormat="1" ht="44.1" customHeight="1" x14ac:dyDescent="0.2">
      <c r="A6281" s="5">
        <v>0</v>
      </c>
      <c r="B6281" s="6" t="s">
        <v>35731</v>
      </c>
      <c r="C6281" s="7">
        <v>1596</v>
      </c>
      <c r="D6281" s="8" t="s">
        <v>35732</v>
      </c>
      <c r="E6281" s="8" t="s">
        <v>35733</v>
      </c>
      <c r="F6281" s="8" t="s">
        <v>34013</v>
      </c>
      <c r="G6281" s="6" t="s">
        <v>33</v>
      </c>
      <c r="H6281" s="6" t="s">
        <v>34</v>
      </c>
      <c r="I6281" s="8" t="s">
        <v>35</v>
      </c>
      <c r="J6281" s="9">
        <v>1</v>
      </c>
      <c r="K6281" s="9">
        <v>289</v>
      </c>
      <c r="L6281" s="9">
        <v>2024</v>
      </c>
      <c r="M6281" s="8" t="s">
        <v>35734</v>
      </c>
      <c r="N6281" s="8" t="s">
        <v>93</v>
      </c>
      <c r="O6281" s="8" t="s">
        <v>94</v>
      </c>
      <c r="P6281" s="6" t="s">
        <v>39</v>
      </c>
      <c r="Q6281" s="8" t="s">
        <v>40</v>
      </c>
      <c r="R6281" s="10" t="s">
        <v>35735</v>
      </c>
      <c r="S6281" s="11"/>
      <c r="T6281" s="6"/>
      <c r="U6281" s="15" t="str">
        <f>HYPERLINK("https://media.infra-m.ru/2078/2078381/cover/2078381.jpg", "Обложка")</f>
        <v>Обложка</v>
      </c>
      <c r="V6281" s="8" t="s">
        <v>1599</v>
      </c>
      <c r="W6281" s="6"/>
      <c r="X6281" s="6"/>
      <c r="Y6281" s="6"/>
      <c r="Z6281" s="6"/>
      <c r="AA6281" s="6" t="s">
        <v>55</v>
      </c>
      <c r="AB6281" s="8"/>
      <c r="AC6281" s="27">
        <v>9785160066035</v>
      </c>
    </row>
    <row r="6282" spans="1:29" s="4" customFormat="1" ht="51.9" customHeight="1" x14ac:dyDescent="0.2">
      <c r="A6282" s="5">
        <v>0</v>
      </c>
      <c r="B6282" s="6" t="s">
        <v>35736</v>
      </c>
      <c r="C6282" s="7">
        <v>1080</v>
      </c>
      <c r="D6282" s="8" t="s">
        <v>35737</v>
      </c>
      <c r="E6282" s="8" t="s">
        <v>35738</v>
      </c>
      <c r="F6282" s="8" t="s">
        <v>25250</v>
      </c>
      <c r="G6282" s="6" t="s">
        <v>33</v>
      </c>
      <c r="H6282" s="6" t="s">
        <v>34</v>
      </c>
      <c r="I6282" s="8" t="s">
        <v>253</v>
      </c>
      <c r="J6282" s="9">
        <v>1</v>
      </c>
      <c r="K6282" s="9">
        <v>155</v>
      </c>
      <c r="L6282" s="9">
        <v>2027</v>
      </c>
      <c r="M6282" s="8" t="s">
        <v>35739</v>
      </c>
      <c r="N6282" s="8" t="s">
        <v>63</v>
      </c>
      <c r="O6282" s="8" t="s">
        <v>154</v>
      </c>
      <c r="P6282" s="6" t="s">
        <v>51</v>
      </c>
      <c r="Q6282" s="8" t="s">
        <v>52</v>
      </c>
      <c r="R6282" s="10" t="s">
        <v>14536</v>
      </c>
      <c r="S6282" s="11" t="s">
        <v>35740</v>
      </c>
      <c r="T6282" s="6"/>
      <c r="U6282" s="15" t="str">
        <f>HYPERLINK("https://media.infra-m.ru/2266/2266695/cover/2266695.jpg", "Обложка")</f>
        <v>Обложка</v>
      </c>
      <c r="V6282" s="8" t="s">
        <v>25252</v>
      </c>
      <c r="W6282" s="6"/>
      <c r="X6282" s="6"/>
      <c r="Y6282" s="6"/>
      <c r="Z6282" s="6"/>
      <c r="AA6282" s="6" t="s">
        <v>99</v>
      </c>
      <c r="AB6282" s="8"/>
      <c r="AC6282" s="27">
        <v>9785160210940</v>
      </c>
    </row>
    <row r="6283" spans="1:29" s="4" customFormat="1" ht="51.9" customHeight="1" x14ac:dyDescent="0.2">
      <c r="A6283" s="5">
        <v>0</v>
      </c>
      <c r="B6283" s="6" t="s">
        <v>35741</v>
      </c>
      <c r="C6283" s="7">
        <v>2868</v>
      </c>
      <c r="D6283" s="8" t="s">
        <v>35742</v>
      </c>
      <c r="E6283" s="8" t="s">
        <v>35743</v>
      </c>
      <c r="F6283" s="8" t="s">
        <v>35744</v>
      </c>
      <c r="G6283" s="6" t="s">
        <v>60</v>
      </c>
      <c r="H6283" s="6" t="s">
        <v>34</v>
      </c>
      <c r="I6283" s="8" t="s">
        <v>253</v>
      </c>
      <c r="J6283" s="9">
        <v>1</v>
      </c>
      <c r="K6283" s="9">
        <v>436</v>
      </c>
      <c r="L6283" s="9">
        <v>2026</v>
      </c>
      <c r="M6283" s="8" t="s">
        <v>35745</v>
      </c>
      <c r="N6283" s="8" t="s">
        <v>63</v>
      </c>
      <c r="O6283" s="8" t="s">
        <v>154</v>
      </c>
      <c r="P6283" s="6" t="s">
        <v>306</v>
      </c>
      <c r="Q6283" s="8" t="s">
        <v>65</v>
      </c>
      <c r="R6283" s="10" t="s">
        <v>19190</v>
      </c>
      <c r="S6283" s="11" t="s">
        <v>35746</v>
      </c>
      <c r="T6283" s="6" t="s">
        <v>97</v>
      </c>
      <c r="U6283" s="15" t="str">
        <f>HYPERLINK("https://media.infra-m.ru/2219/2219348/cover/2219348.jpg", "Обложка")</f>
        <v>Обложка</v>
      </c>
      <c r="V6283" s="8" t="s">
        <v>445</v>
      </c>
      <c r="W6283" s="6"/>
      <c r="X6283" s="6"/>
      <c r="Y6283" s="6"/>
      <c r="Z6283" s="6"/>
      <c r="AA6283" s="6" t="s">
        <v>274</v>
      </c>
      <c r="AB6283" s="8"/>
      <c r="AC6283" s="27">
        <v>9785160188058</v>
      </c>
    </row>
    <row r="6284" spans="1:29" s="4" customFormat="1" ht="51.9" customHeight="1" x14ac:dyDescent="0.2">
      <c r="A6284" s="5">
        <v>0</v>
      </c>
      <c r="B6284" s="6" t="s">
        <v>35747</v>
      </c>
      <c r="C6284" s="7">
        <v>1732.8</v>
      </c>
      <c r="D6284" s="8" t="s">
        <v>35748</v>
      </c>
      <c r="E6284" s="8" t="s">
        <v>35749</v>
      </c>
      <c r="F6284" s="8" t="s">
        <v>35750</v>
      </c>
      <c r="G6284" s="6" t="s">
        <v>118</v>
      </c>
      <c r="H6284" s="6" t="s">
        <v>34</v>
      </c>
      <c r="I6284" s="8" t="s">
        <v>253</v>
      </c>
      <c r="J6284" s="9">
        <v>1</v>
      </c>
      <c r="K6284" s="9">
        <v>249</v>
      </c>
      <c r="L6284" s="9">
        <v>2026</v>
      </c>
      <c r="M6284" s="8" t="s">
        <v>35751</v>
      </c>
      <c r="N6284" s="8" t="s">
        <v>63</v>
      </c>
      <c r="O6284" s="8" t="s">
        <v>154</v>
      </c>
      <c r="P6284" s="6" t="s">
        <v>51</v>
      </c>
      <c r="Q6284" s="8" t="s">
        <v>52</v>
      </c>
      <c r="R6284" s="10" t="s">
        <v>35752</v>
      </c>
      <c r="S6284" s="11" t="s">
        <v>35753</v>
      </c>
      <c r="T6284" s="6"/>
      <c r="U6284" s="15" t="str">
        <f>HYPERLINK("https://media.infra-m.ru/2253/2253933/cover/2253933.jpg", "Обложка")</f>
        <v>Обложка</v>
      </c>
      <c r="V6284" s="8" t="s">
        <v>2389</v>
      </c>
      <c r="W6284" s="6"/>
      <c r="X6284" s="6"/>
      <c r="Y6284" s="6"/>
      <c r="Z6284" s="6"/>
      <c r="AA6284" s="6" t="s">
        <v>274</v>
      </c>
      <c r="AB6284" s="8"/>
      <c r="AC6284" s="27">
        <v>9785160096490</v>
      </c>
    </row>
    <row r="6285" spans="1:29" s="4" customFormat="1" ht="51.9" customHeight="1" x14ac:dyDescent="0.2">
      <c r="A6285" s="5">
        <v>0</v>
      </c>
      <c r="B6285" s="6" t="s">
        <v>35754</v>
      </c>
      <c r="C6285" s="7">
        <v>1020</v>
      </c>
      <c r="D6285" s="8" t="s">
        <v>35755</v>
      </c>
      <c r="E6285" s="8" t="s">
        <v>35749</v>
      </c>
      <c r="F6285" s="8" t="s">
        <v>2509</v>
      </c>
      <c r="G6285" s="6" t="s">
        <v>118</v>
      </c>
      <c r="H6285" s="6" t="s">
        <v>34</v>
      </c>
      <c r="I6285" s="8" t="s">
        <v>253</v>
      </c>
      <c r="J6285" s="9">
        <v>1</v>
      </c>
      <c r="K6285" s="9">
        <v>155</v>
      </c>
      <c r="L6285" s="9">
        <v>2026</v>
      </c>
      <c r="M6285" s="8" t="s">
        <v>35756</v>
      </c>
      <c r="N6285" s="8" t="s">
        <v>63</v>
      </c>
      <c r="O6285" s="8" t="s">
        <v>154</v>
      </c>
      <c r="P6285" s="6" t="s">
        <v>51</v>
      </c>
      <c r="Q6285" s="8" t="s">
        <v>377</v>
      </c>
      <c r="R6285" s="10" t="s">
        <v>35757</v>
      </c>
      <c r="S6285" s="11" t="s">
        <v>35758</v>
      </c>
      <c r="T6285" s="6"/>
      <c r="U6285" s="15" t="str">
        <f>HYPERLINK("https://media.infra-m.ru/2249/2249157/cover/2249157.jpg", "Обложка")</f>
        <v>Обложка</v>
      </c>
      <c r="V6285" s="8" t="s">
        <v>2513</v>
      </c>
      <c r="W6285" s="6"/>
      <c r="X6285" s="6"/>
      <c r="Y6285" s="6"/>
      <c r="Z6285" s="6"/>
      <c r="AA6285" s="6" t="s">
        <v>248</v>
      </c>
      <c r="AB6285" s="8"/>
      <c r="AC6285" s="27">
        <v>9785160114026</v>
      </c>
    </row>
    <row r="6286" spans="1:29" s="4" customFormat="1" ht="42" customHeight="1" x14ac:dyDescent="0.2">
      <c r="A6286" s="5">
        <v>0</v>
      </c>
      <c r="B6286" s="6" t="s">
        <v>35759</v>
      </c>
      <c r="C6286" s="7">
        <v>1464</v>
      </c>
      <c r="D6286" s="8" t="s">
        <v>35760</v>
      </c>
      <c r="E6286" s="8" t="s">
        <v>35761</v>
      </c>
      <c r="F6286" s="8" t="s">
        <v>35762</v>
      </c>
      <c r="G6286" s="6" t="s">
        <v>33</v>
      </c>
      <c r="H6286" s="6" t="s">
        <v>34</v>
      </c>
      <c r="I6286" s="8" t="s">
        <v>35</v>
      </c>
      <c r="J6286" s="9">
        <v>1</v>
      </c>
      <c r="K6286" s="9">
        <v>212</v>
      </c>
      <c r="L6286" s="9">
        <v>2026</v>
      </c>
      <c r="M6286" s="8" t="s">
        <v>35763</v>
      </c>
      <c r="N6286" s="8" t="s">
        <v>93</v>
      </c>
      <c r="O6286" s="8" t="s">
        <v>94</v>
      </c>
      <c r="P6286" s="6" t="s">
        <v>39</v>
      </c>
      <c r="Q6286" s="8" t="s">
        <v>40</v>
      </c>
      <c r="R6286" s="10" t="s">
        <v>9352</v>
      </c>
      <c r="S6286" s="11"/>
      <c r="T6286" s="6"/>
      <c r="U6286" s="15" t="str">
        <f>HYPERLINK("https://media.infra-m.ru/2232/2232096/cover/2232096.jpg", "Обложка")</f>
        <v>Обложка</v>
      </c>
      <c r="V6286" s="8" t="s">
        <v>3595</v>
      </c>
      <c r="W6286" s="6" t="s">
        <v>351</v>
      </c>
      <c r="X6286" s="6"/>
      <c r="Y6286" s="6"/>
      <c r="Z6286" s="6"/>
      <c r="AA6286" s="6" t="s">
        <v>187</v>
      </c>
      <c r="AB6286" s="8" t="s">
        <v>308</v>
      </c>
      <c r="AC6286" s="27">
        <v>9785160215945</v>
      </c>
    </row>
    <row r="6287" spans="1:29" s="4" customFormat="1" ht="51.9" customHeight="1" x14ac:dyDescent="0.2">
      <c r="A6287" s="5">
        <v>0</v>
      </c>
      <c r="B6287" s="6" t="s">
        <v>35764</v>
      </c>
      <c r="C6287" s="7">
        <v>2580</v>
      </c>
      <c r="D6287" s="8" t="s">
        <v>35765</v>
      </c>
      <c r="E6287" s="8" t="s">
        <v>35766</v>
      </c>
      <c r="F6287" s="8" t="s">
        <v>35767</v>
      </c>
      <c r="G6287" s="6" t="s">
        <v>118</v>
      </c>
      <c r="H6287" s="6" t="s">
        <v>34</v>
      </c>
      <c r="I6287" s="8" t="s">
        <v>253</v>
      </c>
      <c r="J6287" s="9">
        <v>1</v>
      </c>
      <c r="K6287" s="9">
        <v>389</v>
      </c>
      <c r="L6287" s="9">
        <v>2026</v>
      </c>
      <c r="M6287" s="8" t="s">
        <v>35768</v>
      </c>
      <c r="N6287" s="8" t="s">
        <v>243</v>
      </c>
      <c r="O6287" s="8" t="s">
        <v>1100</v>
      </c>
      <c r="P6287" s="6" t="s">
        <v>306</v>
      </c>
      <c r="Q6287" s="8" t="s">
        <v>52</v>
      </c>
      <c r="R6287" s="10" t="s">
        <v>35769</v>
      </c>
      <c r="S6287" s="11" t="s">
        <v>35770</v>
      </c>
      <c r="T6287" s="6" t="s">
        <v>97</v>
      </c>
      <c r="U6287" s="15" t="str">
        <f>HYPERLINK("https://media.infra-m.ru/2254/2254336/cover/2254336.jpg", "Обложка")</f>
        <v>Обложка</v>
      </c>
      <c r="V6287" s="8" t="s">
        <v>1527</v>
      </c>
      <c r="W6287" s="6"/>
      <c r="X6287" s="6"/>
      <c r="Y6287" s="6"/>
      <c r="Z6287" s="6"/>
      <c r="AA6287" s="6" t="s">
        <v>115</v>
      </c>
      <c r="AB6287" s="8"/>
      <c r="AC6287" s="27">
        <v>9785160200637</v>
      </c>
    </row>
    <row r="6288" spans="1:29" s="4" customFormat="1" ht="42" customHeight="1" x14ac:dyDescent="0.2">
      <c r="A6288" s="5">
        <v>0</v>
      </c>
      <c r="B6288" s="6" t="s">
        <v>35771</v>
      </c>
      <c r="C6288" s="7">
        <v>2556</v>
      </c>
      <c r="D6288" s="8" t="s">
        <v>35772</v>
      </c>
      <c r="E6288" s="8" t="s">
        <v>35773</v>
      </c>
      <c r="F6288" s="8" t="s">
        <v>35774</v>
      </c>
      <c r="G6288" s="6" t="s">
        <v>118</v>
      </c>
      <c r="H6288" s="6" t="s">
        <v>134</v>
      </c>
      <c r="I6288" s="8"/>
      <c r="J6288" s="9">
        <v>1</v>
      </c>
      <c r="K6288" s="9">
        <v>576</v>
      </c>
      <c r="L6288" s="9">
        <v>2022</v>
      </c>
      <c r="M6288" s="8" t="s">
        <v>35775</v>
      </c>
      <c r="N6288" s="8" t="s">
        <v>37</v>
      </c>
      <c r="O6288" s="8" t="s">
        <v>136</v>
      </c>
      <c r="P6288" s="6" t="s">
        <v>39</v>
      </c>
      <c r="Q6288" s="8" t="s">
        <v>40</v>
      </c>
      <c r="R6288" s="10" t="s">
        <v>684</v>
      </c>
      <c r="S6288" s="11"/>
      <c r="T6288" s="6"/>
      <c r="U6288" s="15" t="str">
        <f>HYPERLINK("https://media.infra-m.ru/1808/1808769/cover/1808769.jpg", "Обложка")</f>
        <v>Обложка</v>
      </c>
      <c r="V6288" s="8" t="s">
        <v>1675</v>
      </c>
      <c r="W6288" s="6"/>
      <c r="X6288" s="6"/>
      <c r="Y6288" s="6"/>
      <c r="Z6288" s="6"/>
      <c r="AA6288" s="6" t="s">
        <v>115</v>
      </c>
      <c r="AB6288" s="8"/>
      <c r="AC6288" s="27">
        <v>9785917686080</v>
      </c>
    </row>
    <row r="6289" spans="1:29" s="4" customFormat="1" ht="42" customHeight="1" x14ac:dyDescent="0.2">
      <c r="A6289" s="5">
        <v>0</v>
      </c>
      <c r="B6289" s="6" t="s">
        <v>35776</v>
      </c>
      <c r="C6289" s="13">
        <v>780</v>
      </c>
      <c r="D6289" s="8" t="s">
        <v>35777</v>
      </c>
      <c r="E6289" s="8" t="s">
        <v>35778</v>
      </c>
      <c r="F6289" s="8" t="s">
        <v>35779</v>
      </c>
      <c r="G6289" s="6" t="s">
        <v>33</v>
      </c>
      <c r="H6289" s="6" t="s">
        <v>34</v>
      </c>
      <c r="I6289" s="8" t="s">
        <v>35</v>
      </c>
      <c r="J6289" s="9">
        <v>1</v>
      </c>
      <c r="K6289" s="9">
        <v>160</v>
      </c>
      <c r="L6289" s="9">
        <v>2022</v>
      </c>
      <c r="M6289" s="8" t="s">
        <v>35780</v>
      </c>
      <c r="N6289" s="8" t="s">
        <v>37</v>
      </c>
      <c r="O6289" s="8" t="s">
        <v>136</v>
      </c>
      <c r="P6289" s="6" t="s">
        <v>39</v>
      </c>
      <c r="Q6289" s="8" t="s">
        <v>40</v>
      </c>
      <c r="R6289" s="10" t="s">
        <v>684</v>
      </c>
      <c r="S6289" s="11"/>
      <c r="T6289" s="6"/>
      <c r="U6289" s="15" t="str">
        <f>HYPERLINK("https://media.infra-m.ru/1845/1845985/cover/1845985.jpg", "Обложка")</f>
        <v>Обложка</v>
      </c>
      <c r="V6289" s="8" t="s">
        <v>227</v>
      </c>
      <c r="W6289" s="6"/>
      <c r="X6289" s="6"/>
      <c r="Y6289" s="6"/>
      <c r="Z6289" s="6"/>
      <c r="AA6289" s="6" t="s">
        <v>148</v>
      </c>
      <c r="AB6289" s="8"/>
      <c r="AC6289" s="27">
        <v>9785160173573</v>
      </c>
    </row>
    <row r="6290" spans="1:29" s="4" customFormat="1" ht="42" customHeight="1" x14ac:dyDescent="0.2">
      <c r="A6290" s="5">
        <v>0</v>
      </c>
      <c r="B6290" s="6" t="s">
        <v>35781</v>
      </c>
      <c r="C6290" s="7">
        <v>2212.8000000000002</v>
      </c>
      <c r="D6290" s="8" t="s">
        <v>35782</v>
      </c>
      <c r="E6290" s="8" t="s">
        <v>35783</v>
      </c>
      <c r="F6290" s="8" t="s">
        <v>8100</v>
      </c>
      <c r="G6290" s="6" t="s">
        <v>60</v>
      </c>
      <c r="H6290" s="6" t="s">
        <v>134</v>
      </c>
      <c r="I6290" s="8"/>
      <c r="J6290" s="9">
        <v>1</v>
      </c>
      <c r="K6290" s="9">
        <v>336</v>
      </c>
      <c r="L6290" s="9">
        <v>2026</v>
      </c>
      <c r="M6290" s="8" t="s">
        <v>35784</v>
      </c>
      <c r="N6290" s="8" t="s">
        <v>37</v>
      </c>
      <c r="O6290" s="8" t="s">
        <v>136</v>
      </c>
      <c r="P6290" s="6" t="s">
        <v>39</v>
      </c>
      <c r="Q6290" s="8" t="s">
        <v>40</v>
      </c>
      <c r="R6290" s="10" t="s">
        <v>1625</v>
      </c>
      <c r="S6290" s="11"/>
      <c r="T6290" s="6"/>
      <c r="U6290" s="15" t="str">
        <f>HYPERLINK("https://media.infra-m.ru/2239/2239425/cover/2239425.jpg", "Обложка")</f>
        <v>Обложка</v>
      </c>
      <c r="V6290" s="8" t="s">
        <v>1069</v>
      </c>
      <c r="W6290" s="6"/>
      <c r="X6290" s="6"/>
      <c r="Y6290" s="6"/>
      <c r="Z6290" s="6"/>
      <c r="AA6290" s="6" t="s">
        <v>129</v>
      </c>
      <c r="AB6290" s="8"/>
      <c r="AC6290" s="27">
        <v>9785917681405</v>
      </c>
    </row>
    <row r="6291" spans="1:29" s="4" customFormat="1" ht="51.9" customHeight="1" x14ac:dyDescent="0.2">
      <c r="A6291" s="5">
        <v>0</v>
      </c>
      <c r="B6291" s="6" t="s">
        <v>35785</v>
      </c>
      <c r="C6291" s="7">
        <v>1824</v>
      </c>
      <c r="D6291" s="8" t="s">
        <v>35786</v>
      </c>
      <c r="E6291" s="8" t="s">
        <v>35787</v>
      </c>
      <c r="F6291" s="8" t="s">
        <v>35788</v>
      </c>
      <c r="G6291" s="6" t="s">
        <v>118</v>
      </c>
      <c r="H6291" s="6" t="s">
        <v>34</v>
      </c>
      <c r="I6291" s="8" t="s">
        <v>35</v>
      </c>
      <c r="J6291" s="9">
        <v>1</v>
      </c>
      <c r="K6291" s="9">
        <v>261</v>
      </c>
      <c r="L6291" s="9">
        <v>2026</v>
      </c>
      <c r="M6291" s="8" t="s">
        <v>35789</v>
      </c>
      <c r="N6291" s="8" t="s">
        <v>37</v>
      </c>
      <c r="O6291" s="8" t="s">
        <v>136</v>
      </c>
      <c r="P6291" s="6" t="s">
        <v>39</v>
      </c>
      <c r="Q6291" s="8" t="s">
        <v>40</v>
      </c>
      <c r="R6291" s="10" t="s">
        <v>35790</v>
      </c>
      <c r="S6291" s="11"/>
      <c r="T6291" s="6"/>
      <c r="U6291" s="15" t="str">
        <f>HYPERLINK("https://media.infra-m.ru/2232/2232489/cover/2232489.jpg", "Обложка")</f>
        <v>Обложка</v>
      </c>
      <c r="V6291" s="8" t="s">
        <v>31401</v>
      </c>
      <c r="W6291" s="6"/>
      <c r="X6291" s="6"/>
      <c r="Y6291" s="6"/>
      <c r="Z6291" s="6"/>
      <c r="AA6291" s="6" t="s">
        <v>68</v>
      </c>
      <c r="AB6291" s="8"/>
      <c r="AC6291" s="27">
        <v>9785160198996</v>
      </c>
    </row>
    <row r="6292" spans="1:29" s="4" customFormat="1" ht="51.9" customHeight="1" x14ac:dyDescent="0.2">
      <c r="A6292" s="5">
        <v>0</v>
      </c>
      <c r="B6292" s="6" t="s">
        <v>35791</v>
      </c>
      <c r="C6292" s="7">
        <v>2904</v>
      </c>
      <c r="D6292" s="8" t="s">
        <v>35792</v>
      </c>
      <c r="E6292" s="8" t="s">
        <v>35793</v>
      </c>
      <c r="F6292" s="8" t="s">
        <v>16399</v>
      </c>
      <c r="G6292" s="6" t="s">
        <v>60</v>
      </c>
      <c r="H6292" s="6" t="s">
        <v>34</v>
      </c>
      <c r="I6292" s="8" t="s">
        <v>35</v>
      </c>
      <c r="J6292" s="9">
        <v>1</v>
      </c>
      <c r="K6292" s="9">
        <v>431</v>
      </c>
      <c r="L6292" s="9">
        <v>2026</v>
      </c>
      <c r="M6292" s="8" t="s">
        <v>35794</v>
      </c>
      <c r="N6292" s="8" t="s">
        <v>37</v>
      </c>
      <c r="O6292" s="8" t="s">
        <v>136</v>
      </c>
      <c r="P6292" s="6" t="s">
        <v>39</v>
      </c>
      <c r="Q6292" s="8" t="s">
        <v>40</v>
      </c>
      <c r="R6292" s="10" t="s">
        <v>35795</v>
      </c>
      <c r="S6292" s="11"/>
      <c r="T6292" s="6"/>
      <c r="U6292" s="15" t="str">
        <f>HYPERLINK("https://media.infra-m.ru/2230/2230811/cover/2230811.jpg", "Обложка")</f>
        <v>Обложка</v>
      </c>
      <c r="V6292" s="8" t="s">
        <v>1069</v>
      </c>
      <c r="W6292" s="6" t="s">
        <v>299</v>
      </c>
      <c r="X6292" s="6"/>
      <c r="Y6292" s="6"/>
      <c r="Z6292" s="6"/>
      <c r="AA6292" s="6" t="s">
        <v>187</v>
      </c>
      <c r="AB6292" s="8" t="s">
        <v>308</v>
      </c>
      <c r="AC6292" s="27">
        <v>9785160215662</v>
      </c>
    </row>
    <row r="6293" spans="1:29" s="4" customFormat="1" ht="51.9" customHeight="1" x14ac:dyDescent="0.2">
      <c r="A6293" s="5">
        <v>0</v>
      </c>
      <c r="B6293" s="6" t="s">
        <v>35796</v>
      </c>
      <c r="C6293" s="7">
        <v>1368</v>
      </c>
      <c r="D6293" s="8" t="s">
        <v>35797</v>
      </c>
      <c r="E6293" s="8" t="s">
        <v>35798</v>
      </c>
      <c r="F6293" s="8" t="s">
        <v>35799</v>
      </c>
      <c r="G6293" s="6" t="s">
        <v>60</v>
      </c>
      <c r="H6293" s="6" t="s">
        <v>34</v>
      </c>
      <c r="I6293" s="8" t="s">
        <v>35</v>
      </c>
      <c r="J6293" s="14">
        <v>0</v>
      </c>
      <c r="K6293" s="9">
        <v>179</v>
      </c>
      <c r="L6293" s="9">
        <v>2027</v>
      </c>
      <c r="M6293" s="8" t="s">
        <v>35800</v>
      </c>
      <c r="N6293" s="8" t="s">
        <v>37</v>
      </c>
      <c r="O6293" s="8" t="s">
        <v>136</v>
      </c>
      <c r="P6293" s="6" t="s">
        <v>39</v>
      </c>
      <c r="Q6293" s="8" t="s">
        <v>40</v>
      </c>
      <c r="R6293" s="10" t="s">
        <v>35801</v>
      </c>
      <c r="S6293" s="11"/>
      <c r="T6293" s="6"/>
      <c r="U6293" s="15" t="str">
        <f>HYPERLINK("https://media.infra-m.ru/2238/2238819/cover/2238819.jpg", "Обложка")</f>
        <v>Обложка</v>
      </c>
      <c r="V6293" s="8" t="s">
        <v>1184</v>
      </c>
      <c r="W6293" s="6"/>
      <c r="X6293" s="6"/>
      <c r="Y6293" s="6" t="s">
        <v>4466</v>
      </c>
      <c r="Z6293" s="6"/>
      <c r="AA6293" s="6" t="s">
        <v>187</v>
      </c>
      <c r="AB6293" s="8"/>
      <c r="AC6293" s="27">
        <v>9785160218229</v>
      </c>
    </row>
    <row r="6294" spans="1:29" s="4" customFormat="1" ht="51.9" customHeight="1" x14ac:dyDescent="0.2">
      <c r="A6294" s="5">
        <v>0</v>
      </c>
      <c r="B6294" s="6" t="s">
        <v>35802</v>
      </c>
      <c r="C6294" s="7">
        <v>1241.9000000000001</v>
      </c>
      <c r="D6294" s="8" t="s">
        <v>35803</v>
      </c>
      <c r="E6294" s="8" t="s">
        <v>35804</v>
      </c>
      <c r="F6294" s="8" t="s">
        <v>35805</v>
      </c>
      <c r="G6294" s="6" t="s">
        <v>60</v>
      </c>
      <c r="H6294" s="6" t="s">
        <v>134</v>
      </c>
      <c r="I6294" s="8"/>
      <c r="J6294" s="9">
        <v>1</v>
      </c>
      <c r="K6294" s="9">
        <v>304</v>
      </c>
      <c r="L6294" s="9">
        <v>2019</v>
      </c>
      <c r="M6294" s="8" t="s">
        <v>35806</v>
      </c>
      <c r="N6294" s="8" t="s">
        <v>37</v>
      </c>
      <c r="O6294" s="8" t="s">
        <v>136</v>
      </c>
      <c r="P6294" s="6" t="s">
        <v>39</v>
      </c>
      <c r="Q6294" s="8" t="s">
        <v>500</v>
      </c>
      <c r="R6294" s="10" t="s">
        <v>35807</v>
      </c>
      <c r="S6294" s="11"/>
      <c r="T6294" s="6"/>
      <c r="U6294" s="15" t="str">
        <f>HYPERLINK("https://media.infra-m.ru/1011/1011092/cover/1011092.jpg", "Обложка")</f>
        <v>Обложка</v>
      </c>
      <c r="V6294" s="8" t="s">
        <v>1184</v>
      </c>
      <c r="W6294" s="6"/>
      <c r="X6294" s="6"/>
      <c r="Y6294" s="6"/>
      <c r="Z6294" s="6"/>
      <c r="AA6294" s="6" t="s">
        <v>99</v>
      </c>
      <c r="AB6294" s="8"/>
      <c r="AC6294" s="27">
        <v>9785917688510</v>
      </c>
    </row>
    <row r="6295" spans="1:29" s="4" customFormat="1" ht="42" customHeight="1" x14ac:dyDescent="0.2">
      <c r="A6295" s="5">
        <v>0</v>
      </c>
      <c r="B6295" s="6" t="s">
        <v>35808</v>
      </c>
      <c r="C6295" s="7">
        <v>1385.9</v>
      </c>
      <c r="D6295" s="8" t="s">
        <v>35809</v>
      </c>
      <c r="E6295" s="8" t="s">
        <v>35810</v>
      </c>
      <c r="F6295" s="8" t="s">
        <v>35811</v>
      </c>
      <c r="G6295" s="6" t="s">
        <v>60</v>
      </c>
      <c r="H6295" s="6" t="s">
        <v>34</v>
      </c>
      <c r="I6295" s="8" t="s">
        <v>1074</v>
      </c>
      <c r="J6295" s="9">
        <v>1</v>
      </c>
      <c r="K6295" s="9">
        <v>256</v>
      </c>
      <c r="L6295" s="9">
        <v>2023</v>
      </c>
      <c r="M6295" s="8" t="s">
        <v>35812</v>
      </c>
      <c r="N6295" s="8" t="s">
        <v>37</v>
      </c>
      <c r="O6295" s="8" t="s">
        <v>136</v>
      </c>
      <c r="P6295" s="6" t="s">
        <v>39</v>
      </c>
      <c r="Q6295" s="8" t="s">
        <v>40</v>
      </c>
      <c r="R6295" s="10" t="s">
        <v>1255</v>
      </c>
      <c r="S6295" s="11"/>
      <c r="T6295" s="6"/>
      <c r="U6295" s="15" t="str">
        <f>HYPERLINK("https://media.infra-m.ru/2030/2030894/cover/2030894.jpg", "Обложка")</f>
        <v>Обложка</v>
      </c>
      <c r="V6295" s="8" t="s">
        <v>138</v>
      </c>
      <c r="W6295" s="6"/>
      <c r="X6295" s="6"/>
      <c r="Y6295" s="6"/>
      <c r="Z6295" s="6"/>
      <c r="AA6295" s="6" t="s">
        <v>115</v>
      </c>
      <c r="AB6295" s="8"/>
      <c r="AC6295" s="27">
        <v>9785160147000</v>
      </c>
    </row>
    <row r="6296" spans="1:29" s="4" customFormat="1" ht="42" customHeight="1" x14ac:dyDescent="0.2">
      <c r="A6296" s="5">
        <v>0</v>
      </c>
      <c r="B6296" s="6" t="s">
        <v>35813</v>
      </c>
      <c r="C6296" s="7">
        <v>1236</v>
      </c>
      <c r="D6296" s="8" t="s">
        <v>35814</v>
      </c>
      <c r="E6296" s="8" t="s">
        <v>35815</v>
      </c>
      <c r="F6296" s="8" t="s">
        <v>35816</v>
      </c>
      <c r="G6296" s="6" t="s">
        <v>33</v>
      </c>
      <c r="H6296" s="6" t="s">
        <v>34</v>
      </c>
      <c r="I6296" s="8" t="s">
        <v>35</v>
      </c>
      <c r="J6296" s="9">
        <v>1</v>
      </c>
      <c r="K6296" s="9">
        <v>216</v>
      </c>
      <c r="L6296" s="9">
        <v>2023</v>
      </c>
      <c r="M6296" s="8" t="s">
        <v>35817</v>
      </c>
      <c r="N6296" s="8" t="s">
        <v>93</v>
      </c>
      <c r="O6296" s="8" t="s">
        <v>94</v>
      </c>
      <c r="P6296" s="6" t="s">
        <v>39</v>
      </c>
      <c r="Q6296" s="8" t="s">
        <v>40</v>
      </c>
      <c r="R6296" s="10" t="s">
        <v>11753</v>
      </c>
      <c r="S6296" s="11"/>
      <c r="T6296" s="6"/>
      <c r="U6296" s="15" t="str">
        <f>HYPERLINK("https://media.infra-m.ru/1868/1868917/cover/1868917.jpg", "Обложка")</f>
        <v>Обложка</v>
      </c>
      <c r="V6296" s="8" t="s">
        <v>6224</v>
      </c>
      <c r="W6296" s="6"/>
      <c r="X6296" s="6"/>
      <c r="Y6296" s="6"/>
      <c r="Z6296" s="6"/>
      <c r="AA6296" s="6" t="s">
        <v>157</v>
      </c>
      <c r="AB6296" s="8"/>
      <c r="AC6296" s="27">
        <v>9785160177007</v>
      </c>
    </row>
    <row r="6297" spans="1:29" s="4" customFormat="1" ht="51.9" customHeight="1" x14ac:dyDescent="0.2">
      <c r="A6297" s="5">
        <v>0</v>
      </c>
      <c r="B6297" s="6" t="s">
        <v>35818</v>
      </c>
      <c r="C6297" s="7">
        <v>1188</v>
      </c>
      <c r="D6297" s="8" t="s">
        <v>35819</v>
      </c>
      <c r="E6297" s="8" t="s">
        <v>35820</v>
      </c>
      <c r="F6297" s="8" t="s">
        <v>35821</v>
      </c>
      <c r="G6297" s="6" t="s">
        <v>118</v>
      </c>
      <c r="H6297" s="6" t="s">
        <v>34</v>
      </c>
      <c r="I6297" s="8" t="s">
        <v>35</v>
      </c>
      <c r="J6297" s="9">
        <v>1</v>
      </c>
      <c r="K6297" s="9">
        <v>289</v>
      </c>
      <c r="L6297" s="9">
        <v>2019</v>
      </c>
      <c r="M6297" s="8" t="s">
        <v>35822</v>
      </c>
      <c r="N6297" s="8" t="s">
        <v>63</v>
      </c>
      <c r="O6297" s="8" t="s">
        <v>64</v>
      </c>
      <c r="P6297" s="6" t="s">
        <v>39</v>
      </c>
      <c r="Q6297" s="8" t="s">
        <v>40</v>
      </c>
      <c r="R6297" s="10" t="s">
        <v>35823</v>
      </c>
      <c r="S6297" s="11"/>
      <c r="T6297" s="6"/>
      <c r="U6297" s="15" t="str">
        <f>HYPERLINK("https://media.infra-m.ru/1031/1031325/cover/1031325.jpg", "Обложка")</f>
        <v>Обложка</v>
      </c>
      <c r="V6297" s="8" t="s">
        <v>6127</v>
      </c>
      <c r="W6297" s="6"/>
      <c r="X6297" s="6"/>
      <c r="Y6297" s="6"/>
      <c r="Z6297" s="6"/>
      <c r="AA6297" s="6" t="s">
        <v>86</v>
      </c>
      <c r="AB6297" s="8"/>
      <c r="AC6297" s="27">
        <v>9785160137698</v>
      </c>
    </row>
    <row r="6298" spans="1:29" s="4" customFormat="1" ht="42" customHeight="1" x14ac:dyDescent="0.2">
      <c r="A6298" s="5">
        <v>0</v>
      </c>
      <c r="B6298" s="6" t="s">
        <v>35824</v>
      </c>
      <c r="C6298" s="7">
        <v>1320</v>
      </c>
      <c r="D6298" s="8" t="s">
        <v>35825</v>
      </c>
      <c r="E6298" s="8" t="s">
        <v>35826</v>
      </c>
      <c r="F6298" s="8" t="s">
        <v>35827</v>
      </c>
      <c r="G6298" s="6" t="s">
        <v>118</v>
      </c>
      <c r="H6298" s="6" t="s">
        <v>34</v>
      </c>
      <c r="I6298" s="8" t="s">
        <v>35</v>
      </c>
      <c r="J6298" s="9">
        <v>1</v>
      </c>
      <c r="K6298" s="9">
        <v>210</v>
      </c>
      <c r="L6298" s="9">
        <v>2026</v>
      </c>
      <c r="M6298" s="8" t="s">
        <v>35828</v>
      </c>
      <c r="N6298" s="8" t="s">
        <v>93</v>
      </c>
      <c r="O6298" s="8" t="s">
        <v>94</v>
      </c>
      <c r="P6298" s="6" t="s">
        <v>39</v>
      </c>
      <c r="Q6298" s="8" t="s">
        <v>40</v>
      </c>
      <c r="R6298" s="10" t="s">
        <v>16892</v>
      </c>
      <c r="S6298" s="11"/>
      <c r="T6298" s="6"/>
      <c r="U6298" s="15" t="str">
        <f>HYPERLINK("https://media.infra-m.ru/2217/2217602/cover/2217602.jpg", "Обложка")</f>
        <v>Обложка</v>
      </c>
      <c r="V6298" s="8" t="s">
        <v>6474</v>
      </c>
      <c r="W6298" s="6"/>
      <c r="X6298" s="6"/>
      <c r="Y6298" s="6"/>
      <c r="Z6298" s="6"/>
      <c r="AA6298" s="6" t="s">
        <v>779</v>
      </c>
      <c r="AB6298" s="8"/>
      <c r="AC6298" s="27">
        <v>9785160121840</v>
      </c>
    </row>
    <row r="6299" spans="1:29" s="4" customFormat="1" ht="51.9" customHeight="1" x14ac:dyDescent="0.2">
      <c r="A6299" s="5">
        <v>0</v>
      </c>
      <c r="B6299" s="6" t="s">
        <v>35829</v>
      </c>
      <c r="C6299" s="7">
        <v>2664</v>
      </c>
      <c r="D6299" s="8" t="s">
        <v>35830</v>
      </c>
      <c r="E6299" s="8" t="s">
        <v>35831</v>
      </c>
      <c r="F6299" s="8" t="s">
        <v>35832</v>
      </c>
      <c r="G6299" s="6" t="s">
        <v>118</v>
      </c>
      <c r="H6299" s="6" t="s">
        <v>34</v>
      </c>
      <c r="I6299" s="8" t="s">
        <v>253</v>
      </c>
      <c r="J6299" s="9">
        <v>1</v>
      </c>
      <c r="K6299" s="9">
        <v>383</v>
      </c>
      <c r="L6299" s="9">
        <v>2026</v>
      </c>
      <c r="M6299" s="8" t="s">
        <v>35833</v>
      </c>
      <c r="N6299" s="8" t="s">
        <v>243</v>
      </c>
      <c r="O6299" s="8" t="s">
        <v>1100</v>
      </c>
      <c r="P6299" s="6" t="s">
        <v>306</v>
      </c>
      <c r="Q6299" s="8" t="s">
        <v>52</v>
      </c>
      <c r="R6299" s="10" t="s">
        <v>17775</v>
      </c>
      <c r="S6299" s="11" t="s">
        <v>35834</v>
      </c>
      <c r="T6299" s="6"/>
      <c r="U6299" s="15" t="str">
        <f>HYPERLINK("https://media.infra-m.ru/2258/2258368/cover/2258368.jpg", "Обложка")</f>
        <v>Обложка</v>
      </c>
      <c r="V6299" s="8" t="s">
        <v>24133</v>
      </c>
      <c r="W6299" s="6"/>
      <c r="X6299" s="6"/>
      <c r="Y6299" s="6"/>
      <c r="Z6299" s="6"/>
      <c r="AA6299" s="6" t="s">
        <v>874</v>
      </c>
      <c r="AB6299" s="8"/>
      <c r="AC6299" s="27">
        <v>9785160222301</v>
      </c>
    </row>
    <row r="6300" spans="1:29" s="4" customFormat="1" ht="44.1" customHeight="1" x14ac:dyDescent="0.2">
      <c r="A6300" s="5">
        <v>0</v>
      </c>
      <c r="B6300" s="6" t="s">
        <v>35835</v>
      </c>
      <c r="C6300" s="13">
        <v>948</v>
      </c>
      <c r="D6300" s="8" t="s">
        <v>35836</v>
      </c>
      <c r="E6300" s="8" t="s">
        <v>35837</v>
      </c>
      <c r="F6300" s="8" t="s">
        <v>9391</v>
      </c>
      <c r="G6300" s="6" t="s">
        <v>118</v>
      </c>
      <c r="H6300" s="6" t="s">
        <v>34</v>
      </c>
      <c r="I6300" s="8" t="s">
        <v>288</v>
      </c>
      <c r="J6300" s="9">
        <v>1</v>
      </c>
      <c r="K6300" s="9">
        <v>140</v>
      </c>
      <c r="L6300" s="9">
        <v>2026</v>
      </c>
      <c r="M6300" s="8" t="s">
        <v>35838</v>
      </c>
      <c r="N6300" s="8" t="s">
        <v>37</v>
      </c>
      <c r="O6300" s="8" t="s">
        <v>290</v>
      </c>
      <c r="P6300" s="6" t="s">
        <v>51</v>
      </c>
      <c r="Q6300" s="8" t="s">
        <v>65</v>
      </c>
      <c r="R6300" s="10" t="s">
        <v>35839</v>
      </c>
      <c r="S6300" s="11"/>
      <c r="T6300" s="6"/>
      <c r="U6300" s="15" t="str">
        <f>HYPERLINK("https://media.infra-m.ru/2215/2215748/cover/2215748.jpg", "Обложка")</f>
        <v>Обложка</v>
      </c>
      <c r="V6300" s="8" t="s">
        <v>292</v>
      </c>
      <c r="W6300" s="6"/>
      <c r="X6300" s="6"/>
      <c r="Y6300" s="6"/>
      <c r="Z6300" s="6"/>
      <c r="AA6300" s="6" t="s">
        <v>68</v>
      </c>
      <c r="AB6300" s="8"/>
      <c r="AC6300" s="27">
        <v>9785160199597</v>
      </c>
    </row>
    <row r="6301" spans="1:29" s="4" customFormat="1" ht="51.9" customHeight="1" x14ac:dyDescent="0.2">
      <c r="A6301" s="5">
        <v>0</v>
      </c>
      <c r="B6301" s="6" t="s">
        <v>35840</v>
      </c>
      <c r="C6301" s="7">
        <v>1228.8</v>
      </c>
      <c r="D6301" s="8" t="s">
        <v>35841</v>
      </c>
      <c r="E6301" s="8" t="s">
        <v>35842</v>
      </c>
      <c r="F6301" s="8" t="s">
        <v>35843</v>
      </c>
      <c r="G6301" s="6" t="s">
        <v>33</v>
      </c>
      <c r="H6301" s="6" t="s">
        <v>48</v>
      </c>
      <c r="I6301" s="8" t="s">
        <v>253</v>
      </c>
      <c r="J6301" s="9">
        <v>1</v>
      </c>
      <c r="K6301" s="9">
        <v>176</v>
      </c>
      <c r="L6301" s="9">
        <v>2026</v>
      </c>
      <c r="M6301" s="8" t="s">
        <v>35844</v>
      </c>
      <c r="N6301" s="8" t="s">
        <v>93</v>
      </c>
      <c r="O6301" s="8" t="s">
        <v>94</v>
      </c>
      <c r="P6301" s="6" t="s">
        <v>51</v>
      </c>
      <c r="Q6301" s="8" t="s">
        <v>52</v>
      </c>
      <c r="R6301" s="10" t="s">
        <v>35845</v>
      </c>
      <c r="S6301" s="11"/>
      <c r="T6301" s="6"/>
      <c r="U6301" s="15" t="str">
        <f>HYPERLINK("https://media.infra-m.ru/2258/2258370/cover/2258370.jpg", "Обложка")</f>
        <v>Обложка</v>
      </c>
      <c r="V6301" s="8" t="s">
        <v>10325</v>
      </c>
      <c r="W6301" s="6"/>
      <c r="X6301" s="6"/>
      <c r="Y6301" s="6"/>
      <c r="Z6301" s="6"/>
      <c r="AA6301" s="6" t="s">
        <v>129</v>
      </c>
      <c r="AB6301" s="8"/>
      <c r="AC6301" s="27">
        <v>9785911345372</v>
      </c>
    </row>
    <row r="6302" spans="1:29" s="4" customFormat="1" ht="51.9" customHeight="1" x14ac:dyDescent="0.2">
      <c r="A6302" s="5">
        <v>0</v>
      </c>
      <c r="B6302" s="6" t="s">
        <v>35846</v>
      </c>
      <c r="C6302" s="13">
        <v>948</v>
      </c>
      <c r="D6302" s="8" t="s">
        <v>35847</v>
      </c>
      <c r="E6302" s="8" t="s">
        <v>35848</v>
      </c>
      <c r="F6302" s="8" t="s">
        <v>35849</v>
      </c>
      <c r="G6302" s="6" t="s">
        <v>118</v>
      </c>
      <c r="H6302" s="6" t="s">
        <v>820</v>
      </c>
      <c r="I6302" s="8"/>
      <c r="J6302" s="9">
        <v>1</v>
      </c>
      <c r="K6302" s="9">
        <v>152</v>
      </c>
      <c r="L6302" s="9">
        <v>2025</v>
      </c>
      <c r="M6302" s="8" t="s">
        <v>35850</v>
      </c>
      <c r="N6302" s="8" t="s">
        <v>37</v>
      </c>
      <c r="O6302" s="8" t="s">
        <v>280</v>
      </c>
      <c r="P6302" s="6" t="s">
        <v>234</v>
      </c>
      <c r="Q6302" s="8" t="s">
        <v>40</v>
      </c>
      <c r="R6302" s="10" t="s">
        <v>35851</v>
      </c>
      <c r="S6302" s="11"/>
      <c r="T6302" s="6"/>
      <c r="U6302" s="15" t="str">
        <f>HYPERLINK("https://media.infra-m.ru/2163/2163065/cover/2163065.jpg", "Обложка")</f>
        <v>Обложка</v>
      </c>
      <c r="V6302" s="8" t="s">
        <v>4448</v>
      </c>
      <c r="W6302" s="6"/>
      <c r="X6302" s="6"/>
      <c r="Y6302" s="6"/>
      <c r="Z6302" s="6"/>
      <c r="AA6302" s="6" t="s">
        <v>55</v>
      </c>
      <c r="AB6302" s="8"/>
      <c r="AC6302" s="27">
        <v>9785905554353</v>
      </c>
    </row>
    <row r="6303" spans="1:29" s="4" customFormat="1" ht="51.9" customHeight="1" x14ac:dyDescent="0.2">
      <c r="A6303" s="5">
        <v>0</v>
      </c>
      <c r="B6303" s="6" t="s">
        <v>35852</v>
      </c>
      <c r="C6303" s="7">
        <v>1000.8</v>
      </c>
      <c r="D6303" s="8" t="s">
        <v>35853</v>
      </c>
      <c r="E6303" s="8" t="s">
        <v>35848</v>
      </c>
      <c r="F6303" s="8" t="s">
        <v>35849</v>
      </c>
      <c r="G6303" s="6" t="s">
        <v>33</v>
      </c>
      <c r="H6303" s="6" t="s">
        <v>820</v>
      </c>
      <c r="I6303" s="8"/>
      <c r="J6303" s="9">
        <v>1</v>
      </c>
      <c r="K6303" s="9">
        <v>152</v>
      </c>
      <c r="L6303" s="9">
        <v>2026</v>
      </c>
      <c r="M6303" s="8" t="s">
        <v>35850</v>
      </c>
      <c r="N6303" s="8" t="s">
        <v>37</v>
      </c>
      <c r="O6303" s="8" t="s">
        <v>280</v>
      </c>
      <c r="P6303" s="6" t="s">
        <v>234</v>
      </c>
      <c r="Q6303" s="8" t="s">
        <v>40</v>
      </c>
      <c r="R6303" s="10" t="s">
        <v>35851</v>
      </c>
      <c r="S6303" s="11"/>
      <c r="T6303" s="6"/>
      <c r="U6303" s="15" t="str">
        <f>HYPERLINK("https://media.infra-m.ru/2225/2225663/cover/2225663.jpg", "Обложка")</f>
        <v>Обложка</v>
      </c>
      <c r="V6303" s="8" t="s">
        <v>4448</v>
      </c>
      <c r="W6303" s="6"/>
      <c r="X6303" s="6"/>
      <c r="Y6303" s="6"/>
      <c r="Z6303" s="6"/>
      <c r="AA6303" s="6" t="s">
        <v>55</v>
      </c>
      <c r="AB6303" s="8"/>
      <c r="AC6303" s="27">
        <v>9785905554353</v>
      </c>
    </row>
    <row r="6304" spans="1:29" s="4" customFormat="1" ht="42" customHeight="1" x14ac:dyDescent="0.2">
      <c r="A6304" s="5">
        <v>0</v>
      </c>
      <c r="B6304" s="6" t="s">
        <v>35854</v>
      </c>
      <c r="C6304" s="7">
        <v>1268.4000000000001</v>
      </c>
      <c r="D6304" s="8" t="s">
        <v>35855</v>
      </c>
      <c r="E6304" s="8" t="s">
        <v>35856</v>
      </c>
      <c r="F6304" s="8" t="s">
        <v>35857</v>
      </c>
      <c r="G6304" s="6" t="s">
        <v>33</v>
      </c>
      <c r="H6304" s="6" t="s">
        <v>34</v>
      </c>
      <c r="I6304" s="8" t="s">
        <v>263</v>
      </c>
      <c r="J6304" s="9">
        <v>1</v>
      </c>
      <c r="K6304" s="9">
        <v>112</v>
      </c>
      <c r="L6304" s="9">
        <v>2024</v>
      </c>
      <c r="M6304" s="8" t="s">
        <v>35858</v>
      </c>
      <c r="N6304" s="8" t="s">
        <v>243</v>
      </c>
      <c r="O6304" s="8" t="s">
        <v>329</v>
      </c>
      <c r="P6304" s="6" t="s">
        <v>51</v>
      </c>
      <c r="Q6304" s="8" t="s">
        <v>265</v>
      </c>
      <c r="R6304" s="10" t="s">
        <v>35859</v>
      </c>
      <c r="S6304" s="11"/>
      <c r="T6304" s="6"/>
      <c r="U6304" s="15" t="str">
        <f>HYPERLINK("https://media.infra-m.ru/2129/2129205/cover/2129205.jpg", "Обложка")</f>
        <v>Обложка</v>
      </c>
      <c r="V6304" s="8" t="s">
        <v>2537</v>
      </c>
      <c r="W6304" s="6"/>
      <c r="X6304" s="6" t="s">
        <v>24</v>
      </c>
      <c r="Y6304" s="6"/>
      <c r="Z6304" s="6"/>
      <c r="AA6304" s="6" t="s">
        <v>274</v>
      </c>
      <c r="AB6304" s="8"/>
      <c r="AC6304" s="27">
        <v>9785160092737</v>
      </c>
    </row>
    <row r="6305" spans="1:29" s="4" customFormat="1" ht="42" customHeight="1" x14ac:dyDescent="0.2">
      <c r="A6305" s="5">
        <v>0</v>
      </c>
      <c r="B6305" s="6" t="s">
        <v>35860</v>
      </c>
      <c r="C6305" s="13">
        <v>748.8</v>
      </c>
      <c r="D6305" s="8" t="s">
        <v>35861</v>
      </c>
      <c r="E6305" s="8" t="s">
        <v>35862</v>
      </c>
      <c r="F6305" s="8" t="s">
        <v>35863</v>
      </c>
      <c r="G6305" s="6" t="s">
        <v>33</v>
      </c>
      <c r="H6305" s="6" t="s">
        <v>1779</v>
      </c>
      <c r="I6305" s="8"/>
      <c r="J6305" s="9">
        <v>1</v>
      </c>
      <c r="K6305" s="9">
        <v>112</v>
      </c>
      <c r="L6305" s="9">
        <v>2026</v>
      </c>
      <c r="M6305" s="8" t="s">
        <v>35864</v>
      </c>
      <c r="N6305" s="8" t="s">
        <v>37</v>
      </c>
      <c r="O6305" s="8" t="s">
        <v>233</v>
      </c>
      <c r="P6305" s="6" t="s">
        <v>11616</v>
      </c>
      <c r="Q6305" s="8" t="s">
        <v>52</v>
      </c>
      <c r="R6305" s="10" t="s">
        <v>357</v>
      </c>
      <c r="S6305" s="11"/>
      <c r="T6305" s="6"/>
      <c r="U6305" s="15" t="str">
        <f>HYPERLINK("https://media.infra-m.ru/2221/2221363/cover/2221363.jpg", "Обложка")</f>
        <v>Обложка</v>
      </c>
      <c r="V6305" s="8" t="s">
        <v>546</v>
      </c>
      <c r="W6305" s="6"/>
      <c r="X6305" s="6"/>
      <c r="Y6305" s="6"/>
      <c r="Z6305" s="6"/>
      <c r="AA6305" s="6" t="s">
        <v>949</v>
      </c>
      <c r="AB6305" s="8"/>
      <c r="AC6305" s="27">
        <v>9785468000083</v>
      </c>
    </row>
    <row r="6306" spans="1:29" s="4" customFormat="1" ht="51.9" customHeight="1" x14ac:dyDescent="0.2">
      <c r="A6306" s="5">
        <v>0</v>
      </c>
      <c r="B6306" s="6" t="s">
        <v>35865</v>
      </c>
      <c r="C6306" s="7">
        <v>1156.8</v>
      </c>
      <c r="D6306" s="8" t="s">
        <v>35866</v>
      </c>
      <c r="E6306" s="8" t="s">
        <v>35867</v>
      </c>
      <c r="F6306" s="8" t="s">
        <v>17495</v>
      </c>
      <c r="G6306" s="6" t="s">
        <v>33</v>
      </c>
      <c r="H6306" s="6" t="s">
        <v>134</v>
      </c>
      <c r="I6306" s="8"/>
      <c r="J6306" s="9">
        <v>1</v>
      </c>
      <c r="K6306" s="9">
        <v>176</v>
      </c>
      <c r="L6306" s="9">
        <v>2026</v>
      </c>
      <c r="M6306" s="8" t="s">
        <v>35868</v>
      </c>
      <c r="N6306" s="8" t="s">
        <v>37</v>
      </c>
      <c r="O6306" s="8" t="s">
        <v>233</v>
      </c>
      <c r="P6306" s="6" t="s">
        <v>11616</v>
      </c>
      <c r="Q6306" s="8" t="s">
        <v>52</v>
      </c>
      <c r="R6306" s="10" t="s">
        <v>715</v>
      </c>
      <c r="S6306" s="11"/>
      <c r="T6306" s="6"/>
      <c r="U6306" s="15" t="str">
        <f>HYPERLINK("https://media.infra-m.ru/2221/2221350/cover/2221350.jpg", "Обложка")</f>
        <v>Обложка</v>
      </c>
      <c r="V6306" s="8" t="s">
        <v>546</v>
      </c>
      <c r="W6306" s="6"/>
      <c r="X6306" s="6"/>
      <c r="Y6306" s="6"/>
      <c r="Z6306" s="6"/>
      <c r="AA6306" s="6" t="s">
        <v>949</v>
      </c>
      <c r="AB6306" s="8"/>
      <c r="AC6306" s="27">
        <v>9785917685632</v>
      </c>
    </row>
    <row r="6307" spans="1:29" s="4" customFormat="1" ht="51.9" customHeight="1" x14ac:dyDescent="0.2">
      <c r="A6307" s="5">
        <v>0</v>
      </c>
      <c r="B6307" s="6" t="s">
        <v>35869</v>
      </c>
      <c r="C6307" s="7">
        <v>1104</v>
      </c>
      <c r="D6307" s="8" t="s">
        <v>35870</v>
      </c>
      <c r="E6307" s="8" t="s">
        <v>35871</v>
      </c>
      <c r="F6307" s="8" t="s">
        <v>35872</v>
      </c>
      <c r="G6307" s="6" t="s">
        <v>33</v>
      </c>
      <c r="H6307" s="6" t="s">
        <v>34</v>
      </c>
      <c r="I6307" s="8" t="s">
        <v>35</v>
      </c>
      <c r="J6307" s="9">
        <v>1</v>
      </c>
      <c r="K6307" s="9">
        <v>178</v>
      </c>
      <c r="L6307" s="9">
        <v>2025</v>
      </c>
      <c r="M6307" s="8" t="s">
        <v>35873</v>
      </c>
      <c r="N6307" s="8" t="s">
        <v>37</v>
      </c>
      <c r="O6307" s="8" t="s">
        <v>136</v>
      </c>
      <c r="P6307" s="6" t="s">
        <v>39</v>
      </c>
      <c r="Q6307" s="8" t="s">
        <v>40</v>
      </c>
      <c r="R6307" s="10" t="s">
        <v>35874</v>
      </c>
      <c r="S6307" s="11"/>
      <c r="T6307" s="6"/>
      <c r="U6307" s="15" t="str">
        <f>HYPERLINK("https://media.infra-m.ru/2170/2170828/cover/2170828.jpg", "Обложка")</f>
        <v>Обложка</v>
      </c>
      <c r="V6307" s="8" t="s">
        <v>35875</v>
      </c>
      <c r="W6307" s="6"/>
      <c r="X6307" s="6"/>
      <c r="Y6307" s="6"/>
      <c r="Z6307" s="6"/>
      <c r="AA6307" s="6" t="s">
        <v>68</v>
      </c>
      <c r="AB6307" s="8"/>
      <c r="AC6307" s="27">
        <v>9785160203751</v>
      </c>
    </row>
    <row r="6308" spans="1:29" s="4" customFormat="1" ht="42" customHeight="1" x14ac:dyDescent="0.2">
      <c r="A6308" s="5">
        <v>0</v>
      </c>
      <c r="B6308" s="6" t="s">
        <v>35876</v>
      </c>
      <c r="C6308" s="7">
        <v>1260</v>
      </c>
      <c r="D6308" s="8" t="s">
        <v>35877</v>
      </c>
      <c r="E6308" s="8" t="s">
        <v>35878</v>
      </c>
      <c r="F6308" s="8" t="s">
        <v>4951</v>
      </c>
      <c r="G6308" s="6" t="s">
        <v>118</v>
      </c>
      <c r="H6308" s="6" t="s">
        <v>134</v>
      </c>
      <c r="I6308" s="8"/>
      <c r="J6308" s="9">
        <v>1</v>
      </c>
      <c r="K6308" s="9">
        <v>184</v>
      </c>
      <c r="L6308" s="9">
        <v>2026</v>
      </c>
      <c r="M6308" s="8" t="s">
        <v>35879</v>
      </c>
      <c r="N6308" s="8" t="s">
        <v>37</v>
      </c>
      <c r="O6308" s="8" t="s">
        <v>8119</v>
      </c>
      <c r="P6308" s="6" t="s">
        <v>39</v>
      </c>
      <c r="Q6308" s="8" t="s">
        <v>40</v>
      </c>
      <c r="R6308" s="10" t="s">
        <v>35880</v>
      </c>
      <c r="S6308" s="11"/>
      <c r="T6308" s="6"/>
      <c r="U6308" s="15" t="str">
        <f>HYPERLINK("https://media.infra-m.ru/2252/2252419/cover/2252419.jpg", "Обложка")</f>
        <v>Обложка</v>
      </c>
      <c r="V6308" s="8" t="s">
        <v>1184</v>
      </c>
      <c r="W6308" s="6"/>
      <c r="X6308" s="6"/>
      <c r="Y6308" s="6"/>
      <c r="Z6308" s="6"/>
      <c r="AA6308" s="6" t="s">
        <v>99</v>
      </c>
      <c r="AB6308" s="8"/>
      <c r="AC6308" s="27">
        <v>9785917687056</v>
      </c>
    </row>
    <row r="6309" spans="1:29" s="4" customFormat="1" ht="51.9" customHeight="1" x14ac:dyDescent="0.2">
      <c r="A6309" s="5">
        <v>0</v>
      </c>
      <c r="B6309" s="6" t="s">
        <v>35881</v>
      </c>
      <c r="C6309" s="7">
        <v>1692</v>
      </c>
      <c r="D6309" s="8" t="s">
        <v>35882</v>
      </c>
      <c r="E6309" s="8" t="s">
        <v>35883</v>
      </c>
      <c r="F6309" s="8" t="s">
        <v>35884</v>
      </c>
      <c r="G6309" s="6" t="s">
        <v>118</v>
      </c>
      <c r="H6309" s="6" t="s">
        <v>34</v>
      </c>
      <c r="I6309" s="8" t="s">
        <v>954</v>
      </c>
      <c r="J6309" s="9">
        <v>1</v>
      </c>
      <c r="K6309" s="9">
        <v>242</v>
      </c>
      <c r="L6309" s="9">
        <v>2027</v>
      </c>
      <c r="M6309" s="8" t="s">
        <v>35885</v>
      </c>
      <c r="N6309" s="8" t="s">
        <v>37</v>
      </c>
      <c r="O6309" s="8" t="s">
        <v>290</v>
      </c>
      <c r="P6309" s="6" t="s">
        <v>51</v>
      </c>
      <c r="Q6309" s="8" t="s">
        <v>65</v>
      </c>
      <c r="R6309" s="10" t="s">
        <v>35886</v>
      </c>
      <c r="S6309" s="11"/>
      <c r="T6309" s="6"/>
      <c r="U6309" s="15" t="str">
        <f>HYPERLINK("https://media.infra-m.ru/2262/2262644/cover/2262644.jpg", "Обложка")</f>
        <v>Обложка</v>
      </c>
      <c r="V6309" s="8" t="s">
        <v>958</v>
      </c>
      <c r="W6309" s="6"/>
      <c r="X6309" s="6"/>
      <c r="Y6309" s="6"/>
      <c r="Z6309" s="6"/>
      <c r="AA6309" s="6" t="s">
        <v>115</v>
      </c>
      <c r="AB6309" s="8"/>
      <c r="AC6309" s="27">
        <v>9785160149974</v>
      </c>
    </row>
    <row r="6310" spans="1:29" s="4" customFormat="1" ht="51.9" customHeight="1" x14ac:dyDescent="0.2">
      <c r="A6310" s="5">
        <v>0</v>
      </c>
      <c r="B6310" s="6" t="s">
        <v>35887</v>
      </c>
      <c r="C6310" s="7">
        <v>1584</v>
      </c>
      <c r="D6310" s="8" t="s">
        <v>35888</v>
      </c>
      <c r="E6310" s="8" t="s">
        <v>35883</v>
      </c>
      <c r="F6310" s="8" t="s">
        <v>35889</v>
      </c>
      <c r="G6310" s="6" t="s">
        <v>118</v>
      </c>
      <c r="H6310" s="6" t="s">
        <v>34</v>
      </c>
      <c r="I6310" s="8" t="s">
        <v>2927</v>
      </c>
      <c r="J6310" s="9">
        <v>1</v>
      </c>
      <c r="K6310" s="9">
        <v>224</v>
      </c>
      <c r="L6310" s="9">
        <v>2027</v>
      </c>
      <c r="M6310" s="8" t="s">
        <v>35890</v>
      </c>
      <c r="N6310" s="8" t="s">
        <v>37</v>
      </c>
      <c r="O6310" s="8" t="s">
        <v>290</v>
      </c>
      <c r="P6310" s="6" t="s">
        <v>306</v>
      </c>
      <c r="Q6310" s="8" t="s">
        <v>377</v>
      </c>
      <c r="R6310" s="10" t="s">
        <v>35891</v>
      </c>
      <c r="S6310" s="11" t="s">
        <v>35892</v>
      </c>
      <c r="T6310" s="6"/>
      <c r="U6310" s="15" t="str">
        <f>HYPERLINK("https://media.infra-m.ru/2266/2266851/cover/2266851.jpg", "Обложка")</f>
        <v>Обложка</v>
      </c>
      <c r="V6310" s="8"/>
      <c r="W6310" s="6"/>
      <c r="X6310" s="6"/>
      <c r="Y6310" s="6"/>
      <c r="Z6310" s="6"/>
      <c r="AA6310" s="6" t="s">
        <v>157</v>
      </c>
      <c r="AB6310" s="8"/>
      <c r="AC6310" s="27">
        <v>9785160180939</v>
      </c>
    </row>
    <row r="6311" spans="1:29" s="4" customFormat="1" ht="51.9" customHeight="1" x14ac:dyDescent="0.2">
      <c r="A6311" s="5">
        <v>0</v>
      </c>
      <c r="B6311" s="6" t="s">
        <v>35893</v>
      </c>
      <c r="C6311" s="7">
        <v>3628.8</v>
      </c>
      <c r="D6311" s="8" t="s">
        <v>35894</v>
      </c>
      <c r="E6311" s="8" t="s">
        <v>35895</v>
      </c>
      <c r="F6311" s="8" t="s">
        <v>35896</v>
      </c>
      <c r="G6311" s="6" t="s">
        <v>118</v>
      </c>
      <c r="H6311" s="6" t="s">
        <v>1042</v>
      </c>
      <c r="I6311" s="8" t="s">
        <v>271</v>
      </c>
      <c r="J6311" s="9">
        <v>1</v>
      </c>
      <c r="K6311" s="9">
        <v>592</v>
      </c>
      <c r="L6311" s="9">
        <v>2026</v>
      </c>
      <c r="M6311" s="8" t="s">
        <v>35897</v>
      </c>
      <c r="N6311" s="8" t="s">
        <v>243</v>
      </c>
      <c r="O6311" s="8" t="s">
        <v>933</v>
      </c>
      <c r="P6311" s="6" t="s">
        <v>306</v>
      </c>
      <c r="Q6311" s="8" t="s">
        <v>52</v>
      </c>
      <c r="R6311" s="10" t="s">
        <v>35898</v>
      </c>
      <c r="S6311" s="11" t="s">
        <v>35899</v>
      </c>
      <c r="T6311" s="6"/>
      <c r="U6311" s="15" t="str">
        <f>HYPERLINK("https://media.infra-m.ru/2217/2217544/cover/2217544.jpg", "Обложка")</f>
        <v>Обложка</v>
      </c>
      <c r="V6311" s="8" t="s">
        <v>14780</v>
      </c>
      <c r="W6311" s="6"/>
      <c r="X6311" s="6"/>
      <c r="Y6311" s="6"/>
      <c r="Z6311" s="6"/>
      <c r="AA6311" s="6" t="s">
        <v>360</v>
      </c>
      <c r="AB6311" s="8"/>
      <c r="AC6311" s="27">
        <v>9785819908235</v>
      </c>
    </row>
    <row r="6312" spans="1:29" s="4" customFormat="1" ht="51.9" customHeight="1" x14ac:dyDescent="0.2">
      <c r="A6312" s="5">
        <v>0</v>
      </c>
      <c r="B6312" s="6" t="s">
        <v>35900</v>
      </c>
      <c r="C6312" s="7">
        <v>2784</v>
      </c>
      <c r="D6312" s="8" t="s">
        <v>35901</v>
      </c>
      <c r="E6312" s="8" t="s">
        <v>35902</v>
      </c>
      <c r="F6312" s="8" t="s">
        <v>35903</v>
      </c>
      <c r="G6312" s="6" t="s">
        <v>118</v>
      </c>
      <c r="H6312" s="6" t="s">
        <v>34</v>
      </c>
      <c r="I6312" s="8" t="s">
        <v>2927</v>
      </c>
      <c r="J6312" s="9">
        <v>1</v>
      </c>
      <c r="K6312" s="9">
        <v>400</v>
      </c>
      <c r="L6312" s="9">
        <v>2027</v>
      </c>
      <c r="M6312" s="8" t="s">
        <v>35904</v>
      </c>
      <c r="N6312" s="8" t="s">
        <v>243</v>
      </c>
      <c r="O6312" s="8" t="s">
        <v>933</v>
      </c>
      <c r="P6312" s="6" t="s">
        <v>306</v>
      </c>
      <c r="Q6312" s="8" t="s">
        <v>65</v>
      </c>
      <c r="R6312" s="10" t="s">
        <v>35905</v>
      </c>
      <c r="S6312" s="11" t="s">
        <v>35906</v>
      </c>
      <c r="T6312" s="6"/>
      <c r="U6312" s="15" t="str">
        <f>HYPERLINK("https://media.infra-m.ru/2267/2267518/cover/2267518.jpg", "Обложка")</f>
        <v>Обложка</v>
      </c>
      <c r="V6312" s="8" t="s">
        <v>1083</v>
      </c>
      <c r="W6312" s="6"/>
      <c r="X6312" s="6"/>
      <c r="Y6312" s="6"/>
      <c r="Z6312" s="6"/>
      <c r="AA6312" s="6" t="s">
        <v>99</v>
      </c>
      <c r="AB6312" s="8"/>
      <c r="AC6312" s="27">
        <v>9785160161037</v>
      </c>
    </row>
    <row r="6313" spans="1:29" s="4" customFormat="1" ht="44.1" customHeight="1" x14ac:dyDescent="0.2">
      <c r="A6313" s="5">
        <v>0</v>
      </c>
      <c r="B6313" s="6" t="s">
        <v>35907</v>
      </c>
      <c r="C6313" s="7">
        <v>2148</v>
      </c>
      <c r="D6313" s="8" t="s">
        <v>35908</v>
      </c>
      <c r="E6313" s="8" t="s">
        <v>35909</v>
      </c>
      <c r="F6313" s="8" t="s">
        <v>35910</v>
      </c>
      <c r="G6313" s="6" t="s">
        <v>118</v>
      </c>
      <c r="H6313" s="6" t="s">
        <v>34</v>
      </c>
      <c r="I6313" s="8" t="s">
        <v>253</v>
      </c>
      <c r="J6313" s="9">
        <v>1</v>
      </c>
      <c r="K6313" s="9">
        <v>325</v>
      </c>
      <c r="L6313" s="9">
        <v>2026</v>
      </c>
      <c r="M6313" s="8" t="s">
        <v>35911</v>
      </c>
      <c r="N6313" s="8" t="s">
        <v>243</v>
      </c>
      <c r="O6313" s="8" t="s">
        <v>933</v>
      </c>
      <c r="P6313" s="6" t="s">
        <v>306</v>
      </c>
      <c r="Q6313" s="8" t="s">
        <v>377</v>
      </c>
      <c r="R6313" s="10" t="s">
        <v>35912</v>
      </c>
      <c r="S6313" s="11"/>
      <c r="T6313" s="6"/>
      <c r="U6313" s="15" t="str">
        <f>HYPERLINK("https://media.infra-m.ru/2213/2213709/cover/2213709.jpg", "Обложка")</f>
        <v>Обложка</v>
      </c>
      <c r="V6313" s="8" t="s">
        <v>35913</v>
      </c>
      <c r="W6313" s="6"/>
      <c r="X6313" s="6"/>
      <c r="Y6313" s="6"/>
      <c r="Z6313" s="6"/>
      <c r="AA6313" s="6" t="s">
        <v>115</v>
      </c>
      <c r="AB6313" s="8"/>
      <c r="AC6313" s="27">
        <v>9785160211114</v>
      </c>
    </row>
    <row r="6314" spans="1:29" s="4" customFormat="1" ht="51.9" customHeight="1" x14ac:dyDescent="0.2">
      <c r="A6314" s="5">
        <v>0</v>
      </c>
      <c r="B6314" s="6" t="s">
        <v>35914</v>
      </c>
      <c r="C6314" s="7">
        <v>1956</v>
      </c>
      <c r="D6314" s="8" t="s">
        <v>35915</v>
      </c>
      <c r="E6314" s="8" t="s">
        <v>35909</v>
      </c>
      <c r="F6314" s="8" t="s">
        <v>35910</v>
      </c>
      <c r="G6314" s="6" t="s">
        <v>118</v>
      </c>
      <c r="H6314" s="6" t="s">
        <v>34</v>
      </c>
      <c r="I6314" s="8" t="s">
        <v>263</v>
      </c>
      <c r="J6314" s="9">
        <v>1</v>
      </c>
      <c r="K6314" s="9">
        <v>325</v>
      </c>
      <c r="L6314" s="9">
        <v>2025</v>
      </c>
      <c r="M6314" s="8" t="s">
        <v>35916</v>
      </c>
      <c r="N6314" s="8" t="s">
        <v>243</v>
      </c>
      <c r="O6314" s="8" t="s">
        <v>933</v>
      </c>
      <c r="P6314" s="6" t="s">
        <v>306</v>
      </c>
      <c r="Q6314" s="8" t="s">
        <v>265</v>
      </c>
      <c r="R6314" s="10" t="s">
        <v>35917</v>
      </c>
      <c r="S6314" s="11"/>
      <c r="T6314" s="6"/>
      <c r="U6314" s="15" t="str">
        <f>HYPERLINK("https://media.infra-m.ru/2172/2172141/cover/2172141.jpg", "Обложка")</f>
        <v>Обложка</v>
      </c>
      <c r="V6314" s="8" t="s">
        <v>35913</v>
      </c>
      <c r="W6314" s="6"/>
      <c r="X6314" s="6"/>
      <c r="Y6314" s="6"/>
      <c r="Z6314" s="6" t="s">
        <v>3911</v>
      </c>
      <c r="AA6314" s="6" t="s">
        <v>68</v>
      </c>
      <c r="AB6314" s="8"/>
      <c r="AC6314" s="27">
        <v>9785160204024</v>
      </c>
    </row>
    <row r="6315" spans="1:29" s="4" customFormat="1" ht="51.9" customHeight="1" x14ac:dyDescent="0.2">
      <c r="A6315" s="5">
        <v>0</v>
      </c>
      <c r="B6315" s="6" t="s">
        <v>35918</v>
      </c>
      <c r="C6315" s="7">
        <v>2296.8000000000002</v>
      </c>
      <c r="D6315" s="8" t="s">
        <v>35919</v>
      </c>
      <c r="E6315" s="8" t="s">
        <v>35920</v>
      </c>
      <c r="F6315" s="8" t="s">
        <v>35921</v>
      </c>
      <c r="G6315" s="6" t="s">
        <v>118</v>
      </c>
      <c r="H6315" s="6" t="s">
        <v>34</v>
      </c>
      <c r="I6315" s="8" t="s">
        <v>271</v>
      </c>
      <c r="J6315" s="9">
        <v>1</v>
      </c>
      <c r="K6315" s="9">
        <v>348</v>
      </c>
      <c r="L6315" s="9">
        <v>2026</v>
      </c>
      <c r="M6315" s="8" t="s">
        <v>35922</v>
      </c>
      <c r="N6315" s="8" t="s">
        <v>243</v>
      </c>
      <c r="O6315" s="8" t="s">
        <v>933</v>
      </c>
      <c r="P6315" s="6" t="s">
        <v>306</v>
      </c>
      <c r="Q6315" s="8" t="s">
        <v>52</v>
      </c>
      <c r="R6315" s="10" t="s">
        <v>35923</v>
      </c>
      <c r="S6315" s="11" t="s">
        <v>35924</v>
      </c>
      <c r="T6315" s="6"/>
      <c r="U6315" s="15" t="str">
        <f>HYPERLINK("https://media.infra-m.ru/2238/2238183/cover/2238183.jpg", "Обложка")</f>
        <v>Обложка</v>
      </c>
      <c r="V6315" s="8" t="s">
        <v>35913</v>
      </c>
      <c r="W6315" s="6"/>
      <c r="X6315" s="6"/>
      <c r="Y6315" s="6"/>
      <c r="Z6315" s="6"/>
      <c r="AA6315" s="6" t="s">
        <v>248</v>
      </c>
      <c r="AB6315" s="8"/>
      <c r="AC6315" s="27">
        <v>9785160164342</v>
      </c>
    </row>
    <row r="6316" spans="1:29" s="4" customFormat="1" ht="51.9" customHeight="1" x14ac:dyDescent="0.2">
      <c r="A6316" s="5">
        <v>0</v>
      </c>
      <c r="B6316" s="6" t="s">
        <v>35925</v>
      </c>
      <c r="C6316" s="7">
        <v>1428</v>
      </c>
      <c r="D6316" s="8" t="s">
        <v>35926</v>
      </c>
      <c r="E6316" s="8" t="s">
        <v>35920</v>
      </c>
      <c r="F6316" s="8" t="s">
        <v>35921</v>
      </c>
      <c r="G6316" s="6" t="s">
        <v>33</v>
      </c>
      <c r="H6316" s="6" t="s">
        <v>34</v>
      </c>
      <c r="I6316" s="8" t="s">
        <v>271</v>
      </c>
      <c r="J6316" s="9">
        <v>1</v>
      </c>
      <c r="K6316" s="9">
        <v>348</v>
      </c>
      <c r="L6316" s="9">
        <v>2020</v>
      </c>
      <c r="M6316" s="8" t="s">
        <v>35927</v>
      </c>
      <c r="N6316" s="8" t="s">
        <v>243</v>
      </c>
      <c r="O6316" s="8" t="s">
        <v>933</v>
      </c>
      <c r="P6316" s="6" t="s">
        <v>306</v>
      </c>
      <c r="Q6316" s="8" t="s">
        <v>52</v>
      </c>
      <c r="R6316" s="10" t="s">
        <v>35923</v>
      </c>
      <c r="S6316" s="11" t="s">
        <v>35924</v>
      </c>
      <c r="T6316" s="6" t="s">
        <v>97</v>
      </c>
      <c r="U6316" s="15" t="str">
        <f>HYPERLINK("https://media.infra-m.ru/1093/1093352/cover/1093352.jpg", "Обложка")</f>
        <v>Обложка</v>
      </c>
      <c r="V6316" s="8" t="s">
        <v>35913</v>
      </c>
      <c r="W6316" s="6"/>
      <c r="X6316" s="6"/>
      <c r="Y6316" s="6"/>
      <c r="Z6316" s="6"/>
      <c r="AA6316" s="6" t="s">
        <v>248</v>
      </c>
      <c r="AB6316" s="8"/>
      <c r="AC6316" s="27">
        <v>9785160066103</v>
      </c>
    </row>
    <row r="6317" spans="1:29" s="4" customFormat="1" ht="42" customHeight="1" x14ac:dyDescent="0.2">
      <c r="A6317" s="5">
        <v>0</v>
      </c>
      <c r="B6317" s="6" t="s">
        <v>35928</v>
      </c>
      <c r="C6317" s="13">
        <v>772.8</v>
      </c>
      <c r="D6317" s="8" t="s">
        <v>35929</v>
      </c>
      <c r="E6317" s="8" t="s">
        <v>35930</v>
      </c>
      <c r="F6317" s="8" t="s">
        <v>35931</v>
      </c>
      <c r="G6317" s="6" t="s">
        <v>33</v>
      </c>
      <c r="H6317" s="6" t="s">
        <v>34</v>
      </c>
      <c r="I6317" s="8" t="s">
        <v>35</v>
      </c>
      <c r="J6317" s="9">
        <v>1</v>
      </c>
      <c r="K6317" s="9">
        <v>112</v>
      </c>
      <c r="L6317" s="9">
        <v>2027</v>
      </c>
      <c r="M6317" s="8" t="s">
        <v>35932</v>
      </c>
      <c r="N6317" s="8" t="s">
        <v>243</v>
      </c>
      <c r="O6317" s="8" t="s">
        <v>385</v>
      </c>
      <c r="P6317" s="6" t="s">
        <v>39</v>
      </c>
      <c r="Q6317" s="8" t="s">
        <v>40</v>
      </c>
      <c r="R6317" s="10" t="s">
        <v>378</v>
      </c>
      <c r="S6317" s="11"/>
      <c r="T6317" s="6"/>
      <c r="U6317" s="15" t="str">
        <f>HYPERLINK("https://media.infra-m.ru/2273/2273029/cover/2273029.jpg", "Обложка")</f>
        <v>Обложка</v>
      </c>
      <c r="V6317" s="8" t="s">
        <v>10380</v>
      </c>
      <c r="W6317" s="6"/>
      <c r="X6317" s="6"/>
      <c r="Y6317" s="6"/>
      <c r="Z6317" s="6"/>
      <c r="AA6317" s="6" t="s">
        <v>248</v>
      </c>
      <c r="AB6317" s="8"/>
      <c r="AC6317" s="27">
        <v>9785160091709</v>
      </c>
    </row>
    <row r="6318" spans="1:29" s="4" customFormat="1" ht="51.9" customHeight="1" x14ac:dyDescent="0.2">
      <c r="A6318" s="5">
        <v>0</v>
      </c>
      <c r="B6318" s="6" t="s">
        <v>35933</v>
      </c>
      <c r="C6318" s="7">
        <v>2448</v>
      </c>
      <c r="D6318" s="8" t="s">
        <v>35934</v>
      </c>
      <c r="E6318" s="8" t="s">
        <v>35935</v>
      </c>
      <c r="F6318" s="8" t="s">
        <v>35936</v>
      </c>
      <c r="G6318" s="6" t="s">
        <v>118</v>
      </c>
      <c r="H6318" s="6" t="s">
        <v>34</v>
      </c>
      <c r="I6318" s="8" t="s">
        <v>253</v>
      </c>
      <c r="J6318" s="9">
        <v>1</v>
      </c>
      <c r="K6318" s="9">
        <v>352</v>
      </c>
      <c r="L6318" s="9">
        <v>2026</v>
      </c>
      <c r="M6318" s="8" t="s">
        <v>35937</v>
      </c>
      <c r="N6318" s="8" t="s">
        <v>243</v>
      </c>
      <c r="O6318" s="8" t="s">
        <v>933</v>
      </c>
      <c r="P6318" s="6" t="s">
        <v>51</v>
      </c>
      <c r="Q6318" s="8" t="s">
        <v>52</v>
      </c>
      <c r="R6318" s="10" t="s">
        <v>4908</v>
      </c>
      <c r="S6318" s="11" t="s">
        <v>35938</v>
      </c>
      <c r="T6318" s="6"/>
      <c r="U6318" s="15" t="str">
        <f>HYPERLINK("https://media.infra-m.ru/2227/2227064/cover/2227064.jpg", "Обложка")</f>
        <v>Обложка</v>
      </c>
      <c r="V6318" s="8" t="s">
        <v>14780</v>
      </c>
      <c r="W6318" s="6"/>
      <c r="X6318" s="6"/>
      <c r="Y6318" s="6"/>
      <c r="Z6318" s="6"/>
      <c r="AA6318" s="6" t="s">
        <v>274</v>
      </c>
      <c r="AB6318" s="8"/>
      <c r="AC6318" s="27">
        <v>9785160214825</v>
      </c>
    </row>
    <row r="6319" spans="1:29" s="4" customFormat="1" ht="42" customHeight="1" x14ac:dyDescent="0.2">
      <c r="A6319" s="5">
        <v>0</v>
      </c>
      <c r="B6319" s="6" t="s">
        <v>35939</v>
      </c>
      <c r="C6319" s="7">
        <v>2148</v>
      </c>
      <c r="D6319" s="8" t="s">
        <v>35940</v>
      </c>
      <c r="E6319" s="8" t="s">
        <v>35935</v>
      </c>
      <c r="F6319" s="8" t="s">
        <v>35936</v>
      </c>
      <c r="G6319" s="6" t="s">
        <v>118</v>
      </c>
      <c r="H6319" s="6" t="s">
        <v>48</v>
      </c>
      <c r="I6319" s="8" t="s">
        <v>263</v>
      </c>
      <c r="J6319" s="9">
        <v>1</v>
      </c>
      <c r="K6319" s="9">
        <v>352</v>
      </c>
      <c r="L6319" s="9">
        <v>2025</v>
      </c>
      <c r="M6319" s="8" t="s">
        <v>35941</v>
      </c>
      <c r="N6319" s="8" t="s">
        <v>243</v>
      </c>
      <c r="O6319" s="8" t="s">
        <v>933</v>
      </c>
      <c r="P6319" s="6" t="s">
        <v>51</v>
      </c>
      <c r="Q6319" s="8" t="s">
        <v>265</v>
      </c>
      <c r="R6319" s="10" t="s">
        <v>35942</v>
      </c>
      <c r="S6319" s="11"/>
      <c r="T6319" s="6"/>
      <c r="U6319" s="15" t="str">
        <f>HYPERLINK("https://media.infra-m.ru/2170/2170456/cover/2170456.jpg", "Обложка")</f>
        <v>Обложка</v>
      </c>
      <c r="V6319" s="8" t="s">
        <v>14780</v>
      </c>
      <c r="W6319" s="6"/>
      <c r="X6319" s="6" t="s">
        <v>24</v>
      </c>
      <c r="Y6319" s="6"/>
      <c r="Z6319" s="6" t="s">
        <v>267</v>
      </c>
      <c r="AA6319" s="6" t="s">
        <v>68</v>
      </c>
      <c r="AB6319" s="8"/>
      <c r="AC6319" s="27">
        <v>9785000918135</v>
      </c>
    </row>
    <row r="6320" spans="1:29" s="4" customFormat="1" ht="51.9" customHeight="1" x14ac:dyDescent="0.2">
      <c r="A6320" s="5">
        <v>0</v>
      </c>
      <c r="B6320" s="6" t="s">
        <v>35943</v>
      </c>
      <c r="C6320" s="7">
        <v>3468</v>
      </c>
      <c r="D6320" s="8" t="s">
        <v>35944</v>
      </c>
      <c r="E6320" s="8" t="s">
        <v>35945</v>
      </c>
      <c r="F6320" s="8" t="s">
        <v>35936</v>
      </c>
      <c r="G6320" s="6" t="s">
        <v>60</v>
      </c>
      <c r="H6320" s="6" t="s">
        <v>34</v>
      </c>
      <c r="I6320" s="8" t="s">
        <v>253</v>
      </c>
      <c r="J6320" s="9">
        <v>1</v>
      </c>
      <c r="K6320" s="9">
        <v>498</v>
      </c>
      <c r="L6320" s="9">
        <v>2027</v>
      </c>
      <c r="M6320" s="8" t="s">
        <v>35946</v>
      </c>
      <c r="N6320" s="8" t="s">
        <v>243</v>
      </c>
      <c r="O6320" s="8" t="s">
        <v>933</v>
      </c>
      <c r="P6320" s="6" t="s">
        <v>51</v>
      </c>
      <c r="Q6320" s="8" t="s">
        <v>500</v>
      </c>
      <c r="R6320" s="10" t="s">
        <v>4908</v>
      </c>
      <c r="S6320" s="11" t="s">
        <v>35947</v>
      </c>
      <c r="T6320" s="6"/>
      <c r="U6320" s="15" t="str">
        <f>HYPERLINK("https://media.infra-m.ru/2264/2264716/cover/2264716.jpg", "Обложка")</f>
        <v>Обложка</v>
      </c>
      <c r="V6320" s="8" t="s">
        <v>14780</v>
      </c>
      <c r="W6320" s="6"/>
      <c r="X6320" s="6"/>
      <c r="Y6320" s="6"/>
      <c r="Z6320" s="6"/>
      <c r="AA6320" s="6" t="s">
        <v>3736</v>
      </c>
      <c r="AB6320" s="8"/>
      <c r="AC6320" s="27">
        <v>9785160223780</v>
      </c>
    </row>
    <row r="6321" spans="1:29" s="4" customFormat="1" ht="51.9" customHeight="1" x14ac:dyDescent="0.2">
      <c r="A6321" s="5">
        <v>0</v>
      </c>
      <c r="B6321" s="6" t="s">
        <v>35948</v>
      </c>
      <c r="C6321" s="7">
        <v>1481.9</v>
      </c>
      <c r="D6321" s="8" t="s">
        <v>35949</v>
      </c>
      <c r="E6321" s="8" t="s">
        <v>35950</v>
      </c>
      <c r="F6321" s="8" t="s">
        <v>35951</v>
      </c>
      <c r="G6321" s="6" t="s">
        <v>60</v>
      </c>
      <c r="H6321" s="6" t="s">
        <v>48</v>
      </c>
      <c r="I6321" s="8" t="s">
        <v>271</v>
      </c>
      <c r="J6321" s="9">
        <v>1</v>
      </c>
      <c r="K6321" s="9">
        <v>432</v>
      </c>
      <c r="L6321" s="9">
        <v>2017</v>
      </c>
      <c r="M6321" s="8" t="s">
        <v>35952</v>
      </c>
      <c r="N6321" s="8" t="s">
        <v>243</v>
      </c>
      <c r="O6321" s="8" t="s">
        <v>933</v>
      </c>
      <c r="P6321" s="6" t="s">
        <v>51</v>
      </c>
      <c r="Q6321" s="8" t="s">
        <v>52</v>
      </c>
      <c r="R6321" s="10" t="s">
        <v>4908</v>
      </c>
      <c r="S6321" s="11" t="s">
        <v>35947</v>
      </c>
      <c r="T6321" s="6"/>
      <c r="U6321" s="15" t="str">
        <f>HYPERLINK("https://media.infra-m.ru/0754/0754417/cover/754417.jpg", "Обложка")</f>
        <v>Обложка</v>
      </c>
      <c r="V6321" s="8" t="s">
        <v>14780</v>
      </c>
      <c r="W6321" s="6"/>
      <c r="X6321" s="6"/>
      <c r="Y6321" s="6"/>
      <c r="Z6321" s="6"/>
      <c r="AA6321" s="6" t="s">
        <v>1037</v>
      </c>
      <c r="AB6321" s="8"/>
      <c r="AC6321" s="27">
        <v>9785911349134</v>
      </c>
    </row>
    <row r="6322" spans="1:29" s="4" customFormat="1" ht="51.9" customHeight="1" x14ac:dyDescent="0.2">
      <c r="A6322" s="5">
        <v>0</v>
      </c>
      <c r="B6322" s="6" t="s">
        <v>35953</v>
      </c>
      <c r="C6322" s="7">
        <v>1792.8</v>
      </c>
      <c r="D6322" s="8" t="s">
        <v>35954</v>
      </c>
      <c r="E6322" s="8" t="s">
        <v>35955</v>
      </c>
      <c r="F6322" s="8" t="s">
        <v>35956</v>
      </c>
      <c r="G6322" s="6" t="s">
        <v>118</v>
      </c>
      <c r="H6322" s="6" t="s">
        <v>34</v>
      </c>
      <c r="I6322" s="8" t="s">
        <v>5350</v>
      </c>
      <c r="J6322" s="9">
        <v>1</v>
      </c>
      <c r="K6322" s="9">
        <v>299</v>
      </c>
      <c r="L6322" s="9">
        <v>2025</v>
      </c>
      <c r="M6322" s="8" t="s">
        <v>35957</v>
      </c>
      <c r="N6322" s="8" t="s">
        <v>243</v>
      </c>
      <c r="O6322" s="8" t="s">
        <v>964</v>
      </c>
      <c r="P6322" s="6" t="s">
        <v>51</v>
      </c>
      <c r="Q6322" s="8" t="s">
        <v>377</v>
      </c>
      <c r="R6322" s="10" t="s">
        <v>35958</v>
      </c>
      <c r="S6322" s="11" t="s">
        <v>35959</v>
      </c>
      <c r="T6322" s="6"/>
      <c r="U6322" s="15" t="str">
        <f>HYPERLINK("https://media.infra-m.ru/2179/2179029/cover/2179029.jpg", "Обложка")</f>
        <v>Обложка</v>
      </c>
      <c r="V6322" s="8" t="s">
        <v>337</v>
      </c>
      <c r="W6322" s="6"/>
      <c r="X6322" s="6"/>
      <c r="Y6322" s="6"/>
      <c r="Z6322" s="6"/>
      <c r="AA6322" s="6" t="s">
        <v>430</v>
      </c>
      <c r="AB6322" s="8"/>
      <c r="AC6322" s="27">
        <v>9785160168203</v>
      </c>
    </row>
    <row r="6323" spans="1:29" s="4" customFormat="1" ht="51.9" customHeight="1" x14ac:dyDescent="0.2">
      <c r="A6323" s="5">
        <v>0</v>
      </c>
      <c r="B6323" s="6" t="s">
        <v>35960</v>
      </c>
      <c r="C6323" s="13">
        <v>984</v>
      </c>
      <c r="D6323" s="8" t="s">
        <v>35961</v>
      </c>
      <c r="E6323" s="8" t="s">
        <v>35962</v>
      </c>
      <c r="F6323" s="8" t="s">
        <v>28173</v>
      </c>
      <c r="G6323" s="6" t="s">
        <v>33</v>
      </c>
      <c r="H6323" s="6" t="s">
        <v>48</v>
      </c>
      <c r="I6323" s="8" t="s">
        <v>271</v>
      </c>
      <c r="J6323" s="9">
        <v>1</v>
      </c>
      <c r="K6323" s="9">
        <v>160</v>
      </c>
      <c r="L6323" s="9">
        <v>2023</v>
      </c>
      <c r="M6323" s="8" t="s">
        <v>35963</v>
      </c>
      <c r="N6323" s="8" t="s">
        <v>243</v>
      </c>
      <c r="O6323" s="8" t="s">
        <v>798</v>
      </c>
      <c r="P6323" s="6" t="s">
        <v>51</v>
      </c>
      <c r="Q6323" s="8" t="s">
        <v>52</v>
      </c>
      <c r="R6323" s="10" t="s">
        <v>3870</v>
      </c>
      <c r="S6323" s="11" t="s">
        <v>35964</v>
      </c>
      <c r="T6323" s="6"/>
      <c r="U6323" s="15" t="str">
        <f>HYPERLINK("https://media.infra-m.ru/1903/1903730/cover/1903730.jpg", "Обложка")</f>
        <v>Обложка</v>
      </c>
      <c r="V6323" s="8" t="s">
        <v>2446</v>
      </c>
      <c r="W6323" s="6"/>
      <c r="X6323" s="6"/>
      <c r="Y6323" s="6"/>
      <c r="Z6323" s="6"/>
      <c r="AA6323" s="6" t="s">
        <v>779</v>
      </c>
      <c r="AB6323" s="8"/>
      <c r="AC6323" s="27">
        <v>9785000911860</v>
      </c>
    </row>
    <row r="6324" spans="1:29" s="4" customFormat="1" ht="42" customHeight="1" x14ac:dyDescent="0.2">
      <c r="A6324" s="5">
        <v>0</v>
      </c>
      <c r="B6324" s="6" t="s">
        <v>35965</v>
      </c>
      <c r="C6324" s="7">
        <v>1416</v>
      </c>
      <c r="D6324" s="8" t="s">
        <v>35966</v>
      </c>
      <c r="E6324" s="8" t="s">
        <v>35967</v>
      </c>
      <c r="F6324" s="8" t="s">
        <v>35968</v>
      </c>
      <c r="G6324" s="6" t="s">
        <v>118</v>
      </c>
      <c r="H6324" s="6" t="s">
        <v>820</v>
      </c>
      <c r="I6324" s="8"/>
      <c r="J6324" s="9">
        <v>1</v>
      </c>
      <c r="K6324" s="9">
        <v>256</v>
      </c>
      <c r="L6324" s="9">
        <v>2023</v>
      </c>
      <c r="M6324" s="8" t="s">
        <v>35969</v>
      </c>
      <c r="N6324" s="8" t="s">
        <v>243</v>
      </c>
      <c r="O6324" s="8" t="s">
        <v>1100</v>
      </c>
      <c r="P6324" s="6" t="s">
        <v>306</v>
      </c>
      <c r="Q6324" s="8" t="s">
        <v>52</v>
      </c>
      <c r="R6324" s="10" t="s">
        <v>9206</v>
      </c>
      <c r="S6324" s="11"/>
      <c r="T6324" s="6"/>
      <c r="U6324" s="15" t="str">
        <f>HYPERLINK("https://media.infra-m.ru/2110/2110052/cover/2110052.jpg", "Обложка")</f>
        <v>Обложка</v>
      </c>
      <c r="V6324" s="8" t="s">
        <v>1915</v>
      </c>
      <c r="W6324" s="6"/>
      <c r="X6324" s="6"/>
      <c r="Y6324" s="6"/>
      <c r="Z6324" s="6"/>
      <c r="AA6324" s="6" t="s">
        <v>404</v>
      </c>
      <c r="AB6324" s="8"/>
      <c r="AC6324" s="27">
        <v>9785906923509</v>
      </c>
    </row>
    <row r="6325" spans="1:29" s="4" customFormat="1" ht="51.9" customHeight="1" x14ac:dyDescent="0.2">
      <c r="A6325" s="5">
        <v>0</v>
      </c>
      <c r="B6325" s="6" t="s">
        <v>35970</v>
      </c>
      <c r="C6325" s="7">
        <v>2140.8000000000002</v>
      </c>
      <c r="D6325" s="8" t="s">
        <v>35971</v>
      </c>
      <c r="E6325" s="8" t="s">
        <v>35972</v>
      </c>
      <c r="F6325" s="8" t="s">
        <v>35973</v>
      </c>
      <c r="G6325" s="6" t="s">
        <v>60</v>
      </c>
      <c r="H6325" s="6" t="s">
        <v>34</v>
      </c>
      <c r="I6325" s="8" t="s">
        <v>253</v>
      </c>
      <c r="J6325" s="9">
        <v>1</v>
      </c>
      <c r="K6325" s="9">
        <v>255</v>
      </c>
      <c r="L6325" s="9">
        <v>2026</v>
      </c>
      <c r="M6325" s="8" t="s">
        <v>35974</v>
      </c>
      <c r="N6325" s="8" t="s">
        <v>37</v>
      </c>
      <c r="O6325" s="8" t="s">
        <v>280</v>
      </c>
      <c r="P6325" s="6" t="s">
        <v>51</v>
      </c>
      <c r="Q6325" s="8" t="s">
        <v>65</v>
      </c>
      <c r="R6325" s="10" t="s">
        <v>35975</v>
      </c>
      <c r="S6325" s="11"/>
      <c r="T6325" s="6"/>
      <c r="U6325" s="15" t="str">
        <f>HYPERLINK("https://media.infra-m.ru/2222/2222234/cover/2222234.jpg", "Обложка")</f>
        <v>Обложка</v>
      </c>
      <c r="V6325" s="8" t="s">
        <v>3428</v>
      </c>
      <c r="W6325" s="6"/>
      <c r="X6325" s="6"/>
      <c r="Y6325" s="6"/>
      <c r="Z6325" s="6"/>
      <c r="AA6325" s="6" t="s">
        <v>76</v>
      </c>
      <c r="AB6325" s="8"/>
      <c r="AC6325" s="27">
        <v>9785160192918</v>
      </c>
    </row>
    <row r="6326" spans="1:29" s="4" customFormat="1" ht="51.9" customHeight="1" x14ac:dyDescent="0.2">
      <c r="A6326" s="5">
        <v>0</v>
      </c>
      <c r="B6326" s="6" t="s">
        <v>35976</v>
      </c>
      <c r="C6326" s="7">
        <v>1072.8</v>
      </c>
      <c r="D6326" s="8" t="s">
        <v>35977</v>
      </c>
      <c r="E6326" s="8" t="s">
        <v>35978</v>
      </c>
      <c r="F6326" s="8" t="s">
        <v>35979</v>
      </c>
      <c r="G6326" s="6" t="s">
        <v>118</v>
      </c>
      <c r="H6326" s="6" t="s">
        <v>34</v>
      </c>
      <c r="I6326" s="8" t="s">
        <v>91</v>
      </c>
      <c r="J6326" s="9">
        <v>1</v>
      </c>
      <c r="K6326" s="9">
        <v>162</v>
      </c>
      <c r="L6326" s="9">
        <v>2026</v>
      </c>
      <c r="M6326" s="8" t="s">
        <v>35980</v>
      </c>
      <c r="N6326" s="8" t="s">
        <v>93</v>
      </c>
      <c r="O6326" s="8" t="s">
        <v>94</v>
      </c>
      <c r="P6326" s="6" t="s">
        <v>1481</v>
      </c>
      <c r="Q6326" s="8" t="s">
        <v>65</v>
      </c>
      <c r="R6326" s="10" t="s">
        <v>35981</v>
      </c>
      <c r="S6326" s="11" t="s">
        <v>35982</v>
      </c>
      <c r="T6326" s="6"/>
      <c r="U6326" s="15" t="str">
        <f>HYPERLINK("https://media.infra-m.ru/2223/2223590/cover/2223590.jpg", "Обложка")</f>
        <v>Обложка</v>
      </c>
      <c r="V6326" s="8" t="s">
        <v>6474</v>
      </c>
      <c r="W6326" s="6"/>
      <c r="X6326" s="6"/>
      <c r="Y6326" s="6"/>
      <c r="Z6326" s="6"/>
      <c r="AA6326" s="6" t="s">
        <v>115</v>
      </c>
      <c r="AB6326" s="8"/>
      <c r="AC6326" s="27">
        <v>9785160143828</v>
      </c>
    </row>
    <row r="6327" spans="1:29" s="4" customFormat="1" ht="42" customHeight="1" x14ac:dyDescent="0.2">
      <c r="A6327" s="5">
        <v>0</v>
      </c>
      <c r="B6327" s="6" t="s">
        <v>35983</v>
      </c>
      <c r="C6327" s="7">
        <v>1044</v>
      </c>
      <c r="D6327" s="8" t="s">
        <v>35984</v>
      </c>
      <c r="E6327" s="8" t="s">
        <v>35985</v>
      </c>
      <c r="F6327" s="8" t="s">
        <v>35986</v>
      </c>
      <c r="G6327" s="6" t="s">
        <v>33</v>
      </c>
      <c r="H6327" s="6" t="s">
        <v>34</v>
      </c>
      <c r="I6327" s="8" t="s">
        <v>35</v>
      </c>
      <c r="J6327" s="9">
        <v>1</v>
      </c>
      <c r="K6327" s="9">
        <v>150</v>
      </c>
      <c r="L6327" s="9">
        <v>2027</v>
      </c>
      <c r="M6327" s="8" t="s">
        <v>35987</v>
      </c>
      <c r="N6327" s="8" t="s">
        <v>37</v>
      </c>
      <c r="O6327" s="8" t="s">
        <v>233</v>
      </c>
      <c r="P6327" s="6" t="s">
        <v>39</v>
      </c>
      <c r="Q6327" s="8" t="s">
        <v>40</v>
      </c>
      <c r="R6327" s="10" t="s">
        <v>3832</v>
      </c>
      <c r="S6327" s="11"/>
      <c r="T6327" s="6"/>
      <c r="U6327" s="15" t="str">
        <f>HYPERLINK("https://media.infra-m.ru/2245/2245560/cover/2245560.jpg", "Обложка")</f>
        <v>Обложка</v>
      </c>
      <c r="V6327" s="8" t="s">
        <v>1030</v>
      </c>
      <c r="W6327" s="6" t="s">
        <v>2115</v>
      </c>
      <c r="X6327" s="6"/>
      <c r="Y6327" s="6"/>
      <c r="Z6327" s="6"/>
      <c r="AA6327" s="6" t="s">
        <v>420</v>
      </c>
      <c r="AB6327" s="8" t="s">
        <v>11878</v>
      </c>
      <c r="AC6327" s="27">
        <v>9785160219912</v>
      </c>
    </row>
    <row r="6328" spans="1:29" s="4" customFormat="1" ht="51.9" customHeight="1" x14ac:dyDescent="0.2">
      <c r="A6328" s="5">
        <v>0</v>
      </c>
      <c r="B6328" s="6" t="s">
        <v>35988</v>
      </c>
      <c r="C6328" s="13">
        <v>672</v>
      </c>
      <c r="D6328" s="8" t="s">
        <v>35989</v>
      </c>
      <c r="E6328" s="8" t="s">
        <v>35990</v>
      </c>
      <c r="F6328" s="8" t="s">
        <v>35991</v>
      </c>
      <c r="G6328" s="6" t="s">
        <v>33</v>
      </c>
      <c r="H6328" s="6" t="s">
        <v>34</v>
      </c>
      <c r="I6328" s="8" t="s">
        <v>1091</v>
      </c>
      <c r="J6328" s="9">
        <v>1</v>
      </c>
      <c r="K6328" s="9">
        <v>124</v>
      </c>
      <c r="L6328" s="9">
        <v>2024</v>
      </c>
      <c r="M6328" s="8" t="s">
        <v>35992</v>
      </c>
      <c r="N6328" s="8" t="s">
        <v>63</v>
      </c>
      <c r="O6328" s="8" t="s">
        <v>154</v>
      </c>
      <c r="P6328" s="6" t="s">
        <v>39</v>
      </c>
      <c r="Q6328" s="8" t="s">
        <v>40</v>
      </c>
      <c r="R6328" s="10" t="s">
        <v>35993</v>
      </c>
      <c r="S6328" s="11"/>
      <c r="T6328" s="6"/>
      <c r="U6328" s="15" t="str">
        <f>HYPERLINK("https://media.infra-m.ru/2048/2048140/cover/2048140.jpg", "Обложка")</f>
        <v>Обложка</v>
      </c>
      <c r="V6328" s="8" t="s">
        <v>35994</v>
      </c>
      <c r="W6328" s="6"/>
      <c r="X6328" s="6"/>
      <c r="Y6328" s="6"/>
      <c r="Z6328" s="6"/>
      <c r="AA6328" s="6" t="s">
        <v>115</v>
      </c>
      <c r="AB6328" s="8"/>
      <c r="AC6328" s="27">
        <v>9785160136776</v>
      </c>
    </row>
    <row r="6329" spans="1:29" s="4" customFormat="1" ht="51.9" customHeight="1" x14ac:dyDescent="0.2">
      <c r="A6329" s="5">
        <v>0</v>
      </c>
      <c r="B6329" s="6" t="s">
        <v>35995</v>
      </c>
      <c r="C6329" s="7">
        <v>1524</v>
      </c>
      <c r="D6329" s="8" t="s">
        <v>35996</v>
      </c>
      <c r="E6329" s="8" t="s">
        <v>35997</v>
      </c>
      <c r="F6329" s="8" t="s">
        <v>35998</v>
      </c>
      <c r="G6329" s="6" t="s">
        <v>60</v>
      </c>
      <c r="H6329" s="6" t="s">
        <v>34</v>
      </c>
      <c r="I6329" s="8" t="s">
        <v>253</v>
      </c>
      <c r="J6329" s="9">
        <v>1</v>
      </c>
      <c r="K6329" s="9">
        <v>253</v>
      </c>
      <c r="L6329" s="9">
        <v>2024</v>
      </c>
      <c r="M6329" s="8" t="s">
        <v>35999</v>
      </c>
      <c r="N6329" s="8" t="s">
        <v>37</v>
      </c>
      <c r="O6329" s="8" t="s">
        <v>233</v>
      </c>
      <c r="P6329" s="6" t="s">
        <v>306</v>
      </c>
      <c r="Q6329" s="8" t="s">
        <v>65</v>
      </c>
      <c r="R6329" s="10" t="s">
        <v>36000</v>
      </c>
      <c r="S6329" s="11"/>
      <c r="T6329" s="6"/>
      <c r="U6329" s="15" t="str">
        <f>HYPERLINK("https://media.infra-m.ru/1978/1978003/cover/1978003.jpg", "Обложка")</f>
        <v>Обложка</v>
      </c>
      <c r="V6329" s="8" t="s">
        <v>396</v>
      </c>
      <c r="W6329" s="6"/>
      <c r="X6329" s="6"/>
      <c r="Y6329" s="6"/>
      <c r="Z6329" s="6"/>
      <c r="AA6329" s="6" t="s">
        <v>76</v>
      </c>
      <c r="AB6329" s="8"/>
      <c r="AC6329" s="27">
        <v>9785160183282</v>
      </c>
    </row>
    <row r="6330" spans="1:29" s="4" customFormat="1" ht="51.9" customHeight="1" x14ac:dyDescent="0.2">
      <c r="A6330" s="5">
        <v>0</v>
      </c>
      <c r="B6330" s="6" t="s">
        <v>36001</v>
      </c>
      <c r="C6330" s="7">
        <v>1272</v>
      </c>
      <c r="D6330" s="8" t="s">
        <v>36002</v>
      </c>
      <c r="E6330" s="8" t="s">
        <v>36003</v>
      </c>
      <c r="F6330" s="8" t="s">
        <v>36004</v>
      </c>
      <c r="G6330" s="6" t="s">
        <v>33</v>
      </c>
      <c r="H6330" s="6" t="s">
        <v>34</v>
      </c>
      <c r="I6330" s="8" t="s">
        <v>35</v>
      </c>
      <c r="J6330" s="9">
        <v>1</v>
      </c>
      <c r="K6330" s="9">
        <v>271</v>
      </c>
      <c r="L6330" s="9">
        <v>2022</v>
      </c>
      <c r="M6330" s="8" t="s">
        <v>36005</v>
      </c>
      <c r="N6330" s="8" t="s">
        <v>93</v>
      </c>
      <c r="O6330" s="8" t="s">
        <v>94</v>
      </c>
      <c r="P6330" s="6" t="s">
        <v>39</v>
      </c>
      <c r="Q6330" s="8" t="s">
        <v>40</v>
      </c>
      <c r="R6330" s="10" t="s">
        <v>11661</v>
      </c>
      <c r="S6330" s="11"/>
      <c r="T6330" s="6"/>
      <c r="U6330" s="15" t="str">
        <f>HYPERLINK("https://media.infra-m.ru/1840/1840120/cover/1840120.jpg", "Обложка")</f>
        <v>Обложка</v>
      </c>
      <c r="V6330" s="8" t="s">
        <v>128</v>
      </c>
      <c r="W6330" s="6"/>
      <c r="X6330" s="6"/>
      <c r="Y6330" s="6"/>
      <c r="Z6330" s="6"/>
      <c r="AA6330" s="6" t="s">
        <v>55</v>
      </c>
      <c r="AB6330" s="8"/>
      <c r="AC6330" s="27">
        <v>9785160063379</v>
      </c>
    </row>
    <row r="6331" spans="1:29" s="4" customFormat="1" ht="42" customHeight="1" x14ac:dyDescent="0.2">
      <c r="A6331" s="5">
        <v>0</v>
      </c>
      <c r="B6331" s="6" t="s">
        <v>36006</v>
      </c>
      <c r="C6331" s="7">
        <v>1176</v>
      </c>
      <c r="D6331" s="8" t="s">
        <v>36007</v>
      </c>
      <c r="E6331" s="8" t="s">
        <v>36008</v>
      </c>
      <c r="F6331" s="8" t="s">
        <v>36009</v>
      </c>
      <c r="G6331" s="6" t="s">
        <v>33</v>
      </c>
      <c r="H6331" s="6" t="s">
        <v>313</v>
      </c>
      <c r="I6331" s="8" t="s">
        <v>35</v>
      </c>
      <c r="J6331" s="9">
        <v>1</v>
      </c>
      <c r="K6331" s="9">
        <v>213</v>
      </c>
      <c r="L6331" s="9">
        <v>2024</v>
      </c>
      <c r="M6331" s="8" t="s">
        <v>36010</v>
      </c>
      <c r="N6331" s="8" t="s">
        <v>37</v>
      </c>
      <c r="O6331" s="8" t="s">
        <v>280</v>
      </c>
      <c r="P6331" s="6" t="s">
        <v>39</v>
      </c>
      <c r="Q6331" s="8" t="s">
        <v>40</v>
      </c>
      <c r="R6331" s="10" t="s">
        <v>31043</v>
      </c>
      <c r="S6331" s="11"/>
      <c r="T6331" s="6"/>
      <c r="U6331" s="15" t="str">
        <f>HYPERLINK("https://media.infra-m.ru/1877/1877533/cover/1877533.jpg", "Обложка")</f>
        <v>Обложка</v>
      </c>
      <c r="V6331" s="8" t="s">
        <v>36011</v>
      </c>
      <c r="W6331" s="6"/>
      <c r="X6331" s="6"/>
      <c r="Y6331" s="6"/>
      <c r="Z6331" s="6"/>
      <c r="AA6331" s="6" t="s">
        <v>148</v>
      </c>
      <c r="AB6331" s="8"/>
      <c r="AC6331" s="27">
        <v>9785369018774</v>
      </c>
    </row>
    <row r="6332" spans="1:29" s="4" customFormat="1" ht="51.9" customHeight="1" x14ac:dyDescent="0.2">
      <c r="A6332" s="5">
        <v>0</v>
      </c>
      <c r="B6332" s="6" t="s">
        <v>36012</v>
      </c>
      <c r="C6332" s="7">
        <v>1836</v>
      </c>
      <c r="D6332" s="8" t="s">
        <v>36013</v>
      </c>
      <c r="E6332" s="8" t="s">
        <v>36014</v>
      </c>
      <c r="F6332" s="8" t="s">
        <v>36015</v>
      </c>
      <c r="G6332" s="6" t="s">
        <v>118</v>
      </c>
      <c r="H6332" s="6" t="s">
        <v>134</v>
      </c>
      <c r="I6332" s="8"/>
      <c r="J6332" s="9">
        <v>1</v>
      </c>
      <c r="K6332" s="9">
        <v>288</v>
      </c>
      <c r="L6332" s="9">
        <v>2026</v>
      </c>
      <c r="M6332" s="8" t="s">
        <v>36016</v>
      </c>
      <c r="N6332" s="8" t="s">
        <v>37</v>
      </c>
      <c r="O6332" s="8" t="s">
        <v>136</v>
      </c>
      <c r="P6332" s="6" t="s">
        <v>39</v>
      </c>
      <c r="Q6332" s="8" t="s">
        <v>40</v>
      </c>
      <c r="R6332" s="10" t="s">
        <v>36017</v>
      </c>
      <c r="S6332" s="11"/>
      <c r="T6332" s="6"/>
      <c r="U6332" s="15" t="str">
        <f>HYPERLINK("https://media.infra-m.ru/2215/2215586/cover/2215586.jpg", "Обложка")</f>
        <v>Обложка</v>
      </c>
      <c r="V6332" s="8" t="s">
        <v>36018</v>
      </c>
      <c r="W6332" s="6"/>
      <c r="X6332" s="6"/>
      <c r="Y6332" s="6"/>
      <c r="Z6332" s="6"/>
      <c r="AA6332" s="6" t="s">
        <v>99</v>
      </c>
      <c r="AB6332" s="8"/>
      <c r="AC6332" s="27">
        <v>9785917688688</v>
      </c>
    </row>
    <row r="6333" spans="1:29" s="4" customFormat="1" ht="44.1" customHeight="1" x14ac:dyDescent="0.2">
      <c r="A6333" s="5">
        <v>0</v>
      </c>
      <c r="B6333" s="6" t="s">
        <v>36019</v>
      </c>
      <c r="C6333" s="7">
        <v>2380.8000000000002</v>
      </c>
      <c r="D6333" s="8" t="s">
        <v>36020</v>
      </c>
      <c r="E6333" s="8" t="s">
        <v>36021</v>
      </c>
      <c r="F6333" s="8" t="s">
        <v>36022</v>
      </c>
      <c r="G6333" s="6" t="s">
        <v>60</v>
      </c>
      <c r="H6333" s="6" t="s">
        <v>34</v>
      </c>
      <c r="I6333" s="8" t="s">
        <v>35</v>
      </c>
      <c r="J6333" s="9">
        <v>1</v>
      </c>
      <c r="K6333" s="9">
        <v>361</v>
      </c>
      <c r="L6333" s="9">
        <v>2026</v>
      </c>
      <c r="M6333" s="8" t="s">
        <v>36023</v>
      </c>
      <c r="N6333" s="8" t="s">
        <v>93</v>
      </c>
      <c r="O6333" s="8" t="s">
        <v>94</v>
      </c>
      <c r="P6333" s="6" t="s">
        <v>39</v>
      </c>
      <c r="Q6333" s="8" t="s">
        <v>40</v>
      </c>
      <c r="R6333" s="10" t="s">
        <v>9352</v>
      </c>
      <c r="S6333" s="11"/>
      <c r="T6333" s="6"/>
      <c r="U6333" s="15" t="str">
        <f>HYPERLINK("https://media.infra-m.ru/2249/2249529/cover/2249529.jpg", "Обложка")</f>
        <v>Обложка</v>
      </c>
      <c r="V6333" s="8" t="s">
        <v>1599</v>
      </c>
      <c r="W6333" s="6"/>
      <c r="X6333" s="6"/>
      <c r="Y6333" s="6"/>
      <c r="Z6333" s="6"/>
      <c r="AA6333" s="6" t="s">
        <v>148</v>
      </c>
      <c r="AB6333" s="8"/>
      <c r="AC6333" s="27">
        <v>9785160174822</v>
      </c>
    </row>
    <row r="6334" spans="1:29" s="4" customFormat="1" ht="42" customHeight="1" x14ac:dyDescent="0.2">
      <c r="A6334" s="5">
        <v>0</v>
      </c>
      <c r="B6334" s="6" t="s">
        <v>36024</v>
      </c>
      <c r="C6334" s="13">
        <v>473.9</v>
      </c>
      <c r="D6334" s="8" t="s">
        <v>36025</v>
      </c>
      <c r="E6334" s="8" t="s">
        <v>36026</v>
      </c>
      <c r="F6334" s="8" t="s">
        <v>36027</v>
      </c>
      <c r="G6334" s="6" t="s">
        <v>33</v>
      </c>
      <c r="H6334" s="6" t="s">
        <v>313</v>
      </c>
      <c r="I6334" s="8" t="s">
        <v>35</v>
      </c>
      <c r="J6334" s="9">
        <v>1</v>
      </c>
      <c r="K6334" s="9">
        <v>116</v>
      </c>
      <c r="L6334" s="9">
        <v>2019</v>
      </c>
      <c r="M6334" s="8" t="s">
        <v>36028</v>
      </c>
      <c r="N6334" s="8" t="s">
        <v>37</v>
      </c>
      <c r="O6334" s="8" t="s">
        <v>233</v>
      </c>
      <c r="P6334" s="6" t="s">
        <v>39</v>
      </c>
      <c r="Q6334" s="8" t="s">
        <v>40</v>
      </c>
      <c r="R6334" s="10" t="s">
        <v>36029</v>
      </c>
      <c r="S6334" s="11"/>
      <c r="T6334" s="6"/>
      <c r="U6334" s="15" t="str">
        <f>HYPERLINK("https://media.infra-m.ru/1002/1002040/cover/1002040.jpg", "Обложка")</f>
        <v>Обложка</v>
      </c>
      <c r="V6334" s="8" t="s">
        <v>2446</v>
      </c>
      <c r="W6334" s="6"/>
      <c r="X6334" s="6"/>
      <c r="Y6334" s="6"/>
      <c r="Z6334" s="6"/>
      <c r="AA6334" s="6" t="s">
        <v>55</v>
      </c>
      <c r="AB6334" s="8"/>
      <c r="AC6334" s="27">
        <v>9785369011935</v>
      </c>
    </row>
    <row r="6335" spans="1:29" s="4" customFormat="1" ht="51.9" customHeight="1" x14ac:dyDescent="0.2">
      <c r="A6335" s="5">
        <v>0</v>
      </c>
      <c r="B6335" s="6" t="s">
        <v>36030</v>
      </c>
      <c r="C6335" s="7">
        <v>1008</v>
      </c>
      <c r="D6335" s="8" t="s">
        <v>36031</v>
      </c>
      <c r="E6335" s="8" t="s">
        <v>36032</v>
      </c>
      <c r="F6335" s="8" t="s">
        <v>36033</v>
      </c>
      <c r="G6335" s="6" t="s">
        <v>33</v>
      </c>
      <c r="H6335" s="6" t="s">
        <v>34</v>
      </c>
      <c r="I6335" s="8" t="s">
        <v>35</v>
      </c>
      <c r="J6335" s="9">
        <v>1</v>
      </c>
      <c r="K6335" s="9">
        <v>183</v>
      </c>
      <c r="L6335" s="9">
        <v>2022</v>
      </c>
      <c r="M6335" s="8" t="s">
        <v>36034</v>
      </c>
      <c r="N6335" s="8" t="s">
        <v>93</v>
      </c>
      <c r="O6335" s="8" t="s">
        <v>94</v>
      </c>
      <c r="P6335" s="6" t="s">
        <v>39</v>
      </c>
      <c r="Q6335" s="8" t="s">
        <v>40</v>
      </c>
      <c r="R6335" s="10" t="s">
        <v>36035</v>
      </c>
      <c r="S6335" s="11"/>
      <c r="T6335" s="6"/>
      <c r="U6335" s="15" t="str">
        <f>HYPERLINK("https://media.infra-m.ru/1859/1859605/cover/1859605.jpg", "Обложка")</f>
        <v>Обложка</v>
      </c>
      <c r="V6335" s="8" t="s">
        <v>13825</v>
      </c>
      <c r="W6335" s="6"/>
      <c r="X6335" s="6"/>
      <c r="Y6335" s="6"/>
      <c r="Z6335" s="6"/>
      <c r="AA6335" s="6" t="s">
        <v>148</v>
      </c>
      <c r="AB6335" s="8"/>
      <c r="AC6335" s="27">
        <v>9785160175102</v>
      </c>
    </row>
    <row r="6336" spans="1:29" s="4" customFormat="1" ht="51.9" customHeight="1" x14ac:dyDescent="0.2">
      <c r="A6336" s="5">
        <v>0</v>
      </c>
      <c r="B6336" s="6" t="s">
        <v>36036</v>
      </c>
      <c r="C6336" s="7">
        <v>1524</v>
      </c>
      <c r="D6336" s="8" t="s">
        <v>36037</v>
      </c>
      <c r="E6336" s="8" t="s">
        <v>36038</v>
      </c>
      <c r="F6336" s="8" t="s">
        <v>36039</v>
      </c>
      <c r="G6336" s="6" t="s">
        <v>60</v>
      </c>
      <c r="H6336" s="6" t="s">
        <v>34</v>
      </c>
      <c r="I6336" s="8" t="s">
        <v>35</v>
      </c>
      <c r="J6336" s="9">
        <v>1</v>
      </c>
      <c r="K6336" s="9">
        <v>274</v>
      </c>
      <c r="L6336" s="9">
        <v>2023</v>
      </c>
      <c r="M6336" s="8" t="s">
        <v>36040</v>
      </c>
      <c r="N6336" s="8" t="s">
        <v>93</v>
      </c>
      <c r="O6336" s="8" t="s">
        <v>94</v>
      </c>
      <c r="P6336" s="6" t="s">
        <v>39</v>
      </c>
      <c r="Q6336" s="8" t="s">
        <v>40</v>
      </c>
      <c r="R6336" s="10" t="s">
        <v>36041</v>
      </c>
      <c r="S6336" s="11"/>
      <c r="T6336" s="6"/>
      <c r="U6336" s="15" t="str">
        <f>HYPERLINK("https://media.infra-m.ru/1989/1989214/cover/1989214.jpg", "Обложка")</f>
        <v>Обложка</v>
      </c>
      <c r="V6336" s="8" t="s">
        <v>36042</v>
      </c>
      <c r="W6336" s="6"/>
      <c r="X6336" s="6"/>
      <c r="Y6336" s="6"/>
      <c r="Z6336" s="6"/>
      <c r="AA6336" s="6" t="s">
        <v>157</v>
      </c>
      <c r="AB6336" s="8"/>
      <c r="AC6336" s="27">
        <v>9785160183718</v>
      </c>
    </row>
    <row r="6337" spans="1:29" s="4" customFormat="1" ht="51.9" customHeight="1" x14ac:dyDescent="0.2">
      <c r="A6337" s="5">
        <v>0</v>
      </c>
      <c r="B6337" s="6" t="s">
        <v>36043</v>
      </c>
      <c r="C6337" s="13">
        <v>880.8</v>
      </c>
      <c r="D6337" s="8" t="s">
        <v>36044</v>
      </c>
      <c r="E6337" s="8" t="s">
        <v>36045</v>
      </c>
      <c r="F6337" s="8" t="s">
        <v>36046</v>
      </c>
      <c r="G6337" s="6" t="s">
        <v>33</v>
      </c>
      <c r="H6337" s="6" t="s">
        <v>34</v>
      </c>
      <c r="I6337" s="8" t="s">
        <v>35</v>
      </c>
      <c r="J6337" s="9">
        <v>1</v>
      </c>
      <c r="K6337" s="9">
        <v>126</v>
      </c>
      <c r="L6337" s="9">
        <v>2027</v>
      </c>
      <c r="M6337" s="8" t="s">
        <v>36047</v>
      </c>
      <c r="N6337" s="8" t="s">
        <v>93</v>
      </c>
      <c r="O6337" s="8" t="s">
        <v>94</v>
      </c>
      <c r="P6337" s="6" t="s">
        <v>39</v>
      </c>
      <c r="Q6337" s="8" t="s">
        <v>40</v>
      </c>
      <c r="R6337" s="10" t="s">
        <v>36048</v>
      </c>
      <c r="S6337" s="11"/>
      <c r="T6337" s="6"/>
      <c r="U6337" s="15" t="str">
        <f>HYPERLINK("https://media.infra-m.ru/2254/2254025/cover/2254025.jpg", "Обложка")</f>
        <v>Обложка</v>
      </c>
      <c r="V6337" s="8" t="s">
        <v>10238</v>
      </c>
      <c r="W6337" s="6"/>
      <c r="X6337" s="6"/>
      <c r="Y6337" s="6"/>
      <c r="Z6337" s="6"/>
      <c r="AA6337" s="6" t="s">
        <v>86</v>
      </c>
      <c r="AB6337" s="8"/>
      <c r="AC6337" s="27">
        <v>9785160131863</v>
      </c>
    </row>
    <row r="6338" spans="1:29" s="4" customFormat="1" ht="51.9" customHeight="1" x14ac:dyDescent="0.2">
      <c r="A6338" s="5">
        <v>0</v>
      </c>
      <c r="B6338" s="6" t="s">
        <v>36049</v>
      </c>
      <c r="C6338" s="13">
        <v>773.9</v>
      </c>
      <c r="D6338" s="8" t="s">
        <v>36050</v>
      </c>
      <c r="E6338" s="8" t="s">
        <v>36051</v>
      </c>
      <c r="F6338" s="8" t="s">
        <v>36052</v>
      </c>
      <c r="G6338" s="6" t="s">
        <v>60</v>
      </c>
      <c r="H6338" s="6" t="s">
        <v>34</v>
      </c>
      <c r="I6338" s="8" t="s">
        <v>35</v>
      </c>
      <c r="J6338" s="9">
        <v>1</v>
      </c>
      <c r="K6338" s="9">
        <v>184</v>
      </c>
      <c r="L6338" s="9">
        <v>2020</v>
      </c>
      <c r="M6338" s="8" t="s">
        <v>36053</v>
      </c>
      <c r="N6338" s="8" t="s">
        <v>243</v>
      </c>
      <c r="O6338" s="8" t="s">
        <v>244</v>
      </c>
      <c r="P6338" s="6" t="s">
        <v>39</v>
      </c>
      <c r="Q6338" s="8" t="s">
        <v>40</v>
      </c>
      <c r="R6338" s="10" t="s">
        <v>36054</v>
      </c>
      <c r="S6338" s="11"/>
      <c r="T6338" s="6"/>
      <c r="U6338" s="15" t="str">
        <f>HYPERLINK("https://media.infra-m.ru/1047/1047113/cover/1047113.jpg", "Обложка")</f>
        <v>Обложка</v>
      </c>
      <c r="V6338" s="8" t="s">
        <v>10951</v>
      </c>
      <c r="W6338" s="6"/>
      <c r="X6338" s="6"/>
      <c r="Y6338" s="6"/>
      <c r="Z6338" s="6"/>
      <c r="AA6338" s="6" t="s">
        <v>99</v>
      </c>
      <c r="AB6338" s="8"/>
      <c r="AC6338" s="27">
        <v>9785160126371</v>
      </c>
    </row>
    <row r="6339" spans="1:29" s="4" customFormat="1" ht="51.9" customHeight="1" x14ac:dyDescent="0.2">
      <c r="A6339" s="5">
        <v>0</v>
      </c>
      <c r="B6339" s="6" t="s">
        <v>36055</v>
      </c>
      <c r="C6339" s="7">
        <v>2148</v>
      </c>
      <c r="D6339" s="8" t="s">
        <v>36056</v>
      </c>
      <c r="E6339" s="8" t="s">
        <v>36057</v>
      </c>
      <c r="F6339" s="8" t="s">
        <v>36058</v>
      </c>
      <c r="G6339" s="6" t="s">
        <v>118</v>
      </c>
      <c r="H6339" s="6" t="s">
        <v>34</v>
      </c>
      <c r="I6339" s="8" t="s">
        <v>253</v>
      </c>
      <c r="J6339" s="9">
        <v>1</v>
      </c>
      <c r="K6339" s="9">
        <v>325</v>
      </c>
      <c r="L6339" s="9">
        <v>2026</v>
      </c>
      <c r="M6339" s="8" t="s">
        <v>36059</v>
      </c>
      <c r="N6339" s="8" t="s">
        <v>243</v>
      </c>
      <c r="O6339" s="8" t="s">
        <v>758</v>
      </c>
      <c r="P6339" s="6" t="s">
        <v>51</v>
      </c>
      <c r="Q6339" s="8" t="s">
        <v>52</v>
      </c>
      <c r="R6339" s="10" t="s">
        <v>36060</v>
      </c>
      <c r="S6339" s="11" t="s">
        <v>22728</v>
      </c>
      <c r="T6339" s="6"/>
      <c r="U6339" s="15" t="str">
        <f>HYPERLINK("https://media.infra-m.ru/2240/2240370/cover/2240370.jpg", "Обложка")</f>
        <v>Обложка</v>
      </c>
      <c r="V6339" s="8" t="s">
        <v>227</v>
      </c>
      <c r="W6339" s="6"/>
      <c r="X6339" s="6"/>
      <c r="Y6339" s="6"/>
      <c r="Z6339" s="6"/>
      <c r="AA6339" s="6" t="s">
        <v>99</v>
      </c>
      <c r="AB6339" s="8"/>
      <c r="AC6339" s="27">
        <v>9785160192680</v>
      </c>
    </row>
    <row r="6340" spans="1:29" s="4" customFormat="1" ht="44.1" customHeight="1" x14ac:dyDescent="0.2">
      <c r="A6340" s="5">
        <v>0</v>
      </c>
      <c r="B6340" s="6" t="s">
        <v>36061</v>
      </c>
      <c r="C6340" s="7">
        <v>1248</v>
      </c>
      <c r="D6340" s="8" t="s">
        <v>36062</v>
      </c>
      <c r="E6340" s="8" t="s">
        <v>36063</v>
      </c>
      <c r="F6340" s="8" t="s">
        <v>36064</v>
      </c>
      <c r="G6340" s="6" t="s">
        <v>33</v>
      </c>
      <c r="H6340" s="6" t="s">
        <v>34</v>
      </c>
      <c r="I6340" s="8" t="s">
        <v>35</v>
      </c>
      <c r="J6340" s="9">
        <v>1</v>
      </c>
      <c r="K6340" s="9">
        <v>229</v>
      </c>
      <c r="L6340" s="9">
        <v>2023</v>
      </c>
      <c r="M6340" s="8" t="s">
        <v>36065</v>
      </c>
      <c r="N6340" s="8" t="s">
        <v>93</v>
      </c>
      <c r="O6340" s="8" t="s">
        <v>94</v>
      </c>
      <c r="P6340" s="6" t="s">
        <v>39</v>
      </c>
      <c r="Q6340" s="8" t="s">
        <v>40</v>
      </c>
      <c r="R6340" s="10" t="s">
        <v>25258</v>
      </c>
      <c r="S6340" s="11"/>
      <c r="T6340" s="6"/>
      <c r="U6340" s="15" t="str">
        <f>HYPERLINK("https://media.infra-m.ru/1876/1876370/cover/1876370.jpg", "Обложка")</f>
        <v>Обложка</v>
      </c>
      <c r="V6340" s="8" t="s">
        <v>16493</v>
      </c>
      <c r="W6340" s="6"/>
      <c r="X6340" s="6"/>
      <c r="Y6340" s="6"/>
      <c r="Z6340" s="6"/>
      <c r="AA6340" s="6" t="s">
        <v>157</v>
      </c>
      <c r="AB6340" s="8"/>
      <c r="AC6340" s="27">
        <v>9785160177946</v>
      </c>
    </row>
    <row r="6341" spans="1:29" s="4" customFormat="1" ht="51.9" customHeight="1" x14ac:dyDescent="0.2">
      <c r="A6341" s="5">
        <v>0</v>
      </c>
      <c r="B6341" s="6" t="s">
        <v>36066</v>
      </c>
      <c r="C6341" s="7">
        <v>1380</v>
      </c>
      <c r="D6341" s="8" t="s">
        <v>36067</v>
      </c>
      <c r="E6341" s="8" t="s">
        <v>36068</v>
      </c>
      <c r="F6341" s="8" t="s">
        <v>36069</v>
      </c>
      <c r="G6341" s="6" t="s">
        <v>33</v>
      </c>
      <c r="H6341" s="6" t="s">
        <v>34</v>
      </c>
      <c r="I6341" s="8" t="s">
        <v>35</v>
      </c>
      <c r="J6341" s="9">
        <v>1</v>
      </c>
      <c r="K6341" s="9">
        <v>198</v>
      </c>
      <c r="L6341" s="9">
        <v>2027</v>
      </c>
      <c r="M6341" s="8" t="s">
        <v>36070</v>
      </c>
      <c r="N6341" s="8" t="s">
        <v>37</v>
      </c>
      <c r="O6341" s="8" t="s">
        <v>280</v>
      </c>
      <c r="P6341" s="6" t="s">
        <v>39</v>
      </c>
      <c r="Q6341" s="8" t="s">
        <v>40</v>
      </c>
      <c r="R6341" s="10" t="s">
        <v>1150</v>
      </c>
      <c r="S6341" s="11"/>
      <c r="T6341" s="6"/>
      <c r="U6341" s="15" t="str">
        <f>HYPERLINK("https://media.infra-m.ru/2264/2264712/cover/2264712.jpg", "Обложка")</f>
        <v>Обложка</v>
      </c>
      <c r="V6341" s="8" t="s">
        <v>1243</v>
      </c>
      <c r="W6341" s="6"/>
      <c r="X6341" s="6"/>
      <c r="Y6341" s="6"/>
      <c r="Z6341" s="6"/>
      <c r="AA6341" s="6" t="s">
        <v>248</v>
      </c>
      <c r="AB6341" s="8"/>
      <c r="AC6341" s="27">
        <v>9785160098111</v>
      </c>
    </row>
    <row r="6342" spans="1:29" s="4" customFormat="1" ht="51.9" customHeight="1" x14ac:dyDescent="0.2">
      <c r="A6342" s="5">
        <v>0</v>
      </c>
      <c r="B6342" s="6" t="s">
        <v>36071</v>
      </c>
      <c r="C6342" s="7">
        <v>1836</v>
      </c>
      <c r="D6342" s="8" t="s">
        <v>36072</v>
      </c>
      <c r="E6342" s="8" t="s">
        <v>36073</v>
      </c>
      <c r="F6342" s="8" t="s">
        <v>19008</v>
      </c>
      <c r="G6342" s="6" t="s">
        <v>118</v>
      </c>
      <c r="H6342" s="6" t="s">
        <v>34</v>
      </c>
      <c r="I6342" s="8" t="s">
        <v>253</v>
      </c>
      <c r="J6342" s="9">
        <v>1</v>
      </c>
      <c r="K6342" s="9">
        <v>300</v>
      </c>
      <c r="L6342" s="9">
        <v>2026</v>
      </c>
      <c r="M6342" s="8" t="s">
        <v>36074</v>
      </c>
      <c r="N6342" s="8" t="s">
        <v>93</v>
      </c>
      <c r="O6342" s="8" t="s">
        <v>94</v>
      </c>
      <c r="P6342" s="6" t="s">
        <v>51</v>
      </c>
      <c r="Q6342" s="8" t="s">
        <v>52</v>
      </c>
      <c r="R6342" s="10" t="s">
        <v>2486</v>
      </c>
      <c r="S6342" s="11" t="s">
        <v>36075</v>
      </c>
      <c r="T6342" s="6" t="s">
        <v>97</v>
      </c>
      <c r="U6342" s="15" t="str">
        <f>HYPERLINK("https://media.infra-m.ru/2234/2234453/cover/2234453.jpg", "Обложка")</f>
        <v>Обложка</v>
      </c>
      <c r="V6342" s="8" t="s">
        <v>19012</v>
      </c>
      <c r="W6342" s="6"/>
      <c r="X6342" s="6"/>
      <c r="Y6342" s="6"/>
      <c r="Z6342" s="6"/>
      <c r="AA6342" s="6" t="s">
        <v>2240</v>
      </c>
      <c r="AB6342" s="8"/>
      <c r="AC6342" s="27">
        <v>9785160189215</v>
      </c>
    </row>
    <row r="6343" spans="1:29" s="4" customFormat="1" ht="51.9" customHeight="1" x14ac:dyDescent="0.2">
      <c r="A6343" s="5">
        <v>0</v>
      </c>
      <c r="B6343" s="6" t="s">
        <v>36076</v>
      </c>
      <c r="C6343" s="7">
        <v>1980</v>
      </c>
      <c r="D6343" s="8" t="s">
        <v>36077</v>
      </c>
      <c r="E6343" s="8" t="s">
        <v>36073</v>
      </c>
      <c r="F6343" s="8" t="s">
        <v>19008</v>
      </c>
      <c r="G6343" s="6" t="s">
        <v>118</v>
      </c>
      <c r="H6343" s="6" t="s">
        <v>34</v>
      </c>
      <c r="I6343" s="8" t="s">
        <v>263</v>
      </c>
      <c r="J6343" s="9">
        <v>1</v>
      </c>
      <c r="K6343" s="9">
        <v>300</v>
      </c>
      <c r="L6343" s="9">
        <v>2026</v>
      </c>
      <c r="M6343" s="8" t="s">
        <v>36078</v>
      </c>
      <c r="N6343" s="8" t="s">
        <v>93</v>
      </c>
      <c r="O6343" s="8" t="s">
        <v>94</v>
      </c>
      <c r="P6343" s="6" t="s">
        <v>51</v>
      </c>
      <c r="Q6343" s="8" t="s">
        <v>265</v>
      </c>
      <c r="R6343" s="10" t="s">
        <v>10977</v>
      </c>
      <c r="S6343" s="11" t="s">
        <v>28500</v>
      </c>
      <c r="T6343" s="6"/>
      <c r="U6343" s="15" t="str">
        <f>HYPERLINK("https://media.infra-m.ru/2219/2219448/cover/2219448.jpg", "Обложка")</f>
        <v>Обложка</v>
      </c>
      <c r="V6343" s="8" t="s">
        <v>19012</v>
      </c>
      <c r="W6343" s="6"/>
      <c r="X6343" s="6"/>
      <c r="Y6343" s="6"/>
      <c r="Z6343" s="6" t="s">
        <v>267</v>
      </c>
      <c r="AA6343" s="6" t="s">
        <v>218</v>
      </c>
      <c r="AB6343" s="8"/>
      <c r="AC6343" s="27">
        <v>9785160156644</v>
      </c>
    </row>
    <row r="6344" spans="1:29" s="4" customFormat="1" ht="42" customHeight="1" x14ac:dyDescent="0.2">
      <c r="A6344" s="5">
        <v>0</v>
      </c>
      <c r="B6344" s="6" t="s">
        <v>36079</v>
      </c>
      <c r="C6344" s="7">
        <v>1492.8</v>
      </c>
      <c r="D6344" s="8" t="s">
        <v>36080</v>
      </c>
      <c r="E6344" s="8" t="s">
        <v>36081</v>
      </c>
      <c r="F6344" s="8" t="s">
        <v>19008</v>
      </c>
      <c r="G6344" s="6" t="s">
        <v>33</v>
      </c>
      <c r="H6344" s="6" t="s">
        <v>34</v>
      </c>
      <c r="I6344" s="8" t="s">
        <v>35</v>
      </c>
      <c r="J6344" s="9">
        <v>1</v>
      </c>
      <c r="K6344" s="9">
        <v>234</v>
      </c>
      <c r="L6344" s="9">
        <v>2026</v>
      </c>
      <c r="M6344" s="8" t="s">
        <v>36082</v>
      </c>
      <c r="N6344" s="8" t="s">
        <v>93</v>
      </c>
      <c r="O6344" s="8" t="s">
        <v>94</v>
      </c>
      <c r="P6344" s="6" t="s">
        <v>39</v>
      </c>
      <c r="Q6344" s="8" t="s">
        <v>40</v>
      </c>
      <c r="R6344" s="10" t="s">
        <v>594</v>
      </c>
      <c r="S6344" s="11"/>
      <c r="T6344" s="6"/>
      <c r="U6344" s="15" t="str">
        <f>HYPERLINK("https://media.infra-m.ru/2220/2220993/cover/2220993.jpg", "Обложка")</f>
        <v>Обложка</v>
      </c>
      <c r="V6344" s="8" t="s">
        <v>19012</v>
      </c>
      <c r="W6344" s="6"/>
      <c r="X6344" s="6"/>
      <c r="Y6344" s="6"/>
      <c r="Z6344" s="6"/>
      <c r="AA6344" s="6" t="s">
        <v>779</v>
      </c>
      <c r="AB6344" s="8"/>
      <c r="AC6344" s="27">
        <v>9785160167879</v>
      </c>
    </row>
    <row r="6345" spans="1:29" s="4" customFormat="1" ht="33" customHeight="1" x14ac:dyDescent="0.2">
      <c r="A6345" s="5">
        <v>0</v>
      </c>
      <c r="B6345" s="6" t="s">
        <v>36083</v>
      </c>
      <c r="C6345" s="13">
        <v>876</v>
      </c>
      <c r="D6345" s="8" t="s">
        <v>36084</v>
      </c>
      <c r="E6345" s="8" t="s">
        <v>36081</v>
      </c>
      <c r="F6345" s="8" t="s">
        <v>19008</v>
      </c>
      <c r="G6345" s="6" t="s">
        <v>60</v>
      </c>
      <c r="H6345" s="6" t="s">
        <v>34</v>
      </c>
      <c r="I6345" s="8" t="s">
        <v>35</v>
      </c>
      <c r="J6345" s="9">
        <v>1</v>
      </c>
      <c r="K6345" s="9">
        <v>234</v>
      </c>
      <c r="L6345" s="9">
        <v>2018</v>
      </c>
      <c r="M6345" s="8" t="s">
        <v>36085</v>
      </c>
      <c r="N6345" s="8" t="s">
        <v>93</v>
      </c>
      <c r="O6345" s="8" t="s">
        <v>94</v>
      </c>
      <c r="P6345" s="6" t="s">
        <v>39</v>
      </c>
      <c r="Q6345" s="8" t="s">
        <v>40</v>
      </c>
      <c r="R6345" s="10" t="s">
        <v>594</v>
      </c>
      <c r="S6345" s="11"/>
      <c r="T6345" s="6"/>
      <c r="U6345" s="12"/>
      <c r="V6345" s="8" t="s">
        <v>19012</v>
      </c>
      <c r="W6345" s="6"/>
      <c r="X6345" s="6"/>
      <c r="Y6345" s="6"/>
      <c r="Z6345" s="6"/>
      <c r="AA6345" s="6" t="s">
        <v>779</v>
      </c>
      <c r="AB6345" s="8"/>
      <c r="AC6345" s="27">
        <v>9785160115498</v>
      </c>
    </row>
    <row r="6346" spans="1:29" s="4" customFormat="1" ht="42" customHeight="1" x14ac:dyDescent="0.2">
      <c r="A6346" s="5">
        <v>0</v>
      </c>
      <c r="B6346" s="6" t="s">
        <v>36086</v>
      </c>
      <c r="C6346" s="7">
        <v>1168.8</v>
      </c>
      <c r="D6346" s="8" t="s">
        <v>36087</v>
      </c>
      <c r="E6346" s="8" t="s">
        <v>36088</v>
      </c>
      <c r="F6346" s="8" t="s">
        <v>19008</v>
      </c>
      <c r="G6346" s="6" t="s">
        <v>60</v>
      </c>
      <c r="H6346" s="6" t="s">
        <v>34</v>
      </c>
      <c r="I6346" s="8" t="s">
        <v>35</v>
      </c>
      <c r="J6346" s="9">
        <v>1</v>
      </c>
      <c r="K6346" s="9">
        <v>178</v>
      </c>
      <c r="L6346" s="9">
        <v>2026</v>
      </c>
      <c r="M6346" s="8" t="s">
        <v>36089</v>
      </c>
      <c r="N6346" s="8" t="s">
        <v>93</v>
      </c>
      <c r="O6346" s="8" t="s">
        <v>94</v>
      </c>
      <c r="P6346" s="6" t="s">
        <v>39</v>
      </c>
      <c r="Q6346" s="8" t="s">
        <v>40</v>
      </c>
      <c r="R6346" s="10" t="s">
        <v>10318</v>
      </c>
      <c r="S6346" s="11"/>
      <c r="T6346" s="6"/>
      <c r="U6346" s="15" t="str">
        <f>HYPERLINK("https://media.infra-m.ru/2237/2237111/cover/2237111.jpg", "Обложка")</f>
        <v>Обложка</v>
      </c>
      <c r="V6346" s="8" t="s">
        <v>19012</v>
      </c>
      <c r="W6346" s="6"/>
      <c r="X6346" s="6"/>
      <c r="Y6346" s="6"/>
      <c r="Z6346" s="6"/>
      <c r="AA6346" s="6" t="s">
        <v>76</v>
      </c>
      <c r="AB6346" s="8"/>
      <c r="AC6346" s="27">
        <v>9785160189758</v>
      </c>
    </row>
    <row r="6347" spans="1:29" s="4" customFormat="1" ht="42" customHeight="1" x14ac:dyDescent="0.2">
      <c r="A6347" s="5">
        <v>0</v>
      </c>
      <c r="B6347" s="6" t="s">
        <v>36090</v>
      </c>
      <c r="C6347" s="13">
        <v>792</v>
      </c>
      <c r="D6347" s="8" t="s">
        <v>36091</v>
      </c>
      <c r="E6347" s="8" t="s">
        <v>36092</v>
      </c>
      <c r="F6347" s="8" t="s">
        <v>36093</v>
      </c>
      <c r="G6347" s="6" t="s">
        <v>33</v>
      </c>
      <c r="H6347" s="6" t="s">
        <v>34</v>
      </c>
      <c r="I6347" s="8" t="s">
        <v>35</v>
      </c>
      <c r="J6347" s="9">
        <v>1</v>
      </c>
      <c r="K6347" s="9">
        <v>109</v>
      </c>
      <c r="L6347" s="9">
        <v>2026</v>
      </c>
      <c r="M6347" s="8" t="s">
        <v>36094</v>
      </c>
      <c r="N6347" s="8" t="s">
        <v>224</v>
      </c>
      <c r="O6347" s="8" t="s">
        <v>225</v>
      </c>
      <c r="P6347" s="6" t="s">
        <v>39</v>
      </c>
      <c r="Q6347" s="8" t="s">
        <v>40</v>
      </c>
      <c r="R6347" s="10" t="s">
        <v>36095</v>
      </c>
      <c r="S6347" s="11"/>
      <c r="T6347" s="6"/>
      <c r="U6347" s="15" t="str">
        <f>HYPERLINK("https://media.infra-m.ru/2250/2250006/cover/2250006.jpg", "Обложка")</f>
        <v>Обложка</v>
      </c>
      <c r="V6347" s="8" t="s">
        <v>831</v>
      </c>
      <c r="W6347" s="6" t="s">
        <v>9380</v>
      </c>
      <c r="X6347" s="6"/>
      <c r="Y6347" s="6"/>
      <c r="Z6347" s="6"/>
      <c r="AA6347" s="6" t="s">
        <v>187</v>
      </c>
      <c r="AB6347" s="8"/>
      <c r="AC6347" s="27">
        <v>9785160220666</v>
      </c>
    </row>
    <row r="6348" spans="1:29" s="4" customFormat="1" ht="51.9" customHeight="1" x14ac:dyDescent="0.2">
      <c r="A6348" s="5">
        <v>0</v>
      </c>
      <c r="B6348" s="6" t="s">
        <v>36096</v>
      </c>
      <c r="C6348" s="7">
        <v>1080</v>
      </c>
      <c r="D6348" s="8" t="s">
        <v>36097</v>
      </c>
      <c r="E6348" s="8" t="s">
        <v>36098</v>
      </c>
      <c r="F6348" s="8" t="s">
        <v>36099</v>
      </c>
      <c r="G6348" s="6" t="s">
        <v>118</v>
      </c>
      <c r="H6348" s="6" t="s">
        <v>48</v>
      </c>
      <c r="I6348" s="8" t="s">
        <v>263</v>
      </c>
      <c r="J6348" s="9">
        <v>1</v>
      </c>
      <c r="K6348" s="9">
        <v>189</v>
      </c>
      <c r="L6348" s="9">
        <v>2024</v>
      </c>
      <c r="M6348" s="8" t="s">
        <v>36100</v>
      </c>
      <c r="N6348" s="8" t="s">
        <v>93</v>
      </c>
      <c r="O6348" s="8" t="s">
        <v>94</v>
      </c>
      <c r="P6348" s="6" t="s">
        <v>51</v>
      </c>
      <c r="Q6348" s="8" t="s">
        <v>265</v>
      </c>
      <c r="R6348" s="10" t="s">
        <v>25269</v>
      </c>
      <c r="S6348" s="11" t="s">
        <v>36101</v>
      </c>
      <c r="T6348" s="6"/>
      <c r="U6348" s="15" t="str">
        <f>HYPERLINK("https://media.infra-m.ru/2131/2131867/cover/2131867.jpg", "Обложка")</f>
        <v>Обложка</v>
      </c>
      <c r="V6348" s="8" t="s">
        <v>5271</v>
      </c>
      <c r="W6348" s="6"/>
      <c r="X6348" s="6"/>
      <c r="Y6348" s="6"/>
      <c r="Z6348" s="6" t="s">
        <v>36102</v>
      </c>
      <c r="AA6348" s="6" t="s">
        <v>115</v>
      </c>
      <c r="AB6348" s="8"/>
      <c r="AC6348" s="27">
        <v>9785000916483</v>
      </c>
    </row>
    <row r="6349" spans="1:29" s="4" customFormat="1" ht="51.9" customHeight="1" x14ac:dyDescent="0.2">
      <c r="A6349" s="5">
        <v>0</v>
      </c>
      <c r="B6349" s="6" t="s">
        <v>36103</v>
      </c>
      <c r="C6349" s="7">
        <v>1228.8</v>
      </c>
      <c r="D6349" s="8" t="s">
        <v>36104</v>
      </c>
      <c r="E6349" s="8" t="s">
        <v>36105</v>
      </c>
      <c r="F6349" s="8" t="s">
        <v>36099</v>
      </c>
      <c r="G6349" s="6" t="s">
        <v>118</v>
      </c>
      <c r="H6349" s="6" t="s">
        <v>34</v>
      </c>
      <c r="I6349" s="8" t="s">
        <v>263</v>
      </c>
      <c r="J6349" s="9">
        <v>1</v>
      </c>
      <c r="K6349" s="9">
        <v>197</v>
      </c>
      <c r="L6349" s="9">
        <v>2026</v>
      </c>
      <c r="M6349" s="8" t="s">
        <v>36106</v>
      </c>
      <c r="N6349" s="8" t="s">
        <v>93</v>
      </c>
      <c r="O6349" s="8" t="s">
        <v>94</v>
      </c>
      <c r="P6349" s="6" t="s">
        <v>51</v>
      </c>
      <c r="Q6349" s="8" t="s">
        <v>265</v>
      </c>
      <c r="R6349" s="10" t="s">
        <v>20869</v>
      </c>
      <c r="S6349" s="11" t="s">
        <v>36107</v>
      </c>
      <c r="T6349" s="6"/>
      <c r="U6349" s="15" t="str">
        <f>HYPERLINK("https://media.infra-m.ru/2222/2222989/cover/2222989.jpg", "Обложка")</f>
        <v>Обложка</v>
      </c>
      <c r="V6349" s="8" t="s">
        <v>5271</v>
      </c>
      <c r="W6349" s="6"/>
      <c r="X6349" s="6"/>
      <c r="Y6349" s="6"/>
      <c r="Z6349" s="6"/>
      <c r="AA6349" s="6" t="s">
        <v>258</v>
      </c>
      <c r="AB6349" s="8"/>
      <c r="AC6349" s="27">
        <v>9785160162812</v>
      </c>
    </row>
    <row r="6350" spans="1:29" s="4" customFormat="1" ht="42" customHeight="1" x14ac:dyDescent="0.2">
      <c r="A6350" s="5">
        <v>0</v>
      </c>
      <c r="B6350" s="6" t="s">
        <v>36108</v>
      </c>
      <c r="C6350" s="7">
        <v>1224</v>
      </c>
      <c r="D6350" s="8" t="s">
        <v>36109</v>
      </c>
      <c r="E6350" s="8" t="s">
        <v>36105</v>
      </c>
      <c r="F6350" s="8" t="s">
        <v>36099</v>
      </c>
      <c r="G6350" s="6" t="s">
        <v>118</v>
      </c>
      <c r="H6350" s="6" t="s">
        <v>34</v>
      </c>
      <c r="I6350" s="8" t="s">
        <v>179</v>
      </c>
      <c r="J6350" s="9">
        <v>1</v>
      </c>
      <c r="K6350" s="9">
        <v>175</v>
      </c>
      <c r="L6350" s="9">
        <v>2026</v>
      </c>
      <c r="M6350" s="8" t="s">
        <v>36110</v>
      </c>
      <c r="N6350" s="8" t="s">
        <v>93</v>
      </c>
      <c r="O6350" s="8" t="s">
        <v>94</v>
      </c>
      <c r="P6350" s="6" t="s">
        <v>182</v>
      </c>
      <c r="Q6350" s="8"/>
      <c r="R6350" s="10" t="s">
        <v>20869</v>
      </c>
      <c r="S6350" s="11"/>
      <c r="T6350" s="6"/>
      <c r="U6350" s="15" t="str">
        <f>HYPERLINK("https://media.infra-m.ru/2212/2212242/cover/2212242.jpg", "Обложка")</f>
        <v>Обложка</v>
      </c>
      <c r="V6350" s="8" t="s">
        <v>5271</v>
      </c>
      <c r="W6350" s="6"/>
      <c r="X6350" s="6"/>
      <c r="Y6350" s="6"/>
      <c r="Z6350" s="6"/>
      <c r="AA6350" s="6" t="s">
        <v>917</v>
      </c>
      <c r="AB6350" s="8"/>
      <c r="AC6350" s="27">
        <v>9785160205076</v>
      </c>
    </row>
    <row r="6351" spans="1:29" s="4" customFormat="1" ht="42" customHeight="1" x14ac:dyDescent="0.2">
      <c r="A6351" s="5">
        <v>0</v>
      </c>
      <c r="B6351" s="6" t="s">
        <v>36111</v>
      </c>
      <c r="C6351" s="13">
        <v>713.9</v>
      </c>
      <c r="D6351" s="8" t="s">
        <v>36112</v>
      </c>
      <c r="E6351" s="8" t="s">
        <v>36098</v>
      </c>
      <c r="F6351" s="8" t="s">
        <v>36099</v>
      </c>
      <c r="G6351" s="6" t="s">
        <v>33</v>
      </c>
      <c r="H6351" s="6" t="s">
        <v>48</v>
      </c>
      <c r="I6351" s="8"/>
      <c r="J6351" s="9">
        <v>1</v>
      </c>
      <c r="K6351" s="9">
        <v>188</v>
      </c>
      <c r="L6351" s="9">
        <v>2019</v>
      </c>
      <c r="M6351" s="8" t="s">
        <v>36113</v>
      </c>
      <c r="N6351" s="8" t="s">
        <v>93</v>
      </c>
      <c r="O6351" s="8" t="s">
        <v>94</v>
      </c>
      <c r="P6351" s="6" t="s">
        <v>51</v>
      </c>
      <c r="Q6351" s="8"/>
      <c r="R6351" s="10" t="s">
        <v>20869</v>
      </c>
      <c r="S6351" s="11"/>
      <c r="T6351" s="6"/>
      <c r="U6351" s="15" t="str">
        <f>HYPERLINK("https://media.infra-m.ru/1001/1001116/cover/1001116.jpg", "Обложка")</f>
        <v>Обложка</v>
      </c>
      <c r="V6351" s="8" t="s">
        <v>5271</v>
      </c>
      <c r="W6351" s="6"/>
      <c r="X6351" s="6"/>
      <c r="Y6351" s="6"/>
      <c r="Z6351" s="6"/>
      <c r="AA6351" s="6" t="s">
        <v>561</v>
      </c>
      <c r="AB6351" s="8"/>
      <c r="AC6351" s="27">
        <v>9785911343545</v>
      </c>
    </row>
    <row r="6352" spans="1:29" s="4" customFormat="1" ht="42" customHeight="1" x14ac:dyDescent="0.2">
      <c r="A6352" s="5">
        <v>0</v>
      </c>
      <c r="B6352" s="6" t="s">
        <v>36114</v>
      </c>
      <c r="C6352" s="7">
        <v>1180.8</v>
      </c>
      <c r="D6352" s="8" t="s">
        <v>36115</v>
      </c>
      <c r="E6352" s="8" t="s">
        <v>36116</v>
      </c>
      <c r="F6352" s="8" t="s">
        <v>36117</v>
      </c>
      <c r="G6352" s="6" t="s">
        <v>33</v>
      </c>
      <c r="H6352" s="6" t="s">
        <v>34</v>
      </c>
      <c r="I6352" s="8" t="s">
        <v>35</v>
      </c>
      <c r="J6352" s="9">
        <v>1</v>
      </c>
      <c r="K6352" s="9">
        <v>179</v>
      </c>
      <c r="L6352" s="9">
        <v>2026</v>
      </c>
      <c r="M6352" s="8" t="s">
        <v>36118</v>
      </c>
      <c r="N6352" s="8" t="s">
        <v>37</v>
      </c>
      <c r="O6352" s="8" t="s">
        <v>280</v>
      </c>
      <c r="P6352" s="6" t="s">
        <v>39</v>
      </c>
      <c r="Q6352" s="8" t="s">
        <v>40</v>
      </c>
      <c r="R6352" s="10" t="s">
        <v>1503</v>
      </c>
      <c r="S6352" s="11"/>
      <c r="T6352" s="6"/>
      <c r="U6352" s="15" t="str">
        <f>HYPERLINK("https://media.infra-m.ru/2239/2239140/cover/2239140.jpg", "Обложка")</f>
        <v>Обложка</v>
      </c>
      <c r="V6352" s="8" t="s">
        <v>4943</v>
      </c>
      <c r="W6352" s="6"/>
      <c r="X6352" s="6"/>
      <c r="Y6352" s="6"/>
      <c r="Z6352" s="6"/>
      <c r="AA6352" s="6" t="s">
        <v>248</v>
      </c>
      <c r="AB6352" s="8"/>
      <c r="AC6352" s="27">
        <v>9785160105710</v>
      </c>
    </row>
    <row r="6353" spans="1:29" s="4" customFormat="1" ht="42" customHeight="1" x14ac:dyDescent="0.2">
      <c r="A6353" s="5">
        <v>0</v>
      </c>
      <c r="B6353" s="6" t="s">
        <v>36119</v>
      </c>
      <c r="C6353" s="7">
        <v>2752.8</v>
      </c>
      <c r="D6353" s="8" t="s">
        <v>36120</v>
      </c>
      <c r="E6353" s="8" t="s">
        <v>36121</v>
      </c>
      <c r="F6353" s="8" t="s">
        <v>18516</v>
      </c>
      <c r="G6353" s="6" t="s">
        <v>33</v>
      </c>
      <c r="H6353" s="6" t="s">
        <v>313</v>
      </c>
      <c r="I6353" s="8" t="s">
        <v>35</v>
      </c>
      <c r="J6353" s="9">
        <v>1</v>
      </c>
      <c r="K6353" s="9">
        <v>464</v>
      </c>
      <c r="L6353" s="9">
        <v>2025</v>
      </c>
      <c r="M6353" s="8" t="s">
        <v>36122</v>
      </c>
      <c r="N6353" s="8" t="s">
        <v>37</v>
      </c>
      <c r="O6353" s="8" t="s">
        <v>233</v>
      </c>
      <c r="P6353" s="6" t="s">
        <v>39</v>
      </c>
      <c r="Q6353" s="8" t="s">
        <v>40</v>
      </c>
      <c r="R6353" s="10" t="s">
        <v>36123</v>
      </c>
      <c r="S6353" s="11"/>
      <c r="T6353" s="6"/>
      <c r="U6353" s="15" t="str">
        <f>HYPERLINK("https://media.infra-m.ru/2167/2167993/cover/2167993.jpg", "Обложка")</f>
        <v>Обложка</v>
      </c>
      <c r="V6353" s="8" t="s">
        <v>2446</v>
      </c>
      <c r="W6353" s="6"/>
      <c r="X6353" s="6"/>
      <c r="Y6353" s="6"/>
      <c r="Z6353" s="6"/>
      <c r="AA6353" s="6" t="s">
        <v>779</v>
      </c>
      <c r="AB6353" s="8"/>
      <c r="AC6353" s="27">
        <v>9785369015520</v>
      </c>
    </row>
    <row r="6354" spans="1:29" s="4" customFormat="1" ht="51.9" customHeight="1" x14ac:dyDescent="0.2">
      <c r="A6354" s="5">
        <v>0</v>
      </c>
      <c r="B6354" s="6" t="s">
        <v>36124</v>
      </c>
      <c r="C6354" s="7">
        <v>1492.8</v>
      </c>
      <c r="D6354" s="8" t="s">
        <v>36125</v>
      </c>
      <c r="E6354" s="8" t="s">
        <v>36126</v>
      </c>
      <c r="F6354" s="8" t="s">
        <v>36127</v>
      </c>
      <c r="G6354" s="6" t="s">
        <v>118</v>
      </c>
      <c r="H6354" s="6" t="s">
        <v>34</v>
      </c>
      <c r="I6354" s="8" t="s">
        <v>263</v>
      </c>
      <c r="J6354" s="9">
        <v>1</v>
      </c>
      <c r="K6354" s="9">
        <v>248</v>
      </c>
      <c r="L6354" s="9">
        <v>2024</v>
      </c>
      <c r="M6354" s="8" t="s">
        <v>36128</v>
      </c>
      <c r="N6354" s="8" t="s">
        <v>93</v>
      </c>
      <c r="O6354" s="8" t="s">
        <v>94</v>
      </c>
      <c r="P6354" s="6" t="s">
        <v>105</v>
      </c>
      <c r="Q6354" s="8" t="s">
        <v>265</v>
      </c>
      <c r="R6354" s="10" t="s">
        <v>33406</v>
      </c>
      <c r="S6354" s="11" t="s">
        <v>36129</v>
      </c>
      <c r="T6354" s="6"/>
      <c r="U6354" s="15" t="str">
        <f>HYPERLINK("https://media.infra-m.ru/2192/2192098/cover/2192098.jpg", "Обложка")</f>
        <v>Обложка</v>
      </c>
      <c r="V6354" s="8" t="s">
        <v>10175</v>
      </c>
      <c r="W6354" s="6"/>
      <c r="X6354" s="6"/>
      <c r="Y6354" s="6"/>
      <c r="Z6354" s="6" t="s">
        <v>267</v>
      </c>
      <c r="AA6354" s="6" t="s">
        <v>430</v>
      </c>
      <c r="AB6354" s="8"/>
      <c r="AC6354" s="27">
        <v>9785160169040</v>
      </c>
    </row>
    <row r="6355" spans="1:29" s="4" customFormat="1" ht="51.9" customHeight="1" x14ac:dyDescent="0.2">
      <c r="A6355" s="5">
        <v>0</v>
      </c>
      <c r="B6355" s="6" t="s">
        <v>36130</v>
      </c>
      <c r="C6355" s="7">
        <v>1488</v>
      </c>
      <c r="D6355" s="8" t="s">
        <v>36131</v>
      </c>
      <c r="E6355" s="8" t="s">
        <v>36126</v>
      </c>
      <c r="F6355" s="8" t="s">
        <v>36127</v>
      </c>
      <c r="G6355" s="6" t="s">
        <v>118</v>
      </c>
      <c r="H6355" s="6" t="s">
        <v>34</v>
      </c>
      <c r="I6355" s="8" t="s">
        <v>253</v>
      </c>
      <c r="J6355" s="9">
        <v>1</v>
      </c>
      <c r="K6355" s="9">
        <v>248</v>
      </c>
      <c r="L6355" s="9">
        <v>2025</v>
      </c>
      <c r="M6355" s="8" t="s">
        <v>36132</v>
      </c>
      <c r="N6355" s="8" t="s">
        <v>93</v>
      </c>
      <c r="O6355" s="8" t="s">
        <v>94</v>
      </c>
      <c r="P6355" s="6" t="s">
        <v>105</v>
      </c>
      <c r="Q6355" s="8" t="s">
        <v>52</v>
      </c>
      <c r="R6355" s="10" t="s">
        <v>36133</v>
      </c>
      <c r="S6355" s="11" t="s">
        <v>36134</v>
      </c>
      <c r="T6355" s="6"/>
      <c r="U6355" s="15" t="str">
        <f>HYPERLINK("https://media.infra-m.ru/2186/2186902/cover/2186902.jpg", "Обложка")</f>
        <v>Обложка</v>
      </c>
      <c r="V6355" s="8" t="s">
        <v>10175</v>
      </c>
      <c r="W6355" s="6"/>
      <c r="X6355" s="6"/>
      <c r="Y6355" s="6"/>
      <c r="Z6355" s="6"/>
      <c r="AA6355" s="6" t="s">
        <v>1256</v>
      </c>
      <c r="AB6355" s="8"/>
      <c r="AC6355" s="27">
        <v>9785160206417</v>
      </c>
    </row>
    <row r="6356" spans="1:29" s="4" customFormat="1" ht="51.9" customHeight="1" x14ac:dyDescent="0.2">
      <c r="A6356" s="5">
        <v>0</v>
      </c>
      <c r="B6356" s="6" t="s">
        <v>36135</v>
      </c>
      <c r="C6356" s="7">
        <v>1048.8</v>
      </c>
      <c r="D6356" s="8" t="s">
        <v>36136</v>
      </c>
      <c r="E6356" s="8" t="s">
        <v>36137</v>
      </c>
      <c r="F6356" s="8" t="s">
        <v>36138</v>
      </c>
      <c r="G6356" s="6" t="s">
        <v>118</v>
      </c>
      <c r="H6356" s="6" t="s">
        <v>34</v>
      </c>
      <c r="I6356" s="8" t="s">
        <v>263</v>
      </c>
      <c r="J6356" s="9">
        <v>1</v>
      </c>
      <c r="K6356" s="9">
        <v>158</v>
      </c>
      <c r="L6356" s="9">
        <v>2026</v>
      </c>
      <c r="M6356" s="8" t="s">
        <v>36139</v>
      </c>
      <c r="N6356" s="8" t="s">
        <v>93</v>
      </c>
      <c r="O6356" s="8" t="s">
        <v>94</v>
      </c>
      <c r="P6356" s="6" t="s">
        <v>105</v>
      </c>
      <c r="Q6356" s="8" t="s">
        <v>265</v>
      </c>
      <c r="R6356" s="10" t="s">
        <v>25683</v>
      </c>
      <c r="S6356" s="11" t="s">
        <v>36140</v>
      </c>
      <c r="T6356" s="6"/>
      <c r="U6356" s="15" t="str">
        <f>HYPERLINK("https://media.infra-m.ru/2255/2255715/cover/2255715.jpg", "Обложка")</f>
        <v>Обложка</v>
      </c>
      <c r="V6356" s="8" t="s">
        <v>10175</v>
      </c>
      <c r="W6356" s="6"/>
      <c r="X6356" s="6"/>
      <c r="Y6356" s="6"/>
      <c r="Z6356" s="6" t="s">
        <v>267</v>
      </c>
      <c r="AA6356" s="6" t="s">
        <v>430</v>
      </c>
      <c r="AB6356" s="8"/>
      <c r="AC6356" s="27">
        <v>9785160159164</v>
      </c>
    </row>
    <row r="6357" spans="1:29" s="4" customFormat="1" ht="51.9" customHeight="1" x14ac:dyDescent="0.2">
      <c r="A6357" s="5">
        <v>0</v>
      </c>
      <c r="B6357" s="6" t="s">
        <v>36141</v>
      </c>
      <c r="C6357" s="7">
        <v>1020</v>
      </c>
      <c r="D6357" s="8" t="s">
        <v>36142</v>
      </c>
      <c r="E6357" s="8" t="s">
        <v>36137</v>
      </c>
      <c r="F6357" s="8" t="s">
        <v>36138</v>
      </c>
      <c r="G6357" s="6" t="s">
        <v>118</v>
      </c>
      <c r="H6357" s="6" t="s">
        <v>34</v>
      </c>
      <c r="I6357" s="8" t="s">
        <v>253</v>
      </c>
      <c r="J6357" s="9">
        <v>1</v>
      </c>
      <c r="K6357" s="9">
        <v>158</v>
      </c>
      <c r="L6357" s="9">
        <v>2025</v>
      </c>
      <c r="M6357" s="8" t="s">
        <v>36143</v>
      </c>
      <c r="N6357" s="8" t="s">
        <v>93</v>
      </c>
      <c r="O6357" s="8" t="s">
        <v>94</v>
      </c>
      <c r="P6357" s="6" t="s">
        <v>105</v>
      </c>
      <c r="Q6357" s="8" t="s">
        <v>52</v>
      </c>
      <c r="R6357" s="10" t="s">
        <v>9415</v>
      </c>
      <c r="S6357" s="11" t="s">
        <v>36144</v>
      </c>
      <c r="T6357" s="6"/>
      <c r="U6357" s="15" t="str">
        <f>HYPERLINK("https://media.infra-m.ru/2209/2209095/cover/2209095.jpg", "Обложка")</f>
        <v>Обложка</v>
      </c>
      <c r="V6357" s="8" t="s">
        <v>10175</v>
      </c>
      <c r="W6357" s="6"/>
      <c r="X6357" s="6"/>
      <c r="Y6357" s="6"/>
      <c r="Z6357" s="6"/>
      <c r="AA6357" s="6" t="s">
        <v>1256</v>
      </c>
      <c r="AB6357" s="8"/>
      <c r="AC6357" s="27">
        <v>9785160210018</v>
      </c>
    </row>
    <row r="6358" spans="1:29" s="4" customFormat="1" ht="42" customHeight="1" x14ac:dyDescent="0.2">
      <c r="A6358" s="5">
        <v>0</v>
      </c>
      <c r="B6358" s="6" t="s">
        <v>36145</v>
      </c>
      <c r="C6358" s="7">
        <v>1200</v>
      </c>
      <c r="D6358" s="8" t="s">
        <v>36146</v>
      </c>
      <c r="E6358" s="8" t="s">
        <v>36147</v>
      </c>
      <c r="F6358" s="8" t="s">
        <v>36148</v>
      </c>
      <c r="G6358" s="6" t="s">
        <v>33</v>
      </c>
      <c r="H6358" s="6" t="s">
        <v>34</v>
      </c>
      <c r="I6358" s="8" t="s">
        <v>35</v>
      </c>
      <c r="J6358" s="9">
        <v>1</v>
      </c>
      <c r="K6358" s="9">
        <v>207</v>
      </c>
      <c r="L6358" s="9">
        <v>2024</v>
      </c>
      <c r="M6358" s="8" t="s">
        <v>36149</v>
      </c>
      <c r="N6358" s="8" t="s">
        <v>93</v>
      </c>
      <c r="O6358" s="8" t="s">
        <v>94</v>
      </c>
      <c r="P6358" s="6" t="s">
        <v>39</v>
      </c>
      <c r="Q6358" s="8" t="s">
        <v>40</v>
      </c>
      <c r="R6358" s="10" t="s">
        <v>11673</v>
      </c>
      <c r="S6358" s="11"/>
      <c r="T6358" s="6"/>
      <c r="U6358" s="15" t="str">
        <f>HYPERLINK("https://media.infra-m.ru/2125/2125037/cover/2125037.jpg", "Обложка")</f>
        <v>Обложка</v>
      </c>
      <c r="V6358" s="8" t="s">
        <v>2382</v>
      </c>
      <c r="W6358" s="6"/>
      <c r="X6358" s="6"/>
      <c r="Y6358" s="6"/>
      <c r="Z6358" s="6"/>
      <c r="AA6358" s="6" t="s">
        <v>76</v>
      </c>
      <c r="AB6358" s="8"/>
      <c r="AC6358" s="27">
        <v>9785160195056</v>
      </c>
    </row>
    <row r="6359" spans="1:29" s="4" customFormat="1" ht="42" customHeight="1" x14ac:dyDescent="0.2">
      <c r="A6359" s="5">
        <v>0</v>
      </c>
      <c r="B6359" s="6" t="s">
        <v>36150</v>
      </c>
      <c r="C6359" s="7">
        <v>1252.8</v>
      </c>
      <c r="D6359" s="8" t="s">
        <v>36151</v>
      </c>
      <c r="E6359" s="8" t="s">
        <v>36152</v>
      </c>
      <c r="F6359" s="8" t="s">
        <v>36153</v>
      </c>
      <c r="G6359" s="6" t="s">
        <v>33</v>
      </c>
      <c r="H6359" s="6" t="s">
        <v>34</v>
      </c>
      <c r="I6359" s="8" t="s">
        <v>35</v>
      </c>
      <c r="J6359" s="9">
        <v>1</v>
      </c>
      <c r="K6359" s="9">
        <v>228</v>
      </c>
      <c r="L6359" s="9">
        <v>2024</v>
      </c>
      <c r="M6359" s="8" t="s">
        <v>36154</v>
      </c>
      <c r="N6359" s="8" t="s">
        <v>37</v>
      </c>
      <c r="O6359" s="8" t="s">
        <v>233</v>
      </c>
      <c r="P6359" s="6" t="s">
        <v>39</v>
      </c>
      <c r="Q6359" s="8" t="s">
        <v>40</v>
      </c>
      <c r="R6359" s="10" t="s">
        <v>8450</v>
      </c>
      <c r="S6359" s="11"/>
      <c r="T6359" s="6"/>
      <c r="U6359" s="15" t="str">
        <f>HYPERLINK("https://media.infra-m.ru/2102/2102716/cover/2102716.jpg", "Обложка")</f>
        <v>Обложка</v>
      </c>
      <c r="V6359" s="8" t="s">
        <v>396</v>
      </c>
      <c r="W6359" s="6"/>
      <c r="X6359" s="6"/>
      <c r="Y6359" s="6"/>
      <c r="Z6359" s="6"/>
      <c r="AA6359" s="6" t="s">
        <v>55</v>
      </c>
      <c r="AB6359" s="8"/>
      <c r="AC6359" s="27">
        <v>9785160097954</v>
      </c>
    </row>
    <row r="6360" spans="1:29" s="4" customFormat="1" ht="51.9" customHeight="1" x14ac:dyDescent="0.2">
      <c r="A6360" s="5">
        <v>0</v>
      </c>
      <c r="B6360" s="6" t="s">
        <v>36155</v>
      </c>
      <c r="C6360" s="13">
        <v>912</v>
      </c>
      <c r="D6360" s="8" t="s">
        <v>36156</v>
      </c>
      <c r="E6360" s="8" t="s">
        <v>36157</v>
      </c>
      <c r="F6360" s="8" t="s">
        <v>36158</v>
      </c>
      <c r="G6360" s="6" t="s">
        <v>33</v>
      </c>
      <c r="H6360" s="6" t="s">
        <v>34</v>
      </c>
      <c r="I6360" s="8" t="s">
        <v>35</v>
      </c>
      <c r="J6360" s="9">
        <v>1</v>
      </c>
      <c r="K6360" s="9">
        <v>152</v>
      </c>
      <c r="L6360" s="9">
        <v>2025</v>
      </c>
      <c r="M6360" s="8" t="s">
        <v>36159</v>
      </c>
      <c r="N6360" s="8" t="s">
        <v>37</v>
      </c>
      <c r="O6360" s="8" t="s">
        <v>280</v>
      </c>
      <c r="P6360" s="6" t="s">
        <v>39</v>
      </c>
      <c r="Q6360" s="8" t="s">
        <v>40</v>
      </c>
      <c r="R6360" s="10" t="s">
        <v>36160</v>
      </c>
      <c r="S6360" s="11"/>
      <c r="T6360" s="6"/>
      <c r="U6360" s="15" t="str">
        <f>HYPERLINK("https://media.infra-m.ru/2163/2163035/cover/2163035.jpg", "Обложка")</f>
        <v>Обложка</v>
      </c>
      <c r="V6360" s="8" t="s">
        <v>9514</v>
      </c>
      <c r="W6360" s="6"/>
      <c r="X6360" s="6"/>
      <c r="Y6360" s="6"/>
      <c r="Z6360" s="6"/>
      <c r="AA6360" s="6" t="s">
        <v>55</v>
      </c>
      <c r="AB6360" s="8"/>
      <c r="AC6360" s="27">
        <v>9785160092744</v>
      </c>
    </row>
    <row r="6361" spans="1:29" s="4" customFormat="1" ht="42" customHeight="1" x14ac:dyDescent="0.2">
      <c r="A6361" s="5">
        <v>0</v>
      </c>
      <c r="B6361" s="6" t="s">
        <v>36161</v>
      </c>
      <c r="C6361" s="7">
        <v>2112</v>
      </c>
      <c r="D6361" s="8" t="s">
        <v>36162</v>
      </c>
      <c r="E6361" s="8" t="s">
        <v>36163</v>
      </c>
      <c r="F6361" s="8" t="s">
        <v>36164</v>
      </c>
      <c r="G6361" s="6" t="s">
        <v>118</v>
      </c>
      <c r="H6361" s="6" t="s">
        <v>34</v>
      </c>
      <c r="I6361" s="8" t="s">
        <v>35</v>
      </c>
      <c r="J6361" s="9">
        <v>1</v>
      </c>
      <c r="K6361" s="9">
        <v>338</v>
      </c>
      <c r="L6361" s="9">
        <v>2025</v>
      </c>
      <c r="M6361" s="8" t="s">
        <v>36165</v>
      </c>
      <c r="N6361" s="8" t="s">
        <v>37</v>
      </c>
      <c r="O6361" s="8" t="s">
        <v>136</v>
      </c>
      <c r="P6361" s="6" t="s">
        <v>39</v>
      </c>
      <c r="Q6361" s="8" t="s">
        <v>40</v>
      </c>
      <c r="R6361" s="10" t="s">
        <v>684</v>
      </c>
      <c r="S6361" s="11"/>
      <c r="T6361" s="6"/>
      <c r="U6361" s="15" t="str">
        <f>HYPERLINK("https://media.infra-m.ru/2198/2198328/cover/2198328.jpg", "Обложка")</f>
        <v>Обложка</v>
      </c>
      <c r="V6361" s="8" t="s">
        <v>4389</v>
      </c>
      <c r="W6361" s="6"/>
      <c r="X6361" s="6"/>
      <c r="Y6361" s="6"/>
      <c r="Z6361" s="6"/>
      <c r="AA6361" s="6" t="s">
        <v>157</v>
      </c>
      <c r="AB6361" s="8"/>
      <c r="AC6361" s="27">
        <v>9785160182391</v>
      </c>
    </row>
    <row r="6362" spans="1:29" s="4" customFormat="1" ht="51.9" customHeight="1" x14ac:dyDescent="0.2">
      <c r="A6362" s="5">
        <v>0</v>
      </c>
      <c r="B6362" s="6" t="s">
        <v>36166</v>
      </c>
      <c r="C6362" s="7">
        <v>2124</v>
      </c>
      <c r="D6362" s="8" t="s">
        <v>36167</v>
      </c>
      <c r="E6362" s="8" t="s">
        <v>36168</v>
      </c>
      <c r="F6362" s="8" t="s">
        <v>36169</v>
      </c>
      <c r="G6362" s="6" t="s">
        <v>118</v>
      </c>
      <c r="H6362" s="6" t="s">
        <v>34</v>
      </c>
      <c r="I6362" s="8" t="s">
        <v>35</v>
      </c>
      <c r="J6362" s="9">
        <v>1</v>
      </c>
      <c r="K6362" s="9">
        <v>321</v>
      </c>
      <c r="L6362" s="9">
        <v>2026</v>
      </c>
      <c r="M6362" s="8" t="s">
        <v>36170</v>
      </c>
      <c r="N6362" s="8" t="s">
        <v>37</v>
      </c>
      <c r="O6362" s="8" t="s">
        <v>136</v>
      </c>
      <c r="P6362" s="6" t="s">
        <v>39</v>
      </c>
      <c r="Q6362" s="8" t="s">
        <v>40</v>
      </c>
      <c r="R6362" s="10" t="s">
        <v>6985</v>
      </c>
      <c r="S6362" s="11"/>
      <c r="T6362" s="6"/>
      <c r="U6362" s="15" t="str">
        <f>HYPERLINK("https://media.infra-m.ru/2250/2250661/cover/2250661.jpg", "Обложка")</f>
        <v>Обложка</v>
      </c>
      <c r="V6362" s="8" t="s">
        <v>138</v>
      </c>
      <c r="W6362" s="6"/>
      <c r="X6362" s="6"/>
      <c r="Y6362" s="6"/>
      <c r="Z6362" s="6"/>
      <c r="AA6362" s="6" t="s">
        <v>68</v>
      </c>
      <c r="AB6362" s="8"/>
      <c r="AC6362" s="27">
        <v>9785160196091</v>
      </c>
    </row>
    <row r="6363" spans="1:29" s="4" customFormat="1" ht="42" customHeight="1" x14ac:dyDescent="0.2">
      <c r="A6363" s="5">
        <v>0</v>
      </c>
      <c r="B6363" s="6" t="s">
        <v>36171</v>
      </c>
      <c r="C6363" s="7">
        <v>1480.8</v>
      </c>
      <c r="D6363" s="8" t="s">
        <v>36172</v>
      </c>
      <c r="E6363" s="8" t="s">
        <v>36173</v>
      </c>
      <c r="F6363" s="8" t="s">
        <v>36174</v>
      </c>
      <c r="G6363" s="6" t="s">
        <v>60</v>
      </c>
      <c r="H6363" s="6" t="s">
        <v>1795</v>
      </c>
      <c r="I6363" s="8"/>
      <c r="J6363" s="9">
        <v>1</v>
      </c>
      <c r="K6363" s="9">
        <v>224</v>
      </c>
      <c r="L6363" s="9">
        <v>2026</v>
      </c>
      <c r="M6363" s="8" t="s">
        <v>36175</v>
      </c>
      <c r="N6363" s="8" t="s">
        <v>37</v>
      </c>
      <c r="O6363" s="8" t="s">
        <v>136</v>
      </c>
      <c r="P6363" s="6" t="s">
        <v>51</v>
      </c>
      <c r="Q6363" s="8" t="s">
        <v>52</v>
      </c>
      <c r="R6363" s="10" t="s">
        <v>1625</v>
      </c>
      <c r="S6363" s="11"/>
      <c r="T6363" s="6"/>
      <c r="U6363" s="15" t="str">
        <f>HYPERLINK("https://media.infra-m.ru/2238/2238484/cover/2238484.jpg", "Обложка")</f>
        <v>Обложка</v>
      </c>
      <c r="V6363" s="8" t="s">
        <v>3243</v>
      </c>
      <c r="W6363" s="6"/>
      <c r="X6363" s="6"/>
      <c r="Y6363" s="6"/>
      <c r="Z6363" s="6"/>
      <c r="AA6363" s="6" t="s">
        <v>55</v>
      </c>
      <c r="AB6363" s="8"/>
      <c r="AC6363" s="27">
        <v>9785982813169</v>
      </c>
    </row>
    <row r="6364" spans="1:29" s="4" customFormat="1" ht="42" customHeight="1" x14ac:dyDescent="0.2">
      <c r="A6364" s="5">
        <v>0</v>
      </c>
      <c r="B6364" s="6" t="s">
        <v>36176</v>
      </c>
      <c r="C6364" s="7">
        <v>2272.8000000000002</v>
      </c>
      <c r="D6364" s="8" t="s">
        <v>36177</v>
      </c>
      <c r="E6364" s="8" t="s">
        <v>36178</v>
      </c>
      <c r="F6364" s="8" t="s">
        <v>36179</v>
      </c>
      <c r="G6364" s="6" t="s">
        <v>60</v>
      </c>
      <c r="H6364" s="6" t="s">
        <v>313</v>
      </c>
      <c r="I6364" s="8" t="s">
        <v>35</v>
      </c>
      <c r="J6364" s="9">
        <v>1</v>
      </c>
      <c r="K6364" s="9">
        <v>345</v>
      </c>
      <c r="L6364" s="9">
        <v>2026</v>
      </c>
      <c r="M6364" s="8" t="s">
        <v>36180</v>
      </c>
      <c r="N6364" s="8" t="s">
        <v>37</v>
      </c>
      <c r="O6364" s="8" t="s">
        <v>233</v>
      </c>
      <c r="P6364" s="6" t="s">
        <v>39</v>
      </c>
      <c r="Q6364" s="8" t="s">
        <v>65</v>
      </c>
      <c r="R6364" s="10" t="s">
        <v>36181</v>
      </c>
      <c r="S6364" s="11"/>
      <c r="T6364" s="6"/>
      <c r="U6364" s="15" t="str">
        <f>HYPERLINK("https://media.infra-m.ru/2243/2243943/cover/2243943.jpg", "Обложка")</f>
        <v>Обложка</v>
      </c>
      <c r="V6364" s="8"/>
      <c r="W6364" s="6"/>
      <c r="X6364" s="6"/>
      <c r="Y6364" s="6"/>
      <c r="Z6364" s="6"/>
      <c r="AA6364" s="6" t="s">
        <v>148</v>
      </c>
      <c r="AB6364" s="8"/>
      <c r="AC6364" s="27">
        <v>9785369019061</v>
      </c>
    </row>
    <row r="6365" spans="1:29" s="4" customFormat="1" ht="51.9" customHeight="1" x14ac:dyDescent="0.2">
      <c r="A6365" s="5">
        <v>0</v>
      </c>
      <c r="B6365" s="6" t="s">
        <v>36182</v>
      </c>
      <c r="C6365" s="7">
        <v>3564</v>
      </c>
      <c r="D6365" s="8" t="s">
        <v>36183</v>
      </c>
      <c r="E6365" s="8" t="s">
        <v>36184</v>
      </c>
      <c r="F6365" s="8" t="s">
        <v>1253</v>
      </c>
      <c r="G6365" s="6" t="s">
        <v>60</v>
      </c>
      <c r="H6365" s="6" t="s">
        <v>134</v>
      </c>
      <c r="I6365" s="8"/>
      <c r="J6365" s="9">
        <v>1</v>
      </c>
      <c r="K6365" s="9">
        <v>532</v>
      </c>
      <c r="L6365" s="9">
        <v>2025</v>
      </c>
      <c r="M6365" s="8" t="s">
        <v>36185</v>
      </c>
      <c r="N6365" s="8" t="s">
        <v>37</v>
      </c>
      <c r="O6365" s="8" t="s">
        <v>136</v>
      </c>
      <c r="P6365" s="6" t="s">
        <v>39</v>
      </c>
      <c r="Q6365" s="8" t="s">
        <v>40</v>
      </c>
      <c r="R6365" s="10" t="s">
        <v>36186</v>
      </c>
      <c r="S6365" s="11"/>
      <c r="T6365" s="6"/>
      <c r="U6365" s="15" t="str">
        <f>HYPERLINK("https://media.infra-m.ru/2213/2213425/cover/2213425.jpg", "Обложка")</f>
        <v>Обложка</v>
      </c>
      <c r="V6365" s="8"/>
      <c r="W6365" s="6"/>
      <c r="X6365" s="6"/>
      <c r="Y6365" s="6"/>
      <c r="Z6365" s="6"/>
      <c r="AA6365" s="6" t="s">
        <v>68</v>
      </c>
      <c r="AB6365" s="8"/>
      <c r="AC6365" s="27">
        <v>9785001564324</v>
      </c>
    </row>
    <row r="6366" spans="1:29" s="4" customFormat="1" ht="44.1" customHeight="1" x14ac:dyDescent="0.2">
      <c r="A6366" s="5">
        <v>0</v>
      </c>
      <c r="B6366" s="6" t="s">
        <v>36187</v>
      </c>
      <c r="C6366" s="7">
        <v>1140</v>
      </c>
      <c r="D6366" s="8" t="s">
        <v>36188</v>
      </c>
      <c r="E6366" s="8" t="s">
        <v>36189</v>
      </c>
      <c r="F6366" s="8" t="s">
        <v>1712</v>
      </c>
      <c r="G6366" s="6" t="s">
        <v>33</v>
      </c>
      <c r="H6366" s="6" t="s">
        <v>34</v>
      </c>
      <c r="I6366" s="8" t="s">
        <v>35</v>
      </c>
      <c r="J6366" s="9">
        <v>1</v>
      </c>
      <c r="K6366" s="9">
        <v>172</v>
      </c>
      <c r="L6366" s="9">
        <v>2026</v>
      </c>
      <c r="M6366" s="8" t="s">
        <v>36190</v>
      </c>
      <c r="N6366" s="8" t="s">
        <v>93</v>
      </c>
      <c r="O6366" s="8" t="s">
        <v>94</v>
      </c>
      <c r="P6366" s="6" t="s">
        <v>39</v>
      </c>
      <c r="Q6366" s="8" t="s">
        <v>40</v>
      </c>
      <c r="R6366" s="10" t="s">
        <v>36191</v>
      </c>
      <c r="S6366" s="11"/>
      <c r="T6366" s="6"/>
      <c r="U6366" s="15" t="str">
        <f>HYPERLINK("https://media.infra-m.ru/2227/2227945/cover/2227945.jpg", "Обложка")</f>
        <v>Обложка</v>
      </c>
      <c r="V6366" s="8" t="s">
        <v>1715</v>
      </c>
      <c r="W6366" s="6"/>
      <c r="X6366" s="6"/>
      <c r="Y6366" s="6"/>
      <c r="Z6366" s="6"/>
      <c r="AA6366" s="6" t="s">
        <v>157</v>
      </c>
      <c r="AB6366" s="8"/>
      <c r="AC6366" s="27">
        <v>9785160179742</v>
      </c>
    </row>
    <row r="6367" spans="1:29" s="4" customFormat="1" ht="51.9" customHeight="1" x14ac:dyDescent="0.2">
      <c r="A6367" s="5">
        <v>0</v>
      </c>
      <c r="B6367" s="6" t="s">
        <v>36192</v>
      </c>
      <c r="C6367" s="7">
        <v>1392</v>
      </c>
      <c r="D6367" s="8" t="s">
        <v>36193</v>
      </c>
      <c r="E6367" s="8" t="s">
        <v>36194</v>
      </c>
      <c r="F6367" s="8" t="s">
        <v>36195</v>
      </c>
      <c r="G6367" s="6" t="s">
        <v>33</v>
      </c>
      <c r="H6367" s="6" t="s">
        <v>34</v>
      </c>
      <c r="I6367" s="8" t="s">
        <v>35</v>
      </c>
      <c r="J6367" s="9">
        <v>1</v>
      </c>
      <c r="K6367" s="9">
        <v>224</v>
      </c>
      <c r="L6367" s="9">
        <v>2025</v>
      </c>
      <c r="M6367" s="8" t="s">
        <v>36196</v>
      </c>
      <c r="N6367" s="8" t="s">
        <v>37</v>
      </c>
      <c r="O6367" s="8" t="s">
        <v>233</v>
      </c>
      <c r="P6367" s="6" t="s">
        <v>39</v>
      </c>
      <c r="Q6367" s="8" t="s">
        <v>40</v>
      </c>
      <c r="R6367" s="10" t="s">
        <v>36197</v>
      </c>
      <c r="S6367" s="11"/>
      <c r="T6367" s="6"/>
      <c r="U6367" s="15" t="str">
        <f>HYPERLINK("https://media.infra-m.ru/2198/2198338/cover/2198338.jpg", "Обложка")</f>
        <v>Обложка</v>
      </c>
      <c r="V6367" s="8" t="s">
        <v>7287</v>
      </c>
      <c r="W6367" s="6"/>
      <c r="X6367" s="6"/>
      <c r="Y6367" s="6"/>
      <c r="Z6367" s="6"/>
      <c r="AA6367" s="6" t="s">
        <v>55</v>
      </c>
      <c r="AB6367" s="8"/>
      <c r="AC6367" s="27">
        <v>9785160094038</v>
      </c>
    </row>
    <row r="6368" spans="1:29" s="4" customFormat="1" ht="51.9" customHeight="1" x14ac:dyDescent="0.2">
      <c r="A6368" s="5">
        <v>0</v>
      </c>
      <c r="B6368" s="6" t="s">
        <v>36198</v>
      </c>
      <c r="C6368" s="7">
        <v>1068</v>
      </c>
      <c r="D6368" s="8" t="s">
        <v>36199</v>
      </c>
      <c r="E6368" s="8" t="s">
        <v>36200</v>
      </c>
      <c r="F6368" s="8" t="s">
        <v>24597</v>
      </c>
      <c r="G6368" s="6" t="s">
        <v>60</v>
      </c>
      <c r="H6368" s="6" t="s">
        <v>34</v>
      </c>
      <c r="I6368" s="8" t="s">
        <v>35</v>
      </c>
      <c r="J6368" s="9">
        <v>1</v>
      </c>
      <c r="K6368" s="9">
        <v>162</v>
      </c>
      <c r="L6368" s="9">
        <v>2025</v>
      </c>
      <c r="M6368" s="8" t="s">
        <v>36201</v>
      </c>
      <c r="N6368" s="8" t="s">
        <v>37</v>
      </c>
      <c r="O6368" s="8" t="s">
        <v>233</v>
      </c>
      <c r="P6368" s="6" t="s">
        <v>39</v>
      </c>
      <c r="Q6368" s="8" t="s">
        <v>40</v>
      </c>
      <c r="R6368" s="10" t="s">
        <v>36202</v>
      </c>
      <c r="S6368" s="11"/>
      <c r="T6368" s="6"/>
      <c r="U6368" s="15" t="str">
        <f>HYPERLINK("https://media.infra-m.ru/2198/2198493/cover/2198493.jpg", "Обложка")</f>
        <v>Обложка</v>
      </c>
      <c r="V6368" s="8" t="s">
        <v>3871</v>
      </c>
      <c r="W6368" s="6"/>
      <c r="X6368" s="6"/>
      <c r="Y6368" s="6"/>
      <c r="Z6368" s="6"/>
      <c r="AA6368" s="6" t="s">
        <v>68</v>
      </c>
      <c r="AB6368" s="8"/>
      <c r="AC6368" s="27">
        <v>9785160208398</v>
      </c>
    </row>
    <row r="6369" spans="1:29" s="4" customFormat="1" ht="42" customHeight="1" x14ac:dyDescent="0.2">
      <c r="A6369" s="5">
        <v>0</v>
      </c>
      <c r="B6369" s="6" t="s">
        <v>36203</v>
      </c>
      <c r="C6369" s="7">
        <v>1020</v>
      </c>
      <c r="D6369" s="8" t="s">
        <v>36204</v>
      </c>
      <c r="E6369" s="8" t="s">
        <v>36205</v>
      </c>
      <c r="F6369" s="8" t="s">
        <v>36206</v>
      </c>
      <c r="G6369" s="6" t="s">
        <v>33</v>
      </c>
      <c r="H6369" s="6" t="s">
        <v>34</v>
      </c>
      <c r="I6369" s="8" t="s">
        <v>35</v>
      </c>
      <c r="J6369" s="9">
        <v>1</v>
      </c>
      <c r="K6369" s="9">
        <v>172</v>
      </c>
      <c r="L6369" s="9">
        <v>2023</v>
      </c>
      <c r="M6369" s="8" t="s">
        <v>36207</v>
      </c>
      <c r="N6369" s="8" t="s">
        <v>37</v>
      </c>
      <c r="O6369" s="8" t="s">
        <v>499</v>
      </c>
      <c r="P6369" s="6" t="s">
        <v>39</v>
      </c>
      <c r="Q6369" s="8" t="s">
        <v>40</v>
      </c>
      <c r="R6369" s="10" t="s">
        <v>14163</v>
      </c>
      <c r="S6369" s="11"/>
      <c r="T6369" s="6"/>
      <c r="U6369" s="15" t="str">
        <f>HYPERLINK("https://media.infra-m.ru/1977/1977989/cover/1977989.jpg", "Обложка")</f>
        <v>Обложка</v>
      </c>
      <c r="V6369" s="8" t="s">
        <v>36208</v>
      </c>
      <c r="W6369" s="6"/>
      <c r="X6369" s="6"/>
      <c r="Y6369" s="6"/>
      <c r="Z6369" s="6"/>
      <c r="AA6369" s="6" t="s">
        <v>157</v>
      </c>
      <c r="AB6369" s="8"/>
      <c r="AC6369" s="27">
        <v>9785160183220</v>
      </c>
    </row>
    <row r="6370" spans="1:29" s="4" customFormat="1" ht="44.1" customHeight="1" x14ac:dyDescent="0.2">
      <c r="A6370" s="5">
        <v>0</v>
      </c>
      <c r="B6370" s="6" t="s">
        <v>36209</v>
      </c>
      <c r="C6370" s="7">
        <v>1996.8</v>
      </c>
      <c r="D6370" s="8" t="s">
        <v>36210</v>
      </c>
      <c r="E6370" s="8" t="s">
        <v>36211</v>
      </c>
      <c r="F6370" s="8" t="s">
        <v>36212</v>
      </c>
      <c r="G6370" s="6" t="s">
        <v>60</v>
      </c>
      <c r="H6370" s="6" t="s">
        <v>34</v>
      </c>
      <c r="I6370" s="8" t="s">
        <v>35</v>
      </c>
      <c r="J6370" s="9">
        <v>1</v>
      </c>
      <c r="K6370" s="9">
        <v>286</v>
      </c>
      <c r="L6370" s="9">
        <v>2025</v>
      </c>
      <c r="M6370" s="8" t="s">
        <v>36213</v>
      </c>
      <c r="N6370" s="8" t="s">
        <v>37</v>
      </c>
      <c r="O6370" s="8" t="s">
        <v>233</v>
      </c>
      <c r="P6370" s="6" t="s">
        <v>39</v>
      </c>
      <c r="Q6370" s="8" t="s">
        <v>40</v>
      </c>
      <c r="R6370" s="10" t="s">
        <v>24604</v>
      </c>
      <c r="S6370" s="11"/>
      <c r="T6370" s="6"/>
      <c r="U6370" s="15" t="str">
        <f>HYPERLINK("https://media.infra-m.ru/2251/2251275/cover/2251275.jpg", "Обложка")</f>
        <v>Обложка</v>
      </c>
      <c r="V6370" s="8" t="s">
        <v>1014</v>
      </c>
      <c r="W6370" s="6"/>
      <c r="X6370" s="6"/>
      <c r="Y6370" s="6"/>
      <c r="Z6370" s="6"/>
      <c r="AA6370" s="6" t="s">
        <v>68</v>
      </c>
      <c r="AB6370" s="8" t="s">
        <v>308</v>
      </c>
      <c r="AC6370" s="27">
        <v>9785160209647</v>
      </c>
    </row>
    <row r="6371" spans="1:29" s="4" customFormat="1" ht="51.9" customHeight="1" x14ac:dyDescent="0.2">
      <c r="A6371" s="5">
        <v>0</v>
      </c>
      <c r="B6371" s="6" t="s">
        <v>36214</v>
      </c>
      <c r="C6371" s="13">
        <v>670.8</v>
      </c>
      <c r="D6371" s="8" t="s">
        <v>36215</v>
      </c>
      <c r="E6371" s="8" t="s">
        <v>36216</v>
      </c>
      <c r="F6371" s="8" t="s">
        <v>36217</v>
      </c>
      <c r="G6371" s="6" t="s">
        <v>7062</v>
      </c>
      <c r="H6371" s="6" t="s">
        <v>34</v>
      </c>
      <c r="I6371" s="8" t="s">
        <v>271</v>
      </c>
      <c r="J6371" s="9">
        <v>20</v>
      </c>
      <c r="K6371" s="9">
        <v>281</v>
      </c>
      <c r="L6371" s="9">
        <v>2016</v>
      </c>
      <c r="M6371" s="8" t="s">
        <v>36218</v>
      </c>
      <c r="N6371" s="8" t="s">
        <v>37</v>
      </c>
      <c r="O6371" s="8" t="s">
        <v>233</v>
      </c>
      <c r="P6371" s="6" t="s">
        <v>51</v>
      </c>
      <c r="Q6371" s="8" t="s">
        <v>52</v>
      </c>
      <c r="R6371" s="10" t="s">
        <v>4472</v>
      </c>
      <c r="S6371" s="11" t="s">
        <v>36219</v>
      </c>
      <c r="T6371" s="6" t="s">
        <v>97</v>
      </c>
      <c r="U6371" s="15" t="str">
        <f>HYPERLINK("https://media.infra-m.ru/0512/0512004/cover/512004.jpg", "Обложка")</f>
        <v>Обложка</v>
      </c>
      <c r="V6371" s="8" t="s">
        <v>396</v>
      </c>
      <c r="W6371" s="6"/>
      <c r="X6371" s="6"/>
      <c r="Y6371" s="6"/>
      <c r="Z6371" s="6"/>
      <c r="AA6371" s="6" t="s">
        <v>779</v>
      </c>
      <c r="AB6371" s="8"/>
      <c r="AC6371" s="27">
        <v>9785160110745</v>
      </c>
    </row>
    <row r="6372" spans="1:29" s="4" customFormat="1" ht="51.9" customHeight="1" x14ac:dyDescent="0.2">
      <c r="A6372" s="5">
        <v>0</v>
      </c>
      <c r="B6372" s="6" t="s">
        <v>36220</v>
      </c>
      <c r="C6372" s="7">
        <v>1852.8</v>
      </c>
      <c r="D6372" s="8" t="s">
        <v>36221</v>
      </c>
      <c r="E6372" s="8" t="s">
        <v>36222</v>
      </c>
      <c r="F6372" s="8" t="s">
        <v>36217</v>
      </c>
      <c r="G6372" s="6" t="s">
        <v>60</v>
      </c>
      <c r="H6372" s="6" t="s">
        <v>34</v>
      </c>
      <c r="I6372" s="8" t="s">
        <v>271</v>
      </c>
      <c r="J6372" s="9">
        <v>1</v>
      </c>
      <c r="K6372" s="9">
        <v>281</v>
      </c>
      <c r="L6372" s="9">
        <v>2026</v>
      </c>
      <c r="M6372" s="8" t="s">
        <v>36223</v>
      </c>
      <c r="N6372" s="8" t="s">
        <v>37</v>
      </c>
      <c r="O6372" s="8" t="s">
        <v>233</v>
      </c>
      <c r="P6372" s="6" t="s">
        <v>51</v>
      </c>
      <c r="Q6372" s="8" t="s">
        <v>52</v>
      </c>
      <c r="R6372" s="10" t="s">
        <v>4472</v>
      </c>
      <c r="S6372" s="11" t="s">
        <v>36219</v>
      </c>
      <c r="T6372" s="6"/>
      <c r="U6372" s="15" t="str">
        <f>HYPERLINK("https://media.infra-m.ru/2239/2239107/cover/2239107.jpg", "Обложка")</f>
        <v>Обложка</v>
      </c>
      <c r="V6372" s="8" t="s">
        <v>396</v>
      </c>
      <c r="W6372" s="6"/>
      <c r="X6372" s="6"/>
      <c r="Y6372" s="6"/>
      <c r="Z6372" s="6"/>
      <c r="AA6372" s="6" t="s">
        <v>404</v>
      </c>
      <c r="AB6372" s="8"/>
      <c r="AC6372" s="27">
        <v>9785160134703</v>
      </c>
    </row>
    <row r="6373" spans="1:29" s="4" customFormat="1" ht="51.9" customHeight="1" x14ac:dyDescent="0.2">
      <c r="A6373" s="5">
        <v>0</v>
      </c>
      <c r="B6373" s="6" t="s">
        <v>36224</v>
      </c>
      <c r="C6373" s="7">
        <v>1008</v>
      </c>
      <c r="D6373" s="8" t="s">
        <v>36225</v>
      </c>
      <c r="E6373" s="8" t="s">
        <v>36226</v>
      </c>
      <c r="F6373" s="8" t="s">
        <v>6375</v>
      </c>
      <c r="G6373" s="6" t="s">
        <v>33</v>
      </c>
      <c r="H6373" s="6" t="s">
        <v>34</v>
      </c>
      <c r="I6373" s="8" t="s">
        <v>35</v>
      </c>
      <c r="J6373" s="9">
        <v>1</v>
      </c>
      <c r="K6373" s="9">
        <v>179</v>
      </c>
      <c r="L6373" s="9">
        <v>2024</v>
      </c>
      <c r="M6373" s="8" t="s">
        <v>36227</v>
      </c>
      <c r="N6373" s="8" t="s">
        <v>37</v>
      </c>
      <c r="O6373" s="8" t="s">
        <v>233</v>
      </c>
      <c r="P6373" s="6" t="s">
        <v>39</v>
      </c>
      <c r="Q6373" s="8" t="s">
        <v>40</v>
      </c>
      <c r="R6373" s="10" t="s">
        <v>36228</v>
      </c>
      <c r="S6373" s="11"/>
      <c r="T6373" s="6"/>
      <c r="U6373" s="15" t="str">
        <f>HYPERLINK("https://media.infra-m.ru/1907/1907551/cover/1907551.jpg", "Обложка")</f>
        <v>Обложка</v>
      </c>
      <c r="V6373" s="8" t="s">
        <v>1994</v>
      </c>
      <c r="W6373" s="6"/>
      <c r="X6373" s="6"/>
      <c r="Y6373" s="6"/>
      <c r="Z6373" s="6"/>
      <c r="AA6373" s="6" t="s">
        <v>779</v>
      </c>
      <c r="AB6373" s="8"/>
      <c r="AC6373" s="27">
        <v>9785160114538</v>
      </c>
    </row>
    <row r="6374" spans="1:29" s="4" customFormat="1" ht="44.1" customHeight="1" x14ac:dyDescent="0.2">
      <c r="A6374" s="5">
        <v>0</v>
      </c>
      <c r="B6374" s="6" t="s">
        <v>36229</v>
      </c>
      <c r="C6374" s="13">
        <v>924</v>
      </c>
      <c r="D6374" s="8" t="s">
        <v>36230</v>
      </c>
      <c r="E6374" s="8" t="s">
        <v>36231</v>
      </c>
      <c r="F6374" s="8" t="s">
        <v>36232</v>
      </c>
      <c r="G6374" s="6" t="s">
        <v>33</v>
      </c>
      <c r="H6374" s="6" t="s">
        <v>34</v>
      </c>
      <c r="I6374" s="8" t="s">
        <v>35</v>
      </c>
      <c r="J6374" s="9">
        <v>1</v>
      </c>
      <c r="K6374" s="9">
        <v>170</v>
      </c>
      <c r="L6374" s="9">
        <v>2023</v>
      </c>
      <c r="M6374" s="8" t="s">
        <v>36233</v>
      </c>
      <c r="N6374" s="8" t="s">
        <v>37</v>
      </c>
      <c r="O6374" s="8" t="s">
        <v>207</v>
      </c>
      <c r="P6374" s="6" t="s">
        <v>39</v>
      </c>
      <c r="Q6374" s="8" t="s">
        <v>40</v>
      </c>
      <c r="R6374" s="10" t="s">
        <v>9147</v>
      </c>
      <c r="S6374" s="11"/>
      <c r="T6374" s="6"/>
      <c r="U6374" s="15" t="str">
        <f>HYPERLINK("https://media.infra-m.ru/1976/1976166/cover/1976166.jpg", "Обложка")</f>
        <v>Обложка</v>
      </c>
      <c r="V6374" s="8" t="s">
        <v>414</v>
      </c>
      <c r="W6374" s="6"/>
      <c r="X6374" s="6"/>
      <c r="Y6374" s="6"/>
      <c r="Z6374" s="6"/>
      <c r="AA6374" s="6" t="s">
        <v>1256</v>
      </c>
      <c r="AB6374" s="8"/>
      <c r="AC6374" s="27">
        <v>9785160155302</v>
      </c>
    </row>
    <row r="6375" spans="1:29" s="4" customFormat="1" ht="51.9" customHeight="1" x14ac:dyDescent="0.2">
      <c r="A6375" s="5">
        <v>0</v>
      </c>
      <c r="B6375" s="6" t="s">
        <v>36234</v>
      </c>
      <c r="C6375" s="7">
        <v>1908</v>
      </c>
      <c r="D6375" s="8" t="s">
        <v>36235</v>
      </c>
      <c r="E6375" s="8" t="s">
        <v>36236</v>
      </c>
      <c r="F6375" s="8" t="s">
        <v>36237</v>
      </c>
      <c r="G6375" s="6" t="s">
        <v>60</v>
      </c>
      <c r="H6375" s="6" t="s">
        <v>134</v>
      </c>
      <c r="I6375" s="8"/>
      <c r="J6375" s="9">
        <v>1</v>
      </c>
      <c r="K6375" s="9">
        <v>280</v>
      </c>
      <c r="L6375" s="9">
        <v>2026</v>
      </c>
      <c r="M6375" s="8" t="s">
        <v>36238</v>
      </c>
      <c r="N6375" s="8" t="s">
        <v>37</v>
      </c>
      <c r="O6375" s="8" t="s">
        <v>136</v>
      </c>
      <c r="P6375" s="6" t="s">
        <v>39</v>
      </c>
      <c r="Q6375" s="8" t="s">
        <v>183</v>
      </c>
      <c r="R6375" s="10" t="s">
        <v>36239</v>
      </c>
      <c r="S6375" s="11"/>
      <c r="T6375" s="6"/>
      <c r="U6375" s="15" t="str">
        <f>HYPERLINK("https://media.infra-m.ru/2234/2234047/cover/2234047.jpg", "Обложка")</f>
        <v>Обложка</v>
      </c>
      <c r="V6375" s="8" t="s">
        <v>138</v>
      </c>
      <c r="W6375" s="6" t="s">
        <v>351</v>
      </c>
      <c r="X6375" s="6"/>
      <c r="Y6375" s="6"/>
      <c r="Z6375" s="6"/>
      <c r="AA6375" s="6" t="s">
        <v>187</v>
      </c>
      <c r="AB6375" s="8"/>
      <c r="AC6375" s="27">
        <v>9785001564690</v>
      </c>
    </row>
    <row r="6376" spans="1:29" s="4" customFormat="1" ht="51.9" customHeight="1" x14ac:dyDescent="0.2">
      <c r="A6376" s="5">
        <v>0</v>
      </c>
      <c r="B6376" s="6" t="s">
        <v>36240</v>
      </c>
      <c r="C6376" s="7">
        <v>1049.9000000000001</v>
      </c>
      <c r="D6376" s="8" t="s">
        <v>36241</v>
      </c>
      <c r="E6376" s="8" t="s">
        <v>36242</v>
      </c>
      <c r="F6376" s="8" t="s">
        <v>36243</v>
      </c>
      <c r="G6376" s="6" t="s">
        <v>60</v>
      </c>
      <c r="H6376" s="6" t="s">
        <v>1644</v>
      </c>
      <c r="I6376" s="8"/>
      <c r="J6376" s="9">
        <v>1</v>
      </c>
      <c r="K6376" s="9">
        <v>256</v>
      </c>
      <c r="L6376" s="9">
        <v>2019</v>
      </c>
      <c r="M6376" s="8" t="s">
        <v>36244</v>
      </c>
      <c r="N6376" s="8" t="s">
        <v>37</v>
      </c>
      <c r="O6376" s="8" t="s">
        <v>280</v>
      </c>
      <c r="P6376" s="6" t="s">
        <v>39</v>
      </c>
      <c r="Q6376" s="8" t="s">
        <v>40</v>
      </c>
      <c r="R6376" s="10" t="s">
        <v>36245</v>
      </c>
      <c r="S6376" s="11"/>
      <c r="T6376" s="6"/>
      <c r="U6376" s="15" t="str">
        <f>HYPERLINK("https://media.infra-m.ru/1012/1012445/cover/1012445.jpg", "Обложка")</f>
        <v>Обложка</v>
      </c>
      <c r="V6376" s="8" t="s">
        <v>247</v>
      </c>
      <c r="W6376" s="6"/>
      <c r="X6376" s="6"/>
      <c r="Y6376" s="6"/>
      <c r="Z6376" s="6"/>
      <c r="AA6376" s="6" t="s">
        <v>55</v>
      </c>
      <c r="AB6376" s="8"/>
      <c r="AC6376" s="27">
        <v>9785977602716</v>
      </c>
    </row>
    <row r="6377" spans="1:29" s="4" customFormat="1" ht="44.1" customHeight="1" x14ac:dyDescent="0.2">
      <c r="A6377" s="5">
        <v>0</v>
      </c>
      <c r="B6377" s="6" t="s">
        <v>36246</v>
      </c>
      <c r="C6377" s="13">
        <v>768</v>
      </c>
      <c r="D6377" s="8" t="s">
        <v>36247</v>
      </c>
      <c r="E6377" s="8" t="s">
        <v>36248</v>
      </c>
      <c r="F6377" s="8" t="s">
        <v>36249</v>
      </c>
      <c r="G6377" s="6" t="s">
        <v>33</v>
      </c>
      <c r="H6377" s="6" t="s">
        <v>34</v>
      </c>
      <c r="I6377" s="8" t="s">
        <v>35</v>
      </c>
      <c r="J6377" s="9">
        <v>1</v>
      </c>
      <c r="K6377" s="9">
        <v>116</v>
      </c>
      <c r="L6377" s="9">
        <v>2026</v>
      </c>
      <c r="M6377" s="8" t="s">
        <v>36250</v>
      </c>
      <c r="N6377" s="8" t="s">
        <v>37</v>
      </c>
      <c r="O6377" s="8" t="s">
        <v>50</v>
      </c>
      <c r="P6377" s="6" t="s">
        <v>39</v>
      </c>
      <c r="Q6377" s="8" t="s">
        <v>40</v>
      </c>
      <c r="R6377" s="10" t="s">
        <v>36251</v>
      </c>
      <c r="S6377" s="11"/>
      <c r="T6377" s="6"/>
      <c r="U6377" s="15" t="str">
        <f>HYPERLINK("https://media.infra-m.ru/2224/2224086/cover/2224086.jpg", "Обложка")</f>
        <v>Обложка</v>
      </c>
      <c r="V6377" s="8" t="s">
        <v>227</v>
      </c>
      <c r="W6377" s="6"/>
      <c r="X6377" s="6"/>
      <c r="Y6377" s="6"/>
      <c r="Z6377" s="6"/>
      <c r="AA6377" s="6" t="s">
        <v>55</v>
      </c>
      <c r="AB6377" s="8"/>
      <c r="AC6377" s="27">
        <v>9785160064093</v>
      </c>
    </row>
    <row r="6378" spans="1:29" s="4" customFormat="1" ht="51.9" customHeight="1" x14ac:dyDescent="0.2">
      <c r="A6378" s="5">
        <v>0</v>
      </c>
      <c r="B6378" s="6" t="s">
        <v>36252</v>
      </c>
      <c r="C6378" s="7">
        <v>1344</v>
      </c>
      <c r="D6378" s="8" t="s">
        <v>36253</v>
      </c>
      <c r="E6378" s="8" t="s">
        <v>36254</v>
      </c>
      <c r="F6378" s="8" t="s">
        <v>36255</v>
      </c>
      <c r="G6378" s="6" t="s">
        <v>118</v>
      </c>
      <c r="H6378" s="6" t="s">
        <v>34</v>
      </c>
      <c r="I6378" s="8" t="s">
        <v>35</v>
      </c>
      <c r="J6378" s="9">
        <v>1</v>
      </c>
      <c r="K6378" s="9">
        <v>193</v>
      </c>
      <c r="L6378" s="9">
        <v>2026</v>
      </c>
      <c r="M6378" s="8" t="s">
        <v>36256</v>
      </c>
      <c r="N6378" s="8" t="s">
        <v>37</v>
      </c>
      <c r="O6378" s="8" t="s">
        <v>233</v>
      </c>
      <c r="P6378" s="6" t="s">
        <v>39</v>
      </c>
      <c r="Q6378" s="8" t="s">
        <v>40</v>
      </c>
      <c r="R6378" s="10" t="s">
        <v>36257</v>
      </c>
      <c r="S6378" s="11"/>
      <c r="T6378" s="6"/>
      <c r="U6378" s="15" t="str">
        <f>HYPERLINK("https://media.infra-m.ru/2251/2251500/cover/2251500.jpg", "Обложка")</f>
        <v>Обложка</v>
      </c>
      <c r="V6378" s="8" t="s">
        <v>18346</v>
      </c>
      <c r="W6378" s="6"/>
      <c r="X6378" s="6"/>
      <c r="Y6378" s="6"/>
      <c r="Z6378" s="6"/>
      <c r="AA6378" s="6" t="s">
        <v>68</v>
      </c>
      <c r="AB6378" s="8"/>
      <c r="AC6378" s="27">
        <v>9785160196220</v>
      </c>
    </row>
    <row r="6379" spans="1:29" s="4" customFormat="1" ht="51.9" customHeight="1" x14ac:dyDescent="0.2">
      <c r="A6379" s="5">
        <v>0</v>
      </c>
      <c r="B6379" s="6" t="s">
        <v>36258</v>
      </c>
      <c r="C6379" s="7">
        <v>1404</v>
      </c>
      <c r="D6379" s="8" t="s">
        <v>36259</v>
      </c>
      <c r="E6379" s="8" t="s">
        <v>36260</v>
      </c>
      <c r="F6379" s="8" t="s">
        <v>36261</v>
      </c>
      <c r="G6379" s="6" t="s">
        <v>118</v>
      </c>
      <c r="H6379" s="6" t="s">
        <v>34</v>
      </c>
      <c r="I6379" s="8" t="s">
        <v>35</v>
      </c>
      <c r="J6379" s="9">
        <v>1</v>
      </c>
      <c r="K6379" s="9">
        <v>253</v>
      </c>
      <c r="L6379" s="9">
        <v>2024</v>
      </c>
      <c r="M6379" s="8" t="s">
        <v>36262</v>
      </c>
      <c r="N6379" s="8" t="s">
        <v>37</v>
      </c>
      <c r="O6379" s="8" t="s">
        <v>233</v>
      </c>
      <c r="P6379" s="6" t="s">
        <v>39</v>
      </c>
      <c r="Q6379" s="8" t="s">
        <v>40</v>
      </c>
      <c r="R6379" s="10" t="s">
        <v>36263</v>
      </c>
      <c r="S6379" s="11"/>
      <c r="T6379" s="6"/>
      <c r="U6379" s="15" t="str">
        <f>HYPERLINK("https://media.infra-m.ru/2117/2117174/cover/2117174.jpg", "Обложка")</f>
        <v>Обложка</v>
      </c>
      <c r="V6379" s="8" t="s">
        <v>3871</v>
      </c>
      <c r="W6379" s="6"/>
      <c r="X6379" s="6"/>
      <c r="Y6379" s="6"/>
      <c r="Z6379" s="6"/>
      <c r="AA6379" s="6" t="s">
        <v>430</v>
      </c>
      <c r="AB6379" s="8"/>
      <c r="AC6379" s="27">
        <v>9785160168401</v>
      </c>
    </row>
    <row r="6380" spans="1:29" s="4" customFormat="1" ht="42" customHeight="1" x14ac:dyDescent="0.2">
      <c r="A6380" s="5">
        <v>0</v>
      </c>
      <c r="B6380" s="6" t="s">
        <v>36264</v>
      </c>
      <c r="C6380" s="7">
        <v>1968</v>
      </c>
      <c r="D6380" s="8" t="s">
        <v>36265</v>
      </c>
      <c r="E6380" s="8" t="s">
        <v>36266</v>
      </c>
      <c r="F6380" s="8" t="s">
        <v>11186</v>
      </c>
      <c r="G6380" s="6" t="s">
        <v>118</v>
      </c>
      <c r="H6380" s="6" t="s">
        <v>34</v>
      </c>
      <c r="I6380" s="8" t="s">
        <v>1074</v>
      </c>
      <c r="J6380" s="9">
        <v>1</v>
      </c>
      <c r="K6380" s="9">
        <v>432</v>
      </c>
      <c r="L6380" s="9">
        <v>2021</v>
      </c>
      <c r="M6380" s="8" t="s">
        <v>36267</v>
      </c>
      <c r="N6380" s="8" t="s">
        <v>37</v>
      </c>
      <c r="O6380" s="8" t="s">
        <v>136</v>
      </c>
      <c r="P6380" s="6" t="s">
        <v>39</v>
      </c>
      <c r="Q6380" s="8" t="s">
        <v>40</v>
      </c>
      <c r="R6380" s="10" t="s">
        <v>36268</v>
      </c>
      <c r="S6380" s="11"/>
      <c r="T6380" s="6"/>
      <c r="U6380" s="15" t="str">
        <f>HYPERLINK("https://media.infra-m.ru/1668/1668630/cover/1668630.jpg", "Обложка")</f>
        <v>Обложка</v>
      </c>
      <c r="V6380" s="8" t="s">
        <v>138</v>
      </c>
      <c r="W6380" s="6"/>
      <c r="X6380" s="6"/>
      <c r="Y6380" s="6"/>
      <c r="Z6380" s="6"/>
      <c r="AA6380" s="6" t="s">
        <v>1256</v>
      </c>
      <c r="AB6380" s="8"/>
      <c r="AC6380" s="27">
        <v>9785160164779</v>
      </c>
    </row>
    <row r="6381" spans="1:29" s="4" customFormat="1" ht="51.9" customHeight="1" x14ac:dyDescent="0.2">
      <c r="A6381" s="5">
        <v>0</v>
      </c>
      <c r="B6381" s="6" t="s">
        <v>36269</v>
      </c>
      <c r="C6381" s="13">
        <v>828</v>
      </c>
      <c r="D6381" s="8" t="s">
        <v>36270</v>
      </c>
      <c r="E6381" s="8" t="s">
        <v>36271</v>
      </c>
      <c r="F6381" s="8" t="s">
        <v>36272</v>
      </c>
      <c r="G6381" s="6" t="s">
        <v>33</v>
      </c>
      <c r="H6381" s="6" t="s">
        <v>34</v>
      </c>
      <c r="I6381" s="8" t="s">
        <v>253</v>
      </c>
      <c r="J6381" s="9">
        <v>1</v>
      </c>
      <c r="K6381" s="9">
        <v>115</v>
      </c>
      <c r="L6381" s="9">
        <v>2026</v>
      </c>
      <c r="M6381" s="8" t="s">
        <v>36273</v>
      </c>
      <c r="N6381" s="8" t="s">
        <v>63</v>
      </c>
      <c r="O6381" s="8" t="s">
        <v>64</v>
      </c>
      <c r="P6381" s="6" t="s">
        <v>51</v>
      </c>
      <c r="Q6381" s="8" t="s">
        <v>65</v>
      </c>
      <c r="R6381" s="10" t="s">
        <v>36274</v>
      </c>
      <c r="S6381" s="11"/>
      <c r="T6381" s="6" t="s">
        <v>97</v>
      </c>
      <c r="U6381" s="15" t="str">
        <f>HYPERLINK("https://media.infra-m.ru/2233/2233499/cover/2233499.jpg", "Обложка")</f>
        <v>Обложка</v>
      </c>
      <c r="V6381" s="8" t="s">
        <v>8451</v>
      </c>
      <c r="W6381" s="6"/>
      <c r="X6381" s="6"/>
      <c r="Y6381" s="6"/>
      <c r="Z6381" s="6"/>
      <c r="AA6381" s="6" t="s">
        <v>779</v>
      </c>
      <c r="AB6381" s="8"/>
      <c r="AC6381" s="27">
        <v>9785160186658</v>
      </c>
    </row>
    <row r="6382" spans="1:29" s="4" customFormat="1" ht="42" customHeight="1" x14ac:dyDescent="0.2">
      <c r="A6382" s="5">
        <v>0</v>
      </c>
      <c r="B6382" s="6" t="s">
        <v>36275</v>
      </c>
      <c r="C6382" s="7">
        <v>1108.8</v>
      </c>
      <c r="D6382" s="8" t="s">
        <v>36276</v>
      </c>
      <c r="E6382" s="8" t="s">
        <v>36277</v>
      </c>
      <c r="F6382" s="8" t="s">
        <v>36278</v>
      </c>
      <c r="G6382" s="6" t="s">
        <v>60</v>
      </c>
      <c r="H6382" s="6" t="s">
        <v>134</v>
      </c>
      <c r="I6382" s="8"/>
      <c r="J6382" s="9">
        <v>1</v>
      </c>
      <c r="K6382" s="9">
        <v>184</v>
      </c>
      <c r="L6382" s="9">
        <v>2025</v>
      </c>
      <c r="M6382" s="8" t="s">
        <v>36279</v>
      </c>
      <c r="N6382" s="8" t="s">
        <v>37</v>
      </c>
      <c r="O6382" s="8" t="s">
        <v>136</v>
      </c>
      <c r="P6382" s="6" t="s">
        <v>51</v>
      </c>
      <c r="Q6382" s="8" t="s">
        <v>52</v>
      </c>
      <c r="R6382" s="10" t="s">
        <v>1625</v>
      </c>
      <c r="S6382" s="11"/>
      <c r="T6382" s="6"/>
      <c r="U6382" s="15" t="str">
        <f>HYPERLINK("https://media.infra-m.ru/2169/2169280/cover/2169280.jpg", "Обложка")</f>
        <v>Обложка</v>
      </c>
      <c r="V6382" s="8" t="s">
        <v>1184</v>
      </c>
      <c r="W6382" s="6"/>
      <c r="X6382" s="6"/>
      <c r="Y6382" s="6"/>
      <c r="Z6382" s="6"/>
      <c r="AA6382" s="6" t="s">
        <v>430</v>
      </c>
      <c r="AB6382" s="8"/>
      <c r="AC6382" s="27">
        <v>9785001561729</v>
      </c>
    </row>
    <row r="6383" spans="1:29" s="4" customFormat="1" ht="51.9" customHeight="1" x14ac:dyDescent="0.2">
      <c r="A6383" s="5">
        <v>0</v>
      </c>
      <c r="B6383" s="6" t="s">
        <v>36280</v>
      </c>
      <c r="C6383" s="7">
        <v>2076</v>
      </c>
      <c r="D6383" s="8" t="s">
        <v>36281</v>
      </c>
      <c r="E6383" s="8" t="s">
        <v>36282</v>
      </c>
      <c r="F6383" s="8" t="s">
        <v>36283</v>
      </c>
      <c r="G6383" s="6" t="s">
        <v>60</v>
      </c>
      <c r="H6383" s="6" t="s">
        <v>34</v>
      </c>
      <c r="I6383" s="8" t="s">
        <v>35</v>
      </c>
      <c r="J6383" s="9">
        <v>1</v>
      </c>
      <c r="K6383" s="9">
        <v>384</v>
      </c>
      <c r="L6383" s="9">
        <v>2023</v>
      </c>
      <c r="M6383" s="8" t="s">
        <v>36284</v>
      </c>
      <c r="N6383" s="8" t="s">
        <v>585</v>
      </c>
      <c r="O6383" s="8" t="s">
        <v>667</v>
      </c>
      <c r="P6383" s="6" t="s">
        <v>39</v>
      </c>
      <c r="Q6383" s="8" t="s">
        <v>40</v>
      </c>
      <c r="R6383" s="10" t="s">
        <v>36285</v>
      </c>
      <c r="S6383" s="11"/>
      <c r="T6383" s="6"/>
      <c r="U6383" s="15" t="str">
        <f>HYPERLINK("https://media.infra-m.ru/1898/1898400/cover/1898400.jpg", "Обложка")</f>
        <v>Обложка</v>
      </c>
      <c r="V6383" s="8" t="s">
        <v>786</v>
      </c>
      <c r="W6383" s="6"/>
      <c r="X6383" s="6"/>
      <c r="Y6383" s="6"/>
      <c r="Z6383" s="6"/>
      <c r="AA6383" s="6" t="s">
        <v>157</v>
      </c>
      <c r="AB6383" s="8" t="s">
        <v>6422</v>
      </c>
      <c r="AC6383" s="27">
        <v>9785160179377</v>
      </c>
    </row>
    <row r="6384" spans="1:29" s="4" customFormat="1" ht="42" customHeight="1" x14ac:dyDescent="0.2">
      <c r="A6384" s="5">
        <v>0</v>
      </c>
      <c r="B6384" s="6" t="s">
        <v>36286</v>
      </c>
      <c r="C6384" s="13">
        <v>856.8</v>
      </c>
      <c r="D6384" s="8" t="s">
        <v>36287</v>
      </c>
      <c r="E6384" s="8" t="s">
        <v>36288</v>
      </c>
      <c r="F6384" s="8" t="s">
        <v>36289</v>
      </c>
      <c r="G6384" s="6" t="s">
        <v>33</v>
      </c>
      <c r="H6384" s="6" t="s">
        <v>34</v>
      </c>
      <c r="I6384" s="8" t="s">
        <v>35</v>
      </c>
      <c r="J6384" s="9">
        <v>1</v>
      </c>
      <c r="K6384" s="9">
        <v>149</v>
      </c>
      <c r="L6384" s="9">
        <v>2024</v>
      </c>
      <c r="M6384" s="8" t="s">
        <v>36290</v>
      </c>
      <c r="N6384" s="8" t="s">
        <v>63</v>
      </c>
      <c r="O6384" s="8" t="s">
        <v>126</v>
      </c>
      <c r="P6384" s="6" t="s">
        <v>39</v>
      </c>
      <c r="Q6384" s="8" t="s">
        <v>40</v>
      </c>
      <c r="R6384" s="10" t="s">
        <v>5818</v>
      </c>
      <c r="S6384" s="11"/>
      <c r="T6384" s="6"/>
      <c r="U6384" s="15" t="str">
        <f>HYPERLINK("https://media.infra-m.ru/2052/2052446/cover/2052446.jpg", "Обложка")</f>
        <v>Обложка</v>
      </c>
      <c r="V6384" s="8" t="s">
        <v>36291</v>
      </c>
      <c r="W6384" s="6"/>
      <c r="X6384" s="6"/>
      <c r="Y6384" s="6"/>
      <c r="Z6384" s="6"/>
      <c r="AA6384" s="6" t="s">
        <v>86</v>
      </c>
      <c r="AB6384" s="8"/>
      <c r="AC6384" s="27">
        <v>9785160135908</v>
      </c>
    </row>
    <row r="6385" spans="1:29" s="4" customFormat="1" ht="51.9" customHeight="1" x14ac:dyDescent="0.2">
      <c r="A6385" s="5">
        <v>0</v>
      </c>
      <c r="B6385" s="6" t="s">
        <v>36292</v>
      </c>
      <c r="C6385" s="7">
        <v>1464</v>
      </c>
      <c r="D6385" s="8" t="s">
        <v>36293</v>
      </c>
      <c r="E6385" s="8" t="s">
        <v>36294</v>
      </c>
      <c r="F6385" s="8" t="s">
        <v>36295</v>
      </c>
      <c r="G6385" s="6" t="s">
        <v>118</v>
      </c>
      <c r="H6385" s="6" t="s">
        <v>34</v>
      </c>
      <c r="I6385" s="8" t="s">
        <v>263</v>
      </c>
      <c r="J6385" s="9">
        <v>1</v>
      </c>
      <c r="K6385" s="9">
        <v>224</v>
      </c>
      <c r="L6385" s="9">
        <v>2026</v>
      </c>
      <c r="M6385" s="8" t="s">
        <v>36296</v>
      </c>
      <c r="N6385" s="8" t="s">
        <v>243</v>
      </c>
      <c r="O6385" s="8" t="s">
        <v>244</v>
      </c>
      <c r="P6385" s="6" t="s">
        <v>306</v>
      </c>
      <c r="Q6385" s="8" t="s">
        <v>265</v>
      </c>
      <c r="R6385" s="10" t="s">
        <v>36297</v>
      </c>
      <c r="S6385" s="11" t="s">
        <v>36298</v>
      </c>
      <c r="T6385" s="6"/>
      <c r="U6385" s="15" t="str">
        <f>HYPERLINK("https://media.infra-m.ru/2217/2217540/cover/2217540.jpg", "Обложка")</f>
        <v>Обложка</v>
      </c>
      <c r="V6385" s="8" t="s">
        <v>3337</v>
      </c>
      <c r="W6385" s="6"/>
      <c r="X6385" s="6"/>
      <c r="Y6385" s="6"/>
      <c r="Z6385" s="6"/>
      <c r="AA6385" s="6" t="s">
        <v>3991</v>
      </c>
      <c r="AB6385" s="8"/>
      <c r="AC6385" s="27">
        <v>9785160212289</v>
      </c>
    </row>
    <row r="6386" spans="1:29" s="4" customFormat="1" ht="51.9" customHeight="1" x14ac:dyDescent="0.2">
      <c r="A6386" s="5">
        <v>0</v>
      </c>
      <c r="B6386" s="6" t="s">
        <v>36299</v>
      </c>
      <c r="C6386" s="7">
        <v>1296</v>
      </c>
      <c r="D6386" s="8" t="s">
        <v>36300</v>
      </c>
      <c r="E6386" s="8" t="s">
        <v>36301</v>
      </c>
      <c r="F6386" s="8" t="s">
        <v>36302</v>
      </c>
      <c r="G6386" s="6" t="s">
        <v>118</v>
      </c>
      <c r="H6386" s="6" t="s">
        <v>34</v>
      </c>
      <c r="I6386" s="8" t="s">
        <v>263</v>
      </c>
      <c r="J6386" s="9">
        <v>1</v>
      </c>
      <c r="K6386" s="9">
        <v>215</v>
      </c>
      <c r="L6386" s="9">
        <v>2025</v>
      </c>
      <c r="M6386" s="8" t="s">
        <v>36303</v>
      </c>
      <c r="N6386" s="8" t="s">
        <v>37</v>
      </c>
      <c r="O6386" s="8" t="s">
        <v>499</v>
      </c>
      <c r="P6386" s="6" t="s">
        <v>51</v>
      </c>
      <c r="Q6386" s="8" t="s">
        <v>265</v>
      </c>
      <c r="R6386" s="10" t="s">
        <v>36304</v>
      </c>
      <c r="S6386" s="11"/>
      <c r="T6386" s="6" t="s">
        <v>97</v>
      </c>
      <c r="U6386" s="15" t="str">
        <f>HYPERLINK("https://media.infra-m.ru/2174/2174886/cover/2174886.jpg", "Обложка")</f>
        <v>Обложка</v>
      </c>
      <c r="V6386" s="8" t="s">
        <v>227</v>
      </c>
      <c r="W6386" s="6"/>
      <c r="X6386" s="6"/>
      <c r="Y6386" s="6"/>
      <c r="Z6386" s="6" t="s">
        <v>267</v>
      </c>
      <c r="AA6386" s="6" t="s">
        <v>917</v>
      </c>
      <c r="AB6386" s="8"/>
      <c r="AC6386" s="27">
        <v>9785160204550</v>
      </c>
    </row>
    <row r="6387" spans="1:29" s="4" customFormat="1" ht="51.9" customHeight="1" x14ac:dyDescent="0.2">
      <c r="A6387" s="5">
        <v>0</v>
      </c>
      <c r="B6387" s="6" t="s">
        <v>36305</v>
      </c>
      <c r="C6387" s="7">
        <v>1296</v>
      </c>
      <c r="D6387" s="8" t="s">
        <v>36306</v>
      </c>
      <c r="E6387" s="8" t="s">
        <v>36301</v>
      </c>
      <c r="F6387" s="8" t="s">
        <v>36302</v>
      </c>
      <c r="G6387" s="6" t="s">
        <v>118</v>
      </c>
      <c r="H6387" s="6" t="s">
        <v>34</v>
      </c>
      <c r="I6387" s="8" t="s">
        <v>253</v>
      </c>
      <c r="J6387" s="9">
        <v>1</v>
      </c>
      <c r="K6387" s="9">
        <v>215</v>
      </c>
      <c r="L6387" s="9">
        <v>2025</v>
      </c>
      <c r="M6387" s="8" t="s">
        <v>36307</v>
      </c>
      <c r="N6387" s="8" t="s">
        <v>37</v>
      </c>
      <c r="O6387" s="8" t="s">
        <v>499</v>
      </c>
      <c r="P6387" s="6" t="s">
        <v>51</v>
      </c>
      <c r="Q6387" s="8" t="s">
        <v>52</v>
      </c>
      <c r="R6387" s="10" t="s">
        <v>36308</v>
      </c>
      <c r="S6387" s="11" t="s">
        <v>36309</v>
      </c>
      <c r="T6387" s="6" t="s">
        <v>97</v>
      </c>
      <c r="U6387" s="15" t="str">
        <f>HYPERLINK("https://media.infra-m.ru/2185/2185779/cover/2185779.jpg", "Обложка")</f>
        <v>Обложка</v>
      </c>
      <c r="V6387" s="8" t="s">
        <v>227</v>
      </c>
      <c r="W6387" s="6"/>
      <c r="X6387" s="6"/>
      <c r="Y6387" s="6"/>
      <c r="Z6387" s="6"/>
      <c r="AA6387" s="6" t="s">
        <v>623</v>
      </c>
      <c r="AB6387" s="8"/>
      <c r="AC6387" s="27">
        <v>9785160206134</v>
      </c>
    </row>
    <row r="6388" spans="1:29" s="4" customFormat="1" ht="51.9" customHeight="1" x14ac:dyDescent="0.2">
      <c r="A6388" s="5">
        <v>0</v>
      </c>
      <c r="B6388" s="6" t="s">
        <v>36310</v>
      </c>
      <c r="C6388" s="7">
        <v>2124</v>
      </c>
      <c r="D6388" s="8" t="s">
        <v>36311</v>
      </c>
      <c r="E6388" s="8" t="s">
        <v>36312</v>
      </c>
      <c r="F6388" s="8" t="s">
        <v>240</v>
      </c>
      <c r="G6388" s="6" t="s">
        <v>118</v>
      </c>
      <c r="H6388" s="6" t="s">
        <v>34</v>
      </c>
      <c r="I6388" s="8" t="s">
        <v>304</v>
      </c>
      <c r="J6388" s="9">
        <v>1</v>
      </c>
      <c r="K6388" s="9">
        <v>305</v>
      </c>
      <c r="L6388" s="9">
        <v>2027</v>
      </c>
      <c r="M6388" s="8" t="s">
        <v>36313</v>
      </c>
      <c r="N6388" s="8" t="s">
        <v>243</v>
      </c>
      <c r="O6388" s="8" t="s">
        <v>244</v>
      </c>
      <c r="P6388" s="6" t="s">
        <v>51</v>
      </c>
      <c r="Q6388" s="8" t="s">
        <v>52</v>
      </c>
      <c r="R6388" s="10" t="s">
        <v>245</v>
      </c>
      <c r="S6388" s="11" t="s">
        <v>36314</v>
      </c>
      <c r="T6388" s="6" t="s">
        <v>97</v>
      </c>
      <c r="U6388" s="15" t="str">
        <f>HYPERLINK("https://media.infra-m.ru/2262/2262857/cover/2262857.jpg", "Обложка")</f>
        <v>Обложка</v>
      </c>
      <c r="V6388" s="8" t="s">
        <v>247</v>
      </c>
      <c r="W6388" s="6"/>
      <c r="X6388" s="6"/>
      <c r="Y6388" s="6"/>
      <c r="Z6388" s="6"/>
      <c r="AA6388" s="6" t="s">
        <v>2240</v>
      </c>
      <c r="AB6388" s="8"/>
      <c r="AC6388" s="27">
        <v>9785160194349</v>
      </c>
    </row>
    <row r="6389" spans="1:29" s="4" customFormat="1" ht="51.9" customHeight="1" x14ac:dyDescent="0.2">
      <c r="A6389" s="5">
        <v>0</v>
      </c>
      <c r="B6389" s="6" t="s">
        <v>36315</v>
      </c>
      <c r="C6389" s="7">
        <v>2016</v>
      </c>
      <c r="D6389" s="8" t="s">
        <v>36316</v>
      </c>
      <c r="E6389" s="8" t="s">
        <v>36317</v>
      </c>
      <c r="F6389" s="8" t="s">
        <v>240</v>
      </c>
      <c r="G6389" s="6" t="s">
        <v>118</v>
      </c>
      <c r="H6389" s="6" t="s">
        <v>34</v>
      </c>
      <c r="I6389" s="8" t="s">
        <v>263</v>
      </c>
      <c r="J6389" s="9">
        <v>1</v>
      </c>
      <c r="K6389" s="9">
        <v>305</v>
      </c>
      <c r="L6389" s="9">
        <v>2026</v>
      </c>
      <c r="M6389" s="8" t="s">
        <v>36318</v>
      </c>
      <c r="N6389" s="8" t="s">
        <v>243</v>
      </c>
      <c r="O6389" s="8" t="s">
        <v>244</v>
      </c>
      <c r="P6389" s="6" t="s">
        <v>51</v>
      </c>
      <c r="Q6389" s="8" t="s">
        <v>265</v>
      </c>
      <c r="R6389" s="10" t="s">
        <v>5589</v>
      </c>
      <c r="S6389" s="11" t="s">
        <v>36319</v>
      </c>
      <c r="T6389" s="6" t="s">
        <v>97</v>
      </c>
      <c r="U6389" s="15" t="str">
        <f>HYPERLINK("https://media.infra-m.ru/2250/2250382/cover/2250382.jpg", "Обложка")</f>
        <v>Обложка</v>
      </c>
      <c r="V6389" s="8" t="s">
        <v>247</v>
      </c>
      <c r="W6389" s="6"/>
      <c r="X6389" s="6"/>
      <c r="Y6389" s="6"/>
      <c r="Z6389" s="6" t="s">
        <v>267</v>
      </c>
      <c r="AA6389" s="6" t="s">
        <v>430</v>
      </c>
      <c r="AB6389" s="8"/>
      <c r="AC6389" s="27">
        <v>9785160166483</v>
      </c>
    </row>
    <row r="6390" spans="1:29" s="4" customFormat="1" ht="42" customHeight="1" x14ac:dyDescent="0.2">
      <c r="A6390" s="5">
        <v>0</v>
      </c>
      <c r="B6390" s="6" t="s">
        <v>36320</v>
      </c>
      <c r="C6390" s="7">
        <v>1308</v>
      </c>
      <c r="D6390" s="8" t="s">
        <v>36321</v>
      </c>
      <c r="E6390" s="8" t="s">
        <v>36322</v>
      </c>
      <c r="F6390" s="8" t="s">
        <v>4643</v>
      </c>
      <c r="G6390" s="6" t="s">
        <v>60</v>
      </c>
      <c r="H6390" s="6" t="s">
        <v>34</v>
      </c>
      <c r="I6390" s="8" t="s">
        <v>35</v>
      </c>
      <c r="J6390" s="9">
        <v>1</v>
      </c>
      <c r="K6390" s="9">
        <v>200</v>
      </c>
      <c r="L6390" s="9">
        <v>2025</v>
      </c>
      <c r="M6390" s="8" t="s">
        <v>36323</v>
      </c>
      <c r="N6390" s="8" t="s">
        <v>243</v>
      </c>
      <c r="O6390" s="8" t="s">
        <v>798</v>
      </c>
      <c r="P6390" s="6" t="s">
        <v>39</v>
      </c>
      <c r="Q6390" s="8" t="s">
        <v>40</v>
      </c>
      <c r="R6390" s="10" t="s">
        <v>15324</v>
      </c>
      <c r="S6390" s="11"/>
      <c r="T6390" s="6"/>
      <c r="U6390" s="15" t="str">
        <f>HYPERLINK("https://media.infra-m.ru/2180/2180377/cover/2180377.jpg", "Обложка")</f>
        <v>Обложка</v>
      </c>
      <c r="V6390" s="8" t="s">
        <v>761</v>
      </c>
      <c r="W6390" s="6"/>
      <c r="X6390" s="6"/>
      <c r="Y6390" s="6"/>
      <c r="Z6390" s="6"/>
      <c r="AA6390" s="6" t="s">
        <v>68</v>
      </c>
      <c r="AB6390" s="8"/>
      <c r="AC6390" s="27">
        <v>9785160205335</v>
      </c>
    </row>
    <row r="6391" spans="1:29" s="4" customFormat="1" ht="51.9" customHeight="1" x14ac:dyDescent="0.2">
      <c r="A6391" s="5">
        <v>0</v>
      </c>
      <c r="B6391" s="6" t="s">
        <v>36324</v>
      </c>
      <c r="C6391" s="7">
        <v>2488.8000000000002</v>
      </c>
      <c r="D6391" s="8" t="s">
        <v>36325</v>
      </c>
      <c r="E6391" s="8" t="s">
        <v>36326</v>
      </c>
      <c r="F6391" s="8" t="s">
        <v>28692</v>
      </c>
      <c r="G6391" s="6" t="s">
        <v>60</v>
      </c>
      <c r="H6391" s="6" t="s">
        <v>34</v>
      </c>
      <c r="I6391" s="8" t="s">
        <v>263</v>
      </c>
      <c r="J6391" s="9">
        <v>1</v>
      </c>
      <c r="K6391" s="9">
        <v>358</v>
      </c>
      <c r="L6391" s="9">
        <v>2026</v>
      </c>
      <c r="M6391" s="8" t="s">
        <v>36327</v>
      </c>
      <c r="N6391" s="8" t="s">
        <v>243</v>
      </c>
      <c r="O6391" s="8" t="s">
        <v>244</v>
      </c>
      <c r="P6391" s="6" t="s">
        <v>51</v>
      </c>
      <c r="Q6391" s="8" t="s">
        <v>265</v>
      </c>
      <c r="R6391" s="10" t="s">
        <v>36328</v>
      </c>
      <c r="S6391" s="11"/>
      <c r="T6391" s="6"/>
      <c r="U6391" s="15" t="str">
        <f>HYPERLINK("https://media.infra-m.ru/2251/2251404/cover/2251404.jpg", "Обложка")</f>
        <v>Обложка</v>
      </c>
      <c r="V6391" s="8" t="s">
        <v>3428</v>
      </c>
      <c r="W6391" s="6"/>
      <c r="X6391" s="6"/>
      <c r="Y6391" s="6"/>
      <c r="Z6391" s="6"/>
      <c r="AA6391" s="6" t="s">
        <v>917</v>
      </c>
      <c r="AB6391" s="8"/>
      <c r="AC6391" s="27">
        <v>9785160183602</v>
      </c>
    </row>
    <row r="6392" spans="1:29" s="4" customFormat="1" ht="51.9" customHeight="1" x14ac:dyDescent="0.2">
      <c r="A6392" s="5">
        <v>0</v>
      </c>
      <c r="B6392" s="6" t="s">
        <v>36329</v>
      </c>
      <c r="C6392" s="7">
        <v>1668</v>
      </c>
      <c r="D6392" s="8" t="s">
        <v>36330</v>
      </c>
      <c r="E6392" s="8" t="s">
        <v>36331</v>
      </c>
      <c r="F6392" s="8" t="s">
        <v>23839</v>
      </c>
      <c r="G6392" s="6" t="s">
        <v>118</v>
      </c>
      <c r="H6392" s="6" t="s">
        <v>1042</v>
      </c>
      <c r="I6392" s="8" t="s">
        <v>263</v>
      </c>
      <c r="J6392" s="9">
        <v>1</v>
      </c>
      <c r="K6392" s="9">
        <v>384</v>
      </c>
      <c r="L6392" s="9">
        <v>2021</v>
      </c>
      <c r="M6392" s="8" t="s">
        <v>36332</v>
      </c>
      <c r="N6392" s="8" t="s">
        <v>243</v>
      </c>
      <c r="O6392" s="8" t="s">
        <v>244</v>
      </c>
      <c r="P6392" s="6" t="s">
        <v>51</v>
      </c>
      <c r="Q6392" s="8" t="s">
        <v>265</v>
      </c>
      <c r="R6392" s="10" t="s">
        <v>36328</v>
      </c>
      <c r="S6392" s="11" t="s">
        <v>36333</v>
      </c>
      <c r="T6392" s="6"/>
      <c r="U6392" s="15" t="str">
        <f>HYPERLINK("https://media.infra-m.ru/1214/1214882/cover/1214882.jpg", "Обложка")</f>
        <v>Обложка</v>
      </c>
      <c r="V6392" s="8" t="s">
        <v>3428</v>
      </c>
      <c r="W6392" s="6"/>
      <c r="X6392" s="6"/>
      <c r="Y6392" s="6"/>
      <c r="Z6392" s="6"/>
      <c r="AA6392" s="6" t="s">
        <v>1506</v>
      </c>
      <c r="AB6392" s="8"/>
      <c r="AC6392" s="27">
        <v>9785819907351</v>
      </c>
    </row>
    <row r="6393" spans="1:29" s="4" customFormat="1" ht="51.9" customHeight="1" x14ac:dyDescent="0.2">
      <c r="A6393" s="5">
        <v>0</v>
      </c>
      <c r="B6393" s="6" t="s">
        <v>36334</v>
      </c>
      <c r="C6393" s="13">
        <v>948</v>
      </c>
      <c r="D6393" s="8" t="s">
        <v>36335</v>
      </c>
      <c r="E6393" s="8" t="s">
        <v>36336</v>
      </c>
      <c r="F6393" s="8" t="s">
        <v>9040</v>
      </c>
      <c r="G6393" s="6" t="s">
        <v>60</v>
      </c>
      <c r="H6393" s="6" t="s">
        <v>34</v>
      </c>
      <c r="I6393" s="8" t="s">
        <v>263</v>
      </c>
      <c r="J6393" s="9">
        <v>1</v>
      </c>
      <c r="K6393" s="9">
        <v>178</v>
      </c>
      <c r="L6393" s="9">
        <v>2022</v>
      </c>
      <c r="M6393" s="8" t="s">
        <v>36337</v>
      </c>
      <c r="N6393" s="8" t="s">
        <v>243</v>
      </c>
      <c r="O6393" s="8" t="s">
        <v>244</v>
      </c>
      <c r="P6393" s="6" t="s">
        <v>51</v>
      </c>
      <c r="Q6393" s="8" t="s">
        <v>265</v>
      </c>
      <c r="R6393" s="10" t="s">
        <v>12827</v>
      </c>
      <c r="S6393" s="11" t="s">
        <v>36338</v>
      </c>
      <c r="T6393" s="6"/>
      <c r="U6393" s="15" t="str">
        <f>HYPERLINK("https://media.infra-m.ru/1853/1853495/cover/1853495.jpg", "Обложка")</f>
        <v>Обложка</v>
      </c>
      <c r="V6393" s="8"/>
      <c r="W6393" s="6"/>
      <c r="X6393" s="6"/>
      <c r="Y6393" s="6"/>
      <c r="Z6393" s="6"/>
      <c r="AA6393" s="6" t="s">
        <v>148</v>
      </c>
      <c r="AB6393" s="8"/>
      <c r="AC6393" s="27">
        <v>9785160174341</v>
      </c>
    </row>
    <row r="6394" spans="1:29" s="4" customFormat="1" ht="42" customHeight="1" x14ac:dyDescent="0.2">
      <c r="A6394" s="5">
        <v>0</v>
      </c>
      <c r="B6394" s="6" t="s">
        <v>36339</v>
      </c>
      <c r="C6394" s="13">
        <v>852</v>
      </c>
      <c r="D6394" s="8" t="s">
        <v>36340</v>
      </c>
      <c r="E6394" s="8" t="s">
        <v>36341</v>
      </c>
      <c r="F6394" s="8" t="s">
        <v>28286</v>
      </c>
      <c r="G6394" s="6" t="s">
        <v>33</v>
      </c>
      <c r="H6394" s="6" t="s">
        <v>34</v>
      </c>
      <c r="I6394" s="8" t="s">
        <v>263</v>
      </c>
      <c r="J6394" s="9">
        <v>1</v>
      </c>
      <c r="K6394" s="9">
        <v>136</v>
      </c>
      <c r="L6394" s="9">
        <v>2025</v>
      </c>
      <c r="M6394" s="8" t="s">
        <v>36342</v>
      </c>
      <c r="N6394" s="8" t="s">
        <v>243</v>
      </c>
      <c r="O6394" s="8" t="s">
        <v>758</v>
      </c>
      <c r="P6394" s="6" t="s">
        <v>51</v>
      </c>
      <c r="Q6394" s="8" t="s">
        <v>265</v>
      </c>
      <c r="R6394" s="10" t="s">
        <v>36343</v>
      </c>
      <c r="S6394" s="11"/>
      <c r="T6394" s="6"/>
      <c r="U6394" s="15" t="str">
        <f>HYPERLINK("https://media.infra-m.ru/2174/2174988/cover/2174988.jpg", "Обложка")</f>
        <v>Обложка</v>
      </c>
      <c r="V6394" s="8" t="s">
        <v>28290</v>
      </c>
      <c r="W6394" s="6"/>
      <c r="X6394" s="6"/>
      <c r="Y6394" s="6"/>
      <c r="Z6394" s="6" t="s">
        <v>882</v>
      </c>
      <c r="AA6394" s="6" t="s">
        <v>68</v>
      </c>
      <c r="AB6394" s="8"/>
      <c r="AC6394" s="27">
        <v>9785160204604</v>
      </c>
    </row>
    <row r="6395" spans="1:29" s="4" customFormat="1" ht="51.9" customHeight="1" x14ac:dyDescent="0.2">
      <c r="A6395" s="5">
        <v>0</v>
      </c>
      <c r="B6395" s="6" t="s">
        <v>36344</v>
      </c>
      <c r="C6395" s="13">
        <v>756</v>
      </c>
      <c r="D6395" s="8" t="s">
        <v>36345</v>
      </c>
      <c r="E6395" s="8" t="s">
        <v>36341</v>
      </c>
      <c r="F6395" s="8" t="s">
        <v>28286</v>
      </c>
      <c r="G6395" s="6" t="s">
        <v>33</v>
      </c>
      <c r="H6395" s="6" t="s">
        <v>34</v>
      </c>
      <c r="I6395" s="8" t="s">
        <v>253</v>
      </c>
      <c r="J6395" s="9">
        <v>1</v>
      </c>
      <c r="K6395" s="9">
        <v>136</v>
      </c>
      <c r="L6395" s="9">
        <v>2024</v>
      </c>
      <c r="M6395" s="8" t="s">
        <v>36346</v>
      </c>
      <c r="N6395" s="8" t="s">
        <v>243</v>
      </c>
      <c r="O6395" s="8" t="s">
        <v>758</v>
      </c>
      <c r="P6395" s="6" t="s">
        <v>51</v>
      </c>
      <c r="Q6395" s="8" t="s">
        <v>65</v>
      </c>
      <c r="R6395" s="10" t="s">
        <v>36347</v>
      </c>
      <c r="S6395" s="11" t="s">
        <v>33860</v>
      </c>
      <c r="T6395" s="6"/>
      <c r="U6395" s="15" t="str">
        <f>HYPERLINK("https://media.infra-m.ru/2056/2056735/cover/2056735.jpg", "Обложка")</f>
        <v>Обложка</v>
      </c>
      <c r="V6395" s="8" t="s">
        <v>28290</v>
      </c>
      <c r="W6395" s="6"/>
      <c r="X6395" s="6" t="s">
        <v>24</v>
      </c>
      <c r="Y6395" s="6"/>
      <c r="Z6395" s="6"/>
      <c r="AA6395" s="6" t="s">
        <v>248</v>
      </c>
      <c r="AB6395" s="8"/>
      <c r="AC6395" s="27">
        <v>9785160187815</v>
      </c>
    </row>
    <row r="6396" spans="1:29" s="4" customFormat="1" ht="51.9" customHeight="1" x14ac:dyDescent="0.2">
      <c r="A6396" s="5">
        <v>0</v>
      </c>
      <c r="B6396" s="6" t="s">
        <v>36348</v>
      </c>
      <c r="C6396" s="7">
        <v>1780.8</v>
      </c>
      <c r="D6396" s="8" t="s">
        <v>36349</v>
      </c>
      <c r="E6396" s="8" t="s">
        <v>36350</v>
      </c>
      <c r="F6396" s="8" t="s">
        <v>36351</v>
      </c>
      <c r="G6396" s="6" t="s">
        <v>60</v>
      </c>
      <c r="H6396" s="6" t="s">
        <v>241</v>
      </c>
      <c r="I6396" s="8"/>
      <c r="J6396" s="9">
        <v>1</v>
      </c>
      <c r="K6396" s="9">
        <v>256</v>
      </c>
      <c r="L6396" s="9">
        <v>2027</v>
      </c>
      <c r="M6396" s="8" t="s">
        <v>36352</v>
      </c>
      <c r="N6396" s="8" t="s">
        <v>37</v>
      </c>
      <c r="O6396" s="8" t="s">
        <v>499</v>
      </c>
      <c r="P6396" s="6" t="s">
        <v>51</v>
      </c>
      <c r="Q6396" s="8" t="s">
        <v>52</v>
      </c>
      <c r="R6396" s="10" t="s">
        <v>36353</v>
      </c>
      <c r="S6396" s="11" t="s">
        <v>36354</v>
      </c>
      <c r="T6396" s="6"/>
      <c r="U6396" s="15" t="str">
        <f>HYPERLINK("https://media.infra-m.ru/2266/2266345/cover/2266345.jpg", "Обложка")</f>
        <v>Обложка</v>
      </c>
      <c r="V6396" s="8" t="s">
        <v>396</v>
      </c>
      <c r="W6396" s="6"/>
      <c r="X6396" s="6"/>
      <c r="Y6396" s="6"/>
      <c r="Z6396" s="6"/>
      <c r="AA6396" s="6" t="s">
        <v>1015</v>
      </c>
      <c r="AB6396" s="8"/>
      <c r="AC6396" s="27">
        <v>9785955801247</v>
      </c>
    </row>
    <row r="6397" spans="1:29" s="4" customFormat="1" ht="51.9" customHeight="1" x14ac:dyDescent="0.2">
      <c r="A6397" s="5">
        <v>0</v>
      </c>
      <c r="B6397" s="6" t="s">
        <v>36355</v>
      </c>
      <c r="C6397" s="7">
        <v>1164</v>
      </c>
      <c r="D6397" s="8" t="s">
        <v>36356</v>
      </c>
      <c r="E6397" s="8" t="s">
        <v>36357</v>
      </c>
      <c r="F6397" s="8" t="s">
        <v>17565</v>
      </c>
      <c r="G6397" s="6" t="s">
        <v>118</v>
      </c>
      <c r="H6397" s="6" t="s">
        <v>34</v>
      </c>
      <c r="I6397" s="8" t="s">
        <v>253</v>
      </c>
      <c r="J6397" s="9">
        <v>1</v>
      </c>
      <c r="K6397" s="9">
        <v>176</v>
      </c>
      <c r="L6397" s="9">
        <v>2026</v>
      </c>
      <c r="M6397" s="8" t="s">
        <v>36358</v>
      </c>
      <c r="N6397" s="8" t="s">
        <v>243</v>
      </c>
      <c r="O6397" s="8" t="s">
        <v>758</v>
      </c>
      <c r="P6397" s="6" t="s">
        <v>51</v>
      </c>
      <c r="Q6397" s="8" t="s">
        <v>52</v>
      </c>
      <c r="R6397" s="10" t="s">
        <v>20964</v>
      </c>
      <c r="S6397" s="11" t="s">
        <v>36359</v>
      </c>
      <c r="T6397" s="6"/>
      <c r="U6397" s="15" t="str">
        <f>HYPERLINK("https://media.infra-m.ru/2238/2238376/cover/2238376.jpg", "Обложка")</f>
        <v>Обложка</v>
      </c>
      <c r="V6397" s="8" t="s">
        <v>843</v>
      </c>
      <c r="W6397" s="6"/>
      <c r="X6397" s="6"/>
      <c r="Y6397" s="6"/>
      <c r="Z6397" s="6"/>
      <c r="AA6397" s="6" t="s">
        <v>896</v>
      </c>
      <c r="AB6397" s="8"/>
      <c r="AC6397" s="27">
        <v>9785160218502</v>
      </c>
    </row>
    <row r="6398" spans="1:29" s="4" customFormat="1" ht="51.9" customHeight="1" x14ac:dyDescent="0.2">
      <c r="A6398" s="5">
        <v>0</v>
      </c>
      <c r="B6398" s="6" t="s">
        <v>36360</v>
      </c>
      <c r="C6398" s="13">
        <v>772.8</v>
      </c>
      <c r="D6398" s="8" t="s">
        <v>36361</v>
      </c>
      <c r="E6398" s="8" t="s">
        <v>36362</v>
      </c>
      <c r="F6398" s="8" t="s">
        <v>36363</v>
      </c>
      <c r="G6398" s="6" t="s">
        <v>33</v>
      </c>
      <c r="H6398" s="6" t="s">
        <v>34</v>
      </c>
      <c r="I6398" s="8" t="s">
        <v>271</v>
      </c>
      <c r="J6398" s="9">
        <v>1</v>
      </c>
      <c r="K6398" s="9">
        <v>128</v>
      </c>
      <c r="L6398" s="9">
        <v>2025</v>
      </c>
      <c r="M6398" s="8" t="s">
        <v>36364</v>
      </c>
      <c r="N6398" s="8" t="s">
        <v>37</v>
      </c>
      <c r="O6398" s="8" t="s">
        <v>280</v>
      </c>
      <c r="P6398" s="6" t="s">
        <v>51</v>
      </c>
      <c r="Q6398" s="8" t="s">
        <v>52</v>
      </c>
      <c r="R6398" s="10" t="s">
        <v>36365</v>
      </c>
      <c r="S6398" s="11" t="s">
        <v>36366</v>
      </c>
      <c r="T6398" s="6"/>
      <c r="U6398" s="15" t="str">
        <f>HYPERLINK("https://media.infra-m.ru/2188/2188766/cover/2188766.jpg", "Обложка")</f>
        <v>Обложка</v>
      </c>
      <c r="V6398" s="8" t="s">
        <v>54</v>
      </c>
      <c r="W6398" s="6"/>
      <c r="X6398" s="6"/>
      <c r="Y6398" s="6"/>
      <c r="Z6398" s="6"/>
      <c r="AA6398" s="6" t="s">
        <v>43</v>
      </c>
      <c r="AB6398" s="8"/>
      <c r="AC6398" s="27">
        <v>9785160052229</v>
      </c>
    </row>
    <row r="6399" spans="1:29" s="4" customFormat="1" ht="51.9" customHeight="1" x14ac:dyDescent="0.2">
      <c r="A6399" s="5">
        <v>0</v>
      </c>
      <c r="B6399" s="6" t="s">
        <v>36367</v>
      </c>
      <c r="C6399" s="7">
        <v>2220</v>
      </c>
      <c r="D6399" s="8" t="s">
        <v>36368</v>
      </c>
      <c r="E6399" s="8" t="s">
        <v>36369</v>
      </c>
      <c r="F6399" s="8" t="s">
        <v>36370</v>
      </c>
      <c r="G6399" s="6" t="s">
        <v>118</v>
      </c>
      <c r="H6399" s="6" t="s">
        <v>820</v>
      </c>
      <c r="I6399" s="8" t="s">
        <v>263</v>
      </c>
      <c r="J6399" s="9">
        <v>1</v>
      </c>
      <c r="K6399" s="9">
        <v>336</v>
      </c>
      <c r="L6399" s="9">
        <v>2026</v>
      </c>
      <c r="M6399" s="8" t="s">
        <v>36371</v>
      </c>
      <c r="N6399" s="8" t="s">
        <v>243</v>
      </c>
      <c r="O6399" s="8" t="s">
        <v>244</v>
      </c>
      <c r="P6399" s="6" t="s">
        <v>51</v>
      </c>
      <c r="Q6399" s="8" t="s">
        <v>265</v>
      </c>
      <c r="R6399" s="10" t="s">
        <v>36372</v>
      </c>
      <c r="S6399" s="11" t="s">
        <v>36373</v>
      </c>
      <c r="T6399" s="6"/>
      <c r="U6399" s="15" t="str">
        <f>HYPERLINK("https://media.infra-m.ru/2213/2213137/cover/2213137.jpg", "Обложка")</f>
        <v>Обложка</v>
      </c>
      <c r="V6399" s="8" t="s">
        <v>36374</v>
      </c>
      <c r="W6399" s="6"/>
      <c r="X6399" s="6" t="s">
        <v>24</v>
      </c>
      <c r="Y6399" s="6"/>
      <c r="Z6399" s="6"/>
      <c r="AA6399" s="6" t="s">
        <v>779</v>
      </c>
      <c r="AB6399" s="8"/>
      <c r="AC6399" s="27">
        <v>9785906818416</v>
      </c>
    </row>
    <row r="6400" spans="1:29" s="4" customFormat="1" ht="51.9" customHeight="1" x14ac:dyDescent="0.2">
      <c r="A6400" s="5">
        <v>0</v>
      </c>
      <c r="B6400" s="6" t="s">
        <v>36375</v>
      </c>
      <c r="C6400" s="13">
        <v>952.8</v>
      </c>
      <c r="D6400" s="8" t="s">
        <v>36376</v>
      </c>
      <c r="E6400" s="8" t="s">
        <v>36377</v>
      </c>
      <c r="F6400" s="8" t="s">
        <v>19847</v>
      </c>
      <c r="G6400" s="6" t="s">
        <v>33</v>
      </c>
      <c r="H6400" s="6" t="s">
        <v>313</v>
      </c>
      <c r="I6400" s="8" t="s">
        <v>253</v>
      </c>
      <c r="J6400" s="9">
        <v>1</v>
      </c>
      <c r="K6400" s="9">
        <v>148</v>
      </c>
      <c r="L6400" s="9">
        <v>2022</v>
      </c>
      <c r="M6400" s="8" t="s">
        <v>36378</v>
      </c>
      <c r="N6400" s="8" t="s">
        <v>37</v>
      </c>
      <c r="O6400" s="8" t="s">
        <v>136</v>
      </c>
      <c r="P6400" s="6" t="s">
        <v>51</v>
      </c>
      <c r="Q6400" s="8" t="s">
        <v>377</v>
      </c>
      <c r="R6400" s="10" t="s">
        <v>484</v>
      </c>
      <c r="S6400" s="11"/>
      <c r="T6400" s="6"/>
      <c r="U6400" s="15" t="str">
        <f>HYPERLINK("https://media.infra-m.ru/1850/1850716/cover/1850716.jpg", "Обложка")</f>
        <v>Обложка</v>
      </c>
      <c r="V6400" s="8" t="s">
        <v>512</v>
      </c>
      <c r="W6400" s="6"/>
      <c r="X6400" s="6"/>
      <c r="Y6400" s="6"/>
      <c r="Z6400" s="6"/>
      <c r="AA6400" s="6" t="s">
        <v>1256</v>
      </c>
      <c r="AB6400" s="8"/>
      <c r="AC6400" s="27">
        <v>9785369018422</v>
      </c>
    </row>
    <row r="6401" spans="1:29" s="4" customFormat="1" ht="51.9" customHeight="1" x14ac:dyDescent="0.2">
      <c r="A6401" s="5">
        <v>0</v>
      </c>
      <c r="B6401" s="6" t="s">
        <v>36379</v>
      </c>
      <c r="C6401" s="7">
        <v>1068</v>
      </c>
      <c r="D6401" s="8" t="s">
        <v>36380</v>
      </c>
      <c r="E6401" s="8" t="s">
        <v>36381</v>
      </c>
      <c r="F6401" s="8" t="s">
        <v>19847</v>
      </c>
      <c r="G6401" s="6" t="s">
        <v>33</v>
      </c>
      <c r="H6401" s="6" t="s">
        <v>313</v>
      </c>
      <c r="I6401" s="8" t="s">
        <v>253</v>
      </c>
      <c r="J6401" s="9">
        <v>1</v>
      </c>
      <c r="K6401" s="9">
        <v>155</v>
      </c>
      <c r="L6401" s="9">
        <v>2026</v>
      </c>
      <c r="M6401" s="8" t="s">
        <v>36382</v>
      </c>
      <c r="N6401" s="8" t="s">
        <v>37</v>
      </c>
      <c r="O6401" s="8" t="s">
        <v>136</v>
      </c>
      <c r="P6401" s="6" t="s">
        <v>51</v>
      </c>
      <c r="Q6401" s="8" t="s">
        <v>377</v>
      </c>
      <c r="R6401" s="10" t="s">
        <v>484</v>
      </c>
      <c r="S6401" s="11"/>
      <c r="T6401" s="6"/>
      <c r="U6401" s="15" t="str">
        <f>HYPERLINK("https://media.infra-m.ru/2211/2211146/cover/2211146.jpg", "Обложка")</f>
        <v>Обложка</v>
      </c>
      <c r="V6401" s="8" t="s">
        <v>512</v>
      </c>
      <c r="W6401" s="6" t="s">
        <v>342</v>
      </c>
      <c r="X6401" s="6"/>
      <c r="Y6401" s="6"/>
      <c r="Z6401" s="6"/>
      <c r="AA6401" s="6" t="s">
        <v>650</v>
      </c>
      <c r="AB6401" s="8"/>
      <c r="AC6401" s="27">
        <v>9785369019993</v>
      </c>
    </row>
    <row r="6402" spans="1:29" s="4" customFormat="1" ht="42" customHeight="1" x14ac:dyDescent="0.2">
      <c r="A6402" s="5">
        <v>0</v>
      </c>
      <c r="B6402" s="6" t="s">
        <v>36383</v>
      </c>
      <c r="C6402" s="7">
        <v>3952.8</v>
      </c>
      <c r="D6402" s="8" t="s">
        <v>36384</v>
      </c>
      <c r="E6402" s="8" t="s">
        <v>36385</v>
      </c>
      <c r="F6402" s="8" t="s">
        <v>36386</v>
      </c>
      <c r="G6402" s="6" t="s">
        <v>60</v>
      </c>
      <c r="H6402" s="6" t="s">
        <v>34</v>
      </c>
      <c r="I6402" s="8" t="s">
        <v>1074</v>
      </c>
      <c r="J6402" s="9">
        <v>1</v>
      </c>
      <c r="K6402" s="9">
        <v>600</v>
      </c>
      <c r="L6402" s="9">
        <v>2026</v>
      </c>
      <c r="M6402" s="8" t="s">
        <v>36387</v>
      </c>
      <c r="N6402" s="8" t="s">
        <v>37</v>
      </c>
      <c r="O6402" s="8" t="s">
        <v>280</v>
      </c>
      <c r="P6402" s="6" t="s">
        <v>39</v>
      </c>
      <c r="Q6402" s="8" t="s">
        <v>40</v>
      </c>
      <c r="R6402" s="10" t="s">
        <v>8485</v>
      </c>
      <c r="S6402" s="11"/>
      <c r="T6402" s="6"/>
      <c r="U6402" s="15" t="str">
        <f>HYPERLINK("https://media.infra-m.ru/2231/2231193/cover/2231193.jpg", "Обложка")</f>
        <v>Обложка</v>
      </c>
      <c r="V6402" s="8" t="s">
        <v>138</v>
      </c>
      <c r="W6402" s="6"/>
      <c r="X6402" s="6"/>
      <c r="Y6402" s="6"/>
      <c r="Z6402" s="6"/>
      <c r="AA6402" s="6" t="s">
        <v>157</v>
      </c>
      <c r="AB6402" s="8"/>
      <c r="AC6402" s="27">
        <v>9785160182995</v>
      </c>
    </row>
    <row r="6403" spans="1:29" s="4" customFormat="1" ht="51.9" customHeight="1" x14ac:dyDescent="0.2">
      <c r="A6403" s="5">
        <v>0</v>
      </c>
      <c r="B6403" s="6" t="s">
        <v>36388</v>
      </c>
      <c r="C6403" s="7">
        <v>1852.8</v>
      </c>
      <c r="D6403" s="8" t="s">
        <v>36389</v>
      </c>
      <c r="E6403" s="8" t="s">
        <v>36390</v>
      </c>
      <c r="F6403" s="8" t="s">
        <v>26207</v>
      </c>
      <c r="G6403" s="6" t="s">
        <v>60</v>
      </c>
      <c r="H6403" s="6" t="s">
        <v>34</v>
      </c>
      <c r="I6403" s="8" t="s">
        <v>271</v>
      </c>
      <c r="J6403" s="9">
        <v>1</v>
      </c>
      <c r="K6403" s="9">
        <v>336</v>
      </c>
      <c r="L6403" s="9">
        <v>2023</v>
      </c>
      <c r="M6403" s="8" t="s">
        <v>36391</v>
      </c>
      <c r="N6403" s="8" t="s">
        <v>243</v>
      </c>
      <c r="O6403" s="8" t="s">
        <v>758</v>
      </c>
      <c r="P6403" s="6" t="s">
        <v>51</v>
      </c>
      <c r="Q6403" s="8" t="s">
        <v>52</v>
      </c>
      <c r="R6403" s="10" t="s">
        <v>36392</v>
      </c>
      <c r="S6403" s="11"/>
      <c r="T6403" s="6"/>
      <c r="U6403" s="15" t="str">
        <f>HYPERLINK("https://media.infra-m.ru/1981/1981615/cover/1981615.jpg", "Обложка")</f>
        <v>Обложка</v>
      </c>
      <c r="V6403" s="8" t="s">
        <v>1083</v>
      </c>
      <c r="W6403" s="6"/>
      <c r="X6403" s="6"/>
      <c r="Y6403" s="6"/>
      <c r="Z6403" s="6"/>
      <c r="AA6403" s="6" t="s">
        <v>274</v>
      </c>
      <c r="AB6403" s="8"/>
      <c r="AC6403" s="27">
        <v>9785160097299</v>
      </c>
    </row>
    <row r="6404" spans="1:29" s="4" customFormat="1" ht="51.9" customHeight="1" x14ac:dyDescent="0.2">
      <c r="A6404" s="5">
        <v>0</v>
      </c>
      <c r="B6404" s="6" t="s">
        <v>36393</v>
      </c>
      <c r="C6404" s="7">
        <v>2440.8000000000002</v>
      </c>
      <c r="D6404" s="8" t="s">
        <v>36394</v>
      </c>
      <c r="E6404" s="8" t="s">
        <v>36395</v>
      </c>
      <c r="F6404" s="8" t="s">
        <v>36396</v>
      </c>
      <c r="G6404" s="6" t="s">
        <v>60</v>
      </c>
      <c r="H6404" s="6" t="s">
        <v>34</v>
      </c>
      <c r="I6404" s="8" t="s">
        <v>271</v>
      </c>
      <c r="J6404" s="9">
        <v>1</v>
      </c>
      <c r="K6404" s="9">
        <v>392</v>
      </c>
      <c r="L6404" s="9">
        <v>2025</v>
      </c>
      <c r="M6404" s="8" t="s">
        <v>36397</v>
      </c>
      <c r="N6404" s="8" t="s">
        <v>585</v>
      </c>
      <c r="O6404" s="8" t="s">
        <v>775</v>
      </c>
      <c r="P6404" s="6" t="s">
        <v>51</v>
      </c>
      <c r="Q6404" s="8" t="s">
        <v>52</v>
      </c>
      <c r="R6404" s="10" t="s">
        <v>4782</v>
      </c>
      <c r="S6404" s="11" t="s">
        <v>36398</v>
      </c>
      <c r="T6404" s="6"/>
      <c r="U6404" s="15" t="str">
        <f>HYPERLINK("https://media.infra-m.ru/2197/2197032/cover/2197032.jpg", "Обложка")</f>
        <v>Обложка</v>
      </c>
      <c r="V6404" s="8" t="s">
        <v>1083</v>
      </c>
      <c r="W6404" s="6"/>
      <c r="X6404" s="6"/>
      <c r="Y6404" s="6"/>
      <c r="Z6404" s="6"/>
      <c r="AA6404" s="6" t="s">
        <v>360</v>
      </c>
      <c r="AB6404" s="8"/>
      <c r="AC6404" s="27">
        <v>9785160112350</v>
      </c>
    </row>
    <row r="6405" spans="1:29" s="4" customFormat="1" ht="42" customHeight="1" x14ac:dyDescent="0.2">
      <c r="A6405" s="5">
        <v>0</v>
      </c>
      <c r="B6405" s="6" t="s">
        <v>36399</v>
      </c>
      <c r="C6405" s="7">
        <v>1500</v>
      </c>
      <c r="D6405" s="8" t="s">
        <v>36400</v>
      </c>
      <c r="E6405" s="8" t="s">
        <v>36401</v>
      </c>
      <c r="F6405" s="8" t="s">
        <v>36402</v>
      </c>
      <c r="G6405" s="6" t="s">
        <v>33</v>
      </c>
      <c r="H6405" s="6" t="s">
        <v>34</v>
      </c>
      <c r="I6405" s="8" t="s">
        <v>35</v>
      </c>
      <c r="J6405" s="9">
        <v>1</v>
      </c>
      <c r="K6405" s="9">
        <v>319</v>
      </c>
      <c r="L6405" s="9">
        <v>2022</v>
      </c>
      <c r="M6405" s="8" t="s">
        <v>36403</v>
      </c>
      <c r="N6405" s="8" t="s">
        <v>243</v>
      </c>
      <c r="O6405" s="8" t="s">
        <v>758</v>
      </c>
      <c r="P6405" s="6" t="s">
        <v>39</v>
      </c>
      <c r="Q6405" s="8" t="s">
        <v>40</v>
      </c>
      <c r="R6405" s="10" t="s">
        <v>25023</v>
      </c>
      <c r="S6405" s="11"/>
      <c r="T6405" s="6"/>
      <c r="U6405" s="15" t="str">
        <f>HYPERLINK("https://media.infra-m.ru/1218/1218150/cover/1218150.jpg", "Обложка")</f>
        <v>Обложка</v>
      </c>
      <c r="V6405" s="8" t="s">
        <v>1505</v>
      </c>
      <c r="W6405" s="6"/>
      <c r="X6405" s="6"/>
      <c r="Y6405" s="6"/>
      <c r="Z6405" s="6"/>
      <c r="AA6405" s="6" t="s">
        <v>148</v>
      </c>
      <c r="AB6405" s="8"/>
      <c r="AC6405" s="27">
        <v>9785160167053</v>
      </c>
    </row>
    <row r="6406" spans="1:29" s="4" customFormat="1" ht="51.9" customHeight="1" x14ac:dyDescent="0.2">
      <c r="A6406" s="5">
        <v>0</v>
      </c>
      <c r="B6406" s="6" t="s">
        <v>36404</v>
      </c>
      <c r="C6406" s="7">
        <v>1752</v>
      </c>
      <c r="D6406" s="8" t="s">
        <v>36405</v>
      </c>
      <c r="E6406" s="8" t="s">
        <v>36406</v>
      </c>
      <c r="F6406" s="8" t="s">
        <v>36407</v>
      </c>
      <c r="G6406" s="6" t="s">
        <v>33</v>
      </c>
      <c r="H6406" s="6" t="s">
        <v>34</v>
      </c>
      <c r="I6406" s="8" t="s">
        <v>35</v>
      </c>
      <c r="J6406" s="9">
        <v>1</v>
      </c>
      <c r="K6406" s="9">
        <v>309</v>
      </c>
      <c r="L6406" s="9">
        <v>2024</v>
      </c>
      <c r="M6406" s="8" t="s">
        <v>36408</v>
      </c>
      <c r="N6406" s="8" t="s">
        <v>37</v>
      </c>
      <c r="O6406" s="8" t="s">
        <v>233</v>
      </c>
      <c r="P6406" s="6" t="s">
        <v>39</v>
      </c>
      <c r="Q6406" s="8" t="s">
        <v>40</v>
      </c>
      <c r="R6406" s="10" t="s">
        <v>36409</v>
      </c>
      <c r="S6406" s="11"/>
      <c r="T6406" s="6"/>
      <c r="U6406" s="15" t="str">
        <f>HYPERLINK("https://media.infra-m.ru/2155/2155755/cover/2155755.jpg", "Обложка")</f>
        <v>Обложка</v>
      </c>
      <c r="V6406" s="8" t="s">
        <v>247</v>
      </c>
      <c r="W6406" s="6"/>
      <c r="X6406" s="6"/>
      <c r="Y6406" s="6"/>
      <c r="Z6406" s="6"/>
      <c r="AA6406" s="6" t="s">
        <v>779</v>
      </c>
      <c r="AB6406" s="8" t="s">
        <v>493</v>
      </c>
      <c r="AC6406" s="27">
        <v>9785160200521</v>
      </c>
    </row>
    <row r="6407" spans="1:29" s="4" customFormat="1" ht="51.9" customHeight="1" x14ac:dyDescent="0.2">
      <c r="A6407" s="5">
        <v>0</v>
      </c>
      <c r="B6407" s="6" t="s">
        <v>36410</v>
      </c>
      <c r="C6407" s="7">
        <v>1708.8</v>
      </c>
      <c r="D6407" s="8" t="s">
        <v>36411</v>
      </c>
      <c r="E6407" s="8" t="s">
        <v>36406</v>
      </c>
      <c r="F6407" s="8" t="s">
        <v>36407</v>
      </c>
      <c r="G6407" s="6" t="s">
        <v>118</v>
      </c>
      <c r="H6407" s="6" t="s">
        <v>34</v>
      </c>
      <c r="I6407" s="8" t="s">
        <v>35</v>
      </c>
      <c r="J6407" s="9">
        <v>1</v>
      </c>
      <c r="K6407" s="9">
        <v>309</v>
      </c>
      <c r="L6407" s="9">
        <v>2024</v>
      </c>
      <c r="M6407" s="8" t="s">
        <v>36412</v>
      </c>
      <c r="N6407" s="8" t="s">
        <v>37</v>
      </c>
      <c r="O6407" s="8" t="s">
        <v>233</v>
      </c>
      <c r="P6407" s="6" t="s">
        <v>39</v>
      </c>
      <c r="Q6407" s="8" t="s">
        <v>40</v>
      </c>
      <c r="R6407" s="10" t="s">
        <v>36409</v>
      </c>
      <c r="S6407" s="11"/>
      <c r="T6407" s="6"/>
      <c r="U6407" s="15" t="str">
        <f>HYPERLINK("https://media.infra-m.ru/2117/2117054/cover/2117054.jpg", "Обложка")</f>
        <v>Обложка</v>
      </c>
      <c r="V6407" s="8" t="s">
        <v>247</v>
      </c>
      <c r="W6407" s="6"/>
      <c r="X6407" s="6"/>
      <c r="Y6407" s="6"/>
      <c r="Z6407" s="6"/>
      <c r="AA6407" s="6" t="s">
        <v>779</v>
      </c>
      <c r="AB6407" s="8" t="s">
        <v>493</v>
      </c>
      <c r="AC6407" s="27">
        <v>9785160121079</v>
      </c>
    </row>
    <row r="6408" spans="1:29" s="4" customFormat="1" ht="51.9" customHeight="1" x14ac:dyDescent="0.2">
      <c r="A6408" s="5">
        <v>0</v>
      </c>
      <c r="B6408" s="6" t="s">
        <v>36413</v>
      </c>
      <c r="C6408" s="7">
        <v>1308</v>
      </c>
      <c r="D6408" s="8" t="s">
        <v>36414</v>
      </c>
      <c r="E6408" s="8" t="s">
        <v>36415</v>
      </c>
      <c r="F6408" s="8" t="s">
        <v>36416</v>
      </c>
      <c r="G6408" s="6" t="s">
        <v>60</v>
      </c>
      <c r="H6408" s="6" t="s">
        <v>34</v>
      </c>
      <c r="I6408" s="8" t="s">
        <v>253</v>
      </c>
      <c r="J6408" s="9">
        <v>1</v>
      </c>
      <c r="K6408" s="9">
        <v>185</v>
      </c>
      <c r="L6408" s="9">
        <v>2025</v>
      </c>
      <c r="M6408" s="8" t="s">
        <v>36417</v>
      </c>
      <c r="N6408" s="8" t="s">
        <v>585</v>
      </c>
      <c r="O6408" s="8" t="s">
        <v>667</v>
      </c>
      <c r="P6408" s="6" t="s">
        <v>51</v>
      </c>
      <c r="Q6408" s="8" t="s">
        <v>500</v>
      </c>
      <c r="R6408" s="10" t="s">
        <v>36418</v>
      </c>
      <c r="S6408" s="11"/>
      <c r="T6408" s="6"/>
      <c r="U6408" s="15" t="str">
        <f>HYPERLINK("https://media.infra-m.ru/2111/2111834/cover/2111834.jpg", "Обложка")</f>
        <v>Обложка</v>
      </c>
      <c r="V6408" s="8" t="s">
        <v>8438</v>
      </c>
      <c r="W6408" s="6"/>
      <c r="X6408" s="6"/>
      <c r="Y6408" s="6"/>
      <c r="Z6408" s="6"/>
      <c r="AA6408" s="6" t="s">
        <v>68</v>
      </c>
      <c r="AB6408" s="8"/>
      <c r="AC6408" s="27">
        <v>9785160193656</v>
      </c>
    </row>
    <row r="6409" spans="1:29" s="4" customFormat="1" ht="51.9" customHeight="1" x14ac:dyDescent="0.2">
      <c r="A6409" s="5">
        <v>0</v>
      </c>
      <c r="B6409" s="6" t="s">
        <v>36419</v>
      </c>
      <c r="C6409" s="7">
        <v>2136</v>
      </c>
      <c r="D6409" s="8" t="s">
        <v>36420</v>
      </c>
      <c r="E6409" s="8" t="s">
        <v>36421</v>
      </c>
      <c r="F6409" s="8" t="s">
        <v>36422</v>
      </c>
      <c r="G6409" s="6" t="s">
        <v>118</v>
      </c>
      <c r="H6409" s="6" t="s">
        <v>34</v>
      </c>
      <c r="I6409" s="8" t="s">
        <v>253</v>
      </c>
      <c r="J6409" s="9">
        <v>1</v>
      </c>
      <c r="K6409" s="9">
        <v>322</v>
      </c>
      <c r="L6409" s="9">
        <v>2026</v>
      </c>
      <c r="M6409" s="8" t="s">
        <v>36423</v>
      </c>
      <c r="N6409" s="8" t="s">
        <v>37</v>
      </c>
      <c r="O6409" s="8" t="s">
        <v>136</v>
      </c>
      <c r="P6409" s="6" t="s">
        <v>51</v>
      </c>
      <c r="Q6409" s="8" t="s">
        <v>65</v>
      </c>
      <c r="R6409" s="10" t="s">
        <v>36424</v>
      </c>
      <c r="S6409" s="11"/>
      <c r="T6409" s="6"/>
      <c r="U6409" s="15" t="str">
        <f>HYPERLINK("https://media.infra-m.ru/2254/2254326/cover/2254326.jpg", "Обложка")</f>
        <v>Обложка</v>
      </c>
      <c r="V6409" s="8" t="s">
        <v>11240</v>
      </c>
      <c r="W6409" s="6"/>
      <c r="X6409" s="6"/>
      <c r="Y6409" s="6"/>
      <c r="Z6409" s="6"/>
      <c r="AA6409" s="6" t="s">
        <v>4023</v>
      </c>
      <c r="AB6409" s="8"/>
      <c r="AC6409" s="27">
        <v>9785160182520</v>
      </c>
    </row>
    <row r="6410" spans="1:29" s="4" customFormat="1" ht="51.9" customHeight="1" x14ac:dyDescent="0.2">
      <c r="A6410" s="5">
        <v>0</v>
      </c>
      <c r="B6410" s="6" t="s">
        <v>36425</v>
      </c>
      <c r="C6410" s="7">
        <v>1080</v>
      </c>
      <c r="D6410" s="8" t="s">
        <v>36426</v>
      </c>
      <c r="E6410" s="8" t="s">
        <v>36427</v>
      </c>
      <c r="F6410" s="8" t="s">
        <v>36428</v>
      </c>
      <c r="G6410" s="6" t="s">
        <v>60</v>
      </c>
      <c r="H6410" s="6" t="s">
        <v>134</v>
      </c>
      <c r="I6410" s="8"/>
      <c r="J6410" s="9">
        <v>1</v>
      </c>
      <c r="K6410" s="9">
        <v>168</v>
      </c>
      <c r="L6410" s="9">
        <v>2025</v>
      </c>
      <c r="M6410" s="8" t="s">
        <v>36429</v>
      </c>
      <c r="N6410" s="8" t="s">
        <v>37</v>
      </c>
      <c r="O6410" s="8" t="s">
        <v>136</v>
      </c>
      <c r="P6410" s="6" t="s">
        <v>39</v>
      </c>
      <c r="Q6410" s="8" t="s">
        <v>40</v>
      </c>
      <c r="R6410" s="10" t="s">
        <v>6914</v>
      </c>
      <c r="S6410" s="11"/>
      <c r="T6410" s="6"/>
      <c r="U6410" s="15" t="str">
        <f>HYPERLINK("https://media.infra-m.ru/2197/2197983/cover/2197983.jpg", "Обложка")</f>
        <v>Обложка</v>
      </c>
      <c r="V6410" s="8" t="s">
        <v>1184</v>
      </c>
      <c r="W6410" s="6"/>
      <c r="X6410" s="6"/>
      <c r="Y6410" s="6"/>
      <c r="Z6410" s="6"/>
      <c r="AA6410" s="6" t="s">
        <v>68</v>
      </c>
      <c r="AB6410" s="8"/>
      <c r="AC6410" s="27">
        <v>9785001564287</v>
      </c>
    </row>
    <row r="6411" spans="1:29" s="4" customFormat="1" ht="51.9" customHeight="1" x14ac:dyDescent="0.2">
      <c r="A6411" s="5">
        <v>0</v>
      </c>
      <c r="B6411" s="6" t="s">
        <v>36430</v>
      </c>
      <c r="C6411" s="7">
        <v>2508</v>
      </c>
      <c r="D6411" s="8" t="s">
        <v>36431</v>
      </c>
      <c r="E6411" s="8" t="s">
        <v>36432</v>
      </c>
      <c r="F6411" s="8" t="s">
        <v>36433</v>
      </c>
      <c r="G6411" s="6" t="s">
        <v>60</v>
      </c>
      <c r="H6411" s="6" t="s">
        <v>34</v>
      </c>
      <c r="I6411" s="8" t="s">
        <v>35</v>
      </c>
      <c r="J6411" s="9">
        <v>1</v>
      </c>
      <c r="K6411" s="9">
        <v>360</v>
      </c>
      <c r="L6411" s="9">
        <v>2026</v>
      </c>
      <c r="M6411" s="8" t="s">
        <v>36434</v>
      </c>
      <c r="N6411" s="8" t="s">
        <v>37</v>
      </c>
      <c r="O6411" s="8" t="s">
        <v>136</v>
      </c>
      <c r="P6411" s="6" t="s">
        <v>39</v>
      </c>
      <c r="Q6411" s="8" t="s">
        <v>40</v>
      </c>
      <c r="R6411" s="10" t="s">
        <v>36435</v>
      </c>
      <c r="S6411" s="11"/>
      <c r="T6411" s="6"/>
      <c r="U6411" s="15" t="str">
        <f>HYPERLINK("https://media.infra-m.ru/2227/2227328/cover/2227328.jpg", "Обложка")</f>
        <v>Обложка</v>
      </c>
      <c r="V6411" s="8" t="s">
        <v>11240</v>
      </c>
      <c r="W6411" s="6" t="s">
        <v>9380</v>
      </c>
      <c r="X6411" s="6"/>
      <c r="Y6411" s="6"/>
      <c r="Z6411" s="6"/>
      <c r="AA6411" s="6" t="s">
        <v>187</v>
      </c>
      <c r="AB6411" s="8" t="s">
        <v>308</v>
      </c>
      <c r="AC6411" s="27">
        <v>9785160214986</v>
      </c>
    </row>
    <row r="6412" spans="1:29" s="4" customFormat="1" ht="51.9" customHeight="1" x14ac:dyDescent="0.2">
      <c r="A6412" s="5">
        <v>0</v>
      </c>
      <c r="B6412" s="6" t="s">
        <v>36436</v>
      </c>
      <c r="C6412" s="7">
        <v>1188</v>
      </c>
      <c r="D6412" s="8" t="s">
        <v>36437</v>
      </c>
      <c r="E6412" s="8" t="s">
        <v>36438</v>
      </c>
      <c r="F6412" s="8" t="s">
        <v>36439</v>
      </c>
      <c r="G6412" s="6" t="s">
        <v>60</v>
      </c>
      <c r="H6412" s="6" t="s">
        <v>34</v>
      </c>
      <c r="I6412" s="8" t="s">
        <v>504</v>
      </c>
      <c r="J6412" s="9">
        <v>1</v>
      </c>
      <c r="K6412" s="9">
        <v>210</v>
      </c>
      <c r="L6412" s="9">
        <v>2023</v>
      </c>
      <c r="M6412" s="8" t="s">
        <v>36440</v>
      </c>
      <c r="N6412" s="8" t="s">
        <v>37</v>
      </c>
      <c r="O6412" s="8" t="s">
        <v>136</v>
      </c>
      <c r="P6412" s="6" t="s">
        <v>51</v>
      </c>
      <c r="Q6412" s="8" t="s">
        <v>500</v>
      </c>
      <c r="R6412" s="10" t="s">
        <v>1667</v>
      </c>
      <c r="S6412" s="11" t="s">
        <v>36441</v>
      </c>
      <c r="T6412" s="6"/>
      <c r="U6412" s="15" t="str">
        <f>HYPERLINK("https://media.infra-m.ru/1870/1870172/cover/1870172.jpg", "Обложка")</f>
        <v>Обложка</v>
      </c>
      <c r="V6412" s="8" t="s">
        <v>644</v>
      </c>
      <c r="W6412" s="6"/>
      <c r="X6412" s="6"/>
      <c r="Y6412" s="6"/>
      <c r="Z6412" s="6"/>
      <c r="AA6412" s="6" t="s">
        <v>157</v>
      </c>
      <c r="AB6412" s="8"/>
      <c r="AC6412" s="27">
        <v>9785160177182</v>
      </c>
    </row>
    <row r="6413" spans="1:29" s="4" customFormat="1" ht="51.9" customHeight="1" x14ac:dyDescent="0.2">
      <c r="A6413" s="5">
        <v>0</v>
      </c>
      <c r="B6413" s="6" t="s">
        <v>36442</v>
      </c>
      <c r="C6413" s="13">
        <v>768</v>
      </c>
      <c r="D6413" s="8" t="s">
        <v>36443</v>
      </c>
      <c r="E6413" s="8" t="s">
        <v>36444</v>
      </c>
      <c r="F6413" s="8" t="s">
        <v>36445</v>
      </c>
      <c r="G6413" s="6" t="s">
        <v>33</v>
      </c>
      <c r="H6413" s="6" t="s">
        <v>34</v>
      </c>
      <c r="I6413" s="8" t="s">
        <v>253</v>
      </c>
      <c r="J6413" s="9">
        <v>1</v>
      </c>
      <c r="K6413" s="9">
        <v>112</v>
      </c>
      <c r="L6413" s="9">
        <v>2026</v>
      </c>
      <c r="M6413" s="8" t="s">
        <v>36446</v>
      </c>
      <c r="N6413" s="8" t="s">
        <v>243</v>
      </c>
      <c r="O6413" s="8" t="s">
        <v>385</v>
      </c>
      <c r="P6413" s="6" t="s">
        <v>51</v>
      </c>
      <c r="Q6413" s="8" t="s">
        <v>52</v>
      </c>
      <c r="R6413" s="10" t="s">
        <v>36447</v>
      </c>
      <c r="S6413" s="11" t="s">
        <v>36448</v>
      </c>
      <c r="T6413" s="6"/>
      <c r="U6413" s="15" t="str">
        <f>HYPERLINK("https://media.infra-m.ru/2254/2254347/cover/2254347.jpg", "Обложка")</f>
        <v>Обложка</v>
      </c>
      <c r="V6413" s="8" t="s">
        <v>7082</v>
      </c>
      <c r="W6413" s="6"/>
      <c r="X6413" s="6"/>
      <c r="Y6413" s="6"/>
      <c r="Z6413" s="6"/>
      <c r="AA6413" s="6" t="s">
        <v>248</v>
      </c>
      <c r="AB6413" s="8"/>
      <c r="AC6413" s="27">
        <v>9785160190310</v>
      </c>
    </row>
    <row r="6414" spans="1:29" s="4" customFormat="1" ht="51.9" customHeight="1" x14ac:dyDescent="0.2">
      <c r="A6414" s="5">
        <v>0</v>
      </c>
      <c r="B6414" s="6" t="s">
        <v>36449</v>
      </c>
      <c r="C6414" s="7">
        <v>1632</v>
      </c>
      <c r="D6414" s="8" t="s">
        <v>36450</v>
      </c>
      <c r="E6414" s="8" t="s">
        <v>36451</v>
      </c>
      <c r="F6414" s="8" t="s">
        <v>36452</v>
      </c>
      <c r="G6414" s="6" t="s">
        <v>118</v>
      </c>
      <c r="H6414" s="6" t="s">
        <v>34</v>
      </c>
      <c r="I6414" s="8" t="s">
        <v>253</v>
      </c>
      <c r="J6414" s="9">
        <v>1</v>
      </c>
      <c r="K6414" s="9">
        <v>255</v>
      </c>
      <c r="L6414" s="9">
        <v>2025</v>
      </c>
      <c r="M6414" s="8" t="s">
        <v>36453</v>
      </c>
      <c r="N6414" s="8" t="s">
        <v>243</v>
      </c>
      <c r="O6414" s="8" t="s">
        <v>1100</v>
      </c>
      <c r="P6414" s="6" t="s">
        <v>51</v>
      </c>
      <c r="Q6414" s="8" t="s">
        <v>52</v>
      </c>
      <c r="R6414" s="10" t="s">
        <v>25874</v>
      </c>
      <c r="S6414" s="11" t="s">
        <v>36454</v>
      </c>
      <c r="T6414" s="6"/>
      <c r="U6414" s="15" t="str">
        <f>HYPERLINK("https://media.infra-m.ru/2204/2204122/cover/2204122.jpg", "Обложка")</f>
        <v>Обложка</v>
      </c>
      <c r="V6414" s="8" t="s">
        <v>1030</v>
      </c>
      <c r="W6414" s="6"/>
      <c r="X6414" s="6"/>
      <c r="Y6414" s="6"/>
      <c r="Z6414" s="6"/>
      <c r="AA6414" s="6" t="s">
        <v>274</v>
      </c>
      <c r="AB6414" s="8"/>
      <c r="AC6414" s="27">
        <v>9785160194516</v>
      </c>
    </row>
    <row r="6415" spans="1:29" s="4" customFormat="1" ht="51.9" customHeight="1" x14ac:dyDescent="0.2">
      <c r="A6415" s="5">
        <v>0</v>
      </c>
      <c r="B6415" s="6" t="s">
        <v>36455</v>
      </c>
      <c r="C6415" s="7">
        <v>4012.8</v>
      </c>
      <c r="D6415" s="8" t="s">
        <v>36456</v>
      </c>
      <c r="E6415" s="8" t="s">
        <v>36457</v>
      </c>
      <c r="F6415" s="8" t="s">
        <v>36458</v>
      </c>
      <c r="G6415" s="6" t="s">
        <v>60</v>
      </c>
      <c r="H6415" s="6" t="s">
        <v>34</v>
      </c>
      <c r="I6415" s="8" t="s">
        <v>271</v>
      </c>
      <c r="J6415" s="9">
        <v>1</v>
      </c>
      <c r="K6415" s="9">
        <v>608</v>
      </c>
      <c r="L6415" s="9">
        <v>2026</v>
      </c>
      <c r="M6415" s="8" t="s">
        <v>36459</v>
      </c>
      <c r="N6415" s="8" t="s">
        <v>243</v>
      </c>
      <c r="O6415" s="8" t="s">
        <v>1100</v>
      </c>
      <c r="P6415" s="6" t="s">
        <v>306</v>
      </c>
      <c r="Q6415" s="8" t="s">
        <v>52</v>
      </c>
      <c r="R6415" s="10" t="s">
        <v>25874</v>
      </c>
      <c r="S6415" s="11" t="s">
        <v>36460</v>
      </c>
      <c r="T6415" s="6"/>
      <c r="U6415" s="15" t="str">
        <f>HYPERLINK("https://media.infra-m.ru/2236/2236735/cover/2236735.jpg", "Обложка")</f>
        <v>Обложка</v>
      </c>
      <c r="V6415" s="8" t="s">
        <v>1030</v>
      </c>
      <c r="W6415" s="6"/>
      <c r="X6415" s="6"/>
      <c r="Y6415" s="6"/>
      <c r="Z6415" s="6"/>
      <c r="AA6415" s="6" t="s">
        <v>779</v>
      </c>
      <c r="AB6415" s="8"/>
      <c r="AC6415" s="27">
        <v>9785160115641</v>
      </c>
    </row>
    <row r="6416" spans="1:29" s="4" customFormat="1" ht="51.9" customHeight="1" x14ac:dyDescent="0.2">
      <c r="A6416" s="5">
        <v>0</v>
      </c>
      <c r="B6416" s="6" t="s">
        <v>36461</v>
      </c>
      <c r="C6416" s="7">
        <v>4008</v>
      </c>
      <c r="D6416" s="8" t="s">
        <v>36462</v>
      </c>
      <c r="E6416" s="8" t="s">
        <v>36457</v>
      </c>
      <c r="F6416" s="8" t="s">
        <v>36463</v>
      </c>
      <c r="G6416" s="6" t="s">
        <v>60</v>
      </c>
      <c r="H6416" s="6" t="s">
        <v>34</v>
      </c>
      <c r="I6416" s="8" t="s">
        <v>253</v>
      </c>
      <c r="J6416" s="9">
        <v>1</v>
      </c>
      <c r="K6416" s="9">
        <v>612</v>
      </c>
      <c r="L6416" s="9">
        <v>2026</v>
      </c>
      <c r="M6416" s="8" t="s">
        <v>36464</v>
      </c>
      <c r="N6416" s="8" t="s">
        <v>243</v>
      </c>
      <c r="O6416" s="8" t="s">
        <v>1100</v>
      </c>
      <c r="P6416" s="6" t="s">
        <v>306</v>
      </c>
      <c r="Q6416" s="8" t="s">
        <v>65</v>
      </c>
      <c r="R6416" s="10" t="s">
        <v>5837</v>
      </c>
      <c r="S6416" s="11" t="s">
        <v>36460</v>
      </c>
      <c r="T6416" s="6"/>
      <c r="U6416" s="15" t="str">
        <f>HYPERLINK("https://media.infra-m.ru/2254/2254345/cover/2254345.jpg", "Обложка")</f>
        <v>Обложка</v>
      </c>
      <c r="V6416" s="8" t="s">
        <v>1030</v>
      </c>
      <c r="W6416" s="6"/>
      <c r="X6416" s="6"/>
      <c r="Y6416" s="6"/>
      <c r="Z6416" s="6"/>
      <c r="AA6416" s="6" t="s">
        <v>779</v>
      </c>
      <c r="AB6416" s="8"/>
      <c r="AC6416" s="27">
        <v>9785160184753</v>
      </c>
    </row>
    <row r="6417" spans="1:29" s="4" customFormat="1" ht="51.9" customHeight="1" x14ac:dyDescent="0.2">
      <c r="A6417" s="5">
        <v>0</v>
      </c>
      <c r="B6417" s="6" t="s">
        <v>36465</v>
      </c>
      <c r="C6417" s="7">
        <v>1756.8</v>
      </c>
      <c r="D6417" s="8" t="s">
        <v>36466</v>
      </c>
      <c r="E6417" s="8" t="s">
        <v>36467</v>
      </c>
      <c r="F6417" s="8" t="s">
        <v>36468</v>
      </c>
      <c r="G6417" s="6" t="s">
        <v>60</v>
      </c>
      <c r="H6417" s="6" t="s">
        <v>34</v>
      </c>
      <c r="I6417" s="8" t="s">
        <v>35</v>
      </c>
      <c r="J6417" s="9">
        <v>1</v>
      </c>
      <c r="K6417" s="9">
        <v>319</v>
      </c>
      <c r="L6417" s="9">
        <v>2024</v>
      </c>
      <c r="M6417" s="8" t="s">
        <v>36469</v>
      </c>
      <c r="N6417" s="8" t="s">
        <v>585</v>
      </c>
      <c r="O6417" s="8" t="s">
        <v>2472</v>
      </c>
      <c r="P6417" s="6" t="s">
        <v>39</v>
      </c>
      <c r="Q6417" s="8" t="s">
        <v>40</v>
      </c>
      <c r="R6417" s="10" t="s">
        <v>36470</v>
      </c>
      <c r="S6417" s="11"/>
      <c r="T6417" s="6"/>
      <c r="U6417" s="15" t="str">
        <f>HYPERLINK("https://media.infra-m.ru/2117/2117150/cover/2117150.jpg", "Обложка")</f>
        <v>Обложка</v>
      </c>
      <c r="V6417" s="8" t="s">
        <v>227</v>
      </c>
      <c r="W6417" s="6"/>
      <c r="X6417" s="6"/>
      <c r="Y6417" s="6"/>
      <c r="Z6417" s="6"/>
      <c r="AA6417" s="6" t="s">
        <v>274</v>
      </c>
      <c r="AB6417" s="8"/>
      <c r="AC6417" s="27">
        <v>9785160107745</v>
      </c>
    </row>
    <row r="6418" spans="1:29" s="4" customFormat="1" ht="42" customHeight="1" x14ac:dyDescent="0.2">
      <c r="A6418" s="5">
        <v>0</v>
      </c>
      <c r="B6418" s="6" t="s">
        <v>36471</v>
      </c>
      <c r="C6418" s="7">
        <v>1672.8</v>
      </c>
      <c r="D6418" s="8" t="s">
        <v>36472</v>
      </c>
      <c r="E6418" s="8" t="s">
        <v>36473</v>
      </c>
      <c r="F6418" s="8" t="s">
        <v>36474</v>
      </c>
      <c r="G6418" s="6" t="s">
        <v>118</v>
      </c>
      <c r="H6418" s="6" t="s">
        <v>820</v>
      </c>
      <c r="I6418" s="8" t="s">
        <v>253</v>
      </c>
      <c r="J6418" s="9">
        <v>1</v>
      </c>
      <c r="K6418" s="9">
        <v>240</v>
      </c>
      <c r="L6418" s="9">
        <v>2027</v>
      </c>
      <c r="M6418" s="8" t="s">
        <v>36475</v>
      </c>
      <c r="N6418" s="8" t="s">
        <v>243</v>
      </c>
      <c r="O6418" s="8" t="s">
        <v>758</v>
      </c>
      <c r="P6418" s="6" t="s">
        <v>306</v>
      </c>
      <c r="Q6418" s="8" t="s">
        <v>65</v>
      </c>
      <c r="R6418" s="10" t="s">
        <v>835</v>
      </c>
      <c r="S6418" s="11"/>
      <c r="T6418" s="6"/>
      <c r="U6418" s="15" t="str">
        <f>HYPERLINK("https://media.infra-m.ru/2270/2270171/cover/2270171.jpg", "Обложка")</f>
        <v>Обложка</v>
      </c>
      <c r="V6418" s="8" t="s">
        <v>1206</v>
      </c>
      <c r="W6418" s="6"/>
      <c r="X6418" s="6"/>
      <c r="Y6418" s="6"/>
      <c r="Z6418" s="6"/>
      <c r="AA6418" s="6" t="s">
        <v>86</v>
      </c>
      <c r="AB6418" s="8"/>
      <c r="AC6418" s="27">
        <v>9785906923295</v>
      </c>
    </row>
    <row r="6419" spans="1:29" s="4" customFormat="1" ht="42" customHeight="1" x14ac:dyDescent="0.2">
      <c r="A6419" s="5">
        <v>0</v>
      </c>
      <c r="B6419" s="6" t="s">
        <v>36476</v>
      </c>
      <c r="C6419" s="7">
        <v>1636.8</v>
      </c>
      <c r="D6419" s="8" t="s">
        <v>36477</v>
      </c>
      <c r="E6419" s="8" t="s">
        <v>36478</v>
      </c>
      <c r="F6419" s="8" t="s">
        <v>36474</v>
      </c>
      <c r="G6419" s="6" t="s">
        <v>118</v>
      </c>
      <c r="H6419" s="6" t="s">
        <v>820</v>
      </c>
      <c r="I6419" s="8" t="s">
        <v>253</v>
      </c>
      <c r="J6419" s="9">
        <v>1</v>
      </c>
      <c r="K6419" s="9">
        <v>248</v>
      </c>
      <c r="L6419" s="9">
        <v>2026</v>
      </c>
      <c r="M6419" s="8" t="s">
        <v>36479</v>
      </c>
      <c r="N6419" s="8" t="s">
        <v>243</v>
      </c>
      <c r="O6419" s="8" t="s">
        <v>758</v>
      </c>
      <c r="P6419" s="6" t="s">
        <v>306</v>
      </c>
      <c r="Q6419" s="8" t="s">
        <v>52</v>
      </c>
      <c r="R6419" s="10" t="s">
        <v>835</v>
      </c>
      <c r="S6419" s="11"/>
      <c r="T6419" s="6"/>
      <c r="U6419" s="15" t="str">
        <f>HYPERLINK("https://media.infra-m.ru/2235/2235990/cover/2235990.jpg", "Обложка")</f>
        <v>Обложка</v>
      </c>
      <c r="V6419" s="8" t="s">
        <v>1206</v>
      </c>
      <c r="W6419" s="6"/>
      <c r="X6419" s="6"/>
      <c r="Y6419" s="6"/>
      <c r="Z6419" s="6"/>
      <c r="AA6419" s="6" t="s">
        <v>86</v>
      </c>
      <c r="AB6419" s="8"/>
      <c r="AC6419" s="27">
        <v>9785906923608</v>
      </c>
    </row>
    <row r="6420" spans="1:29" s="4" customFormat="1" ht="51.9" customHeight="1" x14ac:dyDescent="0.2">
      <c r="A6420" s="5">
        <v>0</v>
      </c>
      <c r="B6420" s="6" t="s">
        <v>36480</v>
      </c>
      <c r="C6420" s="7">
        <v>2870.4</v>
      </c>
      <c r="D6420" s="8" t="s">
        <v>36481</v>
      </c>
      <c r="E6420" s="8" t="s">
        <v>36482</v>
      </c>
      <c r="F6420" s="8" t="s">
        <v>36483</v>
      </c>
      <c r="G6420" s="6" t="s">
        <v>33</v>
      </c>
      <c r="H6420" s="6" t="s">
        <v>34</v>
      </c>
      <c r="I6420" s="8" t="s">
        <v>263</v>
      </c>
      <c r="J6420" s="9">
        <v>1</v>
      </c>
      <c r="K6420" s="9">
        <v>214</v>
      </c>
      <c r="L6420" s="9">
        <v>2026</v>
      </c>
      <c r="M6420" s="8" t="s">
        <v>36484</v>
      </c>
      <c r="N6420" s="8" t="s">
        <v>243</v>
      </c>
      <c r="O6420" s="8" t="s">
        <v>758</v>
      </c>
      <c r="P6420" s="6" t="s">
        <v>51</v>
      </c>
      <c r="Q6420" s="8" t="s">
        <v>265</v>
      </c>
      <c r="R6420" s="10" t="s">
        <v>36485</v>
      </c>
      <c r="S6420" s="11" t="s">
        <v>36486</v>
      </c>
      <c r="T6420" s="6"/>
      <c r="U6420" s="15" t="str">
        <f>HYPERLINK("https://media.infra-m.ru/2241/2241349/cover/2241349.jpg", "Обложка")</f>
        <v>Обложка</v>
      </c>
      <c r="V6420" s="8" t="s">
        <v>3297</v>
      </c>
      <c r="W6420" s="6"/>
      <c r="X6420" s="6"/>
      <c r="Y6420" s="6"/>
      <c r="Z6420" s="6"/>
      <c r="AA6420" s="6" t="s">
        <v>1037</v>
      </c>
      <c r="AB6420" s="8"/>
      <c r="AC6420" s="27">
        <v>9785160184050</v>
      </c>
    </row>
    <row r="6421" spans="1:29" s="4" customFormat="1" ht="42" customHeight="1" x14ac:dyDescent="0.2">
      <c r="A6421" s="5">
        <v>0</v>
      </c>
      <c r="B6421" s="6" t="s">
        <v>36487</v>
      </c>
      <c r="C6421" s="13">
        <v>636</v>
      </c>
      <c r="D6421" s="8" t="s">
        <v>36488</v>
      </c>
      <c r="E6421" s="8" t="s">
        <v>36489</v>
      </c>
      <c r="F6421" s="8" t="s">
        <v>36490</v>
      </c>
      <c r="G6421" s="6" t="s">
        <v>33</v>
      </c>
      <c r="H6421" s="6" t="s">
        <v>34</v>
      </c>
      <c r="I6421" s="8" t="s">
        <v>1248</v>
      </c>
      <c r="J6421" s="9">
        <v>1</v>
      </c>
      <c r="K6421" s="9">
        <v>108</v>
      </c>
      <c r="L6421" s="9">
        <v>2024</v>
      </c>
      <c r="M6421" s="8" t="s">
        <v>36491</v>
      </c>
      <c r="N6421" s="8" t="s">
        <v>243</v>
      </c>
      <c r="O6421" s="8" t="s">
        <v>758</v>
      </c>
      <c r="P6421" s="6" t="s">
        <v>51</v>
      </c>
      <c r="Q6421" s="8" t="s">
        <v>65</v>
      </c>
      <c r="R6421" s="10" t="s">
        <v>29422</v>
      </c>
      <c r="S6421" s="11"/>
      <c r="T6421" s="6"/>
      <c r="U6421" s="15" t="str">
        <f>HYPERLINK("https://media.infra-m.ru/2130/2130481/cover/2130481.jpg", "Обложка")</f>
        <v>Обложка</v>
      </c>
      <c r="V6421" s="8" t="s">
        <v>1083</v>
      </c>
      <c r="W6421" s="6"/>
      <c r="X6421" s="6"/>
      <c r="Y6421" s="6"/>
      <c r="Z6421" s="6"/>
      <c r="AA6421" s="6" t="s">
        <v>76</v>
      </c>
      <c r="AB6421" s="8"/>
      <c r="AC6421" s="27">
        <v>9785160195926</v>
      </c>
    </row>
    <row r="6422" spans="1:29" s="4" customFormat="1" ht="51.9" customHeight="1" x14ac:dyDescent="0.2">
      <c r="A6422" s="5">
        <v>0</v>
      </c>
      <c r="B6422" s="6" t="s">
        <v>36492</v>
      </c>
      <c r="C6422" s="7">
        <v>2750.4</v>
      </c>
      <c r="D6422" s="8" t="s">
        <v>36493</v>
      </c>
      <c r="E6422" s="8" t="s">
        <v>36494</v>
      </c>
      <c r="F6422" s="8" t="s">
        <v>36483</v>
      </c>
      <c r="G6422" s="6" t="s">
        <v>118</v>
      </c>
      <c r="H6422" s="6" t="s">
        <v>48</v>
      </c>
      <c r="I6422" s="8" t="s">
        <v>263</v>
      </c>
      <c r="J6422" s="9">
        <v>1</v>
      </c>
      <c r="K6422" s="9">
        <v>352</v>
      </c>
      <c r="L6422" s="9">
        <v>2025</v>
      </c>
      <c r="M6422" s="8" t="s">
        <v>36495</v>
      </c>
      <c r="N6422" s="8" t="s">
        <v>243</v>
      </c>
      <c r="O6422" s="8" t="s">
        <v>758</v>
      </c>
      <c r="P6422" s="6" t="s">
        <v>51</v>
      </c>
      <c r="Q6422" s="8" t="s">
        <v>265</v>
      </c>
      <c r="R6422" s="10" t="s">
        <v>36496</v>
      </c>
      <c r="S6422" s="11" t="s">
        <v>1013</v>
      </c>
      <c r="T6422" s="6"/>
      <c r="U6422" s="15" t="str">
        <f>HYPERLINK("https://media.infra-m.ru/2192/2192466/cover/2192466.jpg", "Обложка")</f>
        <v>Обложка</v>
      </c>
      <c r="V6422" s="8" t="s">
        <v>3297</v>
      </c>
      <c r="W6422" s="6"/>
      <c r="X6422" s="6"/>
      <c r="Y6422" s="6"/>
      <c r="Z6422" s="6"/>
      <c r="AA6422" s="6" t="s">
        <v>874</v>
      </c>
      <c r="AB6422" s="8"/>
      <c r="AC6422" s="27">
        <v>9785000916520</v>
      </c>
    </row>
    <row r="6423" spans="1:29" s="4" customFormat="1" ht="51.9" customHeight="1" x14ac:dyDescent="0.2">
      <c r="A6423" s="5">
        <v>0</v>
      </c>
      <c r="B6423" s="6" t="s">
        <v>36497</v>
      </c>
      <c r="C6423" s="7">
        <v>1192.8</v>
      </c>
      <c r="D6423" s="8" t="s">
        <v>36498</v>
      </c>
      <c r="E6423" s="8" t="s">
        <v>36499</v>
      </c>
      <c r="F6423" s="8" t="s">
        <v>36500</v>
      </c>
      <c r="G6423" s="6" t="s">
        <v>60</v>
      </c>
      <c r="H6423" s="6" t="s">
        <v>34</v>
      </c>
      <c r="I6423" s="8" t="s">
        <v>271</v>
      </c>
      <c r="J6423" s="9">
        <v>1</v>
      </c>
      <c r="K6423" s="9">
        <v>198</v>
      </c>
      <c r="L6423" s="9">
        <v>2025</v>
      </c>
      <c r="M6423" s="8" t="s">
        <v>36501</v>
      </c>
      <c r="N6423" s="8" t="s">
        <v>243</v>
      </c>
      <c r="O6423" s="8" t="s">
        <v>758</v>
      </c>
      <c r="P6423" s="6" t="s">
        <v>51</v>
      </c>
      <c r="Q6423" s="8" t="s">
        <v>52</v>
      </c>
      <c r="R6423" s="10" t="s">
        <v>36502</v>
      </c>
      <c r="S6423" s="11"/>
      <c r="T6423" s="6"/>
      <c r="U6423" s="15" t="str">
        <f>HYPERLINK("https://media.infra-m.ru/2183/2183310/cover/2183310.jpg", "Обложка")</f>
        <v>Обложка</v>
      </c>
      <c r="V6423" s="8" t="s">
        <v>1157</v>
      </c>
      <c r="W6423" s="6"/>
      <c r="X6423" s="6"/>
      <c r="Y6423" s="6"/>
      <c r="Z6423" s="6"/>
      <c r="AA6423" s="6" t="s">
        <v>274</v>
      </c>
      <c r="AB6423" s="8"/>
      <c r="AC6423" s="27">
        <v>9785160067056</v>
      </c>
    </row>
    <row r="6424" spans="1:29" s="4" customFormat="1" ht="51.9" customHeight="1" x14ac:dyDescent="0.2">
      <c r="A6424" s="5">
        <v>0</v>
      </c>
      <c r="B6424" s="6" t="s">
        <v>36503</v>
      </c>
      <c r="C6424" s="13">
        <v>660</v>
      </c>
      <c r="D6424" s="8" t="s">
        <v>36504</v>
      </c>
      <c r="E6424" s="8" t="s">
        <v>36505</v>
      </c>
      <c r="F6424" s="8" t="s">
        <v>36506</v>
      </c>
      <c r="G6424" s="6" t="s">
        <v>33</v>
      </c>
      <c r="H6424" s="6" t="s">
        <v>48</v>
      </c>
      <c r="I6424" s="8" t="s">
        <v>263</v>
      </c>
      <c r="J6424" s="9">
        <v>1</v>
      </c>
      <c r="K6424" s="9">
        <v>95</v>
      </c>
      <c r="L6424" s="9">
        <v>2024</v>
      </c>
      <c r="M6424" s="8" t="s">
        <v>36507</v>
      </c>
      <c r="N6424" s="8" t="s">
        <v>243</v>
      </c>
      <c r="O6424" s="8" t="s">
        <v>758</v>
      </c>
      <c r="P6424" s="6" t="s">
        <v>51</v>
      </c>
      <c r="Q6424" s="8" t="s">
        <v>265</v>
      </c>
      <c r="R6424" s="10" t="s">
        <v>36508</v>
      </c>
      <c r="S6424" s="11" t="s">
        <v>36509</v>
      </c>
      <c r="T6424" s="6"/>
      <c r="U6424" s="15" t="str">
        <f>HYPERLINK("https://media.infra-m.ru/2138/2138785/cover/2138785.jpg", "Обложка")</f>
        <v>Обложка</v>
      </c>
      <c r="V6424" s="8" t="s">
        <v>36510</v>
      </c>
      <c r="W6424" s="6"/>
      <c r="X6424" s="6"/>
      <c r="Y6424" s="6"/>
      <c r="Z6424" s="6"/>
      <c r="AA6424" s="6" t="s">
        <v>718</v>
      </c>
      <c r="AB6424" s="8"/>
      <c r="AC6424" s="27">
        <v>9785000917480</v>
      </c>
    </row>
    <row r="6425" spans="1:29" s="4" customFormat="1" ht="51.9" customHeight="1" x14ac:dyDescent="0.2">
      <c r="A6425" s="5">
        <v>0</v>
      </c>
      <c r="B6425" s="6" t="s">
        <v>36511</v>
      </c>
      <c r="C6425" s="7">
        <v>1548</v>
      </c>
      <c r="D6425" s="8" t="s">
        <v>36512</v>
      </c>
      <c r="E6425" s="8" t="s">
        <v>36513</v>
      </c>
      <c r="F6425" s="8" t="s">
        <v>14796</v>
      </c>
      <c r="G6425" s="6" t="s">
        <v>118</v>
      </c>
      <c r="H6425" s="6" t="s">
        <v>34</v>
      </c>
      <c r="I6425" s="8" t="s">
        <v>253</v>
      </c>
      <c r="J6425" s="9">
        <v>1</v>
      </c>
      <c r="K6425" s="9">
        <v>259</v>
      </c>
      <c r="L6425" s="9">
        <v>2024</v>
      </c>
      <c r="M6425" s="8" t="s">
        <v>36514</v>
      </c>
      <c r="N6425" s="8" t="s">
        <v>243</v>
      </c>
      <c r="O6425" s="8" t="s">
        <v>758</v>
      </c>
      <c r="P6425" s="6" t="s">
        <v>51</v>
      </c>
      <c r="Q6425" s="8" t="s">
        <v>52</v>
      </c>
      <c r="R6425" s="10" t="s">
        <v>965</v>
      </c>
      <c r="S6425" s="11" t="s">
        <v>36515</v>
      </c>
      <c r="T6425" s="6" t="s">
        <v>97</v>
      </c>
      <c r="U6425" s="15" t="str">
        <f>HYPERLINK("https://media.infra-m.ru/2102/2102676/cover/2102676.jpg", "Обложка")</f>
        <v>Обложка</v>
      </c>
      <c r="V6425" s="8" t="s">
        <v>546</v>
      </c>
      <c r="W6425" s="6"/>
      <c r="X6425" s="6"/>
      <c r="Y6425" s="6"/>
      <c r="Z6425" s="6"/>
      <c r="AA6425" s="6" t="s">
        <v>148</v>
      </c>
      <c r="AB6425" s="8"/>
      <c r="AC6425" s="27">
        <v>9785160192659</v>
      </c>
    </row>
    <row r="6426" spans="1:29" s="4" customFormat="1" ht="42" customHeight="1" x14ac:dyDescent="0.2">
      <c r="A6426" s="5">
        <v>0</v>
      </c>
      <c r="B6426" s="6" t="s">
        <v>36516</v>
      </c>
      <c r="C6426" s="7">
        <v>1776</v>
      </c>
      <c r="D6426" s="8" t="s">
        <v>36517</v>
      </c>
      <c r="E6426" s="8" t="s">
        <v>36518</v>
      </c>
      <c r="F6426" s="8" t="s">
        <v>36519</v>
      </c>
      <c r="G6426" s="6" t="s">
        <v>118</v>
      </c>
      <c r="H6426" s="6" t="s">
        <v>34</v>
      </c>
      <c r="I6426" s="8" t="s">
        <v>253</v>
      </c>
      <c r="J6426" s="9">
        <v>1</v>
      </c>
      <c r="K6426" s="9">
        <v>256</v>
      </c>
      <c r="L6426" s="9">
        <v>2027</v>
      </c>
      <c r="M6426" s="8" t="s">
        <v>36520</v>
      </c>
      <c r="N6426" s="8" t="s">
        <v>243</v>
      </c>
      <c r="O6426" s="8" t="s">
        <v>758</v>
      </c>
      <c r="P6426" s="6" t="s">
        <v>51</v>
      </c>
      <c r="Q6426" s="8" t="s">
        <v>52</v>
      </c>
      <c r="R6426" s="10" t="s">
        <v>36521</v>
      </c>
      <c r="S6426" s="11"/>
      <c r="T6426" s="6" t="s">
        <v>97</v>
      </c>
      <c r="U6426" s="15" t="str">
        <f>HYPERLINK("https://media.infra-m.ru/2261/2261557/cover/2261557.jpg", "Обложка")</f>
        <v>Обложка</v>
      </c>
      <c r="V6426" s="8" t="s">
        <v>2446</v>
      </c>
      <c r="W6426" s="6"/>
      <c r="X6426" s="6"/>
      <c r="Y6426" s="6"/>
      <c r="Z6426" s="6"/>
      <c r="AA6426" s="6" t="s">
        <v>76</v>
      </c>
      <c r="AB6426" s="8"/>
      <c r="AC6426" s="27">
        <v>9785160176604</v>
      </c>
    </row>
    <row r="6427" spans="1:29" s="4" customFormat="1" ht="51.9" customHeight="1" x14ac:dyDescent="0.2">
      <c r="A6427" s="5">
        <v>0</v>
      </c>
      <c r="B6427" s="6" t="s">
        <v>36522</v>
      </c>
      <c r="C6427" s="7">
        <v>1936.8</v>
      </c>
      <c r="D6427" s="8" t="s">
        <v>36523</v>
      </c>
      <c r="E6427" s="8" t="s">
        <v>36524</v>
      </c>
      <c r="F6427" s="8" t="s">
        <v>36525</v>
      </c>
      <c r="G6427" s="6" t="s">
        <v>118</v>
      </c>
      <c r="H6427" s="6" t="s">
        <v>1042</v>
      </c>
      <c r="I6427" s="8" t="s">
        <v>263</v>
      </c>
      <c r="J6427" s="9">
        <v>1</v>
      </c>
      <c r="K6427" s="9">
        <v>272</v>
      </c>
      <c r="L6427" s="9">
        <v>2026</v>
      </c>
      <c r="M6427" s="8" t="s">
        <v>36526</v>
      </c>
      <c r="N6427" s="8" t="s">
        <v>243</v>
      </c>
      <c r="O6427" s="8" t="s">
        <v>758</v>
      </c>
      <c r="P6427" s="6" t="s">
        <v>51</v>
      </c>
      <c r="Q6427" s="8" t="s">
        <v>265</v>
      </c>
      <c r="R6427" s="10" t="s">
        <v>36527</v>
      </c>
      <c r="S6427" s="11" t="s">
        <v>36528</v>
      </c>
      <c r="T6427" s="6"/>
      <c r="U6427" s="15" t="str">
        <f>HYPERLINK("https://media.infra-m.ru/2216/2216271/cover/2216271.jpg", "Обложка")</f>
        <v>Обложка</v>
      </c>
      <c r="V6427" s="8" t="s">
        <v>10014</v>
      </c>
      <c r="W6427" s="6"/>
      <c r="X6427" s="6"/>
      <c r="Y6427" s="6"/>
      <c r="Z6427" s="6"/>
      <c r="AA6427" s="6" t="s">
        <v>360</v>
      </c>
      <c r="AB6427" s="8"/>
      <c r="AC6427" s="27">
        <v>9785819908211</v>
      </c>
    </row>
    <row r="6428" spans="1:29" s="4" customFormat="1" ht="42" customHeight="1" x14ac:dyDescent="0.2">
      <c r="A6428" s="5">
        <v>0</v>
      </c>
      <c r="B6428" s="6" t="s">
        <v>36529</v>
      </c>
      <c r="C6428" s="7">
        <v>1696.8</v>
      </c>
      <c r="D6428" s="8" t="s">
        <v>36530</v>
      </c>
      <c r="E6428" s="8" t="s">
        <v>36531</v>
      </c>
      <c r="F6428" s="8" t="s">
        <v>36532</v>
      </c>
      <c r="G6428" s="6" t="s">
        <v>33</v>
      </c>
      <c r="H6428" s="6" t="s">
        <v>1644</v>
      </c>
      <c r="I6428" s="8" t="s">
        <v>1904</v>
      </c>
      <c r="J6428" s="9">
        <v>1</v>
      </c>
      <c r="K6428" s="9">
        <v>272</v>
      </c>
      <c r="L6428" s="9">
        <v>2025</v>
      </c>
      <c r="M6428" s="8" t="s">
        <v>36533</v>
      </c>
      <c r="N6428" s="8" t="s">
        <v>37</v>
      </c>
      <c r="O6428" s="8" t="s">
        <v>233</v>
      </c>
      <c r="P6428" s="6" t="s">
        <v>51</v>
      </c>
      <c r="Q6428" s="8" t="s">
        <v>52</v>
      </c>
      <c r="R6428" s="10" t="s">
        <v>2257</v>
      </c>
      <c r="S6428" s="11"/>
      <c r="T6428" s="6"/>
      <c r="U6428" s="15" t="str">
        <f>HYPERLINK("https://media.infra-m.ru/2192/2192745/cover/2192745.jpg", "Обложка")</f>
        <v>Обложка</v>
      </c>
      <c r="V6428" s="8" t="s">
        <v>3787</v>
      </c>
      <c r="W6428" s="6"/>
      <c r="X6428" s="6"/>
      <c r="Y6428" s="6"/>
      <c r="Z6428" s="6"/>
      <c r="AA6428" s="6" t="s">
        <v>274</v>
      </c>
      <c r="AB6428" s="8"/>
      <c r="AC6428" s="27">
        <v>9785977603478</v>
      </c>
    </row>
    <row r="6429" spans="1:29" s="4" customFormat="1" ht="42" customHeight="1" x14ac:dyDescent="0.2">
      <c r="A6429" s="5">
        <v>0</v>
      </c>
      <c r="B6429" s="6" t="s">
        <v>36534</v>
      </c>
      <c r="C6429" s="13">
        <v>977.9</v>
      </c>
      <c r="D6429" s="8" t="s">
        <v>36535</v>
      </c>
      <c r="E6429" s="8" t="s">
        <v>36531</v>
      </c>
      <c r="F6429" s="8" t="s">
        <v>36532</v>
      </c>
      <c r="G6429" s="6" t="s">
        <v>60</v>
      </c>
      <c r="H6429" s="6" t="s">
        <v>1644</v>
      </c>
      <c r="I6429" s="8" t="s">
        <v>1904</v>
      </c>
      <c r="J6429" s="9">
        <v>1</v>
      </c>
      <c r="K6429" s="9">
        <v>272</v>
      </c>
      <c r="L6429" s="9">
        <v>2018</v>
      </c>
      <c r="M6429" s="8" t="s">
        <v>36533</v>
      </c>
      <c r="N6429" s="8" t="s">
        <v>37</v>
      </c>
      <c r="O6429" s="8" t="s">
        <v>233</v>
      </c>
      <c r="P6429" s="6" t="s">
        <v>51</v>
      </c>
      <c r="Q6429" s="8" t="s">
        <v>52</v>
      </c>
      <c r="R6429" s="10" t="s">
        <v>2257</v>
      </c>
      <c r="S6429" s="11"/>
      <c r="T6429" s="6"/>
      <c r="U6429" s="15" t="str">
        <f>HYPERLINK("https://media.infra-m.ru/0967/0967131/cover/967131.jpg", "Обложка")</f>
        <v>Обложка</v>
      </c>
      <c r="V6429" s="8" t="s">
        <v>3787</v>
      </c>
      <c r="W6429" s="6"/>
      <c r="X6429" s="6"/>
      <c r="Y6429" s="6"/>
      <c r="Z6429" s="6"/>
      <c r="AA6429" s="6" t="s">
        <v>274</v>
      </c>
      <c r="AB6429" s="8"/>
      <c r="AC6429" s="27">
        <v>9785977603478</v>
      </c>
    </row>
    <row r="6430" spans="1:29" s="4" customFormat="1" ht="42" customHeight="1" x14ac:dyDescent="0.2">
      <c r="A6430" s="5">
        <v>0</v>
      </c>
      <c r="B6430" s="6" t="s">
        <v>36536</v>
      </c>
      <c r="C6430" s="7">
        <v>1768.8</v>
      </c>
      <c r="D6430" s="8" t="s">
        <v>36537</v>
      </c>
      <c r="E6430" s="8" t="s">
        <v>36538</v>
      </c>
      <c r="F6430" s="8" t="s">
        <v>36539</v>
      </c>
      <c r="G6430" s="6" t="s">
        <v>33</v>
      </c>
      <c r="H6430" s="6" t="s">
        <v>34</v>
      </c>
      <c r="I6430" s="8" t="s">
        <v>35</v>
      </c>
      <c r="J6430" s="9">
        <v>1</v>
      </c>
      <c r="K6430" s="9">
        <v>320</v>
      </c>
      <c r="L6430" s="9">
        <v>2024</v>
      </c>
      <c r="M6430" s="8" t="s">
        <v>36540</v>
      </c>
      <c r="N6430" s="8" t="s">
        <v>243</v>
      </c>
      <c r="O6430" s="8" t="s">
        <v>798</v>
      </c>
      <c r="P6430" s="6" t="s">
        <v>39</v>
      </c>
      <c r="Q6430" s="8" t="s">
        <v>40</v>
      </c>
      <c r="R6430" s="10" t="s">
        <v>36541</v>
      </c>
      <c r="S6430" s="11"/>
      <c r="T6430" s="6" t="s">
        <v>97</v>
      </c>
      <c r="U6430" s="15" t="str">
        <f>HYPERLINK("https://media.infra-m.ru/2129/2129967/cover/2129967.jpg", "Обложка")</f>
        <v>Обложка</v>
      </c>
      <c r="V6430" s="8" t="s">
        <v>36542</v>
      </c>
      <c r="W6430" s="6"/>
      <c r="X6430" s="6"/>
      <c r="Y6430" s="6"/>
      <c r="Z6430" s="6"/>
      <c r="AA6430" s="6" t="s">
        <v>430</v>
      </c>
      <c r="AB6430" s="8"/>
      <c r="AC6430" s="27">
        <v>9785160161297</v>
      </c>
    </row>
    <row r="6431" spans="1:29" s="4" customFormat="1" ht="42" customHeight="1" x14ac:dyDescent="0.2">
      <c r="A6431" s="5">
        <v>0</v>
      </c>
      <c r="B6431" s="6" t="s">
        <v>36543</v>
      </c>
      <c r="C6431" s="7">
        <v>1372.8</v>
      </c>
      <c r="D6431" s="8" t="s">
        <v>36544</v>
      </c>
      <c r="E6431" s="8" t="s">
        <v>36545</v>
      </c>
      <c r="F6431" s="8" t="s">
        <v>9561</v>
      </c>
      <c r="G6431" s="6" t="s">
        <v>33</v>
      </c>
      <c r="H6431" s="6" t="s">
        <v>48</v>
      </c>
      <c r="I6431" s="8" t="s">
        <v>271</v>
      </c>
      <c r="J6431" s="9">
        <v>1</v>
      </c>
      <c r="K6431" s="9">
        <v>208</v>
      </c>
      <c r="L6431" s="9">
        <v>2026</v>
      </c>
      <c r="M6431" s="8" t="s">
        <v>36546</v>
      </c>
      <c r="N6431" s="8" t="s">
        <v>243</v>
      </c>
      <c r="O6431" s="8" t="s">
        <v>758</v>
      </c>
      <c r="P6431" s="6" t="s">
        <v>51</v>
      </c>
      <c r="Q6431" s="8" t="s">
        <v>52</v>
      </c>
      <c r="R6431" s="10" t="s">
        <v>36547</v>
      </c>
      <c r="S6431" s="11"/>
      <c r="T6431" s="6"/>
      <c r="U6431" s="15" t="str">
        <f>HYPERLINK("https://media.infra-m.ru/2244/2244304/cover/2244304.jpg", "Обложка")</f>
        <v>Обложка</v>
      </c>
      <c r="V6431" s="8" t="s">
        <v>9565</v>
      </c>
      <c r="W6431" s="6"/>
      <c r="X6431" s="6"/>
      <c r="Y6431" s="6"/>
      <c r="Z6431" s="6"/>
      <c r="AA6431" s="6" t="s">
        <v>3721</v>
      </c>
      <c r="AB6431" s="8"/>
      <c r="AC6431" s="27">
        <v>9785911347468</v>
      </c>
    </row>
    <row r="6432" spans="1:29" s="4" customFormat="1" ht="51.9" customHeight="1" x14ac:dyDescent="0.2">
      <c r="A6432" s="5">
        <v>0</v>
      </c>
      <c r="B6432" s="6" t="s">
        <v>36548</v>
      </c>
      <c r="C6432" s="7">
        <v>1552.8</v>
      </c>
      <c r="D6432" s="8" t="s">
        <v>36549</v>
      </c>
      <c r="E6432" s="8" t="s">
        <v>36550</v>
      </c>
      <c r="F6432" s="8" t="s">
        <v>36551</v>
      </c>
      <c r="G6432" s="6" t="s">
        <v>60</v>
      </c>
      <c r="H6432" s="6" t="s">
        <v>34</v>
      </c>
      <c r="I6432" s="8" t="s">
        <v>271</v>
      </c>
      <c r="J6432" s="9">
        <v>1</v>
      </c>
      <c r="K6432" s="9">
        <v>224</v>
      </c>
      <c r="L6432" s="9">
        <v>2027</v>
      </c>
      <c r="M6432" s="8" t="s">
        <v>36552</v>
      </c>
      <c r="N6432" s="8" t="s">
        <v>243</v>
      </c>
      <c r="O6432" s="8" t="s">
        <v>758</v>
      </c>
      <c r="P6432" s="6" t="s">
        <v>51</v>
      </c>
      <c r="Q6432" s="8" t="s">
        <v>52</v>
      </c>
      <c r="R6432" s="10" t="s">
        <v>36553</v>
      </c>
      <c r="S6432" s="11" t="s">
        <v>36554</v>
      </c>
      <c r="T6432" s="6"/>
      <c r="U6432" s="15" t="str">
        <f>HYPERLINK("https://media.infra-m.ru/2264/2264702/cover/2264702.jpg", "Обложка")</f>
        <v>Обложка</v>
      </c>
      <c r="V6432" s="8" t="s">
        <v>1083</v>
      </c>
      <c r="W6432" s="6"/>
      <c r="X6432" s="6"/>
      <c r="Y6432" s="6"/>
      <c r="Z6432" s="6"/>
      <c r="AA6432" s="6" t="s">
        <v>55</v>
      </c>
      <c r="AB6432" s="8"/>
      <c r="AC6432" s="27">
        <v>9785160063683</v>
      </c>
    </row>
    <row r="6433" spans="1:29" s="4" customFormat="1" ht="51.9" customHeight="1" x14ac:dyDescent="0.2">
      <c r="A6433" s="5">
        <v>0</v>
      </c>
      <c r="B6433" s="6" t="s">
        <v>36555</v>
      </c>
      <c r="C6433" s="13">
        <v>880.8</v>
      </c>
      <c r="D6433" s="8" t="s">
        <v>36556</v>
      </c>
      <c r="E6433" s="8" t="s">
        <v>36557</v>
      </c>
      <c r="F6433" s="8" t="s">
        <v>36558</v>
      </c>
      <c r="G6433" s="6" t="s">
        <v>60</v>
      </c>
      <c r="H6433" s="6" t="s">
        <v>1042</v>
      </c>
      <c r="I6433" s="8"/>
      <c r="J6433" s="9">
        <v>1</v>
      </c>
      <c r="K6433" s="9">
        <v>160</v>
      </c>
      <c r="L6433" s="9">
        <v>2023</v>
      </c>
      <c r="M6433" s="8" t="s">
        <v>36559</v>
      </c>
      <c r="N6433" s="8" t="s">
        <v>243</v>
      </c>
      <c r="O6433" s="8" t="s">
        <v>758</v>
      </c>
      <c r="P6433" s="6" t="s">
        <v>51</v>
      </c>
      <c r="Q6433" s="8" t="s">
        <v>265</v>
      </c>
      <c r="R6433" s="10" t="s">
        <v>36560</v>
      </c>
      <c r="S6433" s="11" t="s">
        <v>36561</v>
      </c>
      <c r="T6433" s="6"/>
      <c r="U6433" s="15" t="str">
        <f>HYPERLINK("https://media.infra-m.ru/2021/2021442/cover/2021442.jpg", "Обложка")</f>
        <v>Обложка</v>
      </c>
      <c r="V6433" s="8" t="s">
        <v>227</v>
      </c>
      <c r="W6433" s="6"/>
      <c r="X6433" s="6"/>
      <c r="Y6433" s="6"/>
      <c r="Z6433" s="6" t="s">
        <v>267</v>
      </c>
      <c r="AA6433" s="6" t="s">
        <v>115</v>
      </c>
      <c r="AB6433" s="8"/>
      <c r="AC6433" s="27">
        <v>9785819909423</v>
      </c>
    </row>
    <row r="6434" spans="1:29" s="4" customFormat="1" ht="51.9" customHeight="1" x14ac:dyDescent="0.2">
      <c r="A6434" s="5">
        <v>0</v>
      </c>
      <c r="B6434" s="6" t="s">
        <v>36562</v>
      </c>
      <c r="C6434" s="13">
        <v>892.8</v>
      </c>
      <c r="D6434" s="8" t="s">
        <v>36563</v>
      </c>
      <c r="E6434" s="8" t="s">
        <v>36557</v>
      </c>
      <c r="F6434" s="8" t="s">
        <v>36558</v>
      </c>
      <c r="G6434" s="6" t="s">
        <v>60</v>
      </c>
      <c r="H6434" s="6" t="s">
        <v>1042</v>
      </c>
      <c r="I6434" s="8" t="s">
        <v>271</v>
      </c>
      <c r="J6434" s="9">
        <v>1</v>
      </c>
      <c r="K6434" s="9">
        <v>160</v>
      </c>
      <c r="L6434" s="9">
        <v>2024</v>
      </c>
      <c r="M6434" s="8" t="s">
        <v>36564</v>
      </c>
      <c r="N6434" s="8" t="s">
        <v>243</v>
      </c>
      <c r="O6434" s="8" t="s">
        <v>758</v>
      </c>
      <c r="P6434" s="6" t="s">
        <v>51</v>
      </c>
      <c r="Q6434" s="8" t="s">
        <v>52</v>
      </c>
      <c r="R6434" s="10" t="s">
        <v>3270</v>
      </c>
      <c r="S6434" s="11" t="s">
        <v>36565</v>
      </c>
      <c r="T6434" s="6"/>
      <c r="U6434" s="15" t="str">
        <f>HYPERLINK("https://media.infra-m.ru/2054/2054958/cover/2054958.jpg", "Обложка")</f>
        <v>Обложка</v>
      </c>
      <c r="V6434" s="8" t="s">
        <v>227</v>
      </c>
      <c r="W6434" s="6"/>
      <c r="X6434" s="6"/>
      <c r="Y6434" s="6"/>
      <c r="Z6434" s="6"/>
      <c r="AA6434" s="6" t="s">
        <v>949</v>
      </c>
      <c r="AB6434" s="8"/>
      <c r="AC6434" s="27">
        <v>9785819908617</v>
      </c>
    </row>
    <row r="6435" spans="1:29" s="4" customFormat="1" ht="44.1" customHeight="1" x14ac:dyDescent="0.2">
      <c r="A6435" s="5">
        <v>0</v>
      </c>
      <c r="B6435" s="6" t="s">
        <v>36566</v>
      </c>
      <c r="C6435" s="13">
        <v>521.9</v>
      </c>
      <c r="D6435" s="8" t="s">
        <v>36567</v>
      </c>
      <c r="E6435" s="8" t="s">
        <v>36568</v>
      </c>
      <c r="F6435" s="8" t="s">
        <v>36569</v>
      </c>
      <c r="G6435" s="6" t="s">
        <v>33</v>
      </c>
      <c r="H6435" s="6" t="s">
        <v>34</v>
      </c>
      <c r="I6435" s="8" t="s">
        <v>1081</v>
      </c>
      <c r="J6435" s="9">
        <v>1</v>
      </c>
      <c r="K6435" s="9">
        <v>123</v>
      </c>
      <c r="L6435" s="9">
        <v>2020</v>
      </c>
      <c r="M6435" s="8" t="s">
        <v>36570</v>
      </c>
      <c r="N6435" s="8" t="s">
        <v>37</v>
      </c>
      <c r="O6435" s="8" t="s">
        <v>83</v>
      </c>
      <c r="P6435" s="6" t="s">
        <v>39</v>
      </c>
      <c r="Q6435" s="8" t="s">
        <v>40</v>
      </c>
      <c r="R6435" s="10"/>
      <c r="S6435" s="11"/>
      <c r="T6435" s="6"/>
      <c r="U6435" s="15" t="str">
        <f>HYPERLINK("https://media.infra-m.ru/1045/1045743/cover/1045743.jpg", "Обложка")</f>
        <v>Обложка</v>
      </c>
      <c r="V6435" s="8" t="s">
        <v>1083</v>
      </c>
      <c r="W6435" s="6"/>
      <c r="X6435" s="6"/>
      <c r="Y6435" s="6"/>
      <c r="Z6435" s="6"/>
      <c r="AA6435" s="6" t="s">
        <v>86</v>
      </c>
      <c r="AB6435" s="8"/>
      <c r="AC6435" s="27">
        <v>9785160132549</v>
      </c>
    </row>
    <row r="6436" spans="1:29" s="4" customFormat="1" ht="44.1" customHeight="1" x14ac:dyDescent="0.2">
      <c r="A6436" s="5">
        <v>0</v>
      </c>
      <c r="B6436" s="6" t="s">
        <v>36571</v>
      </c>
      <c r="C6436" s="7">
        <v>1240.8</v>
      </c>
      <c r="D6436" s="8" t="s">
        <v>36572</v>
      </c>
      <c r="E6436" s="8" t="s">
        <v>36573</v>
      </c>
      <c r="F6436" s="8" t="s">
        <v>36574</v>
      </c>
      <c r="G6436" s="6" t="s">
        <v>33</v>
      </c>
      <c r="H6436" s="6" t="s">
        <v>34</v>
      </c>
      <c r="I6436" s="8" t="s">
        <v>457</v>
      </c>
      <c r="J6436" s="9">
        <v>1</v>
      </c>
      <c r="K6436" s="9">
        <v>207</v>
      </c>
      <c r="L6436" s="9">
        <v>2025</v>
      </c>
      <c r="M6436" s="8" t="s">
        <v>36575</v>
      </c>
      <c r="N6436" s="8" t="s">
        <v>37</v>
      </c>
      <c r="O6436" s="8" t="s">
        <v>280</v>
      </c>
      <c r="P6436" s="6" t="s">
        <v>39</v>
      </c>
      <c r="Q6436" s="8" t="s">
        <v>40</v>
      </c>
      <c r="R6436" s="10" t="s">
        <v>1557</v>
      </c>
      <c r="S6436" s="11"/>
      <c r="T6436" s="6"/>
      <c r="U6436" s="15" t="str">
        <f>HYPERLINK("https://media.infra-m.ru/2163/2163769/cover/2163769.jpg", "Обложка")</f>
        <v>Обложка</v>
      </c>
      <c r="V6436" s="8" t="s">
        <v>36576</v>
      </c>
      <c r="W6436" s="6"/>
      <c r="X6436" s="6"/>
      <c r="Y6436" s="6"/>
      <c r="Z6436" s="6"/>
      <c r="AA6436" s="6" t="s">
        <v>148</v>
      </c>
      <c r="AB6436" s="8"/>
      <c r="AC6436" s="27">
        <v>9785160172484</v>
      </c>
    </row>
    <row r="6437" spans="1:29" s="4" customFormat="1" ht="51.9" customHeight="1" x14ac:dyDescent="0.2">
      <c r="A6437" s="5">
        <v>0</v>
      </c>
      <c r="B6437" s="6" t="s">
        <v>36577</v>
      </c>
      <c r="C6437" s="13">
        <v>948</v>
      </c>
      <c r="D6437" s="8" t="s">
        <v>36578</v>
      </c>
      <c r="E6437" s="8" t="s">
        <v>36579</v>
      </c>
      <c r="F6437" s="8" t="s">
        <v>36580</v>
      </c>
      <c r="G6437" s="6" t="s">
        <v>33</v>
      </c>
      <c r="H6437" s="6" t="s">
        <v>34</v>
      </c>
      <c r="I6437" s="8" t="s">
        <v>1074</v>
      </c>
      <c r="J6437" s="9">
        <v>1</v>
      </c>
      <c r="K6437" s="9">
        <v>176</v>
      </c>
      <c r="L6437" s="9">
        <v>2023</v>
      </c>
      <c r="M6437" s="8" t="s">
        <v>36581</v>
      </c>
      <c r="N6437" s="8" t="s">
        <v>37</v>
      </c>
      <c r="O6437" s="8" t="s">
        <v>136</v>
      </c>
      <c r="P6437" s="6" t="s">
        <v>1689</v>
      </c>
      <c r="Q6437" s="8" t="s">
        <v>40</v>
      </c>
      <c r="R6437" s="10" t="s">
        <v>14721</v>
      </c>
      <c r="S6437" s="11"/>
      <c r="T6437" s="6"/>
      <c r="U6437" s="15" t="str">
        <f>HYPERLINK("https://media.infra-m.ru/1897/1897017/cover/1897017.jpg", "Обложка")</f>
        <v>Обложка</v>
      </c>
      <c r="V6437" s="8"/>
      <c r="W6437" s="6"/>
      <c r="X6437" s="6"/>
      <c r="Y6437" s="6"/>
      <c r="Z6437" s="6"/>
      <c r="AA6437" s="6" t="s">
        <v>430</v>
      </c>
      <c r="AB6437" s="8"/>
      <c r="AC6437" s="27">
        <v>9785160169484</v>
      </c>
    </row>
    <row r="6438" spans="1:29" s="4" customFormat="1" ht="42" customHeight="1" x14ac:dyDescent="0.2">
      <c r="A6438" s="5">
        <v>0</v>
      </c>
      <c r="B6438" s="6" t="s">
        <v>36582</v>
      </c>
      <c r="C6438" s="7">
        <v>2868</v>
      </c>
      <c r="D6438" s="8" t="s">
        <v>36583</v>
      </c>
      <c r="E6438" s="8" t="s">
        <v>36584</v>
      </c>
      <c r="F6438" s="8" t="s">
        <v>1442</v>
      </c>
      <c r="G6438" s="6" t="s">
        <v>60</v>
      </c>
      <c r="H6438" s="6" t="s">
        <v>34</v>
      </c>
      <c r="I6438" s="8" t="s">
        <v>35</v>
      </c>
      <c r="J6438" s="9">
        <v>1</v>
      </c>
      <c r="K6438" s="9">
        <v>568</v>
      </c>
      <c r="L6438" s="9">
        <v>2024</v>
      </c>
      <c r="M6438" s="8" t="s">
        <v>36585</v>
      </c>
      <c r="N6438" s="8" t="s">
        <v>37</v>
      </c>
      <c r="O6438" s="8" t="s">
        <v>136</v>
      </c>
      <c r="P6438" s="6" t="s">
        <v>39</v>
      </c>
      <c r="Q6438" s="8" t="s">
        <v>40</v>
      </c>
      <c r="R6438" s="10" t="s">
        <v>20821</v>
      </c>
      <c r="S6438" s="11"/>
      <c r="T6438" s="6" t="s">
        <v>97</v>
      </c>
      <c r="U6438" s="15" t="str">
        <f>HYPERLINK("https://media.infra-m.ru/2106/2106180/cover/2106180.jpg", "Обложка")</f>
        <v>Обложка</v>
      </c>
      <c r="V6438" s="8" t="s">
        <v>657</v>
      </c>
      <c r="W6438" s="6"/>
      <c r="X6438" s="6"/>
      <c r="Y6438" s="6"/>
      <c r="Z6438" s="6"/>
      <c r="AA6438" s="6" t="s">
        <v>76</v>
      </c>
      <c r="AB6438" s="8" t="s">
        <v>1806</v>
      </c>
      <c r="AC6438" s="27">
        <v>9785160193113</v>
      </c>
    </row>
    <row r="6439" spans="1:29" s="4" customFormat="1" ht="44.1" customHeight="1" x14ac:dyDescent="0.2">
      <c r="A6439" s="5">
        <v>0</v>
      </c>
      <c r="B6439" s="6" t="s">
        <v>36586</v>
      </c>
      <c r="C6439" s="7">
        <v>2508</v>
      </c>
      <c r="D6439" s="8" t="s">
        <v>36587</v>
      </c>
      <c r="E6439" s="8" t="s">
        <v>36588</v>
      </c>
      <c r="F6439" s="8" t="s">
        <v>36589</v>
      </c>
      <c r="G6439" s="6" t="s">
        <v>118</v>
      </c>
      <c r="H6439" s="6" t="s">
        <v>134</v>
      </c>
      <c r="I6439" s="8"/>
      <c r="J6439" s="9">
        <v>1</v>
      </c>
      <c r="K6439" s="9">
        <v>360</v>
      </c>
      <c r="L6439" s="9">
        <v>2026</v>
      </c>
      <c r="M6439" s="8" t="s">
        <v>36590</v>
      </c>
      <c r="N6439" s="8" t="s">
        <v>37</v>
      </c>
      <c r="O6439" s="8" t="s">
        <v>136</v>
      </c>
      <c r="P6439" s="6" t="s">
        <v>51</v>
      </c>
      <c r="Q6439" s="8" t="s">
        <v>52</v>
      </c>
      <c r="R6439" s="10" t="s">
        <v>36591</v>
      </c>
      <c r="S6439" s="11"/>
      <c r="T6439" s="6"/>
      <c r="U6439" s="15" t="str">
        <f>HYPERLINK("https://media.infra-m.ru/2260/2260424/cover/2260424.jpg", "Обложка")</f>
        <v>Обложка</v>
      </c>
      <c r="V6439" s="8" t="s">
        <v>1184</v>
      </c>
      <c r="W6439" s="6"/>
      <c r="X6439" s="6"/>
      <c r="Y6439" s="6"/>
      <c r="Z6439" s="6"/>
      <c r="AA6439" s="6" t="s">
        <v>148</v>
      </c>
      <c r="AB6439" s="8"/>
      <c r="AC6439" s="27">
        <v>9785001561897</v>
      </c>
    </row>
    <row r="6440" spans="1:29" s="4" customFormat="1" ht="51.9" customHeight="1" x14ac:dyDescent="0.2">
      <c r="A6440" s="5">
        <v>0</v>
      </c>
      <c r="B6440" s="6" t="s">
        <v>36592</v>
      </c>
      <c r="C6440" s="13">
        <v>940.8</v>
      </c>
      <c r="D6440" s="8" t="s">
        <v>36593</v>
      </c>
      <c r="E6440" s="8" t="s">
        <v>36594</v>
      </c>
      <c r="F6440" s="8" t="s">
        <v>36595</v>
      </c>
      <c r="G6440" s="6" t="s">
        <v>33</v>
      </c>
      <c r="H6440" s="6" t="s">
        <v>34</v>
      </c>
      <c r="I6440" s="8" t="s">
        <v>35</v>
      </c>
      <c r="J6440" s="9">
        <v>1</v>
      </c>
      <c r="K6440" s="9">
        <v>149</v>
      </c>
      <c r="L6440" s="9">
        <v>2026</v>
      </c>
      <c r="M6440" s="8" t="s">
        <v>36596</v>
      </c>
      <c r="N6440" s="8" t="s">
        <v>37</v>
      </c>
      <c r="O6440" s="8" t="s">
        <v>83</v>
      </c>
      <c r="P6440" s="6" t="s">
        <v>39</v>
      </c>
      <c r="Q6440" s="8" t="s">
        <v>40</v>
      </c>
      <c r="R6440" s="10" t="s">
        <v>36597</v>
      </c>
      <c r="S6440" s="11"/>
      <c r="T6440" s="6"/>
      <c r="U6440" s="15" t="str">
        <f>HYPERLINK("https://media.infra-m.ru/2221/2221551/cover/2221551.jpg", "Обложка")</f>
        <v>Обложка</v>
      </c>
      <c r="V6440" s="8" t="s">
        <v>1505</v>
      </c>
      <c r="W6440" s="6"/>
      <c r="X6440" s="6"/>
      <c r="Y6440" s="6"/>
      <c r="Z6440" s="6"/>
      <c r="AA6440" s="6" t="s">
        <v>43</v>
      </c>
      <c r="AB6440" s="8"/>
      <c r="AC6440" s="27">
        <v>9785160056159</v>
      </c>
    </row>
    <row r="6441" spans="1:29" s="4" customFormat="1" ht="44.1" customHeight="1" x14ac:dyDescent="0.2">
      <c r="A6441" s="5">
        <v>0</v>
      </c>
      <c r="B6441" s="6" t="s">
        <v>36598</v>
      </c>
      <c r="C6441" s="7">
        <v>1044</v>
      </c>
      <c r="D6441" s="8" t="s">
        <v>36599</v>
      </c>
      <c r="E6441" s="8" t="s">
        <v>36600</v>
      </c>
      <c r="F6441" s="8" t="s">
        <v>36601</v>
      </c>
      <c r="G6441" s="6" t="s">
        <v>33</v>
      </c>
      <c r="H6441" s="6" t="s">
        <v>34</v>
      </c>
      <c r="I6441" s="8" t="s">
        <v>457</v>
      </c>
      <c r="J6441" s="9">
        <v>1</v>
      </c>
      <c r="K6441" s="9">
        <v>187</v>
      </c>
      <c r="L6441" s="9">
        <v>2024</v>
      </c>
      <c r="M6441" s="8" t="s">
        <v>36602</v>
      </c>
      <c r="N6441" s="8" t="s">
        <v>37</v>
      </c>
      <c r="O6441" s="8" t="s">
        <v>83</v>
      </c>
      <c r="P6441" s="6" t="s">
        <v>39</v>
      </c>
      <c r="Q6441" s="8" t="s">
        <v>40</v>
      </c>
      <c r="R6441" s="10" t="s">
        <v>36603</v>
      </c>
      <c r="S6441" s="11"/>
      <c r="T6441" s="6"/>
      <c r="U6441" s="15" t="str">
        <f>HYPERLINK("https://media.infra-m.ru/2122/2122483/cover/2122483.jpg", "Обложка")</f>
        <v>Обложка</v>
      </c>
      <c r="V6441" s="8" t="s">
        <v>247</v>
      </c>
      <c r="W6441" s="6"/>
      <c r="X6441" s="6"/>
      <c r="Y6441" s="6"/>
      <c r="Z6441" s="6"/>
      <c r="AA6441" s="6" t="s">
        <v>1256</v>
      </c>
      <c r="AB6441" s="8"/>
      <c r="AC6441" s="27">
        <v>9785160154626</v>
      </c>
    </row>
    <row r="6442" spans="1:29" s="4" customFormat="1" ht="51.9" customHeight="1" x14ac:dyDescent="0.2">
      <c r="A6442" s="5">
        <v>0</v>
      </c>
      <c r="B6442" s="6" t="s">
        <v>36604</v>
      </c>
      <c r="C6442" s="7">
        <v>1756.8</v>
      </c>
      <c r="D6442" s="8" t="s">
        <v>36605</v>
      </c>
      <c r="E6442" s="8" t="s">
        <v>36606</v>
      </c>
      <c r="F6442" s="8" t="s">
        <v>36607</v>
      </c>
      <c r="G6442" s="6" t="s">
        <v>118</v>
      </c>
      <c r="H6442" s="6" t="s">
        <v>34</v>
      </c>
      <c r="I6442" s="8" t="s">
        <v>304</v>
      </c>
      <c r="J6442" s="9">
        <v>1</v>
      </c>
      <c r="K6442" s="9">
        <v>267</v>
      </c>
      <c r="L6442" s="9">
        <v>2026</v>
      </c>
      <c r="M6442" s="8" t="s">
        <v>36608</v>
      </c>
      <c r="N6442" s="8" t="s">
        <v>37</v>
      </c>
      <c r="O6442" s="8" t="s">
        <v>136</v>
      </c>
      <c r="P6442" s="6" t="s">
        <v>51</v>
      </c>
      <c r="Q6442" s="8" t="s">
        <v>65</v>
      </c>
      <c r="R6442" s="10" t="s">
        <v>36609</v>
      </c>
      <c r="S6442" s="11"/>
      <c r="T6442" s="6"/>
      <c r="U6442" s="15" t="str">
        <f>HYPERLINK("https://media.infra-m.ru/2232/2232610/cover/2232610.jpg", "Обложка")</f>
        <v>Обложка</v>
      </c>
      <c r="V6442" s="8" t="s">
        <v>247</v>
      </c>
      <c r="W6442" s="6"/>
      <c r="X6442" s="6"/>
      <c r="Y6442" s="6"/>
      <c r="Z6442" s="6"/>
      <c r="AA6442" s="6" t="s">
        <v>157</v>
      </c>
      <c r="AB6442" s="8" t="s">
        <v>1785</v>
      </c>
      <c r="AC6442" s="27">
        <v>9785160182179</v>
      </c>
    </row>
    <row r="6443" spans="1:29" s="4" customFormat="1" ht="51.9" customHeight="1" x14ac:dyDescent="0.2">
      <c r="A6443" s="5">
        <v>0</v>
      </c>
      <c r="B6443" s="6" t="s">
        <v>36610</v>
      </c>
      <c r="C6443" s="7">
        <v>1284</v>
      </c>
      <c r="D6443" s="8" t="s">
        <v>36611</v>
      </c>
      <c r="E6443" s="8" t="s">
        <v>36612</v>
      </c>
      <c r="F6443" s="8" t="s">
        <v>36613</v>
      </c>
      <c r="G6443" s="6" t="s">
        <v>33</v>
      </c>
      <c r="H6443" s="6" t="s">
        <v>34</v>
      </c>
      <c r="I6443" s="8" t="s">
        <v>35</v>
      </c>
      <c r="J6443" s="9">
        <v>1</v>
      </c>
      <c r="K6443" s="9">
        <v>238</v>
      </c>
      <c r="L6443" s="9">
        <v>2023</v>
      </c>
      <c r="M6443" s="8" t="s">
        <v>36614</v>
      </c>
      <c r="N6443" s="8" t="s">
        <v>37</v>
      </c>
      <c r="O6443" s="8" t="s">
        <v>136</v>
      </c>
      <c r="P6443" s="6" t="s">
        <v>39</v>
      </c>
      <c r="Q6443" s="8" t="s">
        <v>40</v>
      </c>
      <c r="R6443" s="10" t="s">
        <v>36615</v>
      </c>
      <c r="S6443" s="11"/>
      <c r="T6443" s="6"/>
      <c r="U6443" s="15" t="str">
        <f>HYPERLINK("https://media.infra-m.ru/1911/1911534/cover/1911534.jpg", "Обложка")</f>
        <v>Обложка</v>
      </c>
      <c r="V6443" s="8" t="s">
        <v>9614</v>
      </c>
      <c r="W6443" s="6"/>
      <c r="X6443" s="6"/>
      <c r="Y6443" s="6"/>
      <c r="Z6443" s="6"/>
      <c r="AA6443" s="6" t="s">
        <v>157</v>
      </c>
      <c r="AB6443" s="8"/>
      <c r="AC6443" s="27">
        <v>9785160181196</v>
      </c>
    </row>
    <row r="6444" spans="1:29" s="4" customFormat="1" ht="51.9" customHeight="1" x14ac:dyDescent="0.2">
      <c r="A6444" s="5">
        <v>0</v>
      </c>
      <c r="B6444" s="6" t="s">
        <v>36616</v>
      </c>
      <c r="C6444" s="7">
        <v>1485</v>
      </c>
      <c r="D6444" s="8" t="s">
        <v>36617</v>
      </c>
      <c r="E6444" s="8" t="s">
        <v>36618</v>
      </c>
      <c r="F6444" s="8" t="s">
        <v>36619</v>
      </c>
      <c r="G6444" s="6" t="s">
        <v>60</v>
      </c>
      <c r="H6444" s="6" t="s">
        <v>134</v>
      </c>
      <c r="I6444" s="8"/>
      <c r="J6444" s="9">
        <v>1</v>
      </c>
      <c r="K6444" s="9">
        <v>192</v>
      </c>
      <c r="L6444" s="9">
        <v>2026</v>
      </c>
      <c r="M6444" s="8" t="s">
        <v>36620</v>
      </c>
      <c r="N6444" s="8" t="s">
        <v>37</v>
      </c>
      <c r="O6444" s="8" t="s">
        <v>136</v>
      </c>
      <c r="P6444" s="6" t="s">
        <v>39</v>
      </c>
      <c r="Q6444" s="8" t="s">
        <v>40</v>
      </c>
      <c r="R6444" s="10" t="s">
        <v>4348</v>
      </c>
      <c r="S6444" s="11"/>
      <c r="T6444" s="6"/>
      <c r="U6444" s="15" t="str">
        <f>HYPERLINK("https://media.infra-m.ru/2224/2224615/cover/2224615.jpg", "Обложка")</f>
        <v>Обложка</v>
      </c>
      <c r="V6444" s="8"/>
      <c r="W6444" s="6"/>
      <c r="X6444" s="6"/>
      <c r="Y6444" s="6"/>
      <c r="Z6444" s="6"/>
      <c r="AA6444" s="6" t="s">
        <v>187</v>
      </c>
      <c r="AB6444" s="8"/>
      <c r="AC6444" s="27">
        <v>9785001564515</v>
      </c>
    </row>
    <row r="6445" spans="1:29" s="4" customFormat="1" ht="44.1" customHeight="1" x14ac:dyDescent="0.2">
      <c r="A6445" s="5">
        <v>0</v>
      </c>
      <c r="B6445" s="6" t="s">
        <v>36621</v>
      </c>
      <c r="C6445" s="7">
        <v>1356</v>
      </c>
      <c r="D6445" s="8" t="s">
        <v>36622</v>
      </c>
      <c r="E6445" s="8" t="s">
        <v>36623</v>
      </c>
      <c r="F6445" s="8" t="s">
        <v>11186</v>
      </c>
      <c r="G6445" s="6" t="s">
        <v>118</v>
      </c>
      <c r="H6445" s="6" t="s">
        <v>34</v>
      </c>
      <c r="I6445" s="8" t="s">
        <v>1074</v>
      </c>
      <c r="J6445" s="9">
        <v>1</v>
      </c>
      <c r="K6445" s="9">
        <v>320</v>
      </c>
      <c r="L6445" s="9">
        <v>2020</v>
      </c>
      <c r="M6445" s="8" t="s">
        <v>36624</v>
      </c>
      <c r="N6445" s="8" t="s">
        <v>37</v>
      </c>
      <c r="O6445" s="8" t="s">
        <v>136</v>
      </c>
      <c r="P6445" s="6" t="s">
        <v>39</v>
      </c>
      <c r="Q6445" s="8" t="s">
        <v>749</v>
      </c>
      <c r="R6445" s="10" t="s">
        <v>6065</v>
      </c>
      <c r="S6445" s="11"/>
      <c r="T6445" s="6"/>
      <c r="U6445" s="15" t="str">
        <f>HYPERLINK("https://media.infra-m.ru/1068/1068913/cover/1068913.jpg", "Обложка")</f>
        <v>Обложка</v>
      </c>
      <c r="V6445" s="8" t="s">
        <v>138</v>
      </c>
      <c r="W6445" s="6"/>
      <c r="X6445" s="6"/>
      <c r="Y6445" s="6"/>
      <c r="Z6445" s="6"/>
      <c r="AA6445" s="6" t="s">
        <v>274</v>
      </c>
      <c r="AB6445" s="8"/>
      <c r="AC6445" s="27">
        <v>9785160115238</v>
      </c>
    </row>
    <row r="6446" spans="1:29" s="4" customFormat="1" ht="51.9" customHeight="1" x14ac:dyDescent="0.2">
      <c r="A6446" s="5">
        <v>0</v>
      </c>
      <c r="B6446" s="6" t="s">
        <v>36625</v>
      </c>
      <c r="C6446" s="7">
        <v>1432.8</v>
      </c>
      <c r="D6446" s="8" t="s">
        <v>36626</v>
      </c>
      <c r="E6446" s="8" t="s">
        <v>36627</v>
      </c>
      <c r="F6446" s="8" t="s">
        <v>11412</v>
      </c>
      <c r="G6446" s="6" t="s">
        <v>118</v>
      </c>
      <c r="H6446" s="6" t="s">
        <v>34</v>
      </c>
      <c r="I6446" s="8" t="s">
        <v>271</v>
      </c>
      <c r="J6446" s="9">
        <v>1</v>
      </c>
      <c r="K6446" s="9">
        <v>265</v>
      </c>
      <c r="L6446" s="9">
        <v>2023</v>
      </c>
      <c r="M6446" s="8" t="s">
        <v>36628</v>
      </c>
      <c r="N6446" s="8" t="s">
        <v>37</v>
      </c>
      <c r="O6446" s="8" t="s">
        <v>233</v>
      </c>
      <c r="P6446" s="6" t="s">
        <v>51</v>
      </c>
      <c r="Q6446" s="8" t="s">
        <v>52</v>
      </c>
      <c r="R6446" s="10" t="s">
        <v>1993</v>
      </c>
      <c r="S6446" s="11" t="s">
        <v>36629</v>
      </c>
      <c r="T6446" s="6"/>
      <c r="U6446" s="15" t="str">
        <f>HYPERLINK("https://media.infra-m.ru/2006/2006043/cover/2006043.jpg", "Обложка")</f>
        <v>Обложка</v>
      </c>
      <c r="V6446" s="8" t="s">
        <v>1425</v>
      </c>
      <c r="W6446" s="6"/>
      <c r="X6446" s="6"/>
      <c r="Y6446" s="6"/>
      <c r="Z6446" s="6"/>
      <c r="AA6446" s="6" t="s">
        <v>86</v>
      </c>
      <c r="AB6446" s="8"/>
      <c r="AC6446" s="27">
        <v>9785160130866</v>
      </c>
    </row>
    <row r="6447" spans="1:29" s="4" customFormat="1" ht="51.9" customHeight="1" x14ac:dyDescent="0.2">
      <c r="A6447" s="5">
        <v>0</v>
      </c>
      <c r="B6447" s="6" t="s">
        <v>36630</v>
      </c>
      <c r="C6447" s="7">
        <v>1140</v>
      </c>
      <c r="D6447" s="8" t="s">
        <v>36631</v>
      </c>
      <c r="E6447" s="8" t="s">
        <v>36632</v>
      </c>
      <c r="F6447" s="8" t="s">
        <v>36633</v>
      </c>
      <c r="G6447" s="6" t="s">
        <v>60</v>
      </c>
      <c r="H6447" s="6" t="s">
        <v>34</v>
      </c>
      <c r="I6447" s="8" t="s">
        <v>5350</v>
      </c>
      <c r="J6447" s="9">
        <v>1</v>
      </c>
      <c r="K6447" s="9">
        <v>218</v>
      </c>
      <c r="L6447" s="9">
        <v>2022</v>
      </c>
      <c r="M6447" s="8" t="s">
        <v>36634</v>
      </c>
      <c r="N6447" s="8" t="s">
        <v>37</v>
      </c>
      <c r="O6447" s="8" t="s">
        <v>233</v>
      </c>
      <c r="P6447" s="6" t="s">
        <v>51</v>
      </c>
      <c r="Q6447" s="8" t="s">
        <v>377</v>
      </c>
      <c r="R6447" s="10" t="s">
        <v>16374</v>
      </c>
      <c r="S6447" s="11" t="s">
        <v>36635</v>
      </c>
      <c r="T6447" s="6"/>
      <c r="U6447" s="15" t="str">
        <f>HYPERLINK("https://media.infra-m.ru/1474/1474226/cover/1474226.jpg", "Обложка")</f>
        <v>Обложка</v>
      </c>
      <c r="V6447" s="8" t="s">
        <v>2035</v>
      </c>
      <c r="W6447" s="6"/>
      <c r="X6447" s="6"/>
      <c r="Y6447" s="6"/>
      <c r="Z6447" s="6"/>
      <c r="AA6447" s="6" t="s">
        <v>148</v>
      </c>
      <c r="AB6447" s="8"/>
      <c r="AC6447" s="27">
        <v>9785160169934</v>
      </c>
    </row>
    <row r="6448" spans="1:29" s="4" customFormat="1" ht="44.1" customHeight="1" x14ac:dyDescent="0.2">
      <c r="A6448" s="5">
        <v>0</v>
      </c>
      <c r="B6448" s="6" t="s">
        <v>36636</v>
      </c>
      <c r="C6448" s="7">
        <v>1132.8</v>
      </c>
      <c r="D6448" s="8" t="s">
        <v>36637</v>
      </c>
      <c r="E6448" s="8" t="s">
        <v>36638</v>
      </c>
      <c r="F6448" s="8" t="s">
        <v>1965</v>
      </c>
      <c r="G6448" s="6" t="s">
        <v>33</v>
      </c>
      <c r="H6448" s="6" t="s">
        <v>34</v>
      </c>
      <c r="I6448" s="8" t="s">
        <v>35</v>
      </c>
      <c r="J6448" s="9">
        <v>1</v>
      </c>
      <c r="K6448" s="9">
        <v>172</v>
      </c>
      <c r="L6448" s="9">
        <v>2026</v>
      </c>
      <c r="M6448" s="8" t="s">
        <v>36639</v>
      </c>
      <c r="N6448" s="8" t="s">
        <v>63</v>
      </c>
      <c r="O6448" s="8" t="s">
        <v>64</v>
      </c>
      <c r="P6448" s="6" t="s">
        <v>39</v>
      </c>
      <c r="Q6448" s="8" t="s">
        <v>40</v>
      </c>
      <c r="R6448" s="10" t="s">
        <v>24191</v>
      </c>
      <c r="S6448" s="11"/>
      <c r="T6448" s="6"/>
      <c r="U6448" s="15" t="str">
        <f>HYPERLINK("https://media.infra-m.ru/2239/2239124/cover/2239124.jpg", "Обложка")</f>
        <v>Обложка</v>
      </c>
      <c r="V6448" s="8" t="s">
        <v>1599</v>
      </c>
      <c r="W6448" s="6"/>
      <c r="X6448" s="6"/>
      <c r="Y6448" s="6"/>
      <c r="Z6448" s="6"/>
      <c r="AA6448" s="6" t="s">
        <v>86</v>
      </c>
      <c r="AB6448" s="8"/>
      <c r="AC6448" s="27">
        <v>9785160128429</v>
      </c>
    </row>
    <row r="6449" spans="1:29" s="4" customFormat="1" ht="51.9" customHeight="1" x14ac:dyDescent="0.2">
      <c r="A6449" s="5">
        <v>0</v>
      </c>
      <c r="B6449" s="6" t="s">
        <v>36640</v>
      </c>
      <c r="C6449" s="7">
        <v>3180</v>
      </c>
      <c r="D6449" s="8" t="s">
        <v>36641</v>
      </c>
      <c r="E6449" s="8" t="s">
        <v>36642</v>
      </c>
      <c r="F6449" s="8" t="s">
        <v>36643</v>
      </c>
      <c r="G6449" s="6" t="s">
        <v>60</v>
      </c>
      <c r="H6449" s="6" t="s">
        <v>34</v>
      </c>
      <c r="I6449" s="8" t="s">
        <v>253</v>
      </c>
      <c r="J6449" s="9">
        <v>1</v>
      </c>
      <c r="K6449" s="9">
        <v>481</v>
      </c>
      <c r="L6449" s="9">
        <v>2026</v>
      </c>
      <c r="M6449" s="8" t="s">
        <v>36644</v>
      </c>
      <c r="N6449" s="8" t="s">
        <v>37</v>
      </c>
      <c r="O6449" s="8" t="s">
        <v>233</v>
      </c>
      <c r="P6449" s="6" t="s">
        <v>51</v>
      </c>
      <c r="Q6449" s="8" t="s">
        <v>52</v>
      </c>
      <c r="R6449" s="10" t="s">
        <v>36645</v>
      </c>
      <c r="S6449" s="11" t="s">
        <v>36646</v>
      </c>
      <c r="T6449" s="6"/>
      <c r="U6449" s="15" t="str">
        <f>HYPERLINK("https://media.infra-m.ru/2242/2242245/cover/2242245.jpg", "Обложка")</f>
        <v>Обложка</v>
      </c>
      <c r="V6449" s="8" t="s">
        <v>3087</v>
      </c>
      <c r="W6449" s="6"/>
      <c r="X6449" s="6"/>
      <c r="Y6449" s="6"/>
      <c r="Z6449" s="6"/>
      <c r="AA6449" s="6" t="s">
        <v>5639</v>
      </c>
      <c r="AB6449" s="8"/>
      <c r="AC6449" s="27">
        <v>9785160207155</v>
      </c>
    </row>
    <row r="6450" spans="1:29" s="4" customFormat="1" ht="42" customHeight="1" x14ac:dyDescent="0.2">
      <c r="A6450" s="5">
        <v>0</v>
      </c>
      <c r="B6450" s="6" t="s">
        <v>36647</v>
      </c>
      <c r="C6450" s="7">
        <v>1584</v>
      </c>
      <c r="D6450" s="8" t="s">
        <v>36648</v>
      </c>
      <c r="E6450" s="8" t="s">
        <v>36649</v>
      </c>
      <c r="F6450" s="8" t="s">
        <v>36650</v>
      </c>
      <c r="G6450" s="6" t="s">
        <v>60</v>
      </c>
      <c r="H6450" s="6" t="s">
        <v>34</v>
      </c>
      <c r="I6450" s="8" t="s">
        <v>1074</v>
      </c>
      <c r="J6450" s="9">
        <v>1</v>
      </c>
      <c r="K6450" s="9">
        <v>264</v>
      </c>
      <c r="L6450" s="9">
        <v>2024</v>
      </c>
      <c r="M6450" s="8" t="s">
        <v>36651</v>
      </c>
      <c r="N6450" s="8" t="s">
        <v>37</v>
      </c>
      <c r="O6450" s="8" t="s">
        <v>136</v>
      </c>
      <c r="P6450" s="6" t="s">
        <v>39</v>
      </c>
      <c r="Q6450" s="8" t="s">
        <v>40</v>
      </c>
      <c r="R6450" s="10" t="s">
        <v>684</v>
      </c>
      <c r="S6450" s="11"/>
      <c r="T6450" s="6"/>
      <c r="U6450" s="15" t="str">
        <f>HYPERLINK("https://media.infra-m.ru/2134/2134598/cover/2134598.jpg", "Обложка")</f>
        <v>Обложка</v>
      </c>
      <c r="V6450" s="8" t="s">
        <v>138</v>
      </c>
      <c r="W6450" s="6"/>
      <c r="X6450" s="6"/>
      <c r="Y6450" s="6"/>
      <c r="Z6450" s="6"/>
      <c r="AA6450" s="6" t="s">
        <v>76</v>
      </c>
      <c r="AB6450" s="8"/>
      <c r="AC6450" s="27">
        <v>9785160197364</v>
      </c>
    </row>
    <row r="6451" spans="1:29" s="4" customFormat="1" ht="51.9" customHeight="1" x14ac:dyDescent="0.2">
      <c r="A6451" s="5">
        <v>0</v>
      </c>
      <c r="B6451" s="6" t="s">
        <v>36652</v>
      </c>
      <c r="C6451" s="13">
        <v>761.9</v>
      </c>
      <c r="D6451" s="8" t="s">
        <v>36653</v>
      </c>
      <c r="E6451" s="8" t="s">
        <v>36654</v>
      </c>
      <c r="F6451" s="8" t="s">
        <v>36655</v>
      </c>
      <c r="G6451" s="6" t="s">
        <v>33</v>
      </c>
      <c r="H6451" s="6" t="s">
        <v>313</v>
      </c>
      <c r="I6451" s="8" t="s">
        <v>35</v>
      </c>
      <c r="J6451" s="9">
        <v>1</v>
      </c>
      <c r="K6451" s="9">
        <v>179</v>
      </c>
      <c r="L6451" s="9">
        <v>2020</v>
      </c>
      <c r="M6451" s="8" t="s">
        <v>36656</v>
      </c>
      <c r="N6451" s="8" t="s">
        <v>37</v>
      </c>
      <c r="O6451" s="8" t="s">
        <v>233</v>
      </c>
      <c r="P6451" s="6" t="s">
        <v>39</v>
      </c>
      <c r="Q6451" s="8" t="s">
        <v>40</v>
      </c>
      <c r="R6451" s="10" t="s">
        <v>34679</v>
      </c>
      <c r="S6451" s="11"/>
      <c r="T6451" s="6" t="s">
        <v>97</v>
      </c>
      <c r="U6451" s="15" t="str">
        <f>HYPERLINK("https://media.infra-m.ru/1048/1048441/cover/1048441.jpg", "Обложка")</f>
        <v>Обложка</v>
      </c>
      <c r="V6451" s="8" t="s">
        <v>24424</v>
      </c>
      <c r="W6451" s="6"/>
      <c r="X6451" s="6"/>
      <c r="Y6451" s="6"/>
      <c r="Z6451" s="6"/>
      <c r="AA6451" s="6" t="s">
        <v>99</v>
      </c>
      <c r="AB6451" s="8"/>
      <c r="AC6451" s="27">
        <v>9785369016374</v>
      </c>
    </row>
    <row r="6452" spans="1:29" s="4" customFormat="1" ht="51.9" customHeight="1" x14ac:dyDescent="0.2">
      <c r="A6452" s="5">
        <v>0</v>
      </c>
      <c r="B6452" s="6" t="s">
        <v>36657</v>
      </c>
      <c r="C6452" s="7">
        <v>1536</v>
      </c>
      <c r="D6452" s="8" t="s">
        <v>36658</v>
      </c>
      <c r="E6452" s="8" t="s">
        <v>36659</v>
      </c>
      <c r="F6452" s="8" t="s">
        <v>1574</v>
      </c>
      <c r="G6452" s="6" t="s">
        <v>60</v>
      </c>
      <c r="H6452" s="6" t="s">
        <v>34</v>
      </c>
      <c r="I6452" s="8" t="s">
        <v>3119</v>
      </c>
      <c r="J6452" s="9">
        <v>1</v>
      </c>
      <c r="K6452" s="9">
        <v>258</v>
      </c>
      <c r="L6452" s="9">
        <v>2025</v>
      </c>
      <c r="M6452" s="8" t="s">
        <v>36660</v>
      </c>
      <c r="N6452" s="8" t="s">
        <v>37</v>
      </c>
      <c r="O6452" s="8" t="s">
        <v>233</v>
      </c>
      <c r="P6452" s="6" t="s">
        <v>51</v>
      </c>
      <c r="Q6452" s="8" t="s">
        <v>65</v>
      </c>
      <c r="R6452" s="10" t="s">
        <v>36661</v>
      </c>
      <c r="S6452" s="11"/>
      <c r="T6452" s="6"/>
      <c r="U6452" s="15" t="str">
        <f>HYPERLINK("https://media.infra-m.ru/2105/2105262/cover/2105262.jpg", "Обложка")</f>
        <v>Обложка</v>
      </c>
      <c r="V6452" s="8" t="s">
        <v>396</v>
      </c>
      <c r="W6452" s="6"/>
      <c r="X6452" s="6"/>
      <c r="Y6452" s="6"/>
      <c r="Z6452" s="6"/>
      <c r="AA6452" s="6" t="s">
        <v>68</v>
      </c>
      <c r="AB6452" s="8"/>
      <c r="AC6452" s="27">
        <v>9785160193076</v>
      </c>
    </row>
    <row r="6453" spans="1:29" s="4" customFormat="1" ht="51.9" customHeight="1" x14ac:dyDescent="0.2">
      <c r="A6453" s="5">
        <v>0</v>
      </c>
      <c r="B6453" s="6" t="s">
        <v>36662</v>
      </c>
      <c r="C6453" s="7">
        <v>1732.8</v>
      </c>
      <c r="D6453" s="8" t="s">
        <v>36663</v>
      </c>
      <c r="E6453" s="8" t="s">
        <v>36664</v>
      </c>
      <c r="F6453" s="8" t="s">
        <v>36665</v>
      </c>
      <c r="G6453" s="6" t="s">
        <v>118</v>
      </c>
      <c r="H6453" s="6" t="s">
        <v>34</v>
      </c>
      <c r="I6453" s="8" t="s">
        <v>271</v>
      </c>
      <c r="J6453" s="9">
        <v>1</v>
      </c>
      <c r="K6453" s="9">
        <v>289</v>
      </c>
      <c r="L6453" s="9">
        <v>2025</v>
      </c>
      <c r="M6453" s="8" t="s">
        <v>36666</v>
      </c>
      <c r="N6453" s="8" t="s">
        <v>37</v>
      </c>
      <c r="O6453" s="8" t="s">
        <v>233</v>
      </c>
      <c r="P6453" s="6" t="s">
        <v>51</v>
      </c>
      <c r="Q6453" s="8" t="s">
        <v>52</v>
      </c>
      <c r="R6453" s="10" t="s">
        <v>36667</v>
      </c>
      <c r="S6453" s="11" t="s">
        <v>36668</v>
      </c>
      <c r="T6453" s="6"/>
      <c r="U6453" s="15" t="str">
        <f>HYPERLINK("https://media.infra-m.ru/2188/2188711/cover/2188711.jpg", "Обложка")</f>
        <v>Обложка</v>
      </c>
      <c r="V6453" s="8" t="s">
        <v>1425</v>
      </c>
      <c r="W6453" s="6"/>
      <c r="X6453" s="6"/>
      <c r="Y6453" s="6"/>
      <c r="Z6453" s="6"/>
      <c r="AA6453" s="6" t="s">
        <v>623</v>
      </c>
      <c r="AB6453" s="8"/>
      <c r="AC6453" s="27">
        <v>9785160108773</v>
      </c>
    </row>
    <row r="6454" spans="1:29" s="4" customFormat="1" ht="51.9" customHeight="1" x14ac:dyDescent="0.2">
      <c r="A6454" s="5">
        <v>0</v>
      </c>
      <c r="B6454" s="6" t="s">
        <v>36669</v>
      </c>
      <c r="C6454" s="7">
        <v>2196</v>
      </c>
      <c r="D6454" s="8" t="s">
        <v>36670</v>
      </c>
      <c r="E6454" s="8" t="s">
        <v>36671</v>
      </c>
      <c r="F6454" s="8" t="s">
        <v>36672</v>
      </c>
      <c r="G6454" s="6" t="s">
        <v>118</v>
      </c>
      <c r="H6454" s="6" t="s">
        <v>34</v>
      </c>
      <c r="I6454" s="8" t="s">
        <v>253</v>
      </c>
      <c r="J6454" s="9">
        <v>1</v>
      </c>
      <c r="K6454" s="9">
        <v>366</v>
      </c>
      <c r="L6454" s="9">
        <v>2025</v>
      </c>
      <c r="M6454" s="8" t="s">
        <v>36673</v>
      </c>
      <c r="N6454" s="8" t="s">
        <v>37</v>
      </c>
      <c r="O6454" s="8" t="s">
        <v>233</v>
      </c>
      <c r="P6454" s="6" t="s">
        <v>306</v>
      </c>
      <c r="Q6454" s="8" t="s">
        <v>52</v>
      </c>
      <c r="R6454" s="10" t="s">
        <v>18496</v>
      </c>
      <c r="S6454" s="11" t="s">
        <v>36674</v>
      </c>
      <c r="T6454" s="6"/>
      <c r="U6454" s="15" t="str">
        <f>HYPERLINK("https://media.infra-m.ru/2169/2169229/cover/2169229.jpg", "Обложка")</f>
        <v>Обложка</v>
      </c>
      <c r="V6454" s="8" t="s">
        <v>1505</v>
      </c>
      <c r="W6454" s="6"/>
      <c r="X6454" s="6"/>
      <c r="Y6454" s="6"/>
      <c r="Z6454" s="6"/>
      <c r="AA6454" s="6" t="s">
        <v>1256</v>
      </c>
      <c r="AB6454" s="8"/>
      <c r="AC6454" s="27">
        <v>9785160201559</v>
      </c>
    </row>
    <row r="6455" spans="1:29" s="4" customFormat="1" ht="42" customHeight="1" x14ac:dyDescent="0.2">
      <c r="A6455" s="5">
        <v>0</v>
      </c>
      <c r="B6455" s="6" t="s">
        <v>36675</v>
      </c>
      <c r="C6455" s="7">
        <v>2616</v>
      </c>
      <c r="D6455" s="8" t="s">
        <v>36676</v>
      </c>
      <c r="E6455" s="8" t="s">
        <v>36677</v>
      </c>
      <c r="F6455" s="8" t="s">
        <v>36678</v>
      </c>
      <c r="G6455" s="6" t="s">
        <v>118</v>
      </c>
      <c r="H6455" s="6" t="s">
        <v>34</v>
      </c>
      <c r="I6455" s="8" t="s">
        <v>35</v>
      </c>
      <c r="J6455" s="9">
        <v>1</v>
      </c>
      <c r="K6455" s="9">
        <v>380</v>
      </c>
      <c r="L6455" s="9">
        <v>2026</v>
      </c>
      <c r="M6455" s="8" t="s">
        <v>36679</v>
      </c>
      <c r="N6455" s="8" t="s">
        <v>37</v>
      </c>
      <c r="O6455" s="8" t="s">
        <v>233</v>
      </c>
      <c r="P6455" s="6" t="s">
        <v>39</v>
      </c>
      <c r="Q6455" s="8" t="s">
        <v>40</v>
      </c>
      <c r="R6455" s="10" t="s">
        <v>36680</v>
      </c>
      <c r="S6455" s="11"/>
      <c r="T6455" s="6"/>
      <c r="U6455" s="15" t="str">
        <f>HYPERLINK("https://media.infra-m.ru/2219/2219009/cover/2219009.jpg", "Обложка")</f>
        <v>Обложка</v>
      </c>
      <c r="V6455" s="8" t="s">
        <v>3177</v>
      </c>
      <c r="W6455" s="6"/>
      <c r="X6455" s="6"/>
      <c r="Y6455" s="6"/>
      <c r="Z6455" s="6"/>
      <c r="AA6455" s="6" t="s">
        <v>76</v>
      </c>
      <c r="AB6455" s="8"/>
      <c r="AC6455" s="27">
        <v>9785160207360</v>
      </c>
    </row>
    <row r="6456" spans="1:29" s="4" customFormat="1" ht="51.9" customHeight="1" x14ac:dyDescent="0.2">
      <c r="A6456" s="5">
        <v>0</v>
      </c>
      <c r="B6456" s="6" t="s">
        <v>36681</v>
      </c>
      <c r="C6456" s="7">
        <v>2592</v>
      </c>
      <c r="D6456" s="8" t="s">
        <v>36682</v>
      </c>
      <c r="E6456" s="8" t="s">
        <v>36671</v>
      </c>
      <c r="F6456" s="8" t="s">
        <v>36683</v>
      </c>
      <c r="G6456" s="6" t="s">
        <v>60</v>
      </c>
      <c r="H6456" s="6" t="s">
        <v>34</v>
      </c>
      <c r="I6456" s="8" t="s">
        <v>253</v>
      </c>
      <c r="J6456" s="9">
        <v>1</v>
      </c>
      <c r="K6456" s="9">
        <v>469</v>
      </c>
      <c r="L6456" s="9">
        <v>2024</v>
      </c>
      <c r="M6456" s="8" t="s">
        <v>36684</v>
      </c>
      <c r="N6456" s="8" t="s">
        <v>37</v>
      </c>
      <c r="O6456" s="8" t="s">
        <v>233</v>
      </c>
      <c r="P6456" s="6" t="s">
        <v>306</v>
      </c>
      <c r="Q6456" s="8" t="s">
        <v>52</v>
      </c>
      <c r="R6456" s="10" t="s">
        <v>3008</v>
      </c>
      <c r="S6456" s="11" t="s">
        <v>36685</v>
      </c>
      <c r="T6456" s="6"/>
      <c r="U6456" s="15" t="str">
        <f>HYPERLINK("https://media.infra-m.ru/2079/2079696/cover/2079696.jpg", "Обложка")</f>
        <v>Обложка</v>
      </c>
      <c r="V6456" s="8" t="s">
        <v>1768</v>
      </c>
      <c r="W6456" s="6"/>
      <c r="X6456" s="6"/>
      <c r="Y6456" s="6"/>
      <c r="Z6456" s="6"/>
      <c r="AA6456" s="6" t="s">
        <v>779</v>
      </c>
      <c r="AB6456" s="8"/>
      <c r="AC6456" s="27">
        <v>9785160190990</v>
      </c>
    </row>
    <row r="6457" spans="1:29" s="4" customFormat="1" ht="51.9" customHeight="1" x14ac:dyDescent="0.2">
      <c r="A6457" s="5">
        <v>0</v>
      </c>
      <c r="B6457" s="6" t="s">
        <v>36686</v>
      </c>
      <c r="C6457" s="7">
        <v>2500.8000000000002</v>
      </c>
      <c r="D6457" s="8" t="s">
        <v>36687</v>
      </c>
      <c r="E6457" s="8" t="s">
        <v>36671</v>
      </c>
      <c r="F6457" s="8" t="s">
        <v>36688</v>
      </c>
      <c r="G6457" s="6" t="s">
        <v>60</v>
      </c>
      <c r="H6457" s="6" t="s">
        <v>1795</v>
      </c>
      <c r="I6457" s="8" t="s">
        <v>1904</v>
      </c>
      <c r="J6457" s="9">
        <v>1</v>
      </c>
      <c r="K6457" s="9">
        <v>400</v>
      </c>
      <c r="L6457" s="9">
        <v>2025</v>
      </c>
      <c r="M6457" s="8" t="s">
        <v>36689</v>
      </c>
      <c r="N6457" s="8" t="s">
        <v>37</v>
      </c>
      <c r="O6457" s="8" t="s">
        <v>233</v>
      </c>
      <c r="P6457" s="6" t="s">
        <v>51</v>
      </c>
      <c r="Q6457" s="8" t="s">
        <v>52</v>
      </c>
      <c r="R6457" s="10" t="s">
        <v>36690</v>
      </c>
      <c r="S6457" s="11" t="s">
        <v>36691</v>
      </c>
      <c r="T6457" s="6" t="s">
        <v>97</v>
      </c>
      <c r="U6457" s="15" t="str">
        <f>HYPERLINK("https://media.infra-m.ru/2194/2194372/cover/2194372.jpg", "Обложка")</f>
        <v>Обложка</v>
      </c>
      <c r="V6457" s="8" t="s">
        <v>396</v>
      </c>
      <c r="W6457" s="6"/>
      <c r="X6457" s="6"/>
      <c r="Y6457" s="6"/>
      <c r="Z6457" s="6"/>
      <c r="AA6457" s="6" t="s">
        <v>248</v>
      </c>
      <c r="AB6457" s="8"/>
      <c r="AC6457" s="27">
        <v>9785982813886</v>
      </c>
    </row>
    <row r="6458" spans="1:29" s="4" customFormat="1" ht="42" customHeight="1" x14ac:dyDescent="0.2">
      <c r="A6458" s="5">
        <v>0</v>
      </c>
      <c r="B6458" s="6" t="s">
        <v>36692</v>
      </c>
      <c r="C6458" s="7">
        <v>1241.9000000000001</v>
      </c>
      <c r="D6458" s="8" t="s">
        <v>36693</v>
      </c>
      <c r="E6458" s="8" t="s">
        <v>36671</v>
      </c>
      <c r="F6458" s="8" t="s">
        <v>36694</v>
      </c>
      <c r="G6458" s="6" t="s">
        <v>60</v>
      </c>
      <c r="H6458" s="6" t="s">
        <v>313</v>
      </c>
      <c r="I6458" s="8" t="s">
        <v>253</v>
      </c>
      <c r="J6458" s="9">
        <v>1</v>
      </c>
      <c r="K6458" s="9">
        <v>304</v>
      </c>
      <c r="L6458" s="9">
        <v>2020</v>
      </c>
      <c r="M6458" s="8" t="s">
        <v>36695</v>
      </c>
      <c r="N6458" s="8" t="s">
        <v>37</v>
      </c>
      <c r="O6458" s="8" t="s">
        <v>233</v>
      </c>
      <c r="P6458" s="6" t="s">
        <v>51</v>
      </c>
      <c r="Q6458" s="8" t="s">
        <v>52</v>
      </c>
      <c r="R6458" s="10" t="s">
        <v>3516</v>
      </c>
      <c r="S6458" s="11"/>
      <c r="T6458" s="6" t="s">
        <v>97</v>
      </c>
      <c r="U6458" s="15" t="str">
        <f>HYPERLINK("https://media.infra-m.ru/1052/1052188/cover/1052188.jpg", "Обложка")</f>
        <v>Обложка</v>
      </c>
      <c r="V6458" s="8" t="s">
        <v>36696</v>
      </c>
      <c r="W6458" s="6"/>
      <c r="X6458" s="6"/>
      <c r="Y6458" s="6"/>
      <c r="Z6458" s="6"/>
      <c r="AA6458" s="6" t="s">
        <v>779</v>
      </c>
      <c r="AB6458" s="8"/>
      <c r="AC6458" s="27">
        <v>9785369015537</v>
      </c>
    </row>
    <row r="6459" spans="1:29" s="4" customFormat="1" ht="51.9" customHeight="1" x14ac:dyDescent="0.2">
      <c r="A6459" s="5">
        <v>0</v>
      </c>
      <c r="B6459" s="6" t="s">
        <v>36697</v>
      </c>
      <c r="C6459" s="7">
        <v>1108.8</v>
      </c>
      <c r="D6459" s="8" t="s">
        <v>36698</v>
      </c>
      <c r="E6459" s="8" t="s">
        <v>36699</v>
      </c>
      <c r="F6459" s="8" t="s">
        <v>7525</v>
      </c>
      <c r="G6459" s="6" t="s">
        <v>118</v>
      </c>
      <c r="H6459" s="6" t="s">
        <v>34</v>
      </c>
      <c r="I6459" s="8" t="s">
        <v>271</v>
      </c>
      <c r="J6459" s="9">
        <v>1</v>
      </c>
      <c r="K6459" s="9">
        <v>177</v>
      </c>
      <c r="L6459" s="9">
        <v>2025</v>
      </c>
      <c r="M6459" s="8" t="s">
        <v>36700</v>
      </c>
      <c r="N6459" s="8" t="s">
        <v>585</v>
      </c>
      <c r="O6459" s="8" t="s">
        <v>775</v>
      </c>
      <c r="P6459" s="6" t="s">
        <v>51</v>
      </c>
      <c r="Q6459" s="8" t="s">
        <v>52</v>
      </c>
      <c r="R6459" s="10" t="s">
        <v>21637</v>
      </c>
      <c r="S6459" s="11" t="s">
        <v>36701</v>
      </c>
      <c r="T6459" s="6"/>
      <c r="U6459" s="15" t="str">
        <f>HYPERLINK("https://media.infra-m.ru/2196/2196135/cover/2196135.jpg", "Обложка")</f>
        <v>Обложка</v>
      </c>
      <c r="V6459" s="8" t="s">
        <v>7502</v>
      </c>
      <c r="W6459" s="6"/>
      <c r="X6459" s="6"/>
      <c r="Y6459" s="6"/>
      <c r="Z6459" s="6"/>
      <c r="AA6459" s="6" t="s">
        <v>404</v>
      </c>
      <c r="AB6459" s="8"/>
      <c r="AC6459" s="27">
        <v>9785160130859</v>
      </c>
    </row>
    <row r="6460" spans="1:29" s="4" customFormat="1" ht="51.9" customHeight="1" x14ac:dyDescent="0.2">
      <c r="A6460" s="5">
        <v>0</v>
      </c>
      <c r="B6460" s="6" t="s">
        <v>36702</v>
      </c>
      <c r="C6460" s="7">
        <v>1313.9</v>
      </c>
      <c r="D6460" s="8" t="s">
        <v>36703</v>
      </c>
      <c r="E6460" s="8" t="s">
        <v>36704</v>
      </c>
      <c r="F6460" s="8" t="s">
        <v>36705</v>
      </c>
      <c r="G6460" s="6" t="s">
        <v>60</v>
      </c>
      <c r="H6460" s="6" t="s">
        <v>34</v>
      </c>
      <c r="I6460" s="8" t="s">
        <v>271</v>
      </c>
      <c r="J6460" s="9">
        <v>1</v>
      </c>
      <c r="K6460" s="9">
        <v>288</v>
      </c>
      <c r="L6460" s="9">
        <v>2022</v>
      </c>
      <c r="M6460" s="8" t="s">
        <v>36706</v>
      </c>
      <c r="N6460" s="8" t="s">
        <v>37</v>
      </c>
      <c r="O6460" s="8" t="s">
        <v>280</v>
      </c>
      <c r="P6460" s="6" t="s">
        <v>306</v>
      </c>
      <c r="Q6460" s="8" t="s">
        <v>52</v>
      </c>
      <c r="R6460" s="10" t="s">
        <v>36707</v>
      </c>
      <c r="S6460" s="11" t="s">
        <v>36708</v>
      </c>
      <c r="T6460" s="6"/>
      <c r="U6460" s="15" t="str">
        <f>HYPERLINK("https://media.infra-m.ru/1840/1840935/cover/1840935.jpg", "Обложка")</f>
        <v>Обложка</v>
      </c>
      <c r="V6460" s="8" t="s">
        <v>18741</v>
      </c>
      <c r="W6460" s="6"/>
      <c r="X6460" s="6"/>
      <c r="Y6460" s="6"/>
      <c r="Z6460" s="6"/>
      <c r="AA6460" s="6" t="s">
        <v>55</v>
      </c>
      <c r="AB6460" s="8"/>
      <c r="AC6460" s="27">
        <v>9785160056623</v>
      </c>
    </row>
    <row r="6461" spans="1:29" s="4" customFormat="1" ht="42" customHeight="1" x14ac:dyDescent="0.2">
      <c r="A6461" s="5">
        <v>0</v>
      </c>
      <c r="B6461" s="6" t="s">
        <v>36709</v>
      </c>
      <c r="C6461" s="7">
        <v>1080</v>
      </c>
      <c r="D6461" s="8" t="s">
        <v>36710</v>
      </c>
      <c r="E6461" s="8" t="s">
        <v>36711</v>
      </c>
      <c r="F6461" s="8" t="s">
        <v>36712</v>
      </c>
      <c r="G6461" s="6" t="s">
        <v>33</v>
      </c>
      <c r="H6461" s="6" t="s">
        <v>34</v>
      </c>
      <c r="I6461" s="8"/>
      <c r="J6461" s="9">
        <v>1</v>
      </c>
      <c r="K6461" s="9">
        <v>134</v>
      </c>
      <c r="L6461" s="9">
        <v>2026</v>
      </c>
      <c r="M6461" s="8" t="s">
        <v>36713</v>
      </c>
      <c r="N6461" s="8" t="s">
        <v>37</v>
      </c>
      <c r="O6461" s="8" t="s">
        <v>233</v>
      </c>
      <c r="P6461" s="6" t="s">
        <v>51</v>
      </c>
      <c r="Q6461" s="8"/>
      <c r="R6461" s="10" t="s">
        <v>25096</v>
      </c>
      <c r="S6461" s="11"/>
      <c r="T6461" s="6"/>
      <c r="U6461" s="15" t="str">
        <f>HYPERLINK("https://media.infra-m.ru/2224/2224417/cover/2224417.jpg", "Обложка")</f>
        <v>Обложка</v>
      </c>
      <c r="V6461" s="8" t="s">
        <v>1647</v>
      </c>
      <c r="W6461" s="6" t="s">
        <v>342</v>
      </c>
      <c r="X6461" s="6"/>
      <c r="Y6461" s="6"/>
      <c r="Z6461" s="6"/>
      <c r="AA6461" s="6" t="s">
        <v>650</v>
      </c>
      <c r="AB6461" s="8"/>
      <c r="AC6461" s="27">
        <v>9785160214382</v>
      </c>
    </row>
    <row r="6462" spans="1:29" s="4" customFormat="1" ht="51.9" customHeight="1" x14ac:dyDescent="0.2">
      <c r="A6462" s="5">
        <v>0</v>
      </c>
      <c r="B6462" s="6" t="s">
        <v>36714</v>
      </c>
      <c r="C6462" s="7">
        <v>2008.8</v>
      </c>
      <c r="D6462" s="8" t="s">
        <v>36715</v>
      </c>
      <c r="E6462" s="8" t="s">
        <v>36716</v>
      </c>
      <c r="F6462" s="8" t="s">
        <v>21165</v>
      </c>
      <c r="G6462" s="6" t="s">
        <v>60</v>
      </c>
      <c r="H6462" s="6" t="s">
        <v>34</v>
      </c>
      <c r="I6462" s="8" t="s">
        <v>253</v>
      </c>
      <c r="J6462" s="9">
        <v>1</v>
      </c>
      <c r="K6462" s="9">
        <v>305</v>
      </c>
      <c r="L6462" s="9">
        <v>2026</v>
      </c>
      <c r="M6462" s="8" t="s">
        <v>36717</v>
      </c>
      <c r="N6462" s="8" t="s">
        <v>37</v>
      </c>
      <c r="O6462" s="8" t="s">
        <v>280</v>
      </c>
      <c r="P6462" s="6" t="s">
        <v>306</v>
      </c>
      <c r="Q6462" s="8" t="s">
        <v>52</v>
      </c>
      <c r="R6462" s="10" t="s">
        <v>36707</v>
      </c>
      <c r="S6462" s="11" t="s">
        <v>36718</v>
      </c>
      <c r="T6462" s="6"/>
      <c r="U6462" s="15" t="str">
        <f>HYPERLINK("https://media.infra-m.ru/2254/2254485/cover/2254485.jpg", "Обложка")</f>
        <v>Обложка</v>
      </c>
      <c r="V6462" s="8" t="s">
        <v>18741</v>
      </c>
      <c r="W6462" s="6"/>
      <c r="X6462" s="6"/>
      <c r="Y6462" s="6"/>
      <c r="Z6462" s="6"/>
      <c r="AA6462" s="6" t="s">
        <v>917</v>
      </c>
      <c r="AB6462" s="8"/>
      <c r="AC6462" s="27">
        <v>9785160199337</v>
      </c>
    </row>
    <row r="6463" spans="1:29" s="4" customFormat="1" ht="42" customHeight="1" x14ac:dyDescent="0.2">
      <c r="A6463" s="5">
        <v>0</v>
      </c>
      <c r="B6463" s="6" t="s">
        <v>36719</v>
      </c>
      <c r="C6463" s="13">
        <v>737.9</v>
      </c>
      <c r="D6463" s="8" t="s">
        <v>36720</v>
      </c>
      <c r="E6463" s="8" t="s">
        <v>36704</v>
      </c>
      <c r="F6463" s="8" t="s">
        <v>36712</v>
      </c>
      <c r="G6463" s="6" t="s">
        <v>33</v>
      </c>
      <c r="H6463" s="6" t="s">
        <v>1644</v>
      </c>
      <c r="I6463" s="8"/>
      <c r="J6463" s="9">
        <v>1</v>
      </c>
      <c r="K6463" s="9">
        <v>128</v>
      </c>
      <c r="L6463" s="9">
        <v>2022</v>
      </c>
      <c r="M6463" s="8" t="s">
        <v>36721</v>
      </c>
      <c r="N6463" s="8" t="s">
        <v>37</v>
      </c>
      <c r="O6463" s="8" t="s">
        <v>280</v>
      </c>
      <c r="P6463" s="6" t="s">
        <v>51</v>
      </c>
      <c r="Q6463" s="8" t="s">
        <v>52</v>
      </c>
      <c r="R6463" s="10" t="s">
        <v>3013</v>
      </c>
      <c r="S6463" s="11"/>
      <c r="T6463" s="6"/>
      <c r="U6463" s="15" t="str">
        <f>HYPERLINK("https://media.infra-m.ru/1864/1864119/cover/1864119.jpg", "Обложка")</f>
        <v>Обложка</v>
      </c>
      <c r="V6463" s="8" t="s">
        <v>1647</v>
      </c>
      <c r="W6463" s="6"/>
      <c r="X6463" s="6"/>
      <c r="Y6463" s="6"/>
      <c r="Z6463" s="6"/>
      <c r="AA6463" s="6" t="s">
        <v>1256</v>
      </c>
      <c r="AB6463" s="8"/>
      <c r="AC6463" s="27">
        <v>9785977605168</v>
      </c>
    </row>
    <row r="6464" spans="1:29" s="4" customFormat="1" ht="51.9" customHeight="1" x14ac:dyDescent="0.2">
      <c r="A6464" s="5">
        <v>0</v>
      </c>
      <c r="B6464" s="6" t="s">
        <v>36722</v>
      </c>
      <c r="C6464" s="7">
        <v>1488</v>
      </c>
      <c r="D6464" s="8" t="s">
        <v>36723</v>
      </c>
      <c r="E6464" s="8" t="s">
        <v>36704</v>
      </c>
      <c r="F6464" s="8" t="s">
        <v>36724</v>
      </c>
      <c r="G6464" s="6" t="s">
        <v>118</v>
      </c>
      <c r="H6464" s="6" t="s">
        <v>34</v>
      </c>
      <c r="I6464" s="8" t="s">
        <v>253</v>
      </c>
      <c r="J6464" s="9">
        <v>1</v>
      </c>
      <c r="K6464" s="9">
        <v>224</v>
      </c>
      <c r="L6464" s="9">
        <v>2026</v>
      </c>
      <c r="M6464" s="8" t="s">
        <v>36725</v>
      </c>
      <c r="N6464" s="8" t="s">
        <v>37</v>
      </c>
      <c r="O6464" s="8" t="s">
        <v>233</v>
      </c>
      <c r="P6464" s="6" t="s">
        <v>51</v>
      </c>
      <c r="Q6464" s="8" t="s">
        <v>52</v>
      </c>
      <c r="R6464" s="10" t="s">
        <v>2640</v>
      </c>
      <c r="S6464" s="11" t="s">
        <v>36726</v>
      </c>
      <c r="T6464" s="6" t="s">
        <v>97</v>
      </c>
      <c r="U6464" s="15" t="str">
        <f>HYPERLINK("https://media.infra-m.ru/2233/2233661/cover/2233661.jpg", "Обложка")</f>
        <v>Обложка</v>
      </c>
      <c r="V6464" s="8" t="s">
        <v>21052</v>
      </c>
      <c r="W6464" s="6"/>
      <c r="X6464" s="6"/>
      <c r="Y6464" s="6"/>
      <c r="Z6464" s="6"/>
      <c r="AA6464" s="6" t="s">
        <v>274</v>
      </c>
      <c r="AB6464" s="8"/>
      <c r="AC6464" s="27">
        <v>9785160221182</v>
      </c>
    </row>
    <row r="6465" spans="1:29" s="4" customFormat="1" ht="51.9" customHeight="1" x14ac:dyDescent="0.2">
      <c r="A6465" s="5">
        <v>0</v>
      </c>
      <c r="B6465" s="6" t="s">
        <v>36727</v>
      </c>
      <c r="C6465" s="13">
        <v>688.8</v>
      </c>
      <c r="D6465" s="8" t="s">
        <v>36728</v>
      </c>
      <c r="E6465" s="8" t="s">
        <v>36729</v>
      </c>
      <c r="F6465" s="8" t="s">
        <v>36730</v>
      </c>
      <c r="G6465" s="6" t="s">
        <v>33</v>
      </c>
      <c r="H6465" s="6" t="s">
        <v>34</v>
      </c>
      <c r="I6465" s="8" t="s">
        <v>271</v>
      </c>
      <c r="J6465" s="9">
        <v>1</v>
      </c>
      <c r="K6465" s="9">
        <v>127</v>
      </c>
      <c r="L6465" s="9">
        <v>2023</v>
      </c>
      <c r="M6465" s="8" t="s">
        <v>36731</v>
      </c>
      <c r="N6465" s="8" t="s">
        <v>37</v>
      </c>
      <c r="O6465" s="8" t="s">
        <v>280</v>
      </c>
      <c r="P6465" s="6" t="s">
        <v>51</v>
      </c>
      <c r="Q6465" s="8" t="s">
        <v>52</v>
      </c>
      <c r="R6465" s="10" t="s">
        <v>36732</v>
      </c>
      <c r="S6465" s="11" t="s">
        <v>36733</v>
      </c>
      <c r="T6465" s="6"/>
      <c r="U6465" s="15" t="str">
        <f>HYPERLINK("https://media.infra-m.ru/2002/2002623/cover/2002623.jpg", "Обложка")</f>
        <v>Обложка</v>
      </c>
      <c r="V6465" s="8" t="s">
        <v>36734</v>
      </c>
      <c r="W6465" s="6"/>
      <c r="X6465" s="6"/>
      <c r="Y6465" s="6"/>
      <c r="Z6465" s="6"/>
      <c r="AA6465" s="6" t="s">
        <v>99</v>
      </c>
      <c r="AB6465" s="8"/>
      <c r="AC6465" s="27">
        <v>9785160124001</v>
      </c>
    </row>
    <row r="6466" spans="1:29" s="4" customFormat="1" ht="44.1" customHeight="1" x14ac:dyDescent="0.2">
      <c r="A6466" s="5">
        <v>0</v>
      </c>
      <c r="B6466" s="6" t="s">
        <v>36735</v>
      </c>
      <c r="C6466" s="7">
        <v>1277.9000000000001</v>
      </c>
      <c r="D6466" s="8" t="s">
        <v>36736</v>
      </c>
      <c r="E6466" s="8" t="s">
        <v>36737</v>
      </c>
      <c r="F6466" s="8" t="s">
        <v>16641</v>
      </c>
      <c r="G6466" s="6" t="s">
        <v>60</v>
      </c>
      <c r="H6466" s="6" t="s">
        <v>34</v>
      </c>
      <c r="I6466" s="8" t="s">
        <v>35</v>
      </c>
      <c r="J6466" s="9">
        <v>1</v>
      </c>
      <c r="K6466" s="9">
        <v>343</v>
      </c>
      <c r="L6466" s="9">
        <v>2018</v>
      </c>
      <c r="M6466" s="8" t="s">
        <v>36738</v>
      </c>
      <c r="N6466" s="8" t="s">
        <v>37</v>
      </c>
      <c r="O6466" s="8" t="s">
        <v>280</v>
      </c>
      <c r="P6466" s="6" t="s">
        <v>39</v>
      </c>
      <c r="Q6466" s="8" t="s">
        <v>40</v>
      </c>
      <c r="R6466" s="10" t="s">
        <v>3008</v>
      </c>
      <c r="S6466" s="11"/>
      <c r="T6466" s="6"/>
      <c r="U6466" s="15" t="str">
        <f>HYPERLINK("https://media.infra-m.ru/0926/0926867/cover/926867.jpg", "Обложка")</f>
        <v>Обложка</v>
      </c>
      <c r="V6466" s="8" t="s">
        <v>1083</v>
      </c>
      <c r="W6466" s="6"/>
      <c r="X6466" s="6"/>
      <c r="Y6466" s="6"/>
      <c r="Z6466" s="6"/>
      <c r="AA6466" s="6" t="s">
        <v>779</v>
      </c>
      <c r="AB6466" s="8"/>
      <c r="AC6466" s="27">
        <v>9785160119854</v>
      </c>
    </row>
    <row r="6467" spans="1:29" s="4" customFormat="1" ht="42" customHeight="1" x14ac:dyDescent="0.2">
      <c r="A6467" s="5">
        <v>0</v>
      </c>
      <c r="B6467" s="6" t="s">
        <v>36739</v>
      </c>
      <c r="C6467" s="7">
        <v>1560</v>
      </c>
      <c r="D6467" s="8" t="s">
        <v>36740</v>
      </c>
      <c r="E6467" s="8" t="s">
        <v>36737</v>
      </c>
      <c r="F6467" s="8" t="s">
        <v>16641</v>
      </c>
      <c r="G6467" s="6" t="s">
        <v>33</v>
      </c>
      <c r="H6467" s="6" t="s">
        <v>34</v>
      </c>
      <c r="I6467" s="8" t="s">
        <v>35</v>
      </c>
      <c r="J6467" s="9">
        <v>1</v>
      </c>
      <c r="K6467" s="9">
        <v>343</v>
      </c>
      <c r="L6467" s="9">
        <v>2022</v>
      </c>
      <c r="M6467" s="8" t="s">
        <v>36741</v>
      </c>
      <c r="N6467" s="8" t="s">
        <v>37</v>
      </c>
      <c r="O6467" s="8" t="s">
        <v>280</v>
      </c>
      <c r="P6467" s="6" t="s">
        <v>39</v>
      </c>
      <c r="Q6467" s="8" t="s">
        <v>40</v>
      </c>
      <c r="R6467" s="10" t="s">
        <v>3008</v>
      </c>
      <c r="S6467" s="11"/>
      <c r="T6467" s="6"/>
      <c r="U6467" s="15" t="str">
        <f>HYPERLINK("https://media.infra-m.ru/1689/1689626/cover/1689626.jpg", "Обложка")</f>
        <v>Обложка</v>
      </c>
      <c r="V6467" s="8" t="s">
        <v>1083</v>
      </c>
      <c r="W6467" s="6"/>
      <c r="X6467" s="6"/>
      <c r="Y6467" s="6"/>
      <c r="Z6467" s="6"/>
      <c r="AA6467" s="6" t="s">
        <v>779</v>
      </c>
      <c r="AB6467" s="8"/>
      <c r="AC6467" s="27">
        <v>9785160170831</v>
      </c>
    </row>
    <row r="6468" spans="1:29" s="4" customFormat="1" ht="51.9" customHeight="1" x14ac:dyDescent="0.2">
      <c r="A6468" s="5">
        <v>0</v>
      </c>
      <c r="B6468" s="6" t="s">
        <v>36742</v>
      </c>
      <c r="C6468" s="13">
        <v>948</v>
      </c>
      <c r="D6468" s="8" t="s">
        <v>36743</v>
      </c>
      <c r="E6468" s="8" t="s">
        <v>36744</v>
      </c>
      <c r="F6468" s="8" t="s">
        <v>36745</v>
      </c>
      <c r="G6468" s="6" t="s">
        <v>33</v>
      </c>
      <c r="H6468" s="6" t="s">
        <v>313</v>
      </c>
      <c r="I6468" s="8" t="s">
        <v>35</v>
      </c>
      <c r="J6468" s="9">
        <v>1</v>
      </c>
      <c r="K6468" s="9">
        <v>232</v>
      </c>
      <c r="L6468" s="9">
        <v>2019</v>
      </c>
      <c r="M6468" s="8" t="s">
        <v>36746</v>
      </c>
      <c r="N6468" s="8" t="s">
        <v>37</v>
      </c>
      <c r="O6468" s="8" t="s">
        <v>233</v>
      </c>
      <c r="P6468" s="6" t="s">
        <v>39</v>
      </c>
      <c r="Q6468" s="8" t="s">
        <v>40</v>
      </c>
      <c r="R6468" s="10" t="s">
        <v>36747</v>
      </c>
      <c r="S6468" s="11"/>
      <c r="T6468" s="6" t="s">
        <v>97</v>
      </c>
      <c r="U6468" s="15" t="str">
        <f>HYPERLINK("https://media.infra-m.ru/0987/0987087/cover/987087.jpg", "Обложка")</f>
        <v>Обложка</v>
      </c>
      <c r="V6468" s="8" t="s">
        <v>247</v>
      </c>
      <c r="W6468" s="6"/>
      <c r="X6468" s="6"/>
      <c r="Y6468" s="6"/>
      <c r="Z6468" s="6"/>
      <c r="AA6468" s="6" t="s">
        <v>274</v>
      </c>
      <c r="AB6468" s="8"/>
      <c r="AC6468" s="27">
        <v>9785369014103</v>
      </c>
    </row>
    <row r="6469" spans="1:29" s="4" customFormat="1" ht="51.9" customHeight="1" x14ac:dyDescent="0.2">
      <c r="A6469" s="5">
        <v>0</v>
      </c>
      <c r="B6469" s="6" t="s">
        <v>36748</v>
      </c>
      <c r="C6469" s="7">
        <v>1348.8</v>
      </c>
      <c r="D6469" s="8" t="s">
        <v>36749</v>
      </c>
      <c r="E6469" s="8" t="s">
        <v>36750</v>
      </c>
      <c r="F6469" s="8" t="s">
        <v>36751</v>
      </c>
      <c r="G6469" s="6" t="s">
        <v>60</v>
      </c>
      <c r="H6469" s="6" t="s">
        <v>134</v>
      </c>
      <c r="I6469" s="8"/>
      <c r="J6469" s="9">
        <v>1</v>
      </c>
      <c r="K6469" s="9">
        <v>240</v>
      </c>
      <c r="L6469" s="9">
        <v>2024</v>
      </c>
      <c r="M6469" s="8" t="s">
        <v>36752</v>
      </c>
      <c r="N6469" s="8" t="s">
        <v>37</v>
      </c>
      <c r="O6469" s="8" t="s">
        <v>136</v>
      </c>
      <c r="P6469" s="6" t="s">
        <v>51</v>
      </c>
      <c r="Q6469" s="8" t="s">
        <v>500</v>
      </c>
      <c r="R6469" s="10" t="s">
        <v>36753</v>
      </c>
      <c r="S6469" s="11"/>
      <c r="T6469" s="6"/>
      <c r="U6469" s="15" t="str">
        <f>HYPERLINK("https://media.infra-m.ru/2006/2006853/cover/2006853.jpg", "Обложка")</f>
        <v>Обложка</v>
      </c>
      <c r="V6469" s="8" t="s">
        <v>1184</v>
      </c>
      <c r="W6469" s="6"/>
      <c r="X6469" s="6"/>
      <c r="Y6469" s="6"/>
      <c r="Z6469" s="6"/>
      <c r="AA6469" s="6" t="s">
        <v>86</v>
      </c>
      <c r="AB6469" s="8"/>
      <c r="AC6469" s="27">
        <v>9785917688640</v>
      </c>
    </row>
    <row r="6470" spans="1:29" s="4" customFormat="1" ht="51.9" customHeight="1" x14ac:dyDescent="0.2">
      <c r="A6470" s="5">
        <v>0</v>
      </c>
      <c r="B6470" s="6" t="s">
        <v>36754</v>
      </c>
      <c r="C6470" s="7">
        <v>1176</v>
      </c>
      <c r="D6470" s="8" t="s">
        <v>36755</v>
      </c>
      <c r="E6470" s="8" t="s">
        <v>36756</v>
      </c>
      <c r="F6470" s="8" t="s">
        <v>36757</v>
      </c>
      <c r="G6470" s="6" t="s">
        <v>118</v>
      </c>
      <c r="H6470" s="6" t="s">
        <v>34</v>
      </c>
      <c r="I6470" s="8" t="s">
        <v>253</v>
      </c>
      <c r="J6470" s="9">
        <v>1</v>
      </c>
      <c r="K6470" s="9">
        <v>188</v>
      </c>
      <c r="L6470" s="9">
        <v>2025</v>
      </c>
      <c r="M6470" s="8" t="s">
        <v>36758</v>
      </c>
      <c r="N6470" s="8" t="s">
        <v>37</v>
      </c>
      <c r="O6470" s="8" t="s">
        <v>233</v>
      </c>
      <c r="P6470" s="6" t="s">
        <v>51</v>
      </c>
      <c r="Q6470" s="8" t="s">
        <v>52</v>
      </c>
      <c r="R6470" s="10" t="s">
        <v>11902</v>
      </c>
      <c r="S6470" s="11" t="s">
        <v>36759</v>
      </c>
      <c r="T6470" s="6" t="s">
        <v>97</v>
      </c>
      <c r="U6470" s="15" t="str">
        <f>HYPERLINK("https://media.infra-m.ru/2210/2210312/cover/2210312.jpg", "Обложка")</f>
        <v>Обложка</v>
      </c>
      <c r="V6470" s="8" t="s">
        <v>396</v>
      </c>
      <c r="W6470" s="6"/>
      <c r="X6470" s="6"/>
      <c r="Y6470" s="6"/>
      <c r="Z6470" s="6"/>
      <c r="AA6470" s="6" t="s">
        <v>248</v>
      </c>
      <c r="AB6470" s="8"/>
      <c r="AC6470" s="27">
        <v>9785160210117</v>
      </c>
    </row>
    <row r="6471" spans="1:29" s="4" customFormat="1" ht="51.9" customHeight="1" x14ac:dyDescent="0.2">
      <c r="A6471" s="5">
        <v>0</v>
      </c>
      <c r="B6471" s="6" t="s">
        <v>36760</v>
      </c>
      <c r="C6471" s="7">
        <v>2064</v>
      </c>
      <c r="D6471" s="8" t="s">
        <v>36761</v>
      </c>
      <c r="E6471" s="8" t="s">
        <v>36762</v>
      </c>
      <c r="F6471" s="8" t="s">
        <v>11727</v>
      </c>
      <c r="G6471" s="6" t="s">
        <v>118</v>
      </c>
      <c r="H6471" s="6" t="s">
        <v>34</v>
      </c>
      <c r="I6471" s="8" t="s">
        <v>271</v>
      </c>
      <c r="J6471" s="9">
        <v>1</v>
      </c>
      <c r="K6471" s="9">
        <v>383</v>
      </c>
      <c r="L6471" s="9">
        <v>2021</v>
      </c>
      <c r="M6471" s="8" t="s">
        <v>36763</v>
      </c>
      <c r="N6471" s="8" t="s">
        <v>37</v>
      </c>
      <c r="O6471" s="8" t="s">
        <v>233</v>
      </c>
      <c r="P6471" s="6" t="s">
        <v>51</v>
      </c>
      <c r="Q6471" s="8" t="s">
        <v>52</v>
      </c>
      <c r="R6471" s="10" t="s">
        <v>36764</v>
      </c>
      <c r="S6471" s="11" t="s">
        <v>36765</v>
      </c>
      <c r="T6471" s="6"/>
      <c r="U6471" s="15" t="str">
        <f>HYPERLINK("https://media.infra-m.ru/1948/1948195/cover/1948195.jpg", "Обложка")</f>
        <v>Обложка</v>
      </c>
      <c r="V6471" s="8" t="s">
        <v>28450</v>
      </c>
      <c r="W6471" s="6"/>
      <c r="X6471" s="6"/>
      <c r="Y6471" s="6"/>
      <c r="Z6471" s="6"/>
      <c r="AA6471" s="6" t="s">
        <v>430</v>
      </c>
      <c r="AB6471" s="8"/>
      <c r="AC6471" s="27">
        <v>9785160147666</v>
      </c>
    </row>
    <row r="6472" spans="1:29" s="4" customFormat="1" ht="51.9" customHeight="1" x14ac:dyDescent="0.2">
      <c r="A6472" s="5">
        <v>0</v>
      </c>
      <c r="B6472" s="6" t="s">
        <v>36766</v>
      </c>
      <c r="C6472" s="7">
        <v>1152</v>
      </c>
      <c r="D6472" s="8" t="s">
        <v>36767</v>
      </c>
      <c r="E6472" s="8" t="s">
        <v>36768</v>
      </c>
      <c r="F6472" s="8" t="s">
        <v>36769</v>
      </c>
      <c r="G6472" s="6" t="s">
        <v>33</v>
      </c>
      <c r="H6472" s="6" t="s">
        <v>34</v>
      </c>
      <c r="I6472" s="8" t="s">
        <v>35</v>
      </c>
      <c r="J6472" s="9">
        <v>1</v>
      </c>
      <c r="K6472" s="9">
        <v>229</v>
      </c>
      <c r="L6472" s="9">
        <v>2022</v>
      </c>
      <c r="M6472" s="8" t="s">
        <v>36770</v>
      </c>
      <c r="N6472" s="8" t="s">
        <v>585</v>
      </c>
      <c r="O6472" s="8" t="s">
        <v>667</v>
      </c>
      <c r="P6472" s="6" t="s">
        <v>39</v>
      </c>
      <c r="Q6472" s="8" t="s">
        <v>40</v>
      </c>
      <c r="R6472" s="10" t="s">
        <v>36771</v>
      </c>
      <c r="S6472" s="11"/>
      <c r="T6472" s="6"/>
      <c r="U6472" s="15" t="str">
        <f>HYPERLINK("https://media.infra-m.ru/1865/1865377/cover/1865377.jpg", "Обложка")</f>
        <v>Обложка</v>
      </c>
      <c r="V6472" s="8" t="s">
        <v>36772</v>
      </c>
      <c r="W6472" s="6"/>
      <c r="X6472" s="6"/>
      <c r="Y6472" s="6"/>
      <c r="Z6472" s="6"/>
      <c r="AA6472" s="6" t="s">
        <v>148</v>
      </c>
      <c r="AB6472" s="8"/>
      <c r="AC6472" s="27">
        <v>9785160176567</v>
      </c>
    </row>
    <row r="6473" spans="1:29" s="4" customFormat="1" ht="51.9" customHeight="1" x14ac:dyDescent="0.2">
      <c r="A6473" s="5">
        <v>0</v>
      </c>
      <c r="B6473" s="6" t="s">
        <v>36773</v>
      </c>
      <c r="C6473" s="13">
        <v>960</v>
      </c>
      <c r="D6473" s="8" t="s">
        <v>36774</v>
      </c>
      <c r="E6473" s="8" t="s">
        <v>36775</v>
      </c>
      <c r="F6473" s="8" t="s">
        <v>36776</v>
      </c>
      <c r="G6473" s="6" t="s">
        <v>60</v>
      </c>
      <c r="H6473" s="6" t="s">
        <v>36777</v>
      </c>
      <c r="I6473" s="8"/>
      <c r="J6473" s="9">
        <v>1</v>
      </c>
      <c r="K6473" s="9">
        <v>208</v>
      </c>
      <c r="L6473" s="9">
        <v>2020</v>
      </c>
      <c r="M6473" s="8" t="s">
        <v>36778</v>
      </c>
      <c r="N6473" s="8" t="s">
        <v>37</v>
      </c>
      <c r="O6473" s="8" t="s">
        <v>233</v>
      </c>
      <c r="P6473" s="6" t="s">
        <v>39</v>
      </c>
      <c r="Q6473" s="8" t="s">
        <v>500</v>
      </c>
      <c r="R6473" s="10" t="s">
        <v>36779</v>
      </c>
      <c r="S6473" s="11"/>
      <c r="T6473" s="6"/>
      <c r="U6473" s="15" t="str">
        <f>HYPERLINK("https://media.infra-m.ru/1197/1197156/cover/1197156.jpg", "Обложка")</f>
        <v>Обложка</v>
      </c>
      <c r="V6473" s="8" t="s">
        <v>1647</v>
      </c>
      <c r="W6473" s="6"/>
      <c r="X6473" s="6"/>
      <c r="Y6473" s="6"/>
      <c r="Z6473" s="6"/>
      <c r="AA6473" s="6" t="s">
        <v>1256</v>
      </c>
      <c r="AB6473" s="8"/>
      <c r="AC6473" s="27">
        <v>9789949720170</v>
      </c>
    </row>
    <row r="6474" spans="1:29" s="4" customFormat="1" ht="51.9" customHeight="1" x14ac:dyDescent="0.2">
      <c r="A6474" s="5">
        <v>0</v>
      </c>
      <c r="B6474" s="6" t="s">
        <v>36780</v>
      </c>
      <c r="C6474" s="7">
        <v>1529.9</v>
      </c>
      <c r="D6474" s="8" t="s">
        <v>36781</v>
      </c>
      <c r="E6474" s="8" t="s">
        <v>36782</v>
      </c>
      <c r="F6474" s="8" t="s">
        <v>36783</v>
      </c>
      <c r="G6474" s="6" t="s">
        <v>60</v>
      </c>
      <c r="H6474" s="6" t="s">
        <v>34</v>
      </c>
      <c r="I6474" s="8" t="s">
        <v>35</v>
      </c>
      <c r="J6474" s="9">
        <v>1</v>
      </c>
      <c r="K6474" s="9">
        <v>410</v>
      </c>
      <c r="L6474" s="9">
        <v>2018</v>
      </c>
      <c r="M6474" s="8" t="s">
        <v>36784</v>
      </c>
      <c r="N6474" s="8" t="s">
        <v>37</v>
      </c>
      <c r="O6474" s="8" t="s">
        <v>233</v>
      </c>
      <c r="P6474" s="6" t="s">
        <v>39</v>
      </c>
      <c r="Q6474" s="8" t="s">
        <v>40</v>
      </c>
      <c r="R6474" s="10" t="s">
        <v>36785</v>
      </c>
      <c r="S6474" s="11"/>
      <c r="T6474" s="6"/>
      <c r="U6474" s="15" t="str">
        <f>HYPERLINK("https://media.infra-m.ru/0929/0929652/cover/929652.jpg", "Обложка")</f>
        <v>Обложка</v>
      </c>
      <c r="V6474" s="8" t="s">
        <v>396</v>
      </c>
      <c r="W6474" s="6"/>
      <c r="X6474" s="6"/>
      <c r="Y6474" s="6"/>
      <c r="Z6474" s="6"/>
      <c r="AA6474" s="6" t="s">
        <v>1015</v>
      </c>
      <c r="AB6474" s="8"/>
      <c r="AC6474" s="27">
        <v>9785160099200</v>
      </c>
    </row>
    <row r="6475" spans="1:29" s="4" customFormat="1" ht="51.9" customHeight="1" x14ac:dyDescent="0.2">
      <c r="A6475" s="5">
        <v>0</v>
      </c>
      <c r="B6475" s="6" t="s">
        <v>36786</v>
      </c>
      <c r="C6475" s="7">
        <v>2704.8</v>
      </c>
      <c r="D6475" s="8" t="s">
        <v>36787</v>
      </c>
      <c r="E6475" s="8" t="s">
        <v>36788</v>
      </c>
      <c r="F6475" s="8" t="s">
        <v>36783</v>
      </c>
      <c r="G6475" s="6" t="s">
        <v>118</v>
      </c>
      <c r="H6475" s="6" t="s">
        <v>34</v>
      </c>
      <c r="I6475" s="8" t="s">
        <v>35</v>
      </c>
      <c r="J6475" s="9">
        <v>1</v>
      </c>
      <c r="K6475" s="9">
        <v>410</v>
      </c>
      <c r="L6475" s="9">
        <v>2026</v>
      </c>
      <c r="M6475" s="8" t="s">
        <v>36784</v>
      </c>
      <c r="N6475" s="8" t="s">
        <v>37</v>
      </c>
      <c r="O6475" s="8" t="s">
        <v>233</v>
      </c>
      <c r="P6475" s="6" t="s">
        <v>39</v>
      </c>
      <c r="Q6475" s="8" t="s">
        <v>40</v>
      </c>
      <c r="R6475" s="10" t="s">
        <v>36785</v>
      </c>
      <c r="S6475" s="11"/>
      <c r="T6475" s="6"/>
      <c r="U6475" s="15" t="str">
        <f>HYPERLINK("https://media.infra-m.ru/2249/2249349/cover/2249349.jpg", "Обложка")</f>
        <v>Обложка</v>
      </c>
      <c r="V6475" s="8" t="s">
        <v>396</v>
      </c>
      <c r="W6475" s="6"/>
      <c r="X6475" s="6"/>
      <c r="Y6475" s="6"/>
      <c r="Z6475" s="6"/>
      <c r="AA6475" s="6" t="s">
        <v>258</v>
      </c>
      <c r="AB6475" s="8"/>
      <c r="AC6475" s="27">
        <v>9785160099200</v>
      </c>
    </row>
    <row r="6476" spans="1:29" s="4" customFormat="1" ht="51.9" customHeight="1" x14ac:dyDescent="0.2">
      <c r="A6476" s="5">
        <v>0</v>
      </c>
      <c r="B6476" s="6" t="s">
        <v>36789</v>
      </c>
      <c r="C6476" s="7">
        <v>2032.8</v>
      </c>
      <c r="D6476" s="8" t="s">
        <v>36790</v>
      </c>
      <c r="E6476" s="8" t="s">
        <v>36791</v>
      </c>
      <c r="F6476" s="8" t="s">
        <v>36792</v>
      </c>
      <c r="G6476" s="6" t="s">
        <v>60</v>
      </c>
      <c r="H6476" s="6" t="s">
        <v>34</v>
      </c>
      <c r="I6476" s="8" t="s">
        <v>35</v>
      </c>
      <c r="J6476" s="9">
        <v>1</v>
      </c>
      <c r="K6476" s="9">
        <v>325</v>
      </c>
      <c r="L6476" s="9">
        <v>2025</v>
      </c>
      <c r="M6476" s="8" t="s">
        <v>36793</v>
      </c>
      <c r="N6476" s="8" t="s">
        <v>37</v>
      </c>
      <c r="O6476" s="8" t="s">
        <v>233</v>
      </c>
      <c r="P6476" s="6" t="s">
        <v>39</v>
      </c>
      <c r="Q6476" s="8" t="s">
        <v>40</v>
      </c>
      <c r="R6476" s="10" t="s">
        <v>36794</v>
      </c>
      <c r="S6476" s="11"/>
      <c r="T6476" s="6"/>
      <c r="U6476" s="15" t="str">
        <f>HYPERLINK("https://media.infra-m.ru/2151/2151391/cover/2151391.jpg", "Обложка")</f>
        <v>Обложка</v>
      </c>
      <c r="V6476" s="8" t="s">
        <v>3871</v>
      </c>
      <c r="W6476" s="6"/>
      <c r="X6476" s="6"/>
      <c r="Y6476" s="6"/>
      <c r="Z6476" s="6"/>
      <c r="AA6476" s="6" t="s">
        <v>157</v>
      </c>
      <c r="AB6476" s="8"/>
      <c r="AC6476" s="27">
        <v>9785160186061</v>
      </c>
    </row>
    <row r="6477" spans="1:29" s="4" customFormat="1" ht="42" customHeight="1" x14ac:dyDescent="0.2">
      <c r="A6477" s="5">
        <v>0</v>
      </c>
      <c r="B6477" s="6" t="s">
        <v>36795</v>
      </c>
      <c r="C6477" s="7">
        <v>1176</v>
      </c>
      <c r="D6477" s="8" t="s">
        <v>36796</v>
      </c>
      <c r="E6477" s="8" t="s">
        <v>36797</v>
      </c>
      <c r="F6477" s="8" t="s">
        <v>213</v>
      </c>
      <c r="G6477" s="6" t="s">
        <v>118</v>
      </c>
      <c r="H6477" s="6" t="s">
        <v>34</v>
      </c>
      <c r="I6477" s="8" t="s">
        <v>35</v>
      </c>
      <c r="J6477" s="9">
        <v>1</v>
      </c>
      <c r="K6477" s="9">
        <v>257</v>
      </c>
      <c r="L6477" s="9">
        <v>2022</v>
      </c>
      <c r="M6477" s="8" t="s">
        <v>36798</v>
      </c>
      <c r="N6477" s="8" t="s">
        <v>37</v>
      </c>
      <c r="O6477" s="8" t="s">
        <v>38</v>
      </c>
      <c r="P6477" s="6" t="s">
        <v>39</v>
      </c>
      <c r="Q6477" s="8" t="s">
        <v>40</v>
      </c>
      <c r="R6477" s="10" t="s">
        <v>7165</v>
      </c>
      <c r="S6477" s="11"/>
      <c r="T6477" s="6"/>
      <c r="U6477" s="15" t="str">
        <f>HYPERLINK("https://media.infra-m.ru/1740/1740729/cover/1740729.jpg", "Обложка")</f>
        <v>Обложка</v>
      </c>
      <c r="V6477" s="8" t="s">
        <v>217</v>
      </c>
      <c r="W6477" s="6"/>
      <c r="X6477" s="6"/>
      <c r="Y6477" s="6"/>
      <c r="Z6477" s="6"/>
      <c r="AA6477" s="6" t="s">
        <v>99</v>
      </c>
      <c r="AB6477" s="8"/>
      <c r="AC6477" s="27">
        <v>9785160127989</v>
      </c>
    </row>
    <row r="6478" spans="1:29" s="4" customFormat="1" ht="44.1" customHeight="1" x14ac:dyDescent="0.2">
      <c r="A6478" s="5">
        <v>0</v>
      </c>
      <c r="B6478" s="6" t="s">
        <v>36799</v>
      </c>
      <c r="C6478" s="13">
        <v>708</v>
      </c>
      <c r="D6478" s="8" t="s">
        <v>36800</v>
      </c>
      <c r="E6478" s="8" t="s">
        <v>36801</v>
      </c>
      <c r="F6478" s="8" t="s">
        <v>36802</v>
      </c>
      <c r="G6478" s="6" t="s">
        <v>33</v>
      </c>
      <c r="H6478" s="6" t="s">
        <v>34</v>
      </c>
      <c r="I6478" s="8" t="s">
        <v>35</v>
      </c>
      <c r="J6478" s="9">
        <v>1</v>
      </c>
      <c r="K6478" s="9">
        <v>164</v>
      </c>
      <c r="L6478" s="9">
        <v>2020</v>
      </c>
      <c r="M6478" s="8" t="s">
        <v>36803</v>
      </c>
      <c r="N6478" s="8" t="s">
        <v>37</v>
      </c>
      <c r="O6478" s="8" t="s">
        <v>83</v>
      </c>
      <c r="P6478" s="6" t="s">
        <v>39</v>
      </c>
      <c r="Q6478" s="8" t="s">
        <v>40</v>
      </c>
      <c r="R6478" s="10" t="s">
        <v>15027</v>
      </c>
      <c r="S6478" s="11"/>
      <c r="T6478" s="6"/>
      <c r="U6478" s="15" t="str">
        <f>HYPERLINK("https://media.infra-m.ru/1048/1048128/cover/1048128.jpg", "Обложка")</f>
        <v>Обложка</v>
      </c>
      <c r="V6478" s="8" t="s">
        <v>5250</v>
      </c>
      <c r="W6478" s="6"/>
      <c r="X6478" s="6"/>
      <c r="Y6478" s="6"/>
      <c r="Z6478" s="6"/>
      <c r="AA6478" s="6" t="s">
        <v>1256</v>
      </c>
      <c r="AB6478" s="8"/>
      <c r="AC6478" s="27">
        <v>9785160157177</v>
      </c>
    </row>
    <row r="6479" spans="1:29" s="4" customFormat="1" ht="51.9" customHeight="1" x14ac:dyDescent="0.2">
      <c r="A6479" s="5">
        <v>0</v>
      </c>
      <c r="B6479" s="6" t="s">
        <v>36804</v>
      </c>
      <c r="C6479" s="7">
        <v>1696.8</v>
      </c>
      <c r="D6479" s="8" t="s">
        <v>36805</v>
      </c>
      <c r="E6479" s="8" t="s">
        <v>36806</v>
      </c>
      <c r="F6479" s="8" t="s">
        <v>36807</v>
      </c>
      <c r="G6479" s="6" t="s">
        <v>60</v>
      </c>
      <c r="H6479" s="6" t="s">
        <v>34</v>
      </c>
      <c r="I6479" s="8" t="s">
        <v>271</v>
      </c>
      <c r="J6479" s="9">
        <v>1</v>
      </c>
      <c r="K6479" s="9">
        <v>256</v>
      </c>
      <c r="L6479" s="9">
        <v>2026</v>
      </c>
      <c r="M6479" s="8" t="s">
        <v>36808</v>
      </c>
      <c r="N6479" s="8" t="s">
        <v>243</v>
      </c>
      <c r="O6479" s="8" t="s">
        <v>758</v>
      </c>
      <c r="P6479" s="6" t="s">
        <v>51</v>
      </c>
      <c r="Q6479" s="8" t="s">
        <v>52</v>
      </c>
      <c r="R6479" s="10" t="s">
        <v>21349</v>
      </c>
      <c r="S6479" s="11" t="s">
        <v>36809</v>
      </c>
      <c r="T6479" s="6"/>
      <c r="U6479" s="15" t="str">
        <f>HYPERLINK("https://media.infra-m.ru/2223/2223801/cover/2223801.jpg", "Обложка")</f>
        <v>Обложка</v>
      </c>
      <c r="V6479" s="8" t="s">
        <v>227</v>
      </c>
      <c r="W6479" s="6"/>
      <c r="X6479" s="6"/>
      <c r="Y6479" s="6"/>
      <c r="Z6479" s="6"/>
      <c r="AA6479" s="6" t="s">
        <v>43</v>
      </c>
      <c r="AB6479" s="8"/>
      <c r="AC6479" s="27">
        <v>9785160052878</v>
      </c>
    </row>
    <row r="6480" spans="1:29" s="4" customFormat="1" ht="51.9" customHeight="1" x14ac:dyDescent="0.2">
      <c r="A6480" s="5">
        <v>0</v>
      </c>
      <c r="B6480" s="6" t="s">
        <v>36810</v>
      </c>
      <c r="C6480" s="7">
        <v>2740.8</v>
      </c>
      <c r="D6480" s="8" t="s">
        <v>36811</v>
      </c>
      <c r="E6480" s="8" t="s">
        <v>36812</v>
      </c>
      <c r="F6480" s="8" t="s">
        <v>36813</v>
      </c>
      <c r="G6480" s="6" t="s">
        <v>60</v>
      </c>
      <c r="H6480" s="6" t="s">
        <v>34</v>
      </c>
      <c r="I6480" s="8" t="s">
        <v>271</v>
      </c>
      <c r="J6480" s="9">
        <v>1</v>
      </c>
      <c r="K6480" s="9">
        <v>415</v>
      </c>
      <c r="L6480" s="9">
        <v>2026</v>
      </c>
      <c r="M6480" s="8" t="s">
        <v>36814</v>
      </c>
      <c r="N6480" s="8" t="s">
        <v>243</v>
      </c>
      <c r="O6480" s="8" t="s">
        <v>758</v>
      </c>
      <c r="P6480" s="6" t="s">
        <v>51</v>
      </c>
      <c r="Q6480" s="8" t="s">
        <v>52</v>
      </c>
      <c r="R6480" s="10" t="s">
        <v>36815</v>
      </c>
      <c r="S6480" s="11" t="s">
        <v>36816</v>
      </c>
      <c r="T6480" s="6"/>
      <c r="U6480" s="15" t="str">
        <f>HYPERLINK("https://media.infra-m.ru/2224/2224192/cover/2224192.jpg", "Обложка")</f>
        <v>Обложка</v>
      </c>
      <c r="V6480" s="8" t="s">
        <v>36817</v>
      </c>
      <c r="W6480" s="6"/>
      <c r="X6480" s="6"/>
      <c r="Y6480" s="6"/>
      <c r="Z6480" s="6"/>
      <c r="AA6480" s="6" t="s">
        <v>129</v>
      </c>
      <c r="AB6480" s="8"/>
      <c r="AC6480" s="27">
        <v>9785160047195</v>
      </c>
    </row>
    <row r="6481" spans="1:29" s="4" customFormat="1" ht="51.9" customHeight="1" x14ac:dyDescent="0.2">
      <c r="A6481" s="5">
        <v>0</v>
      </c>
      <c r="B6481" s="6" t="s">
        <v>36818</v>
      </c>
      <c r="C6481" s="7">
        <v>2093.9</v>
      </c>
      <c r="D6481" s="8" t="s">
        <v>36819</v>
      </c>
      <c r="E6481" s="8" t="s">
        <v>36812</v>
      </c>
      <c r="F6481" s="8" t="s">
        <v>36813</v>
      </c>
      <c r="G6481" s="6" t="s">
        <v>118</v>
      </c>
      <c r="H6481" s="6" t="s">
        <v>34</v>
      </c>
      <c r="I6481" s="8" t="s">
        <v>263</v>
      </c>
      <c r="J6481" s="9">
        <v>1</v>
      </c>
      <c r="K6481" s="9">
        <v>415</v>
      </c>
      <c r="L6481" s="9">
        <v>2022</v>
      </c>
      <c r="M6481" s="8" t="s">
        <v>36820</v>
      </c>
      <c r="N6481" s="8" t="s">
        <v>243</v>
      </c>
      <c r="O6481" s="8" t="s">
        <v>758</v>
      </c>
      <c r="P6481" s="6" t="s">
        <v>51</v>
      </c>
      <c r="Q6481" s="8" t="s">
        <v>265</v>
      </c>
      <c r="R6481" s="10" t="s">
        <v>36821</v>
      </c>
      <c r="S6481" s="11" t="s">
        <v>21782</v>
      </c>
      <c r="T6481" s="6"/>
      <c r="U6481" s="15" t="str">
        <f>HYPERLINK("https://media.infra-m.ru/1876/1876292/cover/1876292.jpg", "Обложка")</f>
        <v>Обложка</v>
      </c>
      <c r="V6481" s="8" t="s">
        <v>36817</v>
      </c>
      <c r="W6481" s="6"/>
      <c r="X6481" s="6"/>
      <c r="Y6481" s="6"/>
      <c r="Z6481" s="6" t="s">
        <v>267</v>
      </c>
      <c r="AA6481" s="6" t="s">
        <v>115</v>
      </c>
      <c r="AB6481" s="8"/>
      <c r="AC6481" s="27">
        <v>9785160152479</v>
      </c>
    </row>
    <row r="6482" spans="1:29" s="4" customFormat="1" ht="51.9" customHeight="1" x14ac:dyDescent="0.2">
      <c r="A6482" s="5">
        <v>0</v>
      </c>
      <c r="B6482" s="6" t="s">
        <v>36822</v>
      </c>
      <c r="C6482" s="7">
        <v>1200</v>
      </c>
      <c r="D6482" s="8" t="s">
        <v>36823</v>
      </c>
      <c r="E6482" s="8" t="s">
        <v>36824</v>
      </c>
      <c r="F6482" s="8" t="s">
        <v>36825</v>
      </c>
      <c r="G6482" s="6" t="s">
        <v>33</v>
      </c>
      <c r="H6482" s="6" t="s">
        <v>34</v>
      </c>
      <c r="I6482" s="8" t="s">
        <v>35</v>
      </c>
      <c r="J6482" s="9">
        <v>1</v>
      </c>
      <c r="K6482" s="9">
        <v>217</v>
      </c>
      <c r="L6482" s="9">
        <v>2024</v>
      </c>
      <c r="M6482" s="8" t="s">
        <v>36826</v>
      </c>
      <c r="N6482" s="8" t="s">
        <v>37</v>
      </c>
      <c r="O6482" s="8" t="s">
        <v>136</v>
      </c>
      <c r="P6482" s="6" t="s">
        <v>39</v>
      </c>
      <c r="Q6482" s="8" t="s">
        <v>40</v>
      </c>
      <c r="R6482" s="10" t="s">
        <v>36827</v>
      </c>
      <c r="S6482" s="11"/>
      <c r="T6482" s="6"/>
      <c r="U6482" s="15" t="str">
        <f>HYPERLINK("https://media.infra-m.ru/2132/2132476/cover/2132476.jpg", "Обложка")</f>
        <v>Обложка</v>
      </c>
      <c r="V6482" s="8" t="s">
        <v>3636</v>
      </c>
      <c r="W6482" s="6"/>
      <c r="X6482" s="6"/>
      <c r="Y6482" s="6"/>
      <c r="Z6482" s="6"/>
      <c r="AA6482" s="6" t="s">
        <v>430</v>
      </c>
      <c r="AB6482" s="8"/>
      <c r="AC6482" s="27">
        <v>9785160160559</v>
      </c>
    </row>
    <row r="6483" spans="1:29" s="4" customFormat="1" ht="51.9" customHeight="1" x14ac:dyDescent="0.2">
      <c r="A6483" s="5">
        <v>0</v>
      </c>
      <c r="B6483" s="6" t="s">
        <v>36828</v>
      </c>
      <c r="C6483" s="7">
        <v>3228</v>
      </c>
      <c r="D6483" s="8" t="s">
        <v>36829</v>
      </c>
      <c r="E6483" s="8" t="s">
        <v>36830</v>
      </c>
      <c r="F6483" s="8" t="s">
        <v>21312</v>
      </c>
      <c r="G6483" s="6" t="s">
        <v>60</v>
      </c>
      <c r="H6483" s="6" t="s">
        <v>34</v>
      </c>
      <c r="I6483" s="8" t="s">
        <v>253</v>
      </c>
      <c r="J6483" s="14">
        <v>0</v>
      </c>
      <c r="K6483" s="9">
        <v>448</v>
      </c>
      <c r="L6483" s="9">
        <v>2027</v>
      </c>
      <c r="M6483" s="8" t="s">
        <v>36831</v>
      </c>
      <c r="N6483" s="8" t="s">
        <v>37</v>
      </c>
      <c r="O6483" s="8" t="s">
        <v>136</v>
      </c>
      <c r="P6483" s="6" t="s">
        <v>306</v>
      </c>
      <c r="Q6483" s="8" t="s">
        <v>65</v>
      </c>
      <c r="R6483" s="10" t="s">
        <v>36832</v>
      </c>
      <c r="S6483" s="11"/>
      <c r="T6483" s="6" t="s">
        <v>97</v>
      </c>
      <c r="U6483" s="15" t="str">
        <f>HYPERLINK("https://media.infra-m.ru/2238/2238041/cover/2238041.jpg", "Обложка")</f>
        <v>Обложка</v>
      </c>
      <c r="V6483" s="8" t="s">
        <v>7167</v>
      </c>
      <c r="W6483" s="6"/>
      <c r="X6483" s="6"/>
      <c r="Y6483" s="6" t="s">
        <v>4466</v>
      </c>
      <c r="Z6483" s="6"/>
      <c r="AA6483" s="6" t="s">
        <v>187</v>
      </c>
      <c r="AB6483" s="8" t="s">
        <v>308</v>
      </c>
      <c r="AC6483" s="27">
        <v>9785160217789</v>
      </c>
    </row>
    <row r="6484" spans="1:29" s="4" customFormat="1" ht="44.1" customHeight="1" x14ac:dyDescent="0.2">
      <c r="A6484" s="5">
        <v>0</v>
      </c>
      <c r="B6484" s="6" t="s">
        <v>36833</v>
      </c>
      <c r="C6484" s="13">
        <v>876</v>
      </c>
      <c r="D6484" s="8" t="s">
        <v>36834</v>
      </c>
      <c r="E6484" s="8" t="s">
        <v>36835</v>
      </c>
      <c r="F6484" s="8" t="s">
        <v>36836</v>
      </c>
      <c r="G6484" s="6" t="s">
        <v>33</v>
      </c>
      <c r="H6484" s="6" t="s">
        <v>313</v>
      </c>
      <c r="I6484" s="8" t="s">
        <v>517</v>
      </c>
      <c r="J6484" s="9">
        <v>1</v>
      </c>
      <c r="K6484" s="9">
        <v>128</v>
      </c>
      <c r="L6484" s="9">
        <v>2025</v>
      </c>
      <c r="M6484" s="8" t="s">
        <v>36837</v>
      </c>
      <c r="N6484" s="8" t="s">
        <v>37</v>
      </c>
      <c r="O6484" s="8" t="s">
        <v>280</v>
      </c>
      <c r="P6484" s="6" t="s">
        <v>234</v>
      </c>
      <c r="Q6484" s="8" t="s">
        <v>40</v>
      </c>
      <c r="R6484" s="10" t="s">
        <v>6677</v>
      </c>
      <c r="S6484" s="11"/>
      <c r="T6484" s="6"/>
      <c r="U6484" s="15" t="str">
        <f>HYPERLINK("https://media.infra-m.ru/2167/2167253/cover/2167253.jpg", "Обложка")</f>
        <v>Обложка</v>
      </c>
      <c r="V6484" s="8"/>
      <c r="W6484" s="6"/>
      <c r="X6484" s="6"/>
      <c r="Y6484" s="6"/>
      <c r="Z6484" s="6"/>
      <c r="AA6484" s="6" t="s">
        <v>55</v>
      </c>
      <c r="AB6484" s="8"/>
      <c r="AC6484" s="27">
        <v>9785369010761</v>
      </c>
    </row>
    <row r="6485" spans="1:29" s="4" customFormat="1" ht="51.9" customHeight="1" x14ac:dyDescent="0.2">
      <c r="A6485" s="5">
        <v>0</v>
      </c>
      <c r="B6485" s="6" t="s">
        <v>36838</v>
      </c>
      <c r="C6485" s="7">
        <v>1536</v>
      </c>
      <c r="D6485" s="8" t="s">
        <v>36839</v>
      </c>
      <c r="E6485" s="8" t="s">
        <v>36840</v>
      </c>
      <c r="F6485" s="8" t="s">
        <v>36841</v>
      </c>
      <c r="G6485" s="6" t="s">
        <v>33</v>
      </c>
      <c r="H6485" s="6" t="s">
        <v>241</v>
      </c>
      <c r="I6485" s="8" t="s">
        <v>3496</v>
      </c>
      <c r="J6485" s="9">
        <v>1</v>
      </c>
      <c r="K6485" s="9">
        <v>256</v>
      </c>
      <c r="L6485" s="9">
        <v>2025</v>
      </c>
      <c r="M6485" s="8" t="s">
        <v>36842</v>
      </c>
      <c r="N6485" s="8" t="s">
        <v>37</v>
      </c>
      <c r="O6485" s="8" t="s">
        <v>280</v>
      </c>
      <c r="P6485" s="6" t="s">
        <v>39</v>
      </c>
      <c r="Q6485" s="8" t="s">
        <v>40</v>
      </c>
      <c r="R6485" s="10" t="s">
        <v>36843</v>
      </c>
      <c r="S6485" s="11"/>
      <c r="T6485" s="6"/>
      <c r="U6485" s="15" t="str">
        <f>HYPERLINK("https://media.infra-m.ru/2188/2188296/cover/2188296.jpg", "Обложка")</f>
        <v>Обложка</v>
      </c>
      <c r="V6485" s="8" t="s">
        <v>36844</v>
      </c>
      <c r="W6485" s="6"/>
      <c r="X6485" s="6"/>
      <c r="Y6485" s="6"/>
      <c r="Z6485" s="6"/>
      <c r="AA6485" s="6" t="s">
        <v>99</v>
      </c>
      <c r="AB6485" s="8"/>
      <c r="AC6485" s="27">
        <v>9785955805184</v>
      </c>
    </row>
    <row r="6486" spans="1:29" s="4" customFormat="1" ht="51.9" customHeight="1" x14ac:dyDescent="0.2">
      <c r="A6486" s="5">
        <v>0</v>
      </c>
      <c r="B6486" s="6" t="s">
        <v>36845</v>
      </c>
      <c r="C6486" s="7">
        <v>1128</v>
      </c>
      <c r="D6486" s="8" t="s">
        <v>36846</v>
      </c>
      <c r="E6486" s="8" t="s">
        <v>36847</v>
      </c>
      <c r="F6486" s="8" t="s">
        <v>18601</v>
      </c>
      <c r="G6486" s="6" t="s">
        <v>118</v>
      </c>
      <c r="H6486" s="6" t="s">
        <v>34</v>
      </c>
      <c r="I6486" s="8" t="s">
        <v>253</v>
      </c>
      <c r="J6486" s="9">
        <v>1</v>
      </c>
      <c r="K6486" s="9">
        <v>170</v>
      </c>
      <c r="L6486" s="9">
        <v>2026</v>
      </c>
      <c r="M6486" s="8" t="s">
        <v>36848</v>
      </c>
      <c r="N6486" s="8" t="s">
        <v>37</v>
      </c>
      <c r="O6486" s="8" t="s">
        <v>499</v>
      </c>
      <c r="P6486" s="6" t="s">
        <v>306</v>
      </c>
      <c r="Q6486" s="8" t="s">
        <v>52</v>
      </c>
      <c r="R6486" s="10" t="s">
        <v>36849</v>
      </c>
      <c r="S6486" s="11" t="s">
        <v>36850</v>
      </c>
      <c r="T6486" s="6"/>
      <c r="U6486" s="15" t="str">
        <f>HYPERLINK("https://media.infra-m.ru/2254/2254532/cover/2254532.jpg", "Обложка")</f>
        <v>Обложка</v>
      </c>
      <c r="V6486" s="8" t="s">
        <v>18603</v>
      </c>
      <c r="W6486" s="6"/>
      <c r="X6486" s="6"/>
      <c r="Y6486" s="6"/>
      <c r="Z6486" s="6"/>
      <c r="AA6486" s="6" t="s">
        <v>43</v>
      </c>
      <c r="AB6486" s="8"/>
      <c r="AC6486" s="27">
        <v>9785160221472</v>
      </c>
    </row>
    <row r="6487" spans="1:29" s="4" customFormat="1" ht="51.9" customHeight="1" x14ac:dyDescent="0.2">
      <c r="A6487" s="5">
        <v>0</v>
      </c>
      <c r="B6487" s="6" t="s">
        <v>36851</v>
      </c>
      <c r="C6487" s="7">
        <v>1096.8</v>
      </c>
      <c r="D6487" s="8" t="s">
        <v>36852</v>
      </c>
      <c r="E6487" s="8" t="s">
        <v>36853</v>
      </c>
      <c r="F6487" s="8" t="s">
        <v>18609</v>
      </c>
      <c r="G6487" s="6" t="s">
        <v>118</v>
      </c>
      <c r="H6487" s="6" t="s">
        <v>34</v>
      </c>
      <c r="I6487" s="8" t="s">
        <v>253</v>
      </c>
      <c r="J6487" s="9">
        <v>1</v>
      </c>
      <c r="K6487" s="9">
        <v>158</v>
      </c>
      <c r="L6487" s="9">
        <v>2027</v>
      </c>
      <c r="M6487" s="8" t="s">
        <v>36854</v>
      </c>
      <c r="N6487" s="8" t="s">
        <v>37</v>
      </c>
      <c r="O6487" s="8" t="s">
        <v>499</v>
      </c>
      <c r="P6487" s="6" t="s">
        <v>51</v>
      </c>
      <c r="Q6487" s="8" t="s">
        <v>52</v>
      </c>
      <c r="R6487" s="10" t="s">
        <v>36855</v>
      </c>
      <c r="S6487" s="11" t="s">
        <v>36856</v>
      </c>
      <c r="T6487" s="6"/>
      <c r="U6487" s="15" t="str">
        <f>HYPERLINK("https://media.infra-m.ru/2272/2272385/cover/2272385.jpg", "Обложка")</f>
        <v>Обложка</v>
      </c>
      <c r="V6487" s="8" t="s">
        <v>227</v>
      </c>
      <c r="W6487" s="6"/>
      <c r="X6487" s="6"/>
      <c r="Y6487" s="6"/>
      <c r="Z6487" s="6"/>
      <c r="AA6487" s="6" t="s">
        <v>36857</v>
      </c>
      <c r="AB6487" s="8"/>
      <c r="AC6487" s="27">
        <v>9785160197029</v>
      </c>
    </row>
    <row r="6488" spans="1:29" s="4" customFormat="1" ht="51.9" customHeight="1" x14ac:dyDescent="0.2">
      <c r="A6488" s="5">
        <v>0</v>
      </c>
      <c r="B6488" s="6" t="s">
        <v>36858</v>
      </c>
      <c r="C6488" s="13">
        <v>809.9</v>
      </c>
      <c r="D6488" s="8" t="s">
        <v>36859</v>
      </c>
      <c r="E6488" s="8" t="s">
        <v>36860</v>
      </c>
      <c r="F6488" s="8" t="s">
        <v>4996</v>
      </c>
      <c r="G6488" s="6" t="s">
        <v>60</v>
      </c>
      <c r="H6488" s="6" t="s">
        <v>313</v>
      </c>
      <c r="I6488" s="8" t="s">
        <v>36861</v>
      </c>
      <c r="J6488" s="9">
        <v>1</v>
      </c>
      <c r="K6488" s="9">
        <v>208</v>
      </c>
      <c r="L6488" s="9">
        <v>2019</v>
      </c>
      <c r="M6488" s="8" t="s">
        <v>36862</v>
      </c>
      <c r="N6488" s="8" t="s">
        <v>37</v>
      </c>
      <c r="O6488" s="8" t="s">
        <v>499</v>
      </c>
      <c r="P6488" s="6" t="s">
        <v>51</v>
      </c>
      <c r="Q6488" s="8" t="s">
        <v>52</v>
      </c>
      <c r="R6488" s="10" t="s">
        <v>36863</v>
      </c>
      <c r="S6488" s="11" t="s">
        <v>36864</v>
      </c>
      <c r="T6488" s="6"/>
      <c r="U6488" s="15" t="str">
        <f>HYPERLINK("https://media.infra-m.ru/1002/1002350/cover/1002350.jpg", "Обложка")</f>
        <v>Обложка</v>
      </c>
      <c r="V6488" s="8" t="s">
        <v>657</v>
      </c>
      <c r="W6488" s="6"/>
      <c r="X6488" s="6"/>
      <c r="Y6488" s="6"/>
      <c r="Z6488" s="6"/>
      <c r="AA6488" s="6" t="s">
        <v>129</v>
      </c>
      <c r="AB6488" s="8"/>
      <c r="AC6488" s="27">
        <v>9785369007808</v>
      </c>
    </row>
    <row r="6489" spans="1:29" s="4" customFormat="1" ht="42" customHeight="1" x14ac:dyDescent="0.2">
      <c r="A6489" s="5">
        <v>0</v>
      </c>
      <c r="B6489" s="6" t="s">
        <v>36865</v>
      </c>
      <c r="C6489" s="7">
        <v>2032.8</v>
      </c>
      <c r="D6489" s="8" t="s">
        <v>36866</v>
      </c>
      <c r="E6489" s="8" t="s">
        <v>36867</v>
      </c>
      <c r="F6489" s="8" t="s">
        <v>36868</v>
      </c>
      <c r="G6489" s="6" t="s">
        <v>60</v>
      </c>
      <c r="H6489" s="6" t="s">
        <v>1042</v>
      </c>
      <c r="I6489" s="8" t="s">
        <v>253</v>
      </c>
      <c r="J6489" s="9">
        <v>1</v>
      </c>
      <c r="K6489" s="9">
        <v>368</v>
      </c>
      <c r="L6489" s="9">
        <v>2024</v>
      </c>
      <c r="M6489" s="8" t="s">
        <v>36869</v>
      </c>
      <c r="N6489" s="8" t="s">
        <v>37</v>
      </c>
      <c r="O6489" s="8" t="s">
        <v>499</v>
      </c>
      <c r="P6489" s="6" t="s">
        <v>306</v>
      </c>
      <c r="Q6489" s="8" t="s">
        <v>52</v>
      </c>
      <c r="R6489" s="10" t="s">
        <v>36870</v>
      </c>
      <c r="S6489" s="11"/>
      <c r="T6489" s="6"/>
      <c r="U6489" s="15" t="str">
        <f>HYPERLINK("https://media.infra-m.ru/2102/2102171/cover/2102171.jpg", "Обложка")</f>
        <v>Обложка</v>
      </c>
      <c r="V6489" s="8" t="s">
        <v>396</v>
      </c>
      <c r="W6489" s="6"/>
      <c r="X6489" s="6"/>
      <c r="Y6489" s="6"/>
      <c r="Z6489" s="6"/>
      <c r="AA6489" s="6" t="s">
        <v>55</v>
      </c>
      <c r="AB6489" s="8"/>
      <c r="AC6489" s="27">
        <v>9785819905333</v>
      </c>
    </row>
    <row r="6490" spans="1:29" s="4" customFormat="1" ht="42" customHeight="1" x14ac:dyDescent="0.2">
      <c r="A6490" s="5">
        <v>0</v>
      </c>
      <c r="B6490" s="6" t="s">
        <v>36871</v>
      </c>
      <c r="C6490" s="7">
        <v>1740</v>
      </c>
      <c r="D6490" s="8" t="s">
        <v>36872</v>
      </c>
      <c r="E6490" s="8" t="s">
        <v>36873</v>
      </c>
      <c r="F6490" s="8" t="s">
        <v>36874</v>
      </c>
      <c r="G6490" s="6" t="s">
        <v>60</v>
      </c>
      <c r="H6490" s="6" t="s">
        <v>34</v>
      </c>
      <c r="I6490" s="8" t="s">
        <v>263</v>
      </c>
      <c r="J6490" s="9">
        <v>1</v>
      </c>
      <c r="K6490" s="9">
        <v>282</v>
      </c>
      <c r="L6490" s="9">
        <v>2025</v>
      </c>
      <c r="M6490" s="8" t="s">
        <v>36875</v>
      </c>
      <c r="N6490" s="8" t="s">
        <v>37</v>
      </c>
      <c r="O6490" s="8" t="s">
        <v>499</v>
      </c>
      <c r="P6490" s="6" t="s">
        <v>306</v>
      </c>
      <c r="Q6490" s="8" t="s">
        <v>265</v>
      </c>
      <c r="R6490" s="10" t="s">
        <v>36876</v>
      </c>
      <c r="S6490" s="11"/>
      <c r="T6490" s="6" t="s">
        <v>97</v>
      </c>
      <c r="U6490" s="15" t="str">
        <f>HYPERLINK("https://media.infra-m.ru/2169/2169303/cover/2169303.jpg", "Обложка")</f>
        <v>Обложка</v>
      </c>
      <c r="V6490" s="8" t="s">
        <v>4448</v>
      </c>
      <c r="W6490" s="6"/>
      <c r="X6490" s="6"/>
      <c r="Y6490" s="6"/>
      <c r="Z6490" s="6" t="s">
        <v>267</v>
      </c>
      <c r="AA6490" s="6" t="s">
        <v>68</v>
      </c>
      <c r="AB6490" s="8"/>
      <c r="AC6490" s="27">
        <v>9785160203140</v>
      </c>
    </row>
    <row r="6491" spans="1:29" s="4" customFormat="1" ht="51.9" customHeight="1" x14ac:dyDescent="0.2">
      <c r="A6491" s="5">
        <v>0</v>
      </c>
      <c r="B6491" s="6" t="s">
        <v>36877</v>
      </c>
      <c r="C6491" s="7">
        <v>1756.8</v>
      </c>
      <c r="D6491" s="8" t="s">
        <v>36878</v>
      </c>
      <c r="E6491" s="8" t="s">
        <v>36873</v>
      </c>
      <c r="F6491" s="8" t="s">
        <v>11906</v>
      </c>
      <c r="G6491" s="6" t="s">
        <v>60</v>
      </c>
      <c r="H6491" s="6" t="s">
        <v>34</v>
      </c>
      <c r="I6491" s="8" t="s">
        <v>271</v>
      </c>
      <c r="J6491" s="9">
        <v>1</v>
      </c>
      <c r="K6491" s="9">
        <v>282</v>
      </c>
      <c r="L6491" s="9">
        <v>2025</v>
      </c>
      <c r="M6491" s="8" t="s">
        <v>36879</v>
      </c>
      <c r="N6491" s="8" t="s">
        <v>37</v>
      </c>
      <c r="O6491" s="8" t="s">
        <v>499</v>
      </c>
      <c r="P6491" s="6" t="s">
        <v>306</v>
      </c>
      <c r="Q6491" s="8" t="s">
        <v>52</v>
      </c>
      <c r="R6491" s="10" t="s">
        <v>36880</v>
      </c>
      <c r="S6491" s="11" t="s">
        <v>36881</v>
      </c>
      <c r="T6491" s="6" t="s">
        <v>97</v>
      </c>
      <c r="U6491" s="15" t="str">
        <f>HYPERLINK("https://media.infra-m.ru/2085/2085535/cover/2085535.jpg", "Обложка")</f>
        <v>Обложка</v>
      </c>
      <c r="V6491" s="8" t="s">
        <v>4448</v>
      </c>
      <c r="W6491" s="6"/>
      <c r="X6491" s="6"/>
      <c r="Y6491" s="6"/>
      <c r="Z6491" s="6"/>
      <c r="AA6491" s="6" t="s">
        <v>55</v>
      </c>
      <c r="AB6491" s="8"/>
      <c r="AC6491" s="27">
        <v>9785160056845</v>
      </c>
    </row>
    <row r="6492" spans="1:29" s="4" customFormat="1" ht="51.9" customHeight="1" x14ac:dyDescent="0.2">
      <c r="A6492" s="5">
        <v>0</v>
      </c>
      <c r="B6492" s="6" t="s">
        <v>36882</v>
      </c>
      <c r="C6492" s="7">
        <v>2188.8000000000002</v>
      </c>
      <c r="D6492" s="8" t="s">
        <v>36883</v>
      </c>
      <c r="E6492" s="8" t="s">
        <v>36873</v>
      </c>
      <c r="F6492" s="8" t="s">
        <v>36884</v>
      </c>
      <c r="G6492" s="6" t="s">
        <v>60</v>
      </c>
      <c r="H6492" s="6" t="s">
        <v>34</v>
      </c>
      <c r="I6492" s="8" t="s">
        <v>271</v>
      </c>
      <c r="J6492" s="9">
        <v>1</v>
      </c>
      <c r="K6492" s="9">
        <v>313</v>
      </c>
      <c r="L6492" s="9">
        <v>2027</v>
      </c>
      <c r="M6492" s="8" t="s">
        <v>36885</v>
      </c>
      <c r="N6492" s="8" t="s">
        <v>37</v>
      </c>
      <c r="O6492" s="8" t="s">
        <v>499</v>
      </c>
      <c r="P6492" s="6" t="s">
        <v>306</v>
      </c>
      <c r="Q6492" s="8" t="s">
        <v>52</v>
      </c>
      <c r="R6492" s="10" t="s">
        <v>36886</v>
      </c>
      <c r="S6492" s="11" t="s">
        <v>36887</v>
      </c>
      <c r="T6492" s="6"/>
      <c r="U6492" s="15" t="str">
        <f>HYPERLINK("https://media.infra-m.ru/2257/2257167/cover/2257167.jpg", "Обложка")</f>
        <v>Обложка</v>
      </c>
      <c r="V6492" s="8" t="s">
        <v>396</v>
      </c>
      <c r="W6492" s="6"/>
      <c r="X6492" s="6"/>
      <c r="Y6492" s="6"/>
      <c r="Z6492" s="6"/>
      <c r="AA6492" s="6" t="s">
        <v>55</v>
      </c>
      <c r="AB6492" s="8"/>
      <c r="AC6492" s="27">
        <v>9785160055251</v>
      </c>
    </row>
    <row r="6493" spans="1:29" s="4" customFormat="1" ht="42" customHeight="1" x14ac:dyDescent="0.2">
      <c r="A6493" s="5">
        <v>0</v>
      </c>
      <c r="B6493" s="6" t="s">
        <v>36888</v>
      </c>
      <c r="C6493" s="7">
        <v>2500.8000000000002</v>
      </c>
      <c r="D6493" s="8" t="s">
        <v>36889</v>
      </c>
      <c r="E6493" s="8" t="s">
        <v>36890</v>
      </c>
      <c r="F6493" s="8" t="s">
        <v>7831</v>
      </c>
      <c r="G6493" s="6" t="s">
        <v>60</v>
      </c>
      <c r="H6493" s="6" t="s">
        <v>34</v>
      </c>
      <c r="I6493" s="8" t="s">
        <v>253</v>
      </c>
      <c r="J6493" s="9">
        <v>1</v>
      </c>
      <c r="K6493" s="9">
        <v>359</v>
      </c>
      <c r="L6493" s="9">
        <v>2026</v>
      </c>
      <c r="M6493" s="8" t="s">
        <v>36891</v>
      </c>
      <c r="N6493" s="8" t="s">
        <v>37</v>
      </c>
      <c r="O6493" s="8" t="s">
        <v>499</v>
      </c>
      <c r="P6493" s="6" t="s">
        <v>51</v>
      </c>
      <c r="Q6493" s="8" t="s">
        <v>52</v>
      </c>
      <c r="R6493" s="10" t="s">
        <v>11492</v>
      </c>
      <c r="S6493" s="11"/>
      <c r="T6493" s="6"/>
      <c r="U6493" s="15" t="str">
        <f>HYPERLINK("https://media.infra-m.ru/2255/2255441/cover/2255441.jpg", "Обложка")</f>
        <v>Обложка</v>
      </c>
      <c r="V6493" s="8" t="s">
        <v>445</v>
      </c>
      <c r="W6493" s="6"/>
      <c r="X6493" s="6"/>
      <c r="Y6493" s="6"/>
      <c r="Z6493" s="6"/>
      <c r="AA6493" s="6" t="s">
        <v>157</v>
      </c>
      <c r="AB6493" s="8"/>
      <c r="AC6493" s="27">
        <v>9785160174235</v>
      </c>
    </row>
    <row r="6494" spans="1:29" s="4" customFormat="1" ht="42" customHeight="1" x14ac:dyDescent="0.2">
      <c r="A6494" s="5">
        <v>0</v>
      </c>
      <c r="B6494" s="6" t="s">
        <v>36892</v>
      </c>
      <c r="C6494" s="7">
        <v>2500.8000000000002</v>
      </c>
      <c r="D6494" s="8" t="s">
        <v>36893</v>
      </c>
      <c r="E6494" s="8" t="s">
        <v>36890</v>
      </c>
      <c r="F6494" s="8" t="s">
        <v>7831</v>
      </c>
      <c r="G6494" s="6" t="s">
        <v>118</v>
      </c>
      <c r="H6494" s="6" t="s">
        <v>34</v>
      </c>
      <c r="I6494" s="8" t="s">
        <v>263</v>
      </c>
      <c r="J6494" s="9">
        <v>1</v>
      </c>
      <c r="K6494" s="9">
        <v>359</v>
      </c>
      <c r="L6494" s="9">
        <v>2026</v>
      </c>
      <c r="M6494" s="8" t="s">
        <v>36894</v>
      </c>
      <c r="N6494" s="8" t="s">
        <v>37</v>
      </c>
      <c r="O6494" s="8" t="s">
        <v>499</v>
      </c>
      <c r="P6494" s="6" t="s">
        <v>51</v>
      </c>
      <c r="Q6494" s="8" t="s">
        <v>265</v>
      </c>
      <c r="R6494" s="10" t="s">
        <v>36895</v>
      </c>
      <c r="S6494" s="11"/>
      <c r="T6494" s="6"/>
      <c r="U6494" s="15" t="str">
        <f>HYPERLINK("https://media.infra-m.ru/2255/2255440/cover/2255440.jpg", "Обложка")</f>
        <v>Обложка</v>
      </c>
      <c r="V6494" s="8" t="s">
        <v>445</v>
      </c>
      <c r="W6494" s="6"/>
      <c r="X6494" s="6"/>
      <c r="Y6494" s="6"/>
      <c r="Z6494" s="6" t="s">
        <v>267</v>
      </c>
      <c r="AA6494" s="6" t="s">
        <v>157</v>
      </c>
      <c r="AB6494" s="8"/>
      <c r="AC6494" s="27">
        <v>9785160186450</v>
      </c>
    </row>
    <row r="6495" spans="1:29" s="4" customFormat="1" ht="42" customHeight="1" x14ac:dyDescent="0.2">
      <c r="A6495" s="5">
        <v>0</v>
      </c>
      <c r="B6495" s="6" t="s">
        <v>36896</v>
      </c>
      <c r="C6495" s="7">
        <v>1096.8</v>
      </c>
      <c r="D6495" s="8" t="s">
        <v>36897</v>
      </c>
      <c r="E6495" s="8" t="s">
        <v>36898</v>
      </c>
      <c r="F6495" s="8" t="s">
        <v>36899</v>
      </c>
      <c r="G6495" s="6" t="s">
        <v>118</v>
      </c>
      <c r="H6495" s="6" t="s">
        <v>34</v>
      </c>
      <c r="I6495" s="8" t="s">
        <v>35</v>
      </c>
      <c r="J6495" s="9">
        <v>1</v>
      </c>
      <c r="K6495" s="9">
        <v>158</v>
      </c>
      <c r="L6495" s="9">
        <v>2027</v>
      </c>
      <c r="M6495" s="8" t="s">
        <v>36900</v>
      </c>
      <c r="N6495" s="8" t="s">
        <v>37</v>
      </c>
      <c r="O6495" s="8" t="s">
        <v>499</v>
      </c>
      <c r="P6495" s="6" t="s">
        <v>39</v>
      </c>
      <c r="Q6495" s="8" t="s">
        <v>40</v>
      </c>
      <c r="R6495" s="10" t="s">
        <v>36901</v>
      </c>
      <c r="S6495" s="11"/>
      <c r="T6495" s="6"/>
      <c r="U6495" s="15" t="str">
        <f>HYPERLINK("https://media.infra-m.ru/2270/2270468/cover/2270468.jpg", "Обложка")</f>
        <v>Обложка</v>
      </c>
      <c r="V6495" s="8" t="s">
        <v>18868</v>
      </c>
      <c r="W6495" s="6"/>
      <c r="X6495" s="6"/>
      <c r="Y6495" s="6"/>
      <c r="Z6495" s="6"/>
      <c r="AA6495" s="6" t="s">
        <v>779</v>
      </c>
      <c r="AB6495" s="8"/>
      <c r="AC6495" s="27">
        <v>9785160119694</v>
      </c>
    </row>
    <row r="6496" spans="1:29" s="4" customFormat="1" ht="51.9" customHeight="1" x14ac:dyDescent="0.2">
      <c r="A6496" s="5">
        <v>0</v>
      </c>
      <c r="B6496" s="6" t="s">
        <v>36902</v>
      </c>
      <c r="C6496" s="7">
        <v>1992</v>
      </c>
      <c r="D6496" s="8" t="s">
        <v>36903</v>
      </c>
      <c r="E6496" s="8" t="s">
        <v>36904</v>
      </c>
      <c r="F6496" s="8" t="s">
        <v>36905</v>
      </c>
      <c r="G6496" s="6" t="s">
        <v>118</v>
      </c>
      <c r="H6496" s="6" t="s">
        <v>820</v>
      </c>
      <c r="I6496" s="8"/>
      <c r="J6496" s="9">
        <v>1</v>
      </c>
      <c r="K6496" s="9">
        <v>352</v>
      </c>
      <c r="L6496" s="9">
        <v>2024</v>
      </c>
      <c r="M6496" s="8" t="s">
        <v>36906</v>
      </c>
      <c r="N6496" s="8" t="s">
        <v>37</v>
      </c>
      <c r="O6496" s="8" t="s">
        <v>499</v>
      </c>
      <c r="P6496" s="6" t="s">
        <v>51</v>
      </c>
      <c r="Q6496" s="8" t="s">
        <v>52</v>
      </c>
      <c r="R6496" s="10" t="s">
        <v>36907</v>
      </c>
      <c r="S6496" s="11" t="s">
        <v>36908</v>
      </c>
      <c r="T6496" s="6"/>
      <c r="U6496" s="15" t="str">
        <f>HYPERLINK("https://media.infra-m.ru/2142/2142266/cover/2142266.jpg", "Обложка")</f>
        <v>Обложка</v>
      </c>
      <c r="V6496" s="8" t="s">
        <v>36909</v>
      </c>
      <c r="W6496" s="6"/>
      <c r="X6496" s="6"/>
      <c r="Y6496" s="6"/>
      <c r="Z6496" s="6"/>
      <c r="AA6496" s="6" t="s">
        <v>43</v>
      </c>
      <c r="AB6496" s="8"/>
      <c r="AC6496" s="27">
        <v>9785905554070</v>
      </c>
    </row>
    <row r="6497" spans="1:29" s="4" customFormat="1" ht="42" customHeight="1" x14ac:dyDescent="0.2">
      <c r="A6497" s="5">
        <v>0</v>
      </c>
      <c r="B6497" s="6" t="s">
        <v>36910</v>
      </c>
      <c r="C6497" s="7">
        <v>1216.8</v>
      </c>
      <c r="D6497" s="8" t="s">
        <v>36911</v>
      </c>
      <c r="E6497" s="8" t="s">
        <v>36912</v>
      </c>
      <c r="F6497" s="8" t="s">
        <v>36913</v>
      </c>
      <c r="G6497" s="6" t="s">
        <v>33</v>
      </c>
      <c r="H6497" s="6" t="s">
        <v>34</v>
      </c>
      <c r="I6497" s="8" t="s">
        <v>35</v>
      </c>
      <c r="J6497" s="9">
        <v>1</v>
      </c>
      <c r="K6497" s="9">
        <v>194</v>
      </c>
      <c r="L6497" s="9">
        <v>2025</v>
      </c>
      <c r="M6497" s="8" t="s">
        <v>36914</v>
      </c>
      <c r="N6497" s="8" t="s">
        <v>243</v>
      </c>
      <c r="O6497" s="8" t="s">
        <v>385</v>
      </c>
      <c r="P6497" s="6" t="s">
        <v>39</v>
      </c>
      <c r="Q6497" s="8" t="s">
        <v>40</v>
      </c>
      <c r="R6497" s="10" t="s">
        <v>378</v>
      </c>
      <c r="S6497" s="11"/>
      <c r="T6497" s="6"/>
      <c r="U6497" s="15" t="str">
        <f>HYPERLINK("https://media.infra-m.ru/2197/2197592/cover/2197592.jpg", "Обложка")</f>
        <v>Обложка</v>
      </c>
      <c r="V6497" s="8" t="s">
        <v>36915</v>
      </c>
      <c r="W6497" s="6"/>
      <c r="X6497" s="6"/>
      <c r="Y6497" s="6"/>
      <c r="Z6497" s="6"/>
      <c r="AA6497" s="6" t="s">
        <v>1256</v>
      </c>
      <c r="AB6497" s="8"/>
      <c r="AC6497" s="27">
        <v>9785160155845</v>
      </c>
    </row>
    <row r="6498" spans="1:29" s="4" customFormat="1" ht="51.9" customHeight="1" x14ac:dyDescent="0.2">
      <c r="A6498" s="5">
        <v>0</v>
      </c>
      <c r="B6498" s="6" t="s">
        <v>36916</v>
      </c>
      <c r="C6498" s="7">
        <v>1336.8</v>
      </c>
      <c r="D6498" s="8" t="s">
        <v>36917</v>
      </c>
      <c r="E6498" s="8" t="s">
        <v>36918</v>
      </c>
      <c r="F6498" s="8" t="s">
        <v>36919</v>
      </c>
      <c r="G6498" s="6" t="s">
        <v>118</v>
      </c>
      <c r="H6498" s="6" t="s">
        <v>34</v>
      </c>
      <c r="I6498" s="8" t="s">
        <v>504</v>
      </c>
      <c r="J6498" s="9">
        <v>1</v>
      </c>
      <c r="K6498" s="9">
        <v>191</v>
      </c>
      <c r="L6498" s="9">
        <v>2025</v>
      </c>
      <c r="M6498" s="8" t="s">
        <v>36920</v>
      </c>
      <c r="N6498" s="8" t="s">
        <v>243</v>
      </c>
      <c r="O6498" s="8" t="s">
        <v>798</v>
      </c>
      <c r="P6498" s="6" t="s">
        <v>51</v>
      </c>
      <c r="Q6498" s="8" t="s">
        <v>500</v>
      </c>
      <c r="R6498" s="10" t="s">
        <v>6735</v>
      </c>
      <c r="S6498" s="11" t="s">
        <v>36921</v>
      </c>
      <c r="T6498" s="6" t="s">
        <v>97</v>
      </c>
      <c r="U6498" s="15" t="str">
        <f>HYPERLINK("https://media.infra-m.ru/2199/2199961/cover/2199961.jpg", "Обложка")</f>
        <v>Обложка</v>
      </c>
      <c r="V6498" s="8" t="s">
        <v>843</v>
      </c>
      <c r="W6498" s="6"/>
      <c r="X6498" s="6"/>
      <c r="Y6498" s="6"/>
      <c r="Z6498" s="6"/>
      <c r="AA6498" s="6" t="s">
        <v>115</v>
      </c>
      <c r="AB6498" s="8"/>
      <c r="AC6498" s="27">
        <v>9785160135618</v>
      </c>
    </row>
    <row r="6499" spans="1:29" s="4" customFormat="1" ht="51.9" customHeight="1" x14ac:dyDescent="0.2">
      <c r="A6499" s="5">
        <v>0</v>
      </c>
      <c r="B6499" s="6" t="s">
        <v>36922</v>
      </c>
      <c r="C6499" s="7">
        <v>1480.8</v>
      </c>
      <c r="D6499" s="8" t="s">
        <v>36923</v>
      </c>
      <c r="E6499" s="8" t="s">
        <v>36924</v>
      </c>
      <c r="F6499" s="8" t="s">
        <v>36925</v>
      </c>
      <c r="G6499" s="6" t="s">
        <v>118</v>
      </c>
      <c r="H6499" s="6" t="s">
        <v>34</v>
      </c>
      <c r="I6499" s="8" t="s">
        <v>253</v>
      </c>
      <c r="J6499" s="9">
        <v>1</v>
      </c>
      <c r="K6499" s="9">
        <v>224</v>
      </c>
      <c r="L6499" s="9">
        <v>2026</v>
      </c>
      <c r="M6499" s="8" t="s">
        <v>36926</v>
      </c>
      <c r="N6499" s="8" t="s">
        <v>243</v>
      </c>
      <c r="O6499" s="8" t="s">
        <v>798</v>
      </c>
      <c r="P6499" s="6" t="s">
        <v>51</v>
      </c>
      <c r="Q6499" s="8" t="s">
        <v>52</v>
      </c>
      <c r="R6499" s="10" t="s">
        <v>6735</v>
      </c>
      <c r="S6499" s="11" t="s">
        <v>36927</v>
      </c>
      <c r="T6499" s="6"/>
      <c r="U6499" s="15" t="str">
        <f>HYPERLINK("https://media.infra-m.ru/2238/2238048/cover/2238048.jpg", "Обложка")</f>
        <v>Обложка</v>
      </c>
      <c r="V6499" s="8" t="s">
        <v>1639</v>
      </c>
      <c r="W6499" s="6"/>
      <c r="X6499" s="6"/>
      <c r="Y6499" s="6"/>
      <c r="Z6499" s="6"/>
      <c r="AA6499" s="6" t="s">
        <v>1047</v>
      </c>
      <c r="AB6499" s="8"/>
      <c r="AC6499" s="27">
        <v>9785160032658</v>
      </c>
    </row>
    <row r="6500" spans="1:29" s="4" customFormat="1" ht="51.9" customHeight="1" x14ac:dyDescent="0.2">
      <c r="A6500" s="5">
        <v>0</v>
      </c>
      <c r="B6500" s="6" t="s">
        <v>36928</v>
      </c>
      <c r="C6500" s="7">
        <v>1552.8</v>
      </c>
      <c r="D6500" s="8" t="s">
        <v>36929</v>
      </c>
      <c r="E6500" s="8" t="s">
        <v>36924</v>
      </c>
      <c r="F6500" s="8" t="s">
        <v>36930</v>
      </c>
      <c r="G6500" s="6" t="s">
        <v>118</v>
      </c>
      <c r="H6500" s="6" t="s">
        <v>34</v>
      </c>
      <c r="I6500" s="8" t="s">
        <v>263</v>
      </c>
      <c r="J6500" s="9">
        <v>1</v>
      </c>
      <c r="K6500" s="9">
        <v>224</v>
      </c>
      <c r="L6500" s="9">
        <v>2026</v>
      </c>
      <c r="M6500" s="8" t="s">
        <v>36931</v>
      </c>
      <c r="N6500" s="8" t="s">
        <v>243</v>
      </c>
      <c r="O6500" s="8" t="s">
        <v>798</v>
      </c>
      <c r="P6500" s="6" t="s">
        <v>51</v>
      </c>
      <c r="Q6500" s="8" t="s">
        <v>265</v>
      </c>
      <c r="R6500" s="10" t="s">
        <v>25186</v>
      </c>
      <c r="S6500" s="11" t="s">
        <v>36932</v>
      </c>
      <c r="T6500" s="6"/>
      <c r="U6500" s="15" t="str">
        <f>HYPERLINK("https://media.infra-m.ru/2261/2261997/cover/2261997.jpg", "Обложка")</f>
        <v>Обложка</v>
      </c>
      <c r="V6500" s="8" t="s">
        <v>1639</v>
      </c>
      <c r="W6500" s="6"/>
      <c r="X6500" s="6"/>
      <c r="Y6500" s="6"/>
      <c r="Z6500" s="6" t="s">
        <v>267</v>
      </c>
      <c r="AA6500" s="6" t="s">
        <v>115</v>
      </c>
      <c r="AB6500" s="8"/>
      <c r="AC6500" s="27">
        <v>9785160151557</v>
      </c>
    </row>
    <row r="6501" spans="1:29" s="4" customFormat="1" ht="51.9" customHeight="1" x14ac:dyDescent="0.2">
      <c r="A6501" s="5">
        <v>0</v>
      </c>
      <c r="B6501" s="6" t="s">
        <v>36933</v>
      </c>
      <c r="C6501" s="7">
        <v>1380</v>
      </c>
      <c r="D6501" s="8" t="s">
        <v>36934</v>
      </c>
      <c r="E6501" s="8" t="s">
        <v>36935</v>
      </c>
      <c r="F6501" s="8" t="s">
        <v>36936</v>
      </c>
      <c r="G6501" s="6" t="s">
        <v>118</v>
      </c>
      <c r="H6501" s="6" t="s">
        <v>34</v>
      </c>
      <c r="I6501" s="8" t="s">
        <v>253</v>
      </c>
      <c r="J6501" s="9">
        <v>1</v>
      </c>
      <c r="K6501" s="9">
        <v>208</v>
      </c>
      <c r="L6501" s="9">
        <v>2026</v>
      </c>
      <c r="M6501" s="8" t="s">
        <v>36937</v>
      </c>
      <c r="N6501" s="8" t="s">
        <v>243</v>
      </c>
      <c r="O6501" s="8" t="s">
        <v>798</v>
      </c>
      <c r="P6501" s="6" t="s">
        <v>306</v>
      </c>
      <c r="Q6501" s="8" t="s">
        <v>65</v>
      </c>
      <c r="R6501" s="10" t="s">
        <v>7812</v>
      </c>
      <c r="S6501" s="11" t="s">
        <v>36938</v>
      </c>
      <c r="T6501" s="6"/>
      <c r="U6501" s="15" t="str">
        <f>HYPERLINK("https://media.infra-m.ru/2244/2244131/cover/2244131.jpg", "Обложка")</f>
        <v>Обложка</v>
      </c>
      <c r="V6501" s="8" t="s">
        <v>1639</v>
      </c>
      <c r="W6501" s="6"/>
      <c r="X6501" s="6"/>
      <c r="Y6501" s="6"/>
      <c r="Z6501" s="6" t="s">
        <v>3974</v>
      </c>
      <c r="AA6501" s="6" t="s">
        <v>1256</v>
      </c>
      <c r="AB6501" s="8"/>
      <c r="AC6501" s="27">
        <v>9785160186214</v>
      </c>
    </row>
    <row r="6502" spans="1:29" s="4" customFormat="1" ht="51.9" customHeight="1" x14ac:dyDescent="0.2">
      <c r="A6502" s="5">
        <v>0</v>
      </c>
      <c r="B6502" s="6" t="s">
        <v>36939</v>
      </c>
      <c r="C6502" s="7">
        <v>1380</v>
      </c>
      <c r="D6502" s="8" t="s">
        <v>36940</v>
      </c>
      <c r="E6502" s="8" t="s">
        <v>36935</v>
      </c>
      <c r="F6502" s="8" t="s">
        <v>36936</v>
      </c>
      <c r="G6502" s="6" t="s">
        <v>118</v>
      </c>
      <c r="H6502" s="6" t="s">
        <v>34</v>
      </c>
      <c r="I6502" s="8" t="s">
        <v>263</v>
      </c>
      <c r="J6502" s="9">
        <v>1</v>
      </c>
      <c r="K6502" s="9">
        <v>208</v>
      </c>
      <c r="L6502" s="9">
        <v>2026</v>
      </c>
      <c r="M6502" s="8" t="s">
        <v>36941</v>
      </c>
      <c r="N6502" s="8" t="s">
        <v>243</v>
      </c>
      <c r="O6502" s="8" t="s">
        <v>798</v>
      </c>
      <c r="P6502" s="6" t="s">
        <v>306</v>
      </c>
      <c r="Q6502" s="8" t="s">
        <v>265</v>
      </c>
      <c r="R6502" s="10" t="s">
        <v>36942</v>
      </c>
      <c r="S6502" s="11" t="s">
        <v>36943</v>
      </c>
      <c r="T6502" s="6"/>
      <c r="U6502" s="15" t="str">
        <f>HYPERLINK("https://media.infra-m.ru/2256/2256954/cover/2256954.jpg", "Обложка")</f>
        <v>Обложка</v>
      </c>
      <c r="V6502" s="8" t="s">
        <v>1639</v>
      </c>
      <c r="W6502" s="6"/>
      <c r="X6502" s="6"/>
      <c r="Y6502" s="6"/>
      <c r="Z6502" s="6"/>
      <c r="AA6502" s="6" t="s">
        <v>13424</v>
      </c>
      <c r="AB6502" s="8"/>
      <c r="AC6502" s="27">
        <v>9785160090917</v>
      </c>
    </row>
    <row r="6503" spans="1:29" s="4" customFormat="1" ht="51.9" customHeight="1" x14ac:dyDescent="0.2">
      <c r="A6503" s="5">
        <v>0</v>
      </c>
      <c r="B6503" s="6" t="s">
        <v>36944</v>
      </c>
      <c r="C6503" s="7">
        <v>1660.8</v>
      </c>
      <c r="D6503" s="8" t="s">
        <v>36945</v>
      </c>
      <c r="E6503" s="8" t="s">
        <v>36946</v>
      </c>
      <c r="F6503" s="8" t="s">
        <v>22888</v>
      </c>
      <c r="G6503" s="6" t="s">
        <v>118</v>
      </c>
      <c r="H6503" s="6" t="s">
        <v>34</v>
      </c>
      <c r="I6503" s="8" t="s">
        <v>263</v>
      </c>
      <c r="J6503" s="9">
        <v>1</v>
      </c>
      <c r="K6503" s="9">
        <v>238</v>
      </c>
      <c r="L6503" s="9">
        <v>2026</v>
      </c>
      <c r="M6503" s="8" t="s">
        <v>36947</v>
      </c>
      <c r="N6503" s="8" t="s">
        <v>243</v>
      </c>
      <c r="O6503" s="8" t="s">
        <v>798</v>
      </c>
      <c r="P6503" s="6" t="s">
        <v>51</v>
      </c>
      <c r="Q6503" s="8" t="s">
        <v>265</v>
      </c>
      <c r="R6503" s="10" t="s">
        <v>36948</v>
      </c>
      <c r="S6503" s="11" t="s">
        <v>36949</v>
      </c>
      <c r="T6503" s="6"/>
      <c r="U6503" s="15" t="str">
        <f>HYPERLINK("https://media.infra-m.ru/2263/2263275/cover/2263275.jpg", "Обложка")</f>
        <v>Обложка</v>
      </c>
      <c r="V6503" s="8" t="s">
        <v>831</v>
      </c>
      <c r="W6503" s="6"/>
      <c r="X6503" s="6" t="s">
        <v>24</v>
      </c>
      <c r="Y6503" s="6"/>
      <c r="Z6503" s="6"/>
      <c r="AA6503" s="6" t="s">
        <v>1047</v>
      </c>
      <c r="AB6503" s="8"/>
      <c r="AC6503" s="27">
        <v>9785160092638</v>
      </c>
    </row>
    <row r="6504" spans="1:29" s="4" customFormat="1" ht="51.9" customHeight="1" x14ac:dyDescent="0.2">
      <c r="A6504" s="5">
        <v>0</v>
      </c>
      <c r="B6504" s="6" t="s">
        <v>36950</v>
      </c>
      <c r="C6504" s="7">
        <v>1948.8</v>
      </c>
      <c r="D6504" s="8" t="s">
        <v>36951</v>
      </c>
      <c r="E6504" s="8" t="s">
        <v>36952</v>
      </c>
      <c r="F6504" s="8" t="s">
        <v>36953</v>
      </c>
      <c r="G6504" s="6" t="s">
        <v>60</v>
      </c>
      <c r="H6504" s="6" t="s">
        <v>34</v>
      </c>
      <c r="I6504" s="8" t="s">
        <v>1128</v>
      </c>
      <c r="J6504" s="9">
        <v>1</v>
      </c>
      <c r="K6504" s="9">
        <v>280</v>
      </c>
      <c r="L6504" s="9">
        <v>2027</v>
      </c>
      <c r="M6504" s="8" t="s">
        <v>36954</v>
      </c>
      <c r="N6504" s="8" t="s">
        <v>585</v>
      </c>
      <c r="O6504" s="8" t="s">
        <v>775</v>
      </c>
      <c r="P6504" s="6" t="s">
        <v>51</v>
      </c>
      <c r="Q6504" s="8" t="s">
        <v>65</v>
      </c>
      <c r="R6504" s="10" t="s">
        <v>36955</v>
      </c>
      <c r="S6504" s="11" t="s">
        <v>17776</v>
      </c>
      <c r="T6504" s="6"/>
      <c r="U6504" s="15" t="str">
        <f>HYPERLINK("https://media.infra-m.ru/2272/2272549/cover/2272549.jpg", "Обложка")</f>
        <v>Обложка</v>
      </c>
      <c r="V6504" s="8" t="s">
        <v>1132</v>
      </c>
      <c r="W6504" s="6"/>
      <c r="X6504" s="6"/>
      <c r="Y6504" s="6"/>
      <c r="Z6504" s="6"/>
      <c r="AA6504" s="6" t="s">
        <v>76</v>
      </c>
      <c r="AB6504" s="8"/>
      <c r="AC6504" s="27">
        <v>9785160189970</v>
      </c>
    </row>
    <row r="6505" spans="1:29" s="4" customFormat="1" ht="44.1" customHeight="1" x14ac:dyDescent="0.2">
      <c r="A6505" s="5">
        <v>0</v>
      </c>
      <c r="B6505" s="6" t="s">
        <v>36956</v>
      </c>
      <c r="C6505" s="7">
        <v>1188</v>
      </c>
      <c r="D6505" s="8" t="s">
        <v>36957</v>
      </c>
      <c r="E6505" s="8" t="s">
        <v>36958</v>
      </c>
      <c r="F6505" s="8" t="s">
        <v>36959</v>
      </c>
      <c r="G6505" s="6" t="s">
        <v>60</v>
      </c>
      <c r="H6505" s="6" t="s">
        <v>34</v>
      </c>
      <c r="I6505" s="8" t="s">
        <v>14000</v>
      </c>
      <c r="J6505" s="9">
        <v>1</v>
      </c>
      <c r="K6505" s="9">
        <v>207</v>
      </c>
      <c r="L6505" s="9">
        <v>2024</v>
      </c>
      <c r="M6505" s="8" t="s">
        <v>36960</v>
      </c>
      <c r="N6505" s="8" t="s">
        <v>37</v>
      </c>
      <c r="O6505" s="8" t="s">
        <v>499</v>
      </c>
      <c r="P6505" s="6" t="s">
        <v>51</v>
      </c>
      <c r="Q6505" s="8" t="s">
        <v>52</v>
      </c>
      <c r="R6505" s="10" t="s">
        <v>36961</v>
      </c>
      <c r="S6505" s="11"/>
      <c r="T6505" s="6"/>
      <c r="U6505" s="15" t="str">
        <f>HYPERLINK("https://media.infra-m.ru/1895/1895314/cover/1895314.jpg", "Обложка")</f>
        <v>Обложка</v>
      </c>
      <c r="V6505" s="8" t="s">
        <v>36962</v>
      </c>
      <c r="W6505" s="6"/>
      <c r="X6505" s="6"/>
      <c r="Y6505" s="6"/>
      <c r="Z6505" s="6"/>
      <c r="AA6505" s="6" t="s">
        <v>76</v>
      </c>
      <c r="AB6505" s="8"/>
      <c r="AC6505" s="27">
        <v>9785160178875</v>
      </c>
    </row>
    <row r="6506" spans="1:29" s="4" customFormat="1" ht="42" customHeight="1" x14ac:dyDescent="0.2">
      <c r="A6506" s="5">
        <v>0</v>
      </c>
      <c r="B6506" s="6" t="s">
        <v>36963</v>
      </c>
      <c r="C6506" s="7">
        <v>1476</v>
      </c>
      <c r="D6506" s="8" t="s">
        <v>36964</v>
      </c>
      <c r="E6506" s="8" t="s">
        <v>36965</v>
      </c>
      <c r="F6506" s="8" t="s">
        <v>36966</v>
      </c>
      <c r="G6506" s="6" t="s">
        <v>60</v>
      </c>
      <c r="H6506" s="6" t="s">
        <v>34</v>
      </c>
      <c r="I6506" s="8" t="s">
        <v>504</v>
      </c>
      <c r="J6506" s="9">
        <v>1</v>
      </c>
      <c r="K6506" s="9">
        <v>245</v>
      </c>
      <c r="L6506" s="9">
        <v>2024</v>
      </c>
      <c r="M6506" s="8" t="s">
        <v>36967</v>
      </c>
      <c r="N6506" s="8" t="s">
        <v>37</v>
      </c>
      <c r="O6506" s="8" t="s">
        <v>280</v>
      </c>
      <c r="P6506" s="6" t="s">
        <v>51</v>
      </c>
      <c r="Q6506" s="8" t="s">
        <v>65</v>
      </c>
      <c r="R6506" s="10" t="s">
        <v>1824</v>
      </c>
      <c r="S6506" s="11"/>
      <c r="T6506" s="6"/>
      <c r="U6506" s="15" t="str">
        <f>HYPERLINK("https://media.infra-m.ru/1989/1989241/cover/1989241.jpg", "Обложка")</f>
        <v>Обложка</v>
      </c>
      <c r="V6506" s="8" t="s">
        <v>20093</v>
      </c>
      <c r="W6506" s="6"/>
      <c r="X6506" s="6"/>
      <c r="Y6506" s="6"/>
      <c r="Z6506" s="6"/>
      <c r="AA6506" s="6" t="s">
        <v>76</v>
      </c>
      <c r="AB6506" s="8"/>
      <c r="AC6506" s="27">
        <v>9785160183794</v>
      </c>
    </row>
    <row r="6507" spans="1:29" s="4" customFormat="1" ht="51.9" customHeight="1" x14ac:dyDescent="0.2">
      <c r="A6507" s="5">
        <v>0</v>
      </c>
      <c r="B6507" s="6" t="s">
        <v>36968</v>
      </c>
      <c r="C6507" s="13">
        <v>857.9</v>
      </c>
      <c r="D6507" s="8" t="s">
        <v>36969</v>
      </c>
      <c r="E6507" s="8" t="s">
        <v>36970</v>
      </c>
      <c r="F6507" s="8" t="s">
        <v>36971</v>
      </c>
      <c r="G6507" s="6" t="s">
        <v>60</v>
      </c>
      <c r="H6507" s="6" t="s">
        <v>34</v>
      </c>
      <c r="I6507" s="8" t="s">
        <v>35</v>
      </c>
      <c r="J6507" s="9">
        <v>1</v>
      </c>
      <c r="K6507" s="9">
        <v>232</v>
      </c>
      <c r="L6507" s="9">
        <v>2017</v>
      </c>
      <c r="M6507" s="8" t="s">
        <v>36972</v>
      </c>
      <c r="N6507" s="8" t="s">
        <v>37</v>
      </c>
      <c r="O6507" s="8" t="s">
        <v>280</v>
      </c>
      <c r="P6507" s="6" t="s">
        <v>39</v>
      </c>
      <c r="Q6507" s="8" t="s">
        <v>40</v>
      </c>
      <c r="R6507" s="10" t="s">
        <v>36973</v>
      </c>
      <c r="S6507" s="11"/>
      <c r="T6507" s="6"/>
      <c r="U6507" s="12"/>
      <c r="V6507" s="8" t="s">
        <v>3196</v>
      </c>
      <c r="W6507" s="6"/>
      <c r="X6507" s="6"/>
      <c r="Y6507" s="6"/>
      <c r="Z6507" s="6"/>
      <c r="AA6507" s="6" t="s">
        <v>718</v>
      </c>
      <c r="AB6507" s="8"/>
      <c r="AC6507" s="27">
        <v>9785160061719</v>
      </c>
    </row>
    <row r="6508" spans="1:29" s="4" customFormat="1" ht="51.9" customHeight="1" x14ac:dyDescent="0.2">
      <c r="A6508" s="5">
        <v>0</v>
      </c>
      <c r="B6508" s="6" t="s">
        <v>36974</v>
      </c>
      <c r="C6508" s="7">
        <v>1253.9000000000001</v>
      </c>
      <c r="D6508" s="8" t="s">
        <v>36975</v>
      </c>
      <c r="E6508" s="8" t="s">
        <v>36970</v>
      </c>
      <c r="F6508" s="8" t="s">
        <v>36971</v>
      </c>
      <c r="G6508" s="6" t="s">
        <v>33</v>
      </c>
      <c r="H6508" s="6" t="s">
        <v>34</v>
      </c>
      <c r="I6508" s="8" t="s">
        <v>35</v>
      </c>
      <c r="J6508" s="9">
        <v>1</v>
      </c>
      <c r="K6508" s="9">
        <v>232</v>
      </c>
      <c r="L6508" s="9">
        <v>2023</v>
      </c>
      <c r="M6508" s="8" t="s">
        <v>36976</v>
      </c>
      <c r="N6508" s="8" t="s">
        <v>37</v>
      </c>
      <c r="O6508" s="8" t="s">
        <v>280</v>
      </c>
      <c r="P6508" s="6" t="s">
        <v>39</v>
      </c>
      <c r="Q6508" s="8" t="s">
        <v>40</v>
      </c>
      <c r="R6508" s="10" t="s">
        <v>36973</v>
      </c>
      <c r="S6508" s="11"/>
      <c r="T6508" s="6"/>
      <c r="U6508" s="15" t="str">
        <f>HYPERLINK("https://media.infra-m.ru/2045/2045793/cover/2045793.jpg", "Обложка")</f>
        <v>Обложка</v>
      </c>
      <c r="V6508" s="8" t="s">
        <v>3196</v>
      </c>
      <c r="W6508" s="6"/>
      <c r="X6508" s="6"/>
      <c r="Y6508" s="6"/>
      <c r="Z6508" s="6"/>
      <c r="AA6508" s="6" t="s">
        <v>718</v>
      </c>
      <c r="AB6508" s="8"/>
      <c r="AC6508" s="27">
        <v>9785160152684</v>
      </c>
    </row>
    <row r="6509" spans="1:29" s="4" customFormat="1" ht="51.9" customHeight="1" x14ac:dyDescent="0.2">
      <c r="A6509" s="5">
        <v>0</v>
      </c>
      <c r="B6509" s="6" t="s">
        <v>36977</v>
      </c>
      <c r="C6509" s="7">
        <v>1440</v>
      </c>
      <c r="D6509" s="8" t="s">
        <v>36978</v>
      </c>
      <c r="E6509" s="8" t="s">
        <v>36979</v>
      </c>
      <c r="F6509" s="8" t="s">
        <v>36980</v>
      </c>
      <c r="G6509" s="6" t="s">
        <v>118</v>
      </c>
      <c r="H6509" s="6" t="s">
        <v>34</v>
      </c>
      <c r="I6509" s="8" t="s">
        <v>253</v>
      </c>
      <c r="J6509" s="9">
        <v>1</v>
      </c>
      <c r="K6509" s="9">
        <v>197</v>
      </c>
      <c r="L6509" s="9">
        <v>2026</v>
      </c>
      <c r="M6509" s="8" t="s">
        <v>36981</v>
      </c>
      <c r="N6509" s="8" t="s">
        <v>243</v>
      </c>
      <c r="O6509" s="8" t="s">
        <v>758</v>
      </c>
      <c r="P6509" s="6" t="s">
        <v>51</v>
      </c>
      <c r="Q6509" s="8" t="s">
        <v>65</v>
      </c>
      <c r="R6509" s="10" t="s">
        <v>9434</v>
      </c>
      <c r="S6509" s="11" t="s">
        <v>36982</v>
      </c>
      <c r="T6509" s="6"/>
      <c r="U6509" s="15" t="str">
        <f>HYPERLINK("https://media.infra-m.ru/2232/2232950/cover/2232950.jpg", "Обложка")</f>
        <v>Обложка</v>
      </c>
      <c r="V6509" s="8" t="s">
        <v>911</v>
      </c>
      <c r="W6509" s="6"/>
      <c r="X6509" s="6"/>
      <c r="Y6509" s="6"/>
      <c r="Z6509" s="6"/>
      <c r="AA6509" s="6" t="s">
        <v>1256</v>
      </c>
      <c r="AB6509" s="8"/>
      <c r="AC6509" s="27">
        <v>9785160188348</v>
      </c>
    </row>
    <row r="6510" spans="1:29" s="4" customFormat="1" ht="51.9" customHeight="1" x14ac:dyDescent="0.2">
      <c r="A6510" s="5">
        <v>0</v>
      </c>
      <c r="B6510" s="6" t="s">
        <v>36983</v>
      </c>
      <c r="C6510" s="7">
        <v>1260</v>
      </c>
      <c r="D6510" s="8" t="s">
        <v>36984</v>
      </c>
      <c r="E6510" s="8" t="s">
        <v>36979</v>
      </c>
      <c r="F6510" s="8" t="s">
        <v>36985</v>
      </c>
      <c r="G6510" s="6" t="s">
        <v>118</v>
      </c>
      <c r="H6510" s="6" t="s">
        <v>34</v>
      </c>
      <c r="I6510" s="8" t="s">
        <v>253</v>
      </c>
      <c r="J6510" s="9">
        <v>1</v>
      </c>
      <c r="K6510" s="9">
        <v>191</v>
      </c>
      <c r="L6510" s="9">
        <v>2026</v>
      </c>
      <c r="M6510" s="8" t="s">
        <v>36986</v>
      </c>
      <c r="N6510" s="8" t="s">
        <v>243</v>
      </c>
      <c r="O6510" s="8" t="s">
        <v>758</v>
      </c>
      <c r="P6510" s="6" t="s">
        <v>51</v>
      </c>
      <c r="Q6510" s="8" t="s">
        <v>52</v>
      </c>
      <c r="R6510" s="10" t="s">
        <v>36987</v>
      </c>
      <c r="S6510" s="11" t="s">
        <v>36988</v>
      </c>
      <c r="T6510" s="6"/>
      <c r="U6510" s="15" t="str">
        <f>HYPERLINK("https://media.infra-m.ru/2218/2218020/cover/2218020.jpg", "Обложка")</f>
        <v>Обложка</v>
      </c>
      <c r="V6510" s="8" t="s">
        <v>11774</v>
      </c>
      <c r="W6510" s="6"/>
      <c r="X6510" s="6"/>
      <c r="Y6510" s="6"/>
      <c r="Z6510" s="6"/>
      <c r="AA6510" s="6" t="s">
        <v>430</v>
      </c>
      <c r="AB6510" s="8"/>
      <c r="AC6510" s="27">
        <v>9785160192406</v>
      </c>
    </row>
    <row r="6511" spans="1:29" s="4" customFormat="1" ht="51.9" customHeight="1" x14ac:dyDescent="0.2">
      <c r="A6511" s="5">
        <v>0</v>
      </c>
      <c r="B6511" s="6" t="s">
        <v>36989</v>
      </c>
      <c r="C6511" s="7">
        <v>2244</v>
      </c>
      <c r="D6511" s="8" t="s">
        <v>36990</v>
      </c>
      <c r="E6511" s="8" t="s">
        <v>36991</v>
      </c>
      <c r="F6511" s="8" t="s">
        <v>36992</v>
      </c>
      <c r="G6511" s="6" t="s">
        <v>60</v>
      </c>
      <c r="H6511" s="6" t="s">
        <v>34</v>
      </c>
      <c r="I6511" s="8" t="s">
        <v>253</v>
      </c>
      <c r="J6511" s="9">
        <v>1</v>
      </c>
      <c r="K6511" s="9">
        <v>324</v>
      </c>
      <c r="L6511" s="9">
        <v>2027</v>
      </c>
      <c r="M6511" s="8" t="s">
        <v>36993</v>
      </c>
      <c r="N6511" s="8" t="s">
        <v>63</v>
      </c>
      <c r="O6511" s="8" t="s">
        <v>9718</v>
      </c>
      <c r="P6511" s="6" t="s">
        <v>51</v>
      </c>
      <c r="Q6511" s="8" t="s">
        <v>65</v>
      </c>
      <c r="R6511" s="10" t="s">
        <v>36994</v>
      </c>
      <c r="S6511" s="11"/>
      <c r="T6511" s="6"/>
      <c r="U6511" s="15" t="str">
        <f>HYPERLINK("https://media.infra-m.ru/2228/2228604/cover/2228604.jpg", "Обложка")</f>
        <v>Обложка</v>
      </c>
      <c r="V6511" s="8" t="s">
        <v>9822</v>
      </c>
      <c r="W6511" s="6" t="s">
        <v>649</v>
      </c>
      <c r="X6511" s="6"/>
      <c r="Y6511" s="6"/>
      <c r="Z6511" s="6"/>
      <c r="AA6511" s="6" t="s">
        <v>420</v>
      </c>
      <c r="AB6511" s="8"/>
      <c r="AC6511" s="27">
        <v>9785160215235</v>
      </c>
    </row>
    <row r="6512" spans="1:29" s="4" customFormat="1" ht="44.1" customHeight="1" x14ac:dyDescent="0.2">
      <c r="A6512" s="5">
        <v>0</v>
      </c>
      <c r="B6512" s="6" t="s">
        <v>36995</v>
      </c>
      <c r="C6512" s="7">
        <v>2092.8000000000002</v>
      </c>
      <c r="D6512" s="8" t="s">
        <v>36996</v>
      </c>
      <c r="E6512" s="8" t="s">
        <v>36997</v>
      </c>
      <c r="F6512" s="8" t="s">
        <v>17426</v>
      </c>
      <c r="G6512" s="6" t="s">
        <v>60</v>
      </c>
      <c r="H6512" s="6" t="s">
        <v>34</v>
      </c>
      <c r="I6512" s="8" t="s">
        <v>271</v>
      </c>
      <c r="J6512" s="9">
        <v>1</v>
      </c>
      <c r="K6512" s="9">
        <v>335</v>
      </c>
      <c r="L6512" s="9">
        <v>2026</v>
      </c>
      <c r="M6512" s="8" t="s">
        <v>36998</v>
      </c>
      <c r="N6512" s="8" t="s">
        <v>63</v>
      </c>
      <c r="O6512" s="8" t="s">
        <v>9718</v>
      </c>
      <c r="P6512" s="6" t="s">
        <v>306</v>
      </c>
      <c r="Q6512" s="8" t="s">
        <v>52</v>
      </c>
      <c r="R6512" s="10" t="s">
        <v>36999</v>
      </c>
      <c r="S6512" s="11"/>
      <c r="T6512" s="6"/>
      <c r="U6512" s="15" t="str">
        <f>HYPERLINK("https://media.infra-m.ru/2222/2222983/cover/2222983.jpg", "Обложка")</f>
        <v>Обложка</v>
      </c>
      <c r="V6512" s="8" t="s">
        <v>17428</v>
      </c>
      <c r="W6512" s="6"/>
      <c r="X6512" s="6"/>
      <c r="Y6512" s="6"/>
      <c r="Z6512" s="6"/>
      <c r="AA6512" s="6" t="s">
        <v>718</v>
      </c>
      <c r="AB6512" s="8"/>
      <c r="AC6512" s="27">
        <v>9785160105642</v>
      </c>
    </row>
    <row r="6513" spans="1:29" s="4" customFormat="1" ht="51.9" customHeight="1" x14ac:dyDescent="0.2">
      <c r="A6513" s="5">
        <v>0</v>
      </c>
      <c r="B6513" s="6" t="s">
        <v>37000</v>
      </c>
      <c r="C6513" s="7">
        <v>2560.8000000000002</v>
      </c>
      <c r="D6513" s="8" t="s">
        <v>37001</v>
      </c>
      <c r="E6513" s="8" t="s">
        <v>37002</v>
      </c>
      <c r="F6513" s="8" t="s">
        <v>37003</v>
      </c>
      <c r="G6513" s="6" t="s">
        <v>118</v>
      </c>
      <c r="H6513" s="6" t="s">
        <v>34</v>
      </c>
      <c r="I6513" s="8" t="s">
        <v>253</v>
      </c>
      <c r="J6513" s="9">
        <v>1</v>
      </c>
      <c r="K6513" s="9">
        <v>370</v>
      </c>
      <c r="L6513" s="9">
        <v>2026</v>
      </c>
      <c r="M6513" s="8" t="s">
        <v>37004</v>
      </c>
      <c r="N6513" s="8" t="s">
        <v>63</v>
      </c>
      <c r="O6513" s="8" t="s">
        <v>9718</v>
      </c>
      <c r="P6513" s="6" t="s">
        <v>51</v>
      </c>
      <c r="Q6513" s="8" t="s">
        <v>52</v>
      </c>
      <c r="R6513" s="10" t="s">
        <v>37005</v>
      </c>
      <c r="S6513" s="11" t="s">
        <v>37006</v>
      </c>
      <c r="T6513" s="6" t="s">
        <v>97</v>
      </c>
      <c r="U6513" s="15" t="str">
        <f>HYPERLINK("https://media.infra-m.ru/2270/2270326/cover/2270326.jpg", "Обложка")</f>
        <v>Обложка</v>
      </c>
      <c r="V6513" s="8" t="s">
        <v>809</v>
      </c>
      <c r="W6513" s="6"/>
      <c r="X6513" s="6"/>
      <c r="Y6513" s="6"/>
      <c r="Z6513" s="6"/>
      <c r="AA6513" s="6" t="s">
        <v>779</v>
      </c>
      <c r="AB6513" s="8"/>
      <c r="AC6513" s="27">
        <v>9785160191492</v>
      </c>
    </row>
    <row r="6514" spans="1:29" s="4" customFormat="1" ht="51.9" customHeight="1" x14ac:dyDescent="0.2">
      <c r="A6514" s="5">
        <v>0</v>
      </c>
      <c r="B6514" s="6" t="s">
        <v>37007</v>
      </c>
      <c r="C6514" s="7">
        <v>1336.8</v>
      </c>
      <c r="D6514" s="8" t="s">
        <v>37008</v>
      </c>
      <c r="E6514" s="8" t="s">
        <v>37009</v>
      </c>
      <c r="F6514" s="8" t="s">
        <v>37010</v>
      </c>
      <c r="G6514" s="6" t="s">
        <v>60</v>
      </c>
      <c r="H6514" s="6" t="s">
        <v>134</v>
      </c>
      <c r="I6514" s="8"/>
      <c r="J6514" s="9">
        <v>1</v>
      </c>
      <c r="K6514" s="9">
        <v>192</v>
      </c>
      <c r="L6514" s="9">
        <v>2026</v>
      </c>
      <c r="M6514" s="8" t="s">
        <v>37011</v>
      </c>
      <c r="N6514" s="8" t="s">
        <v>37</v>
      </c>
      <c r="O6514" s="8" t="s">
        <v>136</v>
      </c>
      <c r="P6514" s="6" t="s">
        <v>39</v>
      </c>
      <c r="Q6514" s="8" t="s">
        <v>40</v>
      </c>
      <c r="R6514" s="10" t="s">
        <v>1653</v>
      </c>
      <c r="S6514" s="11"/>
      <c r="T6514" s="6"/>
      <c r="U6514" s="15" t="str">
        <f>HYPERLINK("https://media.infra-m.ru/2248/2248216/cover/2248216.jpg", "Обложка")</f>
        <v>Обложка</v>
      </c>
      <c r="V6514" s="8" t="s">
        <v>1184</v>
      </c>
      <c r="W6514" s="6"/>
      <c r="X6514" s="6"/>
      <c r="Y6514" s="6"/>
      <c r="Z6514" s="6"/>
      <c r="AA6514" s="6" t="s">
        <v>68</v>
      </c>
      <c r="AB6514" s="8"/>
      <c r="AC6514" s="27">
        <v>9785001563914</v>
      </c>
    </row>
    <row r="6515" spans="1:29" s="4" customFormat="1" ht="44.1" customHeight="1" x14ac:dyDescent="0.2">
      <c r="A6515" s="5">
        <v>0</v>
      </c>
      <c r="B6515" s="6" t="s">
        <v>37012</v>
      </c>
      <c r="C6515" s="7">
        <v>1032</v>
      </c>
      <c r="D6515" s="8" t="s">
        <v>37013</v>
      </c>
      <c r="E6515" s="8" t="s">
        <v>37014</v>
      </c>
      <c r="F6515" s="8" t="s">
        <v>1802</v>
      </c>
      <c r="G6515" s="6" t="s">
        <v>33</v>
      </c>
      <c r="H6515" s="6" t="s">
        <v>34</v>
      </c>
      <c r="I6515" s="8" t="s">
        <v>35</v>
      </c>
      <c r="J6515" s="9">
        <v>1</v>
      </c>
      <c r="K6515" s="9">
        <v>153</v>
      </c>
      <c r="L6515" s="9">
        <v>2025</v>
      </c>
      <c r="M6515" s="8" t="s">
        <v>37015</v>
      </c>
      <c r="N6515" s="8" t="s">
        <v>37</v>
      </c>
      <c r="O6515" s="8" t="s">
        <v>136</v>
      </c>
      <c r="P6515" s="6" t="s">
        <v>39</v>
      </c>
      <c r="Q6515" s="8" t="s">
        <v>40</v>
      </c>
      <c r="R6515" s="10" t="s">
        <v>37016</v>
      </c>
      <c r="S6515" s="11"/>
      <c r="T6515" s="6"/>
      <c r="U6515" s="15" t="str">
        <f>HYPERLINK("https://media.infra-m.ru/2181/2181460/cover/2181460.jpg", "Обложка")</f>
        <v>Обложка</v>
      </c>
      <c r="V6515" s="8" t="s">
        <v>1805</v>
      </c>
      <c r="W6515" s="6"/>
      <c r="X6515" s="6"/>
      <c r="Y6515" s="6"/>
      <c r="Z6515" s="6"/>
      <c r="AA6515" s="6" t="s">
        <v>68</v>
      </c>
      <c r="AB6515" s="8"/>
      <c r="AC6515" s="27">
        <v>9785160205601</v>
      </c>
    </row>
    <row r="6516" spans="1:29" s="4" customFormat="1" ht="42" customHeight="1" x14ac:dyDescent="0.2">
      <c r="A6516" s="5">
        <v>0</v>
      </c>
      <c r="B6516" s="6" t="s">
        <v>37017</v>
      </c>
      <c r="C6516" s="7">
        <v>1276.8</v>
      </c>
      <c r="D6516" s="8" t="s">
        <v>37018</v>
      </c>
      <c r="E6516" s="8" t="s">
        <v>37019</v>
      </c>
      <c r="F6516" s="8" t="s">
        <v>37020</v>
      </c>
      <c r="G6516" s="6" t="s">
        <v>33</v>
      </c>
      <c r="H6516" s="6" t="s">
        <v>34</v>
      </c>
      <c r="I6516" s="8" t="s">
        <v>35</v>
      </c>
      <c r="J6516" s="9">
        <v>1</v>
      </c>
      <c r="K6516" s="9">
        <v>231</v>
      </c>
      <c r="L6516" s="9">
        <v>2024</v>
      </c>
      <c r="M6516" s="8" t="s">
        <v>37021</v>
      </c>
      <c r="N6516" s="8" t="s">
        <v>37</v>
      </c>
      <c r="O6516" s="8" t="s">
        <v>136</v>
      </c>
      <c r="P6516" s="6" t="s">
        <v>39</v>
      </c>
      <c r="Q6516" s="8" t="s">
        <v>40</v>
      </c>
      <c r="R6516" s="10" t="s">
        <v>1631</v>
      </c>
      <c r="S6516" s="11"/>
      <c r="T6516" s="6"/>
      <c r="U6516" s="15" t="str">
        <f>HYPERLINK("https://media.infra-m.ru/2120/2120782/cover/2120782.jpg", "Обложка")</f>
        <v>Обложка</v>
      </c>
      <c r="V6516" s="8" t="s">
        <v>12821</v>
      </c>
      <c r="W6516" s="6"/>
      <c r="X6516" s="6"/>
      <c r="Y6516" s="6"/>
      <c r="Z6516" s="6"/>
      <c r="AA6516" s="6" t="s">
        <v>248</v>
      </c>
      <c r="AB6516" s="8"/>
      <c r="AC6516" s="27">
        <v>9785160097800</v>
      </c>
    </row>
    <row r="6517" spans="1:29" s="4" customFormat="1" ht="51.9" customHeight="1" x14ac:dyDescent="0.2">
      <c r="A6517" s="5">
        <v>0</v>
      </c>
      <c r="B6517" s="6" t="s">
        <v>37022</v>
      </c>
      <c r="C6517" s="7">
        <v>2664</v>
      </c>
      <c r="D6517" s="8" t="s">
        <v>37023</v>
      </c>
      <c r="E6517" s="8" t="s">
        <v>37024</v>
      </c>
      <c r="F6517" s="8" t="s">
        <v>37025</v>
      </c>
      <c r="G6517" s="6" t="s">
        <v>60</v>
      </c>
      <c r="H6517" s="6" t="s">
        <v>34</v>
      </c>
      <c r="I6517" s="8" t="s">
        <v>35</v>
      </c>
      <c r="J6517" s="9">
        <v>1</v>
      </c>
      <c r="K6517" s="9">
        <v>404</v>
      </c>
      <c r="L6517" s="9">
        <v>2026</v>
      </c>
      <c r="M6517" s="8" t="s">
        <v>37026</v>
      </c>
      <c r="N6517" s="8" t="s">
        <v>63</v>
      </c>
      <c r="O6517" s="8" t="s">
        <v>9718</v>
      </c>
      <c r="P6517" s="6" t="s">
        <v>39</v>
      </c>
      <c r="Q6517" s="8" t="s">
        <v>40</v>
      </c>
      <c r="R6517" s="10" t="s">
        <v>37027</v>
      </c>
      <c r="S6517" s="11"/>
      <c r="T6517" s="6"/>
      <c r="U6517" s="15" t="str">
        <f>HYPERLINK("https://media.infra-m.ru/2222/2222625/cover/2222625.jpg", "Обложка")</f>
        <v>Обложка</v>
      </c>
      <c r="V6517" s="8" t="s">
        <v>227</v>
      </c>
      <c r="W6517" s="6" t="s">
        <v>299</v>
      </c>
      <c r="X6517" s="6"/>
      <c r="Y6517" s="6"/>
      <c r="Z6517" s="6"/>
      <c r="AA6517" s="6" t="s">
        <v>187</v>
      </c>
      <c r="AB6517" s="8"/>
      <c r="AC6517" s="27">
        <v>9785160213507</v>
      </c>
    </row>
    <row r="6518" spans="1:29" s="4" customFormat="1" ht="51.9" customHeight="1" x14ac:dyDescent="0.2">
      <c r="A6518" s="5">
        <v>0</v>
      </c>
      <c r="B6518" s="6" t="s">
        <v>37028</v>
      </c>
      <c r="C6518" s="7">
        <v>1488</v>
      </c>
      <c r="D6518" s="8" t="s">
        <v>37029</v>
      </c>
      <c r="E6518" s="8" t="s">
        <v>37030</v>
      </c>
      <c r="F6518" s="8" t="s">
        <v>37031</v>
      </c>
      <c r="G6518" s="6" t="s">
        <v>33</v>
      </c>
      <c r="H6518" s="6" t="s">
        <v>241</v>
      </c>
      <c r="I6518" s="8" t="s">
        <v>3496</v>
      </c>
      <c r="J6518" s="9">
        <v>1</v>
      </c>
      <c r="K6518" s="9">
        <v>262</v>
      </c>
      <c r="L6518" s="9">
        <v>2024</v>
      </c>
      <c r="M6518" s="8" t="s">
        <v>37032</v>
      </c>
      <c r="N6518" s="8" t="s">
        <v>63</v>
      </c>
      <c r="O6518" s="8" t="s">
        <v>9718</v>
      </c>
      <c r="P6518" s="6" t="s">
        <v>39</v>
      </c>
      <c r="Q6518" s="8" t="s">
        <v>40</v>
      </c>
      <c r="R6518" s="10" t="s">
        <v>37033</v>
      </c>
      <c r="S6518" s="11"/>
      <c r="T6518" s="6"/>
      <c r="U6518" s="15" t="str">
        <f>HYPERLINK("https://media.infra-m.ru/2057/2057694/cover/2057694.jpg", "Обложка")</f>
        <v>Обложка</v>
      </c>
      <c r="V6518" s="8" t="s">
        <v>217</v>
      </c>
      <c r="W6518" s="6"/>
      <c r="X6518" s="6"/>
      <c r="Y6518" s="6"/>
      <c r="Z6518" s="6"/>
      <c r="AA6518" s="6" t="s">
        <v>274</v>
      </c>
      <c r="AB6518" s="8"/>
      <c r="AC6518" s="27">
        <v>9785955804484</v>
      </c>
    </row>
    <row r="6519" spans="1:29" s="4" customFormat="1" ht="44.1" customHeight="1" x14ac:dyDescent="0.2">
      <c r="A6519" s="5">
        <v>0</v>
      </c>
      <c r="B6519" s="6" t="s">
        <v>37034</v>
      </c>
      <c r="C6519" s="7">
        <v>1104</v>
      </c>
      <c r="D6519" s="8" t="s">
        <v>37035</v>
      </c>
      <c r="E6519" s="8" t="s">
        <v>37036</v>
      </c>
      <c r="F6519" s="8" t="s">
        <v>13962</v>
      </c>
      <c r="G6519" s="6" t="s">
        <v>60</v>
      </c>
      <c r="H6519" s="6" t="s">
        <v>34</v>
      </c>
      <c r="I6519" s="8" t="s">
        <v>253</v>
      </c>
      <c r="J6519" s="9">
        <v>1</v>
      </c>
      <c r="K6519" s="9">
        <v>188</v>
      </c>
      <c r="L6519" s="9">
        <v>2024</v>
      </c>
      <c r="M6519" s="8" t="s">
        <v>37037</v>
      </c>
      <c r="N6519" s="8" t="s">
        <v>63</v>
      </c>
      <c r="O6519" s="8" t="s">
        <v>9718</v>
      </c>
      <c r="P6519" s="6" t="s">
        <v>51</v>
      </c>
      <c r="Q6519" s="8" t="s">
        <v>52</v>
      </c>
      <c r="R6519" s="10" t="s">
        <v>37038</v>
      </c>
      <c r="S6519" s="11"/>
      <c r="T6519" s="6"/>
      <c r="U6519" s="15" t="str">
        <f>HYPERLINK("https://media.infra-m.ru/1214/1214579/cover/1214579.jpg", "Обложка")</f>
        <v>Обложка</v>
      </c>
      <c r="V6519" s="8" t="s">
        <v>3177</v>
      </c>
      <c r="W6519" s="6"/>
      <c r="X6519" s="6"/>
      <c r="Y6519" s="6"/>
      <c r="Z6519" s="6"/>
      <c r="AA6519" s="6" t="s">
        <v>76</v>
      </c>
      <c r="AB6519" s="8"/>
      <c r="AC6519" s="27">
        <v>9785160166759</v>
      </c>
    </row>
    <row r="6520" spans="1:29" s="4" customFormat="1" ht="51.9" customHeight="1" x14ac:dyDescent="0.2">
      <c r="A6520" s="5">
        <v>0</v>
      </c>
      <c r="B6520" s="6" t="s">
        <v>37039</v>
      </c>
      <c r="C6520" s="7">
        <v>2356.8000000000002</v>
      </c>
      <c r="D6520" s="8" t="s">
        <v>37040</v>
      </c>
      <c r="E6520" s="8" t="s">
        <v>37041</v>
      </c>
      <c r="F6520" s="8" t="s">
        <v>26973</v>
      </c>
      <c r="G6520" s="6" t="s">
        <v>118</v>
      </c>
      <c r="H6520" s="6" t="s">
        <v>34</v>
      </c>
      <c r="I6520" s="8" t="s">
        <v>263</v>
      </c>
      <c r="J6520" s="9">
        <v>1</v>
      </c>
      <c r="K6520" s="9">
        <v>358</v>
      </c>
      <c r="L6520" s="9">
        <v>2026</v>
      </c>
      <c r="M6520" s="8" t="s">
        <v>37042</v>
      </c>
      <c r="N6520" s="8" t="s">
        <v>243</v>
      </c>
      <c r="O6520" s="8" t="s">
        <v>964</v>
      </c>
      <c r="P6520" s="6" t="s">
        <v>51</v>
      </c>
      <c r="Q6520" s="8" t="s">
        <v>265</v>
      </c>
      <c r="R6520" s="10" t="s">
        <v>37043</v>
      </c>
      <c r="S6520" s="11" t="s">
        <v>37044</v>
      </c>
      <c r="T6520" s="6"/>
      <c r="U6520" s="15" t="str">
        <f>HYPERLINK("https://media.infra-m.ru/2228/2228130/cover/2228130.jpg", "Обложка")</f>
        <v>Обложка</v>
      </c>
      <c r="V6520" s="8" t="s">
        <v>26975</v>
      </c>
      <c r="W6520" s="6"/>
      <c r="X6520" s="6"/>
      <c r="Y6520" s="6"/>
      <c r="Z6520" s="6"/>
      <c r="AA6520" s="6" t="s">
        <v>148</v>
      </c>
      <c r="AB6520" s="8"/>
      <c r="AC6520" s="27">
        <v>9785160149998</v>
      </c>
    </row>
    <row r="6521" spans="1:29" s="4" customFormat="1" ht="51.9" customHeight="1" x14ac:dyDescent="0.2">
      <c r="A6521" s="5">
        <v>0</v>
      </c>
      <c r="B6521" s="6" t="s">
        <v>37045</v>
      </c>
      <c r="C6521" s="7">
        <v>1324.8</v>
      </c>
      <c r="D6521" s="8" t="s">
        <v>37046</v>
      </c>
      <c r="E6521" s="8" t="s">
        <v>37047</v>
      </c>
      <c r="F6521" s="8" t="s">
        <v>37048</v>
      </c>
      <c r="G6521" s="6" t="s">
        <v>60</v>
      </c>
      <c r="H6521" s="6" t="s">
        <v>34</v>
      </c>
      <c r="I6521" s="8" t="s">
        <v>263</v>
      </c>
      <c r="J6521" s="9">
        <v>1</v>
      </c>
      <c r="K6521" s="9">
        <v>235</v>
      </c>
      <c r="L6521" s="9">
        <v>2024</v>
      </c>
      <c r="M6521" s="8" t="s">
        <v>37049</v>
      </c>
      <c r="N6521" s="8" t="s">
        <v>243</v>
      </c>
      <c r="O6521" s="8" t="s">
        <v>964</v>
      </c>
      <c r="P6521" s="6" t="s">
        <v>51</v>
      </c>
      <c r="Q6521" s="8" t="s">
        <v>265</v>
      </c>
      <c r="R6521" s="10" t="s">
        <v>9644</v>
      </c>
      <c r="S6521" s="11" t="s">
        <v>37050</v>
      </c>
      <c r="T6521" s="6"/>
      <c r="U6521" s="15" t="str">
        <f>HYPERLINK("https://media.infra-m.ru/2079/2079247/cover/2079247.jpg", "Обложка")</f>
        <v>Обложка</v>
      </c>
      <c r="V6521" s="8" t="s">
        <v>37051</v>
      </c>
      <c r="W6521" s="6"/>
      <c r="X6521" s="6"/>
      <c r="Y6521" s="6"/>
      <c r="Z6521" s="6"/>
      <c r="AA6521" s="6" t="s">
        <v>129</v>
      </c>
      <c r="AB6521" s="8"/>
      <c r="AC6521" s="27">
        <v>9785160047591</v>
      </c>
    </row>
    <row r="6522" spans="1:29" s="4" customFormat="1" ht="51.9" customHeight="1" x14ac:dyDescent="0.2">
      <c r="A6522" s="5">
        <v>0</v>
      </c>
      <c r="B6522" s="6" t="s">
        <v>37052</v>
      </c>
      <c r="C6522" s="13">
        <v>984</v>
      </c>
      <c r="D6522" s="8" t="s">
        <v>37053</v>
      </c>
      <c r="E6522" s="8" t="s">
        <v>37054</v>
      </c>
      <c r="F6522" s="8" t="s">
        <v>27119</v>
      </c>
      <c r="G6522" s="6" t="s">
        <v>33</v>
      </c>
      <c r="H6522" s="6" t="s">
        <v>34</v>
      </c>
      <c r="I6522" s="8" t="s">
        <v>954</v>
      </c>
      <c r="J6522" s="9">
        <v>1</v>
      </c>
      <c r="K6522" s="9">
        <v>102</v>
      </c>
      <c r="L6522" s="9">
        <v>2026</v>
      </c>
      <c r="M6522" s="8" t="s">
        <v>37055</v>
      </c>
      <c r="N6522" s="8" t="s">
        <v>37</v>
      </c>
      <c r="O6522" s="8" t="s">
        <v>290</v>
      </c>
      <c r="P6522" s="6" t="s">
        <v>51</v>
      </c>
      <c r="Q6522" s="8" t="s">
        <v>65</v>
      </c>
      <c r="R6522" s="10" t="s">
        <v>37056</v>
      </c>
      <c r="S6522" s="11" t="s">
        <v>37057</v>
      </c>
      <c r="T6522" s="6"/>
      <c r="U6522" s="15" t="str">
        <f>HYPERLINK("https://media.infra-m.ru/2253/2253664/cover/2253664.jpg", "Обложка")</f>
        <v>Обложка</v>
      </c>
      <c r="V6522" s="8" t="s">
        <v>958</v>
      </c>
      <c r="W6522" s="6"/>
      <c r="X6522" s="6"/>
      <c r="Y6522" s="6"/>
      <c r="Z6522" s="6"/>
      <c r="AA6522" s="6" t="s">
        <v>115</v>
      </c>
      <c r="AB6522" s="8"/>
      <c r="AC6522" s="27">
        <v>9785160179926</v>
      </c>
    </row>
    <row r="6523" spans="1:29" s="4" customFormat="1" ht="51.9" customHeight="1" x14ac:dyDescent="0.2">
      <c r="A6523" s="5">
        <v>0</v>
      </c>
      <c r="B6523" s="6" t="s">
        <v>37058</v>
      </c>
      <c r="C6523" s="7">
        <v>2116.8000000000002</v>
      </c>
      <c r="D6523" s="8" t="s">
        <v>37059</v>
      </c>
      <c r="E6523" s="8" t="s">
        <v>37060</v>
      </c>
      <c r="F6523" s="8" t="s">
        <v>37061</v>
      </c>
      <c r="G6523" s="6" t="s">
        <v>60</v>
      </c>
      <c r="H6523" s="6" t="s">
        <v>34</v>
      </c>
      <c r="I6523" s="8" t="s">
        <v>954</v>
      </c>
      <c r="J6523" s="9">
        <v>1</v>
      </c>
      <c r="K6523" s="9">
        <v>320</v>
      </c>
      <c r="L6523" s="9">
        <v>2026</v>
      </c>
      <c r="M6523" s="8" t="s">
        <v>37062</v>
      </c>
      <c r="N6523" s="8" t="s">
        <v>37</v>
      </c>
      <c r="O6523" s="8" t="s">
        <v>290</v>
      </c>
      <c r="P6523" s="6" t="s">
        <v>306</v>
      </c>
      <c r="Q6523" s="8" t="s">
        <v>65</v>
      </c>
      <c r="R6523" s="10" t="s">
        <v>37063</v>
      </c>
      <c r="S6523" s="11" t="s">
        <v>37064</v>
      </c>
      <c r="T6523" s="6"/>
      <c r="U6523" s="15" t="str">
        <f>HYPERLINK("https://media.infra-m.ru/2244/2244279/cover/2244279.jpg", "Обложка")</f>
        <v>Обложка</v>
      </c>
      <c r="V6523" s="8" t="s">
        <v>958</v>
      </c>
      <c r="W6523" s="6"/>
      <c r="X6523" s="6"/>
      <c r="Y6523" s="6"/>
      <c r="Z6523" s="6"/>
      <c r="AA6523" s="6" t="s">
        <v>430</v>
      </c>
      <c r="AB6523" s="8"/>
      <c r="AC6523" s="27">
        <v>9785160150611</v>
      </c>
    </row>
    <row r="6524" spans="1:29" s="4" customFormat="1" ht="51.9" customHeight="1" x14ac:dyDescent="0.2">
      <c r="A6524" s="5">
        <v>0</v>
      </c>
      <c r="B6524" s="6" t="s">
        <v>37065</v>
      </c>
      <c r="C6524" s="7">
        <v>1212</v>
      </c>
      <c r="D6524" s="8" t="s">
        <v>37066</v>
      </c>
      <c r="E6524" s="8" t="s">
        <v>37067</v>
      </c>
      <c r="F6524" s="8" t="s">
        <v>37068</v>
      </c>
      <c r="G6524" s="6" t="s">
        <v>118</v>
      </c>
      <c r="H6524" s="6" t="s">
        <v>34</v>
      </c>
      <c r="I6524" s="8" t="s">
        <v>288</v>
      </c>
      <c r="J6524" s="9">
        <v>1</v>
      </c>
      <c r="K6524" s="9">
        <v>184</v>
      </c>
      <c r="L6524" s="9">
        <v>2026</v>
      </c>
      <c r="M6524" s="8" t="s">
        <v>37069</v>
      </c>
      <c r="N6524" s="8" t="s">
        <v>37</v>
      </c>
      <c r="O6524" s="8" t="s">
        <v>290</v>
      </c>
      <c r="P6524" s="6" t="s">
        <v>51</v>
      </c>
      <c r="Q6524" s="8" t="s">
        <v>52</v>
      </c>
      <c r="R6524" s="10" t="s">
        <v>977</v>
      </c>
      <c r="S6524" s="11" t="s">
        <v>37070</v>
      </c>
      <c r="T6524" s="6"/>
      <c r="U6524" s="15" t="str">
        <f>HYPERLINK("https://media.infra-m.ru/2229/2229646/cover/2229646.jpg", "Обложка")</f>
        <v>Обложка</v>
      </c>
      <c r="V6524" s="8" t="s">
        <v>6967</v>
      </c>
      <c r="W6524" s="6"/>
      <c r="X6524" s="6"/>
      <c r="Y6524" s="6"/>
      <c r="Z6524" s="6"/>
      <c r="AA6524" s="6" t="s">
        <v>115</v>
      </c>
      <c r="AB6524" s="8"/>
      <c r="AC6524" s="27">
        <v>9785160145242</v>
      </c>
    </row>
    <row r="6525" spans="1:29" s="4" customFormat="1" ht="51.9" customHeight="1" x14ac:dyDescent="0.2">
      <c r="A6525" s="5">
        <v>0</v>
      </c>
      <c r="B6525" s="6" t="s">
        <v>37071</v>
      </c>
      <c r="C6525" s="7">
        <v>1744.8</v>
      </c>
      <c r="D6525" s="8" t="s">
        <v>37072</v>
      </c>
      <c r="E6525" s="8" t="s">
        <v>37073</v>
      </c>
      <c r="F6525" s="8" t="s">
        <v>37074</v>
      </c>
      <c r="G6525" s="6" t="s">
        <v>60</v>
      </c>
      <c r="H6525" s="6" t="s">
        <v>34</v>
      </c>
      <c r="I6525" s="8" t="s">
        <v>271</v>
      </c>
      <c r="J6525" s="9">
        <v>1</v>
      </c>
      <c r="K6525" s="9">
        <v>264</v>
      </c>
      <c r="L6525" s="9">
        <v>2026</v>
      </c>
      <c r="M6525" s="8" t="s">
        <v>37075</v>
      </c>
      <c r="N6525" s="8" t="s">
        <v>243</v>
      </c>
      <c r="O6525" s="8" t="s">
        <v>964</v>
      </c>
      <c r="P6525" s="6" t="s">
        <v>306</v>
      </c>
      <c r="Q6525" s="8" t="s">
        <v>52</v>
      </c>
      <c r="R6525" s="10" t="s">
        <v>37076</v>
      </c>
      <c r="S6525" s="11" t="s">
        <v>37077</v>
      </c>
      <c r="T6525" s="6"/>
      <c r="U6525" s="15" t="str">
        <f>HYPERLINK("https://media.infra-m.ru/2239/2239093/cover/2239093.jpg", "Обложка")</f>
        <v>Обложка</v>
      </c>
      <c r="V6525" s="8" t="s">
        <v>4368</v>
      </c>
      <c r="W6525" s="6"/>
      <c r="X6525" s="6"/>
      <c r="Y6525" s="6"/>
      <c r="Z6525" s="6"/>
      <c r="AA6525" s="6" t="s">
        <v>1256</v>
      </c>
      <c r="AB6525" s="8"/>
      <c r="AC6525" s="27">
        <v>9785160148717</v>
      </c>
    </row>
    <row r="6526" spans="1:29" s="4" customFormat="1" ht="51.9" customHeight="1" x14ac:dyDescent="0.2">
      <c r="A6526" s="5">
        <v>0</v>
      </c>
      <c r="B6526" s="6" t="s">
        <v>37078</v>
      </c>
      <c r="C6526" s="7">
        <v>1416</v>
      </c>
      <c r="D6526" s="8" t="s">
        <v>37079</v>
      </c>
      <c r="E6526" s="8" t="s">
        <v>37080</v>
      </c>
      <c r="F6526" s="8" t="s">
        <v>37081</v>
      </c>
      <c r="G6526" s="6" t="s">
        <v>118</v>
      </c>
      <c r="H6526" s="6" t="s">
        <v>34</v>
      </c>
      <c r="I6526" s="8" t="s">
        <v>253</v>
      </c>
      <c r="J6526" s="9">
        <v>1</v>
      </c>
      <c r="K6526" s="9">
        <v>320</v>
      </c>
      <c r="L6526" s="9">
        <v>2021</v>
      </c>
      <c r="M6526" s="8" t="s">
        <v>37082</v>
      </c>
      <c r="N6526" s="8" t="s">
        <v>243</v>
      </c>
      <c r="O6526" s="8" t="s">
        <v>964</v>
      </c>
      <c r="P6526" s="6" t="s">
        <v>51</v>
      </c>
      <c r="Q6526" s="8" t="s">
        <v>52</v>
      </c>
      <c r="R6526" s="10" t="s">
        <v>12387</v>
      </c>
      <c r="S6526" s="11" t="s">
        <v>37083</v>
      </c>
      <c r="T6526" s="6"/>
      <c r="U6526" s="15" t="str">
        <f>HYPERLINK("https://media.infra-m.ru/1381/1381284/cover/1381284.jpg", "Обложка")</f>
        <v>Обложка</v>
      </c>
      <c r="V6526" s="8" t="s">
        <v>7509</v>
      </c>
      <c r="W6526" s="6"/>
      <c r="X6526" s="6"/>
      <c r="Y6526" s="6"/>
      <c r="Z6526" s="6"/>
      <c r="AA6526" s="6" t="s">
        <v>43</v>
      </c>
      <c r="AB6526" s="8"/>
      <c r="AC6526" s="27">
        <v>9785160060279</v>
      </c>
    </row>
    <row r="6527" spans="1:29" s="4" customFormat="1" ht="51.9" customHeight="1" x14ac:dyDescent="0.2">
      <c r="A6527" s="5">
        <v>0</v>
      </c>
      <c r="B6527" s="6" t="s">
        <v>37084</v>
      </c>
      <c r="C6527" s="7">
        <v>1816.8</v>
      </c>
      <c r="D6527" s="8" t="s">
        <v>37085</v>
      </c>
      <c r="E6527" s="8" t="s">
        <v>37086</v>
      </c>
      <c r="F6527" s="8" t="s">
        <v>37087</v>
      </c>
      <c r="G6527" s="6" t="s">
        <v>118</v>
      </c>
      <c r="H6527" s="6" t="s">
        <v>34</v>
      </c>
      <c r="I6527" s="8" t="s">
        <v>954</v>
      </c>
      <c r="J6527" s="9">
        <v>1</v>
      </c>
      <c r="K6527" s="9">
        <v>275</v>
      </c>
      <c r="L6527" s="9">
        <v>2026</v>
      </c>
      <c r="M6527" s="8" t="s">
        <v>37088</v>
      </c>
      <c r="N6527" s="8" t="s">
        <v>37</v>
      </c>
      <c r="O6527" s="8" t="s">
        <v>290</v>
      </c>
      <c r="P6527" s="6" t="s">
        <v>51</v>
      </c>
      <c r="Q6527" s="8" t="s">
        <v>65</v>
      </c>
      <c r="R6527" s="10" t="s">
        <v>16258</v>
      </c>
      <c r="S6527" s="11"/>
      <c r="T6527" s="6"/>
      <c r="U6527" s="15" t="str">
        <f>HYPERLINK("https://media.infra-m.ru/2228/2228872/cover/2228872.jpg", "Обложка")</f>
        <v>Обложка</v>
      </c>
      <c r="V6527" s="8"/>
      <c r="W6527" s="6"/>
      <c r="X6527" s="6"/>
      <c r="Y6527" s="6"/>
      <c r="Z6527" s="6"/>
      <c r="AA6527" s="6" t="s">
        <v>157</v>
      </c>
      <c r="AB6527" s="8"/>
      <c r="AC6527" s="27">
        <v>9785160180007</v>
      </c>
    </row>
    <row r="6528" spans="1:29" s="4" customFormat="1" ht="42" customHeight="1" x14ac:dyDescent="0.2">
      <c r="A6528" s="5">
        <v>0</v>
      </c>
      <c r="B6528" s="6" t="s">
        <v>37089</v>
      </c>
      <c r="C6528" s="7">
        <v>1236</v>
      </c>
      <c r="D6528" s="8" t="s">
        <v>37090</v>
      </c>
      <c r="E6528" s="8" t="s">
        <v>37091</v>
      </c>
      <c r="F6528" s="8" t="s">
        <v>37092</v>
      </c>
      <c r="G6528" s="6" t="s">
        <v>118</v>
      </c>
      <c r="H6528" s="6" t="s">
        <v>34</v>
      </c>
      <c r="I6528" s="8" t="s">
        <v>954</v>
      </c>
      <c r="J6528" s="9">
        <v>1</v>
      </c>
      <c r="K6528" s="9">
        <v>187</v>
      </c>
      <c r="L6528" s="9">
        <v>2026</v>
      </c>
      <c r="M6528" s="8" t="s">
        <v>37093</v>
      </c>
      <c r="N6528" s="8" t="s">
        <v>37</v>
      </c>
      <c r="O6528" s="8" t="s">
        <v>290</v>
      </c>
      <c r="P6528" s="6" t="s">
        <v>51</v>
      </c>
      <c r="Q6528" s="8" t="s">
        <v>65</v>
      </c>
      <c r="R6528" s="10" t="s">
        <v>37094</v>
      </c>
      <c r="S6528" s="11"/>
      <c r="T6528" s="6"/>
      <c r="U6528" s="15" t="str">
        <f>HYPERLINK("https://media.infra-m.ru/2253/2253658/cover/2253658.jpg", "Обложка")</f>
        <v>Обложка</v>
      </c>
      <c r="V6528" s="8" t="s">
        <v>958</v>
      </c>
      <c r="W6528" s="6"/>
      <c r="X6528" s="6"/>
      <c r="Y6528" s="6"/>
      <c r="Z6528" s="6"/>
      <c r="AA6528" s="6" t="s">
        <v>157</v>
      </c>
      <c r="AB6528" s="8"/>
      <c r="AC6528" s="27">
        <v>9785160179995</v>
      </c>
    </row>
    <row r="6529" spans="1:29" s="4" customFormat="1" ht="42" customHeight="1" x14ac:dyDescent="0.2">
      <c r="A6529" s="5">
        <v>0</v>
      </c>
      <c r="B6529" s="6" t="s">
        <v>37095</v>
      </c>
      <c r="C6529" s="7">
        <v>2200.8000000000002</v>
      </c>
      <c r="D6529" s="8" t="s">
        <v>37096</v>
      </c>
      <c r="E6529" s="8" t="s">
        <v>37097</v>
      </c>
      <c r="F6529" s="8" t="s">
        <v>37098</v>
      </c>
      <c r="G6529" s="6" t="s">
        <v>60</v>
      </c>
      <c r="H6529" s="6" t="s">
        <v>820</v>
      </c>
      <c r="I6529" s="8" t="s">
        <v>1904</v>
      </c>
      <c r="J6529" s="9">
        <v>1</v>
      </c>
      <c r="K6529" s="9">
        <v>352</v>
      </c>
      <c r="L6529" s="9">
        <v>2025</v>
      </c>
      <c r="M6529" s="8" t="s">
        <v>37099</v>
      </c>
      <c r="N6529" s="8" t="s">
        <v>243</v>
      </c>
      <c r="O6529" s="8" t="s">
        <v>758</v>
      </c>
      <c r="P6529" s="6" t="s">
        <v>306</v>
      </c>
      <c r="Q6529" s="8" t="s">
        <v>65</v>
      </c>
      <c r="R6529" s="10" t="s">
        <v>37100</v>
      </c>
      <c r="S6529" s="11"/>
      <c r="T6529" s="6"/>
      <c r="U6529" s="15" t="str">
        <f>HYPERLINK("https://media.infra-m.ru/2202/2202835/cover/2202835.jpg", "Обложка")</f>
        <v>Обложка</v>
      </c>
      <c r="V6529" s="8" t="s">
        <v>1206</v>
      </c>
      <c r="W6529" s="6"/>
      <c r="X6529" s="6" t="s">
        <v>24</v>
      </c>
      <c r="Y6529" s="6"/>
      <c r="Z6529" s="6"/>
      <c r="AA6529" s="6" t="s">
        <v>86</v>
      </c>
      <c r="AB6529" s="8"/>
      <c r="AC6529" s="27">
        <v>9785906923806</v>
      </c>
    </row>
    <row r="6530" spans="1:29" s="4" customFormat="1" ht="51.9" customHeight="1" x14ac:dyDescent="0.2">
      <c r="A6530" s="5">
        <v>0</v>
      </c>
      <c r="B6530" s="6" t="s">
        <v>37101</v>
      </c>
      <c r="C6530" s="7">
        <v>1008</v>
      </c>
      <c r="D6530" s="8" t="s">
        <v>37102</v>
      </c>
      <c r="E6530" s="8" t="s">
        <v>37103</v>
      </c>
      <c r="F6530" s="8" t="s">
        <v>37104</v>
      </c>
      <c r="G6530" s="6" t="s">
        <v>60</v>
      </c>
      <c r="H6530" s="6" t="s">
        <v>34</v>
      </c>
      <c r="I6530" s="8" t="s">
        <v>1128</v>
      </c>
      <c r="J6530" s="9">
        <v>1</v>
      </c>
      <c r="K6530" s="9">
        <v>164</v>
      </c>
      <c r="L6530" s="9">
        <v>2024</v>
      </c>
      <c r="M6530" s="8" t="s">
        <v>37105</v>
      </c>
      <c r="N6530" s="8" t="s">
        <v>243</v>
      </c>
      <c r="O6530" s="8" t="s">
        <v>758</v>
      </c>
      <c r="P6530" s="6" t="s">
        <v>51</v>
      </c>
      <c r="Q6530" s="8" t="s">
        <v>65</v>
      </c>
      <c r="R6530" s="10" t="s">
        <v>2820</v>
      </c>
      <c r="S6530" s="11" t="s">
        <v>37106</v>
      </c>
      <c r="T6530" s="6"/>
      <c r="U6530" s="15" t="str">
        <f>HYPERLINK("https://media.infra-m.ru/2091/2091438/cover/2091438.jpg", "Обложка")</f>
        <v>Обложка</v>
      </c>
      <c r="V6530" s="8" t="s">
        <v>1132</v>
      </c>
      <c r="W6530" s="6"/>
      <c r="X6530" s="6"/>
      <c r="Y6530" s="6"/>
      <c r="Z6530" s="6"/>
      <c r="AA6530" s="6" t="s">
        <v>76</v>
      </c>
      <c r="AB6530" s="8"/>
      <c r="AC6530" s="27">
        <v>9785160191409</v>
      </c>
    </row>
    <row r="6531" spans="1:29" s="4" customFormat="1" ht="51.9" customHeight="1" x14ac:dyDescent="0.2">
      <c r="A6531" s="5">
        <v>0</v>
      </c>
      <c r="B6531" s="6" t="s">
        <v>37107</v>
      </c>
      <c r="C6531" s="7">
        <v>2380.8000000000002</v>
      </c>
      <c r="D6531" s="8" t="s">
        <v>37108</v>
      </c>
      <c r="E6531" s="8" t="s">
        <v>37109</v>
      </c>
      <c r="F6531" s="8" t="s">
        <v>37110</v>
      </c>
      <c r="G6531" s="6" t="s">
        <v>118</v>
      </c>
      <c r="H6531" s="6" t="s">
        <v>34</v>
      </c>
      <c r="I6531" s="8" t="s">
        <v>954</v>
      </c>
      <c r="J6531" s="9">
        <v>1</v>
      </c>
      <c r="K6531" s="9">
        <v>360</v>
      </c>
      <c r="L6531" s="9">
        <v>2026</v>
      </c>
      <c r="M6531" s="8" t="s">
        <v>37111</v>
      </c>
      <c r="N6531" s="8" t="s">
        <v>37</v>
      </c>
      <c r="O6531" s="8" t="s">
        <v>290</v>
      </c>
      <c r="P6531" s="6" t="s">
        <v>51</v>
      </c>
      <c r="Q6531" s="8" t="s">
        <v>65</v>
      </c>
      <c r="R6531" s="10" t="s">
        <v>37112</v>
      </c>
      <c r="S6531" s="11" t="s">
        <v>37113</v>
      </c>
      <c r="T6531" s="6"/>
      <c r="U6531" s="15" t="str">
        <f>HYPERLINK("https://media.infra-m.ru/2220/2220209/cover/2220209.jpg", "Обложка")</f>
        <v>Обложка</v>
      </c>
      <c r="V6531" s="8" t="s">
        <v>958</v>
      </c>
      <c r="W6531" s="6"/>
      <c r="X6531" s="6"/>
      <c r="Y6531" s="6"/>
      <c r="Z6531" s="6"/>
      <c r="AA6531" s="6" t="s">
        <v>115</v>
      </c>
      <c r="AB6531" s="8"/>
      <c r="AC6531" s="27">
        <v>9785160150604</v>
      </c>
    </row>
    <row r="6532" spans="1:29" s="4" customFormat="1" ht="51.9" customHeight="1" x14ac:dyDescent="0.2">
      <c r="A6532" s="5">
        <v>0</v>
      </c>
      <c r="B6532" s="6" t="s">
        <v>37114</v>
      </c>
      <c r="C6532" s="7">
        <v>2688</v>
      </c>
      <c r="D6532" s="8" t="s">
        <v>37115</v>
      </c>
      <c r="E6532" s="8" t="s">
        <v>37116</v>
      </c>
      <c r="F6532" s="8" t="s">
        <v>37117</v>
      </c>
      <c r="G6532" s="6" t="s">
        <v>60</v>
      </c>
      <c r="H6532" s="6" t="s">
        <v>34</v>
      </c>
      <c r="I6532" s="8" t="s">
        <v>35</v>
      </c>
      <c r="J6532" s="9">
        <v>1</v>
      </c>
      <c r="K6532" s="9">
        <v>497</v>
      </c>
      <c r="L6532" s="9">
        <v>2023</v>
      </c>
      <c r="M6532" s="8" t="s">
        <v>37118</v>
      </c>
      <c r="N6532" s="8" t="s">
        <v>585</v>
      </c>
      <c r="O6532" s="8" t="s">
        <v>775</v>
      </c>
      <c r="P6532" s="6" t="s">
        <v>39</v>
      </c>
      <c r="Q6532" s="8" t="s">
        <v>40</v>
      </c>
      <c r="R6532" s="10" t="s">
        <v>11684</v>
      </c>
      <c r="S6532" s="11"/>
      <c r="T6532" s="6"/>
      <c r="U6532" s="15" t="str">
        <f>HYPERLINK("https://media.infra-m.ru/1926/1926302/cover/1926302.jpg", "Обложка")</f>
        <v>Обложка</v>
      </c>
      <c r="V6532" s="8" t="s">
        <v>29718</v>
      </c>
      <c r="W6532" s="6"/>
      <c r="X6532" s="6"/>
      <c r="Y6532" s="6"/>
      <c r="Z6532" s="6"/>
      <c r="AA6532" s="6" t="s">
        <v>99</v>
      </c>
      <c r="AB6532" s="8" t="s">
        <v>493</v>
      </c>
      <c r="AC6532" s="27">
        <v>9785160128368</v>
      </c>
    </row>
    <row r="6533" spans="1:29" s="4" customFormat="1" ht="51.9" customHeight="1" x14ac:dyDescent="0.2">
      <c r="A6533" s="5">
        <v>0</v>
      </c>
      <c r="B6533" s="6" t="s">
        <v>37119</v>
      </c>
      <c r="C6533" s="7">
        <v>1420.8</v>
      </c>
      <c r="D6533" s="8" t="s">
        <v>37120</v>
      </c>
      <c r="E6533" s="8" t="s">
        <v>37121</v>
      </c>
      <c r="F6533" s="8" t="s">
        <v>37122</v>
      </c>
      <c r="G6533" s="6" t="s">
        <v>33</v>
      </c>
      <c r="H6533" s="6" t="s">
        <v>34</v>
      </c>
      <c r="I6533" s="8" t="s">
        <v>1074</v>
      </c>
      <c r="J6533" s="9">
        <v>1</v>
      </c>
      <c r="K6533" s="9">
        <v>203</v>
      </c>
      <c r="L6533" s="9">
        <v>2026</v>
      </c>
      <c r="M6533" s="8" t="s">
        <v>37123</v>
      </c>
      <c r="N6533" s="8" t="s">
        <v>37</v>
      </c>
      <c r="O6533" s="8" t="s">
        <v>136</v>
      </c>
      <c r="P6533" s="6" t="s">
        <v>683</v>
      </c>
      <c r="Q6533" s="8" t="s">
        <v>40</v>
      </c>
      <c r="R6533" s="10" t="s">
        <v>37124</v>
      </c>
      <c r="S6533" s="11"/>
      <c r="T6533" s="6"/>
      <c r="U6533" s="15" t="str">
        <f>HYPERLINK("https://media.infra-m.ru/2251/2251328/cover/2251328.jpg", "Обложка")</f>
        <v>Обложка</v>
      </c>
      <c r="V6533" s="8" t="s">
        <v>138</v>
      </c>
      <c r="W6533" s="6"/>
      <c r="X6533" s="6"/>
      <c r="Y6533" s="6"/>
      <c r="Z6533" s="6"/>
      <c r="AA6533" s="6" t="s">
        <v>248</v>
      </c>
      <c r="AB6533" s="8"/>
      <c r="AC6533" s="27">
        <v>9785160104669</v>
      </c>
    </row>
    <row r="6534" spans="1:29" s="4" customFormat="1" ht="44.1" customHeight="1" x14ac:dyDescent="0.2">
      <c r="A6534" s="5">
        <v>0</v>
      </c>
      <c r="B6534" s="6" t="s">
        <v>37125</v>
      </c>
      <c r="C6534" s="7">
        <v>1260</v>
      </c>
      <c r="D6534" s="8" t="s">
        <v>37126</v>
      </c>
      <c r="E6534" s="8" t="s">
        <v>37127</v>
      </c>
      <c r="F6534" s="8" t="s">
        <v>37128</v>
      </c>
      <c r="G6534" s="6" t="s">
        <v>33</v>
      </c>
      <c r="H6534" s="6" t="s">
        <v>34</v>
      </c>
      <c r="I6534" s="8" t="s">
        <v>35</v>
      </c>
      <c r="J6534" s="9">
        <v>1</v>
      </c>
      <c r="K6534" s="9">
        <v>181</v>
      </c>
      <c r="L6534" s="9">
        <v>2027</v>
      </c>
      <c r="M6534" s="8" t="s">
        <v>37129</v>
      </c>
      <c r="N6534" s="8" t="s">
        <v>63</v>
      </c>
      <c r="O6534" s="8" t="s">
        <v>154</v>
      </c>
      <c r="P6534" s="6" t="s">
        <v>39</v>
      </c>
      <c r="Q6534" s="8" t="s">
        <v>40</v>
      </c>
      <c r="R6534" s="10" t="s">
        <v>37130</v>
      </c>
      <c r="S6534" s="11"/>
      <c r="T6534" s="6"/>
      <c r="U6534" s="15" t="str">
        <f>HYPERLINK("https://media.infra-m.ru/2262/2262850/cover/2262850.jpg", "Обложка")</f>
        <v>Обложка</v>
      </c>
      <c r="V6534" s="8" t="s">
        <v>10238</v>
      </c>
      <c r="W6534" s="6"/>
      <c r="X6534" s="6"/>
      <c r="Y6534" s="6"/>
      <c r="Z6534" s="6"/>
      <c r="AA6534" s="6" t="s">
        <v>115</v>
      </c>
      <c r="AB6534" s="8"/>
      <c r="AC6534" s="27">
        <v>9785160140629</v>
      </c>
    </row>
    <row r="6535" spans="1:29" s="4" customFormat="1" ht="51.9" customHeight="1" x14ac:dyDescent="0.2">
      <c r="A6535" s="5">
        <v>0</v>
      </c>
      <c r="B6535" s="6" t="s">
        <v>37131</v>
      </c>
      <c r="C6535" s="7">
        <v>1068</v>
      </c>
      <c r="D6535" s="8" t="s">
        <v>37132</v>
      </c>
      <c r="E6535" s="8" t="s">
        <v>37133</v>
      </c>
      <c r="F6535" s="8" t="s">
        <v>37134</v>
      </c>
      <c r="G6535" s="6" t="s">
        <v>33</v>
      </c>
      <c r="H6535" s="6" t="s">
        <v>34</v>
      </c>
      <c r="I6535" s="8" t="s">
        <v>35</v>
      </c>
      <c r="J6535" s="9">
        <v>1</v>
      </c>
      <c r="K6535" s="9">
        <v>228</v>
      </c>
      <c r="L6535" s="9">
        <v>2022</v>
      </c>
      <c r="M6535" s="8" t="s">
        <v>37135</v>
      </c>
      <c r="N6535" s="8" t="s">
        <v>37</v>
      </c>
      <c r="O6535" s="8" t="s">
        <v>280</v>
      </c>
      <c r="P6535" s="6" t="s">
        <v>39</v>
      </c>
      <c r="Q6535" s="8" t="s">
        <v>40</v>
      </c>
      <c r="R6535" s="10" t="s">
        <v>37136</v>
      </c>
      <c r="S6535" s="11"/>
      <c r="T6535" s="6"/>
      <c r="U6535" s="15" t="str">
        <f>HYPERLINK("https://media.infra-m.ru/1816/1816640/cover/1816640.jpg", "Обложка")</f>
        <v>Обложка</v>
      </c>
      <c r="V6535" s="8" t="s">
        <v>3196</v>
      </c>
      <c r="W6535" s="6"/>
      <c r="X6535" s="6"/>
      <c r="Y6535" s="6"/>
      <c r="Z6535" s="6"/>
      <c r="AA6535" s="6" t="s">
        <v>896</v>
      </c>
      <c r="AB6535" s="8"/>
      <c r="AC6535" s="27">
        <v>9785160171562</v>
      </c>
    </row>
    <row r="6536" spans="1:29" s="4" customFormat="1" ht="51.9" customHeight="1" x14ac:dyDescent="0.2">
      <c r="A6536" s="5">
        <v>0</v>
      </c>
      <c r="B6536" s="6" t="s">
        <v>37137</v>
      </c>
      <c r="C6536" s="7">
        <v>1428</v>
      </c>
      <c r="D6536" s="8" t="s">
        <v>37138</v>
      </c>
      <c r="E6536" s="8" t="s">
        <v>37139</v>
      </c>
      <c r="F6536" s="8" t="s">
        <v>37140</v>
      </c>
      <c r="G6536" s="6" t="s">
        <v>60</v>
      </c>
      <c r="H6536" s="6" t="s">
        <v>34</v>
      </c>
      <c r="I6536" s="8" t="s">
        <v>35</v>
      </c>
      <c r="J6536" s="9">
        <v>1</v>
      </c>
      <c r="K6536" s="9">
        <v>174</v>
      </c>
      <c r="L6536" s="9">
        <v>2026</v>
      </c>
      <c r="M6536" s="8" t="s">
        <v>37141</v>
      </c>
      <c r="N6536" s="8" t="s">
        <v>37</v>
      </c>
      <c r="O6536" s="8" t="s">
        <v>136</v>
      </c>
      <c r="P6536" s="6" t="s">
        <v>39</v>
      </c>
      <c r="Q6536" s="8" t="s">
        <v>40</v>
      </c>
      <c r="R6536" s="10" t="s">
        <v>37142</v>
      </c>
      <c r="S6536" s="11"/>
      <c r="T6536" s="6"/>
      <c r="U6536" s="15" t="str">
        <f>HYPERLINK("https://media.infra-m.ru/2227/2227253/cover/2227253.jpg", "Обложка")</f>
        <v>Обложка</v>
      </c>
      <c r="V6536" s="8" t="s">
        <v>3636</v>
      </c>
      <c r="W6536" s="6" t="s">
        <v>299</v>
      </c>
      <c r="X6536" s="6"/>
      <c r="Y6536" s="6"/>
      <c r="Z6536" s="6"/>
      <c r="AA6536" s="6" t="s">
        <v>187</v>
      </c>
      <c r="AB6536" s="8"/>
      <c r="AC6536" s="27">
        <v>9785160214955</v>
      </c>
    </row>
    <row r="6537" spans="1:29" s="4" customFormat="1" ht="42" customHeight="1" x14ac:dyDescent="0.2">
      <c r="A6537" s="5">
        <v>0</v>
      </c>
      <c r="B6537" s="6" t="s">
        <v>37143</v>
      </c>
      <c r="C6537" s="7">
        <v>1836</v>
      </c>
      <c r="D6537" s="8" t="s">
        <v>37144</v>
      </c>
      <c r="E6537" s="8" t="s">
        <v>37145</v>
      </c>
      <c r="F6537" s="8" t="s">
        <v>37146</v>
      </c>
      <c r="G6537" s="6" t="s">
        <v>33</v>
      </c>
      <c r="H6537" s="6" t="s">
        <v>34</v>
      </c>
      <c r="I6537" s="8" t="s">
        <v>35</v>
      </c>
      <c r="J6537" s="9">
        <v>1</v>
      </c>
      <c r="K6537" s="9">
        <v>264</v>
      </c>
      <c r="L6537" s="9">
        <v>2027</v>
      </c>
      <c r="M6537" s="8" t="s">
        <v>37147</v>
      </c>
      <c r="N6537" s="8" t="s">
        <v>243</v>
      </c>
      <c r="O6537" s="8" t="s">
        <v>964</v>
      </c>
      <c r="P6537" s="6" t="s">
        <v>39</v>
      </c>
      <c r="Q6537" s="8" t="s">
        <v>40</v>
      </c>
      <c r="R6537" s="10" t="s">
        <v>9732</v>
      </c>
      <c r="S6537" s="11"/>
      <c r="T6537" s="6"/>
      <c r="U6537" s="15" t="str">
        <f>HYPERLINK("https://media.infra-m.ru/2264/2264714/cover/2264714.jpg", "Обложка")</f>
        <v>Обложка</v>
      </c>
      <c r="V6537" s="8" t="s">
        <v>359</v>
      </c>
      <c r="W6537" s="6"/>
      <c r="X6537" s="6"/>
      <c r="Y6537" s="6"/>
      <c r="Z6537" s="6"/>
      <c r="AA6537" s="6" t="s">
        <v>129</v>
      </c>
      <c r="AB6537" s="8"/>
      <c r="AC6537" s="27">
        <v>9785160050393</v>
      </c>
    </row>
    <row r="6538" spans="1:29" s="4" customFormat="1" ht="51.9" customHeight="1" x14ac:dyDescent="0.2">
      <c r="A6538" s="5">
        <v>0</v>
      </c>
      <c r="B6538" s="6" t="s">
        <v>37148</v>
      </c>
      <c r="C6538" s="7">
        <v>1588.8</v>
      </c>
      <c r="D6538" s="8" t="s">
        <v>37149</v>
      </c>
      <c r="E6538" s="8" t="s">
        <v>37150</v>
      </c>
      <c r="F6538" s="8" t="s">
        <v>37151</v>
      </c>
      <c r="G6538" s="6" t="s">
        <v>60</v>
      </c>
      <c r="H6538" s="6" t="s">
        <v>48</v>
      </c>
      <c r="I6538" s="8" t="s">
        <v>271</v>
      </c>
      <c r="J6538" s="9">
        <v>1</v>
      </c>
      <c r="K6538" s="9">
        <v>254</v>
      </c>
      <c r="L6538" s="9">
        <v>2025</v>
      </c>
      <c r="M6538" s="8" t="s">
        <v>37152</v>
      </c>
      <c r="N6538" s="8" t="s">
        <v>243</v>
      </c>
      <c r="O6538" s="8" t="s">
        <v>758</v>
      </c>
      <c r="P6538" s="6" t="s">
        <v>306</v>
      </c>
      <c r="Q6538" s="8" t="s">
        <v>65</v>
      </c>
      <c r="R6538" s="10" t="s">
        <v>17217</v>
      </c>
      <c r="S6538" s="11" t="s">
        <v>37153</v>
      </c>
      <c r="T6538" s="6"/>
      <c r="U6538" s="15" t="str">
        <f>HYPERLINK("https://media.infra-m.ru/2188/2188763/cover/2188763.jpg", "Обложка")</f>
        <v>Обложка</v>
      </c>
      <c r="V6538" s="8" t="s">
        <v>21849</v>
      </c>
      <c r="W6538" s="6"/>
      <c r="X6538" s="6"/>
      <c r="Y6538" s="6"/>
      <c r="Z6538" s="6"/>
      <c r="AA6538" s="6" t="s">
        <v>218</v>
      </c>
      <c r="AB6538" s="8"/>
      <c r="AC6538" s="27">
        <v>9785000916254</v>
      </c>
    </row>
    <row r="6539" spans="1:29" s="4" customFormat="1" ht="51.9" customHeight="1" x14ac:dyDescent="0.2">
      <c r="A6539" s="5">
        <v>0</v>
      </c>
      <c r="B6539" s="6" t="s">
        <v>37154</v>
      </c>
      <c r="C6539" s="7">
        <v>1049.9000000000001</v>
      </c>
      <c r="D6539" s="8" t="s">
        <v>37155</v>
      </c>
      <c r="E6539" s="8" t="s">
        <v>37156</v>
      </c>
      <c r="F6539" s="8" t="s">
        <v>37151</v>
      </c>
      <c r="G6539" s="6" t="s">
        <v>60</v>
      </c>
      <c r="H6539" s="6" t="s">
        <v>48</v>
      </c>
      <c r="I6539" s="8"/>
      <c r="J6539" s="9">
        <v>1</v>
      </c>
      <c r="K6539" s="9">
        <v>272</v>
      </c>
      <c r="L6539" s="9">
        <v>2019</v>
      </c>
      <c r="M6539" s="8" t="s">
        <v>37157</v>
      </c>
      <c r="N6539" s="8" t="s">
        <v>243</v>
      </c>
      <c r="O6539" s="8" t="s">
        <v>758</v>
      </c>
      <c r="P6539" s="6" t="s">
        <v>306</v>
      </c>
      <c r="Q6539" s="8" t="s">
        <v>52</v>
      </c>
      <c r="R6539" s="10" t="s">
        <v>17217</v>
      </c>
      <c r="S6539" s="11" t="s">
        <v>37158</v>
      </c>
      <c r="T6539" s="6"/>
      <c r="U6539" s="15" t="str">
        <f>HYPERLINK("https://media.infra-m.ru/0987/0987283/cover/987283.jpg", "Обложка")</f>
        <v>Обложка</v>
      </c>
      <c r="V6539" s="8" t="s">
        <v>21849</v>
      </c>
      <c r="W6539" s="6"/>
      <c r="X6539" s="6"/>
      <c r="Y6539" s="6"/>
      <c r="Z6539" s="6"/>
      <c r="AA6539" s="6" t="s">
        <v>43</v>
      </c>
      <c r="AB6539" s="8"/>
      <c r="AC6539" s="27">
        <v>9785911345174</v>
      </c>
    </row>
    <row r="6540" spans="1:29" s="4" customFormat="1" ht="42" customHeight="1" x14ac:dyDescent="0.2">
      <c r="A6540" s="5">
        <v>0</v>
      </c>
      <c r="B6540" s="6" t="s">
        <v>37159</v>
      </c>
      <c r="C6540" s="7">
        <v>1056</v>
      </c>
      <c r="D6540" s="8" t="s">
        <v>37160</v>
      </c>
      <c r="E6540" s="8" t="s">
        <v>37161</v>
      </c>
      <c r="F6540" s="8" t="s">
        <v>37162</v>
      </c>
      <c r="G6540" s="6" t="s">
        <v>33</v>
      </c>
      <c r="H6540" s="6" t="s">
        <v>34</v>
      </c>
      <c r="I6540" s="8" t="s">
        <v>35</v>
      </c>
      <c r="J6540" s="9">
        <v>1</v>
      </c>
      <c r="K6540" s="9">
        <v>200</v>
      </c>
      <c r="L6540" s="9">
        <v>2021</v>
      </c>
      <c r="M6540" s="8" t="s">
        <v>37163</v>
      </c>
      <c r="N6540" s="8" t="s">
        <v>243</v>
      </c>
      <c r="O6540" s="8" t="s">
        <v>758</v>
      </c>
      <c r="P6540" s="6" t="s">
        <v>39</v>
      </c>
      <c r="Q6540" s="8" t="s">
        <v>40</v>
      </c>
      <c r="R6540" s="10" t="s">
        <v>37164</v>
      </c>
      <c r="S6540" s="11"/>
      <c r="T6540" s="6"/>
      <c r="U6540" s="15" t="str">
        <f>HYPERLINK("https://media.infra-m.ru/1165/1165273/cover/1165273.jpg", "Обложка")</f>
        <v>Обложка</v>
      </c>
      <c r="V6540" s="8" t="s">
        <v>1030</v>
      </c>
      <c r="W6540" s="6"/>
      <c r="X6540" s="6"/>
      <c r="Y6540" s="6"/>
      <c r="Z6540" s="6"/>
      <c r="AA6540" s="6" t="s">
        <v>430</v>
      </c>
      <c r="AB6540" s="8"/>
      <c r="AC6540" s="27">
        <v>9785160161358</v>
      </c>
    </row>
    <row r="6541" spans="1:29" s="4" customFormat="1" ht="42" customHeight="1" x14ac:dyDescent="0.2">
      <c r="A6541" s="5">
        <v>0</v>
      </c>
      <c r="B6541" s="6" t="s">
        <v>37165</v>
      </c>
      <c r="C6541" s="13">
        <v>984</v>
      </c>
      <c r="D6541" s="8" t="s">
        <v>37166</v>
      </c>
      <c r="E6541" s="8" t="s">
        <v>37167</v>
      </c>
      <c r="F6541" s="8" t="s">
        <v>18516</v>
      </c>
      <c r="G6541" s="6" t="s">
        <v>33</v>
      </c>
      <c r="H6541" s="6" t="s">
        <v>313</v>
      </c>
      <c r="I6541" s="8" t="s">
        <v>35</v>
      </c>
      <c r="J6541" s="9">
        <v>1</v>
      </c>
      <c r="K6541" s="9">
        <v>208</v>
      </c>
      <c r="L6541" s="9">
        <v>2022</v>
      </c>
      <c r="M6541" s="8" t="s">
        <v>37168</v>
      </c>
      <c r="N6541" s="8" t="s">
        <v>37</v>
      </c>
      <c r="O6541" s="8" t="s">
        <v>233</v>
      </c>
      <c r="P6541" s="6" t="s">
        <v>39</v>
      </c>
      <c r="Q6541" s="8" t="s">
        <v>40</v>
      </c>
      <c r="R6541" s="10" t="s">
        <v>37169</v>
      </c>
      <c r="S6541" s="11"/>
      <c r="T6541" s="6"/>
      <c r="U6541" s="15" t="str">
        <f>HYPERLINK("https://media.infra-m.ru/1859/1859037/cover/1859037.jpg", "Обложка")</f>
        <v>Обложка</v>
      </c>
      <c r="V6541" s="8" t="s">
        <v>2446</v>
      </c>
      <c r="W6541" s="6"/>
      <c r="X6541" s="6"/>
      <c r="Y6541" s="6"/>
      <c r="Z6541" s="6"/>
      <c r="AA6541" s="6" t="s">
        <v>99</v>
      </c>
      <c r="AB6541" s="8"/>
      <c r="AC6541" s="27">
        <v>9785369016565</v>
      </c>
    </row>
    <row r="6542" spans="1:29" s="4" customFormat="1" ht="51.9" customHeight="1" x14ac:dyDescent="0.2">
      <c r="A6542" s="5">
        <v>0</v>
      </c>
      <c r="B6542" s="6" t="s">
        <v>37170</v>
      </c>
      <c r="C6542" s="13">
        <v>816</v>
      </c>
      <c r="D6542" s="8" t="s">
        <v>37171</v>
      </c>
      <c r="E6542" s="8" t="s">
        <v>37172</v>
      </c>
      <c r="F6542" s="8" t="s">
        <v>2620</v>
      </c>
      <c r="G6542" s="6" t="s">
        <v>118</v>
      </c>
      <c r="H6542" s="6" t="s">
        <v>34</v>
      </c>
      <c r="I6542" s="8" t="s">
        <v>271</v>
      </c>
      <c r="J6542" s="9">
        <v>1</v>
      </c>
      <c r="K6542" s="9">
        <v>144</v>
      </c>
      <c r="L6542" s="9">
        <v>2023</v>
      </c>
      <c r="M6542" s="8" t="s">
        <v>37173</v>
      </c>
      <c r="N6542" s="8" t="s">
        <v>63</v>
      </c>
      <c r="O6542" s="8" t="s">
        <v>64</v>
      </c>
      <c r="P6542" s="6" t="s">
        <v>51</v>
      </c>
      <c r="Q6542" s="8" t="s">
        <v>52</v>
      </c>
      <c r="R6542" s="10" t="s">
        <v>37174</v>
      </c>
      <c r="S6542" s="11" t="s">
        <v>37175</v>
      </c>
      <c r="T6542" s="6"/>
      <c r="U6542" s="15" t="str">
        <f>HYPERLINK("https://media.infra-m.ru/2000/2000023/cover/2000023.jpg", "Обложка")</f>
        <v>Обложка</v>
      </c>
      <c r="V6542" s="8" t="s">
        <v>2623</v>
      </c>
      <c r="W6542" s="6"/>
      <c r="X6542" s="6"/>
      <c r="Y6542" s="6"/>
      <c r="Z6542" s="6"/>
      <c r="AA6542" s="6" t="s">
        <v>115</v>
      </c>
      <c r="AB6542" s="8"/>
      <c r="AC6542" s="27">
        <v>9785160144726</v>
      </c>
    </row>
    <row r="6543" spans="1:29" s="4" customFormat="1" ht="51.9" customHeight="1" x14ac:dyDescent="0.2">
      <c r="A6543" s="5">
        <v>0</v>
      </c>
      <c r="B6543" s="6" t="s">
        <v>37176</v>
      </c>
      <c r="C6543" s="7">
        <v>1048.8</v>
      </c>
      <c r="D6543" s="8" t="s">
        <v>37177</v>
      </c>
      <c r="E6543" s="8" t="s">
        <v>37178</v>
      </c>
      <c r="F6543" s="8" t="s">
        <v>37179</v>
      </c>
      <c r="G6543" s="6" t="s">
        <v>118</v>
      </c>
      <c r="H6543" s="6" t="s">
        <v>34</v>
      </c>
      <c r="I6543" s="8" t="s">
        <v>253</v>
      </c>
      <c r="J6543" s="9">
        <v>1</v>
      </c>
      <c r="K6543" s="9">
        <v>153</v>
      </c>
      <c r="L6543" s="9">
        <v>2027</v>
      </c>
      <c r="M6543" s="8" t="s">
        <v>37180</v>
      </c>
      <c r="N6543" s="8" t="s">
        <v>63</v>
      </c>
      <c r="O6543" s="8" t="s">
        <v>64</v>
      </c>
      <c r="P6543" s="6" t="s">
        <v>51</v>
      </c>
      <c r="Q6543" s="8" t="s">
        <v>500</v>
      </c>
      <c r="R6543" s="10" t="s">
        <v>37181</v>
      </c>
      <c r="S6543" s="11" t="s">
        <v>37182</v>
      </c>
      <c r="T6543" s="6"/>
      <c r="U6543" s="15" t="str">
        <f>HYPERLINK("https://media.infra-m.ru/2273/2273018/cover/2273018.jpg", "Обложка")</f>
        <v>Обложка</v>
      </c>
      <c r="V6543" s="8" t="s">
        <v>1505</v>
      </c>
      <c r="W6543" s="6"/>
      <c r="X6543" s="6"/>
      <c r="Y6543" s="6"/>
      <c r="Z6543" s="6"/>
      <c r="AA6543" s="6" t="s">
        <v>148</v>
      </c>
      <c r="AB6543" s="8"/>
      <c r="AC6543" s="27">
        <v>9785160202617</v>
      </c>
    </row>
    <row r="6544" spans="1:29" s="4" customFormat="1" ht="44.1" customHeight="1" x14ac:dyDescent="0.2">
      <c r="A6544" s="5">
        <v>0</v>
      </c>
      <c r="B6544" s="6" t="s">
        <v>37183</v>
      </c>
      <c r="C6544" s="13">
        <v>960</v>
      </c>
      <c r="D6544" s="8" t="s">
        <v>37184</v>
      </c>
      <c r="E6544" s="8" t="s">
        <v>37185</v>
      </c>
      <c r="F6544" s="8" t="s">
        <v>37186</v>
      </c>
      <c r="G6544" s="6" t="s">
        <v>33</v>
      </c>
      <c r="H6544" s="6" t="s">
        <v>34</v>
      </c>
      <c r="I6544" s="8" t="s">
        <v>457</v>
      </c>
      <c r="J6544" s="9">
        <v>1</v>
      </c>
      <c r="K6544" s="9">
        <v>143</v>
      </c>
      <c r="L6544" s="9">
        <v>2024</v>
      </c>
      <c r="M6544" s="8" t="s">
        <v>37187</v>
      </c>
      <c r="N6544" s="8" t="s">
        <v>37</v>
      </c>
      <c r="O6544" s="8" t="s">
        <v>233</v>
      </c>
      <c r="P6544" s="6" t="s">
        <v>39</v>
      </c>
      <c r="Q6544" s="8" t="s">
        <v>40</v>
      </c>
      <c r="R6544" s="10" t="s">
        <v>37188</v>
      </c>
      <c r="S6544" s="11"/>
      <c r="T6544" s="6"/>
      <c r="U6544" s="15" t="str">
        <f>HYPERLINK("https://media.infra-m.ru/2144/2144525/cover/2144525.jpg", "Обложка")</f>
        <v>Обложка</v>
      </c>
      <c r="V6544" s="8" t="s">
        <v>247</v>
      </c>
      <c r="W6544" s="6"/>
      <c r="X6544" s="6"/>
      <c r="Y6544" s="6"/>
      <c r="Z6544" s="6"/>
      <c r="AA6544" s="6" t="s">
        <v>76</v>
      </c>
      <c r="AB6544" s="8"/>
      <c r="AC6544" s="27">
        <v>9785160199122</v>
      </c>
    </row>
    <row r="6545" spans="1:29" s="4" customFormat="1" ht="42" customHeight="1" x14ac:dyDescent="0.2">
      <c r="A6545" s="5">
        <v>0</v>
      </c>
      <c r="B6545" s="6" t="s">
        <v>37189</v>
      </c>
      <c r="C6545" s="7">
        <v>1084.8</v>
      </c>
      <c r="D6545" s="8" t="s">
        <v>37190</v>
      </c>
      <c r="E6545" s="8" t="s">
        <v>37191</v>
      </c>
      <c r="F6545" s="8" t="s">
        <v>37192</v>
      </c>
      <c r="G6545" s="6" t="s">
        <v>60</v>
      </c>
      <c r="H6545" s="6" t="s">
        <v>34</v>
      </c>
      <c r="I6545" s="8" t="s">
        <v>35</v>
      </c>
      <c r="J6545" s="9">
        <v>1</v>
      </c>
      <c r="K6545" s="9">
        <v>190</v>
      </c>
      <c r="L6545" s="9">
        <v>2024</v>
      </c>
      <c r="M6545" s="8" t="s">
        <v>37193</v>
      </c>
      <c r="N6545" s="8" t="s">
        <v>93</v>
      </c>
      <c r="O6545" s="8" t="s">
        <v>94</v>
      </c>
      <c r="P6545" s="6" t="s">
        <v>39</v>
      </c>
      <c r="Q6545" s="8" t="s">
        <v>40</v>
      </c>
      <c r="R6545" s="10" t="s">
        <v>37194</v>
      </c>
      <c r="S6545" s="11"/>
      <c r="T6545" s="6"/>
      <c r="U6545" s="15" t="str">
        <f>HYPERLINK("https://media.infra-m.ru/2115/2115275/cover/2115275.jpg", "Обложка")</f>
        <v>Обложка</v>
      </c>
      <c r="V6545" s="8" t="s">
        <v>1505</v>
      </c>
      <c r="W6545" s="6"/>
      <c r="X6545" s="6"/>
      <c r="Y6545" s="6"/>
      <c r="Z6545" s="6"/>
      <c r="AA6545" s="6" t="s">
        <v>86</v>
      </c>
      <c r="AB6545" s="8"/>
      <c r="AC6545" s="27">
        <v>9785160132754</v>
      </c>
    </row>
    <row r="6546" spans="1:29" s="4" customFormat="1" ht="42" customHeight="1" x14ac:dyDescent="0.2">
      <c r="A6546" s="5">
        <v>0</v>
      </c>
      <c r="B6546" s="6" t="s">
        <v>37195</v>
      </c>
      <c r="C6546" s="7">
        <v>1428</v>
      </c>
      <c r="D6546" s="8" t="s">
        <v>37196</v>
      </c>
      <c r="E6546" s="8" t="s">
        <v>37197</v>
      </c>
      <c r="F6546" s="8" t="s">
        <v>5879</v>
      </c>
      <c r="G6546" s="6" t="s">
        <v>60</v>
      </c>
      <c r="H6546" s="6" t="s">
        <v>34</v>
      </c>
      <c r="I6546" s="8" t="s">
        <v>35</v>
      </c>
      <c r="J6546" s="9">
        <v>1</v>
      </c>
      <c r="K6546" s="9">
        <v>230</v>
      </c>
      <c r="L6546" s="9">
        <v>2025</v>
      </c>
      <c r="M6546" s="8" t="s">
        <v>37198</v>
      </c>
      <c r="N6546" s="8" t="s">
        <v>93</v>
      </c>
      <c r="O6546" s="8" t="s">
        <v>94</v>
      </c>
      <c r="P6546" s="6" t="s">
        <v>39</v>
      </c>
      <c r="Q6546" s="8" t="s">
        <v>377</v>
      </c>
      <c r="R6546" s="10" t="s">
        <v>21000</v>
      </c>
      <c r="S6546" s="11"/>
      <c r="T6546" s="6"/>
      <c r="U6546" s="15" t="str">
        <f>HYPERLINK("https://media.infra-m.ru/2174/2174707/cover/2174707.jpg", "Обложка")</f>
        <v>Обложка</v>
      </c>
      <c r="V6546" s="8" t="s">
        <v>5882</v>
      </c>
      <c r="W6546" s="6"/>
      <c r="X6546" s="6"/>
      <c r="Y6546" s="6"/>
      <c r="Z6546" s="6"/>
      <c r="AA6546" s="6" t="s">
        <v>68</v>
      </c>
      <c r="AB6546" s="8"/>
      <c r="AC6546" s="27">
        <v>9785160204482</v>
      </c>
    </row>
    <row r="6547" spans="1:29" s="4" customFormat="1" ht="42" customHeight="1" x14ac:dyDescent="0.2">
      <c r="A6547" s="5">
        <v>0</v>
      </c>
      <c r="B6547" s="6" t="s">
        <v>37199</v>
      </c>
      <c r="C6547" s="7">
        <v>1324.8</v>
      </c>
      <c r="D6547" s="8" t="s">
        <v>37200</v>
      </c>
      <c r="E6547" s="8" t="s">
        <v>37201</v>
      </c>
      <c r="F6547" s="8" t="s">
        <v>37202</v>
      </c>
      <c r="G6547" s="6" t="s">
        <v>60</v>
      </c>
      <c r="H6547" s="6" t="s">
        <v>134</v>
      </c>
      <c r="I6547" s="8"/>
      <c r="J6547" s="9">
        <v>1</v>
      </c>
      <c r="K6547" s="9">
        <v>200</v>
      </c>
      <c r="L6547" s="9">
        <v>2026</v>
      </c>
      <c r="M6547" s="8" t="s">
        <v>37203</v>
      </c>
      <c r="N6547" s="8" t="s">
        <v>37</v>
      </c>
      <c r="O6547" s="8" t="s">
        <v>136</v>
      </c>
      <c r="P6547" s="6" t="s">
        <v>39</v>
      </c>
      <c r="Q6547" s="8" t="s">
        <v>40</v>
      </c>
      <c r="R6547" s="10" t="s">
        <v>684</v>
      </c>
      <c r="S6547" s="11"/>
      <c r="T6547" s="6"/>
      <c r="U6547" s="15" t="str">
        <f>HYPERLINK("https://media.infra-m.ru/2244/2244481/cover/2244481.jpg", "Обложка")</f>
        <v>Обложка</v>
      </c>
      <c r="V6547" s="8" t="s">
        <v>138</v>
      </c>
      <c r="W6547" s="6"/>
      <c r="X6547" s="6"/>
      <c r="Y6547" s="6"/>
      <c r="Z6547" s="6"/>
      <c r="AA6547" s="6" t="s">
        <v>148</v>
      </c>
      <c r="AB6547" s="8"/>
      <c r="AC6547" s="27">
        <v>9785001562092</v>
      </c>
    </row>
    <row r="6548" spans="1:29" s="4" customFormat="1" ht="44.1" customHeight="1" x14ac:dyDescent="0.2">
      <c r="A6548" s="5">
        <v>0</v>
      </c>
      <c r="B6548" s="6" t="s">
        <v>37204</v>
      </c>
      <c r="C6548" s="7">
        <v>1764</v>
      </c>
      <c r="D6548" s="8" t="s">
        <v>37205</v>
      </c>
      <c r="E6548" s="8" t="s">
        <v>37206</v>
      </c>
      <c r="F6548" s="8" t="s">
        <v>37207</v>
      </c>
      <c r="G6548" s="6" t="s">
        <v>60</v>
      </c>
      <c r="H6548" s="6" t="s">
        <v>34</v>
      </c>
      <c r="I6548" s="8" t="s">
        <v>35</v>
      </c>
      <c r="J6548" s="9">
        <v>1</v>
      </c>
      <c r="K6548" s="9">
        <v>317</v>
      </c>
      <c r="L6548" s="9">
        <v>2024</v>
      </c>
      <c r="M6548" s="8" t="s">
        <v>37208</v>
      </c>
      <c r="N6548" s="8" t="s">
        <v>37</v>
      </c>
      <c r="O6548" s="8" t="s">
        <v>38</v>
      </c>
      <c r="P6548" s="6" t="s">
        <v>39</v>
      </c>
      <c r="Q6548" s="8" t="s">
        <v>40</v>
      </c>
      <c r="R6548" s="10" t="s">
        <v>37209</v>
      </c>
      <c r="S6548" s="11"/>
      <c r="T6548" s="6"/>
      <c r="U6548" s="15" t="str">
        <f>HYPERLINK("https://media.infra-m.ru/1946/1946225/cover/1946225.jpg", "Обложка")</f>
        <v>Обложка</v>
      </c>
      <c r="V6548" s="8" t="s">
        <v>10951</v>
      </c>
      <c r="W6548" s="6"/>
      <c r="X6548" s="6"/>
      <c r="Y6548" s="6"/>
      <c r="Z6548" s="6"/>
      <c r="AA6548" s="6" t="s">
        <v>76</v>
      </c>
      <c r="AB6548" s="8"/>
      <c r="AC6548" s="27">
        <v>9785160182629</v>
      </c>
    </row>
    <row r="6549" spans="1:29" s="4" customFormat="1" ht="42" customHeight="1" x14ac:dyDescent="0.2">
      <c r="A6549" s="5">
        <v>0</v>
      </c>
      <c r="B6549" s="6" t="s">
        <v>37210</v>
      </c>
      <c r="C6549" s="7">
        <v>1056</v>
      </c>
      <c r="D6549" s="8" t="s">
        <v>37211</v>
      </c>
      <c r="E6549" s="8" t="s">
        <v>37212</v>
      </c>
      <c r="F6549" s="8" t="s">
        <v>37213</v>
      </c>
      <c r="G6549" s="6" t="s">
        <v>33</v>
      </c>
      <c r="H6549" s="6" t="s">
        <v>34</v>
      </c>
      <c r="I6549" s="8" t="s">
        <v>35</v>
      </c>
      <c r="J6549" s="9">
        <v>1</v>
      </c>
      <c r="K6549" s="9">
        <v>188</v>
      </c>
      <c r="L6549" s="9">
        <v>2024</v>
      </c>
      <c r="M6549" s="8" t="s">
        <v>37214</v>
      </c>
      <c r="N6549" s="8" t="s">
        <v>93</v>
      </c>
      <c r="O6549" s="8" t="s">
        <v>94</v>
      </c>
      <c r="P6549" s="6" t="s">
        <v>39</v>
      </c>
      <c r="Q6549" s="8" t="s">
        <v>40</v>
      </c>
      <c r="R6549" s="10" t="s">
        <v>37215</v>
      </c>
      <c r="S6549" s="11"/>
      <c r="T6549" s="6"/>
      <c r="U6549" s="15" t="str">
        <f>HYPERLINK("https://media.infra-m.ru/2136/2136025/cover/2136025.jpg", "Обложка")</f>
        <v>Обложка</v>
      </c>
      <c r="V6549" s="8" t="s">
        <v>20440</v>
      </c>
      <c r="W6549" s="6"/>
      <c r="X6549" s="6"/>
      <c r="Y6549" s="6"/>
      <c r="Z6549" s="6"/>
      <c r="AA6549" s="6" t="s">
        <v>248</v>
      </c>
      <c r="AB6549" s="8"/>
      <c r="AC6549" s="27">
        <v>9785160097312</v>
      </c>
    </row>
    <row r="6550" spans="1:29" s="4" customFormat="1" ht="51.9" customHeight="1" x14ac:dyDescent="0.2">
      <c r="A6550" s="5">
        <v>0</v>
      </c>
      <c r="B6550" s="6" t="s">
        <v>37216</v>
      </c>
      <c r="C6550" s="7">
        <v>3196.8</v>
      </c>
      <c r="D6550" s="8" t="s">
        <v>37217</v>
      </c>
      <c r="E6550" s="8" t="s">
        <v>37218</v>
      </c>
      <c r="F6550" s="8" t="s">
        <v>37219</v>
      </c>
      <c r="G6550" s="6" t="s">
        <v>60</v>
      </c>
      <c r="H6550" s="6" t="s">
        <v>241</v>
      </c>
      <c r="I6550" s="8"/>
      <c r="J6550" s="9">
        <v>1</v>
      </c>
      <c r="K6550" s="9">
        <v>512</v>
      </c>
      <c r="L6550" s="9">
        <v>2026</v>
      </c>
      <c r="M6550" s="8" t="s">
        <v>37220</v>
      </c>
      <c r="N6550" s="8" t="s">
        <v>37</v>
      </c>
      <c r="O6550" s="8" t="s">
        <v>38</v>
      </c>
      <c r="P6550" s="6" t="s">
        <v>51</v>
      </c>
      <c r="Q6550" s="8" t="s">
        <v>52</v>
      </c>
      <c r="R6550" s="10" t="s">
        <v>370</v>
      </c>
      <c r="S6550" s="11" t="s">
        <v>7306</v>
      </c>
      <c r="T6550" s="6"/>
      <c r="U6550" s="15" t="str">
        <f>HYPERLINK("https://media.infra-m.ru/2219/2219682/cover/2219682.jpg", "Обложка")</f>
        <v>Обложка</v>
      </c>
      <c r="V6550" s="8" t="s">
        <v>247</v>
      </c>
      <c r="W6550" s="6"/>
      <c r="X6550" s="6"/>
      <c r="Y6550" s="6"/>
      <c r="Z6550" s="6"/>
      <c r="AA6550" s="6" t="s">
        <v>1037</v>
      </c>
      <c r="AB6550" s="8"/>
      <c r="AC6550" s="27">
        <v>9785955803395</v>
      </c>
    </row>
    <row r="6551" spans="1:29" s="4" customFormat="1" ht="51.9" customHeight="1" x14ac:dyDescent="0.2">
      <c r="A6551" s="5">
        <v>0</v>
      </c>
      <c r="B6551" s="6" t="s">
        <v>37221</v>
      </c>
      <c r="C6551" s="7">
        <v>1888.8</v>
      </c>
      <c r="D6551" s="8" t="s">
        <v>37222</v>
      </c>
      <c r="E6551" s="8" t="s">
        <v>37223</v>
      </c>
      <c r="F6551" s="8" t="s">
        <v>37224</v>
      </c>
      <c r="G6551" s="6" t="s">
        <v>118</v>
      </c>
      <c r="H6551" s="6" t="s">
        <v>34</v>
      </c>
      <c r="I6551" s="8" t="s">
        <v>253</v>
      </c>
      <c r="J6551" s="9">
        <v>1</v>
      </c>
      <c r="K6551" s="9">
        <v>286</v>
      </c>
      <c r="L6551" s="9">
        <v>2026</v>
      </c>
      <c r="M6551" s="8" t="s">
        <v>37225</v>
      </c>
      <c r="N6551" s="8" t="s">
        <v>63</v>
      </c>
      <c r="O6551" s="8" t="s">
        <v>64</v>
      </c>
      <c r="P6551" s="6" t="s">
        <v>306</v>
      </c>
      <c r="Q6551" s="8" t="s">
        <v>65</v>
      </c>
      <c r="R6551" s="10" t="s">
        <v>14163</v>
      </c>
      <c r="S6551" s="11" t="s">
        <v>37226</v>
      </c>
      <c r="T6551" s="6"/>
      <c r="U6551" s="15" t="str">
        <f>HYPERLINK("https://media.infra-m.ru/2249/2249350/cover/2249350.jpg", "Обложка")</f>
        <v>Обложка</v>
      </c>
      <c r="V6551" s="8" t="s">
        <v>4481</v>
      </c>
      <c r="W6551" s="6"/>
      <c r="X6551" s="6"/>
      <c r="Y6551" s="6"/>
      <c r="Z6551" s="6"/>
      <c r="AA6551" s="6" t="s">
        <v>1031</v>
      </c>
      <c r="AB6551" s="8"/>
      <c r="AC6551" s="27">
        <v>9785160185002</v>
      </c>
    </row>
    <row r="6552" spans="1:29" s="4" customFormat="1" ht="51.9" customHeight="1" x14ac:dyDescent="0.2">
      <c r="A6552" s="5">
        <v>0</v>
      </c>
      <c r="B6552" s="6" t="s">
        <v>37227</v>
      </c>
      <c r="C6552" s="7">
        <v>1888.8</v>
      </c>
      <c r="D6552" s="8" t="s">
        <v>37228</v>
      </c>
      <c r="E6552" s="8" t="s">
        <v>37223</v>
      </c>
      <c r="F6552" s="8" t="s">
        <v>37224</v>
      </c>
      <c r="G6552" s="6" t="s">
        <v>118</v>
      </c>
      <c r="H6552" s="6" t="s">
        <v>34</v>
      </c>
      <c r="I6552" s="8" t="s">
        <v>263</v>
      </c>
      <c r="J6552" s="9">
        <v>1</v>
      </c>
      <c r="K6552" s="9">
        <v>286</v>
      </c>
      <c r="L6552" s="9">
        <v>2026</v>
      </c>
      <c r="M6552" s="8" t="s">
        <v>37229</v>
      </c>
      <c r="N6552" s="8" t="s">
        <v>63</v>
      </c>
      <c r="O6552" s="8" t="s">
        <v>64</v>
      </c>
      <c r="P6552" s="6" t="s">
        <v>306</v>
      </c>
      <c r="Q6552" s="8" t="s">
        <v>265</v>
      </c>
      <c r="R6552" s="10" t="s">
        <v>37230</v>
      </c>
      <c r="S6552" s="11" t="s">
        <v>37231</v>
      </c>
      <c r="T6552" s="6"/>
      <c r="U6552" s="15" t="str">
        <f>HYPERLINK("https://media.infra-m.ru/2232/2232019/cover/2232019.jpg", "Обложка")</f>
        <v>Обложка</v>
      </c>
      <c r="V6552" s="8" t="s">
        <v>4481</v>
      </c>
      <c r="W6552" s="6"/>
      <c r="X6552" s="6" t="s">
        <v>24</v>
      </c>
      <c r="Y6552" s="6"/>
      <c r="Z6552" s="6" t="s">
        <v>882</v>
      </c>
      <c r="AA6552" s="6" t="s">
        <v>2230</v>
      </c>
      <c r="AB6552" s="8"/>
      <c r="AC6552" s="27">
        <v>9785160169699</v>
      </c>
    </row>
    <row r="6553" spans="1:29" s="4" customFormat="1" ht="51.9" customHeight="1" x14ac:dyDescent="0.2">
      <c r="A6553" s="5">
        <v>0</v>
      </c>
      <c r="B6553" s="6" t="s">
        <v>37232</v>
      </c>
      <c r="C6553" s="7">
        <v>1152</v>
      </c>
      <c r="D6553" s="8" t="s">
        <v>37233</v>
      </c>
      <c r="E6553" s="8" t="s">
        <v>37234</v>
      </c>
      <c r="F6553" s="8" t="s">
        <v>37235</v>
      </c>
      <c r="G6553" s="6" t="s">
        <v>118</v>
      </c>
      <c r="H6553" s="6" t="s">
        <v>34</v>
      </c>
      <c r="I6553" s="8" t="s">
        <v>263</v>
      </c>
      <c r="J6553" s="9">
        <v>1</v>
      </c>
      <c r="K6553" s="9">
        <v>192</v>
      </c>
      <c r="L6553" s="9">
        <v>2025</v>
      </c>
      <c r="M6553" s="8" t="s">
        <v>37236</v>
      </c>
      <c r="N6553" s="8" t="s">
        <v>93</v>
      </c>
      <c r="O6553" s="8" t="s">
        <v>94</v>
      </c>
      <c r="P6553" s="6" t="s">
        <v>105</v>
      </c>
      <c r="Q6553" s="8" t="s">
        <v>265</v>
      </c>
      <c r="R6553" s="10" t="s">
        <v>37237</v>
      </c>
      <c r="S6553" s="11" t="s">
        <v>37238</v>
      </c>
      <c r="T6553" s="6"/>
      <c r="U6553" s="15" t="str">
        <f>HYPERLINK("https://media.infra-m.ru/2185/2185186/cover/2185186.jpg", "Обложка")</f>
        <v>Обложка</v>
      </c>
      <c r="V6553" s="8" t="s">
        <v>9822</v>
      </c>
      <c r="W6553" s="6"/>
      <c r="X6553" s="6"/>
      <c r="Y6553" s="6"/>
      <c r="Z6553" s="6" t="s">
        <v>882</v>
      </c>
      <c r="AA6553" s="6" t="s">
        <v>1256</v>
      </c>
      <c r="AB6553" s="8"/>
      <c r="AC6553" s="27">
        <v>9785160156521</v>
      </c>
    </row>
    <row r="6554" spans="1:29" s="4" customFormat="1" ht="51.9" customHeight="1" x14ac:dyDescent="0.2">
      <c r="A6554" s="5">
        <v>0</v>
      </c>
      <c r="B6554" s="6" t="s">
        <v>37239</v>
      </c>
      <c r="C6554" s="7">
        <v>1344</v>
      </c>
      <c r="D6554" s="8" t="s">
        <v>37240</v>
      </c>
      <c r="E6554" s="8" t="s">
        <v>37241</v>
      </c>
      <c r="F6554" s="8" t="s">
        <v>37235</v>
      </c>
      <c r="G6554" s="6" t="s">
        <v>33</v>
      </c>
      <c r="H6554" s="6" t="s">
        <v>34</v>
      </c>
      <c r="I6554" s="8" t="s">
        <v>91</v>
      </c>
      <c r="J6554" s="9">
        <v>1</v>
      </c>
      <c r="K6554" s="9">
        <v>192</v>
      </c>
      <c r="L6554" s="9">
        <v>2026</v>
      </c>
      <c r="M6554" s="8" t="s">
        <v>37242</v>
      </c>
      <c r="N6554" s="8" t="s">
        <v>93</v>
      </c>
      <c r="O6554" s="8" t="s">
        <v>94</v>
      </c>
      <c r="P6554" s="6" t="s">
        <v>105</v>
      </c>
      <c r="Q6554" s="8" t="s">
        <v>65</v>
      </c>
      <c r="R6554" s="10" t="s">
        <v>37243</v>
      </c>
      <c r="S6554" s="11" t="s">
        <v>37244</v>
      </c>
      <c r="T6554" s="6"/>
      <c r="U6554" s="15" t="str">
        <f>HYPERLINK("https://media.infra-m.ru/2259/2259688/cover/2259688.jpg", "Обложка")</f>
        <v>Обложка</v>
      </c>
      <c r="V6554" s="8" t="s">
        <v>9822</v>
      </c>
      <c r="W6554" s="6"/>
      <c r="X6554" s="6"/>
      <c r="Y6554" s="6"/>
      <c r="Z6554" s="6"/>
      <c r="AA6554" s="6" t="s">
        <v>274</v>
      </c>
      <c r="AB6554" s="8"/>
      <c r="AC6554" s="27">
        <v>9785160222486</v>
      </c>
    </row>
    <row r="6555" spans="1:29" s="4" customFormat="1" ht="44.1" customHeight="1" x14ac:dyDescent="0.2">
      <c r="A6555" s="5">
        <v>0</v>
      </c>
      <c r="B6555" s="6" t="s">
        <v>37245</v>
      </c>
      <c r="C6555" s="7">
        <v>1908</v>
      </c>
      <c r="D6555" s="8" t="s">
        <v>37246</v>
      </c>
      <c r="E6555" s="8" t="s">
        <v>37247</v>
      </c>
      <c r="F6555" s="8" t="s">
        <v>37248</v>
      </c>
      <c r="G6555" s="6" t="s">
        <v>60</v>
      </c>
      <c r="H6555" s="6" t="s">
        <v>34</v>
      </c>
      <c r="I6555" s="8" t="s">
        <v>35</v>
      </c>
      <c r="J6555" s="9">
        <v>1</v>
      </c>
      <c r="K6555" s="9">
        <v>292</v>
      </c>
      <c r="L6555" s="9">
        <v>2024</v>
      </c>
      <c r="M6555" s="8" t="s">
        <v>37249</v>
      </c>
      <c r="N6555" s="8" t="s">
        <v>585</v>
      </c>
      <c r="O6555" s="8" t="s">
        <v>775</v>
      </c>
      <c r="P6555" s="6" t="s">
        <v>39</v>
      </c>
      <c r="Q6555" s="8" t="s">
        <v>40</v>
      </c>
      <c r="R6555" s="10" t="s">
        <v>37250</v>
      </c>
      <c r="S6555" s="11"/>
      <c r="T6555" s="6"/>
      <c r="U6555" s="15" t="str">
        <f>HYPERLINK("https://media.infra-m.ru/2124/2124906/cover/2124906.jpg", "Обложка")</f>
        <v>Обложка</v>
      </c>
      <c r="V6555" s="8" t="s">
        <v>37251</v>
      </c>
      <c r="W6555" s="6"/>
      <c r="X6555" s="6"/>
      <c r="Y6555" s="6"/>
      <c r="Z6555" s="6"/>
      <c r="AA6555" s="6" t="s">
        <v>76</v>
      </c>
      <c r="AB6555" s="8" t="s">
        <v>670</v>
      </c>
      <c r="AC6555" s="27">
        <v>9785160194974</v>
      </c>
    </row>
    <row r="6556" spans="1:29" s="4" customFormat="1" ht="51.9" customHeight="1" x14ac:dyDescent="0.2">
      <c r="A6556" s="5">
        <v>0</v>
      </c>
      <c r="B6556" s="6" t="s">
        <v>37252</v>
      </c>
      <c r="C6556" s="7">
        <v>5554.8</v>
      </c>
      <c r="D6556" s="8" t="s">
        <v>37253</v>
      </c>
      <c r="E6556" s="8" t="s">
        <v>37254</v>
      </c>
      <c r="F6556" s="8" t="s">
        <v>37255</v>
      </c>
      <c r="G6556" s="6" t="s">
        <v>60</v>
      </c>
      <c r="H6556" s="6" t="s">
        <v>34</v>
      </c>
      <c r="I6556" s="8" t="s">
        <v>253</v>
      </c>
      <c r="J6556" s="9">
        <v>1</v>
      </c>
      <c r="K6556" s="9">
        <v>473</v>
      </c>
      <c r="L6556" s="9">
        <v>2026</v>
      </c>
      <c r="M6556" s="8" t="s">
        <v>37256</v>
      </c>
      <c r="N6556" s="8" t="s">
        <v>585</v>
      </c>
      <c r="O6556" s="8" t="s">
        <v>775</v>
      </c>
      <c r="P6556" s="6" t="s">
        <v>306</v>
      </c>
      <c r="Q6556" s="8" t="s">
        <v>500</v>
      </c>
      <c r="R6556" s="10" t="s">
        <v>37257</v>
      </c>
      <c r="S6556" s="11" t="s">
        <v>37258</v>
      </c>
      <c r="T6556" s="6"/>
      <c r="U6556" s="15" t="str">
        <f>HYPERLINK("https://media.infra-m.ru/2232/2232609/cover/2232609.jpg", "Обложка")</f>
        <v>Обложка</v>
      </c>
      <c r="V6556" s="8" t="s">
        <v>3087</v>
      </c>
      <c r="W6556" s="6"/>
      <c r="X6556" s="6"/>
      <c r="Y6556" s="6"/>
      <c r="Z6556" s="6"/>
      <c r="AA6556" s="6" t="s">
        <v>76</v>
      </c>
      <c r="AB6556" s="8" t="s">
        <v>7677</v>
      </c>
      <c r="AC6556" s="27">
        <v>9785160183589</v>
      </c>
    </row>
    <row r="6557" spans="1:29" s="4" customFormat="1" ht="51.9" customHeight="1" x14ac:dyDescent="0.2">
      <c r="A6557" s="5">
        <v>0</v>
      </c>
      <c r="B6557" s="6" t="s">
        <v>37259</v>
      </c>
      <c r="C6557" s="7">
        <v>1024.8</v>
      </c>
      <c r="D6557" s="8" t="s">
        <v>37260</v>
      </c>
      <c r="E6557" s="8" t="s">
        <v>37261</v>
      </c>
      <c r="F6557" s="8" t="s">
        <v>37262</v>
      </c>
      <c r="G6557" s="6" t="s">
        <v>118</v>
      </c>
      <c r="H6557" s="6" t="s">
        <v>34</v>
      </c>
      <c r="I6557" s="8" t="s">
        <v>504</v>
      </c>
      <c r="J6557" s="9">
        <v>1</v>
      </c>
      <c r="K6557" s="9">
        <v>127</v>
      </c>
      <c r="L6557" s="9">
        <v>2026</v>
      </c>
      <c r="M6557" s="8" t="s">
        <v>37263</v>
      </c>
      <c r="N6557" s="8" t="s">
        <v>63</v>
      </c>
      <c r="O6557" s="8" t="s">
        <v>64</v>
      </c>
      <c r="P6557" s="6" t="s">
        <v>51</v>
      </c>
      <c r="Q6557" s="8" t="s">
        <v>500</v>
      </c>
      <c r="R6557" s="10" t="s">
        <v>37264</v>
      </c>
      <c r="S6557" s="11" t="s">
        <v>37265</v>
      </c>
      <c r="T6557" s="6"/>
      <c r="U6557" s="15" t="str">
        <f>HYPERLINK("https://media.infra-m.ru/2224/2224223/cover/2224223.jpg", "Обложка")</f>
        <v>Обложка</v>
      </c>
      <c r="V6557" s="8" t="s">
        <v>1505</v>
      </c>
      <c r="W6557" s="6"/>
      <c r="X6557" s="6"/>
      <c r="Y6557" s="6"/>
      <c r="Z6557" s="6"/>
      <c r="AA6557" s="6" t="s">
        <v>115</v>
      </c>
      <c r="AB6557" s="8"/>
      <c r="AC6557" s="27">
        <v>9785160137339</v>
      </c>
    </row>
    <row r="6558" spans="1:29" s="4" customFormat="1" ht="51.9" customHeight="1" x14ac:dyDescent="0.2">
      <c r="A6558" s="5">
        <v>0</v>
      </c>
      <c r="B6558" s="6" t="s">
        <v>37266</v>
      </c>
      <c r="C6558" s="7">
        <v>1680</v>
      </c>
      <c r="D6558" s="8" t="s">
        <v>37267</v>
      </c>
      <c r="E6558" s="8" t="s">
        <v>37268</v>
      </c>
      <c r="F6558" s="8" t="s">
        <v>37269</v>
      </c>
      <c r="G6558" s="6" t="s">
        <v>118</v>
      </c>
      <c r="H6558" s="6" t="s">
        <v>134</v>
      </c>
      <c r="I6558" s="8"/>
      <c r="J6558" s="9">
        <v>1</v>
      </c>
      <c r="K6558" s="9">
        <v>240</v>
      </c>
      <c r="L6558" s="9">
        <v>2026</v>
      </c>
      <c r="M6558" s="8" t="s">
        <v>37270</v>
      </c>
      <c r="N6558" s="8" t="s">
        <v>37</v>
      </c>
      <c r="O6558" s="8" t="s">
        <v>136</v>
      </c>
      <c r="P6558" s="6" t="s">
        <v>39</v>
      </c>
      <c r="Q6558" s="8" t="s">
        <v>40</v>
      </c>
      <c r="R6558" s="10" t="s">
        <v>37271</v>
      </c>
      <c r="S6558" s="11"/>
      <c r="T6558" s="6"/>
      <c r="U6558" s="15" t="str">
        <f>HYPERLINK("https://media.infra-m.ru/2259/2259690/cover/2259690.jpg", "Обложка")</f>
        <v>Обложка</v>
      </c>
      <c r="V6558" s="8" t="s">
        <v>1184</v>
      </c>
      <c r="W6558" s="6"/>
      <c r="X6558" s="6"/>
      <c r="Y6558" s="6"/>
      <c r="Z6558" s="6"/>
      <c r="AA6558" s="6" t="s">
        <v>1123</v>
      </c>
      <c r="AB6558" s="8"/>
      <c r="AC6558" s="27">
        <v>9785917685816</v>
      </c>
    </row>
    <row r="6559" spans="1:29" s="4" customFormat="1" ht="42" customHeight="1" x14ac:dyDescent="0.2">
      <c r="A6559" s="5">
        <v>0</v>
      </c>
      <c r="B6559" s="6" t="s">
        <v>37272</v>
      </c>
      <c r="C6559" s="7">
        <v>1228.8</v>
      </c>
      <c r="D6559" s="8" t="s">
        <v>37273</v>
      </c>
      <c r="E6559" s="8" t="s">
        <v>37274</v>
      </c>
      <c r="F6559" s="8" t="s">
        <v>31230</v>
      </c>
      <c r="G6559" s="6" t="s">
        <v>118</v>
      </c>
      <c r="H6559" s="6" t="s">
        <v>34</v>
      </c>
      <c r="I6559" s="8" t="s">
        <v>271</v>
      </c>
      <c r="J6559" s="9">
        <v>1</v>
      </c>
      <c r="K6559" s="9">
        <v>222</v>
      </c>
      <c r="L6559" s="9">
        <v>2024</v>
      </c>
      <c r="M6559" s="8" t="s">
        <v>37275</v>
      </c>
      <c r="N6559" s="8" t="s">
        <v>585</v>
      </c>
      <c r="O6559" s="8" t="s">
        <v>667</v>
      </c>
      <c r="P6559" s="6" t="s">
        <v>51</v>
      </c>
      <c r="Q6559" s="8" t="s">
        <v>52</v>
      </c>
      <c r="R6559" s="10" t="s">
        <v>37276</v>
      </c>
      <c r="S6559" s="11"/>
      <c r="T6559" s="6"/>
      <c r="U6559" s="15" t="str">
        <f>HYPERLINK("https://media.infra-m.ru/1894/1894492/cover/1894492.jpg", "Обложка")</f>
        <v>Обложка</v>
      </c>
      <c r="V6559" s="8" t="s">
        <v>1871</v>
      </c>
      <c r="W6559" s="6"/>
      <c r="X6559" s="6"/>
      <c r="Y6559" s="6"/>
      <c r="Z6559" s="6"/>
      <c r="AA6559" s="6" t="s">
        <v>218</v>
      </c>
      <c r="AB6559" s="8"/>
      <c r="AC6559" s="27">
        <v>9785160163444</v>
      </c>
    </row>
    <row r="6560" spans="1:29" s="4" customFormat="1" ht="51.9" customHeight="1" x14ac:dyDescent="0.2">
      <c r="A6560" s="5">
        <v>0</v>
      </c>
      <c r="B6560" s="6" t="s">
        <v>37277</v>
      </c>
      <c r="C6560" s="13">
        <v>833.9</v>
      </c>
      <c r="D6560" s="8" t="s">
        <v>37278</v>
      </c>
      <c r="E6560" s="8" t="s">
        <v>37279</v>
      </c>
      <c r="F6560" s="8" t="s">
        <v>31230</v>
      </c>
      <c r="G6560" s="6" t="s">
        <v>60</v>
      </c>
      <c r="H6560" s="6" t="s">
        <v>34</v>
      </c>
      <c r="I6560" s="8" t="s">
        <v>271</v>
      </c>
      <c r="J6560" s="9">
        <v>1</v>
      </c>
      <c r="K6560" s="9">
        <v>216</v>
      </c>
      <c r="L6560" s="9">
        <v>2019</v>
      </c>
      <c r="M6560" s="8" t="s">
        <v>37280</v>
      </c>
      <c r="N6560" s="8" t="s">
        <v>585</v>
      </c>
      <c r="O6560" s="8" t="s">
        <v>667</v>
      </c>
      <c r="P6560" s="6" t="s">
        <v>51</v>
      </c>
      <c r="Q6560" s="8" t="s">
        <v>52</v>
      </c>
      <c r="R6560" s="10" t="s">
        <v>37276</v>
      </c>
      <c r="S6560" s="11" t="s">
        <v>37281</v>
      </c>
      <c r="T6560" s="6"/>
      <c r="U6560" s="15" t="str">
        <f>HYPERLINK("https://media.infra-m.ru/1021/1021962/cover/1021962.jpg", "Обложка")</f>
        <v>Обложка</v>
      </c>
      <c r="V6560" s="8" t="s">
        <v>1871</v>
      </c>
      <c r="W6560" s="6"/>
      <c r="X6560" s="6"/>
      <c r="Y6560" s="6"/>
      <c r="Z6560" s="6"/>
      <c r="AA6560" s="6" t="s">
        <v>274</v>
      </c>
      <c r="AB6560" s="8"/>
      <c r="AC6560" s="27">
        <v>9785160105581</v>
      </c>
    </row>
    <row r="6561" spans="1:29" s="4" customFormat="1" ht="42" customHeight="1" x14ac:dyDescent="0.2">
      <c r="A6561" s="5">
        <v>0</v>
      </c>
      <c r="B6561" s="6" t="s">
        <v>37282</v>
      </c>
      <c r="C6561" s="7">
        <v>2788.8</v>
      </c>
      <c r="D6561" s="8" t="s">
        <v>37283</v>
      </c>
      <c r="E6561" s="8" t="s">
        <v>37284</v>
      </c>
      <c r="F6561" s="8" t="s">
        <v>37285</v>
      </c>
      <c r="G6561" s="6" t="s">
        <v>60</v>
      </c>
      <c r="H6561" s="6" t="s">
        <v>1779</v>
      </c>
      <c r="I6561" s="8" t="s">
        <v>1355</v>
      </c>
      <c r="J6561" s="9">
        <v>1</v>
      </c>
      <c r="K6561" s="9">
        <v>576</v>
      </c>
      <c r="L6561" s="9">
        <v>2026</v>
      </c>
      <c r="M6561" s="8" t="s">
        <v>37286</v>
      </c>
      <c r="N6561" s="8" t="s">
        <v>37</v>
      </c>
      <c r="O6561" s="8" t="s">
        <v>136</v>
      </c>
      <c r="P6561" s="6" t="s">
        <v>1481</v>
      </c>
      <c r="Q6561" s="8" t="s">
        <v>52</v>
      </c>
      <c r="R6561" s="10" t="s">
        <v>1625</v>
      </c>
      <c r="S6561" s="11"/>
      <c r="T6561" s="6"/>
      <c r="U6561" s="15" t="str">
        <f>HYPERLINK("https://media.infra-m.ru/2233/2233437/cover/2233437.jpg", "Обложка")</f>
        <v>Обложка</v>
      </c>
      <c r="V6561" s="8" t="s">
        <v>17510</v>
      </c>
      <c r="W6561" s="6"/>
      <c r="X6561" s="6"/>
      <c r="Y6561" s="6"/>
      <c r="Z6561" s="6"/>
      <c r="AA6561" s="6" t="s">
        <v>561</v>
      </c>
      <c r="AB6561" s="8"/>
      <c r="AC6561" s="27">
        <v>9785468002513</v>
      </c>
    </row>
    <row r="6562" spans="1:29" s="4" customFormat="1" ht="51.9" customHeight="1" x14ac:dyDescent="0.2">
      <c r="A6562" s="5">
        <v>0</v>
      </c>
      <c r="B6562" s="6" t="s">
        <v>37287</v>
      </c>
      <c r="C6562" s="7">
        <v>4320</v>
      </c>
      <c r="D6562" s="8" t="s">
        <v>37288</v>
      </c>
      <c r="E6562" s="8" t="s">
        <v>37289</v>
      </c>
      <c r="F6562" s="8" t="s">
        <v>37290</v>
      </c>
      <c r="G6562" s="6" t="s">
        <v>60</v>
      </c>
      <c r="H6562" s="6" t="s">
        <v>1779</v>
      </c>
      <c r="I6562" s="8"/>
      <c r="J6562" s="9">
        <v>1</v>
      </c>
      <c r="K6562" s="9">
        <v>784</v>
      </c>
      <c r="L6562" s="9">
        <v>2026</v>
      </c>
      <c r="M6562" s="8" t="s">
        <v>37291</v>
      </c>
      <c r="N6562" s="8" t="s">
        <v>37</v>
      </c>
      <c r="O6562" s="8" t="s">
        <v>136</v>
      </c>
      <c r="P6562" s="6" t="s">
        <v>306</v>
      </c>
      <c r="Q6562" s="8" t="s">
        <v>52</v>
      </c>
      <c r="R6562" s="10" t="s">
        <v>1275</v>
      </c>
      <c r="S6562" s="11" t="s">
        <v>37292</v>
      </c>
      <c r="T6562" s="6"/>
      <c r="U6562" s="15" t="str">
        <f>HYPERLINK("https://media.infra-m.ru/2219/2219930/cover/2219930.jpg", "Обложка")</f>
        <v>Обложка</v>
      </c>
      <c r="V6562" s="8" t="s">
        <v>17510</v>
      </c>
      <c r="W6562" s="6"/>
      <c r="X6562" s="6"/>
      <c r="Y6562" s="6"/>
      <c r="Z6562" s="6"/>
      <c r="AA6562" s="6" t="s">
        <v>16533</v>
      </c>
      <c r="AB6562" s="8"/>
      <c r="AC6562" s="27">
        <v>9785917685069</v>
      </c>
    </row>
    <row r="6563" spans="1:29" s="4" customFormat="1" ht="51.9" customHeight="1" x14ac:dyDescent="0.2">
      <c r="A6563" s="5">
        <v>0</v>
      </c>
      <c r="B6563" s="6" t="s">
        <v>37293</v>
      </c>
      <c r="C6563" s="13">
        <v>616.79999999999995</v>
      </c>
      <c r="D6563" s="8" t="s">
        <v>37294</v>
      </c>
      <c r="E6563" s="8" t="s">
        <v>37295</v>
      </c>
      <c r="F6563" s="8" t="s">
        <v>37296</v>
      </c>
      <c r="G6563" s="6" t="s">
        <v>33</v>
      </c>
      <c r="H6563" s="6" t="s">
        <v>34</v>
      </c>
      <c r="I6563" s="8" t="s">
        <v>35</v>
      </c>
      <c r="J6563" s="9">
        <v>1</v>
      </c>
      <c r="K6563" s="9">
        <v>111</v>
      </c>
      <c r="L6563" s="9">
        <v>2024</v>
      </c>
      <c r="M6563" s="8" t="s">
        <v>37297</v>
      </c>
      <c r="N6563" s="8" t="s">
        <v>37</v>
      </c>
      <c r="O6563" s="8" t="s">
        <v>280</v>
      </c>
      <c r="P6563" s="6" t="s">
        <v>39</v>
      </c>
      <c r="Q6563" s="8" t="s">
        <v>40</v>
      </c>
      <c r="R6563" s="10" t="s">
        <v>37298</v>
      </c>
      <c r="S6563" s="11"/>
      <c r="T6563" s="6"/>
      <c r="U6563" s="15" t="str">
        <f>HYPERLINK("https://media.infra-m.ru/2063/2063445/cover/2063445.jpg", "Обложка")</f>
        <v>Обложка</v>
      </c>
      <c r="V6563" s="8" t="s">
        <v>5143</v>
      </c>
      <c r="W6563" s="6"/>
      <c r="X6563" s="6"/>
      <c r="Y6563" s="6"/>
      <c r="Z6563" s="6"/>
      <c r="AA6563" s="6" t="s">
        <v>1015</v>
      </c>
      <c r="AB6563" s="8"/>
      <c r="AC6563" s="27">
        <v>9785160043647</v>
      </c>
    </row>
    <row r="6564" spans="1:29" s="4" customFormat="1" ht="42" customHeight="1" x14ac:dyDescent="0.2">
      <c r="A6564" s="5">
        <v>0</v>
      </c>
      <c r="B6564" s="6" t="s">
        <v>37299</v>
      </c>
      <c r="C6564" s="13">
        <v>984</v>
      </c>
      <c r="D6564" s="8" t="s">
        <v>37300</v>
      </c>
      <c r="E6564" s="8" t="s">
        <v>37301</v>
      </c>
      <c r="F6564" s="8" t="s">
        <v>37302</v>
      </c>
      <c r="G6564" s="6" t="s">
        <v>33</v>
      </c>
      <c r="H6564" s="6" t="s">
        <v>34</v>
      </c>
      <c r="I6564" s="8" t="s">
        <v>35</v>
      </c>
      <c r="J6564" s="9">
        <v>1</v>
      </c>
      <c r="K6564" s="9">
        <v>233</v>
      </c>
      <c r="L6564" s="9">
        <v>2020</v>
      </c>
      <c r="M6564" s="8" t="s">
        <v>37303</v>
      </c>
      <c r="N6564" s="8" t="s">
        <v>37</v>
      </c>
      <c r="O6564" s="8" t="s">
        <v>280</v>
      </c>
      <c r="P6564" s="6" t="s">
        <v>39</v>
      </c>
      <c r="Q6564" s="8" t="s">
        <v>40</v>
      </c>
      <c r="R6564" s="10" t="s">
        <v>3832</v>
      </c>
      <c r="S6564" s="11"/>
      <c r="T6564" s="6"/>
      <c r="U6564" s="15" t="str">
        <f>HYPERLINK("https://media.infra-m.ru/1081/1081000/cover/1081000.jpg", "Обложка")</f>
        <v>Обложка</v>
      </c>
      <c r="V6564" s="8" t="s">
        <v>5143</v>
      </c>
      <c r="W6564" s="6"/>
      <c r="X6564" s="6"/>
      <c r="Y6564" s="6"/>
      <c r="Z6564" s="6"/>
      <c r="AA6564" s="6" t="s">
        <v>115</v>
      </c>
      <c r="AB6564" s="8"/>
      <c r="AC6564" s="27">
        <v>9785160147772</v>
      </c>
    </row>
    <row r="6565" spans="1:29" s="4" customFormat="1" ht="51.9" customHeight="1" x14ac:dyDescent="0.2">
      <c r="A6565" s="5">
        <v>0</v>
      </c>
      <c r="B6565" s="6" t="s">
        <v>37304</v>
      </c>
      <c r="C6565" s="7">
        <v>1912.8</v>
      </c>
      <c r="D6565" s="8" t="s">
        <v>37305</v>
      </c>
      <c r="E6565" s="8" t="s">
        <v>37306</v>
      </c>
      <c r="F6565" s="8" t="s">
        <v>37307</v>
      </c>
      <c r="G6565" s="6" t="s">
        <v>60</v>
      </c>
      <c r="H6565" s="6" t="s">
        <v>34</v>
      </c>
      <c r="I6565" s="8" t="s">
        <v>253</v>
      </c>
      <c r="J6565" s="9">
        <v>1</v>
      </c>
      <c r="K6565" s="9">
        <v>275</v>
      </c>
      <c r="L6565" s="9">
        <v>2027</v>
      </c>
      <c r="M6565" s="8" t="s">
        <v>37308</v>
      </c>
      <c r="N6565" s="8" t="s">
        <v>37</v>
      </c>
      <c r="O6565" s="8" t="s">
        <v>280</v>
      </c>
      <c r="P6565" s="6" t="s">
        <v>306</v>
      </c>
      <c r="Q6565" s="8" t="s">
        <v>65</v>
      </c>
      <c r="R6565" s="10" t="s">
        <v>2061</v>
      </c>
      <c r="S6565" s="11" t="s">
        <v>37309</v>
      </c>
      <c r="T6565" s="6"/>
      <c r="U6565" s="15" t="str">
        <f>HYPERLINK("https://media.infra-m.ru/2263/2263207/cover/2263207.jpg", "Обложка")</f>
        <v>Обложка</v>
      </c>
      <c r="V6565" s="8" t="s">
        <v>831</v>
      </c>
      <c r="W6565" s="6"/>
      <c r="X6565" s="6"/>
      <c r="Y6565" s="6"/>
      <c r="Z6565" s="6"/>
      <c r="AA6565" s="6" t="s">
        <v>68</v>
      </c>
      <c r="AB6565" s="8"/>
      <c r="AC6565" s="27">
        <v>9785160206998</v>
      </c>
    </row>
    <row r="6566" spans="1:29" s="4" customFormat="1" ht="44.1" customHeight="1" x14ac:dyDescent="0.2">
      <c r="A6566" s="5">
        <v>0</v>
      </c>
      <c r="B6566" s="6" t="s">
        <v>37310</v>
      </c>
      <c r="C6566" s="7">
        <v>1104</v>
      </c>
      <c r="D6566" s="8" t="s">
        <v>37311</v>
      </c>
      <c r="E6566" s="8" t="s">
        <v>37312</v>
      </c>
      <c r="F6566" s="8" t="s">
        <v>37313</v>
      </c>
      <c r="G6566" s="6" t="s">
        <v>33</v>
      </c>
      <c r="H6566" s="6" t="s">
        <v>34</v>
      </c>
      <c r="I6566" s="8" t="s">
        <v>35</v>
      </c>
      <c r="J6566" s="9">
        <v>1</v>
      </c>
      <c r="K6566" s="9">
        <v>254</v>
      </c>
      <c r="L6566" s="9">
        <v>2020</v>
      </c>
      <c r="M6566" s="8" t="s">
        <v>37314</v>
      </c>
      <c r="N6566" s="8" t="s">
        <v>37</v>
      </c>
      <c r="O6566" s="8" t="s">
        <v>83</v>
      </c>
      <c r="P6566" s="6" t="s">
        <v>39</v>
      </c>
      <c r="Q6566" s="8" t="s">
        <v>40</v>
      </c>
      <c r="R6566" s="10" t="s">
        <v>37315</v>
      </c>
      <c r="S6566" s="11"/>
      <c r="T6566" s="6"/>
      <c r="U6566" s="15" t="str">
        <f>HYPERLINK("https://media.infra-m.ru/1078/1078930/cover/1078930.jpg", "Обложка")</f>
        <v>Обложка</v>
      </c>
      <c r="V6566" s="8" t="s">
        <v>247</v>
      </c>
      <c r="W6566" s="6"/>
      <c r="X6566" s="6"/>
      <c r="Y6566" s="6"/>
      <c r="Z6566" s="6"/>
      <c r="AA6566" s="6" t="s">
        <v>1256</v>
      </c>
      <c r="AB6566" s="8" t="s">
        <v>2231</v>
      </c>
      <c r="AC6566" s="27">
        <v>9785160160443</v>
      </c>
    </row>
    <row r="6567" spans="1:29" s="4" customFormat="1" ht="51.9" customHeight="1" x14ac:dyDescent="0.2">
      <c r="A6567" s="5">
        <v>0</v>
      </c>
      <c r="B6567" s="6" t="s">
        <v>37316</v>
      </c>
      <c r="C6567" s="7">
        <v>2032.8</v>
      </c>
      <c r="D6567" s="8" t="s">
        <v>37317</v>
      </c>
      <c r="E6567" s="8" t="s">
        <v>37318</v>
      </c>
      <c r="F6567" s="8" t="s">
        <v>37319</v>
      </c>
      <c r="G6567" s="6" t="s">
        <v>60</v>
      </c>
      <c r="H6567" s="6" t="s">
        <v>1795</v>
      </c>
      <c r="I6567" s="8" t="s">
        <v>4073</v>
      </c>
      <c r="J6567" s="9">
        <v>1</v>
      </c>
      <c r="K6567" s="9">
        <v>368</v>
      </c>
      <c r="L6567" s="9">
        <v>2024</v>
      </c>
      <c r="M6567" s="8" t="s">
        <v>37320</v>
      </c>
      <c r="N6567" s="8" t="s">
        <v>37</v>
      </c>
      <c r="O6567" s="8" t="s">
        <v>280</v>
      </c>
      <c r="P6567" s="6" t="s">
        <v>51</v>
      </c>
      <c r="Q6567" s="8" t="s">
        <v>52</v>
      </c>
      <c r="R6567" s="10" t="s">
        <v>37321</v>
      </c>
      <c r="S6567" s="11"/>
      <c r="T6567" s="6"/>
      <c r="U6567" s="15" t="str">
        <f>HYPERLINK("https://media.infra-m.ru/2091/2091921/cover/2091921.jpg", "Обложка")</f>
        <v>Обложка</v>
      </c>
      <c r="V6567" s="8" t="s">
        <v>247</v>
      </c>
      <c r="W6567" s="6"/>
      <c r="X6567" s="6"/>
      <c r="Y6567" s="6"/>
      <c r="Z6567" s="6"/>
      <c r="AA6567" s="6" t="s">
        <v>55</v>
      </c>
      <c r="AB6567" s="8"/>
      <c r="AC6567" s="27">
        <v>9785982813336</v>
      </c>
    </row>
    <row r="6568" spans="1:29" s="4" customFormat="1" ht="42" customHeight="1" x14ac:dyDescent="0.2">
      <c r="A6568" s="5">
        <v>0</v>
      </c>
      <c r="B6568" s="6" t="s">
        <v>37322</v>
      </c>
      <c r="C6568" s="7">
        <v>1788</v>
      </c>
      <c r="D6568" s="8" t="s">
        <v>37323</v>
      </c>
      <c r="E6568" s="8" t="s">
        <v>37324</v>
      </c>
      <c r="F6568" s="8" t="s">
        <v>37325</v>
      </c>
      <c r="G6568" s="6" t="s">
        <v>118</v>
      </c>
      <c r="H6568" s="6" t="s">
        <v>34</v>
      </c>
      <c r="I6568" s="8"/>
      <c r="J6568" s="9">
        <v>1</v>
      </c>
      <c r="K6568" s="9">
        <v>256</v>
      </c>
      <c r="L6568" s="9">
        <v>2026</v>
      </c>
      <c r="M6568" s="8" t="s">
        <v>37326</v>
      </c>
      <c r="N6568" s="8" t="s">
        <v>37</v>
      </c>
      <c r="O6568" s="8" t="s">
        <v>280</v>
      </c>
      <c r="P6568" s="6" t="s">
        <v>51</v>
      </c>
      <c r="Q6568" s="8" t="s">
        <v>500</v>
      </c>
      <c r="R6568" s="10" t="s">
        <v>3208</v>
      </c>
      <c r="S6568" s="11"/>
      <c r="T6568" s="6"/>
      <c r="U6568" s="15" t="str">
        <f>HYPERLINK("https://media.infra-m.ru/2258/2258686/cover/2258686.jpg", "Обложка")</f>
        <v>Обложка</v>
      </c>
      <c r="V6568" s="8" t="s">
        <v>247</v>
      </c>
      <c r="W6568" s="6"/>
      <c r="X6568" s="6"/>
      <c r="Y6568" s="6"/>
      <c r="Z6568" s="6"/>
      <c r="AA6568" s="6" t="s">
        <v>86</v>
      </c>
      <c r="AB6568" s="8" t="s">
        <v>1317</v>
      </c>
      <c r="AC6568" s="27">
        <v>9785160222417</v>
      </c>
    </row>
    <row r="6569" spans="1:29" s="4" customFormat="1" ht="44.1" customHeight="1" x14ac:dyDescent="0.2">
      <c r="A6569" s="5">
        <v>0</v>
      </c>
      <c r="B6569" s="6" t="s">
        <v>37327</v>
      </c>
      <c r="C6569" s="7">
        <v>1272</v>
      </c>
      <c r="D6569" s="8" t="s">
        <v>37328</v>
      </c>
      <c r="E6569" s="8" t="s">
        <v>37329</v>
      </c>
      <c r="F6569" s="8" t="s">
        <v>37330</v>
      </c>
      <c r="G6569" s="6" t="s">
        <v>33</v>
      </c>
      <c r="H6569" s="6" t="s">
        <v>34</v>
      </c>
      <c r="I6569" s="8" t="s">
        <v>35</v>
      </c>
      <c r="J6569" s="9">
        <v>1</v>
      </c>
      <c r="K6569" s="9">
        <v>183</v>
      </c>
      <c r="L6569" s="9">
        <v>2027</v>
      </c>
      <c r="M6569" s="8" t="s">
        <v>37331</v>
      </c>
      <c r="N6569" s="8" t="s">
        <v>37</v>
      </c>
      <c r="O6569" s="8" t="s">
        <v>280</v>
      </c>
      <c r="P6569" s="6" t="s">
        <v>39</v>
      </c>
      <c r="Q6569" s="8" t="s">
        <v>40</v>
      </c>
      <c r="R6569" s="10" t="s">
        <v>37332</v>
      </c>
      <c r="S6569" s="11"/>
      <c r="T6569" s="6"/>
      <c r="U6569" s="15" t="str">
        <f>HYPERLINK("https://media.infra-m.ru/2264/2264737/cover/2264737.jpg", "Обложка")</f>
        <v>Обложка</v>
      </c>
      <c r="V6569" s="8" t="s">
        <v>1505</v>
      </c>
      <c r="W6569" s="6"/>
      <c r="X6569" s="6"/>
      <c r="Y6569" s="6"/>
      <c r="Z6569" s="6"/>
      <c r="AA6569" s="6" t="s">
        <v>148</v>
      </c>
      <c r="AB6569" s="8"/>
      <c r="AC6569" s="27">
        <v>9785160173207</v>
      </c>
    </row>
    <row r="6570" spans="1:29" s="4" customFormat="1" ht="51.9" customHeight="1" x14ac:dyDescent="0.2">
      <c r="A6570" s="5">
        <v>0</v>
      </c>
      <c r="B6570" s="6" t="s">
        <v>37333</v>
      </c>
      <c r="C6570" s="7">
        <v>2556</v>
      </c>
      <c r="D6570" s="8" t="s">
        <v>37334</v>
      </c>
      <c r="E6570" s="8" t="s">
        <v>37335</v>
      </c>
      <c r="F6570" s="8" t="s">
        <v>37336</v>
      </c>
      <c r="G6570" s="6" t="s">
        <v>60</v>
      </c>
      <c r="H6570" s="6" t="s">
        <v>34</v>
      </c>
      <c r="I6570" s="8" t="s">
        <v>253</v>
      </c>
      <c r="J6570" s="9">
        <v>1</v>
      </c>
      <c r="K6570" s="9">
        <v>463</v>
      </c>
      <c r="L6570" s="9">
        <v>2024</v>
      </c>
      <c r="M6570" s="8" t="s">
        <v>37337</v>
      </c>
      <c r="N6570" s="8" t="s">
        <v>37</v>
      </c>
      <c r="O6570" s="8" t="s">
        <v>233</v>
      </c>
      <c r="P6570" s="6" t="s">
        <v>51</v>
      </c>
      <c r="Q6570" s="8" t="s">
        <v>52</v>
      </c>
      <c r="R6570" s="10" t="s">
        <v>37338</v>
      </c>
      <c r="S6570" s="11"/>
      <c r="T6570" s="6"/>
      <c r="U6570" s="15" t="str">
        <f>HYPERLINK("https://media.infra-m.ru/1901/1901877/cover/1901877.jpg", "Обложка")</f>
        <v>Обложка</v>
      </c>
      <c r="V6570" s="8" t="s">
        <v>414</v>
      </c>
      <c r="W6570" s="6"/>
      <c r="X6570" s="6"/>
      <c r="Y6570" s="6"/>
      <c r="Z6570" s="6"/>
      <c r="AA6570" s="6" t="s">
        <v>76</v>
      </c>
      <c r="AB6570" s="8"/>
      <c r="AC6570" s="27">
        <v>9785160179896</v>
      </c>
    </row>
    <row r="6571" spans="1:29" s="4" customFormat="1" ht="51.9" customHeight="1" x14ac:dyDescent="0.2">
      <c r="A6571" s="5">
        <v>0</v>
      </c>
      <c r="B6571" s="6" t="s">
        <v>37339</v>
      </c>
      <c r="C6571" s="13">
        <v>780</v>
      </c>
      <c r="D6571" s="8" t="s">
        <v>37340</v>
      </c>
      <c r="E6571" s="8" t="s">
        <v>37341</v>
      </c>
      <c r="F6571" s="8" t="s">
        <v>37342</v>
      </c>
      <c r="G6571" s="6" t="s">
        <v>33</v>
      </c>
      <c r="H6571" s="6" t="s">
        <v>820</v>
      </c>
      <c r="I6571" s="8" t="s">
        <v>253</v>
      </c>
      <c r="J6571" s="9">
        <v>1</v>
      </c>
      <c r="K6571" s="9">
        <v>112</v>
      </c>
      <c r="L6571" s="9">
        <v>2023</v>
      </c>
      <c r="M6571" s="8" t="s">
        <v>37343</v>
      </c>
      <c r="N6571" s="8" t="s">
        <v>63</v>
      </c>
      <c r="O6571" s="8" t="s">
        <v>181</v>
      </c>
      <c r="P6571" s="6" t="s">
        <v>51</v>
      </c>
      <c r="Q6571" s="8" t="s">
        <v>65</v>
      </c>
      <c r="R6571" s="10" t="s">
        <v>37344</v>
      </c>
      <c r="S6571" s="11" t="s">
        <v>37345</v>
      </c>
      <c r="T6571" s="6"/>
      <c r="U6571" s="15" t="str">
        <f>HYPERLINK("https://media.infra-m.ru/1995/1995390/cover/1995390.jpg", "Обложка")</f>
        <v>Обложка</v>
      </c>
      <c r="V6571" s="8" t="s">
        <v>2896</v>
      </c>
      <c r="W6571" s="6"/>
      <c r="X6571" s="6"/>
      <c r="Y6571" s="6"/>
      <c r="Z6571" s="6"/>
      <c r="AA6571" s="6" t="s">
        <v>43</v>
      </c>
      <c r="AB6571" s="8"/>
      <c r="AC6571" s="27">
        <v>9785905554186</v>
      </c>
    </row>
    <row r="6572" spans="1:29" s="4" customFormat="1" ht="51.9" customHeight="1" x14ac:dyDescent="0.2">
      <c r="A6572" s="5">
        <v>0</v>
      </c>
      <c r="B6572" s="6" t="s">
        <v>37346</v>
      </c>
      <c r="C6572" s="7">
        <v>2114.4</v>
      </c>
      <c r="D6572" s="8" t="s">
        <v>37347</v>
      </c>
      <c r="E6572" s="8" t="s">
        <v>37348</v>
      </c>
      <c r="F6572" s="8" t="s">
        <v>37349</v>
      </c>
      <c r="G6572" s="6" t="s">
        <v>118</v>
      </c>
      <c r="H6572" s="6" t="s">
        <v>34</v>
      </c>
      <c r="I6572" s="8" t="s">
        <v>263</v>
      </c>
      <c r="J6572" s="9">
        <v>1</v>
      </c>
      <c r="K6572" s="9">
        <v>256</v>
      </c>
      <c r="L6572" s="9">
        <v>2025</v>
      </c>
      <c r="M6572" s="8" t="s">
        <v>37350</v>
      </c>
      <c r="N6572" s="8" t="s">
        <v>63</v>
      </c>
      <c r="O6572" s="8" t="s">
        <v>181</v>
      </c>
      <c r="P6572" s="6" t="s">
        <v>51</v>
      </c>
      <c r="Q6572" s="8" t="s">
        <v>265</v>
      </c>
      <c r="R6572" s="10" t="s">
        <v>37351</v>
      </c>
      <c r="S6572" s="11" t="s">
        <v>37352</v>
      </c>
      <c r="T6572" s="6"/>
      <c r="U6572" s="15" t="str">
        <f>HYPERLINK("https://media.infra-m.ru/2179/2179087/cover/2179087.jpg", "Обложка")</f>
        <v>Обложка</v>
      </c>
      <c r="V6572" s="8" t="s">
        <v>227</v>
      </c>
      <c r="W6572" s="6"/>
      <c r="X6572" s="6"/>
      <c r="Y6572" s="6"/>
      <c r="Z6572" s="6"/>
      <c r="AA6572" s="6" t="s">
        <v>949</v>
      </c>
      <c r="AB6572" s="8"/>
      <c r="AC6572" s="27">
        <v>9785160026930</v>
      </c>
    </row>
    <row r="6573" spans="1:29" s="4" customFormat="1" ht="51.9" customHeight="1" x14ac:dyDescent="0.2">
      <c r="A6573" s="5">
        <v>0</v>
      </c>
      <c r="B6573" s="6" t="s">
        <v>37353</v>
      </c>
      <c r="C6573" s="7">
        <v>1296</v>
      </c>
      <c r="D6573" s="8" t="s">
        <v>37354</v>
      </c>
      <c r="E6573" s="8" t="s">
        <v>37355</v>
      </c>
      <c r="F6573" s="8" t="s">
        <v>33463</v>
      </c>
      <c r="G6573" s="6" t="s">
        <v>60</v>
      </c>
      <c r="H6573" s="6" t="s">
        <v>34</v>
      </c>
      <c r="I6573" s="8" t="s">
        <v>253</v>
      </c>
      <c r="J6573" s="9">
        <v>1</v>
      </c>
      <c r="K6573" s="9">
        <v>194</v>
      </c>
      <c r="L6573" s="9">
        <v>2025</v>
      </c>
      <c r="M6573" s="8" t="s">
        <v>37356</v>
      </c>
      <c r="N6573" s="8" t="s">
        <v>37</v>
      </c>
      <c r="O6573" s="8" t="s">
        <v>136</v>
      </c>
      <c r="P6573" s="6" t="s">
        <v>234</v>
      </c>
      <c r="Q6573" s="8" t="s">
        <v>65</v>
      </c>
      <c r="R6573" s="10" t="s">
        <v>1275</v>
      </c>
      <c r="S6573" s="11"/>
      <c r="T6573" s="6"/>
      <c r="U6573" s="15" t="str">
        <f>HYPERLINK("https://media.infra-m.ru/2170/2170834/cover/2170834.jpg", "Обложка")</f>
        <v>Обложка</v>
      </c>
      <c r="V6573" s="8" t="s">
        <v>1496</v>
      </c>
      <c r="W6573" s="6"/>
      <c r="X6573" s="6"/>
      <c r="Y6573" s="6"/>
      <c r="Z6573" s="6"/>
      <c r="AA6573" s="6" t="s">
        <v>68</v>
      </c>
      <c r="AB6573" s="8"/>
      <c r="AC6573" s="27">
        <v>9785160203775</v>
      </c>
    </row>
    <row r="6574" spans="1:29" s="4" customFormat="1" ht="51.9" customHeight="1" x14ac:dyDescent="0.2">
      <c r="A6574" s="5">
        <v>0</v>
      </c>
      <c r="B6574" s="6" t="s">
        <v>37357</v>
      </c>
      <c r="C6574" s="7">
        <v>3168</v>
      </c>
      <c r="D6574" s="8" t="s">
        <v>37358</v>
      </c>
      <c r="E6574" s="8" t="s">
        <v>37359</v>
      </c>
      <c r="F6574" s="8" t="s">
        <v>17737</v>
      </c>
      <c r="G6574" s="6" t="s">
        <v>60</v>
      </c>
      <c r="H6574" s="6" t="s">
        <v>34</v>
      </c>
      <c r="I6574" s="8" t="s">
        <v>253</v>
      </c>
      <c r="J6574" s="9">
        <v>1</v>
      </c>
      <c r="K6574" s="9">
        <v>480</v>
      </c>
      <c r="L6574" s="9">
        <v>2026</v>
      </c>
      <c r="M6574" s="8" t="s">
        <v>37360</v>
      </c>
      <c r="N6574" s="8" t="s">
        <v>63</v>
      </c>
      <c r="O6574" s="8" t="s">
        <v>64</v>
      </c>
      <c r="P6574" s="6" t="s">
        <v>306</v>
      </c>
      <c r="Q6574" s="8" t="s">
        <v>52</v>
      </c>
      <c r="R6574" s="10" t="s">
        <v>37361</v>
      </c>
      <c r="S6574" s="11" t="s">
        <v>37362</v>
      </c>
      <c r="T6574" s="6"/>
      <c r="U6574" s="15" t="str">
        <f>HYPERLINK("https://media.infra-m.ru/2232/2232611/cover/2232611.jpg", "Обложка")</f>
        <v>Обложка</v>
      </c>
      <c r="V6574" s="8" t="s">
        <v>17741</v>
      </c>
      <c r="W6574" s="6"/>
      <c r="X6574" s="6"/>
      <c r="Y6574" s="6"/>
      <c r="Z6574" s="6"/>
      <c r="AA6574" s="6" t="s">
        <v>115</v>
      </c>
      <c r="AB6574" s="8"/>
      <c r="AC6574" s="27">
        <v>9785160193731</v>
      </c>
    </row>
    <row r="6575" spans="1:29" s="4" customFormat="1" ht="51.9" customHeight="1" x14ac:dyDescent="0.2">
      <c r="A6575" s="5">
        <v>0</v>
      </c>
      <c r="B6575" s="6" t="s">
        <v>37363</v>
      </c>
      <c r="C6575" s="7">
        <v>1368</v>
      </c>
      <c r="D6575" s="8" t="s">
        <v>37364</v>
      </c>
      <c r="E6575" s="8" t="s">
        <v>37365</v>
      </c>
      <c r="F6575" s="8" t="s">
        <v>37366</v>
      </c>
      <c r="G6575" s="6" t="s">
        <v>118</v>
      </c>
      <c r="H6575" s="6" t="s">
        <v>34</v>
      </c>
      <c r="I6575" s="8" t="s">
        <v>35</v>
      </c>
      <c r="J6575" s="9">
        <v>1</v>
      </c>
      <c r="K6575" s="9">
        <v>206</v>
      </c>
      <c r="L6575" s="9">
        <v>2026</v>
      </c>
      <c r="M6575" s="8" t="s">
        <v>37367</v>
      </c>
      <c r="N6575" s="8" t="s">
        <v>37</v>
      </c>
      <c r="O6575" s="8" t="s">
        <v>136</v>
      </c>
      <c r="P6575" s="6" t="s">
        <v>39</v>
      </c>
      <c r="Q6575" s="8" t="s">
        <v>40</v>
      </c>
      <c r="R6575" s="10" t="s">
        <v>37271</v>
      </c>
      <c r="S6575" s="11"/>
      <c r="T6575" s="6"/>
      <c r="U6575" s="15" t="str">
        <f>HYPERLINK("https://media.infra-m.ru/2253/2253655/cover/2253655.jpg", "Обложка")</f>
        <v>Обложка</v>
      </c>
      <c r="V6575" s="8" t="s">
        <v>37368</v>
      </c>
      <c r="W6575" s="6"/>
      <c r="X6575" s="6"/>
      <c r="Y6575" s="6"/>
      <c r="Z6575" s="6"/>
      <c r="AA6575" s="6" t="s">
        <v>68</v>
      </c>
      <c r="AB6575" s="8"/>
      <c r="AC6575" s="27">
        <v>9785160199665</v>
      </c>
    </row>
    <row r="6576" spans="1:29" s="4" customFormat="1" ht="51.9" customHeight="1" x14ac:dyDescent="0.2">
      <c r="A6576" s="5">
        <v>0</v>
      </c>
      <c r="B6576" s="6" t="s">
        <v>37369</v>
      </c>
      <c r="C6576" s="7">
        <v>1504.8</v>
      </c>
      <c r="D6576" s="8" t="s">
        <v>37370</v>
      </c>
      <c r="E6576" s="8" t="s">
        <v>37371</v>
      </c>
      <c r="F6576" s="8" t="s">
        <v>37372</v>
      </c>
      <c r="G6576" s="6" t="s">
        <v>60</v>
      </c>
      <c r="H6576" s="6" t="s">
        <v>1644</v>
      </c>
      <c r="I6576" s="8"/>
      <c r="J6576" s="9">
        <v>1</v>
      </c>
      <c r="K6576" s="9">
        <v>272</v>
      </c>
      <c r="L6576" s="9">
        <v>2024</v>
      </c>
      <c r="M6576" s="8" t="s">
        <v>37373</v>
      </c>
      <c r="N6576" s="8" t="s">
        <v>37</v>
      </c>
      <c r="O6576" s="8" t="s">
        <v>233</v>
      </c>
      <c r="P6576" s="6" t="s">
        <v>39</v>
      </c>
      <c r="Q6576" s="8" t="s">
        <v>40</v>
      </c>
      <c r="R6576" s="10" t="s">
        <v>36707</v>
      </c>
      <c r="S6576" s="11"/>
      <c r="T6576" s="6"/>
      <c r="U6576" s="15" t="str">
        <f>HYPERLINK("https://media.infra-m.ru/2084/2084570/cover/2084570.jpg", "Обложка")</f>
        <v>Обложка</v>
      </c>
      <c r="V6576" s="8" t="s">
        <v>247</v>
      </c>
      <c r="W6576" s="6"/>
      <c r="X6576" s="6"/>
      <c r="Y6576" s="6"/>
      <c r="Z6576" s="6"/>
      <c r="AA6576" s="6" t="s">
        <v>55</v>
      </c>
      <c r="AB6576" s="8"/>
      <c r="AC6576" s="27">
        <v>9785977602891</v>
      </c>
    </row>
    <row r="6577" spans="1:29" s="4" customFormat="1" ht="51.9" customHeight="1" x14ac:dyDescent="0.2">
      <c r="A6577" s="5">
        <v>0</v>
      </c>
      <c r="B6577" s="6" t="s">
        <v>37374</v>
      </c>
      <c r="C6577" s="7">
        <v>1380</v>
      </c>
      <c r="D6577" s="8" t="s">
        <v>37375</v>
      </c>
      <c r="E6577" s="8" t="s">
        <v>37376</v>
      </c>
      <c r="F6577" s="8" t="s">
        <v>7408</v>
      </c>
      <c r="G6577" s="6" t="s">
        <v>60</v>
      </c>
      <c r="H6577" s="6" t="s">
        <v>34</v>
      </c>
      <c r="I6577" s="8" t="s">
        <v>35</v>
      </c>
      <c r="J6577" s="9">
        <v>1</v>
      </c>
      <c r="K6577" s="9">
        <v>302</v>
      </c>
      <c r="L6577" s="9">
        <v>2023</v>
      </c>
      <c r="M6577" s="8" t="s">
        <v>37377</v>
      </c>
      <c r="N6577" s="8" t="s">
        <v>37</v>
      </c>
      <c r="O6577" s="8" t="s">
        <v>136</v>
      </c>
      <c r="P6577" s="6" t="s">
        <v>39</v>
      </c>
      <c r="Q6577" s="8" t="s">
        <v>40</v>
      </c>
      <c r="R6577" s="10" t="s">
        <v>37378</v>
      </c>
      <c r="S6577" s="11"/>
      <c r="T6577" s="6"/>
      <c r="U6577" s="15" t="str">
        <f>HYPERLINK("https://media.infra-m.ru/1858/1858242/cover/1858242.jpg", "Обложка")</f>
        <v>Обложка</v>
      </c>
      <c r="V6577" s="8" t="s">
        <v>3243</v>
      </c>
      <c r="W6577" s="6"/>
      <c r="X6577" s="6"/>
      <c r="Y6577" s="6"/>
      <c r="Z6577" s="6"/>
      <c r="AA6577" s="6" t="s">
        <v>218</v>
      </c>
      <c r="AB6577" s="8"/>
      <c r="AC6577" s="27">
        <v>9785160154916</v>
      </c>
    </row>
    <row r="6578" spans="1:29" s="4" customFormat="1" ht="51.9" customHeight="1" x14ac:dyDescent="0.2">
      <c r="A6578" s="5">
        <v>0</v>
      </c>
      <c r="B6578" s="6" t="s">
        <v>37379</v>
      </c>
      <c r="C6578" s="7">
        <v>1073.9000000000001</v>
      </c>
      <c r="D6578" s="8" t="s">
        <v>37380</v>
      </c>
      <c r="E6578" s="8" t="s">
        <v>37381</v>
      </c>
      <c r="F6578" s="8" t="s">
        <v>7408</v>
      </c>
      <c r="G6578" s="6" t="s">
        <v>60</v>
      </c>
      <c r="H6578" s="6" t="s">
        <v>34</v>
      </c>
      <c r="I6578" s="8" t="s">
        <v>35</v>
      </c>
      <c r="J6578" s="9">
        <v>1</v>
      </c>
      <c r="K6578" s="9">
        <v>287</v>
      </c>
      <c r="L6578" s="9">
        <v>2018</v>
      </c>
      <c r="M6578" s="8" t="s">
        <v>37382</v>
      </c>
      <c r="N6578" s="8" t="s">
        <v>37</v>
      </c>
      <c r="O6578" s="8" t="s">
        <v>136</v>
      </c>
      <c r="P6578" s="6" t="s">
        <v>39</v>
      </c>
      <c r="Q6578" s="8" t="s">
        <v>40</v>
      </c>
      <c r="R6578" s="10" t="s">
        <v>37378</v>
      </c>
      <c r="S6578" s="11"/>
      <c r="T6578" s="6"/>
      <c r="U6578" s="15" t="str">
        <f>HYPERLINK("https://media.infra-m.ru/0959/0959990/cover/959990.jpg", "Обложка")</f>
        <v>Обложка</v>
      </c>
      <c r="V6578" s="8" t="s">
        <v>3243</v>
      </c>
      <c r="W6578" s="6"/>
      <c r="X6578" s="6"/>
      <c r="Y6578" s="6"/>
      <c r="Z6578" s="6"/>
      <c r="AA6578" s="6" t="s">
        <v>779</v>
      </c>
      <c r="AB6578" s="8"/>
      <c r="AC6578" s="27">
        <v>9785160116150</v>
      </c>
    </row>
    <row r="6579" spans="1:29" s="4" customFormat="1" ht="51.9" customHeight="1" x14ac:dyDescent="0.2">
      <c r="A6579" s="5">
        <v>0</v>
      </c>
      <c r="B6579" s="6" t="s">
        <v>37383</v>
      </c>
      <c r="C6579" s="7">
        <v>1416</v>
      </c>
      <c r="D6579" s="8" t="s">
        <v>37384</v>
      </c>
      <c r="E6579" s="8" t="s">
        <v>37385</v>
      </c>
      <c r="F6579" s="8" t="s">
        <v>37386</v>
      </c>
      <c r="G6579" s="6" t="s">
        <v>33</v>
      </c>
      <c r="H6579" s="6" t="s">
        <v>34</v>
      </c>
      <c r="I6579" s="8" t="s">
        <v>35</v>
      </c>
      <c r="J6579" s="9">
        <v>1</v>
      </c>
      <c r="K6579" s="9">
        <v>311</v>
      </c>
      <c r="L6579" s="9">
        <v>2022</v>
      </c>
      <c r="M6579" s="8" t="s">
        <v>37387</v>
      </c>
      <c r="N6579" s="8" t="s">
        <v>37</v>
      </c>
      <c r="O6579" s="8" t="s">
        <v>38</v>
      </c>
      <c r="P6579" s="6" t="s">
        <v>39</v>
      </c>
      <c r="Q6579" s="8" t="s">
        <v>40</v>
      </c>
      <c r="R6579" s="10" t="s">
        <v>1438</v>
      </c>
      <c r="S6579" s="11"/>
      <c r="T6579" s="6"/>
      <c r="U6579" s="15" t="str">
        <f>HYPERLINK("https://media.infra-m.ru/1681/1681993/cover/1681993.jpg", "Обложка")</f>
        <v>Обложка</v>
      </c>
      <c r="V6579" s="8" t="s">
        <v>5902</v>
      </c>
      <c r="W6579" s="6"/>
      <c r="X6579" s="6"/>
      <c r="Y6579" s="6"/>
      <c r="Z6579" s="6"/>
      <c r="AA6579" s="6" t="s">
        <v>1256</v>
      </c>
      <c r="AB6579" s="8"/>
      <c r="AC6579" s="27">
        <v>9785160162232</v>
      </c>
    </row>
    <row r="6580" spans="1:29" s="4" customFormat="1" ht="42" customHeight="1" x14ac:dyDescent="0.2">
      <c r="A6580" s="5">
        <v>0</v>
      </c>
      <c r="B6580" s="6" t="s">
        <v>37388</v>
      </c>
      <c r="C6580" s="7">
        <v>1260</v>
      </c>
      <c r="D6580" s="8" t="s">
        <v>37389</v>
      </c>
      <c r="E6580" s="8" t="s">
        <v>37390</v>
      </c>
      <c r="F6580" s="8" t="s">
        <v>37391</v>
      </c>
      <c r="G6580" s="6" t="s">
        <v>118</v>
      </c>
      <c r="H6580" s="6" t="s">
        <v>34</v>
      </c>
      <c r="I6580" s="8"/>
      <c r="J6580" s="9">
        <v>1</v>
      </c>
      <c r="K6580" s="9">
        <v>200</v>
      </c>
      <c r="L6580" s="9">
        <v>2025</v>
      </c>
      <c r="M6580" s="8" t="s">
        <v>37392</v>
      </c>
      <c r="N6580" s="8" t="s">
        <v>37</v>
      </c>
      <c r="O6580" s="8" t="s">
        <v>136</v>
      </c>
      <c r="P6580" s="6" t="s">
        <v>3141</v>
      </c>
      <c r="Q6580" s="8" t="s">
        <v>40</v>
      </c>
      <c r="R6580" s="10" t="s">
        <v>684</v>
      </c>
      <c r="S6580" s="11"/>
      <c r="T6580" s="6"/>
      <c r="U6580" s="15" t="str">
        <f>HYPERLINK("https://media.infra-m.ru/2192/2192320/cover/2192320.jpg", "Обложка")</f>
        <v>Обложка</v>
      </c>
      <c r="V6580" s="8" t="s">
        <v>138</v>
      </c>
      <c r="W6580" s="6"/>
      <c r="X6580" s="6"/>
      <c r="Y6580" s="6"/>
      <c r="Z6580" s="6"/>
      <c r="AA6580" s="6" t="s">
        <v>76</v>
      </c>
      <c r="AB6580" s="8"/>
      <c r="AC6580" s="27">
        <v>9785160197357</v>
      </c>
    </row>
    <row r="6581" spans="1:29" s="4" customFormat="1" ht="51.9" customHeight="1" x14ac:dyDescent="0.2">
      <c r="A6581" s="5">
        <v>0</v>
      </c>
      <c r="B6581" s="6" t="s">
        <v>37393</v>
      </c>
      <c r="C6581" s="7">
        <v>1048.8</v>
      </c>
      <c r="D6581" s="8" t="s">
        <v>37394</v>
      </c>
      <c r="E6581" s="8" t="s">
        <v>37395</v>
      </c>
      <c r="F6581" s="8" t="s">
        <v>37396</v>
      </c>
      <c r="G6581" s="6" t="s">
        <v>60</v>
      </c>
      <c r="H6581" s="6" t="s">
        <v>34</v>
      </c>
      <c r="I6581" s="8" t="s">
        <v>7198</v>
      </c>
      <c r="J6581" s="9">
        <v>1</v>
      </c>
      <c r="K6581" s="9">
        <v>192</v>
      </c>
      <c r="L6581" s="9">
        <v>2023</v>
      </c>
      <c r="M6581" s="8" t="s">
        <v>37397</v>
      </c>
      <c r="N6581" s="8" t="s">
        <v>585</v>
      </c>
      <c r="O6581" s="8" t="s">
        <v>586</v>
      </c>
      <c r="P6581" s="6" t="s">
        <v>51</v>
      </c>
      <c r="Q6581" s="8" t="s">
        <v>52</v>
      </c>
      <c r="R6581" s="10" t="s">
        <v>10423</v>
      </c>
      <c r="S6581" s="11" t="s">
        <v>14113</v>
      </c>
      <c r="T6581" s="6"/>
      <c r="U6581" s="15" t="str">
        <f>HYPERLINK("https://media.infra-m.ru/2006/2006874/cover/2006874.jpg", "Обложка")</f>
        <v>Обложка</v>
      </c>
      <c r="V6581" s="8" t="s">
        <v>1083</v>
      </c>
      <c r="W6581" s="6"/>
      <c r="X6581" s="6"/>
      <c r="Y6581" s="6"/>
      <c r="Z6581" s="6"/>
      <c r="AA6581" s="6" t="s">
        <v>86</v>
      </c>
      <c r="AB6581" s="8"/>
      <c r="AC6581" s="27">
        <v>9785160133119</v>
      </c>
    </row>
    <row r="6582" spans="1:29" s="4" customFormat="1" ht="51.9" customHeight="1" x14ac:dyDescent="0.2">
      <c r="A6582" s="5">
        <v>0</v>
      </c>
      <c r="B6582" s="6" t="s">
        <v>37398</v>
      </c>
      <c r="C6582" s="7">
        <v>1348.8</v>
      </c>
      <c r="D6582" s="8" t="s">
        <v>37399</v>
      </c>
      <c r="E6582" s="8" t="s">
        <v>37400</v>
      </c>
      <c r="F6582" s="8" t="s">
        <v>37401</v>
      </c>
      <c r="G6582" s="6" t="s">
        <v>60</v>
      </c>
      <c r="H6582" s="6" t="s">
        <v>134</v>
      </c>
      <c r="I6582" s="8"/>
      <c r="J6582" s="9">
        <v>1</v>
      </c>
      <c r="K6582" s="9">
        <v>204</v>
      </c>
      <c r="L6582" s="9">
        <v>2026</v>
      </c>
      <c r="M6582" s="8" t="s">
        <v>37402</v>
      </c>
      <c r="N6582" s="8" t="s">
        <v>37</v>
      </c>
      <c r="O6582" s="8" t="s">
        <v>136</v>
      </c>
      <c r="P6582" s="6" t="s">
        <v>39</v>
      </c>
      <c r="Q6582" s="8" t="s">
        <v>40</v>
      </c>
      <c r="R6582" s="10" t="s">
        <v>37403</v>
      </c>
      <c r="S6582" s="11"/>
      <c r="T6582" s="6"/>
      <c r="U6582" s="15" t="str">
        <f>HYPERLINK("https://media.infra-m.ru/2236/2236278/cover/2236278.jpg", "Обложка")</f>
        <v>Обложка</v>
      </c>
      <c r="V6582" s="8" t="s">
        <v>1184</v>
      </c>
      <c r="W6582" s="6"/>
      <c r="X6582" s="6"/>
      <c r="Y6582" s="6"/>
      <c r="Z6582" s="6"/>
      <c r="AA6582" s="6" t="s">
        <v>76</v>
      </c>
      <c r="AB6582" s="8"/>
      <c r="AC6582" s="27">
        <v>9785001563822</v>
      </c>
    </row>
    <row r="6583" spans="1:29" s="4" customFormat="1" ht="51.9" customHeight="1" x14ac:dyDescent="0.2">
      <c r="A6583" s="5">
        <v>0</v>
      </c>
      <c r="B6583" s="6" t="s">
        <v>37404</v>
      </c>
      <c r="C6583" s="7">
        <v>1925.9</v>
      </c>
      <c r="D6583" s="8" t="s">
        <v>37405</v>
      </c>
      <c r="E6583" s="8" t="s">
        <v>37406</v>
      </c>
      <c r="F6583" s="8" t="s">
        <v>10948</v>
      </c>
      <c r="G6583" s="6" t="s">
        <v>60</v>
      </c>
      <c r="H6583" s="6" t="s">
        <v>34</v>
      </c>
      <c r="I6583" s="8" t="s">
        <v>35</v>
      </c>
      <c r="J6583" s="9">
        <v>1</v>
      </c>
      <c r="K6583" s="9">
        <v>356</v>
      </c>
      <c r="L6583" s="9">
        <v>2023</v>
      </c>
      <c r="M6583" s="8" t="s">
        <v>37407</v>
      </c>
      <c r="N6583" s="8" t="s">
        <v>37</v>
      </c>
      <c r="O6583" s="8" t="s">
        <v>38</v>
      </c>
      <c r="P6583" s="6" t="s">
        <v>39</v>
      </c>
      <c r="Q6583" s="8" t="s">
        <v>40</v>
      </c>
      <c r="R6583" s="10" t="s">
        <v>37408</v>
      </c>
      <c r="S6583" s="11"/>
      <c r="T6583" s="6"/>
      <c r="U6583" s="15" t="str">
        <f>HYPERLINK("https://media.infra-m.ru/2030/2030878/cover/2030878.jpg", "Обложка")</f>
        <v>Обложка</v>
      </c>
      <c r="V6583" s="8" t="s">
        <v>10951</v>
      </c>
      <c r="W6583" s="6"/>
      <c r="X6583" s="6"/>
      <c r="Y6583" s="6"/>
      <c r="Z6583" s="6"/>
      <c r="AA6583" s="6" t="s">
        <v>218</v>
      </c>
      <c r="AB6583" s="8"/>
      <c r="AC6583" s="27">
        <v>9785160146904</v>
      </c>
    </row>
    <row r="6584" spans="1:29" s="4" customFormat="1" ht="51.9" customHeight="1" x14ac:dyDescent="0.2">
      <c r="A6584" s="5">
        <v>0</v>
      </c>
      <c r="B6584" s="6" t="s">
        <v>37409</v>
      </c>
      <c r="C6584" s="13">
        <v>900</v>
      </c>
      <c r="D6584" s="8" t="s">
        <v>37410</v>
      </c>
      <c r="E6584" s="8" t="s">
        <v>37411</v>
      </c>
      <c r="F6584" s="8" t="s">
        <v>37412</v>
      </c>
      <c r="G6584" s="6" t="s">
        <v>33</v>
      </c>
      <c r="H6584" s="6" t="s">
        <v>34</v>
      </c>
      <c r="I6584" s="8"/>
      <c r="J6584" s="9">
        <v>1</v>
      </c>
      <c r="K6584" s="9">
        <v>112</v>
      </c>
      <c r="L6584" s="9">
        <v>2026</v>
      </c>
      <c r="M6584" s="8" t="s">
        <v>37413</v>
      </c>
      <c r="N6584" s="8" t="s">
        <v>63</v>
      </c>
      <c r="O6584" s="8" t="s">
        <v>154</v>
      </c>
      <c r="P6584" s="6" t="s">
        <v>39</v>
      </c>
      <c r="Q6584" s="8" t="s">
        <v>40</v>
      </c>
      <c r="R6584" s="10" t="s">
        <v>11871</v>
      </c>
      <c r="S6584" s="11"/>
      <c r="T6584" s="6"/>
      <c r="U6584" s="15" t="str">
        <f>HYPERLINK("https://media.infra-m.ru/2213/2213186/cover/2213186.jpg", "Обложка")</f>
        <v>Обложка</v>
      </c>
      <c r="V6584" s="8" t="s">
        <v>10325</v>
      </c>
      <c r="W6584" s="6"/>
      <c r="X6584" s="6"/>
      <c r="Y6584" s="6"/>
      <c r="Z6584" s="6"/>
      <c r="AA6584" s="6" t="s">
        <v>623</v>
      </c>
      <c r="AB6584" s="8"/>
      <c r="AC6584" s="27">
        <v>9785160211107</v>
      </c>
    </row>
    <row r="6585" spans="1:29" s="4" customFormat="1" ht="42" customHeight="1" x14ac:dyDescent="0.2">
      <c r="A6585" s="5">
        <v>0</v>
      </c>
      <c r="B6585" s="6" t="s">
        <v>37414</v>
      </c>
      <c r="C6585" s="13">
        <v>708</v>
      </c>
      <c r="D6585" s="8" t="s">
        <v>37415</v>
      </c>
      <c r="E6585" s="8" t="s">
        <v>37416</v>
      </c>
      <c r="F6585" s="8" t="s">
        <v>37417</v>
      </c>
      <c r="G6585" s="6" t="s">
        <v>33</v>
      </c>
      <c r="H6585" s="6" t="s">
        <v>34</v>
      </c>
      <c r="I6585" s="8" t="s">
        <v>111</v>
      </c>
      <c r="J6585" s="9">
        <v>1</v>
      </c>
      <c r="K6585" s="9">
        <v>127</v>
      </c>
      <c r="L6585" s="9">
        <v>2024</v>
      </c>
      <c r="M6585" s="8" t="s">
        <v>37418</v>
      </c>
      <c r="N6585" s="8" t="s">
        <v>63</v>
      </c>
      <c r="O6585" s="8" t="s">
        <v>64</v>
      </c>
      <c r="P6585" s="6" t="s">
        <v>39</v>
      </c>
      <c r="Q6585" s="8" t="s">
        <v>40</v>
      </c>
      <c r="R6585" s="10" t="s">
        <v>37419</v>
      </c>
      <c r="S6585" s="11"/>
      <c r="T6585" s="6"/>
      <c r="U6585" s="15" t="str">
        <f>HYPERLINK("https://media.infra-m.ru/2080/2080951/cover/2080951.jpg", "Обложка")</f>
        <v>Обложка</v>
      </c>
      <c r="V6585" s="8" t="s">
        <v>414</v>
      </c>
      <c r="W6585" s="6"/>
      <c r="X6585" s="6"/>
      <c r="Y6585" s="6"/>
      <c r="Z6585" s="6"/>
      <c r="AA6585" s="6" t="s">
        <v>115</v>
      </c>
      <c r="AB6585" s="8"/>
      <c r="AC6585" s="27">
        <v>9785160160313</v>
      </c>
    </row>
    <row r="6586" spans="1:29" s="4" customFormat="1" ht="51.9" customHeight="1" x14ac:dyDescent="0.2">
      <c r="A6586" s="5">
        <v>0</v>
      </c>
      <c r="B6586" s="6" t="s">
        <v>37420</v>
      </c>
      <c r="C6586" s="7">
        <v>1188</v>
      </c>
      <c r="D6586" s="8" t="s">
        <v>37421</v>
      </c>
      <c r="E6586" s="8" t="s">
        <v>37422</v>
      </c>
      <c r="F6586" s="8" t="s">
        <v>1965</v>
      </c>
      <c r="G6586" s="6" t="s">
        <v>33</v>
      </c>
      <c r="H6586" s="6" t="s">
        <v>34</v>
      </c>
      <c r="I6586" s="8" t="s">
        <v>35</v>
      </c>
      <c r="J6586" s="9">
        <v>1</v>
      </c>
      <c r="K6586" s="9">
        <v>195</v>
      </c>
      <c r="L6586" s="9">
        <v>2025</v>
      </c>
      <c r="M6586" s="8" t="s">
        <v>37423</v>
      </c>
      <c r="N6586" s="8" t="s">
        <v>63</v>
      </c>
      <c r="O6586" s="8" t="s">
        <v>64</v>
      </c>
      <c r="P6586" s="6" t="s">
        <v>39</v>
      </c>
      <c r="Q6586" s="8" t="s">
        <v>40</v>
      </c>
      <c r="R6586" s="10" t="s">
        <v>37424</v>
      </c>
      <c r="S6586" s="11"/>
      <c r="T6586" s="6"/>
      <c r="U6586" s="15" t="str">
        <f>HYPERLINK("https://media.infra-m.ru/2175/2175578/cover/2175578.jpg", "Обложка")</f>
        <v>Обложка</v>
      </c>
      <c r="V6586" s="8" t="s">
        <v>1599</v>
      </c>
      <c r="W6586" s="6"/>
      <c r="X6586" s="6"/>
      <c r="Y6586" s="6"/>
      <c r="Z6586" s="6"/>
      <c r="AA6586" s="6" t="s">
        <v>779</v>
      </c>
      <c r="AB6586" s="8"/>
      <c r="AC6586" s="27">
        <v>9785160168845</v>
      </c>
    </row>
    <row r="6587" spans="1:29" s="4" customFormat="1" ht="51.9" customHeight="1" x14ac:dyDescent="0.2">
      <c r="A6587" s="5">
        <v>0</v>
      </c>
      <c r="B6587" s="6" t="s">
        <v>37425</v>
      </c>
      <c r="C6587" s="13">
        <v>912</v>
      </c>
      <c r="D6587" s="8" t="s">
        <v>37426</v>
      </c>
      <c r="E6587" s="8" t="s">
        <v>37422</v>
      </c>
      <c r="F6587" s="8" t="s">
        <v>1965</v>
      </c>
      <c r="G6587" s="6" t="s">
        <v>118</v>
      </c>
      <c r="H6587" s="6" t="s">
        <v>34</v>
      </c>
      <c r="I6587" s="8" t="s">
        <v>35</v>
      </c>
      <c r="J6587" s="9">
        <v>1</v>
      </c>
      <c r="K6587" s="9">
        <v>195</v>
      </c>
      <c r="L6587" s="9">
        <v>2021</v>
      </c>
      <c r="M6587" s="8" t="s">
        <v>37427</v>
      </c>
      <c r="N6587" s="8" t="s">
        <v>63</v>
      </c>
      <c r="O6587" s="8" t="s">
        <v>64</v>
      </c>
      <c r="P6587" s="6" t="s">
        <v>39</v>
      </c>
      <c r="Q6587" s="8" t="s">
        <v>40</v>
      </c>
      <c r="R6587" s="10" t="s">
        <v>37424</v>
      </c>
      <c r="S6587" s="11"/>
      <c r="T6587" s="6"/>
      <c r="U6587" s="15" t="str">
        <f>HYPERLINK("https://media.infra-m.ru/1838/1838742/cover/1838742.jpg", "Обложка")</f>
        <v>Обложка</v>
      </c>
      <c r="V6587" s="8" t="s">
        <v>1599</v>
      </c>
      <c r="W6587" s="6"/>
      <c r="X6587" s="6"/>
      <c r="Y6587" s="6"/>
      <c r="Z6587" s="6"/>
      <c r="AA6587" s="6" t="s">
        <v>779</v>
      </c>
      <c r="AB6587" s="8"/>
      <c r="AC6587" s="27">
        <v>9785160120263</v>
      </c>
    </row>
    <row r="6588" spans="1:29" s="4" customFormat="1" ht="42" customHeight="1" x14ac:dyDescent="0.2">
      <c r="A6588" s="5">
        <v>0</v>
      </c>
      <c r="B6588" s="6" t="s">
        <v>37428</v>
      </c>
      <c r="C6588" s="13">
        <v>616.79999999999995</v>
      </c>
      <c r="D6588" s="8" t="s">
        <v>37429</v>
      </c>
      <c r="E6588" s="8" t="s">
        <v>37430</v>
      </c>
      <c r="F6588" s="8" t="s">
        <v>37431</v>
      </c>
      <c r="G6588" s="6" t="s">
        <v>33</v>
      </c>
      <c r="H6588" s="6" t="s">
        <v>34</v>
      </c>
      <c r="I6588" s="8" t="s">
        <v>35</v>
      </c>
      <c r="J6588" s="9">
        <v>1</v>
      </c>
      <c r="K6588" s="9">
        <v>106</v>
      </c>
      <c r="L6588" s="9">
        <v>2024</v>
      </c>
      <c r="M6588" s="8" t="s">
        <v>37432</v>
      </c>
      <c r="N6588" s="8" t="s">
        <v>63</v>
      </c>
      <c r="O6588" s="8" t="s">
        <v>64</v>
      </c>
      <c r="P6588" s="6" t="s">
        <v>39</v>
      </c>
      <c r="Q6588" s="8" t="s">
        <v>40</v>
      </c>
      <c r="R6588" s="10" t="s">
        <v>37433</v>
      </c>
      <c r="S6588" s="11"/>
      <c r="T6588" s="6"/>
      <c r="U6588" s="15" t="str">
        <f>HYPERLINK("https://media.infra-m.ru/2151/2151399/cover/2151399.jpg", "Обложка")</f>
        <v>Обложка</v>
      </c>
      <c r="V6588" s="8" t="s">
        <v>6127</v>
      </c>
      <c r="W6588" s="6"/>
      <c r="X6588" s="6"/>
      <c r="Y6588" s="6"/>
      <c r="Z6588" s="6"/>
      <c r="AA6588" s="6" t="s">
        <v>99</v>
      </c>
      <c r="AB6588" s="8"/>
      <c r="AC6588" s="27">
        <v>9785160126388</v>
      </c>
    </row>
    <row r="6589" spans="1:29" s="4" customFormat="1" ht="42" customHeight="1" x14ac:dyDescent="0.2">
      <c r="A6589" s="5">
        <v>0</v>
      </c>
      <c r="B6589" s="6" t="s">
        <v>37434</v>
      </c>
      <c r="C6589" s="7">
        <v>1264.8</v>
      </c>
      <c r="D6589" s="8" t="s">
        <v>37435</v>
      </c>
      <c r="E6589" s="8" t="s">
        <v>37436</v>
      </c>
      <c r="F6589" s="8" t="s">
        <v>37437</v>
      </c>
      <c r="G6589" s="6" t="s">
        <v>118</v>
      </c>
      <c r="H6589" s="6" t="s">
        <v>34</v>
      </c>
      <c r="I6589" s="8" t="s">
        <v>179</v>
      </c>
      <c r="J6589" s="9">
        <v>1</v>
      </c>
      <c r="K6589" s="9">
        <v>196</v>
      </c>
      <c r="L6589" s="9">
        <v>2025</v>
      </c>
      <c r="M6589" s="8" t="s">
        <v>37438</v>
      </c>
      <c r="N6589" s="8" t="s">
        <v>37</v>
      </c>
      <c r="O6589" s="8" t="s">
        <v>38</v>
      </c>
      <c r="P6589" s="6" t="s">
        <v>182</v>
      </c>
      <c r="Q6589" s="8" t="s">
        <v>65</v>
      </c>
      <c r="R6589" s="10" t="s">
        <v>13406</v>
      </c>
      <c r="S6589" s="11"/>
      <c r="T6589" s="6"/>
      <c r="U6589" s="15" t="str">
        <f>HYPERLINK("https://media.infra-m.ru/2217/2217355/cover/2217355.jpg", "Обложка")</f>
        <v>Обложка</v>
      </c>
      <c r="V6589" s="8" t="s">
        <v>4038</v>
      </c>
      <c r="W6589" s="6"/>
      <c r="X6589" s="6"/>
      <c r="Y6589" s="6"/>
      <c r="Z6589" s="6"/>
      <c r="AA6589" s="6" t="s">
        <v>68</v>
      </c>
      <c r="AB6589" s="8"/>
      <c r="AC6589" s="27">
        <v>9785160204864</v>
      </c>
    </row>
    <row r="6590" spans="1:29" s="4" customFormat="1" ht="42" customHeight="1" x14ac:dyDescent="0.2">
      <c r="A6590" s="5">
        <v>0</v>
      </c>
      <c r="B6590" s="6" t="s">
        <v>37439</v>
      </c>
      <c r="C6590" s="7">
        <v>1798.8</v>
      </c>
      <c r="D6590" s="8" t="s">
        <v>37440</v>
      </c>
      <c r="E6590" s="8" t="s">
        <v>37436</v>
      </c>
      <c r="F6590" s="8" t="s">
        <v>37437</v>
      </c>
      <c r="G6590" s="6" t="s">
        <v>118</v>
      </c>
      <c r="H6590" s="6" t="s">
        <v>34</v>
      </c>
      <c r="I6590" s="8" t="s">
        <v>253</v>
      </c>
      <c r="J6590" s="9">
        <v>1</v>
      </c>
      <c r="K6590" s="9">
        <v>212</v>
      </c>
      <c r="L6590" s="9">
        <v>2026</v>
      </c>
      <c r="M6590" s="8" t="s">
        <v>37441</v>
      </c>
      <c r="N6590" s="8" t="s">
        <v>37</v>
      </c>
      <c r="O6590" s="8" t="s">
        <v>38</v>
      </c>
      <c r="P6590" s="6" t="s">
        <v>51</v>
      </c>
      <c r="Q6590" s="8" t="s">
        <v>52</v>
      </c>
      <c r="R6590" s="10" t="s">
        <v>37442</v>
      </c>
      <c r="S6590" s="11"/>
      <c r="T6590" s="6"/>
      <c r="U6590" s="15" t="str">
        <f>HYPERLINK("https://media.infra-m.ru/2243/2243450/cover/2243450.jpg", "Обложка")</f>
        <v>Обложка</v>
      </c>
      <c r="V6590" s="8" t="s">
        <v>4038</v>
      </c>
      <c r="W6590" s="6"/>
      <c r="X6590" s="6"/>
      <c r="Y6590" s="6"/>
      <c r="Z6590" s="6"/>
      <c r="AA6590" s="6" t="s">
        <v>76</v>
      </c>
      <c r="AB6590" s="8"/>
      <c r="AC6590" s="27">
        <v>9785160174198</v>
      </c>
    </row>
    <row r="6591" spans="1:29" s="4" customFormat="1" ht="51.9" customHeight="1" x14ac:dyDescent="0.2">
      <c r="A6591" s="5">
        <v>0</v>
      </c>
      <c r="B6591" s="6" t="s">
        <v>37443</v>
      </c>
      <c r="C6591" s="7">
        <v>1780.8</v>
      </c>
      <c r="D6591" s="8" t="s">
        <v>37444</v>
      </c>
      <c r="E6591" s="8" t="s">
        <v>37445</v>
      </c>
      <c r="F6591" s="8" t="s">
        <v>37446</v>
      </c>
      <c r="G6591" s="6" t="s">
        <v>33</v>
      </c>
      <c r="H6591" s="6" t="s">
        <v>34</v>
      </c>
      <c r="I6591" s="8" t="s">
        <v>35</v>
      </c>
      <c r="J6591" s="9">
        <v>1</v>
      </c>
      <c r="K6591" s="9">
        <v>256</v>
      </c>
      <c r="L6591" s="9">
        <v>2026</v>
      </c>
      <c r="M6591" s="8" t="s">
        <v>37447</v>
      </c>
      <c r="N6591" s="8" t="s">
        <v>37</v>
      </c>
      <c r="O6591" s="8" t="s">
        <v>50</v>
      </c>
      <c r="P6591" s="6" t="s">
        <v>39</v>
      </c>
      <c r="Q6591" s="8" t="s">
        <v>40</v>
      </c>
      <c r="R6591" s="10" t="s">
        <v>37448</v>
      </c>
      <c r="S6591" s="11"/>
      <c r="T6591" s="6"/>
      <c r="U6591" s="15" t="str">
        <f>HYPERLINK("https://media.infra-m.ru/2270/2270321/cover/2270321.jpg", "Обложка")</f>
        <v>Обложка</v>
      </c>
      <c r="V6591" s="8" t="s">
        <v>11135</v>
      </c>
      <c r="W6591" s="6"/>
      <c r="X6591" s="6"/>
      <c r="Y6591" s="6"/>
      <c r="Z6591" s="6"/>
      <c r="AA6591" s="6" t="s">
        <v>1256</v>
      </c>
      <c r="AB6591" s="8"/>
      <c r="AC6591" s="27">
        <v>9785160156378</v>
      </c>
    </row>
    <row r="6592" spans="1:29" s="4" customFormat="1" ht="51.9" customHeight="1" x14ac:dyDescent="0.2">
      <c r="A6592" s="5">
        <v>0</v>
      </c>
      <c r="B6592" s="6" t="s">
        <v>37449</v>
      </c>
      <c r="C6592" s="7">
        <v>1716</v>
      </c>
      <c r="D6592" s="8" t="s">
        <v>37450</v>
      </c>
      <c r="E6592" s="8" t="s">
        <v>37451</v>
      </c>
      <c r="F6592" s="8" t="s">
        <v>37452</v>
      </c>
      <c r="G6592" s="6" t="s">
        <v>60</v>
      </c>
      <c r="H6592" s="6" t="s">
        <v>34</v>
      </c>
      <c r="I6592" s="8" t="s">
        <v>35</v>
      </c>
      <c r="J6592" s="9">
        <v>1</v>
      </c>
      <c r="K6592" s="9">
        <v>460</v>
      </c>
      <c r="L6592" s="9">
        <v>2018</v>
      </c>
      <c r="M6592" s="8" t="s">
        <v>37453</v>
      </c>
      <c r="N6592" s="8" t="s">
        <v>37</v>
      </c>
      <c r="O6592" s="8" t="s">
        <v>233</v>
      </c>
      <c r="P6592" s="6" t="s">
        <v>39</v>
      </c>
      <c r="Q6592" s="8" t="s">
        <v>40</v>
      </c>
      <c r="R6592" s="10" t="s">
        <v>12043</v>
      </c>
      <c r="S6592" s="11"/>
      <c r="T6592" s="6" t="s">
        <v>97</v>
      </c>
      <c r="U6592" s="15" t="str">
        <f>HYPERLINK("https://media.infra-m.ru/0922/0922658/cover/922658.jpg", "Обложка")</f>
        <v>Обложка</v>
      </c>
      <c r="V6592" s="8" t="s">
        <v>5693</v>
      </c>
      <c r="W6592" s="6"/>
      <c r="X6592" s="6"/>
      <c r="Y6592" s="6"/>
      <c r="Z6592" s="6"/>
      <c r="AA6592" s="6" t="s">
        <v>360</v>
      </c>
      <c r="AB6592" s="8"/>
      <c r="AC6592" s="27">
        <v>9785160118420</v>
      </c>
    </row>
    <row r="6593" spans="1:29" s="4" customFormat="1" ht="51.9" customHeight="1" x14ac:dyDescent="0.2">
      <c r="A6593" s="5">
        <v>0</v>
      </c>
      <c r="B6593" s="6" t="s">
        <v>37454</v>
      </c>
      <c r="C6593" s="7">
        <v>1884</v>
      </c>
      <c r="D6593" s="8" t="s">
        <v>37455</v>
      </c>
      <c r="E6593" s="8" t="s">
        <v>37456</v>
      </c>
      <c r="F6593" s="8" t="s">
        <v>37452</v>
      </c>
      <c r="G6593" s="6" t="s">
        <v>118</v>
      </c>
      <c r="H6593" s="6" t="s">
        <v>34</v>
      </c>
      <c r="I6593" s="8" t="s">
        <v>35</v>
      </c>
      <c r="J6593" s="9">
        <v>1</v>
      </c>
      <c r="K6593" s="9">
        <v>598</v>
      </c>
      <c r="L6593" s="9">
        <v>2019</v>
      </c>
      <c r="M6593" s="8" t="s">
        <v>37457</v>
      </c>
      <c r="N6593" s="8" t="s">
        <v>37</v>
      </c>
      <c r="O6593" s="8" t="s">
        <v>233</v>
      </c>
      <c r="P6593" s="6" t="s">
        <v>39</v>
      </c>
      <c r="Q6593" s="8" t="s">
        <v>40</v>
      </c>
      <c r="R6593" s="10" t="s">
        <v>12043</v>
      </c>
      <c r="S6593" s="11"/>
      <c r="T6593" s="6" t="s">
        <v>97</v>
      </c>
      <c r="U6593" s="15" t="str">
        <f>HYPERLINK("https://media.infra-m.ru/1007/1007988/cover/1007988.jpg", "Обложка")</f>
        <v>Обложка</v>
      </c>
      <c r="V6593" s="8" t="s">
        <v>5693</v>
      </c>
      <c r="W6593" s="6"/>
      <c r="X6593" s="6"/>
      <c r="Y6593" s="6"/>
      <c r="Z6593" s="6"/>
      <c r="AA6593" s="6" t="s">
        <v>1117</v>
      </c>
      <c r="AB6593" s="8"/>
      <c r="AC6593" s="27">
        <v>9785160139906</v>
      </c>
    </row>
    <row r="6594" spans="1:29" s="4" customFormat="1" ht="51.9" customHeight="1" x14ac:dyDescent="0.2">
      <c r="A6594" s="5">
        <v>0</v>
      </c>
      <c r="B6594" s="6" t="s">
        <v>37458</v>
      </c>
      <c r="C6594" s="7">
        <v>2416.8000000000002</v>
      </c>
      <c r="D6594" s="8" t="s">
        <v>37459</v>
      </c>
      <c r="E6594" s="8" t="s">
        <v>37460</v>
      </c>
      <c r="F6594" s="8" t="s">
        <v>37461</v>
      </c>
      <c r="G6594" s="6" t="s">
        <v>118</v>
      </c>
      <c r="H6594" s="6" t="s">
        <v>34</v>
      </c>
      <c r="I6594" s="8" t="s">
        <v>35</v>
      </c>
      <c r="J6594" s="9">
        <v>1</v>
      </c>
      <c r="K6594" s="9">
        <v>596</v>
      </c>
      <c r="L6594" s="9">
        <v>2024</v>
      </c>
      <c r="M6594" s="8" t="s">
        <v>37462</v>
      </c>
      <c r="N6594" s="8" t="s">
        <v>37</v>
      </c>
      <c r="O6594" s="8" t="s">
        <v>233</v>
      </c>
      <c r="P6594" s="6" t="s">
        <v>39</v>
      </c>
      <c r="Q6594" s="8" t="s">
        <v>40</v>
      </c>
      <c r="R6594" s="10" t="s">
        <v>12043</v>
      </c>
      <c r="S6594" s="11"/>
      <c r="T6594" s="6" t="s">
        <v>97</v>
      </c>
      <c r="U6594" s="15" t="str">
        <f>HYPERLINK("https://media.infra-m.ru/2102/2102711/cover/2102711.jpg", "Обложка")</f>
        <v>Обложка</v>
      </c>
      <c r="V6594" s="8" t="s">
        <v>5693</v>
      </c>
      <c r="W6594" s="6"/>
      <c r="X6594" s="6"/>
      <c r="Y6594" s="6"/>
      <c r="Z6594" s="6"/>
      <c r="AA6594" s="6" t="s">
        <v>1375</v>
      </c>
      <c r="AB6594" s="8"/>
      <c r="AC6594" s="27">
        <v>9785160162157</v>
      </c>
    </row>
    <row r="6595" spans="1:29" s="4" customFormat="1" ht="42" customHeight="1" x14ac:dyDescent="0.2">
      <c r="A6595" s="5">
        <v>0</v>
      </c>
      <c r="B6595" s="6" t="s">
        <v>37463</v>
      </c>
      <c r="C6595" s="7">
        <v>2152.8000000000002</v>
      </c>
      <c r="D6595" s="8" t="s">
        <v>37464</v>
      </c>
      <c r="E6595" s="8" t="s">
        <v>37465</v>
      </c>
      <c r="F6595" s="8" t="s">
        <v>37466</v>
      </c>
      <c r="G6595" s="6" t="s">
        <v>60</v>
      </c>
      <c r="H6595" s="6" t="s">
        <v>34</v>
      </c>
      <c r="I6595" s="8" t="s">
        <v>253</v>
      </c>
      <c r="J6595" s="9">
        <v>1</v>
      </c>
      <c r="K6595" s="9">
        <v>307</v>
      </c>
      <c r="L6595" s="9">
        <v>2026</v>
      </c>
      <c r="M6595" s="8" t="s">
        <v>37467</v>
      </c>
      <c r="N6595" s="8" t="s">
        <v>37</v>
      </c>
      <c r="O6595" s="8" t="s">
        <v>83</v>
      </c>
      <c r="P6595" s="6" t="s">
        <v>306</v>
      </c>
      <c r="Q6595" s="8" t="s">
        <v>52</v>
      </c>
      <c r="R6595" s="10" t="s">
        <v>25036</v>
      </c>
      <c r="S6595" s="11"/>
      <c r="T6595" s="6"/>
      <c r="U6595" s="15" t="str">
        <f>HYPERLINK("https://media.infra-m.ru/2239/2239930/cover/2239930.jpg", "Обложка")</f>
        <v>Обложка</v>
      </c>
      <c r="V6595" s="8" t="s">
        <v>1647</v>
      </c>
      <c r="W6595" s="6"/>
      <c r="X6595" s="6"/>
      <c r="Y6595" s="6"/>
      <c r="Z6595" s="6"/>
      <c r="AA6595" s="6" t="s">
        <v>187</v>
      </c>
      <c r="AB6595" s="8" t="s">
        <v>17933</v>
      </c>
      <c r="AC6595" s="27">
        <v>9785160213606</v>
      </c>
    </row>
    <row r="6596" spans="1:29" s="4" customFormat="1" ht="42" customHeight="1" x14ac:dyDescent="0.2">
      <c r="A6596" s="5">
        <v>0</v>
      </c>
      <c r="B6596" s="6" t="s">
        <v>37468</v>
      </c>
      <c r="C6596" s="13">
        <v>996</v>
      </c>
      <c r="D6596" s="8" t="s">
        <v>37469</v>
      </c>
      <c r="E6596" s="8" t="s">
        <v>37470</v>
      </c>
      <c r="F6596" s="8" t="s">
        <v>37471</v>
      </c>
      <c r="G6596" s="6" t="s">
        <v>33</v>
      </c>
      <c r="H6596" s="6" t="s">
        <v>34</v>
      </c>
      <c r="I6596" s="8" t="s">
        <v>35</v>
      </c>
      <c r="J6596" s="9">
        <v>1</v>
      </c>
      <c r="K6596" s="9">
        <v>214</v>
      </c>
      <c r="L6596" s="9">
        <v>2022</v>
      </c>
      <c r="M6596" s="8" t="s">
        <v>37472</v>
      </c>
      <c r="N6596" s="8" t="s">
        <v>37</v>
      </c>
      <c r="O6596" s="8" t="s">
        <v>233</v>
      </c>
      <c r="P6596" s="6" t="s">
        <v>39</v>
      </c>
      <c r="Q6596" s="8" t="s">
        <v>40</v>
      </c>
      <c r="R6596" s="10" t="s">
        <v>18617</v>
      </c>
      <c r="S6596" s="11"/>
      <c r="T6596" s="6"/>
      <c r="U6596" s="15" t="str">
        <f>HYPERLINK("https://media.infra-m.ru/1846/1846274/cover/1846274.jpg", "Обложка")</f>
        <v>Обложка</v>
      </c>
      <c r="V6596" s="8" t="s">
        <v>37473</v>
      </c>
      <c r="W6596" s="6"/>
      <c r="X6596" s="6"/>
      <c r="Y6596" s="6"/>
      <c r="Z6596" s="6"/>
      <c r="AA6596" s="6" t="s">
        <v>99</v>
      </c>
      <c r="AB6596" s="8"/>
      <c r="AC6596" s="27">
        <v>9785160170305</v>
      </c>
    </row>
    <row r="6597" spans="1:29" s="4" customFormat="1" ht="42" customHeight="1" x14ac:dyDescent="0.2">
      <c r="A6597" s="5">
        <v>0</v>
      </c>
      <c r="B6597" s="6" t="s">
        <v>37474</v>
      </c>
      <c r="C6597" s="13">
        <v>804</v>
      </c>
      <c r="D6597" s="8" t="s">
        <v>37475</v>
      </c>
      <c r="E6597" s="8" t="s">
        <v>37476</v>
      </c>
      <c r="F6597" s="8" t="s">
        <v>37471</v>
      </c>
      <c r="G6597" s="6" t="s">
        <v>60</v>
      </c>
      <c r="H6597" s="6" t="s">
        <v>34</v>
      </c>
      <c r="I6597" s="8" t="s">
        <v>35</v>
      </c>
      <c r="J6597" s="9">
        <v>1</v>
      </c>
      <c r="K6597" s="9">
        <v>214</v>
      </c>
      <c r="L6597" s="9">
        <v>2018</v>
      </c>
      <c r="M6597" s="8" t="s">
        <v>37477</v>
      </c>
      <c r="N6597" s="8" t="s">
        <v>37</v>
      </c>
      <c r="O6597" s="8" t="s">
        <v>233</v>
      </c>
      <c r="P6597" s="6" t="s">
        <v>39</v>
      </c>
      <c r="Q6597" s="8" t="s">
        <v>40</v>
      </c>
      <c r="R6597" s="10" t="s">
        <v>18617</v>
      </c>
      <c r="S6597" s="11"/>
      <c r="T6597" s="6"/>
      <c r="U6597" s="15" t="str">
        <f>HYPERLINK("https://media.infra-m.ru/0944/0944661/cover/944661.jpg", "Обложка")</f>
        <v>Обложка</v>
      </c>
      <c r="V6597" s="8" t="s">
        <v>37473</v>
      </c>
      <c r="W6597" s="6"/>
      <c r="X6597" s="6"/>
      <c r="Y6597" s="6"/>
      <c r="Z6597" s="6"/>
      <c r="AA6597" s="6" t="s">
        <v>99</v>
      </c>
      <c r="AB6597" s="8"/>
      <c r="AC6597" s="27">
        <v>9785160128672</v>
      </c>
    </row>
    <row r="6598" spans="1:29" s="4" customFormat="1" ht="51.9" customHeight="1" x14ac:dyDescent="0.2">
      <c r="A6598" s="5">
        <v>0</v>
      </c>
      <c r="B6598" s="6" t="s">
        <v>37478</v>
      </c>
      <c r="C6598" s="13">
        <v>869.9</v>
      </c>
      <c r="D6598" s="8" t="s">
        <v>37479</v>
      </c>
      <c r="E6598" s="8" t="s">
        <v>37480</v>
      </c>
      <c r="F6598" s="8" t="s">
        <v>6381</v>
      </c>
      <c r="G6598" s="6" t="s">
        <v>33</v>
      </c>
      <c r="H6598" s="6" t="s">
        <v>1644</v>
      </c>
      <c r="I6598" s="8"/>
      <c r="J6598" s="9">
        <v>1</v>
      </c>
      <c r="K6598" s="9">
        <v>160</v>
      </c>
      <c r="L6598" s="9">
        <v>2023</v>
      </c>
      <c r="M6598" s="8" t="s">
        <v>37481</v>
      </c>
      <c r="N6598" s="8" t="s">
        <v>37</v>
      </c>
      <c r="O6598" s="8" t="s">
        <v>233</v>
      </c>
      <c r="P6598" s="6" t="s">
        <v>39</v>
      </c>
      <c r="Q6598" s="8" t="s">
        <v>40</v>
      </c>
      <c r="R6598" s="10" t="s">
        <v>37482</v>
      </c>
      <c r="S6598" s="11"/>
      <c r="T6598" s="6"/>
      <c r="U6598" s="15" t="str">
        <f>HYPERLINK("https://media.infra-m.ru/1981/1981656/cover/1981656.jpg", "Обложка")</f>
        <v>Обложка</v>
      </c>
      <c r="V6598" s="8" t="s">
        <v>6384</v>
      </c>
      <c r="W6598" s="6"/>
      <c r="X6598" s="6"/>
      <c r="Y6598" s="6"/>
      <c r="Z6598" s="6"/>
      <c r="AA6598" s="6" t="s">
        <v>55</v>
      </c>
      <c r="AB6598" s="8"/>
      <c r="AC6598" s="27">
        <v>9785977602907</v>
      </c>
    </row>
    <row r="6599" spans="1:29" s="4" customFormat="1" ht="44.1" customHeight="1" x14ac:dyDescent="0.2">
      <c r="A6599" s="5">
        <v>0</v>
      </c>
      <c r="B6599" s="6" t="s">
        <v>37483</v>
      </c>
      <c r="C6599" s="7">
        <v>1800</v>
      </c>
      <c r="D6599" s="8" t="s">
        <v>37484</v>
      </c>
      <c r="E6599" s="8" t="s">
        <v>37485</v>
      </c>
      <c r="F6599" s="8" t="s">
        <v>37486</v>
      </c>
      <c r="G6599" s="6" t="s">
        <v>33</v>
      </c>
      <c r="H6599" s="6" t="s">
        <v>134</v>
      </c>
      <c r="I6599" s="8"/>
      <c r="J6599" s="9">
        <v>1</v>
      </c>
      <c r="K6599" s="9">
        <v>272</v>
      </c>
      <c r="L6599" s="9">
        <v>2026</v>
      </c>
      <c r="M6599" s="8" t="s">
        <v>37487</v>
      </c>
      <c r="N6599" s="8" t="s">
        <v>37</v>
      </c>
      <c r="O6599" s="8" t="s">
        <v>136</v>
      </c>
      <c r="P6599" s="6" t="s">
        <v>39</v>
      </c>
      <c r="Q6599" s="8" t="s">
        <v>749</v>
      </c>
      <c r="R6599" s="10" t="s">
        <v>37488</v>
      </c>
      <c r="S6599" s="11"/>
      <c r="T6599" s="6"/>
      <c r="U6599" s="15" t="str">
        <f>HYPERLINK("https://media.infra-m.ru/2241/2241179/cover/2241179.jpg", "Обложка")</f>
        <v>Обложка</v>
      </c>
      <c r="V6599" s="8" t="s">
        <v>24812</v>
      </c>
      <c r="W6599" s="6"/>
      <c r="X6599" s="6"/>
      <c r="Y6599" s="6"/>
      <c r="Z6599" s="6"/>
      <c r="AA6599" s="6" t="s">
        <v>274</v>
      </c>
      <c r="AB6599" s="8"/>
      <c r="AC6599" s="27">
        <v>9785917687216</v>
      </c>
    </row>
    <row r="6600" spans="1:29" s="4" customFormat="1" ht="51.9" customHeight="1" x14ac:dyDescent="0.2">
      <c r="A6600" s="5">
        <v>0</v>
      </c>
      <c r="B6600" s="6" t="s">
        <v>37489</v>
      </c>
      <c r="C6600" s="7">
        <v>1032</v>
      </c>
      <c r="D6600" s="8" t="s">
        <v>37490</v>
      </c>
      <c r="E6600" s="8" t="s">
        <v>37491</v>
      </c>
      <c r="F6600" s="8" t="s">
        <v>4940</v>
      </c>
      <c r="G6600" s="6" t="s">
        <v>33</v>
      </c>
      <c r="H6600" s="6" t="s">
        <v>34</v>
      </c>
      <c r="I6600" s="8" t="s">
        <v>35</v>
      </c>
      <c r="J6600" s="9">
        <v>1</v>
      </c>
      <c r="K6600" s="9">
        <v>182</v>
      </c>
      <c r="L6600" s="9">
        <v>2024</v>
      </c>
      <c r="M6600" s="8" t="s">
        <v>37492</v>
      </c>
      <c r="N6600" s="8" t="s">
        <v>243</v>
      </c>
      <c r="O6600" s="8" t="s">
        <v>964</v>
      </c>
      <c r="P6600" s="6" t="s">
        <v>39</v>
      </c>
      <c r="Q6600" s="8" t="s">
        <v>40</v>
      </c>
      <c r="R6600" s="10" t="s">
        <v>37493</v>
      </c>
      <c r="S6600" s="11"/>
      <c r="T6600" s="6"/>
      <c r="U6600" s="15" t="str">
        <f>HYPERLINK("https://media.infra-m.ru/2125/2125181/cover/2125181.jpg", "Обложка")</f>
        <v>Обложка</v>
      </c>
      <c r="V6600" s="8" t="s">
        <v>4943</v>
      </c>
      <c r="W6600" s="6"/>
      <c r="X6600" s="6"/>
      <c r="Y6600" s="6"/>
      <c r="Z6600" s="6"/>
      <c r="AA6600" s="6" t="s">
        <v>43</v>
      </c>
      <c r="AB6600" s="8"/>
      <c r="AC6600" s="27">
        <v>9785160057996</v>
      </c>
    </row>
    <row r="6601" spans="1:29" s="4" customFormat="1" ht="44.1" customHeight="1" x14ac:dyDescent="0.2">
      <c r="A6601" s="5">
        <v>0</v>
      </c>
      <c r="B6601" s="6" t="s">
        <v>37494</v>
      </c>
      <c r="C6601" s="7">
        <v>1188</v>
      </c>
      <c r="D6601" s="8" t="s">
        <v>37495</v>
      </c>
      <c r="E6601" s="8" t="s">
        <v>37496</v>
      </c>
      <c r="F6601" s="8" t="s">
        <v>37497</v>
      </c>
      <c r="G6601" s="6" t="s">
        <v>60</v>
      </c>
      <c r="H6601" s="6" t="s">
        <v>34</v>
      </c>
      <c r="I6601" s="8" t="s">
        <v>35</v>
      </c>
      <c r="J6601" s="9">
        <v>1</v>
      </c>
      <c r="K6601" s="9">
        <v>189</v>
      </c>
      <c r="L6601" s="9">
        <v>2025</v>
      </c>
      <c r="M6601" s="8" t="s">
        <v>37498</v>
      </c>
      <c r="N6601" s="8" t="s">
        <v>63</v>
      </c>
      <c r="O6601" s="8" t="s">
        <v>126</v>
      </c>
      <c r="P6601" s="6" t="s">
        <v>39</v>
      </c>
      <c r="Q6601" s="8" t="s">
        <v>40</v>
      </c>
      <c r="R6601" s="10" t="s">
        <v>37499</v>
      </c>
      <c r="S6601" s="11"/>
      <c r="T6601" s="6"/>
      <c r="U6601" s="15" t="str">
        <f>HYPERLINK("https://media.infra-m.ru/2163/2163264/cover/2163264.jpg", "Обложка")</f>
        <v>Обложка</v>
      </c>
      <c r="V6601" s="8" t="s">
        <v>2088</v>
      </c>
      <c r="W6601" s="6"/>
      <c r="X6601" s="6"/>
      <c r="Y6601" s="6"/>
      <c r="Z6601" s="6"/>
      <c r="AA6601" s="6" t="s">
        <v>68</v>
      </c>
      <c r="AB6601" s="8"/>
      <c r="AC6601" s="27">
        <v>9785160202198</v>
      </c>
    </row>
    <row r="6602" spans="1:29" s="4" customFormat="1" ht="51.9" customHeight="1" x14ac:dyDescent="0.2">
      <c r="A6602" s="5">
        <v>0</v>
      </c>
      <c r="B6602" s="6" t="s">
        <v>37500</v>
      </c>
      <c r="C6602" s="7">
        <v>1312.8</v>
      </c>
      <c r="D6602" s="8" t="s">
        <v>37501</v>
      </c>
      <c r="E6602" s="8" t="s">
        <v>37502</v>
      </c>
      <c r="F6602" s="8" t="s">
        <v>37503</v>
      </c>
      <c r="G6602" s="6" t="s">
        <v>60</v>
      </c>
      <c r="H6602" s="6" t="s">
        <v>34</v>
      </c>
      <c r="I6602" s="8" t="s">
        <v>1091</v>
      </c>
      <c r="J6602" s="9">
        <v>1</v>
      </c>
      <c r="K6602" s="9">
        <v>320</v>
      </c>
      <c r="L6602" s="9">
        <v>2019</v>
      </c>
      <c r="M6602" s="8" t="s">
        <v>37504</v>
      </c>
      <c r="N6602" s="8" t="s">
        <v>37</v>
      </c>
      <c r="O6602" s="8" t="s">
        <v>136</v>
      </c>
      <c r="P6602" s="6" t="s">
        <v>39</v>
      </c>
      <c r="Q6602" s="8" t="s">
        <v>40</v>
      </c>
      <c r="R6602" s="10" t="s">
        <v>11151</v>
      </c>
      <c r="S6602" s="11"/>
      <c r="T6602" s="6"/>
      <c r="U6602" s="15" t="str">
        <f>HYPERLINK("https://media.infra-m.ru/2081/2081965/cover/2081965.jpg", "Обложка")</f>
        <v>Обложка</v>
      </c>
      <c r="V6602" s="8" t="s">
        <v>35994</v>
      </c>
      <c r="W6602" s="6"/>
      <c r="X6602" s="6"/>
      <c r="Y6602" s="6"/>
      <c r="Z6602" s="6"/>
      <c r="AA6602" s="6" t="s">
        <v>115</v>
      </c>
      <c r="AB6602" s="8"/>
      <c r="AC6602" s="27">
        <v>9785160137551</v>
      </c>
    </row>
    <row r="6603" spans="1:29" s="4" customFormat="1" ht="42" customHeight="1" x14ac:dyDescent="0.2">
      <c r="A6603" s="5">
        <v>0</v>
      </c>
      <c r="B6603" s="6" t="s">
        <v>37505</v>
      </c>
      <c r="C6603" s="13">
        <v>828</v>
      </c>
      <c r="D6603" s="8" t="s">
        <v>37506</v>
      </c>
      <c r="E6603" s="8" t="s">
        <v>37507</v>
      </c>
      <c r="F6603" s="8" t="s">
        <v>37508</v>
      </c>
      <c r="G6603" s="6" t="s">
        <v>118</v>
      </c>
      <c r="H6603" s="6" t="s">
        <v>34</v>
      </c>
      <c r="I6603" s="8" t="s">
        <v>35</v>
      </c>
      <c r="J6603" s="9">
        <v>1</v>
      </c>
      <c r="K6603" s="9">
        <v>166</v>
      </c>
      <c r="L6603" s="9">
        <v>2022</v>
      </c>
      <c r="M6603" s="8" t="s">
        <v>37509</v>
      </c>
      <c r="N6603" s="8" t="s">
        <v>37</v>
      </c>
      <c r="O6603" s="8" t="s">
        <v>83</v>
      </c>
      <c r="P6603" s="6" t="s">
        <v>39</v>
      </c>
      <c r="Q6603" s="8" t="s">
        <v>40</v>
      </c>
      <c r="R6603" s="10" t="s">
        <v>37510</v>
      </c>
      <c r="S6603" s="11"/>
      <c r="T6603" s="6"/>
      <c r="U6603" s="15" t="str">
        <f>HYPERLINK("https://media.infra-m.ru/1740/1740732/cover/1740732.jpg", "Обложка")</f>
        <v>Обложка</v>
      </c>
      <c r="V6603" s="8" t="s">
        <v>6700</v>
      </c>
      <c r="W6603" s="6"/>
      <c r="X6603" s="6"/>
      <c r="Y6603" s="6"/>
      <c r="Z6603" s="6"/>
      <c r="AA6603" s="6" t="s">
        <v>779</v>
      </c>
      <c r="AB6603" s="8"/>
      <c r="AC6603" s="27">
        <v>9785160120829</v>
      </c>
    </row>
    <row r="6604" spans="1:29" s="4" customFormat="1" ht="42" customHeight="1" x14ac:dyDescent="0.2">
      <c r="A6604" s="5">
        <v>0</v>
      </c>
      <c r="B6604" s="6" t="s">
        <v>37511</v>
      </c>
      <c r="C6604" s="7">
        <v>1272</v>
      </c>
      <c r="D6604" s="8" t="s">
        <v>37512</v>
      </c>
      <c r="E6604" s="8" t="s">
        <v>37513</v>
      </c>
      <c r="F6604" s="8" t="s">
        <v>37514</v>
      </c>
      <c r="G6604" s="6" t="s">
        <v>33</v>
      </c>
      <c r="H6604" s="6" t="s">
        <v>134</v>
      </c>
      <c r="I6604" s="8"/>
      <c r="J6604" s="9">
        <v>1</v>
      </c>
      <c r="K6604" s="9">
        <v>192</v>
      </c>
      <c r="L6604" s="9">
        <v>2026</v>
      </c>
      <c r="M6604" s="8" t="s">
        <v>37515</v>
      </c>
      <c r="N6604" s="8" t="s">
        <v>37</v>
      </c>
      <c r="O6604" s="8" t="s">
        <v>136</v>
      </c>
      <c r="P6604" s="6" t="s">
        <v>39</v>
      </c>
      <c r="Q6604" s="8" t="s">
        <v>40</v>
      </c>
      <c r="R6604" s="10" t="s">
        <v>1255</v>
      </c>
      <c r="S6604" s="11"/>
      <c r="T6604" s="6"/>
      <c r="U6604" s="15" t="str">
        <f>HYPERLINK("https://media.infra-m.ru/2231/2231743/cover/2231743.jpg", "Обложка")</f>
        <v>Обложка</v>
      </c>
      <c r="V6604" s="8" t="s">
        <v>8564</v>
      </c>
      <c r="W6604" s="6"/>
      <c r="X6604" s="6"/>
      <c r="Y6604" s="6"/>
      <c r="Z6604" s="6"/>
      <c r="AA6604" s="6" t="s">
        <v>779</v>
      </c>
      <c r="AB6604" s="8"/>
      <c r="AC6604" s="27">
        <v>9785917688473</v>
      </c>
    </row>
    <row r="6605" spans="1:29" s="4" customFormat="1" ht="33" customHeight="1" x14ac:dyDescent="0.2">
      <c r="A6605" s="5">
        <v>0</v>
      </c>
      <c r="B6605" s="6" t="s">
        <v>37516</v>
      </c>
      <c r="C6605" s="13">
        <v>734.3</v>
      </c>
      <c r="D6605" s="8" t="s">
        <v>37517</v>
      </c>
      <c r="E6605" s="8" t="s">
        <v>37513</v>
      </c>
      <c r="F6605" s="8" t="s">
        <v>37514</v>
      </c>
      <c r="G6605" s="6" t="s">
        <v>60</v>
      </c>
      <c r="H6605" s="6" t="s">
        <v>134</v>
      </c>
      <c r="I6605" s="8"/>
      <c r="J6605" s="14">
        <v>0</v>
      </c>
      <c r="K6605" s="9">
        <v>192</v>
      </c>
      <c r="L6605" s="9">
        <v>2016</v>
      </c>
      <c r="M6605" s="8" t="s">
        <v>37518</v>
      </c>
      <c r="N6605" s="8" t="s">
        <v>37</v>
      </c>
      <c r="O6605" s="8" t="s">
        <v>136</v>
      </c>
      <c r="P6605" s="6" t="s">
        <v>39</v>
      </c>
      <c r="Q6605" s="8" t="s">
        <v>40</v>
      </c>
      <c r="R6605" s="10" t="s">
        <v>1255</v>
      </c>
      <c r="S6605" s="11"/>
      <c r="T6605" s="6"/>
      <c r="U6605" s="12"/>
      <c r="V6605" s="8"/>
      <c r="W6605" s="6"/>
      <c r="X6605" s="6"/>
      <c r="Y6605" s="6"/>
      <c r="Z6605" s="6"/>
      <c r="AA6605" s="6" t="s">
        <v>779</v>
      </c>
      <c r="AB6605" s="8"/>
      <c r="AC6605" s="27">
        <v>9785917687599</v>
      </c>
    </row>
    <row r="6606" spans="1:29" s="4" customFormat="1" ht="42" customHeight="1" x14ac:dyDescent="0.2">
      <c r="A6606" s="5">
        <v>0</v>
      </c>
      <c r="B6606" s="6" t="s">
        <v>37519</v>
      </c>
      <c r="C6606" s="7">
        <v>1932</v>
      </c>
      <c r="D6606" s="8" t="s">
        <v>37520</v>
      </c>
      <c r="E6606" s="8" t="s">
        <v>37521</v>
      </c>
      <c r="F6606" s="8" t="s">
        <v>37522</v>
      </c>
      <c r="G6606" s="6" t="s">
        <v>60</v>
      </c>
      <c r="H6606" s="6" t="s">
        <v>313</v>
      </c>
      <c r="I6606" s="8"/>
      <c r="J6606" s="9">
        <v>1</v>
      </c>
      <c r="K6606" s="9">
        <v>184</v>
      </c>
      <c r="L6606" s="9">
        <v>2025</v>
      </c>
      <c r="M6606" s="8" t="s">
        <v>37523</v>
      </c>
      <c r="N6606" s="8" t="s">
        <v>63</v>
      </c>
      <c r="O6606" s="8" t="s">
        <v>126</v>
      </c>
      <c r="P6606" s="6" t="s">
        <v>51</v>
      </c>
      <c r="Q6606" s="8" t="s">
        <v>65</v>
      </c>
      <c r="R6606" s="10" t="s">
        <v>28934</v>
      </c>
      <c r="S6606" s="11"/>
      <c r="T6606" s="6"/>
      <c r="U6606" s="15" t="str">
        <f>HYPERLINK("https://media.infra-m.ru/2160/2160725/cover/2160725.jpg", "Обложка")</f>
        <v>Обложка</v>
      </c>
      <c r="V6606" s="8" t="s">
        <v>3595</v>
      </c>
      <c r="W6606" s="6"/>
      <c r="X6606" s="6"/>
      <c r="Y6606" s="6"/>
      <c r="Z6606" s="6"/>
      <c r="AA6606" s="6" t="s">
        <v>68</v>
      </c>
      <c r="AB6606" s="8"/>
      <c r="AC6606" s="27">
        <v>9785369019634</v>
      </c>
    </row>
    <row r="6607" spans="1:29" s="4" customFormat="1" ht="51.9" customHeight="1" x14ac:dyDescent="0.2">
      <c r="A6607" s="5">
        <v>0</v>
      </c>
      <c r="B6607" s="6" t="s">
        <v>37524</v>
      </c>
      <c r="C6607" s="7">
        <v>2856</v>
      </c>
      <c r="D6607" s="8" t="s">
        <v>37525</v>
      </c>
      <c r="E6607" s="8" t="s">
        <v>37526</v>
      </c>
      <c r="F6607" s="8" t="s">
        <v>13768</v>
      </c>
      <c r="G6607" s="6" t="s">
        <v>60</v>
      </c>
      <c r="H6607" s="6" t="s">
        <v>34</v>
      </c>
      <c r="I6607" s="8" t="s">
        <v>35</v>
      </c>
      <c r="J6607" s="9">
        <v>1</v>
      </c>
      <c r="K6607" s="9">
        <v>410</v>
      </c>
      <c r="L6607" s="9">
        <v>2027</v>
      </c>
      <c r="M6607" s="8" t="s">
        <v>37527</v>
      </c>
      <c r="N6607" s="8" t="s">
        <v>37</v>
      </c>
      <c r="O6607" s="8" t="s">
        <v>83</v>
      </c>
      <c r="P6607" s="6" t="s">
        <v>39</v>
      </c>
      <c r="Q6607" s="8" t="s">
        <v>40</v>
      </c>
      <c r="R6607" s="10" t="s">
        <v>10255</v>
      </c>
      <c r="S6607" s="11"/>
      <c r="T6607" s="6"/>
      <c r="U6607" s="15" t="str">
        <f>HYPERLINK("https://media.infra-m.ru/2268/2268371/cover/2268371.jpg", "Обложка")</f>
        <v>Обложка</v>
      </c>
      <c r="V6607" s="8" t="s">
        <v>6700</v>
      </c>
      <c r="W6607" s="6"/>
      <c r="X6607" s="6"/>
      <c r="Y6607" s="6"/>
      <c r="Z6607" s="6"/>
      <c r="AA6607" s="6" t="s">
        <v>99</v>
      </c>
      <c r="AB6607" s="8"/>
      <c r="AC6607" s="27">
        <v>9785160224626</v>
      </c>
    </row>
    <row r="6608" spans="1:29" s="4" customFormat="1" ht="51.9" customHeight="1" x14ac:dyDescent="0.2">
      <c r="A6608" s="5">
        <v>0</v>
      </c>
      <c r="B6608" s="6" t="s">
        <v>37528</v>
      </c>
      <c r="C6608" s="7">
        <v>1428</v>
      </c>
      <c r="D6608" s="8" t="s">
        <v>37529</v>
      </c>
      <c r="E6608" s="8" t="s">
        <v>37530</v>
      </c>
      <c r="F6608" s="8" t="s">
        <v>37531</v>
      </c>
      <c r="G6608" s="6" t="s">
        <v>60</v>
      </c>
      <c r="H6608" s="6" t="s">
        <v>34</v>
      </c>
      <c r="I6608" s="8" t="s">
        <v>271</v>
      </c>
      <c r="J6608" s="9">
        <v>1</v>
      </c>
      <c r="K6608" s="9">
        <v>254</v>
      </c>
      <c r="L6608" s="9">
        <v>2023</v>
      </c>
      <c r="M6608" s="8" t="s">
        <v>37532</v>
      </c>
      <c r="N6608" s="8" t="s">
        <v>37</v>
      </c>
      <c r="O6608" s="8" t="s">
        <v>83</v>
      </c>
      <c r="P6608" s="6" t="s">
        <v>306</v>
      </c>
      <c r="Q6608" s="8" t="s">
        <v>52</v>
      </c>
      <c r="R6608" s="10" t="s">
        <v>37533</v>
      </c>
      <c r="S6608" s="11" t="s">
        <v>37534</v>
      </c>
      <c r="T6608" s="6"/>
      <c r="U6608" s="15" t="str">
        <f>HYPERLINK("https://media.infra-m.ru/1524/1524033/cover/1524033.jpg", "Обложка")</f>
        <v>Обложка</v>
      </c>
      <c r="V6608" s="8" t="s">
        <v>37535</v>
      </c>
      <c r="W6608" s="6"/>
      <c r="X6608" s="6"/>
      <c r="Y6608" s="6"/>
      <c r="Z6608" s="6"/>
      <c r="AA6608" s="6" t="s">
        <v>157</v>
      </c>
      <c r="AB6608" s="8"/>
      <c r="AC6608" s="27">
        <v>9785160170268</v>
      </c>
    </row>
    <row r="6609" spans="1:29" s="4" customFormat="1" ht="42" customHeight="1" x14ac:dyDescent="0.2">
      <c r="A6609" s="5">
        <v>0</v>
      </c>
      <c r="B6609" s="6" t="s">
        <v>37536</v>
      </c>
      <c r="C6609" s="7">
        <v>1212</v>
      </c>
      <c r="D6609" s="8" t="s">
        <v>37537</v>
      </c>
      <c r="E6609" s="8" t="s">
        <v>37538</v>
      </c>
      <c r="F6609" s="8" t="s">
        <v>37539</v>
      </c>
      <c r="G6609" s="6" t="s">
        <v>118</v>
      </c>
      <c r="H6609" s="6" t="s">
        <v>34</v>
      </c>
      <c r="I6609" s="8" t="s">
        <v>1074</v>
      </c>
      <c r="J6609" s="9">
        <v>1</v>
      </c>
      <c r="K6609" s="9">
        <v>295</v>
      </c>
      <c r="L6609" s="9">
        <v>2019</v>
      </c>
      <c r="M6609" s="8" t="s">
        <v>37540</v>
      </c>
      <c r="N6609" s="8" t="s">
        <v>37</v>
      </c>
      <c r="O6609" s="8" t="s">
        <v>136</v>
      </c>
      <c r="P6609" s="6" t="s">
        <v>39</v>
      </c>
      <c r="Q6609" s="8" t="s">
        <v>40</v>
      </c>
      <c r="R6609" s="10" t="s">
        <v>1631</v>
      </c>
      <c r="S6609" s="11"/>
      <c r="T6609" s="6"/>
      <c r="U6609" s="15" t="str">
        <f>HYPERLINK("https://media.infra-m.ru/1031/1031757/cover/1031757.jpg", "Обложка")</f>
        <v>Обложка</v>
      </c>
      <c r="V6609" s="8" t="s">
        <v>138</v>
      </c>
      <c r="W6609" s="6"/>
      <c r="X6609" s="6"/>
      <c r="Y6609" s="6"/>
      <c r="Z6609" s="6"/>
      <c r="AA6609" s="6" t="s">
        <v>248</v>
      </c>
      <c r="AB6609" s="8"/>
      <c r="AC6609" s="27">
        <v>9785160103921</v>
      </c>
    </row>
    <row r="6610" spans="1:29" s="4" customFormat="1" ht="44.1" customHeight="1" x14ac:dyDescent="0.2">
      <c r="A6610" s="5">
        <v>0</v>
      </c>
      <c r="B6610" s="6" t="s">
        <v>37541</v>
      </c>
      <c r="C6610" s="7">
        <v>1380</v>
      </c>
      <c r="D6610" s="8" t="s">
        <v>37542</v>
      </c>
      <c r="E6610" s="8" t="s">
        <v>37543</v>
      </c>
      <c r="F6610" s="8" t="s">
        <v>37544</v>
      </c>
      <c r="G6610" s="6" t="s">
        <v>33</v>
      </c>
      <c r="H6610" s="6" t="s">
        <v>1644</v>
      </c>
      <c r="I6610" s="8"/>
      <c r="J6610" s="9">
        <v>1</v>
      </c>
      <c r="K6610" s="9">
        <v>368</v>
      </c>
      <c r="L6610" s="9">
        <v>2018</v>
      </c>
      <c r="M6610" s="8" t="s">
        <v>37545</v>
      </c>
      <c r="N6610" s="8" t="s">
        <v>37</v>
      </c>
      <c r="O6610" s="8" t="s">
        <v>233</v>
      </c>
      <c r="P6610" s="6" t="s">
        <v>39</v>
      </c>
      <c r="Q6610" s="8" t="s">
        <v>749</v>
      </c>
      <c r="R6610" s="10" t="s">
        <v>23442</v>
      </c>
      <c r="S6610" s="11"/>
      <c r="T6610" s="6"/>
      <c r="U6610" s="15" t="str">
        <f>HYPERLINK("https://media.infra-m.ru/0925/0925833/cover/925833.jpg", "Обложка")</f>
        <v>Обложка</v>
      </c>
      <c r="V6610" s="8" t="s">
        <v>396</v>
      </c>
      <c r="W6610" s="6"/>
      <c r="X6610" s="6"/>
      <c r="Y6610" s="6"/>
      <c r="Z6610" s="6"/>
      <c r="AA6610" s="6" t="s">
        <v>274</v>
      </c>
      <c r="AB6610" s="8"/>
      <c r="AC6610" s="27">
        <v>9785977603836</v>
      </c>
    </row>
    <row r="6611" spans="1:29" s="4" customFormat="1" ht="51.9" customHeight="1" x14ac:dyDescent="0.2">
      <c r="A6611" s="5">
        <v>0</v>
      </c>
      <c r="B6611" s="6" t="s">
        <v>37546</v>
      </c>
      <c r="C6611" s="7">
        <v>1176</v>
      </c>
      <c r="D6611" s="8" t="s">
        <v>37547</v>
      </c>
      <c r="E6611" s="8" t="s">
        <v>37548</v>
      </c>
      <c r="F6611" s="8" t="s">
        <v>37549</v>
      </c>
      <c r="G6611" s="6" t="s">
        <v>60</v>
      </c>
      <c r="H6611" s="6" t="s">
        <v>34</v>
      </c>
      <c r="I6611" s="8" t="s">
        <v>457</v>
      </c>
      <c r="J6611" s="9">
        <v>1</v>
      </c>
      <c r="K6611" s="9">
        <v>203</v>
      </c>
      <c r="L6611" s="9">
        <v>2023</v>
      </c>
      <c r="M6611" s="8" t="s">
        <v>37550</v>
      </c>
      <c r="N6611" s="8" t="s">
        <v>37</v>
      </c>
      <c r="O6611" s="8" t="s">
        <v>233</v>
      </c>
      <c r="P6611" s="6" t="s">
        <v>39</v>
      </c>
      <c r="Q6611" s="8" t="s">
        <v>40</v>
      </c>
      <c r="R6611" s="10" t="s">
        <v>37551</v>
      </c>
      <c r="S6611" s="11"/>
      <c r="T6611" s="6"/>
      <c r="U6611" s="15" t="str">
        <f>HYPERLINK("https://media.infra-m.ru/1984/1984071/cover/1984071.jpg", "Обложка")</f>
        <v>Обложка</v>
      </c>
      <c r="V6611" s="8" t="s">
        <v>247</v>
      </c>
      <c r="W6611" s="6"/>
      <c r="X6611" s="6"/>
      <c r="Y6611" s="6"/>
      <c r="Z6611" s="6"/>
      <c r="AA6611" s="6" t="s">
        <v>157</v>
      </c>
      <c r="AB6611" s="8"/>
      <c r="AC6611" s="27">
        <v>9785160183558</v>
      </c>
    </row>
    <row r="6612" spans="1:29" s="4" customFormat="1" ht="44.1" customHeight="1" x14ac:dyDescent="0.2">
      <c r="A6612" s="5">
        <v>0</v>
      </c>
      <c r="B6612" s="6" t="s">
        <v>37552</v>
      </c>
      <c r="C6612" s="7">
        <v>3000</v>
      </c>
      <c r="D6612" s="8" t="s">
        <v>37553</v>
      </c>
      <c r="E6612" s="8" t="s">
        <v>37554</v>
      </c>
      <c r="F6612" s="8" t="s">
        <v>37555</v>
      </c>
      <c r="G6612" s="6" t="s">
        <v>60</v>
      </c>
      <c r="H6612" s="6" t="s">
        <v>34</v>
      </c>
      <c r="I6612" s="8" t="s">
        <v>10253</v>
      </c>
      <c r="J6612" s="9">
        <v>1</v>
      </c>
      <c r="K6612" s="9">
        <v>431</v>
      </c>
      <c r="L6612" s="9">
        <v>2027</v>
      </c>
      <c r="M6612" s="8" t="s">
        <v>37556</v>
      </c>
      <c r="N6612" s="8" t="s">
        <v>37</v>
      </c>
      <c r="O6612" s="8" t="s">
        <v>83</v>
      </c>
      <c r="P6612" s="6" t="s">
        <v>39</v>
      </c>
      <c r="Q6612" s="8" t="s">
        <v>749</v>
      </c>
      <c r="R6612" s="10" t="s">
        <v>25356</v>
      </c>
      <c r="S6612" s="11"/>
      <c r="T6612" s="6"/>
      <c r="U6612" s="15" t="str">
        <f>HYPERLINK("https://media.infra-m.ru/2149/2149148/cover/2149148.jpg", "Обложка")</f>
        <v>Обложка</v>
      </c>
      <c r="V6612" s="8" t="s">
        <v>227</v>
      </c>
      <c r="W6612" s="6"/>
      <c r="X6612" s="6"/>
      <c r="Y6612" s="6"/>
      <c r="Z6612" s="6"/>
      <c r="AA6612" s="6" t="s">
        <v>779</v>
      </c>
      <c r="AB6612" s="8"/>
      <c r="AC6612" s="27">
        <v>9785160104478</v>
      </c>
    </row>
    <row r="6613" spans="1:29" s="4" customFormat="1" ht="42" customHeight="1" x14ac:dyDescent="0.2">
      <c r="A6613" s="5">
        <v>0</v>
      </c>
      <c r="B6613" s="6" t="s">
        <v>37557</v>
      </c>
      <c r="C6613" s="7">
        <v>2304</v>
      </c>
      <c r="D6613" s="8" t="s">
        <v>37558</v>
      </c>
      <c r="E6613" s="8" t="s">
        <v>37559</v>
      </c>
      <c r="F6613" s="8" t="s">
        <v>37560</v>
      </c>
      <c r="G6613" s="6" t="s">
        <v>33</v>
      </c>
      <c r="H6613" s="6" t="s">
        <v>34</v>
      </c>
      <c r="I6613" s="8" t="s">
        <v>35</v>
      </c>
      <c r="J6613" s="9">
        <v>1</v>
      </c>
      <c r="K6613" s="9">
        <v>331</v>
      </c>
      <c r="L6613" s="9">
        <v>2027</v>
      </c>
      <c r="M6613" s="8" t="s">
        <v>37561</v>
      </c>
      <c r="N6613" s="8" t="s">
        <v>37</v>
      </c>
      <c r="O6613" s="8" t="s">
        <v>38</v>
      </c>
      <c r="P6613" s="6" t="s">
        <v>39</v>
      </c>
      <c r="Q6613" s="8" t="s">
        <v>40</v>
      </c>
      <c r="R6613" s="10" t="s">
        <v>792</v>
      </c>
      <c r="S6613" s="11"/>
      <c r="T6613" s="6"/>
      <c r="U6613" s="15" t="str">
        <f>HYPERLINK("https://media.infra-m.ru/2270/2270817/cover/2270817.jpg", "Обложка")</f>
        <v>Обложка</v>
      </c>
      <c r="V6613" s="8" t="s">
        <v>9626</v>
      </c>
      <c r="W6613" s="6"/>
      <c r="X6613" s="6"/>
      <c r="Y6613" s="6"/>
      <c r="Z6613" s="6"/>
      <c r="AA6613" s="6" t="s">
        <v>430</v>
      </c>
      <c r="AB6613" s="8"/>
      <c r="AC6613" s="27">
        <v>9785160165929</v>
      </c>
    </row>
    <row r="6614" spans="1:29" s="4" customFormat="1" ht="42" customHeight="1" x14ac:dyDescent="0.2">
      <c r="A6614" s="5">
        <v>0</v>
      </c>
      <c r="B6614" s="6" t="s">
        <v>37562</v>
      </c>
      <c r="C6614" s="7">
        <v>2700</v>
      </c>
      <c r="D6614" s="8" t="s">
        <v>37563</v>
      </c>
      <c r="E6614" s="8" t="s">
        <v>37564</v>
      </c>
      <c r="F6614" s="8" t="s">
        <v>37565</v>
      </c>
      <c r="G6614" s="6" t="s">
        <v>7062</v>
      </c>
      <c r="H6614" s="6" t="s">
        <v>10998</v>
      </c>
      <c r="I6614" s="8"/>
      <c r="J6614" s="9">
        <v>1</v>
      </c>
      <c r="K6614" s="9">
        <v>528</v>
      </c>
      <c r="L6614" s="9">
        <v>2019</v>
      </c>
      <c r="M6614" s="8" t="s">
        <v>37566</v>
      </c>
      <c r="N6614" s="8" t="s">
        <v>37</v>
      </c>
      <c r="O6614" s="8" t="s">
        <v>38</v>
      </c>
      <c r="P6614" s="6" t="s">
        <v>10998</v>
      </c>
      <c r="Q6614" s="8"/>
      <c r="R6614" s="10"/>
      <c r="S6614" s="11"/>
      <c r="T6614" s="6"/>
      <c r="U6614" s="15" t="str">
        <f>HYPERLINK("https://media.infra-m.ru/1036/1036806/cover/1036806.jpg", "Обложка")</f>
        <v>Обложка</v>
      </c>
      <c r="V6614" s="8" t="s">
        <v>546</v>
      </c>
      <c r="W6614" s="6"/>
      <c r="X6614" s="6"/>
      <c r="Y6614" s="6"/>
      <c r="Z6614" s="6"/>
      <c r="AA6614" s="6" t="s">
        <v>115</v>
      </c>
      <c r="AB6614" s="8"/>
      <c r="AC6614" s="27">
        <v>9785948021171</v>
      </c>
    </row>
    <row r="6615" spans="1:29" s="4" customFormat="1" ht="51.9" customHeight="1" x14ac:dyDescent="0.2">
      <c r="A6615" s="5">
        <v>0</v>
      </c>
      <c r="B6615" s="6" t="s">
        <v>37567</v>
      </c>
      <c r="C6615" s="7">
        <v>2692.8</v>
      </c>
      <c r="D6615" s="8" t="s">
        <v>37568</v>
      </c>
      <c r="E6615" s="8" t="s">
        <v>37569</v>
      </c>
      <c r="F6615" s="8" t="s">
        <v>18472</v>
      </c>
      <c r="G6615" s="6" t="s">
        <v>60</v>
      </c>
      <c r="H6615" s="6" t="s">
        <v>134</v>
      </c>
      <c r="I6615" s="8"/>
      <c r="J6615" s="9">
        <v>1</v>
      </c>
      <c r="K6615" s="9">
        <v>448</v>
      </c>
      <c r="L6615" s="9">
        <v>2025</v>
      </c>
      <c r="M6615" s="8" t="s">
        <v>37570</v>
      </c>
      <c r="N6615" s="8" t="s">
        <v>37</v>
      </c>
      <c r="O6615" s="8" t="s">
        <v>233</v>
      </c>
      <c r="P6615" s="6" t="s">
        <v>39</v>
      </c>
      <c r="Q6615" s="8" t="s">
        <v>40</v>
      </c>
      <c r="R6615" s="10" t="s">
        <v>12035</v>
      </c>
      <c r="S6615" s="11"/>
      <c r="T6615" s="6"/>
      <c r="U6615" s="15" t="str">
        <f>HYPERLINK("https://media.infra-m.ru/2188/2188709/cover/2188709.jpg", "Обложка")</f>
        <v>Обложка</v>
      </c>
      <c r="V6615" s="8" t="s">
        <v>546</v>
      </c>
      <c r="W6615" s="6"/>
      <c r="X6615" s="6"/>
      <c r="Y6615" s="6"/>
      <c r="Z6615" s="6"/>
      <c r="AA6615" s="6" t="s">
        <v>561</v>
      </c>
      <c r="AB6615" s="8"/>
      <c r="AC6615" s="27">
        <v>9785917680194</v>
      </c>
    </row>
    <row r="6616" spans="1:29" s="4" customFormat="1" ht="51.9" customHeight="1" x14ac:dyDescent="0.2">
      <c r="A6616" s="5">
        <v>0</v>
      </c>
      <c r="B6616" s="6" t="s">
        <v>37571</v>
      </c>
      <c r="C6616" s="7">
        <v>3200.4</v>
      </c>
      <c r="D6616" s="8" t="s">
        <v>37572</v>
      </c>
      <c r="E6616" s="8" t="s">
        <v>37573</v>
      </c>
      <c r="F6616" s="8" t="s">
        <v>37574</v>
      </c>
      <c r="G6616" s="6" t="s">
        <v>33</v>
      </c>
      <c r="H6616" s="6" t="s">
        <v>34</v>
      </c>
      <c r="I6616" s="8" t="s">
        <v>253</v>
      </c>
      <c r="J6616" s="9">
        <v>1</v>
      </c>
      <c r="K6616" s="9">
        <v>230</v>
      </c>
      <c r="L6616" s="9">
        <v>2027</v>
      </c>
      <c r="M6616" s="8" t="s">
        <v>37575</v>
      </c>
      <c r="N6616" s="8" t="s">
        <v>585</v>
      </c>
      <c r="O6616" s="8" t="s">
        <v>2472</v>
      </c>
      <c r="P6616" s="6" t="s">
        <v>51</v>
      </c>
      <c r="Q6616" s="8" t="s">
        <v>52</v>
      </c>
      <c r="R6616" s="10" t="s">
        <v>37576</v>
      </c>
      <c r="S6616" s="11" t="s">
        <v>37577</v>
      </c>
      <c r="T6616" s="6" t="s">
        <v>97</v>
      </c>
      <c r="U6616" s="15" t="str">
        <f>HYPERLINK("https://media.infra-m.ru/2266/2266050/cover/2266050.jpg", "Обложка")</f>
        <v>Обложка</v>
      </c>
      <c r="V6616" s="8"/>
      <c r="W6616" s="6"/>
      <c r="X6616" s="6"/>
      <c r="Y6616" s="6"/>
      <c r="Z6616" s="6"/>
      <c r="AA6616" s="6" t="s">
        <v>360</v>
      </c>
      <c r="AB6616" s="8"/>
      <c r="AC6616" s="27">
        <v>9785160106243</v>
      </c>
    </row>
    <row r="6617" spans="1:29" s="4" customFormat="1" ht="51.9" customHeight="1" x14ac:dyDescent="0.2">
      <c r="A6617" s="5">
        <v>0</v>
      </c>
      <c r="B6617" s="6" t="s">
        <v>37578</v>
      </c>
      <c r="C6617" s="7">
        <v>3588</v>
      </c>
      <c r="D6617" s="8" t="s">
        <v>37579</v>
      </c>
      <c r="E6617" s="8" t="s">
        <v>37580</v>
      </c>
      <c r="F6617" s="8" t="s">
        <v>37581</v>
      </c>
      <c r="G6617" s="6" t="s">
        <v>60</v>
      </c>
      <c r="H6617" s="6" t="s">
        <v>134</v>
      </c>
      <c r="I6617" s="8"/>
      <c r="J6617" s="9">
        <v>1</v>
      </c>
      <c r="K6617" s="9">
        <v>576</v>
      </c>
      <c r="L6617" s="9">
        <v>2026</v>
      </c>
      <c r="M6617" s="8" t="s">
        <v>37582</v>
      </c>
      <c r="N6617" s="8" t="s">
        <v>37</v>
      </c>
      <c r="O6617" s="8" t="s">
        <v>136</v>
      </c>
      <c r="P6617" s="6" t="s">
        <v>39</v>
      </c>
      <c r="Q6617" s="8" t="s">
        <v>3587</v>
      </c>
      <c r="R6617" s="10" t="s">
        <v>37583</v>
      </c>
      <c r="S6617" s="11"/>
      <c r="T6617" s="6"/>
      <c r="U6617" s="15" t="str">
        <f>HYPERLINK("https://media.infra-m.ru/2221/2221655/cover/2221655.jpg", "Обложка")</f>
        <v>Обложка</v>
      </c>
      <c r="V6617" s="8" t="s">
        <v>3087</v>
      </c>
      <c r="W6617" s="6"/>
      <c r="X6617" s="6"/>
      <c r="Y6617" s="6"/>
      <c r="Z6617" s="6"/>
      <c r="AA6617" s="6" t="s">
        <v>76</v>
      </c>
      <c r="AB6617" s="8"/>
      <c r="AC6617" s="27">
        <v>9785001563310</v>
      </c>
    </row>
    <row r="6618" spans="1:29" s="4" customFormat="1" ht="51.9" customHeight="1" x14ac:dyDescent="0.2">
      <c r="A6618" s="5">
        <v>0</v>
      </c>
      <c r="B6618" s="6" t="s">
        <v>37584</v>
      </c>
      <c r="C6618" s="7">
        <v>4910.3999999999996</v>
      </c>
      <c r="D6618" s="8" t="s">
        <v>37585</v>
      </c>
      <c r="E6618" s="8" t="s">
        <v>37586</v>
      </c>
      <c r="F6618" s="8" t="s">
        <v>37587</v>
      </c>
      <c r="G6618" s="6" t="s">
        <v>60</v>
      </c>
      <c r="H6618" s="6" t="s">
        <v>134</v>
      </c>
      <c r="I6618" s="8"/>
      <c r="J6618" s="9">
        <v>1</v>
      </c>
      <c r="K6618" s="9">
        <v>656</v>
      </c>
      <c r="L6618" s="9">
        <v>2027</v>
      </c>
      <c r="M6618" s="8" t="s">
        <v>37588</v>
      </c>
      <c r="N6618" s="8" t="s">
        <v>37</v>
      </c>
      <c r="O6618" s="8" t="s">
        <v>136</v>
      </c>
      <c r="P6618" s="6" t="s">
        <v>234</v>
      </c>
      <c r="Q6618" s="8" t="s">
        <v>65</v>
      </c>
      <c r="R6618" s="10" t="s">
        <v>37589</v>
      </c>
      <c r="S6618" s="11" t="s">
        <v>37590</v>
      </c>
      <c r="T6618" s="6"/>
      <c r="U6618" s="15" t="str">
        <f>HYPERLINK("https://media.infra-m.ru/2269/2269426/cover/2269426.jpg", "Обложка")</f>
        <v>Обложка</v>
      </c>
      <c r="V6618" s="8" t="s">
        <v>2513</v>
      </c>
      <c r="W6618" s="6"/>
      <c r="X6618" s="6"/>
      <c r="Y6618" s="6"/>
      <c r="Z6618" s="6"/>
      <c r="AA6618" s="6" t="s">
        <v>55</v>
      </c>
      <c r="AB6618" s="8" t="s">
        <v>1317</v>
      </c>
      <c r="AC6618" s="27">
        <v>9785917684208</v>
      </c>
    </row>
    <row r="6619" spans="1:29" s="4" customFormat="1" ht="51.9" customHeight="1" x14ac:dyDescent="0.2">
      <c r="A6619" s="5">
        <v>0</v>
      </c>
      <c r="B6619" s="6" t="s">
        <v>37591</v>
      </c>
      <c r="C6619" s="7">
        <v>1176</v>
      </c>
      <c r="D6619" s="8" t="s">
        <v>37592</v>
      </c>
      <c r="E6619" s="8" t="s">
        <v>37593</v>
      </c>
      <c r="F6619" s="8" t="s">
        <v>37594</v>
      </c>
      <c r="G6619" s="6" t="s">
        <v>118</v>
      </c>
      <c r="H6619" s="6" t="s">
        <v>34</v>
      </c>
      <c r="I6619" s="8" t="s">
        <v>288</v>
      </c>
      <c r="J6619" s="9">
        <v>1</v>
      </c>
      <c r="K6619" s="9">
        <v>178</v>
      </c>
      <c r="L6619" s="9">
        <v>2026</v>
      </c>
      <c r="M6619" s="8" t="s">
        <v>37595</v>
      </c>
      <c r="N6619" s="8" t="s">
        <v>224</v>
      </c>
      <c r="O6619" s="8" t="s">
        <v>225</v>
      </c>
      <c r="P6619" s="6" t="s">
        <v>51</v>
      </c>
      <c r="Q6619" s="8" t="s">
        <v>65</v>
      </c>
      <c r="R6619" s="10" t="s">
        <v>37596</v>
      </c>
      <c r="S6619" s="11"/>
      <c r="T6619" s="6"/>
      <c r="U6619" s="15" t="str">
        <f>HYPERLINK("https://media.infra-m.ru/2230/2230065/cover/2230065.jpg", "Обложка")</f>
        <v>Обложка</v>
      </c>
      <c r="V6619" s="8" t="s">
        <v>31401</v>
      </c>
      <c r="W6619" s="6"/>
      <c r="X6619" s="6"/>
      <c r="Y6619" s="6"/>
      <c r="Z6619" s="6"/>
      <c r="AA6619" s="6" t="s">
        <v>430</v>
      </c>
      <c r="AB6619" s="8"/>
      <c r="AC6619" s="27">
        <v>9785160162034</v>
      </c>
    </row>
    <row r="6620" spans="1:29" s="4" customFormat="1" ht="51.9" customHeight="1" x14ac:dyDescent="0.2">
      <c r="A6620" s="5">
        <v>0</v>
      </c>
      <c r="B6620" s="6" t="s">
        <v>37597</v>
      </c>
      <c r="C6620" s="7">
        <v>3144</v>
      </c>
      <c r="D6620" s="8" t="s">
        <v>37598</v>
      </c>
      <c r="E6620" s="8" t="s">
        <v>37599</v>
      </c>
      <c r="F6620" s="8" t="s">
        <v>37600</v>
      </c>
      <c r="G6620" s="6" t="s">
        <v>60</v>
      </c>
      <c r="H6620" s="6" t="s">
        <v>34</v>
      </c>
      <c r="I6620" s="8" t="s">
        <v>253</v>
      </c>
      <c r="J6620" s="9">
        <v>1</v>
      </c>
      <c r="K6620" s="9">
        <v>569</v>
      </c>
      <c r="L6620" s="9">
        <v>2023</v>
      </c>
      <c r="M6620" s="8" t="s">
        <v>37601</v>
      </c>
      <c r="N6620" s="8" t="s">
        <v>585</v>
      </c>
      <c r="O6620" s="8" t="s">
        <v>775</v>
      </c>
      <c r="P6620" s="6" t="s">
        <v>51</v>
      </c>
      <c r="Q6620" s="8" t="s">
        <v>52</v>
      </c>
      <c r="R6620" s="10" t="s">
        <v>37602</v>
      </c>
      <c r="S6620" s="11" t="s">
        <v>37603</v>
      </c>
      <c r="T6620" s="6"/>
      <c r="U6620" s="15" t="str">
        <f>HYPERLINK("https://media.infra-m.ru/2126/2126522/cover/2126522.jpg", "Обложка")</f>
        <v>Обложка</v>
      </c>
      <c r="V6620" s="8" t="s">
        <v>14881</v>
      </c>
      <c r="W6620" s="6"/>
      <c r="X6620" s="6"/>
      <c r="Y6620" s="6"/>
      <c r="Z6620" s="6"/>
      <c r="AA6620" s="6" t="s">
        <v>779</v>
      </c>
      <c r="AB6620" s="8"/>
      <c r="AC6620" s="27">
        <v>9785160110363</v>
      </c>
    </row>
    <row r="6621" spans="1:29" s="4" customFormat="1" ht="51.9" customHeight="1" x14ac:dyDescent="0.2">
      <c r="A6621" s="5">
        <v>0</v>
      </c>
      <c r="B6621" s="6" t="s">
        <v>37604</v>
      </c>
      <c r="C6621" s="7">
        <v>2040</v>
      </c>
      <c r="D6621" s="8" t="s">
        <v>37605</v>
      </c>
      <c r="E6621" s="8" t="s">
        <v>37606</v>
      </c>
      <c r="F6621" s="8" t="s">
        <v>3255</v>
      </c>
      <c r="G6621" s="6" t="s">
        <v>33</v>
      </c>
      <c r="H6621" s="6" t="s">
        <v>34</v>
      </c>
      <c r="I6621" s="8" t="s">
        <v>35</v>
      </c>
      <c r="J6621" s="9">
        <v>1</v>
      </c>
      <c r="K6621" s="9">
        <v>327</v>
      </c>
      <c r="L6621" s="9">
        <v>2025</v>
      </c>
      <c r="M6621" s="8" t="s">
        <v>37607</v>
      </c>
      <c r="N6621" s="8" t="s">
        <v>37</v>
      </c>
      <c r="O6621" s="8" t="s">
        <v>83</v>
      </c>
      <c r="P6621" s="6" t="s">
        <v>39</v>
      </c>
      <c r="Q6621" s="8" t="s">
        <v>40</v>
      </c>
      <c r="R6621" s="10" t="s">
        <v>37608</v>
      </c>
      <c r="S6621" s="11"/>
      <c r="T6621" s="6"/>
      <c r="U6621" s="15" t="str">
        <f>HYPERLINK("https://media.infra-m.ru/2193/2193027/cover/2193027.jpg", "Обложка")</f>
        <v>Обложка</v>
      </c>
      <c r="V6621" s="8" t="s">
        <v>3109</v>
      </c>
      <c r="W6621" s="6"/>
      <c r="X6621" s="6"/>
      <c r="Y6621" s="6"/>
      <c r="Z6621" s="6"/>
      <c r="AA6621" s="6" t="s">
        <v>430</v>
      </c>
      <c r="AB6621" s="8"/>
      <c r="AC6621" s="27">
        <v>9785160166377</v>
      </c>
    </row>
    <row r="6622" spans="1:29" s="4" customFormat="1" ht="51.9" customHeight="1" x14ac:dyDescent="0.2">
      <c r="A6622" s="5">
        <v>0</v>
      </c>
      <c r="B6622" s="6" t="s">
        <v>37609</v>
      </c>
      <c r="C6622" s="7">
        <v>3228</v>
      </c>
      <c r="D6622" s="8" t="s">
        <v>37610</v>
      </c>
      <c r="E6622" s="8" t="s">
        <v>37611</v>
      </c>
      <c r="F6622" s="8" t="s">
        <v>37612</v>
      </c>
      <c r="G6622" s="6" t="s">
        <v>60</v>
      </c>
      <c r="H6622" s="6" t="s">
        <v>34</v>
      </c>
      <c r="I6622" s="8" t="s">
        <v>263</v>
      </c>
      <c r="J6622" s="9">
        <v>1</v>
      </c>
      <c r="K6622" s="9">
        <v>512</v>
      </c>
      <c r="L6622" s="9">
        <v>2026</v>
      </c>
      <c r="M6622" s="8" t="s">
        <v>37613</v>
      </c>
      <c r="N6622" s="8" t="s">
        <v>63</v>
      </c>
      <c r="O6622" s="8" t="s">
        <v>64</v>
      </c>
      <c r="P6622" s="6" t="s">
        <v>306</v>
      </c>
      <c r="Q6622" s="8" t="s">
        <v>265</v>
      </c>
      <c r="R6622" s="10" t="s">
        <v>37614</v>
      </c>
      <c r="S6622" s="11" t="s">
        <v>7538</v>
      </c>
      <c r="T6622" s="6"/>
      <c r="U6622" s="15" t="str">
        <f>HYPERLINK("https://media.infra-m.ru/2212/2212438/cover/2212438.jpg", "Обложка")</f>
        <v>Обложка</v>
      </c>
      <c r="V6622" s="8" t="s">
        <v>54</v>
      </c>
      <c r="W6622" s="6"/>
      <c r="X6622" s="6"/>
      <c r="Y6622" s="6"/>
      <c r="Z6622" s="6"/>
      <c r="AA6622" s="6" t="s">
        <v>43</v>
      </c>
      <c r="AB6622" s="8"/>
      <c r="AC6622" s="27">
        <v>9785160105826</v>
      </c>
    </row>
    <row r="6623" spans="1:29" s="4" customFormat="1" ht="51.9" customHeight="1" x14ac:dyDescent="0.2">
      <c r="A6623" s="5">
        <v>0</v>
      </c>
      <c r="B6623" s="6" t="s">
        <v>37615</v>
      </c>
      <c r="C6623" s="7">
        <v>2608.8000000000002</v>
      </c>
      <c r="D6623" s="8" t="s">
        <v>37616</v>
      </c>
      <c r="E6623" s="8" t="s">
        <v>37617</v>
      </c>
      <c r="F6623" s="8" t="s">
        <v>37618</v>
      </c>
      <c r="G6623" s="6" t="s">
        <v>33</v>
      </c>
      <c r="H6623" s="6" t="s">
        <v>241</v>
      </c>
      <c r="I6623" s="8"/>
      <c r="J6623" s="9">
        <v>1</v>
      </c>
      <c r="K6623" s="9">
        <v>395</v>
      </c>
      <c r="L6623" s="9">
        <v>2026</v>
      </c>
      <c r="M6623" s="8" t="s">
        <v>37619</v>
      </c>
      <c r="N6623" s="8" t="s">
        <v>63</v>
      </c>
      <c r="O6623" s="8" t="s">
        <v>64</v>
      </c>
      <c r="P6623" s="6" t="s">
        <v>51</v>
      </c>
      <c r="Q6623" s="8" t="s">
        <v>500</v>
      </c>
      <c r="R6623" s="10" t="s">
        <v>37620</v>
      </c>
      <c r="S6623" s="11"/>
      <c r="T6623" s="6" t="s">
        <v>97</v>
      </c>
      <c r="U6623" s="15" t="str">
        <f>HYPERLINK("https://media.infra-m.ru/2254/2254631/cover/2254631.jpg", "Обложка")</f>
        <v>Обложка</v>
      </c>
      <c r="V6623" s="8" t="s">
        <v>1599</v>
      </c>
      <c r="W6623" s="6"/>
      <c r="X6623" s="6"/>
      <c r="Y6623" s="6"/>
      <c r="Z6623" s="6"/>
      <c r="AA6623" s="6" t="s">
        <v>248</v>
      </c>
      <c r="AB6623" s="8"/>
      <c r="AC6623" s="27">
        <v>9785955803333</v>
      </c>
    </row>
    <row r="6624" spans="1:29" s="4" customFormat="1" ht="44.1" customHeight="1" x14ac:dyDescent="0.2">
      <c r="A6624" s="5">
        <v>0</v>
      </c>
      <c r="B6624" s="6" t="s">
        <v>37621</v>
      </c>
      <c r="C6624" s="7">
        <v>2244</v>
      </c>
      <c r="D6624" s="8" t="s">
        <v>37622</v>
      </c>
      <c r="E6624" s="8" t="s">
        <v>37623</v>
      </c>
      <c r="F6624" s="8" t="s">
        <v>37624</v>
      </c>
      <c r="G6624" s="6" t="s">
        <v>118</v>
      </c>
      <c r="H6624" s="6" t="s">
        <v>34</v>
      </c>
      <c r="I6624" s="8" t="s">
        <v>1081</v>
      </c>
      <c r="J6624" s="9">
        <v>1</v>
      </c>
      <c r="K6624" s="9">
        <v>358</v>
      </c>
      <c r="L6624" s="9">
        <v>2025</v>
      </c>
      <c r="M6624" s="8" t="s">
        <v>37625</v>
      </c>
      <c r="N6624" s="8" t="s">
        <v>63</v>
      </c>
      <c r="O6624" s="8" t="s">
        <v>64</v>
      </c>
      <c r="P6624" s="6" t="s">
        <v>39</v>
      </c>
      <c r="Q6624" s="8" t="s">
        <v>40</v>
      </c>
      <c r="R6624" s="10" t="s">
        <v>22335</v>
      </c>
      <c r="S6624" s="11"/>
      <c r="T6624" s="6"/>
      <c r="U6624" s="15" t="str">
        <f>HYPERLINK("https://media.infra-m.ru/2199/2199861/cover/2199861.jpg", "Обложка")</f>
        <v>Обложка</v>
      </c>
      <c r="V6624" s="8" t="s">
        <v>227</v>
      </c>
      <c r="W6624" s="6"/>
      <c r="X6624" s="6"/>
      <c r="Y6624" s="6"/>
      <c r="Z6624" s="6"/>
      <c r="AA6624" s="6" t="s">
        <v>86</v>
      </c>
      <c r="AB6624" s="8"/>
      <c r="AC6624" s="27">
        <v>9785160165783</v>
      </c>
    </row>
    <row r="6625" spans="1:29" s="4" customFormat="1" ht="42" customHeight="1" x14ac:dyDescent="0.2">
      <c r="A6625" s="5">
        <v>0</v>
      </c>
      <c r="B6625" s="6" t="s">
        <v>37626</v>
      </c>
      <c r="C6625" s="7">
        <v>2628</v>
      </c>
      <c r="D6625" s="8" t="s">
        <v>37627</v>
      </c>
      <c r="E6625" s="8" t="s">
        <v>37628</v>
      </c>
      <c r="F6625" s="8" t="s">
        <v>25167</v>
      </c>
      <c r="G6625" s="6" t="s">
        <v>60</v>
      </c>
      <c r="H6625" s="6" t="s">
        <v>34</v>
      </c>
      <c r="I6625" s="8" t="s">
        <v>35</v>
      </c>
      <c r="J6625" s="9">
        <v>1</v>
      </c>
      <c r="K6625" s="9">
        <v>398</v>
      </c>
      <c r="L6625" s="9">
        <v>2025</v>
      </c>
      <c r="M6625" s="8" t="s">
        <v>37629</v>
      </c>
      <c r="N6625" s="8" t="s">
        <v>63</v>
      </c>
      <c r="O6625" s="8" t="s">
        <v>64</v>
      </c>
      <c r="P6625" s="6" t="s">
        <v>39</v>
      </c>
      <c r="Q6625" s="8" t="s">
        <v>40</v>
      </c>
      <c r="R6625" s="10" t="s">
        <v>37630</v>
      </c>
      <c r="S6625" s="11"/>
      <c r="T6625" s="6"/>
      <c r="U6625" s="15" t="str">
        <f>HYPERLINK("https://media.infra-m.ru/2188/2188424/cover/2188424.jpg", "Обложка")</f>
        <v>Обложка</v>
      </c>
      <c r="V6625" s="8" t="s">
        <v>4038</v>
      </c>
      <c r="W6625" s="6" t="s">
        <v>342</v>
      </c>
      <c r="X6625" s="6"/>
      <c r="Y6625" s="6"/>
      <c r="Z6625" s="6"/>
      <c r="AA6625" s="6" t="s">
        <v>68</v>
      </c>
      <c r="AB6625" s="8" t="s">
        <v>3833</v>
      </c>
      <c r="AC6625" s="27">
        <v>9785160207049</v>
      </c>
    </row>
    <row r="6626" spans="1:29" s="4" customFormat="1" ht="51.9" customHeight="1" x14ac:dyDescent="0.2">
      <c r="A6626" s="5">
        <v>0</v>
      </c>
      <c r="B6626" s="6" t="s">
        <v>37631</v>
      </c>
      <c r="C6626" s="13">
        <v>952.8</v>
      </c>
      <c r="D6626" s="8" t="s">
        <v>37632</v>
      </c>
      <c r="E6626" s="8" t="s">
        <v>37633</v>
      </c>
      <c r="F6626" s="8" t="s">
        <v>37634</v>
      </c>
      <c r="G6626" s="6" t="s">
        <v>33</v>
      </c>
      <c r="H6626" s="6" t="s">
        <v>34</v>
      </c>
      <c r="I6626" s="8" t="s">
        <v>1081</v>
      </c>
      <c r="J6626" s="9">
        <v>1</v>
      </c>
      <c r="K6626" s="9">
        <v>136</v>
      </c>
      <c r="L6626" s="9">
        <v>2026</v>
      </c>
      <c r="M6626" s="8" t="s">
        <v>37635</v>
      </c>
      <c r="N6626" s="8" t="s">
        <v>63</v>
      </c>
      <c r="O6626" s="8" t="s">
        <v>23071</v>
      </c>
      <c r="P6626" s="6" t="s">
        <v>39</v>
      </c>
      <c r="Q6626" s="8" t="s">
        <v>40</v>
      </c>
      <c r="R6626" s="10" t="s">
        <v>37636</v>
      </c>
      <c r="S6626" s="11"/>
      <c r="T6626" s="6"/>
      <c r="U6626" s="15" t="str">
        <f>HYPERLINK("https://media.infra-m.ru/2231/2231329/cover/2231329.jpg", "Обложка")</f>
        <v>Обложка</v>
      </c>
      <c r="V6626" s="8" t="s">
        <v>1083</v>
      </c>
      <c r="W6626" s="6"/>
      <c r="X6626" s="6"/>
      <c r="Y6626" s="6"/>
      <c r="Z6626" s="6"/>
      <c r="AA6626" s="6" t="s">
        <v>86</v>
      </c>
      <c r="AB6626" s="8"/>
      <c r="AC6626" s="27">
        <v>9785160162201</v>
      </c>
    </row>
    <row r="6627" spans="1:29" s="4" customFormat="1" ht="51.9" customHeight="1" x14ac:dyDescent="0.2">
      <c r="A6627" s="5">
        <v>0</v>
      </c>
      <c r="B6627" s="6" t="s">
        <v>37637</v>
      </c>
      <c r="C6627" s="7">
        <v>1468.8</v>
      </c>
      <c r="D6627" s="8" t="s">
        <v>37638</v>
      </c>
      <c r="E6627" s="8" t="s">
        <v>37639</v>
      </c>
      <c r="F6627" s="8" t="s">
        <v>37640</v>
      </c>
      <c r="G6627" s="6" t="s">
        <v>33</v>
      </c>
      <c r="H6627" s="6" t="s">
        <v>34</v>
      </c>
      <c r="I6627" s="8" t="s">
        <v>35</v>
      </c>
      <c r="J6627" s="9">
        <v>1</v>
      </c>
      <c r="K6627" s="9">
        <v>223</v>
      </c>
      <c r="L6627" s="9">
        <v>2026</v>
      </c>
      <c r="M6627" s="8" t="s">
        <v>37641</v>
      </c>
      <c r="N6627" s="8" t="s">
        <v>63</v>
      </c>
      <c r="O6627" s="8" t="s">
        <v>9718</v>
      </c>
      <c r="P6627" s="6" t="s">
        <v>39</v>
      </c>
      <c r="Q6627" s="8" t="s">
        <v>40</v>
      </c>
      <c r="R6627" s="10" t="s">
        <v>37642</v>
      </c>
      <c r="S6627" s="11"/>
      <c r="T6627" s="6"/>
      <c r="U6627" s="15" t="str">
        <f>HYPERLINK("https://media.infra-m.ru/2251/2251070/cover/2251070.jpg", "Обложка")</f>
        <v>Обложка</v>
      </c>
      <c r="V6627" s="8" t="s">
        <v>3196</v>
      </c>
      <c r="W6627" s="6"/>
      <c r="X6627" s="6"/>
      <c r="Y6627" s="6"/>
      <c r="Z6627" s="6"/>
      <c r="AA6627" s="6" t="s">
        <v>43</v>
      </c>
      <c r="AB6627" s="8"/>
      <c r="AC6627" s="27">
        <v>9785160060231</v>
      </c>
    </row>
    <row r="6628" spans="1:29" s="4" customFormat="1" ht="51.9" customHeight="1" x14ac:dyDescent="0.2">
      <c r="A6628" s="5">
        <v>0</v>
      </c>
      <c r="B6628" s="6" t="s">
        <v>37643</v>
      </c>
      <c r="C6628" s="7">
        <v>1980</v>
      </c>
      <c r="D6628" s="8" t="s">
        <v>37644</v>
      </c>
      <c r="E6628" s="8" t="s">
        <v>37645</v>
      </c>
      <c r="F6628" s="8" t="s">
        <v>37646</v>
      </c>
      <c r="G6628" s="6" t="s">
        <v>60</v>
      </c>
      <c r="H6628" s="6" t="s">
        <v>34</v>
      </c>
      <c r="I6628" s="8" t="s">
        <v>35</v>
      </c>
      <c r="J6628" s="9">
        <v>1</v>
      </c>
      <c r="K6628" s="9">
        <v>290</v>
      </c>
      <c r="L6628" s="9">
        <v>2026</v>
      </c>
      <c r="M6628" s="8" t="s">
        <v>37647</v>
      </c>
      <c r="N6628" s="8" t="s">
        <v>63</v>
      </c>
      <c r="O6628" s="8" t="s">
        <v>64</v>
      </c>
      <c r="P6628" s="6" t="s">
        <v>39</v>
      </c>
      <c r="Q6628" s="8" t="s">
        <v>40</v>
      </c>
      <c r="R6628" s="10" t="s">
        <v>37648</v>
      </c>
      <c r="S6628" s="11"/>
      <c r="T6628" s="6"/>
      <c r="U6628" s="15" t="str">
        <f>HYPERLINK("https://media.infra-m.ru/2221/2221041/cover/2221041.jpg", "Обложка")</f>
        <v>Обложка</v>
      </c>
      <c r="V6628" s="8" t="s">
        <v>6583</v>
      </c>
      <c r="W6628" s="6" t="s">
        <v>528</v>
      </c>
      <c r="X6628" s="6"/>
      <c r="Y6628" s="6"/>
      <c r="Z6628" s="6"/>
      <c r="AA6628" s="6" t="s">
        <v>187</v>
      </c>
      <c r="AB6628" s="8" t="s">
        <v>308</v>
      </c>
      <c r="AC6628" s="27">
        <v>9785160212784</v>
      </c>
    </row>
    <row r="6629" spans="1:29" s="4" customFormat="1" ht="51.9" customHeight="1" x14ac:dyDescent="0.2">
      <c r="A6629" s="5">
        <v>0</v>
      </c>
      <c r="B6629" s="6" t="s">
        <v>37649</v>
      </c>
      <c r="C6629" s="7">
        <v>1240.8</v>
      </c>
      <c r="D6629" s="8" t="s">
        <v>37650</v>
      </c>
      <c r="E6629" s="8" t="s">
        <v>37651</v>
      </c>
      <c r="F6629" s="8" t="s">
        <v>10552</v>
      </c>
      <c r="G6629" s="6" t="s">
        <v>33</v>
      </c>
      <c r="H6629" s="6" t="s">
        <v>34</v>
      </c>
      <c r="I6629" s="8" t="s">
        <v>271</v>
      </c>
      <c r="J6629" s="9">
        <v>1</v>
      </c>
      <c r="K6629" s="9">
        <v>199</v>
      </c>
      <c r="L6629" s="9">
        <v>2025</v>
      </c>
      <c r="M6629" s="8" t="s">
        <v>37652</v>
      </c>
      <c r="N6629" s="8" t="s">
        <v>37</v>
      </c>
      <c r="O6629" s="8" t="s">
        <v>83</v>
      </c>
      <c r="P6629" s="6" t="s">
        <v>51</v>
      </c>
      <c r="Q6629" s="8" t="s">
        <v>52</v>
      </c>
      <c r="R6629" s="10" t="s">
        <v>25440</v>
      </c>
      <c r="S6629" s="11" t="s">
        <v>10555</v>
      </c>
      <c r="T6629" s="6"/>
      <c r="U6629" s="15" t="str">
        <f>HYPERLINK("https://media.infra-m.ru/2133/2133067/cover/2133067.jpg", "Обложка")</f>
        <v>Обложка</v>
      </c>
      <c r="V6629" s="8" t="s">
        <v>3087</v>
      </c>
      <c r="W6629" s="6"/>
      <c r="X6629" s="6"/>
      <c r="Y6629" s="6"/>
      <c r="Z6629" s="6"/>
      <c r="AA6629" s="6" t="s">
        <v>779</v>
      </c>
      <c r="AB6629" s="8"/>
      <c r="AC6629" s="27">
        <v>9785160106458</v>
      </c>
    </row>
    <row r="6630" spans="1:29" s="4" customFormat="1" ht="42" customHeight="1" x14ac:dyDescent="0.2">
      <c r="A6630" s="5">
        <v>0</v>
      </c>
      <c r="B6630" s="6" t="s">
        <v>37653</v>
      </c>
      <c r="C6630" s="13">
        <v>952.8</v>
      </c>
      <c r="D6630" s="8" t="s">
        <v>37654</v>
      </c>
      <c r="E6630" s="8" t="s">
        <v>37651</v>
      </c>
      <c r="F6630" s="8" t="s">
        <v>37655</v>
      </c>
      <c r="G6630" s="6" t="s">
        <v>33</v>
      </c>
      <c r="H6630" s="6" t="s">
        <v>34</v>
      </c>
      <c r="I6630" s="8" t="s">
        <v>271</v>
      </c>
      <c r="J6630" s="9">
        <v>1</v>
      </c>
      <c r="K6630" s="9">
        <v>159</v>
      </c>
      <c r="L6630" s="9">
        <v>2024</v>
      </c>
      <c r="M6630" s="8" t="s">
        <v>37656</v>
      </c>
      <c r="N6630" s="8" t="s">
        <v>37</v>
      </c>
      <c r="O6630" s="8" t="s">
        <v>83</v>
      </c>
      <c r="P6630" s="6" t="s">
        <v>51</v>
      </c>
      <c r="Q6630" s="8" t="s">
        <v>52</v>
      </c>
      <c r="R6630" s="10" t="s">
        <v>14212</v>
      </c>
      <c r="S6630" s="11"/>
      <c r="T6630" s="6"/>
      <c r="U6630" s="15" t="str">
        <f>HYPERLINK("https://media.infra-m.ru/2157/2157035/cover/2157035.jpg", "Обложка")</f>
        <v>Обложка</v>
      </c>
      <c r="V6630" s="8" t="s">
        <v>3087</v>
      </c>
      <c r="W6630" s="6"/>
      <c r="X6630" s="6"/>
      <c r="Y6630" s="6"/>
      <c r="Z6630" s="6"/>
      <c r="AA6630" s="6" t="s">
        <v>274</v>
      </c>
      <c r="AB6630" s="8"/>
      <c r="AC6630" s="27">
        <v>9785160102368</v>
      </c>
    </row>
    <row r="6631" spans="1:29" s="4" customFormat="1" ht="44.1" customHeight="1" x14ac:dyDescent="0.2">
      <c r="A6631" s="5">
        <v>0</v>
      </c>
      <c r="B6631" s="6" t="s">
        <v>37657</v>
      </c>
      <c r="C6631" s="7">
        <v>1404</v>
      </c>
      <c r="D6631" s="8" t="s">
        <v>37658</v>
      </c>
      <c r="E6631" s="8" t="s">
        <v>37659</v>
      </c>
      <c r="F6631" s="8" t="s">
        <v>30744</v>
      </c>
      <c r="G6631" s="6" t="s">
        <v>33</v>
      </c>
      <c r="H6631" s="6" t="s">
        <v>313</v>
      </c>
      <c r="I6631" s="8" t="s">
        <v>35</v>
      </c>
      <c r="J6631" s="9">
        <v>1</v>
      </c>
      <c r="K6631" s="9">
        <v>202</v>
      </c>
      <c r="L6631" s="9">
        <v>2026</v>
      </c>
      <c r="M6631" s="8" t="s">
        <v>37660</v>
      </c>
      <c r="N6631" s="8" t="s">
        <v>63</v>
      </c>
      <c r="O6631" s="8" t="s">
        <v>64</v>
      </c>
      <c r="P6631" s="6" t="s">
        <v>39</v>
      </c>
      <c r="Q6631" s="8" t="s">
        <v>40</v>
      </c>
      <c r="R6631" s="10" t="s">
        <v>37661</v>
      </c>
      <c r="S6631" s="11"/>
      <c r="T6631" s="6"/>
      <c r="U6631" s="15" t="str">
        <f>HYPERLINK("https://media.infra-m.ru/2256/2256957/cover/2256957.jpg", "Обложка")</f>
        <v>Обложка</v>
      </c>
      <c r="V6631" s="8" t="s">
        <v>6224</v>
      </c>
      <c r="W6631" s="6"/>
      <c r="X6631" s="6"/>
      <c r="Y6631" s="6"/>
      <c r="Z6631" s="6"/>
      <c r="AA6631" s="6" t="s">
        <v>248</v>
      </c>
      <c r="AB6631" s="8"/>
      <c r="AC6631" s="27">
        <v>9785369013403</v>
      </c>
    </row>
    <row r="6632" spans="1:29" s="4" customFormat="1" ht="51.9" customHeight="1" x14ac:dyDescent="0.2">
      <c r="A6632" s="5">
        <v>0</v>
      </c>
      <c r="B6632" s="6" t="s">
        <v>37662</v>
      </c>
      <c r="C6632" s="7">
        <v>1199.9000000000001</v>
      </c>
      <c r="D6632" s="8" t="s">
        <v>37663</v>
      </c>
      <c r="E6632" s="8" t="s">
        <v>37664</v>
      </c>
      <c r="F6632" s="8" t="s">
        <v>37665</v>
      </c>
      <c r="G6632" s="6" t="s">
        <v>60</v>
      </c>
      <c r="H6632" s="6" t="s">
        <v>34</v>
      </c>
      <c r="I6632" s="8" t="s">
        <v>35</v>
      </c>
      <c r="J6632" s="9">
        <v>1</v>
      </c>
      <c r="K6632" s="9">
        <v>420</v>
      </c>
      <c r="L6632" s="9">
        <v>2017</v>
      </c>
      <c r="M6632" s="8" t="s">
        <v>37666</v>
      </c>
      <c r="N6632" s="8" t="s">
        <v>37</v>
      </c>
      <c r="O6632" s="8" t="s">
        <v>38</v>
      </c>
      <c r="P6632" s="6" t="s">
        <v>39</v>
      </c>
      <c r="Q6632" s="8" t="s">
        <v>40</v>
      </c>
      <c r="R6632" s="10" t="s">
        <v>37667</v>
      </c>
      <c r="S6632" s="11"/>
      <c r="T6632" s="6"/>
      <c r="U6632" s="15" t="str">
        <f>HYPERLINK("https://media.infra-m.ru/0814/0814395/cover/814395.jpg", "Обложка")</f>
        <v>Обложка</v>
      </c>
      <c r="V6632" s="8" t="s">
        <v>6700</v>
      </c>
      <c r="W6632" s="6"/>
      <c r="X6632" s="6"/>
      <c r="Y6632" s="6"/>
      <c r="Z6632" s="6"/>
      <c r="AA6632" s="6" t="s">
        <v>779</v>
      </c>
      <c r="AB6632" s="8"/>
      <c r="AC6632" s="27">
        <v>9785160122373</v>
      </c>
    </row>
    <row r="6633" spans="1:29" s="4" customFormat="1" ht="42" customHeight="1" x14ac:dyDescent="0.2">
      <c r="A6633" s="5">
        <v>0</v>
      </c>
      <c r="B6633" s="6" t="s">
        <v>37668</v>
      </c>
      <c r="C6633" s="7">
        <v>1416</v>
      </c>
      <c r="D6633" s="8" t="s">
        <v>37669</v>
      </c>
      <c r="E6633" s="8" t="s">
        <v>37670</v>
      </c>
      <c r="F6633" s="8" t="s">
        <v>37671</v>
      </c>
      <c r="G6633" s="6" t="s">
        <v>60</v>
      </c>
      <c r="H6633" s="6" t="s">
        <v>34</v>
      </c>
      <c r="I6633" s="8" t="s">
        <v>35</v>
      </c>
      <c r="J6633" s="9">
        <v>1</v>
      </c>
      <c r="K6633" s="9">
        <v>203</v>
      </c>
      <c r="L6633" s="9">
        <v>2023</v>
      </c>
      <c r="M6633" s="8" t="s">
        <v>37672</v>
      </c>
      <c r="N6633" s="8" t="s">
        <v>63</v>
      </c>
      <c r="O6633" s="8" t="s">
        <v>126</v>
      </c>
      <c r="P6633" s="6" t="s">
        <v>39</v>
      </c>
      <c r="Q6633" s="8" t="s">
        <v>40</v>
      </c>
      <c r="R6633" s="10" t="s">
        <v>10423</v>
      </c>
      <c r="S6633" s="11"/>
      <c r="T6633" s="6"/>
      <c r="U6633" s="15" t="str">
        <f>HYPERLINK("https://media.infra-m.ru/1914/1914701/cover/1914701.jpg", "Обложка")</f>
        <v>Обложка</v>
      </c>
      <c r="V6633" s="8" t="s">
        <v>546</v>
      </c>
      <c r="W6633" s="6"/>
      <c r="X6633" s="6"/>
      <c r="Y6633" s="6"/>
      <c r="Z6633" s="6"/>
      <c r="AA6633" s="6" t="s">
        <v>157</v>
      </c>
      <c r="AB6633" s="8"/>
      <c r="AC6633" s="27">
        <v>9785160181615</v>
      </c>
    </row>
    <row r="6634" spans="1:29" s="4" customFormat="1" ht="42" customHeight="1" x14ac:dyDescent="0.2">
      <c r="A6634" s="5">
        <v>0</v>
      </c>
      <c r="B6634" s="6" t="s">
        <v>37673</v>
      </c>
      <c r="C6634" s="7">
        <v>1368</v>
      </c>
      <c r="D6634" s="8" t="s">
        <v>37674</v>
      </c>
      <c r="E6634" s="8" t="s">
        <v>37675</v>
      </c>
      <c r="F6634" s="8" t="s">
        <v>37676</v>
      </c>
      <c r="G6634" s="6" t="s">
        <v>60</v>
      </c>
      <c r="H6634" s="6" t="s">
        <v>34</v>
      </c>
      <c r="I6634" s="8" t="s">
        <v>263</v>
      </c>
      <c r="J6634" s="9">
        <v>1</v>
      </c>
      <c r="K6634" s="9">
        <v>225</v>
      </c>
      <c r="L6634" s="9">
        <v>2024</v>
      </c>
      <c r="M6634" s="8" t="s">
        <v>37677</v>
      </c>
      <c r="N6634" s="8" t="s">
        <v>63</v>
      </c>
      <c r="O6634" s="8" t="s">
        <v>64</v>
      </c>
      <c r="P6634" s="6" t="s">
        <v>51</v>
      </c>
      <c r="Q6634" s="8" t="s">
        <v>265</v>
      </c>
      <c r="R6634" s="10" t="s">
        <v>479</v>
      </c>
      <c r="S6634" s="11"/>
      <c r="T6634" s="6"/>
      <c r="U6634" s="15" t="str">
        <f>HYPERLINK("https://media.infra-m.ru/2137/2137809/cover/2137809.jpg", "Обложка")</f>
        <v>Обложка</v>
      </c>
      <c r="V6634" s="8" t="s">
        <v>31401</v>
      </c>
      <c r="W6634" s="6"/>
      <c r="X6634" s="6"/>
      <c r="Y6634" s="6"/>
      <c r="Z6634" s="6"/>
      <c r="AA6634" s="6" t="s">
        <v>76</v>
      </c>
      <c r="AB6634" s="8"/>
      <c r="AC6634" s="27">
        <v>9785160198002</v>
      </c>
    </row>
    <row r="6635" spans="1:29" s="4" customFormat="1" ht="51.9" customHeight="1" x14ac:dyDescent="0.2">
      <c r="A6635" s="5">
        <v>0</v>
      </c>
      <c r="B6635" s="6" t="s">
        <v>37678</v>
      </c>
      <c r="C6635" s="7">
        <v>2244</v>
      </c>
      <c r="D6635" s="8" t="s">
        <v>37679</v>
      </c>
      <c r="E6635" s="8" t="s">
        <v>37680</v>
      </c>
      <c r="F6635" s="8" t="s">
        <v>37681</v>
      </c>
      <c r="G6635" s="6" t="s">
        <v>118</v>
      </c>
      <c r="H6635" s="6" t="s">
        <v>34</v>
      </c>
      <c r="I6635" s="8" t="s">
        <v>179</v>
      </c>
      <c r="J6635" s="9">
        <v>1</v>
      </c>
      <c r="K6635" s="9">
        <v>323</v>
      </c>
      <c r="L6635" s="9">
        <v>2026</v>
      </c>
      <c r="M6635" s="8" t="s">
        <v>37682</v>
      </c>
      <c r="N6635" s="8" t="s">
        <v>63</v>
      </c>
      <c r="O6635" s="8" t="s">
        <v>64</v>
      </c>
      <c r="P6635" s="6" t="s">
        <v>182</v>
      </c>
      <c r="Q6635" s="8" t="s">
        <v>65</v>
      </c>
      <c r="R6635" s="10" t="s">
        <v>37683</v>
      </c>
      <c r="S6635" s="11"/>
      <c r="T6635" s="6"/>
      <c r="U6635" s="15" t="str">
        <f>HYPERLINK("https://media.infra-m.ru/2227/2227947/cover/2227947.jpg", "Обложка")</f>
        <v>Обложка</v>
      </c>
      <c r="V6635" s="8" t="s">
        <v>19012</v>
      </c>
      <c r="W6635" s="6"/>
      <c r="X6635" s="6" t="s">
        <v>24</v>
      </c>
      <c r="Y6635" s="6"/>
      <c r="Z6635" s="6"/>
      <c r="AA6635" s="6" t="s">
        <v>68</v>
      </c>
      <c r="AB6635" s="8"/>
      <c r="AC6635" s="27">
        <v>9785160204833</v>
      </c>
    </row>
    <row r="6636" spans="1:29" s="4" customFormat="1" ht="51.9" customHeight="1" x14ac:dyDescent="0.2">
      <c r="A6636" s="5">
        <v>0</v>
      </c>
      <c r="B6636" s="6" t="s">
        <v>37684</v>
      </c>
      <c r="C6636" s="7">
        <v>1980</v>
      </c>
      <c r="D6636" s="8" t="s">
        <v>37685</v>
      </c>
      <c r="E6636" s="8" t="s">
        <v>37686</v>
      </c>
      <c r="F6636" s="8" t="s">
        <v>37681</v>
      </c>
      <c r="G6636" s="6" t="s">
        <v>118</v>
      </c>
      <c r="H6636" s="6" t="s">
        <v>34</v>
      </c>
      <c r="I6636" s="8" t="s">
        <v>263</v>
      </c>
      <c r="J6636" s="9">
        <v>1</v>
      </c>
      <c r="K6636" s="9">
        <v>224</v>
      </c>
      <c r="L6636" s="9">
        <v>2026</v>
      </c>
      <c r="M6636" s="8" t="s">
        <v>37687</v>
      </c>
      <c r="N6636" s="8" t="s">
        <v>63</v>
      </c>
      <c r="O6636" s="8" t="s">
        <v>64</v>
      </c>
      <c r="P6636" s="6" t="s">
        <v>51</v>
      </c>
      <c r="Q6636" s="8" t="s">
        <v>265</v>
      </c>
      <c r="R6636" s="10" t="s">
        <v>37688</v>
      </c>
      <c r="S6636" s="11"/>
      <c r="T6636" s="6"/>
      <c r="U6636" s="15" t="str">
        <f>HYPERLINK("https://media.infra-m.ru/2242/2242766/cover/2242766.jpg", "Обложка")</f>
        <v>Обложка</v>
      </c>
      <c r="V6636" s="8" t="s">
        <v>19012</v>
      </c>
      <c r="W6636" s="6" t="s">
        <v>299</v>
      </c>
      <c r="X6636" s="6"/>
      <c r="Y6636" s="6"/>
      <c r="Z6636" s="6"/>
      <c r="AA6636" s="6" t="s">
        <v>187</v>
      </c>
      <c r="AB6636" s="8"/>
      <c r="AC6636" s="27">
        <v>9785160219226</v>
      </c>
    </row>
    <row r="6637" spans="1:29" s="4" customFormat="1" ht="51.9" customHeight="1" x14ac:dyDescent="0.2">
      <c r="A6637" s="5">
        <v>0</v>
      </c>
      <c r="B6637" s="6" t="s">
        <v>37689</v>
      </c>
      <c r="C6637" s="7">
        <v>1464</v>
      </c>
      <c r="D6637" s="8" t="s">
        <v>37690</v>
      </c>
      <c r="E6637" s="8" t="s">
        <v>37686</v>
      </c>
      <c r="F6637" s="8" t="s">
        <v>37681</v>
      </c>
      <c r="G6637" s="6" t="s">
        <v>60</v>
      </c>
      <c r="H6637" s="6" t="s">
        <v>34</v>
      </c>
      <c r="I6637" s="8" t="s">
        <v>253</v>
      </c>
      <c r="J6637" s="9">
        <v>1</v>
      </c>
      <c r="K6637" s="9">
        <v>224</v>
      </c>
      <c r="L6637" s="9">
        <v>2025</v>
      </c>
      <c r="M6637" s="8" t="s">
        <v>37691</v>
      </c>
      <c r="N6637" s="8" t="s">
        <v>63</v>
      </c>
      <c r="O6637" s="8" t="s">
        <v>64</v>
      </c>
      <c r="P6637" s="6" t="s">
        <v>51</v>
      </c>
      <c r="Q6637" s="8" t="s">
        <v>65</v>
      </c>
      <c r="R6637" s="10" t="s">
        <v>37692</v>
      </c>
      <c r="S6637" s="11"/>
      <c r="T6637" s="6"/>
      <c r="U6637" s="15" t="str">
        <f>HYPERLINK("https://media.infra-m.ru/2160/2160984/cover/2160984.jpg", "Обложка")</f>
        <v>Обложка</v>
      </c>
      <c r="V6637" s="8" t="s">
        <v>19012</v>
      </c>
      <c r="W6637" s="6"/>
      <c r="X6637" s="6"/>
      <c r="Y6637" s="6"/>
      <c r="Z6637" s="6"/>
      <c r="AA6637" s="6" t="s">
        <v>68</v>
      </c>
      <c r="AB6637" s="8"/>
      <c r="AC6637" s="27">
        <v>9785160201306</v>
      </c>
    </row>
    <row r="6638" spans="1:29" s="4" customFormat="1" ht="51.9" customHeight="1" x14ac:dyDescent="0.2">
      <c r="A6638" s="5">
        <v>0</v>
      </c>
      <c r="B6638" s="6" t="s">
        <v>37693</v>
      </c>
      <c r="C6638" s="7">
        <v>2136</v>
      </c>
      <c r="D6638" s="8" t="s">
        <v>37694</v>
      </c>
      <c r="E6638" s="8" t="s">
        <v>37680</v>
      </c>
      <c r="F6638" s="8" t="s">
        <v>37681</v>
      </c>
      <c r="G6638" s="6" t="s">
        <v>118</v>
      </c>
      <c r="H6638" s="6" t="s">
        <v>34</v>
      </c>
      <c r="I6638" s="8" t="s">
        <v>253</v>
      </c>
      <c r="J6638" s="9">
        <v>1</v>
      </c>
      <c r="K6638" s="9">
        <v>323</v>
      </c>
      <c r="L6638" s="9">
        <v>2026</v>
      </c>
      <c r="M6638" s="8" t="s">
        <v>37695</v>
      </c>
      <c r="N6638" s="8" t="s">
        <v>63</v>
      </c>
      <c r="O6638" s="8" t="s">
        <v>64</v>
      </c>
      <c r="P6638" s="6" t="s">
        <v>306</v>
      </c>
      <c r="Q6638" s="8" t="s">
        <v>52</v>
      </c>
      <c r="R6638" s="10" t="s">
        <v>37696</v>
      </c>
      <c r="S6638" s="11" t="s">
        <v>37697</v>
      </c>
      <c r="T6638" s="6"/>
      <c r="U6638" s="15" t="str">
        <f>HYPERLINK("https://media.infra-m.ru/2234/2234894/cover/2234894.jpg", "Обложка")</f>
        <v>Обложка</v>
      </c>
      <c r="V6638" s="8" t="s">
        <v>19012</v>
      </c>
      <c r="W6638" s="6"/>
      <c r="X6638" s="6"/>
      <c r="Y6638" s="6"/>
      <c r="Z6638" s="6"/>
      <c r="AA6638" s="6" t="s">
        <v>779</v>
      </c>
      <c r="AB6638" s="8"/>
      <c r="AC6638" s="27">
        <v>9785160216881</v>
      </c>
    </row>
    <row r="6639" spans="1:29" s="4" customFormat="1" ht="51.9" customHeight="1" x14ac:dyDescent="0.2">
      <c r="A6639" s="5">
        <v>0</v>
      </c>
      <c r="B6639" s="6" t="s">
        <v>37698</v>
      </c>
      <c r="C6639" s="7">
        <v>2364</v>
      </c>
      <c r="D6639" s="8" t="s">
        <v>37699</v>
      </c>
      <c r="E6639" s="8" t="s">
        <v>37680</v>
      </c>
      <c r="F6639" s="8" t="s">
        <v>37681</v>
      </c>
      <c r="G6639" s="6" t="s">
        <v>118</v>
      </c>
      <c r="H6639" s="6" t="s">
        <v>34</v>
      </c>
      <c r="I6639" s="8" t="s">
        <v>263</v>
      </c>
      <c r="J6639" s="9">
        <v>1</v>
      </c>
      <c r="K6639" s="9">
        <v>323</v>
      </c>
      <c r="L6639" s="9">
        <v>2026</v>
      </c>
      <c r="M6639" s="8" t="s">
        <v>37700</v>
      </c>
      <c r="N6639" s="8" t="s">
        <v>63</v>
      </c>
      <c r="O6639" s="8" t="s">
        <v>64</v>
      </c>
      <c r="P6639" s="6" t="s">
        <v>306</v>
      </c>
      <c r="Q6639" s="8" t="s">
        <v>265</v>
      </c>
      <c r="R6639" s="10" t="s">
        <v>37701</v>
      </c>
      <c r="S6639" s="11" t="s">
        <v>37702</v>
      </c>
      <c r="T6639" s="6"/>
      <c r="U6639" s="15" t="str">
        <f>HYPERLINK("https://media.infra-m.ru/2234/2234657/cover/2234657.jpg", "Обложка")</f>
        <v>Обложка</v>
      </c>
      <c r="V6639" s="8" t="s">
        <v>19012</v>
      </c>
      <c r="W6639" s="6"/>
      <c r="X6639" s="6"/>
      <c r="Y6639" s="6"/>
      <c r="Z6639" s="6" t="s">
        <v>267</v>
      </c>
      <c r="AA6639" s="6" t="s">
        <v>86</v>
      </c>
      <c r="AB6639" s="8"/>
      <c r="AC6639" s="27">
        <v>9785160140476</v>
      </c>
    </row>
    <row r="6640" spans="1:29" s="4" customFormat="1" ht="51.9" customHeight="1" x14ac:dyDescent="0.2">
      <c r="A6640" s="5">
        <v>0</v>
      </c>
      <c r="B6640" s="6" t="s">
        <v>37703</v>
      </c>
      <c r="C6640" s="7">
        <v>2248.8000000000002</v>
      </c>
      <c r="D6640" s="8" t="s">
        <v>37704</v>
      </c>
      <c r="E6640" s="8" t="s">
        <v>37680</v>
      </c>
      <c r="F6640" s="8" t="s">
        <v>37681</v>
      </c>
      <c r="G6640" s="6" t="s">
        <v>118</v>
      </c>
      <c r="H6640" s="6" t="s">
        <v>34</v>
      </c>
      <c r="I6640" s="8" t="s">
        <v>5350</v>
      </c>
      <c r="J6640" s="9">
        <v>1</v>
      </c>
      <c r="K6640" s="9">
        <v>323</v>
      </c>
      <c r="L6640" s="9">
        <v>2027</v>
      </c>
      <c r="M6640" s="8" t="s">
        <v>37705</v>
      </c>
      <c r="N6640" s="8" t="s">
        <v>63</v>
      </c>
      <c r="O6640" s="8" t="s">
        <v>64</v>
      </c>
      <c r="P6640" s="6" t="s">
        <v>306</v>
      </c>
      <c r="Q6640" s="8" t="s">
        <v>377</v>
      </c>
      <c r="R6640" s="10" t="s">
        <v>37706</v>
      </c>
      <c r="S6640" s="11" t="s">
        <v>37707</v>
      </c>
      <c r="T6640" s="6"/>
      <c r="U6640" s="15" t="str">
        <f>HYPERLINK("https://media.infra-m.ru/2254/2254026/cover/2254026.jpg", "Обложка")</f>
        <v>Обложка</v>
      </c>
      <c r="V6640" s="8" t="s">
        <v>19012</v>
      </c>
      <c r="W6640" s="6"/>
      <c r="X6640" s="6"/>
      <c r="Y6640" s="6"/>
      <c r="Z6640" s="6" t="s">
        <v>429</v>
      </c>
      <c r="AA6640" s="6" t="s">
        <v>430</v>
      </c>
      <c r="AB6640" s="8"/>
      <c r="AC6640" s="27">
        <v>9785160165493</v>
      </c>
    </row>
    <row r="6641" spans="1:29" s="4" customFormat="1" ht="51.9" customHeight="1" x14ac:dyDescent="0.2">
      <c r="A6641" s="5">
        <v>0</v>
      </c>
      <c r="B6641" s="6" t="s">
        <v>37708</v>
      </c>
      <c r="C6641" s="13">
        <v>420</v>
      </c>
      <c r="D6641" s="8" t="s">
        <v>37709</v>
      </c>
      <c r="E6641" s="8" t="s">
        <v>37710</v>
      </c>
      <c r="F6641" s="8" t="s">
        <v>28436</v>
      </c>
      <c r="G6641" s="6" t="s">
        <v>33</v>
      </c>
      <c r="H6641" s="6" t="s">
        <v>34</v>
      </c>
      <c r="I6641" s="8" t="s">
        <v>253</v>
      </c>
      <c r="J6641" s="9">
        <v>1</v>
      </c>
      <c r="K6641" s="9">
        <v>56</v>
      </c>
      <c r="L6641" s="9">
        <v>2026</v>
      </c>
      <c r="M6641" s="8" t="s">
        <v>37711</v>
      </c>
      <c r="N6641" s="8" t="s">
        <v>63</v>
      </c>
      <c r="O6641" s="8" t="s">
        <v>64</v>
      </c>
      <c r="P6641" s="6" t="s">
        <v>51</v>
      </c>
      <c r="Q6641" s="8" t="s">
        <v>52</v>
      </c>
      <c r="R6641" s="10" t="s">
        <v>66</v>
      </c>
      <c r="S6641" s="11" t="s">
        <v>37712</v>
      </c>
      <c r="T6641" s="6"/>
      <c r="U6641" s="15" t="str">
        <f>HYPERLINK("https://media.infra-m.ru/2090/2090541/cover/2090541.jpg", "Обложка")</f>
        <v>Обложка</v>
      </c>
      <c r="V6641" s="8" t="s">
        <v>28439</v>
      </c>
      <c r="W6641" s="6"/>
      <c r="X6641" s="6"/>
      <c r="Y6641" s="6"/>
      <c r="Z6641" s="6"/>
      <c r="AA6641" s="6" t="s">
        <v>99</v>
      </c>
      <c r="AB6641" s="8"/>
      <c r="AC6641" s="27">
        <v>9785160191096</v>
      </c>
    </row>
    <row r="6642" spans="1:29" s="4" customFormat="1" ht="51.9" customHeight="1" x14ac:dyDescent="0.2">
      <c r="A6642" s="5">
        <v>0</v>
      </c>
      <c r="B6642" s="6" t="s">
        <v>37713</v>
      </c>
      <c r="C6642" s="7">
        <v>3408</v>
      </c>
      <c r="D6642" s="8" t="s">
        <v>37714</v>
      </c>
      <c r="E6642" s="8" t="s">
        <v>37715</v>
      </c>
      <c r="F6642" s="8" t="s">
        <v>37716</v>
      </c>
      <c r="G6642" s="6" t="s">
        <v>60</v>
      </c>
      <c r="H6642" s="6" t="s">
        <v>34</v>
      </c>
      <c r="I6642" s="8" t="s">
        <v>263</v>
      </c>
      <c r="J6642" s="9">
        <v>1</v>
      </c>
      <c r="K6642" s="9">
        <v>630</v>
      </c>
      <c r="L6642" s="9">
        <v>2023</v>
      </c>
      <c r="M6642" s="8" t="s">
        <v>37717</v>
      </c>
      <c r="N6642" s="8" t="s">
        <v>63</v>
      </c>
      <c r="O6642" s="8" t="s">
        <v>64</v>
      </c>
      <c r="P6642" s="6" t="s">
        <v>51</v>
      </c>
      <c r="Q6642" s="8" t="s">
        <v>265</v>
      </c>
      <c r="R6642" s="10" t="s">
        <v>37718</v>
      </c>
      <c r="S6642" s="11" t="s">
        <v>37719</v>
      </c>
      <c r="T6642" s="6" t="s">
        <v>97</v>
      </c>
      <c r="U6642" s="15" t="str">
        <f>HYPERLINK("https://media.infra-m.ru/1014/1014771/cover/1014771.jpg", "Обложка")</f>
        <v>Обложка</v>
      </c>
      <c r="V6642" s="8" t="s">
        <v>6147</v>
      </c>
      <c r="W6642" s="6"/>
      <c r="X6642" s="6"/>
      <c r="Y6642" s="6"/>
      <c r="Z6642" s="6"/>
      <c r="AA6642" s="6" t="s">
        <v>157</v>
      </c>
      <c r="AB6642" s="8"/>
      <c r="AC6642" s="27">
        <v>9785160150369</v>
      </c>
    </row>
    <row r="6643" spans="1:29" s="4" customFormat="1" ht="51.9" customHeight="1" x14ac:dyDescent="0.2">
      <c r="A6643" s="5">
        <v>0</v>
      </c>
      <c r="B6643" s="6" t="s">
        <v>37720</v>
      </c>
      <c r="C6643" s="7">
        <v>4440</v>
      </c>
      <c r="D6643" s="8" t="s">
        <v>37721</v>
      </c>
      <c r="E6643" s="8" t="s">
        <v>37722</v>
      </c>
      <c r="F6643" s="8" t="s">
        <v>37716</v>
      </c>
      <c r="G6643" s="6" t="s">
        <v>60</v>
      </c>
      <c r="H6643" s="6" t="s">
        <v>34</v>
      </c>
      <c r="I6643" s="8" t="s">
        <v>263</v>
      </c>
      <c r="J6643" s="9">
        <v>1</v>
      </c>
      <c r="K6643" s="9">
        <v>823</v>
      </c>
      <c r="L6643" s="9">
        <v>2023</v>
      </c>
      <c r="M6643" s="8" t="s">
        <v>37723</v>
      </c>
      <c r="N6643" s="8" t="s">
        <v>63</v>
      </c>
      <c r="O6643" s="8" t="s">
        <v>64</v>
      </c>
      <c r="P6643" s="6" t="s">
        <v>306</v>
      </c>
      <c r="Q6643" s="8" t="s">
        <v>265</v>
      </c>
      <c r="R6643" s="10" t="s">
        <v>37718</v>
      </c>
      <c r="S6643" s="11" t="s">
        <v>37724</v>
      </c>
      <c r="T6643" s="6" t="s">
        <v>97</v>
      </c>
      <c r="U6643" s="15" t="str">
        <f>HYPERLINK("https://media.infra-m.ru/2036/2036505/cover/2036505.jpg", "Обложка")</f>
        <v>Обложка</v>
      </c>
      <c r="V6643" s="8" t="s">
        <v>6147</v>
      </c>
      <c r="W6643" s="6"/>
      <c r="X6643" s="6"/>
      <c r="Y6643" s="6"/>
      <c r="Z6643" s="6"/>
      <c r="AA6643" s="6" t="s">
        <v>157</v>
      </c>
      <c r="AB6643" s="8"/>
      <c r="AC6643" s="27">
        <v>9785160149806</v>
      </c>
    </row>
    <row r="6644" spans="1:29" s="4" customFormat="1" ht="51.9" customHeight="1" x14ac:dyDescent="0.2">
      <c r="A6644" s="5">
        <v>0</v>
      </c>
      <c r="B6644" s="6" t="s">
        <v>37725</v>
      </c>
      <c r="C6644" s="7">
        <v>1440</v>
      </c>
      <c r="D6644" s="8" t="s">
        <v>37726</v>
      </c>
      <c r="E6644" s="8" t="s">
        <v>37727</v>
      </c>
      <c r="F6644" s="8" t="s">
        <v>613</v>
      </c>
      <c r="G6644" s="6" t="s">
        <v>118</v>
      </c>
      <c r="H6644" s="6" t="s">
        <v>241</v>
      </c>
      <c r="I6644" s="8" t="s">
        <v>263</v>
      </c>
      <c r="J6644" s="9">
        <v>1</v>
      </c>
      <c r="K6644" s="9">
        <v>267</v>
      </c>
      <c r="L6644" s="9">
        <v>2023</v>
      </c>
      <c r="M6644" s="8" t="s">
        <v>37728</v>
      </c>
      <c r="N6644" s="8" t="s">
        <v>63</v>
      </c>
      <c r="O6644" s="8" t="s">
        <v>64</v>
      </c>
      <c r="P6644" s="6" t="s">
        <v>51</v>
      </c>
      <c r="Q6644" s="8" t="s">
        <v>265</v>
      </c>
      <c r="R6644" s="10" t="s">
        <v>37729</v>
      </c>
      <c r="S6644" s="11" t="s">
        <v>37730</v>
      </c>
      <c r="T6644" s="6"/>
      <c r="U6644" s="15" t="str">
        <f>HYPERLINK("https://media.infra-m.ru/1914/1914132/cover/1914132.jpg", "Обложка")</f>
        <v>Обложка</v>
      </c>
      <c r="V6644" s="8" t="s">
        <v>617</v>
      </c>
      <c r="W6644" s="6"/>
      <c r="X6644" s="6"/>
      <c r="Y6644" s="6"/>
      <c r="Z6644" s="6" t="s">
        <v>882</v>
      </c>
      <c r="AA6644" s="6" t="s">
        <v>1256</v>
      </c>
      <c r="AB6644" s="8"/>
      <c r="AC6644" s="27">
        <v>9785955806464</v>
      </c>
    </row>
    <row r="6645" spans="1:29" s="4" customFormat="1" ht="42" customHeight="1" x14ac:dyDescent="0.2">
      <c r="A6645" s="5">
        <v>0</v>
      </c>
      <c r="B6645" s="6" t="s">
        <v>37731</v>
      </c>
      <c r="C6645" s="7">
        <v>1864.8</v>
      </c>
      <c r="D6645" s="8" t="s">
        <v>37732</v>
      </c>
      <c r="E6645" s="8" t="s">
        <v>37727</v>
      </c>
      <c r="F6645" s="8" t="s">
        <v>6945</v>
      </c>
      <c r="G6645" s="6" t="s">
        <v>60</v>
      </c>
      <c r="H6645" s="6" t="s">
        <v>241</v>
      </c>
      <c r="I6645" s="8" t="s">
        <v>271</v>
      </c>
      <c r="J6645" s="9">
        <v>1</v>
      </c>
      <c r="K6645" s="9">
        <v>267</v>
      </c>
      <c r="L6645" s="9">
        <v>2027</v>
      </c>
      <c r="M6645" s="8" t="s">
        <v>37733</v>
      </c>
      <c r="N6645" s="8" t="s">
        <v>63</v>
      </c>
      <c r="O6645" s="8" t="s">
        <v>64</v>
      </c>
      <c r="P6645" s="6" t="s">
        <v>51</v>
      </c>
      <c r="Q6645" s="8" t="s">
        <v>65</v>
      </c>
      <c r="R6645" s="10" t="s">
        <v>66</v>
      </c>
      <c r="S6645" s="11"/>
      <c r="T6645" s="6"/>
      <c r="U6645" s="15" t="str">
        <f>HYPERLINK("https://media.infra-m.ru/2255/2255433/cover/2255433.jpg", "Обложка")</f>
        <v>Обложка</v>
      </c>
      <c r="V6645" s="8" t="s">
        <v>617</v>
      </c>
      <c r="W6645" s="6"/>
      <c r="X6645" s="6"/>
      <c r="Y6645" s="6"/>
      <c r="Z6645" s="6"/>
      <c r="AA6645" s="6" t="s">
        <v>561</v>
      </c>
      <c r="AB6645" s="8"/>
      <c r="AC6645" s="27">
        <v>9785955800790</v>
      </c>
    </row>
    <row r="6646" spans="1:29" s="4" customFormat="1" ht="42" customHeight="1" x14ac:dyDescent="0.2">
      <c r="A6646" s="5">
        <v>0</v>
      </c>
      <c r="B6646" s="6" t="s">
        <v>37734</v>
      </c>
      <c r="C6646" s="7">
        <v>1540.8</v>
      </c>
      <c r="D6646" s="8" t="s">
        <v>37735</v>
      </c>
      <c r="E6646" s="8" t="s">
        <v>37736</v>
      </c>
      <c r="F6646" s="8" t="s">
        <v>37737</v>
      </c>
      <c r="G6646" s="6" t="s">
        <v>33</v>
      </c>
      <c r="H6646" s="6" t="s">
        <v>48</v>
      </c>
      <c r="I6646" s="8"/>
      <c r="J6646" s="9">
        <v>1</v>
      </c>
      <c r="K6646" s="9">
        <v>256</v>
      </c>
      <c r="L6646" s="9">
        <v>2025</v>
      </c>
      <c r="M6646" s="8" t="s">
        <v>37738</v>
      </c>
      <c r="N6646" s="8" t="s">
        <v>63</v>
      </c>
      <c r="O6646" s="8" t="s">
        <v>64</v>
      </c>
      <c r="P6646" s="6" t="s">
        <v>394</v>
      </c>
      <c r="Q6646" s="8" t="s">
        <v>52</v>
      </c>
      <c r="R6646" s="10" t="s">
        <v>66</v>
      </c>
      <c r="S6646" s="11"/>
      <c r="T6646" s="6"/>
      <c r="U6646" s="15" t="str">
        <f>HYPERLINK("https://media.infra-m.ru/2188/2188769/cover/2188769.jpg", "Обложка")</f>
        <v>Обложка</v>
      </c>
      <c r="V6646" s="8" t="s">
        <v>1192</v>
      </c>
      <c r="W6646" s="6"/>
      <c r="X6646" s="6"/>
      <c r="Y6646" s="6"/>
      <c r="Z6646" s="6"/>
      <c r="AA6646" s="6" t="s">
        <v>43</v>
      </c>
      <c r="AB6646" s="8"/>
      <c r="AC6646" s="27">
        <v>9785911345983</v>
      </c>
    </row>
    <row r="6647" spans="1:29" s="4" customFormat="1" ht="51.9" customHeight="1" x14ac:dyDescent="0.2">
      <c r="A6647" s="5">
        <v>0</v>
      </c>
      <c r="B6647" s="6" t="s">
        <v>37739</v>
      </c>
      <c r="C6647" s="7">
        <v>2208</v>
      </c>
      <c r="D6647" s="8" t="s">
        <v>37740</v>
      </c>
      <c r="E6647" s="8" t="s">
        <v>37741</v>
      </c>
      <c r="F6647" s="8" t="s">
        <v>37742</v>
      </c>
      <c r="G6647" s="6" t="s">
        <v>118</v>
      </c>
      <c r="H6647" s="6" t="s">
        <v>34</v>
      </c>
      <c r="I6647" s="8" t="s">
        <v>263</v>
      </c>
      <c r="J6647" s="9">
        <v>1</v>
      </c>
      <c r="K6647" s="9">
        <v>368</v>
      </c>
      <c r="L6647" s="9">
        <v>2025</v>
      </c>
      <c r="M6647" s="8" t="s">
        <v>37743</v>
      </c>
      <c r="N6647" s="8" t="s">
        <v>63</v>
      </c>
      <c r="O6647" s="8" t="s">
        <v>64</v>
      </c>
      <c r="P6647" s="6" t="s">
        <v>306</v>
      </c>
      <c r="Q6647" s="8" t="s">
        <v>265</v>
      </c>
      <c r="R6647" s="10" t="s">
        <v>37744</v>
      </c>
      <c r="S6647" s="11" t="s">
        <v>37745</v>
      </c>
      <c r="T6647" s="6"/>
      <c r="U6647" s="15" t="str">
        <f>HYPERLINK("https://media.infra-m.ru/2139/2139070/cover/2139070.jpg", "Обложка")</f>
        <v>Обложка</v>
      </c>
      <c r="V6647" s="8"/>
      <c r="W6647" s="6"/>
      <c r="X6647" s="6"/>
      <c r="Y6647" s="6"/>
      <c r="Z6647" s="6"/>
      <c r="AA6647" s="6" t="s">
        <v>13865</v>
      </c>
      <c r="AB6647" s="8"/>
      <c r="AC6647" s="27">
        <v>9785160163352</v>
      </c>
    </row>
    <row r="6648" spans="1:29" s="4" customFormat="1" ht="51.9" customHeight="1" x14ac:dyDescent="0.2">
      <c r="A6648" s="5">
        <v>0</v>
      </c>
      <c r="B6648" s="6" t="s">
        <v>37746</v>
      </c>
      <c r="C6648" s="7">
        <v>1500</v>
      </c>
      <c r="D6648" s="8" t="s">
        <v>37747</v>
      </c>
      <c r="E6648" s="8" t="s">
        <v>37748</v>
      </c>
      <c r="F6648" s="8" t="s">
        <v>37749</v>
      </c>
      <c r="G6648" s="6" t="s">
        <v>118</v>
      </c>
      <c r="H6648" s="6" t="s">
        <v>34</v>
      </c>
      <c r="I6648" s="8" t="s">
        <v>253</v>
      </c>
      <c r="J6648" s="9">
        <v>1</v>
      </c>
      <c r="K6648" s="9">
        <v>240</v>
      </c>
      <c r="L6648" s="9">
        <v>2025</v>
      </c>
      <c r="M6648" s="8" t="s">
        <v>37750</v>
      </c>
      <c r="N6648" s="8" t="s">
        <v>63</v>
      </c>
      <c r="O6648" s="8" t="s">
        <v>64</v>
      </c>
      <c r="P6648" s="6" t="s">
        <v>306</v>
      </c>
      <c r="Q6648" s="8" t="s">
        <v>52</v>
      </c>
      <c r="R6648" s="10" t="s">
        <v>37751</v>
      </c>
      <c r="S6648" s="11" t="s">
        <v>37752</v>
      </c>
      <c r="T6648" s="6"/>
      <c r="U6648" s="15" t="str">
        <f>HYPERLINK("https://media.infra-m.ru/2186/2186867/cover/2186867.jpg", "Обложка")</f>
        <v>Обложка</v>
      </c>
      <c r="V6648" s="8" t="s">
        <v>4481</v>
      </c>
      <c r="W6648" s="6"/>
      <c r="X6648" s="6"/>
      <c r="Y6648" s="6"/>
      <c r="Z6648" s="6"/>
      <c r="AA6648" s="6" t="s">
        <v>2304</v>
      </c>
      <c r="AB6648" s="8"/>
      <c r="AC6648" s="27">
        <v>9785160206738</v>
      </c>
    </row>
    <row r="6649" spans="1:29" s="4" customFormat="1" ht="51.9" customHeight="1" x14ac:dyDescent="0.2">
      <c r="A6649" s="5">
        <v>0</v>
      </c>
      <c r="B6649" s="6" t="s">
        <v>37753</v>
      </c>
      <c r="C6649" s="7">
        <v>1332</v>
      </c>
      <c r="D6649" s="8" t="s">
        <v>37754</v>
      </c>
      <c r="E6649" s="8" t="s">
        <v>37748</v>
      </c>
      <c r="F6649" s="8" t="s">
        <v>37749</v>
      </c>
      <c r="G6649" s="6" t="s">
        <v>118</v>
      </c>
      <c r="H6649" s="6" t="s">
        <v>34</v>
      </c>
      <c r="I6649" s="8" t="s">
        <v>263</v>
      </c>
      <c r="J6649" s="9">
        <v>1</v>
      </c>
      <c r="K6649" s="9">
        <v>240</v>
      </c>
      <c r="L6649" s="9">
        <v>2024</v>
      </c>
      <c r="M6649" s="8" t="s">
        <v>37755</v>
      </c>
      <c r="N6649" s="8" t="s">
        <v>63</v>
      </c>
      <c r="O6649" s="8" t="s">
        <v>64</v>
      </c>
      <c r="P6649" s="6" t="s">
        <v>306</v>
      </c>
      <c r="Q6649" s="8" t="s">
        <v>265</v>
      </c>
      <c r="R6649" s="10" t="s">
        <v>37756</v>
      </c>
      <c r="S6649" s="11" t="s">
        <v>37757</v>
      </c>
      <c r="T6649" s="6"/>
      <c r="U6649" s="15" t="str">
        <f>HYPERLINK("https://media.infra-m.ru/2132/2132079/cover/2132079.jpg", "Обложка")</f>
        <v>Обложка</v>
      </c>
      <c r="V6649" s="8" t="s">
        <v>4481</v>
      </c>
      <c r="W6649" s="6"/>
      <c r="X6649" s="6" t="s">
        <v>24</v>
      </c>
      <c r="Y6649" s="6"/>
      <c r="Z6649" s="6" t="s">
        <v>267</v>
      </c>
      <c r="AA6649" s="6" t="s">
        <v>218</v>
      </c>
      <c r="AB6649" s="8" t="s">
        <v>3581</v>
      </c>
      <c r="AC6649" s="27">
        <v>9785160156279</v>
      </c>
    </row>
    <row r="6650" spans="1:29" s="4" customFormat="1" ht="42" customHeight="1" x14ac:dyDescent="0.2">
      <c r="A6650" s="5">
        <v>0</v>
      </c>
      <c r="B6650" s="6" t="s">
        <v>37758</v>
      </c>
      <c r="C6650" s="7">
        <v>2592</v>
      </c>
      <c r="D6650" s="8" t="s">
        <v>37759</v>
      </c>
      <c r="E6650" s="8" t="s">
        <v>37760</v>
      </c>
      <c r="F6650" s="8" t="s">
        <v>37761</v>
      </c>
      <c r="G6650" s="6" t="s">
        <v>118</v>
      </c>
      <c r="H6650" s="6" t="s">
        <v>34</v>
      </c>
      <c r="I6650" s="8" t="s">
        <v>253</v>
      </c>
      <c r="J6650" s="9">
        <v>1</v>
      </c>
      <c r="K6650" s="9">
        <v>373</v>
      </c>
      <c r="L6650" s="9">
        <v>2027</v>
      </c>
      <c r="M6650" s="8" t="s">
        <v>37762</v>
      </c>
      <c r="N6650" s="8" t="s">
        <v>63</v>
      </c>
      <c r="O6650" s="8" t="s">
        <v>64</v>
      </c>
      <c r="P6650" s="6" t="s">
        <v>306</v>
      </c>
      <c r="Q6650" s="8" t="s">
        <v>65</v>
      </c>
      <c r="R6650" s="10" t="s">
        <v>53</v>
      </c>
      <c r="S6650" s="11"/>
      <c r="T6650" s="6"/>
      <c r="U6650" s="15" t="str">
        <f>HYPERLINK("https://media.infra-m.ru/2271/2271578/cover/2271578.jpg", "Обложка")</f>
        <v>Обложка</v>
      </c>
      <c r="V6650" s="8" t="s">
        <v>36576</v>
      </c>
      <c r="W6650" s="6"/>
      <c r="X6650" s="6"/>
      <c r="Y6650" s="6"/>
      <c r="Z6650" s="6"/>
      <c r="AA6650" s="6" t="s">
        <v>157</v>
      </c>
      <c r="AB6650" s="8"/>
      <c r="AC6650" s="27">
        <v>9785160173696</v>
      </c>
    </row>
    <row r="6651" spans="1:29" s="4" customFormat="1" ht="51.9" customHeight="1" x14ac:dyDescent="0.2">
      <c r="A6651" s="5">
        <v>0</v>
      </c>
      <c r="B6651" s="6" t="s">
        <v>37763</v>
      </c>
      <c r="C6651" s="7">
        <v>1116</v>
      </c>
      <c r="D6651" s="8" t="s">
        <v>37764</v>
      </c>
      <c r="E6651" s="8" t="s">
        <v>37736</v>
      </c>
      <c r="F6651" s="8" t="s">
        <v>37765</v>
      </c>
      <c r="G6651" s="6" t="s">
        <v>118</v>
      </c>
      <c r="H6651" s="6" t="s">
        <v>34</v>
      </c>
      <c r="I6651" s="8" t="s">
        <v>263</v>
      </c>
      <c r="J6651" s="9">
        <v>1</v>
      </c>
      <c r="K6651" s="9">
        <v>144</v>
      </c>
      <c r="L6651" s="9">
        <v>2027</v>
      </c>
      <c r="M6651" s="8" t="s">
        <v>37766</v>
      </c>
      <c r="N6651" s="8" t="s">
        <v>63</v>
      </c>
      <c r="O6651" s="8" t="s">
        <v>64</v>
      </c>
      <c r="P6651" s="6" t="s">
        <v>51</v>
      </c>
      <c r="Q6651" s="8" t="s">
        <v>265</v>
      </c>
      <c r="R6651" s="10" t="s">
        <v>37767</v>
      </c>
      <c r="S6651" s="11" t="s">
        <v>37768</v>
      </c>
      <c r="T6651" s="6"/>
      <c r="U6651" s="15" t="str">
        <f>HYPERLINK("https://media.infra-m.ru/2262/2262703/cover/2262703.jpg", "Обложка")</f>
        <v>Обложка</v>
      </c>
      <c r="V6651" s="8" t="s">
        <v>6190</v>
      </c>
      <c r="W6651" s="6"/>
      <c r="X6651" s="6"/>
      <c r="Y6651" s="6"/>
      <c r="Z6651" s="6"/>
      <c r="AA6651" s="6" t="s">
        <v>561</v>
      </c>
      <c r="AB6651" s="8"/>
      <c r="AC6651" s="27">
        <v>9785160219233</v>
      </c>
    </row>
    <row r="6652" spans="1:29" s="4" customFormat="1" ht="51.9" customHeight="1" x14ac:dyDescent="0.2">
      <c r="A6652" s="5">
        <v>0</v>
      </c>
      <c r="B6652" s="6" t="s">
        <v>37769</v>
      </c>
      <c r="C6652" s="7">
        <v>1120.8</v>
      </c>
      <c r="D6652" s="8" t="s">
        <v>37770</v>
      </c>
      <c r="E6652" s="8" t="s">
        <v>37736</v>
      </c>
      <c r="F6652" s="8" t="s">
        <v>37771</v>
      </c>
      <c r="G6652" s="6" t="s">
        <v>118</v>
      </c>
      <c r="H6652" s="6" t="s">
        <v>313</v>
      </c>
      <c r="I6652" s="8" t="s">
        <v>401</v>
      </c>
      <c r="J6652" s="9">
        <v>1</v>
      </c>
      <c r="K6652" s="9">
        <v>170</v>
      </c>
      <c r="L6652" s="9">
        <v>2026</v>
      </c>
      <c r="M6652" s="8" t="s">
        <v>37772</v>
      </c>
      <c r="N6652" s="8" t="s">
        <v>63</v>
      </c>
      <c r="O6652" s="8" t="s">
        <v>64</v>
      </c>
      <c r="P6652" s="6" t="s">
        <v>51</v>
      </c>
      <c r="Q6652" s="8" t="s">
        <v>265</v>
      </c>
      <c r="R6652" s="10" t="s">
        <v>37773</v>
      </c>
      <c r="S6652" s="11"/>
      <c r="T6652" s="6"/>
      <c r="U6652" s="15" t="str">
        <f>HYPERLINK("https://media.infra-m.ru/2246/2246675/cover/2246675.jpg", "Обложка")</f>
        <v>Обложка</v>
      </c>
      <c r="V6652" s="8" t="s">
        <v>3177</v>
      </c>
      <c r="W6652" s="6"/>
      <c r="X6652" s="6"/>
      <c r="Y6652" s="6"/>
      <c r="Z6652" s="6" t="s">
        <v>267</v>
      </c>
      <c r="AA6652" s="6" t="s">
        <v>1256</v>
      </c>
      <c r="AB6652" s="8"/>
      <c r="AC6652" s="27">
        <v>9785369018255</v>
      </c>
    </row>
    <row r="6653" spans="1:29" s="4" customFormat="1" ht="51.9" customHeight="1" x14ac:dyDescent="0.2">
      <c r="A6653" s="5">
        <v>0</v>
      </c>
      <c r="B6653" s="6" t="s">
        <v>37774</v>
      </c>
      <c r="C6653" s="7">
        <v>1192.8</v>
      </c>
      <c r="D6653" s="8" t="s">
        <v>37775</v>
      </c>
      <c r="E6653" s="8" t="s">
        <v>37748</v>
      </c>
      <c r="F6653" s="8" t="s">
        <v>37771</v>
      </c>
      <c r="G6653" s="6" t="s">
        <v>60</v>
      </c>
      <c r="H6653" s="6" t="s">
        <v>313</v>
      </c>
      <c r="I6653" s="8" t="s">
        <v>253</v>
      </c>
      <c r="J6653" s="9">
        <v>1</v>
      </c>
      <c r="K6653" s="9">
        <v>168</v>
      </c>
      <c r="L6653" s="9">
        <v>2027</v>
      </c>
      <c r="M6653" s="8" t="s">
        <v>37776</v>
      </c>
      <c r="N6653" s="8" t="s">
        <v>63</v>
      </c>
      <c r="O6653" s="8" t="s">
        <v>64</v>
      </c>
      <c r="P6653" s="6" t="s">
        <v>51</v>
      </c>
      <c r="Q6653" s="8" t="s">
        <v>52</v>
      </c>
      <c r="R6653" s="10" t="s">
        <v>66</v>
      </c>
      <c r="S6653" s="11" t="s">
        <v>37777</v>
      </c>
      <c r="T6653" s="6"/>
      <c r="U6653" s="15" t="str">
        <f>HYPERLINK("https://media.infra-m.ru/2262/2262848/cover/2262848.jpg", "Обложка")</f>
        <v>Обложка</v>
      </c>
      <c r="V6653" s="8" t="s">
        <v>3177</v>
      </c>
      <c r="W6653" s="6"/>
      <c r="X6653" s="6"/>
      <c r="Y6653" s="6"/>
      <c r="Z6653" s="6"/>
      <c r="AA6653" s="6" t="s">
        <v>769</v>
      </c>
      <c r="AB6653" s="8"/>
      <c r="AC6653" s="27">
        <v>9785369007846</v>
      </c>
    </row>
    <row r="6654" spans="1:29" s="4" customFormat="1" ht="51.9" customHeight="1" x14ac:dyDescent="0.2">
      <c r="A6654" s="5">
        <v>0</v>
      </c>
      <c r="B6654" s="6" t="s">
        <v>37778</v>
      </c>
      <c r="C6654" s="7">
        <v>1080</v>
      </c>
      <c r="D6654" s="8" t="s">
        <v>37779</v>
      </c>
      <c r="E6654" s="8" t="s">
        <v>37780</v>
      </c>
      <c r="F6654" s="8" t="s">
        <v>37781</v>
      </c>
      <c r="G6654" s="6" t="s">
        <v>118</v>
      </c>
      <c r="H6654" s="6" t="s">
        <v>34</v>
      </c>
      <c r="I6654" s="8" t="s">
        <v>263</v>
      </c>
      <c r="J6654" s="9">
        <v>1</v>
      </c>
      <c r="K6654" s="9">
        <v>195</v>
      </c>
      <c r="L6654" s="9">
        <v>2024</v>
      </c>
      <c r="M6654" s="8" t="s">
        <v>37782</v>
      </c>
      <c r="N6654" s="8" t="s">
        <v>63</v>
      </c>
      <c r="O6654" s="8" t="s">
        <v>64</v>
      </c>
      <c r="P6654" s="6" t="s">
        <v>51</v>
      </c>
      <c r="Q6654" s="8" t="s">
        <v>265</v>
      </c>
      <c r="R6654" s="10" t="s">
        <v>37783</v>
      </c>
      <c r="S6654" s="11" t="s">
        <v>37784</v>
      </c>
      <c r="T6654" s="6"/>
      <c r="U6654" s="15" t="str">
        <f>HYPERLINK("https://media.infra-m.ru/2128/2128446/cover/2128446.jpg", "Обложка")</f>
        <v>Обложка</v>
      </c>
      <c r="V6654" s="8" t="s">
        <v>1599</v>
      </c>
      <c r="W6654" s="6"/>
      <c r="X6654" s="6"/>
      <c r="Y6654" s="6"/>
      <c r="Z6654" s="6"/>
      <c r="AA6654" s="6" t="s">
        <v>115</v>
      </c>
      <c r="AB6654" s="8"/>
      <c r="AC6654" s="27">
        <v>9785160144986</v>
      </c>
    </row>
    <row r="6655" spans="1:29" s="4" customFormat="1" ht="51.9" customHeight="1" x14ac:dyDescent="0.2">
      <c r="A6655" s="5">
        <v>0</v>
      </c>
      <c r="B6655" s="6" t="s">
        <v>37785</v>
      </c>
      <c r="C6655" s="7">
        <v>2392.8000000000002</v>
      </c>
      <c r="D6655" s="8" t="s">
        <v>37786</v>
      </c>
      <c r="E6655" s="8" t="s">
        <v>37780</v>
      </c>
      <c r="F6655" s="8" t="s">
        <v>37781</v>
      </c>
      <c r="G6655" s="6" t="s">
        <v>118</v>
      </c>
      <c r="H6655" s="6" t="s">
        <v>34</v>
      </c>
      <c r="I6655" s="8" t="s">
        <v>263</v>
      </c>
      <c r="J6655" s="9">
        <v>1</v>
      </c>
      <c r="K6655" s="9">
        <v>363</v>
      </c>
      <c r="L6655" s="9">
        <v>2026</v>
      </c>
      <c r="M6655" s="8" t="s">
        <v>37787</v>
      </c>
      <c r="N6655" s="8" t="s">
        <v>63</v>
      </c>
      <c r="O6655" s="8" t="s">
        <v>64</v>
      </c>
      <c r="P6655" s="6" t="s">
        <v>306</v>
      </c>
      <c r="Q6655" s="8" t="s">
        <v>265</v>
      </c>
      <c r="R6655" s="10" t="s">
        <v>37788</v>
      </c>
      <c r="S6655" s="11" t="s">
        <v>35467</v>
      </c>
      <c r="T6655" s="6"/>
      <c r="U6655" s="15" t="str">
        <f>HYPERLINK("https://media.infra-m.ru/2239/2239163/cover/2239163.jpg", "Обложка")</f>
        <v>Обложка</v>
      </c>
      <c r="V6655" s="8" t="s">
        <v>1599</v>
      </c>
      <c r="W6655" s="6"/>
      <c r="X6655" s="6"/>
      <c r="Y6655" s="6"/>
      <c r="Z6655" s="6"/>
      <c r="AA6655" s="6" t="s">
        <v>115</v>
      </c>
      <c r="AB6655" s="8"/>
      <c r="AC6655" s="27">
        <v>9785160144993</v>
      </c>
    </row>
    <row r="6656" spans="1:29" s="4" customFormat="1" ht="51.9" customHeight="1" x14ac:dyDescent="0.2">
      <c r="A6656" s="5">
        <v>0</v>
      </c>
      <c r="B6656" s="6" t="s">
        <v>37789</v>
      </c>
      <c r="C6656" s="7">
        <v>3412.8</v>
      </c>
      <c r="D6656" s="8" t="s">
        <v>37790</v>
      </c>
      <c r="E6656" s="8" t="s">
        <v>37780</v>
      </c>
      <c r="F6656" s="8" t="s">
        <v>37791</v>
      </c>
      <c r="G6656" s="6" t="s">
        <v>60</v>
      </c>
      <c r="H6656" s="6" t="s">
        <v>34</v>
      </c>
      <c r="I6656" s="8" t="s">
        <v>263</v>
      </c>
      <c r="J6656" s="9">
        <v>1</v>
      </c>
      <c r="K6656" s="9">
        <v>491</v>
      </c>
      <c r="L6656" s="9">
        <v>2027</v>
      </c>
      <c r="M6656" s="8" t="s">
        <v>37792</v>
      </c>
      <c r="N6656" s="8" t="s">
        <v>63</v>
      </c>
      <c r="O6656" s="8" t="s">
        <v>64</v>
      </c>
      <c r="P6656" s="6" t="s">
        <v>306</v>
      </c>
      <c r="Q6656" s="8" t="s">
        <v>265</v>
      </c>
      <c r="R6656" s="10" t="s">
        <v>18019</v>
      </c>
      <c r="S6656" s="11" t="s">
        <v>30066</v>
      </c>
      <c r="T6656" s="6"/>
      <c r="U6656" s="15" t="str">
        <f>HYPERLINK("https://media.infra-m.ru/2271/2271779/cover/2271779.jpg", "Обложка")</f>
        <v>Обложка</v>
      </c>
      <c r="V6656" s="8" t="s">
        <v>54</v>
      </c>
      <c r="W6656" s="6"/>
      <c r="X6656" s="6"/>
      <c r="Y6656" s="6"/>
      <c r="Z6656" s="6"/>
      <c r="AA6656" s="6" t="s">
        <v>115</v>
      </c>
      <c r="AB6656" s="8"/>
      <c r="AC6656" s="27">
        <v>9785160133256</v>
      </c>
    </row>
    <row r="6657" spans="1:29" s="4" customFormat="1" ht="51.9" customHeight="1" x14ac:dyDescent="0.2">
      <c r="A6657" s="5">
        <v>0</v>
      </c>
      <c r="B6657" s="6" t="s">
        <v>37793</v>
      </c>
      <c r="C6657" s="7">
        <v>2196</v>
      </c>
      <c r="D6657" s="8" t="s">
        <v>37794</v>
      </c>
      <c r="E6657" s="8" t="s">
        <v>37795</v>
      </c>
      <c r="F6657" s="8" t="s">
        <v>37796</v>
      </c>
      <c r="G6657" s="6" t="s">
        <v>60</v>
      </c>
      <c r="H6657" s="6" t="s">
        <v>34</v>
      </c>
      <c r="I6657" s="8" t="s">
        <v>304</v>
      </c>
      <c r="J6657" s="9">
        <v>1</v>
      </c>
      <c r="K6657" s="9">
        <v>332</v>
      </c>
      <c r="L6657" s="9">
        <v>2026</v>
      </c>
      <c r="M6657" s="8" t="s">
        <v>37797</v>
      </c>
      <c r="N6657" s="8" t="s">
        <v>63</v>
      </c>
      <c r="O6657" s="8" t="s">
        <v>64</v>
      </c>
      <c r="P6657" s="6" t="s">
        <v>51</v>
      </c>
      <c r="Q6657" s="8" t="s">
        <v>65</v>
      </c>
      <c r="R6657" s="10" t="s">
        <v>37798</v>
      </c>
      <c r="S6657" s="11"/>
      <c r="T6657" s="6"/>
      <c r="U6657" s="15" t="str">
        <f>HYPERLINK("https://media.infra-m.ru/2241/2241927/cover/2241927.jpg", "Обложка")</f>
        <v>Обложка</v>
      </c>
      <c r="V6657" s="8" t="s">
        <v>37799</v>
      </c>
      <c r="W6657" s="6" t="s">
        <v>299</v>
      </c>
      <c r="X6657" s="6"/>
      <c r="Y6657" s="6"/>
      <c r="Z6657" s="6"/>
      <c r="AA6657" s="6" t="s">
        <v>187</v>
      </c>
      <c r="AB6657" s="8"/>
      <c r="AC6657" s="27">
        <v>9785160218878</v>
      </c>
    </row>
    <row r="6658" spans="1:29" s="4" customFormat="1" ht="42" customHeight="1" x14ac:dyDescent="0.2">
      <c r="A6658" s="5">
        <v>0</v>
      </c>
      <c r="B6658" s="6" t="s">
        <v>37800</v>
      </c>
      <c r="C6658" s="7">
        <v>1720.8</v>
      </c>
      <c r="D6658" s="8" t="s">
        <v>37801</v>
      </c>
      <c r="E6658" s="8" t="s">
        <v>37802</v>
      </c>
      <c r="F6658" s="8" t="s">
        <v>6330</v>
      </c>
      <c r="G6658" s="6" t="s">
        <v>60</v>
      </c>
      <c r="H6658" s="6" t="s">
        <v>34</v>
      </c>
      <c r="I6658" s="8" t="s">
        <v>35</v>
      </c>
      <c r="J6658" s="9">
        <v>1</v>
      </c>
      <c r="K6658" s="9">
        <v>247</v>
      </c>
      <c r="L6658" s="9">
        <v>2027</v>
      </c>
      <c r="M6658" s="8" t="s">
        <v>37803</v>
      </c>
      <c r="N6658" s="8" t="s">
        <v>63</v>
      </c>
      <c r="O6658" s="8" t="s">
        <v>64</v>
      </c>
      <c r="P6658" s="6" t="s">
        <v>39</v>
      </c>
      <c r="Q6658" s="8" t="s">
        <v>40</v>
      </c>
      <c r="R6658" s="10" t="s">
        <v>37804</v>
      </c>
      <c r="S6658" s="11"/>
      <c r="T6658" s="6"/>
      <c r="U6658" s="15" t="str">
        <f>HYPERLINK("https://media.infra-m.ru/2272/2272650/cover/2272650.jpg", "Обложка")</f>
        <v>Обложка</v>
      </c>
      <c r="V6658" s="8" t="s">
        <v>6190</v>
      </c>
      <c r="W6658" s="6"/>
      <c r="X6658" s="6"/>
      <c r="Y6658" s="6"/>
      <c r="Z6658" s="6"/>
      <c r="AA6658" s="6" t="s">
        <v>115</v>
      </c>
      <c r="AB6658" s="8"/>
      <c r="AC6658" s="27">
        <v>9785160152592</v>
      </c>
    </row>
    <row r="6659" spans="1:29" s="4" customFormat="1" ht="51.9" customHeight="1" x14ac:dyDescent="0.2">
      <c r="A6659" s="5">
        <v>0</v>
      </c>
      <c r="B6659" s="6" t="s">
        <v>37805</v>
      </c>
      <c r="C6659" s="7">
        <v>1188</v>
      </c>
      <c r="D6659" s="8" t="s">
        <v>37806</v>
      </c>
      <c r="E6659" s="8" t="s">
        <v>37807</v>
      </c>
      <c r="F6659" s="8" t="s">
        <v>37808</v>
      </c>
      <c r="G6659" s="6" t="s">
        <v>118</v>
      </c>
      <c r="H6659" s="6" t="s">
        <v>34</v>
      </c>
      <c r="I6659" s="8" t="s">
        <v>263</v>
      </c>
      <c r="J6659" s="9">
        <v>1</v>
      </c>
      <c r="K6659" s="9">
        <v>215</v>
      </c>
      <c r="L6659" s="9">
        <v>2024</v>
      </c>
      <c r="M6659" s="8" t="s">
        <v>37809</v>
      </c>
      <c r="N6659" s="8" t="s">
        <v>63</v>
      </c>
      <c r="O6659" s="8" t="s">
        <v>64</v>
      </c>
      <c r="P6659" s="6" t="s">
        <v>51</v>
      </c>
      <c r="Q6659" s="8" t="s">
        <v>265</v>
      </c>
      <c r="R6659" s="10" t="s">
        <v>37810</v>
      </c>
      <c r="S6659" s="11" t="s">
        <v>37811</v>
      </c>
      <c r="T6659" s="6"/>
      <c r="U6659" s="15" t="str">
        <f>HYPERLINK("https://media.infra-m.ru/2127/2127878/cover/2127878.jpg", "Обложка")</f>
        <v>Обложка</v>
      </c>
      <c r="V6659" s="8" t="s">
        <v>2602</v>
      </c>
      <c r="W6659" s="6"/>
      <c r="X6659" s="6"/>
      <c r="Y6659" s="6"/>
      <c r="Z6659" s="6"/>
      <c r="AA6659" s="6" t="s">
        <v>430</v>
      </c>
      <c r="AB6659" s="8"/>
      <c r="AC6659" s="27">
        <v>9785160145334</v>
      </c>
    </row>
    <row r="6660" spans="1:29" s="4" customFormat="1" ht="51.9" customHeight="1" x14ac:dyDescent="0.2">
      <c r="A6660" s="5">
        <v>0</v>
      </c>
      <c r="B6660" s="6" t="s">
        <v>37812</v>
      </c>
      <c r="C6660" s="7">
        <v>2380.8000000000002</v>
      </c>
      <c r="D6660" s="8" t="s">
        <v>37813</v>
      </c>
      <c r="E6660" s="8" t="s">
        <v>37814</v>
      </c>
      <c r="F6660" s="8" t="s">
        <v>37815</v>
      </c>
      <c r="G6660" s="6" t="s">
        <v>118</v>
      </c>
      <c r="H6660" s="6" t="s">
        <v>820</v>
      </c>
      <c r="I6660" s="8"/>
      <c r="J6660" s="9">
        <v>1</v>
      </c>
      <c r="K6660" s="9">
        <v>360</v>
      </c>
      <c r="L6660" s="9">
        <v>2026</v>
      </c>
      <c r="M6660" s="8" t="s">
        <v>37816</v>
      </c>
      <c r="N6660" s="8" t="s">
        <v>63</v>
      </c>
      <c r="O6660" s="8" t="s">
        <v>181</v>
      </c>
      <c r="P6660" s="6" t="s">
        <v>51</v>
      </c>
      <c r="Q6660" s="8" t="s">
        <v>52</v>
      </c>
      <c r="R6660" s="10" t="s">
        <v>37817</v>
      </c>
      <c r="S6660" s="11" t="s">
        <v>37818</v>
      </c>
      <c r="T6660" s="6"/>
      <c r="U6660" s="15" t="str">
        <f>HYPERLINK("https://media.infra-m.ru/2239/2239424/cover/2239424.jpg", "Обложка")</f>
        <v>Обложка</v>
      </c>
      <c r="V6660" s="8" t="s">
        <v>445</v>
      </c>
      <c r="W6660" s="6"/>
      <c r="X6660" s="6"/>
      <c r="Y6660" s="6"/>
      <c r="Z6660" s="6"/>
      <c r="AA6660" s="6" t="s">
        <v>43</v>
      </c>
      <c r="AB6660" s="8"/>
      <c r="AC6660" s="27">
        <v>9785905554117</v>
      </c>
    </row>
    <row r="6661" spans="1:29" s="4" customFormat="1" ht="51.9" customHeight="1" x14ac:dyDescent="0.2">
      <c r="A6661" s="5">
        <v>0</v>
      </c>
      <c r="B6661" s="6" t="s">
        <v>37819</v>
      </c>
      <c r="C6661" s="7">
        <v>1692</v>
      </c>
      <c r="D6661" s="8" t="s">
        <v>37820</v>
      </c>
      <c r="E6661" s="8" t="s">
        <v>37821</v>
      </c>
      <c r="F6661" s="8" t="s">
        <v>37822</v>
      </c>
      <c r="G6661" s="6" t="s">
        <v>118</v>
      </c>
      <c r="H6661" s="6" t="s">
        <v>34</v>
      </c>
      <c r="I6661" s="8" t="s">
        <v>253</v>
      </c>
      <c r="J6661" s="9">
        <v>1</v>
      </c>
      <c r="K6661" s="9">
        <v>257</v>
      </c>
      <c r="L6661" s="9">
        <v>2026</v>
      </c>
      <c r="M6661" s="8" t="s">
        <v>37823</v>
      </c>
      <c r="N6661" s="8" t="s">
        <v>63</v>
      </c>
      <c r="O6661" s="8" t="s">
        <v>181</v>
      </c>
      <c r="P6661" s="6" t="s">
        <v>51</v>
      </c>
      <c r="Q6661" s="8" t="s">
        <v>52</v>
      </c>
      <c r="R6661" s="10" t="s">
        <v>37824</v>
      </c>
      <c r="S6661" s="11" t="s">
        <v>37825</v>
      </c>
      <c r="T6661" s="6"/>
      <c r="U6661" s="15" t="str">
        <f>HYPERLINK("https://media.infra-m.ru/2226/2226515/cover/2226515.jpg", "Обложка")</f>
        <v>Обложка</v>
      </c>
      <c r="V6661" s="8" t="s">
        <v>37826</v>
      </c>
      <c r="W6661" s="6"/>
      <c r="X6661" s="6"/>
      <c r="Y6661" s="6"/>
      <c r="Z6661" s="6"/>
      <c r="AA6661" s="6" t="s">
        <v>86</v>
      </c>
      <c r="AB6661" s="8"/>
      <c r="AC6661" s="27">
        <v>9785160185217</v>
      </c>
    </row>
    <row r="6662" spans="1:29" s="4" customFormat="1" ht="51.9" customHeight="1" x14ac:dyDescent="0.2">
      <c r="A6662" s="5">
        <v>0</v>
      </c>
      <c r="B6662" s="6" t="s">
        <v>37827</v>
      </c>
      <c r="C6662" s="7">
        <v>2620.8000000000002</v>
      </c>
      <c r="D6662" s="8" t="s">
        <v>37828</v>
      </c>
      <c r="E6662" s="8" t="s">
        <v>37829</v>
      </c>
      <c r="F6662" s="8" t="s">
        <v>37830</v>
      </c>
      <c r="G6662" s="6" t="s">
        <v>21</v>
      </c>
      <c r="H6662" s="6" t="s">
        <v>313</v>
      </c>
      <c r="I6662" s="8" t="s">
        <v>35</v>
      </c>
      <c r="J6662" s="9">
        <v>1</v>
      </c>
      <c r="K6662" s="9">
        <v>397</v>
      </c>
      <c r="L6662" s="9">
        <v>2026</v>
      </c>
      <c r="M6662" s="8" t="s">
        <v>37831</v>
      </c>
      <c r="N6662" s="8" t="s">
        <v>37</v>
      </c>
      <c r="O6662" s="8" t="s">
        <v>136</v>
      </c>
      <c r="P6662" s="6" t="s">
        <v>51</v>
      </c>
      <c r="Q6662" s="8" t="s">
        <v>40</v>
      </c>
      <c r="R6662" s="10" t="s">
        <v>1625</v>
      </c>
      <c r="S6662" s="11"/>
      <c r="T6662" s="6"/>
      <c r="U6662" s="15" t="str">
        <f>HYPERLINK("https://media.infra-m.ru/2232/2232568/cover/2232568.jpg", "Обложка")</f>
        <v>Обложка</v>
      </c>
      <c r="V6662" s="8"/>
      <c r="W6662" s="6"/>
      <c r="X6662" s="6"/>
      <c r="Y6662" s="6"/>
      <c r="Z6662" s="6"/>
      <c r="AA6662" s="6" t="s">
        <v>55</v>
      </c>
      <c r="AB6662" s="8"/>
      <c r="AC6662" s="27">
        <v>9785369011768</v>
      </c>
    </row>
    <row r="6663" spans="1:29" s="4" customFormat="1" ht="51.9" customHeight="1" x14ac:dyDescent="0.2">
      <c r="A6663" s="5">
        <v>0</v>
      </c>
      <c r="B6663" s="6" t="s">
        <v>37832</v>
      </c>
      <c r="C6663" s="7">
        <v>2524.8000000000002</v>
      </c>
      <c r="D6663" s="8" t="s">
        <v>37833</v>
      </c>
      <c r="E6663" s="8" t="s">
        <v>37834</v>
      </c>
      <c r="F6663" s="8" t="s">
        <v>18764</v>
      </c>
      <c r="G6663" s="6" t="s">
        <v>118</v>
      </c>
      <c r="H6663" s="6" t="s">
        <v>34</v>
      </c>
      <c r="I6663" s="8" t="s">
        <v>271</v>
      </c>
      <c r="J6663" s="9">
        <v>1</v>
      </c>
      <c r="K6663" s="9">
        <v>404</v>
      </c>
      <c r="L6663" s="9">
        <v>2025</v>
      </c>
      <c r="M6663" s="8" t="s">
        <v>37835</v>
      </c>
      <c r="N6663" s="8" t="s">
        <v>243</v>
      </c>
      <c r="O6663" s="8" t="s">
        <v>244</v>
      </c>
      <c r="P6663" s="6" t="s">
        <v>306</v>
      </c>
      <c r="Q6663" s="8" t="s">
        <v>52</v>
      </c>
      <c r="R6663" s="10" t="s">
        <v>37836</v>
      </c>
      <c r="S6663" s="11" t="s">
        <v>37837</v>
      </c>
      <c r="T6663" s="6"/>
      <c r="U6663" s="15" t="str">
        <f>HYPERLINK("https://media.infra-m.ru/2196/2196101/cover/2196101.jpg", "Обложка")</f>
        <v>Обложка</v>
      </c>
      <c r="V6663" s="8" t="s">
        <v>1768</v>
      </c>
      <c r="W6663" s="6"/>
      <c r="X6663" s="6"/>
      <c r="Y6663" s="6"/>
      <c r="Z6663" s="6"/>
      <c r="AA6663" s="6" t="s">
        <v>99</v>
      </c>
      <c r="AB6663" s="8"/>
      <c r="AC6663" s="27">
        <v>9785160120423</v>
      </c>
    </row>
    <row r="6664" spans="1:29" s="4" customFormat="1" ht="42" customHeight="1" x14ac:dyDescent="0.2">
      <c r="A6664" s="5">
        <v>0</v>
      </c>
      <c r="B6664" s="6" t="s">
        <v>37838</v>
      </c>
      <c r="C6664" s="7">
        <v>1204.8</v>
      </c>
      <c r="D6664" s="8" t="s">
        <v>37839</v>
      </c>
      <c r="E6664" s="8" t="s">
        <v>37840</v>
      </c>
      <c r="F6664" s="8" t="s">
        <v>37841</v>
      </c>
      <c r="G6664" s="6" t="s">
        <v>118</v>
      </c>
      <c r="H6664" s="6" t="s">
        <v>34</v>
      </c>
      <c r="I6664" s="8" t="s">
        <v>457</v>
      </c>
      <c r="J6664" s="9">
        <v>1</v>
      </c>
      <c r="K6664" s="9">
        <v>219</v>
      </c>
      <c r="L6664" s="9">
        <v>2023</v>
      </c>
      <c r="M6664" s="8" t="s">
        <v>37842</v>
      </c>
      <c r="N6664" s="8" t="s">
        <v>37</v>
      </c>
      <c r="O6664" s="8" t="s">
        <v>233</v>
      </c>
      <c r="P6664" s="6" t="s">
        <v>39</v>
      </c>
      <c r="Q6664" s="8" t="s">
        <v>40</v>
      </c>
      <c r="R6664" s="10" t="s">
        <v>12731</v>
      </c>
      <c r="S6664" s="11"/>
      <c r="T6664" s="6"/>
      <c r="U6664" s="15" t="str">
        <f>HYPERLINK("https://media.infra-m.ru/2080/2080765/cover/2080765.jpg", "Обложка")</f>
        <v>Обложка</v>
      </c>
      <c r="V6664" s="8" t="s">
        <v>247</v>
      </c>
      <c r="W6664" s="6"/>
      <c r="X6664" s="6"/>
      <c r="Y6664" s="6"/>
      <c r="Z6664" s="6"/>
      <c r="AA6664" s="6" t="s">
        <v>115</v>
      </c>
      <c r="AB6664" s="8" t="s">
        <v>1317</v>
      </c>
      <c r="AC6664" s="27">
        <v>9785160146676</v>
      </c>
    </row>
    <row r="6665" spans="1:29" s="4" customFormat="1" ht="42" customHeight="1" x14ac:dyDescent="0.2">
      <c r="A6665" s="5">
        <v>0</v>
      </c>
      <c r="B6665" s="6" t="s">
        <v>37843</v>
      </c>
      <c r="C6665" s="7">
        <v>1440</v>
      </c>
      <c r="D6665" s="8" t="s">
        <v>37844</v>
      </c>
      <c r="E6665" s="8" t="s">
        <v>37845</v>
      </c>
      <c r="F6665" s="8" t="s">
        <v>37846</v>
      </c>
      <c r="G6665" s="6" t="s">
        <v>118</v>
      </c>
      <c r="H6665" s="6" t="s">
        <v>34</v>
      </c>
      <c r="I6665" s="8" t="s">
        <v>35</v>
      </c>
      <c r="J6665" s="9">
        <v>1</v>
      </c>
      <c r="K6665" s="9">
        <v>324</v>
      </c>
      <c r="L6665" s="9">
        <v>2021</v>
      </c>
      <c r="M6665" s="8" t="s">
        <v>37847</v>
      </c>
      <c r="N6665" s="8" t="s">
        <v>37</v>
      </c>
      <c r="O6665" s="8" t="s">
        <v>233</v>
      </c>
      <c r="P6665" s="6" t="s">
        <v>39</v>
      </c>
      <c r="Q6665" s="8" t="s">
        <v>40</v>
      </c>
      <c r="R6665" s="10" t="s">
        <v>37848</v>
      </c>
      <c r="S6665" s="11"/>
      <c r="T6665" s="6"/>
      <c r="U6665" s="15" t="str">
        <f>HYPERLINK("https://media.infra-m.ru/1245/1245318/cover/1245318.jpg", "Обложка")</f>
        <v>Обложка</v>
      </c>
      <c r="V6665" s="8" t="s">
        <v>3196</v>
      </c>
      <c r="W6665" s="6"/>
      <c r="X6665" s="6"/>
      <c r="Y6665" s="6"/>
      <c r="Z6665" s="6"/>
      <c r="AA6665" s="6" t="s">
        <v>218</v>
      </c>
      <c r="AB6665" s="8"/>
      <c r="AC6665" s="27">
        <v>9785160113654</v>
      </c>
    </row>
    <row r="6666" spans="1:29" s="4" customFormat="1" ht="42" customHeight="1" x14ac:dyDescent="0.2">
      <c r="A6666" s="5">
        <v>0</v>
      </c>
      <c r="B6666" s="6" t="s">
        <v>37849</v>
      </c>
      <c r="C6666" s="7">
        <v>1211.9000000000001</v>
      </c>
      <c r="D6666" s="8" t="s">
        <v>37850</v>
      </c>
      <c r="E6666" s="8" t="s">
        <v>37851</v>
      </c>
      <c r="F6666" s="8" t="s">
        <v>37852</v>
      </c>
      <c r="G6666" s="6" t="s">
        <v>60</v>
      </c>
      <c r="H6666" s="6" t="s">
        <v>34</v>
      </c>
      <c r="I6666" s="8" t="s">
        <v>35</v>
      </c>
      <c r="J6666" s="9">
        <v>1</v>
      </c>
      <c r="K6666" s="9">
        <v>324</v>
      </c>
      <c r="L6666" s="9">
        <v>2017</v>
      </c>
      <c r="M6666" s="8" t="s">
        <v>37847</v>
      </c>
      <c r="N6666" s="8" t="s">
        <v>37</v>
      </c>
      <c r="O6666" s="8" t="s">
        <v>233</v>
      </c>
      <c r="P6666" s="6" t="s">
        <v>39</v>
      </c>
      <c r="Q6666" s="8" t="s">
        <v>40</v>
      </c>
      <c r="R6666" s="10" t="s">
        <v>37848</v>
      </c>
      <c r="S6666" s="11"/>
      <c r="T6666" s="6"/>
      <c r="U6666" s="15" t="str">
        <f>HYPERLINK("https://media.infra-m.ru/0768/0768232/cover/768232.jpg", "Обложка")</f>
        <v>Обложка</v>
      </c>
      <c r="V6666" s="8" t="s">
        <v>3196</v>
      </c>
      <c r="W6666" s="6"/>
      <c r="X6666" s="6"/>
      <c r="Y6666" s="6"/>
      <c r="Z6666" s="6"/>
      <c r="AA6666" s="6" t="s">
        <v>779</v>
      </c>
      <c r="AB6666" s="8"/>
      <c r="AC6666" s="27">
        <v>9785160113654</v>
      </c>
    </row>
    <row r="6667" spans="1:29" s="4" customFormat="1" ht="51.9" customHeight="1" x14ac:dyDescent="0.2">
      <c r="A6667" s="5">
        <v>0</v>
      </c>
      <c r="B6667" s="6" t="s">
        <v>37853</v>
      </c>
      <c r="C6667" s="7">
        <v>1956</v>
      </c>
      <c r="D6667" s="8" t="s">
        <v>37854</v>
      </c>
      <c r="E6667" s="8" t="s">
        <v>37855</v>
      </c>
      <c r="F6667" s="8" t="s">
        <v>37856</v>
      </c>
      <c r="G6667" s="6" t="s">
        <v>60</v>
      </c>
      <c r="H6667" s="6" t="s">
        <v>34</v>
      </c>
      <c r="I6667" s="8" t="s">
        <v>35</v>
      </c>
      <c r="J6667" s="9">
        <v>1</v>
      </c>
      <c r="K6667" s="9">
        <v>307</v>
      </c>
      <c r="L6667" s="9">
        <v>2024</v>
      </c>
      <c r="M6667" s="8" t="s">
        <v>37857</v>
      </c>
      <c r="N6667" s="8" t="s">
        <v>37</v>
      </c>
      <c r="O6667" s="8" t="s">
        <v>233</v>
      </c>
      <c r="P6667" s="6" t="s">
        <v>39</v>
      </c>
      <c r="Q6667" s="8" t="s">
        <v>40</v>
      </c>
      <c r="R6667" s="10" t="s">
        <v>37858</v>
      </c>
      <c r="S6667" s="11"/>
      <c r="T6667" s="6"/>
      <c r="U6667" s="15" t="str">
        <f>HYPERLINK("https://media.infra-m.ru/2141/2141609/cover/2141609.jpg", "Обложка")</f>
        <v>Обложка</v>
      </c>
      <c r="V6667" s="8" t="s">
        <v>3871</v>
      </c>
      <c r="W6667" s="6"/>
      <c r="X6667" s="6"/>
      <c r="Y6667" s="6"/>
      <c r="Z6667" s="6"/>
      <c r="AA6667" s="6" t="s">
        <v>76</v>
      </c>
      <c r="AB6667" s="8"/>
      <c r="AC6667" s="27">
        <v>9785160198729</v>
      </c>
    </row>
    <row r="6668" spans="1:29" s="4" customFormat="1" ht="44.1" customHeight="1" x14ac:dyDescent="0.2">
      <c r="A6668" s="5">
        <v>0</v>
      </c>
      <c r="B6668" s="6" t="s">
        <v>37859</v>
      </c>
      <c r="C6668" s="13">
        <v>828</v>
      </c>
      <c r="D6668" s="8" t="s">
        <v>37860</v>
      </c>
      <c r="E6668" s="8" t="s">
        <v>37861</v>
      </c>
      <c r="F6668" s="8" t="s">
        <v>37862</v>
      </c>
      <c r="G6668" s="6" t="s">
        <v>33</v>
      </c>
      <c r="H6668" s="6" t="s">
        <v>34</v>
      </c>
      <c r="I6668" s="8" t="s">
        <v>35</v>
      </c>
      <c r="J6668" s="9">
        <v>1</v>
      </c>
      <c r="K6668" s="9">
        <v>147</v>
      </c>
      <c r="L6668" s="9">
        <v>2022</v>
      </c>
      <c r="M6668" s="8" t="s">
        <v>37863</v>
      </c>
      <c r="N6668" s="8" t="s">
        <v>37</v>
      </c>
      <c r="O6668" s="8" t="s">
        <v>233</v>
      </c>
      <c r="P6668" s="6" t="s">
        <v>39</v>
      </c>
      <c r="Q6668" s="8" t="s">
        <v>40</v>
      </c>
      <c r="R6668" s="10" t="s">
        <v>235</v>
      </c>
      <c r="S6668" s="11"/>
      <c r="T6668" s="6"/>
      <c r="U6668" s="15" t="str">
        <f>HYPERLINK("https://media.infra-m.ru/1845/1845801/cover/1845801.jpg", "Обложка")</f>
        <v>Обложка</v>
      </c>
      <c r="V6668" s="8" t="s">
        <v>3871</v>
      </c>
      <c r="W6668" s="6"/>
      <c r="X6668" s="6"/>
      <c r="Y6668" s="6"/>
      <c r="Z6668" s="6"/>
      <c r="AA6668" s="6" t="s">
        <v>148</v>
      </c>
      <c r="AB6668" s="8"/>
      <c r="AC6668" s="27">
        <v>9785160173511</v>
      </c>
    </row>
    <row r="6669" spans="1:29" s="4" customFormat="1" ht="44.1" customHeight="1" x14ac:dyDescent="0.2">
      <c r="A6669" s="5">
        <v>0</v>
      </c>
      <c r="B6669" s="6" t="s">
        <v>37864</v>
      </c>
      <c r="C6669" s="7">
        <v>1516.8</v>
      </c>
      <c r="D6669" s="8" t="s">
        <v>37865</v>
      </c>
      <c r="E6669" s="8" t="s">
        <v>37866</v>
      </c>
      <c r="F6669" s="8" t="s">
        <v>37867</v>
      </c>
      <c r="G6669" s="6" t="s">
        <v>33</v>
      </c>
      <c r="H6669" s="6" t="s">
        <v>34</v>
      </c>
      <c r="I6669" s="8" t="s">
        <v>35</v>
      </c>
      <c r="J6669" s="9">
        <v>1</v>
      </c>
      <c r="K6669" s="9">
        <v>243</v>
      </c>
      <c r="L6669" s="9">
        <v>2025</v>
      </c>
      <c r="M6669" s="8" t="s">
        <v>37868</v>
      </c>
      <c r="N6669" s="8" t="s">
        <v>37</v>
      </c>
      <c r="O6669" s="8" t="s">
        <v>499</v>
      </c>
      <c r="P6669" s="6" t="s">
        <v>39</v>
      </c>
      <c r="Q6669" s="8" t="s">
        <v>40</v>
      </c>
      <c r="R6669" s="10" t="s">
        <v>14285</v>
      </c>
      <c r="S6669" s="11"/>
      <c r="T6669" s="6"/>
      <c r="U6669" s="15" t="str">
        <f>HYPERLINK("https://media.infra-m.ru/2198/2198342/cover/2198342.jpg", "Обложка")</f>
        <v>Обложка</v>
      </c>
      <c r="V6669" s="8" t="s">
        <v>1083</v>
      </c>
      <c r="W6669" s="6"/>
      <c r="X6669" s="6"/>
      <c r="Y6669" s="6"/>
      <c r="Z6669" s="6"/>
      <c r="AA6669" s="6" t="s">
        <v>1256</v>
      </c>
      <c r="AB6669" s="8"/>
      <c r="AC6669" s="27">
        <v>9785160156460</v>
      </c>
    </row>
    <row r="6670" spans="1:29" s="4" customFormat="1" ht="51.9" customHeight="1" x14ac:dyDescent="0.2">
      <c r="A6670" s="5">
        <v>0</v>
      </c>
      <c r="B6670" s="6" t="s">
        <v>37869</v>
      </c>
      <c r="C6670" s="7">
        <v>2728.8</v>
      </c>
      <c r="D6670" s="8" t="s">
        <v>37870</v>
      </c>
      <c r="E6670" s="8" t="s">
        <v>37871</v>
      </c>
      <c r="F6670" s="8" t="s">
        <v>34683</v>
      </c>
      <c r="G6670" s="6" t="s">
        <v>60</v>
      </c>
      <c r="H6670" s="6" t="s">
        <v>34</v>
      </c>
      <c r="I6670" s="8" t="s">
        <v>253</v>
      </c>
      <c r="J6670" s="9">
        <v>1</v>
      </c>
      <c r="K6670" s="9">
        <v>414</v>
      </c>
      <c r="L6670" s="9">
        <v>2027</v>
      </c>
      <c r="M6670" s="8" t="s">
        <v>37872</v>
      </c>
      <c r="N6670" s="8" t="s">
        <v>37</v>
      </c>
      <c r="O6670" s="8" t="s">
        <v>233</v>
      </c>
      <c r="P6670" s="6" t="s">
        <v>306</v>
      </c>
      <c r="Q6670" s="8" t="s">
        <v>65</v>
      </c>
      <c r="R6670" s="10" t="s">
        <v>37873</v>
      </c>
      <c r="S6670" s="11" t="s">
        <v>768</v>
      </c>
      <c r="T6670" s="6"/>
      <c r="U6670" s="15" t="str">
        <f>HYPERLINK("https://media.infra-m.ru/2251/2251403/cover/2251403.jpg", "Обложка")</f>
        <v>Обложка</v>
      </c>
      <c r="V6670" s="8" t="s">
        <v>396</v>
      </c>
      <c r="W6670" s="6"/>
      <c r="X6670" s="6" t="s">
        <v>24</v>
      </c>
      <c r="Y6670" s="6"/>
      <c r="Z6670" s="6"/>
      <c r="AA6670" s="6" t="s">
        <v>623</v>
      </c>
      <c r="AB6670" s="8"/>
      <c r="AC6670" s="27">
        <v>9785160188683</v>
      </c>
    </row>
    <row r="6671" spans="1:29" s="4" customFormat="1" ht="51.9" customHeight="1" x14ac:dyDescent="0.2">
      <c r="A6671" s="5">
        <v>0</v>
      </c>
      <c r="B6671" s="6" t="s">
        <v>37874</v>
      </c>
      <c r="C6671" s="13">
        <v>868.8</v>
      </c>
      <c r="D6671" s="8" t="s">
        <v>37875</v>
      </c>
      <c r="E6671" s="8" t="s">
        <v>37876</v>
      </c>
      <c r="F6671" s="8" t="s">
        <v>37877</v>
      </c>
      <c r="G6671" s="6" t="s">
        <v>33</v>
      </c>
      <c r="H6671" s="6" t="s">
        <v>34</v>
      </c>
      <c r="I6671" s="8" t="s">
        <v>1081</v>
      </c>
      <c r="J6671" s="9">
        <v>1</v>
      </c>
      <c r="K6671" s="9">
        <v>159</v>
      </c>
      <c r="L6671" s="9">
        <v>2023</v>
      </c>
      <c r="M6671" s="8" t="s">
        <v>37878</v>
      </c>
      <c r="N6671" s="8" t="s">
        <v>37</v>
      </c>
      <c r="O6671" s="8" t="s">
        <v>499</v>
      </c>
      <c r="P6671" s="6" t="s">
        <v>39</v>
      </c>
      <c r="Q6671" s="8" t="s">
        <v>40</v>
      </c>
      <c r="R6671" s="10" t="s">
        <v>37879</v>
      </c>
      <c r="S6671" s="11"/>
      <c r="T6671" s="6"/>
      <c r="U6671" s="15" t="str">
        <f>HYPERLINK("https://media.infra-m.ru/2030/2030863/cover/2030863.jpg", "Обложка")</f>
        <v>Обложка</v>
      </c>
      <c r="V6671" s="8" t="s">
        <v>1083</v>
      </c>
      <c r="W6671" s="6"/>
      <c r="X6671" s="6"/>
      <c r="Y6671" s="6"/>
      <c r="Z6671" s="6"/>
      <c r="AA6671" s="6" t="s">
        <v>115</v>
      </c>
      <c r="AB6671" s="8"/>
      <c r="AC6671" s="27">
        <v>9785160145488</v>
      </c>
    </row>
    <row r="6672" spans="1:29" s="4" customFormat="1" ht="42" customHeight="1" x14ac:dyDescent="0.2">
      <c r="A6672" s="5">
        <v>0</v>
      </c>
      <c r="B6672" s="6" t="s">
        <v>37880</v>
      </c>
      <c r="C6672" s="7">
        <v>1140</v>
      </c>
      <c r="D6672" s="8" t="s">
        <v>37881</v>
      </c>
      <c r="E6672" s="8" t="s">
        <v>37882</v>
      </c>
      <c r="F6672" s="8" t="s">
        <v>10235</v>
      </c>
      <c r="G6672" s="6" t="s">
        <v>33</v>
      </c>
      <c r="H6672" s="6" t="s">
        <v>34</v>
      </c>
      <c r="I6672" s="8" t="s">
        <v>35</v>
      </c>
      <c r="J6672" s="9">
        <v>1</v>
      </c>
      <c r="K6672" s="9">
        <v>210</v>
      </c>
      <c r="L6672" s="9">
        <v>2023</v>
      </c>
      <c r="M6672" s="8" t="s">
        <v>37883</v>
      </c>
      <c r="N6672" s="8" t="s">
        <v>37</v>
      </c>
      <c r="O6672" s="8" t="s">
        <v>83</v>
      </c>
      <c r="P6672" s="6" t="s">
        <v>39</v>
      </c>
      <c r="Q6672" s="8" t="s">
        <v>40</v>
      </c>
      <c r="R6672" s="10" t="s">
        <v>37884</v>
      </c>
      <c r="S6672" s="11"/>
      <c r="T6672" s="6"/>
      <c r="U6672" s="15" t="str">
        <f>HYPERLINK("https://media.infra-m.ru/2021/2021419/cover/2021419.jpg", "Обложка")</f>
        <v>Обложка</v>
      </c>
      <c r="V6672" s="8" t="s">
        <v>10238</v>
      </c>
      <c r="W6672" s="6"/>
      <c r="X6672" s="6"/>
      <c r="Y6672" s="6"/>
      <c r="Z6672" s="6"/>
      <c r="AA6672" s="6" t="s">
        <v>86</v>
      </c>
      <c r="AB6672" s="8"/>
      <c r="AC6672" s="27">
        <v>9785160140520</v>
      </c>
    </row>
    <row r="6673" spans="1:29" s="4" customFormat="1" ht="51.9" customHeight="1" x14ac:dyDescent="0.2">
      <c r="A6673" s="5">
        <v>0</v>
      </c>
      <c r="B6673" s="6" t="s">
        <v>37885</v>
      </c>
      <c r="C6673" s="7">
        <v>1596</v>
      </c>
      <c r="D6673" s="8" t="s">
        <v>37886</v>
      </c>
      <c r="E6673" s="8" t="s">
        <v>37887</v>
      </c>
      <c r="F6673" s="8" t="s">
        <v>37888</v>
      </c>
      <c r="G6673" s="6" t="s">
        <v>60</v>
      </c>
      <c r="H6673" s="6" t="s">
        <v>34</v>
      </c>
      <c r="I6673" s="8" t="s">
        <v>35</v>
      </c>
      <c r="J6673" s="9">
        <v>1</v>
      </c>
      <c r="K6673" s="9">
        <v>225</v>
      </c>
      <c r="L6673" s="9">
        <v>2027</v>
      </c>
      <c r="M6673" s="8" t="s">
        <v>37889</v>
      </c>
      <c r="N6673" s="8" t="s">
        <v>585</v>
      </c>
      <c r="O6673" s="8" t="s">
        <v>586</v>
      </c>
      <c r="P6673" s="6" t="s">
        <v>39</v>
      </c>
      <c r="Q6673" s="8" t="s">
        <v>40</v>
      </c>
      <c r="R6673" s="10" t="s">
        <v>37890</v>
      </c>
      <c r="S6673" s="11"/>
      <c r="T6673" s="6"/>
      <c r="U6673" s="15" t="str">
        <f>HYPERLINK("https://media.infra-m.ru/2234/2234591/cover/2234591.jpg", "Обложка")</f>
        <v>Обложка</v>
      </c>
      <c r="V6673" s="8" t="s">
        <v>6700</v>
      </c>
      <c r="W6673" s="6" t="s">
        <v>2115</v>
      </c>
      <c r="X6673" s="6"/>
      <c r="Y6673" s="6"/>
      <c r="Z6673" s="6"/>
      <c r="AA6673" s="6" t="s">
        <v>420</v>
      </c>
      <c r="AB6673" s="8" t="s">
        <v>308</v>
      </c>
      <c r="AC6673" s="27">
        <v>9785160216805</v>
      </c>
    </row>
    <row r="6674" spans="1:29" s="4" customFormat="1" ht="51.9" customHeight="1" x14ac:dyDescent="0.2">
      <c r="A6674" s="5">
        <v>0</v>
      </c>
      <c r="B6674" s="6" t="s">
        <v>37891</v>
      </c>
      <c r="C6674" s="7">
        <v>3922.8</v>
      </c>
      <c r="D6674" s="8" t="s">
        <v>37892</v>
      </c>
      <c r="E6674" s="8" t="s">
        <v>37893</v>
      </c>
      <c r="F6674" s="8" t="s">
        <v>37894</v>
      </c>
      <c r="G6674" s="6" t="s">
        <v>60</v>
      </c>
      <c r="H6674" s="6" t="s">
        <v>34</v>
      </c>
      <c r="I6674" s="8" t="s">
        <v>30948</v>
      </c>
      <c r="J6674" s="9">
        <v>1</v>
      </c>
      <c r="K6674" s="9">
        <v>376</v>
      </c>
      <c r="L6674" s="9">
        <v>2027</v>
      </c>
      <c r="M6674" s="8" t="s">
        <v>37895</v>
      </c>
      <c r="N6674" s="8" t="s">
        <v>63</v>
      </c>
      <c r="O6674" s="8" t="s">
        <v>181</v>
      </c>
      <c r="P6674" s="6" t="s">
        <v>51</v>
      </c>
      <c r="Q6674" s="8" t="s">
        <v>52</v>
      </c>
      <c r="R6674" s="10" t="s">
        <v>37896</v>
      </c>
      <c r="S6674" s="11" t="s">
        <v>37897</v>
      </c>
      <c r="T6674" s="6"/>
      <c r="U6674" s="15" t="str">
        <f>HYPERLINK("https://media.infra-m.ru/2257/2257123/cover/2257123.jpg", "Обложка")</f>
        <v>Обложка</v>
      </c>
      <c r="V6674" s="8" t="s">
        <v>1132</v>
      </c>
      <c r="W6674" s="6"/>
      <c r="X6674" s="6"/>
      <c r="Y6674" s="6"/>
      <c r="Z6674" s="6"/>
      <c r="AA6674" s="6" t="s">
        <v>157</v>
      </c>
      <c r="AB6674" s="8"/>
      <c r="AC6674" s="27">
        <v>9785160180793</v>
      </c>
    </row>
    <row r="6675" spans="1:29" s="4" customFormat="1" ht="42" customHeight="1" x14ac:dyDescent="0.2">
      <c r="A6675" s="5">
        <v>0</v>
      </c>
      <c r="B6675" s="6" t="s">
        <v>37898</v>
      </c>
      <c r="C6675" s="7">
        <v>3694.8</v>
      </c>
      <c r="D6675" s="8" t="s">
        <v>37899</v>
      </c>
      <c r="E6675" s="8" t="s">
        <v>37893</v>
      </c>
      <c r="F6675" s="8" t="s">
        <v>37894</v>
      </c>
      <c r="G6675" s="6" t="s">
        <v>60</v>
      </c>
      <c r="H6675" s="6" t="s">
        <v>34</v>
      </c>
      <c r="I6675" s="8" t="s">
        <v>2518</v>
      </c>
      <c r="J6675" s="9">
        <v>1</v>
      </c>
      <c r="K6675" s="9">
        <v>376</v>
      </c>
      <c r="L6675" s="9">
        <v>2027</v>
      </c>
      <c r="M6675" s="8" t="s">
        <v>37900</v>
      </c>
      <c r="N6675" s="8" t="s">
        <v>63</v>
      </c>
      <c r="O6675" s="8" t="s">
        <v>181</v>
      </c>
      <c r="P6675" s="6" t="s">
        <v>51</v>
      </c>
      <c r="Q6675" s="8" t="s">
        <v>265</v>
      </c>
      <c r="R6675" s="10" t="s">
        <v>17712</v>
      </c>
      <c r="S6675" s="11"/>
      <c r="T6675" s="6"/>
      <c r="U6675" s="15" t="str">
        <f>HYPERLINK("https://media.infra-m.ru/2257/2257125/cover/2257125.jpg", "Обложка")</f>
        <v>Обложка</v>
      </c>
      <c r="V6675" s="8" t="s">
        <v>1132</v>
      </c>
      <c r="W6675" s="6"/>
      <c r="X6675" s="6"/>
      <c r="Y6675" s="6"/>
      <c r="Z6675" s="6" t="s">
        <v>267</v>
      </c>
      <c r="AA6675" s="6" t="s">
        <v>68</v>
      </c>
      <c r="AB6675" s="8"/>
      <c r="AC6675" s="27">
        <v>9785160203478</v>
      </c>
    </row>
    <row r="6676" spans="1:29" s="4" customFormat="1" ht="42" customHeight="1" x14ac:dyDescent="0.2">
      <c r="A6676" s="5">
        <v>0</v>
      </c>
      <c r="B6676" s="6" t="s">
        <v>37901</v>
      </c>
      <c r="C6676" s="7">
        <v>2390.4</v>
      </c>
      <c r="D6676" s="8" t="s">
        <v>37902</v>
      </c>
      <c r="E6676" s="8" t="s">
        <v>37903</v>
      </c>
      <c r="F6676" s="8" t="s">
        <v>37904</v>
      </c>
      <c r="G6676" s="6" t="s">
        <v>33</v>
      </c>
      <c r="H6676" s="6" t="s">
        <v>820</v>
      </c>
      <c r="I6676" s="8" t="s">
        <v>253</v>
      </c>
      <c r="J6676" s="9">
        <v>1</v>
      </c>
      <c r="K6676" s="9">
        <v>110</v>
      </c>
      <c r="L6676" s="9">
        <v>2026</v>
      </c>
      <c r="M6676" s="8" t="s">
        <v>37905</v>
      </c>
      <c r="N6676" s="8" t="s">
        <v>63</v>
      </c>
      <c r="O6676" s="8" t="s">
        <v>64</v>
      </c>
      <c r="P6676" s="6" t="s">
        <v>51</v>
      </c>
      <c r="Q6676" s="8" t="s">
        <v>52</v>
      </c>
      <c r="R6676" s="10" t="s">
        <v>37906</v>
      </c>
      <c r="S6676" s="11"/>
      <c r="T6676" s="6"/>
      <c r="U6676" s="15" t="str">
        <f>HYPERLINK("https://media.infra-m.ru/2243/2243317/cover/2243317.jpg", "Обложка")</f>
        <v>Обложка</v>
      </c>
      <c r="V6676" s="8" t="s">
        <v>9149</v>
      </c>
      <c r="W6676" s="6"/>
      <c r="X6676" s="6" t="s">
        <v>24</v>
      </c>
      <c r="Y6676" s="6"/>
      <c r="Z6676" s="6"/>
      <c r="AA6676" s="6" t="s">
        <v>86</v>
      </c>
      <c r="AB6676" s="8"/>
      <c r="AC6676" s="27">
        <v>9785906818898</v>
      </c>
    </row>
    <row r="6677" spans="1:29" s="4" customFormat="1" ht="51.9" customHeight="1" x14ac:dyDescent="0.2">
      <c r="A6677" s="5">
        <v>0</v>
      </c>
      <c r="B6677" s="6" t="s">
        <v>37907</v>
      </c>
      <c r="C6677" s="7">
        <v>2392.8000000000002</v>
      </c>
      <c r="D6677" s="8" t="s">
        <v>37908</v>
      </c>
      <c r="E6677" s="8" t="s">
        <v>37909</v>
      </c>
      <c r="F6677" s="8" t="s">
        <v>37910</v>
      </c>
      <c r="G6677" s="6" t="s">
        <v>60</v>
      </c>
      <c r="H6677" s="6" t="s">
        <v>134</v>
      </c>
      <c r="I6677" s="8"/>
      <c r="J6677" s="9">
        <v>1</v>
      </c>
      <c r="K6677" s="9">
        <v>448</v>
      </c>
      <c r="L6677" s="9">
        <v>2025</v>
      </c>
      <c r="M6677" s="8" t="s">
        <v>37911</v>
      </c>
      <c r="N6677" s="8" t="s">
        <v>37</v>
      </c>
      <c r="O6677" s="8" t="s">
        <v>136</v>
      </c>
      <c r="P6677" s="6" t="s">
        <v>39</v>
      </c>
      <c r="Q6677" s="8" t="s">
        <v>40</v>
      </c>
      <c r="R6677" s="10" t="s">
        <v>37912</v>
      </c>
      <c r="S6677" s="11"/>
      <c r="T6677" s="6"/>
      <c r="U6677" s="15" t="str">
        <f>HYPERLINK("https://media.infra-m.ru/2203/2203346/cover/2203346.jpg", "Обложка")</f>
        <v>Обложка</v>
      </c>
      <c r="V6677" s="8" t="s">
        <v>1277</v>
      </c>
      <c r="W6677" s="6"/>
      <c r="X6677" s="6"/>
      <c r="Y6677" s="6"/>
      <c r="Z6677" s="6"/>
      <c r="AA6677" s="6" t="s">
        <v>718</v>
      </c>
      <c r="AB6677" s="8"/>
      <c r="AC6677" s="27">
        <v>9785917683584</v>
      </c>
    </row>
    <row r="6678" spans="1:29" s="4" customFormat="1" ht="51.9" customHeight="1" x14ac:dyDescent="0.2">
      <c r="A6678" s="5">
        <v>0</v>
      </c>
      <c r="B6678" s="6" t="s">
        <v>37913</v>
      </c>
      <c r="C6678" s="7">
        <v>1488</v>
      </c>
      <c r="D6678" s="8" t="s">
        <v>37914</v>
      </c>
      <c r="E6678" s="8" t="s">
        <v>37915</v>
      </c>
      <c r="F6678" s="8" t="s">
        <v>37916</v>
      </c>
      <c r="G6678" s="6" t="s">
        <v>60</v>
      </c>
      <c r="H6678" s="6" t="s">
        <v>34</v>
      </c>
      <c r="I6678" s="8" t="s">
        <v>457</v>
      </c>
      <c r="J6678" s="9">
        <v>1</v>
      </c>
      <c r="K6678" s="9">
        <v>227</v>
      </c>
      <c r="L6678" s="9">
        <v>2024</v>
      </c>
      <c r="M6678" s="8" t="s">
        <v>37917</v>
      </c>
      <c r="N6678" s="8" t="s">
        <v>37</v>
      </c>
      <c r="O6678" s="8" t="s">
        <v>83</v>
      </c>
      <c r="P6678" s="6" t="s">
        <v>39</v>
      </c>
      <c r="Q6678" s="8" t="s">
        <v>40</v>
      </c>
      <c r="R6678" s="10" t="s">
        <v>37918</v>
      </c>
      <c r="S6678" s="11"/>
      <c r="T6678" s="6"/>
      <c r="U6678" s="15" t="str">
        <f>HYPERLINK("https://media.infra-m.ru/2162/2162821/cover/2162821.jpg", "Обложка")</f>
        <v>Обложка</v>
      </c>
      <c r="V6678" s="8" t="s">
        <v>247</v>
      </c>
      <c r="W6678" s="6"/>
      <c r="X6678" s="6"/>
      <c r="Y6678" s="6"/>
      <c r="Z6678" s="6"/>
      <c r="AA6678" s="6" t="s">
        <v>76</v>
      </c>
      <c r="AB6678" s="8"/>
      <c r="AC6678" s="27">
        <v>9785160201993</v>
      </c>
    </row>
    <row r="6679" spans="1:29" s="4" customFormat="1" ht="51.9" customHeight="1" x14ac:dyDescent="0.2">
      <c r="A6679" s="5">
        <v>0</v>
      </c>
      <c r="B6679" s="6" t="s">
        <v>37919</v>
      </c>
      <c r="C6679" s="7">
        <v>2090.4</v>
      </c>
      <c r="D6679" s="8" t="s">
        <v>37920</v>
      </c>
      <c r="E6679" s="8" t="s">
        <v>37921</v>
      </c>
      <c r="F6679" s="8" t="s">
        <v>37922</v>
      </c>
      <c r="G6679" s="6" t="s">
        <v>118</v>
      </c>
      <c r="H6679" s="6" t="s">
        <v>34</v>
      </c>
      <c r="I6679" s="8"/>
      <c r="J6679" s="9">
        <v>1</v>
      </c>
      <c r="K6679" s="9">
        <v>284</v>
      </c>
      <c r="L6679" s="9">
        <v>2024</v>
      </c>
      <c r="M6679" s="8" t="s">
        <v>37923</v>
      </c>
      <c r="N6679" s="8" t="s">
        <v>37</v>
      </c>
      <c r="O6679" s="8" t="s">
        <v>280</v>
      </c>
      <c r="P6679" s="6" t="s">
        <v>182</v>
      </c>
      <c r="Q6679" s="8" t="s">
        <v>40</v>
      </c>
      <c r="R6679" s="10" t="s">
        <v>16807</v>
      </c>
      <c r="S6679" s="11"/>
      <c r="T6679" s="6"/>
      <c r="U6679" s="15" t="str">
        <f>HYPERLINK("https://media.infra-m.ru/2125/2125435/cover/2125435.jpg", "Обложка")</f>
        <v>Обложка</v>
      </c>
      <c r="V6679" s="8" t="s">
        <v>3196</v>
      </c>
      <c r="W6679" s="6"/>
      <c r="X6679" s="6"/>
      <c r="Y6679" s="6"/>
      <c r="Z6679" s="6"/>
      <c r="AA6679" s="6" t="s">
        <v>404</v>
      </c>
      <c r="AB6679" s="8"/>
      <c r="AC6679" s="27">
        <v>9785160141381</v>
      </c>
    </row>
    <row r="6680" spans="1:29" s="4" customFormat="1" ht="51.9" customHeight="1" x14ac:dyDescent="0.2">
      <c r="A6680" s="5">
        <v>0</v>
      </c>
      <c r="B6680" s="6" t="s">
        <v>37924</v>
      </c>
      <c r="C6680" s="7">
        <v>2626.8</v>
      </c>
      <c r="D6680" s="8" t="s">
        <v>37925</v>
      </c>
      <c r="E6680" s="8" t="s">
        <v>37926</v>
      </c>
      <c r="F6680" s="8" t="s">
        <v>37922</v>
      </c>
      <c r="G6680" s="6" t="s">
        <v>118</v>
      </c>
      <c r="H6680" s="6" t="s">
        <v>34</v>
      </c>
      <c r="I6680" s="8" t="s">
        <v>179</v>
      </c>
      <c r="J6680" s="9">
        <v>1</v>
      </c>
      <c r="K6680" s="9">
        <v>290</v>
      </c>
      <c r="L6680" s="9">
        <v>2026</v>
      </c>
      <c r="M6680" s="8" t="s">
        <v>37927</v>
      </c>
      <c r="N6680" s="8" t="s">
        <v>37</v>
      </c>
      <c r="O6680" s="8" t="s">
        <v>280</v>
      </c>
      <c r="P6680" s="6" t="s">
        <v>182</v>
      </c>
      <c r="Q6680" s="8" t="s">
        <v>40</v>
      </c>
      <c r="R6680" s="10" t="s">
        <v>16807</v>
      </c>
      <c r="S6680" s="11"/>
      <c r="T6680" s="6"/>
      <c r="U6680" s="15" t="str">
        <f>HYPERLINK("https://media.infra-m.ru/2259/2259417/cover/2259417.jpg", "Обложка")</f>
        <v>Обложка</v>
      </c>
      <c r="V6680" s="8" t="s">
        <v>3196</v>
      </c>
      <c r="W6680" s="6"/>
      <c r="X6680" s="6"/>
      <c r="Y6680" s="6"/>
      <c r="Z6680" s="6"/>
      <c r="AA6680" s="6" t="s">
        <v>1295</v>
      </c>
      <c r="AB6680" s="8"/>
      <c r="AC6680" s="27">
        <v>9785160222400</v>
      </c>
    </row>
    <row r="6681" spans="1:29" s="4" customFormat="1" ht="44.1" customHeight="1" x14ac:dyDescent="0.2">
      <c r="A6681" s="5">
        <v>0</v>
      </c>
      <c r="B6681" s="6" t="s">
        <v>37928</v>
      </c>
      <c r="C6681" s="7">
        <v>1464</v>
      </c>
      <c r="D6681" s="8" t="s">
        <v>37929</v>
      </c>
      <c r="E6681" s="8" t="s">
        <v>37930</v>
      </c>
      <c r="F6681" s="8" t="s">
        <v>37931</v>
      </c>
      <c r="G6681" s="6" t="s">
        <v>33</v>
      </c>
      <c r="H6681" s="6" t="s">
        <v>34</v>
      </c>
      <c r="I6681" s="8" t="s">
        <v>35</v>
      </c>
      <c r="J6681" s="9">
        <v>1</v>
      </c>
      <c r="K6681" s="9">
        <v>210</v>
      </c>
      <c r="L6681" s="9">
        <v>2026</v>
      </c>
      <c r="M6681" s="8" t="s">
        <v>37932</v>
      </c>
      <c r="N6681" s="8" t="s">
        <v>63</v>
      </c>
      <c r="O6681" s="8" t="s">
        <v>154</v>
      </c>
      <c r="P6681" s="6" t="s">
        <v>39</v>
      </c>
      <c r="Q6681" s="8" t="s">
        <v>40</v>
      </c>
      <c r="R6681" s="10" t="s">
        <v>37933</v>
      </c>
      <c r="S6681" s="11"/>
      <c r="T6681" s="6"/>
      <c r="U6681" s="15" t="str">
        <f>HYPERLINK("https://media.infra-m.ru/2258/2258747/cover/2258747.jpg", "Обложка")</f>
        <v>Обложка</v>
      </c>
      <c r="V6681" s="8" t="s">
        <v>6474</v>
      </c>
      <c r="W6681" s="6"/>
      <c r="X6681" s="6"/>
      <c r="Y6681" s="6"/>
      <c r="Z6681" s="6"/>
      <c r="AA6681" s="6" t="s">
        <v>430</v>
      </c>
      <c r="AB6681" s="8"/>
      <c r="AC6681" s="27">
        <v>9785160162010</v>
      </c>
    </row>
    <row r="6682" spans="1:29" s="4" customFormat="1" ht="51.9" customHeight="1" x14ac:dyDescent="0.2">
      <c r="A6682" s="5">
        <v>0</v>
      </c>
      <c r="B6682" s="6" t="s">
        <v>37934</v>
      </c>
      <c r="C6682" s="7">
        <v>2644.8</v>
      </c>
      <c r="D6682" s="8" t="s">
        <v>37935</v>
      </c>
      <c r="E6682" s="8" t="s">
        <v>37936</v>
      </c>
      <c r="F6682" s="8" t="s">
        <v>37937</v>
      </c>
      <c r="G6682" s="6" t="s">
        <v>60</v>
      </c>
      <c r="H6682" s="6" t="s">
        <v>1795</v>
      </c>
      <c r="I6682" s="8"/>
      <c r="J6682" s="9">
        <v>1</v>
      </c>
      <c r="K6682" s="9">
        <v>400</v>
      </c>
      <c r="L6682" s="9">
        <v>2026</v>
      </c>
      <c r="M6682" s="8" t="s">
        <v>37938</v>
      </c>
      <c r="N6682" s="8" t="s">
        <v>37</v>
      </c>
      <c r="O6682" s="8" t="s">
        <v>280</v>
      </c>
      <c r="P6682" s="6" t="s">
        <v>306</v>
      </c>
      <c r="Q6682" s="8" t="s">
        <v>52</v>
      </c>
      <c r="R6682" s="10" t="s">
        <v>37939</v>
      </c>
      <c r="S6682" s="11"/>
      <c r="T6682" s="6"/>
      <c r="U6682" s="15" t="str">
        <f>HYPERLINK("https://media.infra-m.ru/2238/2238487/cover/2238487.jpg", "Обложка")</f>
        <v>Обложка</v>
      </c>
      <c r="V6682" s="8" t="s">
        <v>21843</v>
      </c>
      <c r="W6682" s="6"/>
      <c r="X6682" s="6"/>
      <c r="Y6682" s="6"/>
      <c r="Z6682" s="6"/>
      <c r="AA6682" s="6" t="s">
        <v>1015</v>
      </c>
      <c r="AB6682" s="8"/>
      <c r="AC6682" s="27">
        <v>9785982811714</v>
      </c>
    </row>
    <row r="6683" spans="1:29" s="4" customFormat="1" ht="51.9" customHeight="1" x14ac:dyDescent="0.2">
      <c r="A6683" s="5">
        <v>0</v>
      </c>
      <c r="B6683" s="6" t="s">
        <v>37940</v>
      </c>
      <c r="C6683" s="7">
        <v>2152.8000000000002</v>
      </c>
      <c r="D6683" s="8" t="s">
        <v>37941</v>
      </c>
      <c r="E6683" s="8" t="s">
        <v>37936</v>
      </c>
      <c r="F6683" s="8" t="s">
        <v>37942</v>
      </c>
      <c r="G6683" s="6" t="s">
        <v>60</v>
      </c>
      <c r="H6683" s="6" t="s">
        <v>34</v>
      </c>
      <c r="I6683" s="8" t="s">
        <v>263</v>
      </c>
      <c r="J6683" s="9">
        <v>1</v>
      </c>
      <c r="K6683" s="9">
        <v>397</v>
      </c>
      <c r="L6683" s="9">
        <v>2023</v>
      </c>
      <c r="M6683" s="8" t="s">
        <v>37943</v>
      </c>
      <c r="N6683" s="8" t="s">
        <v>37</v>
      </c>
      <c r="O6683" s="8" t="s">
        <v>280</v>
      </c>
      <c r="P6683" s="6" t="s">
        <v>306</v>
      </c>
      <c r="Q6683" s="8" t="s">
        <v>265</v>
      </c>
      <c r="R6683" s="10" t="s">
        <v>37944</v>
      </c>
      <c r="S6683" s="11" t="s">
        <v>37945</v>
      </c>
      <c r="T6683" s="6"/>
      <c r="U6683" s="15" t="str">
        <f>HYPERLINK("https://media.infra-m.ru/2021/2021443/cover/2021443.jpg", "Обложка")</f>
        <v>Обложка</v>
      </c>
      <c r="V6683" s="8" t="s">
        <v>21843</v>
      </c>
      <c r="W6683" s="6"/>
      <c r="X6683" s="6"/>
      <c r="Y6683" s="6"/>
      <c r="Z6683" s="6" t="s">
        <v>267</v>
      </c>
      <c r="AA6683" s="6" t="s">
        <v>430</v>
      </c>
      <c r="AB6683" s="8"/>
      <c r="AC6683" s="27">
        <v>9785160169354</v>
      </c>
    </row>
    <row r="6684" spans="1:29" s="4" customFormat="1" ht="51.9" customHeight="1" x14ac:dyDescent="0.2">
      <c r="A6684" s="5">
        <v>0</v>
      </c>
      <c r="B6684" s="6" t="s">
        <v>37946</v>
      </c>
      <c r="C6684" s="7">
        <v>1428</v>
      </c>
      <c r="D6684" s="8" t="s">
        <v>37947</v>
      </c>
      <c r="E6684" s="8" t="s">
        <v>37948</v>
      </c>
      <c r="F6684" s="8" t="s">
        <v>10183</v>
      </c>
      <c r="G6684" s="6" t="s">
        <v>118</v>
      </c>
      <c r="H6684" s="6" t="s">
        <v>34</v>
      </c>
      <c r="I6684" s="8" t="s">
        <v>263</v>
      </c>
      <c r="J6684" s="9">
        <v>1</v>
      </c>
      <c r="K6684" s="9">
        <v>205</v>
      </c>
      <c r="L6684" s="9">
        <v>2027</v>
      </c>
      <c r="M6684" s="8" t="s">
        <v>37949</v>
      </c>
      <c r="N6684" s="8" t="s">
        <v>37</v>
      </c>
      <c r="O6684" s="8" t="s">
        <v>499</v>
      </c>
      <c r="P6684" s="6" t="s">
        <v>51</v>
      </c>
      <c r="Q6684" s="8" t="s">
        <v>265</v>
      </c>
      <c r="R6684" s="10" t="s">
        <v>26559</v>
      </c>
      <c r="S6684" s="11" t="s">
        <v>37950</v>
      </c>
      <c r="T6684" s="6"/>
      <c r="U6684" s="15" t="str">
        <f>HYPERLINK("https://media.infra-m.ru/2262/2262263/cover/2262263.jpg", "Обложка")</f>
        <v>Обложка</v>
      </c>
      <c r="V6684" s="8" t="s">
        <v>3304</v>
      </c>
      <c r="W6684" s="6"/>
      <c r="X6684" s="6"/>
      <c r="Y6684" s="6"/>
      <c r="Z6684" s="6"/>
      <c r="AA6684" s="6" t="s">
        <v>430</v>
      </c>
      <c r="AB6684" s="8"/>
      <c r="AC6684" s="27">
        <v>9785160143910</v>
      </c>
    </row>
    <row r="6685" spans="1:29" s="4" customFormat="1" ht="42" customHeight="1" x14ac:dyDescent="0.2">
      <c r="A6685" s="5">
        <v>0</v>
      </c>
      <c r="B6685" s="6" t="s">
        <v>37951</v>
      </c>
      <c r="C6685" s="7">
        <v>3004.8</v>
      </c>
      <c r="D6685" s="8" t="s">
        <v>37952</v>
      </c>
      <c r="E6685" s="8" t="s">
        <v>37953</v>
      </c>
      <c r="F6685" s="8" t="s">
        <v>37954</v>
      </c>
      <c r="G6685" s="6" t="s">
        <v>60</v>
      </c>
      <c r="H6685" s="6" t="s">
        <v>1644</v>
      </c>
      <c r="I6685" s="8"/>
      <c r="J6685" s="9">
        <v>1</v>
      </c>
      <c r="K6685" s="9">
        <v>544</v>
      </c>
      <c r="L6685" s="9">
        <v>2024</v>
      </c>
      <c r="M6685" s="8" t="s">
        <v>37955</v>
      </c>
      <c r="N6685" s="8" t="s">
        <v>243</v>
      </c>
      <c r="O6685" s="8" t="s">
        <v>758</v>
      </c>
      <c r="P6685" s="6" t="s">
        <v>306</v>
      </c>
      <c r="Q6685" s="8" t="s">
        <v>52</v>
      </c>
      <c r="R6685" s="10" t="s">
        <v>37956</v>
      </c>
      <c r="S6685" s="11"/>
      <c r="T6685" s="6"/>
      <c r="U6685" s="15" t="str">
        <f>HYPERLINK("https://media.infra-m.ru/2122/2122429/cover/2122429.jpg", "Обложка")</f>
        <v>Обложка</v>
      </c>
      <c r="V6685" s="8" t="s">
        <v>18741</v>
      </c>
      <c r="W6685" s="6"/>
      <c r="X6685" s="6"/>
      <c r="Y6685" s="6"/>
      <c r="Z6685" s="6"/>
      <c r="AA6685" s="6" t="s">
        <v>86</v>
      </c>
      <c r="AB6685" s="8"/>
      <c r="AC6685" s="27">
        <v>9785977604758</v>
      </c>
    </row>
    <row r="6686" spans="1:29" s="4" customFormat="1" ht="51.9" customHeight="1" x14ac:dyDescent="0.2">
      <c r="A6686" s="5">
        <v>0</v>
      </c>
      <c r="B6686" s="6" t="s">
        <v>37957</v>
      </c>
      <c r="C6686" s="7">
        <v>1109.9000000000001</v>
      </c>
      <c r="D6686" s="8" t="s">
        <v>37958</v>
      </c>
      <c r="E6686" s="8" t="s">
        <v>37959</v>
      </c>
      <c r="F6686" s="8" t="s">
        <v>37960</v>
      </c>
      <c r="G6686" s="6" t="s">
        <v>60</v>
      </c>
      <c r="H6686" s="6" t="s">
        <v>34</v>
      </c>
      <c r="I6686" s="8" t="s">
        <v>35</v>
      </c>
      <c r="J6686" s="9">
        <v>1</v>
      </c>
      <c r="K6686" s="9">
        <v>271</v>
      </c>
      <c r="L6686" s="9">
        <v>2019</v>
      </c>
      <c r="M6686" s="8" t="s">
        <v>37961</v>
      </c>
      <c r="N6686" s="8" t="s">
        <v>243</v>
      </c>
      <c r="O6686" s="8" t="s">
        <v>329</v>
      </c>
      <c r="P6686" s="6" t="s">
        <v>39</v>
      </c>
      <c r="Q6686" s="8" t="s">
        <v>40</v>
      </c>
      <c r="R6686" s="10" t="s">
        <v>37962</v>
      </c>
      <c r="S6686" s="11"/>
      <c r="T6686" s="6"/>
      <c r="U6686" s="12"/>
      <c r="V6686" s="8" t="s">
        <v>1116</v>
      </c>
      <c r="W6686" s="6"/>
      <c r="X6686" s="6"/>
      <c r="Y6686" s="6"/>
      <c r="Z6686" s="6"/>
      <c r="AA6686" s="6" t="s">
        <v>779</v>
      </c>
      <c r="AB6686" s="8"/>
      <c r="AC6686" s="27">
        <v>9785160116495</v>
      </c>
    </row>
    <row r="6687" spans="1:29" s="4" customFormat="1" ht="51.9" customHeight="1" x14ac:dyDescent="0.2">
      <c r="A6687" s="5">
        <v>0</v>
      </c>
      <c r="B6687" s="6" t="s">
        <v>37963</v>
      </c>
      <c r="C6687" s="7">
        <v>1896</v>
      </c>
      <c r="D6687" s="8" t="s">
        <v>37964</v>
      </c>
      <c r="E6687" s="8" t="s">
        <v>37959</v>
      </c>
      <c r="F6687" s="8" t="s">
        <v>27627</v>
      </c>
      <c r="G6687" s="6" t="s">
        <v>33</v>
      </c>
      <c r="H6687" s="6" t="s">
        <v>34</v>
      </c>
      <c r="I6687" s="8" t="s">
        <v>35</v>
      </c>
      <c r="J6687" s="9">
        <v>1</v>
      </c>
      <c r="K6687" s="9">
        <v>271</v>
      </c>
      <c r="L6687" s="9">
        <v>2027</v>
      </c>
      <c r="M6687" s="8" t="s">
        <v>37965</v>
      </c>
      <c r="N6687" s="8" t="s">
        <v>243</v>
      </c>
      <c r="O6687" s="8" t="s">
        <v>329</v>
      </c>
      <c r="P6687" s="6" t="s">
        <v>39</v>
      </c>
      <c r="Q6687" s="8" t="s">
        <v>40</v>
      </c>
      <c r="R6687" s="10" t="s">
        <v>37962</v>
      </c>
      <c r="S6687" s="11"/>
      <c r="T6687" s="6"/>
      <c r="U6687" s="15" t="str">
        <f>HYPERLINK("https://media.infra-m.ru/2266/2266734/cover/2266734.jpg", "Обложка")</f>
        <v>Обложка</v>
      </c>
      <c r="V6687" s="8" t="s">
        <v>1116</v>
      </c>
      <c r="W6687" s="6"/>
      <c r="X6687" s="6"/>
      <c r="Y6687" s="6"/>
      <c r="Z6687" s="6"/>
      <c r="AA6687" s="6" t="s">
        <v>779</v>
      </c>
      <c r="AB6687" s="8"/>
      <c r="AC6687" s="27">
        <v>9785160156736</v>
      </c>
    </row>
    <row r="6688" spans="1:29" s="4" customFormat="1" ht="51.9" customHeight="1" x14ac:dyDescent="0.2">
      <c r="A6688" s="5">
        <v>0</v>
      </c>
      <c r="B6688" s="6" t="s">
        <v>37966</v>
      </c>
      <c r="C6688" s="7">
        <v>1740</v>
      </c>
      <c r="D6688" s="8" t="s">
        <v>37967</v>
      </c>
      <c r="E6688" s="8" t="s">
        <v>37968</v>
      </c>
      <c r="F6688" s="8" t="s">
        <v>37969</v>
      </c>
      <c r="G6688" s="6" t="s">
        <v>118</v>
      </c>
      <c r="H6688" s="6" t="s">
        <v>34</v>
      </c>
      <c r="I6688" s="8" t="s">
        <v>263</v>
      </c>
      <c r="J6688" s="9">
        <v>1</v>
      </c>
      <c r="K6688" s="9">
        <v>249</v>
      </c>
      <c r="L6688" s="9">
        <v>2027</v>
      </c>
      <c r="M6688" s="8" t="s">
        <v>37970</v>
      </c>
      <c r="N6688" s="8" t="s">
        <v>243</v>
      </c>
      <c r="O6688" s="8" t="s">
        <v>798</v>
      </c>
      <c r="P6688" s="6" t="s">
        <v>306</v>
      </c>
      <c r="Q6688" s="8" t="s">
        <v>265</v>
      </c>
      <c r="R6688" s="10" t="s">
        <v>37971</v>
      </c>
      <c r="S6688" s="11" t="s">
        <v>37972</v>
      </c>
      <c r="T6688" s="6"/>
      <c r="U6688" s="15" t="str">
        <f>HYPERLINK("https://media.infra-m.ru/2269/2269859/cover/2269859.jpg", "Обложка")</f>
        <v>Обложка</v>
      </c>
      <c r="V6688" s="8" t="s">
        <v>809</v>
      </c>
      <c r="W6688" s="6"/>
      <c r="X6688" s="6" t="s">
        <v>24</v>
      </c>
      <c r="Y6688" s="6"/>
      <c r="Z6688" s="6"/>
      <c r="AA6688" s="6" t="s">
        <v>4554</v>
      </c>
      <c r="AB6688" s="8"/>
      <c r="AC6688" s="27">
        <v>9785160126029</v>
      </c>
    </row>
    <row r="6689" spans="1:29" s="4" customFormat="1" ht="42" customHeight="1" x14ac:dyDescent="0.2">
      <c r="A6689" s="5">
        <v>0</v>
      </c>
      <c r="B6689" s="6" t="s">
        <v>37973</v>
      </c>
      <c r="C6689" s="7">
        <v>1356</v>
      </c>
      <c r="D6689" s="8" t="s">
        <v>37974</v>
      </c>
      <c r="E6689" s="8" t="s">
        <v>37975</v>
      </c>
      <c r="F6689" s="8" t="s">
        <v>37976</v>
      </c>
      <c r="G6689" s="6" t="s">
        <v>118</v>
      </c>
      <c r="H6689" s="6" t="s">
        <v>34</v>
      </c>
      <c r="I6689" s="8" t="s">
        <v>35</v>
      </c>
      <c r="J6689" s="9">
        <v>1</v>
      </c>
      <c r="K6689" s="9">
        <v>235</v>
      </c>
      <c r="L6689" s="9">
        <v>2024</v>
      </c>
      <c r="M6689" s="8" t="s">
        <v>37977</v>
      </c>
      <c r="N6689" s="8" t="s">
        <v>37</v>
      </c>
      <c r="O6689" s="8" t="s">
        <v>233</v>
      </c>
      <c r="P6689" s="6" t="s">
        <v>39</v>
      </c>
      <c r="Q6689" s="8" t="s">
        <v>40</v>
      </c>
      <c r="R6689" s="10" t="s">
        <v>13125</v>
      </c>
      <c r="S6689" s="11"/>
      <c r="T6689" s="6"/>
      <c r="U6689" s="15" t="str">
        <f>HYPERLINK("https://media.infra-m.ru/2079/2079697/cover/2079697.jpg", "Обложка")</f>
        <v>Обложка</v>
      </c>
      <c r="V6689" s="8" t="s">
        <v>9626</v>
      </c>
      <c r="W6689" s="6"/>
      <c r="X6689" s="6"/>
      <c r="Y6689" s="6"/>
      <c r="Z6689" s="6"/>
      <c r="AA6689" s="6" t="s">
        <v>157</v>
      </c>
      <c r="AB6689" s="8"/>
      <c r="AC6689" s="27">
        <v>9785160181950</v>
      </c>
    </row>
    <row r="6690" spans="1:29" s="4" customFormat="1" ht="42" customHeight="1" x14ac:dyDescent="0.2">
      <c r="A6690" s="5">
        <v>0</v>
      </c>
      <c r="B6690" s="6" t="s">
        <v>37978</v>
      </c>
      <c r="C6690" s="7">
        <v>1816.8</v>
      </c>
      <c r="D6690" s="8" t="s">
        <v>37979</v>
      </c>
      <c r="E6690" s="8" t="s">
        <v>37980</v>
      </c>
      <c r="F6690" s="8" t="s">
        <v>37981</v>
      </c>
      <c r="G6690" s="6" t="s">
        <v>60</v>
      </c>
      <c r="H6690" s="6" t="s">
        <v>48</v>
      </c>
      <c r="I6690" s="8" t="s">
        <v>253</v>
      </c>
      <c r="J6690" s="9">
        <v>1</v>
      </c>
      <c r="K6690" s="9">
        <v>288</v>
      </c>
      <c r="L6690" s="9">
        <v>2026</v>
      </c>
      <c r="M6690" s="8" t="s">
        <v>37982</v>
      </c>
      <c r="N6690" s="8" t="s">
        <v>243</v>
      </c>
      <c r="O6690" s="8" t="s">
        <v>758</v>
      </c>
      <c r="P6690" s="6" t="s">
        <v>306</v>
      </c>
      <c r="Q6690" s="8" t="s">
        <v>52</v>
      </c>
      <c r="R6690" s="10" t="s">
        <v>37983</v>
      </c>
      <c r="S6690" s="11"/>
      <c r="T6690" s="6"/>
      <c r="U6690" s="15" t="str">
        <f>HYPERLINK("https://media.infra-m.ru/2213/2213712/cover/2213712.jpg", "Обложка")</f>
        <v>Обложка</v>
      </c>
      <c r="V6690" s="8" t="s">
        <v>831</v>
      </c>
      <c r="W6690" s="6"/>
      <c r="X6690" s="6" t="s">
        <v>24</v>
      </c>
      <c r="Y6690" s="6"/>
      <c r="Z6690" s="6"/>
      <c r="AA6690" s="6" t="s">
        <v>274</v>
      </c>
      <c r="AB6690" s="8"/>
      <c r="AC6690" s="27">
        <v>9785000910429</v>
      </c>
    </row>
    <row r="6691" spans="1:29" s="4" customFormat="1" ht="51.9" customHeight="1" x14ac:dyDescent="0.2">
      <c r="A6691" s="5">
        <v>0</v>
      </c>
      <c r="B6691" s="6" t="s">
        <v>37984</v>
      </c>
      <c r="C6691" s="7">
        <v>1792.8</v>
      </c>
      <c r="D6691" s="8" t="s">
        <v>37985</v>
      </c>
      <c r="E6691" s="8" t="s">
        <v>37980</v>
      </c>
      <c r="F6691" s="8" t="s">
        <v>37986</v>
      </c>
      <c r="G6691" s="6" t="s">
        <v>118</v>
      </c>
      <c r="H6691" s="6" t="s">
        <v>48</v>
      </c>
      <c r="I6691" s="8" t="s">
        <v>263</v>
      </c>
      <c r="J6691" s="9">
        <v>1</v>
      </c>
      <c r="K6691" s="9">
        <v>288</v>
      </c>
      <c r="L6691" s="9">
        <v>2025</v>
      </c>
      <c r="M6691" s="8" t="s">
        <v>37987</v>
      </c>
      <c r="N6691" s="8" t="s">
        <v>243</v>
      </c>
      <c r="O6691" s="8" t="s">
        <v>758</v>
      </c>
      <c r="P6691" s="6" t="s">
        <v>306</v>
      </c>
      <c r="Q6691" s="8" t="s">
        <v>265</v>
      </c>
      <c r="R6691" s="10" t="s">
        <v>37988</v>
      </c>
      <c r="S6691" s="11" t="s">
        <v>37989</v>
      </c>
      <c r="T6691" s="6"/>
      <c r="U6691" s="15" t="str">
        <f>HYPERLINK("https://media.infra-m.ru/2198/2198388/cover/2198388.jpg", "Обложка")</f>
        <v>Обложка</v>
      </c>
      <c r="V6691" s="8" t="s">
        <v>831</v>
      </c>
      <c r="W6691" s="6"/>
      <c r="X6691" s="6" t="s">
        <v>24</v>
      </c>
      <c r="Y6691" s="6"/>
      <c r="Z6691" s="6" t="s">
        <v>267</v>
      </c>
      <c r="AA6691" s="6" t="s">
        <v>86</v>
      </c>
      <c r="AB6691" s="8"/>
      <c r="AC6691" s="27">
        <v>9785000915585</v>
      </c>
    </row>
    <row r="6692" spans="1:29" s="4" customFormat="1" ht="51.9" customHeight="1" x14ac:dyDescent="0.2">
      <c r="A6692" s="5">
        <v>0</v>
      </c>
      <c r="B6692" s="6" t="s">
        <v>37990</v>
      </c>
      <c r="C6692" s="7">
        <v>2212.8000000000002</v>
      </c>
      <c r="D6692" s="8" t="s">
        <v>37991</v>
      </c>
      <c r="E6692" s="8" t="s">
        <v>37992</v>
      </c>
      <c r="F6692" s="8" t="s">
        <v>37981</v>
      </c>
      <c r="G6692" s="6" t="s">
        <v>60</v>
      </c>
      <c r="H6692" s="6" t="s">
        <v>48</v>
      </c>
      <c r="I6692" s="8" t="s">
        <v>253</v>
      </c>
      <c r="J6692" s="9">
        <v>1</v>
      </c>
      <c r="K6692" s="9">
        <v>336</v>
      </c>
      <c r="L6692" s="9">
        <v>2026</v>
      </c>
      <c r="M6692" s="8" t="s">
        <v>37993</v>
      </c>
      <c r="N6692" s="8" t="s">
        <v>243</v>
      </c>
      <c r="O6692" s="8" t="s">
        <v>758</v>
      </c>
      <c r="P6692" s="6" t="s">
        <v>306</v>
      </c>
      <c r="Q6692" s="8" t="s">
        <v>52</v>
      </c>
      <c r="R6692" s="10" t="s">
        <v>37994</v>
      </c>
      <c r="S6692" s="11"/>
      <c r="T6692" s="6"/>
      <c r="U6692" s="15" t="str">
        <f>HYPERLINK("https://media.infra-m.ru/2238/2238495/cover/2238495.jpg", "Обложка")</f>
        <v>Обложка</v>
      </c>
      <c r="V6692" s="8" t="s">
        <v>831</v>
      </c>
      <c r="W6692" s="6"/>
      <c r="X6692" s="6" t="s">
        <v>24</v>
      </c>
      <c r="Y6692" s="6"/>
      <c r="Z6692" s="6"/>
      <c r="AA6692" s="6" t="s">
        <v>274</v>
      </c>
      <c r="AB6692" s="8"/>
      <c r="AC6692" s="27">
        <v>9785000910436</v>
      </c>
    </row>
    <row r="6693" spans="1:29" s="4" customFormat="1" ht="51.9" customHeight="1" x14ac:dyDescent="0.2">
      <c r="A6693" s="5">
        <v>0</v>
      </c>
      <c r="B6693" s="6" t="s">
        <v>37995</v>
      </c>
      <c r="C6693" s="7">
        <v>2340</v>
      </c>
      <c r="D6693" s="8" t="s">
        <v>37996</v>
      </c>
      <c r="E6693" s="8" t="s">
        <v>37997</v>
      </c>
      <c r="F6693" s="8" t="s">
        <v>37986</v>
      </c>
      <c r="G6693" s="6" t="s">
        <v>118</v>
      </c>
      <c r="H6693" s="6" t="s">
        <v>34</v>
      </c>
      <c r="I6693" s="8" t="s">
        <v>263</v>
      </c>
      <c r="J6693" s="9">
        <v>1</v>
      </c>
      <c r="K6693" s="9">
        <v>336</v>
      </c>
      <c r="L6693" s="9">
        <v>2026</v>
      </c>
      <c r="M6693" s="8" t="s">
        <v>37998</v>
      </c>
      <c r="N6693" s="8" t="s">
        <v>243</v>
      </c>
      <c r="O6693" s="8" t="s">
        <v>758</v>
      </c>
      <c r="P6693" s="6" t="s">
        <v>306</v>
      </c>
      <c r="Q6693" s="8" t="s">
        <v>265</v>
      </c>
      <c r="R6693" s="10" t="s">
        <v>37999</v>
      </c>
      <c r="S6693" s="11"/>
      <c r="T6693" s="6"/>
      <c r="U6693" s="15" t="str">
        <f>HYPERLINK("https://media.infra-m.ru/2257/2257290/cover/2257290.jpg", "Обложка")</f>
        <v>Обложка</v>
      </c>
      <c r="V6693" s="8" t="s">
        <v>831</v>
      </c>
      <c r="W6693" s="6"/>
      <c r="X6693" s="6"/>
      <c r="Y6693" s="6"/>
      <c r="Z6693" s="6" t="s">
        <v>267</v>
      </c>
      <c r="AA6693" s="6" t="s">
        <v>68</v>
      </c>
      <c r="AB6693" s="8"/>
      <c r="AC6693" s="27">
        <v>9785160222240</v>
      </c>
    </row>
    <row r="6694" spans="1:29" s="4" customFormat="1" ht="51.9" customHeight="1" x14ac:dyDescent="0.2">
      <c r="A6694" s="5">
        <v>0</v>
      </c>
      <c r="B6694" s="6" t="s">
        <v>38000</v>
      </c>
      <c r="C6694" s="7">
        <v>1260</v>
      </c>
      <c r="D6694" s="8" t="s">
        <v>38001</v>
      </c>
      <c r="E6694" s="8" t="s">
        <v>38002</v>
      </c>
      <c r="F6694" s="8" t="s">
        <v>38003</v>
      </c>
      <c r="G6694" s="6" t="s">
        <v>118</v>
      </c>
      <c r="H6694" s="6" t="s">
        <v>34</v>
      </c>
      <c r="I6694" s="8" t="s">
        <v>38004</v>
      </c>
      <c r="J6694" s="9">
        <v>1</v>
      </c>
      <c r="K6694" s="9">
        <v>199</v>
      </c>
      <c r="L6694" s="9">
        <v>2024</v>
      </c>
      <c r="M6694" s="8" t="s">
        <v>38005</v>
      </c>
      <c r="N6694" s="8" t="s">
        <v>243</v>
      </c>
      <c r="O6694" s="8" t="s">
        <v>385</v>
      </c>
      <c r="P6694" s="6" t="s">
        <v>51</v>
      </c>
      <c r="Q6694" s="8" t="s">
        <v>377</v>
      </c>
      <c r="R6694" s="10" t="s">
        <v>14901</v>
      </c>
      <c r="S6694" s="11" t="s">
        <v>38006</v>
      </c>
      <c r="T6694" s="6"/>
      <c r="U6694" s="15" t="str">
        <f>HYPERLINK("https://media.infra-m.ru/2148/2148516/cover/2148516.jpg", "Обложка")</f>
        <v>Обложка</v>
      </c>
      <c r="V6694" s="8" t="s">
        <v>414</v>
      </c>
      <c r="W6694" s="6"/>
      <c r="X6694" s="6"/>
      <c r="Y6694" s="6"/>
      <c r="Z6694" s="6"/>
      <c r="AA6694" s="6" t="s">
        <v>115</v>
      </c>
      <c r="AB6694" s="8"/>
      <c r="AC6694" s="27">
        <v>9785160173276</v>
      </c>
    </row>
    <row r="6695" spans="1:29" s="4" customFormat="1" ht="51.9" customHeight="1" x14ac:dyDescent="0.2">
      <c r="A6695" s="5">
        <v>0</v>
      </c>
      <c r="B6695" s="6" t="s">
        <v>38007</v>
      </c>
      <c r="C6695" s="7">
        <v>1781.9</v>
      </c>
      <c r="D6695" s="8" t="s">
        <v>38008</v>
      </c>
      <c r="E6695" s="8" t="s">
        <v>38009</v>
      </c>
      <c r="F6695" s="8" t="s">
        <v>38010</v>
      </c>
      <c r="G6695" s="6" t="s">
        <v>60</v>
      </c>
      <c r="H6695" s="6" t="s">
        <v>34</v>
      </c>
      <c r="I6695" s="8" t="s">
        <v>263</v>
      </c>
      <c r="J6695" s="9">
        <v>1</v>
      </c>
      <c r="K6695" s="9">
        <v>392</v>
      </c>
      <c r="L6695" s="9">
        <v>2022</v>
      </c>
      <c r="M6695" s="8" t="s">
        <v>38011</v>
      </c>
      <c r="N6695" s="8" t="s">
        <v>243</v>
      </c>
      <c r="O6695" s="8" t="s">
        <v>329</v>
      </c>
      <c r="P6695" s="6" t="s">
        <v>51</v>
      </c>
      <c r="Q6695" s="8" t="s">
        <v>265</v>
      </c>
      <c r="R6695" s="10" t="s">
        <v>38012</v>
      </c>
      <c r="S6695" s="11"/>
      <c r="T6695" s="6"/>
      <c r="U6695" s="15" t="str">
        <f>HYPERLINK("https://media.infra-m.ru/1851/1851444/cover/1851444.jpg", "Обложка")</f>
        <v>Обложка</v>
      </c>
      <c r="V6695" s="8" t="s">
        <v>2537</v>
      </c>
      <c r="W6695" s="6"/>
      <c r="X6695" s="6" t="s">
        <v>24</v>
      </c>
      <c r="Y6695" s="6"/>
      <c r="Z6695" s="6"/>
      <c r="AA6695" s="6" t="s">
        <v>274</v>
      </c>
      <c r="AB6695" s="8"/>
      <c r="AC6695" s="27">
        <v>9785160094021</v>
      </c>
    </row>
    <row r="6696" spans="1:29" s="4" customFormat="1" ht="51.9" customHeight="1" x14ac:dyDescent="0.2">
      <c r="A6696" s="5">
        <v>0</v>
      </c>
      <c r="B6696" s="6" t="s">
        <v>38013</v>
      </c>
      <c r="C6696" s="13">
        <v>948</v>
      </c>
      <c r="D6696" s="8" t="s">
        <v>38014</v>
      </c>
      <c r="E6696" s="8" t="s">
        <v>38015</v>
      </c>
      <c r="F6696" s="8" t="s">
        <v>38016</v>
      </c>
      <c r="G6696" s="6" t="s">
        <v>118</v>
      </c>
      <c r="H6696" s="6" t="s">
        <v>34</v>
      </c>
      <c r="I6696" s="8" t="s">
        <v>271</v>
      </c>
      <c r="J6696" s="9">
        <v>1</v>
      </c>
      <c r="K6696" s="9">
        <v>170</v>
      </c>
      <c r="L6696" s="9">
        <v>2023</v>
      </c>
      <c r="M6696" s="8" t="s">
        <v>38017</v>
      </c>
      <c r="N6696" s="8" t="s">
        <v>243</v>
      </c>
      <c r="O6696" s="8" t="s">
        <v>1100</v>
      </c>
      <c r="P6696" s="6" t="s">
        <v>51</v>
      </c>
      <c r="Q6696" s="8" t="s">
        <v>52</v>
      </c>
      <c r="R6696" s="10" t="s">
        <v>5837</v>
      </c>
      <c r="S6696" s="11" t="s">
        <v>29895</v>
      </c>
      <c r="T6696" s="6"/>
      <c r="U6696" s="15" t="str">
        <f>HYPERLINK("https://media.infra-m.ru/2126/2126817/cover/2126817.jpg", "Обложка")</f>
        <v>Обложка</v>
      </c>
      <c r="V6696" s="8" t="s">
        <v>227</v>
      </c>
      <c r="W6696" s="6"/>
      <c r="X6696" s="6"/>
      <c r="Y6696" s="6"/>
      <c r="Z6696" s="6"/>
      <c r="AA6696" s="6" t="s">
        <v>86</v>
      </c>
      <c r="AB6696" s="8"/>
      <c r="AC6696" s="27">
        <v>9785160120652</v>
      </c>
    </row>
    <row r="6697" spans="1:29" s="4" customFormat="1" ht="51.9" customHeight="1" x14ac:dyDescent="0.2">
      <c r="A6697" s="5">
        <v>0</v>
      </c>
      <c r="B6697" s="6" t="s">
        <v>38018</v>
      </c>
      <c r="C6697" s="7">
        <v>1528.8</v>
      </c>
      <c r="D6697" s="8" t="s">
        <v>38019</v>
      </c>
      <c r="E6697" s="8" t="s">
        <v>38020</v>
      </c>
      <c r="F6697" s="8" t="s">
        <v>38021</v>
      </c>
      <c r="G6697" s="6" t="s">
        <v>118</v>
      </c>
      <c r="H6697" s="6" t="s">
        <v>1042</v>
      </c>
      <c r="I6697" s="8" t="s">
        <v>65</v>
      </c>
      <c r="J6697" s="9">
        <v>1</v>
      </c>
      <c r="K6697" s="9">
        <v>255</v>
      </c>
      <c r="L6697" s="9">
        <v>2025</v>
      </c>
      <c r="M6697" s="8" t="s">
        <v>38022</v>
      </c>
      <c r="N6697" s="8" t="s">
        <v>243</v>
      </c>
      <c r="O6697" s="8" t="s">
        <v>244</v>
      </c>
      <c r="P6697" s="6" t="s">
        <v>51</v>
      </c>
      <c r="Q6697" s="8" t="s">
        <v>265</v>
      </c>
      <c r="R6697" s="10" t="s">
        <v>38023</v>
      </c>
      <c r="S6697" s="11" t="s">
        <v>9712</v>
      </c>
      <c r="T6697" s="6"/>
      <c r="U6697" s="15" t="str">
        <f>HYPERLINK("https://media.infra-m.ru/2188/2188199/cover/2188199.jpg", "Обложка")</f>
        <v>Обложка</v>
      </c>
      <c r="V6697" s="8" t="s">
        <v>3428</v>
      </c>
      <c r="W6697" s="6"/>
      <c r="X6697" s="6"/>
      <c r="Y6697" s="6"/>
      <c r="Z6697" s="6"/>
      <c r="AA6697" s="6" t="s">
        <v>1506</v>
      </c>
      <c r="AB6697" s="8"/>
      <c r="AC6697" s="27">
        <v>9785819909287</v>
      </c>
    </row>
    <row r="6698" spans="1:29" s="4" customFormat="1" ht="51.9" customHeight="1" x14ac:dyDescent="0.2">
      <c r="A6698" s="5">
        <v>0</v>
      </c>
      <c r="B6698" s="6" t="s">
        <v>38024</v>
      </c>
      <c r="C6698" s="7">
        <v>1776</v>
      </c>
      <c r="D6698" s="8" t="s">
        <v>38025</v>
      </c>
      <c r="E6698" s="8" t="s">
        <v>38026</v>
      </c>
      <c r="F6698" s="8" t="s">
        <v>38027</v>
      </c>
      <c r="G6698" s="6" t="s">
        <v>118</v>
      </c>
      <c r="H6698" s="6" t="s">
        <v>34</v>
      </c>
      <c r="I6698" s="8" t="s">
        <v>253</v>
      </c>
      <c r="J6698" s="9">
        <v>1</v>
      </c>
      <c r="K6698" s="9">
        <v>319</v>
      </c>
      <c r="L6698" s="9">
        <v>2024</v>
      </c>
      <c r="M6698" s="8" t="s">
        <v>38028</v>
      </c>
      <c r="N6698" s="8" t="s">
        <v>585</v>
      </c>
      <c r="O6698" s="8" t="s">
        <v>1518</v>
      </c>
      <c r="P6698" s="6" t="s">
        <v>51</v>
      </c>
      <c r="Q6698" s="8" t="s">
        <v>52</v>
      </c>
      <c r="R6698" s="10" t="s">
        <v>30641</v>
      </c>
      <c r="S6698" s="11" t="s">
        <v>38029</v>
      </c>
      <c r="T6698" s="6"/>
      <c r="U6698" s="15" t="str">
        <f>HYPERLINK("https://media.infra-m.ru/2091/2091902/cover/2091902.jpg", "Обложка")</f>
        <v>Обложка</v>
      </c>
      <c r="V6698" s="8" t="s">
        <v>54</v>
      </c>
      <c r="W6698" s="6"/>
      <c r="X6698" s="6"/>
      <c r="Y6698" s="6"/>
      <c r="Z6698" s="6"/>
      <c r="AA6698" s="6" t="s">
        <v>3800</v>
      </c>
      <c r="AB6698" s="8"/>
      <c r="AC6698" s="27">
        <v>9785160191546</v>
      </c>
    </row>
    <row r="6699" spans="1:29" s="4" customFormat="1" ht="51.9" customHeight="1" x14ac:dyDescent="0.2">
      <c r="A6699" s="5">
        <v>0</v>
      </c>
      <c r="B6699" s="6" t="s">
        <v>38030</v>
      </c>
      <c r="C6699" s="13">
        <v>689.9</v>
      </c>
      <c r="D6699" s="8" t="s">
        <v>38031</v>
      </c>
      <c r="E6699" s="8" t="s">
        <v>38032</v>
      </c>
      <c r="F6699" s="8" t="s">
        <v>5879</v>
      </c>
      <c r="G6699" s="6" t="s">
        <v>60</v>
      </c>
      <c r="H6699" s="6" t="s">
        <v>34</v>
      </c>
      <c r="I6699" s="8" t="s">
        <v>271</v>
      </c>
      <c r="J6699" s="9">
        <v>1</v>
      </c>
      <c r="K6699" s="9">
        <v>127</v>
      </c>
      <c r="L6699" s="9">
        <v>2023</v>
      </c>
      <c r="M6699" s="8" t="s">
        <v>38033</v>
      </c>
      <c r="N6699" s="8" t="s">
        <v>585</v>
      </c>
      <c r="O6699" s="8" t="s">
        <v>667</v>
      </c>
      <c r="P6699" s="6" t="s">
        <v>51</v>
      </c>
      <c r="Q6699" s="8" t="s">
        <v>52</v>
      </c>
      <c r="R6699" s="10" t="s">
        <v>24078</v>
      </c>
      <c r="S6699" s="11" t="s">
        <v>37818</v>
      </c>
      <c r="T6699" s="6"/>
      <c r="U6699" s="15" t="str">
        <f>HYPERLINK("https://media.infra-m.ru/2044/2044326/cover/2044326.jpg", "Обложка")</f>
        <v>Обложка</v>
      </c>
      <c r="V6699" s="8" t="s">
        <v>5882</v>
      </c>
      <c r="W6699" s="6"/>
      <c r="X6699" s="6"/>
      <c r="Y6699" s="6"/>
      <c r="Z6699" s="6"/>
      <c r="AA6699" s="6" t="s">
        <v>55</v>
      </c>
      <c r="AB6699" s="8"/>
      <c r="AC6699" s="27">
        <v>9785160057729</v>
      </c>
    </row>
    <row r="6700" spans="1:29" s="4" customFormat="1" ht="42" customHeight="1" x14ac:dyDescent="0.2">
      <c r="A6700" s="5">
        <v>0</v>
      </c>
      <c r="B6700" s="6" t="s">
        <v>38034</v>
      </c>
      <c r="C6700" s="13">
        <v>888</v>
      </c>
      <c r="D6700" s="8" t="s">
        <v>38035</v>
      </c>
      <c r="E6700" s="8" t="s">
        <v>38036</v>
      </c>
      <c r="F6700" s="8" t="s">
        <v>24009</v>
      </c>
      <c r="G6700" s="6" t="s">
        <v>60</v>
      </c>
      <c r="H6700" s="6" t="s">
        <v>34</v>
      </c>
      <c r="I6700" s="8" t="s">
        <v>263</v>
      </c>
      <c r="J6700" s="9">
        <v>1</v>
      </c>
      <c r="K6700" s="9">
        <v>127</v>
      </c>
      <c r="L6700" s="9">
        <v>2025</v>
      </c>
      <c r="M6700" s="8" t="s">
        <v>38037</v>
      </c>
      <c r="N6700" s="8" t="s">
        <v>585</v>
      </c>
      <c r="O6700" s="8" t="s">
        <v>667</v>
      </c>
      <c r="P6700" s="6" t="s">
        <v>51</v>
      </c>
      <c r="Q6700" s="8" t="s">
        <v>265</v>
      </c>
      <c r="R6700" s="10" t="s">
        <v>24072</v>
      </c>
      <c r="S6700" s="11"/>
      <c r="T6700" s="6"/>
      <c r="U6700" s="15" t="str">
        <f>HYPERLINK("https://media.infra-m.ru/2175/2175113/cover/2175113.jpg", "Обложка")</f>
        <v>Обложка</v>
      </c>
      <c r="V6700" s="8" t="s">
        <v>5882</v>
      </c>
      <c r="W6700" s="6"/>
      <c r="X6700" s="6"/>
      <c r="Y6700" s="6"/>
      <c r="Z6700" s="6" t="s">
        <v>267</v>
      </c>
      <c r="AA6700" s="6" t="s">
        <v>917</v>
      </c>
      <c r="AB6700" s="8"/>
      <c r="AC6700" s="27">
        <v>9785160204666</v>
      </c>
    </row>
    <row r="6701" spans="1:29" s="4" customFormat="1" ht="51.9" customHeight="1" x14ac:dyDescent="0.2">
      <c r="A6701" s="5">
        <v>0</v>
      </c>
      <c r="B6701" s="6" t="s">
        <v>38038</v>
      </c>
      <c r="C6701" s="13">
        <v>832.8</v>
      </c>
      <c r="D6701" s="8" t="s">
        <v>38039</v>
      </c>
      <c r="E6701" s="8" t="s">
        <v>38036</v>
      </c>
      <c r="F6701" s="8" t="s">
        <v>24009</v>
      </c>
      <c r="G6701" s="6" t="s">
        <v>33</v>
      </c>
      <c r="H6701" s="6" t="s">
        <v>34</v>
      </c>
      <c r="I6701" s="8" t="s">
        <v>253</v>
      </c>
      <c r="J6701" s="9">
        <v>1</v>
      </c>
      <c r="K6701" s="9">
        <v>127</v>
      </c>
      <c r="L6701" s="9">
        <v>2026</v>
      </c>
      <c r="M6701" s="8" t="s">
        <v>38040</v>
      </c>
      <c r="N6701" s="8" t="s">
        <v>585</v>
      </c>
      <c r="O6701" s="8" t="s">
        <v>667</v>
      </c>
      <c r="P6701" s="6" t="s">
        <v>51</v>
      </c>
      <c r="Q6701" s="8" t="s">
        <v>52</v>
      </c>
      <c r="R6701" s="10" t="s">
        <v>24078</v>
      </c>
      <c r="S6701" s="11" t="s">
        <v>38041</v>
      </c>
      <c r="T6701" s="6"/>
      <c r="U6701" s="15" t="str">
        <f>HYPERLINK("https://media.infra-m.ru/2250/2250934/cover/2250934.jpg", "Обложка")</f>
        <v>Обложка</v>
      </c>
      <c r="V6701" s="8" t="s">
        <v>5882</v>
      </c>
      <c r="W6701" s="6"/>
      <c r="X6701" s="6"/>
      <c r="Y6701" s="6"/>
      <c r="Z6701" s="6"/>
      <c r="AA6701" s="6" t="s">
        <v>623</v>
      </c>
      <c r="AB6701" s="8"/>
      <c r="AC6701" s="27">
        <v>9785160208008</v>
      </c>
    </row>
    <row r="6702" spans="1:29" s="4" customFormat="1" ht="51.9" customHeight="1" x14ac:dyDescent="0.2">
      <c r="A6702" s="5">
        <v>0</v>
      </c>
      <c r="B6702" s="6" t="s">
        <v>38042</v>
      </c>
      <c r="C6702" s="7">
        <v>2724</v>
      </c>
      <c r="D6702" s="8" t="s">
        <v>38043</v>
      </c>
      <c r="E6702" s="8" t="s">
        <v>38044</v>
      </c>
      <c r="F6702" s="8" t="s">
        <v>18152</v>
      </c>
      <c r="G6702" s="6" t="s">
        <v>118</v>
      </c>
      <c r="H6702" s="6" t="s">
        <v>820</v>
      </c>
      <c r="I6702" s="8"/>
      <c r="J6702" s="9">
        <v>1</v>
      </c>
      <c r="K6702" s="9">
        <v>392</v>
      </c>
      <c r="L6702" s="9">
        <v>2027</v>
      </c>
      <c r="M6702" s="8" t="s">
        <v>38045</v>
      </c>
      <c r="N6702" s="8" t="s">
        <v>585</v>
      </c>
      <c r="O6702" s="8" t="s">
        <v>667</v>
      </c>
      <c r="P6702" s="6" t="s">
        <v>51</v>
      </c>
      <c r="Q6702" s="8" t="s">
        <v>52</v>
      </c>
      <c r="R6702" s="10" t="s">
        <v>38046</v>
      </c>
      <c r="S6702" s="11"/>
      <c r="T6702" s="6"/>
      <c r="U6702" s="15" t="str">
        <f>HYPERLINK("https://media.infra-m.ru/2264/2264968/cover/2264968.jpg", "Обложка")</f>
        <v>Обложка</v>
      </c>
      <c r="V6702" s="8" t="s">
        <v>6135</v>
      </c>
      <c r="W6702" s="6"/>
      <c r="X6702" s="6"/>
      <c r="Y6702" s="6"/>
      <c r="Z6702" s="6"/>
      <c r="AA6702" s="6" t="s">
        <v>99</v>
      </c>
      <c r="AB6702" s="8"/>
      <c r="AC6702" s="27">
        <v>9785906818089</v>
      </c>
    </row>
    <row r="6703" spans="1:29" s="4" customFormat="1" ht="51.9" customHeight="1" x14ac:dyDescent="0.2">
      <c r="A6703" s="5">
        <v>0</v>
      </c>
      <c r="B6703" s="6" t="s">
        <v>38047</v>
      </c>
      <c r="C6703" s="7">
        <v>2452.8000000000002</v>
      </c>
      <c r="D6703" s="8" t="s">
        <v>38048</v>
      </c>
      <c r="E6703" s="8" t="s">
        <v>38049</v>
      </c>
      <c r="F6703" s="8" t="s">
        <v>7637</v>
      </c>
      <c r="G6703" s="6" t="s">
        <v>60</v>
      </c>
      <c r="H6703" s="6" t="s">
        <v>48</v>
      </c>
      <c r="I6703" s="8" t="s">
        <v>401</v>
      </c>
      <c r="J6703" s="9">
        <v>1</v>
      </c>
      <c r="K6703" s="9">
        <v>352</v>
      </c>
      <c r="L6703" s="9">
        <v>2027</v>
      </c>
      <c r="M6703" s="8" t="s">
        <v>38050</v>
      </c>
      <c r="N6703" s="8" t="s">
        <v>585</v>
      </c>
      <c r="O6703" s="8" t="s">
        <v>667</v>
      </c>
      <c r="P6703" s="6" t="s">
        <v>51</v>
      </c>
      <c r="Q6703" s="8" t="s">
        <v>265</v>
      </c>
      <c r="R6703" s="10" t="s">
        <v>38051</v>
      </c>
      <c r="S6703" s="11" t="s">
        <v>38052</v>
      </c>
      <c r="T6703" s="6"/>
      <c r="U6703" s="15" t="str">
        <f>HYPERLINK("https://media.infra-m.ru/2266/2266133/cover/2266133.jpg", "Обложка")</f>
        <v>Обложка</v>
      </c>
      <c r="V6703" s="8" t="s">
        <v>6147</v>
      </c>
      <c r="W6703" s="6"/>
      <c r="X6703" s="6" t="s">
        <v>24</v>
      </c>
      <c r="Y6703" s="6"/>
      <c r="Z6703" s="6"/>
      <c r="AA6703" s="6" t="s">
        <v>3721</v>
      </c>
      <c r="AB6703" s="8"/>
      <c r="AC6703" s="27">
        <v>9785911348038</v>
      </c>
    </row>
    <row r="6704" spans="1:29" s="4" customFormat="1" ht="51.9" customHeight="1" x14ac:dyDescent="0.2">
      <c r="A6704" s="5">
        <v>0</v>
      </c>
      <c r="B6704" s="6" t="s">
        <v>38053</v>
      </c>
      <c r="C6704" s="7">
        <v>2392.8000000000002</v>
      </c>
      <c r="D6704" s="8" t="s">
        <v>38054</v>
      </c>
      <c r="E6704" s="8" t="s">
        <v>38055</v>
      </c>
      <c r="F6704" s="8" t="s">
        <v>38056</v>
      </c>
      <c r="G6704" s="6" t="s">
        <v>60</v>
      </c>
      <c r="H6704" s="6" t="s">
        <v>134</v>
      </c>
      <c r="I6704" s="8"/>
      <c r="J6704" s="9">
        <v>1</v>
      </c>
      <c r="K6704" s="9">
        <v>432</v>
      </c>
      <c r="L6704" s="9">
        <v>2023</v>
      </c>
      <c r="M6704" s="8" t="s">
        <v>38057</v>
      </c>
      <c r="N6704" s="8" t="s">
        <v>37</v>
      </c>
      <c r="O6704" s="8" t="s">
        <v>233</v>
      </c>
      <c r="P6704" s="6" t="s">
        <v>51</v>
      </c>
      <c r="Q6704" s="8" t="s">
        <v>52</v>
      </c>
      <c r="R6704" s="10" t="s">
        <v>6383</v>
      </c>
      <c r="S6704" s="11"/>
      <c r="T6704" s="6"/>
      <c r="U6704" s="15" t="str">
        <f>HYPERLINK("https://media.infra-m.ru/2053/2053238/cover/2053238.jpg", "Обложка")</f>
        <v>Обложка</v>
      </c>
      <c r="V6704" s="8" t="s">
        <v>546</v>
      </c>
      <c r="W6704" s="6"/>
      <c r="X6704" s="6"/>
      <c r="Y6704" s="6"/>
      <c r="Z6704" s="6"/>
      <c r="AA6704" s="6" t="s">
        <v>16021</v>
      </c>
      <c r="AB6704" s="8"/>
      <c r="AC6704" s="27">
        <v>9785917682525</v>
      </c>
    </row>
    <row r="6705" spans="1:29" s="4" customFormat="1" ht="42" customHeight="1" x14ac:dyDescent="0.2">
      <c r="A6705" s="5">
        <v>0</v>
      </c>
      <c r="B6705" s="6" t="s">
        <v>38058</v>
      </c>
      <c r="C6705" s="7">
        <v>1004.4</v>
      </c>
      <c r="D6705" s="8" t="s">
        <v>38059</v>
      </c>
      <c r="E6705" s="8" t="s">
        <v>38060</v>
      </c>
      <c r="F6705" s="8" t="s">
        <v>38061</v>
      </c>
      <c r="G6705" s="6" t="s">
        <v>33</v>
      </c>
      <c r="H6705" s="6" t="s">
        <v>48</v>
      </c>
      <c r="I6705" s="8" t="s">
        <v>253</v>
      </c>
      <c r="J6705" s="9">
        <v>1</v>
      </c>
      <c r="K6705" s="9">
        <v>112</v>
      </c>
      <c r="L6705" s="9">
        <v>2026</v>
      </c>
      <c r="M6705" s="8" t="s">
        <v>38062</v>
      </c>
      <c r="N6705" s="8" t="s">
        <v>243</v>
      </c>
      <c r="O6705" s="8" t="s">
        <v>329</v>
      </c>
      <c r="P6705" s="6" t="s">
        <v>51</v>
      </c>
      <c r="Q6705" s="8" t="s">
        <v>52</v>
      </c>
      <c r="R6705" s="10" t="s">
        <v>38063</v>
      </c>
      <c r="S6705" s="11"/>
      <c r="T6705" s="6"/>
      <c r="U6705" s="15" t="str">
        <f>HYPERLINK("https://media.infra-m.ru/2238/2238046/cover/2238046.jpg", "Обложка")</f>
        <v>Обложка</v>
      </c>
      <c r="V6705" s="8" t="s">
        <v>2446</v>
      </c>
      <c r="W6705" s="6"/>
      <c r="X6705" s="6"/>
      <c r="Y6705" s="6"/>
      <c r="Z6705" s="6"/>
      <c r="AA6705" s="6" t="s">
        <v>274</v>
      </c>
      <c r="AB6705" s="8"/>
      <c r="AC6705" s="27">
        <v>9785000910221</v>
      </c>
    </row>
    <row r="6706" spans="1:29" s="4" customFormat="1" ht="51.9" customHeight="1" x14ac:dyDescent="0.2">
      <c r="A6706" s="5">
        <v>0</v>
      </c>
      <c r="B6706" s="6" t="s">
        <v>38064</v>
      </c>
      <c r="C6706" s="7">
        <v>3352.8</v>
      </c>
      <c r="D6706" s="8" t="s">
        <v>38065</v>
      </c>
      <c r="E6706" s="8" t="s">
        <v>38060</v>
      </c>
      <c r="F6706" s="8" t="s">
        <v>38066</v>
      </c>
      <c r="G6706" s="6" t="s">
        <v>60</v>
      </c>
      <c r="H6706" s="6" t="s">
        <v>34</v>
      </c>
      <c r="I6706" s="8" t="s">
        <v>5350</v>
      </c>
      <c r="J6706" s="9">
        <v>1</v>
      </c>
      <c r="K6706" s="9">
        <v>546</v>
      </c>
      <c r="L6706" s="9">
        <v>2027</v>
      </c>
      <c r="M6706" s="8" t="s">
        <v>38067</v>
      </c>
      <c r="N6706" s="8" t="s">
        <v>243</v>
      </c>
      <c r="O6706" s="8" t="s">
        <v>329</v>
      </c>
      <c r="P6706" s="6" t="s">
        <v>51</v>
      </c>
      <c r="Q6706" s="8" t="s">
        <v>377</v>
      </c>
      <c r="R6706" s="10" t="s">
        <v>38068</v>
      </c>
      <c r="S6706" s="11" t="s">
        <v>38069</v>
      </c>
      <c r="T6706" s="6"/>
      <c r="U6706" s="15" t="str">
        <f>HYPERLINK("https://media.infra-m.ru/2179/2179689/cover/2179689.jpg", "Обложка")</f>
        <v>Обложка</v>
      </c>
      <c r="V6706" s="8" t="s">
        <v>4943</v>
      </c>
      <c r="W6706" s="6"/>
      <c r="X6706" s="6"/>
      <c r="Y6706" s="6"/>
      <c r="Z6706" s="6"/>
      <c r="AA6706" s="6" t="s">
        <v>1256</v>
      </c>
      <c r="AB6706" s="8"/>
      <c r="AC6706" s="27">
        <v>9785160145372</v>
      </c>
    </row>
    <row r="6707" spans="1:29" s="4" customFormat="1" ht="51.9" customHeight="1" x14ac:dyDescent="0.2">
      <c r="A6707" s="5">
        <v>0</v>
      </c>
      <c r="B6707" s="6" t="s">
        <v>38070</v>
      </c>
      <c r="C6707" s="13">
        <v>972</v>
      </c>
      <c r="D6707" s="8" t="s">
        <v>38071</v>
      </c>
      <c r="E6707" s="8" t="s">
        <v>38072</v>
      </c>
      <c r="F6707" s="8" t="s">
        <v>38073</v>
      </c>
      <c r="G6707" s="6" t="s">
        <v>118</v>
      </c>
      <c r="H6707" s="6" t="s">
        <v>34</v>
      </c>
      <c r="I6707" s="8" t="s">
        <v>263</v>
      </c>
      <c r="J6707" s="9">
        <v>1</v>
      </c>
      <c r="K6707" s="9">
        <v>143</v>
      </c>
      <c r="L6707" s="9">
        <v>2026</v>
      </c>
      <c r="M6707" s="8" t="s">
        <v>38074</v>
      </c>
      <c r="N6707" s="8" t="s">
        <v>243</v>
      </c>
      <c r="O6707" s="8" t="s">
        <v>798</v>
      </c>
      <c r="P6707" s="6" t="s">
        <v>51</v>
      </c>
      <c r="Q6707" s="8" t="s">
        <v>265</v>
      </c>
      <c r="R6707" s="10" t="s">
        <v>38075</v>
      </c>
      <c r="S6707" s="11" t="s">
        <v>38076</v>
      </c>
      <c r="T6707" s="6"/>
      <c r="U6707" s="15" t="str">
        <f>HYPERLINK("https://media.infra-m.ru/2216/2216321/cover/2216321.jpg", "Обложка")</f>
        <v>Обложка</v>
      </c>
      <c r="V6707" s="8" t="s">
        <v>227</v>
      </c>
      <c r="W6707" s="6"/>
      <c r="X6707" s="6"/>
      <c r="Y6707" s="6"/>
      <c r="Z6707" s="6"/>
      <c r="AA6707" s="6" t="s">
        <v>4554</v>
      </c>
      <c r="AB6707" s="8"/>
      <c r="AC6707" s="27">
        <v>9785160053745</v>
      </c>
    </row>
    <row r="6708" spans="1:29" s="4" customFormat="1" ht="51.9" customHeight="1" x14ac:dyDescent="0.2">
      <c r="A6708" s="5">
        <v>0</v>
      </c>
      <c r="B6708" s="6" t="s">
        <v>38077</v>
      </c>
      <c r="C6708" s="7">
        <v>1564.8</v>
      </c>
      <c r="D6708" s="8" t="s">
        <v>38078</v>
      </c>
      <c r="E6708" s="8" t="s">
        <v>38079</v>
      </c>
      <c r="F6708" s="8" t="s">
        <v>38080</v>
      </c>
      <c r="G6708" s="6" t="s">
        <v>60</v>
      </c>
      <c r="H6708" s="6" t="s">
        <v>34</v>
      </c>
      <c r="I6708" s="8" t="s">
        <v>253</v>
      </c>
      <c r="J6708" s="9">
        <v>1</v>
      </c>
      <c r="K6708" s="9">
        <v>238</v>
      </c>
      <c r="L6708" s="9">
        <v>2026</v>
      </c>
      <c r="M6708" s="8" t="s">
        <v>38081</v>
      </c>
      <c r="N6708" s="8" t="s">
        <v>585</v>
      </c>
      <c r="O6708" s="8" t="s">
        <v>1518</v>
      </c>
      <c r="P6708" s="6" t="s">
        <v>51</v>
      </c>
      <c r="Q6708" s="8" t="s">
        <v>65</v>
      </c>
      <c r="R6708" s="10" t="s">
        <v>38082</v>
      </c>
      <c r="S6708" s="11" t="s">
        <v>38083</v>
      </c>
      <c r="T6708" s="6"/>
      <c r="U6708" s="15" t="str">
        <f>HYPERLINK("https://media.infra-m.ru/2234/2234438/cover/2234438.jpg", "Обложка")</f>
        <v>Обложка</v>
      </c>
      <c r="V6708" s="8" t="s">
        <v>1030</v>
      </c>
      <c r="W6708" s="6"/>
      <c r="X6708" s="6"/>
      <c r="Y6708" s="6"/>
      <c r="Z6708" s="6"/>
      <c r="AA6708" s="6" t="s">
        <v>76</v>
      </c>
      <c r="AB6708" s="8"/>
      <c r="AC6708" s="27">
        <v>9785160188126</v>
      </c>
    </row>
    <row r="6709" spans="1:29" s="4" customFormat="1" ht="51.9" customHeight="1" x14ac:dyDescent="0.2">
      <c r="A6709" s="5">
        <v>0</v>
      </c>
      <c r="B6709" s="6" t="s">
        <v>38084</v>
      </c>
      <c r="C6709" s="13">
        <v>852</v>
      </c>
      <c r="D6709" s="8" t="s">
        <v>38085</v>
      </c>
      <c r="E6709" s="8" t="s">
        <v>38086</v>
      </c>
      <c r="F6709" s="8" t="s">
        <v>38087</v>
      </c>
      <c r="G6709" s="6" t="s">
        <v>118</v>
      </c>
      <c r="H6709" s="6" t="s">
        <v>34</v>
      </c>
      <c r="I6709" s="8" t="s">
        <v>7198</v>
      </c>
      <c r="J6709" s="9">
        <v>1</v>
      </c>
      <c r="K6709" s="9">
        <v>220</v>
      </c>
      <c r="L6709" s="9">
        <v>2019</v>
      </c>
      <c r="M6709" s="8" t="s">
        <v>38088</v>
      </c>
      <c r="N6709" s="8" t="s">
        <v>585</v>
      </c>
      <c r="O6709" s="8" t="s">
        <v>667</v>
      </c>
      <c r="P6709" s="6" t="s">
        <v>51</v>
      </c>
      <c r="Q6709" s="8" t="s">
        <v>52</v>
      </c>
      <c r="R6709" s="10"/>
      <c r="S6709" s="11" t="s">
        <v>38089</v>
      </c>
      <c r="T6709" s="6"/>
      <c r="U6709" s="15" t="str">
        <f>HYPERLINK("https://media.infra-m.ru/1018/1018911/cover/1018911.jpg", "Обложка")</f>
        <v>Обложка</v>
      </c>
      <c r="V6709" s="8" t="s">
        <v>1083</v>
      </c>
      <c r="W6709" s="6"/>
      <c r="X6709" s="6"/>
      <c r="Y6709" s="6"/>
      <c r="Z6709" s="6"/>
      <c r="AA6709" s="6" t="s">
        <v>623</v>
      </c>
      <c r="AB6709" s="8"/>
      <c r="AC6709" s="27">
        <v>9785160129679</v>
      </c>
    </row>
    <row r="6710" spans="1:29" s="4" customFormat="1" ht="51.9" customHeight="1" x14ac:dyDescent="0.2">
      <c r="A6710" s="5">
        <v>0</v>
      </c>
      <c r="B6710" s="6" t="s">
        <v>38090</v>
      </c>
      <c r="C6710" s="13">
        <v>552</v>
      </c>
      <c r="D6710" s="8" t="s">
        <v>38091</v>
      </c>
      <c r="E6710" s="8" t="s">
        <v>38092</v>
      </c>
      <c r="F6710" s="8" t="s">
        <v>38093</v>
      </c>
      <c r="G6710" s="6" t="s">
        <v>33</v>
      </c>
      <c r="H6710" s="6" t="s">
        <v>34</v>
      </c>
      <c r="I6710" s="8"/>
      <c r="J6710" s="9">
        <v>1</v>
      </c>
      <c r="K6710" s="9">
        <v>115</v>
      </c>
      <c r="L6710" s="9">
        <v>2022</v>
      </c>
      <c r="M6710" s="8" t="s">
        <v>38094</v>
      </c>
      <c r="N6710" s="8" t="s">
        <v>37</v>
      </c>
      <c r="O6710" s="8" t="s">
        <v>233</v>
      </c>
      <c r="P6710" s="6" t="s">
        <v>39</v>
      </c>
      <c r="Q6710" s="8" t="s">
        <v>40</v>
      </c>
      <c r="R6710" s="10" t="s">
        <v>38095</v>
      </c>
      <c r="S6710" s="11"/>
      <c r="T6710" s="6"/>
      <c r="U6710" s="15" t="str">
        <f>HYPERLINK("https://media.infra-m.ru/1895/1895985/cover/1895985.jpg", "Обложка")</f>
        <v>Обложка</v>
      </c>
      <c r="V6710" s="8" t="s">
        <v>227</v>
      </c>
      <c r="W6710" s="6"/>
      <c r="X6710" s="6"/>
      <c r="Y6710" s="6"/>
      <c r="Z6710" s="6"/>
      <c r="AA6710" s="6" t="s">
        <v>148</v>
      </c>
      <c r="AB6710" s="8"/>
      <c r="AC6710" s="27">
        <v>9785160177168</v>
      </c>
    </row>
    <row r="6711" spans="1:29" s="4" customFormat="1" ht="51.9" customHeight="1" x14ac:dyDescent="0.2">
      <c r="A6711" s="5">
        <v>0</v>
      </c>
      <c r="B6711" s="6" t="s">
        <v>38096</v>
      </c>
      <c r="C6711" s="13">
        <v>900</v>
      </c>
      <c r="D6711" s="8" t="s">
        <v>38097</v>
      </c>
      <c r="E6711" s="8" t="s">
        <v>38098</v>
      </c>
      <c r="F6711" s="8" t="s">
        <v>38099</v>
      </c>
      <c r="G6711" s="6" t="s">
        <v>60</v>
      </c>
      <c r="H6711" s="6" t="s">
        <v>34</v>
      </c>
      <c r="I6711" s="8" t="s">
        <v>7198</v>
      </c>
      <c r="J6711" s="9">
        <v>1</v>
      </c>
      <c r="K6711" s="9">
        <v>146</v>
      </c>
      <c r="L6711" s="9">
        <v>2023</v>
      </c>
      <c r="M6711" s="8" t="s">
        <v>38100</v>
      </c>
      <c r="N6711" s="8" t="s">
        <v>243</v>
      </c>
      <c r="O6711" s="8" t="s">
        <v>758</v>
      </c>
      <c r="P6711" s="6" t="s">
        <v>51</v>
      </c>
      <c r="Q6711" s="8" t="s">
        <v>52</v>
      </c>
      <c r="R6711" s="10" t="s">
        <v>38101</v>
      </c>
      <c r="S6711" s="11" t="s">
        <v>38102</v>
      </c>
      <c r="T6711" s="6"/>
      <c r="U6711" s="15" t="str">
        <f>HYPERLINK("https://media.infra-m.ru/1910/1910888/cover/1910888.jpg", "Обложка")</f>
        <v>Обложка</v>
      </c>
      <c r="V6711" s="8" t="s">
        <v>227</v>
      </c>
      <c r="W6711" s="6"/>
      <c r="X6711" s="6"/>
      <c r="Y6711" s="6"/>
      <c r="Z6711" s="6"/>
      <c r="AA6711" s="6" t="s">
        <v>157</v>
      </c>
      <c r="AB6711" s="8"/>
      <c r="AC6711" s="27">
        <v>9785160180922</v>
      </c>
    </row>
    <row r="6712" spans="1:29" s="4" customFormat="1" ht="51.9" customHeight="1" x14ac:dyDescent="0.2">
      <c r="A6712" s="5">
        <v>0</v>
      </c>
      <c r="B6712" s="6" t="s">
        <v>38103</v>
      </c>
      <c r="C6712" s="7">
        <v>2212.8000000000002</v>
      </c>
      <c r="D6712" s="8" t="s">
        <v>38104</v>
      </c>
      <c r="E6712" s="8" t="s">
        <v>38105</v>
      </c>
      <c r="F6712" s="8" t="s">
        <v>38106</v>
      </c>
      <c r="G6712" s="6" t="s">
        <v>118</v>
      </c>
      <c r="H6712" s="6" t="s">
        <v>1795</v>
      </c>
      <c r="I6712" s="8" t="s">
        <v>1904</v>
      </c>
      <c r="J6712" s="9">
        <v>1</v>
      </c>
      <c r="K6712" s="9">
        <v>336</v>
      </c>
      <c r="L6712" s="9">
        <v>2026</v>
      </c>
      <c r="M6712" s="8" t="s">
        <v>38107</v>
      </c>
      <c r="N6712" s="8" t="s">
        <v>243</v>
      </c>
      <c r="O6712" s="8" t="s">
        <v>758</v>
      </c>
      <c r="P6712" s="6" t="s">
        <v>51</v>
      </c>
      <c r="Q6712" s="8" t="s">
        <v>52</v>
      </c>
      <c r="R6712" s="10" t="s">
        <v>28524</v>
      </c>
      <c r="S6712" s="11" t="s">
        <v>38108</v>
      </c>
      <c r="T6712" s="6" t="s">
        <v>97</v>
      </c>
      <c r="U6712" s="15" t="str">
        <f>HYPERLINK("https://media.infra-m.ru/2238/2238482/cover/2238482.jpg", "Обложка")</f>
        <v>Обложка</v>
      </c>
      <c r="V6712" s="8" t="s">
        <v>2398</v>
      </c>
      <c r="W6712" s="6"/>
      <c r="X6712" s="6"/>
      <c r="Y6712" s="6"/>
      <c r="Z6712" s="6"/>
      <c r="AA6712" s="6" t="s">
        <v>248</v>
      </c>
      <c r="AB6712" s="8"/>
      <c r="AC6712" s="27">
        <v>9785982813923</v>
      </c>
    </row>
    <row r="6713" spans="1:29" s="4" customFormat="1" ht="51.9" customHeight="1" x14ac:dyDescent="0.2">
      <c r="A6713" s="5">
        <v>0</v>
      </c>
      <c r="B6713" s="6" t="s">
        <v>38109</v>
      </c>
      <c r="C6713" s="7">
        <v>2640</v>
      </c>
      <c r="D6713" s="8" t="s">
        <v>38110</v>
      </c>
      <c r="E6713" s="8" t="s">
        <v>38111</v>
      </c>
      <c r="F6713" s="8" t="s">
        <v>38112</v>
      </c>
      <c r="G6713" s="6" t="s">
        <v>118</v>
      </c>
      <c r="H6713" s="6" t="s">
        <v>34</v>
      </c>
      <c r="I6713" s="8" t="s">
        <v>253</v>
      </c>
      <c r="J6713" s="9">
        <v>1</v>
      </c>
      <c r="K6713" s="9">
        <v>309</v>
      </c>
      <c r="L6713" s="9">
        <v>2026</v>
      </c>
      <c r="M6713" s="8" t="s">
        <v>38113</v>
      </c>
      <c r="N6713" s="8" t="s">
        <v>243</v>
      </c>
      <c r="O6713" s="8" t="s">
        <v>758</v>
      </c>
      <c r="P6713" s="6" t="s">
        <v>51</v>
      </c>
      <c r="Q6713" s="8" t="s">
        <v>52</v>
      </c>
      <c r="R6713" s="10" t="s">
        <v>7200</v>
      </c>
      <c r="S6713" s="11" t="s">
        <v>38114</v>
      </c>
      <c r="T6713" s="6"/>
      <c r="U6713" s="15" t="str">
        <f>HYPERLINK("https://media.infra-m.ru/2236/2236289/cover/2236289.jpg", "Обложка")</f>
        <v>Обложка</v>
      </c>
      <c r="V6713" s="8" t="s">
        <v>5250</v>
      </c>
      <c r="W6713" s="6"/>
      <c r="X6713" s="6"/>
      <c r="Y6713" s="6"/>
      <c r="Z6713" s="6"/>
      <c r="AA6713" s="6" t="s">
        <v>1256</v>
      </c>
      <c r="AB6713" s="8"/>
      <c r="AC6713" s="27">
        <v>9785160202136</v>
      </c>
    </row>
    <row r="6714" spans="1:29" s="4" customFormat="1" ht="51.9" customHeight="1" x14ac:dyDescent="0.2">
      <c r="A6714" s="5">
        <v>0</v>
      </c>
      <c r="B6714" s="6" t="s">
        <v>38115</v>
      </c>
      <c r="C6714" s="7">
        <v>2800.8</v>
      </c>
      <c r="D6714" s="8" t="s">
        <v>38116</v>
      </c>
      <c r="E6714" s="8" t="s">
        <v>38111</v>
      </c>
      <c r="F6714" s="8" t="s">
        <v>38112</v>
      </c>
      <c r="G6714" s="6" t="s">
        <v>118</v>
      </c>
      <c r="H6714" s="6" t="s">
        <v>34</v>
      </c>
      <c r="I6714" s="8" t="s">
        <v>263</v>
      </c>
      <c r="J6714" s="9">
        <v>1</v>
      </c>
      <c r="K6714" s="9">
        <v>309</v>
      </c>
      <c r="L6714" s="9">
        <v>2027</v>
      </c>
      <c r="M6714" s="8" t="s">
        <v>38117</v>
      </c>
      <c r="N6714" s="8" t="s">
        <v>243</v>
      </c>
      <c r="O6714" s="8" t="s">
        <v>758</v>
      </c>
      <c r="P6714" s="6" t="s">
        <v>51</v>
      </c>
      <c r="Q6714" s="8" t="s">
        <v>265</v>
      </c>
      <c r="R6714" s="10" t="s">
        <v>38118</v>
      </c>
      <c r="S6714" s="11" t="s">
        <v>38119</v>
      </c>
      <c r="T6714" s="6"/>
      <c r="U6714" s="15" t="str">
        <f>HYPERLINK("https://media.infra-m.ru/2267/2267161/cover/2267161.jpg", "Обложка")</f>
        <v>Обложка</v>
      </c>
      <c r="V6714" s="8" t="s">
        <v>5250</v>
      </c>
      <c r="W6714" s="6"/>
      <c r="X6714" s="6"/>
      <c r="Y6714" s="6"/>
      <c r="Z6714" s="6" t="s">
        <v>267</v>
      </c>
      <c r="AA6714" s="6" t="s">
        <v>430</v>
      </c>
      <c r="AB6714" s="8"/>
      <c r="AC6714" s="27">
        <v>9785160167008</v>
      </c>
    </row>
    <row r="6715" spans="1:29" s="4" customFormat="1" ht="51.9" customHeight="1" x14ac:dyDescent="0.2">
      <c r="A6715" s="5">
        <v>0</v>
      </c>
      <c r="B6715" s="6" t="s">
        <v>38120</v>
      </c>
      <c r="C6715" s="7">
        <v>2940</v>
      </c>
      <c r="D6715" s="8" t="s">
        <v>38121</v>
      </c>
      <c r="E6715" s="8" t="s">
        <v>38122</v>
      </c>
      <c r="F6715" s="8" t="s">
        <v>38123</v>
      </c>
      <c r="G6715" s="6" t="s">
        <v>60</v>
      </c>
      <c r="H6715" s="6" t="s">
        <v>34</v>
      </c>
      <c r="I6715" s="8" t="s">
        <v>263</v>
      </c>
      <c r="J6715" s="9">
        <v>1</v>
      </c>
      <c r="K6715" s="9">
        <v>443</v>
      </c>
      <c r="L6715" s="9">
        <v>2026</v>
      </c>
      <c r="M6715" s="8" t="s">
        <v>38124</v>
      </c>
      <c r="N6715" s="8" t="s">
        <v>243</v>
      </c>
      <c r="O6715" s="8" t="s">
        <v>758</v>
      </c>
      <c r="P6715" s="6" t="s">
        <v>51</v>
      </c>
      <c r="Q6715" s="8" t="s">
        <v>265</v>
      </c>
      <c r="R6715" s="10" t="s">
        <v>38125</v>
      </c>
      <c r="S6715" s="11"/>
      <c r="T6715" s="6"/>
      <c r="U6715" s="15" t="str">
        <f>HYPERLINK("https://media.infra-m.ru/2198/2198571/cover/2198571.jpg", "Обложка")</f>
        <v>Обложка</v>
      </c>
      <c r="V6715" s="8" t="s">
        <v>38126</v>
      </c>
      <c r="W6715" s="6" t="s">
        <v>547</v>
      </c>
      <c r="X6715" s="6"/>
      <c r="Y6715" s="6"/>
      <c r="Z6715" s="6"/>
      <c r="AA6715" s="6" t="s">
        <v>187</v>
      </c>
      <c r="AB6715" s="8"/>
      <c r="AC6715" s="27">
        <v>9785160208466</v>
      </c>
    </row>
    <row r="6716" spans="1:29" s="4" customFormat="1" ht="51.9" customHeight="1" x14ac:dyDescent="0.2">
      <c r="A6716" s="5">
        <v>0</v>
      </c>
      <c r="B6716" s="6" t="s">
        <v>38127</v>
      </c>
      <c r="C6716" s="7">
        <v>1120.8</v>
      </c>
      <c r="D6716" s="8" t="s">
        <v>38128</v>
      </c>
      <c r="E6716" s="8" t="s">
        <v>38129</v>
      </c>
      <c r="F6716" s="8" t="s">
        <v>38099</v>
      </c>
      <c r="G6716" s="6" t="s">
        <v>60</v>
      </c>
      <c r="H6716" s="6" t="s">
        <v>34</v>
      </c>
      <c r="I6716" s="8" t="s">
        <v>1081</v>
      </c>
      <c r="J6716" s="9">
        <v>1</v>
      </c>
      <c r="K6716" s="9">
        <v>170</v>
      </c>
      <c r="L6716" s="9">
        <v>2026</v>
      </c>
      <c r="M6716" s="8" t="s">
        <v>38130</v>
      </c>
      <c r="N6716" s="8" t="s">
        <v>243</v>
      </c>
      <c r="O6716" s="8" t="s">
        <v>758</v>
      </c>
      <c r="P6716" s="6" t="s">
        <v>39</v>
      </c>
      <c r="Q6716" s="8" t="s">
        <v>40</v>
      </c>
      <c r="R6716" s="10" t="s">
        <v>38131</v>
      </c>
      <c r="S6716" s="11"/>
      <c r="T6716" s="6"/>
      <c r="U6716" s="15" t="str">
        <f>HYPERLINK("https://media.infra-m.ru/2239/2239130/cover/2239130.jpg", "Обложка")</f>
        <v>Обложка</v>
      </c>
      <c r="V6716" s="8" t="s">
        <v>227</v>
      </c>
      <c r="W6716" s="6"/>
      <c r="X6716" s="6"/>
      <c r="Y6716" s="6"/>
      <c r="Z6716" s="6"/>
      <c r="AA6716" s="6" t="s">
        <v>86</v>
      </c>
      <c r="AB6716" s="8"/>
      <c r="AC6716" s="27">
        <v>9785160133836</v>
      </c>
    </row>
    <row r="6717" spans="1:29" s="4" customFormat="1" ht="51.9" customHeight="1" x14ac:dyDescent="0.2">
      <c r="A6717" s="5">
        <v>0</v>
      </c>
      <c r="B6717" s="6" t="s">
        <v>38132</v>
      </c>
      <c r="C6717" s="7">
        <v>1348.8</v>
      </c>
      <c r="D6717" s="8" t="s">
        <v>38133</v>
      </c>
      <c r="E6717" s="8" t="s">
        <v>38134</v>
      </c>
      <c r="F6717" s="8" t="s">
        <v>4951</v>
      </c>
      <c r="G6717" s="6" t="s">
        <v>60</v>
      </c>
      <c r="H6717" s="6" t="s">
        <v>134</v>
      </c>
      <c r="I6717" s="8"/>
      <c r="J6717" s="9">
        <v>1</v>
      </c>
      <c r="K6717" s="9">
        <v>204</v>
      </c>
      <c r="L6717" s="9">
        <v>2026</v>
      </c>
      <c r="M6717" s="8" t="s">
        <v>38135</v>
      </c>
      <c r="N6717" s="8" t="s">
        <v>37</v>
      </c>
      <c r="O6717" s="8" t="s">
        <v>136</v>
      </c>
      <c r="P6717" s="6" t="s">
        <v>39</v>
      </c>
      <c r="Q6717" s="8" t="s">
        <v>40</v>
      </c>
      <c r="R6717" s="10" t="s">
        <v>15742</v>
      </c>
      <c r="S6717" s="11"/>
      <c r="T6717" s="6"/>
      <c r="U6717" s="15" t="str">
        <f>HYPERLINK("https://media.infra-m.ru/2221/2221174/cover/2221174.jpg", "Обложка")</f>
        <v>Обложка</v>
      </c>
      <c r="V6717" s="8" t="s">
        <v>1184</v>
      </c>
      <c r="W6717" s="6"/>
      <c r="X6717" s="6"/>
      <c r="Y6717" s="6"/>
      <c r="Z6717" s="6"/>
      <c r="AA6717" s="6" t="s">
        <v>99</v>
      </c>
      <c r="AB6717" s="8"/>
      <c r="AC6717" s="27">
        <v>9785917687087</v>
      </c>
    </row>
    <row r="6718" spans="1:29" s="4" customFormat="1" ht="51.9" customHeight="1" x14ac:dyDescent="0.2">
      <c r="A6718" s="5">
        <v>0</v>
      </c>
      <c r="B6718" s="6" t="s">
        <v>38136</v>
      </c>
      <c r="C6718" s="7">
        <v>3160.8</v>
      </c>
      <c r="D6718" s="8" t="s">
        <v>38137</v>
      </c>
      <c r="E6718" s="8" t="s">
        <v>38138</v>
      </c>
      <c r="F6718" s="8" t="s">
        <v>38139</v>
      </c>
      <c r="G6718" s="6" t="s">
        <v>118</v>
      </c>
      <c r="H6718" s="6" t="s">
        <v>1644</v>
      </c>
      <c r="I6718" s="8" t="s">
        <v>4073</v>
      </c>
      <c r="J6718" s="9">
        <v>1</v>
      </c>
      <c r="K6718" s="9">
        <v>560</v>
      </c>
      <c r="L6718" s="9">
        <v>2024</v>
      </c>
      <c r="M6718" s="8" t="s">
        <v>38140</v>
      </c>
      <c r="N6718" s="8" t="s">
        <v>37</v>
      </c>
      <c r="O6718" s="8" t="s">
        <v>233</v>
      </c>
      <c r="P6718" s="6" t="s">
        <v>51</v>
      </c>
      <c r="Q6718" s="8" t="s">
        <v>500</v>
      </c>
      <c r="R6718" s="10" t="s">
        <v>22294</v>
      </c>
      <c r="S6718" s="11"/>
      <c r="T6718" s="6"/>
      <c r="U6718" s="15" t="str">
        <f>HYPERLINK("https://media.infra-m.ru/2135/2135043/cover/2135043.jpg", "Обложка")</f>
        <v>Обложка</v>
      </c>
      <c r="V6718" s="8" t="s">
        <v>1647</v>
      </c>
      <c r="W6718" s="6"/>
      <c r="X6718" s="6"/>
      <c r="Y6718" s="6"/>
      <c r="Z6718" s="6"/>
      <c r="AA6718" s="6" t="s">
        <v>55</v>
      </c>
      <c r="AB6718" s="8"/>
      <c r="AC6718" s="27">
        <v>9785977602679</v>
      </c>
    </row>
    <row r="6719" spans="1:29" s="4" customFormat="1" ht="51.9" customHeight="1" x14ac:dyDescent="0.2">
      <c r="A6719" s="5">
        <v>0</v>
      </c>
      <c r="B6719" s="6" t="s">
        <v>38141</v>
      </c>
      <c r="C6719" s="7">
        <v>1252.8</v>
      </c>
      <c r="D6719" s="8" t="s">
        <v>38142</v>
      </c>
      <c r="E6719" s="8" t="s">
        <v>38143</v>
      </c>
      <c r="F6719" s="8" t="s">
        <v>38144</v>
      </c>
      <c r="G6719" s="6" t="s">
        <v>33</v>
      </c>
      <c r="H6719" s="6" t="s">
        <v>34</v>
      </c>
      <c r="I6719" s="8" t="s">
        <v>271</v>
      </c>
      <c r="J6719" s="9">
        <v>1</v>
      </c>
      <c r="K6719" s="9">
        <v>190</v>
      </c>
      <c r="L6719" s="9">
        <v>2026</v>
      </c>
      <c r="M6719" s="8" t="s">
        <v>38145</v>
      </c>
      <c r="N6719" s="8" t="s">
        <v>37</v>
      </c>
      <c r="O6719" s="8" t="s">
        <v>499</v>
      </c>
      <c r="P6719" s="6" t="s">
        <v>51</v>
      </c>
      <c r="Q6719" s="8" t="s">
        <v>52</v>
      </c>
      <c r="R6719" s="10" t="s">
        <v>38146</v>
      </c>
      <c r="S6719" s="11" t="s">
        <v>38147</v>
      </c>
      <c r="T6719" s="6"/>
      <c r="U6719" s="15" t="str">
        <f>HYPERLINK("https://media.infra-m.ru/2253/2253925/cover/2253925.jpg", "Обложка")</f>
        <v>Обложка</v>
      </c>
      <c r="V6719" s="8" t="s">
        <v>1768</v>
      </c>
      <c r="W6719" s="6"/>
      <c r="X6719" s="6"/>
      <c r="Y6719" s="6"/>
      <c r="Z6719" s="6"/>
      <c r="AA6719" s="6" t="s">
        <v>248</v>
      </c>
      <c r="AB6719" s="8"/>
      <c r="AC6719" s="27">
        <v>9785160062129</v>
      </c>
    </row>
    <row r="6720" spans="1:29" s="4" customFormat="1" ht="51.9" customHeight="1" x14ac:dyDescent="0.2">
      <c r="A6720" s="5">
        <v>0</v>
      </c>
      <c r="B6720" s="6" t="s">
        <v>38148</v>
      </c>
      <c r="C6720" s="7">
        <v>1404</v>
      </c>
      <c r="D6720" s="8" t="s">
        <v>38149</v>
      </c>
      <c r="E6720" s="8" t="s">
        <v>38150</v>
      </c>
      <c r="F6720" s="8" t="s">
        <v>3261</v>
      </c>
      <c r="G6720" s="6" t="s">
        <v>33</v>
      </c>
      <c r="H6720" s="6" t="s">
        <v>34</v>
      </c>
      <c r="I6720" s="8" t="s">
        <v>35</v>
      </c>
      <c r="J6720" s="9">
        <v>1</v>
      </c>
      <c r="K6720" s="9">
        <v>300</v>
      </c>
      <c r="L6720" s="9">
        <v>2022</v>
      </c>
      <c r="M6720" s="8" t="s">
        <v>38151</v>
      </c>
      <c r="N6720" s="8" t="s">
        <v>37</v>
      </c>
      <c r="O6720" s="8" t="s">
        <v>83</v>
      </c>
      <c r="P6720" s="6" t="s">
        <v>39</v>
      </c>
      <c r="Q6720" s="8" t="s">
        <v>40</v>
      </c>
      <c r="R6720" s="10" t="s">
        <v>38152</v>
      </c>
      <c r="S6720" s="11"/>
      <c r="T6720" s="6"/>
      <c r="U6720" s="15" t="str">
        <f>HYPERLINK("https://media.infra-m.ru/1817/1817282/cover/1817282.jpg", "Обложка")</f>
        <v>Обложка</v>
      </c>
      <c r="V6720" s="8" t="s">
        <v>3264</v>
      </c>
      <c r="W6720" s="6"/>
      <c r="X6720" s="6"/>
      <c r="Y6720" s="6"/>
      <c r="Z6720" s="6"/>
      <c r="AA6720" s="6" t="s">
        <v>148</v>
      </c>
      <c r="AB6720" s="8"/>
      <c r="AC6720" s="27">
        <v>9785160171685</v>
      </c>
    </row>
    <row r="6721" spans="1:29" s="4" customFormat="1" ht="51.9" customHeight="1" x14ac:dyDescent="0.2">
      <c r="A6721" s="5">
        <v>0</v>
      </c>
      <c r="B6721" s="6" t="s">
        <v>38153</v>
      </c>
      <c r="C6721" s="7">
        <v>1408.8</v>
      </c>
      <c r="D6721" s="8" t="s">
        <v>38154</v>
      </c>
      <c r="E6721" s="8" t="s">
        <v>38155</v>
      </c>
      <c r="F6721" s="8" t="s">
        <v>38156</v>
      </c>
      <c r="G6721" s="6" t="s">
        <v>33</v>
      </c>
      <c r="H6721" s="6" t="s">
        <v>34</v>
      </c>
      <c r="I6721" s="8" t="s">
        <v>35</v>
      </c>
      <c r="J6721" s="9">
        <v>1</v>
      </c>
      <c r="K6721" s="9">
        <v>214</v>
      </c>
      <c r="L6721" s="9">
        <v>2026</v>
      </c>
      <c r="M6721" s="8" t="s">
        <v>38157</v>
      </c>
      <c r="N6721" s="8" t="s">
        <v>37</v>
      </c>
      <c r="O6721" s="8" t="s">
        <v>38</v>
      </c>
      <c r="P6721" s="6" t="s">
        <v>39</v>
      </c>
      <c r="Q6721" s="8" t="s">
        <v>40</v>
      </c>
      <c r="R6721" s="10" t="s">
        <v>38158</v>
      </c>
      <c r="S6721" s="11"/>
      <c r="T6721" s="6"/>
      <c r="U6721" s="15" t="str">
        <f>HYPERLINK("https://media.infra-m.ru/2251/2251363/cover/2251363.jpg", "Обложка")</f>
        <v>Обложка</v>
      </c>
      <c r="V6721" s="8" t="s">
        <v>396</v>
      </c>
      <c r="W6721" s="6"/>
      <c r="X6721" s="6"/>
      <c r="Y6721" s="6"/>
      <c r="Z6721" s="6"/>
      <c r="AA6721" s="6" t="s">
        <v>779</v>
      </c>
      <c r="AB6721" s="8"/>
      <c r="AC6721" s="27">
        <v>9785160194431</v>
      </c>
    </row>
    <row r="6722" spans="1:29" s="4" customFormat="1" ht="51.9" customHeight="1" x14ac:dyDescent="0.2">
      <c r="A6722" s="5">
        <v>0</v>
      </c>
      <c r="B6722" s="6" t="s">
        <v>38159</v>
      </c>
      <c r="C6722" s="7">
        <v>1180.8</v>
      </c>
      <c r="D6722" s="8" t="s">
        <v>38160</v>
      </c>
      <c r="E6722" s="8" t="s">
        <v>38155</v>
      </c>
      <c r="F6722" s="8" t="s">
        <v>38156</v>
      </c>
      <c r="G6722" s="6" t="s">
        <v>118</v>
      </c>
      <c r="H6722" s="6" t="s">
        <v>34</v>
      </c>
      <c r="I6722" s="8" t="s">
        <v>35</v>
      </c>
      <c r="J6722" s="9">
        <v>1</v>
      </c>
      <c r="K6722" s="9">
        <v>214</v>
      </c>
      <c r="L6722" s="9">
        <v>2024</v>
      </c>
      <c r="M6722" s="8" t="s">
        <v>38161</v>
      </c>
      <c r="N6722" s="8" t="s">
        <v>37</v>
      </c>
      <c r="O6722" s="8" t="s">
        <v>38</v>
      </c>
      <c r="P6722" s="6" t="s">
        <v>39</v>
      </c>
      <c r="Q6722" s="8" t="s">
        <v>40</v>
      </c>
      <c r="R6722" s="10" t="s">
        <v>38158</v>
      </c>
      <c r="S6722" s="11"/>
      <c r="T6722" s="6"/>
      <c r="U6722" s="15" t="str">
        <f>HYPERLINK("https://media.infra-m.ru/2117/2117057/cover/2117057.jpg", "Обложка")</f>
        <v>Обложка</v>
      </c>
      <c r="V6722" s="8" t="s">
        <v>396</v>
      </c>
      <c r="W6722" s="6"/>
      <c r="X6722" s="6"/>
      <c r="Y6722" s="6"/>
      <c r="Z6722" s="6"/>
      <c r="AA6722" s="6" t="s">
        <v>779</v>
      </c>
      <c r="AB6722" s="8"/>
      <c r="AC6722" s="27">
        <v>9785160115504</v>
      </c>
    </row>
    <row r="6723" spans="1:29" s="4" customFormat="1" ht="42" customHeight="1" x14ac:dyDescent="0.2">
      <c r="A6723" s="5">
        <v>0</v>
      </c>
      <c r="B6723" s="6" t="s">
        <v>38162</v>
      </c>
      <c r="C6723" s="7">
        <v>1468.8</v>
      </c>
      <c r="D6723" s="8" t="s">
        <v>38163</v>
      </c>
      <c r="E6723" s="8" t="s">
        <v>38164</v>
      </c>
      <c r="F6723" s="8" t="s">
        <v>231</v>
      </c>
      <c r="G6723" s="6" t="s">
        <v>118</v>
      </c>
      <c r="H6723" s="6" t="s">
        <v>34</v>
      </c>
      <c r="I6723" s="8"/>
      <c r="J6723" s="9">
        <v>1</v>
      </c>
      <c r="K6723" s="9">
        <v>222</v>
      </c>
      <c r="L6723" s="9">
        <v>2026</v>
      </c>
      <c r="M6723" s="8" t="s">
        <v>38165</v>
      </c>
      <c r="N6723" s="8" t="s">
        <v>37</v>
      </c>
      <c r="O6723" s="8" t="s">
        <v>233</v>
      </c>
      <c r="P6723" s="6" t="s">
        <v>95</v>
      </c>
      <c r="Q6723" s="8" t="s">
        <v>40</v>
      </c>
      <c r="R6723" s="10" t="s">
        <v>4087</v>
      </c>
      <c r="S6723" s="11"/>
      <c r="T6723" s="6"/>
      <c r="U6723" s="15" t="str">
        <f>HYPERLINK("https://media.infra-m.ru/2243/2243260/cover/2243260.jpg", "Обложка")</f>
        <v>Обложка</v>
      </c>
      <c r="V6723" s="8" t="s">
        <v>236</v>
      </c>
      <c r="W6723" s="6"/>
      <c r="X6723" s="6"/>
      <c r="Y6723" s="6"/>
      <c r="Z6723" s="6"/>
      <c r="AA6723" s="6" t="s">
        <v>874</v>
      </c>
      <c r="AB6723" s="8"/>
      <c r="AC6723" s="27">
        <v>9785160104713</v>
      </c>
    </row>
    <row r="6724" spans="1:29" s="4" customFormat="1" ht="44.1" customHeight="1" x14ac:dyDescent="0.2">
      <c r="A6724" s="5">
        <v>0</v>
      </c>
      <c r="B6724" s="6" t="s">
        <v>38166</v>
      </c>
      <c r="C6724" s="7">
        <v>1612.8</v>
      </c>
      <c r="D6724" s="8" t="s">
        <v>38167</v>
      </c>
      <c r="E6724" s="8" t="s">
        <v>38168</v>
      </c>
      <c r="F6724" s="8" t="s">
        <v>4624</v>
      </c>
      <c r="G6724" s="6" t="s">
        <v>60</v>
      </c>
      <c r="H6724" s="6" t="s">
        <v>34</v>
      </c>
      <c r="I6724" s="8" t="s">
        <v>253</v>
      </c>
      <c r="J6724" s="9">
        <v>1</v>
      </c>
      <c r="K6724" s="9">
        <v>245</v>
      </c>
      <c r="L6724" s="9">
        <v>2026</v>
      </c>
      <c r="M6724" s="8" t="s">
        <v>38169</v>
      </c>
      <c r="N6724" s="8" t="s">
        <v>243</v>
      </c>
      <c r="O6724" s="8" t="s">
        <v>1100</v>
      </c>
      <c r="P6724" s="6" t="s">
        <v>51</v>
      </c>
      <c r="Q6724" s="8" t="s">
        <v>52</v>
      </c>
      <c r="R6724" s="10" t="s">
        <v>38170</v>
      </c>
      <c r="S6724" s="11"/>
      <c r="T6724" s="6"/>
      <c r="U6724" s="15" t="str">
        <f>HYPERLINK("https://media.infra-m.ru/2230/2230934/cover/2230934.jpg", "Обложка")</f>
        <v>Обложка</v>
      </c>
      <c r="V6724" s="8" t="s">
        <v>1030</v>
      </c>
      <c r="W6724" s="6"/>
      <c r="X6724" s="6"/>
      <c r="Y6724" s="6"/>
      <c r="Z6724" s="6"/>
      <c r="AA6724" s="6" t="s">
        <v>76</v>
      </c>
      <c r="AB6724" s="8" t="s">
        <v>1785</v>
      </c>
      <c r="AC6724" s="27">
        <v>9785160180571</v>
      </c>
    </row>
    <row r="6725" spans="1:29" s="4" customFormat="1" ht="51.9" customHeight="1" x14ac:dyDescent="0.2">
      <c r="A6725" s="5">
        <v>0</v>
      </c>
      <c r="B6725" s="6" t="s">
        <v>38171</v>
      </c>
      <c r="C6725" s="7">
        <v>1872</v>
      </c>
      <c r="D6725" s="8" t="s">
        <v>38172</v>
      </c>
      <c r="E6725" s="8" t="s">
        <v>38173</v>
      </c>
      <c r="F6725" s="8" t="s">
        <v>38174</v>
      </c>
      <c r="G6725" s="6" t="s">
        <v>60</v>
      </c>
      <c r="H6725" s="6" t="s">
        <v>34</v>
      </c>
      <c r="I6725" s="8" t="s">
        <v>1128</v>
      </c>
      <c r="J6725" s="9">
        <v>1</v>
      </c>
      <c r="K6725" s="9">
        <v>330</v>
      </c>
      <c r="L6725" s="9">
        <v>2024</v>
      </c>
      <c r="M6725" s="8" t="s">
        <v>38175</v>
      </c>
      <c r="N6725" s="8" t="s">
        <v>243</v>
      </c>
      <c r="O6725" s="8" t="s">
        <v>1100</v>
      </c>
      <c r="P6725" s="6" t="s">
        <v>51</v>
      </c>
      <c r="Q6725" s="8" t="s">
        <v>65</v>
      </c>
      <c r="R6725" s="10" t="s">
        <v>38176</v>
      </c>
      <c r="S6725" s="11" t="s">
        <v>38177</v>
      </c>
      <c r="T6725" s="6"/>
      <c r="U6725" s="15" t="str">
        <f>HYPERLINK("https://media.infra-m.ru/2098/2098995/cover/2098995.jpg", "Обложка")</f>
        <v>Обложка</v>
      </c>
      <c r="V6725" s="8" t="s">
        <v>1132</v>
      </c>
      <c r="W6725" s="6"/>
      <c r="X6725" s="6"/>
      <c r="Y6725" s="6"/>
      <c r="Z6725" s="6"/>
      <c r="AA6725" s="6" t="s">
        <v>76</v>
      </c>
      <c r="AB6725" s="8" t="s">
        <v>5450</v>
      </c>
      <c r="AC6725" s="27">
        <v>9785160192314</v>
      </c>
    </row>
    <row r="6726" spans="1:29" s="4" customFormat="1" ht="42" customHeight="1" x14ac:dyDescent="0.2">
      <c r="A6726" s="5">
        <v>0</v>
      </c>
      <c r="B6726" s="6" t="s">
        <v>38178</v>
      </c>
      <c r="C6726" s="7">
        <v>1060.8</v>
      </c>
      <c r="D6726" s="8" t="s">
        <v>38179</v>
      </c>
      <c r="E6726" s="8" t="s">
        <v>38180</v>
      </c>
      <c r="F6726" s="8" t="s">
        <v>38181</v>
      </c>
      <c r="G6726" s="6" t="s">
        <v>60</v>
      </c>
      <c r="H6726" s="6" t="s">
        <v>34</v>
      </c>
      <c r="I6726" s="8" t="s">
        <v>1248</v>
      </c>
      <c r="J6726" s="9">
        <v>1</v>
      </c>
      <c r="K6726" s="9">
        <v>152</v>
      </c>
      <c r="L6726" s="9">
        <v>2026</v>
      </c>
      <c r="M6726" s="8" t="s">
        <v>38182</v>
      </c>
      <c r="N6726" s="8" t="s">
        <v>243</v>
      </c>
      <c r="O6726" s="8" t="s">
        <v>1100</v>
      </c>
      <c r="P6726" s="6" t="s">
        <v>51</v>
      </c>
      <c r="Q6726" s="8" t="s">
        <v>52</v>
      </c>
      <c r="R6726" s="10" t="s">
        <v>6760</v>
      </c>
      <c r="S6726" s="11"/>
      <c r="T6726" s="6"/>
      <c r="U6726" s="15" t="str">
        <f>HYPERLINK("https://media.infra-m.ru/2255/2255034/cover/2255034.jpg", "Обложка")</f>
        <v>Обложка</v>
      </c>
      <c r="V6726" s="8" t="s">
        <v>1083</v>
      </c>
      <c r="W6726" s="6"/>
      <c r="X6726" s="6"/>
      <c r="Y6726" s="6"/>
      <c r="Z6726" s="6"/>
      <c r="AA6726" s="6" t="s">
        <v>76</v>
      </c>
      <c r="AB6726" s="8"/>
      <c r="AC6726" s="27">
        <v>9785160195100</v>
      </c>
    </row>
    <row r="6727" spans="1:29" s="4" customFormat="1" ht="51.9" customHeight="1" x14ac:dyDescent="0.2">
      <c r="A6727" s="5">
        <v>0</v>
      </c>
      <c r="B6727" s="6" t="s">
        <v>38183</v>
      </c>
      <c r="C6727" s="7">
        <v>1852.8</v>
      </c>
      <c r="D6727" s="8" t="s">
        <v>38184</v>
      </c>
      <c r="E6727" s="8" t="s">
        <v>38185</v>
      </c>
      <c r="F6727" s="8" t="s">
        <v>38186</v>
      </c>
      <c r="G6727" s="6" t="s">
        <v>60</v>
      </c>
      <c r="H6727" s="6" t="s">
        <v>34</v>
      </c>
      <c r="I6727" s="8" t="s">
        <v>271</v>
      </c>
      <c r="J6727" s="9">
        <v>1</v>
      </c>
      <c r="K6727" s="9">
        <v>280</v>
      </c>
      <c r="L6727" s="9">
        <v>2026</v>
      </c>
      <c r="M6727" s="8" t="s">
        <v>38187</v>
      </c>
      <c r="N6727" s="8" t="s">
        <v>243</v>
      </c>
      <c r="O6727" s="8" t="s">
        <v>1100</v>
      </c>
      <c r="P6727" s="6" t="s">
        <v>51</v>
      </c>
      <c r="Q6727" s="8" t="s">
        <v>52</v>
      </c>
      <c r="R6727" s="10" t="s">
        <v>2820</v>
      </c>
      <c r="S6727" s="11" t="s">
        <v>38188</v>
      </c>
      <c r="T6727" s="6"/>
      <c r="U6727" s="15" t="str">
        <f>HYPERLINK("https://media.infra-m.ru/2251/2251339/cover/2251339.jpg", "Обложка")</f>
        <v>Обложка</v>
      </c>
      <c r="V6727" s="8" t="s">
        <v>359</v>
      </c>
      <c r="W6727" s="6"/>
      <c r="X6727" s="6"/>
      <c r="Y6727" s="6"/>
      <c r="Z6727" s="6"/>
      <c r="AA6727" s="6" t="s">
        <v>274</v>
      </c>
      <c r="AB6727" s="8"/>
      <c r="AC6727" s="27">
        <v>9785160201214</v>
      </c>
    </row>
    <row r="6728" spans="1:29" s="4" customFormat="1" ht="51.9" customHeight="1" x14ac:dyDescent="0.2">
      <c r="A6728" s="5">
        <v>0</v>
      </c>
      <c r="B6728" s="6" t="s">
        <v>38189</v>
      </c>
      <c r="C6728" s="7">
        <v>1380</v>
      </c>
      <c r="D6728" s="8" t="s">
        <v>38190</v>
      </c>
      <c r="E6728" s="8" t="s">
        <v>38191</v>
      </c>
      <c r="F6728" s="8" t="s">
        <v>38192</v>
      </c>
      <c r="G6728" s="6" t="s">
        <v>118</v>
      </c>
      <c r="H6728" s="6" t="s">
        <v>34</v>
      </c>
      <c r="I6728" s="8" t="s">
        <v>263</v>
      </c>
      <c r="J6728" s="9">
        <v>1</v>
      </c>
      <c r="K6728" s="9">
        <v>197</v>
      </c>
      <c r="L6728" s="9">
        <v>2027</v>
      </c>
      <c r="M6728" s="8" t="s">
        <v>38193</v>
      </c>
      <c r="N6728" s="8" t="s">
        <v>93</v>
      </c>
      <c r="O6728" s="8" t="s">
        <v>94</v>
      </c>
      <c r="P6728" s="6" t="s">
        <v>306</v>
      </c>
      <c r="Q6728" s="8" t="s">
        <v>265</v>
      </c>
      <c r="R6728" s="10" t="s">
        <v>38194</v>
      </c>
      <c r="S6728" s="11" t="s">
        <v>38195</v>
      </c>
      <c r="T6728" s="6"/>
      <c r="U6728" s="15" t="str">
        <f>HYPERLINK("https://media.infra-m.ru/2271/2271589/cover/2271589.jpg", "Обложка")</f>
        <v>Обложка</v>
      </c>
      <c r="V6728" s="8" t="s">
        <v>1599</v>
      </c>
      <c r="W6728" s="6"/>
      <c r="X6728" s="6"/>
      <c r="Y6728" s="6"/>
      <c r="Z6728" s="6"/>
      <c r="AA6728" s="6" t="s">
        <v>430</v>
      </c>
      <c r="AB6728" s="8"/>
      <c r="AC6728" s="27">
        <v>9785160161785</v>
      </c>
    </row>
    <row r="6729" spans="1:29" s="4" customFormat="1" ht="42" customHeight="1" x14ac:dyDescent="0.2">
      <c r="A6729" s="5">
        <v>0</v>
      </c>
      <c r="B6729" s="6" t="s">
        <v>38196</v>
      </c>
      <c r="C6729" s="7">
        <v>1488</v>
      </c>
      <c r="D6729" s="8" t="s">
        <v>38197</v>
      </c>
      <c r="E6729" s="8" t="s">
        <v>38198</v>
      </c>
      <c r="F6729" s="8" t="s">
        <v>38199</v>
      </c>
      <c r="G6729" s="6" t="s">
        <v>60</v>
      </c>
      <c r="H6729" s="6" t="s">
        <v>34</v>
      </c>
      <c r="I6729" s="8" t="s">
        <v>253</v>
      </c>
      <c r="J6729" s="9">
        <v>1</v>
      </c>
      <c r="K6729" s="9">
        <v>235</v>
      </c>
      <c r="L6729" s="9">
        <v>2025</v>
      </c>
      <c r="M6729" s="8" t="s">
        <v>38200</v>
      </c>
      <c r="N6729" s="8" t="s">
        <v>93</v>
      </c>
      <c r="O6729" s="8" t="s">
        <v>94</v>
      </c>
      <c r="P6729" s="6" t="s">
        <v>51</v>
      </c>
      <c r="Q6729" s="8" t="s">
        <v>52</v>
      </c>
      <c r="R6729" s="10" t="s">
        <v>2486</v>
      </c>
      <c r="S6729" s="11"/>
      <c r="T6729" s="6"/>
      <c r="U6729" s="15" t="str">
        <f>HYPERLINK("https://media.infra-m.ru/1900/1900609/cover/1900609.jpg", "Обложка")</f>
        <v>Обложка</v>
      </c>
      <c r="V6729" s="8" t="s">
        <v>6012</v>
      </c>
      <c r="W6729" s="6"/>
      <c r="X6729" s="6"/>
      <c r="Y6729" s="6"/>
      <c r="Z6729" s="6"/>
      <c r="AA6729" s="6" t="s">
        <v>68</v>
      </c>
      <c r="AB6729" s="8"/>
      <c r="AC6729" s="27">
        <v>9785160179711</v>
      </c>
    </row>
    <row r="6730" spans="1:29" s="4" customFormat="1" ht="51.9" customHeight="1" x14ac:dyDescent="0.2">
      <c r="A6730" s="5">
        <v>0</v>
      </c>
      <c r="B6730" s="6" t="s">
        <v>38201</v>
      </c>
      <c r="C6730" s="7">
        <v>3376.8</v>
      </c>
      <c r="D6730" s="8" t="s">
        <v>38202</v>
      </c>
      <c r="E6730" s="8" t="s">
        <v>38203</v>
      </c>
      <c r="F6730" s="8" t="s">
        <v>38204</v>
      </c>
      <c r="G6730" s="6" t="s">
        <v>118</v>
      </c>
      <c r="H6730" s="6" t="s">
        <v>34</v>
      </c>
      <c r="I6730" s="8" t="s">
        <v>35</v>
      </c>
      <c r="J6730" s="9">
        <v>1</v>
      </c>
      <c r="K6730" s="9">
        <v>540</v>
      </c>
      <c r="L6730" s="9">
        <v>2026</v>
      </c>
      <c r="M6730" s="8" t="s">
        <v>38205</v>
      </c>
      <c r="N6730" s="8" t="s">
        <v>37</v>
      </c>
      <c r="O6730" s="8" t="s">
        <v>207</v>
      </c>
      <c r="P6730" s="6" t="s">
        <v>39</v>
      </c>
      <c r="Q6730" s="8" t="s">
        <v>40</v>
      </c>
      <c r="R6730" s="10" t="s">
        <v>38206</v>
      </c>
      <c r="S6730" s="11"/>
      <c r="T6730" s="6"/>
      <c r="U6730" s="15" t="str">
        <f>HYPERLINK("https://media.infra-m.ru/2209/2209222/cover/2209222.jpg", "Обложка")</f>
        <v>Обложка</v>
      </c>
      <c r="V6730" s="8" t="s">
        <v>21583</v>
      </c>
      <c r="W6730" s="6"/>
      <c r="X6730" s="6"/>
      <c r="Y6730" s="6"/>
      <c r="Z6730" s="6"/>
      <c r="AA6730" s="6" t="s">
        <v>86</v>
      </c>
      <c r="AB6730" s="8"/>
      <c r="AC6730" s="27">
        <v>9785160136189</v>
      </c>
    </row>
    <row r="6731" spans="1:29" s="4" customFormat="1" ht="51.9" customHeight="1" x14ac:dyDescent="0.2">
      <c r="A6731" s="5">
        <v>0</v>
      </c>
      <c r="B6731" s="6" t="s">
        <v>38207</v>
      </c>
      <c r="C6731" s="7">
        <v>1484.4</v>
      </c>
      <c r="D6731" s="8" t="s">
        <v>38208</v>
      </c>
      <c r="E6731" s="8" t="s">
        <v>38209</v>
      </c>
      <c r="F6731" s="8" t="s">
        <v>38210</v>
      </c>
      <c r="G6731" s="6" t="s">
        <v>60</v>
      </c>
      <c r="H6731" s="6" t="s">
        <v>134</v>
      </c>
      <c r="I6731" s="8"/>
      <c r="J6731" s="9">
        <v>1</v>
      </c>
      <c r="K6731" s="9">
        <v>200</v>
      </c>
      <c r="L6731" s="9">
        <v>2025</v>
      </c>
      <c r="M6731" s="8" t="s">
        <v>38211</v>
      </c>
      <c r="N6731" s="8" t="s">
        <v>37</v>
      </c>
      <c r="O6731" s="8" t="s">
        <v>136</v>
      </c>
      <c r="P6731" s="6" t="s">
        <v>601</v>
      </c>
      <c r="Q6731" s="8" t="s">
        <v>183</v>
      </c>
      <c r="R6731" s="10" t="s">
        <v>38212</v>
      </c>
      <c r="S6731" s="11"/>
      <c r="T6731" s="6"/>
      <c r="U6731" s="15" t="str">
        <f>HYPERLINK("https://media.infra-m.ru/2213/2213262/cover/2213262.jpg", "Обложка")</f>
        <v>Обложка</v>
      </c>
      <c r="V6731" s="8" t="s">
        <v>1184</v>
      </c>
      <c r="W6731" s="6"/>
      <c r="X6731" s="6"/>
      <c r="Y6731" s="6"/>
      <c r="Z6731" s="6"/>
      <c r="AA6731" s="6" t="s">
        <v>68</v>
      </c>
      <c r="AB6731" s="8"/>
      <c r="AC6731" s="27">
        <v>9785001564416</v>
      </c>
    </row>
    <row r="6732" spans="1:29" s="4" customFormat="1" ht="51.9" customHeight="1" x14ac:dyDescent="0.2">
      <c r="A6732" s="5">
        <v>0</v>
      </c>
      <c r="B6732" s="6" t="s">
        <v>38213</v>
      </c>
      <c r="C6732" s="7">
        <v>1152</v>
      </c>
      <c r="D6732" s="8" t="s">
        <v>38214</v>
      </c>
      <c r="E6732" s="8" t="s">
        <v>38215</v>
      </c>
      <c r="F6732" s="8" t="s">
        <v>38216</v>
      </c>
      <c r="G6732" s="6" t="s">
        <v>118</v>
      </c>
      <c r="H6732" s="6" t="s">
        <v>1042</v>
      </c>
      <c r="I6732" s="8" t="s">
        <v>271</v>
      </c>
      <c r="J6732" s="9">
        <v>1</v>
      </c>
      <c r="K6732" s="9">
        <v>301</v>
      </c>
      <c r="L6732" s="9">
        <v>2019</v>
      </c>
      <c r="M6732" s="8" t="s">
        <v>38217</v>
      </c>
      <c r="N6732" s="8" t="s">
        <v>37</v>
      </c>
      <c r="O6732" s="8" t="s">
        <v>136</v>
      </c>
      <c r="P6732" s="6" t="s">
        <v>306</v>
      </c>
      <c r="Q6732" s="8" t="s">
        <v>52</v>
      </c>
      <c r="R6732" s="10" t="s">
        <v>19923</v>
      </c>
      <c r="S6732" s="11" t="s">
        <v>38218</v>
      </c>
      <c r="T6732" s="6"/>
      <c r="U6732" s="15" t="str">
        <f>HYPERLINK("https://media.infra-m.ru/0987/0987732/cover/987732.jpg", "Обложка")</f>
        <v>Обложка</v>
      </c>
      <c r="V6732" s="8" t="s">
        <v>1715</v>
      </c>
      <c r="W6732" s="6"/>
      <c r="X6732" s="6"/>
      <c r="Y6732" s="6"/>
      <c r="Z6732" s="6"/>
      <c r="AA6732" s="6" t="s">
        <v>859</v>
      </c>
      <c r="AB6732" s="8"/>
      <c r="AC6732" s="27">
        <v>9785819907610</v>
      </c>
    </row>
    <row r="6733" spans="1:29" s="4" customFormat="1" ht="51.9" customHeight="1" x14ac:dyDescent="0.2">
      <c r="A6733" s="5">
        <v>0</v>
      </c>
      <c r="B6733" s="6" t="s">
        <v>38219</v>
      </c>
      <c r="C6733" s="7">
        <v>1625.9</v>
      </c>
      <c r="D6733" s="8" t="s">
        <v>38220</v>
      </c>
      <c r="E6733" s="8" t="s">
        <v>38215</v>
      </c>
      <c r="F6733" s="8" t="s">
        <v>38216</v>
      </c>
      <c r="G6733" s="6" t="s">
        <v>118</v>
      </c>
      <c r="H6733" s="6" t="s">
        <v>1042</v>
      </c>
      <c r="I6733" s="8" t="s">
        <v>263</v>
      </c>
      <c r="J6733" s="9">
        <v>1</v>
      </c>
      <c r="K6733" s="9">
        <v>301</v>
      </c>
      <c r="L6733" s="9">
        <v>2023</v>
      </c>
      <c r="M6733" s="8" t="s">
        <v>38221</v>
      </c>
      <c r="N6733" s="8" t="s">
        <v>37</v>
      </c>
      <c r="O6733" s="8" t="s">
        <v>136</v>
      </c>
      <c r="P6733" s="6" t="s">
        <v>306</v>
      </c>
      <c r="Q6733" s="8" t="s">
        <v>265</v>
      </c>
      <c r="R6733" s="10" t="s">
        <v>479</v>
      </c>
      <c r="S6733" s="11" t="s">
        <v>38222</v>
      </c>
      <c r="T6733" s="6"/>
      <c r="U6733" s="15" t="str">
        <f>HYPERLINK("https://media.infra-m.ru/1893/1893948/cover/1893948.jpg", "Обложка")</f>
        <v>Обложка</v>
      </c>
      <c r="V6733" s="8" t="s">
        <v>1715</v>
      </c>
      <c r="W6733" s="6"/>
      <c r="X6733" s="6"/>
      <c r="Y6733" s="6"/>
      <c r="Z6733" s="6" t="s">
        <v>267</v>
      </c>
      <c r="AA6733" s="6" t="s">
        <v>404</v>
      </c>
      <c r="AB6733" s="8"/>
      <c r="AC6733" s="27">
        <v>9785819908037</v>
      </c>
    </row>
    <row r="6734" spans="1:29" s="4" customFormat="1" ht="51.9" customHeight="1" x14ac:dyDescent="0.2">
      <c r="A6734" s="5">
        <v>0</v>
      </c>
      <c r="B6734" s="6" t="s">
        <v>38223</v>
      </c>
      <c r="C6734" s="7">
        <v>1920</v>
      </c>
      <c r="D6734" s="8" t="s">
        <v>38224</v>
      </c>
      <c r="E6734" s="8" t="s">
        <v>38225</v>
      </c>
      <c r="F6734" s="8" t="s">
        <v>38216</v>
      </c>
      <c r="G6734" s="6" t="s">
        <v>118</v>
      </c>
      <c r="H6734" s="6" t="s">
        <v>34</v>
      </c>
      <c r="I6734" s="8" t="s">
        <v>263</v>
      </c>
      <c r="J6734" s="9">
        <v>1</v>
      </c>
      <c r="K6734" s="9">
        <v>291</v>
      </c>
      <c r="L6734" s="9">
        <v>2026</v>
      </c>
      <c r="M6734" s="8" t="s">
        <v>38226</v>
      </c>
      <c r="N6734" s="8" t="s">
        <v>37</v>
      </c>
      <c r="O6734" s="8" t="s">
        <v>136</v>
      </c>
      <c r="P6734" s="6" t="s">
        <v>306</v>
      </c>
      <c r="Q6734" s="8" t="s">
        <v>265</v>
      </c>
      <c r="R6734" s="10" t="s">
        <v>479</v>
      </c>
      <c r="S6734" s="11" t="s">
        <v>38222</v>
      </c>
      <c r="T6734" s="6"/>
      <c r="U6734" s="15" t="str">
        <f>HYPERLINK("https://media.infra-m.ru/2239/2239606/cover/2239606.jpg", "Обложка")</f>
        <v>Обложка</v>
      </c>
      <c r="V6734" s="8" t="s">
        <v>1715</v>
      </c>
      <c r="W6734" s="6"/>
      <c r="X6734" s="6"/>
      <c r="Y6734" s="6"/>
      <c r="Z6734" s="6" t="s">
        <v>267</v>
      </c>
      <c r="AA6734" s="6" t="s">
        <v>5476</v>
      </c>
      <c r="AB6734" s="8"/>
      <c r="AC6734" s="27">
        <v>9785160193939</v>
      </c>
    </row>
    <row r="6735" spans="1:29" s="4" customFormat="1" ht="51.9" customHeight="1" x14ac:dyDescent="0.2">
      <c r="A6735" s="5">
        <v>0</v>
      </c>
      <c r="B6735" s="6" t="s">
        <v>38227</v>
      </c>
      <c r="C6735" s="7">
        <v>1816.8</v>
      </c>
      <c r="D6735" s="8" t="s">
        <v>38228</v>
      </c>
      <c r="E6735" s="8" t="s">
        <v>38225</v>
      </c>
      <c r="F6735" s="8" t="s">
        <v>38229</v>
      </c>
      <c r="G6735" s="6" t="s">
        <v>118</v>
      </c>
      <c r="H6735" s="6" t="s">
        <v>34</v>
      </c>
      <c r="I6735" s="8" t="s">
        <v>253</v>
      </c>
      <c r="J6735" s="9">
        <v>1</v>
      </c>
      <c r="K6735" s="9">
        <v>291</v>
      </c>
      <c r="L6735" s="9">
        <v>2026</v>
      </c>
      <c r="M6735" s="8" t="s">
        <v>38230</v>
      </c>
      <c r="N6735" s="8" t="s">
        <v>37</v>
      </c>
      <c r="O6735" s="8" t="s">
        <v>136</v>
      </c>
      <c r="P6735" s="6" t="s">
        <v>306</v>
      </c>
      <c r="Q6735" s="8" t="s">
        <v>52</v>
      </c>
      <c r="R6735" s="10" t="s">
        <v>19923</v>
      </c>
      <c r="S6735" s="11" t="s">
        <v>38231</v>
      </c>
      <c r="T6735" s="6"/>
      <c r="U6735" s="15" t="str">
        <f>HYPERLINK("https://media.infra-m.ru/2216/2216110/cover/2216110.jpg", "Обложка")</f>
        <v>Обложка</v>
      </c>
      <c r="V6735" s="8" t="s">
        <v>1715</v>
      </c>
      <c r="W6735" s="6"/>
      <c r="X6735" s="6"/>
      <c r="Y6735" s="6"/>
      <c r="Z6735" s="6"/>
      <c r="AA6735" s="6" t="s">
        <v>2230</v>
      </c>
      <c r="AB6735" s="8"/>
      <c r="AC6735" s="27">
        <v>9785160187945</v>
      </c>
    </row>
    <row r="6736" spans="1:29" s="4" customFormat="1" ht="51.9" customHeight="1" x14ac:dyDescent="0.2">
      <c r="A6736" s="5">
        <v>0</v>
      </c>
      <c r="B6736" s="6" t="s">
        <v>38232</v>
      </c>
      <c r="C6736" s="7">
        <v>3132</v>
      </c>
      <c r="D6736" s="8" t="s">
        <v>38233</v>
      </c>
      <c r="E6736" s="8" t="s">
        <v>38234</v>
      </c>
      <c r="F6736" s="8" t="s">
        <v>38235</v>
      </c>
      <c r="G6736" s="6" t="s">
        <v>60</v>
      </c>
      <c r="H6736" s="6" t="s">
        <v>34</v>
      </c>
      <c r="I6736" s="8" t="s">
        <v>253</v>
      </c>
      <c r="J6736" s="9">
        <v>1</v>
      </c>
      <c r="K6736" s="9">
        <v>501</v>
      </c>
      <c r="L6736" s="9">
        <v>2026</v>
      </c>
      <c r="M6736" s="8" t="s">
        <v>38236</v>
      </c>
      <c r="N6736" s="8" t="s">
        <v>37</v>
      </c>
      <c r="O6736" s="8" t="s">
        <v>136</v>
      </c>
      <c r="P6736" s="6" t="s">
        <v>306</v>
      </c>
      <c r="Q6736" s="8" t="s">
        <v>52</v>
      </c>
      <c r="R6736" s="10" t="s">
        <v>1255</v>
      </c>
      <c r="S6736" s="11" t="s">
        <v>24856</v>
      </c>
      <c r="T6736" s="6"/>
      <c r="U6736" s="15" t="str">
        <f>HYPERLINK("https://media.infra-m.ru/2216/2216050/cover/2216050.jpg", "Обложка")</f>
        <v>Обложка</v>
      </c>
      <c r="V6736" s="8" t="s">
        <v>21962</v>
      </c>
      <c r="W6736" s="6"/>
      <c r="X6736" s="6"/>
      <c r="Y6736" s="6"/>
      <c r="Z6736" s="6"/>
      <c r="AA6736" s="6" t="s">
        <v>430</v>
      </c>
      <c r="AB6736" s="8"/>
      <c r="AC6736" s="27">
        <v>9785160211749</v>
      </c>
    </row>
    <row r="6737" spans="1:29" s="4" customFormat="1" ht="51.9" customHeight="1" x14ac:dyDescent="0.2">
      <c r="A6737" s="5">
        <v>0</v>
      </c>
      <c r="B6737" s="6" t="s">
        <v>38237</v>
      </c>
      <c r="C6737" s="7">
        <v>2028</v>
      </c>
      <c r="D6737" s="8" t="s">
        <v>38238</v>
      </c>
      <c r="E6737" s="8" t="s">
        <v>38239</v>
      </c>
      <c r="F6737" s="8" t="s">
        <v>38240</v>
      </c>
      <c r="G6737" s="6" t="s">
        <v>118</v>
      </c>
      <c r="H6737" s="6" t="s">
        <v>134</v>
      </c>
      <c r="I6737" s="8"/>
      <c r="J6737" s="9">
        <v>1</v>
      </c>
      <c r="K6737" s="9">
        <v>368</v>
      </c>
      <c r="L6737" s="9">
        <v>2023</v>
      </c>
      <c r="M6737" s="8" t="s">
        <v>38241</v>
      </c>
      <c r="N6737" s="8" t="s">
        <v>37</v>
      </c>
      <c r="O6737" s="8" t="s">
        <v>136</v>
      </c>
      <c r="P6737" s="6" t="s">
        <v>306</v>
      </c>
      <c r="Q6737" s="8" t="s">
        <v>52</v>
      </c>
      <c r="R6737" s="10" t="s">
        <v>1068</v>
      </c>
      <c r="S6737" s="11"/>
      <c r="T6737" s="6"/>
      <c r="U6737" s="15" t="str">
        <f>HYPERLINK("https://media.infra-m.ru/1959/1959267/cover/1959267.jpg", "Обложка")</f>
        <v>Обложка</v>
      </c>
      <c r="V6737" s="8" t="s">
        <v>1184</v>
      </c>
      <c r="W6737" s="6"/>
      <c r="X6737" s="6"/>
      <c r="Y6737" s="6"/>
      <c r="Z6737" s="6"/>
      <c r="AA6737" s="6" t="s">
        <v>1411</v>
      </c>
      <c r="AB6737" s="8"/>
      <c r="AC6737" s="27">
        <v>9785001560005</v>
      </c>
    </row>
    <row r="6738" spans="1:29" s="4" customFormat="1" ht="51.9" customHeight="1" x14ac:dyDescent="0.2">
      <c r="A6738" s="5">
        <v>0</v>
      </c>
      <c r="B6738" s="6" t="s">
        <v>38242</v>
      </c>
      <c r="C6738" s="7">
        <v>2668.8</v>
      </c>
      <c r="D6738" s="8" t="s">
        <v>38243</v>
      </c>
      <c r="E6738" s="8" t="s">
        <v>38244</v>
      </c>
      <c r="F6738" s="8" t="s">
        <v>38240</v>
      </c>
      <c r="G6738" s="6" t="s">
        <v>118</v>
      </c>
      <c r="H6738" s="6" t="s">
        <v>134</v>
      </c>
      <c r="I6738" s="8"/>
      <c r="J6738" s="9">
        <v>1</v>
      </c>
      <c r="K6738" s="9">
        <v>384</v>
      </c>
      <c r="L6738" s="9">
        <v>2027</v>
      </c>
      <c r="M6738" s="8" t="s">
        <v>38245</v>
      </c>
      <c r="N6738" s="8" t="s">
        <v>37</v>
      </c>
      <c r="O6738" s="8" t="s">
        <v>136</v>
      </c>
      <c r="P6738" s="6" t="s">
        <v>306</v>
      </c>
      <c r="Q6738" s="8" t="s">
        <v>52</v>
      </c>
      <c r="R6738" s="10" t="s">
        <v>1068</v>
      </c>
      <c r="S6738" s="11"/>
      <c r="T6738" s="6"/>
      <c r="U6738" s="15" t="str">
        <f>HYPERLINK("https://media.infra-m.ru/2272/2272583/cover/2272583.jpg", "Обложка")</f>
        <v>Обложка</v>
      </c>
      <c r="V6738" s="8" t="s">
        <v>1184</v>
      </c>
      <c r="W6738" s="6"/>
      <c r="X6738" s="6"/>
      <c r="Y6738" s="6"/>
      <c r="Z6738" s="6"/>
      <c r="AA6738" s="6" t="s">
        <v>14741</v>
      </c>
      <c r="AB6738" s="8"/>
      <c r="AC6738" s="27">
        <v>9785001563723</v>
      </c>
    </row>
    <row r="6739" spans="1:29" s="4" customFormat="1" ht="44.1" customHeight="1" x14ac:dyDescent="0.2">
      <c r="A6739" s="5">
        <v>0</v>
      </c>
      <c r="B6739" s="6" t="s">
        <v>38246</v>
      </c>
      <c r="C6739" s="7">
        <v>1380</v>
      </c>
      <c r="D6739" s="8" t="s">
        <v>38247</v>
      </c>
      <c r="E6739" s="8" t="s">
        <v>38248</v>
      </c>
      <c r="F6739" s="8" t="s">
        <v>38249</v>
      </c>
      <c r="G6739" s="6" t="s">
        <v>118</v>
      </c>
      <c r="H6739" s="6" t="s">
        <v>34</v>
      </c>
      <c r="I6739" s="8" t="s">
        <v>304</v>
      </c>
      <c r="J6739" s="9">
        <v>1</v>
      </c>
      <c r="K6739" s="9">
        <v>203</v>
      </c>
      <c r="L6739" s="9">
        <v>2026</v>
      </c>
      <c r="M6739" s="8" t="s">
        <v>38250</v>
      </c>
      <c r="N6739" s="8" t="s">
        <v>37</v>
      </c>
      <c r="O6739" s="8" t="s">
        <v>136</v>
      </c>
      <c r="P6739" s="6" t="s">
        <v>51</v>
      </c>
      <c r="Q6739" s="8" t="s">
        <v>65</v>
      </c>
      <c r="R6739" s="10" t="s">
        <v>38251</v>
      </c>
      <c r="S6739" s="11"/>
      <c r="T6739" s="6"/>
      <c r="U6739" s="15" t="str">
        <f>HYPERLINK("https://media.infra-m.ru/2206/2206012/cover/2206012.jpg", "Обложка")</f>
        <v>Обложка</v>
      </c>
      <c r="V6739" s="8" t="s">
        <v>247</v>
      </c>
      <c r="W6739" s="6"/>
      <c r="X6739" s="6"/>
      <c r="Y6739" s="6"/>
      <c r="Z6739" s="6"/>
      <c r="AA6739" s="6" t="s">
        <v>68</v>
      </c>
      <c r="AB6739" s="8" t="s">
        <v>12037</v>
      </c>
      <c r="AC6739" s="27">
        <v>9785160202266</v>
      </c>
    </row>
    <row r="6740" spans="1:29" s="4" customFormat="1" ht="42" customHeight="1" x14ac:dyDescent="0.2">
      <c r="A6740" s="5">
        <v>0</v>
      </c>
      <c r="B6740" s="6" t="s">
        <v>38252</v>
      </c>
      <c r="C6740" s="7">
        <v>1972.8</v>
      </c>
      <c r="D6740" s="8" t="s">
        <v>38253</v>
      </c>
      <c r="E6740" s="8" t="s">
        <v>38254</v>
      </c>
      <c r="F6740" s="8" t="s">
        <v>38255</v>
      </c>
      <c r="G6740" s="6" t="s">
        <v>60</v>
      </c>
      <c r="H6740" s="6" t="s">
        <v>134</v>
      </c>
      <c r="I6740" s="8"/>
      <c r="J6740" s="9">
        <v>1</v>
      </c>
      <c r="K6740" s="9">
        <v>328</v>
      </c>
      <c r="L6740" s="9">
        <v>2025</v>
      </c>
      <c r="M6740" s="8" t="s">
        <v>38256</v>
      </c>
      <c r="N6740" s="8" t="s">
        <v>37</v>
      </c>
      <c r="O6740" s="8" t="s">
        <v>136</v>
      </c>
      <c r="P6740" s="6" t="s">
        <v>39</v>
      </c>
      <c r="Q6740" s="8" t="s">
        <v>40</v>
      </c>
      <c r="R6740" s="10" t="s">
        <v>1262</v>
      </c>
      <c r="S6740" s="11"/>
      <c r="T6740" s="6"/>
      <c r="U6740" s="15" t="str">
        <f>HYPERLINK("https://media.infra-m.ru/2167/2167472/cover/2167472.jpg", "Обложка")</f>
        <v>Обложка</v>
      </c>
      <c r="V6740" s="8" t="s">
        <v>138</v>
      </c>
      <c r="W6740" s="6"/>
      <c r="X6740" s="6"/>
      <c r="Y6740" s="6"/>
      <c r="Z6740" s="6"/>
      <c r="AA6740" s="6" t="s">
        <v>157</v>
      </c>
      <c r="AB6740" s="8"/>
      <c r="AC6740" s="27">
        <v>9785001562740</v>
      </c>
    </row>
    <row r="6741" spans="1:29" s="4" customFormat="1" ht="42" customHeight="1" x14ac:dyDescent="0.2">
      <c r="A6741" s="5">
        <v>0</v>
      </c>
      <c r="B6741" s="6" t="s">
        <v>38257</v>
      </c>
      <c r="C6741" s="7">
        <v>1980</v>
      </c>
      <c r="D6741" s="8" t="s">
        <v>38258</v>
      </c>
      <c r="E6741" s="8" t="s">
        <v>38259</v>
      </c>
      <c r="F6741" s="8" t="s">
        <v>38255</v>
      </c>
      <c r="G6741" s="6" t="s">
        <v>118</v>
      </c>
      <c r="H6741" s="6" t="s">
        <v>134</v>
      </c>
      <c r="I6741" s="8"/>
      <c r="J6741" s="9">
        <v>1</v>
      </c>
      <c r="K6741" s="9">
        <v>328</v>
      </c>
      <c r="L6741" s="9">
        <v>2025</v>
      </c>
      <c r="M6741" s="8" t="s">
        <v>38256</v>
      </c>
      <c r="N6741" s="8" t="s">
        <v>37</v>
      </c>
      <c r="O6741" s="8" t="s">
        <v>136</v>
      </c>
      <c r="P6741" s="6" t="s">
        <v>39</v>
      </c>
      <c r="Q6741" s="8" t="s">
        <v>40</v>
      </c>
      <c r="R6741" s="10" t="s">
        <v>1262</v>
      </c>
      <c r="S6741" s="11"/>
      <c r="T6741" s="6"/>
      <c r="U6741" s="15" t="str">
        <f>HYPERLINK("https://media.infra-m.ru/2178/2178267/cover/2178267.jpg", "Обложка")</f>
        <v>Обложка</v>
      </c>
      <c r="V6741" s="8" t="s">
        <v>138</v>
      </c>
      <c r="W6741" s="6"/>
      <c r="X6741" s="6"/>
      <c r="Y6741" s="6"/>
      <c r="Z6741" s="6"/>
      <c r="AA6741" s="6" t="s">
        <v>917</v>
      </c>
      <c r="AB6741" s="8"/>
      <c r="AC6741" s="27">
        <v>9785001562740</v>
      </c>
    </row>
    <row r="6742" spans="1:29" s="4" customFormat="1" ht="51.9" customHeight="1" x14ac:dyDescent="0.2">
      <c r="A6742" s="5">
        <v>0</v>
      </c>
      <c r="B6742" s="6" t="s">
        <v>38260</v>
      </c>
      <c r="C6742" s="7">
        <v>2116.8000000000002</v>
      </c>
      <c r="D6742" s="8" t="s">
        <v>38261</v>
      </c>
      <c r="E6742" s="8" t="s">
        <v>38262</v>
      </c>
      <c r="F6742" s="8" t="s">
        <v>38263</v>
      </c>
      <c r="G6742" s="6" t="s">
        <v>33</v>
      </c>
      <c r="H6742" s="6" t="s">
        <v>48</v>
      </c>
      <c r="I6742" s="8"/>
      <c r="J6742" s="9">
        <v>1</v>
      </c>
      <c r="K6742" s="9">
        <v>304</v>
      </c>
      <c r="L6742" s="9">
        <v>2027</v>
      </c>
      <c r="M6742" s="8" t="s">
        <v>38264</v>
      </c>
      <c r="N6742" s="8" t="s">
        <v>93</v>
      </c>
      <c r="O6742" s="8" t="s">
        <v>94</v>
      </c>
      <c r="P6742" s="6" t="s">
        <v>51</v>
      </c>
      <c r="Q6742" s="8" t="s">
        <v>52</v>
      </c>
      <c r="R6742" s="10" t="s">
        <v>38265</v>
      </c>
      <c r="S6742" s="11" t="s">
        <v>38266</v>
      </c>
      <c r="T6742" s="6"/>
      <c r="U6742" s="15" t="str">
        <f>HYPERLINK("https://media.infra-m.ru/2271/2271594/cover/2271594.jpg", "Обложка")</f>
        <v>Обложка</v>
      </c>
      <c r="V6742" s="8" t="s">
        <v>38267</v>
      </c>
      <c r="W6742" s="6"/>
      <c r="X6742" s="6"/>
      <c r="Y6742" s="6"/>
      <c r="Z6742" s="6"/>
      <c r="AA6742" s="6" t="s">
        <v>55</v>
      </c>
      <c r="AB6742" s="8"/>
      <c r="AC6742" s="27">
        <v>9785911347147</v>
      </c>
    </row>
    <row r="6743" spans="1:29" s="4" customFormat="1" ht="44.1" customHeight="1" x14ac:dyDescent="0.2">
      <c r="A6743" s="5">
        <v>0</v>
      </c>
      <c r="B6743" s="6" t="s">
        <v>38268</v>
      </c>
      <c r="C6743" s="7">
        <v>1536</v>
      </c>
      <c r="D6743" s="8" t="s">
        <v>38269</v>
      </c>
      <c r="E6743" s="8" t="s">
        <v>38270</v>
      </c>
      <c r="F6743" s="8" t="s">
        <v>38271</v>
      </c>
      <c r="G6743" s="6" t="s">
        <v>33</v>
      </c>
      <c r="H6743" s="6" t="s">
        <v>34</v>
      </c>
      <c r="I6743" s="8" t="s">
        <v>35</v>
      </c>
      <c r="J6743" s="9">
        <v>1</v>
      </c>
      <c r="K6743" s="9">
        <v>231</v>
      </c>
      <c r="L6743" s="9">
        <v>2026</v>
      </c>
      <c r="M6743" s="8" t="s">
        <v>38272</v>
      </c>
      <c r="N6743" s="8" t="s">
        <v>93</v>
      </c>
      <c r="O6743" s="8" t="s">
        <v>94</v>
      </c>
      <c r="P6743" s="6" t="s">
        <v>39</v>
      </c>
      <c r="Q6743" s="8" t="s">
        <v>40</v>
      </c>
      <c r="R6743" s="10" t="s">
        <v>38273</v>
      </c>
      <c r="S6743" s="11"/>
      <c r="T6743" s="6"/>
      <c r="U6743" s="15" t="str">
        <f>HYPERLINK("https://media.infra-m.ru/2236/2236113/cover/2236113.jpg", "Обложка")</f>
        <v>Обложка</v>
      </c>
      <c r="V6743" s="8" t="s">
        <v>38274</v>
      </c>
      <c r="W6743" s="6"/>
      <c r="X6743" s="6"/>
      <c r="Y6743" s="6"/>
      <c r="Z6743" s="6"/>
      <c r="AA6743" s="6" t="s">
        <v>148</v>
      </c>
      <c r="AB6743" s="8"/>
      <c r="AC6743" s="27">
        <v>9785160171678</v>
      </c>
    </row>
    <row r="6744" spans="1:29" s="4" customFormat="1" ht="51.9" customHeight="1" x14ac:dyDescent="0.2">
      <c r="A6744" s="5">
        <v>0</v>
      </c>
      <c r="B6744" s="6" t="s">
        <v>38275</v>
      </c>
      <c r="C6744" s="7">
        <v>1152</v>
      </c>
      <c r="D6744" s="8" t="s">
        <v>38276</v>
      </c>
      <c r="E6744" s="8" t="s">
        <v>38277</v>
      </c>
      <c r="F6744" s="8" t="s">
        <v>38278</v>
      </c>
      <c r="G6744" s="6" t="s">
        <v>118</v>
      </c>
      <c r="H6744" s="6" t="s">
        <v>34</v>
      </c>
      <c r="I6744" s="8" t="s">
        <v>253</v>
      </c>
      <c r="J6744" s="9">
        <v>1</v>
      </c>
      <c r="K6744" s="9">
        <v>162</v>
      </c>
      <c r="L6744" s="9">
        <v>2026</v>
      </c>
      <c r="M6744" s="8" t="s">
        <v>38279</v>
      </c>
      <c r="N6744" s="8" t="s">
        <v>243</v>
      </c>
      <c r="O6744" s="8" t="s">
        <v>1100</v>
      </c>
      <c r="P6744" s="6" t="s">
        <v>51</v>
      </c>
      <c r="Q6744" s="8" t="s">
        <v>52</v>
      </c>
      <c r="R6744" s="10" t="s">
        <v>38280</v>
      </c>
      <c r="S6744" s="11"/>
      <c r="T6744" s="6"/>
      <c r="U6744" s="15" t="str">
        <f>HYPERLINK("https://media.infra-m.ru/2238/2238385/cover/2238385.jpg", "Обложка")</f>
        <v>Обложка</v>
      </c>
      <c r="V6744" s="8" t="s">
        <v>14688</v>
      </c>
      <c r="W6744" s="6"/>
      <c r="X6744" s="6"/>
      <c r="Y6744" s="6"/>
      <c r="Z6744" s="6"/>
      <c r="AA6744" s="6" t="s">
        <v>157</v>
      </c>
      <c r="AB6744" s="8" t="s">
        <v>38281</v>
      </c>
      <c r="AC6744" s="27">
        <v>9785160178035</v>
      </c>
    </row>
    <row r="6745" spans="1:29" s="4" customFormat="1" ht="51.9" customHeight="1" x14ac:dyDescent="0.2">
      <c r="A6745" s="5">
        <v>0</v>
      </c>
      <c r="B6745" s="6" t="s">
        <v>38282</v>
      </c>
      <c r="C6745" s="7">
        <v>1313.9</v>
      </c>
      <c r="D6745" s="8" t="s">
        <v>38283</v>
      </c>
      <c r="E6745" s="8" t="s">
        <v>38284</v>
      </c>
      <c r="F6745" s="8" t="s">
        <v>38285</v>
      </c>
      <c r="G6745" s="6" t="s">
        <v>33</v>
      </c>
      <c r="H6745" s="6" t="s">
        <v>48</v>
      </c>
      <c r="I6745" s="8" t="s">
        <v>253</v>
      </c>
      <c r="J6745" s="9">
        <v>1</v>
      </c>
      <c r="K6745" s="9">
        <v>336</v>
      </c>
      <c r="L6745" s="9">
        <v>2019</v>
      </c>
      <c r="M6745" s="8" t="s">
        <v>38286</v>
      </c>
      <c r="N6745" s="8" t="s">
        <v>243</v>
      </c>
      <c r="O6745" s="8" t="s">
        <v>385</v>
      </c>
      <c r="P6745" s="6" t="s">
        <v>51</v>
      </c>
      <c r="Q6745" s="8" t="s">
        <v>377</v>
      </c>
      <c r="R6745" s="10" t="s">
        <v>38287</v>
      </c>
      <c r="S6745" s="11" t="s">
        <v>38288</v>
      </c>
      <c r="T6745" s="6"/>
      <c r="U6745" s="15" t="str">
        <f>HYPERLINK("https://media.infra-m.ru/1007/1007834/cover/1007834.jpg", "Обложка")</f>
        <v>Обложка</v>
      </c>
      <c r="V6745" s="8" t="s">
        <v>35519</v>
      </c>
      <c r="W6745" s="6"/>
      <c r="X6745" s="6"/>
      <c r="Y6745" s="6"/>
      <c r="Z6745" s="6"/>
      <c r="AA6745" s="6" t="s">
        <v>274</v>
      </c>
      <c r="AB6745" s="8"/>
      <c r="AC6745" s="27">
        <v>9785000910863</v>
      </c>
    </row>
    <row r="6746" spans="1:29" s="4" customFormat="1" ht="51.9" customHeight="1" x14ac:dyDescent="0.2">
      <c r="A6746" s="5">
        <v>0</v>
      </c>
      <c r="B6746" s="6" t="s">
        <v>38289</v>
      </c>
      <c r="C6746" s="7">
        <v>2772</v>
      </c>
      <c r="D6746" s="8" t="s">
        <v>38290</v>
      </c>
      <c r="E6746" s="8" t="s">
        <v>38291</v>
      </c>
      <c r="F6746" s="8" t="s">
        <v>38285</v>
      </c>
      <c r="G6746" s="6" t="s">
        <v>60</v>
      </c>
      <c r="H6746" s="6" t="s">
        <v>34</v>
      </c>
      <c r="I6746" s="8" t="s">
        <v>253</v>
      </c>
      <c r="J6746" s="9">
        <v>1</v>
      </c>
      <c r="K6746" s="9">
        <v>420</v>
      </c>
      <c r="L6746" s="9">
        <v>2026</v>
      </c>
      <c r="M6746" s="8" t="s">
        <v>38292</v>
      </c>
      <c r="N6746" s="8" t="s">
        <v>243</v>
      </c>
      <c r="O6746" s="8" t="s">
        <v>385</v>
      </c>
      <c r="P6746" s="6" t="s">
        <v>51</v>
      </c>
      <c r="Q6746" s="8" t="s">
        <v>377</v>
      </c>
      <c r="R6746" s="10" t="s">
        <v>38287</v>
      </c>
      <c r="S6746" s="11" t="s">
        <v>38293</v>
      </c>
      <c r="T6746" s="6"/>
      <c r="U6746" s="15" t="str">
        <f>HYPERLINK("https://media.infra-m.ru/2235/2235148/cover/2235148.jpg", "Обложка")</f>
        <v>Обложка</v>
      </c>
      <c r="V6746" s="8" t="s">
        <v>35519</v>
      </c>
      <c r="W6746" s="6"/>
      <c r="X6746" s="6"/>
      <c r="Y6746" s="6"/>
      <c r="Z6746" s="6"/>
      <c r="AA6746" s="6" t="s">
        <v>896</v>
      </c>
      <c r="AB6746" s="8"/>
      <c r="AC6746" s="27">
        <v>9785160216843</v>
      </c>
    </row>
    <row r="6747" spans="1:29" s="4" customFormat="1" ht="42" customHeight="1" x14ac:dyDescent="0.2">
      <c r="A6747" s="5">
        <v>0</v>
      </c>
      <c r="B6747" s="6" t="s">
        <v>38294</v>
      </c>
      <c r="C6747" s="7">
        <v>1480.8</v>
      </c>
      <c r="D6747" s="8" t="s">
        <v>38295</v>
      </c>
      <c r="E6747" s="8" t="s">
        <v>38296</v>
      </c>
      <c r="F6747" s="8" t="s">
        <v>38297</v>
      </c>
      <c r="G6747" s="6" t="s">
        <v>60</v>
      </c>
      <c r="H6747" s="6" t="s">
        <v>313</v>
      </c>
      <c r="I6747" s="8"/>
      <c r="J6747" s="9">
        <v>1</v>
      </c>
      <c r="K6747" s="9">
        <v>224</v>
      </c>
      <c r="L6747" s="9">
        <v>2026</v>
      </c>
      <c r="M6747" s="8" t="s">
        <v>38298</v>
      </c>
      <c r="N6747" s="8" t="s">
        <v>37</v>
      </c>
      <c r="O6747" s="8" t="s">
        <v>83</v>
      </c>
      <c r="P6747" s="6" t="s">
        <v>51</v>
      </c>
      <c r="Q6747" s="8" t="s">
        <v>52</v>
      </c>
      <c r="R6747" s="10" t="s">
        <v>38299</v>
      </c>
      <c r="S6747" s="11"/>
      <c r="T6747" s="6"/>
      <c r="U6747" s="15" t="str">
        <f>HYPERLINK("https://media.infra-m.ru/2248/2248521/cover/2248521.jpg", "Обложка")</f>
        <v>Обложка</v>
      </c>
      <c r="V6747" s="8" t="s">
        <v>1425</v>
      </c>
      <c r="W6747" s="6"/>
      <c r="X6747" s="6"/>
      <c r="Y6747" s="6"/>
      <c r="Z6747" s="6"/>
      <c r="AA6747" s="6" t="s">
        <v>86</v>
      </c>
      <c r="AB6747" s="8"/>
      <c r="AC6747" s="27">
        <v>9785369017326</v>
      </c>
    </row>
    <row r="6748" spans="1:29" s="4" customFormat="1" ht="51.9" customHeight="1" x14ac:dyDescent="0.2">
      <c r="A6748" s="5">
        <v>0</v>
      </c>
      <c r="B6748" s="6" t="s">
        <v>38300</v>
      </c>
      <c r="C6748" s="7">
        <v>1596</v>
      </c>
      <c r="D6748" s="8" t="s">
        <v>38301</v>
      </c>
      <c r="E6748" s="8" t="s">
        <v>38302</v>
      </c>
      <c r="F6748" s="8" t="s">
        <v>38303</v>
      </c>
      <c r="G6748" s="6" t="s">
        <v>118</v>
      </c>
      <c r="H6748" s="6" t="s">
        <v>34</v>
      </c>
      <c r="I6748" s="8" t="s">
        <v>253</v>
      </c>
      <c r="J6748" s="9">
        <v>1</v>
      </c>
      <c r="K6748" s="9">
        <v>242</v>
      </c>
      <c r="L6748" s="9">
        <v>2026</v>
      </c>
      <c r="M6748" s="8" t="s">
        <v>38304</v>
      </c>
      <c r="N6748" s="8" t="s">
        <v>37</v>
      </c>
      <c r="O6748" s="8" t="s">
        <v>83</v>
      </c>
      <c r="P6748" s="6" t="s">
        <v>51</v>
      </c>
      <c r="Q6748" s="8" t="s">
        <v>52</v>
      </c>
      <c r="R6748" s="10" t="s">
        <v>38305</v>
      </c>
      <c r="S6748" s="11" t="s">
        <v>38306</v>
      </c>
      <c r="T6748" s="6"/>
      <c r="U6748" s="15" t="str">
        <f>HYPERLINK("https://media.infra-m.ru/2254/2254356/cover/2254356.jpg", "Обложка")</f>
        <v>Обложка</v>
      </c>
      <c r="V6748" s="8"/>
      <c r="W6748" s="6"/>
      <c r="X6748" s="6"/>
      <c r="Y6748" s="6"/>
      <c r="Z6748" s="6"/>
      <c r="AA6748" s="6" t="s">
        <v>1303</v>
      </c>
      <c r="AB6748" s="8"/>
      <c r="AC6748" s="27">
        <v>9785160207377</v>
      </c>
    </row>
    <row r="6749" spans="1:29" s="4" customFormat="1" ht="51.9" customHeight="1" x14ac:dyDescent="0.2">
      <c r="A6749" s="5">
        <v>0</v>
      </c>
      <c r="B6749" s="6" t="s">
        <v>38307</v>
      </c>
      <c r="C6749" s="13">
        <v>929.9</v>
      </c>
      <c r="D6749" s="8" t="s">
        <v>38308</v>
      </c>
      <c r="E6749" s="8" t="s">
        <v>38296</v>
      </c>
      <c r="F6749" s="8" t="s">
        <v>38309</v>
      </c>
      <c r="G6749" s="6" t="s">
        <v>60</v>
      </c>
      <c r="H6749" s="6" t="s">
        <v>34</v>
      </c>
      <c r="I6749" s="8" t="s">
        <v>271</v>
      </c>
      <c r="J6749" s="9">
        <v>1</v>
      </c>
      <c r="K6749" s="9">
        <v>265</v>
      </c>
      <c r="L6749" s="9">
        <v>2017</v>
      </c>
      <c r="M6749" s="8" t="s">
        <v>38310</v>
      </c>
      <c r="N6749" s="8" t="s">
        <v>37</v>
      </c>
      <c r="O6749" s="8" t="s">
        <v>83</v>
      </c>
      <c r="P6749" s="6" t="s">
        <v>51</v>
      </c>
      <c r="Q6749" s="8" t="s">
        <v>52</v>
      </c>
      <c r="R6749" s="10" t="s">
        <v>38305</v>
      </c>
      <c r="S6749" s="11" t="s">
        <v>38311</v>
      </c>
      <c r="T6749" s="6"/>
      <c r="U6749" s="15" t="str">
        <f>HYPERLINK("https://media.infra-m.ru/0775/0775234/cover/775234.jpg", "Обложка")</f>
        <v>Обложка</v>
      </c>
      <c r="V6749" s="8"/>
      <c r="W6749" s="6"/>
      <c r="X6749" s="6"/>
      <c r="Y6749" s="6"/>
      <c r="Z6749" s="6"/>
      <c r="AA6749" s="6" t="s">
        <v>561</v>
      </c>
      <c r="AB6749" s="8"/>
      <c r="AC6749" s="27">
        <v>9785160036021</v>
      </c>
    </row>
    <row r="6750" spans="1:29" s="4" customFormat="1" ht="51.9" customHeight="1" x14ac:dyDescent="0.2">
      <c r="A6750" s="5">
        <v>0</v>
      </c>
      <c r="B6750" s="6" t="s">
        <v>38312</v>
      </c>
      <c r="C6750" s="7">
        <v>1500</v>
      </c>
      <c r="D6750" s="8" t="s">
        <v>38313</v>
      </c>
      <c r="E6750" s="8" t="s">
        <v>38314</v>
      </c>
      <c r="F6750" s="8" t="s">
        <v>38315</v>
      </c>
      <c r="G6750" s="6" t="s">
        <v>33</v>
      </c>
      <c r="H6750" s="6" t="s">
        <v>34</v>
      </c>
      <c r="I6750" s="8" t="s">
        <v>35</v>
      </c>
      <c r="J6750" s="9">
        <v>1</v>
      </c>
      <c r="K6750" s="9">
        <v>227</v>
      </c>
      <c r="L6750" s="9">
        <v>2026</v>
      </c>
      <c r="M6750" s="8" t="s">
        <v>38316</v>
      </c>
      <c r="N6750" s="8" t="s">
        <v>37</v>
      </c>
      <c r="O6750" s="8" t="s">
        <v>50</v>
      </c>
      <c r="P6750" s="6" t="s">
        <v>39</v>
      </c>
      <c r="Q6750" s="8" t="s">
        <v>40</v>
      </c>
      <c r="R6750" s="10" t="s">
        <v>38317</v>
      </c>
      <c r="S6750" s="11"/>
      <c r="T6750" s="6"/>
      <c r="U6750" s="15" t="str">
        <f>HYPERLINK("https://media.infra-m.ru/2226/2226513/cover/2226513.jpg", "Обложка")</f>
        <v>Обложка</v>
      </c>
      <c r="V6750" s="8" t="s">
        <v>20005</v>
      </c>
      <c r="W6750" s="6"/>
      <c r="X6750" s="6"/>
      <c r="Y6750" s="6"/>
      <c r="Z6750" s="6"/>
      <c r="AA6750" s="6" t="s">
        <v>115</v>
      </c>
      <c r="AB6750" s="8"/>
      <c r="AC6750" s="27">
        <v>9785160138534</v>
      </c>
    </row>
    <row r="6751" spans="1:29" s="4" customFormat="1" ht="51.9" customHeight="1" x14ac:dyDescent="0.2">
      <c r="A6751" s="5">
        <v>0</v>
      </c>
      <c r="B6751" s="6" t="s">
        <v>38318</v>
      </c>
      <c r="C6751" s="7">
        <v>1804.8</v>
      </c>
      <c r="D6751" s="8" t="s">
        <v>38319</v>
      </c>
      <c r="E6751" s="8" t="s">
        <v>38320</v>
      </c>
      <c r="F6751" s="8" t="s">
        <v>38321</v>
      </c>
      <c r="G6751" s="6" t="s">
        <v>118</v>
      </c>
      <c r="H6751" s="6" t="s">
        <v>34</v>
      </c>
      <c r="I6751" s="8" t="s">
        <v>271</v>
      </c>
      <c r="J6751" s="9">
        <v>1</v>
      </c>
      <c r="K6751" s="9">
        <v>260</v>
      </c>
      <c r="L6751" s="9">
        <v>2027</v>
      </c>
      <c r="M6751" s="8" t="s">
        <v>38322</v>
      </c>
      <c r="N6751" s="8" t="s">
        <v>243</v>
      </c>
      <c r="O6751" s="8" t="s">
        <v>933</v>
      </c>
      <c r="P6751" s="6" t="s">
        <v>51</v>
      </c>
      <c r="Q6751" s="8" t="s">
        <v>52</v>
      </c>
      <c r="R6751" s="10" t="s">
        <v>38323</v>
      </c>
      <c r="S6751" s="11" t="s">
        <v>38324</v>
      </c>
      <c r="T6751" s="6"/>
      <c r="U6751" s="15" t="str">
        <f>HYPERLINK("https://media.infra-m.ru/2264/2264693/cover/2264693.jpg", "Обложка")</f>
        <v>Обложка</v>
      </c>
      <c r="V6751" s="8" t="s">
        <v>1083</v>
      </c>
      <c r="W6751" s="6"/>
      <c r="X6751" s="6"/>
      <c r="Y6751" s="6"/>
      <c r="Z6751" s="6"/>
      <c r="AA6751" s="6" t="s">
        <v>248</v>
      </c>
      <c r="AB6751" s="8"/>
      <c r="AC6751" s="27">
        <v>9785160209364</v>
      </c>
    </row>
    <row r="6752" spans="1:29" s="4" customFormat="1" ht="51.9" customHeight="1" x14ac:dyDescent="0.2">
      <c r="A6752" s="5">
        <v>0</v>
      </c>
      <c r="B6752" s="6" t="s">
        <v>38325</v>
      </c>
      <c r="C6752" s="7">
        <v>1132.8</v>
      </c>
      <c r="D6752" s="8" t="s">
        <v>38326</v>
      </c>
      <c r="E6752" s="8" t="s">
        <v>38327</v>
      </c>
      <c r="F6752" s="8" t="s">
        <v>38328</v>
      </c>
      <c r="G6752" s="6" t="s">
        <v>60</v>
      </c>
      <c r="H6752" s="6" t="s">
        <v>34</v>
      </c>
      <c r="I6752" s="8" t="s">
        <v>271</v>
      </c>
      <c r="J6752" s="9">
        <v>1</v>
      </c>
      <c r="K6752" s="9">
        <v>172</v>
      </c>
      <c r="L6752" s="9">
        <v>2026</v>
      </c>
      <c r="M6752" s="8" t="s">
        <v>38329</v>
      </c>
      <c r="N6752" s="8" t="s">
        <v>37</v>
      </c>
      <c r="O6752" s="8" t="s">
        <v>499</v>
      </c>
      <c r="P6752" s="6" t="s">
        <v>306</v>
      </c>
      <c r="Q6752" s="8" t="s">
        <v>52</v>
      </c>
      <c r="R6752" s="10" t="s">
        <v>38330</v>
      </c>
      <c r="S6752" s="11" t="s">
        <v>38331</v>
      </c>
      <c r="T6752" s="6"/>
      <c r="U6752" s="15" t="str">
        <f>HYPERLINK("https://media.infra-m.ru/2224/2224121/cover/2224121.jpg", "Обложка")</f>
        <v>Обложка</v>
      </c>
      <c r="V6752" s="8" t="s">
        <v>12917</v>
      </c>
      <c r="W6752" s="6"/>
      <c r="X6752" s="6"/>
      <c r="Y6752" s="6"/>
      <c r="Z6752" s="6"/>
      <c r="AA6752" s="6" t="s">
        <v>1303</v>
      </c>
      <c r="AB6752" s="8"/>
      <c r="AC6752" s="27">
        <v>9785160179650</v>
      </c>
    </row>
    <row r="6753" spans="1:29" s="4" customFormat="1" ht="51.9" customHeight="1" x14ac:dyDescent="0.2">
      <c r="A6753" s="5">
        <v>0</v>
      </c>
      <c r="B6753" s="6" t="s">
        <v>38332</v>
      </c>
      <c r="C6753" s="13">
        <v>612</v>
      </c>
      <c r="D6753" s="8" t="s">
        <v>38333</v>
      </c>
      <c r="E6753" s="8" t="s">
        <v>38334</v>
      </c>
      <c r="F6753" s="8" t="s">
        <v>38328</v>
      </c>
      <c r="G6753" s="6" t="s">
        <v>33</v>
      </c>
      <c r="H6753" s="6" t="s">
        <v>34</v>
      </c>
      <c r="I6753" s="8" t="s">
        <v>271</v>
      </c>
      <c r="J6753" s="9">
        <v>1</v>
      </c>
      <c r="K6753" s="9">
        <v>144</v>
      </c>
      <c r="L6753" s="9">
        <v>2021</v>
      </c>
      <c r="M6753" s="8" t="s">
        <v>38335</v>
      </c>
      <c r="N6753" s="8" t="s">
        <v>37</v>
      </c>
      <c r="O6753" s="8" t="s">
        <v>499</v>
      </c>
      <c r="P6753" s="6" t="s">
        <v>306</v>
      </c>
      <c r="Q6753" s="8" t="s">
        <v>52</v>
      </c>
      <c r="R6753" s="10" t="s">
        <v>38330</v>
      </c>
      <c r="S6753" s="11" t="s">
        <v>38336</v>
      </c>
      <c r="T6753" s="6"/>
      <c r="U6753" s="15" t="str">
        <f>HYPERLINK("https://media.infra-m.ru/1173/1173731/cover/1173731.jpg", "Обложка")</f>
        <v>Обложка</v>
      </c>
      <c r="V6753" s="8" t="s">
        <v>12917</v>
      </c>
      <c r="W6753" s="6"/>
      <c r="X6753" s="6"/>
      <c r="Y6753" s="6"/>
      <c r="Z6753" s="6"/>
      <c r="AA6753" s="6" t="s">
        <v>779</v>
      </c>
      <c r="AB6753" s="8"/>
      <c r="AC6753" s="27">
        <v>9785160114934</v>
      </c>
    </row>
    <row r="6754" spans="1:29" s="4" customFormat="1" ht="51.9" customHeight="1" x14ac:dyDescent="0.2">
      <c r="A6754" s="5">
        <v>0</v>
      </c>
      <c r="B6754" s="6" t="s">
        <v>38337</v>
      </c>
      <c r="C6754" s="7">
        <v>1576.8</v>
      </c>
      <c r="D6754" s="8" t="s">
        <v>38338</v>
      </c>
      <c r="E6754" s="8" t="s">
        <v>38339</v>
      </c>
      <c r="F6754" s="8" t="s">
        <v>38340</v>
      </c>
      <c r="G6754" s="6" t="s">
        <v>118</v>
      </c>
      <c r="H6754" s="6" t="s">
        <v>34</v>
      </c>
      <c r="I6754" s="8" t="s">
        <v>1835</v>
      </c>
      <c r="J6754" s="9">
        <v>1</v>
      </c>
      <c r="K6754" s="9">
        <v>239</v>
      </c>
      <c r="L6754" s="9">
        <v>2026</v>
      </c>
      <c r="M6754" s="8" t="s">
        <v>38341</v>
      </c>
      <c r="N6754" s="8" t="s">
        <v>37</v>
      </c>
      <c r="O6754" s="8" t="s">
        <v>499</v>
      </c>
      <c r="P6754" s="6" t="s">
        <v>1837</v>
      </c>
      <c r="Q6754" s="8" t="s">
        <v>40</v>
      </c>
      <c r="R6754" s="10" t="s">
        <v>38342</v>
      </c>
      <c r="S6754" s="11"/>
      <c r="T6754" s="6"/>
      <c r="U6754" s="15" t="str">
        <f>HYPERLINK("https://media.infra-m.ru/2231/2231243/cover/2231243.jpg", "Обложка")</f>
        <v>Обложка</v>
      </c>
      <c r="V6754" s="8" t="s">
        <v>4481</v>
      </c>
      <c r="W6754" s="6"/>
      <c r="X6754" s="6"/>
      <c r="Y6754" s="6"/>
      <c r="Z6754" s="6"/>
      <c r="AA6754" s="6" t="s">
        <v>1256</v>
      </c>
      <c r="AB6754" s="8"/>
      <c r="AC6754" s="27">
        <v>9785160144740</v>
      </c>
    </row>
    <row r="6755" spans="1:29" s="4" customFormat="1" ht="51.9" customHeight="1" x14ac:dyDescent="0.2">
      <c r="A6755" s="5">
        <v>0</v>
      </c>
      <c r="B6755" s="6" t="s">
        <v>38343</v>
      </c>
      <c r="C6755" s="7">
        <v>1332</v>
      </c>
      <c r="D6755" s="8" t="s">
        <v>38344</v>
      </c>
      <c r="E6755" s="8" t="s">
        <v>38345</v>
      </c>
      <c r="F6755" s="8" t="s">
        <v>38346</v>
      </c>
      <c r="G6755" s="6" t="s">
        <v>118</v>
      </c>
      <c r="H6755" s="6" t="s">
        <v>34</v>
      </c>
      <c r="I6755" s="8" t="s">
        <v>263</v>
      </c>
      <c r="J6755" s="9">
        <v>1</v>
      </c>
      <c r="K6755" s="9">
        <v>202</v>
      </c>
      <c r="L6755" s="9">
        <v>2026</v>
      </c>
      <c r="M6755" s="8" t="s">
        <v>38347</v>
      </c>
      <c r="N6755" s="8" t="s">
        <v>37</v>
      </c>
      <c r="O6755" s="8" t="s">
        <v>499</v>
      </c>
      <c r="P6755" s="6" t="s">
        <v>306</v>
      </c>
      <c r="Q6755" s="8" t="s">
        <v>265</v>
      </c>
      <c r="R6755" s="10" t="s">
        <v>38348</v>
      </c>
      <c r="S6755" s="11" t="s">
        <v>38349</v>
      </c>
      <c r="T6755" s="6"/>
      <c r="U6755" s="15" t="str">
        <f>HYPERLINK("https://media.infra-m.ru/2239/2239074/cover/2239074.jpg", "Обложка")</f>
        <v>Обложка</v>
      </c>
      <c r="V6755" s="8" t="s">
        <v>3196</v>
      </c>
      <c r="W6755" s="6"/>
      <c r="X6755" s="6"/>
      <c r="Y6755" s="6"/>
      <c r="Z6755" s="6" t="s">
        <v>267</v>
      </c>
      <c r="AA6755" s="6" t="s">
        <v>1256</v>
      </c>
      <c r="AB6755" s="8"/>
      <c r="AC6755" s="27">
        <v>9785160162119</v>
      </c>
    </row>
    <row r="6756" spans="1:29" s="4" customFormat="1" ht="51.9" customHeight="1" x14ac:dyDescent="0.2">
      <c r="A6756" s="5">
        <v>0</v>
      </c>
      <c r="B6756" s="6" t="s">
        <v>38350</v>
      </c>
      <c r="C6756" s="7">
        <v>1108.8</v>
      </c>
      <c r="D6756" s="8" t="s">
        <v>38351</v>
      </c>
      <c r="E6756" s="8" t="s">
        <v>38345</v>
      </c>
      <c r="F6756" s="8" t="s">
        <v>38346</v>
      </c>
      <c r="G6756" s="6" t="s">
        <v>118</v>
      </c>
      <c r="H6756" s="6" t="s">
        <v>34</v>
      </c>
      <c r="I6756" s="8" t="s">
        <v>271</v>
      </c>
      <c r="J6756" s="9">
        <v>1</v>
      </c>
      <c r="K6756" s="9">
        <v>202</v>
      </c>
      <c r="L6756" s="9">
        <v>2024</v>
      </c>
      <c r="M6756" s="8" t="s">
        <v>38352</v>
      </c>
      <c r="N6756" s="8" t="s">
        <v>37</v>
      </c>
      <c r="O6756" s="8" t="s">
        <v>499</v>
      </c>
      <c r="P6756" s="6" t="s">
        <v>306</v>
      </c>
      <c r="Q6756" s="8" t="s">
        <v>52</v>
      </c>
      <c r="R6756" s="10" t="s">
        <v>38353</v>
      </c>
      <c r="S6756" s="11" t="s">
        <v>38354</v>
      </c>
      <c r="T6756" s="6"/>
      <c r="U6756" s="15" t="str">
        <f>HYPERLINK("https://media.infra-m.ru/2102/2102179/cover/2102179.jpg", "Обложка")</f>
        <v>Обложка</v>
      </c>
      <c r="V6756" s="8" t="s">
        <v>3196</v>
      </c>
      <c r="W6756" s="6"/>
      <c r="X6756" s="6"/>
      <c r="Y6756" s="6"/>
      <c r="Z6756" s="6"/>
      <c r="AA6756" s="6" t="s">
        <v>55</v>
      </c>
      <c r="AB6756" s="8"/>
      <c r="AC6756" s="27">
        <v>9785160057101</v>
      </c>
    </row>
    <row r="6757" spans="1:29" s="4" customFormat="1" ht="51.9" customHeight="1" x14ac:dyDescent="0.2">
      <c r="A6757" s="5">
        <v>0</v>
      </c>
      <c r="B6757" s="6" t="s">
        <v>38355</v>
      </c>
      <c r="C6757" s="7">
        <v>1368</v>
      </c>
      <c r="D6757" s="8" t="s">
        <v>38356</v>
      </c>
      <c r="E6757" s="8" t="s">
        <v>38357</v>
      </c>
      <c r="F6757" s="8" t="s">
        <v>1051</v>
      </c>
      <c r="G6757" s="6" t="s">
        <v>118</v>
      </c>
      <c r="H6757" s="6" t="s">
        <v>34</v>
      </c>
      <c r="I6757" s="8" t="s">
        <v>263</v>
      </c>
      <c r="J6757" s="9">
        <v>1</v>
      </c>
      <c r="K6757" s="9">
        <v>207</v>
      </c>
      <c r="L6757" s="9">
        <v>2026</v>
      </c>
      <c r="M6757" s="8" t="s">
        <v>38358</v>
      </c>
      <c r="N6757" s="8" t="s">
        <v>243</v>
      </c>
      <c r="O6757" s="8" t="s">
        <v>964</v>
      </c>
      <c r="P6757" s="6" t="s">
        <v>51</v>
      </c>
      <c r="Q6757" s="8" t="s">
        <v>265</v>
      </c>
      <c r="R6757" s="10" t="s">
        <v>38359</v>
      </c>
      <c r="S6757" s="11" t="s">
        <v>38360</v>
      </c>
      <c r="T6757" s="6"/>
      <c r="U6757" s="15" t="str">
        <f>HYPERLINK("https://media.infra-m.ru/2213/2213294/cover/2213294.jpg", "Обложка")</f>
        <v>Обложка</v>
      </c>
      <c r="V6757" s="8" t="s">
        <v>1055</v>
      </c>
      <c r="W6757" s="6"/>
      <c r="X6757" s="6"/>
      <c r="Y6757" s="6"/>
      <c r="Z6757" s="6"/>
      <c r="AA6757" s="6" t="s">
        <v>1015</v>
      </c>
      <c r="AB6757" s="8"/>
      <c r="AC6757" s="27">
        <v>9785160211466</v>
      </c>
    </row>
    <row r="6758" spans="1:29" s="4" customFormat="1" ht="51.9" customHeight="1" x14ac:dyDescent="0.2">
      <c r="A6758" s="5">
        <v>0</v>
      </c>
      <c r="B6758" s="6" t="s">
        <v>38361</v>
      </c>
      <c r="C6758" s="7">
        <v>3000</v>
      </c>
      <c r="D6758" s="8" t="s">
        <v>38362</v>
      </c>
      <c r="E6758" s="8" t="s">
        <v>38363</v>
      </c>
      <c r="F6758" s="8" t="s">
        <v>17865</v>
      </c>
      <c r="G6758" s="6" t="s">
        <v>60</v>
      </c>
      <c r="H6758" s="6" t="s">
        <v>34</v>
      </c>
      <c r="I6758" s="8" t="s">
        <v>263</v>
      </c>
      <c r="J6758" s="9">
        <v>1</v>
      </c>
      <c r="K6758" s="9">
        <v>432</v>
      </c>
      <c r="L6758" s="9">
        <v>2027</v>
      </c>
      <c r="M6758" s="8" t="s">
        <v>38364</v>
      </c>
      <c r="N6758" s="8" t="s">
        <v>243</v>
      </c>
      <c r="O6758" s="8" t="s">
        <v>385</v>
      </c>
      <c r="P6758" s="6" t="s">
        <v>51</v>
      </c>
      <c r="Q6758" s="8" t="s">
        <v>265</v>
      </c>
      <c r="R6758" s="10" t="s">
        <v>38365</v>
      </c>
      <c r="S6758" s="11" t="s">
        <v>6429</v>
      </c>
      <c r="T6758" s="6"/>
      <c r="U6758" s="15" t="str">
        <f>HYPERLINK("https://media.infra-m.ru/2266/2266128/cover/2266128.jpg", "Обложка")</f>
        <v>Обложка</v>
      </c>
      <c r="V6758" s="8" t="s">
        <v>2154</v>
      </c>
      <c r="W6758" s="6"/>
      <c r="X6758" s="6"/>
      <c r="Y6758" s="6"/>
      <c r="Z6758" s="6"/>
      <c r="AA6758" s="6" t="s">
        <v>1123</v>
      </c>
      <c r="AB6758" s="8"/>
      <c r="AC6758" s="27">
        <v>9785160224336</v>
      </c>
    </row>
    <row r="6759" spans="1:29" s="4" customFormat="1" ht="51.9" customHeight="1" x14ac:dyDescent="0.2">
      <c r="A6759" s="5">
        <v>0</v>
      </c>
      <c r="B6759" s="6" t="s">
        <v>38366</v>
      </c>
      <c r="C6759" s="7">
        <v>3592.8</v>
      </c>
      <c r="D6759" s="8" t="s">
        <v>38367</v>
      </c>
      <c r="E6759" s="8" t="s">
        <v>38368</v>
      </c>
      <c r="F6759" s="8" t="s">
        <v>38369</v>
      </c>
      <c r="G6759" s="6" t="s">
        <v>60</v>
      </c>
      <c r="H6759" s="6" t="s">
        <v>34</v>
      </c>
      <c r="I6759" s="8"/>
      <c r="J6759" s="9">
        <v>1</v>
      </c>
      <c r="K6759" s="9">
        <v>543</v>
      </c>
      <c r="L6759" s="9">
        <v>2026</v>
      </c>
      <c r="M6759" s="8" t="s">
        <v>38370</v>
      </c>
      <c r="N6759" s="8" t="s">
        <v>243</v>
      </c>
      <c r="O6759" s="8" t="s">
        <v>385</v>
      </c>
      <c r="P6759" s="6" t="s">
        <v>51</v>
      </c>
      <c r="Q6759" s="8" t="s">
        <v>265</v>
      </c>
      <c r="R6759" s="10" t="s">
        <v>9893</v>
      </c>
      <c r="S6759" s="11" t="s">
        <v>19031</v>
      </c>
      <c r="T6759" s="6"/>
      <c r="U6759" s="15" t="str">
        <f>HYPERLINK("https://media.infra-m.ru/2226/2226080/cover/2226080.jpg", "Обложка")</f>
        <v>Обложка</v>
      </c>
      <c r="V6759" s="8" t="s">
        <v>2154</v>
      </c>
      <c r="W6759" s="6"/>
      <c r="X6759" s="6"/>
      <c r="Y6759" s="6"/>
      <c r="Z6759" s="6"/>
      <c r="AA6759" s="6" t="s">
        <v>769</v>
      </c>
      <c r="AB6759" s="8"/>
      <c r="AC6759" s="27">
        <v>9785160214504</v>
      </c>
    </row>
    <row r="6760" spans="1:29" s="4" customFormat="1" ht="51.9" customHeight="1" x14ac:dyDescent="0.2">
      <c r="A6760" s="5">
        <v>0</v>
      </c>
      <c r="B6760" s="6" t="s">
        <v>38371</v>
      </c>
      <c r="C6760" s="7">
        <v>1696.8</v>
      </c>
      <c r="D6760" s="8" t="s">
        <v>38372</v>
      </c>
      <c r="E6760" s="8" t="s">
        <v>38373</v>
      </c>
      <c r="F6760" s="8" t="s">
        <v>38374</v>
      </c>
      <c r="G6760" s="6" t="s">
        <v>60</v>
      </c>
      <c r="H6760" s="6" t="s">
        <v>313</v>
      </c>
      <c r="I6760" s="8" t="s">
        <v>65</v>
      </c>
      <c r="J6760" s="9">
        <v>1</v>
      </c>
      <c r="K6760" s="9">
        <v>256</v>
      </c>
      <c r="L6760" s="9">
        <v>2026</v>
      </c>
      <c r="M6760" s="8" t="s">
        <v>38375</v>
      </c>
      <c r="N6760" s="8" t="s">
        <v>243</v>
      </c>
      <c r="O6760" s="8" t="s">
        <v>385</v>
      </c>
      <c r="P6760" s="6" t="s">
        <v>51</v>
      </c>
      <c r="Q6760" s="8" t="s">
        <v>265</v>
      </c>
      <c r="R6760" s="10" t="s">
        <v>38376</v>
      </c>
      <c r="S6760" s="11" t="s">
        <v>38377</v>
      </c>
      <c r="T6760" s="6"/>
      <c r="U6760" s="15" t="str">
        <f>HYPERLINK("https://media.infra-m.ru/2238/2238526/cover/2238526.jpg", "Обложка")</f>
        <v>Обложка</v>
      </c>
      <c r="V6760" s="8"/>
      <c r="W6760" s="6"/>
      <c r="X6760" s="6"/>
      <c r="Y6760" s="6"/>
      <c r="Z6760" s="6"/>
      <c r="AA6760" s="6" t="s">
        <v>55</v>
      </c>
      <c r="AB6760" s="8"/>
      <c r="AC6760" s="27">
        <v>9785369012192</v>
      </c>
    </row>
    <row r="6761" spans="1:29" s="4" customFormat="1" ht="51.9" customHeight="1" x14ac:dyDescent="0.2">
      <c r="A6761" s="5">
        <v>0</v>
      </c>
      <c r="B6761" s="6" t="s">
        <v>38378</v>
      </c>
      <c r="C6761" s="13">
        <v>420</v>
      </c>
      <c r="D6761" s="8" t="s">
        <v>38379</v>
      </c>
      <c r="E6761" s="8" t="s">
        <v>38380</v>
      </c>
      <c r="F6761" s="8" t="s">
        <v>38381</v>
      </c>
      <c r="G6761" s="6" t="s">
        <v>33</v>
      </c>
      <c r="H6761" s="6" t="s">
        <v>313</v>
      </c>
      <c r="I6761" s="8" t="s">
        <v>35</v>
      </c>
      <c r="J6761" s="9">
        <v>1</v>
      </c>
      <c r="K6761" s="9">
        <v>137</v>
      </c>
      <c r="L6761" s="9">
        <v>2017</v>
      </c>
      <c r="M6761" s="8" t="s">
        <v>38382</v>
      </c>
      <c r="N6761" s="8" t="s">
        <v>37</v>
      </c>
      <c r="O6761" s="8" t="s">
        <v>280</v>
      </c>
      <c r="P6761" s="6" t="s">
        <v>39</v>
      </c>
      <c r="Q6761" s="8" t="s">
        <v>749</v>
      </c>
      <c r="R6761" s="10" t="s">
        <v>38383</v>
      </c>
      <c r="S6761" s="11"/>
      <c r="T6761" s="6"/>
      <c r="U6761" s="15" t="str">
        <f>HYPERLINK("https://media.infra-m.ru/0557/0557168/cover/557168.jpg", "Обложка")</f>
        <v>Обложка</v>
      </c>
      <c r="V6761" s="8" t="s">
        <v>38384</v>
      </c>
      <c r="W6761" s="6"/>
      <c r="X6761" s="6"/>
      <c r="Y6761" s="6"/>
      <c r="Z6761" s="6"/>
      <c r="AA6761" s="6" t="s">
        <v>274</v>
      </c>
      <c r="AB6761" s="8"/>
      <c r="AC6761" s="27">
        <v>9785369014424</v>
      </c>
    </row>
    <row r="6762" spans="1:29" s="4" customFormat="1" ht="51.9" customHeight="1" x14ac:dyDescent="0.2">
      <c r="A6762" s="5">
        <v>0</v>
      </c>
      <c r="B6762" s="6" t="s">
        <v>38385</v>
      </c>
      <c r="C6762" s="13">
        <v>708</v>
      </c>
      <c r="D6762" s="8" t="s">
        <v>38386</v>
      </c>
      <c r="E6762" s="8" t="s">
        <v>38387</v>
      </c>
      <c r="F6762" s="8" t="s">
        <v>38381</v>
      </c>
      <c r="G6762" s="6" t="s">
        <v>33</v>
      </c>
      <c r="H6762" s="6" t="s">
        <v>313</v>
      </c>
      <c r="I6762" s="8"/>
      <c r="J6762" s="9">
        <v>1</v>
      </c>
      <c r="K6762" s="9">
        <v>145</v>
      </c>
      <c r="L6762" s="9">
        <v>2022</v>
      </c>
      <c r="M6762" s="8" t="s">
        <v>38388</v>
      </c>
      <c r="N6762" s="8" t="s">
        <v>37</v>
      </c>
      <c r="O6762" s="8" t="s">
        <v>280</v>
      </c>
      <c r="P6762" s="6" t="s">
        <v>39</v>
      </c>
      <c r="Q6762" s="8" t="s">
        <v>40</v>
      </c>
      <c r="R6762" s="10" t="s">
        <v>38383</v>
      </c>
      <c r="S6762" s="11"/>
      <c r="T6762" s="6"/>
      <c r="U6762" s="15" t="str">
        <f>HYPERLINK("https://media.infra-m.ru/1854/1854964/cover/1854964.jpg", "Обложка")</f>
        <v>Обложка</v>
      </c>
      <c r="V6762" s="8" t="s">
        <v>38384</v>
      </c>
      <c r="W6762" s="6"/>
      <c r="X6762" s="6"/>
      <c r="Y6762" s="6"/>
      <c r="Z6762" s="6"/>
      <c r="AA6762" s="6" t="s">
        <v>404</v>
      </c>
      <c r="AB6762" s="8"/>
      <c r="AC6762" s="27">
        <v>9785369017555</v>
      </c>
    </row>
    <row r="6763" spans="1:29" s="4" customFormat="1" ht="42" customHeight="1" x14ac:dyDescent="0.2">
      <c r="A6763" s="5">
        <v>0</v>
      </c>
      <c r="B6763" s="6" t="s">
        <v>38389</v>
      </c>
      <c r="C6763" s="7">
        <v>1092</v>
      </c>
      <c r="D6763" s="8" t="s">
        <v>38390</v>
      </c>
      <c r="E6763" s="8" t="s">
        <v>38391</v>
      </c>
      <c r="F6763" s="8" t="s">
        <v>38392</v>
      </c>
      <c r="G6763" s="6" t="s">
        <v>118</v>
      </c>
      <c r="H6763" s="6" t="s">
        <v>34</v>
      </c>
      <c r="I6763" s="8" t="s">
        <v>1081</v>
      </c>
      <c r="J6763" s="9">
        <v>1</v>
      </c>
      <c r="K6763" s="9">
        <v>237</v>
      </c>
      <c r="L6763" s="9">
        <v>2021</v>
      </c>
      <c r="M6763" s="8" t="s">
        <v>38393</v>
      </c>
      <c r="N6763" s="8" t="s">
        <v>63</v>
      </c>
      <c r="O6763" s="8" t="s">
        <v>64</v>
      </c>
      <c r="P6763" s="6" t="s">
        <v>39</v>
      </c>
      <c r="Q6763" s="8" t="s">
        <v>40</v>
      </c>
      <c r="R6763" s="10" t="s">
        <v>17696</v>
      </c>
      <c r="S6763" s="11"/>
      <c r="T6763" s="6"/>
      <c r="U6763" s="15" t="str">
        <f>HYPERLINK("https://media.infra-m.ru/1403/1403222/cover/1403222.jpg", "Обложка")</f>
        <v>Обложка</v>
      </c>
      <c r="V6763" s="8" t="s">
        <v>7167</v>
      </c>
      <c r="W6763" s="6"/>
      <c r="X6763" s="6"/>
      <c r="Y6763" s="6"/>
      <c r="Z6763" s="6"/>
      <c r="AA6763" s="6" t="s">
        <v>86</v>
      </c>
      <c r="AB6763" s="8"/>
      <c r="AC6763" s="27">
        <v>9785160169477</v>
      </c>
    </row>
    <row r="6764" spans="1:29" s="4" customFormat="1" ht="51.9" customHeight="1" x14ac:dyDescent="0.2">
      <c r="A6764" s="5">
        <v>0</v>
      </c>
      <c r="B6764" s="6" t="s">
        <v>38394</v>
      </c>
      <c r="C6764" s="7">
        <v>2280</v>
      </c>
      <c r="D6764" s="8" t="s">
        <v>38395</v>
      </c>
      <c r="E6764" s="8" t="s">
        <v>38396</v>
      </c>
      <c r="F6764" s="8" t="s">
        <v>38397</v>
      </c>
      <c r="G6764" s="6" t="s">
        <v>60</v>
      </c>
      <c r="H6764" s="6" t="s">
        <v>34</v>
      </c>
      <c r="I6764" s="8" t="s">
        <v>35</v>
      </c>
      <c r="J6764" s="9">
        <v>1</v>
      </c>
      <c r="K6764" s="9">
        <v>424</v>
      </c>
      <c r="L6764" s="9">
        <v>2022</v>
      </c>
      <c r="M6764" s="8" t="s">
        <v>38398</v>
      </c>
      <c r="N6764" s="8" t="s">
        <v>37</v>
      </c>
      <c r="O6764" s="8" t="s">
        <v>233</v>
      </c>
      <c r="P6764" s="6" t="s">
        <v>39</v>
      </c>
      <c r="Q6764" s="8" t="s">
        <v>40</v>
      </c>
      <c r="R6764" s="10" t="s">
        <v>38399</v>
      </c>
      <c r="S6764" s="11"/>
      <c r="T6764" s="6"/>
      <c r="U6764" s="15" t="str">
        <f>HYPERLINK("https://media.infra-m.ru/1891/1891029/cover/1891029.jpg", "Обложка")</f>
        <v>Обложка</v>
      </c>
      <c r="V6764" s="8" t="s">
        <v>1083</v>
      </c>
      <c r="W6764" s="6"/>
      <c r="X6764" s="6"/>
      <c r="Y6764" s="6"/>
      <c r="Z6764" s="6"/>
      <c r="AA6764" s="6" t="s">
        <v>148</v>
      </c>
      <c r="AB6764" s="8"/>
      <c r="AC6764" s="27">
        <v>9785160178349</v>
      </c>
    </row>
    <row r="6765" spans="1:29" s="4" customFormat="1" ht="51.9" customHeight="1" x14ac:dyDescent="0.2">
      <c r="A6765" s="5">
        <v>0</v>
      </c>
      <c r="B6765" s="6" t="s">
        <v>38400</v>
      </c>
      <c r="C6765" s="7">
        <v>1308</v>
      </c>
      <c r="D6765" s="8" t="s">
        <v>38401</v>
      </c>
      <c r="E6765" s="8" t="s">
        <v>38402</v>
      </c>
      <c r="F6765" s="8" t="s">
        <v>38403</v>
      </c>
      <c r="G6765" s="6" t="s">
        <v>60</v>
      </c>
      <c r="H6765" s="6" t="s">
        <v>34</v>
      </c>
      <c r="I6765" s="8" t="s">
        <v>35</v>
      </c>
      <c r="J6765" s="9">
        <v>1</v>
      </c>
      <c r="K6765" s="9">
        <v>222</v>
      </c>
      <c r="L6765" s="9">
        <v>2024</v>
      </c>
      <c r="M6765" s="8" t="s">
        <v>38404</v>
      </c>
      <c r="N6765" s="8" t="s">
        <v>37</v>
      </c>
      <c r="O6765" s="8" t="s">
        <v>233</v>
      </c>
      <c r="P6765" s="6" t="s">
        <v>39</v>
      </c>
      <c r="Q6765" s="8" t="s">
        <v>40</v>
      </c>
      <c r="R6765" s="10" t="s">
        <v>38405</v>
      </c>
      <c r="S6765" s="11"/>
      <c r="T6765" s="6"/>
      <c r="U6765" s="15" t="str">
        <f>HYPERLINK("https://media.infra-m.ru/2092/2092323/cover/2092323.jpg", "Обложка")</f>
        <v>Обложка</v>
      </c>
      <c r="V6765" s="8" t="s">
        <v>1083</v>
      </c>
      <c r="W6765" s="6"/>
      <c r="X6765" s="6"/>
      <c r="Y6765" s="6"/>
      <c r="Z6765" s="6"/>
      <c r="AA6765" s="6" t="s">
        <v>76</v>
      </c>
      <c r="AB6765" s="8"/>
      <c r="AC6765" s="27">
        <v>9785160191645</v>
      </c>
    </row>
    <row r="6766" spans="1:29" s="4" customFormat="1" ht="51.9" customHeight="1" x14ac:dyDescent="0.2">
      <c r="A6766" s="5">
        <v>0</v>
      </c>
      <c r="B6766" s="6" t="s">
        <v>38406</v>
      </c>
      <c r="C6766" s="7">
        <v>1476</v>
      </c>
      <c r="D6766" s="8" t="s">
        <v>38407</v>
      </c>
      <c r="E6766" s="8" t="s">
        <v>38408</v>
      </c>
      <c r="F6766" s="8" t="s">
        <v>38409</v>
      </c>
      <c r="G6766" s="6" t="s">
        <v>60</v>
      </c>
      <c r="H6766" s="6" t="s">
        <v>34</v>
      </c>
      <c r="I6766" s="8" t="s">
        <v>38410</v>
      </c>
      <c r="J6766" s="9">
        <v>1</v>
      </c>
      <c r="K6766" s="9">
        <v>245</v>
      </c>
      <c r="L6766" s="9">
        <v>2024</v>
      </c>
      <c r="M6766" s="8" t="s">
        <v>38411</v>
      </c>
      <c r="N6766" s="8" t="s">
        <v>243</v>
      </c>
      <c r="O6766" s="8" t="s">
        <v>933</v>
      </c>
      <c r="P6766" s="6" t="s">
        <v>306</v>
      </c>
      <c r="Q6766" s="8" t="s">
        <v>52</v>
      </c>
      <c r="R6766" s="10" t="s">
        <v>38412</v>
      </c>
      <c r="S6766" s="11" t="s">
        <v>38413</v>
      </c>
      <c r="T6766" s="6"/>
      <c r="U6766" s="15" t="str">
        <f>HYPERLINK("https://media.infra-m.ru/1852/1852258/cover/1852258.jpg", "Обложка")</f>
        <v>Обложка</v>
      </c>
      <c r="V6766" s="8" t="s">
        <v>217</v>
      </c>
      <c r="W6766" s="6"/>
      <c r="X6766" s="6"/>
      <c r="Y6766" s="6"/>
      <c r="Z6766" s="6"/>
      <c r="AA6766" s="6" t="s">
        <v>76</v>
      </c>
      <c r="AB6766" s="8"/>
      <c r="AC6766" s="27">
        <v>9785160174136</v>
      </c>
    </row>
    <row r="6767" spans="1:29" s="4" customFormat="1" ht="51.9" customHeight="1" x14ac:dyDescent="0.2">
      <c r="A6767" s="5">
        <v>0</v>
      </c>
      <c r="B6767" s="6" t="s">
        <v>38414</v>
      </c>
      <c r="C6767" s="13">
        <v>844.8</v>
      </c>
      <c r="D6767" s="8" t="s">
        <v>38415</v>
      </c>
      <c r="E6767" s="8" t="s">
        <v>38416</v>
      </c>
      <c r="F6767" s="8" t="s">
        <v>38417</v>
      </c>
      <c r="G6767" s="6" t="s">
        <v>33</v>
      </c>
      <c r="H6767" s="6" t="s">
        <v>34</v>
      </c>
      <c r="I6767" s="8" t="s">
        <v>271</v>
      </c>
      <c r="J6767" s="9">
        <v>1</v>
      </c>
      <c r="K6767" s="9">
        <v>122</v>
      </c>
      <c r="L6767" s="9">
        <v>2027</v>
      </c>
      <c r="M6767" s="8" t="s">
        <v>38418</v>
      </c>
      <c r="N6767" s="8" t="s">
        <v>243</v>
      </c>
      <c r="O6767" s="8" t="s">
        <v>933</v>
      </c>
      <c r="P6767" s="6" t="s">
        <v>51</v>
      </c>
      <c r="Q6767" s="8" t="s">
        <v>52</v>
      </c>
      <c r="R6767" s="10" t="s">
        <v>9434</v>
      </c>
      <c r="S6767" s="11" t="s">
        <v>38419</v>
      </c>
      <c r="T6767" s="6" t="s">
        <v>97</v>
      </c>
      <c r="U6767" s="15" t="str">
        <f>HYPERLINK("https://media.infra-m.ru/2264/2264827/cover/2264827.jpg", "Обложка")</f>
        <v>Обложка</v>
      </c>
      <c r="V6767" s="8" t="s">
        <v>831</v>
      </c>
      <c r="W6767" s="6"/>
      <c r="X6767" s="6"/>
      <c r="Y6767" s="6"/>
      <c r="Z6767" s="6"/>
      <c r="AA6767" s="6" t="s">
        <v>779</v>
      </c>
      <c r="AB6767" s="8"/>
      <c r="AC6767" s="27">
        <v>9785160111209</v>
      </c>
    </row>
    <row r="6768" spans="1:29" s="4" customFormat="1" ht="51.9" customHeight="1" x14ac:dyDescent="0.2">
      <c r="A6768" s="5">
        <v>0</v>
      </c>
      <c r="B6768" s="6" t="s">
        <v>38420</v>
      </c>
      <c r="C6768" s="13">
        <v>844.8</v>
      </c>
      <c r="D6768" s="8" t="s">
        <v>38421</v>
      </c>
      <c r="E6768" s="8" t="s">
        <v>38416</v>
      </c>
      <c r="F6768" s="8" t="s">
        <v>38417</v>
      </c>
      <c r="G6768" s="6" t="s">
        <v>33</v>
      </c>
      <c r="H6768" s="6" t="s">
        <v>34</v>
      </c>
      <c r="I6768" s="8" t="s">
        <v>263</v>
      </c>
      <c r="J6768" s="9">
        <v>1</v>
      </c>
      <c r="K6768" s="9">
        <v>122</v>
      </c>
      <c r="L6768" s="9">
        <v>2026</v>
      </c>
      <c r="M6768" s="8" t="s">
        <v>38422</v>
      </c>
      <c r="N6768" s="8" t="s">
        <v>243</v>
      </c>
      <c r="O6768" s="8" t="s">
        <v>933</v>
      </c>
      <c r="P6768" s="6" t="s">
        <v>51</v>
      </c>
      <c r="Q6768" s="8" t="s">
        <v>265</v>
      </c>
      <c r="R6768" s="10" t="s">
        <v>38423</v>
      </c>
      <c r="S6768" s="11" t="s">
        <v>38424</v>
      </c>
      <c r="T6768" s="6"/>
      <c r="U6768" s="15" t="str">
        <f>HYPERLINK("https://media.infra-m.ru/2264/2264825/cover/2264825.jpg", "Обложка")</f>
        <v>Обложка</v>
      </c>
      <c r="V6768" s="8" t="s">
        <v>831</v>
      </c>
      <c r="W6768" s="6"/>
      <c r="X6768" s="6"/>
      <c r="Y6768" s="6"/>
      <c r="Z6768" s="6" t="s">
        <v>267</v>
      </c>
      <c r="AA6768" s="6" t="s">
        <v>430</v>
      </c>
      <c r="AB6768" s="8"/>
      <c r="AC6768" s="27">
        <v>9785160157764</v>
      </c>
    </row>
    <row r="6769" spans="1:29" s="4" customFormat="1" ht="42" customHeight="1" x14ac:dyDescent="0.2">
      <c r="A6769" s="5">
        <v>0</v>
      </c>
      <c r="B6769" s="6" t="s">
        <v>38425</v>
      </c>
      <c r="C6769" s="7">
        <v>1152</v>
      </c>
      <c r="D6769" s="8" t="s">
        <v>38426</v>
      </c>
      <c r="E6769" s="8" t="s">
        <v>38427</v>
      </c>
      <c r="F6769" s="8" t="s">
        <v>38428</v>
      </c>
      <c r="G6769" s="6" t="s">
        <v>60</v>
      </c>
      <c r="H6769" s="6" t="s">
        <v>34</v>
      </c>
      <c r="I6769" s="8" t="s">
        <v>1248</v>
      </c>
      <c r="J6769" s="9">
        <v>1</v>
      </c>
      <c r="K6769" s="9">
        <v>156</v>
      </c>
      <c r="L6769" s="9">
        <v>2026</v>
      </c>
      <c r="M6769" s="8" t="s">
        <v>38429</v>
      </c>
      <c r="N6769" s="8" t="s">
        <v>243</v>
      </c>
      <c r="O6769" s="8" t="s">
        <v>758</v>
      </c>
      <c r="P6769" s="6" t="s">
        <v>51</v>
      </c>
      <c r="Q6769" s="8" t="s">
        <v>52</v>
      </c>
      <c r="R6769" s="10" t="s">
        <v>7861</v>
      </c>
      <c r="S6769" s="11"/>
      <c r="T6769" s="6"/>
      <c r="U6769" s="15" t="str">
        <f>HYPERLINK("https://media.infra-m.ru/2223/2223535/cover/2223535.jpg", "Обложка")</f>
        <v>Обложка</v>
      </c>
      <c r="V6769" s="8" t="s">
        <v>1083</v>
      </c>
      <c r="W6769" s="6" t="s">
        <v>186</v>
      </c>
      <c r="X6769" s="6"/>
      <c r="Y6769" s="6"/>
      <c r="Z6769" s="6"/>
      <c r="AA6769" s="6" t="s">
        <v>187</v>
      </c>
      <c r="AB6769" s="8"/>
      <c r="AC6769" s="27">
        <v>9785160213866</v>
      </c>
    </row>
    <row r="6770" spans="1:29" s="4" customFormat="1" ht="42" customHeight="1" x14ac:dyDescent="0.2">
      <c r="A6770" s="5">
        <v>0</v>
      </c>
      <c r="B6770" s="6" t="s">
        <v>38430</v>
      </c>
      <c r="C6770" s="7">
        <v>1248</v>
      </c>
      <c r="D6770" s="8" t="s">
        <v>38431</v>
      </c>
      <c r="E6770" s="8" t="s">
        <v>38432</v>
      </c>
      <c r="F6770" s="8" t="s">
        <v>38433</v>
      </c>
      <c r="G6770" s="6" t="s">
        <v>33</v>
      </c>
      <c r="H6770" s="6" t="s">
        <v>34</v>
      </c>
      <c r="I6770" s="8" t="s">
        <v>35</v>
      </c>
      <c r="J6770" s="9">
        <v>1</v>
      </c>
      <c r="K6770" s="9">
        <v>216</v>
      </c>
      <c r="L6770" s="9">
        <v>2024</v>
      </c>
      <c r="M6770" s="8" t="s">
        <v>38434</v>
      </c>
      <c r="N6770" s="8" t="s">
        <v>243</v>
      </c>
      <c r="O6770" s="8" t="s">
        <v>1100</v>
      </c>
      <c r="P6770" s="6" t="s">
        <v>39</v>
      </c>
      <c r="Q6770" s="8" t="s">
        <v>40</v>
      </c>
      <c r="R6770" s="10" t="s">
        <v>38435</v>
      </c>
      <c r="S6770" s="11"/>
      <c r="T6770" s="6"/>
      <c r="U6770" s="15" t="str">
        <f>HYPERLINK("https://media.infra-m.ru/2061/2061201/cover/2061201.jpg", "Обложка")</f>
        <v>Обложка</v>
      </c>
      <c r="V6770" s="8" t="s">
        <v>36208</v>
      </c>
      <c r="W6770" s="6"/>
      <c r="X6770" s="6"/>
      <c r="Y6770" s="6"/>
      <c r="Z6770" s="6"/>
      <c r="AA6770" s="6" t="s">
        <v>76</v>
      </c>
      <c r="AB6770" s="8" t="s">
        <v>1806</v>
      </c>
      <c r="AC6770" s="27">
        <v>9785160187921</v>
      </c>
    </row>
    <row r="6771" spans="1:29" s="4" customFormat="1" ht="42" customHeight="1" x14ac:dyDescent="0.2">
      <c r="A6771" s="5">
        <v>0</v>
      </c>
      <c r="B6771" s="6" t="s">
        <v>38436</v>
      </c>
      <c r="C6771" s="13">
        <v>636</v>
      </c>
      <c r="D6771" s="8" t="s">
        <v>38437</v>
      </c>
      <c r="E6771" s="8" t="s">
        <v>38438</v>
      </c>
      <c r="F6771" s="8" t="s">
        <v>38439</v>
      </c>
      <c r="G6771" s="6" t="s">
        <v>33</v>
      </c>
      <c r="H6771" s="6" t="s">
        <v>134</v>
      </c>
      <c r="I6771" s="8"/>
      <c r="J6771" s="9">
        <v>1</v>
      </c>
      <c r="K6771" s="9">
        <v>96</v>
      </c>
      <c r="L6771" s="9">
        <v>2025</v>
      </c>
      <c r="M6771" s="8" t="s">
        <v>38440</v>
      </c>
      <c r="N6771" s="8" t="s">
        <v>37</v>
      </c>
      <c r="O6771" s="8" t="s">
        <v>136</v>
      </c>
      <c r="P6771" s="6" t="s">
        <v>39</v>
      </c>
      <c r="Q6771" s="8" t="s">
        <v>40</v>
      </c>
      <c r="R6771" s="10" t="s">
        <v>1667</v>
      </c>
      <c r="S6771" s="11"/>
      <c r="T6771" s="6"/>
      <c r="U6771" s="15" t="str">
        <f>HYPERLINK("https://media.infra-m.ru/2206/2206902/cover/2206902.jpg", "Обложка")</f>
        <v>Обложка</v>
      </c>
      <c r="V6771" s="8" t="s">
        <v>1069</v>
      </c>
      <c r="W6771" s="6"/>
      <c r="X6771" s="6"/>
      <c r="Y6771" s="6"/>
      <c r="Z6771" s="6"/>
      <c r="AA6771" s="6" t="s">
        <v>99</v>
      </c>
      <c r="AB6771" s="8"/>
      <c r="AC6771" s="27">
        <v>9785917688169</v>
      </c>
    </row>
    <row r="6772" spans="1:29" s="4" customFormat="1" ht="42" customHeight="1" x14ac:dyDescent="0.2">
      <c r="A6772" s="5">
        <v>0</v>
      </c>
      <c r="B6772" s="6" t="s">
        <v>38441</v>
      </c>
      <c r="C6772" s="7">
        <v>1908</v>
      </c>
      <c r="D6772" s="8" t="s">
        <v>38442</v>
      </c>
      <c r="E6772" s="8" t="s">
        <v>38443</v>
      </c>
      <c r="F6772" s="8" t="s">
        <v>38444</v>
      </c>
      <c r="G6772" s="6" t="s">
        <v>118</v>
      </c>
      <c r="H6772" s="6" t="s">
        <v>134</v>
      </c>
      <c r="I6772" s="8"/>
      <c r="J6772" s="9">
        <v>1</v>
      </c>
      <c r="K6772" s="9">
        <v>256</v>
      </c>
      <c r="L6772" s="9">
        <v>2027</v>
      </c>
      <c r="M6772" s="8" t="s">
        <v>38445</v>
      </c>
      <c r="N6772" s="8" t="s">
        <v>37</v>
      </c>
      <c r="O6772" s="8" t="s">
        <v>136</v>
      </c>
      <c r="P6772" s="6" t="s">
        <v>39</v>
      </c>
      <c r="Q6772" s="8" t="s">
        <v>40</v>
      </c>
      <c r="R6772" s="10" t="s">
        <v>684</v>
      </c>
      <c r="S6772" s="11"/>
      <c r="T6772" s="6"/>
      <c r="U6772" s="15" t="str">
        <f>HYPERLINK("https://media.infra-m.ru/2266/2266744/cover/2266744.jpg", "Обложка")</f>
        <v>Обложка</v>
      </c>
      <c r="V6772" s="8"/>
      <c r="W6772" s="6"/>
      <c r="X6772" s="6"/>
      <c r="Y6772" s="6"/>
      <c r="Z6772" s="6"/>
      <c r="AA6772" s="6" t="s">
        <v>148</v>
      </c>
      <c r="AB6772" s="8"/>
      <c r="AC6772" s="27">
        <v>9785001562214</v>
      </c>
    </row>
    <row r="6773" spans="1:29" s="4" customFormat="1" ht="42" customHeight="1" x14ac:dyDescent="0.2">
      <c r="A6773" s="5">
        <v>0</v>
      </c>
      <c r="B6773" s="6" t="s">
        <v>38446</v>
      </c>
      <c r="C6773" s="7">
        <v>1583.9</v>
      </c>
      <c r="D6773" s="8" t="s">
        <v>38447</v>
      </c>
      <c r="E6773" s="8" t="s">
        <v>38448</v>
      </c>
      <c r="F6773" s="8" t="s">
        <v>38449</v>
      </c>
      <c r="G6773" s="6" t="s">
        <v>60</v>
      </c>
      <c r="H6773" s="6" t="s">
        <v>1644</v>
      </c>
      <c r="I6773" s="8"/>
      <c r="J6773" s="9">
        <v>1</v>
      </c>
      <c r="K6773" s="9">
        <v>336</v>
      </c>
      <c r="L6773" s="9">
        <v>2019</v>
      </c>
      <c r="M6773" s="8" t="s">
        <v>38450</v>
      </c>
      <c r="N6773" s="8" t="s">
        <v>37</v>
      </c>
      <c r="O6773" s="8" t="s">
        <v>233</v>
      </c>
      <c r="P6773" s="6" t="s">
        <v>39</v>
      </c>
      <c r="Q6773" s="8" t="s">
        <v>40</v>
      </c>
      <c r="R6773" s="10" t="s">
        <v>12731</v>
      </c>
      <c r="S6773" s="11"/>
      <c r="T6773" s="6"/>
      <c r="U6773" s="15" t="str">
        <f>HYPERLINK("https://media.infra-m.ru/1064/1064966/cover/1064966.jpg", "Обложка")</f>
        <v>Обложка</v>
      </c>
      <c r="V6773" s="8" t="s">
        <v>1647</v>
      </c>
      <c r="W6773" s="6"/>
      <c r="X6773" s="6"/>
      <c r="Y6773" s="6"/>
      <c r="Z6773" s="6"/>
      <c r="AA6773" s="6" t="s">
        <v>115</v>
      </c>
      <c r="AB6773" s="8"/>
      <c r="AC6773" s="27">
        <v>9785977605090</v>
      </c>
    </row>
    <row r="6774" spans="1:29" s="4" customFormat="1" ht="51.9" customHeight="1" x14ac:dyDescent="0.2">
      <c r="A6774" s="5">
        <v>0</v>
      </c>
      <c r="B6774" s="6" t="s">
        <v>38451</v>
      </c>
      <c r="C6774" s="7">
        <v>2220</v>
      </c>
      <c r="D6774" s="8" t="s">
        <v>38452</v>
      </c>
      <c r="E6774" s="8" t="s">
        <v>38453</v>
      </c>
      <c r="F6774" s="8" t="s">
        <v>38454</v>
      </c>
      <c r="G6774" s="6" t="s">
        <v>118</v>
      </c>
      <c r="H6774" s="6" t="s">
        <v>34</v>
      </c>
      <c r="I6774" s="8" t="s">
        <v>263</v>
      </c>
      <c r="J6774" s="9">
        <v>1</v>
      </c>
      <c r="K6774" s="9">
        <v>336</v>
      </c>
      <c r="L6774" s="9">
        <v>2026</v>
      </c>
      <c r="M6774" s="8" t="s">
        <v>38455</v>
      </c>
      <c r="N6774" s="8" t="s">
        <v>243</v>
      </c>
      <c r="O6774" s="8" t="s">
        <v>385</v>
      </c>
      <c r="P6774" s="6" t="s">
        <v>51</v>
      </c>
      <c r="Q6774" s="8" t="s">
        <v>265</v>
      </c>
      <c r="R6774" s="10" t="s">
        <v>38456</v>
      </c>
      <c r="S6774" s="11" t="s">
        <v>38457</v>
      </c>
      <c r="T6774" s="6"/>
      <c r="U6774" s="15" t="str">
        <f>HYPERLINK("https://media.infra-m.ru/2235/2235153/cover/2235153.jpg", "Обложка")</f>
        <v>Обложка</v>
      </c>
      <c r="V6774" s="8" t="s">
        <v>25950</v>
      </c>
      <c r="W6774" s="6"/>
      <c r="X6774" s="6"/>
      <c r="Y6774" s="6"/>
      <c r="Z6774" s="6"/>
      <c r="AA6774" s="6" t="s">
        <v>7324</v>
      </c>
      <c r="AB6774" s="8"/>
      <c r="AC6774" s="27">
        <v>9785160168616</v>
      </c>
    </row>
    <row r="6775" spans="1:29" s="4" customFormat="1" ht="42" customHeight="1" x14ac:dyDescent="0.2">
      <c r="A6775" s="5">
        <v>0</v>
      </c>
      <c r="B6775" s="6" t="s">
        <v>38458</v>
      </c>
      <c r="C6775" s="7">
        <v>1216.8</v>
      </c>
      <c r="D6775" s="8" t="s">
        <v>38459</v>
      </c>
      <c r="E6775" s="8" t="s">
        <v>38460</v>
      </c>
      <c r="F6775" s="8" t="s">
        <v>38461</v>
      </c>
      <c r="G6775" s="6" t="s">
        <v>118</v>
      </c>
      <c r="H6775" s="6" t="s">
        <v>134</v>
      </c>
      <c r="I6775" s="8"/>
      <c r="J6775" s="9">
        <v>1</v>
      </c>
      <c r="K6775" s="9">
        <v>216</v>
      </c>
      <c r="L6775" s="9">
        <v>2024</v>
      </c>
      <c r="M6775" s="8" t="s">
        <v>38462</v>
      </c>
      <c r="N6775" s="8" t="s">
        <v>37</v>
      </c>
      <c r="O6775" s="8" t="s">
        <v>136</v>
      </c>
      <c r="P6775" s="6" t="s">
        <v>39</v>
      </c>
      <c r="Q6775" s="8" t="s">
        <v>40</v>
      </c>
      <c r="R6775" s="10" t="s">
        <v>1667</v>
      </c>
      <c r="S6775" s="11"/>
      <c r="T6775" s="6"/>
      <c r="U6775" s="15" t="str">
        <f>HYPERLINK("https://media.infra-m.ru/2121/2121168/cover/2121168.jpg", "Обложка")</f>
        <v>Обложка</v>
      </c>
      <c r="V6775" s="8" t="s">
        <v>1277</v>
      </c>
      <c r="W6775" s="6"/>
      <c r="X6775" s="6"/>
      <c r="Y6775" s="6"/>
      <c r="Z6775" s="6"/>
      <c r="AA6775" s="6" t="s">
        <v>1256</v>
      </c>
      <c r="AB6775" s="8"/>
      <c r="AC6775" s="27">
        <v>9785001560234</v>
      </c>
    </row>
    <row r="6776" spans="1:29" s="4" customFormat="1" ht="42" customHeight="1" x14ac:dyDescent="0.2">
      <c r="A6776" s="5">
        <v>0</v>
      </c>
      <c r="B6776" s="6" t="s">
        <v>38463</v>
      </c>
      <c r="C6776" s="7">
        <v>1032</v>
      </c>
      <c r="D6776" s="8" t="s">
        <v>38464</v>
      </c>
      <c r="E6776" s="8" t="s">
        <v>38465</v>
      </c>
      <c r="F6776" s="8" t="s">
        <v>38466</v>
      </c>
      <c r="G6776" s="6" t="s">
        <v>33</v>
      </c>
      <c r="H6776" s="6" t="s">
        <v>313</v>
      </c>
      <c r="I6776" s="8" t="s">
        <v>35</v>
      </c>
      <c r="J6776" s="9">
        <v>1</v>
      </c>
      <c r="K6776" s="9">
        <v>156</v>
      </c>
      <c r="L6776" s="9">
        <v>2026</v>
      </c>
      <c r="M6776" s="8" t="s">
        <v>38467</v>
      </c>
      <c r="N6776" s="8" t="s">
        <v>37</v>
      </c>
      <c r="O6776" s="8" t="s">
        <v>233</v>
      </c>
      <c r="P6776" s="6" t="s">
        <v>39</v>
      </c>
      <c r="Q6776" s="8" t="s">
        <v>40</v>
      </c>
      <c r="R6776" s="10" t="s">
        <v>1503</v>
      </c>
      <c r="S6776" s="11"/>
      <c r="T6776" s="6"/>
      <c r="U6776" s="15" t="str">
        <f>HYPERLINK("https://media.infra-m.ru/2239/2239899/cover/2239899.jpg", "Обложка")</f>
        <v>Обложка</v>
      </c>
      <c r="V6776" s="8"/>
      <c r="W6776" s="6"/>
      <c r="X6776" s="6"/>
      <c r="Y6776" s="6"/>
      <c r="Z6776" s="6"/>
      <c r="AA6776" s="6" t="s">
        <v>248</v>
      </c>
      <c r="AB6776" s="8"/>
      <c r="AC6776" s="27">
        <v>9785369013427</v>
      </c>
    </row>
    <row r="6777" spans="1:29" s="4" customFormat="1" ht="51.9" customHeight="1" x14ac:dyDescent="0.2">
      <c r="A6777" s="5">
        <v>0</v>
      </c>
      <c r="B6777" s="6" t="s">
        <v>38468</v>
      </c>
      <c r="C6777" s="7">
        <v>1788</v>
      </c>
      <c r="D6777" s="8" t="s">
        <v>38469</v>
      </c>
      <c r="E6777" s="8" t="s">
        <v>38470</v>
      </c>
      <c r="F6777" s="8" t="s">
        <v>37466</v>
      </c>
      <c r="G6777" s="6" t="s">
        <v>60</v>
      </c>
      <c r="H6777" s="6" t="s">
        <v>34</v>
      </c>
      <c r="I6777" s="8" t="s">
        <v>253</v>
      </c>
      <c r="J6777" s="9">
        <v>1</v>
      </c>
      <c r="K6777" s="9">
        <v>270</v>
      </c>
      <c r="L6777" s="9">
        <v>2025</v>
      </c>
      <c r="M6777" s="8" t="s">
        <v>38471</v>
      </c>
      <c r="N6777" s="8" t="s">
        <v>37</v>
      </c>
      <c r="O6777" s="8" t="s">
        <v>83</v>
      </c>
      <c r="P6777" s="6" t="s">
        <v>306</v>
      </c>
      <c r="Q6777" s="8" t="s">
        <v>65</v>
      </c>
      <c r="R6777" s="10" t="s">
        <v>38472</v>
      </c>
      <c r="S6777" s="11" t="s">
        <v>38473</v>
      </c>
      <c r="T6777" s="6"/>
      <c r="U6777" s="15" t="str">
        <f>HYPERLINK("https://media.infra-m.ru/2200/2200689/cover/2200689.jpg", "Обложка")</f>
        <v>Обложка</v>
      </c>
      <c r="V6777" s="8" t="s">
        <v>1647</v>
      </c>
      <c r="W6777" s="6"/>
      <c r="X6777" s="6"/>
      <c r="Y6777" s="6"/>
      <c r="Z6777" s="6"/>
      <c r="AA6777" s="6" t="s">
        <v>68</v>
      </c>
      <c r="AB6777" s="8" t="s">
        <v>6493</v>
      </c>
      <c r="AC6777" s="27">
        <v>9785160208640</v>
      </c>
    </row>
    <row r="6778" spans="1:29" s="4" customFormat="1" ht="51.9" customHeight="1" x14ac:dyDescent="0.2">
      <c r="A6778" s="5">
        <v>0</v>
      </c>
      <c r="B6778" s="6" t="s">
        <v>38474</v>
      </c>
      <c r="C6778" s="7">
        <v>1632</v>
      </c>
      <c r="D6778" s="8" t="s">
        <v>38475</v>
      </c>
      <c r="E6778" s="8" t="s">
        <v>38476</v>
      </c>
      <c r="F6778" s="8" t="s">
        <v>38477</v>
      </c>
      <c r="G6778" s="6" t="s">
        <v>118</v>
      </c>
      <c r="H6778" s="6" t="s">
        <v>34</v>
      </c>
      <c r="I6778" s="8" t="s">
        <v>253</v>
      </c>
      <c r="J6778" s="9">
        <v>1</v>
      </c>
      <c r="K6778" s="9">
        <v>245</v>
      </c>
      <c r="L6778" s="9">
        <v>2026</v>
      </c>
      <c r="M6778" s="8" t="s">
        <v>38478</v>
      </c>
      <c r="N6778" s="8" t="s">
        <v>63</v>
      </c>
      <c r="O6778" s="8" t="s">
        <v>64</v>
      </c>
      <c r="P6778" s="6" t="s">
        <v>51</v>
      </c>
      <c r="Q6778" s="8" t="s">
        <v>52</v>
      </c>
      <c r="R6778" s="10" t="s">
        <v>38479</v>
      </c>
      <c r="S6778" s="11" t="s">
        <v>38480</v>
      </c>
      <c r="T6778" s="6"/>
      <c r="U6778" s="15" t="str">
        <f>HYPERLINK("https://media.infra-m.ru/2255/2255723/cover/2255723.jpg", "Обложка")</f>
        <v>Обложка</v>
      </c>
      <c r="V6778" s="8" t="s">
        <v>3087</v>
      </c>
      <c r="W6778" s="6"/>
      <c r="X6778" s="6"/>
      <c r="Y6778" s="6"/>
      <c r="Z6778" s="6"/>
      <c r="AA6778" s="6" t="s">
        <v>43</v>
      </c>
      <c r="AB6778" s="8"/>
      <c r="AC6778" s="27">
        <v>9785160048727</v>
      </c>
    </row>
    <row r="6779" spans="1:29" s="4" customFormat="1" ht="51.9" customHeight="1" x14ac:dyDescent="0.2">
      <c r="A6779" s="5">
        <v>0</v>
      </c>
      <c r="B6779" s="6" t="s">
        <v>38481</v>
      </c>
      <c r="C6779" s="7">
        <v>1037.9000000000001</v>
      </c>
      <c r="D6779" s="8" t="s">
        <v>38482</v>
      </c>
      <c r="E6779" s="8" t="s">
        <v>38483</v>
      </c>
      <c r="F6779" s="8" t="s">
        <v>19160</v>
      </c>
      <c r="G6779" s="6" t="s">
        <v>60</v>
      </c>
      <c r="H6779" s="6" t="s">
        <v>34</v>
      </c>
      <c r="I6779" s="8" t="s">
        <v>271</v>
      </c>
      <c r="J6779" s="9">
        <v>1</v>
      </c>
      <c r="K6779" s="9">
        <v>229</v>
      </c>
      <c r="L6779" s="9">
        <v>2020</v>
      </c>
      <c r="M6779" s="8" t="s">
        <v>38484</v>
      </c>
      <c r="N6779" s="8" t="s">
        <v>243</v>
      </c>
      <c r="O6779" s="8" t="s">
        <v>758</v>
      </c>
      <c r="P6779" s="6" t="s">
        <v>51</v>
      </c>
      <c r="Q6779" s="8" t="s">
        <v>52</v>
      </c>
      <c r="R6779" s="10" t="s">
        <v>38485</v>
      </c>
      <c r="S6779" s="11" t="s">
        <v>38486</v>
      </c>
      <c r="T6779" s="6"/>
      <c r="U6779" s="15" t="str">
        <f>HYPERLINK("https://media.infra-m.ru/1045/1045762/cover/1045762.jpg", "Обложка")</f>
        <v>Обложка</v>
      </c>
      <c r="V6779" s="8" t="s">
        <v>227</v>
      </c>
      <c r="W6779" s="6"/>
      <c r="X6779" s="6"/>
      <c r="Y6779" s="6"/>
      <c r="Z6779" s="6"/>
      <c r="AA6779" s="6" t="s">
        <v>86</v>
      </c>
      <c r="AB6779" s="8"/>
      <c r="AC6779" s="27">
        <v>9785160131696</v>
      </c>
    </row>
    <row r="6780" spans="1:29" s="4" customFormat="1" ht="51.9" customHeight="1" x14ac:dyDescent="0.2">
      <c r="A6780" s="5">
        <v>0</v>
      </c>
      <c r="B6780" s="6" t="s">
        <v>38487</v>
      </c>
      <c r="C6780" s="7">
        <v>1236</v>
      </c>
      <c r="D6780" s="8" t="s">
        <v>38488</v>
      </c>
      <c r="E6780" s="8" t="s">
        <v>38483</v>
      </c>
      <c r="F6780" s="8" t="s">
        <v>19160</v>
      </c>
      <c r="G6780" s="6" t="s">
        <v>33</v>
      </c>
      <c r="H6780" s="6" t="s">
        <v>34</v>
      </c>
      <c r="I6780" s="8" t="s">
        <v>271</v>
      </c>
      <c r="J6780" s="9">
        <v>1</v>
      </c>
      <c r="K6780" s="9">
        <v>229</v>
      </c>
      <c r="L6780" s="9">
        <v>2023</v>
      </c>
      <c r="M6780" s="8" t="s">
        <v>38489</v>
      </c>
      <c r="N6780" s="8" t="s">
        <v>243</v>
      </c>
      <c r="O6780" s="8" t="s">
        <v>758</v>
      </c>
      <c r="P6780" s="6" t="s">
        <v>51</v>
      </c>
      <c r="Q6780" s="8" t="s">
        <v>52</v>
      </c>
      <c r="R6780" s="10" t="s">
        <v>38485</v>
      </c>
      <c r="S6780" s="11" t="s">
        <v>38486</v>
      </c>
      <c r="T6780" s="6"/>
      <c r="U6780" s="15" t="str">
        <f>HYPERLINK("https://media.infra-m.ru/1905/1905621/cover/1905621.jpg", "Обложка")</f>
        <v>Обложка</v>
      </c>
      <c r="V6780" s="8" t="s">
        <v>227</v>
      </c>
      <c r="W6780" s="6"/>
      <c r="X6780" s="6"/>
      <c r="Y6780" s="6"/>
      <c r="Z6780" s="6"/>
      <c r="AA6780" s="6" t="s">
        <v>86</v>
      </c>
      <c r="AB6780" s="8"/>
      <c r="AC6780" s="27">
        <v>9785160180311</v>
      </c>
    </row>
    <row r="6781" spans="1:29" s="4" customFormat="1" ht="51.9" customHeight="1" x14ac:dyDescent="0.2">
      <c r="A6781" s="5">
        <v>0</v>
      </c>
      <c r="B6781" s="6" t="s">
        <v>38490</v>
      </c>
      <c r="C6781" s="7">
        <v>1224</v>
      </c>
      <c r="D6781" s="8" t="s">
        <v>38491</v>
      </c>
      <c r="E6781" s="8" t="s">
        <v>38492</v>
      </c>
      <c r="F6781" s="8" t="s">
        <v>38493</v>
      </c>
      <c r="G6781" s="6" t="s">
        <v>33</v>
      </c>
      <c r="H6781" s="6" t="s">
        <v>34</v>
      </c>
      <c r="I6781" s="8" t="s">
        <v>35</v>
      </c>
      <c r="J6781" s="9">
        <v>1</v>
      </c>
      <c r="K6781" s="9">
        <v>176</v>
      </c>
      <c r="L6781" s="9">
        <v>2027</v>
      </c>
      <c r="M6781" s="8" t="s">
        <v>38494</v>
      </c>
      <c r="N6781" s="8" t="s">
        <v>243</v>
      </c>
      <c r="O6781" s="8" t="s">
        <v>964</v>
      </c>
      <c r="P6781" s="6" t="s">
        <v>39</v>
      </c>
      <c r="Q6781" s="8" t="s">
        <v>40</v>
      </c>
      <c r="R6781" s="10" t="s">
        <v>38495</v>
      </c>
      <c r="S6781" s="11"/>
      <c r="T6781" s="6"/>
      <c r="U6781" s="15" t="str">
        <f>HYPERLINK("https://media.infra-m.ru/2263/2263934/cover/2263934.jpg", "Обложка")</f>
        <v>Обложка</v>
      </c>
      <c r="V6781" s="8" t="s">
        <v>38496</v>
      </c>
      <c r="W6781" s="6"/>
      <c r="X6781" s="6"/>
      <c r="Y6781" s="6"/>
      <c r="Z6781" s="6"/>
      <c r="AA6781" s="6" t="s">
        <v>148</v>
      </c>
      <c r="AB6781" s="8"/>
      <c r="AC6781" s="27">
        <v>9785160171555</v>
      </c>
    </row>
    <row r="6782" spans="1:29" s="4" customFormat="1" ht="42" customHeight="1" x14ac:dyDescent="0.2">
      <c r="A6782" s="5">
        <v>0</v>
      </c>
      <c r="B6782" s="6" t="s">
        <v>38497</v>
      </c>
      <c r="C6782" s="7">
        <v>1420.8</v>
      </c>
      <c r="D6782" s="8" t="s">
        <v>38498</v>
      </c>
      <c r="E6782" s="8" t="s">
        <v>38499</v>
      </c>
      <c r="F6782" s="8" t="s">
        <v>38500</v>
      </c>
      <c r="G6782" s="6" t="s">
        <v>33</v>
      </c>
      <c r="H6782" s="6" t="s">
        <v>34</v>
      </c>
      <c r="I6782" s="8" t="s">
        <v>35</v>
      </c>
      <c r="J6782" s="9">
        <v>1</v>
      </c>
      <c r="K6782" s="9">
        <v>228</v>
      </c>
      <c r="L6782" s="9">
        <v>2025</v>
      </c>
      <c r="M6782" s="8" t="s">
        <v>38501</v>
      </c>
      <c r="N6782" s="8" t="s">
        <v>37</v>
      </c>
      <c r="O6782" s="8" t="s">
        <v>136</v>
      </c>
      <c r="P6782" s="6" t="s">
        <v>39</v>
      </c>
      <c r="Q6782" s="8" t="s">
        <v>40</v>
      </c>
      <c r="R6782" s="10" t="s">
        <v>1631</v>
      </c>
      <c r="S6782" s="11"/>
      <c r="T6782" s="6"/>
      <c r="U6782" s="15" t="str">
        <f>HYPERLINK("https://media.infra-m.ru/2194/2194353/cover/2194353.jpg", "Обложка")</f>
        <v>Обложка</v>
      </c>
      <c r="V6782" s="8" t="s">
        <v>1277</v>
      </c>
      <c r="W6782" s="6"/>
      <c r="X6782" s="6"/>
      <c r="Y6782" s="6"/>
      <c r="Z6782" s="6"/>
      <c r="AA6782" s="6" t="s">
        <v>55</v>
      </c>
      <c r="AB6782" s="8"/>
      <c r="AC6782" s="27">
        <v>9785160092898</v>
      </c>
    </row>
    <row r="6783" spans="1:29" s="4" customFormat="1" ht="42" customHeight="1" x14ac:dyDescent="0.2">
      <c r="A6783" s="5">
        <v>0</v>
      </c>
      <c r="B6783" s="6" t="s">
        <v>38502</v>
      </c>
      <c r="C6783" s="7">
        <v>1020</v>
      </c>
      <c r="D6783" s="8" t="s">
        <v>38503</v>
      </c>
      <c r="E6783" s="8" t="s">
        <v>38504</v>
      </c>
      <c r="F6783" s="8" t="s">
        <v>38505</v>
      </c>
      <c r="G6783" s="6" t="s">
        <v>60</v>
      </c>
      <c r="H6783" s="6" t="s">
        <v>34</v>
      </c>
      <c r="I6783" s="8" t="s">
        <v>35</v>
      </c>
      <c r="J6783" s="9">
        <v>1</v>
      </c>
      <c r="K6783" s="9">
        <v>173</v>
      </c>
      <c r="L6783" s="9">
        <v>2023</v>
      </c>
      <c r="M6783" s="8" t="s">
        <v>38506</v>
      </c>
      <c r="N6783" s="8" t="s">
        <v>37</v>
      </c>
      <c r="O6783" s="8" t="s">
        <v>499</v>
      </c>
      <c r="P6783" s="6" t="s">
        <v>39</v>
      </c>
      <c r="Q6783" s="8" t="s">
        <v>40</v>
      </c>
      <c r="R6783" s="10" t="s">
        <v>5331</v>
      </c>
      <c r="S6783" s="11"/>
      <c r="T6783" s="6"/>
      <c r="U6783" s="15" t="str">
        <f>HYPERLINK("https://media.infra-m.ru/2009/2009650/cover/2009650.jpg", "Обложка")</f>
        <v>Обложка</v>
      </c>
      <c r="V6783" s="8" t="s">
        <v>227</v>
      </c>
      <c r="W6783" s="6"/>
      <c r="X6783" s="6"/>
      <c r="Y6783" s="6"/>
      <c r="Z6783" s="6"/>
      <c r="AA6783" s="6" t="s">
        <v>157</v>
      </c>
      <c r="AB6783" s="8"/>
      <c r="AC6783" s="27">
        <v>9785160184722</v>
      </c>
    </row>
    <row r="6784" spans="1:29" s="4" customFormat="1" ht="44.1" customHeight="1" x14ac:dyDescent="0.2">
      <c r="A6784" s="5">
        <v>0</v>
      </c>
      <c r="B6784" s="6" t="s">
        <v>38507</v>
      </c>
      <c r="C6784" s="7">
        <v>2388</v>
      </c>
      <c r="D6784" s="8" t="s">
        <v>38508</v>
      </c>
      <c r="E6784" s="8" t="s">
        <v>38509</v>
      </c>
      <c r="F6784" s="8" t="s">
        <v>38510</v>
      </c>
      <c r="G6784" s="6" t="s">
        <v>60</v>
      </c>
      <c r="H6784" s="6" t="s">
        <v>34</v>
      </c>
      <c r="I6784" s="8" t="s">
        <v>457</v>
      </c>
      <c r="J6784" s="9">
        <v>1</v>
      </c>
      <c r="K6784" s="9">
        <v>335</v>
      </c>
      <c r="L6784" s="9">
        <v>2027</v>
      </c>
      <c r="M6784" s="8" t="s">
        <v>38511</v>
      </c>
      <c r="N6784" s="8" t="s">
        <v>93</v>
      </c>
      <c r="O6784" s="8" t="s">
        <v>94</v>
      </c>
      <c r="P6784" s="6" t="s">
        <v>39</v>
      </c>
      <c r="Q6784" s="8" t="s">
        <v>40</v>
      </c>
      <c r="R6784" s="10" t="s">
        <v>38512</v>
      </c>
      <c r="S6784" s="11"/>
      <c r="T6784" s="6"/>
      <c r="U6784" s="15" t="str">
        <f>HYPERLINK("https://media.infra-m.ru/2245/2245562/cover/2245562.jpg", "Обложка")</f>
        <v>Обложка</v>
      </c>
      <c r="V6784" s="8" t="s">
        <v>247</v>
      </c>
      <c r="W6784" s="6" t="s">
        <v>2115</v>
      </c>
      <c r="X6784" s="6"/>
      <c r="Y6784" s="6"/>
      <c r="Z6784" s="6"/>
      <c r="AA6784" s="6" t="s">
        <v>420</v>
      </c>
      <c r="AB6784" s="8"/>
      <c r="AC6784" s="27">
        <v>9785160219943</v>
      </c>
    </row>
    <row r="6785" spans="1:29" s="4" customFormat="1" ht="51.9" customHeight="1" x14ac:dyDescent="0.2">
      <c r="A6785" s="5">
        <v>0</v>
      </c>
      <c r="B6785" s="6" t="s">
        <v>38513</v>
      </c>
      <c r="C6785" s="7">
        <v>1476</v>
      </c>
      <c r="D6785" s="8" t="s">
        <v>38514</v>
      </c>
      <c r="E6785" s="8" t="s">
        <v>38515</v>
      </c>
      <c r="F6785" s="8" t="s">
        <v>8100</v>
      </c>
      <c r="G6785" s="6" t="s">
        <v>60</v>
      </c>
      <c r="H6785" s="6" t="s">
        <v>134</v>
      </c>
      <c r="I6785" s="8"/>
      <c r="J6785" s="9">
        <v>1</v>
      </c>
      <c r="K6785" s="9">
        <v>432</v>
      </c>
      <c r="L6785" s="9">
        <v>2018</v>
      </c>
      <c r="M6785" s="8" t="s">
        <v>38516</v>
      </c>
      <c r="N6785" s="8" t="s">
        <v>37</v>
      </c>
      <c r="O6785" s="8" t="s">
        <v>280</v>
      </c>
      <c r="P6785" s="6" t="s">
        <v>306</v>
      </c>
      <c r="Q6785" s="8" t="s">
        <v>52</v>
      </c>
      <c r="R6785" s="10" t="s">
        <v>20680</v>
      </c>
      <c r="S6785" s="11" t="s">
        <v>38517</v>
      </c>
      <c r="T6785" s="6"/>
      <c r="U6785" s="15" t="str">
        <f>HYPERLINK("https://media.infra-m.ru/0952/0952104/cover/952104.jpg", "Обложка")</f>
        <v>Обложка</v>
      </c>
      <c r="V6785" s="8" t="s">
        <v>1069</v>
      </c>
      <c r="W6785" s="6"/>
      <c r="X6785" s="6"/>
      <c r="Y6785" s="6"/>
      <c r="Z6785" s="6"/>
      <c r="AA6785" s="6" t="s">
        <v>3414</v>
      </c>
      <c r="AB6785" s="8"/>
      <c r="AC6785" s="27">
        <v>9785917683652</v>
      </c>
    </row>
    <row r="6786" spans="1:29" s="4" customFormat="1" ht="51.9" customHeight="1" x14ac:dyDescent="0.2">
      <c r="A6786" s="5">
        <v>0</v>
      </c>
      <c r="B6786" s="6" t="s">
        <v>38518</v>
      </c>
      <c r="C6786" s="7">
        <v>2392.8000000000002</v>
      </c>
      <c r="D6786" s="8" t="s">
        <v>38519</v>
      </c>
      <c r="E6786" s="8" t="s">
        <v>38520</v>
      </c>
      <c r="F6786" s="8" t="s">
        <v>8100</v>
      </c>
      <c r="G6786" s="6" t="s">
        <v>118</v>
      </c>
      <c r="H6786" s="6" t="s">
        <v>134</v>
      </c>
      <c r="I6786" s="8"/>
      <c r="J6786" s="9">
        <v>1</v>
      </c>
      <c r="K6786" s="9">
        <v>400</v>
      </c>
      <c r="L6786" s="9">
        <v>2025</v>
      </c>
      <c r="M6786" s="8" t="s">
        <v>38521</v>
      </c>
      <c r="N6786" s="8" t="s">
        <v>37</v>
      </c>
      <c r="O6786" s="8" t="s">
        <v>280</v>
      </c>
      <c r="P6786" s="6" t="s">
        <v>306</v>
      </c>
      <c r="Q6786" s="8" t="s">
        <v>52</v>
      </c>
      <c r="R6786" s="10" t="s">
        <v>20680</v>
      </c>
      <c r="S6786" s="11" t="s">
        <v>38517</v>
      </c>
      <c r="T6786" s="6"/>
      <c r="U6786" s="15" t="str">
        <f>HYPERLINK("https://media.infra-m.ru/2188/2188208/cover/2188208.jpg", "Обложка")</f>
        <v>Обложка</v>
      </c>
      <c r="V6786" s="8" t="s">
        <v>1069</v>
      </c>
      <c r="W6786" s="6"/>
      <c r="X6786" s="6"/>
      <c r="Y6786" s="6"/>
      <c r="Z6786" s="6"/>
      <c r="AA6786" s="6" t="s">
        <v>1411</v>
      </c>
      <c r="AB6786" s="8"/>
      <c r="AC6786" s="27">
        <v>9785917686127</v>
      </c>
    </row>
    <row r="6787" spans="1:29" s="4" customFormat="1" ht="51.9" customHeight="1" x14ac:dyDescent="0.2">
      <c r="A6787" s="5">
        <v>0</v>
      </c>
      <c r="B6787" s="6" t="s">
        <v>38522</v>
      </c>
      <c r="C6787" s="7">
        <v>2628</v>
      </c>
      <c r="D6787" s="8" t="s">
        <v>38523</v>
      </c>
      <c r="E6787" s="8" t="s">
        <v>38524</v>
      </c>
      <c r="F6787" s="8" t="s">
        <v>13859</v>
      </c>
      <c r="G6787" s="6" t="s">
        <v>60</v>
      </c>
      <c r="H6787" s="6" t="s">
        <v>34</v>
      </c>
      <c r="I6787" s="8" t="s">
        <v>253</v>
      </c>
      <c r="J6787" s="9">
        <v>1</v>
      </c>
      <c r="K6787" s="9">
        <v>414</v>
      </c>
      <c r="L6787" s="9">
        <v>2026</v>
      </c>
      <c r="M6787" s="8" t="s">
        <v>38525</v>
      </c>
      <c r="N6787" s="8" t="s">
        <v>37</v>
      </c>
      <c r="O6787" s="8" t="s">
        <v>280</v>
      </c>
      <c r="P6787" s="6" t="s">
        <v>306</v>
      </c>
      <c r="Q6787" s="8" t="s">
        <v>52</v>
      </c>
      <c r="R6787" s="10" t="s">
        <v>8386</v>
      </c>
      <c r="S6787" s="11" t="s">
        <v>38526</v>
      </c>
      <c r="T6787" s="6" t="s">
        <v>97</v>
      </c>
      <c r="U6787" s="15" t="str">
        <f>HYPERLINK("https://media.infra-m.ru/2219/2219030/cover/2219030.jpg", "Обложка")</f>
        <v>Обложка</v>
      </c>
      <c r="V6787" s="8" t="s">
        <v>657</v>
      </c>
      <c r="W6787" s="6"/>
      <c r="X6787" s="6"/>
      <c r="Y6787" s="6"/>
      <c r="Z6787" s="6"/>
      <c r="AA6787" s="6" t="s">
        <v>430</v>
      </c>
      <c r="AB6787" s="8"/>
      <c r="AC6787" s="27">
        <v>9785160184531</v>
      </c>
    </row>
    <row r="6788" spans="1:29" s="4" customFormat="1" ht="42" customHeight="1" x14ac:dyDescent="0.2">
      <c r="A6788" s="5">
        <v>0</v>
      </c>
      <c r="B6788" s="6" t="s">
        <v>38527</v>
      </c>
      <c r="C6788" s="7">
        <v>2980.8</v>
      </c>
      <c r="D6788" s="8" t="s">
        <v>38528</v>
      </c>
      <c r="E6788" s="8" t="s">
        <v>38529</v>
      </c>
      <c r="F6788" s="8" t="s">
        <v>38530</v>
      </c>
      <c r="G6788" s="6" t="s">
        <v>60</v>
      </c>
      <c r="H6788" s="6" t="s">
        <v>134</v>
      </c>
      <c r="I6788" s="8"/>
      <c r="J6788" s="9">
        <v>1</v>
      </c>
      <c r="K6788" s="9">
        <v>496</v>
      </c>
      <c r="L6788" s="9">
        <v>2025</v>
      </c>
      <c r="M6788" s="8" t="s">
        <v>38531</v>
      </c>
      <c r="N6788" s="8" t="s">
        <v>37</v>
      </c>
      <c r="O6788" s="8" t="s">
        <v>136</v>
      </c>
      <c r="P6788" s="6" t="s">
        <v>39</v>
      </c>
      <c r="Q6788" s="8" t="s">
        <v>40</v>
      </c>
      <c r="R6788" s="10" t="s">
        <v>1631</v>
      </c>
      <c r="S6788" s="11"/>
      <c r="T6788" s="6"/>
      <c r="U6788" s="15" t="str">
        <f>HYPERLINK("https://media.infra-m.ru/2192/2192426/cover/2192426.jpg", "Обложка")</f>
        <v>Обложка</v>
      </c>
      <c r="V6788" s="8" t="s">
        <v>28319</v>
      </c>
      <c r="W6788" s="6"/>
      <c r="X6788" s="6"/>
      <c r="Y6788" s="6"/>
      <c r="Z6788" s="6"/>
      <c r="AA6788" s="6" t="s">
        <v>718</v>
      </c>
      <c r="AB6788" s="8"/>
      <c r="AC6788" s="27">
        <v>9785917684345</v>
      </c>
    </row>
    <row r="6789" spans="1:29" s="4" customFormat="1" ht="42" customHeight="1" x14ac:dyDescent="0.2">
      <c r="A6789" s="5">
        <v>0</v>
      </c>
      <c r="B6789" s="6" t="s">
        <v>38532</v>
      </c>
      <c r="C6789" s="7">
        <v>1360.8</v>
      </c>
      <c r="D6789" s="8" t="s">
        <v>38533</v>
      </c>
      <c r="E6789" s="8" t="s">
        <v>38534</v>
      </c>
      <c r="F6789" s="8" t="s">
        <v>38535</v>
      </c>
      <c r="G6789" s="6" t="s">
        <v>33</v>
      </c>
      <c r="H6789" s="6" t="s">
        <v>820</v>
      </c>
      <c r="I6789" s="8" t="s">
        <v>38536</v>
      </c>
      <c r="J6789" s="9">
        <v>1</v>
      </c>
      <c r="K6789" s="9">
        <v>240</v>
      </c>
      <c r="L6789" s="9">
        <v>2024</v>
      </c>
      <c r="M6789" s="8" t="s">
        <v>38537</v>
      </c>
      <c r="N6789" s="8" t="s">
        <v>93</v>
      </c>
      <c r="O6789" s="8" t="s">
        <v>94</v>
      </c>
      <c r="P6789" s="6" t="s">
        <v>51</v>
      </c>
      <c r="Q6789" s="8" t="s">
        <v>40</v>
      </c>
      <c r="R6789" s="10" t="s">
        <v>1563</v>
      </c>
      <c r="S6789" s="11"/>
      <c r="T6789" s="6"/>
      <c r="U6789" s="15" t="str">
        <f>HYPERLINK("https://media.infra-m.ru/2151/2151403/cover/2151403.jpg", "Обложка")</f>
        <v>Обложка</v>
      </c>
      <c r="V6789" s="8" t="s">
        <v>396</v>
      </c>
      <c r="W6789" s="6"/>
      <c r="X6789" s="6"/>
      <c r="Y6789" s="6"/>
      <c r="Z6789" s="6"/>
      <c r="AA6789" s="6" t="s">
        <v>248</v>
      </c>
      <c r="AB6789" s="8"/>
      <c r="AC6789" s="27">
        <v>9785905554568</v>
      </c>
    </row>
    <row r="6790" spans="1:29" s="4" customFormat="1" ht="42" customHeight="1" x14ac:dyDescent="0.2">
      <c r="A6790" s="5">
        <v>0</v>
      </c>
      <c r="B6790" s="6" t="s">
        <v>38538</v>
      </c>
      <c r="C6790" s="7">
        <v>1948.8</v>
      </c>
      <c r="D6790" s="8" t="s">
        <v>38539</v>
      </c>
      <c r="E6790" s="8" t="s">
        <v>38540</v>
      </c>
      <c r="F6790" s="8" t="s">
        <v>38541</v>
      </c>
      <c r="G6790" s="6" t="s">
        <v>60</v>
      </c>
      <c r="H6790" s="6" t="s">
        <v>34</v>
      </c>
      <c r="I6790" s="8" t="s">
        <v>35</v>
      </c>
      <c r="J6790" s="9">
        <v>1</v>
      </c>
      <c r="K6790" s="9">
        <v>280</v>
      </c>
      <c r="L6790" s="9">
        <v>2026</v>
      </c>
      <c r="M6790" s="8" t="s">
        <v>38542</v>
      </c>
      <c r="N6790" s="8" t="s">
        <v>93</v>
      </c>
      <c r="O6790" s="8" t="s">
        <v>94</v>
      </c>
      <c r="P6790" s="6" t="s">
        <v>39</v>
      </c>
      <c r="Q6790" s="8" t="s">
        <v>40</v>
      </c>
      <c r="R6790" s="10" t="s">
        <v>1503</v>
      </c>
      <c r="S6790" s="11"/>
      <c r="T6790" s="6"/>
      <c r="U6790" s="15" t="str">
        <f>HYPERLINK("https://media.infra-m.ru/2216/2216849/cover/2216849.jpg", "Обложка")</f>
        <v>Обложка</v>
      </c>
      <c r="V6790" s="8" t="s">
        <v>227</v>
      </c>
      <c r="W6790" s="6"/>
      <c r="X6790" s="6"/>
      <c r="Y6790" s="6"/>
      <c r="Z6790" s="6"/>
      <c r="AA6790" s="6" t="s">
        <v>55</v>
      </c>
      <c r="AB6790" s="8"/>
      <c r="AC6790" s="27">
        <v>9785160065748</v>
      </c>
    </row>
    <row r="6791" spans="1:29" s="4" customFormat="1" ht="44.1" customHeight="1" x14ac:dyDescent="0.2">
      <c r="A6791" s="5">
        <v>0</v>
      </c>
      <c r="B6791" s="6" t="s">
        <v>38543</v>
      </c>
      <c r="C6791" s="7">
        <v>1068</v>
      </c>
      <c r="D6791" s="8" t="s">
        <v>38544</v>
      </c>
      <c r="E6791" s="8" t="s">
        <v>38545</v>
      </c>
      <c r="F6791" s="8" t="s">
        <v>38546</v>
      </c>
      <c r="G6791" s="6" t="s">
        <v>118</v>
      </c>
      <c r="H6791" s="6" t="s">
        <v>134</v>
      </c>
      <c r="I6791" s="8"/>
      <c r="J6791" s="9">
        <v>1</v>
      </c>
      <c r="K6791" s="9">
        <v>152</v>
      </c>
      <c r="L6791" s="9">
        <v>2026</v>
      </c>
      <c r="M6791" s="8" t="s">
        <v>38547</v>
      </c>
      <c r="N6791" s="8" t="s">
        <v>37</v>
      </c>
      <c r="O6791" s="8" t="s">
        <v>280</v>
      </c>
      <c r="P6791" s="6" t="s">
        <v>39</v>
      </c>
      <c r="Q6791" s="8" t="s">
        <v>40</v>
      </c>
      <c r="R6791" s="10" t="s">
        <v>6534</v>
      </c>
      <c r="S6791" s="11"/>
      <c r="T6791" s="6"/>
      <c r="U6791" s="15" t="str">
        <f>HYPERLINK("https://media.infra-m.ru/2258/2258683/cover/2258683.jpg", "Обложка")</f>
        <v>Обложка</v>
      </c>
      <c r="V6791" s="8" t="s">
        <v>1184</v>
      </c>
      <c r="W6791" s="6"/>
      <c r="X6791" s="6"/>
      <c r="Y6791" s="6"/>
      <c r="Z6791" s="6"/>
      <c r="AA6791" s="6" t="s">
        <v>115</v>
      </c>
      <c r="AB6791" s="8"/>
      <c r="AC6791" s="27">
        <v>9785917686592</v>
      </c>
    </row>
    <row r="6792" spans="1:29" s="4" customFormat="1" ht="44.1" customHeight="1" x14ac:dyDescent="0.2">
      <c r="A6792" s="5">
        <v>0</v>
      </c>
      <c r="B6792" s="6" t="s">
        <v>38548</v>
      </c>
      <c r="C6792" s="7">
        <v>1560</v>
      </c>
      <c r="D6792" s="8" t="s">
        <v>38549</v>
      </c>
      <c r="E6792" s="8" t="s">
        <v>38550</v>
      </c>
      <c r="F6792" s="8" t="s">
        <v>38551</v>
      </c>
      <c r="G6792" s="6" t="s">
        <v>33</v>
      </c>
      <c r="H6792" s="6" t="s">
        <v>34</v>
      </c>
      <c r="I6792" s="8" t="s">
        <v>35</v>
      </c>
      <c r="J6792" s="9">
        <v>1</v>
      </c>
      <c r="K6792" s="9">
        <v>226</v>
      </c>
      <c r="L6792" s="9">
        <v>2022</v>
      </c>
      <c r="M6792" s="8" t="s">
        <v>38552</v>
      </c>
      <c r="N6792" s="8" t="s">
        <v>585</v>
      </c>
      <c r="O6792" s="8" t="s">
        <v>775</v>
      </c>
      <c r="P6792" s="6" t="s">
        <v>39</v>
      </c>
      <c r="Q6792" s="8" t="s">
        <v>40</v>
      </c>
      <c r="R6792" s="10" t="s">
        <v>38553</v>
      </c>
      <c r="S6792" s="11"/>
      <c r="T6792" s="6" t="s">
        <v>97</v>
      </c>
      <c r="U6792" s="15" t="str">
        <f>HYPERLINK("https://media.infra-m.ru/1819/1819036/cover/1819036.jpg", "Обложка")</f>
        <v>Обложка</v>
      </c>
      <c r="V6792" s="8" t="s">
        <v>1184</v>
      </c>
      <c r="W6792" s="6"/>
      <c r="X6792" s="6"/>
      <c r="Y6792" s="6"/>
      <c r="Z6792" s="6"/>
      <c r="AA6792" s="6" t="s">
        <v>148</v>
      </c>
      <c r="AB6792" s="8"/>
      <c r="AC6792" s="27">
        <v>9785160171968</v>
      </c>
    </row>
    <row r="6793" spans="1:29" s="4" customFormat="1" ht="42" customHeight="1" x14ac:dyDescent="0.2">
      <c r="A6793" s="5">
        <v>0</v>
      </c>
      <c r="B6793" s="6" t="s">
        <v>38554</v>
      </c>
      <c r="C6793" s="13">
        <v>588</v>
      </c>
      <c r="D6793" s="8" t="s">
        <v>38555</v>
      </c>
      <c r="E6793" s="8" t="s">
        <v>38556</v>
      </c>
      <c r="F6793" s="8" t="s">
        <v>38557</v>
      </c>
      <c r="G6793" s="6" t="s">
        <v>60</v>
      </c>
      <c r="H6793" s="6" t="s">
        <v>34</v>
      </c>
      <c r="I6793" s="8" t="s">
        <v>1081</v>
      </c>
      <c r="J6793" s="9">
        <v>1</v>
      </c>
      <c r="K6793" s="9">
        <v>156</v>
      </c>
      <c r="L6793" s="9">
        <v>2018</v>
      </c>
      <c r="M6793" s="8" t="s">
        <v>38558</v>
      </c>
      <c r="N6793" s="8" t="s">
        <v>63</v>
      </c>
      <c r="O6793" s="8" t="s">
        <v>126</v>
      </c>
      <c r="P6793" s="6" t="s">
        <v>39</v>
      </c>
      <c r="Q6793" s="8" t="s">
        <v>40</v>
      </c>
      <c r="R6793" s="10"/>
      <c r="S6793" s="11"/>
      <c r="T6793" s="6"/>
      <c r="U6793" s="15" t="str">
        <f>HYPERLINK("https://media.infra-m.ru/0925/0925967/cover/925967.jpg", "Обложка")</f>
        <v>Обложка</v>
      </c>
      <c r="V6793" s="8" t="s">
        <v>1083</v>
      </c>
      <c r="W6793" s="6"/>
      <c r="X6793" s="6"/>
      <c r="Y6793" s="6"/>
      <c r="Z6793" s="6"/>
      <c r="AA6793" s="6" t="s">
        <v>86</v>
      </c>
      <c r="AB6793" s="8"/>
      <c r="AC6793" s="27">
        <v>9785160133171</v>
      </c>
    </row>
    <row r="6794" spans="1:29" s="4" customFormat="1" ht="51.9" customHeight="1" x14ac:dyDescent="0.2">
      <c r="A6794" s="5">
        <v>0</v>
      </c>
      <c r="B6794" s="6" t="s">
        <v>38559</v>
      </c>
      <c r="C6794" s="7">
        <v>1668</v>
      </c>
      <c r="D6794" s="8" t="s">
        <v>38560</v>
      </c>
      <c r="E6794" s="8" t="s">
        <v>38561</v>
      </c>
      <c r="F6794" s="8" t="s">
        <v>38562</v>
      </c>
      <c r="G6794" s="6" t="s">
        <v>118</v>
      </c>
      <c r="H6794" s="6" t="s">
        <v>34</v>
      </c>
      <c r="I6794" s="8" t="s">
        <v>253</v>
      </c>
      <c r="J6794" s="9">
        <v>1</v>
      </c>
      <c r="K6794" s="9">
        <v>299</v>
      </c>
      <c r="L6794" s="9">
        <v>2024</v>
      </c>
      <c r="M6794" s="8" t="s">
        <v>38563</v>
      </c>
      <c r="N6794" s="8" t="s">
        <v>37</v>
      </c>
      <c r="O6794" s="8" t="s">
        <v>280</v>
      </c>
      <c r="P6794" s="6" t="s">
        <v>51</v>
      </c>
      <c r="Q6794" s="8" t="s">
        <v>52</v>
      </c>
      <c r="R6794" s="10" t="s">
        <v>38564</v>
      </c>
      <c r="S6794" s="11" t="s">
        <v>38565</v>
      </c>
      <c r="T6794" s="6"/>
      <c r="U6794" s="15" t="str">
        <f>HYPERLINK("https://media.infra-m.ru/2124/2124810/cover/2124810.jpg", "Обложка")</f>
        <v>Обложка</v>
      </c>
      <c r="V6794" s="8" t="s">
        <v>3693</v>
      </c>
      <c r="W6794" s="6"/>
      <c r="X6794" s="6" t="s">
        <v>24</v>
      </c>
      <c r="Y6794" s="6"/>
      <c r="Z6794" s="6"/>
      <c r="AA6794" s="6" t="s">
        <v>43</v>
      </c>
      <c r="AB6794" s="8"/>
      <c r="AC6794" s="27">
        <v>9785160194967</v>
      </c>
    </row>
    <row r="6795" spans="1:29" s="4" customFormat="1" ht="51.9" customHeight="1" x14ac:dyDescent="0.2">
      <c r="A6795" s="5">
        <v>0</v>
      </c>
      <c r="B6795" s="6" t="s">
        <v>38566</v>
      </c>
      <c r="C6795" s="7">
        <v>2304</v>
      </c>
      <c r="D6795" s="8" t="s">
        <v>38567</v>
      </c>
      <c r="E6795" s="8" t="s">
        <v>38568</v>
      </c>
      <c r="F6795" s="8" t="s">
        <v>38562</v>
      </c>
      <c r="G6795" s="6" t="s">
        <v>60</v>
      </c>
      <c r="H6795" s="6" t="s">
        <v>34</v>
      </c>
      <c r="I6795" s="8" t="s">
        <v>253</v>
      </c>
      <c r="J6795" s="9">
        <v>1</v>
      </c>
      <c r="K6795" s="9">
        <v>343</v>
      </c>
      <c r="L6795" s="9">
        <v>2026</v>
      </c>
      <c r="M6795" s="8" t="s">
        <v>38569</v>
      </c>
      <c r="N6795" s="8" t="s">
        <v>37</v>
      </c>
      <c r="O6795" s="8" t="s">
        <v>280</v>
      </c>
      <c r="P6795" s="6" t="s">
        <v>51</v>
      </c>
      <c r="Q6795" s="8" t="s">
        <v>65</v>
      </c>
      <c r="R6795" s="10" t="s">
        <v>38564</v>
      </c>
      <c r="S6795" s="11"/>
      <c r="T6795" s="6"/>
      <c r="U6795" s="15" t="str">
        <f>HYPERLINK("https://media.infra-m.ru/2127/2127017/cover/2127017.jpg", "Обложка")</f>
        <v>Обложка</v>
      </c>
      <c r="V6795" s="8" t="s">
        <v>3693</v>
      </c>
      <c r="W6795" s="6" t="s">
        <v>351</v>
      </c>
      <c r="X6795" s="6" t="s">
        <v>24</v>
      </c>
      <c r="Y6795" s="6"/>
      <c r="Z6795" s="6"/>
      <c r="AA6795" s="6" t="s">
        <v>650</v>
      </c>
      <c r="AB6795" s="8"/>
      <c r="AC6795" s="27">
        <v>9785160195483</v>
      </c>
    </row>
    <row r="6796" spans="1:29" s="4" customFormat="1" ht="42" customHeight="1" x14ac:dyDescent="0.2">
      <c r="A6796" s="5">
        <v>0</v>
      </c>
      <c r="B6796" s="6" t="s">
        <v>38570</v>
      </c>
      <c r="C6796" s="7">
        <v>1200</v>
      </c>
      <c r="D6796" s="8" t="s">
        <v>38571</v>
      </c>
      <c r="E6796" s="8" t="s">
        <v>38572</v>
      </c>
      <c r="F6796" s="8" t="s">
        <v>38573</v>
      </c>
      <c r="G6796" s="6" t="s">
        <v>33</v>
      </c>
      <c r="H6796" s="6" t="s">
        <v>34</v>
      </c>
      <c r="I6796" s="8" t="s">
        <v>35</v>
      </c>
      <c r="J6796" s="9">
        <v>1</v>
      </c>
      <c r="K6796" s="9">
        <v>209</v>
      </c>
      <c r="L6796" s="9">
        <v>2024</v>
      </c>
      <c r="M6796" s="8" t="s">
        <v>38574</v>
      </c>
      <c r="N6796" s="8" t="s">
        <v>37</v>
      </c>
      <c r="O6796" s="8" t="s">
        <v>233</v>
      </c>
      <c r="P6796" s="6" t="s">
        <v>39</v>
      </c>
      <c r="Q6796" s="8" t="s">
        <v>40</v>
      </c>
      <c r="R6796" s="10" t="s">
        <v>5320</v>
      </c>
      <c r="S6796" s="11"/>
      <c r="T6796" s="6"/>
      <c r="U6796" s="15" t="str">
        <f>HYPERLINK("https://media.infra-m.ru/2085/2085065/cover/2085065.jpg", "Обложка")</f>
        <v>Обложка</v>
      </c>
      <c r="V6796" s="8" t="s">
        <v>6642</v>
      </c>
      <c r="W6796" s="6"/>
      <c r="X6796" s="6"/>
      <c r="Y6796" s="6"/>
      <c r="Z6796" s="6"/>
      <c r="AA6796" s="6" t="s">
        <v>76</v>
      </c>
      <c r="AB6796" s="8"/>
      <c r="AC6796" s="27">
        <v>9785160190662</v>
      </c>
    </row>
    <row r="6797" spans="1:29" s="4" customFormat="1" ht="42" customHeight="1" x14ac:dyDescent="0.2">
      <c r="A6797" s="5">
        <v>0</v>
      </c>
      <c r="B6797" s="6" t="s">
        <v>38575</v>
      </c>
      <c r="C6797" s="7">
        <v>1576.8</v>
      </c>
      <c r="D6797" s="8" t="s">
        <v>38576</v>
      </c>
      <c r="E6797" s="8" t="s">
        <v>38577</v>
      </c>
      <c r="F6797" s="8" t="s">
        <v>38578</v>
      </c>
      <c r="G6797" s="6" t="s">
        <v>33</v>
      </c>
      <c r="H6797" s="6" t="s">
        <v>313</v>
      </c>
      <c r="I6797" s="8" t="s">
        <v>35</v>
      </c>
      <c r="J6797" s="9">
        <v>1</v>
      </c>
      <c r="K6797" s="9">
        <v>238</v>
      </c>
      <c r="L6797" s="9">
        <v>2026</v>
      </c>
      <c r="M6797" s="8" t="s">
        <v>38579</v>
      </c>
      <c r="N6797" s="8" t="s">
        <v>63</v>
      </c>
      <c r="O6797" s="8" t="s">
        <v>64</v>
      </c>
      <c r="P6797" s="6" t="s">
        <v>39</v>
      </c>
      <c r="Q6797" s="8" t="s">
        <v>40</v>
      </c>
      <c r="R6797" s="10" t="s">
        <v>8155</v>
      </c>
      <c r="S6797" s="11"/>
      <c r="T6797" s="6"/>
      <c r="U6797" s="15" t="str">
        <f>HYPERLINK("https://media.infra-m.ru/2243/2243327/cover/2243327.jpg", "Обложка")</f>
        <v>Обложка</v>
      </c>
      <c r="V6797" s="8"/>
      <c r="W6797" s="6"/>
      <c r="X6797" s="6"/>
      <c r="Y6797" s="6"/>
      <c r="Z6797" s="6"/>
      <c r="AA6797" s="6" t="s">
        <v>248</v>
      </c>
      <c r="AB6797" s="8"/>
      <c r="AC6797" s="27">
        <v>9785369013243</v>
      </c>
    </row>
    <row r="6798" spans="1:29" s="4" customFormat="1" ht="44.1" customHeight="1" x14ac:dyDescent="0.2">
      <c r="A6798" s="5">
        <v>0</v>
      </c>
      <c r="B6798" s="6" t="s">
        <v>38580</v>
      </c>
      <c r="C6798" s="7">
        <v>1288.8</v>
      </c>
      <c r="D6798" s="8" t="s">
        <v>38581</v>
      </c>
      <c r="E6798" s="8" t="s">
        <v>38582</v>
      </c>
      <c r="F6798" s="8" t="s">
        <v>38583</v>
      </c>
      <c r="G6798" s="6" t="s">
        <v>60</v>
      </c>
      <c r="H6798" s="6" t="s">
        <v>34</v>
      </c>
      <c r="I6798" s="8" t="s">
        <v>35</v>
      </c>
      <c r="J6798" s="9">
        <v>1</v>
      </c>
      <c r="K6798" s="9">
        <v>185</v>
      </c>
      <c r="L6798" s="9">
        <v>2027</v>
      </c>
      <c r="M6798" s="8" t="s">
        <v>38584</v>
      </c>
      <c r="N6798" s="8" t="s">
        <v>37</v>
      </c>
      <c r="O6798" s="8" t="s">
        <v>136</v>
      </c>
      <c r="P6798" s="6" t="s">
        <v>39</v>
      </c>
      <c r="Q6798" s="8" t="s">
        <v>40</v>
      </c>
      <c r="R6798" s="10" t="s">
        <v>23283</v>
      </c>
      <c r="S6798" s="11"/>
      <c r="T6798" s="6"/>
      <c r="U6798" s="15" t="str">
        <f>HYPERLINK("https://media.infra-m.ru/2262/2262518/cover/2262518.jpg", "Обложка")</f>
        <v>Обложка</v>
      </c>
      <c r="V6798" s="8" t="s">
        <v>1231</v>
      </c>
      <c r="W6798" s="6"/>
      <c r="X6798" s="6"/>
      <c r="Y6798" s="6"/>
      <c r="Z6798" s="6"/>
      <c r="AA6798" s="6" t="s">
        <v>68</v>
      </c>
      <c r="AB6798" s="8"/>
      <c r="AC6798" s="27">
        <v>9785160203294</v>
      </c>
    </row>
    <row r="6799" spans="1:29" s="4" customFormat="1" ht="51.9" customHeight="1" x14ac:dyDescent="0.2">
      <c r="A6799" s="5">
        <v>0</v>
      </c>
      <c r="B6799" s="6" t="s">
        <v>38585</v>
      </c>
      <c r="C6799" s="7">
        <v>1908</v>
      </c>
      <c r="D6799" s="8" t="s">
        <v>38586</v>
      </c>
      <c r="E6799" s="8" t="s">
        <v>38587</v>
      </c>
      <c r="F6799" s="8" t="s">
        <v>38588</v>
      </c>
      <c r="G6799" s="6" t="s">
        <v>60</v>
      </c>
      <c r="H6799" s="6" t="s">
        <v>34</v>
      </c>
      <c r="I6799" s="8" t="s">
        <v>35</v>
      </c>
      <c r="J6799" s="9">
        <v>1</v>
      </c>
      <c r="K6799" s="9">
        <v>271</v>
      </c>
      <c r="L6799" s="9">
        <v>2026</v>
      </c>
      <c r="M6799" s="8" t="s">
        <v>38589</v>
      </c>
      <c r="N6799" s="8" t="s">
        <v>63</v>
      </c>
      <c r="O6799" s="8" t="s">
        <v>64</v>
      </c>
      <c r="P6799" s="6" t="s">
        <v>39</v>
      </c>
      <c r="Q6799" s="8" t="s">
        <v>40</v>
      </c>
      <c r="R6799" s="10" t="s">
        <v>38590</v>
      </c>
      <c r="S6799" s="11"/>
      <c r="T6799" s="6"/>
      <c r="U6799" s="15" t="str">
        <f>HYPERLINK("https://media.infra-m.ru/2217/2217040/cover/2217040.jpg", "Обложка")</f>
        <v>Обложка</v>
      </c>
      <c r="V6799" s="8" t="s">
        <v>19004</v>
      </c>
      <c r="W6799" s="6" t="s">
        <v>528</v>
      </c>
      <c r="X6799" s="6"/>
      <c r="Y6799" s="6"/>
      <c r="Z6799" s="6"/>
      <c r="AA6799" s="6" t="s">
        <v>187</v>
      </c>
      <c r="AB6799" s="8" t="s">
        <v>308</v>
      </c>
      <c r="AC6799" s="27">
        <v>9785160212074</v>
      </c>
    </row>
    <row r="6800" spans="1:29" s="4" customFormat="1" ht="44.1" customHeight="1" x14ac:dyDescent="0.2">
      <c r="A6800" s="5">
        <v>0</v>
      </c>
      <c r="B6800" s="6" t="s">
        <v>38591</v>
      </c>
      <c r="C6800" s="7">
        <v>1466.4</v>
      </c>
      <c r="D6800" s="8" t="s">
        <v>38592</v>
      </c>
      <c r="E6800" s="8" t="s">
        <v>38593</v>
      </c>
      <c r="F6800" s="8" t="s">
        <v>38594</v>
      </c>
      <c r="G6800" s="6" t="s">
        <v>60</v>
      </c>
      <c r="H6800" s="6" t="s">
        <v>34</v>
      </c>
      <c r="I6800" s="8" t="s">
        <v>1248</v>
      </c>
      <c r="J6800" s="9">
        <v>1</v>
      </c>
      <c r="K6800" s="9">
        <v>188</v>
      </c>
      <c r="L6800" s="9">
        <v>2025</v>
      </c>
      <c r="M6800" s="8" t="s">
        <v>38595</v>
      </c>
      <c r="N6800" s="8" t="s">
        <v>243</v>
      </c>
      <c r="O6800" s="8" t="s">
        <v>758</v>
      </c>
      <c r="P6800" s="6" t="s">
        <v>51</v>
      </c>
      <c r="Q6800" s="8" t="s">
        <v>65</v>
      </c>
      <c r="R6800" s="10" t="s">
        <v>23644</v>
      </c>
      <c r="S6800" s="11"/>
      <c r="T6800" s="6"/>
      <c r="U6800" s="15" t="str">
        <f>HYPERLINK("https://media.infra-m.ru/2162/2162070/cover/2162070.jpg", "Обложка")</f>
        <v>Обложка</v>
      </c>
      <c r="V6800" s="8" t="s">
        <v>1083</v>
      </c>
      <c r="W6800" s="6"/>
      <c r="X6800" s="6"/>
      <c r="Y6800" s="6"/>
      <c r="Z6800" s="6"/>
      <c r="AA6800" s="6" t="s">
        <v>68</v>
      </c>
      <c r="AB6800" s="8"/>
      <c r="AC6800" s="27">
        <v>9785160201733</v>
      </c>
    </row>
    <row r="6801" spans="1:29" s="4" customFormat="1" ht="42" customHeight="1" x14ac:dyDescent="0.2">
      <c r="A6801" s="5">
        <v>0</v>
      </c>
      <c r="B6801" s="6" t="s">
        <v>38596</v>
      </c>
      <c r="C6801" s="7">
        <v>1188</v>
      </c>
      <c r="D6801" s="8" t="s">
        <v>38597</v>
      </c>
      <c r="E6801" s="8" t="s">
        <v>38598</v>
      </c>
      <c r="F6801" s="8" t="s">
        <v>38594</v>
      </c>
      <c r="G6801" s="6" t="s">
        <v>60</v>
      </c>
      <c r="H6801" s="6" t="s">
        <v>34</v>
      </c>
      <c r="I6801" s="8" t="s">
        <v>1248</v>
      </c>
      <c r="J6801" s="9">
        <v>1</v>
      </c>
      <c r="K6801" s="9">
        <v>190</v>
      </c>
      <c r="L6801" s="9">
        <v>2025</v>
      </c>
      <c r="M6801" s="8" t="s">
        <v>38599</v>
      </c>
      <c r="N6801" s="8" t="s">
        <v>243</v>
      </c>
      <c r="O6801" s="8" t="s">
        <v>758</v>
      </c>
      <c r="P6801" s="6" t="s">
        <v>51</v>
      </c>
      <c r="Q6801" s="8" t="s">
        <v>65</v>
      </c>
      <c r="R6801" s="10" t="s">
        <v>19544</v>
      </c>
      <c r="S6801" s="11"/>
      <c r="T6801" s="6"/>
      <c r="U6801" s="15" t="str">
        <f>HYPERLINK("https://media.infra-m.ru/2162/2162071/cover/2162071.jpg", "Обложка")</f>
        <v>Обложка</v>
      </c>
      <c r="V6801" s="8" t="s">
        <v>1083</v>
      </c>
      <c r="W6801" s="6"/>
      <c r="X6801" s="6"/>
      <c r="Y6801" s="6"/>
      <c r="Z6801" s="6"/>
      <c r="AA6801" s="6" t="s">
        <v>68</v>
      </c>
      <c r="AB6801" s="8"/>
      <c r="AC6801" s="27">
        <v>9785160201740</v>
      </c>
    </row>
    <row r="6802" spans="1:29" s="4" customFormat="1" ht="44.1" customHeight="1" x14ac:dyDescent="0.2">
      <c r="A6802" s="5">
        <v>0</v>
      </c>
      <c r="B6802" s="6" t="s">
        <v>38600</v>
      </c>
      <c r="C6802" s="13">
        <v>924</v>
      </c>
      <c r="D6802" s="8" t="s">
        <v>38601</v>
      </c>
      <c r="E6802" s="8" t="s">
        <v>38602</v>
      </c>
      <c r="F6802" s="8" t="s">
        <v>38603</v>
      </c>
      <c r="G6802" s="6" t="s">
        <v>33</v>
      </c>
      <c r="H6802" s="6" t="s">
        <v>34</v>
      </c>
      <c r="I6802" s="8" t="s">
        <v>35</v>
      </c>
      <c r="J6802" s="9">
        <v>1</v>
      </c>
      <c r="K6802" s="9">
        <v>148</v>
      </c>
      <c r="L6802" s="9">
        <v>2026</v>
      </c>
      <c r="M6802" s="8" t="s">
        <v>38604</v>
      </c>
      <c r="N6802" s="8" t="s">
        <v>37</v>
      </c>
      <c r="O6802" s="8" t="s">
        <v>136</v>
      </c>
      <c r="P6802" s="6" t="s">
        <v>39</v>
      </c>
      <c r="Q6802" s="8" t="s">
        <v>40</v>
      </c>
      <c r="R6802" s="10" t="s">
        <v>6217</v>
      </c>
      <c r="S6802" s="11"/>
      <c r="T6802" s="6"/>
      <c r="U6802" s="15" t="str">
        <f>HYPERLINK("https://media.infra-m.ru/2212/2212950/cover/2212950.jpg", "Обложка")</f>
        <v>Обложка</v>
      </c>
      <c r="V6802" s="8" t="s">
        <v>6457</v>
      </c>
      <c r="W6802" s="6"/>
      <c r="X6802" s="6"/>
      <c r="Y6802" s="6"/>
      <c r="Z6802" s="6"/>
      <c r="AA6802" s="6" t="s">
        <v>43</v>
      </c>
      <c r="AB6802" s="8"/>
      <c r="AC6802" s="27">
        <v>9785160062648</v>
      </c>
    </row>
    <row r="6803" spans="1:29" s="4" customFormat="1" ht="42" customHeight="1" x14ac:dyDescent="0.2">
      <c r="A6803" s="5">
        <v>0</v>
      </c>
      <c r="B6803" s="6" t="s">
        <v>38605</v>
      </c>
      <c r="C6803" s="7">
        <v>1061.9000000000001</v>
      </c>
      <c r="D6803" s="8" t="s">
        <v>38606</v>
      </c>
      <c r="E6803" s="8" t="s">
        <v>38607</v>
      </c>
      <c r="F6803" s="8" t="s">
        <v>38608</v>
      </c>
      <c r="G6803" s="6" t="s">
        <v>33</v>
      </c>
      <c r="H6803" s="6" t="s">
        <v>34</v>
      </c>
      <c r="I6803" s="8" t="s">
        <v>35</v>
      </c>
      <c r="J6803" s="9">
        <v>1</v>
      </c>
      <c r="K6803" s="9">
        <v>197</v>
      </c>
      <c r="L6803" s="9">
        <v>2023</v>
      </c>
      <c r="M6803" s="8" t="s">
        <v>38609</v>
      </c>
      <c r="N6803" s="8" t="s">
        <v>37</v>
      </c>
      <c r="O6803" s="8" t="s">
        <v>136</v>
      </c>
      <c r="P6803" s="6" t="s">
        <v>39</v>
      </c>
      <c r="Q6803" s="8" t="s">
        <v>40</v>
      </c>
      <c r="R6803" s="10" t="s">
        <v>684</v>
      </c>
      <c r="S6803" s="11"/>
      <c r="T6803" s="6"/>
      <c r="U6803" s="15" t="str">
        <f>HYPERLINK("https://media.infra-m.ru/1964/1964978/cover/1964978.jpg", "Обложка")</f>
        <v>Обложка</v>
      </c>
      <c r="V6803" s="8" t="s">
        <v>36042</v>
      </c>
      <c r="W6803" s="6"/>
      <c r="X6803" s="6"/>
      <c r="Y6803" s="6"/>
      <c r="Z6803" s="6"/>
      <c r="AA6803" s="6" t="s">
        <v>1256</v>
      </c>
      <c r="AB6803" s="8"/>
      <c r="AC6803" s="27">
        <v>9785160148656</v>
      </c>
    </row>
    <row r="6804" spans="1:29" s="4" customFormat="1" ht="42" customHeight="1" x14ac:dyDescent="0.2">
      <c r="A6804" s="5">
        <v>0</v>
      </c>
      <c r="B6804" s="6" t="s">
        <v>38610</v>
      </c>
      <c r="C6804" s="7">
        <v>1224</v>
      </c>
      <c r="D6804" s="8" t="s">
        <v>38611</v>
      </c>
      <c r="E6804" s="8" t="s">
        <v>38612</v>
      </c>
      <c r="F6804" s="8" t="s">
        <v>38613</v>
      </c>
      <c r="G6804" s="6" t="s">
        <v>60</v>
      </c>
      <c r="H6804" s="6" t="s">
        <v>34</v>
      </c>
      <c r="I6804" s="8" t="s">
        <v>5350</v>
      </c>
      <c r="J6804" s="9">
        <v>1</v>
      </c>
      <c r="K6804" s="9">
        <v>213</v>
      </c>
      <c r="L6804" s="9">
        <v>2024</v>
      </c>
      <c r="M6804" s="8" t="s">
        <v>38614</v>
      </c>
      <c r="N6804" s="8" t="s">
        <v>37</v>
      </c>
      <c r="O6804" s="8" t="s">
        <v>233</v>
      </c>
      <c r="P6804" s="6" t="s">
        <v>306</v>
      </c>
      <c r="Q6804" s="8" t="s">
        <v>377</v>
      </c>
      <c r="R6804" s="10" t="s">
        <v>2750</v>
      </c>
      <c r="S6804" s="11"/>
      <c r="T6804" s="6"/>
      <c r="U6804" s="15" t="str">
        <f>HYPERLINK("https://media.infra-m.ru/1913/1913591/cover/1913591.jpg", "Обложка")</f>
        <v>Обложка</v>
      </c>
      <c r="V6804" s="8" t="s">
        <v>5162</v>
      </c>
      <c r="W6804" s="6"/>
      <c r="X6804" s="6"/>
      <c r="Y6804" s="6"/>
      <c r="Z6804" s="6"/>
      <c r="AA6804" s="6" t="s">
        <v>76</v>
      </c>
      <c r="AB6804" s="8"/>
      <c r="AC6804" s="27">
        <v>9785160181523</v>
      </c>
    </row>
    <row r="6805" spans="1:29" s="4" customFormat="1" ht="42" customHeight="1" x14ac:dyDescent="0.2">
      <c r="A6805" s="5">
        <v>0</v>
      </c>
      <c r="B6805" s="6" t="s">
        <v>38615</v>
      </c>
      <c r="C6805" s="7">
        <v>1264.8</v>
      </c>
      <c r="D6805" s="8" t="s">
        <v>38616</v>
      </c>
      <c r="E6805" s="8" t="s">
        <v>38617</v>
      </c>
      <c r="F6805" s="8" t="s">
        <v>38618</v>
      </c>
      <c r="G6805" s="6" t="s">
        <v>33</v>
      </c>
      <c r="H6805" s="6" t="s">
        <v>313</v>
      </c>
      <c r="I6805" s="8"/>
      <c r="J6805" s="9">
        <v>1</v>
      </c>
      <c r="K6805" s="9">
        <v>204</v>
      </c>
      <c r="L6805" s="9">
        <v>2025</v>
      </c>
      <c r="M6805" s="8" t="s">
        <v>38619</v>
      </c>
      <c r="N6805" s="8" t="s">
        <v>37</v>
      </c>
      <c r="O6805" s="8" t="s">
        <v>233</v>
      </c>
      <c r="P6805" s="6" t="s">
        <v>39</v>
      </c>
      <c r="Q6805" s="8" t="s">
        <v>40</v>
      </c>
      <c r="R6805" s="10" t="s">
        <v>38620</v>
      </c>
      <c r="S6805" s="11"/>
      <c r="T6805" s="6" t="s">
        <v>97</v>
      </c>
      <c r="U6805" s="15" t="str">
        <f>HYPERLINK("https://media.infra-m.ru/2223/2223758/cover/2223758.jpg", "Обложка")</f>
        <v>Обложка</v>
      </c>
      <c r="V6805" s="8" t="s">
        <v>5820</v>
      </c>
      <c r="W6805" s="6"/>
      <c r="X6805" s="6"/>
      <c r="Y6805" s="6"/>
      <c r="Z6805" s="6"/>
      <c r="AA6805" s="6" t="s">
        <v>99</v>
      </c>
      <c r="AB6805" s="8"/>
      <c r="AC6805" s="27">
        <v>9785369016305</v>
      </c>
    </row>
    <row r="6806" spans="1:29" s="4" customFormat="1" ht="42" customHeight="1" x14ac:dyDescent="0.2">
      <c r="A6806" s="5">
        <v>0</v>
      </c>
      <c r="B6806" s="6" t="s">
        <v>38621</v>
      </c>
      <c r="C6806" s="7">
        <v>1596</v>
      </c>
      <c r="D6806" s="8" t="s">
        <v>38622</v>
      </c>
      <c r="E6806" s="8" t="s">
        <v>38623</v>
      </c>
      <c r="F6806" s="8" t="s">
        <v>38624</v>
      </c>
      <c r="G6806" s="6" t="s">
        <v>118</v>
      </c>
      <c r="H6806" s="6" t="s">
        <v>34</v>
      </c>
      <c r="I6806" s="8" t="s">
        <v>35</v>
      </c>
      <c r="J6806" s="9">
        <v>1</v>
      </c>
      <c r="K6806" s="9">
        <v>289</v>
      </c>
      <c r="L6806" s="9">
        <v>2024</v>
      </c>
      <c r="M6806" s="8" t="s">
        <v>38625</v>
      </c>
      <c r="N6806" s="8" t="s">
        <v>37</v>
      </c>
      <c r="O6806" s="8" t="s">
        <v>280</v>
      </c>
      <c r="P6806" s="6" t="s">
        <v>39</v>
      </c>
      <c r="Q6806" s="8" t="s">
        <v>40</v>
      </c>
      <c r="R6806" s="10" t="s">
        <v>2033</v>
      </c>
      <c r="S6806" s="11"/>
      <c r="T6806" s="6" t="s">
        <v>97</v>
      </c>
      <c r="U6806" s="15" t="str">
        <f>HYPERLINK("https://media.infra-m.ru/2117/2117173/cover/2117173.jpg", "Обложка")</f>
        <v>Обложка</v>
      </c>
      <c r="V6806" s="8" t="s">
        <v>396</v>
      </c>
      <c r="W6806" s="6"/>
      <c r="X6806" s="6"/>
      <c r="Y6806" s="6"/>
      <c r="Z6806" s="6"/>
      <c r="AA6806" s="6" t="s">
        <v>779</v>
      </c>
      <c r="AB6806" s="8"/>
      <c r="AC6806" s="27">
        <v>9785160128689</v>
      </c>
    </row>
    <row r="6807" spans="1:29" s="4" customFormat="1" ht="51.9" customHeight="1" x14ac:dyDescent="0.2">
      <c r="A6807" s="5">
        <v>0</v>
      </c>
      <c r="B6807" s="6" t="s">
        <v>38626</v>
      </c>
      <c r="C6807" s="13">
        <v>936</v>
      </c>
      <c r="D6807" s="8" t="s">
        <v>38627</v>
      </c>
      <c r="E6807" s="8" t="s">
        <v>38628</v>
      </c>
      <c r="F6807" s="8" t="s">
        <v>38629</v>
      </c>
      <c r="G6807" s="6" t="s">
        <v>118</v>
      </c>
      <c r="H6807" s="6" t="s">
        <v>34</v>
      </c>
      <c r="I6807" s="8" t="s">
        <v>271</v>
      </c>
      <c r="J6807" s="9">
        <v>1</v>
      </c>
      <c r="K6807" s="9">
        <v>174</v>
      </c>
      <c r="L6807" s="9">
        <v>2023</v>
      </c>
      <c r="M6807" s="8" t="s">
        <v>38630</v>
      </c>
      <c r="N6807" s="8" t="s">
        <v>93</v>
      </c>
      <c r="O6807" s="8" t="s">
        <v>94</v>
      </c>
      <c r="P6807" s="6" t="s">
        <v>51</v>
      </c>
      <c r="Q6807" s="8" t="s">
        <v>52</v>
      </c>
      <c r="R6807" s="10" t="s">
        <v>11871</v>
      </c>
      <c r="S6807" s="11" t="s">
        <v>38631</v>
      </c>
      <c r="T6807" s="6"/>
      <c r="U6807" s="15" t="str">
        <f>HYPERLINK("https://media.infra-m.ru/1981/1981601/cover/1981601.jpg", "Обложка")</f>
        <v>Обложка</v>
      </c>
      <c r="V6807" s="8" t="s">
        <v>54</v>
      </c>
      <c r="W6807" s="6"/>
      <c r="X6807" s="6"/>
      <c r="Y6807" s="6"/>
      <c r="Z6807" s="6"/>
      <c r="AA6807" s="6" t="s">
        <v>3800</v>
      </c>
      <c r="AB6807" s="8"/>
      <c r="AC6807" s="27">
        <v>9785160116365</v>
      </c>
    </row>
    <row r="6808" spans="1:29" s="4" customFormat="1" ht="51.9" customHeight="1" x14ac:dyDescent="0.2">
      <c r="A6808" s="5">
        <v>0</v>
      </c>
      <c r="B6808" s="6" t="s">
        <v>38632</v>
      </c>
      <c r="C6808" s="7">
        <v>1144.8</v>
      </c>
      <c r="D6808" s="8" t="s">
        <v>38633</v>
      </c>
      <c r="E6808" s="8" t="s">
        <v>38628</v>
      </c>
      <c r="F6808" s="8" t="s">
        <v>38629</v>
      </c>
      <c r="G6808" s="6" t="s">
        <v>60</v>
      </c>
      <c r="H6808" s="6" t="s">
        <v>34</v>
      </c>
      <c r="I6808" s="8" t="s">
        <v>263</v>
      </c>
      <c r="J6808" s="9">
        <v>1</v>
      </c>
      <c r="K6808" s="9">
        <v>174</v>
      </c>
      <c r="L6808" s="9">
        <v>2026</v>
      </c>
      <c r="M6808" s="8" t="s">
        <v>38634</v>
      </c>
      <c r="N6808" s="8" t="s">
        <v>93</v>
      </c>
      <c r="O6808" s="8" t="s">
        <v>94</v>
      </c>
      <c r="P6808" s="6" t="s">
        <v>51</v>
      </c>
      <c r="Q6808" s="8" t="s">
        <v>265</v>
      </c>
      <c r="R6808" s="10" t="s">
        <v>38635</v>
      </c>
      <c r="S6808" s="11" t="s">
        <v>38636</v>
      </c>
      <c r="T6808" s="6"/>
      <c r="U6808" s="15" t="str">
        <f>HYPERLINK("https://media.infra-m.ru/2239/2239147/cover/2239147.jpg", "Обложка")</f>
        <v>Обложка</v>
      </c>
      <c r="V6808" s="8" t="s">
        <v>54</v>
      </c>
      <c r="W6808" s="6"/>
      <c r="X6808" s="6"/>
      <c r="Y6808" s="6"/>
      <c r="Z6808" s="6" t="s">
        <v>267</v>
      </c>
      <c r="AA6808" s="6" t="s">
        <v>1389</v>
      </c>
      <c r="AB6808" s="8"/>
      <c r="AC6808" s="27">
        <v>9785160151229</v>
      </c>
    </row>
    <row r="6809" spans="1:29" s="4" customFormat="1" ht="51.9" customHeight="1" x14ac:dyDescent="0.2">
      <c r="A6809" s="5">
        <v>0</v>
      </c>
      <c r="B6809" s="6" t="s">
        <v>38637</v>
      </c>
      <c r="C6809" s="7">
        <v>1408.8</v>
      </c>
      <c r="D6809" s="8" t="s">
        <v>38638</v>
      </c>
      <c r="E6809" s="8" t="s">
        <v>38639</v>
      </c>
      <c r="F6809" s="8" t="s">
        <v>25693</v>
      </c>
      <c r="G6809" s="6" t="s">
        <v>118</v>
      </c>
      <c r="H6809" s="6" t="s">
        <v>34</v>
      </c>
      <c r="I6809" s="8" t="s">
        <v>271</v>
      </c>
      <c r="J6809" s="9">
        <v>1</v>
      </c>
      <c r="K6809" s="9">
        <v>255</v>
      </c>
      <c r="L6809" s="9">
        <v>2022</v>
      </c>
      <c r="M6809" s="8" t="s">
        <v>38640</v>
      </c>
      <c r="N6809" s="8" t="s">
        <v>93</v>
      </c>
      <c r="O6809" s="8" t="s">
        <v>94</v>
      </c>
      <c r="P6809" s="6" t="s">
        <v>51</v>
      </c>
      <c r="Q6809" s="8" t="s">
        <v>52</v>
      </c>
      <c r="R6809" s="10" t="s">
        <v>2486</v>
      </c>
      <c r="S6809" s="11" t="s">
        <v>38641</v>
      </c>
      <c r="T6809" s="6"/>
      <c r="U6809" s="15" t="str">
        <f>HYPERLINK("https://media.infra-m.ru/1852/1852409/cover/1852409.jpg", "Обложка")</f>
        <v>Обложка</v>
      </c>
      <c r="V6809" s="8" t="s">
        <v>644</v>
      </c>
      <c r="W6809" s="6"/>
      <c r="X6809" s="6"/>
      <c r="Y6809" s="6"/>
      <c r="Z6809" s="6"/>
      <c r="AA6809" s="6" t="s">
        <v>360</v>
      </c>
      <c r="AB6809" s="8"/>
      <c r="AC6809" s="27">
        <v>9785160112756</v>
      </c>
    </row>
    <row r="6810" spans="1:29" s="4" customFormat="1" ht="42" customHeight="1" x14ac:dyDescent="0.2">
      <c r="A6810" s="5">
        <v>0</v>
      </c>
      <c r="B6810" s="6" t="s">
        <v>38642</v>
      </c>
      <c r="C6810" s="7">
        <v>1624.8</v>
      </c>
      <c r="D6810" s="8" t="s">
        <v>38643</v>
      </c>
      <c r="E6810" s="8" t="s">
        <v>38644</v>
      </c>
      <c r="F6810" s="8" t="s">
        <v>25693</v>
      </c>
      <c r="G6810" s="6" t="s">
        <v>60</v>
      </c>
      <c r="H6810" s="6" t="s">
        <v>34</v>
      </c>
      <c r="I6810" s="8" t="s">
        <v>504</v>
      </c>
      <c r="J6810" s="9">
        <v>1</v>
      </c>
      <c r="K6810" s="9">
        <v>247</v>
      </c>
      <c r="L6810" s="9">
        <v>2026</v>
      </c>
      <c r="M6810" s="8" t="s">
        <v>38645</v>
      </c>
      <c r="N6810" s="8" t="s">
        <v>93</v>
      </c>
      <c r="O6810" s="8" t="s">
        <v>94</v>
      </c>
      <c r="P6810" s="6" t="s">
        <v>51</v>
      </c>
      <c r="Q6810" s="8" t="s">
        <v>500</v>
      </c>
      <c r="R6810" s="10" t="s">
        <v>2486</v>
      </c>
      <c r="S6810" s="11"/>
      <c r="T6810" s="6"/>
      <c r="U6810" s="15" t="str">
        <f>HYPERLINK("https://media.infra-m.ru/2251/2251367/cover/2251367.jpg", "Обложка")</f>
        <v>Обложка</v>
      </c>
      <c r="V6810" s="8" t="s">
        <v>644</v>
      </c>
      <c r="W6810" s="6"/>
      <c r="X6810" s="6"/>
      <c r="Y6810" s="6"/>
      <c r="Z6810" s="6"/>
      <c r="AA6810" s="6" t="s">
        <v>5476</v>
      </c>
      <c r="AB6810" s="8"/>
      <c r="AC6810" s="27">
        <v>9785160175379</v>
      </c>
    </row>
    <row r="6811" spans="1:29" s="4" customFormat="1" ht="51.9" customHeight="1" x14ac:dyDescent="0.2">
      <c r="A6811" s="5">
        <v>0</v>
      </c>
      <c r="B6811" s="6" t="s">
        <v>38646</v>
      </c>
      <c r="C6811" s="7">
        <v>1984.8</v>
      </c>
      <c r="D6811" s="8" t="s">
        <v>38647</v>
      </c>
      <c r="E6811" s="8" t="s">
        <v>38648</v>
      </c>
      <c r="F6811" s="8" t="s">
        <v>38649</v>
      </c>
      <c r="G6811" s="6" t="s">
        <v>60</v>
      </c>
      <c r="H6811" s="6" t="s">
        <v>34</v>
      </c>
      <c r="I6811" s="8" t="s">
        <v>253</v>
      </c>
      <c r="J6811" s="9">
        <v>1</v>
      </c>
      <c r="K6811" s="9">
        <v>300</v>
      </c>
      <c r="L6811" s="9">
        <v>2026</v>
      </c>
      <c r="M6811" s="8" t="s">
        <v>38650</v>
      </c>
      <c r="N6811" s="8" t="s">
        <v>37</v>
      </c>
      <c r="O6811" s="8" t="s">
        <v>233</v>
      </c>
      <c r="P6811" s="6" t="s">
        <v>51</v>
      </c>
      <c r="Q6811" s="8" t="s">
        <v>65</v>
      </c>
      <c r="R6811" s="10" t="s">
        <v>38651</v>
      </c>
      <c r="S6811" s="11"/>
      <c r="T6811" s="6"/>
      <c r="U6811" s="15" t="str">
        <f>HYPERLINK("https://media.infra-m.ru/2224/2224456/cover/2224456.jpg", "Обложка")</f>
        <v>Обложка</v>
      </c>
      <c r="V6811" s="8" t="s">
        <v>2035</v>
      </c>
      <c r="W6811" s="6"/>
      <c r="X6811" s="6"/>
      <c r="Y6811" s="6"/>
      <c r="Z6811" s="6"/>
      <c r="AA6811" s="6" t="s">
        <v>68</v>
      </c>
      <c r="AB6811" s="8" t="s">
        <v>3833</v>
      </c>
      <c r="AC6811" s="27">
        <v>9785160200187</v>
      </c>
    </row>
    <row r="6812" spans="1:29" s="4" customFormat="1" ht="51.9" customHeight="1" x14ac:dyDescent="0.2">
      <c r="A6812" s="5">
        <v>0</v>
      </c>
      <c r="B6812" s="6" t="s">
        <v>38652</v>
      </c>
      <c r="C6812" s="7">
        <v>1344</v>
      </c>
      <c r="D6812" s="8" t="s">
        <v>38653</v>
      </c>
      <c r="E6812" s="8" t="s">
        <v>38654</v>
      </c>
      <c r="F6812" s="8" t="s">
        <v>38655</v>
      </c>
      <c r="G6812" s="6" t="s">
        <v>60</v>
      </c>
      <c r="H6812" s="6" t="s">
        <v>34</v>
      </c>
      <c r="I6812" s="8" t="s">
        <v>35</v>
      </c>
      <c r="J6812" s="9">
        <v>1</v>
      </c>
      <c r="K6812" s="9">
        <v>186</v>
      </c>
      <c r="L6812" s="9">
        <v>2027</v>
      </c>
      <c r="M6812" s="8" t="s">
        <v>38656</v>
      </c>
      <c r="N6812" s="8" t="s">
        <v>37</v>
      </c>
      <c r="O6812" s="8" t="s">
        <v>136</v>
      </c>
      <c r="P6812" s="6" t="s">
        <v>39</v>
      </c>
      <c r="Q6812" s="8" t="s">
        <v>40</v>
      </c>
      <c r="R6812" s="10" t="s">
        <v>38657</v>
      </c>
      <c r="S6812" s="11"/>
      <c r="T6812" s="6"/>
      <c r="U6812" s="15" t="str">
        <f>HYPERLINK("https://media.infra-m.ru/2235/2235404/cover/2235404.jpg", "Обложка")</f>
        <v>Обложка</v>
      </c>
      <c r="V6812" s="8" t="s">
        <v>227</v>
      </c>
      <c r="W6812" s="6" t="s">
        <v>649</v>
      </c>
      <c r="X6812" s="6"/>
      <c r="Y6812" s="6"/>
      <c r="Z6812" s="6"/>
      <c r="AA6812" s="6" t="s">
        <v>420</v>
      </c>
      <c r="AB6812" s="8"/>
      <c r="AC6812" s="27">
        <v>9785160216911</v>
      </c>
    </row>
    <row r="6813" spans="1:29" s="4" customFormat="1" ht="42" customHeight="1" x14ac:dyDescent="0.2">
      <c r="A6813" s="5">
        <v>0</v>
      </c>
      <c r="B6813" s="6" t="s">
        <v>38658</v>
      </c>
      <c r="C6813" s="7">
        <v>2388</v>
      </c>
      <c r="D6813" s="8" t="s">
        <v>38659</v>
      </c>
      <c r="E6813" s="8" t="s">
        <v>38660</v>
      </c>
      <c r="F6813" s="8" t="s">
        <v>21312</v>
      </c>
      <c r="G6813" s="6" t="s">
        <v>60</v>
      </c>
      <c r="H6813" s="6" t="s">
        <v>34</v>
      </c>
      <c r="I6813" s="8" t="s">
        <v>253</v>
      </c>
      <c r="J6813" s="9">
        <v>1</v>
      </c>
      <c r="K6813" s="9">
        <v>390</v>
      </c>
      <c r="L6813" s="9">
        <v>2025</v>
      </c>
      <c r="M6813" s="8" t="s">
        <v>38661</v>
      </c>
      <c r="N6813" s="8" t="s">
        <v>585</v>
      </c>
      <c r="O6813" s="8" t="s">
        <v>586</v>
      </c>
      <c r="P6813" s="6" t="s">
        <v>306</v>
      </c>
      <c r="Q6813" s="8" t="s">
        <v>65</v>
      </c>
      <c r="R6813" s="10" t="s">
        <v>14616</v>
      </c>
      <c r="S6813" s="11"/>
      <c r="T6813" s="6"/>
      <c r="U6813" s="15" t="str">
        <f>HYPERLINK("https://media.infra-m.ru/2010/2010442/cover/2010442.jpg", "Обложка")</f>
        <v>Обложка</v>
      </c>
      <c r="V6813" s="8" t="s">
        <v>7167</v>
      </c>
      <c r="W6813" s="6"/>
      <c r="X6813" s="6"/>
      <c r="Y6813" s="6"/>
      <c r="Z6813" s="6"/>
      <c r="AA6813" s="6" t="s">
        <v>68</v>
      </c>
      <c r="AB6813" s="8"/>
      <c r="AC6813" s="27">
        <v>9785160184784</v>
      </c>
    </row>
    <row r="6814" spans="1:29" s="4" customFormat="1" ht="42" customHeight="1" x14ac:dyDescent="0.2">
      <c r="A6814" s="5">
        <v>0</v>
      </c>
      <c r="B6814" s="6" t="s">
        <v>38662</v>
      </c>
      <c r="C6814" s="7">
        <v>2056.8000000000002</v>
      </c>
      <c r="D6814" s="8" t="s">
        <v>38663</v>
      </c>
      <c r="E6814" s="8" t="s">
        <v>38664</v>
      </c>
      <c r="F6814" s="8" t="s">
        <v>6484</v>
      </c>
      <c r="G6814" s="6" t="s">
        <v>118</v>
      </c>
      <c r="H6814" s="6" t="s">
        <v>34</v>
      </c>
      <c r="I6814" s="8" t="s">
        <v>35</v>
      </c>
      <c r="J6814" s="9">
        <v>1</v>
      </c>
      <c r="K6814" s="9">
        <v>313</v>
      </c>
      <c r="L6814" s="9">
        <v>2026</v>
      </c>
      <c r="M6814" s="8" t="s">
        <v>38665</v>
      </c>
      <c r="N6814" s="8" t="s">
        <v>243</v>
      </c>
      <c r="O6814" s="8" t="s">
        <v>964</v>
      </c>
      <c r="P6814" s="6" t="s">
        <v>39</v>
      </c>
      <c r="Q6814" s="8" t="s">
        <v>40</v>
      </c>
      <c r="R6814" s="10" t="s">
        <v>31841</v>
      </c>
      <c r="S6814" s="11"/>
      <c r="T6814" s="6"/>
      <c r="U6814" s="15" t="str">
        <f>HYPERLINK("https://media.infra-m.ru/2239/2239526/cover/2239526.jpg", "Обложка")</f>
        <v>Обложка</v>
      </c>
      <c r="V6814" s="8" t="s">
        <v>4943</v>
      </c>
      <c r="W6814" s="6"/>
      <c r="X6814" s="6"/>
      <c r="Y6814" s="6"/>
      <c r="Z6814" s="6"/>
      <c r="AA6814" s="6" t="s">
        <v>86</v>
      </c>
      <c r="AB6814" s="8"/>
      <c r="AC6814" s="27">
        <v>9785160123684</v>
      </c>
    </row>
    <row r="6815" spans="1:29" s="4" customFormat="1" ht="51.9" customHeight="1" x14ac:dyDescent="0.2">
      <c r="A6815" s="5">
        <v>0</v>
      </c>
      <c r="B6815" s="6" t="s">
        <v>38666</v>
      </c>
      <c r="C6815" s="7">
        <v>2392.8000000000002</v>
      </c>
      <c r="D6815" s="8" t="s">
        <v>38667</v>
      </c>
      <c r="E6815" s="8" t="s">
        <v>38668</v>
      </c>
      <c r="F6815" s="8" t="s">
        <v>38669</v>
      </c>
      <c r="G6815" s="6" t="s">
        <v>60</v>
      </c>
      <c r="H6815" s="6" t="s">
        <v>241</v>
      </c>
      <c r="I6815" s="8"/>
      <c r="J6815" s="9">
        <v>1</v>
      </c>
      <c r="K6815" s="9">
        <v>384</v>
      </c>
      <c r="L6815" s="9">
        <v>2025</v>
      </c>
      <c r="M6815" s="8" t="s">
        <v>38670</v>
      </c>
      <c r="N6815" s="8" t="s">
        <v>37</v>
      </c>
      <c r="O6815" s="8" t="s">
        <v>280</v>
      </c>
      <c r="P6815" s="6" t="s">
        <v>306</v>
      </c>
      <c r="Q6815" s="8" t="s">
        <v>500</v>
      </c>
      <c r="R6815" s="10" t="s">
        <v>38671</v>
      </c>
      <c r="S6815" s="11" t="s">
        <v>38672</v>
      </c>
      <c r="T6815" s="6"/>
      <c r="U6815" s="15" t="str">
        <f>HYPERLINK("https://media.infra-m.ru/2194/2194373/cover/2194373.jpg", "Обложка")</f>
        <v>Обложка</v>
      </c>
      <c r="V6815" s="8" t="s">
        <v>1994</v>
      </c>
      <c r="W6815" s="6"/>
      <c r="X6815" s="6"/>
      <c r="Y6815" s="6"/>
      <c r="Z6815" s="6"/>
      <c r="AA6815" s="6" t="s">
        <v>248</v>
      </c>
      <c r="AB6815" s="8"/>
      <c r="AC6815" s="27">
        <v>9785955803647</v>
      </c>
    </row>
    <row r="6816" spans="1:29" s="4" customFormat="1" ht="44.1" customHeight="1" x14ac:dyDescent="0.2">
      <c r="A6816" s="5">
        <v>0</v>
      </c>
      <c r="B6816" s="6" t="s">
        <v>38673</v>
      </c>
      <c r="C6816" s="13">
        <v>900</v>
      </c>
      <c r="D6816" s="8" t="s">
        <v>38674</v>
      </c>
      <c r="E6816" s="8" t="s">
        <v>38675</v>
      </c>
      <c r="F6816" s="8" t="s">
        <v>21165</v>
      </c>
      <c r="G6816" s="6" t="s">
        <v>33</v>
      </c>
      <c r="H6816" s="6" t="s">
        <v>34</v>
      </c>
      <c r="I6816" s="8" t="s">
        <v>35</v>
      </c>
      <c r="J6816" s="9">
        <v>1</v>
      </c>
      <c r="K6816" s="9">
        <v>187</v>
      </c>
      <c r="L6816" s="9">
        <v>2022</v>
      </c>
      <c r="M6816" s="8" t="s">
        <v>38676</v>
      </c>
      <c r="N6816" s="8" t="s">
        <v>37</v>
      </c>
      <c r="O6816" s="8" t="s">
        <v>233</v>
      </c>
      <c r="P6816" s="6" t="s">
        <v>39</v>
      </c>
      <c r="Q6816" s="8" t="s">
        <v>40</v>
      </c>
      <c r="R6816" s="10" t="s">
        <v>38677</v>
      </c>
      <c r="S6816" s="11"/>
      <c r="T6816" s="6"/>
      <c r="U6816" s="15" t="str">
        <f>HYPERLINK("https://media.infra-m.ru/1318/1318775/cover/1318775.jpg", "Обложка")</f>
        <v>Обложка</v>
      </c>
      <c r="V6816" s="8" t="s">
        <v>18741</v>
      </c>
      <c r="W6816" s="6"/>
      <c r="X6816" s="6"/>
      <c r="Y6816" s="6"/>
      <c r="Z6816" s="6"/>
      <c r="AA6816" s="6" t="s">
        <v>148</v>
      </c>
      <c r="AB6816" s="8"/>
      <c r="AC6816" s="27">
        <v>9785160168975</v>
      </c>
    </row>
    <row r="6817" spans="1:29" s="4" customFormat="1" ht="51.9" customHeight="1" x14ac:dyDescent="0.2">
      <c r="A6817" s="5">
        <v>0</v>
      </c>
      <c r="B6817" s="6" t="s">
        <v>38678</v>
      </c>
      <c r="C6817" s="7">
        <v>2520</v>
      </c>
      <c r="D6817" s="8" t="s">
        <v>38679</v>
      </c>
      <c r="E6817" s="8" t="s">
        <v>38680</v>
      </c>
      <c r="F6817" s="8" t="s">
        <v>38681</v>
      </c>
      <c r="G6817" s="6" t="s">
        <v>60</v>
      </c>
      <c r="H6817" s="6" t="s">
        <v>34</v>
      </c>
      <c r="I6817" s="8" t="s">
        <v>35</v>
      </c>
      <c r="J6817" s="9">
        <v>1</v>
      </c>
      <c r="K6817" s="9">
        <v>401</v>
      </c>
      <c r="L6817" s="9">
        <v>2025</v>
      </c>
      <c r="M6817" s="8" t="s">
        <v>38682</v>
      </c>
      <c r="N6817" s="8" t="s">
        <v>37</v>
      </c>
      <c r="O6817" s="8" t="s">
        <v>233</v>
      </c>
      <c r="P6817" s="6" t="s">
        <v>39</v>
      </c>
      <c r="Q6817" s="8" t="s">
        <v>40</v>
      </c>
      <c r="R6817" s="10" t="s">
        <v>38683</v>
      </c>
      <c r="S6817" s="11"/>
      <c r="T6817" s="6"/>
      <c r="U6817" s="15" t="str">
        <f>HYPERLINK("https://media.infra-m.ru/2189/2189088/cover/2189088.jpg", "Обложка")</f>
        <v>Обложка</v>
      </c>
      <c r="V6817" s="8" t="s">
        <v>7509</v>
      </c>
      <c r="W6817" s="6"/>
      <c r="X6817" s="6"/>
      <c r="Y6817" s="6"/>
      <c r="Z6817" s="6"/>
      <c r="AA6817" s="6" t="s">
        <v>68</v>
      </c>
      <c r="AB6817" s="8"/>
      <c r="AC6817" s="27">
        <v>9785160207230</v>
      </c>
    </row>
    <row r="6818" spans="1:29" s="4" customFormat="1" ht="51.9" customHeight="1" x14ac:dyDescent="0.2">
      <c r="A6818" s="5">
        <v>0</v>
      </c>
      <c r="B6818" s="6" t="s">
        <v>38684</v>
      </c>
      <c r="C6818" s="7">
        <v>1480.8</v>
      </c>
      <c r="D6818" s="8" t="s">
        <v>38685</v>
      </c>
      <c r="E6818" s="8" t="s">
        <v>38686</v>
      </c>
      <c r="F6818" s="8" t="s">
        <v>38687</v>
      </c>
      <c r="G6818" s="6" t="s">
        <v>33</v>
      </c>
      <c r="H6818" s="6" t="s">
        <v>313</v>
      </c>
      <c r="I6818" s="8" t="s">
        <v>35</v>
      </c>
      <c r="J6818" s="9">
        <v>1</v>
      </c>
      <c r="K6818" s="9">
        <v>238</v>
      </c>
      <c r="L6818" s="9">
        <v>2025</v>
      </c>
      <c r="M6818" s="8" t="s">
        <v>38688</v>
      </c>
      <c r="N6818" s="8" t="s">
        <v>585</v>
      </c>
      <c r="O6818" s="8" t="s">
        <v>667</v>
      </c>
      <c r="P6818" s="6" t="s">
        <v>39</v>
      </c>
      <c r="Q6818" s="8" t="s">
        <v>40</v>
      </c>
      <c r="R6818" s="10" t="s">
        <v>38689</v>
      </c>
      <c r="S6818" s="11"/>
      <c r="T6818" s="6" t="s">
        <v>97</v>
      </c>
      <c r="U6818" s="15" t="str">
        <f>HYPERLINK("https://media.infra-m.ru/2192/2192418/cover/2192418.jpg", "Обложка")</f>
        <v>Обложка</v>
      </c>
      <c r="V6818" s="8" t="s">
        <v>13059</v>
      </c>
      <c r="W6818" s="6"/>
      <c r="X6818" s="6"/>
      <c r="Y6818" s="6"/>
      <c r="Z6818" s="6"/>
      <c r="AA6818" s="6" t="s">
        <v>99</v>
      </c>
      <c r="AB6818" s="8"/>
      <c r="AC6818" s="27">
        <v>9785369015711</v>
      </c>
    </row>
    <row r="6819" spans="1:29" s="4" customFormat="1" ht="42" customHeight="1" x14ac:dyDescent="0.2">
      <c r="A6819" s="5">
        <v>0</v>
      </c>
      <c r="B6819" s="6" t="s">
        <v>38690</v>
      </c>
      <c r="C6819" s="7">
        <v>1152</v>
      </c>
      <c r="D6819" s="8" t="s">
        <v>38691</v>
      </c>
      <c r="E6819" s="8" t="s">
        <v>38692</v>
      </c>
      <c r="F6819" s="8" t="s">
        <v>38693</v>
      </c>
      <c r="G6819" s="6" t="s">
        <v>33</v>
      </c>
      <c r="H6819" s="6" t="s">
        <v>34</v>
      </c>
      <c r="I6819" s="8" t="s">
        <v>35</v>
      </c>
      <c r="J6819" s="9">
        <v>1</v>
      </c>
      <c r="K6819" s="9">
        <v>229</v>
      </c>
      <c r="L6819" s="9">
        <v>2025</v>
      </c>
      <c r="M6819" s="8" t="s">
        <v>38694</v>
      </c>
      <c r="N6819" s="8" t="s">
        <v>37</v>
      </c>
      <c r="O6819" s="8" t="s">
        <v>136</v>
      </c>
      <c r="P6819" s="6" t="s">
        <v>39</v>
      </c>
      <c r="Q6819" s="8" t="s">
        <v>40</v>
      </c>
      <c r="R6819" s="10" t="s">
        <v>23283</v>
      </c>
      <c r="S6819" s="11"/>
      <c r="T6819" s="6"/>
      <c r="U6819" s="15" t="str">
        <f>HYPERLINK("https://media.infra-m.ru/2141/2141100/cover/2141100.jpg", "Обложка")</f>
        <v>Обложка</v>
      </c>
      <c r="V6819" s="8" t="s">
        <v>1231</v>
      </c>
      <c r="W6819" s="6"/>
      <c r="X6819" s="6"/>
      <c r="Y6819" s="6"/>
      <c r="Z6819" s="6"/>
      <c r="AA6819" s="6" t="s">
        <v>68</v>
      </c>
      <c r="AB6819" s="8"/>
      <c r="AC6819" s="27">
        <v>9785160198545</v>
      </c>
    </row>
    <row r="6820" spans="1:29" s="4" customFormat="1" ht="51.9" customHeight="1" x14ac:dyDescent="0.2">
      <c r="A6820" s="5">
        <v>0</v>
      </c>
      <c r="B6820" s="6" t="s">
        <v>38695</v>
      </c>
      <c r="C6820" s="7">
        <v>2068.8000000000002</v>
      </c>
      <c r="D6820" s="8" t="s">
        <v>38696</v>
      </c>
      <c r="E6820" s="8" t="s">
        <v>38697</v>
      </c>
      <c r="F6820" s="8" t="s">
        <v>38698</v>
      </c>
      <c r="G6820" s="6" t="s">
        <v>60</v>
      </c>
      <c r="H6820" s="6" t="s">
        <v>34</v>
      </c>
      <c r="I6820" s="8" t="s">
        <v>504</v>
      </c>
      <c r="J6820" s="9">
        <v>1</v>
      </c>
      <c r="K6820" s="9">
        <v>298</v>
      </c>
      <c r="L6820" s="9">
        <v>2027</v>
      </c>
      <c r="M6820" s="8" t="s">
        <v>38699</v>
      </c>
      <c r="N6820" s="8" t="s">
        <v>585</v>
      </c>
      <c r="O6820" s="8" t="s">
        <v>667</v>
      </c>
      <c r="P6820" s="6" t="s">
        <v>51</v>
      </c>
      <c r="Q6820" s="8" t="s">
        <v>500</v>
      </c>
      <c r="R6820" s="10" t="s">
        <v>38700</v>
      </c>
      <c r="S6820" s="11" t="s">
        <v>38701</v>
      </c>
      <c r="T6820" s="6"/>
      <c r="U6820" s="15" t="str">
        <f>HYPERLINK("https://media.infra-m.ru/2267/2267734/cover/2267734.jpg", "Обложка")</f>
        <v>Обложка</v>
      </c>
      <c r="V6820" s="8" t="s">
        <v>38702</v>
      </c>
      <c r="W6820" s="6"/>
      <c r="X6820" s="6"/>
      <c r="Y6820" s="6"/>
      <c r="Z6820" s="6"/>
      <c r="AA6820" s="6" t="s">
        <v>4023</v>
      </c>
      <c r="AB6820" s="8"/>
      <c r="AC6820" s="27">
        <v>9785160179681</v>
      </c>
    </row>
    <row r="6821" spans="1:29" s="4" customFormat="1" ht="42" customHeight="1" x14ac:dyDescent="0.2">
      <c r="A6821" s="5">
        <v>0</v>
      </c>
      <c r="B6821" s="6" t="s">
        <v>38703</v>
      </c>
      <c r="C6821" s="7">
        <v>1860</v>
      </c>
      <c r="D6821" s="8" t="s">
        <v>38704</v>
      </c>
      <c r="E6821" s="8" t="s">
        <v>38705</v>
      </c>
      <c r="F6821" s="8" t="s">
        <v>38706</v>
      </c>
      <c r="G6821" s="6" t="s">
        <v>118</v>
      </c>
      <c r="H6821" s="6" t="s">
        <v>820</v>
      </c>
      <c r="I6821" s="8" t="s">
        <v>1904</v>
      </c>
      <c r="J6821" s="9">
        <v>1</v>
      </c>
      <c r="K6821" s="9">
        <v>256</v>
      </c>
      <c r="L6821" s="9">
        <v>2026</v>
      </c>
      <c r="M6821" s="8" t="s">
        <v>38707</v>
      </c>
      <c r="N6821" s="8" t="s">
        <v>37</v>
      </c>
      <c r="O6821" s="8" t="s">
        <v>280</v>
      </c>
      <c r="P6821" s="6" t="s">
        <v>306</v>
      </c>
      <c r="Q6821" s="8" t="s">
        <v>52</v>
      </c>
      <c r="R6821" s="10" t="s">
        <v>38708</v>
      </c>
      <c r="S6821" s="11"/>
      <c r="T6821" s="6"/>
      <c r="U6821" s="15" t="str">
        <f>HYPERLINK("https://media.infra-m.ru/2246/2246451/cover/2246451.jpg", "Обложка")</f>
        <v>Обложка</v>
      </c>
      <c r="V6821" s="8" t="s">
        <v>1206</v>
      </c>
      <c r="W6821" s="6"/>
      <c r="X6821" s="6"/>
      <c r="Y6821" s="6"/>
      <c r="Z6821" s="6"/>
      <c r="AA6821" s="6" t="s">
        <v>99</v>
      </c>
      <c r="AB6821" s="8"/>
      <c r="AC6821" s="27">
        <v>9785906818959</v>
      </c>
    </row>
    <row r="6822" spans="1:29" s="4" customFormat="1" ht="51.9" customHeight="1" x14ac:dyDescent="0.2">
      <c r="A6822" s="5">
        <v>0</v>
      </c>
      <c r="B6822" s="6" t="s">
        <v>38709</v>
      </c>
      <c r="C6822" s="7">
        <v>2064</v>
      </c>
      <c r="D6822" s="8" t="s">
        <v>38710</v>
      </c>
      <c r="E6822" s="8" t="s">
        <v>38711</v>
      </c>
      <c r="F6822" s="8" t="s">
        <v>38712</v>
      </c>
      <c r="G6822" s="6" t="s">
        <v>118</v>
      </c>
      <c r="H6822" s="6" t="s">
        <v>34</v>
      </c>
      <c r="I6822" s="8" t="s">
        <v>253</v>
      </c>
      <c r="J6822" s="9">
        <v>1</v>
      </c>
      <c r="K6822" s="9">
        <v>366</v>
      </c>
      <c r="L6822" s="9">
        <v>2024</v>
      </c>
      <c r="M6822" s="8" t="s">
        <v>38713</v>
      </c>
      <c r="N6822" s="8" t="s">
        <v>585</v>
      </c>
      <c r="O6822" s="8" t="s">
        <v>586</v>
      </c>
      <c r="P6822" s="6" t="s">
        <v>306</v>
      </c>
      <c r="Q6822" s="8" t="s">
        <v>52</v>
      </c>
      <c r="R6822" s="10" t="s">
        <v>38714</v>
      </c>
      <c r="S6822" s="11" t="s">
        <v>38715</v>
      </c>
      <c r="T6822" s="6" t="s">
        <v>97</v>
      </c>
      <c r="U6822" s="15" t="str">
        <f>HYPERLINK("https://media.infra-m.ru/2140/2140960/cover/2140960.jpg", "Обложка")</f>
        <v>Обложка</v>
      </c>
      <c r="V6822" s="8" t="s">
        <v>3297</v>
      </c>
      <c r="W6822" s="6"/>
      <c r="X6822" s="6"/>
      <c r="Y6822" s="6"/>
      <c r="Z6822" s="6"/>
      <c r="AA6822" s="6" t="s">
        <v>8545</v>
      </c>
      <c r="AB6822" s="8"/>
      <c r="AC6822" s="27">
        <v>9785160198477</v>
      </c>
    </row>
    <row r="6823" spans="1:29" s="4" customFormat="1" ht="51.9" customHeight="1" x14ac:dyDescent="0.2">
      <c r="A6823" s="5">
        <v>0</v>
      </c>
      <c r="B6823" s="6" t="s">
        <v>38716</v>
      </c>
      <c r="C6823" s="7">
        <v>1696.8</v>
      </c>
      <c r="D6823" s="8" t="s">
        <v>38717</v>
      </c>
      <c r="E6823" s="8" t="s">
        <v>38718</v>
      </c>
      <c r="F6823" s="8" t="s">
        <v>38719</v>
      </c>
      <c r="G6823" s="6" t="s">
        <v>60</v>
      </c>
      <c r="H6823" s="6" t="s">
        <v>313</v>
      </c>
      <c r="I6823" s="8" t="s">
        <v>253</v>
      </c>
      <c r="J6823" s="9">
        <v>1</v>
      </c>
      <c r="K6823" s="9">
        <v>308</v>
      </c>
      <c r="L6823" s="9">
        <v>2023</v>
      </c>
      <c r="M6823" s="8" t="s">
        <v>38720</v>
      </c>
      <c r="N6823" s="8" t="s">
        <v>585</v>
      </c>
      <c r="O6823" s="8" t="s">
        <v>586</v>
      </c>
      <c r="P6823" s="6" t="s">
        <v>306</v>
      </c>
      <c r="Q6823" s="8" t="s">
        <v>52</v>
      </c>
      <c r="R6823" s="10" t="s">
        <v>38721</v>
      </c>
      <c r="S6823" s="11" t="s">
        <v>38722</v>
      </c>
      <c r="T6823" s="6"/>
      <c r="U6823" s="15" t="str">
        <f>HYPERLINK("https://media.infra-m.ru/1021/1021501/cover/1021501.jpg", "Обложка")</f>
        <v>Обложка</v>
      </c>
      <c r="V6823" s="8" t="s">
        <v>38723</v>
      </c>
      <c r="W6823" s="6"/>
      <c r="X6823" s="6"/>
      <c r="Y6823" s="6"/>
      <c r="Z6823" s="6"/>
      <c r="AA6823" s="6" t="s">
        <v>779</v>
      </c>
      <c r="AB6823" s="8"/>
      <c r="AC6823" s="27">
        <v>9785369015322</v>
      </c>
    </row>
    <row r="6824" spans="1:29" s="4" customFormat="1" ht="42" customHeight="1" x14ac:dyDescent="0.2">
      <c r="A6824" s="5">
        <v>0</v>
      </c>
      <c r="B6824" s="6" t="s">
        <v>38724</v>
      </c>
      <c r="C6824" s="13">
        <v>972</v>
      </c>
      <c r="D6824" s="8" t="s">
        <v>38725</v>
      </c>
      <c r="E6824" s="8" t="s">
        <v>38718</v>
      </c>
      <c r="F6824" s="8" t="s">
        <v>38726</v>
      </c>
      <c r="G6824" s="6" t="s">
        <v>60</v>
      </c>
      <c r="H6824" s="6" t="s">
        <v>34</v>
      </c>
      <c r="I6824" s="8" t="s">
        <v>1248</v>
      </c>
      <c r="J6824" s="9">
        <v>1</v>
      </c>
      <c r="K6824" s="9">
        <v>126</v>
      </c>
      <c r="L6824" s="9">
        <v>2026</v>
      </c>
      <c r="M6824" s="8" t="s">
        <v>38727</v>
      </c>
      <c r="N6824" s="8" t="s">
        <v>243</v>
      </c>
      <c r="O6824" s="8" t="s">
        <v>244</v>
      </c>
      <c r="P6824" s="6" t="s">
        <v>51</v>
      </c>
      <c r="Q6824" s="8" t="s">
        <v>52</v>
      </c>
      <c r="R6824" s="10" t="s">
        <v>38728</v>
      </c>
      <c r="S6824" s="11"/>
      <c r="T6824" s="6"/>
      <c r="U6824" s="15" t="str">
        <f>HYPERLINK("https://media.infra-m.ru/2223/2223579/cover/2223579.jpg", "Обложка")</f>
        <v>Обложка</v>
      </c>
      <c r="V6824" s="8" t="s">
        <v>1083</v>
      </c>
      <c r="W6824" s="6" t="s">
        <v>186</v>
      </c>
      <c r="X6824" s="6"/>
      <c r="Y6824" s="6"/>
      <c r="Z6824" s="6"/>
      <c r="AA6824" s="6" t="s">
        <v>187</v>
      </c>
      <c r="AB6824" s="8"/>
      <c r="AC6824" s="27">
        <v>9785160213972</v>
      </c>
    </row>
    <row r="6825" spans="1:29" s="4" customFormat="1" ht="42" customHeight="1" x14ac:dyDescent="0.2">
      <c r="A6825" s="5">
        <v>0</v>
      </c>
      <c r="B6825" s="6" t="s">
        <v>38729</v>
      </c>
      <c r="C6825" s="7">
        <v>1632</v>
      </c>
      <c r="D6825" s="8" t="s">
        <v>38730</v>
      </c>
      <c r="E6825" s="8" t="s">
        <v>38731</v>
      </c>
      <c r="F6825" s="8" t="s">
        <v>38732</v>
      </c>
      <c r="G6825" s="6" t="s">
        <v>33</v>
      </c>
      <c r="H6825" s="6" t="s">
        <v>34</v>
      </c>
      <c r="I6825" s="8" t="s">
        <v>35</v>
      </c>
      <c r="J6825" s="9">
        <v>1</v>
      </c>
      <c r="K6825" s="9">
        <v>296</v>
      </c>
      <c r="L6825" s="9">
        <v>2024</v>
      </c>
      <c r="M6825" s="8" t="s">
        <v>38733</v>
      </c>
      <c r="N6825" s="8" t="s">
        <v>585</v>
      </c>
      <c r="O6825" s="8" t="s">
        <v>775</v>
      </c>
      <c r="P6825" s="6" t="s">
        <v>39</v>
      </c>
      <c r="Q6825" s="8" t="s">
        <v>40</v>
      </c>
      <c r="R6825" s="10" t="s">
        <v>38734</v>
      </c>
      <c r="S6825" s="11"/>
      <c r="T6825" s="6"/>
      <c r="U6825" s="15" t="str">
        <f>HYPERLINK("https://media.infra-m.ru/2128/2128635/cover/2128635.jpg", "Обложка")</f>
        <v>Обложка</v>
      </c>
      <c r="V6825" s="8" t="s">
        <v>15551</v>
      </c>
      <c r="W6825" s="6"/>
      <c r="X6825" s="6"/>
      <c r="Y6825" s="6"/>
      <c r="Z6825" s="6"/>
      <c r="AA6825" s="6" t="s">
        <v>148</v>
      </c>
      <c r="AB6825" s="8"/>
      <c r="AC6825" s="27">
        <v>9785160174242</v>
      </c>
    </row>
    <row r="6826" spans="1:29" s="4" customFormat="1" ht="42" customHeight="1" x14ac:dyDescent="0.2">
      <c r="A6826" s="5">
        <v>0</v>
      </c>
      <c r="B6826" s="6" t="s">
        <v>38735</v>
      </c>
      <c r="C6826" s="7">
        <v>1500</v>
      </c>
      <c r="D6826" s="8" t="s">
        <v>38736</v>
      </c>
      <c r="E6826" s="8" t="s">
        <v>38737</v>
      </c>
      <c r="F6826" s="8" t="s">
        <v>38738</v>
      </c>
      <c r="G6826" s="6" t="s">
        <v>118</v>
      </c>
      <c r="H6826" s="6" t="s">
        <v>34</v>
      </c>
      <c r="I6826" s="8" t="s">
        <v>1081</v>
      </c>
      <c r="J6826" s="9">
        <v>1</v>
      </c>
      <c r="K6826" s="9">
        <v>271</v>
      </c>
      <c r="L6826" s="9">
        <v>2024</v>
      </c>
      <c r="M6826" s="8" t="s">
        <v>38739</v>
      </c>
      <c r="N6826" s="8" t="s">
        <v>243</v>
      </c>
      <c r="O6826" s="8" t="s">
        <v>798</v>
      </c>
      <c r="P6826" s="6" t="s">
        <v>39</v>
      </c>
      <c r="Q6826" s="8" t="s">
        <v>40</v>
      </c>
      <c r="R6826" s="10" t="s">
        <v>38740</v>
      </c>
      <c r="S6826" s="11"/>
      <c r="T6826" s="6"/>
      <c r="U6826" s="15" t="str">
        <f>HYPERLINK("https://media.infra-m.ru/2117/2117127/cover/2117127.jpg", "Обложка")</f>
        <v>Обложка</v>
      </c>
      <c r="V6826" s="8" t="s">
        <v>843</v>
      </c>
      <c r="W6826" s="6"/>
      <c r="X6826" s="6"/>
      <c r="Y6826" s="6"/>
      <c r="Z6826" s="6"/>
      <c r="AA6826" s="6" t="s">
        <v>86</v>
      </c>
      <c r="AB6826" s="8"/>
      <c r="AC6826" s="27">
        <v>9785160194202</v>
      </c>
    </row>
    <row r="6827" spans="1:29" s="4" customFormat="1" ht="42" customHeight="1" x14ac:dyDescent="0.2">
      <c r="A6827" s="5">
        <v>0</v>
      </c>
      <c r="B6827" s="6" t="s">
        <v>38741</v>
      </c>
      <c r="C6827" s="7">
        <v>1344</v>
      </c>
      <c r="D6827" s="8" t="s">
        <v>38742</v>
      </c>
      <c r="E6827" s="8" t="s">
        <v>38743</v>
      </c>
      <c r="F6827" s="8" t="s">
        <v>36919</v>
      </c>
      <c r="G6827" s="6" t="s">
        <v>33</v>
      </c>
      <c r="H6827" s="6" t="s">
        <v>34</v>
      </c>
      <c r="I6827" s="8" t="s">
        <v>35</v>
      </c>
      <c r="J6827" s="9">
        <v>1</v>
      </c>
      <c r="K6827" s="9">
        <v>203</v>
      </c>
      <c r="L6827" s="9">
        <v>2026</v>
      </c>
      <c r="M6827" s="8" t="s">
        <v>38744</v>
      </c>
      <c r="N6827" s="8" t="s">
        <v>243</v>
      </c>
      <c r="O6827" s="8" t="s">
        <v>798</v>
      </c>
      <c r="P6827" s="6" t="s">
        <v>39</v>
      </c>
      <c r="Q6827" s="8" t="s">
        <v>40</v>
      </c>
      <c r="R6827" s="10" t="s">
        <v>7812</v>
      </c>
      <c r="S6827" s="11"/>
      <c r="T6827" s="6"/>
      <c r="U6827" s="15" t="str">
        <f>HYPERLINK("https://media.infra-m.ru/2224/2224376/cover/2224376.jpg", "Обложка")</f>
        <v>Обложка</v>
      </c>
      <c r="V6827" s="8" t="s">
        <v>843</v>
      </c>
      <c r="W6827" s="6"/>
      <c r="X6827" s="6"/>
      <c r="Y6827" s="6"/>
      <c r="Z6827" s="6"/>
      <c r="AA6827" s="6" t="s">
        <v>86</v>
      </c>
      <c r="AB6827" s="8"/>
      <c r="AC6827" s="27">
        <v>9785160181301</v>
      </c>
    </row>
    <row r="6828" spans="1:29" s="4" customFormat="1" ht="42" customHeight="1" x14ac:dyDescent="0.2">
      <c r="A6828" s="5">
        <v>0</v>
      </c>
      <c r="B6828" s="6" t="s">
        <v>38745</v>
      </c>
      <c r="C6828" s="13">
        <v>756</v>
      </c>
      <c r="D6828" s="8" t="s">
        <v>38746</v>
      </c>
      <c r="E6828" s="8" t="s">
        <v>38743</v>
      </c>
      <c r="F6828" s="8" t="s">
        <v>36919</v>
      </c>
      <c r="G6828" s="6" t="s">
        <v>60</v>
      </c>
      <c r="H6828" s="6" t="s">
        <v>34</v>
      </c>
      <c r="I6828" s="8" t="s">
        <v>35</v>
      </c>
      <c r="J6828" s="9">
        <v>1</v>
      </c>
      <c r="K6828" s="9">
        <v>203</v>
      </c>
      <c r="L6828" s="9">
        <v>2018</v>
      </c>
      <c r="M6828" s="8" t="s">
        <v>38747</v>
      </c>
      <c r="N6828" s="8" t="s">
        <v>243</v>
      </c>
      <c r="O6828" s="8" t="s">
        <v>798</v>
      </c>
      <c r="P6828" s="6" t="s">
        <v>39</v>
      </c>
      <c r="Q6828" s="8" t="s">
        <v>40</v>
      </c>
      <c r="R6828" s="10" t="s">
        <v>7812</v>
      </c>
      <c r="S6828" s="11"/>
      <c r="T6828" s="6"/>
      <c r="U6828" s="15" t="str">
        <f>HYPERLINK("https://media.infra-m.ru/0926/0926519/cover/926519.jpg", "Обложка")</f>
        <v>Обложка</v>
      </c>
      <c r="V6828" s="8" t="s">
        <v>843</v>
      </c>
      <c r="W6828" s="6"/>
      <c r="X6828" s="6"/>
      <c r="Y6828" s="6"/>
      <c r="Z6828" s="6"/>
      <c r="AA6828" s="6" t="s">
        <v>86</v>
      </c>
      <c r="AB6828" s="8"/>
      <c r="AC6828" s="27">
        <v>9785160133386</v>
      </c>
    </row>
    <row r="6829" spans="1:29" s="4" customFormat="1" ht="42" customHeight="1" x14ac:dyDescent="0.2">
      <c r="A6829" s="5">
        <v>0</v>
      </c>
      <c r="B6829" s="6" t="s">
        <v>38748</v>
      </c>
      <c r="C6829" s="7">
        <v>1500</v>
      </c>
      <c r="D6829" s="8" t="s">
        <v>38749</v>
      </c>
      <c r="E6829" s="8" t="s">
        <v>38750</v>
      </c>
      <c r="F6829" s="8" t="s">
        <v>36919</v>
      </c>
      <c r="G6829" s="6" t="s">
        <v>118</v>
      </c>
      <c r="H6829" s="6" t="s">
        <v>34</v>
      </c>
      <c r="I6829" s="8" t="s">
        <v>35</v>
      </c>
      <c r="J6829" s="9">
        <v>1</v>
      </c>
      <c r="K6829" s="9">
        <v>226</v>
      </c>
      <c r="L6829" s="9">
        <v>2026</v>
      </c>
      <c r="M6829" s="8" t="s">
        <v>38751</v>
      </c>
      <c r="N6829" s="8" t="s">
        <v>243</v>
      </c>
      <c r="O6829" s="8" t="s">
        <v>798</v>
      </c>
      <c r="P6829" s="6" t="s">
        <v>39</v>
      </c>
      <c r="Q6829" s="8" t="s">
        <v>40</v>
      </c>
      <c r="R6829" s="10" t="s">
        <v>7812</v>
      </c>
      <c r="S6829" s="11"/>
      <c r="T6829" s="6"/>
      <c r="U6829" s="15" t="str">
        <f>HYPERLINK("https://media.infra-m.ru/2224/2224404/cover/2224404.jpg", "Обложка")</f>
        <v>Обложка</v>
      </c>
      <c r="V6829" s="8" t="s">
        <v>843</v>
      </c>
      <c r="W6829" s="6"/>
      <c r="X6829" s="6"/>
      <c r="Y6829" s="6"/>
      <c r="Z6829" s="6"/>
      <c r="AA6829" s="6" t="s">
        <v>86</v>
      </c>
      <c r="AB6829" s="8"/>
      <c r="AC6829" s="27">
        <v>9785160133331</v>
      </c>
    </row>
    <row r="6830" spans="1:29" s="4" customFormat="1" ht="51.9" customHeight="1" x14ac:dyDescent="0.2">
      <c r="A6830" s="5">
        <v>0</v>
      </c>
      <c r="B6830" s="6" t="s">
        <v>38752</v>
      </c>
      <c r="C6830" s="7">
        <v>1656</v>
      </c>
      <c r="D6830" s="8" t="s">
        <v>38753</v>
      </c>
      <c r="E6830" s="8" t="s">
        <v>38754</v>
      </c>
      <c r="F6830" s="8" t="s">
        <v>38755</v>
      </c>
      <c r="G6830" s="6" t="s">
        <v>60</v>
      </c>
      <c r="H6830" s="6" t="s">
        <v>34</v>
      </c>
      <c r="I6830" s="8" t="s">
        <v>1248</v>
      </c>
      <c r="J6830" s="9">
        <v>1</v>
      </c>
      <c r="K6830" s="9">
        <v>274</v>
      </c>
      <c r="L6830" s="9">
        <v>2024</v>
      </c>
      <c r="M6830" s="8" t="s">
        <v>38756</v>
      </c>
      <c r="N6830" s="8" t="s">
        <v>243</v>
      </c>
      <c r="O6830" s="8" t="s">
        <v>964</v>
      </c>
      <c r="P6830" s="6" t="s">
        <v>306</v>
      </c>
      <c r="Q6830" s="8" t="s">
        <v>65</v>
      </c>
      <c r="R6830" s="10" t="s">
        <v>38757</v>
      </c>
      <c r="S6830" s="11" t="s">
        <v>38758</v>
      </c>
      <c r="T6830" s="6"/>
      <c r="U6830" s="15" t="str">
        <f>HYPERLINK("https://media.infra-m.ru/2130/2130590/cover/2130590.jpg", "Обложка")</f>
        <v>Обложка</v>
      </c>
      <c r="V6830" s="8" t="s">
        <v>1083</v>
      </c>
      <c r="W6830" s="6"/>
      <c r="X6830" s="6"/>
      <c r="Y6830" s="6"/>
      <c r="Z6830" s="6"/>
      <c r="AA6830" s="6" t="s">
        <v>76</v>
      </c>
      <c r="AB6830" s="8"/>
      <c r="AC6830" s="27">
        <v>9785160195988</v>
      </c>
    </row>
    <row r="6831" spans="1:29" s="4" customFormat="1" ht="51.9" customHeight="1" x14ac:dyDescent="0.2">
      <c r="A6831" s="5">
        <v>0</v>
      </c>
      <c r="B6831" s="6" t="s">
        <v>38759</v>
      </c>
      <c r="C6831" s="7">
        <v>1444.8</v>
      </c>
      <c r="D6831" s="8" t="s">
        <v>38760</v>
      </c>
      <c r="E6831" s="8" t="s">
        <v>38761</v>
      </c>
      <c r="F6831" s="8" t="s">
        <v>38762</v>
      </c>
      <c r="G6831" s="6" t="s">
        <v>118</v>
      </c>
      <c r="H6831" s="6" t="s">
        <v>34</v>
      </c>
      <c r="I6831" s="8" t="s">
        <v>263</v>
      </c>
      <c r="J6831" s="9">
        <v>1</v>
      </c>
      <c r="K6831" s="9">
        <v>208</v>
      </c>
      <c r="L6831" s="9">
        <v>2027</v>
      </c>
      <c r="M6831" s="8" t="s">
        <v>38763</v>
      </c>
      <c r="N6831" s="8" t="s">
        <v>243</v>
      </c>
      <c r="O6831" s="8" t="s">
        <v>758</v>
      </c>
      <c r="P6831" s="6" t="s">
        <v>306</v>
      </c>
      <c r="Q6831" s="8" t="s">
        <v>265</v>
      </c>
      <c r="R6831" s="10" t="s">
        <v>38764</v>
      </c>
      <c r="S6831" s="11" t="s">
        <v>38765</v>
      </c>
      <c r="T6831" s="6"/>
      <c r="U6831" s="15" t="str">
        <f>HYPERLINK("https://media.infra-m.ru/2271/2271179/cover/2271179.jpg", "Обложка")</f>
        <v>Обложка</v>
      </c>
      <c r="V6831" s="8" t="s">
        <v>31641</v>
      </c>
      <c r="W6831" s="6"/>
      <c r="X6831" s="6"/>
      <c r="Y6831" s="6"/>
      <c r="Z6831" s="6"/>
      <c r="AA6831" s="6" t="s">
        <v>1007</v>
      </c>
      <c r="AB6831" s="8"/>
      <c r="AC6831" s="27">
        <v>9785160051161</v>
      </c>
    </row>
    <row r="6832" spans="1:29" s="4" customFormat="1" ht="51.9" customHeight="1" x14ac:dyDescent="0.2">
      <c r="A6832" s="5">
        <v>0</v>
      </c>
      <c r="B6832" s="6" t="s">
        <v>38766</v>
      </c>
      <c r="C6832" s="7">
        <v>2692.8</v>
      </c>
      <c r="D6832" s="8" t="s">
        <v>38767</v>
      </c>
      <c r="E6832" s="8" t="s">
        <v>38768</v>
      </c>
      <c r="F6832" s="8" t="s">
        <v>38769</v>
      </c>
      <c r="G6832" s="6" t="s">
        <v>60</v>
      </c>
      <c r="H6832" s="6" t="s">
        <v>34</v>
      </c>
      <c r="I6832" s="8" t="s">
        <v>253</v>
      </c>
      <c r="J6832" s="9">
        <v>1</v>
      </c>
      <c r="K6832" s="9">
        <v>445</v>
      </c>
      <c r="L6832" s="9">
        <v>2026</v>
      </c>
      <c r="M6832" s="8" t="s">
        <v>38770</v>
      </c>
      <c r="N6832" s="8" t="s">
        <v>243</v>
      </c>
      <c r="O6832" s="8" t="s">
        <v>964</v>
      </c>
      <c r="P6832" s="6" t="s">
        <v>51</v>
      </c>
      <c r="Q6832" s="8" t="s">
        <v>52</v>
      </c>
      <c r="R6832" s="10" t="s">
        <v>23228</v>
      </c>
      <c r="S6832" s="11" t="s">
        <v>38771</v>
      </c>
      <c r="T6832" s="6"/>
      <c r="U6832" s="15" t="str">
        <f>HYPERLINK("https://media.infra-m.ru/2251/2251272/cover/2251272.jpg", "Обложка")</f>
        <v>Обложка</v>
      </c>
      <c r="V6832" s="8" t="s">
        <v>7509</v>
      </c>
      <c r="W6832" s="6"/>
      <c r="X6832" s="6"/>
      <c r="Y6832" s="6"/>
      <c r="Z6832" s="6"/>
      <c r="AA6832" s="6" t="s">
        <v>779</v>
      </c>
      <c r="AB6832" s="8"/>
      <c r="AC6832" s="27">
        <v>9785160191515</v>
      </c>
    </row>
    <row r="6833" spans="1:29" s="4" customFormat="1" ht="51.9" customHeight="1" x14ac:dyDescent="0.2">
      <c r="A6833" s="5">
        <v>0</v>
      </c>
      <c r="B6833" s="6" t="s">
        <v>38772</v>
      </c>
      <c r="C6833" s="7">
        <v>1140</v>
      </c>
      <c r="D6833" s="8" t="s">
        <v>38773</v>
      </c>
      <c r="E6833" s="8" t="s">
        <v>38774</v>
      </c>
      <c r="F6833" s="8" t="s">
        <v>38775</v>
      </c>
      <c r="G6833" s="6" t="s">
        <v>118</v>
      </c>
      <c r="H6833" s="6" t="s">
        <v>34</v>
      </c>
      <c r="I6833" s="8" t="s">
        <v>271</v>
      </c>
      <c r="J6833" s="9">
        <v>1</v>
      </c>
      <c r="K6833" s="9">
        <v>211</v>
      </c>
      <c r="L6833" s="9">
        <v>2022</v>
      </c>
      <c r="M6833" s="8" t="s">
        <v>38776</v>
      </c>
      <c r="N6833" s="8" t="s">
        <v>243</v>
      </c>
      <c r="O6833" s="8" t="s">
        <v>798</v>
      </c>
      <c r="P6833" s="6" t="s">
        <v>51</v>
      </c>
      <c r="Q6833" s="8" t="s">
        <v>52</v>
      </c>
      <c r="R6833" s="10" t="s">
        <v>38777</v>
      </c>
      <c r="S6833" s="11" t="s">
        <v>38778</v>
      </c>
      <c r="T6833" s="6"/>
      <c r="U6833" s="15" t="str">
        <f>HYPERLINK("https://media.infra-m.ru/1869/1869209/cover/1869209.jpg", "Обложка")</f>
        <v>Обложка</v>
      </c>
      <c r="V6833" s="8" t="s">
        <v>831</v>
      </c>
      <c r="W6833" s="6"/>
      <c r="X6833" s="6"/>
      <c r="Y6833" s="6"/>
      <c r="Z6833" s="6"/>
      <c r="AA6833" s="6" t="s">
        <v>115</v>
      </c>
      <c r="AB6833" s="8"/>
      <c r="AC6833" s="27">
        <v>9785160137995</v>
      </c>
    </row>
    <row r="6834" spans="1:29" s="4" customFormat="1" ht="42" customHeight="1" x14ac:dyDescent="0.2">
      <c r="A6834" s="5">
        <v>0</v>
      </c>
      <c r="B6834" s="6" t="s">
        <v>38779</v>
      </c>
      <c r="C6834" s="7">
        <v>1128</v>
      </c>
      <c r="D6834" s="8" t="s">
        <v>38780</v>
      </c>
      <c r="E6834" s="8" t="s">
        <v>38781</v>
      </c>
      <c r="F6834" s="8" t="s">
        <v>38782</v>
      </c>
      <c r="G6834" s="6" t="s">
        <v>33</v>
      </c>
      <c r="H6834" s="6" t="s">
        <v>313</v>
      </c>
      <c r="I6834" s="8" t="s">
        <v>35</v>
      </c>
      <c r="J6834" s="9">
        <v>1</v>
      </c>
      <c r="K6834" s="9">
        <v>276</v>
      </c>
      <c r="L6834" s="9">
        <v>2019</v>
      </c>
      <c r="M6834" s="8" t="s">
        <v>38783</v>
      </c>
      <c r="N6834" s="8" t="s">
        <v>37</v>
      </c>
      <c r="O6834" s="8" t="s">
        <v>136</v>
      </c>
      <c r="P6834" s="6" t="s">
        <v>39</v>
      </c>
      <c r="Q6834" s="8" t="s">
        <v>40</v>
      </c>
      <c r="R6834" s="10" t="s">
        <v>684</v>
      </c>
      <c r="S6834" s="11"/>
      <c r="T6834" s="6"/>
      <c r="U6834" s="15" t="str">
        <f>HYPERLINK("https://media.infra-m.ru/1010/1010020/cover/1010020.jpg", "Обложка")</f>
        <v>Обложка</v>
      </c>
      <c r="V6834" s="8" t="s">
        <v>227</v>
      </c>
      <c r="W6834" s="6"/>
      <c r="X6834" s="6"/>
      <c r="Y6834" s="6"/>
      <c r="Z6834" s="6"/>
      <c r="AA6834" s="6" t="s">
        <v>2240</v>
      </c>
      <c r="AB6834" s="8"/>
      <c r="AC6834" s="27">
        <v>9785369018040</v>
      </c>
    </row>
    <row r="6835" spans="1:29" s="4" customFormat="1" ht="42" customHeight="1" x14ac:dyDescent="0.2">
      <c r="A6835" s="5">
        <v>0</v>
      </c>
      <c r="B6835" s="6" t="s">
        <v>38784</v>
      </c>
      <c r="C6835" s="7">
        <v>1924.8</v>
      </c>
      <c r="D6835" s="8" t="s">
        <v>38785</v>
      </c>
      <c r="E6835" s="8" t="s">
        <v>38786</v>
      </c>
      <c r="F6835" s="8" t="s">
        <v>38782</v>
      </c>
      <c r="G6835" s="6" t="s">
        <v>33</v>
      </c>
      <c r="H6835" s="6" t="s">
        <v>313</v>
      </c>
      <c r="I6835" s="8" t="s">
        <v>35</v>
      </c>
      <c r="J6835" s="9">
        <v>1</v>
      </c>
      <c r="K6835" s="9">
        <v>348</v>
      </c>
      <c r="L6835" s="9">
        <v>2024</v>
      </c>
      <c r="M6835" s="8" t="s">
        <v>38787</v>
      </c>
      <c r="N6835" s="8" t="s">
        <v>37</v>
      </c>
      <c r="O6835" s="8" t="s">
        <v>136</v>
      </c>
      <c r="P6835" s="6" t="s">
        <v>39</v>
      </c>
      <c r="Q6835" s="8" t="s">
        <v>40</v>
      </c>
      <c r="R6835" s="10" t="s">
        <v>684</v>
      </c>
      <c r="S6835" s="11"/>
      <c r="T6835" s="6"/>
      <c r="U6835" s="15" t="str">
        <f>HYPERLINK("https://media.infra-m.ru/1911/1911798/cover/1911798.jpg", "Обложка")</f>
        <v>Обложка</v>
      </c>
      <c r="V6835" s="8" t="s">
        <v>227</v>
      </c>
      <c r="W6835" s="6"/>
      <c r="X6835" s="6"/>
      <c r="Y6835" s="6"/>
      <c r="Z6835" s="6"/>
      <c r="AA6835" s="6" t="s">
        <v>1117</v>
      </c>
      <c r="AB6835" s="8"/>
      <c r="AC6835" s="27">
        <v>9785369018200</v>
      </c>
    </row>
    <row r="6836" spans="1:29" s="4" customFormat="1" ht="42" customHeight="1" x14ac:dyDescent="0.2">
      <c r="A6836" s="5">
        <v>0</v>
      </c>
      <c r="B6836" s="6" t="s">
        <v>38788</v>
      </c>
      <c r="C6836" s="7">
        <v>1056</v>
      </c>
      <c r="D6836" s="8" t="s">
        <v>38789</v>
      </c>
      <c r="E6836" s="8" t="s">
        <v>38790</v>
      </c>
      <c r="F6836" s="8" t="s">
        <v>38782</v>
      </c>
      <c r="G6836" s="6" t="s">
        <v>33</v>
      </c>
      <c r="H6836" s="6" t="s">
        <v>313</v>
      </c>
      <c r="I6836" s="8" t="s">
        <v>35</v>
      </c>
      <c r="J6836" s="9">
        <v>1</v>
      </c>
      <c r="K6836" s="9">
        <v>282</v>
      </c>
      <c r="L6836" s="9">
        <v>2017</v>
      </c>
      <c r="M6836" s="8" t="s">
        <v>38791</v>
      </c>
      <c r="N6836" s="8" t="s">
        <v>37</v>
      </c>
      <c r="O6836" s="8" t="s">
        <v>136</v>
      </c>
      <c r="P6836" s="6" t="s">
        <v>39</v>
      </c>
      <c r="Q6836" s="8" t="s">
        <v>40</v>
      </c>
      <c r="R6836" s="10" t="s">
        <v>684</v>
      </c>
      <c r="S6836" s="11"/>
      <c r="T6836" s="6"/>
      <c r="U6836" s="15" t="str">
        <f>HYPERLINK("https://media.infra-m.ru/0851/0851217/cover/851217.jpg", "Обложка")</f>
        <v>Обложка</v>
      </c>
      <c r="V6836" s="8" t="s">
        <v>227</v>
      </c>
      <c r="W6836" s="6"/>
      <c r="X6836" s="6"/>
      <c r="Y6836" s="6"/>
      <c r="Z6836" s="6"/>
      <c r="AA6836" s="6" t="s">
        <v>274</v>
      </c>
      <c r="AB6836" s="8"/>
      <c r="AC6836" s="27">
        <v>9785369014196</v>
      </c>
    </row>
    <row r="6837" spans="1:29" s="4" customFormat="1" ht="51.9" customHeight="1" x14ac:dyDescent="0.2">
      <c r="A6837" s="5">
        <v>0</v>
      </c>
      <c r="B6837" s="6" t="s">
        <v>38792</v>
      </c>
      <c r="C6837" s="7">
        <v>1565.9</v>
      </c>
      <c r="D6837" s="8" t="s">
        <v>38793</v>
      </c>
      <c r="E6837" s="8" t="s">
        <v>38794</v>
      </c>
      <c r="F6837" s="8" t="s">
        <v>38795</v>
      </c>
      <c r="G6837" s="6" t="s">
        <v>60</v>
      </c>
      <c r="H6837" s="6" t="s">
        <v>313</v>
      </c>
      <c r="I6837" s="8" t="s">
        <v>253</v>
      </c>
      <c r="J6837" s="9">
        <v>1</v>
      </c>
      <c r="K6837" s="9">
        <v>352</v>
      </c>
      <c r="L6837" s="9">
        <v>2021</v>
      </c>
      <c r="M6837" s="8" t="s">
        <v>38796</v>
      </c>
      <c r="N6837" s="8" t="s">
        <v>243</v>
      </c>
      <c r="O6837" s="8" t="s">
        <v>933</v>
      </c>
      <c r="P6837" s="6" t="s">
        <v>51</v>
      </c>
      <c r="Q6837" s="8" t="s">
        <v>52</v>
      </c>
      <c r="R6837" s="10" t="s">
        <v>15604</v>
      </c>
      <c r="S6837" s="11" t="s">
        <v>38797</v>
      </c>
      <c r="T6837" s="6"/>
      <c r="U6837" s="15" t="str">
        <f>HYPERLINK("https://media.infra-m.ru/1072/1072265/cover/1072265.jpg", "Обложка")</f>
        <v>Обложка</v>
      </c>
      <c r="V6837" s="8" t="s">
        <v>2088</v>
      </c>
      <c r="W6837" s="6"/>
      <c r="X6837" s="6"/>
      <c r="Y6837" s="6"/>
      <c r="Z6837" s="6"/>
      <c r="AA6837" s="6" t="s">
        <v>129</v>
      </c>
      <c r="AB6837" s="8"/>
      <c r="AC6837" s="27">
        <v>9785369006092</v>
      </c>
    </row>
    <row r="6838" spans="1:29" s="4" customFormat="1" ht="51.9" customHeight="1" x14ac:dyDescent="0.2">
      <c r="A6838" s="5">
        <v>0</v>
      </c>
      <c r="B6838" s="6" t="s">
        <v>38798</v>
      </c>
      <c r="C6838" s="13">
        <v>580.79999999999995</v>
      </c>
      <c r="D6838" s="8" t="s">
        <v>38799</v>
      </c>
      <c r="E6838" s="8" t="s">
        <v>38800</v>
      </c>
      <c r="F6838" s="8" t="s">
        <v>38801</v>
      </c>
      <c r="G6838" s="6" t="s">
        <v>33</v>
      </c>
      <c r="H6838" s="6" t="s">
        <v>48</v>
      </c>
      <c r="I6838" s="8" t="s">
        <v>253</v>
      </c>
      <c r="J6838" s="9">
        <v>1</v>
      </c>
      <c r="K6838" s="9">
        <v>80</v>
      </c>
      <c r="L6838" s="9">
        <v>2024</v>
      </c>
      <c r="M6838" s="8" t="s">
        <v>38802</v>
      </c>
      <c r="N6838" s="8" t="s">
        <v>585</v>
      </c>
      <c r="O6838" s="8" t="s">
        <v>775</v>
      </c>
      <c r="P6838" s="6" t="s">
        <v>51</v>
      </c>
      <c r="Q6838" s="8" t="s">
        <v>52</v>
      </c>
      <c r="R6838" s="10" t="s">
        <v>11696</v>
      </c>
      <c r="S6838" s="11" t="s">
        <v>38803</v>
      </c>
      <c r="T6838" s="6"/>
      <c r="U6838" s="15" t="str">
        <f>HYPERLINK("https://media.infra-m.ru/2091/2091912/cover/2091912.jpg", "Обложка")</f>
        <v>Обложка</v>
      </c>
      <c r="V6838" s="8" t="s">
        <v>54</v>
      </c>
      <c r="W6838" s="6"/>
      <c r="X6838" s="6"/>
      <c r="Y6838" s="6"/>
      <c r="Z6838" s="6"/>
      <c r="AA6838" s="6" t="s">
        <v>55</v>
      </c>
      <c r="AB6838" s="8"/>
      <c r="AC6838" s="27">
        <v>9785000916896</v>
      </c>
    </row>
    <row r="6839" spans="1:29" s="4" customFormat="1" ht="51.9" customHeight="1" x14ac:dyDescent="0.2">
      <c r="A6839" s="5">
        <v>0</v>
      </c>
      <c r="B6839" s="6" t="s">
        <v>38804</v>
      </c>
      <c r="C6839" s="7">
        <v>1360.8</v>
      </c>
      <c r="D6839" s="8" t="s">
        <v>38805</v>
      </c>
      <c r="E6839" s="8" t="s">
        <v>38806</v>
      </c>
      <c r="F6839" s="8" t="s">
        <v>38807</v>
      </c>
      <c r="G6839" s="6" t="s">
        <v>118</v>
      </c>
      <c r="H6839" s="6" t="s">
        <v>34</v>
      </c>
      <c r="I6839" s="8" t="s">
        <v>263</v>
      </c>
      <c r="J6839" s="9">
        <v>1</v>
      </c>
      <c r="K6839" s="9">
        <v>218</v>
      </c>
      <c r="L6839" s="9">
        <v>2026</v>
      </c>
      <c r="M6839" s="8" t="s">
        <v>38808</v>
      </c>
      <c r="N6839" s="8" t="s">
        <v>243</v>
      </c>
      <c r="O6839" s="8" t="s">
        <v>798</v>
      </c>
      <c r="P6839" s="6" t="s">
        <v>306</v>
      </c>
      <c r="Q6839" s="8" t="s">
        <v>265</v>
      </c>
      <c r="R6839" s="10" t="s">
        <v>38809</v>
      </c>
      <c r="S6839" s="11" t="s">
        <v>38810</v>
      </c>
      <c r="T6839" s="6"/>
      <c r="U6839" s="15" t="str">
        <f>HYPERLINK("https://media.infra-m.ru/2221/2221046/cover/2221046.jpg", "Обложка")</f>
        <v>Обложка</v>
      </c>
      <c r="V6839" s="8" t="s">
        <v>30089</v>
      </c>
      <c r="W6839" s="6"/>
      <c r="X6839" s="6" t="s">
        <v>24</v>
      </c>
      <c r="Y6839" s="6"/>
      <c r="Z6839" s="6"/>
      <c r="AA6839" s="6" t="s">
        <v>360</v>
      </c>
      <c r="AB6839" s="8"/>
      <c r="AC6839" s="27">
        <v>9785160065090</v>
      </c>
    </row>
    <row r="6840" spans="1:29" s="4" customFormat="1" ht="51.9" customHeight="1" x14ac:dyDescent="0.2">
      <c r="A6840" s="5">
        <v>0</v>
      </c>
      <c r="B6840" s="6" t="s">
        <v>38811</v>
      </c>
      <c r="C6840" s="7">
        <v>1528.8</v>
      </c>
      <c r="D6840" s="8" t="s">
        <v>38812</v>
      </c>
      <c r="E6840" s="8" t="s">
        <v>38806</v>
      </c>
      <c r="F6840" s="8" t="s">
        <v>38807</v>
      </c>
      <c r="G6840" s="6" t="s">
        <v>118</v>
      </c>
      <c r="H6840" s="6" t="s">
        <v>34</v>
      </c>
      <c r="I6840" s="8" t="s">
        <v>271</v>
      </c>
      <c r="J6840" s="9">
        <v>1</v>
      </c>
      <c r="K6840" s="9">
        <v>219</v>
      </c>
      <c r="L6840" s="9">
        <v>2027</v>
      </c>
      <c r="M6840" s="8" t="s">
        <v>38813</v>
      </c>
      <c r="N6840" s="8" t="s">
        <v>243</v>
      </c>
      <c r="O6840" s="8" t="s">
        <v>798</v>
      </c>
      <c r="P6840" s="6" t="s">
        <v>306</v>
      </c>
      <c r="Q6840" s="8" t="s">
        <v>52</v>
      </c>
      <c r="R6840" s="10" t="s">
        <v>38814</v>
      </c>
      <c r="S6840" s="11" t="s">
        <v>38815</v>
      </c>
      <c r="T6840" s="6"/>
      <c r="U6840" s="15" t="str">
        <f>HYPERLINK("https://media.infra-m.ru/2262/2262685/cover/2262685.jpg", "Обложка")</f>
        <v>Обложка</v>
      </c>
      <c r="V6840" s="8" t="s">
        <v>30089</v>
      </c>
      <c r="W6840" s="6"/>
      <c r="X6840" s="6" t="s">
        <v>24</v>
      </c>
      <c r="Y6840" s="6"/>
      <c r="Z6840" s="6" t="s">
        <v>632</v>
      </c>
      <c r="AA6840" s="6" t="s">
        <v>896</v>
      </c>
      <c r="AB6840" s="8"/>
      <c r="AC6840" s="27">
        <v>9785160172347</v>
      </c>
    </row>
    <row r="6841" spans="1:29" s="4" customFormat="1" ht="51.9" customHeight="1" x14ac:dyDescent="0.2">
      <c r="A6841" s="5">
        <v>0</v>
      </c>
      <c r="B6841" s="6" t="s">
        <v>38816</v>
      </c>
      <c r="C6841" s="7">
        <v>1728</v>
      </c>
      <c r="D6841" s="8" t="s">
        <v>38817</v>
      </c>
      <c r="E6841" s="8" t="s">
        <v>38818</v>
      </c>
      <c r="F6841" s="8" t="s">
        <v>38819</v>
      </c>
      <c r="G6841" s="6" t="s">
        <v>33</v>
      </c>
      <c r="H6841" s="6" t="s">
        <v>48</v>
      </c>
      <c r="I6841" s="8" t="s">
        <v>253</v>
      </c>
      <c r="J6841" s="9">
        <v>1</v>
      </c>
      <c r="K6841" s="9">
        <v>311</v>
      </c>
      <c r="L6841" s="9">
        <v>2024</v>
      </c>
      <c r="M6841" s="8" t="s">
        <v>38820</v>
      </c>
      <c r="N6841" s="8" t="s">
        <v>585</v>
      </c>
      <c r="O6841" s="8" t="s">
        <v>775</v>
      </c>
      <c r="P6841" s="6" t="s">
        <v>51</v>
      </c>
      <c r="Q6841" s="8" t="s">
        <v>52</v>
      </c>
      <c r="R6841" s="10" t="s">
        <v>38821</v>
      </c>
      <c r="S6841" s="11" t="s">
        <v>38822</v>
      </c>
      <c r="T6841" s="6"/>
      <c r="U6841" s="15" t="str">
        <f>HYPERLINK("https://media.infra-m.ru/2120/2120763/cover/2120763.jpg", "Обложка")</f>
        <v>Обложка</v>
      </c>
      <c r="V6841" s="8" t="s">
        <v>38823</v>
      </c>
      <c r="W6841" s="6"/>
      <c r="X6841" s="6"/>
      <c r="Y6841" s="6"/>
      <c r="Z6841" s="6"/>
      <c r="AA6841" s="6" t="s">
        <v>779</v>
      </c>
      <c r="AB6841" s="8"/>
      <c r="AC6841" s="27">
        <v>9785000917657</v>
      </c>
    </row>
    <row r="6842" spans="1:29" s="4" customFormat="1" ht="51.9" customHeight="1" x14ac:dyDescent="0.2">
      <c r="A6842" s="5">
        <v>0</v>
      </c>
      <c r="B6842" s="6" t="s">
        <v>38824</v>
      </c>
      <c r="C6842" s="7">
        <v>1072.8</v>
      </c>
      <c r="D6842" s="8" t="s">
        <v>38825</v>
      </c>
      <c r="E6842" s="8" t="s">
        <v>38826</v>
      </c>
      <c r="F6842" s="8" t="s">
        <v>38827</v>
      </c>
      <c r="G6842" s="6" t="s">
        <v>33</v>
      </c>
      <c r="H6842" s="6" t="s">
        <v>34</v>
      </c>
      <c r="I6842" s="8" t="s">
        <v>253</v>
      </c>
      <c r="J6842" s="9">
        <v>1</v>
      </c>
      <c r="K6842" s="9">
        <v>162</v>
      </c>
      <c r="L6842" s="9">
        <v>2026</v>
      </c>
      <c r="M6842" s="8" t="s">
        <v>38828</v>
      </c>
      <c r="N6842" s="8" t="s">
        <v>585</v>
      </c>
      <c r="O6842" s="8" t="s">
        <v>2472</v>
      </c>
      <c r="P6842" s="6" t="s">
        <v>51</v>
      </c>
      <c r="Q6842" s="8" t="s">
        <v>52</v>
      </c>
      <c r="R6842" s="10" t="s">
        <v>6658</v>
      </c>
      <c r="S6842" s="11" t="s">
        <v>38829</v>
      </c>
      <c r="T6842" s="6"/>
      <c r="U6842" s="15" t="str">
        <f>HYPERLINK("https://media.infra-m.ru/2249/2249268/cover/2249268.jpg", "Обложка")</f>
        <v>Обложка</v>
      </c>
      <c r="V6842" s="8" t="s">
        <v>9584</v>
      </c>
      <c r="W6842" s="6"/>
      <c r="X6842" s="6"/>
      <c r="Y6842" s="6"/>
      <c r="Z6842" s="6"/>
      <c r="AA6842" s="6" t="s">
        <v>360</v>
      </c>
      <c r="AB6842" s="8"/>
      <c r="AC6842" s="27">
        <v>9785160199795</v>
      </c>
    </row>
    <row r="6843" spans="1:29" s="4" customFormat="1" ht="51.9" customHeight="1" x14ac:dyDescent="0.2">
      <c r="A6843" s="5">
        <v>0</v>
      </c>
      <c r="B6843" s="6" t="s">
        <v>38830</v>
      </c>
      <c r="C6843" s="7">
        <v>3244.8</v>
      </c>
      <c r="D6843" s="8" t="s">
        <v>38831</v>
      </c>
      <c r="E6843" s="8" t="s">
        <v>38832</v>
      </c>
      <c r="F6843" s="8" t="s">
        <v>35910</v>
      </c>
      <c r="G6843" s="6" t="s">
        <v>60</v>
      </c>
      <c r="H6843" s="6" t="s">
        <v>34</v>
      </c>
      <c r="I6843" s="8" t="s">
        <v>253</v>
      </c>
      <c r="J6843" s="9">
        <v>1</v>
      </c>
      <c r="K6843" s="9">
        <v>491</v>
      </c>
      <c r="L6843" s="9">
        <v>2026</v>
      </c>
      <c r="M6843" s="8" t="s">
        <v>38833</v>
      </c>
      <c r="N6843" s="8" t="s">
        <v>243</v>
      </c>
      <c r="O6843" s="8" t="s">
        <v>933</v>
      </c>
      <c r="P6843" s="6" t="s">
        <v>306</v>
      </c>
      <c r="Q6843" s="8" t="s">
        <v>52</v>
      </c>
      <c r="R6843" s="10" t="s">
        <v>38834</v>
      </c>
      <c r="S6843" s="11"/>
      <c r="T6843" s="6"/>
      <c r="U6843" s="15" t="str">
        <f>HYPERLINK("https://media.infra-m.ru/2238/2238237/cover/2238237.jpg", "Обложка")</f>
        <v>Обложка</v>
      </c>
      <c r="V6843" s="8" t="s">
        <v>35913</v>
      </c>
      <c r="W6843" s="6"/>
      <c r="X6843" s="6"/>
      <c r="Y6843" s="6"/>
      <c r="Z6843" s="6"/>
      <c r="AA6843" s="6" t="s">
        <v>68</v>
      </c>
      <c r="AB6843" s="8" t="s">
        <v>4423</v>
      </c>
      <c r="AC6843" s="27">
        <v>9785160177724</v>
      </c>
    </row>
    <row r="6844" spans="1:29" s="4" customFormat="1" ht="44.1" customHeight="1" x14ac:dyDescent="0.2">
      <c r="A6844" s="5">
        <v>0</v>
      </c>
      <c r="B6844" s="6" t="s">
        <v>38835</v>
      </c>
      <c r="C6844" s="7">
        <v>1428</v>
      </c>
      <c r="D6844" s="8" t="s">
        <v>38836</v>
      </c>
      <c r="E6844" s="8" t="s">
        <v>38837</v>
      </c>
      <c r="F6844" s="8" t="s">
        <v>38838</v>
      </c>
      <c r="G6844" s="6" t="s">
        <v>118</v>
      </c>
      <c r="H6844" s="6" t="s">
        <v>34</v>
      </c>
      <c r="I6844" s="8" t="s">
        <v>2171</v>
      </c>
      <c r="J6844" s="9">
        <v>1</v>
      </c>
      <c r="K6844" s="9">
        <v>224</v>
      </c>
      <c r="L6844" s="9">
        <v>2026</v>
      </c>
      <c r="M6844" s="8" t="s">
        <v>38839</v>
      </c>
      <c r="N6844" s="8" t="s">
        <v>243</v>
      </c>
      <c r="O6844" s="8" t="s">
        <v>244</v>
      </c>
      <c r="P6844" s="6" t="s">
        <v>51</v>
      </c>
      <c r="Q6844" s="8" t="s">
        <v>65</v>
      </c>
      <c r="R6844" s="10" t="s">
        <v>1906</v>
      </c>
      <c r="S6844" s="11"/>
      <c r="T6844" s="6"/>
      <c r="U6844" s="15" t="str">
        <f>HYPERLINK("https://media.infra-m.ru/2205/2205950/cover/2205950.jpg", "Обложка")</f>
        <v>Обложка</v>
      </c>
      <c r="V6844" s="8" t="s">
        <v>2175</v>
      </c>
      <c r="W6844" s="6"/>
      <c r="X6844" s="6"/>
      <c r="Y6844" s="6"/>
      <c r="Z6844" s="6"/>
      <c r="AA6844" s="6" t="s">
        <v>115</v>
      </c>
      <c r="AB6844" s="8"/>
      <c r="AC6844" s="27">
        <v>9785160152950</v>
      </c>
    </row>
    <row r="6845" spans="1:29" s="4" customFormat="1" ht="51.9" customHeight="1" x14ac:dyDescent="0.2">
      <c r="A6845" s="5">
        <v>0</v>
      </c>
      <c r="B6845" s="6" t="s">
        <v>38840</v>
      </c>
      <c r="C6845" s="7">
        <v>1432.8</v>
      </c>
      <c r="D6845" s="8" t="s">
        <v>38841</v>
      </c>
      <c r="E6845" s="8" t="s">
        <v>38842</v>
      </c>
      <c r="F6845" s="8" t="s">
        <v>38843</v>
      </c>
      <c r="G6845" s="6" t="s">
        <v>60</v>
      </c>
      <c r="H6845" s="6" t="s">
        <v>34</v>
      </c>
      <c r="I6845" s="8" t="s">
        <v>271</v>
      </c>
      <c r="J6845" s="9">
        <v>1</v>
      </c>
      <c r="K6845" s="9">
        <v>218</v>
      </c>
      <c r="L6845" s="9">
        <v>2026</v>
      </c>
      <c r="M6845" s="8" t="s">
        <v>38844</v>
      </c>
      <c r="N6845" s="8" t="s">
        <v>243</v>
      </c>
      <c r="O6845" s="8" t="s">
        <v>385</v>
      </c>
      <c r="P6845" s="6" t="s">
        <v>51</v>
      </c>
      <c r="Q6845" s="8" t="s">
        <v>52</v>
      </c>
      <c r="R6845" s="10" t="s">
        <v>38845</v>
      </c>
      <c r="S6845" s="11" t="s">
        <v>38846</v>
      </c>
      <c r="T6845" s="6"/>
      <c r="U6845" s="15" t="str">
        <f>HYPERLINK("https://media.infra-m.ru/2238/2238530/cover/2238530.jpg", "Обложка")</f>
        <v>Обложка</v>
      </c>
      <c r="V6845" s="8" t="s">
        <v>1030</v>
      </c>
      <c r="W6845" s="6"/>
      <c r="X6845" s="6"/>
      <c r="Y6845" s="6"/>
      <c r="Z6845" s="6"/>
      <c r="AA6845" s="6" t="s">
        <v>157</v>
      </c>
      <c r="AB6845" s="8"/>
      <c r="AC6845" s="27">
        <v>9785160174211</v>
      </c>
    </row>
    <row r="6846" spans="1:29" s="4" customFormat="1" ht="42" customHeight="1" x14ac:dyDescent="0.2">
      <c r="A6846" s="5">
        <v>0</v>
      </c>
      <c r="B6846" s="6" t="s">
        <v>38847</v>
      </c>
      <c r="C6846" s="7">
        <v>1560</v>
      </c>
      <c r="D6846" s="8" t="s">
        <v>38848</v>
      </c>
      <c r="E6846" s="8" t="s">
        <v>38849</v>
      </c>
      <c r="F6846" s="8" t="s">
        <v>2620</v>
      </c>
      <c r="G6846" s="6" t="s">
        <v>118</v>
      </c>
      <c r="H6846" s="6" t="s">
        <v>34</v>
      </c>
      <c r="I6846" s="8" t="s">
        <v>253</v>
      </c>
      <c r="J6846" s="9">
        <v>1</v>
      </c>
      <c r="K6846" s="9">
        <v>225</v>
      </c>
      <c r="L6846" s="9">
        <v>2026</v>
      </c>
      <c r="M6846" s="8" t="s">
        <v>38850</v>
      </c>
      <c r="N6846" s="8" t="s">
        <v>63</v>
      </c>
      <c r="O6846" s="8" t="s">
        <v>64</v>
      </c>
      <c r="P6846" s="6" t="s">
        <v>51</v>
      </c>
      <c r="Q6846" s="8" t="s">
        <v>52</v>
      </c>
      <c r="R6846" s="10" t="s">
        <v>2760</v>
      </c>
      <c r="S6846" s="11"/>
      <c r="T6846" s="6"/>
      <c r="U6846" s="15" t="str">
        <f>HYPERLINK("https://media.infra-m.ru/2219/2219026/cover/2219026.jpg", "Обложка")</f>
        <v>Обложка</v>
      </c>
      <c r="V6846" s="8" t="s">
        <v>2623</v>
      </c>
      <c r="W6846" s="6"/>
      <c r="X6846" s="6"/>
      <c r="Y6846" s="6"/>
      <c r="Z6846" s="6"/>
      <c r="AA6846" s="6" t="s">
        <v>68</v>
      </c>
      <c r="AB6846" s="8"/>
      <c r="AC6846" s="27">
        <v>9785160183466</v>
      </c>
    </row>
    <row r="6847" spans="1:29" s="4" customFormat="1" ht="51.9" customHeight="1" x14ac:dyDescent="0.2">
      <c r="A6847" s="5">
        <v>0</v>
      </c>
      <c r="B6847" s="6" t="s">
        <v>38851</v>
      </c>
      <c r="C6847" s="7">
        <v>1236</v>
      </c>
      <c r="D6847" s="8" t="s">
        <v>38852</v>
      </c>
      <c r="E6847" s="8" t="s">
        <v>38853</v>
      </c>
      <c r="F6847" s="8" t="s">
        <v>38854</v>
      </c>
      <c r="G6847" s="6" t="s">
        <v>33</v>
      </c>
      <c r="H6847" s="6" t="s">
        <v>34</v>
      </c>
      <c r="I6847" s="8" t="s">
        <v>253</v>
      </c>
      <c r="J6847" s="9">
        <v>1</v>
      </c>
      <c r="K6847" s="9">
        <v>192</v>
      </c>
      <c r="L6847" s="9">
        <v>2026</v>
      </c>
      <c r="M6847" s="8" t="s">
        <v>38855</v>
      </c>
      <c r="N6847" s="8" t="s">
        <v>37</v>
      </c>
      <c r="O6847" s="8" t="s">
        <v>280</v>
      </c>
      <c r="P6847" s="6" t="s">
        <v>306</v>
      </c>
      <c r="Q6847" s="8" t="s">
        <v>65</v>
      </c>
      <c r="R6847" s="10" t="s">
        <v>38856</v>
      </c>
      <c r="S6847" s="11" t="s">
        <v>38857</v>
      </c>
      <c r="T6847" s="6"/>
      <c r="U6847" s="15" t="str">
        <f>HYPERLINK("https://media.infra-m.ru/2221/2221937/cover/2221937.jpg", "Обложка")</f>
        <v>Обложка</v>
      </c>
      <c r="V6847" s="8" t="s">
        <v>396</v>
      </c>
      <c r="W6847" s="6"/>
      <c r="X6847" s="6"/>
      <c r="Y6847" s="6"/>
      <c r="Z6847" s="6"/>
      <c r="AA6847" s="6" t="s">
        <v>779</v>
      </c>
      <c r="AB6847" s="8"/>
      <c r="AC6847" s="27">
        <v>9785160213231</v>
      </c>
    </row>
    <row r="6848" spans="1:29" s="4" customFormat="1" ht="42" customHeight="1" x14ac:dyDescent="0.2">
      <c r="A6848" s="5">
        <v>0</v>
      </c>
      <c r="B6848" s="6" t="s">
        <v>38858</v>
      </c>
      <c r="C6848" s="7">
        <v>1272</v>
      </c>
      <c r="D6848" s="8" t="s">
        <v>38859</v>
      </c>
      <c r="E6848" s="8" t="s">
        <v>38853</v>
      </c>
      <c r="F6848" s="8" t="s">
        <v>38854</v>
      </c>
      <c r="G6848" s="6" t="s">
        <v>33</v>
      </c>
      <c r="H6848" s="6" t="s">
        <v>34</v>
      </c>
      <c r="I6848" s="8" t="s">
        <v>263</v>
      </c>
      <c r="J6848" s="9">
        <v>1</v>
      </c>
      <c r="K6848" s="9">
        <v>192</v>
      </c>
      <c r="L6848" s="9">
        <v>2026</v>
      </c>
      <c r="M6848" s="8" t="s">
        <v>38860</v>
      </c>
      <c r="N6848" s="8" t="s">
        <v>37</v>
      </c>
      <c r="O6848" s="8" t="s">
        <v>280</v>
      </c>
      <c r="P6848" s="6" t="s">
        <v>306</v>
      </c>
      <c r="Q6848" s="8" t="s">
        <v>265</v>
      </c>
      <c r="R6848" s="10" t="s">
        <v>38861</v>
      </c>
      <c r="S6848" s="11"/>
      <c r="T6848" s="6"/>
      <c r="U6848" s="15" t="str">
        <f>HYPERLINK("https://media.infra-m.ru/2229/2229430/cover/2229430.jpg", "Обложка")</f>
        <v>Обложка</v>
      </c>
      <c r="V6848" s="8" t="s">
        <v>396</v>
      </c>
      <c r="W6848" s="6"/>
      <c r="X6848" s="6"/>
      <c r="Y6848" s="6"/>
      <c r="Z6848" s="6" t="s">
        <v>882</v>
      </c>
      <c r="AA6848" s="6" t="s">
        <v>68</v>
      </c>
      <c r="AB6848" s="8"/>
      <c r="AC6848" s="27">
        <v>9785160216102</v>
      </c>
    </row>
    <row r="6849" spans="1:29" s="4" customFormat="1" ht="51.9" customHeight="1" x14ac:dyDescent="0.2">
      <c r="A6849" s="5">
        <v>0</v>
      </c>
      <c r="B6849" s="6" t="s">
        <v>38862</v>
      </c>
      <c r="C6849" s="7">
        <v>1456.8</v>
      </c>
      <c r="D6849" s="8" t="s">
        <v>38863</v>
      </c>
      <c r="E6849" s="8" t="s">
        <v>38864</v>
      </c>
      <c r="F6849" s="8" t="s">
        <v>38865</v>
      </c>
      <c r="G6849" s="6" t="s">
        <v>21</v>
      </c>
      <c r="H6849" s="6" t="s">
        <v>134</v>
      </c>
      <c r="I6849" s="8"/>
      <c r="J6849" s="9">
        <v>1</v>
      </c>
      <c r="K6849" s="9">
        <v>208</v>
      </c>
      <c r="L6849" s="9">
        <v>2027</v>
      </c>
      <c r="M6849" s="8" t="s">
        <v>38866</v>
      </c>
      <c r="N6849" s="8" t="s">
        <v>37</v>
      </c>
      <c r="O6849" s="8" t="s">
        <v>136</v>
      </c>
      <c r="P6849" s="6" t="s">
        <v>234</v>
      </c>
      <c r="Q6849" s="8" t="s">
        <v>40</v>
      </c>
      <c r="R6849" s="10" t="s">
        <v>38867</v>
      </c>
      <c r="S6849" s="11"/>
      <c r="T6849" s="6"/>
      <c r="U6849" s="15" t="str">
        <f>HYPERLINK("https://media.infra-m.ru/2266/2266116/cover/2266116.jpg", "Обложка")</f>
        <v>Обложка</v>
      </c>
      <c r="V6849" s="8" t="s">
        <v>1184</v>
      </c>
      <c r="W6849" s="6"/>
      <c r="X6849" s="6"/>
      <c r="Y6849" s="6"/>
      <c r="Z6849" s="6"/>
      <c r="AA6849" s="6" t="s">
        <v>274</v>
      </c>
      <c r="AB6849" s="8"/>
      <c r="AC6849" s="27">
        <v>9785917686196</v>
      </c>
    </row>
    <row r="6850" spans="1:29" s="4" customFormat="1" ht="51.9" customHeight="1" x14ac:dyDescent="0.2">
      <c r="A6850" s="5">
        <v>0</v>
      </c>
      <c r="B6850" s="6" t="s">
        <v>38868</v>
      </c>
      <c r="C6850" s="7">
        <v>1272</v>
      </c>
      <c r="D6850" s="8" t="s">
        <v>38869</v>
      </c>
      <c r="E6850" s="8" t="s">
        <v>38870</v>
      </c>
      <c r="F6850" s="8" t="s">
        <v>30465</v>
      </c>
      <c r="G6850" s="6" t="s">
        <v>60</v>
      </c>
      <c r="H6850" s="6" t="s">
        <v>34</v>
      </c>
      <c r="I6850" s="8" t="s">
        <v>35</v>
      </c>
      <c r="J6850" s="9">
        <v>1</v>
      </c>
      <c r="K6850" s="9">
        <v>223</v>
      </c>
      <c r="L6850" s="9">
        <v>2024</v>
      </c>
      <c r="M6850" s="8" t="s">
        <v>38871</v>
      </c>
      <c r="N6850" s="8" t="s">
        <v>37</v>
      </c>
      <c r="O6850" s="8" t="s">
        <v>136</v>
      </c>
      <c r="P6850" s="6" t="s">
        <v>39</v>
      </c>
      <c r="Q6850" s="8" t="s">
        <v>40</v>
      </c>
      <c r="R6850" s="10" t="s">
        <v>1230</v>
      </c>
      <c r="S6850" s="11"/>
      <c r="T6850" s="6"/>
      <c r="U6850" s="15" t="str">
        <f>HYPERLINK("https://media.infra-m.ru/1989/1989216/cover/1989216.jpg", "Обложка")</f>
        <v>Обложка</v>
      </c>
      <c r="V6850" s="8" t="s">
        <v>1339</v>
      </c>
      <c r="W6850" s="6"/>
      <c r="X6850" s="6"/>
      <c r="Y6850" s="6"/>
      <c r="Z6850" s="6"/>
      <c r="AA6850" s="6" t="s">
        <v>76</v>
      </c>
      <c r="AB6850" s="8"/>
      <c r="AC6850" s="27">
        <v>9785160183732</v>
      </c>
    </row>
    <row r="6851" spans="1:29" s="4" customFormat="1" ht="51.9" customHeight="1" x14ac:dyDescent="0.2">
      <c r="A6851" s="5">
        <v>0</v>
      </c>
      <c r="B6851" s="6" t="s">
        <v>38872</v>
      </c>
      <c r="C6851" s="7">
        <v>1456.8</v>
      </c>
      <c r="D6851" s="8" t="s">
        <v>38873</v>
      </c>
      <c r="E6851" s="8" t="s">
        <v>38874</v>
      </c>
      <c r="F6851" s="8" t="s">
        <v>10150</v>
      </c>
      <c r="G6851" s="6" t="s">
        <v>118</v>
      </c>
      <c r="H6851" s="6" t="s">
        <v>134</v>
      </c>
      <c r="I6851" s="8"/>
      <c r="J6851" s="9">
        <v>1</v>
      </c>
      <c r="K6851" s="9">
        <v>240</v>
      </c>
      <c r="L6851" s="9">
        <v>2023</v>
      </c>
      <c r="M6851" s="8" t="s">
        <v>38875</v>
      </c>
      <c r="N6851" s="8" t="s">
        <v>37</v>
      </c>
      <c r="O6851" s="8" t="s">
        <v>136</v>
      </c>
      <c r="P6851" s="6" t="s">
        <v>39</v>
      </c>
      <c r="Q6851" s="8" t="s">
        <v>40</v>
      </c>
      <c r="R6851" s="10" t="s">
        <v>484</v>
      </c>
      <c r="S6851" s="11"/>
      <c r="T6851" s="6"/>
      <c r="U6851" s="15" t="str">
        <f>HYPERLINK("https://media.infra-m.ru/2190/2190429/cover/2190429.jpg", "Обложка")</f>
        <v>Обложка</v>
      </c>
      <c r="V6851" s="8" t="s">
        <v>1184</v>
      </c>
      <c r="W6851" s="6"/>
      <c r="X6851" s="6"/>
      <c r="Y6851" s="6"/>
      <c r="Z6851" s="6"/>
      <c r="AA6851" s="6" t="s">
        <v>86</v>
      </c>
      <c r="AB6851" s="8"/>
      <c r="AC6851" s="27">
        <v>9785917688893</v>
      </c>
    </row>
    <row r="6852" spans="1:29" s="4" customFormat="1" ht="51.9" customHeight="1" x14ac:dyDescent="0.2">
      <c r="A6852" s="5">
        <v>0</v>
      </c>
      <c r="B6852" s="6" t="s">
        <v>38876</v>
      </c>
      <c r="C6852" s="7">
        <v>1380</v>
      </c>
      <c r="D6852" s="8" t="s">
        <v>38877</v>
      </c>
      <c r="E6852" s="8" t="s">
        <v>38878</v>
      </c>
      <c r="F6852" s="8" t="s">
        <v>38879</v>
      </c>
      <c r="G6852" s="6" t="s">
        <v>118</v>
      </c>
      <c r="H6852" s="6" t="s">
        <v>134</v>
      </c>
      <c r="I6852" s="8"/>
      <c r="J6852" s="9">
        <v>1</v>
      </c>
      <c r="K6852" s="9">
        <v>208</v>
      </c>
      <c r="L6852" s="9">
        <v>2026</v>
      </c>
      <c r="M6852" s="8" t="s">
        <v>38880</v>
      </c>
      <c r="N6852" s="8" t="s">
        <v>37</v>
      </c>
      <c r="O6852" s="8" t="s">
        <v>136</v>
      </c>
      <c r="P6852" s="6" t="s">
        <v>51</v>
      </c>
      <c r="Q6852" s="8" t="s">
        <v>52</v>
      </c>
      <c r="R6852" s="10" t="s">
        <v>19923</v>
      </c>
      <c r="S6852" s="11"/>
      <c r="T6852" s="6"/>
      <c r="U6852" s="15" t="str">
        <f>HYPERLINK("https://media.infra-m.ru/2223/2223088/cover/2223088.jpg", "Обложка")</f>
        <v>Обложка</v>
      </c>
      <c r="V6852" s="8" t="s">
        <v>38881</v>
      </c>
      <c r="W6852" s="6" t="s">
        <v>342</v>
      </c>
      <c r="X6852" s="6"/>
      <c r="Y6852" s="6"/>
      <c r="Z6852" s="6"/>
      <c r="AA6852" s="6" t="s">
        <v>650</v>
      </c>
      <c r="AB6852" s="8"/>
      <c r="AC6852" s="27">
        <v>9785001564591</v>
      </c>
    </row>
    <row r="6853" spans="1:29" s="4" customFormat="1" ht="51.9" customHeight="1" x14ac:dyDescent="0.2">
      <c r="A6853" s="5">
        <v>0</v>
      </c>
      <c r="B6853" s="6" t="s">
        <v>38882</v>
      </c>
      <c r="C6853" s="7">
        <v>1312.8</v>
      </c>
      <c r="D6853" s="8" t="s">
        <v>38883</v>
      </c>
      <c r="E6853" s="8" t="s">
        <v>38874</v>
      </c>
      <c r="F6853" s="8" t="s">
        <v>38879</v>
      </c>
      <c r="G6853" s="6" t="s">
        <v>118</v>
      </c>
      <c r="H6853" s="6" t="s">
        <v>134</v>
      </c>
      <c r="I6853" s="8"/>
      <c r="J6853" s="9">
        <v>1</v>
      </c>
      <c r="K6853" s="9">
        <v>208</v>
      </c>
      <c r="L6853" s="9">
        <v>2025</v>
      </c>
      <c r="M6853" s="8" t="s">
        <v>38884</v>
      </c>
      <c r="N6853" s="8" t="s">
        <v>37</v>
      </c>
      <c r="O6853" s="8" t="s">
        <v>136</v>
      </c>
      <c r="P6853" s="6" t="s">
        <v>51</v>
      </c>
      <c r="Q6853" s="8" t="s">
        <v>52</v>
      </c>
      <c r="R6853" s="10" t="s">
        <v>19923</v>
      </c>
      <c r="S6853" s="11"/>
      <c r="T6853" s="6"/>
      <c r="U6853" s="15" t="str">
        <f>HYPERLINK("https://media.infra-m.ru/2204/2204741/cover/2204741.jpg", "Обложка")</f>
        <v>Обложка</v>
      </c>
      <c r="V6853" s="8" t="s">
        <v>38881</v>
      </c>
      <c r="W6853" s="6"/>
      <c r="X6853" s="6"/>
      <c r="Y6853" s="6"/>
      <c r="Z6853" s="6"/>
      <c r="AA6853" s="6" t="s">
        <v>115</v>
      </c>
      <c r="AB6853" s="8"/>
      <c r="AC6853" s="27">
        <v>9785917686295</v>
      </c>
    </row>
    <row r="6854" spans="1:29" s="4" customFormat="1" ht="42" customHeight="1" x14ac:dyDescent="0.2">
      <c r="A6854" s="5">
        <v>0</v>
      </c>
      <c r="B6854" s="6" t="s">
        <v>38885</v>
      </c>
      <c r="C6854" s="7">
        <v>3708</v>
      </c>
      <c r="D6854" s="8" t="s">
        <v>38886</v>
      </c>
      <c r="E6854" s="8" t="s">
        <v>38887</v>
      </c>
      <c r="F6854" s="8" t="s">
        <v>38888</v>
      </c>
      <c r="G6854" s="6" t="s">
        <v>60</v>
      </c>
      <c r="H6854" s="6" t="s">
        <v>34</v>
      </c>
      <c r="I6854" s="8" t="s">
        <v>3092</v>
      </c>
      <c r="J6854" s="9">
        <v>1</v>
      </c>
      <c r="K6854" s="9">
        <v>718</v>
      </c>
      <c r="L6854" s="9">
        <v>2026</v>
      </c>
      <c r="M6854" s="8" t="s">
        <v>38889</v>
      </c>
      <c r="N6854" s="8" t="s">
        <v>63</v>
      </c>
      <c r="O6854" s="8" t="s">
        <v>64</v>
      </c>
      <c r="P6854" s="6" t="s">
        <v>1837</v>
      </c>
      <c r="Q6854" s="8" t="s">
        <v>40</v>
      </c>
      <c r="R6854" s="10" t="s">
        <v>13307</v>
      </c>
      <c r="S6854" s="11"/>
      <c r="T6854" s="6"/>
      <c r="U6854" s="15" t="str">
        <f>HYPERLINK("https://media.infra-m.ru/2216/2216045/cover/2216045.jpg", "Обложка")</f>
        <v>Обложка</v>
      </c>
      <c r="V6854" s="8" t="s">
        <v>227</v>
      </c>
      <c r="W6854" s="6"/>
      <c r="X6854" s="6"/>
      <c r="Y6854" s="6"/>
      <c r="Z6854" s="6"/>
      <c r="AA6854" s="6" t="s">
        <v>274</v>
      </c>
      <c r="AB6854" s="8"/>
      <c r="AC6854" s="27">
        <v>9785160104201</v>
      </c>
    </row>
    <row r="6855" spans="1:29" s="4" customFormat="1" ht="42" customHeight="1" x14ac:dyDescent="0.2">
      <c r="A6855" s="5">
        <v>0</v>
      </c>
      <c r="B6855" s="6" t="s">
        <v>38890</v>
      </c>
      <c r="C6855" s="7">
        <v>1060.8</v>
      </c>
      <c r="D6855" s="8" t="s">
        <v>38891</v>
      </c>
      <c r="E6855" s="8" t="s">
        <v>38892</v>
      </c>
      <c r="F6855" s="8" t="s">
        <v>38893</v>
      </c>
      <c r="G6855" s="6" t="s">
        <v>33</v>
      </c>
      <c r="H6855" s="6" t="s">
        <v>34</v>
      </c>
      <c r="I6855" s="8" t="s">
        <v>16974</v>
      </c>
      <c r="J6855" s="9">
        <v>1</v>
      </c>
      <c r="K6855" s="9">
        <v>160</v>
      </c>
      <c r="L6855" s="9">
        <v>2026</v>
      </c>
      <c r="M6855" s="8" t="s">
        <v>38894</v>
      </c>
      <c r="N6855" s="8" t="s">
        <v>63</v>
      </c>
      <c r="O6855" s="8" t="s">
        <v>64</v>
      </c>
      <c r="P6855" s="6" t="s">
        <v>1837</v>
      </c>
      <c r="Q6855" s="8" t="s">
        <v>40</v>
      </c>
      <c r="R6855" s="10" t="s">
        <v>74</v>
      </c>
      <c r="S6855" s="11"/>
      <c r="T6855" s="6"/>
      <c r="U6855" s="15" t="str">
        <f>HYPERLINK("https://media.infra-m.ru/2246/2246053/cover/2246053.jpg", "Обложка")</f>
        <v>Обложка</v>
      </c>
      <c r="V6855" s="8" t="s">
        <v>227</v>
      </c>
      <c r="W6855" s="6"/>
      <c r="X6855" s="6"/>
      <c r="Y6855" s="6"/>
      <c r="Z6855" s="6"/>
      <c r="AA6855" s="6" t="s">
        <v>55</v>
      </c>
      <c r="AB6855" s="8"/>
      <c r="AC6855" s="27">
        <v>9785160064536</v>
      </c>
    </row>
    <row r="6856" spans="1:29" s="4" customFormat="1" ht="51.9" customHeight="1" x14ac:dyDescent="0.2">
      <c r="A6856" s="5">
        <v>0</v>
      </c>
      <c r="B6856" s="6" t="s">
        <v>38895</v>
      </c>
      <c r="C6856" s="7">
        <v>1164</v>
      </c>
      <c r="D6856" s="8" t="s">
        <v>38896</v>
      </c>
      <c r="E6856" s="8" t="s">
        <v>38897</v>
      </c>
      <c r="F6856" s="8" t="s">
        <v>38898</v>
      </c>
      <c r="G6856" s="6" t="s">
        <v>118</v>
      </c>
      <c r="H6856" s="6" t="s">
        <v>34</v>
      </c>
      <c r="I6856" s="8" t="s">
        <v>1835</v>
      </c>
      <c r="J6856" s="9">
        <v>1</v>
      </c>
      <c r="K6856" s="9">
        <v>176</v>
      </c>
      <c r="L6856" s="9">
        <v>2026</v>
      </c>
      <c r="M6856" s="8" t="s">
        <v>38899</v>
      </c>
      <c r="N6856" s="8" t="s">
        <v>63</v>
      </c>
      <c r="O6856" s="8" t="s">
        <v>64</v>
      </c>
      <c r="P6856" s="6" t="s">
        <v>1837</v>
      </c>
      <c r="Q6856" s="8" t="s">
        <v>40</v>
      </c>
      <c r="R6856" s="10" t="s">
        <v>38900</v>
      </c>
      <c r="S6856" s="11"/>
      <c r="T6856" s="6"/>
      <c r="U6856" s="15" t="str">
        <f>HYPERLINK("https://media.infra-m.ru/2232/2232493/cover/2232493.jpg", "Обложка")</f>
        <v>Обложка</v>
      </c>
      <c r="V6856" s="8" t="s">
        <v>10459</v>
      </c>
      <c r="W6856" s="6"/>
      <c r="X6856" s="6"/>
      <c r="Y6856" s="6"/>
      <c r="Z6856" s="6"/>
      <c r="AA6856" s="6" t="s">
        <v>157</v>
      </c>
      <c r="AB6856" s="8"/>
      <c r="AC6856" s="27">
        <v>9785160172309</v>
      </c>
    </row>
    <row r="6857" spans="1:29" s="4" customFormat="1" ht="51.9" customHeight="1" x14ac:dyDescent="0.2">
      <c r="A6857" s="5">
        <v>0</v>
      </c>
      <c r="B6857" s="6" t="s">
        <v>38901</v>
      </c>
      <c r="C6857" s="7">
        <v>1792.8</v>
      </c>
      <c r="D6857" s="8" t="s">
        <v>38902</v>
      </c>
      <c r="E6857" s="8" t="s">
        <v>38903</v>
      </c>
      <c r="F6857" s="8" t="s">
        <v>8184</v>
      </c>
      <c r="G6857" s="6" t="s">
        <v>60</v>
      </c>
      <c r="H6857" s="6" t="s">
        <v>134</v>
      </c>
      <c r="I6857" s="8"/>
      <c r="J6857" s="9">
        <v>1</v>
      </c>
      <c r="K6857" s="9">
        <v>272</v>
      </c>
      <c r="L6857" s="9">
        <v>2026</v>
      </c>
      <c r="M6857" s="8" t="s">
        <v>38904</v>
      </c>
      <c r="N6857" s="8" t="s">
        <v>37</v>
      </c>
      <c r="O6857" s="8" t="s">
        <v>136</v>
      </c>
      <c r="P6857" s="6" t="s">
        <v>51</v>
      </c>
      <c r="Q6857" s="8" t="s">
        <v>52</v>
      </c>
      <c r="R6857" s="10" t="s">
        <v>1275</v>
      </c>
      <c r="S6857" s="11"/>
      <c r="T6857" s="6"/>
      <c r="U6857" s="15" t="str">
        <f>HYPERLINK("https://media.infra-m.ru/2236/2236545/cover/2236545.jpg", "Обложка")</f>
        <v>Обложка</v>
      </c>
      <c r="V6857" s="8" t="s">
        <v>644</v>
      </c>
      <c r="W6857" s="6"/>
      <c r="X6857" s="6"/>
      <c r="Y6857" s="6"/>
      <c r="Z6857" s="6"/>
      <c r="AA6857" s="6" t="s">
        <v>115</v>
      </c>
      <c r="AB6857" s="8"/>
      <c r="AC6857" s="27">
        <v>9785917689784</v>
      </c>
    </row>
    <row r="6858" spans="1:29" s="4" customFormat="1" ht="51.9" customHeight="1" x14ac:dyDescent="0.2">
      <c r="A6858" s="5">
        <v>0</v>
      </c>
      <c r="B6858" s="6" t="s">
        <v>38905</v>
      </c>
      <c r="C6858" s="7">
        <v>3456</v>
      </c>
      <c r="D6858" s="8" t="s">
        <v>38906</v>
      </c>
      <c r="E6858" s="8" t="s">
        <v>38907</v>
      </c>
      <c r="F6858" s="8" t="s">
        <v>38908</v>
      </c>
      <c r="G6858" s="6" t="s">
        <v>118</v>
      </c>
      <c r="H6858" s="6" t="s">
        <v>5605</v>
      </c>
      <c r="I6858" s="8" t="s">
        <v>3092</v>
      </c>
      <c r="J6858" s="9">
        <v>1</v>
      </c>
      <c r="K6858" s="9">
        <v>608</v>
      </c>
      <c r="L6858" s="9">
        <v>2003</v>
      </c>
      <c r="M6858" s="8" t="s">
        <v>38909</v>
      </c>
      <c r="N6858" s="8" t="s">
        <v>37</v>
      </c>
      <c r="O6858" s="8" t="s">
        <v>233</v>
      </c>
      <c r="P6858" s="6" t="s">
        <v>1837</v>
      </c>
      <c r="Q6858" s="8" t="s">
        <v>40</v>
      </c>
      <c r="R6858" s="10" t="s">
        <v>23787</v>
      </c>
      <c r="S6858" s="11"/>
      <c r="T6858" s="6"/>
      <c r="U6858" s="12"/>
      <c r="V6858" s="8" t="s">
        <v>644</v>
      </c>
      <c r="W6858" s="6"/>
      <c r="X6858" s="6"/>
      <c r="Y6858" s="6"/>
      <c r="Z6858" s="6"/>
      <c r="AA6858" s="6" t="s">
        <v>10393</v>
      </c>
      <c r="AB6858" s="8"/>
      <c r="AC6858" s="27">
        <v>5862254536</v>
      </c>
    </row>
    <row r="6859" spans="1:29" s="4" customFormat="1" ht="51.9" customHeight="1" x14ac:dyDescent="0.2">
      <c r="A6859" s="5">
        <v>0</v>
      </c>
      <c r="B6859" s="6" t="s">
        <v>38910</v>
      </c>
      <c r="C6859" s="13">
        <v>676.8</v>
      </c>
      <c r="D6859" s="8" t="s">
        <v>38911</v>
      </c>
      <c r="E6859" s="8" t="s">
        <v>38912</v>
      </c>
      <c r="F6859" s="8" t="s">
        <v>1856</v>
      </c>
      <c r="G6859" s="6" t="s">
        <v>33</v>
      </c>
      <c r="H6859" s="6" t="s">
        <v>48</v>
      </c>
      <c r="I6859" s="8" t="s">
        <v>401</v>
      </c>
      <c r="J6859" s="9">
        <v>1</v>
      </c>
      <c r="K6859" s="9">
        <v>112</v>
      </c>
      <c r="L6859" s="9">
        <v>2025</v>
      </c>
      <c r="M6859" s="8" t="s">
        <v>38913</v>
      </c>
      <c r="N6859" s="8" t="s">
        <v>243</v>
      </c>
      <c r="O6859" s="8" t="s">
        <v>1100</v>
      </c>
      <c r="P6859" s="6" t="s">
        <v>1837</v>
      </c>
      <c r="Q6859" s="8" t="s">
        <v>265</v>
      </c>
      <c r="R6859" s="10" t="s">
        <v>38914</v>
      </c>
      <c r="S6859" s="11" t="s">
        <v>38915</v>
      </c>
      <c r="T6859" s="6"/>
      <c r="U6859" s="15" t="str">
        <f>HYPERLINK("https://media.infra-m.ru/2188/2188213/cover/2188213.jpg", "Обложка")</f>
        <v>Обложка</v>
      </c>
      <c r="V6859" s="8" t="s">
        <v>1853</v>
      </c>
      <c r="W6859" s="6"/>
      <c r="X6859" s="6"/>
      <c r="Y6859" s="6"/>
      <c r="Z6859" s="6"/>
      <c r="AA6859" s="6" t="s">
        <v>1047</v>
      </c>
      <c r="AB6859" s="8"/>
      <c r="AC6859" s="27">
        <v>9785911342883</v>
      </c>
    </row>
    <row r="6860" spans="1:29" s="4" customFormat="1" ht="44.1" customHeight="1" x14ac:dyDescent="0.2">
      <c r="A6860" s="5">
        <v>0</v>
      </c>
      <c r="B6860" s="6" t="s">
        <v>38916</v>
      </c>
      <c r="C6860" s="13">
        <v>504</v>
      </c>
      <c r="D6860" s="8" t="s">
        <v>38917</v>
      </c>
      <c r="E6860" s="8" t="s">
        <v>38918</v>
      </c>
      <c r="F6860" s="8" t="s">
        <v>38919</v>
      </c>
      <c r="G6860" s="6" t="s">
        <v>33</v>
      </c>
      <c r="H6860" s="6" t="s">
        <v>34</v>
      </c>
      <c r="I6860" s="8" t="s">
        <v>1835</v>
      </c>
      <c r="J6860" s="9">
        <v>1</v>
      </c>
      <c r="K6860" s="9">
        <v>73</v>
      </c>
      <c r="L6860" s="9">
        <v>2026</v>
      </c>
      <c r="M6860" s="8" t="s">
        <v>38920</v>
      </c>
      <c r="N6860" s="8" t="s">
        <v>63</v>
      </c>
      <c r="O6860" s="8" t="s">
        <v>64</v>
      </c>
      <c r="P6860" s="6" t="s">
        <v>1837</v>
      </c>
      <c r="Q6860" s="8" t="s">
        <v>40</v>
      </c>
      <c r="R6860" s="10" t="s">
        <v>38921</v>
      </c>
      <c r="S6860" s="11"/>
      <c r="T6860" s="6"/>
      <c r="U6860" s="15" t="str">
        <f>HYPERLINK("https://media.infra-m.ru/2260/2260452/cover/2260452.jpg", "Обложка")</f>
        <v>Обложка</v>
      </c>
      <c r="V6860" s="8" t="s">
        <v>3636</v>
      </c>
      <c r="W6860" s="6" t="s">
        <v>9380</v>
      </c>
      <c r="X6860" s="6"/>
      <c r="Y6860" s="6"/>
      <c r="Z6860" s="6"/>
      <c r="AA6860" s="6" t="s">
        <v>187</v>
      </c>
      <c r="AB6860" s="8"/>
      <c r="AC6860" s="27">
        <v>9785160216836</v>
      </c>
    </row>
    <row r="6861" spans="1:29" s="4" customFormat="1" ht="42" customHeight="1" x14ac:dyDescent="0.2">
      <c r="A6861" s="5">
        <v>0</v>
      </c>
      <c r="B6861" s="6" t="s">
        <v>38922</v>
      </c>
      <c r="C6861" s="13">
        <v>784.8</v>
      </c>
      <c r="D6861" s="8" t="s">
        <v>38923</v>
      </c>
      <c r="E6861" s="8" t="s">
        <v>38924</v>
      </c>
      <c r="F6861" s="8" t="s">
        <v>38925</v>
      </c>
      <c r="G6861" s="6" t="s">
        <v>33</v>
      </c>
      <c r="H6861" s="6" t="s">
        <v>34</v>
      </c>
      <c r="I6861" s="8" t="s">
        <v>271</v>
      </c>
      <c r="J6861" s="9">
        <v>1</v>
      </c>
      <c r="K6861" s="9">
        <v>143</v>
      </c>
      <c r="L6861" s="9">
        <v>2024</v>
      </c>
      <c r="M6861" s="8" t="s">
        <v>38926</v>
      </c>
      <c r="N6861" s="8" t="s">
        <v>63</v>
      </c>
      <c r="O6861" s="8" t="s">
        <v>64</v>
      </c>
      <c r="P6861" s="6" t="s">
        <v>51</v>
      </c>
      <c r="Q6861" s="8" t="s">
        <v>52</v>
      </c>
      <c r="R6861" s="10" t="s">
        <v>11123</v>
      </c>
      <c r="S6861" s="11"/>
      <c r="T6861" s="6"/>
      <c r="U6861" s="15" t="str">
        <f>HYPERLINK("https://media.infra-m.ru/2117/2117055/cover/2117055.jpg", "Обложка")</f>
        <v>Обложка</v>
      </c>
      <c r="V6861" s="8" t="s">
        <v>17277</v>
      </c>
      <c r="W6861" s="6"/>
      <c r="X6861" s="6"/>
      <c r="Y6861" s="6"/>
      <c r="Z6861" s="6"/>
      <c r="AA6861" s="6" t="s">
        <v>248</v>
      </c>
      <c r="AB6861" s="8"/>
      <c r="AC6861" s="27">
        <v>9785160093741</v>
      </c>
    </row>
    <row r="6862" spans="1:29" s="4" customFormat="1" ht="42" customHeight="1" x14ac:dyDescent="0.2">
      <c r="A6862" s="5">
        <v>0</v>
      </c>
      <c r="B6862" s="6" t="s">
        <v>38927</v>
      </c>
      <c r="C6862" s="7">
        <v>1768.8</v>
      </c>
      <c r="D6862" s="8" t="s">
        <v>38928</v>
      </c>
      <c r="E6862" s="8" t="s">
        <v>38929</v>
      </c>
      <c r="F6862" s="8" t="s">
        <v>38930</v>
      </c>
      <c r="G6862" s="6" t="s">
        <v>33</v>
      </c>
      <c r="H6862" s="6" t="s">
        <v>34</v>
      </c>
      <c r="I6862" s="8" t="s">
        <v>253</v>
      </c>
      <c r="J6862" s="9">
        <v>1</v>
      </c>
      <c r="K6862" s="9">
        <v>268</v>
      </c>
      <c r="L6862" s="9">
        <v>2026</v>
      </c>
      <c r="M6862" s="8" t="s">
        <v>38931</v>
      </c>
      <c r="N6862" s="8" t="s">
        <v>63</v>
      </c>
      <c r="O6862" s="8" t="s">
        <v>64</v>
      </c>
      <c r="P6862" s="6" t="s">
        <v>51</v>
      </c>
      <c r="Q6862" s="8" t="s">
        <v>52</v>
      </c>
      <c r="R6862" s="10" t="s">
        <v>38932</v>
      </c>
      <c r="S6862" s="11"/>
      <c r="T6862" s="6"/>
      <c r="U6862" s="15" t="str">
        <f>HYPERLINK("https://media.infra-m.ru/2241/2241955/cover/2241955.jpg", "Обложка")</f>
        <v>Обложка</v>
      </c>
      <c r="V6862" s="8" t="s">
        <v>6127</v>
      </c>
      <c r="W6862" s="6"/>
      <c r="X6862" s="6"/>
      <c r="Y6862" s="6"/>
      <c r="Z6862" s="6"/>
      <c r="AA6862" s="6" t="s">
        <v>55</v>
      </c>
      <c r="AB6862" s="8"/>
      <c r="AC6862" s="27">
        <v>9785160057637</v>
      </c>
    </row>
    <row r="6863" spans="1:29" s="4" customFormat="1" ht="51.9" customHeight="1" x14ac:dyDescent="0.2">
      <c r="A6863" s="5">
        <v>0</v>
      </c>
      <c r="B6863" s="6" t="s">
        <v>38933</v>
      </c>
      <c r="C6863" s="7">
        <v>1308</v>
      </c>
      <c r="D6863" s="8" t="s">
        <v>38934</v>
      </c>
      <c r="E6863" s="8" t="s">
        <v>38935</v>
      </c>
      <c r="F6863" s="8" t="s">
        <v>4896</v>
      </c>
      <c r="G6863" s="6" t="s">
        <v>60</v>
      </c>
      <c r="H6863" s="6" t="s">
        <v>34</v>
      </c>
      <c r="I6863" s="8" t="s">
        <v>35</v>
      </c>
      <c r="J6863" s="9">
        <v>1</v>
      </c>
      <c r="K6863" s="9">
        <v>219</v>
      </c>
      <c r="L6863" s="9">
        <v>2024</v>
      </c>
      <c r="M6863" s="8" t="s">
        <v>38936</v>
      </c>
      <c r="N6863" s="8" t="s">
        <v>63</v>
      </c>
      <c r="O6863" s="8" t="s">
        <v>64</v>
      </c>
      <c r="P6863" s="6" t="s">
        <v>39</v>
      </c>
      <c r="Q6863" s="8" t="s">
        <v>40</v>
      </c>
      <c r="R6863" s="10" t="s">
        <v>38937</v>
      </c>
      <c r="S6863" s="11"/>
      <c r="T6863" s="6"/>
      <c r="U6863" s="15" t="str">
        <f>HYPERLINK("https://media.infra-m.ru/2131/2131278/cover/2131278.jpg", "Обложка")</f>
        <v>Обложка</v>
      </c>
      <c r="V6863" s="8" t="s">
        <v>156</v>
      </c>
      <c r="W6863" s="6"/>
      <c r="X6863" s="6"/>
      <c r="Y6863" s="6"/>
      <c r="Z6863" s="6"/>
      <c r="AA6863" s="6" t="s">
        <v>76</v>
      </c>
      <c r="AB6863" s="8" t="s">
        <v>2208</v>
      </c>
      <c r="AC6863" s="27">
        <v>9785160196213</v>
      </c>
    </row>
    <row r="6864" spans="1:29" s="4" customFormat="1" ht="44.1" customHeight="1" x14ac:dyDescent="0.2">
      <c r="A6864" s="5">
        <v>0</v>
      </c>
      <c r="B6864" s="6" t="s">
        <v>38938</v>
      </c>
      <c r="C6864" s="13">
        <v>876</v>
      </c>
      <c r="D6864" s="8" t="s">
        <v>38939</v>
      </c>
      <c r="E6864" s="8" t="s">
        <v>38940</v>
      </c>
      <c r="F6864" s="8" t="s">
        <v>9504</v>
      </c>
      <c r="G6864" s="6" t="s">
        <v>33</v>
      </c>
      <c r="H6864" s="6" t="s">
        <v>34</v>
      </c>
      <c r="I6864" s="8" t="s">
        <v>35</v>
      </c>
      <c r="J6864" s="9">
        <v>1</v>
      </c>
      <c r="K6864" s="9">
        <v>121</v>
      </c>
      <c r="L6864" s="9">
        <v>2026</v>
      </c>
      <c r="M6864" s="8" t="s">
        <v>38941</v>
      </c>
      <c r="N6864" s="8" t="s">
        <v>63</v>
      </c>
      <c r="O6864" s="8" t="s">
        <v>64</v>
      </c>
      <c r="P6864" s="6" t="s">
        <v>39</v>
      </c>
      <c r="Q6864" s="8" t="s">
        <v>40</v>
      </c>
      <c r="R6864" s="10" t="s">
        <v>38942</v>
      </c>
      <c r="S6864" s="11"/>
      <c r="T6864" s="6"/>
      <c r="U6864" s="15" t="str">
        <f>HYPERLINK("https://media.infra-m.ru/2238/2238386/cover/2238386.jpg", "Обложка")</f>
        <v>Обложка</v>
      </c>
      <c r="V6864" s="8" t="s">
        <v>6127</v>
      </c>
      <c r="W6864" s="6"/>
      <c r="X6864" s="6"/>
      <c r="Y6864" s="6"/>
      <c r="Z6864" s="6"/>
      <c r="AA6864" s="6" t="s">
        <v>1256</v>
      </c>
      <c r="AB6864" s="8"/>
      <c r="AC6864" s="27">
        <v>9785160156927</v>
      </c>
    </row>
    <row r="6865" spans="1:29" s="4" customFormat="1" ht="51.9" customHeight="1" x14ac:dyDescent="0.2">
      <c r="A6865" s="5">
        <v>0</v>
      </c>
      <c r="B6865" s="6" t="s">
        <v>38943</v>
      </c>
      <c r="C6865" s="13">
        <v>708</v>
      </c>
      <c r="D6865" s="8" t="s">
        <v>38944</v>
      </c>
      <c r="E6865" s="8" t="s">
        <v>38945</v>
      </c>
      <c r="F6865" s="8" t="s">
        <v>38946</v>
      </c>
      <c r="G6865" s="6" t="s">
        <v>33</v>
      </c>
      <c r="H6865" s="6" t="s">
        <v>34</v>
      </c>
      <c r="I6865" s="8" t="s">
        <v>35</v>
      </c>
      <c r="J6865" s="9">
        <v>1</v>
      </c>
      <c r="K6865" s="9">
        <v>128</v>
      </c>
      <c r="L6865" s="9">
        <v>2024</v>
      </c>
      <c r="M6865" s="8" t="s">
        <v>38947</v>
      </c>
      <c r="N6865" s="8" t="s">
        <v>63</v>
      </c>
      <c r="O6865" s="8" t="s">
        <v>64</v>
      </c>
      <c r="P6865" s="6" t="s">
        <v>39</v>
      </c>
      <c r="Q6865" s="8" t="s">
        <v>40</v>
      </c>
      <c r="R6865" s="10" t="s">
        <v>17733</v>
      </c>
      <c r="S6865" s="11"/>
      <c r="T6865" s="6"/>
      <c r="U6865" s="15" t="str">
        <f>HYPERLINK("https://media.infra-m.ru/2080/2080776/cover/2080776.jpg", "Обложка")</f>
        <v>Обложка</v>
      </c>
      <c r="V6865" s="8" t="s">
        <v>322</v>
      </c>
      <c r="W6865" s="6"/>
      <c r="X6865" s="6"/>
      <c r="Y6865" s="6"/>
      <c r="Z6865" s="6"/>
      <c r="AA6865" s="6" t="s">
        <v>55</v>
      </c>
      <c r="AB6865" s="8"/>
      <c r="AC6865" s="27">
        <v>9785160089751</v>
      </c>
    </row>
    <row r="6866" spans="1:29" s="4" customFormat="1" ht="51.9" customHeight="1" x14ac:dyDescent="0.2">
      <c r="A6866" s="5">
        <v>0</v>
      </c>
      <c r="B6866" s="6" t="s">
        <v>38948</v>
      </c>
      <c r="C6866" s="7">
        <v>1800</v>
      </c>
      <c r="D6866" s="8" t="s">
        <v>38949</v>
      </c>
      <c r="E6866" s="8" t="s">
        <v>38950</v>
      </c>
      <c r="F6866" s="8" t="s">
        <v>7408</v>
      </c>
      <c r="G6866" s="6" t="s">
        <v>118</v>
      </c>
      <c r="H6866" s="6" t="s">
        <v>34</v>
      </c>
      <c r="I6866" s="8" t="s">
        <v>271</v>
      </c>
      <c r="J6866" s="9">
        <v>1</v>
      </c>
      <c r="K6866" s="9">
        <v>418</v>
      </c>
      <c r="L6866" s="9">
        <v>2021</v>
      </c>
      <c r="M6866" s="8" t="s">
        <v>38951</v>
      </c>
      <c r="N6866" s="8" t="s">
        <v>37</v>
      </c>
      <c r="O6866" s="8" t="s">
        <v>136</v>
      </c>
      <c r="P6866" s="6" t="s">
        <v>306</v>
      </c>
      <c r="Q6866" s="8" t="s">
        <v>52</v>
      </c>
      <c r="R6866" s="10" t="s">
        <v>38952</v>
      </c>
      <c r="S6866" s="11" t="s">
        <v>38953</v>
      </c>
      <c r="T6866" s="6"/>
      <c r="U6866" s="15" t="str">
        <f>HYPERLINK("https://media.infra-m.ru/1217/1217734/cover/1217734.jpg", "Обложка")</f>
        <v>Обложка</v>
      </c>
      <c r="V6866" s="8" t="s">
        <v>3243</v>
      </c>
      <c r="W6866" s="6"/>
      <c r="X6866" s="6" t="s">
        <v>24</v>
      </c>
      <c r="Y6866" s="6"/>
      <c r="Z6866" s="6"/>
      <c r="AA6866" s="6" t="s">
        <v>218</v>
      </c>
      <c r="AB6866" s="8"/>
      <c r="AC6866" s="27">
        <v>9785160159362</v>
      </c>
    </row>
    <row r="6867" spans="1:29" s="4" customFormat="1" ht="51.9" customHeight="1" x14ac:dyDescent="0.2">
      <c r="A6867" s="5">
        <v>0</v>
      </c>
      <c r="B6867" s="6" t="s">
        <v>38954</v>
      </c>
      <c r="C6867" s="7">
        <v>1313.9</v>
      </c>
      <c r="D6867" s="8" t="s">
        <v>38955</v>
      </c>
      <c r="E6867" s="8" t="s">
        <v>38956</v>
      </c>
      <c r="F6867" s="8" t="s">
        <v>7408</v>
      </c>
      <c r="G6867" s="6" t="s">
        <v>60</v>
      </c>
      <c r="H6867" s="6" t="s">
        <v>34</v>
      </c>
      <c r="I6867" s="8" t="s">
        <v>271</v>
      </c>
      <c r="J6867" s="9">
        <v>1</v>
      </c>
      <c r="K6867" s="9">
        <v>376</v>
      </c>
      <c r="L6867" s="9">
        <v>2018</v>
      </c>
      <c r="M6867" s="8" t="s">
        <v>38957</v>
      </c>
      <c r="N6867" s="8" t="s">
        <v>37</v>
      </c>
      <c r="O6867" s="8" t="s">
        <v>136</v>
      </c>
      <c r="P6867" s="6" t="s">
        <v>306</v>
      </c>
      <c r="Q6867" s="8" t="s">
        <v>52</v>
      </c>
      <c r="R6867" s="10" t="s">
        <v>38952</v>
      </c>
      <c r="S6867" s="11" t="s">
        <v>11162</v>
      </c>
      <c r="T6867" s="6"/>
      <c r="U6867" s="15" t="str">
        <f>HYPERLINK("https://media.infra-m.ru/0926/0926864/cover/926864.jpg", "Обложка")</f>
        <v>Обложка</v>
      </c>
      <c r="V6867" s="8" t="s">
        <v>3243</v>
      </c>
      <c r="W6867" s="6"/>
      <c r="X6867" s="6" t="s">
        <v>24</v>
      </c>
      <c r="Y6867" s="6"/>
      <c r="Z6867" s="6"/>
      <c r="AA6867" s="6" t="s">
        <v>779</v>
      </c>
      <c r="AB6867" s="8"/>
      <c r="AC6867" s="27">
        <v>9785160119304</v>
      </c>
    </row>
    <row r="6868" spans="1:29" s="4" customFormat="1" ht="51.9" customHeight="1" x14ac:dyDescent="0.2">
      <c r="A6868" s="5">
        <v>0</v>
      </c>
      <c r="B6868" s="6" t="s">
        <v>38958</v>
      </c>
      <c r="C6868" s="7">
        <v>1044</v>
      </c>
      <c r="D6868" s="8" t="s">
        <v>38959</v>
      </c>
      <c r="E6868" s="8" t="s">
        <v>38960</v>
      </c>
      <c r="F6868" s="8" t="s">
        <v>7121</v>
      </c>
      <c r="G6868" s="6" t="s">
        <v>33</v>
      </c>
      <c r="H6868" s="6" t="s">
        <v>34</v>
      </c>
      <c r="I6868" s="8" t="s">
        <v>214</v>
      </c>
      <c r="J6868" s="9">
        <v>1</v>
      </c>
      <c r="K6868" s="9">
        <v>173</v>
      </c>
      <c r="L6868" s="9">
        <v>2025</v>
      </c>
      <c r="M6868" s="8" t="s">
        <v>38961</v>
      </c>
      <c r="N6868" s="8" t="s">
        <v>37</v>
      </c>
      <c r="O6868" s="8" t="s">
        <v>38</v>
      </c>
      <c r="P6868" s="6" t="s">
        <v>39</v>
      </c>
      <c r="Q6868" s="8" t="s">
        <v>500</v>
      </c>
      <c r="R6868" s="10" t="s">
        <v>17020</v>
      </c>
      <c r="S6868" s="11"/>
      <c r="T6868" s="6"/>
      <c r="U6868" s="15" t="str">
        <f>HYPERLINK("https://media.infra-m.ru/2184/2184876/cover/2184876.jpg", "Обложка")</f>
        <v>Обложка</v>
      </c>
      <c r="V6868" s="8" t="s">
        <v>217</v>
      </c>
      <c r="W6868" s="6"/>
      <c r="X6868" s="6"/>
      <c r="Y6868" s="6"/>
      <c r="Z6868" s="6"/>
      <c r="AA6868" s="6" t="s">
        <v>1256</v>
      </c>
      <c r="AB6868" s="8"/>
      <c r="AC6868" s="27">
        <v>9785160157993</v>
      </c>
    </row>
    <row r="6869" spans="1:29" s="4" customFormat="1" ht="42" customHeight="1" x14ac:dyDescent="0.2">
      <c r="A6869" s="5">
        <v>0</v>
      </c>
      <c r="B6869" s="6" t="s">
        <v>38962</v>
      </c>
      <c r="C6869" s="7">
        <v>1156.8</v>
      </c>
      <c r="D6869" s="8" t="s">
        <v>38963</v>
      </c>
      <c r="E6869" s="8" t="s">
        <v>38964</v>
      </c>
      <c r="F6869" s="8" t="s">
        <v>38965</v>
      </c>
      <c r="G6869" s="6" t="s">
        <v>60</v>
      </c>
      <c r="H6869" s="6" t="s">
        <v>134</v>
      </c>
      <c r="I6869" s="8"/>
      <c r="J6869" s="9">
        <v>1</v>
      </c>
      <c r="K6869" s="9">
        <v>184</v>
      </c>
      <c r="L6869" s="9">
        <v>2026</v>
      </c>
      <c r="M6869" s="8" t="s">
        <v>38966</v>
      </c>
      <c r="N6869" s="8" t="s">
        <v>37</v>
      </c>
      <c r="O6869" s="8" t="s">
        <v>136</v>
      </c>
      <c r="P6869" s="6" t="s">
        <v>39</v>
      </c>
      <c r="Q6869" s="8" t="s">
        <v>40</v>
      </c>
      <c r="R6869" s="10" t="s">
        <v>8485</v>
      </c>
      <c r="S6869" s="11"/>
      <c r="T6869" s="6"/>
      <c r="U6869" s="15" t="str">
        <f>HYPERLINK("https://media.infra-m.ru/2221/2221454/cover/2221454.jpg", "Обложка")</f>
        <v>Обложка</v>
      </c>
      <c r="V6869" s="8" t="s">
        <v>138</v>
      </c>
      <c r="W6869" s="6"/>
      <c r="X6869" s="6"/>
      <c r="Y6869" s="6"/>
      <c r="Z6869" s="6"/>
      <c r="AA6869" s="6" t="s">
        <v>430</v>
      </c>
      <c r="AB6869" s="8"/>
      <c r="AC6869" s="27">
        <v>9785001561071</v>
      </c>
    </row>
    <row r="6870" spans="1:29" s="4" customFormat="1" ht="51.9" customHeight="1" x14ac:dyDescent="0.2">
      <c r="A6870" s="5">
        <v>0</v>
      </c>
      <c r="B6870" s="6" t="s">
        <v>38967</v>
      </c>
      <c r="C6870" s="7">
        <v>1800</v>
      </c>
      <c r="D6870" s="8" t="s">
        <v>38968</v>
      </c>
      <c r="E6870" s="8" t="s">
        <v>38969</v>
      </c>
      <c r="F6870" s="8" t="s">
        <v>15650</v>
      </c>
      <c r="G6870" s="6" t="s">
        <v>118</v>
      </c>
      <c r="H6870" s="6" t="s">
        <v>34</v>
      </c>
      <c r="I6870" s="8" t="s">
        <v>253</v>
      </c>
      <c r="J6870" s="9">
        <v>1</v>
      </c>
      <c r="K6870" s="9">
        <v>298</v>
      </c>
      <c r="L6870" s="9">
        <v>2025</v>
      </c>
      <c r="M6870" s="8" t="s">
        <v>38970</v>
      </c>
      <c r="N6870" s="8" t="s">
        <v>37</v>
      </c>
      <c r="O6870" s="8" t="s">
        <v>499</v>
      </c>
      <c r="P6870" s="6" t="s">
        <v>306</v>
      </c>
      <c r="Q6870" s="8" t="s">
        <v>52</v>
      </c>
      <c r="R6870" s="10" t="s">
        <v>19842</v>
      </c>
      <c r="S6870" s="11" t="s">
        <v>15653</v>
      </c>
      <c r="T6870" s="6"/>
      <c r="U6870" s="15" t="str">
        <f>HYPERLINK("https://media.infra-m.ru/2191/2191265/cover/2191265.jpg", "Обложка")</f>
        <v>Обложка</v>
      </c>
      <c r="V6870" s="8" t="s">
        <v>3177</v>
      </c>
      <c r="W6870" s="6"/>
      <c r="X6870" s="6"/>
      <c r="Y6870" s="6"/>
      <c r="Z6870" s="6"/>
      <c r="AA6870" s="6" t="s">
        <v>430</v>
      </c>
      <c r="AB6870" s="8"/>
      <c r="AC6870" s="27">
        <v>9785160207414</v>
      </c>
    </row>
    <row r="6871" spans="1:29" s="4" customFormat="1" ht="51.9" customHeight="1" x14ac:dyDescent="0.2">
      <c r="A6871" s="5">
        <v>0</v>
      </c>
      <c r="B6871" s="6" t="s">
        <v>38971</v>
      </c>
      <c r="C6871" s="7">
        <v>1492.8</v>
      </c>
      <c r="D6871" s="8" t="s">
        <v>38972</v>
      </c>
      <c r="E6871" s="8" t="s">
        <v>38973</v>
      </c>
      <c r="F6871" s="8" t="s">
        <v>38974</v>
      </c>
      <c r="G6871" s="6" t="s">
        <v>118</v>
      </c>
      <c r="H6871" s="6" t="s">
        <v>34</v>
      </c>
      <c r="I6871" s="8"/>
      <c r="J6871" s="9">
        <v>1</v>
      </c>
      <c r="K6871" s="9">
        <v>214</v>
      </c>
      <c r="L6871" s="9">
        <v>2027</v>
      </c>
      <c r="M6871" s="8" t="s">
        <v>38975</v>
      </c>
      <c r="N6871" s="8" t="s">
        <v>37</v>
      </c>
      <c r="O6871" s="8" t="s">
        <v>290</v>
      </c>
      <c r="P6871" s="6" t="s">
        <v>1481</v>
      </c>
      <c r="Q6871" s="8" t="s">
        <v>749</v>
      </c>
      <c r="R6871" s="10" t="s">
        <v>38976</v>
      </c>
      <c r="S6871" s="11"/>
      <c r="T6871" s="6" t="s">
        <v>97</v>
      </c>
      <c r="U6871" s="15" t="str">
        <f>HYPERLINK("https://media.infra-m.ru/2267/2267800/cover/2267800.jpg", "Обложка")</f>
        <v>Обложка</v>
      </c>
      <c r="V6871" s="8" t="s">
        <v>227</v>
      </c>
      <c r="W6871" s="6"/>
      <c r="X6871" s="6"/>
      <c r="Y6871" s="6"/>
      <c r="Z6871" s="6"/>
      <c r="AA6871" s="6" t="s">
        <v>274</v>
      </c>
      <c r="AB6871" s="8"/>
      <c r="AC6871" s="27">
        <v>9785160099354</v>
      </c>
    </row>
    <row r="6872" spans="1:29" s="4" customFormat="1" ht="51.9" customHeight="1" x14ac:dyDescent="0.2">
      <c r="A6872" s="5">
        <v>0</v>
      </c>
      <c r="B6872" s="6" t="s">
        <v>38977</v>
      </c>
      <c r="C6872" s="13">
        <v>736.8</v>
      </c>
      <c r="D6872" s="8" t="s">
        <v>38978</v>
      </c>
      <c r="E6872" s="8" t="s">
        <v>38979</v>
      </c>
      <c r="F6872" s="8" t="s">
        <v>38980</v>
      </c>
      <c r="G6872" s="6" t="s">
        <v>33</v>
      </c>
      <c r="H6872" s="6" t="s">
        <v>134</v>
      </c>
      <c r="I6872" s="8"/>
      <c r="J6872" s="9">
        <v>1</v>
      </c>
      <c r="K6872" s="9">
        <v>112</v>
      </c>
      <c r="L6872" s="9">
        <v>2026</v>
      </c>
      <c r="M6872" s="8" t="s">
        <v>38981</v>
      </c>
      <c r="N6872" s="8" t="s">
        <v>37</v>
      </c>
      <c r="O6872" s="8" t="s">
        <v>136</v>
      </c>
      <c r="P6872" s="6" t="s">
        <v>39</v>
      </c>
      <c r="Q6872" s="8" t="s">
        <v>40</v>
      </c>
      <c r="R6872" s="10" t="s">
        <v>38982</v>
      </c>
      <c r="S6872" s="11"/>
      <c r="T6872" s="6"/>
      <c r="U6872" s="15" t="str">
        <f>HYPERLINK("https://media.infra-m.ru/2199/2199045/cover/2199045.jpg", "Обложка")</f>
        <v>Обложка</v>
      </c>
      <c r="V6872" s="8" t="s">
        <v>9943</v>
      </c>
      <c r="W6872" s="6"/>
      <c r="X6872" s="6"/>
      <c r="Y6872" s="6"/>
      <c r="Z6872" s="6"/>
      <c r="AA6872" s="6" t="s">
        <v>274</v>
      </c>
      <c r="AB6872" s="8"/>
      <c r="AC6872" s="27">
        <v>9785917685717</v>
      </c>
    </row>
    <row r="6873" spans="1:29" s="4" customFormat="1" ht="51.9" customHeight="1" x14ac:dyDescent="0.2">
      <c r="A6873" s="5">
        <v>0</v>
      </c>
      <c r="B6873" s="6" t="s">
        <v>38983</v>
      </c>
      <c r="C6873" s="13">
        <v>473.9</v>
      </c>
      <c r="D6873" s="8" t="s">
        <v>38984</v>
      </c>
      <c r="E6873" s="8" t="s">
        <v>38979</v>
      </c>
      <c r="F6873" s="8" t="s">
        <v>38980</v>
      </c>
      <c r="G6873" s="6" t="s">
        <v>60</v>
      </c>
      <c r="H6873" s="6" t="s">
        <v>134</v>
      </c>
      <c r="I6873" s="8"/>
      <c r="J6873" s="9">
        <v>1</v>
      </c>
      <c r="K6873" s="9">
        <v>112</v>
      </c>
      <c r="L6873" s="9">
        <v>2020</v>
      </c>
      <c r="M6873" s="8" t="s">
        <v>38981</v>
      </c>
      <c r="N6873" s="8" t="s">
        <v>37</v>
      </c>
      <c r="O6873" s="8" t="s">
        <v>136</v>
      </c>
      <c r="P6873" s="6" t="s">
        <v>39</v>
      </c>
      <c r="Q6873" s="8" t="s">
        <v>40</v>
      </c>
      <c r="R6873" s="10" t="s">
        <v>38982</v>
      </c>
      <c r="S6873" s="11"/>
      <c r="T6873" s="6"/>
      <c r="U6873" s="12"/>
      <c r="V6873" s="8" t="s">
        <v>9943</v>
      </c>
      <c r="W6873" s="6"/>
      <c r="X6873" s="6"/>
      <c r="Y6873" s="6"/>
      <c r="Z6873" s="6"/>
      <c r="AA6873" s="6" t="s">
        <v>274</v>
      </c>
      <c r="AB6873" s="8"/>
      <c r="AC6873" s="27">
        <v>9785917685717</v>
      </c>
    </row>
    <row r="6874" spans="1:29" s="4" customFormat="1" ht="51.9" customHeight="1" x14ac:dyDescent="0.2">
      <c r="A6874" s="5">
        <v>0</v>
      </c>
      <c r="B6874" s="6" t="s">
        <v>38985</v>
      </c>
      <c r="C6874" s="13">
        <v>552.5</v>
      </c>
      <c r="D6874" s="8" t="s">
        <v>38986</v>
      </c>
      <c r="E6874" s="8" t="s">
        <v>38987</v>
      </c>
      <c r="F6874" s="8" t="s">
        <v>38988</v>
      </c>
      <c r="G6874" s="6" t="s">
        <v>7062</v>
      </c>
      <c r="H6874" s="6" t="s">
        <v>38989</v>
      </c>
      <c r="I6874" s="8"/>
      <c r="J6874" s="9">
        <v>4</v>
      </c>
      <c r="K6874" s="9">
        <v>616</v>
      </c>
      <c r="L6874" s="9">
        <v>2013</v>
      </c>
      <c r="M6874" s="8" t="s">
        <v>38990</v>
      </c>
      <c r="N6874" s="8" t="s">
        <v>37</v>
      </c>
      <c r="O6874" s="8" t="s">
        <v>83</v>
      </c>
      <c r="P6874" s="6" t="s">
        <v>8120</v>
      </c>
      <c r="Q6874" s="8"/>
      <c r="R6874" s="10" t="s">
        <v>23916</v>
      </c>
      <c r="S6874" s="11"/>
      <c r="T6874" s="6"/>
      <c r="U6874" s="12"/>
      <c r="V6874" s="8" t="s">
        <v>227</v>
      </c>
      <c r="W6874" s="6"/>
      <c r="X6874" s="6"/>
      <c r="Y6874" s="6"/>
      <c r="Z6874" s="6"/>
      <c r="AA6874" s="6" t="s">
        <v>55</v>
      </c>
      <c r="AB6874" s="8"/>
      <c r="AC6874" s="27">
        <v>9785777705556</v>
      </c>
    </row>
    <row r="6875" spans="1:29" s="4" customFormat="1" ht="51.9" customHeight="1" x14ac:dyDescent="0.2">
      <c r="A6875" s="5">
        <v>0</v>
      </c>
      <c r="B6875" s="6" t="s">
        <v>38991</v>
      </c>
      <c r="C6875" s="13">
        <v>552.5</v>
      </c>
      <c r="D6875" s="8" t="s">
        <v>38992</v>
      </c>
      <c r="E6875" s="8" t="s">
        <v>38987</v>
      </c>
      <c r="F6875" s="8" t="s">
        <v>38988</v>
      </c>
      <c r="G6875" s="6" t="s">
        <v>7062</v>
      </c>
      <c r="H6875" s="6" t="s">
        <v>38989</v>
      </c>
      <c r="I6875" s="8"/>
      <c r="J6875" s="9">
        <v>6</v>
      </c>
      <c r="K6875" s="9">
        <v>648</v>
      </c>
      <c r="L6875" s="9">
        <v>2012</v>
      </c>
      <c r="M6875" s="8" t="s">
        <v>38993</v>
      </c>
      <c r="N6875" s="8" t="s">
        <v>37</v>
      </c>
      <c r="O6875" s="8" t="s">
        <v>83</v>
      </c>
      <c r="P6875" s="6" t="s">
        <v>8120</v>
      </c>
      <c r="Q6875" s="8" t="s">
        <v>40</v>
      </c>
      <c r="R6875" s="10" t="s">
        <v>23916</v>
      </c>
      <c r="S6875" s="11"/>
      <c r="T6875" s="6"/>
      <c r="U6875" s="12"/>
      <c r="V6875" s="8" t="s">
        <v>227</v>
      </c>
      <c r="W6875" s="6"/>
      <c r="X6875" s="6"/>
      <c r="Y6875" s="6"/>
      <c r="Z6875" s="6"/>
      <c r="AA6875" s="6" t="s">
        <v>43</v>
      </c>
      <c r="AB6875" s="8"/>
      <c r="AC6875" s="27">
        <v>9785777705181</v>
      </c>
    </row>
    <row r="6876" spans="1:29" s="4" customFormat="1" ht="51.9" customHeight="1" x14ac:dyDescent="0.2">
      <c r="A6876" s="5">
        <v>0</v>
      </c>
      <c r="B6876" s="6" t="s">
        <v>38994</v>
      </c>
      <c r="C6876" s="13">
        <v>552.5</v>
      </c>
      <c r="D6876" s="8" t="s">
        <v>38995</v>
      </c>
      <c r="E6876" s="8" t="s">
        <v>38987</v>
      </c>
      <c r="F6876" s="8" t="s">
        <v>38996</v>
      </c>
      <c r="G6876" s="6" t="s">
        <v>7062</v>
      </c>
      <c r="H6876" s="6" t="s">
        <v>38989</v>
      </c>
      <c r="I6876" s="8"/>
      <c r="J6876" s="9">
        <v>6</v>
      </c>
      <c r="K6876" s="9">
        <v>608</v>
      </c>
      <c r="L6876" s="9">
        <v>2011</v>
      </c>
      <c r="M6876" s="8" t="s">
        <v>38997</v>
      </c>
      <c r="N6876" s="8" t="s">
        <v>37</v>
      </c>
      <c r="O6876" s="8" t="s">
        <v>83</v>
      </c>
      <c r="P6876" s="6" t="s">
        <v>8120</v>
      </c>
      <c r="Q6876" s="8"/>
      <c r="R6876" s="10" t="s">
        <v>23916</v>
      </c>
      <c r="S6876" s="11"/>
      <c r="T6876" s="6"/>
      <c r="U6876" s="12"/>
      <c r="V6876" s="8" t="s">
        <v>227</v>
      </c>
      <c r="W6876" s="6"/>
      <c r="X6876" s="6"/>
      <c r="Y6876" s="6"/>
      <c r="Z6876" s="6"/>
      <c r="AA6876" s="6" t="s">
        <v>129</v>
      </c>
      <c r="AB6876" s="8"/>
      <c r="AC6876" s="27">
        <v>9785777705082</v>
      </c>
    </row>
    <row r="6877" spans="1:29" s="4" customFormat="1" ht="42" customHeight="1" x14ac:dyDescent="0.2">
      <c r="A6877" s="5">
        <v>0</v>
      </c>
      <c r="B6877" s="6" t="s">
        <v>38998</v>
      </c>
      <c r="C6877" s="7">
        <v>1768.8</v>
      </c>
      <c r="D6877" s="8" t="s">
        <v>38999</v>
      </c>
      <c r="E6877" s="8" t="s">
        <v>39000</v>
      </c>
      <c r="F6877" s="8" t="s">
        <v>21836</v>
      </c>
      <c r="G6877" s="6" t="s">
        <v>60</v>
      </c>
      <c r="H6877" s="6" t="s">
        <v>134</v>
      </c>
      <c r="I6877" s="8"/>
      <c r="J6877" s="9">
        <v>1</v>
      </c>
      <c r="K6877" s="9">
        <v>320</v>
      </c>
      <c r="L6877" s="9">
        <v>2023</v>
      </c>
      <c r="M6877" s="8" t="s">
        <v>39001</v>
      </c>
      <c r="N6877" s="8" t="s">
        <v>37</v>
      </c>
      <c r="O6877" s="8" t="s">
        <v>136</v>
      </c>
      <c r="P6877" s="6" t="s">
        <v>39</v>
      </c>
      <c r="Q6877" s="8" t="s">
        <v>40</v>
      </c>
      <c r="R6877" s="10" t="s">
        <v>1631</v>
      </c>
      <c r="S6877" s="11"/>
      <c r="T6877" s="6"/>
      <c r="U6877" s="15" t="str">
        <f>HYPERLINK("https://media.infra-m.ru/2050/2050523/cover/2050523.jpg", "Обложка")</f>
        <v>Обложка</v>
      </c>
      <c r="V6877" s="8" t="s">
        <v>6114</v>
      </c>
      <c r="W6877" s="6"/>
      <c r="X6877" s="6"/>
      <c r="Y6877" s="6"/>
      <c r="Z6877" s="6"/>
      <c r="AA6877" s="6" t="s">
        <v>55</v>
      </c>
      <c r="AB6877" s="8"/>
      <c r="AC6877" s="27">
        <v>9785917683294</v>
      </c>
    </row>
    <row r="6878" spans="1:29" s="4" customFormat="1" ht="42" customHeight="1" x14ac:dyDescent="0.2">
      <c r="A6878" s="5">
        <v>0</v>
      </c>
      <c r="B6878" s="6" t="s">
        <v>39002</v>
      </c>
      <c r="C6878" s="7">
        <v>1020</v>
      </c>
      <c r="D6878" s="8" t="s">
        <v>39003</v>
      </c>
      <c r="E6878" s="8" t="s">
        <v>39004</v>
      </c>
      <c r="F6878" s="8" t="s">
        <v>39005</v>
      </c>
      <c r="G6878" s="6" t="s">
        <v>60</v>
      </c>
      <c r="H6878" s="6" t="s">
        <v>34</v>
      </c>
      <c r="I6878" s="8" t="s">
        <v>35</v>
      </c>
      <c r="J6878" s="9">
        <v>1</v>
      </c>
      <c r="K6878" s="9">
        <v>173</v>
      </c>
      <c r="L6878" s="9">
        <v>2023</v>
      </c>
      <c r="M6878" s="8" t="s">
        <v>39006</v>
      </c>
      <c r="N6878" s="8" t="s">
        <v>243</v>
      </c>
      <c r="O6878" s="8" t="s">
        <v>329</v>
      </c>
      <c r="P6878" s="6" t="s">
        <v>39</v>
      </c>
      <c r="Q6878" s="8" t="s">
        <v>40</v>
      </c>
      <c r="R6878" s="10" t="s">
        <v>39007</v>
      </c>
      <c r="S6878" s="11"/>
      <c r="T6878" s="6"/>
      <c r="U6878" s="15" t="str">
        <f>HYPERLINK("https://media.infra-m.ru/1974/1974287/cover/1974287.jpg", "Обложка")</f>
        <v>Обложка</v>
      </c>
      <c r="V6878" s="8" t="s">
        <v>227</v>
      </c>
      <c r="W6878" s="6"/>
      <c r="X6878" s="6"/>
      <c r="Y6878" s="6"/>
      <c r="Z6878" s="6"/>
      <c r="AA6878" s="6" t="s">
        <v>157</v>
      </c>
      <c r="AB6878" s="8"/>
      <c r="AC6878" s="27">
        <v>9785160183138</v>
      </c>
    </row>
    <row r="6879" spans="1:29" s="4" customFormat="1" ht="42" customHeight="1" x14ac:dyDescent="0.2">
      <c r="A6879" s="5">
        <v>0</v>
      </c>
      <c r="B6879" s="6" t="s">
        <v>39008</v>
      </c>
      <c r="C6879" s="7">
        <v>1540.8</v>
      </c>
      <c r="D6879" s="8" t="s">
        <v>39009</v>
      </c>
      <c r="E6879" s="8" t="s">
        <v>39010</v>
      </c>
      <c r="F6879" s="8" t="s">
        <v>17006</v>
      </c>
      <c r="G6879" s="6" t="s">
        <v>60</v>
      </c>
      <c r="H6879" s="6" t="s">
        <v>34</v>
      </c>
      <c r="I6879" s="8" t="s">
        <v>35</v>
      </c>
      <c r="J6879" s="9">
        <v>1</v>
      </c>
      <c r="K6879" s="9">
        <v>234</v>
      </c>
      <c r="L6879" s="9">
        <v>2026</v>
      </c>
      <c r="M6879" s="8" t="s">
        <v>39011</v>
      </c>
      <c r="N6879" s="8" t="s">
        <v>37</v>
      </c>
      <c r="O6879" s="8" t="s">
        <v>233</v>
      </c>
      <c r="P6879" s="6" t="s">
        <v>39</v>
      </c>
      <c r="Q6879" s="8" t="s">
        <v>40</v>
      </c>
      <c r="R6879" s="10" t="s">
        <v>18617</v>
      </c>
      <c r="S6879" s="11"/>
      <c r="T6879" s="6"/>
      <c r="U6879" s="15" t="str">
        <f>HYPERLINK("https://media.infra-m.ru/2243/2243261/cover/2243261.jpg", "Обложка")</f>
        <v>Обложка</v>
      </c>
      <c r="V6879" s="8" t="s">
        <v>644</v>
      </c>
      <c r="W6879" s="6"/>
      <c r="X6879" s="6"/>
      <c r="Y6879" s="6"/>
      <c r="Z6879" s="6"/>
      <c r="AA6879" s="6" t="s">
        <v>274</v>
      </c>
      <c r="AB6879" s="8"/>
      <c r="AC6879" s="27">
        <v>9785160124353</v>
      </c>
    </row>
    <row r="6880" spans="1:29" s="4" customFormat="1" ht="42" customHeight="1" x14ac:dyDescent="0.2">
      <c r="A6880" s="5">
        <v>0</v>
      </c>
      <c r="B6880" s="6" t="s">
        <v>39012</v>
      </c>
      <c r="C6880" s="13">
        <v>881.9</v>
      </c>
      <c r="D6880" s="8" t="s">
        <v>39013</v>
      </c>
      <c r="E6880" s="8" t="s">
        <v>39010</v>
      </c>
      <c r="F6880" s="8" t="s">
        <v>39014</v>
      </c>
      <c r="G6880" s="6" t="s">
        <v>33</v>
      </c>
      <c r="H6880" s="6" t="s">
        <v>34</v>
      </c>
      <c r="I6880" s="8" t="s">
        <v>35</v>
      </c>
      <c r="J6880" s="9">
        <v>30</v>
      </c>
      <c r="K6880" s="9">
        <v>234</v>
      </c>
      <c r="L6880" s="9">
        <v>2018</v>
      </c>
      <c r="M6880" s="8" t="s">
        <v>39015</v>
      </c>
      <c r="N6880" s="8" t="s">
        <v>37</v>
      </c>
      <c r="O6880" s="8" t="s">
        <v>233</v>
      </c>
      <c r="P6880" s="6" t="s">
        <v>39</v>
      </c>
      <c r="Q6880" s="8" t="s">
        <v>40</v>
      </c>
      <c r="R6880" s="10" t="s">
        <v>18617</v>
      </c>
      <c r="S6880" s="11"/>
      <c r="T6880" s="6"/>
      <c r="U6880" s="15" t="str">
        <f>HYPERLINK("https://media.infra-m.ru/0941/0941251/cover/941251.jpg", "Обложка")</f>
        <v>Обложка</v>
      </c>
      <c r="V6880" s="8" t="s">
        <v>644</v>
      </c>
      <c r="W6880" s="6"/>
      <c r="X6880" s="6"/>
      <c r="Y6880" s="6"/>
      <c r="Z6880" s="6"/>
      <c r="AA6880" s="6" t="s">
        <v>274</v>
      </c>
      <c r="AB6880" s="8"/>
      <c r="AC6880" s="27">
        <v>9785160112169</v>
      </c>
    </row>
    <row r="6881" spans="1:29" s="4" customFormat="1" ht="51.9" customHeight="1" x14ac:dyDescent="0.2">
      <c r="A6881" s="5">
        <v>0</v>
      </c>
      <c r="B6881" s="6" t="s">
        <v>39016</v>
      </c>
      <c r="C6881" s="7">
        <v>1588.8</v>
      </c>
      <c r="D6881" s="8" t="s">
        <v>39017</v>
      </c>
      <c r="E6881" s="8" t="s">
        <v>39018</v>
      </c>
      <c r="F6881" s="8" t="s">
        <v>39019</v>
      </c>
      <c r="G6881" s="6" t="s">
        <v>33</v>
      </c>
      <c r="H6881" s="6" t="s">
        <v>34</v>
      </c>
      <c r="I6881" s="8" t="s">
        <v>457</v>
      </c>
      <c r="J6881" s="9">
        <v>1</v>
      </c>
      <c r="K6881" s="9">
        <v>255</v>
      </c>
      <c r="L6881" s="9">
        <v>2025</v>
      </c>
      <c r="M6881" s="8" t="s">
        <v>39020</v>
      </c>
      <c r="N6881" s="8" t="s">
        <v>37</v>
      </c>
      <c r="O6881" s="8" t="s">
        <v>280</v>
      </c>
      <c r="P6881" s="6" t="s">
        <v>39</v>
      </c>
      <c r="Q6881" s="8" t="s">
        <v>40</v>
      </c>
      <c r="R6881" s="10" t="s">
        <v>39021</v>
      </c>
      <c r="S6881" s="11"/>
      <c r="T6881" s="6"/>
      <c r="U6881" s="15" t="str">
        <f>HYPERLINK("https://media.infra-m.ru/2208/2208447/cover/2208447.jpg", "Обложка")</f>
        <v>Обложка</v>
      </c>
      <c r="V6881" s="8" t="s">
        <v>247</v>
      </c>
      <c r="W6881" s="6"/>
      <c r="X6881" s="6"/>
      <c r="Y6881" s="6"/>
      <c r="Z6881" s="6"/>
      <c r="AA6881" s="6" t="s">
        <v>1256</v>
      </c>
      <c r="AB6881" s="8"/>
      <c r="AC6881" s="27">
        <v>9785160157160</v>
      </c>
    </row>
    <row r="6882" spans="1:29" s="4" customFormat="1" ht="42" customHeight="1" x14ac:dyDescent="0.2">
      <c r="A6882" s="5">
        <v>0</v>
      </c>
      <c r="B6882" s="6" t="s">
        <v>39022</v>
      </c>
      <c r="C6882" s="13">
        <v>904.8</v>
      </c>
      <c r="D6882" s="8" t="s">
        <v>39023</v>
      </c>
      <c r="E6882" s="8" t="s">
        <v>39024</v>
      </c>
      <c r="F6882" s="8" t="s">
        <v>28358</v>
      </c>
      <c r="G6882" s="6" t="s">
        <v>33</v>
      </c>
      <c r="H6882" s="6" t="s">
        <v>34</v>
      </c>
      <c r="I6882" s="8" t="s">
        <v>35</v>
      </c>
      <c r="J6882" s="9">
        <v>1</v>
      </c>
      <c r="K6882" s="9">
        <v>138</v>
      </c>
      <c r="L6882" s="9">
        <v>2026</v>
      </c>
      <c r="M6882" s="8" t="s">
        <v>39025</v>
      </c>
      <c r="N6882" s="8" t="s">
        <v>93</v>
      </c>
      <c r="O6882" s="8" t="s">
        <v>94</v>
      </c>
      <c r="P6882" s="6" t="s">
        <v>39</v>
      </c>
      <c r="Q6882" s="8" t="s">
        <v>40</v>
      </c>
      <c r="R6882" s="10" t="s">
        <v>10179</v>
      </c>
      <c r="S6882" s="11"/>
      <c r="T6882" s="6"/>
      <c r="U6882" s="15" t="str">
        <f>HYPERLINK("https://media.infra-m.ru/2239/2239322/cover/2239322.jpg", "Обложка")</f>
        <v>Обложка</v>
      </c>
      <c r="V6882" s="8" t="s">
        <v>12351</v>
      </c>
      <c r="W6882" s="6"/>
      <c r="X6882" s="6"/>
      <c r="Y6882" s="6"/>
      <c r="Z6882" s="6"/>
      <c r="AA6882" s="6" t="s">
        <v>115</v>
      </c>
      <c r="AB6882" s="8"/>
      <c r="AC6882" s="27">
        <v>9785160136929</v>
      </c>
    </row>
    <row r="6883" spans="1:29" s="4" customFormat="1" ht="42" customHeight="1" x14ac:dyDescent="0.2">
      <c r="A6883" s="5">
        <v>0</v>
      </c>
      <c r="B6883" s="6" t="s">
        <v>39026</v>
      </c>
      <c r="C6883" s="13">
        <v>784.8</v>
      </c>
      <c r="D6883" s="8" t="s">
        <v>39027</v>
      </c>
      <c r="E6883" s="8" t="s">
        <v>39028</v>
      </c>
      <c r="F6883" s="8" t="s">
        <v>39029</v>
      </c>
      <c r="G6883" s="6" t="s">
        <v>33</v>
      </c>
      <c r="H6883" s="6" t="s">
        <v>34</v>
      </c>
      <c r="I6883" s="8" t="s">
        <v>1081</v>
      </c>
      <c r="J6883" s="9">
        <v>1</v>
      </c>
      <c r="K6883" s="9">
        <v>146</v>
      </c>
      <c r="L6883" s="9">
        <v>2023</v>
      </c>
      <c r="M6883" s="8" t="s">
        <v>39030</v>
      </c>
      <c r="N6883" s="8" t="s">
        <v>243</v>
      </c>
      <c r="O6883" s="8" t="s">
        <v>758</v>
      </c>
      <c r="P6883" s="6" t="s">
        <v>39</v>
      </c>
      <c r="Q6883" s="8" t="s">
        <v>40</v>
      </c>
      <c r="R6883" s="10" t="s">
        <v>28875</v>
      </c>
      <c r="S6883" s="11"/>
      <c r="T6883" s="6"/>
      <c r="U6883" s="15" t="str">
        <f>HYPERLINK("https://media.infra-m.ru/2006/2006883/cover/2006883.jpg", "Обложка")</f>
        <v>Обложка</v>
      </c>
      <c r="V6883" s="8" t="s">
        <v>1083</v>
      </c>
      <c r="W6883" s="6"/>
      <c r="X6883" s="6"/>
      <c r="Y6883" s="6"/>
      <c r="Z6883" s="6"/>
      <c r="AA6883" s="6" t="s">
        <v>86</v>
      </c>
      <c r="AB6883" s="8"/>
      <c r="AC6883" s="27">
        <v>9785160133478</v>
      </c>
    </row>
    <row r="6884" spans="1:29" s="4" customFormat="1" ht="51.9" customHeight="1" x14ac:dyDescent="0.2">
      <c r="A6884" s="5">
        <v>0</v>
      </c>
      <c r="B6884" s="6" t="s">
        <v>39031</v>
      </c>
      <c r="C6884" s="7">
        <v>1152</v>
      </c>
      <c r="D6884" s="8" t="s">
        <v>39032</v>
      </c>
      <c r="E6884" s="8" t="s">
        <v>39033</v>
      </c>
      <c r="F6884" s="8" t="s">
        <v>39034</v>
      </c>
      <c r="G6884" s="6" t="s">
        <v>33</v>
      </c>
      <c r="H6884" s="6" t="s">
        <v>34</v>
      </c>
      <c r="I6884" s="8" t="s">
        <v>35</v>
      </c>
      <c r="J6884" s="9">
        <v>1</v>
      </c>
      <c r="K6884" s="9">
        <v>206</v>
      </c>
      <c r="L6884" s="9">
        <v>2023</v>
      </c>
      <c r="M6884" s="8" t="s">
        <v>39035</v>
      </c>
      <c r="N6884" s="8" t="s">
        <v>243</v>
      </c>
      <c r="O6884" s="8" t="s">
        <v>1100</v>
      </c>
      <c r="P6884" s="6" t="s">
        <v>39</v>
      </c>
      <c r="Q6884" s="8" t="s">
        <v>40</v>
      </c>
      <c r="R6884" s="10" t="s">
        <v>39036</v>
      </c>
      <c r="S6884" s="11"/>
      <c r="T6884" s="6"/>
      <c r="U6884" s="15" t="str">
        <f>HYPERLINK("https://media.infra-m.ru/1900/1900632/cover/1900632.jpg", "Обложка")</f>
        <v>Обложка</v>
      </c>
      <c r="V6884" s="8" t="s">
        <v>27395</v>
      </c>
      <c r="W6884" s="6"/>
      <c r="X6884" s="6"/>
      <c r="Y6884" s="6"/>
      <c r="Z6884" s="6"/>
      <c r="AA6884" s="6" t="s">
        <v>157</v>
      </c>
      <c r="AB6884" s="8" t="s">
        <v>39037</v>
      </c>
      <c r="AC6884" s="27">
        <v>9785160179759</v>
      </c>
    </row>
    <row r="6885" spans="1:29" s="4" customFormat="1" ht="42" customHeight="1" x14ac:dyDescent="0.2">
      <c r="A6885" s="5">
        <v>0</v>
      </c>
      <c r="B6885" s="6" t="s">
        <v>39038</v>
      </c>
      <c r="C6885" s="7">
        <v>1116</v>
      </c>
      <c r="D6885" s="8" t="s">
        <v>39039</v>
      </c>
      <c r="E6885" s="8" t="s">
        <v>39040</v>
      </c>
      <c r="F6885" s="8" t="s">
        <v>39041</v>
      </c>
      <c r="G6885" s="6" t="s">
        <v>33</v>
      </c>
      <c r="H6885" s="6" t="s">
        <v>34</v>
      </c>
      <c r="I6885" s="8" t="s">
        <v>457</v>
      </c>
      <c r="J6885" s="9">
        <v>1</v>
      </c>
      <c r="K6885" s="9">
        <v>181</v>
      </c>
      <c r="L6885" s="9">
        <v>2024</v>
      </c>
      <c r="M6885" s="8" t="s">
        <v>39042</v>
      </c>
      <c r="N6885" s="8" t="s">
        <v>37</v>
      </c>
      <c r="O6885" s="8" t="s">
        <v>233</v>
      </c>
      <c r="P6885" s="6" t="s">
        <v>39</v>
      </c>
      <c r="Q6885" s="8" t="s">
        <v>40</v>
      </c>
      <c r="R6885" s="10" t="s">
        <v>3169</v>
      </c>
      <c r="S6885" s="11"/>
      <c r="T6885" s="6"/>
      <c r="U6885" s="15" t="str">
        <f>HYPERLINK("https://media.infra-m.ru/2114/2114388/cover/2114388.jpg", "Обложка")</f>
        <v>Обложка</v>
      </c>
      <c r="V6885" s="8" t="s">
        <v>445</v>
      </c>
      <c r="W6885" s="6"/>
      <c r="X6885" s="6"/>
      <c r="Y6885" s="6"/>
      <c r="Z6885" s="6"/>
      <c r="AA6885" s="6" t="s">
        <v>76</v>
      </c>
      <c r="AB6885" s="8"/>
      <c r="AC6885" s="27">
        <v>9785160193892</v>
      </c>
    </row>
    <row r="6886" spans="1:29" s="4" customFormat="1" ht="51.9" customHeight="1" x14ac:dyDescent="0.2">
      <c r="A6886" s="5">
        <v>0</v>
      </c>
      <c r="B6886" s="6" t="s">
        <v>39043</v>
      </c>
      <c r="C6886" s="13">
        <v>876</v>
      </c>
      <c r="D6886" s="8" t="s">
        <v>39044</v>
      </c>
      <c r="E6886" s="8" t="s">
        <v>39045</v>
      </c>
      <c r="F6886" s="8" t="s">
        <v>39046</v>
      </c>
      <c r="G6886" s="6" t="s">
        <v>60</v>
      </c>
      <c r="H6886" s="6" t="s">
        <v>34</v>
      </c>
      <c r="I6886" s="8" t="s">
        <v>1248</v>
      </c>
      <c r="J6886" s="9">
        <v>1</v>
      </c>
      <c r="K6886" s="9">
        <v>140</v>
      </c>
      <c r="L6886" s="9">
        <v>2024</v>
      </c>
      <c r="M6886" s="8" t="s">
        <v>39047</v>
      </c>
      <c r="N6886" s="8" t="s">
        <v>243</v>
      </c>
      <c r="O6886" s="8" t="s">
        <v>758</v>
      </c>
      <c r="P6886" s="6" t="s">
        <v>51</v>
      </c>
      <c r="Q6886" s="8" t="s">
        <v>65</v>
      </c>
      <c r="R6886" s="10" t="s">
        <v>39048</v>
      </c>
      <c r="S6886" s="11"/>
      <c r="T6886" s="6"/>
      <c r="U6886" s="15" t="str">
        <f>HYPERLINK("https://media.infra-m.ru/2130/2130192/cover/2130192.jpg", "Обложка")</f>
        <v>Обложка</v>
      </c>
      <c r="V6886" s="8" t="s">
        <v>1083</v>
      </c>
      <c r="W6886" s="6"/>
      <c r="X6886" s="6"/>
      <c r="Y6886" s="6"/>
      <c r="Z6886" s="6"/>
      <c r="AA6886" s="6" t="s">
        <v>76</v>
      </c>
      <c r="AB6886" s="8"/>
      <c r="AC6886" s="27">
        <v>9785160195780</v>
      </c>
    </row>
    <row r="6887" spans="1:29" s="4" customFormat="1" ht="51.9" customHeight="1" x14ac:dyDescent="0.2">
      <c r="A6887" s="5">
        <v>0</v>
      </c>
      <c r="B6887" s="6" t="s">
        <v>39049</v>
      </c>
      <c r="C6887" s="7">
        <v>1320</v>
      </c>
      <c r="D6887" s="8" t="s">
        <v>39050</v>
      </c>
      <c r="E6887" s="8" t="s">
        <v>39051</v>
      </c>
      <c r="F6887" s="8" t="s">
        <v>39052</v>
      </c>
      <c r="G6887" s="6" t="s">
        <v>118</v>
      </c>
      <c r="H6887" s="6" t="s">
        <v>34</v>
      </c>
      <c r="I6887" s="8" t="s">
        <v>504</v>
      </c>
      <c r="J6887" s="9">
        <v>1</v>
      </c>
      <c r="K6887" s="9">
        <v>223</v>
      </c>
      <c r="L6887" s="9">
        <v>2024</v>
      </c>
      <c r="M6887" s="8" t="s">
        <v>39053</v>
      </c>
      <c r="N6887" s="8" t="s">
        <v>243</v>
      </c>
      <c r="O6887" s="8" t="s">
        <v>385</v>
      </c>
      <c r="P6887" s="6" t="s">
        <v>51</v>
      </c>
      <c r="Q6887" s="8" t="s">
        <v>500</v>
      </c>
      <c r="R6887" s="10" t="s">
        <v>39054</v>
      </c>
      <c r="S6887" s="11"/>
      <c r="T6887" s="6"/>
      <c r="U6887" s="15" t="str">
        <f>HYPERLINK("https://media.infra-m.ru/2080/2080782/cover/2080782.jpg", "Обложка")</f>
        <v>Обложка</v>
      </c>
      <c r="V6887" s="8" t="s">
        <v>39055</v>
      </c>
      <c r="W6887" s="6"/>
      <c r="X6887" s="6"/>
      <c r="Y6887" s="6"/>
      <c r="Z6887" s="6"/>
      <c r="AA6887" s="6" t="s">
        <v>1303</v>
      </c>
      <c r="AB6887" s="8"/>
      <c r="AC6887" s="27">
        <v>9785160172903</v>
      </c>
    </row>
    <row r="6888" spans="1:29" s="4" customFormat="1" ht="51.9" customHeight="1" x14ac:dyDescent="0.2">
      <c r="A6888" s="5">
        <v>0</v>
      </c>
      <c r="B6888" s="6" t="s">
        <v>39056</v>
      </c>
      <c r="C6888" s="7">
        <v>2296.8000000000002</v>
      </c>
      <c r="D6888" s="8" t="s">
        <v>39057</v>
      </c>
      <c r="E6888" s="8" t="s">
        <v>39058</v>
      </c>
      <c r="F6888" s="8" t="s">
        <v>39059</v>
      </c>
      <c r="G6888" s="6" t="s">
        <v>118</v>
      </c>
      <c r="H6888" s="6" t="s">
        <v>34</v>
      </c>
      <c r="I6888" s="8" t="s">
        <v>5350</v>
      </c>
      <c r="J6888" s="9">
        <v>1</v>
      </c>
      <c r="K6888" s="9">
        <v>407</v>
      </c>
      <c r="L6888" s="9">
        <v>2024</v>
      </c>
      <c r="M6888" s="8" t="s">
        <v>39060</v>
      </c>
      <c r="N6888" s="8" t="s">
        <v>243</v>
      </c>
      <c r="O6888" s="8" t="s">
        <v>933</v>
      </c>
      <c r="P6888" s="6" t="s">
        <v>306</v>
      </c>
      <c r="Q6888" s="8" t="s">
        <v>377</v>
      </c>
      <c r="R6888" s="10" t="s">
        <v>39061</v>
      </c>
      <c r="S6888" s="11" t="s">
        <v>39062</v>
      </c>
      <c r="T6888" s="6" t="s">
        <v>97</v>
      </c>
      <c r="U6888" s="15" t="str">
        <f>HYPERLINK("https://media.infra-m.ru/2145/2145137/cover/2145137.jpg", "Обложка")</f>
        <v>Обложка</v>
      </c>
      <c r="V6888" s="8" t="s">
        <v>2427</v>
      </c>
      <c r="W6888" s="6"/>
      <c r="X6888" s="6"/>
      <c r="Y6888" s="6"/>
      <c r="Z6888" s="6"/>
      <c r="AA6888" s="6" t="s">
        <v>2230</v>
      </c>
      <c r="AB6888" s="8"/>
      <c r="AC6888" s="27">
        <v>9785160166988</v>
      </c>
    </row>
    <row r="6889" spans="1:29" s="4" customFormat="1" ht="51.9" customHeight="1" x14ac:dyDescent="0.2">
      <c r="A6889" s="5">
        <v>0</v>
      </c>
      <c r="B6889" s="6" t="s">
        <v>39063</v>
      </c>
      <c r="C6889" s="7">
        <v>1644</v>
      </c>
      <c r="D6889" s="8" t="s">
        <v>39064</v>
      </c>
      <c r="E6889" s="8" t="s">
        <v>39065</v>
      </c>
      <c r="F6889" s="8" t="s">
        <v>39059</v>
      </c>
      <c r="G6889" s="6" t="s">
        <v>118</v>
      </c>
      <c r="H6889" s="6" t="s">
        <v>34</v>
      </c>
      <c r="I6889" s="8" t="s">
        <v>253</v>
      </c>
      <c r="J6889" s="9">
        <v>1</v>
      </c>
      <c r="K6889" s="9">
        <v>402</v>
      </c>
      <c r="L6889" s="9">
        <v>2020</v>
      </c>
      <c r="M6889" s="8" t="s">
        <v>39066</v>
      </c>
      <c r="N6889" s="8" t="s">
        <v>243</v>
      </c>
      <c r="O6889" s="8" t="s">
        <v>933</v>
      </c>
      <c r="P6889" s="6" t="s">
        <v>306</v>
      </c>
      <c r="Q6889" s="8" t="s">
        <v>52</v>
      </c>
      <c r="R6889" s="10" t="s">
        <v>39061</v>
      </c>
      <c r="S6889" s="11" t="s">
        <v>39067</v>
      </c>
      <c r="T6889" s="6" t="s">
        <v>97</v>
      </c>
      <c r="U6889" s="15" t="str">
        <f>HYPERLINK("https://media.infra-m.ru/1093/1093431/cover/1093431.jpg", "Обложка")</f>
        <v>Обложка</v>
      </c>
      <c r="V6889" s="8" t="s">
        <v>2427</v>
      </c>
      <c r="W6889" s="6"/>
      <c r="X6889" s="6"/>
      <c r="Y6889" s="6"/>
      <c r="Z6889" s="6"/>
      <c r="AA6889" s="6" t="s">
        <v>55</v>
      </c>
      <c r="AB6889" s="8"/>
      <c r="AC6889" s="27">
        <v>9785160133355</v>
      </c>
    </row>
    <row r="6890" spans="1:29" s="4" customFormat="1" ht="51.9" customHeight="1" x14ac:dyDescent="0.2">
      <c r="A6890" s="5">
        <v>0</v>
      </c>
      <c r="B6890" s="6" t="s">
        <v>39068</v>
      </c>
      <c r="C6890" s="7">
        <v>1392</v>
      </c>
      <c r="D6890" s="8" t="s">
        <v>39069</v>
      </c>
      <c r="E6890" s="8" t="s">
        <v>39070</v>
      </c>
      <c r="F6890" s="8" t="s">
        <v>39059</v>
      </c>
      <c r="G6890" s="6" t="s">
        <v>60</v>
      </c>
      <c r="H6890" s="6" t="s">
        <v>34</v>
      </c>
      <c r="I6890" s="8" t="s">
        <v>271</v>
      </c>
      <c r="J6890" s="9">
        <v>1</v>
      </c>
      <c r="K6890" s="9">
        <v>400</v>
      </c>
      <c r="L6890" s="9">
        <v>2018</v>
      </c>
      <c r="M6890" s="8" t="s">
        <v>39071</v>
      </c>
      <c r="N6890" s="8" t="s">
        <v>243</v>
      </c>
      <c r="O6890" s="8" t="s">
        <v>933</v>
      </c>
      <c r="P6890" s="6" t="s">
        <v>51</v>
      </c>
      <c r="Q6890" s="8" t="s">
        <v>52</v>
      </c>
      <c r="R6890" s="10" t="s">
        <v>39061</v>
      </c>
      <c r="S6890" s="11" t="s">
        <v>39072</v>
      </c>
      <c r="T6890" s="6" t="s">
        <v>97</v>
      </c>
      <c r="U6890" s="15" t="str">
        <f>HYPERLINK("https://media.infra-m.ru/0923/0923354/cover/923354.jpg", "Обложка")</f>
        <v>Обложка</v>
      </c>
      <c r="V6890" s="8" t="s">
        <v>2427</v>
      </c>
      <c r="W6890" s="6"/>
      <c r="X6890" s="6"/>
      <c r="Y6890" s="6"/>
      <c r="Z6890" s="6"/>
      <c r="AA6890" s="6" t="s">
        <v>623</v>
      </c>
      <c r="AB6890" s="8"/>
      <c r="AC6890" s="27">
        <v>9785160120966</v>
      </c>
    </row>
    <row r="6891" spans="1:29" s="4" customFormat="1" ht="51.9" customHeight="1" x14ac:dyDescent="0.2">
      <c r="A6891" s="5">
        <v>0</v>
      </c>
      <c r="B6891" s="6" t="s">
        <v>39073</v>
      </c>
      <c r="C6891" s="7">
        <v>2572.8000000000002</v>
      </c>
      <c r="D6891" s="8" t="s">
        <v>39074</v>
      </c>
      <c r="E6891" s="8" t="s">
        <v>39075</v>
      </c>
      <c r="F6891" s="8" t="s">
        <v>39059</v>
      </c>
      <c r="G6891" s="6" t="s">
        <v>60</v>
      </c>
      <c r="H6891" s="6" t="s">
        <v>34</v>
      </c>
      <c r="I6891" s="8" t="s">
        <v>5350</v>
      </c>
      <c r="J6891" s="9">
        <v>1</v>
      </c>
      <c r="K6891" s="9">
        <v>391</v>
      </c>
      <c r="L6891" s="9">
        <v>2026</v>
      </c>
      <c r="M6891" s="8" t="s">
        <v>39076</v>
      </c>
      <c r="N6891" s="8" t="s">
        <v>243</v>
      </c>
      <c r="O6891" s="8" t="s">
        <v>933</v>
      </c>
      <c r="P6891" s="6" t="s">
        <v>306</v>
      </c>
      <c r="Q6891" s="8" t="s">
        <v>377</v>
      </c>
      <c r="R6891" s="10" t="s">
        <v>39061</v>
      </c>
      <c r="S6891" s="11"/>
      <c r="T6891" s="6"/>
      <c r="U6891" s="15" t="str">
        <f>HYPERLINK("https://media.infra-m.ru/2224/2224058/cover/2224058.jpg", "Обложка")</f>
        <v>Обложка</v>
      </c>
      <c r="V6891" s="8" t="s">
        <v>2427</v>
      </c>
      <c r="W6891" s="6"/>
      <c r="X6891" s="6"/>
      <c r="Y6891" s="6"/>
      <c r="Z6891" s="6"/>
      <c r="AA6891" s="6" t="s">
        <v>2182</v>
      </c>
      <c r="AB6891" s="8"/>
      <c r="AC6891" s="27">
        <v>9785160191126</v>
      </c>
    </row>
    <row r="6892" spans="1:29" s="4" customFormat="1" ht="42" customHeight="1" x14ac:dyDescent="0.2">
      <c r="A6892" s="5">
        <v>0</v>
      </c>
      <c r="B6892" s="6" t="s">
        <v>39077</v>
      </c>
      <c r="C6892" s="7">
        <v>1192.8</v>
      </c>
      <c r="D6892" s="8" t="s">
        <v>39078</v>
      </c>
      <c r="E6892" s="8" t="s">
        <v>39079</v>
      </c>
      <c r="F6892" s="8" t="s">
        <v>2771</v>
      </c>
      <c r="G6892" s="6" t="s">
        <v>33</v>
      </c>
      <c r="H6892" s="6" t="s">
        <v>34</v>
      </c>
      <c r="I6892" s="8" t="s">
        <v>111</v>
      </c>
      <c r="J6892" s="9">
        <v>1</v>
      </c>
      <c r="K6892" s="9">
        <v>170</v>
      </c>
      <c r="L6892" s="9">
        <v>2027</v>
      </c>
      <c r="M6892" s="8" t="s">
        <v>39080</v>
      </c>
      <c r="N6892" s="8" t="s">
        <v>63</v>
      </c>
      <c r="O6892" s="8" t="s">
        <v>64</v>
      </c>
      <c r="P6892" s="6" t="s">
        <v>39</v>
      </c>
      <c r="Q6892" s="8" t="s">
        <v>40</v>
      </c>
      <c r="R6892" s="10" t="s">
        <v>39081</v>
      </c>
      <c r="S6892" s="11"/>
      <c r="T6892" s="6"/>
      <c r="U6892" s="15" t="str">
        <f>HYPERLINK("https://media.infra-m.ru/2256/2256751/cover/2256751.jpg", "Обложка")</f>
        <v>Обложка</v>
      </c>
      <c r="V6892" s="8" t="s">
        <v>414</v>
      </c>
      <c r="W6892" s="6"/>
      <c r="X6892" s="6"/>
      <c r="Y6892" s="6"/>
      <c r="Z6892" s="6"/>
      <c r="AA6892" s="6" t="s">
        <v>86</v>
      </c>
      <c r="AB6892" s="8"/>
      <c r="AC6892" s="27">
        <v>9785160179049</v>
      </c>
    </row>
    <row r="6893" spans="1:29" s="4" customFormat="1" ht="42" customHeight="1" x14ac:dyDescent="0.2">
      <c r="A6893" s="5">
        <v>0</v>
      </c>
      <c r="B6893" s="6" t="s">
        <v>39082</v>
      </c>
      <c r="C6893" s="13">
        <v>900</v>
      </c>
      <c r="D6893" s="8" t="s">
        <v>39083</v>
      </c>
      <c r="E6893" s="8" t="s">
        <v>39079</v>
      </c>
      <c r="F6893" s="8" t="s">
        <v>2771</v>
      </c>
      <c r="G6893" s="6" t="s">
        <v>118</v>
      </c>
      <c r="H6893" s="6" t="s">
        <v>34</v>
      </c>
      <c r="I6893" s="8" t="s">
        <v>111</v>
      </c>
      <c r="J6893" s="9">
        <v>1</v>
      </c>
      <c r="K6893" s="9">
        <v>170</v>
      </c>
      <c r="L6893" s="9">
        <v>2020</v>
      </c>
      <c r="M6893" s="8" t="s">
        <v>39084</v>
      </c>
      <c r="N6893" s="8" t="s">
        <v>63</v>
      </c>
      <c r="O6893" s="8" t="s">
        <v>64</v>
      </c>
      <c r="P6893" s="6" t="s">
        <v>39</v>
      </c>
      <c r="Q6893" s="8" t="s">
        <v>40</v>
      </c>
      <c r="R6893" s="10" t="s">
        <v>39081</v>
      </c>
      <c r="S6893" s="11"/>
      <c r="T6893" s="6"/>
      <c r="U6893" s="15" t="str">
        <f>HYPERLINK("https://media.infra-m.ru/1069/1069160/cover/1069160.jpg", "Обложка")</f>
        <v>Обложка</v>
      </c>
      <c r="V6893" s="8" t="s">
        <v>414</v>
      </c>
      <c r="W6893" s="6"/>
      <c r="X6893" s="6"/>
      <c r="Y6893" s="6"/>
      <c r="Z6893" s="6"/>
      <c r="AA6893" s="6" t="s">
        <v>86</v>
      </c>
      <c r="AB6893" s="8"/>
      <c r="AC6893" s="27">
        <v>9785160140445</v>
      </c>
    </row>
    <row r="6894" spans="1:29" s="4" customFormat="1" ht="51.9" customHeight="1" x14ac:dyDescent="0.2">
      <c r="A6894" s="5">
        <v>0</v>
      </c>
      <c r="B6894" s="6" t="s">
        <v>39085</v>
      </c>
      <c r="C6894" s="7">
        <v>1468.8</v>
      </c>
      <c r="D6894" s="8" t="s">
        <v>39086</v>
      </c>
      <c r="E6894" s="8" t="s">
        <v>39087</v>
      </c>
      <c r="F6894" s="8" t="s">
        <v>2771</v>
      </c>
      <c r="G6894" s="6" t="s">
        <v>118</v>
      </c>
      <c r="H6894" s="6" t="s">
        <v>34</v>
      </c>
      <c r="I6894" s="8" t="s">
        <v>22713</v>
      </c>
      <c r="J6894" s="9">
        <v>1</v>
      </c>
      <c r="K6894" s="9">
        <v>211</v>
      </c>
      <c r="L6894" s="9">
        <v>2027</v>
      </c>
      <c r="M6894" s="8" t="s">
        <v>39088</v>
      </c>
      <c r="N6894" s="8" t="s">
        <v>63</v>
      </c>
      <c r="O6894" s="8" t="s">
        <v>64</v>
      </c>
      <c r="P6894" s="6" t="s">
        <v>51</v>
      </c>
      <c r="Q6894" s="8" t="s">
        <v>500</v>
      </c>
      <c r="R6894" s="10" t="s">
        <v>39089</v>
      </c>
      <c r="S6894" s="11"/>
      <c r="T6894" s="6"/>
      <c r="U6894" s="15" t="str">
        <f>HYPERLINK("https://media.infra-m.ru/2270/2270456/cover/2270456.jpg", "Обложка")</f>
        <v>Обложка</v>
      </c>
      <c r="V6894" s="8" t="s">
        <v>414</v>
      </c>
      <c r="W6894" s="6"/>
      <c r="X6894" s="6"/>
      <c r="Y6894" s="6"/>
      <c r="Z6894" s="6"/>
      <c r="AA6894" s="6" t="s">
        <v>115</v>
      </c>
      <c r="AB6894" s="8"/>
      <c r="AC6894" s="27">
        <v>9785160160955</v>
      </c>
    </row>
    <row r="6895" spans="1:29" s="4" customFormat="1" ht="42" customHeight="1" x14ac:dyDescent="0.2">
      <c r="A6895" s="5">
        <v>0</v>
      </c>
      <c r="B6895" s="6" t="s">
        <v>39090</v>
      </c>
      <c r="C6895" s="7">
        <v>1500</v>
      </c>
      <c r="D6895" s="8" t="s">
        <v>39091</v>
      </c>
      <c r="E6895" s="8" t="s">
        <v>39092</v>
      </c>
      <c r="F6895" s="8" t="s">
        <v>39093</v>
      </c>
      <c r="G6895" s="6" t="s">
        <v>118</v>
      </c>
      <c r="H6895" s="6" t="s">
        <v>34</v>
      </c>
      <c r="I6895" s="8" t="s">
        <v>304</v>
      </c>
      <c r="J6895" s="9">
        <v>1</v>
      </c>
      <c r="K6895" s="9">
        <v>200</v>
      </c>
      <c r="L6895" s="9">
        <v>2026</v>
      </c>
      <c r="M6895" s="8" t="s">
        <v>39094</v>
      </c>
      <c r="N6895" s="8" t="s">
        <v>37</v>
      </c>
      <c r="O6895" s="8" t="s">
        <v>233</v>
      </c>
      <c r="P6895" s="6" t="s">
        <v>51</v>
      </c>
      <c r="Q6895" s="8" t="s">
        <v>52</v>
      </c>
      <c r="R6895" s="10" t="s">
        <v>2033</v>
      </c>
      <c r="S6895" s="11"/>
      <c r="T6895" s="6"/>
      <c r="U6895" s="15" t="str">
        <f>HYPERLINK("https://media.infra-m.ru/2226/2226460/cover/2226460.jpg", "Обложка")</f>
        <v>Обложка</v>
      </c>
      <c r="V6895" s="8" t="s">
        <v>247</v>
      </c>
      <c r="W6895" s="6"/>
      <c r="X6895" s="6"/>
      <c r="Y6895" s="6"/>
      <c r="Z6895" s="6"/>
      <c r="AA6895" s="6" t="s">
        <v>68</v>
      </c>
      <c r="AB6895" s="8"/>
      <c r="AC6895" s="27">
        <v>9785160203720</v>
      </c>
    </row>
    <row r="6896" spans="1:29" s="4" customFormat="1" ht="42" customHeight="1" x14ac:dyDescent="0.2">
      <c r="A6896" s="5">
        <v>0</v>
      </c>
      <c r="B6896" s="6" t="s">
        <v>39095</v>
      </c>
      <c r="C6896" s="7">
        <v>3038.4</v>
      </c>
      <c r="D6896" s="8" t="s">
        <v>39096</v>
      </c>
      <c r="E6896" s="8" t="s">
        <v>39097</v>
      </c>
      <c r="F6896" s="8" t="s">
        <v>39098</v>
      </c>
      <c r="G6896" s="6" t="s">
        <v>60</v>
      </c>
      <c r="H6896" s="6" t="s">
        <v>34</v>
      </c>
      <c r="I6896" s="8" t="s">
        <v>1248</v>
      </c>
      <c r="J6896" s="9">
        <v>1</v>
      </c>
      <c r="K6896" s="9">
        <v>354</v>
      </c>
      <c r="L6896" s="9">
        <v>2026</v>
      </c>
      <c r="M6896" s="8" t="s">
        <v>39099</v>
      </c>
      <c r="N6896" s="8" t="s">
        <v>63</v>
      </c>
      <c r="O6896" s="8" t="s">
        <v>181</v>
      </c>
      <c r="P6896" s="6" t="s">
        <v>51</v>
      </c>
      <c r="Q6896" s="8" t="s">
        <v>52</v>
      </c>
      <c r="R6896" s="10" t="s">
        <v>3510</v>
      </c>
      <c r="S6896" s="11"/>
      <c r="T6896" s="6"/>
      <c r="U6896" s="15" t="str">
        <f>HYPERLINK("https://media.infra-m.ru/2223/2223537/cover/2223537.jpg", "Обложка")</f>
        <v>Обложка</v>
      </c>
      <c r="V6896" s="8" t="s">
        <v>1083</v>
      </c>
      <c r="W6896" s="6" t="s">
        <v>186</v>
      </c>
      <c r="X6896" s="6"/>
      <c r="Y6896" s="6"/>
      <c r="Z6896" s="6"/>
      <c r="AA6896" s="6" t="s">
        <v>187</v>
      </c>
      <c r="AB6896" s="8"/>
      <c r="AC6896" s="27">
        <v>9785160213880</v>
      </c>
    </row>
    <row r="6897" spans="1:29" s="4" customFormat="1" ht="51.9" customHeight="1" x14ac:dyDescent="0.2">
      <c r="A6897" s="5">
        <v>0</v>
      </c>
      <c r="B6897" s="6" t="s">
        <v>39100</v>
      </c>
      <c r="C6897" s="7">
        <v>1296</v>
      </c>
      <c r="D6897" s="8" t="s">
        <v>39101</v>
      </c>
      <c r="E6897" s="8" t="s">
        <v>39102</v>
      </c>
      <c r="F6897" s="8" t="s">
        <v>39103</v>
      </c>
      <c r="G6897" s="6" t="s">
        <v>60</v>
      </c>
      <c r="H6897" s="6" t="s">
        <v>34</v>
      </c>
      <c r="I6897" s="8" t="s">
        <v>35</v>
      </c>
      <c r="J6897" s="9">
        <v>1</v>
      </c>
      <c r="K6897" s="9">
        <v>194</v>
      </c>
      <c r="L6897" s="9">
        <v>2025</v>
      </c>
      <c r="M6897" s="8" t="s">
        <v>39104</v>
      </c>
      <c r="N6897" s="8" t="s">
        <v>37</v>
      </c>
      <c r="O6897" s="8" t="s">
        <v>83</v>
      </c>
      <c r="P6897" s="6" t="s">
        <v>39</v>
      </c>
      <c r="Q6897" s="8" t="s">
        <v>40</v>
      </c>
      <c r="R6897" s="10" t="s">
        <v>39105</v>
      </c>
      <c r="S6897" s="11"/>
      <c r="T6897" s="6"/>
      <c r="U6897" s="15" t="str">
        <f>HYPERLINK("https://media.infra-m.ru/2187/2187525/cover/2187525.jpg", "Обложка")</f>
        <v>Обложка</v>
      </c>
      <c r="V6897" s="8" t="s">
        <v>396</v>
      </c>
      <c r="W6897" s="6"/>
      <c r="X6897" s="6"/>
      <c r="Y6897" s="6"/>
      <c r="Z6897" s="6"/>
      <c r="AA6897" s="6" t="s">
        <v>68</v>
      </c>
      <c r="AB6897" s="8"/>
      <c r="AC6897" s="27">
        <v>9785160206646</v>
      </c>
    </row>
    <row r="6898" spans="1:29" s="4" customFormat="1" ht="51.9" customHeight="1" x14ac:dyDescent="0.2">
      <c r="A6898" s="5">
        <v>0</v>
      </c>
      <c r="B6898" s="6" t="s">
        <v>39106</v>
      </c>
      <c r="C6898" s="7">
        <v>2340</v>
      </c>
      <c r="D6898" s="8" t="s">
        <v>39107</v>
      </c>
      <c r="E6898" s="8" t="s">
        <v>39108</v>
      </c>
      <c r="F6898" s="8" t="s">
        <v>39109</v>
      </c>
      <c r="G6898" s="6" t="s">
        <v>118</v>
      </c>
      <c r="H6898" s="6" t="s">
        <v>134</v>
      </c>
      <c r="I6898" s="8"/>
      <c r="J6898" s="9">
        <v>1</v>
      </c>
      <c r="K6898" s="9">
        <v>336</v>
      </c>
      <c r="L6898" s="9">
        <v>2026</v>
      </c>
      <c r="M6898" s="8" t="s">
        <v>39110</v>
      </c>
      <c r="N6898" s="8" t="s">
        <v>37</v>
      </c>
      <c r="O6898" s="8" t="s">
        <v>136</v>
      </c>
      <c r="P6898" s="6" t="s">
        <v>39</v>
      </c>
      <c r="Q6898" s="8" t="s">
        <v>40</v>
      </c>
      <c r="R6898" s="10" t="s">
        <v>1444</v>
      </c>
      <c r="S6898" s="11"/>
      <c r="T6898" s="6"/>
      <c r="U6898" s="15" t="str">
        <f>HYPERLINK("https://media.infra-m.ru/2261/2261233/cover/2261233.jpg", "Обложка")</f>
        <v>Обложка</v>
      </c>
      <c r="V6898" s="8" t="s">
        <v>138</v>
      </c>
      <c r="W6898" s="6"/>
      <c r="X6898" s="6"/>
      <c r="Y6898" s="6"/>
      <c r="Z6898" s="6"/>
      <c r="AA6898" s="6" t="s">
        <v>157</v>
      </c>
      <c r="AB6898" s="8"/>
      <c r="AC6898" s="27">
        <v>9785001562870</v>
      </c>
    </row>
    <row r="6899" spans="1:29" s="4" customFormat="1" ht="42" customHeight="1" x14ac:dyDescent="0.2">
      <c r="A6899" s="5">
        <v>0</v>
      </c>
      <c r="B6899" s="6" t="s">
        <v>39111</v>
      </c>
      <c r="C6899" s="7">
        <v>1596</v>
      </c>
      <c r="D6899" s="8" t="s">
        <v>39112</v>
      </c>
      <c r="E6899" s="8" t="s">
        <v>39113</v>
      </c>
      <c r="F6899" s="8" t="s">
        <v>39114</v>
      </c>
      <c r="G6899" s="6" t="s">
        <v>118</v>
      </c>
      <c r="H6899" s="6" t="s">
        <v>134</v>
      </c>
      <c r="I6899" s="8"/>
      <c r="J6899" s="9">
        <v>1</v>
      </c>
      <c r="K6899" s="9">
        <v>224</v>
      </c>
      <c r="L6899" s="9">
        <v>2027</v>
      </c>
      <c r="M6899" s="8" t="s">
        <v>39115</v>
      </c>
      <c r="N6899" s="8" t="s">
        <v>37</v>
      </c>
      <c r="O6899" s="8" t="s">
        <v>136</v>
      </c>
      <c r="P6899" s="6" t="s">
        <v>39</v>
      </c>
      <c r="Q6899" s="8" t="s">
        <v>40</v>
      </c>
      <c r="R6899" s="10" t="s">
        <v>684</v>
      </c>
      <c r="S6899" s="11"/>
      <c r="T6899" s="6"/>
      <c r="U6899" s="15" t="str">
        <f>HYPERLINK("https://media.infra-m.ru/2267/2267391/cover/2267391.jpg", "Обложка")</f>
        <v>Обложка</v>
      </c>
      <c r="V6899" s="8" t="s">
        <v>138</v>
      </c>
      <c r="W6899" s="6"/>
      <c r="X6899" s="6"/>
      <c r="Y6899" s="6"/>
      <c r="Z6899" s="6"/>
      <c r="AA6899" s="6" t="s">
        <v>1256</v>
      </c>
      <c r="AB6899" s="8"/>
      <c r="AC6899" s="27">
        <v>9785001560579</v>
      </c>
    </row>
    <row r="6900" spans="1:29" s="4" customFormat="1" ht="42" customHeight="1" x14ac:dyDescent="0.2">
      <c r="A6900" s="5">
        <v>0</v>
      </c>
      <c r="B6900" s="6" t="s">
        <v>39116</v>
      </c>
      <c r="C6900" s="7">
        <v>2008.8</v>
      </c>
      <c r="D6900" s="8" t="s">
        <v>39117</v>
      </c>
      <c r="E6900" s="8" t="s">
        <v>39118</v>
      </c>
      <c r="F6900" s="8" t="s">
        <v>39119</v>
      </c>
      <c r="G6900" s="6" t="s">
        <v>118</v>
      </c>
      <c r="H6900" s="6" t="s">
        <v>134</v>
      </c>
      <c r="I6900" s="8"/>
      <c r="J6900" s="9">
        <v>1</v>
      </c>
      <c r="K6900" s="9">
        <v>288</v>
      </c>
      <c r="L6900" s="9">
        <v>2026</v>
      </c>
      <c r="M6900" s="8" t="s">
        <v>39120</v>
      </c>
      <c r="N6900" s="8" t="s">
        <v>37</v>
      </c>
      <c r="O6900" s="8" t="s">
        <v>136</v>
      </c>
      <c r="P6900" s="6" t="s">
        <v>39</v>
      </c>
      <c r="Q6900" s="8" t="s">
        <v>40</v>
      </c>
      <c r="R6900" s="10" t="s">
        <v>684</v>
      </c>
      <c r="S6900" s="11"/>
      <c r="T6900" s="6"/>
      <c r="U6900" s="15" t="str">
        <f>HYPERLINK("https://media.infra-m.ru/2247/2247797/cover/2247797.jpg", "Обложка")</f>
        <v>Обложка</v>
      </c>
      <c r="V6900" s="8" t="s">
        <v>546</v>
      </c>
      <c r="W6900" s="6"/>
      <c r="X6900" s="6"/>
      <c r="Y6900" s="6"/>
      <c r="Z6900" s="6"/>
      <c r="AA6900" s="6" t="s">
        <v>148</v>
      </c>
      <c r="AB6900" s="8"/>
      <c r="AC6900" s="27">
        <v>9785001562290</v>
      </c>
    </row>
    <row r="6901" spans="1:29" s="4" customFormat="1" ht="51.9" customHeight="1" x14ac:dyDescent="0.2">
      <c r="A6901" s="5">
        <v>0</v>
      </c>
      <c r="B6901" s="6" t="s">
        <v>39121</v>
      </c>
      <c r="C6901" s="7">
        <v>2848.8</v>
      </c>
      <c r="D6901" s="8" t="s">
        <v>39122</v>
      </c>
      <c r="E6901" s="8" t="s">
        <v>39123</v>
      </c>
      <c r="F6901" s="8" t="s">
        <v>39124</v>
      </c>
      <c r="G6901" s="6" t="s">
        <v>118</v>
      </c>
      <c r="H6901" s="6" t="s">
        <v>134</v>
      </c>
      <c r="I6901" s="8"/>
      <c r="J6901" s="9">
        <v>1</v>
      </c>
      <c r="K6901" s="9">
        <v>432</v>
      </c>
      <c r="L6901" s="9">
        <v>2026</v>
      </c>
      <c r="M6901" s="8" t="s">
        <v>39125</v>
      </c>
      <c r="N6901" s="8" t="s">
        <v>37</v>
      </c>
      <c r="O6901" s="8" t="s">
        <v>136</v>
      </c>
      <c r="P6901" s="6" t="s">
        <v>39</v>
      </c>
      <c r="Q6901" s="8" t="s">
        <v>40</v>
      </c>
      <c r="R6901" s="10" t="s">
        <v>39126</v>
      </c>
      <c r="S6901" s="11"/>
      <c r="T6901" s="6"/>
      <c r="U6901" s="15" t="str">
        <f>HYPERLINK("https://media.infra-m.ru/2244/2244684/cover/2244684.jpg", "Обложка")</f>
        <v>Обложка</v>
      </c>
      <c r="V6901" s="8" t="s">
        <v>138</v>
      </c>
      <c r="W6901" s="6"/>
      <c r="X6901" s="6"/>
      <c r="Y6901" s="6"/>
      <c r="Z6901" s="6"/>
      <c r="AA6901" s="6" t="s">
        <v>148</v>
      </c>
      <c r="AB6901" s="8"/>
      <c r="AC6901" s="27">
        <v>9785001562085</v>
      </c>
    </row>
    <row r="6902" spans="1:29" s="4" customFormat="1" ht="42" customHeight="1" x14ac:dyDescent="0.2">
      <c r="A6902" s="5">
        <v>0</v>
      </c>
      <c r="B6902" s="6" t="s">
        <v>39127</v>
      </c>
      <c r="C6902" s="7">
        <v>1284</v>
      </c>
      <c r="D6902" s="8" t="s">
        <v>39128</v>
      </c>
      <c r="E6902" s="8" t="s">
        <v>39129</v>
      </c>
      <c r="F6902" s="8" t="s">
        <v>39130</v>
      </c>
      <c r="G6902" s="6" t="s">
        <v>118</v>
      </c>
      <c r="H6902" s="6" t="s">
        <v>34</v>
      </c>
      <c r="I6902" s="8" t="s">
        <v>253</v>
      </c>
      <c r="J6902" s="9">
        <v>1</v>
      </c>
      <c r="K6902" s="9">
        <v>184</v>
      </c>
      <c r="L6902" s="9">
        <v>2027</v>
      </c>
      <c r="M6902" s="8" t="s">
        <v>39131</v>
      </c>
      <c r="N6902" s="8" t="s">
        <v>224</v>
      </c>
      <c r="O6902" s="8" t="s">
        <v>225</v>
      </c>
      <c r="P6902" s="6" t="s">
        <v>51</v>
      </c>
      <c r="Q6902" s="8" t="s">
        <v>40</v>
      </c>
      <c r="R6902" s="10" t="s">
        <v>2147</v>
      </c>
      <c r="S6902" s="11"/>
      <c r="T6902" s="6"/>
      <c r="U6902" s="15" t="str">
        <f>HYPERLINK("https://media.infra-m.ru/2266/2266854/cover/2266854.jpg", "Обложка")</f>
        <v>Обложка</v>
      </c>
      <c r="V6902" s="8" t="s">
        <v>9494</v>
      </c>
      <c r="W6902" s="6"/>
      <c r="X6902" s="6"/>
      <c r="Y6902" s="6"/>
      <c r="Z6902" s="6"/>
      <c r="AA6902" s="6" t="s">
        <v>157</v>
      </c>
      <c r="AB6902" s="8"/>
      <c r="AC6902" s="27">
        <v>9785160176741</v>
      </c>
    </row>
    <row r="6903" spans="1:29" s="4" customFormat="1" ht="51.9" customHeight="1" x14ac:dyDescent="0.2">
      <c r="A6903" s="5">
        <v>0</v>
      </c>
      <c r="B6903" s="6" t="s">
        <v>39132</v>
      </c>
      <c r="C6903" s="7">
        <v>1384.8</v>
      </c>
      <c r="D6903" s="8" t="s">
        <v>39133</v>
      </c>
      <c r="E6903" s="8" t="s">
        <v>39134</v>
      </c>
      <c r="F6903" s="8" t="s">
        <v>39135</v>
      </c>
      <c r="G6903" s="6" t="s">
        <v>60</v>
      </c>
      <c r="H6903" s="6" t="s">
        <v>34</v>
      </c>
      <c r="I6903" s="8" t="s">
        <v>35</v>
      </c>
      <c r="J6903" s="9">
        <v>1</v>
      </c>
      <c r="K6903" s="9">
        <v>199</v>
      </c>
      <c r="L6903" s="9">
        <v>2027</v>
      </c>
      <c r="M6903" s="8" t="s">
        <v>39136</v>
      </c>
      <c r="N6903" s="8" t="s">
        <v>63</v>
      </c>
      <c r="O6903" s="8" t="s">
        <v>64</v>
      </c>
      <c r="P6903" s="6" t="s">
        <v>39</v>
      </c>
      <c r="Q6903" s="8" t="s">
        <v>40</v>
      </c>
      <c r="R6903" s="10" t="s">
        <v>39137</v>
      </c>
      <c r="S6903" s="11"/>
      <c r="T6903" s="6"/>
      <c r="U6903" s="15" t="str">
        <f>HYPERLINK("https://media.infra-m.ru/2272/2272873/cover/2272873.jpg", "Обложка")</f>
        <v>Обложка</v>
      </c>
      <c r="V6903" s="8" t="s">
        <v>6147</v>
      </c>
      <c r="W6903" s="6"/>
      <c r="X6903" s="6"/>
      <c r="Y6903" s="6"/>
      <c r="Z6903" s="6"/>
      <c r="AA6903" s="6" t="s">
        <v>76</v>
      </c>
      <c r="AB6903" s="8" t="s">
        <v>77</v>
      </c>
      <c r="AC6903" s="27">
        <v>9785160192468</v>
      </c>
    </row>
    <row r="6904" spans="1:29" s="4" customFormat="1" ht="51.9" customHeight="1" x14ac:dyDescent="0.2">
      <c r="A6904" s="5">
        <v>0</v>
      </c>
      <c r="B6904" s="6" t="s">
        <v>39138</v>
      </c>
      <c r="C6904" s="7">
        <v>2184</v>
      </c>
      <c r="D6904" s="8" t="s">
        <v>39139</v>
      </c>
      <c r="E6904" s="8" t="s">
        <v>39140</v>
      </c>
      <c r="F6904" s="8" t="s">
        <v>39141</v>
      </c>
      <c r="G6904" s="6" t="s">
        <v>118</v>
      </c>
      <c r="H6904" s="6" t="s">
        <v>34</v>
      </c>
      <c r="I6904" s="8" t="s">
        <v>253</v>
      </c>
      <c r="J6904" s="9">
        <v>1</v>
      </c>
      <c r="K6904" s="9">
        <v>304</v>
      </c>
      <c r="L6904" s="9">
        <v>2024</v>
      </c>
      <c r="M6904" s="8" t="s">
        <v>39142</v>
      </c>
      <c r="N6904" s="8" t="s">
        <v>37</v>
      </c>
      <c r="O6904" s="8" t="s">
        <v>83</v>
      </c>
      <c r="P6904" s="6" t="s">
        <v>51</v>
      </c>
      <c r="Q6904" s="8" t="s">
        <v>52</v>
      </c>
      <c r="R6904" s="10" t="s">
        <v>25036</v>
      </c>
      <c r="S6904" s="11" t="s">
        <v>10555</v>
      </c>
      <c r="T6904" s="6"/>
      <c r="U6904" s="15" t="str">
        <f>HYPERLINK("https://media.infra-m.ru/2130/2130165/cover/2130165.jpg", "Обложка")</f>
        <v>Обложка</v>
      </c>
      <c r="V6904" s="8" t="s">
        <v>1675</v>
      </c>
      <c r="W6904" s="6"/>
      <c r="X6904" s="6"/>
      <c r="Y6904" s="6"/>
      <c r="Z6904" s="6"/>
      <c r="AA6904" s="6" t="s">
        <v>779</v>
      </c>
      <c r="AB6904" s="8"/>
      <c r="AC6904" s="27">
        <v>9785160195742</v>
      </c>
    </row>
    <row r="6905" spans="1:29" s="4" customFormat="1" ht="42" customHeight="1" x14ac:dyDescent="0.2">
      <c r="A6905" s="5">
        <v>0</v>
      </c>
      <c r="B6905" s="6" t="s">
        <v>39143</v>
      </c>
      <c r="C6905" s="13">
        <v>660</v>
      </c>
      <c r="D6905" s="8" t="s">
        <v>39144</v>
      </c>
      <c r="E6905" s="8" t="s">
        <v>39145</v>
      </c>
      <c r="F6905" s="8" t="s">
        <v>18733</v>
      </c>
      <c r="G6905" s="6" t="s">
        <v>33</v>
      </c>
      <c r="H6905" s="6" t="s">
        <v>34</v>
      </c>
      <c r="I6905" s="8" t="s">
        <v>35</v>
      </c>
      <c r="J6905" s="9">
        <v>1</v>
      </c>
      <c r="K6905" s="9">
        <v>141</v>
      </c>
      <c r="L6905" s="9">
        <v>2022</v>
      </c>
      <c r="M6905" s="8" t="s">
        <v>39146</v>
      </c>
      <c r="N6905" s="8" t="s">
        <v>585</v>
      </c>
      <c r="O6905" s="8" t="s">
        <v>667</v>
      </c>
      <c r="P6905" s="6" t="s">
        <v>39</v>
      </c>
      <c r="Q6905" s="8" t="s">
        <v>40</v>
      </c>
      <c r="R6905" s="10" t="s">
        <v>39147</v>
      </c>
      <c r="S6905" s="11"/>
      <c r="T6905" s="6"/>
      <c r="U6905" s="15" t="str">
        <f>HYPERLINK("https://media.infra-m.ru/1851/1851253/cover/1851253.jpg", "Обложка")</f>
        <v>Обложка</v>
      </c>
      <c r="V6905" s="8" t="s">
        <v>5964</v>
      </c>
      <c r="W6905" s="6"/>
      <c r="X6905" s="6"/>
      <c r="Y6905" s="6"/>
      <c r="Z6905" s="6"/>
      <c r="AA6905" s="6" t="s">
        <v>115</v>
      </c>
      <c r="AB6905" s="8"/>
      <c r="AC6905" s="27">
        <v>9785160142814</v>
      </c>
    </row>
    <row r="6906" spans="1:29" s="4" customFormat="1" ht="51.9" customHeight="1" x14ac:dyDescent="0.2">
      <c r="A6906" s="5">
        <v>0</v>
      </c>
      <c r="B6906" s="6" t="s">
        <v>39148</v>
      </c>
      <c r="C6906" s="7">
        <v>1276.8</v>
      </c>
      <c r="D6906" s="8" t="s">
        <v>39149</v>
      </c>
      <c r="E6906" s="8" t="s">
        <v>39150</v>
      </c>
      <c r="F6906" s="8" t="s">
        <v>39151</v>
      </c>
      <c r="G6906" s="6" t="s">
        <v>33</v>
      </c>
      <c r="H6906" s="6" t="s">
        <v>34</v>
      </c>
      <c r="I6906" s="8" t="s">
        <v>35</v>
      </c>
      <c r="J6906" s="9">
        <v>1</v>
      </c>
      <c r="K6906" s="9">
        <v>194</v>
      </c>
      <c r="L6906" s="9">
        <v>2026</v>
      </c>
      <c r="M6906" s="8" t="s">
        <v>39152</v>
      </c>
      <c r="N6906" s="8" t="s">
        <v>93</v>
      </c>
      <c r="O6906" s="8" t="s">
        <v>94</v>
      </c>
      <c r="P6906" s="6" t="s">
        <v>39</v>
      </c>
      <c r="Q6906" s="8" t="s">
        <v>40</v>
      </c>
      <c r="R6906" s="10" t="s">
        <v>39153</v>
      </c>
      <c r="S6906" s="11"/>
      <c r="T6906" s="6" t="s">
        <v>97</v>
      </c>
      <c r="U6906" s="15" t="str">
        <f>HYPERLINK("https://media.infra-m.ru/2243/2243413/cover/2243413.jpg", "Обложка")</f>
        <v>Обложка</v>
      </c>
      <c r="V6906" s="8" t="s">
        <v>6190</v>
      </c>
      <c r="W6906" s="6"/>
      <c r="X6906" s="6"/>
      <c r="Y6906" s="6"/>
      <c r="Z6906" s="6"/>
      <c r="AA6906" s="6" t="s">
        <v>430</v>
      </c>
      <c r="AB6906" s="8"/>
      <c r="AC6906" s="27">
        <v>9785160163550</v>
      </c>
    </row>
    <row r="6907" spans="1:29" s="4" customFormat="1" ht="44.1" customHeight="1" x14ac:dyDescent="0.2">
      <c r="A6907" s="5">
        <v>0</v>
      </c>
      <c r="B6907" s="6" t="s">
        <v>39154</v>
      </c>
      <c r="C6907" s="7">
        <v>1200</v>
      </c>
      <c r="D6907" s="8" t="s">
        <v>39155</v>
      </c>
      <c r="E6907" s="8" t="s">
        <v>39156</v>
      </c>
      <c r="F6907" s="8" t="s">
        <v>39157</v>
      </c>
      <c r="G6907" s="6" t="s">
        <v>33</v>
      </c>
      <c r="H6907" s="6" t="s">
        <v>34</v>
      </c>
      <c r="I6907" s="8" t="s">
        <v>35</v>
      </c>
      <c r="J6907" s="9">
        <v>1</v>
      </c>
      <c r="K6907" s="9">
        <v>174</v>
      </c>
      <c r="L6907" s="9">
        <v>2026</v>
      </c>
      <c r="M6907" s="8" t="s">
        <v>39158</v>
      </c>
      <c r="N6907" s="8" t="s">
        <v>37</v>
      </c>
      <c r="O6907" s="8" t="s">
        <v>233</v>
      </c>
      <c r="P6907" s="6" t="s">
        <v>39</v>
      </c>
      <c r="Q6907" s="8" t="s">
        <v>40</v>
      </c>
      <c r="R6907" s="10" t="s">
        <v>39159</v>
      </c>
      <c r="S6907" s="11"/>
      <c r="T6907" s="6"/>
      <c r="U6907" s="15" t="str">
        <f>HYPERLINK("https://media.infra-m.ru/2212/2212037/cover/2212037.jpg", "Обложка")</f>
        <v>Обложка</v>
      </c>
      <c r="V6907" s="8" t="s">
        <v>396</v>
      </c>
      <c r="W6907" s="6" t="s">
        <v>186</v>
      </c>
      <c r="X6907" s="6"/>
      <c r="Y6907" s="6"/>
      <c r="Z6907" s="6"/>
      <c r="AA6907" s="6" t="s">
        <v>187</v>
      </c>
      <c r="AB6907" s="8" t="s">
        <v>308</v>
      </c>
      <c r="AC6907" s="27">
        <v>9785160210568</v>
      </c>
    </row>
    <row r="6908" spans="1:29" s="4" customFormat="1" ht="51.9" customHeight="1" x14ac:dyDescent="0.2">
      <c r="A6908" s="5">
        <v>0</v>
      </c>
      <c r="B6908" s="6" t="s">
        <v>39160</v>
      </c>
      <c r="C6908" s="7">
        <v>1560</v>
      </c>
      <c r="D6908" s="8" t="s">
        <v>39161</v>
      </c>
      <c r="E6908" s="8" t="s">
        <v>39162</v>
      </c>
      <c r="F6908" s="8" t="s">
        <v>4590</v>
      </c>
      <c r="G6908" s="6" t="s">
        <v>118</v>
      </c>
      <c r="H6908" s="6" t="s">
        <v>34</v>
      </c>
      <c r="I6908" s="8" t="s">
        <v>253</v>
      </c>
      <c r="J6908" s="9">
        <v>1</v>
      </c>
      <c r="K6908" s="9">
        <v>277</v>
      </c>
      <c r="L6908" s="9">
        <v>2024</v>
      </c>
      <c r="M6908" s="8" t="s">
        <v>39163</v>
      </c>
      <c r="N6908" s="8" t="s">
        <v>63</v>
      </c>
      <c r="O6908" s="8" t="s">
        <v>126</v>
      </c>
      <c r="P6908" s="6" t="s">
        <v>306</v>
      </c>
      <c r="Q6908" s="8" t="s">
        <v>65</v>
      </c>
      <c r="R6908" s="10" t="s">
        <v>39164</v>
      </c>
      <c r="S6908" s="11" t="s">
        <v>12561</v>
      </c>
      <c r="T6908" s="6"/>
      <c r="U6908" s="15" t="str">
        <f>HYPERLINK("https://media.infra-m.ru/2064/2064436/cover/2064436.jpg", "Обложка")</f>
        <v>Обложка</v>
      </c>
      <c r="V6908" s="8" t="s">
        <v>3413</v>
      </c>
      <c r="W6908" s="6"/>
      <c r="X6908" s="6"/>
      <c r="Y6908" s="6"/>
      <c r="Z6908" s="6"/>
      <c r="AA6908" s="6" t="s">
        <v>258</v>
      </c>
      <c r="AB6908" s="8"/>
      <c r="AC6908" s="27">
        <v>9785160188522</v>
      </c>
    </row>
    <row r="6909" spans="1:29" s="4" customFormat="1" ht="51.9" customHeight="1" x14ac:dyDescent="0.2">
      <c r="A6909" s="5">
        <v>0</v>
      </c>
      <c r="B6909" s="6" t="s">
        <v>39165</v>
      </c>
      <c r="C6909" s="13">
        <v>432</v>
      </c>
      <c r="D6909" s="8" t="s">
        <v>39166</v>
      </c>
      <c r="E6909" s="8" t="s">
        <v>39167</v>
      </c>
      <c r="F6909" s="8" t="s">
        <v>39168</v>
      </c>
      <c r="G6909" s="6" t="s">
        <v>33</v>
      </c>
      <c r="H6909" s="6" t="s">
        <v>34</v>
      </c>
      <c r="I6909" s="8"/>
      <c r="J6909" s="9">
        <v>1</v>
      </c>
      <c r="K6909" s="9">
        <v>94</v>
      </c>
      <c r="L6909" s="9">
        <v>2023</v>
      </c>
      <c r="M6909" s="8" t="s">
        <v>39169</v>
      </c>
      <c r="N6909" s="8" t="s">
        <v>37</v>
      </c>
      <c r="O6909" s="8" t="s">
        <v>83</v>
      </c>
      <c r="P6909" s="6" t="s">
        <v>7441</v>
      </c>
      <c r="Q6909" s="8" t="s">
        <v>40</v>
      </c>
      <c r="R6909" s="10" t="s">
        <v>39170</v>
      </c>
      <c r="S6909" s="11"/>
      <c r="T6909" s="6"/>
      <c r="U6909" s="15" t="str">
        <f>HYPERLINK("https://media.infra-m.ru/2143/2143220/cover/2143220.jpg", "Обложка")</f>
        <v>Обложка</v>
      </c>
      <c r="V6909" s="8"/>
      <c r="W6909" s="6"/>
      <c r="X6909" s="6"/>
      <c r="Y6909" s="6"/>
      <c r="Z6909" s="6"/>
      <c r="AA6909" s="6" t="s">
        <v>157</v>
      </c>
      <c r="AB6909" s="8"/>
      <c r="AC6909" s="27">
        <v>9785160197166</v>
      </c>
    </row>
    <row r="6910" spans="1:29" s="4" customFormat="1" ht="51.9" customHeight="1" x14ac:dyDescent="0.2">
      <c r="A6910" s="5">
        <v>0</v>
      </c>
      <c r="B6910" s="6" t="s">
        <v>39171</v>
      </c>
      <c r="C6910" s="13">
        <v>952.8</v>
      </c>
      <c r="D6910" s="8" t="s">
        <v>39172</v>
      </c>
      <c r="E6910" s="8" t="s">
        <v>39173</v>
      </c>
      <c r="F6910" s="8" t="s">
        <v>31047</v>
      </c>
      <c r="G6910" s="6" t="s">
        <v>118</v>
      </c>
      <c r="H6910" s="6" t="s">
        <v>134</v>
      </c>
      <c r="I6910" s="8"/>
      <c r="J6910" s="9">
        <v>1</v>
      </c>
      <c r="K6910" s="9">
        <v>144</v>
      </c>
      <c r="L6910" s="9">
        <v>2026</v>
      </c>
      <c r="M6910" s="8" t="s">
        <v>39174</v>
      </c>
      <c r="N6910" s="8" t="s">
        <v>37</v>
      </c>
      <c r="O6910" s="8" t="s">
        <v>136</v>
      </c>
      <c r="P6910" s="6" t="s">
        <v>39</v>
      </c>
      <c r="Q6910" s="8" t="s">
        <v>40</v>
      </c>
      <c r="R6910" s="10" t="s">
        <v>24691</v>
      </c>
      <c r="S6910" s="11"/>
      <c r="T6910" s="6"/>
      <c r="U6910" s="15" t="str">
        <f>HYPERLINK("https://media.infra-m.ru/2236/2236300/cover/2236300.jpg", "Обложка")</f>
        <v>Обложка</v>
      </c>
      <c r="V6910" s="8" t="s">
        <v>1069</v>
      </c>
      <c r="W6910" s="6"/>
      <c r="X6910" s="6"/>
      <c r="Y6910" s="6"/>
      <c r="Z6910" s="6"/>
      <c r="AA6910" s="6" t="s">
        <v>1506</v>
      </c>
      <c r="AB6910" s="8"/>
      <c r="AC6910" s="27">
        <v>9785917688176</v>
      </c>
    </row>
    <row r="6911" spans="1:29" s="4" customFormat="1" ht="42" customHeight="1" x14ac:dyDescent="0.2">
      <c r="A6911" s="5">
        <v>0</v>
      </c>
      <c r="B6911" s="6" t="s">
        <v>39175</v>
      </c>
      <c r="C6911" s="7">
        <v>1044</v>
      </c>
      <c r="D6911" s="8" t="s">
        <v>39176</v>
      </c>
      <c r="E6911" s="8" t="s">
        <v>39177</v>
      </c>
      <c r="F6911" s="8" t="s">
        <v>29763</v>
      </c>
      <c r="G6911" s="6" t="s">
        <v>33</v>
      </c>
      <c r="H6911" s="6" t="s">
        <v>34</v>
      </c>
      <c r="I6911" s="8" t="s">
        <v>35</v>
      </c>
      <c r="J6911" s="9">
        <v>1</v>
      </c>
      <c r="K6911" s="9">
        <v>174</v>
      </c>
      <c r="L6911" s="9">
        <v>2025</v>
      </c>
      <c r="M6911" s="8" t="s">
        <v>39178</v>
      </c>
      <c r="N6911" s="8" t="s">
        <v>37</v>
      </c>
      <c r="O6911" s="8" t="s">
        <v>136</v>
      </c>
      <c r="P6911" s="6" t="s">
        <v>39</v>
      </c>
      <c r="Q6911" s="8" t="s">
        <v>40</v>
      </c>
      <c r="R6911" s="10" t="s">
        <v>684</v>
      </c>
      <c r="S6911" s="11"/>
      <c r="T6911" s="6"/>
      <c r="U6911" s="15" t="str">
        <f>HYPERLINK("https://media.infra-m.ru/2141/2141102/cover/2141102.jpg", "Обложка")</f>
        <v>Обложка</v>
      </c>
      <c r="V6911" s="8" t="s">
        <v>1184</v>
      </c>
      <c r="W6911" s="6"/>
      <c r="X6911" s="6"/>
      <c r="Y6911" s="6"/>
      <c r="Z6911" s="6"/>
      <c r="AA6911" s="6" t="s">
        <v>68</v>
      </c>
      <c r="AB6911" s="8"/>
      <c r="AC6911" s="27">
        <v>9785160198569</v>
      </c>
    </row>
    <row r="6912" spans="1:29" s="4" customFormat="1" ht="42" customHeight="1" x14ac:dyDescent="0.2">
      <c r="A6912" s="5">
        <v>0</v>
      </c>
      <c r="B6912" s="6" t="s">
        <v>39179</v>
      </c>
      <c r="C6912" s="7">
        <v>1336.8</v>
      </c>
      <c r="D6912" s="8" t="s">
        <v>39180</v>
      </c>
      <c r="E6912" s="8" t="s">
        <v>39181</v>
      </c>
      <c r="F6912" s="8" t="s">
        <v>39182</v>
      </c>
      <c r="G6912" s="6" t="s">
        <v>118</v>
      </c>
      <c r="H6912" s="6" t="s">
        <v>34</v>
      </c>
      <c r="I6912" s="8" t="s">
        <v>35</v>
      </c>
      <c r="J6912" s="9">
        <v>1</v>
      </c>
      <c r="K6912" s="9">
        <v>203</v>
      </c>
      <c r="L6912" s="9">
        <v>2026</v>
      </c>
      <c r="M6912" s="8" t="s">
        <v>39183</v>
      </c>
      <c r="N6912" s="8" t="s">
        <v>93</v>
      </c>
      <c r="O6912" s="8" t="s">
        <v>94</v>
      </c>
      <c r="P6912" s="6" t="s">
        <v>39</v>
      </c>
      <c r="Q6912" s="8" t="s">
        <v>40</v>
      </c>
      <c r="R6912" s="10" t="s">
        <v>39184</v>
      </c>
      <c r="S6912" s="11"/>
      <c r="T6912" s="6"/>
      <c r="U6912" s="15" t="str">
        <f>HYPERLINK("https://media.infra-m.ru/2231/2231000/cover/2231000.jpg", "Обложка")</f>
        <v>Обложка</v>
      </c>
      <c r="V6912" s="8" t="s">
        <v>36042</v>
      </c>
      <c r="W6912" s="6"/>
      <c r="X6912" s="6"/>
      <c r="Y6912" s="6"/>
      <c r="Z6912" s="6"/>
      <c r="AA6912" s="6" t="s">
        <v>86</v>
      </c>
      <c r="AB6912" s="8"/>
      <c r="AC6912" s="27">
        <v>9785160134840</v>
      </c>
    </row>
    <row r="6913" spans="1:29" s="4" customFormat="1" ht="42" customHeight="1" x14ac:dyDescent="0.2">
      <c r="A6913" s="5">
        <v>0</v>
      </c>
      <c r="B6913" s="6" t="s">
        <v>39185</v>
      </c>
      <c r="C6913" s="7">
        <v>1416</v>
      </c>
      <c r="D6913" s="8" t="s">
        <v>39186</v>
      </c>
      <c r="E6913" s="8" t="s">
        <v>39181</v>
      </c>
      <c r="F6913" s="8" t="s">
        <v>39182</v>
      </c>
      <c r="G6913" s="6" t="s">
        <v>33</v>
      </c>
      <c r="H6913" s="6" t="s">
        <v>34</v>
      </c>
      <c r="I6913" s="8" t="s">
        <v>35</v>
      </c>
      <c r="J6913" s="9">
        <v>1</v>
      </c>
      <c r="K6913" s="9">
        <v>203</v>
      </c>
      <c r="L6913" s="9">
        <v>2027</v>
      </c>
      <c r="M6913" s="8" t="s">
        <v>39187</v>
      </c>
      <c r="N6913" s="8" t="s">
        <v>93</v>
      </c>
      <c r="O6913" s="8" t="s">
        <v>94</v>
      </c>
      <c r="P6913" s="6" t="s">
        <v>39</v>
      </c>
      <c r="Q6913" s="8" t="s">
        <v>40</v>
      </c>
      <c r="R6913" s="10" t="s">
        <v>39184</v>
      </c>
      <c r="S6913" s="11"/>
      <c r="T6913" s="6"/>
      <c r="U6913" s="15" t="str">
        <f>HYPERLINK("https://media.infra-m.ru/2269/2269773/cover/2269773.jpg", "Обложка")</f>
        <v>Обложка</v>
      </c>
      <c r="V6913" s="8" t="s">
        <v>36042</v>
      </c>
      <c r="W6913" s="6"/>
      <c r="X6913" s="6"/>
      <c r="Y6913" s="6"/>
      <c r="Z6913" s="6"/>
      <c r="AA6913" s="6" t="s">
        <v>86</v>
      </c>
      <c r="AB6913" s="8"/>
      <c r="AC6913" s="27">
        <v>9785160224992</v>
      </c>
    </row>
    <row r="6914" spans="1:29" s="4" customFormat="1" ht="51.9" customHeight="1" x14ac:dyDescent="0.2">
      <c r="A6914" s="5">
        <v>0</v>
      </c>
      <c r="B6914" s="6" t="s">
        <v>39188</v>
      </c>
      <c r="C6914" s="7">
        <v>1672.8</v>
      </c>
      <c r="D6914" s="8" t="s">
        <v>39189</v>
      </c>
      <c r="E6914" s="8" t="s">
        <v>39190</v>
      </c>
      <c r="F6914" s="8" t="s">
        <v>39191</v>
      </c>
      <c r="G6914" s="6" t="s">
        <v>60</v>
      </c>
      <c r="H6914" s="6" t="s">
        <v>134</v>
      </c>
      <c r="I6914" s="8"/>
      <c r="J6914" s="9">
        <v>1</v>
      </c>
      <c r="K6914" s="9">
        <v>304</v>
      </c>
      <c r="L6914" s="9">
        <v>2024</v>
      </c>
      <c r="M6914" s="8" t="s">
        <v>39192</v>
      </c>
      <c r="N6914" s="8" t="s">
        <v>37</v>
      </c>
      <c r="O6914" s="8" t="s">
        <v>136</v>
      </c>
      <c r="P6914" s="6" t="s">
        <v>39</v>
      </c>
      <c r="Q6914" s="8" t="s">
        <v>40</v>
      </c>
      <c r="R6914" s="10" t="s">
        <v>39193</v>
      </c>
      <c r="S6914" s="11"/>
      <c r="T6914" s="6"/>
      <c r="U6914" s="15" t="str">
        <f>HYPERLINK("https://media.infra-m.ru/2044/2044345/cover/2044345.jpg", "Обложка")</f>
        <v>Обложка</v>
      </c>
      <c r="V6914" s="8" t="s">
        <v>6114</v>
      </c>
      <c r="W6914" s="6"/>
      <c r="X6914" s="6"/>
      <c r="Y6914" s="6"/>
      <c r="Z6914" s="6"/>
      <c r="AA6914" s="6" t="s">
        <v>43</v>
      </c>
      <c r="AB6914" s="8"/>
      <c r="AC6914" s="27">
        <v>9785917683072</v>
      </c>
    </row>
    <row r="6915" spans="1:29" s="4" customFormat="1" ht="51.9" customHeight="1" x14ac:dyDescent="0.2">
      <c r="A6915" s="5">
        <v>0</v>
      </c>
      <c r="B6915" s="6" t="s">
        <v>39194</v>
      </c>
      <c r="C6915" s="7">
        <v>2428.8000000000002</v>
      </c>
      <c r="D6915" s="8" t="s">
        <v>39195</v>
      </c>
      <c r="E6915" s="8" t="s">
        <v>39196</v>
      </c>
      <c r="F6915" s="8" t="s">
        <v>39197</v>
      </c>
      <c r="G6915" s="6" t="s">
        <v>118</v>
      </c>
      <c r="H6915" s="6" t="s">
        <v>1779</v>
      </c>
      <c r="I6915" s="8"/>
      <c r="J6915" s="9">
        <v>1</v>
      </c>
      <c r="K6915" s="9">
        <v>368</v>
      </c>
      <c r="L6915" s="9">
        <v>2026</v>
      </c>
      <c r="M6915" s="8" t="s">
        <v>39198</v>
      </c>
      <c r="N6915" s="8" t="s">
        <v>37</v>
      </c>
      <c r="O6915" s="8" t="s">
        <v>136</v>
      </c>
      <c r="P6915" s="6" t="s">
        <v>1293</v>
      </c>
      <c r="Q6915" s="8" t="s">
        <v>500</v>
      </c>
      <c r="R6915" s="10" t="s">
        <v>4109</v>
      </c>
      <c r="S6915" s="11"/>
      <c r="T6915" s="6"/>
      <c r="U6915" s="15" t="str">
        <f>HYPERLINK("https://media.infra-m.ru/2237/2237712/cover/2237712.jpg", "Обложка")</f>
        <v>Обложка</v>
      </c>
      <c r="V6915" s="8" t="s">
        <v>2466</v>
      </c>
      <c r="W6915" s="6"/>
      <c r="X6915" s="6"/>
      <c r="Y6915" s="6"/>
      <c r="Z6915" s="6"/>
      <c r="AA6915" s="6" t="s">
        <v>779</v>
      </c>
      <c r="AB6915" s="8"/>
      <c r="AC6915" s="27">
        <v>9785917686561</v>
      </c>
    </row>
    <row r="6916" spans="1:29" s="4" customFormat="1" ht="51.9" customHeight="1" x14ac:dyDescent="0.2">
      <c r="A6916" s="5">
        <v>0</v>
      </c>
      <c r="B6916" s="6" t="s">
        <v>39199</v>
      </c>
      <c r="C6916" s="13">
        <v>708</v>
      </c>
      <c r="D6916" s="8" t="s">
        <v>39200</v>
      </c>
      <c r="E6916" s="8" t="s">
        <v>39201</v>
      </c>
      <c r="F6916" s="8" t="s">
        <v>39202</v>
      </c>
      <c r="G6916" s="6" t="s">
        <v>33</v>
      </c>
      <c r="H6916" s="6" t="s">
        <v>313</v>
      </c>
      <c r="I6916" s="8" t="s">
        <v>253</v>
      </c>
      <c r="J6916" s="9">
        <v>1</v>
      </c>
      <c r="K6916" s="9">
        <v>108</v>
      </c>
      <c r="L6916" s="9">
        <v>2025</v>
      </c>
      <c r="M6916" s="8" t="s">
        <v>39203</v>
      </c>
      <c r="N6916" s="8" t="s">
        <v>63</v>
      </c>
      <c r="O6916" s="8" t="s">
        <v>9718</v>
      </c>
      <c r="P6916" s="6" t="s">
        <v>51</v>
      </c>
      <c r="Q6916" s="8" t="s">
        <v>52</v>
      </c>
      <c r="R6916" s="10" t="s">
        <v>39204</v>
      </c>
      <c r="S6916" s="11" t="s">
        <v>39205</v>
      </c>
      <c r="T6916" s="6"/>
      <c r="U6916" s="15" t="str">
        <f>HYPERLINK("https://media.infra-m.ru/2231/2231095/cover/2231095.jpg", "Обложка")</f>
        <v>Обложка</v>
      </c>
      <c r="V6916" s="8" t="s">
        <v>9514</v>
      </c>
      <c r="W6916" s="6"/>
      <c r="X6916" s="6"/>
      <c r="Y6916" s="6"/>
      <c r="Z6916" s="6"/>
      <c r="AA6916" s="6" t="s">
        <v>779</v>
      </c>
      <c r="AB6916" s="8"/>
      <c r="AC6916" s="27">
        <v>9785369014875</v>
      </c>
    </row>
    <row r="6917" spans="1:29" s="4" customFormat="1" ht="42" customHeight="1" x14ac:dyDescent="0.2">
      <c r="A6917" s="5">
        <v>0</v>
      </c>
      <c r="B6917" s="6" t="s">
        <v>39206</v>
      </c>
      <c r="C6917" s="7">
        <v>1092</v>
      </c>
      <c r="D6917" s="8" t="s">
        <v>39207</v>
      </c>
      <c r="E6917" s="8" t="s">
        <v>39208</v>
      </c>
      <c r="F6917" s="8" t="s">
        <v>15020</v>
      </c>
      <c r="G6917" s="6" t="s">
        <v>118</v>
      </c>
      <c r="H6917" s="6" t="s">
        <v>134</v>
      </c>
      <c r="I6917" s="8"/>
      <c r="J6917" s="9">
        <v>1</v>
      </c>
      <c r="K6917" s="9">
        <v>152</v>
      </c>
      <c r="L6917" s="9">
        <v>2026</v>
      </c>
      <c r="M6917" s="8" t="s">
        <v>39209</v>
      </c>
      <c r="N6917" s="8" t="s">
        <v>37</v>
      </c>
      <c r="O6917" s="8" t="s">
        <v>136</v>
      </c>
      <c r="P6917" s="6" t="s">
        <v>39</v>
      </c>
      <c r="Q6917" s="8" t="s">
        <v>40</v>
      </c>
      <c r="R6917" s="10" t="s">
        <v>684</v>
      </c>
      <c r="S6917" s="11"/>
      <c r="T6917" s="6"/>
      <c r="U6917" s="15" t="str">
        <f>HYPERLINK("https://media.infra-m.ru/2244/2244008/cover/2244008.jpg", "Обложка")</f>
        <v>Обложка</v>
      </c>
      <c r="V6917" s="8" t="s">
        <v>546</v>
      </c>
      <c r="W6917" s="6"/>
      <c r="X6917" s="6"/>
      <c r="Y6917" s="6"/>
      <c r="Z6917" s="6"/>
      <c r="AA6917" s="6" t="s">
        <v>148</v>
      </c>
      <c r="AB6917" s="8"/>
      <c r="AC6917" s="27">
        <v>9785001561934</v>
      </c>
    </row>
    <row r="6918" spans="1:29" s="4" customFormat="1" ht="51.9" customHeight="1" x14ac:dyDescent="0.2">
      <c r="A6918" s="5">
        <v>0</v>
      </c>
      <c r="B6918" s="6" t="s">
        <v>39210</v>
      </c>
      <c r="C6918" s="7">
        <v>2590.8000000000002</v>
      </c>
      <c r="D6918" s="8" t="s">
        <v>39211</v>
      </c>
      <c r="E6918" s="8" t="s">
        <v>39212</v>
      </c>
      <c r="F6918" s="8" t="s">
        <v>39213</v>
      </c>
      <c r="G6918" s="6" t="s">
        <v>118</v>
      </c>
      <c r="H6918" s="6" t="s">
        <v>34</v>
      </c>
      <c r="I6918" s="8" t="s">
        <v>35</v>
      </c>
      <c r="J6918" s="9">
        <v>1</v>
      </c>
      <c r="K6918" s="9">
        <v>220</v>
      </c>
      <c r="L6918" s="9">
        <v>2027</v>
      </c>
      <c r="M6918" s="8" t="s">
        <v>39214</v>
      </c>
      <c r="N6918" s="8" t="s">
        <v>37</v>
      </c>
      <c r="O6918" s="8" t="s">
        <v>136</v>
      </c>
      <c r="P6918" s="6" t="s">
        <v>39</v>
      </c>
      <c r="Q6918" s="8" t="s">
        <v>40</v>
      </c>
      <c r="R6918" s="10" t="s">
        <v>39215</v>
      </c>
      <c r="S6918" s="11"/>
      <c r="T6918" s="6"/>
      <c r="U6918" s="15" t="str">
        <f>HYPERLINK("https://media.infra-m.ru/2257/2257122/cover/2257122.jpg", "Обложка")</f>
        <v>Обложка</v>
      </c>
      <c r="V6918" s="8" t="s">
        <v>1231</v>
      </c>
      <c r="W6918" s="6"/>
      <c r="X6918" s="6"/>
      <c r="Y6918" s="6"/>
      <c r="Z6918" s="6"/>
      <c r="AA6918" s="6" t="s">
        <v>157</v>
      </c>
      <c r="AB6918" s="8"/>
      <c r="AC6918" s="27">
        <v>9785160177632</v>
      </c>
    </row>
    <row r="6919" spans="1:29" s="4" customFormat="1" ht="51.9" customHeight="1" x14ac:dyDescent="0.2">
      <c r="A6919" s="5">
        <v>0</v>
      </c>
      <c r="B6919" s="6" t="s">
        <v>39216</v>
      </c>
      <c r="C6919" s="7">
        <v>1008</v>
      </c>
      <c r="D6919" s="8" t="s">
        <v>39217</v>
      </c>
      <c r="E6919" s="8" t="s">
        <v>39218</v>
      </c>
      <c r="F6919" s="8" t="s">
        <v>39219</v>
      </c>
      <c r="G6919" s="6" t="s">
        <v>118</v>
      </c>
      <c r="H6919" s="6" t="s">
        <v>34</v>
      </c>
      <c r="I6919" s="8" t="s">
        <v>271</v>
      </c>
      <c r="J6919" s="9">
        <v>1</v>
      </c>
      <c r="K6919" s="9">
        <v>185</v>
      </c>
      <c r="L6919" s="9">
        <v>2023</v>
      </c>
      <c r="M6919" s="8" t="s">
        <v>39220</v>
      </c>
      <c r="N6919" s="8" t="s">
        <v>243</v>
      </c>
      <c r="O6919" s="8" t="s">
        <v>758</v>
      </c>
      <c r="P6919" s="6" t="s">
        <v>51</v>
      </c>
      <c r="Q6919" s="8" t="s">
        <v>52</v>
      </c>
      <c r="R6919" s="10" t="s">
        <v>39221</v>
      </c>
      <c r="S6919" s="11" t="s">
        <v>39222</v>
      </c>
      <c r="T6919" s="6" t="s">
        <v>97</v>
      </c>
      <c r="U6919" s="15" t="str">
        <f>HYPERLINK("https://media.infra-m.ru/1904/1904695/cover/1904695.jpg", "Обложка")</f>
        <v>Обложка</v>
      </c>
      <c r="V6919" s="8" t="s">
        <v>1157</v>
      </c>
      <c r="W6919" s="6"/>
      <c r="X6919" s="6"/>
      <c r="Y6919" s="6"/>
      <c r="Z6919" s="6"/>
      <c r="AA6919" s="6" t="s">
        <v>430</v>
      </c>
      <c r="AB6919" s="8"/>
      <c r="AC6919" s="27">
        <v>9785160155425</v>
      </c>
    </row>
    <row r="6920" spans="1:29" s="4" customFormat="1" ht="42" customHeight="1" x14ac:dyDescent="0.2">
      <c r="A6920" s="5">
        <v>0</v>
      </c>
      <c r="B6920" s="6" t="s">
        <v>39223</v>
      </c>
      <c r="C6920" s="7">
        <v>1871.9</v>
      </c>
      <c r="D6920" s="8" t="s">
        <v>39224</v>
      </c>
      <c r="E6920" s="8" t="s">
        <v>39225</v>
      </c>
      <c r="F6920" s="8" t="s">
        <v>39226</v>
      </c>
      <c r="G6920" s="6" t="s">
        <v>60</v>
      </c>
      <c r="H6920" s="6" t="s">
        <v>134</v>
      </c>
      <c r="I6920" s="8"/>
      <c r="J6920" s="9">
        <v>1</v>
      </c>
      <c r="K6920" s="9">
        <v>400</v>
      </c>
      <c r="L6920" s="9">
        <v>2022</v>
      </c>
      <c r="M6920" s="8" t="s">
        <v>39227</v>
      </c>
      <c r="N6920" s="8" t="s">
        <v>93</v>
      </c>
      <c r="O6920" s="8" t="s">
        <v>94</v>
      </c>
      <c r="P6920" s="6" t="s">
        <v>39</v>
      </c>
      <c r="Q6920" s="8" t="s">
        <v>40</v>
      </c>
      <c r="R6920" s="10" t="s">
        <v>684</v>
      </c>
      <c r="S6920" s="11"/>
      <c r="T6920" s="6"/>
      <c r="U6920" s="15" t="str">
        <f>HYPERLINK("https://media.infra-m.ru/1836/1836963/cover/1836963.jpg", "Обложка")</f>
        <v>Обложка</v>
      </c>
      <c r="V6920" s="8" t="s">
        <v>1184</v>
      </c>
      <c r="W6920" s="6"/>
      <c r="X6920" s="6"/>
      <c r="Y6920" s="6"/>
      <c r="Z6920" s="6"/>
      <c r="AA6920" s="6" t="s">
        <v>148</v>
      </c>
      <c r="AB6920" s="8"/>
      <c r="AC6920" s="27">
        <v>9785001562030</v>
      </c>
    </row>
    <row r="6921" spans="1:29" s="4" customFormat="1" ht="42" customHeight="1" x14ac:dyDescent="0.2">
      <c r="A6921" s="5">
        <v>0</v>
      </c>
      <c r="B6921" s="6" t="s">
        <v>39228</v>
      </c>
      <c r="C6921" s="7">
        <v>1660.8</v>
      </c>
      <c r="D6921" s="8" t="s">
        <v>39229</v>
      </c>
      <c r="E6921" s="8" t="s">
        <v>39230</v>
      </c>
      <c r="F6921" s="8" t="s">
        <v>39231</v>
      </c>
      <c r="G6921" s="6" t="s">
        <v>60</v>
      </c>
      <c r="H6921" s="6" t="s">
        <v>34</v>
      </c>
      <c r="I6921" s="8" t="s">
        <v>111</v>
      </c>
      <c r="J6921" s="9">
        <v>1</v>
      </c>
      <c r="K6921" s="9">
        <v>251</v>
      </c>
      <c r="L6921" s="9">
        <v>2026</v>
      </c>
      <c r="M6921" s="8" t="s">
        <v>39232</v>
      </c>
      <c r="N6921" s="8" t="s">
        <v>243</v>
      </c>
      <c r="O6921" s="8" t="s">
        <v>385</v>
      </c>
      <c r="P6921" s="6" t="s">
        <v>39</v>
      </c>
      <c r="Q6921" s="8" t="s">
        <v>40</v>
      </c>
      <c r="R6921" s="10" t="s">
        <v>6664</v>
      </c>
      <c r="S6921" s="11"/>
      <c r="T6921" s="6"/>
      <c r="U6921" s="15" t="str">
        <f>HYPERLINK("https://media.infra-m.ru/2179/2179424/cover/2179424.jpg", "Обложка")</f>
        <v>Обложка</v>
      </c>
      <c r="V6921" s="8" t="s">
        <v>39233</v>
      </c>
      <c r="W6921" s="6"/>
      <c r="X6921" s="6"/>
      <c r="Y6921" s="6"/>
      <c r="Z6921" s="6"/>
      <c r="AA6921" s="6" t="s">
        <v>157</v>
      </c>
      <c r="AB6921" s="8"/>
      <c r="AC6921" s="27">
        <v>9785160181820</v>
      </c>
    </row>
    <row r="6922" spans="1:29" s="4" customFormat="1" ht="44.1" customHeight="1" x14ac:dyDescent="0.2">
      <c r="A6922" s="5">
        <v>0</v>
      </c>
      <c r="B6922" s="6" t="s">
        <v>39234</v>
      </c>
      <c r="C6922" s="7">
        <v>1504.8</v>
      </c>
      <c r="D6922" s="8" t="s">
        <v>39235</v>
      </c>
      <c r="E6922" s="8" t="s">
        <v>39236</v>
      </c>
      <c r="F6922" s="8" t="s">
        <v>39237</v>
      </c>
      <c r="G6922" s="6" t="s">
        <v>60</v>
      </c>
      <c r="H6922" s="6" t="s">
        <v>34</v>
      </c>
      <c r="I6922" s="8" t="s">
        <v>253</v>
      </c>
      <c r="J6922" s="9">
        <v>1</v>
      </c>
      <c r="K6922" s="9">
        <v>217</v>
      </c>
      <c r="L6922" s="9">
        <v>2027</v>
      </c>
      <c r="M6922" s="8" t="s">
        <v>39238</v>
      </c>
      <c r="N6922" s="8" t="s">
        <v>243</v>
      </c>
      <c r="O6922" s="8" t="s">
        <v>385</v>
      </c>
      <c r="P6922" s="6" t="s">
        <v>51</v>
      </c>
      <c r="Q6922" s="8" t="s">
        <v>52</v>
      </c>
      <c r="R6922" s="10" t="s">
        <v>39239</v>
      </c>
      <c r="S6922" s="11"/>
      <c r="T6922" s="6"/>
      <c r="U6922" s="15" t="str">
        <f>HYPERLINK("https://media.infra-m.ru/2272/2272382/cover/2272382.jpg", "Обложка")</f>
        <v>Обложка</v>
      </c>
      <c r="V6922" s="8" t="s">
        <v>2154</v>
      </c>
      <c r="W6922" s="6"/>
      <c r="X6922" s="6"/>
      <c r="Y6922" s="6"/>
      <c r="Z6922" s="6"/>
      <c r="AA6922" s="6" t="s">
        <v>248</v>
      </c>
      <c r="AB6922" s="8"/>
      <c r="AC6922" s="27">
        <v>9785160094991</v>
      </c>
    </row>
    <row r="6923" spans="1:29" s="4" customFormat="1" ht="42" customHeight="1" x14ac:dyDescent="0.2">
      <c r="A6923" s="5">
        <v>0</v>
      </c>
      <c r="B6923" s="6" t="s">
        <v>39240</v>
      </c>
      <c r="C6923" s="13">
        <v>504</v>
      </c>
      <c r="D6923" s="8" t="s">
        <v>39241</v>
      </c>
      <c r="E6923" s="8" t="s">
        <v>39242</v>
      </c>
      <c r="F6923" s="8" t="s">
        <v>39243</v>
      </c>
      <c r="G6923" s="6" t="s">
        <v>33</v>
      </c>
      <c r="H6923" s="6" t="s">
        <v>34</v>
      </c>
      <c r="I6923" s="8" t="s">
        <v>35</v>
      </c>
      <c r="J6923" s="9">
        <v>1</v>
      </c>
      <c r="K6923" s="9">
        <v>140</v>
      </c>
      <c r="L6923" s="9">
        <v>2019</v>
      </c>
      <c r="M6923" s="8" t="s">
        <v>39244</v>
      </c>
      <c r="N6923" s="8" t="s">
        <v>37</v>
      </c>
      <c r="O6923" s="8" t="s">
        <v>136</v>
      </c>
      <c r="P6923" s="6" t="s">
        <v>1689</v>
      </c>
      <c r="Q6923" s="8" t="s">
        <v>40</v>
      </c>
      <c r="R6923" s="10" t="s">
        <v>1667</v>
      </c>
      <c r="S6923" s="11"/>
      <c r="T6923" s="6"/>
      <c r="U6923" s="15" t="str">
        <f>HYPERLINK("https://media.infra-m.ru/0989/0989975/cover/989975.jpg", "Обложка")</f>
        <v>Обложка</v>
      </c>
      <c r="V6923" s="8" t="s">
        <v>1425</v>
      </c>
      <c r="W6923" s="6"/>
      <c r="X6923" s="6"/>
      <c r="Y6923" s="6"/>
      <c r="Z6923" s="6"/>
      <c r="AA6923" s="6" t="s">
        <v>86</v>
      </c>
      <c r="AB6923" s="8"/>
      <c r="AC6923" s="27">
        <v>9785160134819</v>
      </c>
    </row>
    <row r="6924" spans="1:29" s="4" customFormat="1" ht="51.9" customHeight="1" x14ac:dyDescent="0.2">
      <c r="A6924" s="5">
        <v>0</v>
      </c>
      <c r="B6924" s="6" t="s">
        <v>39245</v>
      </c>
      <c r="C6924" s="7">
        <v>2460</v>
      </c>
      <c r="D6924" s="8" t="s">
        <v>39246</v>
      </c>
      <c r="E6924" s="8" t="s">
        <v>39247</v>
      </c>
      <c r="F6924" s="8" t="s">
        <v>39248</v>
      </c>
      <c r="G6924" s="6" t="s">
        <v>118</v>
      </c>
      <c r="H6924" s="6" t="s">
        <v>34</v>
      </c>
      <c r="I6924" s="8" t="s">
        <v>253</v>
      </c>
      <c r="J6924" s="9">
        <v>1</v>
      </c>
      <c r="K6924" s="9">
        <v>373</v>
      </c>
      <c r="L6924" s="9">
        <v>2026</v>
      </c>
      <c r="M6924" s="8" t="s">
        <v>39249</v>
      </c>
      <c r="N6924" s="8" t="s">
        <v>37</v>
      </c>
      <c r="O6924" s="8" t="s">
        <v>280</v>
      </c>
      <c r="P6924" s="6" t="s">
        <v>51</v>
      </c>
      <c r="Q6924" s="8" t="s">
        <v>65</v>
      </c>
      <c r="R6924" s="10" t="s">
        <v>39250</v>
      </c>
      <c r="S6924" s="11"/>
      <c r="T6924" s="6"/>
      <c r="U6924" s="15" t="str">
        <f>HYPERLINK("https://media.infra-m.ru/2243/2243458/cover/2243458.jpg", "Обложка")</f>
        <v>Обложка</v>
      </c>
      <c r="V6924" s="8" t="s">
        <v>247</v>
      </c>
      <c r="W6924" s="6"/>
      <c r="X6924" s="6"/>
      <c r="Y6924" s="6"/>
      <c r="Z6924" s="6"/>
      <c r="AA6924" s="6" t="s">
        <v>99</v>
      </c>
      <c r="AB6924" s="8"/>
      <c r="AC6924" s="27">
        <v>9785160220406</v>
      </c>
    </row>
    <row r="6925" spans="1:29" s="4" customFormat="1" ht="51.9" customHeight="1" x14ac:dyDescent="0.2">
      <c r="A6925" s="5">
        <v>0</v>
      </c>
      <c r="B6925" s="6" t="s">
        <v>39251</v>
      </c>
      <c r="C6925" s="7">
        <v>1133.9000000000001</v>
      </c>
      <c r="D6925" s="8" t="s">
        <v>39252</v>
      </c>
      <c r="E6925" s="8" t="s">
        <v>39253</v>
      </c>
      <c r="F6925" s="8" t="s">
        <v>39254</v>
      </c>
      <c r="G6925" s="6" t="s">
        <v>60</v>
      </c>
      <c r="H6925" s="6" t="s">
        <v>34</v>
      </c>
      <c r="I6925" s="8" t="s">
        <v>1501</v>
      </c>
      <c r="J6925" s="9">
        <v>1</v>
      </c>
      <c r="K6925" s="9">
        <v>279</v>
      </c>
      <c r="L6925" s="9">
        <v>2019</v>
      </c>
      <c r="M6925" s="8" t="s">
        <v>39255</v>
      </c>
      <c r="N6925" s="8" t="s">
        <v>243</v>
      </c>
      <c r="O6925" s="8" t="s">
        <v>244</v>
      </c>
      <c r="P6925" s="6" t="s">
        <v>51</v>
      </c>
      <c r="Q6925" s="8" t="s">
        <v>40</v>
      </c>
      <c r="R6925" s="10" t="s">
        <v>39256</v>
      </c>
      <c r="S6925" s="11" t="s">
        <v>39257</v>
      </c>
      <c r="T6925" s="6" t="s">
        <v>97</v>
      </c>
      <c r="U6925" s="15" t="str">
        <f>HYPERLINK("https://media.infra-m.ru/1032/1032203/cover/1032203.jpg", "Обложка")</f>
        <v>Обложка</v>
      </c>
      <c r="V6925" s="8" t="s">
        <v>396</v>
      </c>
      <c r="W6925" s="6"/>
      <c r="X6925" s="6"/>
      <c r="Y6925" s="6"/>
      <c r="Z6925" s="6"/>
      <c r="AA6925" s="6" t="s">
        <v>248</v>
      </c>
      <c r="AB6925" s="8"/>
      <c r="AC6925" s="27">
        <v>9785160068732</v>
      </c>
    </row>
    <row r="6926" spans="1:29" s="4" customFormat="1" ht="51.9" customHeight="1" x14ac:dyDescent="0.2">
      <c r="A6926" s="5">
        <v>0</v>
      </c>
      <c r="B6926" s="6" t="s">
        <v>39258</v>
      </c>
      <c r="C6926" s="7">
        <v>1540.8</v>
      </c>
      <c r="D6926" s="8" t="s">
        <v>39259</v>
      </c>
      <c r="E6926" s="8" t="s">
        <v>39260</v>
      </c>
      <c r="F6926" s="8" t="s">
        <v>39254</v>
      </c>
      <c r="G6926" s="6" t="s">
        <v>118</v>
      </c>
      <c r="H6926" s="6" t="s">
        <v>34</v>
      </c>
      <c r="I6926" s="8" t="s">
        <v>1501</v>
      </c>
      <c r="J6926" s="9">
        <v>1</v>
      </c>
      <c r="K6926" s="9">
        <v>257</v>
      </c>
      <c r="L6926" s="9">
        <v>2024</v>
      </c>
      <c r="M6926" s="8" t="s">
        <v>39261</v>
      </c>
      <c r="N6926" s="8" t="s">
        <v>243</v>
      </c>
      <c r="O6926" s="8" t="s">
        <v>244</v>
      </c>
      <c r="P6926" s="6" t="s">
        <v>51</v>
      </c>
      <c r="Q6926" s="8" t="s">
        <v>40</v>
      </c>
      <c r="R6926" s="10" t="s">
        <v>39256</v>
      </c>
      <c r="S6926" s="11"/>
      <c r="T6926" s="6" t="s">
        <v>97</v>
      </c>
      <c r="U6926" s="15" t="str">
        <f>HYPERLINK("https://media.infra-m.ru/2147/2147810/cover/2147810.jpg", "Обложка")</f>
        <v>Обложка</v>
      </c>
      <c r="V6926" s="8" t="s">
        <v>396</v>
      </c>
      <c r="W6926" s="6"/>
      <c r="X6926" s="6"/>
      <c r="Y6926" s="6"/>
      <c r="Z6926" s="6"/>
      <c r="AA6926" s="6" t="s">
        <v>258</v>
      </c>
      <c r="AB6926" s="8"/>
      <c r="AC6926" s="27">
        <v>9785160170534</v>
      </c>
    </row>
    <row r="6927" spans="1:29" s="4" customFormat="1" ht="51.9" customHeight="1" x14ac:dyDescent="0.2">
      <c r="A6927" s="5">
        <v>0</v>
      </c>
      <c r="B6927" s="6" t="s">
        <v>39262</v>
      </c>
      <c r="C6927" s="7">
        <v>2752.8</v>
      </c>
      <c r="D6927" s="8" t="s">
        <v>39263</v>
      </c>
      <c r="E6927" s="8" t="s">
        <v>39264</v>
      </c>
      <c r="F6927" s="8" t="s">
        <v>39265</v>
      </c>
      <c r="G6927" s="6" t="s">
        <v>60</v>
      </c>
      <c r="H6927" s="6" t="s">
        <v>134</v>
      </c>
      <c r="I6927" s="8"/>
      <c r="J6927" s="9">
        <v>1</v>
      </c>
      <c r="K6927" s="9">
        <v>416</v>
      </c>
      <c r="L6927" s="9">
        <v>2026</v>
      </c>
      <c r="M6927" s="8" t="s">
        <v>39266</v>
      </c>
      <c r="N6927" s="8" t="s">
        <v>37</v>
      </c>
      <c r="O6927" s="8" t="s">
        <v>136</v>
      </c>
      <c r="P6927" s="6" t="s">
        <v>39</v>
      </c>
      <c r="Q6927" s="8" t="s">
        <v>40</v>
      </c>
      <c r="R6927" s="10" t="s">
        <v>676</v>
      </c>
      <c r="S6927" s="11"/>
      <c r="T6927" s="6"/>
      <c r="U6927" s="15" t="str">
        <f>HYPERLINK("https://media.infra-m.ru/2242/2242875/cover/2242875.jpg", "Обложка")</f>
        <v>Обложка</v>
      </c>
      <c r="V6927" s="8" t="s">
        <v>138</v>
      </c>
      <c r="W6927" s="6"/>
      <c r="X6927" s="6"/>
      <c r="Y6927" s="6"/>
      <c r="Z6927" s="6"/>
      <c r="AA6927" s="6" t="s">
        <v>76</v>
      </c>
      <c r="AB6927" s="8"/>
      <c r="AC6927" s="27">
        <v>9785001563464</v>
      </c>
    </row>
    <row r="6928" spans="1:29" s="4" customFormat="1" ht="51.9" customHeight="1" x14ac:dyDescent="0.2">
      <c r="A6928" s="5">
        <v>0</v>
      </c>
      <c r="B6928" s="6" t="s">
        <v>39267</v>
      </c>
      <c r="C6928" s="7">
        <v>1240.8</v>
      </c>
      <c r="D6928" s="8" t="s">
        <v>39268</v>
      </c>
      <c r="E6928" s="8" t="s">
        <v>39269</v>
      </c>
      <c r="F6928" s="8" t="s">
        <v>9929</v>
      </c>
      <c r="G6928" s="6" t="s">
        <v>118</v>
      </c>
      <c r="H6928" s="6" t="s">
        <v>241</v>
      </c>
      <c r="I6928" s="8" t="s">
        <v>13632</v>
      </c>
      <c r="J6928" s="9">
        <v>1</v>
      </c>
      <c r="K6928" s="9">
        <v>228</v>
      </c>
      <c r="L6928" s="9">
        <v>2023</v>
      </c>
      <c r="M6928" s="8" t="s">
        <v>39270</v>
      </c>
      <c r="N6928" s="8" t="s">
        <v>37</v>
      </c>
      <c r="O6928" s="8" t="s">
        <v>233</v>
      </c>
      <c r="P6928" s="6" t="s">
        <v>306</v>
      </c>
      <c r="Q6928" s="8" t="s">
        <v>500</v>
      </c>
      <c r="R6928" s="10" t="s">
        <v>39271</v>
      </c>
      <c r="S6928" s="11"/>
      <c r="T6928" s="6"/>
      <c r="U6928" s="15" t="str">
        <f>HYPERLINK("https://media.infra-m.ru/2006/2006079/cover/2006079.jpg", "Обложка")</f>
        <v>Обложка</v>
      </c>
      <c r="V6928" s="8" t="s">
        <v>247</v>
      </c>
      <c r="W6928" s="6"/>
      <c r="X6928" s="6"/>
      <c r="Y6928" s="6"/>
      <c r="Z6928" s="6"/>
      <c r="AA6928" s="6" t="s">
        <v>86</v>
      </c>
      <c r="AB6928" s="8"/>
      <c r="AC6928" s="27">
        <v>9785955805733</v>
      </c>
    </row>
    <row r="6929" spans="1:29" s="4" customFormat="1" ht="44.1" customHeight="1" x14ac:dyDescent="0.2">
      <c r="A6929" s="5">
        <v>0</v>
      </c>
      <c r="B6929" s="6" t="s">
        <v>39272</v>
      </c>
      <c r="C6929" s="13">
        <v>696</v>
      </c>
      <c r="D6929" s="8" t="s">
        <v>39273</v>
      </c>
      <c r="E6929" s="8" t="s">
        <v>39274</v>
      </c>
      <c r="F6929" s="8" t="s">
        <v>39275</v>
      </c>
      <c r="G6929" s="6" t="s">
        <v>33</v>
      </c>
      <c r="H6929" s="6" t="s">
        <v>34</v>
      </c>
      <c r="I6929" s="8" t="s">
        <v>1248</v>
      </c>
      <c r="J6929" s="9">
        <v>1</v>
      </c>
      <c r="K6929" s="9">
        <v>116</v>
      </c>
      <c r="L6929" s="9">
        <v>2024</v>
      </c>
      <c r="M6929" s="8" t="s">
        <v>39276</v>
      </c>
      <c r="N6929" s="8" t="s">
        <v>243</v>
      </c>
      <c r="O6929" s="8" t="s">
        <v>758</v>
      </c>
      <c r="P6929" s="6" t="s">
        <v>51</v>
      </c>
      <c r="Q6929" s="8" t="s">
        <v>500</v>
      </c>
      <c r="R6929" s="10" t="s">
        <v>39277</v>
      </c>
      <c r="S6929" s="11"/>
      <c r="T6929" s="6"/>
      <c r="U6929" s="15" t="str">
        <f>HYPERLINK("https://media.infra-m.ru/2125/2125176/cover/2125176.jpg", "Обложка")</f>
        <v>Обложка</v>
      </c>
      <c r="V6929" s="8" t="s">
        <v>1083</v>
      </c>
      <c r="W6929" s="6"/>
      <c r="X6929" s="6"/>
      <c r="Y6929" s="6"/>
      <c r="Z6929" s="6"/>
      <c r="AA6929" s="6" t="s">
        <v>76</v>
      </c>
      <c r="AB6929" s="8"/>
      <c r="AC6929" s="27">
        <v>9785160195117</v>
      </c>
    </row>
    <row r="6930" spans="1:29" s="4" customFormat="1" ht="51.9" customHeight="1" x14ac:dyDescent="0.2">
      <c r="A6930" s="5">
        <v>0</v>
      </c>
      <c r="B6930" s="6" t="s">
        <v>39278</v>
      </c>
      <c r="C6930" s="7">
        <v>1217.9000000000001</v>
      </c>
      <c r="D6930" s="8" t="s">
        <v>39279</v>
      </c>
      <c r="E6930" s="8" t="s">
        <v>39280</v>
      </c>
      <c r="F6930" s="8" t="s">
        <v>39281</v>
      </c>
      <c r="G6930" s="6" t="s">
        <v>33</v>
      </c>
      <c r="H6930" s="6" t="s">
        <v>313</v>
      </c>
      <c r="I6930" s="8" t="s">
        <v>504</v>
      </c>
      <c r="J6930" s="9">
        <v>20</v>
      </c>
      <c r="K6930" s="9">
        <v>296</v>
      </c>
      <c r="L6930" s="9">
        <v>2020</v>
      </c>
      <c r="M6930" s="8" t="s">
        <v>39282</v>
      </c>
      <c r="N6930" s="8" t="s">
        <v>37</v>
      </c>
      <c r="O6930" s="8" t="s">
        <v>280</v>
      </c>
      <c r="P6930" s="6" t="s">
        <v>306</v>
      </c>
      <c r="Q6930" s="8" t="s">
        <v>500</v>
      </c>
      <c r="R6930" s="10" t="s">
        <v>3208</v>
      </c>
      <c r="S6930" s="11" t="s">
        <v>39283</v>
      </c>
      <c r="T6930" s="6" t="s">
        <v>97</v>
      </c>
      <c r="U6930" s="15" t="str">
        <f>HYPERLINK("https://media.infra-m.ru/1069/1069920/cover/1069920.jpg", "Обложка")</f>
        <v>Обложка</v>
      </c>
      <c r="V6930" s="8" t="s">
        <v>39284</v>
      </c>
      <c r="W6930" s="6"/>
      <c r="X6930" s="6"/>
      <c r="Y6930" s="6"/>
      <c r="Z6930" s="6"/>
      <c r="AA6930" s="6" t="s">
        <v>779</v>
      </c>
      <c r="AB6930" s="8"/>
      <c r="AC6930" s="27">
        <v>9785369014929</v>
      </c>
    </row>
    <row r="6931" spans="1:29" s="4" customFormat="1" ht="51.9" customHeight="1" x14ac:dyDescent="0.2">
      <c r="A6931" s="5">
        <v>0</v>
      </c>
      <c r="B6931" s="6" t="s">
        <v>39285</v>
      </c>
      <c r="C6931" s="7">
        <v>1672.8</v>
      </c>
      <c r="D6931" s="8" t="s">
        <v>39286</v>
      </c>
      <c r="E6931" s="8" t="s">
        <v>39287</v>
      </c>
      <c r="F6931" s="8" t="s">
        <v>39288</v>
      </c>
      <c r="G6931" s="6" t="s">
        <v>60</v>
      </c>
      <c r="H6931" s="6" t="s">
        <v>241</v>
      </c>
      <c r="I6931" s="8"/>
      <c r="J6931" s="9">
        <v>1</v>
      </c>
      <c r="K6931" s="9">
        <v>240</v>
      </c>
      <c r="L6931" s="9">
        <v>2027</v>
      </c>
      <c r="M6931" s="8" t="s">
        <v>39289</v>
      </c>
      <c r="N6931" s="8" t="s">
        <v>243</v>
      </c>
      <c r="O6931" s="8" t="s">
        <v>798</v>
      </c>
      <c r="P6931" s="6" t="s">
        <v>51</v>
      </c>
      <c r="Q6931" s="8" t="s">
        <v>500</v>
      </c>
      <c r="R6931" s="10" t="s">
        <v>1637</v>
      </c>
      <c r="S6931" s="11" t="s">
        <v>39290</v>
      </c>
      <c r="T6931" s="6"/>
      <c r="U6931" s="15" t="str">
        <f>HYPERLINK("https://media.infra-m.ru/2265/2265999/cover/2265999.jpg", "Обложка")</f>
        <v>Обложка</v>
      </c>
      <c r="V6931" s="8" t="s">
        <v>1768</v>
      </c>
      <c r="W6931" s="6"/>
      <c r="X6931" s="6"/>
      <c r="Y6931" s="6"/>
      <c r="Z6931" s="6"/>
      <c r="AA6931" s="6" t="s">
        <v>779</v>
      </c>
      <c r="AB6931" s="8"/>
      <c r="AC6931" s="27">
        <v>9785955804286</v>
      </c>
    </row>
    <row r="6932" spans="1:29" s="4" customFormat="1" ht="42" customHeight="1" x14ac:dyDescent="0.2">
      <c r="A6932" s="5">
        <v>0</v>
      </c>
      <c r="B6932" s="6" t="s">
        <v>39291</v>
      </c>
      <c r="C6932" s="7">
        <v>1248</v>
      </c>
      <c r="D6932" s="8" t="s">
        <v>39292</v>
      </c>
      <c r="E6932" s="8" t="s">
        <v>39293</v>
      </c>
      <c r="F6932" s="8" t="s">
        <v>4896</v>
      </c>
      <c r="G6932" s="6" t="s">
        <v>60</v>
      </c>
      <c r="H6932" s="6" t="s">
        <v>34</v>
      </c>
      <c r="I6932" s="8" t="s">
        <v>35</v>
      </c>
      <c r="J6932" s="9">
        <v>1</v>
      </c>
      <c r="K6932" s="9">
        <v>177</v>
      </c>
      <c r="L6932" s="9">
        <v>2026</v>
      </c>
      <c r="M6932" s="8" t="s">
        <v>39294</v>
      </c>
      <c r="N6932" s="8" t="s">
        <v>63</v>
      </c>
      <c r="O6932" s="8" t="s">
        <v>64</v>
      </c>
      <c r="P6932" s="6" t="s">
        <v>39</v>
      </c>
      <c r="Q6932" s="8" t="s">
        <v>40</v>
      </c>
      <c r="R6932" s="10" t="s">
        <v>5704</v>
      </c>
      <c r="S6932" s="11"/>
      <c r="T6932" s="6"/>
      <c r="U6932" s="15" t="str">
        <f>HYPERLINK("https://media.infra-m.ru/2217/2217042/cover/2217042.jpg", "Обложка")</f>
        <v>Обложка</v>
      </c>
      <c r="V6932" s="8" t="s">
        <v>156</v>
      </c>
      <c r="W6932" s="6" t="s">
        <v>2941</v>
      </c>
      <c r="X6932" s="6"/>
      <c r="Y6932" s="6"/>
      <c r="Z6932" s="6"/>
      <c r="AA6932" s="6" t="s">
        <v>187</v>
      </c>
      <c r="AB6932" s="8" t="s">
        <v>308</v>
      </c>
      <c r="AC6932" s="27">
        <v>9785160212098</v>
      </c>
    </row>
    <row r="6933" spans="1:29" s="4" customFormat="1" ht="44.1" customHeight="1" x14ac:dyDescent="0.2">
      <c r="A6933" s="5">
        <v>0</v>
      </c>
      <c r="B6933" s="6" t="s">
        <v>39295</v>
      </c>
      <c r="C6933" s="7">
        <v>1140</v>
      </c>
      <c r="D6933" s="8" t="s">
        <v>39296</v>
      </c>
      <c r="E6933" s="8" t="s">
        <v>39297</v>
      </c>
      <c r="F6933" s="8" t="s">
        <v>39298</v>
      </c>
      <c r="G6933" s="6" t="s">
        <v>33</v>
      </c>
      <c r="H6933" s="6" t="s">
        <v>34</v>
      </c>
      <c r="I6933" s="8" t="s">
        <v>457</v>
      </c>
      <c r="J6933" s="9">
        <v>1</v>
      </c>
      <c r="K6933" s="9">
        <v>209</v>
      </c>
      <c r="L6933" s="9">
        <v>2022</v>
      </c>
      <c r="M6933" s="8" t="s">
        <v>39299</v>
      </c>
      <c r="N6933" s="8" t="s">
        <v>37</v>
      </c>
      <c r="O6933" s="8" t="s">
        <v>233</v>
      </c>
      <c r="P6933" s="6" t="s">
        <v>39</v>
      </c>
      <c r="Q6933" s="8" t="s">
        <v>40</v>
      </c>
      <c r="R6933" s="10" t="s">
        <v>459</v>
      </c>
      <c r="S6933" s="11"/>
      <c r="T6933" s="6"/>
      <c r="U6933" s="15" t="str">
        <f>HYPERLINK("https://media.infra-m.ru/1841/1841825/cover/1841825.jpg", "Обложка")</f>
        <v>Обложка</v>
      </c>
      <c r="V6933" s="8" t="s">
        <v>247</v>
      </c>
      <c r="W6933" s="6"/>
      <c r="X6933" s="6"/>
      <c r="Y6933" s="6"/>
      <c r="Z6933" s="6"/>
      <c r="AA6933" s="6" t="s">
        <v>148</v>
      </c>
      <c r="AB6933" s="8"/>
      <c r="AC6933" s="27">
        <v>9785160173009</v>
      </c>
    </row>
    <row r="6934" spans="1:29" s="4" customFormat="1" ht="51.9" customHeight="1" x14ac:dyDescent="0.2">
      <c r="A6934" s="5">
        <v>0</v>
      </c>
      <c r="B6934" s="6" t="s">
        <v>39300</v>
      </c>
      <c r="C6934" s="7">
        <v>1492.8</v>
      </c>
      <c r="D6934" s="8" t="s">
        <v>39301</v>
      </c>
      <c r="E6934" s="8" t="s">
        <v>39302</v>
      </c>
      <c r="F6934" s="8" t="s">
        <v>39303</v>
      </c>
      <c r="G6934" s="6" t="s">
        <v>33</v>
      </c>
      <c r="H6934" s="6" t="s">
        <v>34</v>
      </c>
      <c r="I6934" s="8" t="s">
        <v>35</v>
      </c>
      <c r="J6934" s="9">
        <v>1</v>
      </c>
      <c r="K6934" s="9">
        <v>270</v>
      </c>
      <c r="L6934" s="9">
        <v>2024</v>
      </c>
      <c r="M6934" s="8" t="s">
        <v>39304</v>
      </c>
      <c r="N6934" s="8" t="s">
        <v>37</v>
      </c>
      <c r="O6934" s="8" t="s">
        <v>233</v>
      </c>
      <c r="P6934" s="6" t="s">
        <v>39</v>
      </c>
      <c r="Q6934" s="8" t="s">
        <v>40</v>
      </c>
      <c r="R6934" s="10" t="s">
        <v>39305</v>
      </c>
      <c r="S6934" s="11"/>
      <c r="T6934" s="6"/>
      <c r="U6934" s="15" t="str">
        <f>HYPERLINK("https://media.infra-m.ru/2117/2117157/cover/2117157.jpg", "Обложка")</f>
        <v>Обложка</v>
      </c>
      <c r="V6934" s="8" t="s">
        <v>396</v>
      </c>
      <c r="W6934" s="6"/>
      <c r="X6934" s="6"/>
      <c r="Y6934" s="6"/>
      <c r="Z6934" s="6"/>
      <c r="AA6934" s="6" t="s">
        <v>248</v>
      </c>
      <c r="AB6934" s="8"/>
      <c r="AC6934" s="27">
        <v>9785160091457</v>
      </c>
    </row>
    <row r="6935" spans="1:29" s="4" customFormat="1" ht="51.9" customHeight="1" x14ac:dyDescent="0.2">
      <c r="A6935" s="5">
        <v>0</v>
      </c>
      <c r="B6935" s="6" t="s">
        <v>39306</v>
      </c>
      <c r="C6935" s="7">
        <v>2436</v>
      </c>
      <c r="D6935" s="8" t="s">
        <v>39307</v>
      </c>
      <c r="E6935" s="8" t="s">
        <v>39308</v>
      </c>
      <c r="F6935" s="8" t="s">
        <v>39309</v>
      </c>
      <c r="G6935" s="6" t="s">
        <v>118</v>
      </c>
      <c r="H6935" s="6" t="s">
        <v>313</v>
      </c>
      <c r="I6935" s="8"/>
      <c r="J6935" s="9">
        <v>1</v>
      </c>
      <c r="K6935" s="9">
        <v>350</v>
      </c>
      <c r="L6935" s="9">
        <v>2027</v>
      </c>
      <c r="M6935" s="8" t="s">
        <v>39310</v>
      </c>
      <c r="N6935" s="8" t="s">
        <v>93</v>
      </c>
      <c r="O6935" s="8" t="s">
        <v>94</v>
      </c>
      <c r="P6935" s="6" t="s">
        <v>9745</v>
      </c>
      <c r="Q6935" s="8"/>
      <c r="R6935" s="10" t="s">
        <v>39311</v>
      </c>
      <c r="S6935" s="11"/>
      <c r="T6935" s="6"/>
      <c r="U6935" s="15" t="str">
        <f>HYPERLINK("https://media.infra-m.ru/2262/2262260/cover/2262260.jpg", "Обложка")</f>
        <v>Обложка</v>
      </c>
      <c r="V6935" s="8" t="s">
        <v>10325</v>
      </c>
      <c r="W6935" s="6"/>
      <c r="X6935" s="6"/>
      <c r="Y6935" s="6"/>
      <c r="Z6935" s="6"/>
      <c r="AA6935" s="6" t="s">
        <v>148</v>
      </c>
      <c r="AB6935" s="8"/>
      <c r="AC6935" s="27">
        <v>9785369018965</v>
      </c>
    </row>
    <row r="6936" spans="1:29" s="4" customFormat="1" ht="51.9" customHeight="1" x14ac:dyDescent="0.2">
      <c r="A6936" s="5">
        <v>0</v>
      </c>
      <c r="B6936" s="6" t="s">
        <v>39312</v>
      </c>
      <c r="C6936" s="7">
        <v>2165.9</v>
      </c>
      <c r="D6936" s="8" t="s">
        <v>39313</v>
      </c>
      <c r="E6936" s="8" t="s">
        <v>39314</v>
      </c>
      <c r="F6936" s="8" t="s">
        <v>39315</v>
      </c>
      <c r="G6936" s="6" t="s">
        <v>60</v>
      </c>
      <c r="H6936" s="6" t="s">
        <v>1644</v>
      </c>
      <c r="I6936" s="8"/>
      <c r="J6936" s="9">
        <v>1</v>
      </c>
      <c r="K6936" s="9">
        <v>400</v>
      </c>
      <c r="L6936" s="9">
        <v>2023</v>
      </c>
      <c r="M6936" s="8" t="s">
        <v>39316</v>
      </c>
      <c r="N6936" s="8" t="s">
        <v>37</v>
      </c>
      <c r="O6936" s="8" t="s">
        <v>280</v>
      </c>
      <c r="P6936" s="6" t="s">
        <v>39</v>
      </c>
      <c r="Q6936" s="8" t="s">
        <v>52</v>
      </c>
      <c r="R6936" s="10" t="s">
        <v>39317</v>
      </c>
      <c r="S6936" s="11"/>
      <c r="T6936" s="6"/>
      <c r="U6936" s="15" t="str">
        <f>HYPERLINK("https://media.infra-m.ru/1981/1981657/cover/1981657.jpg", "Обложка")</f>
        <v>Обложка</v>
      </c>
      <c r="V6936" s="8" t="s">
        <v>4448</v>
      </c>
      <c r="W6936" s="6"/>
      <c r="X6936" s="6"/>
      <c r="Y6936" s="6"/>
      <c r="Z6936" s="6"/>
      <c r="AA6936" s="6" t="s">
        <v>55</v>
      </c>
      <c r="AB6936" s="8"/>
      <c r="AC6936" s="27">
        <v>9785977602914</v>
      </c>
    </row>
    <row r="6937" spans="1:29" s="4" customFormat="1" ht="42" customHeight="1" x14ac:dyDescent="0.2">
      <c r="A6937" s="5">
        <v>0</v>
      </c>
      <c r="B6937" s="6" t="s">
        <v>39318</v>
      </c>
      <c r="C6937" s="7">
        <v>1096.8</v>
      </c>
      <c r="D6937" s="8" t="s">
        <v>39319</v>
      </c>
      <c r="E6937" s="8" t="s">
        <v>39320</v>
      </c>
      <c r="F6937" s="8" t="s">
        <v>39321</v>
      </c>
      <c r="G6937" s="6" t="s">
        <v>60</v>
      </c>
      <c r="H6937" s="6" t="s">
        <v>34</v>
      </c>
      <c r="I6937" s="8" t="s">
        <v>35</v>
      </c>
      <c r="J6937" s="9">
        <v>1</v>
      </c>
      <c r="K6937" s="9">
        <v>200</v>
      </c>
      <c r="L6937" s="9">
        <v>2023</v>
      </c>
      <c r="M6937" s="8" t="s">
        <v>39322</v>
      </c>
      <c r="N6937" s="8" t="s">
        <v>93</v>
      </c>
      <c r="O6937" s="8" t="s">
        <v>94</v>
      </c>
      <c r="P6937" s="6" t="s">
        <v>39</v>
      </c>
      <c r="Q6937" s="8" t="s">
        <v>40</v>
      </c>
      <c r="R6937" s="10" t="s">
        <v>2486</v>
      </c>
      <c r="S6937" s="11"/>
      <c r="T6937" s="6"/>
      <c r="U6937" s="15" t="str">
        <f>HYPERLINK("https://media.infra-m.ru/2006/2006847/cover/2006847.jpg", "Обложка")</f>
        <v>Обложка</v>
      </c>
      <c r="V6937" s="8" t="s">
        <v>10238</v>
      </c>
      <c r="W6937" s="6"/>
      <c r="X6937" s="6"/>
      <c r="Y6937" s="6"/>
      <c r="Z6937" s="6"/>
      <c r="AA6937" s="6" t="s">
        <v>86</v>
      </c>
      <c r="AB6937" s="8"/>
      <c r="AC6937" s="27">
        <v>9785160132716</v>
      </c>
    </row>
    <row r="6938" spans="1:29" s="4" customFormat="1" ht="51.9" customHeight="1" x14ac:dyDescent="0.2">
      <c r="A6938" s="5">
        <v>0</v>
      </c>
      <c r="B6938" s="6" t="s">
        <v>39323</v>
      </c>
      <c r="C6938" s="7">
        <v>1800</v>
      </c>
      <c r="D6938" s="8" t="s">
        <v>39324</v>
      </c>
      <c r="E6938" s="8" t="s">
        <v>39325</v>
      </c>
      <c r="F6938" s="8" t="s">
        <v>6330</v>
      </c>
      <c r="G6938" s="6" t="s">
        <v>118</v>
      </c>
      <c r="H6938" s="6" t="s">
        <v>34</v>
      </c>
      <c r="I6938" s="8" t="s">
        <v>4459</v>
      </c>
      <c r="J6938" s="9">
        <v>1</v>
      </c>
      <c r="K6938" s="9">
        <v>320</v>
      </c>
      <c r="L6938" s="9">
        <v>2023</v>
      </c>
      <c r="M6938" s="8" t="s">
        <v>39326</v>
      </c>
      <c r="N6938" s="8" t="s">
        <v>93</v>
      </c>
      <c r="O6938" s="8" t="s">
        <v>94</v>
      </c>
      <c r="P6938" s="6" t="s">
        <v>39</v>
      </c>
      <c r="Q6938" s="8" t="s">
        <v>40</v>
      </c>
      <c r="R6938" s="10" t="s">
        <v>39327</v>
      </c>
      <c r="S6938" s="11"/>
      <c r="T6938" s="6"/>
      <c r="U6938" s="15" t="str">
        <f>HYPERLINK("https://media.infra-m.ru/1976/1976167/cover/1976167.jpg", "Обложка")</f>
        <v>Обложка</v>
      </c>
      <c r="V6938" s="8" t="s">
        <v>6190</v>
      </c>
      <c r="W6938" s="6"/>
      <c r="X6938" s="6"/>
      <c r="Y6938" s="6"/>
      <c r="Z6938" s="6"/>
      <c r="AA6938" s="6" t="s">
        <v>1256</v>
      </c>
      <c r="AB6938" s="8"/>
      <c r="AC6938" s="27">
        <v>9785160152851</v>
      </c>
    </row>
    <row r="6939" spans="1:29" s="4" customFormat="1" ht="51.9" customHeight="1" x14ac:dyDescent="0.2">
      <c r="A6939" s="5">
        <v>0</v>
      </c>
      <c r="B6939" s="6" t="s">
        <v>39328</v>
      </c>
      <c r="C6939" s="7">
        <v>3480</v>
      </c>
      <c r="D6939" s="8" t="s">
        <v>39329</v>
      </c>
      <c r="E6939" s="8" t="s">
        <v>39330</v>
      </c>
      <c r="F6939" s="8" t="s">
        <v>32653</v>
      </c>
      <c r="G6939" s="6" t="s">
        <v>60</v>
      </c>
      <c r="H6939" s="6" t="s">
        <v>134</v>
      </c>
      <c r="I6939" s="8"/>
      <c r="J6939" s="14">
        <v>0</v>
      </c>
      <c r="K6939" s="9">
        <v>496</v>
      </c>
      <c r="L6939" s="9">
        <v>2027</v>
      </c>
      <c r="M6939" s="8" t="s">
        <v>39331</v>
      </c>
      <c r="N6939" s="8" t="s">
        <v>37</v>
      </c>
      <c r="O6939" s="8" t="s">
        <v>136</v>
      </c>
      <c r="P6939" s="6" t="s">
        <v>306</v>
      </c>
      <c r="Q6939" s="8" t="s">
        <v>65</v>
      </c>
      <c r="R6939" s="10" t="s">
        <v>39332</v>
      </c>
      <c r="S6939" s="11"/>
      <c r="T6939" s="6"/>
      <c r="U6939" s="15" t="str">
        <f>HYPERLINK("https://media.infra-m.ru/2267/2267117/cover/2267117.jpg", "Обложка")</f>
        <v>Обложка</v>
      </c>
      <c r="V6939" s="8" t="s">
        <v>1277</v>
      </c>
      <c r="W6939" s="6"/>
      <c r="X6939" s="6"/>
      <c r="Y6939" s="6"/>
      <c r="Z6939" s="6"/>
      <c r="AA6939" s="6" t="s">
        <v>420</v>
      </c>
      <c r="AB6939" s="8"/>
      <c r="AC6939" s="27">
        <v>9785001564997</v>
      </c>
    </row>
    <row r="6940" spans="1:29" s="4" customFormat="1" ht="51.9" customHeight="1" x14ac:dyDescent="0.2">
      <c r="A6940" s="5">
        <v>0</v>
      </c>
      <c r="B6940" s="6" t="s">
        <v>39333</v>
      </c>
      <c r="C6940" s="7">
        <v>1576.8</v>
      </c>
      <c r="D6940" s="8" t="s">
        <v>39334</v>
      </c>
      <c r="E6940" s="8" t="s">
        <v>39335</v>
      </c>
      <c r="F6940" s="8" t="s">
        <v>19008</v>
      </c>
      <c r="G6940" s="6" t="s">
        <v>118</v>
      </c>
      <c r="H6940" s="6" t="s">
        <v>34</v>
      </c>
      <c r="I6940" s="8" t="s">
        <v>91</v>
      </c>
      <c r="J6940" s="9">
        <v>1</v>
      </c>
      <c r="K6940" s="9">
        <v>252</v>
      </c>
      <c r="L6940" s="9">
        <v>2025</v>
      </c>
      <c r="M6940" s="8" t="s">
        <v>39336</v>
      </c>
      <c r="N6940" s="8" t="s">
        <v>93</v>
      </c>
      <c r="O6940" s="8" t="s">
        <v>94</v>
      </c>
      <c r="P6940" s="6" t="s">
        <v>39</v>
      </c>
      <c r="Q6940" s="8" t="s">
        <v>40</v>
      </c>
      <c r="R6940" s="10" t="s">
        <v>39337</v>
      </c>
      <c r="S6940" s="11"/>
      <c r="T6940" s="6"/>
      <c r="U6940" s="15" t="str">
        <f>HYPERLINK("https://media.infra-m.ru/2209/2209479/cover/2209479.jpg", "Обложка")</f>
        <v>Обложка</v>
      </c>
      <c r="V6940" s="8" t="s">
        <v>19012</v>
      </c>
      <c r="W6940" s="6"/>
      <c r="X6940" s="6"/>
      <c r="Y6940" s="6"/>
      <c r="Z6940" s="6"/>
      <c r="AA6940" s="6" t="s">
        <v>360</v>
      </c>
      <c r="AB6940" s="8"/>
      <c r="AC6940" s="27">
        <v>9785160114217</v>
      </c>
    </row>
    <row r="6941" spans="1:29" s="4" customFormat="1" ht="51.9" customHeight="1" x14ac:dyDescent="0.2">
      <c r="A6941" s="5">
        <v>0</v>
      </c>
      <c r="B6941" s="6" t="s">
        <v>39338</v>
      </c>
      <c r="C6941" s="7">
        <v>1608</v>
      </c>
      <c r="D6941" s="8" t="s">
        <v>39339</v>
      </c>
      <c r="E6941" s="8" t="s">
        <v>39335</v>
      </c>
      <c r="F6941" s="8" t="s">
        <v>19008</v>
      </c>
      <c r="G6941" s="6" t="s">
        <v>33</v>
      </c>
      <c r="H6941" s="6" t="s">
        <v>34</v>
      </c>
      <c r="I6941" s="8" t="s">
        <v>91</v>
      </c>
      <c r="J6941" s="9">
        <v>1</v>
      </c>
      <c r="K6941" s="9">
        <v>252</v>
      </c>
      <c r="L6941" s="9">
        <v>2026</v>
      </c>
      <c r="M6941" s="8" t="s">
        <v>39340</v>
      </c>
      <c r="N6941" s="8" t="s">
        <v>93</v>
      </c>
      <c r="O6941" s="8" t="s">
        <v>94</v>
      </c>
      <c r="P6941" s="6" t="s">
        <v>39</v>
      </c>
      <c r="Q6941" s="8" t="s">
        <v>749</v>
      </c>
      <c r="R6941" s="10" t="s">
        <v>39337</v>
      </c>
      <c r="S6941" s="11"/>
      <c r="T6941" s="6"/>
      <c r="U6941" s="15" t="str">
        <f>HYPERLINK("https://media.infra-m.ru/2223/2223150/cover/2223150.jpg", "Обложка")</f>
        <v>Обложка</v>
      </c>
      <c r="V6941" s="8" t="s">
        <v>19012</v>
      </c>
      <c r="W6941" s="6"/>
      <c r="X6941" s="6"/>
      <c r="Y6941" s="6"/>
      <c r="Z6941" s="6"/>
      <c r="AA6941" s="6" t="s">
        <v>360</v>
      </c>
      <c r="AB6941" s="8"/>
      <c r="AC6941" s="27">
        <v>9785160192352</v>
      </c>
    </row>
    <row r="6942" spans="1:29" s="4" customFormat="1" ht="51.9" customHeight="1" x14ac:dyDescent="0.2">
      <c r="A6942" s="5">
        <v>0</v>
      </c>
      <c r="B6942" s="6" t="s">
        <v>39341</v>
      </c>
      <c r="C6942" s="13">
        <v>768</v>
      </c>
      <c r="D6942" s="8" t="s">
        <v>39342</v>
      </c>
      <c r="E6942" s="8" t="s">
        <v>39343</v>
      </c>
      <c r="F6942" s="8" t="s">
        <v>25250</v>
      </c>
      <c r="G6942" s="6" t="s">
        <v>33</v>
      </c>
      <c r="H6942" s="6" t="s">
        <v>34</v>
      </c>
      <c r="I6942" s="8" t="s">
        <v>35</v>
      </c>
      <c r="J6942" s="9">
        <v>1</v>
      </c>
      <c r="K6942" s="9">
        <v>142</v>
      </c>
      <c r="L6942" s="9">
        <v>2023</v>
      </c>
      <c r="M6942" s="8" t="s">
        <v>39344</v>
      </c>
      <c r="N6942" s="8" t="s">
        <v>37</v>
      </c>
      <c r="O6942" s="8" t="s">
        <v>280</v>
      </c>
      <c r="P6942" s="6" t="s">
        <v>39</v>
      </c>
      <c r="Q6942" s="8" t="s">
        <v>40</v>
      </c>
      <c r="R6942" s="10" t="s">
        <v>39345</v>
      </c>
      <c r="S6942" s="11"/>
      <c r="T6942" s="6"/>
      <c r="U6942" s="15" t="str">
        <f>HYPERLINK("https://media.infra-m.ru/1913/1913630/cover/1913630.jpg", "Обложка")</f>
        <v>Обложка</v>
      </c>
      <c r="V6942" s="8" t="s">
        <v>25252</v>
      </c>
      <c r="W6942" s="6"/>
      <c r="X6942" s="6"/>
      <c r="Y6942" s="6"/>
      <c r="Z6942" s="6"/>
      <c r="AA6942" s="6" t="s">
        <v>99</v>
      </c>
      <c r="AB6942" s="8"/>
      <c r="AC6942" s="27">
        <v>9785160127477</v>
      </c>
    </row>
    <row r="6943" spans="1:29" s="4" customFormat="1" ht="51.9" customHeight="1" x14ac:dyDescent="0.2">
      <c r="A6943" s="5">
        <v>0</v>
      </c>
      <c r="B6943" s="6" t="s">
        <v>39346</v>
      </c>
      <c r="C6943" s="7">
        <v>1416</v>
      </c>
      <c r="D6943" s="8" t="s">
        <v>39347</v>
      </c>
      <c r="E6943" s="8" t="s">
        <v>39348</v>
      </c>
      <c r="F6943" s="8" t="s">
        <v>21165</v>
      </c>
      <c r="G6943" s="6" t="s">
        <v>118</v>
      </c>
      <c r="H6943" s="6" t="s">
        <v>34</v>
      </c>
      <c r="I6943" s="8" t="s">
        <v>504</v>
      </c>
      <c r="J6943" s="9">
        <v>1</v>
      </c>
      <c r="K6943" s="9">
        <v>309</v>
      </c>
      <c r="L6943" s="9">
        <v>2022</v>
      </c>
      <c r="M6943" s="8" t="s">
        <v>39349</v>
      </c>
      <c r="N6943" s="8" t="s">
        <v>37</v>
      </c>
      <c r="O6943" s="8" t="s">
        <v>280</v>
      </c>
      <c r="P6943" s="6" t="s">
        <v>306</v>
      </c>
      <c r="Q6943" s="8" t="s">
        <v>500</v>
      </c>
      <c r="R6943" s="10" t="s">
        <v>39350</v>
      </c>
      <c r="S6943" s="11" t="s">
        <v>39351</v>
      </c>
      <c r="T6943" s="6" t="s">
        <v>97</v>
      </c>
      <c r="U6943" s="15" t="str">
        <f>HYPERLINK("https://media.infra-m.ru/1856/1856730/cover/1856730.jpg", "Обложка")</f>
        <v>Обложка</v>
      </c>
      <c r="V6943" s="8" t="s">
        <v>18741</v>
      </c>
      <c r="W6943" s="6"/>
      <c r="X6943" s="6"/>
      <c r="Y6943" s="6"/>
      <c r="Z6943" s="6"/>
      <c r="AA6943" s="6" t="s">
        <v>86</v>
      </c>
      <c r="AB6943" s="8"/>
      <c r="AC6943" s="27">
        <v>9785160161914</v>
      </c>
    </row>
    <row r="6944" spans="1:29" s="4" customFormat="1" ht="51.9" customHeight="1" x14ac:dyDescent="0.2">
      <c r="A6944" s="5">
        <v>0</v>
      </c>
      <c r="B6944" s="6" t="s">
        <v>39352</v>
      </c>
      <c r="C6944" s="13">
        <v>948</v>
      </c>
      <c r="D6944" s="8" t="s">
        <v>39353</v>
      </c>
      <c r="E6944" s="8" t="s">
        <v>39354</v>
      </c>
      <c r="F6944" s="8" t="s">
        <v>39355</v>
      </c>
      <c r="G6944" s="6" t="s">
        <v>33</v>
      </c>
      <c r="H6944" s="6" t="s">
        <v>313</v>
      </c>
      <c r="I6944" s="8"/>
      <c r="J6944" s="9">
        <v>1</v>
      </c>
      <c r="K6944" s="9">
        <v>171</v>
      </c>
      <c r="L6944" s="9">
        <v>2024</v>
      </c>
      <c r="M6944" s="8" t="s">
        <v>39356</v>
      </c>
      <c r="N6944" s="8" t="s">
        <v>243</v>
      </c>
      <c r="O6944" s="8" t="s">
        <v>244</v>
      </c>
      <c r="P6944" s="6" t="s">
        <v>51</v>
      </c>
      <c r="Q6944" s="8" t="s">
        <v>52</v>
      </c>
      <c r="R6944" s="10" t="s">
        <v>39357</v>
      </c>
      <c r="S6944" s="11"/>
      <c r="T6944" s="6"/>
      <c r="U6944" s="15" t="str">
        <f>HYPERLINK("https://media.infra-m.ru/2103/2103172/cover/2103172.jpg", "Обложка")</f>
        <v>Обложка</v>
      </c>
      <c r="V6944" s="8" t="s">
        <v>12649</v>
      </c>
      <c r="W6944" s="6"/>
      <c r="X6944" s="6"/>
      <c r="Y6944" s="6"/>
      <c r="Z6944" s="6"/>
      <c r="AA6944" s="6" t="s">
        <v>86</v>
      </c>
      <c r="AB6944" s="8"/>
      <c r="AC6944" s="27">
        <v>9785369017210</v>
      </c>
    </row>
    <row r="6945" spans="1:29" s="4" customFormat="1" ht="51.9" customHeight="1" x14ac:dyDescent="0.2">
      <c r="A6945" s="5">
        <v>0</v>
      </c>
      <c r="B6945" s="6" t="s">
        <v>39358</v>
      </c>
      <c r="C6945" s="7">
        <v>1260</v>
      </c>
      <c r="D6945" s="8" t="s">
        <v>39359</v>
      </c>
      <c r="E6945" s="8" t="s">
        <v>39360</v>
      </c>
      <c r="F6945" s="8" t="s">
        <v>39361</v>
      </c>
      <c r="G6945" s="6" t="s">
        <v>118</v>
      </c>
      <c r="H6945" s="6" t="s">
        <v>34</v>
      </c>
      <c r="I6945" s="8" t="s">
        <v>253</v>
      </c>
      <c r="J6945" s="9">
        <v>1</v>
      </c>
      <c r="K6945" s="9">
        <v>231</v>
      </c>
      <c r="L6945" s="9">
        <v>2023</v>
      </c>
      <c r="M6945" s="8" t="s">
        <v>39362</v>
      </c>
      <c r="N6945" s="8" t="s">
        <v>37</v>
      </c>
      <c r="O6945" s="8" t="s">
        <v>499</v>
      </c>
      <c r="P6945" s="6" t="s">
        <v>51</v>
      </c>
      <c r="Q6945" s="8" t="s">
        <v>52</v>
      </c>
      <c r="R6945" s="10" t="s">
        <v>39363</v>
      </c>
      <c r="S6945" s="11" t="s">
        <v>39364</v>
      </c>
      <c r="T6945" s="6" t="s">
        <v>97</v>
      </c>
      <c r="U6945" s="15" t="str">
        <f>HYPERLINK("https://media.infra-m.ru/2041/2041699/cover/2041699.jpg", "Обложка")</f>
        <v>Обложка</v>
      </c>
      <c r="V6945" s="8" t="s">
        <v>1094</v>
      </c>
      <c r="W6945" s="6"/>
      <c r="X6945" s="6"/>
      <c r="Y6945" s="6"/>
      <c r="Z6945" s="6"/>
      <c r="AA6945" s="6" t="s">
        <v>430</v>
      </c>
      <c r="AB6945" s="8"/>
      <c r="AC6945" s="27">
        <v>9785160187211</v>
      </c>
    </row>
    <row r="6946" spans="1:29" s="4" customFormat="1" ht="51.9" customHeight="1" x14ac:dyDescent="0.2">
      <c r="A6946" s="5">
        <v>0</v>
      </c>
      <c r="B6946" s="6" t="s">
        <v>39365</v>
      </c>
      <c r="C6946" s="13">
        <v>845.9</v>
      </c>
      <c r="D6946" s="8" t="s">
        <v>39366</v>
      </c>
      <c r="E6946" s="8" t="s">
        <v>39367</v>
      </c>
      <c r="F6946" s="8" t="s">
        <v>39368</v>
      </c>
      <c r="G6946" s="6" t="s">
        <v>60</v>
      </c>
      <c r="H6946" s="6" t="s">
        <v>34</v>
      </c>
      <c r="I6946" s="8"/>
      <c r="J6946" s="9">
        <v>1</v>
      </c>
      <c r="K6946" s="9">
        <v>180</v>
      </c>
      <c r="L6946" s="9">
        <v>2021</v>
      </c>
      <c r="M6946" s="8" t="s">
        <v>39369</v>
      </c>
      <c r="N6946" s="8" t="s">
        <v>37</v>
      </c>
      <c r="O6946" s="8" t="s">
        <v>233</v>
      </c>
      <c r="P6946" s="6" t="s">
        <v>39</v>
      </c>
      <c r="Q6946" s="8" t="s">
        <v>40</v>
      </c>
      <c r="R6946" s="10" t="s">
        <v>5481</v>
      </c>
      <c r="S6946" s="11"/>
      <c r="T6946" s="6" t="s">
        <v>97</v>
      </c>
      <c r="U6946" s="15" t="str">
        <f>HYPERLINK("https://media.infra-m.ru/1081/1081400/cover/1081400.jpg", "Обложка")</f>
        <v>Обложка</v>
      </c>
      <c r="V6946" s="8" t="s">
        <v>247</v>
      </c>
      <c r="W6946" s="6"/>
      <c r="X6946" s="6"/>
      <c r="Y6946" s="6"/>
      <c r="Z6946" s="6"/>
      <c r="AA6946" s="6" t="s">
        <v>274</v>
      </c>
      <c r="AB6946" s="8"/>
      <c r="AC6946" s="27">
        <v>9785160099903</v>
      </c>
    </row>
    <row r="6947" spans="1:29" s="4" customFormat="1" ht="51.9" customHeight="1" x14ac:dyDescent="0.2">
      <c r="A6947" s="5">
        <v>0</v>
      </c>
      <c r="B6947" s="6" t="s">
        <v>39370</v>
      </c>
      <c r="C6947" s="7">
        <v>2496</v>
      </c>
      <c r="D6947" s="8" t="s">
        <v>39371</v>
      </c>
      <c r="E6947" s="8" t="s">
        <v>39372</v>
      </c>
      <c r="F6947" s="8" t="s">
        <v>34242</v>
      </c>
      <c r="G6947" s="6" t="s">
        <v>60</v>
      </c>
      <c r="H6947" s="6" t="s">
        <v>34</v>
      </c>
      <c r="I6947" s="8" t="s">
        <v>253</v>
      </c>
      <c r="J6947" s="9">
        <v>1</v>
      </c>
      <c r="K6947" s="9">
        <v>462</v>
      </c>
      <c r="L6947" s="9">
        <v>2024</v>
      </c>
      <c r="M6947" s="8" t="s">
        <v>39373</v>
      </c>
      <c r="N6947" s="8" t="s">
        <v>243</v>
      </c>
      <c r="O6947" s="8" t="s">
        <v>244</v>
      </c>
      <c r="P6947" s="6" t="s">
        <v>306</v>
      </c>
      <c r="Q6947" s="8" t="s">
        <v>52</v>
      </c>
      <c r="R6947" s="10" t="s">
        <v>39374</v>
      </c>
      <c r="S6947" s="11" t="s">
        <v>39375</v>
      </c>
      <c r="T6947" s="6" t="s">
        <v>97</v>
      </c>
      <c r="U6947" s="15" t="str">
        <f>HYPERLINK("https://media.infra-m.ru/1891/1891958/cover/1891958.jpg", "Обложка")</f>
        <v>Обложка</v>
      </c>
      <c r="V6947" s="8" t="s">
        <v>3693</v>
      </c>
      <c r="W6947" s="6"/>
      <c r="X6947" s="6" t="s">
        <v>24</v>
      </c>
      <c r="Y6947" s="6"/>
      <c r="Z6947" s="6"/>
      <c r="AA6947" s="6" t="s">
        <v>43</v>
      </c>
      <c r="AB6947" s="8"/>
      <c r="AC6947" s="27">
        <v>9785160190297</v>
      </c>
    </row>
    <row r="6948" spans="1:29" s="4" customFormat="1" ht="51.9" customHeight="1" x14ac:dyDescent="0.2">
      <c r="A6948" s="5">
        <v>0</v>
      </c>
      <c r="B6948" s="6" t="s">
        <v>39376</v>
      </c>
      <c r="C6948" s="7">
        <v>1572</v>
      </c>
      <c r="D6948" s="8" t="s">
        <v>39377</v>
      </c>
      <c r="E6948" s="8" t="s">
        <v>39378</v>
      </c>
      <c r="F6948" s="8" t="s">
        <v>39379</v>
      </c>
      <c r="G6948" s="6" t="s">
        <v>33</v>
      </c>
      <c r="H6948" s="6" t="s">
        <v>34</v>
      </c>
      <c r="I6948" s="8" t="s">
        <v>35</v>
      </c>
      <c r="J6948" s="9">
        <v>1</v>
      </c>
      <c r="K6948" s="9">
        <v>252</v>
      </c>
      <c r="L6948" s="9">
        <v>2025</v>
      </c>
      <c r="M6948" s="8" t="s">
        <v>39380</v>
      </c>
      <c r="N6948" s="8" t="s">
        <v>243</v>
      </c>
      <c r="O6948" s="8" t="s">
        <v>758</v>
      </c>
      <c r="P6948" s="6" t="s">
        <v>1689</v>
      </c>
      <c r="Q6948" s="8" t="s">
        <v>40</v>
      </c>
      <c r="R6948" s="10" t="s">
        <v>39381</v>
      </c>
      <c r="S6948" s="11"/>
      <c r="T6948" s="6"/>
      <c r="U6948" s="15" t="str">
        <f>HYPERLINK("https://media.infra-m.ru/2157/2157003/cover/2157003.jpg", "Обложка")</f>
        <v>Обложка</v>
      </c>
      <c r="V6948" s="8" t="s">
        <v>2398</v>
      </c>
      <c r="W6948" s="6"/>
      <c r="X6948" s="6"/>
      <c r="Y6948" s="6"/>
      <c r="Z6948" s="6"/>
      <c r="AA6948" s="6" t="s">
        <v>274</v>
      </c>
      <c r="AB6948" s="8"/>
      <c r="AC6948" s="27">
        <v>9785160107677</v>
      </c>
    </row>
    <row r="6949" spans="1:29" s="4" customFormat="1" ht="51.9" customHeight="1" x14ac:dyDescent="0.2">
      <c r="A6949" s="5">
        <v>0</v>
      </c>
      <c r="B6949" s="6" t="s">
        <v>39382</v>
      </c>
      <c r="C6949" s="7">
        <v>3080.4</v>
      </c>
      <c r="D6949" s="8" t="s">
        <v>39383</v>
      </c>
      <c r="E6949" s="8" t="s">
        <v>39384</v>
      </c>
      <c r="F6949" s="8" t="s">
        <v>39385</v>
      </c>
      <c r="G6949" s="6" t="s">
        <v>60</v>
      </c>
      <c r="H6949" s="6" t="s">
        <v>34</v>
      </c>
      <c r="I6949" s="8" t="s">
        <v>7625</v>
      </c>
      <c r="J6949" s="9">
        <v>1</v>
      </c>
      <c r="K6949" s="9">
        <v>340</v>
      </c>
      <c r="L6949" s="9">
        <v>2027</v>
      </c>
      <c r="M6949" s="8" t="s">
        <v>39386</v>
      </c>
      <c r="N6949" s="8" t="s">
        <v>243</v>
      </c>
      <c r="O6949" s="8" t="s">
        <v>758</v>
      </c>
      <c r="P6949" s="6" t="s">
        <v>306</v>
      </c>
      <c r="Q6949" s="8" t="s">
        <v>377</v>
      </c>
      <c r="R6949" s="10" t="s">
        <v>39387</v>
      </c>
      <c r="S6949" s="11" t="s">
        <v>39388</v>
      </c>
      <c r="T6949" s="6"/>
      <c r="U6949" s="15" t="str">
        <f>HYPERLINK("https://media.infra-m.ru/2257/2257132/cover/2257132.jpg", "Обложка")</f>
        <v>Обложка</v>
      </c>
      <c r="V6949" s="8" t="s">
        <v>1083</v>
      </c>
      <c r="W6949" s="6"/>
      <c r="X6949" s="6"/>
      <c r="Y6949" s="6"/>
      <c r="Z6949" s="6"/>
      <c r="AA6949" s="6" t="s">
        <v>148</v>
      </c>
      <c r="AB6949" s="8"/>
      <c r="AC6949" s="27">
        <v>9785160173856</v>
      </c>
    </row>
    <row r="6950" spans="1:29" s="4" customFormat="1" ht="51.9" customHeight="1" x14ac:dyDescent="0.2">
      <c r="A6950" s="5">
        <v>0</v>
      </c>
      <c r="B6950" s="6" t="s">
        <v>39389</v>
      </c>
      <c r="C6950" s="7">
        <v>1392</v>
      </c>
      <c r="D6950" s="8" t="s">
        <v>39390</v>
      </c>
      <c r="E6950" s="8" t="s">
        <v>39391</v>
      </c>
      <c r="F6950" s="8" t="s">
        <v>39392</v>
      </c>
      <c r="G6950" s="6" t="s">
        <v>118</v>
      </c>
      <c r="H6950" s="6" t="s">
        <v>34</v>
      </c>
      <c r="I6950" s="8" t="s">
        <v>253</v>
      </c>
      <c r="J6950" s="9">
        <v>1</v>
      </c>
      <c r="K6950" s="9">
        <v>251</v>
      </c>
      <c r="L6950" s="9">
        <v>2024</v>
      </c>
      <c r="M6950" s="8" t="s">
        <v>39393</v>
      </c>
      <c r="N6950" s="8" t="s">
        <v>93</v>
      </c>
      <c r="O6950" s="8" t="s">
        <v>94</v>
      </c>
      <c r="P6950" s="6" t="s">
        <v>51</v>
      </c>
      <c r="Q6950" s="8" t="s">
        <v>52</v>
      </c>
      <c r="R6950" s="10" t="s">
        <v>11024</v>
      </c>
      <c r="S6950" s="11" t="s">
        <v>39394</v>
      </c>
      <c r="T6950" s="6"/>
      <c r="U6950" s="15" t="str">
        <f>HYPERLINK("https://media.infra-m.ru/2119/2119107/cover/2119107.jpg", "Обложка")</f>
        <v>Обложка</v>
      </c>
      <c r="V6950" s="8" t="s">
        <v>36042</v>
      </c>
      <c r="W6950" s="6"/>
      <c r="X6950" s="6"/>
      <c r="Y6950" s="6"/>
      <c r="Z6950" s="6"/>
      <c r="AA6950" s="6" t="s">
        <v>1256</v>
      </c>
      <c r="AB6950" s="8"/>
      <c r="AC6950" s="27">
        <v>9785160194363</v>
      </c>
    </row>
    <row r="6951" spans="1:29" s="4" customFormat="1" ht="51.9" customHeight="1" x14ac:dyDescent="0.2">
      <c r="A6951" s="5">
        <v>0</v>
      </c>
      <c r="B6951" s="6" t="s">
        <v>39395</v>
      </c>
      <c r="C6951" s="7">
        <v>1572</v>
      </c>
      <c r="D6951" s="8" t="s">
        <v>39396</v>
      </c>
      <c r="E6951" s="8" t="s">
        <v>39391</v>
      </c>
      <c r="F6951" s="8" t="s">
        <v>39392</v>
      </c>
      <c r="G6951" s="6" t="s">
        <v>118</v>
      </c>
      <c r="H6951" s="6" t="s">
        <v>34</v>
      </c>
      <c r="I6951" s="8" t="s">
        <v>263</v>
      </c>
      <c r="J6951" s="9">
        <v>1</v>
      </c>
      <c r="K6951" s="9">
        <v>251</v>
      </c>
      <c r="L6951" s="9">
        <v>2026</v>
      </c>
      <c r="M6951" s="8" t="s">
        <v>39397</v>
      </c>
      <c r="N6951" s="8" t="s">
        <v>93</v>
      </c>
      <c r="O6951" s="8" t="s">
        <v>94</v>
      </c>
      <c r="P6951" s="6" t="s">
        <v>51</v>
      </c>
      <c r="Q6951" s="8" t="s">
        <v>265</v>
      </c>
      <c r="R6951" s="10" t="s">
        <v>10185</v>
      </c>
      <c r="S6951" s="11" t="s">
        <v>39398</v>
      </c>
      <c r="T6951" s="6"/>
      <c r="U6951" s="15" t="str">
        <f>HYPERLINK("https://media.infra-m.ru/2214/2214855/cover/2214855.jpg", "Обложка")</f>
        <v>Обложка</v>
      </c>
      <c r="V6951" s="8" t="s">
        <v>36042</v>
      </c>
      <c r="W6951" s="6"/>
      <c r="X6951" s="6"/>
      <c r="Y6951" s="6"/>
      <c r="Z6951" s="6" t="s">
        <v>267</v>
      </c>
      <c r="AA6951" s="6" t="s">
        <v>430</v>
      </c>
      <c r="AB6951" s="8"/>
      <c r="AC6951" s="27">
        <v>9785160163987</v>
      </c>
    </row>
    <row r="6952" spans="1:29" s="4" customFormat="1" ht="51.9" customHeight="1" x14ac:dyDescent="0.2">
      <c r="A6952" s="5">
        <v>0</v>
      </c>
      <c r="B6952" s="6" t="s">
        <v>39399</v>
      </c>
      <c r="C6952" s="7">
        <v>3216</v>
      </c>
      <c r="D6952" s="8" t="s">
        <v>39400</v>
      </c>
      <c r="E6952" s="8" t="s">
        <v>39372</v>
      </c>
      <c r="F6952" s="8" t="s">
        <v>34242</v>
      </c>
      <c r="G6952" s="6" t="s">
        <v>60</v>
      </c>
      <c r="H6952" s="6" t="s">
        <v>34</v>
      </c>
      <c r="I6952" s="8" t="s">
        <v>263</v>
      </c>
      <c r="J6952" s="9">
        <v>1</v>
      </c>
      <c r="K6952" s="9">
        <v>462</v>
      </c>
      <c r="L6952" s="9">
        <v>2026</v>
      </c>
      <c r="M6952" s="8" t="s">
        <v>39401</v>
      </c>
      <c r="N6952" s="8" t="s">
        <v>243</v>
      </c>
      <c r="O6952" s="8" t="s">
        <v>244</v>
      </c>
      <c r="P6952" s="6" t="s">
        <v>306</v>
      </c>
      <c r="Q6952" s="8" t="s">
        <v>265</v>
      </c>
      <c r="R6952" s="10" t="s">
        <v>39402</v>
      </c>
      <c r="S6952" s="11" t="s">
        <v>39403</v>
      </c>
      <c r="T6952" s="6" t="s">
        <v>97</v>
      </c>
      <c r="U6952" s="15" t="str">
        <f>HYPERLINK("https://media.infra-m.ru/2260/2260760/cover/2260760.jpg", "Обложка")</f>
        <v>Обложка</v>
      </c>
      <c r="V6952" s="8" t="s">
        <v>3693</v>
      </c>
      <c r="W6952" s="6"/>
      <c r="X6952" s="6" t="s">
        <v>24</v>
      </c>
      <c r="Y6952" s="6"/>
      <c r="Z6952" s="6" t="s">
        <v>267</v>
      </c>
      <c r="AA6952" s="6" t="s">
        <v>148</v>
      </c>
      <c r="AB6952" s="8"/>
      <c r="AC6952" s="27">
        <v>9785160171128</v>
      </c>
    </row>
    <row r="6953" spans="1:29" s="4" customFormat="1" ht="51.9" customHeight="1" x14ac:dyDescent="0.2">
      <c r="A6953" s="5">
        <v>0</v>
      </c>
      <c r="B6953" s="6" t="s">
        <v>39404</v>
      </c>
      <c r="C6953" s="7">
        <v>1536</v>
      </c>
      <c r="D6953" s="8" t="s">
        <v>39405</v>
      </c>
      <c r="E6953" s="8" t="s">
        <v>39406</v>
      </c>
      <c r="F6953" s="8" t="s">
        <v>14562</v>
      </c>
      <c r="G6953" s="6" t="s">
        <v>118</v>
      </c>
      <c r="H6953" s="6" t="s">
        <v>34</v>
      </c>
      <c r="I6953" s="8" t="s">
        <v>35</v>
      </c>
      <c r="J6953" s="9">
        <v>1</v>
      </c>
      <c r="K6953" s="9">
        <v>364</v>
      </c>
      <c r="L6953" s="9">
        <v>2020</v>
      </c>
      <c r="M6953" s="8" t="s">
        <v>39407</v>
      </c>
      <c r="N6953" s="8" t="s">
        <v>37</v>
      </c>
      <c r="O6953" s="8" t="s">
        <v>280</v>
      </c>
      <c r="P6953" s="6" t="s">
        <v>39</v>
      </c>
      <c r="Q6953" s="8" t="s">
        <v>40</v>
      </c>
      <c r="R6953" s="10" t="s">
        <v>39408</v>
      </c>
      <c r="S6953" s="11"/>
      <c r="T6953" s="6" t="s">
        <v>97</v>
      </c>
      <c r="U6953" s="15" t="str">
        <f>HYPERLINK("https://media.infra-m.ru/1042/1042593/cover/1042593.jpg", "Обложка")</f>
        <v>Обложка</v>
      </c>
      <c r="V6953" s="8" t="s">
        <v>13059</v>
      </c>
      <c r="W6953" s="6"/>
      <c r="X6953" s="6"/>
      <c r="Y6953" s="6"/>
      <c r="Z6953" s="6"/>
      <c r="AA6953" s="6" t="s">
        <v>99</v>
      </c>
      <c r="AB6953" s="8"/>
      <c r="AC6953" s="27">
        <v>9785160127828</v>
      </c>
    </row>
    <row r="6954" spans="1:29" s="4" customFormat="1" ht="51.9" customHeight="1" x14ac:dyDescent="0.2">
      <c r="A6954" s="5">
        <v>0</v>
      </c>
      <c r="B6954" s="6" t="s">
        <v>39409</v>
      </c>
      <c r="C6954" s="7">
        <v>3592.8</v>
      </c>
      <c r="D6954" s="8" t="s">
        <v>39410</v>
      </c>
      <c r="E6954" s="8" t="s">
        <v>39411</v>
      </c>
      <c r="F6954" s="8" t="s">
        <v>39412</v>
      </c>
      <c r="G6954" s="6" t="s">
        <v>60</v>
      </c>
      <c r="H6954" s="6" t="s">
        <v>1644</v>
      </c>
      <c r="I6954" s="8"/>
      <c r="J6954" s="9">
        <v>1</v>
      </c>
      <c r="K6954" s="9">
        <v>640</v>
      </c>
      <c r="L6954" s="9">
        <v>2025</v>
      </c>
      <c r="M6954" s="8" t="s">
        <v>39413</v>
      </c>
      <c r="N6954" s="8" t="s">
        <v>37</v>
      </c>
      <c r="O6954" s="8" t="s">
        <v>280</v>
      </c>
      <c r="P6954" s="6" t="s">
        <v>306</v>
      </c>
      <c r="Q6954" s="8" t="s">
        <v>52</v>
      </c>
      <c r="R6954" s="10" t="s">
        <v>39414</v>
      </c>
      <c r="S6954" s="11" t="s">
        <v>39415</v>
      </c>
      <c r="T6954" s="6"/>
      <c r="U6954" s="15" t="str">
        <f>HYPERLINK("https://media.infra-m.ru/2192/2192161/cover/2192161.jpg", "Обложка")</f>
        <v>Обложка</v>
      </c>
      <c r="V6954" s="8" t="s">
        <v>4448</v>
      </c>
      <c r="W6954" s="6"/>
      <c r="X6954" s="6"/>
      <c r="Y6954" s="6"/>
      <c r="Z6954" s="6"/>
      <c r="AA6954" s="6" t="s">
        <v>43</v>
      </c>
      <c r="AB6954" s="8"/>
      <c r="AC6954" s="27">
        <v>9785977602181</v>
      </c>
    </row>
    <row r="6955" spans="1:29" s="4" customFormat="1" ht="42" customHeight="1" x14ac:dyDescent="0.2">
      <c r="A6955" s="5">
        <v>0</v>
      </c>
      <c r="B6955" s="6" t="s">
        <v>39416</v>
      </c>
      <c r="C6955" s="13">
        <v>900</v>
      </c>
      <c r="D6955" s="8" t="s">
        <v>39417</v>
      </c>
      <c r="E6955" s="8" t="s">
        <v>39418</v>
      </c>
      <c r="F6955" s="8" t="s">
        <v>39419</v>
      </c>
      <c r="G6955" s="6" t="s">
        <v>118</v>
      </c>
      <c r="H6955" s="6" t="s">
        <v>34</v>
      </c>
      <c r="I6955" s="8" t="s">
        <v>504</v>
      </c>
      <c r="J6955" s="9">
        <v>1</v>
      </c>
      <c r="K6955" s="9">
        <v>164</v>
      </c>
      <c r="L6955" s="9">
        <v>2023</v>
      </c>
      <c r="M6955" s="8" t="s">
        <v>39420</v>
      </c>
      <c r="N6955" s="8" t="s">
        <v>63</v>
      </c>
      <c r="O6955" s="8" t="s">
        <v>64</v>
      </c>
      <c r="P6955" s="6" t="s">
        <v>51</v>
      </c>
      <c r="Q6955" s="8" t="s">
        <v>500</v>
      </c>
      <c r="R6955" s="10" t="s">
        <v>20892</v>
      </c>
      <c r="S6955" s="11"/>
      <c r="T6955" s="6"/>
      <c r="U6955" s="15" t="str">
        <f>HYPERLINK("https://media.infra-m.ru/1913/1913847/cover/1913847.jpg", "Обложка")</f>
        <v>Обложка</v>
      </c>
      <c r="V6955" s="8" t="s">
        <v>54</v>
      </c>
      <c r="W6955" s="6"/>
      <c r="X6955" s="6"/>
      <c r="Y6955" s="6"/>
      <c r="Z6955" s="6"/>
      <c r="AA6955" s="6" t="s">
        <v>148</v>
      </c>
      <c r="AB6955" s="8"/>
      <c r="AC6955" s="27">
        <v>9785160172019</v>
      </c>
    </row>
    <row r="6956" spans="1:29" s="4" customFormat="1" ht="42" customHeight="1" x14ac:dyDescent="0.2">
      <c r="A6956" s="5">
        <v>0</v>
      </c>
      <c r="B6956" s="6" t="s">
        <v>39421</v>
      </c>
      <c r="C6956" s="7">
        <v>1248</v>
      </c>
      <c r="D6956" s="8" t="s">
        <v>39422</v>
      </c>
      <c r="E6956" s="8" t="s">
        <v>39423</v>
      </c>
      <c r="F6956" s="8" t="s">
        <v>39419</v>
      </c>
      <c r="G6956" s="6" t="s">
        <v>118</v>
      </c>
      <c r="H6956" s="6" t="s">
        <v>34</v>
      </c>
      <c r="I6956" s="8" t="s">
        <v>253</v>
      </c>
      <c r="J6956" s="9">
        <v>1</v>
      </c>
      <c r="K6956" s="9">
        <v>188</v>
      </c>
      <c r="L6956" s="9">
        <v>2026</v>
      </c>
      <c r="M6956" s="8" t="s">
        <v>39424</v>
      </c>
      <c r="N6956" s="8" t="s">
        <v>63</v>
      </c>
      <c r="O6956" s="8" t="s">
        <v>64</v>
      </c>
      <c r="P6956" s="6" t="s">
        <v>51</v>
      </c>
      <c r="Q6956" s="8" t="s">
        <v>500</v>
      </c>
      <c r="R6956" s="10" t="s">
        <v>20892</v>
      </c>
      <c r="S6956" s="11"/>
      <c r="T6956" s="6"/>
      <c r="U6956" s="15" t="str">
        <f>HYPERLINK("https://media.infra-m.ru/2244/2244079/cover/2244079.jpg", "Обложка")</f>
        <v>Обложка</v>
      </c>
      <c r="V6956" s="8" t="s">
        <v>54</v>
      </c>
      <c r="W6956" s="6"/>
      <c r="X6956" s="6"/>
      <c r="Y6956" s="6"/>
      <c r="Z6956" s="6"/>
      <c r="AA6956" s="6" t="s">
        <v>106</v>
      </c>
      <c r="AB6956" s="8"/>
      <c r="AC6956" s="27">
        <v>9785160219783</v>
      </c>
    </row>
    <row r="6957" spans="1:29" s="4" customFormat="1" ht="51.9" customHeight="1" x14ac:dyDescent="0.2">
      <c r="A6957" s="5">
        <v>0</v>
      </c>
      <c r="B6957" s="6" t="s">
        <v>39425</v>
      </c>
      <c r="C6957" s="7">
        <v>1392</v>
      </c>
      <c r="D6957" s="8" t="s">
        <v>39426</v>
      </c>
      <c r="E6957" s="8" t="s">
        <v>39427</v>
      </c>
      <c r="F6957" s="8" t="s">
        <v>8323</v>
      </c>
      <c r="G6957" s="6" t="s">
        <v>118</v>
      </c>
      <c r="H6957" s="6" t="s">
        <v>34</v>
      </c>
      <c r="I6957" s="8" t="s">
        <v>253</v>
      </c>
      <c r="J6957" s="9">
        <v>1</v>
      </c>
      <c r="K6957" s="9">
        <v>200</v>
      </c>
      <c r="L6957" s="9">
        <v>2027</v>
      </c>
      <c r="M6957" s="8" t="s">
        <v>39428</v>
      </c>
      <c r="N6957" s="8" t="s">
        <v>37</v>
      </c>
      <c r="O6957" s="8" t="s">
        <v>83</v>
      </c>
      <c r="P6957" s="6" t="s">
        <v>51</v>
      </c>
      <c r="Q6957" s="8" t="s">
        <v>52</v>
      </c>
      <c r="R6957" s="10" t="s">
        <v>13770</v>
      </c>
      <c r="S6957" s="11" t="s">
        <v>39429</v>
      </c>
      <c r="T6957" s="6"/>
      <c r="U6957" s="15" t="str">
        <f>HYPERLINK("https://media.infra-m.ru/2262/2262884/cover/2262884.jpg", "Обложка")</f>
        <v>Обложка</v>
      </c>
      <c r="V6957" s="8" t="s">
        <v>6700</v>
      </c>
      <c r="W6957" s="6"/>
      <c r="X6957" s="6"/>
      <c r="Y6957" s="6"/>
      <c r="Z6957" s="6"/>
      <c r="AA6957" s="6" t="s">
        <v>779</v>
      </c>
      <c r="AB6957" s="8"/>
      <c r="AC6957" s="27">
        <v>9785160187280</v>
      </c>
    </row>
    <row r="6958" spans="1:29" s="4" customFormat="1" ht="51.9" customHeight="1" x14ac:dyDescent="0.2">
      <c r="A6958" s="5">
        <v>0</v>
      </c>
      <c r="B6958" s="6" t="s">
        <v>39430</v>
      </c>
      <c r="C6958" s="7">
        <v>1152</v>
      </c>
      <c r="D6958" s="8" t="s">
        <v>39431</v>
      </c>
      <c r="E6958" s="8" t="s">
        <v>39432</v>
      </c>
      <c r="F6958" s="8" t="s">
        <v>240</v>
      </c>
      <c r="G6958" s="6" t="s">
        <v>118</v>
      </c>
      <c r="H6958" s="6" t="s">
        <v>34</v>
      </c>
      <c r="I6958" s="8" t="s">
        <v>304</v>
      </c>
      <c r="J6958" s="9">
        <v>1</v>
      </c>
      <c r="K6958" s="9">
        <v>173</v>
      </c>
      <c r="L6958" s="9">
        <v>2026</v>
      </c>
      <c r="M6958" s="8" t="s">
        <v>39433</v>
      </c>
      <c r="N6958" s="8" t="s">
        <v>243</v>
      </c>
      <c r="O6958" s="8" t="s">
        <v>244</v>
      </c>
      <c r="P6958" s="6" t="s">
        <v>306</v>
      </c>
      <c r="Q6958" s="8" t="s">
        <v>52</v>
      </c>
      <c r="R6958" s="10" t="s">
        <v>29849</v>
      </c>
      <c r="S6958" s="11" t="s">
        <v>12561</v>
      </c>
      <c r="T6958" s="6"/>
      <c r="U6958" s="15" t="str">
        <f>HYPERLINK("https://media.infra-m.ru/2240/2240180/cover/2240180.jpg", "Обложка")</f>
        <v>Обложка</v>
      </c>
      <c r="V6958" s="8" t="s">
        <v>247</v>
      </c>
      <c r="W6958" s="6"/>
      <c r="X6958" s="6"/>
      <c r="Y6958" s="6"/>
      <c r="Z6958" s="6"/>
      <c r="AA6958" s="6" t="s">
        <v>99</v>
      </c>
      <c r="AB6958" s="8"/>
      <c r="AC6958" s="27">
        <v>9785160194998</v>
      </c>
    </row>
    <row r="6959" spans="1:29" s="4" customFormat="1" ht="51.9" customHeight="1" x14ac:dyDescent="0.2">
      <c r="A6959" s="5">
        <v>0</v>
      </c>
      <c r="B6959" s="6" t="s">
        <v>39434</v>
      </c>
      <c r="C6959" s="7">
        <v>1872</v>
      </c>
      <c r="D6959" s="8" t="s">
        <v>39435</v>
      </c>
      <c r="E6959" s="8" t="s">
        <v>39436</v>
      </c>
      <c r="F6959" s="8" t="s">
        <v>240</v>
      </c>
      <c r="G6959" s="6" t="s">
        <v>118</v>
      </c>
      <c r="H6959" s="6" t="s">
        <v>34</v>
      </c>
      <c r="I6959" s="8" t="s">
        <v>304</v>
      </c>
      <c r="J6959" s="9">
        <v>1</v>
      </c>
      <c r="K6959" s="9">
        <v>312</v>
      </c>
      <c r="L6959" s="9">
        <v>2025</v>
      </c>
      <c r="M6959" s="8" t="s">
        <v>39437</v>
      </c>
      <c r="N6959" s="8" t="s">
        <v>243</v>
      </c>
      <c r="O6959" s="8" t="s">
        <v>244</v>
      </c>
      <c r="P6959" s="6" t="s">
        <v>306</v>
      </c>
      <c r="Q6959" s="8" t="s">
        <v>52</v>
      </c>
      <c r="R6959" s="10" t="s">
        <v>39438</v>
      </c>
      <c r="S6959" s="11" t="s">
        <v>39439</v>
      </c>
      <c r="T6959" s="6"/>
      <c r="U6959" s="15" t="str">
        <f>HYPERLINK("https://media.infra-m.ru/2182/2182623/cover/2182623.jpg", "Обложка")</f>
        <v>Обложка</v>
      </c>
      <c r="V6959" s="8" t="s">
        <v>247</v>
      </c>
      <c r="W6959" s="6"/>
      <c r="X6959" s="6"/>
      <c r="Y6959" s="6"/>
      <c r="Z6959" s="6"/>
      <c r="AA6959" s="6" t="s">
        <v>430</v>
      </c>
      <c r="AB6959" s="8"/>
      <c r="AC6959" s="27">
        <v>9785160205786</v>
      </c>
    </row>
    <row r="6960" spans="1:29" s="4" customFormat="1" ht="51.9" customHeight="1" x14ac:dyDescent="0.2">
      <c r="A6960" s="5">
        <v>0</v>
      </c>
      <c r="B6960" s="6" t="s">
        <v>39440</v>
      </c>
      <c r="C6960" s="7">
        <v>1500</v>
      </c>
      <c r="D6960" s="8" t="s">
        <v>39441</v>
      </c>
      <c r="E6960" s="8" t="s">
        <v>39442</v>
      </c>
      <c r="F6960" s="8" t="s">
        <v>240</v>
      </c>
      <c r="G6960" s="6" t="s">
        <v>60</v>
      </c>
      <c r="H6960" s="6" t="s">
        <v>34</v>
      </c>
      <c r="I6960" s="8" t="s">
        <v>2025</v>
      </c>
      <c r="J6960" s="9">
        <v>1</v>
      </c>
      <c r="K6960" s="9">
        <v>335</v>
      </c>
      <c r="L6960" s="9">
        <v>2021</v>
      </c>
      <c r="M6960" s="8" t="s">
        <v>39443</v>
      </c>
      <c r="N6960" s="8" t="s">
        <v>243</v>
      </c>
      <c r="O6960" s="8" t="s">
        <v>244</v>
      </c>
      <c r="P6960" s="6" t="s">
        <v>306</v>
      </c>
      <c r="Q6960" s="8" t="s">
        <v>52</v>
      </c>
      <c r="R6960" s="10" t="s">
        <v>5826</v>
      </c>
      <c r="S6960" s="11" t="s">
        <v>39439</v>
      </c>
      <c r="T6960" s="6"/>
      <c r="U6960" s="15" t="str">
        <f>HYPERLINK("https://media.infra-m.ru/1478/1478383/cover/1478383.jpg", "Обложка")</f>
        <v>Обложка</v>
      </c>
      <c r="V6960" s="8" t="s">
        <v>247</v>
      </c>
      <c r="W6960" s="6"/>
      <c r="X6960" s="6"/>
      <c r="Y6960" s="6"/>
      <c r="Z6960" s="6"/>
      <c r="AA6960" s="6" t="s">
        <v>430</v>
      </c>
      <c r="AB6960" s="8"/>
      <c r="AC6960" s="27">
        <v>9785160169972</v>
      </c>
    </row>
    <row r="6961" spans="1:29" s="4" customFormat="1" ht="42" customHeight="1" x14ac:dyDescent="0.2">
      <c r="A6961" s="5">
        <v>0</v>
      </c>
      <c r="B6961" s="6" t="s">
        <v>39444</v>
      </c>
      <c r="C6961" s="7">
        <v>1116</v>
      </c>
      <c r="D6961" s="8" t="s">
        <v>39445</v>
      </c>
      <c r="E6961" s="8" t="s">
        <v>39446</v>
      </c>
      <c r="F6961" s="8" t="s">
        <v>39447</v>
      </c>
      <c r="G6961" s="6" t="s">
        <v>33</v>
      </c>
      <c r="H6961" s="6" t="s">
        <v>34</v>
      </c>
      <c r="I6961" s="8" t="s">
        <v>35</v>
      </c>
      <c r="J6961" s="9">
        <v>1</v>
      </c>
      <c r="K6961" s="9">
        <v>180</v>
      </c>
      <c r="L6961" s="9">
        <v>2025</v>
      </c>
      <c r="M6961" s="8" t="s">
        <v>39448</v>
      </c>
      <c r="N6961" s="8" t="s">
        <v>243</v>
      </c>
      <c r="O6961" s="8" t="s">
        <v>385</v>
      </c>
      <c r="P6961" s="6" t="s">
        <v>39</v>
      </c>
      <c r="Q6961" s="8" t="s">
        <v>40</v>
      </c>
      <c r="R6961" s="10" t="s">
        <v>24336</v>
      </c>
      <c r="S6961" s="11"/>
      <c r="T6961" s="6"/>
      <c r="U6961" s="15" t="str">
        <f>HYPERLINK("https://media.infra-m.ru/2133/2133682/cover/2133682.jpg", "Обложка")</f>
        <v>Обложка</v>
      </c>
      <c r="V6961" s="8" t="s">
        <v>24394</v>
      </c>
      <c r="W6961" s="6"/>
      <c r="X6961" s="6"/>
      <c r="Y6961" s="6"/>
      <c r="Z6961" s="6"/>
      <c r="AA6961" s="6" t="s">
        <v>68</v>
      </c>
      <c r="AB6961" s="8" t="s">
        <v>670</v>
      </c>
      <c r="AC6961" s="27">
        <v>9785160196855</v>
      </c>
    </row>
    <row r="6962" spans="1:29" s="4" customFormat="1" ht="44.1" customHeight="1" x14ac:dyDescent="0.2">
      <c r="A6962" s="5">
        <v>0</v>
      </c>
      <c r="B6962" s="6" t="s">
        <v>39449</v>
      </c>
      <c r="C6962" s="7">
        <v>1224</v>
      </c>
      <c r="D6962" s="8" t="s">
        <v>39450</v>
      </c>
      <c r="E6962" s="8" t="s">
        <v>39451</v>
      </c>
      <c r="F6962" s="8" t="s">
        <v>39452</v>
      </c>
      <c r="G6962" s="6" t="s">
        <v>60</v>
      </c>
      <c r="H6962" s="6" t="s">
        <v>34</v>
      </c>
      <c r="I6962" s="8" t="s">
        <v>3119</v>
      </c>
      <c r="J6962" s="9">
        <v>1</v>
      </c>
      <c r="K6962" s="9">
        <v>220</v>
      </c>
      <c r="L6962" s="9">
        <v>2023</v>
      </c>
      <c r="M6962" s="8" t="s">
        <v>39453</v>
      </c>
      <c r="N6962" s="8" t="s">
        <v>37</v>
      </c>
      <c r="O6962" s="8" t="s">
        <v>280</v>
      </c>
      <c r="P6962" s="6" t="s">
        <v>306</v>
      </c>
      <c r="Q6962" s="8" t="s">
        <v>52</v>
      </c>
      <c r="R6962" s="10" t="s">
        <v>39454</v>
      </c>
      <c r="S6962" s="11"/>
      <c r="T6962" s="6"/>
      <c r="U6962" s="15" t="str">
        <f>HYPERLINK("https://media.infra-m.ru/1863/1863127/cover/1863127.jpg", "Обложка")</f>
        <v>Обложка</v>
      </c>
      <c r="V6962" s="8" t="s">
        <v>396</v>
      </c>
      <c r="W6962" s="6"/>
      <c r="X6962" s="6"/>
      <c r="Y6962" s="6"/>
      <c r="Z6962" s="6"/>
      <c r="AA6962" s="6" t="s">
        <v>157</v>
      </c>
      <c r="AB6962" s="8"/>
      <c r="AC6962" s="27">
        <v>9785160176185</v>
      </c>
    </row>
    <row r="6963" spans="1:29" s="4" customFormat="1" ht="51.9" customHeight="1" x14ac:dyDescent="0.2">
      <c r="A6963" s="5">
        <v>0</v>
      </c>
      <c r="B6963" s="6" t="s">
        <v>39455</v>
      </c>
      <c r="C6963" s="7">
        <v>1788</v>
      </c>
      <c r="D6963" s="8" t="s">
        <v>39456</v>
      </c>
      <c r="E6963" s="8" t="s">
        <v>39457</v>
      </c>
      <c r="F6963" s="8" t="s">
        <v>39458</v>
      </c>
      <c r="G6963" s="6" t="s">
        <v>118</v>
      </c>
      <c r="H6963" s="6" t="s">
        <v>34</v>
      </c>
      <c r="I6963" s="8" t="s">
        <v>504</v>
      </c>
      <c r="J6963" s="9">
        <v>1</v>
      </c>
      <c r="K6963" s="9">
        <v>320</v>
      </c>
      <c r="L6963" s="9">
        <v>2023</v>
      </c>
      <c r="M6963" s="8" t="s">
        <v>39459</v>
      </c>
      <c r="N6963" s="8" t="s">
        <v>243</v>
      </c>
      <c r="O6963" s="8" t="s">
        <v>758</v>
      </c>
      <c r="P6963" s="6" t="s">
        <v>51</v>
      </c>
      <c r="Q6963" s="8" t="s">
        <v>500</v>
      </c>
      <c r="R6963" s="10" t="s">
        <v>20964</v>
      </c>
      <c r="S6963" s="11" t="s">
        <v>39460</v>
      </c>
      <c r="T6963" s="6"/>
      <c r="U6963" s="15" t="str">
        <f>HYPERLINK("https://media.infra-m.ru/1976/1976144/cover/1976144.jpg", "Обложка")</f>
        <v>Обложка</v>
      </c>
      <c r="V6963" s="8" t="s">
        <v>3595</v>
      </c>
      <c r="W6963" s="6"/>
      <c r="X6963" s="6"/>
      <c r="Y6963" s="6"/>
      <c r="Z6963" s="6"/>
      <c r="AA6963" s="6" t="s">
        <v>2240</v>
      </c>
      <c r="AB6963" s="8"/>
      <c r="AC6963" s="27">
        <v>9785160152523</v>
      </c>
    </row>
    <row r="6964" spans="1:29" s="4" customFormat="1" ht="51.9" customHeight="1" x14ac:dyDescent="0.2">
      <c r="A6964" s="5">
        <v>0</v>
      </c>
      <c r="B6964" s="6" t="s">
        <v>39461</v>
      </c>
      <c r="C6964" s="7">
        <v>3328.8</v>
      </c>
      <c r="D6964" s="8" t="s">
        <v>39462</v>
      </c>
      <c r="E6964" s="8" t="s">
        <v>39463</v>
      </c>
      <c r="F6964" s="8" t="s">
        <v>39464</v>
      </c>
      <c r="G6964" s="6" t="s">
        <v>60</v>
      </c>
      <c r="H6964" s="6" t="s">
        <v>34</v>
      </c>
      <c r="I6964" s="8" t="s">
        <v>30948</v>
      </c>
      <c r="J6964" s="9">
        <v>1</v>
      </c>
      <c r="K6964" s="9">
        <v>478</v>
      </c>
      <c r="L6964" s="9">
        <v>2027</v>
      </c>
      <c r="M6964" s="8" t="s">
        <v>39465</v>
      </c>
      <c r="N6964" s="8" t="s">
        <v>243</v>
      </c>
      <c r="O6964" s="8" t="s">
        <v>1100</v>
      </c>
      <c r="P6964" s="6" t="s">
        <v>51</v>
      </c>
      <c r="Q6964" s="8" t="s">
        <v>52</v>
      </c>
      <c r="R6964" s="10" t="s">
        <v>4775</v>
      </c>
      <c r="S6964" s="11" t="s">
        <v>39466</v>
      </c>
      <c r="T6964" s="6"/>
      <c r="U6964" s="15" t="str">
        <f>HYPERLINK("https://media.infra-m.ru/2264/2264578/cover/2264578.jpg", "Обложка")</f>
        <v>Обложка</v>
      </c>
      <c r="V6964" s="8" t="s">
        <v>1132</v>
      </c>
      <c r="W6964" s="6"/>
      <c r="X6964" s="6"/>
      <c r="Y6964" s="6"/>
      <c r="Z6964" s="6"/>
      <c r="AA6964" s="6" t="s">
        <v>157</v>
      </c>
      <c r="AB6964" s="8"/>
      <c r="AC6964" s="27">
        <v>9785160182025</v>
      </c>
    </row>
    <row r="6965" spans="1:29" s="4" customFormat="1" ht="51.9" customHeight="1" x14ac:dyDescent="0.2">
      <c r="A6965" s="5">
        <v>0</v>
      </c>
      <c r="B6965" s="6" t="s">
        <v>39467</v>
      </c>
      <c r="C6965" s="7">
        <v>1068</v>
      </c>
      <c r="D6965" s="8" t="s">
        <v>39468</v>
      </c>
      <c r="E6965" s="8" t="s">
        <v>39469</v>
      </c>
      <c r="F6965" s="8" t="s">
        <v>39470</v>
      </c>
      <c r="G6965" s="6" t="s">
        <v>60</v>
      </c>
      <c r="H6965" s="6" t="s">
        <v>34</v>
      </c>
      <c r="I6965" s="8" t="s">
        <v>1128</v>
      </c>
      <c r="J6965" s="9">
        <v>1</v>
      </c>
      <c r="K6965" s="9">
        <v>168</v>
      </c>
      <c r="L6965" s="9">
        <v>2024</v>
      </c>
      <c r="M6965" s="8" t="s">
        <v>39471</v>
      </c>
      <c r="N6965" s="8" t="s">
        <v>243</v>
      </c>
      <c r="O6965" s="8" t="s">
        <v>758</v>
      </c>
      <c r="P6965" s="6" t="s">
        <v>51</v>
      </c>
      <c r="Q6965" s="8" t="s">
        <v>500</v>
      </c>
      <c r="R6965" s="10" t="s">
        <v>31091</v>
      </c>
      <c r="S6965" s="11" t="s">
        <v>39472</v>
      </c>
      <c r="T6965" s="6"/>
      <c r="U6965" s="15" t="str">
        <f>HYPERLINK("https://media.infra-m.ru/2133/2133643/cover/2133643.jpg", "Обложка")</f>
        <v>Обложка</v>
      </c>
      <c r="V6965" s="8" t="s">
        <v>1132</v>
      </c>
      <c r="W6965" s="6"/>
      <c r="X6965" s="6"/>
      <c r="Y6965" s="6"/>
      <c r="Z6965" s="6"/>
      <c r="AA6965" s="6" t="s">
        <v>76</v>
      </c>
      <c r="AB6965" s="8"/>
      <c r="AC6965" s="27">
        <v>9785160196718</v>
      </c>
    </row>
    <row r="6966" spans="1:29" s="4" customFormat="1" ht="44.1" customHeight="1" x14ac:dyDescent="0.2">
      <c r="A6966" s="5">
        <v>0</v>
      </c>
      <c r="B6966" s="6" t="s">
        <v>39473</v>
      </c>
      <c r="C6966" s="7">
        <v>3496.8</v>
      </c>
      <c r="D6966" s="8" t="s">
        <v>39474</v>
      </c>
      <c r="E6966" s="8" t="s">
        <v>39475</v>
      </c>
      <c r="F6966" s="8" t="s">
        <v>39476</v>
      </c>
      <c r="G6966" s="6" t="s">
        <v>60</v>
      </c>
      <c r="H6966" s="6" t="s">
        <v>1644</v>
      </c>
      <c r="I6966" s="8" t="s">
        <v>1904</v>
      </c>
      <c r="J6966" s="9">
        <v>1</v>
      </c>
      <c r="K6966" s="9">
        <v>528</v>
      </c>
      <c r="L6966" s="9">
        <v>2026</v>
      </c>
      <c r="M6966" s="8" t="s">
        <v>39477</v>
      </c>
      <c r="N6966" s="8" t="s">
        <v>37</v>
      </c>
      <c r="O6966" s="8" t="s">
        <v>499</v>
      </c>
      <c r="P6966" s="6" t="s">
        <v>51</v>
      </c>
      <c r="Q6966" s="8" t="s">
        <v>52</v>
      </c>
      <c r="R6966" s="10" t="s">
        <v>39478</v>
      </c>
      <c r="S6966" s="11"/>
      <c r="T6966" s="6"/>
      <c r="U6966" s="15" t="str">
        <f>HYPERLINK("https://media.infra-m.ru/2260/2260503/cover/2260503.jpg", "Обложка")</f>
        <v>Обложка</v>
      </c>
      <c r="V6966" s="8" t="s">
        <v>18741</v>
      </c>
      <c r="W6966" s="6"/>
      <c r="X6966" s="6"/>
      <c r="Y6966" s="6"/>
      <c r="Z6966" s="6"/>
      <c r="AA6966" s="6" t="s">
        <v>274</v>
      </c>
      <c r="AB6966" s="8"/>
      <c r="AC6966" s="27">
        <v>9785977603690</v>
      </c>
    </row>
    <row r="6967" spans="1:29" s="4" customFormat="1" ht="51.9" customHeight="1" x14ac:dyDescent="0.2">
      <c r="A6967" s="5">
        <v>0</v>
      </c>
      <c r="B6967" s="6" t="s">
        <v>39479</v>
      </c>
      <c r="C6967" s="7">
        <v>2904</v>
      </c>
      <c r="D6967" s="8" t="s">
        <v>39480</v>
      </c>
      <c r="E6967" s="8" t="s">
        <v>39481</v>
      </c>
      <c r="F6967" s="8" t="s">
        <v>31791</v>
      </c>
      <c r="G6967" s="6" t="s">
        <v>60</v>
      </c>
      <c r="H6967" s="6" t="s">
        <v>34</v>
      </c>
      <c r="I6967" s="8" t="s">
        <v>253</v>
      </c>
      <c r="J6967" s="9">
        <v>1</v>
      </c>
      <c r="K6967" s="9">
        <v>417</v>
      </c>
      <c r="L6967" s="9">
        <v>2027</v>
      </c>
      <c r="M6967" s="8" t="s">
        <v>39482</v>
      </c>
      <c r="N6967" s="8" t="s">
        <v>243</v>
      </c>
      <c r="O6967" s="8" t="s">
        <v>758</v>
      </c>
      <c r="P6967" s="6" t="s">
        <v>51</v>
      </c>
      <c r="Q6967" s="8" t="s">
        <v>52</v>
      </c>
      <c r="R6967" s="10" t="s">
        <v>9434</v>
      </c>
      <c r="S6967" s="11" t="s">
        <v>22903</v>
      </c>
      <c r="T6967" s="6"/>
      <c r="U6967" s="15" t="str">
        <f>HYPERLINK("https://media.infra-m.ru/2263/2263938/cover/2263938.jpg", "Обложка")</f>
        <v>Обложка</v>
      </c>
      <c r="V6967" s="8" t="s">
        <v>227</v>
      </c>
      <c r="W6967" s="6"/>
      <c r="X6967" s="6"/>
      <c r="Y6967" s="6"/>
      <c r="Z6967" s="6"/>
      <c r="AA6967" s="6" t="s">
        <v>1303</v>
      </c>
      <c r="AB6967" s="8"/>
      <c r="AC6967" s="27">
        <v>9785160200644</v>
      </c>
    </row>
    <row r="6968" spans="1:29" s="4" customFormat="1" ht="42" customHeight="1" x14ac:dyDescent="0.2">
      <c r="A6968" s="5">
        <v>0</v>
      </c>
      <c r="B6968" s="6" t="s">
        <v>39483</v>
      </c>
      <c r="C6968" s="7">
        <v>3360</v>
      </c>
      <c r="D6968" s="8" t="s">
        <v>39484</v>
      </c>
      <c r="E6968" s="8" t="s">
        <v>39485</v>
      </c>
      <c r="F6968" s="8" t="s">
        <v>31791</v>
      </c>
      <c r="G6968" s="6" t="s">
        <v>60</v>
      </c>
      <c r="H6968" s="6" t="s">
        <v>34</v>
      </c>
      <c r="I6968" s="8" t="s">
        <v>263</v>
      </c>
      <c r="J6968" s="9">
        <v>1</v>
      </c>
      <c r="K6968" s="9">
        <v>510</v>
      </c>
      <c r="L6968" s="9">
        <v>2026</v>
      </c>
      <c r="M6968" s="8" t="s">
        <v>39486</v>
      </c>
      <c r="N6968" s="8" t="s">
        <v>243</v>
      </c>
      <c r="O6968" s="8" t="s">
        <v>758</v>
      </c>
      <c r="P6968" s="6" t="s">
        <v>759</v>
      </c>
      <c r="Q6968" s="8" t="s">
        <v>265</v>
      </c>
      <c r="R6968" s="10" t="s">
        <v>39487</v>
      </c>
      <c r="S6968" s="11"/>
      <c r="T6968" s="6"/>
      <c r="U6968" s="15" t="str">
        <f>HYPERLINK("https://media.infra-m.ru/2239/2239073/cover/2239073.jpg", "Обложка")</f>
        <v>Обложка</v>
      </c>
      <c r="V6968" s="8" t="s">
        <v>227</v>
      </c>
      <c r="W6968" s="6"/>
      <c r="X6968" s="6"/>
      <c r="Y6968" s="6"/>
      <c r="Z6968" s="6"/>
      <c r="AA6968" s="6" t="s">
        <v>896</v>
      </c>
      <c r="AB6968" s="8"/>
      <c r="AC6968" s="27">
        <v>9785160175386</v>
      </c>
    </row>
    <row r="6969" spans="1:29" s="4" customFormat="1" ht="42" customHeight="1" x14ac:dyDescent="0.2">
      <c r="A6969" s="5">
        <v>0</v>
      </c>
      <c r="B6969" s="6" t="s">
        <v>39488</v>
      </c>
      <c r="C6969" s="7">
        <v>1152</v>
      </c>
      <c r="D6969" s="8" t="s">
        <v>39489</v>
      </c>
      <c r="E6969" s="8" t="s">
        <v>39490</v>
      </c>
      <c r="F6969" s="8" t="s">
        <v>39491</v>
      </c>
      <c r="G6969" s="6" t="s">
        <v>118</v>
      </c>
      <c r="H6969" s="6" t="s">
        <v>134</v>
      </c>
      <c r="I6969" s="8"/>
      <c r="J6969" s="9">
        <v>1</v>
      </c>
      <c r="K6969" s="9">
        <v>184</v>
      </c>
      <c r="L6969" s="9">
        <v>2025</v>
      </c>
      <c r="M6969" s="8" t="s">
        <v>39492</v>
      </c>
      <c r="N6969" s="8" t="s">
        <v>37</v>
      </c>
      <c r="O6969" s="8" t="s">
        <v>136</v>
      </c>
      <c r="P6969" s="6" t="s">
        <v>3141</v>
      </c>
      <c r="Q6969" s="8" t="s">
        <v>40</v>
      </c>
      <c r="R6969" s="10" t="s">
        <v>684</v>
      </c>
      <c r="S6969" s="11"/>
      <c r="T6969" s="6"/>
      <c r="U6969" s="15" t="str">
        <f>HYPERLINK("https://media.infra-m.ru/2192/2192319/cover/2192319.jpg", "Обложка")</f>
        <v>Обложка</v>
      </c>
      <c r="V6969" s="8" t="s">
        <v>138</v>
      </c>
      <c r="W6969" s="6"/>
      <c r="X6969" s="6"/>
      <c r="Y6969" s="6"/>
      <c r="Z6969" s="6"/>
      <c r="AA6969" s="6" t="s">
        <v>1256</v>
      </c>
      <c r="AB6969" s="8"/>
      <c r="AC6969" s="27">
        <v>9785001560593</v>
      </c>
    </row>
    <row r="6970" spans="1:29" s="4" customFormat="1" ht="33" customHeight="1" x14ac:dyDescent="0.2">
      <c r="A6970" s="5">
        <v>0</v>
      </c>
      <c r="B6970" s="6" t="s">
        <v>39493</v>
      </c>
      <c r="C6970" s="13">
        <v>659.9</v>
      </c>
      <c r="D6970" s="8" t="s">
        <v>39494</v>
      </c>
      <c r="E6970" s="8" t="s">
        <v>39495</v>
      </c>
      <c r="F6970" s="8" t="s">
        <v>674</v>
      </c>
      <c r="G6970" s="6" t="s">
        <v>60</v>
      </c>
      <c r="H6970" s="6" t="s">
        <v>134</v>
      </c>
      <c r="I6970" s="8"/>
      <c r="J6970" s="9">
        <v>1</v>
      </c>
      <c r="K6970" s="9">
        <v>480</v>
      </c>
      <c r="L6970" s="9">
        <v>2016</v>
      </c>
      <c r="M6970" s="8" t="s">
        <v>39496</v>
      </c>
      <c r="N6970" s="8" t="s">
        <v>37</v>
      </c>
      <c r="O6970" s="8" t="s">
        <v>136</v>
      </c>
      <c r="P6970" s="6" t="s">
        <v>39497</v>
      </c>
      <c r="Q6970" s="8" t="s">
        <v>40</v>
      </c>
      <c r="R6970" s="10"/>
      <c r="S6970" s="11"/>
      <c r="T6970" s="6"/>
      <c r="U6970" s="12"/>
      <c r="V6970" s="8" t="s">
        <v>677</v>
      </c>
      <c r="W6970" s="6"/>
      <c r="X6970" s="6"/>
      <c r="Y6970" s="6"/>
      <c r="Z6970" s="6"/>
      <c r="AA6970" s="6" t="s">
        <v>248</v>
      </c>
      <c r="AB6970" s="8"/>
      <c r="AC6970" s="27">
        <v>9785917685144</v>
      </c>
    </row>
    <row r="6971" spans="1:29" s="4" customFormat="1" ht="44.1" customHeight="1" x14ac:dyDescent="0.2">
      <c r="A6971" s="5">
        <v>0</v>
      </c>
      <c r="B6971" s="6" t="s">
        <v>39498</v>
      </c>
      <c r="C6971" s="7">
        <v>1648.8</v>
      </c>
      <c r="D6971" s="8" t="s">
        <v>39499</v>
      </c>
      <c r="E6971" s="8" t="s">
        <v>39500</v>
      </c>
      <c r="F6971" s="8" t="s">
        <v>39501</v>
      </c>
      <c r="G6971" s="6" t="s">
        <v>60</v>
      </c>
      <c r="H6971" s="6" t="s">
        <v>241</v>
      </c>
      <c r="I6971" s="8"/>
      <c r="J6971" s="9">
        <v>1</v>
      </c>
      <c r="K6971" s="9">
        <v>299</v>
      </c>
      <c r="L6971" s="9">
        <v>2024</v>
      </c>
      <c r="M6971" s="8" t="s">
        <v>39502</v>
      </c>
      <c r="N6971" s="8" t="s">
        <v>37</v>
      </c>
      <c r="O6971" s="8" t="s">
        <v>280</v>
      </c>
      <c r="P6971" s="6" t="s">
        <v>306</v>
      </c>
      <c r="Q6971" s="8" t="s">
        <v>52</v>
      </c>
      <c r="R6971" s="10" t="s">
        <v>39503</v>
      </c>
      <c r="S6971" s="11"/>
      <c r="T6971" s="6"/>
      <c r="U6971" s="15" t="str">
        <f>HYPERLINK("https://media.infra-m.ru/1841/1841704/cover/1841704.jpg", "Обложка")</f>
        <v>Обложка</v>
      </c>
      <c r="V6971" s="8" t="s">
        <v>247</v>
      </c>
      <c r="W6971" s="6"/>
      <c r="X6971" s="6"/>
      <c r="Y6971" s="6"/>
      <c r="Z6971" s="6"/>
      <c r="AA6971" s="6" t="s">
        <v>43</v>
      </c>
      <c r="AB6971" s="8"/>
      <c r="AC6971" s="27">
        <v>9785955803838</v>
      </c>
    </row>
    <row r="6972" spans="1:29" s="4" customFormat="1" ht="42" customHeight="1" x14ac:dyDescent="0.2">
      <c r="A6972" s="5">
        <v>0</v>
      </c>
      <c r="B6972" s="6" t="s">
        <v>39504</v>
      </c>
      <c r="C6972" s="7">
        <v>2064</v>
      </c>
      <c r="D6972" s="8" t="s">
        <v>39505</v>
      </c>
      <c r="E6972" s="8" t="s">
        <v>39506</v>
      </c>
      <c r="F6972" s="8" t="s">
        <v>39507</v>
      </c>
      <c r="G6972" s="6" t="s">
        <v>60</v>
      </c>
      <c r="H6972" s="6" t="s">
        <v>34</v>
      </c>
      <c r="I6972" s="8" t="s">
        <v>1074</v>
      </c>
      <c r="J6972" s="9">
        <v>1</v>
      </c>
      <c r="K6972" s="9">
        <v>288</v>
      </c>
      <c r="L6972" s="9">
        <v>2026</v>
      </c>
      <c r="M6972" s="8" t="s">
        <v>39508</v>
      </c>
      <c r="N6972" s="8" t="s">
        <v>37</v>
      </c>
      <c r="O6972" s="8" t="s">
        <v>136</v>
      </c>
      <c r="P6972" s="6" t="s">
        <v>39</v>
      </c>
      <c r="Q6972" s="8" t="s">
        <v>40</v>
      </c>
      <c r="R6972" s="10" t="s">
        <v>39509</v>
      </c>
      <c r="S6972" s="11"/>
      <c r="T6972" s="6"/>
      <c r="U6972" s="15" t="str">
        <f>HYPERLINK("https://media.infra-m.ru/2192/2192887/cover/2192887.jpg", "Обложка")</f>
        <v>Обложка</v>
      </c>
      <c r="V6972" s="8" t="s">
        <v>7003</v>
      </c>
      <c r="W6972" s="6" t="s">
        <v>9380</v>
      </c>
      <c r="X6972" s="6"/>
      <c r="Y6972" s="6"/>
      <c r="Z6972" s="6"/>
      <c r="AA6972" s="6" t="s">
        <v>187</v>
      </c>
      <c r="AB6972" s="8"/>
      <c r="AC6972" s="27">
        <v>9785160207759</v>
      </c>
    </row>
    <row r="6973" spans="1:29" s="4" customFormat="1" ht="42" customHeight="1" x14ac:dyDescent="0.2">
      <c r="A6973" s="5">
        <v>0</v>
      </c>
      <c r="B6973" s="6" t="s">
        <v>39510</v>
      </c>
      <c r="C6973" s="7">
        <v>1488</v>
      </c>
      <c r="D6973" s="8" t="s">
        <v>39511</v>
      </c>
      <c r="E6973" s="8" t="s">
        <v>39512</v>
      </c>
      <c r="F6973" s="8" t="s">
        <v>39513</v>
      </c>
      <c r="G6973" s="6" t="s">
        <v>118</v>
      </c>
      <c r="H6973" s="6" t="s">
        <v>34</v>
      </c>
      <c r="I6973" s="8"/>
      <c r="J6973" s="9">
        <v>1</v>
      </c>
      <c r="K6973" s="9">
        <v>224</v>
      </c>
      <c r="L6973" s="9">
        <v>2026</v>
      </c>
      <c r="M6973" s="8" t="s">
        <v>39514</v>
      </c>
      <c r="N6973" s="8" t="s">
        <v>37</v>
      </c>
      <c r="O6973" s="8" t="s">
        <v>233</v>
      </c>
      <c r="P6973" s="6" t="s">
        <v>39</v>
      </c>
      <c r="Q6973" s="8" t="s">
        <v>40</v>
      </c>
      <c r="R6973" s="10" t="s">
        <v>5331</v>
      </c>
      <c r="S6973" s="11"/>
      <c r="T6973" s="6"/>
      <c r="U6973" s="15" t="str">
        <f>HYPERLINK("https://media.infra-m.ru/2241/2241002/cover/2241002.jpg", "Обложка")</f>
        <v>Обложка</v>
      </c>
      <c r="V6973" s="8"/>
      <c r="W6973" s="6"/>
      <c r="X6973" s="6"/>
      <c r="Y6973" s="6"/>
      <c r="Z6973" s="6"/>
      <c r="AA6973" s="6" t="s">
        <v>148</v>
      </c>
      <c r="AB6973" s="8"/>
      <c r="AC6973" s="27">
        <v>9785160218823</v>
      </c>
    </row>
    <row r="6974" spans="1:29" s="4" customFormat="1" ht="51.9" customHeight="1" x14ac:dyDescent="0.2">
      <c r="A6974" s="5">
        <v>0</v>
      </c>
      <c r="B6974" s="6" t="s">
        <v>39515</v>
      </c>
      <c r="C6974" s="7">
        <v>1704</v>
      </c>
      <c r="D6974" s="8" t="s">
        <v>39516</v>
      </c>
      <c r="E6974" s="8" t="s">
        <v>39517</v>
      </c>
      <c r="F6974" s="8" t="s">
        <v>39518</v>
      </c>
      <c r="G6974" s="6" t="s">
        <v>60</v>
      </c>
      <c r="H6974" s="6" t="s">
        <v>313</v>
      </c>
      <c r="I6974" s="8" t="s">
        <v>253</v>
      </c>
      <c r="J6974" s="9">
        <v>1</v>
      </c>
      <c r="K6974" s="9">
        <v>265</v>
      </c>
      <c r="L6974" s="9">
        <v>2025</v>
      </c>
      <c r="M6974" s="8" t="s">
        <v>39519</v>
      </c>
      <c r="N6974" s="8" t="s">
        <v>63</v>
      </c>
      <c r="O6974" s="8" t="s">
        <v>64</v>
      </c>
      <c r="P6974" s="6" t="s">
        <v>51</v>
      </c>
      <c r="Q6974" s="8" t="s">
        <v>52</v>
      </c>
      <c r="R6974" s="10" t="s">
        <v>39520</v>
      </c>
      <c r="S6974" s="11" t="s">
        <v>39521</v>
      </c>
      <c r="T6974" s="6"/>
      <c r="U6974" s="15" t="str">
        <f>HYPERLINK("https://media.infra-m.ru/2166/2166418/cover/2166418.jpg", "Обложка")</f>
        <v>Обложка</v>
      </c>
      <c r="V6974" s="8" t="s">
        <v>16903</v>
      </c>
      <c r="W6974" s="6"/>
      <c r="X6974" s="6"/>
      <c r="Y6974" s="6"/>
      <c r="Z6974" s="6"/>
      <c r="AA6974" s="6" t="s">
        <v>917</v>
      </c>
      <c r="AB6974" s="8"/>
      <c r="AC6974" s="27">
        <v>9785160208756</v>
      </c>
    </row>
    <row r="6975" spans="1:29" s="4" customFormat="1" ht="51.9" customHeight="1" x14ac:dyDescent="0.2">
      <c r="A6975" s="5">
        <v>0</v>
      </c>
      <c r="B6975" s="6" t="s">
        <v>39522</v>
      </c>
      <c r="C6975" s="13">
        <v>868.8</v>
      </c>
      <c r="D6975" s="8" t="s">
        <v>39523</v>
      </c>
      <c r="E6975" s="8" t="s">
        <v>39524</v>
      </c>
      <c r="F6975" s="8" t="s">
        <v>39525</v>
      </c>
      <c r="G6975" s="6" t="s">
        <v>33</v>
      </c>
      <c r="H6975" s="6" t="s">
        <v>313</v>
      </c>
      <c r="I6975" s="8" t="s">
        <v>392</v>
      </c>
      <c r="J6975" s="9">
        <v>1</v>
      </c>
      <c r="K6975" s="9">
        <v>132</v>
      </c>
      <c r="L6975" s="9">
        <v>2026</v>
      </c>
      <c r="M6975" s="8" t="s">
        <v>39526</v>
      </c>
      <c r="N6975" s="8" t="s">
        <v>63</v>
      </c>
      <c r="O6975" s="8" t="s">
        <v>64</v>
      </c>
      <c r="P6975" s="6" t="s">
        <v>51</v>
      </c>
      <c r="Q6975" s="8" t="s">
        <v>52</v>
      </c>
      <c r="R6975" s="10" t="s">
        <v>39527</v>
      </c>
      <c r="S6975" s="11"/>
      <c r="T6975" s="6"/>
      <c r="U6975" s="15" t="str">
        <f>HYPERLINK("https://media.infra-m.ru/2223/2223146/cover/2223146.jpg", "Обложка")</f>
        <v>Обложка</v>
      </c>
      <c r="V6975" s="8" t="s">
        <v>1425</v>
      </c>
      <c r="W6975" s="6"/>
      <c r="X6975" s="6"/>
      <c r="Y6975" s="6"/>
      <c r="Z6975" s="6"/>
      <c r="AA6975" s="6" t="s">
        <v>99</v>
      </c>
      <c r="AB6975" s="8"/>
      <c r="AC6975" s="27">
        <v>9785369016237</v>
      </c>
    </row>
    <row r="6976" spans="1:29" s="4" customFormat="1" ht="51.9" customHeight="1" x14ac:dyDescent="0.2">
      <c r="A6976" s="5">
        <v>0</v>
      </c>
      <c r="B6976" s="6" t="s">
        <v>39528</v>
      </c>
      <c r="C6976" s="7">
        <v>2100</v>
      </c>
      <c r="D6976" s="8" t="s">
        <v>39529</v>
      </c>
      <c r="E6976" s="8" t="s">
        <v>39530</v>
      </c>
      <c r="F6976" s="8" t="s">
        <v>39531</v>
      </c>
      <c r="G6976" s="6" t="s">
        <v>118</v>
      </c>
      <c r="H6976" s="6" t="s">
        <v>313</v>
      </c>
      <c r="I6976" s="8" t="s">
        <v>392</v>
      </c>
      <c r="J6976" s="9">
        <v>1</v>
      </c>
      <c r="K6976" s="9">
        <v>318</v>
      </c>
      <c r="L6976" s="9">
        <v>2026</v>
      </c>
      <c r="M6976" s="8" t="s">
        <v>39532</v>
      </c>
      <c r="N6976" s="8" t="s">
        <v>63</v>
      </c>
      <c r="O6976" s="8" t="s">
        <v>64</v>
      </c>
      <c r="P6976" s="6" t="s">
        <v>51</v>
      </c>
      <c r="Q6976" s="8" t="s">
        <v>52</v>
      </c>
      <c r="R6976" s="10" t="s">
        <v>39533</v>
      </c>
      <c r="S6976" s="11"/>
      <c r="T6976" s="6"/>
      <c r="U6976" s="15" t="str">
        <f>HYPERLINK("https://media.infra-m.ru/2218/2218689/cover/2218689.jpg", "Обложка")</f>
        <v>Обложка</v>
      </c>
      <c r="V6976" s="8" t="s">
        <v>1425</v>
      </c>
      <c r="W6976" s="6"/>
      <c r="X6976" s="6"/>
      <c r="Y6976" s="6"/>
      <c r="Z6976" s="6"/>
      <c r="AA6976" s="6" t="s">
        <v>148</v>
      </c>
      <c r="AB6976" s="8"/>
      <c r="AC6976" s="27">
        <v>9785369019122</v>
      </c>
    </row>
    <row r="6977" spans="1:29" s="4" customFormat="1" ht="51.9" customHeight="1" x14ac:dyDescent="0.2">
      <c r="A6977" s="5">
        <v>0</v>
      </c>
      <c r="B6977" s="6" t="s">
        <v>39534</v>
      </c>
      <c r="C6977" s="7">
        <v>1396.8</v>
      </c>
      <c r="D6977" s="8" t="s">
        <v>39535</v>
      </c>
      <c r="E6977" s="8" t="s">
        <v>39536</v>
      </c>
      <c r="F6977" s="8" t="s">
        <v>39537</v>
      </c>
      <c r="G6977" s="6" t="s">
        <v>118</v>
      </c>
      <c r="H6977" s="6" t="s">
        <v>34</v>
      </c>
      <c r="I6977" s="8" t="s">
        <v>7198</v>
      </c>
      <c r="J6977" s="9">
        <v>1</v>
      </c>
      <c r="K6977" s="9">
        <v>201</v>
      </c>
      <c r="L6977" s="9">
        <v>2027</v>
      </c>
      <c r="M6977" s="8" t="s">
        <v>39538</v>
      </c>
      <c r="N6977" s="8" t="s">
        <v>63</v>
      </c>
      <c r="O6977" s="8" t="s">
        <v>64</v>
      </c>
      <c r="P6977" s="6" t="s">
        <v>51</v>
      </c>
      <c r="Q6977" s="8" t="s">
        <v>52</v>
      </c>
      <c r="R6977" s="10" t="s">
        <v>39539</v>
      </c>
      <c r="S6977" s="11" t="s">
        <v>39540</v>
      </c>
      <c r="T6977" s="6"/>
      <c r="U6977" s="15" t="str">
        <f>HYPERLINK("https://media.infra-m.ru/2270/2270462/cover/2270462.jpg", "Обложка")</f>
        <v>Обложка</v>
      </c>
      <c r="V6977" s="8" t="s">
        <v>1083</v>
      </c>
      <c r="W6977" s="6"/>
      <c r="X6977" s="6"/>
      <c r="Y6977" s="6"/>
      <c r="Z6977" s="6"/>
      <c r="AA6977" s="6" t="s">
        <v>86</v>
      </c>
      <c r="AB6977" s="8"/>
      <c r="AC6977" s="27">
        <v>9785160168654</v>
      </c>
    </row>
    <row r="6978" spans="1:29" s="4" customFormat="1" ht="51.9" customHeight="1" x14ac:dyDescent="0.2">
      <c r="A6978" s="5">
        <v>0</v>
      </c>
      <c r="B6978" s="6" t="s">
        <v>39541</v>
      </c>
      <c r="C6978" s="13">
        <v>928.8</v>
      </c>
      <c r="D6978" s="8" t="s">
        <v>39542</v>
      </c>
      <c r="E6978" s="8" t="s">
        <v>39543</v>
      </c>
      <c r="F6978" s="8" t="s">
        <v>39518</v>
      </c>
      <c r="G6978" s="6" t="s">
        <v>33</v>
      </c>
      <c r="H6978" s="6" t="s">
        <v>313</v>
      </c>
      <c r="I6978" s="8" t="s">
        <v>253</v>
      </c>
      <c r="J6978" s="9">
        <v>1</v>
      </c>
      <c r="K6978" s="9">
        <v>163</v>
      </c>
      <c r="L6978" s="9">
        <v>2024</v>
      </c>
      <c r="M6978" s="8" t="s">
        <v>39544</v>
      </c>
      <c r="N6978" s="8" t="s">
        <v>63</v>
      </c>
      <c r="O6978" s="8" t="s">
        <v>64</v>
      </c>
      <c r="P6978" s="6" t="s">
        <v>51</v>
      </c>
      <c r="Q6978" s="8" t="s">
        <v>52</v>
      </c>
      <c r="R6978" s="10" t="s">
        <v>39520</v>
      </c>
      <c r="S6978" s="11" t="s">
        <v>39521</v>
      </c>
      <c r="T6978" s="6"/>
      <c r="U6978" s="15" t="str">
        <f>HYPERLINK("https://media.infra-m.ru/2147/2147919/cover/2147919.jpg", "Обложка")</f>
        <v>Обложка</v>
      </c>
      <c r="V6978" s="8" t="s">
        <v>16903</v>
      </c>
      <c r="W6978" s="6"/>
      <c r="X6978" s="6"/>
      <c r="Y6978" s="6"/>
      <c r="Z6978" s="6"/>
      <c r="AA6978" s="6" t="s">
        <v>248</v>
      </c>
      <c r="AB6978" s="8"/>
      <c r="AC6978" s="27">
        <v>9785369013205</v>
      </c>
    </row>
    <row r="6979" spans="1:29" s="4" customFormat="1" ht="51.9" customHeight="1" x14ac:dyDescent="0.2">
      <c r="A6979" s="5">
        <v>0</v>
      </c>
      <c r="B6979" s="6" t="s">
        <v>39545</v>
      </c>
      <c r="C6979" s="13">
        <v>984</v>
      </c>
      <c r="D6979" s="8" t="s">
        <v>39546</v>
      </c>
      <c r="E6979" s="8" t="s">
        <v>39547</v>
      </c>
      <c r="F6979" s="8" t="s">
        <v>39548</v>
      </c>
      <c r="G6979" s="6" t="s">
        <v>33</v>
      </c>
      <c r="H6979" s="6" t="s">
        <v>313</v>
      </c>
      <c r="I6979" s="8" t="s">
        <v>253</v>
      </c>
      <c r="J6979" s="9">
        <v>1</v>
      </c>
      <c r="K6979" s="9">
        <v>140</v>
      </c>
      <c r="L6979" s="9">
        <v>2027</v>
      </c>
      <c r="M6979" s="8" t="s">
        <v>39549</v>
      </c>
      <c r="N6979" s="8" t="s">
        <v>63</v>
      </c>
      <c r="O6979" s="8" t="s">
        <v>64</v>
      </c>
      <c r="P6979" s="6" t="s">
        <v>51</v>
      </c>
      <c r="Q6979" s="8" t="s">
        <v>52</v>
      </c>
      <c r="R6979" s="10" t="s">
        <v>39550</v>
      </c>
      <c r="S6979" s="11"/>
      <c r="T6979" s="6"/>
      <c r="U6979" s="15" t="str">
        <f>HYPERLINK("https://media.infra-m.ru/2271/2271303/cover/2271303.jpg", "Обложка")</f>
        <v>Обложка</v>
      </c>
      <c r="V6979" s="8" t="s">
        <v>1425</v>
      </c>
      <c r="W6979" s="6"/>
      <c r="X6979" s="6"/>
      <c r="Y6979" s="6"/>
      <c r="Z6979" s="6"/>
      <c r="AA6979" s="6" t="s">
        <v>115</v>
      </c>
      <c r="AB6979" s="8"/>
      <c r="AC6979" s="27">
        <v>9785369018057</v>
      </c>
    </row>
    <row r="6980" spans="1:29" s="4" customFormat="1" ht="42" customHeight="1" x14ac:dyDescent="0.2">
      <c r="A6980" s="5">
        <v>0</v>
      </c>
      <c r="B6980" s="6" t="s">
        <v>39551</v>
      </c>
      <c r="C6980" s="7">
        <v>2452.8000000000002</v>
      </c>
      <c r="D6980" s="8" t="s">
        <v>39552</v>
      </c>
      <c r="E6980" s="8" t="s">
        <v>39553</v>
      </c>
      <c r="F6980" s="8" t="s">
        <v>13305</v>
      </c>
      <c r="G6980" s="6" t="s">
        <v>60</v>
      </c>
      <c r="H6980" s="6" t="s">
        <v>313</v>
      </c>
      <c r="I6980" s="8" t="s">
        <v>253</v>
      </c>
      <c r="J6980" s="9">
        <v>1</v>
      </c>
      <c r="K6980" s="9">
        <v>352</v>
      </c>
      <c r="L6980" s="9">
        <v>2027</v>
      </c>
      <c r="M6980" s="8" t="s">
        <v>39554</v>
      </c>
      <c r="N6980" s="8" t="s">
        <v>63</v>
      </c>
      <c r="O6980" s="8" t="s">
        <v>64</v>
      </c>
      <c r="P6980" s="6" t="s">
        <v>51</v>
      </c>
      <c r="Q6980" s="8" t="s">
        <v>52</v>
      </c>
      <c r="R6980" s="10" t="s">
        <v>39555</v>
      </c>
      <c r="S6980" s="11"/>
      <c r="T6980" s="6"/>
      <c r="U6980" s="15" t="str">
        <f>HYPERLINK("https://media.infra-m.ru/2271/2271579/cover/2271579.jpg", "Обложка")</f>
        <v>Обложка</v>
      </c>
      <c r="V6980" s="8" t="s">
        <v>1425</v>
      </c>
      <c r="W6980" s="6"/>
      <c r="X6980" s="6"/>
      <c r="Y6980" s="6"/>
      <c r="Z6980" s="6"/>
      <c r="AA6980" s="6" t="s">
        <v>430</v>
      </c>
      <c r="AB6980" s="8"/>
      <c r="AC6980" s="27">
        <v>9785369018590</v>
      </c>
    </row>
    <row r="6981" spans="1:29" s="4" customFormat="1" ht="42" customHeight="1" x14ac:dyDescent="0.2">
      <c r="A6981" s="5">
        <v>0</v>
      </c>
      <c r="B6981" s="6" t="s">
        <v>39556</v>
      </c>
      <c r="C6981" s="7">
        <v>2068.8000000000002</v>
      </c>
      <c r="D6981" s="8" t="s">
        <v>39557</v>
      </c>
      <c r="E6981" s="8" t="s">
        <v>39558</v>
      </c>
      <c r="F6981" s="8" t="s">
        <v>39559</v>
      </c>
      <c r="G6981" s="6" t="s">
        <v>60</v>
      </c>
      <c r="H6981" s="6" t="s">
        <v>34</v>
      </c>
      <c r="I6981" s="8" t="s">
        <v>3092</v>
      </c>
      <c r="J6981" s="9">
        <v>1</v>
      </c>
      <c r="K6981" s="9">
        <v>314</v>
      </c>
      <c r="L6981" s="9">
        <v>2026</v>
      </c>
      <c r="M6981" s="8" t="s">
        <v>39560</v>
      </c>
      <c r="N6981" s="8" t="s">
        <v>37</v>
      </c>
      <c r="O6981" s="8" t="s">
        <v>8119</v>
      </c>
      <c r="P6981" s="6" t="s">
        <v>1837</v>
      </c>
      <c r="Q6981" s="8" t="s">
        <v>40</v>
      </c>
      <c r="R6981" s="10" t="s">
        <v>24707</v>
      </c>
      <c r="S6981" s="11"/>
      <c r="T6981" s="6"/>
      <c r="U6981" s="15" t="str">
        <f>HYPERLINK("https://media.infra-m.ru/2246/2246656/cover/2246656.jpg", "Обложка")</f>
        <v>Обложка</v>
      </c>
      <c r="V6981" s="8" t="s">
        <v>17428</v>
      </c>
      <c r="W6981" s="6"/>
      <c r="X6981" s="6"/>
      <c r="Y6981" s="6"/>
      <c r="Z6981" s="6"/>
      <c r="AA6981" s="6" t="s">
        <v>55</v>
      </c>
      <c r="AB6981" s="8"/>
      <c r="AC6981" s="27">
        <v>9785160056128</v>
      </c>
    </row>
    <row r="6982" spans="1:29" s="4" customFormat="1" ht="42" customHeight="1" x14ac:dyDescent="0.2">
      <c r="A6982" s="5">
        <v>0</v>
      </c>
      <c r="B6982" s="6" t="s">
        <v>39561</v>
      </c>
      <c r="C6982" s="7">
        <v>2876.4</v>
      </c>
      <c r="D6982" s="8" t="s">
        <v>39562</v>
      </c>
      <c r="E6982" s="8" t="s">
        <v>39563</v>
      </c>
      <c r="F6982" s="8" t="s">
        <v>8475</v>
      </c>
      <c r="G6982" s="6" t="s">
        <v>60</v>
      </c>
      <c r="H6982" s="6" t="s">
        <v>5605</v>
      </c>
      <c r="I6982" s="8" t="s">
        <v>3092</v>
      </c>
      <c r="J6982" s="9">
        <v>1</v>
      </c>
      <c r="K6982" s="9">
        <v>629</v>
      </c>
      <c r="L6982" s="9">
        <v>2027</v>
      </c>
      <c r="M6982" s="8" t="s">
        <v>39564</v>
      </c>
      <c r="N6982" s="8" t="s">
        <v>37</v>
      </c>
      <c r="O6982" s="8" t="s">
        <v>8119</v>
      </c>
      <c r="P6982" s="6" t="s">
        <v>1837</v>
      </c>
      <c r="Q6982" s="8" t="s">
        <v>40</v>
      </c>
      <c r="R6982" s="10" t="s">
        <v>39565</v>
      </c>
      <c r="S6982" s="11"/>
      <c r="T6982" s="6"/>
      <c r="U6982" s="15" t="str">
        <f>HYPERLINK("https://media.infra-m.ru/2253/2253943/cover/2253943.jpg", "Обложка")</f>
        <v>Обложка</v>
      </c>
      <c r="V6982" s="8" t="s">
        <v>8479</v>
      </c>
      <c r="W6982" s="6"/>
      <c r="X6982" s="6"/>
      <c r="Y6982" s="6"/>
      <c r="Z6982" s="6"/>
      <c r="AA6982" s="6" t="s">
        <v>561</v>
      </c>
      <c r="AB6982" s="8"/>
      <c r="AC6982" s="27">
        <v>9785160036700</v>
      </c>
    </row>
    <row r="6983" spans="1:29" s="4" customFormat="1" ht="42" customHeight="1" x14ac:dyDescent="0.2">
      <c r="A6983" s="5">
        <v>0</v>
      </c>
      <c r="B6983" s="6" t="s">
        <v>39566</v>
      </c>
      <c r="C6983" s="7">
        <v>2008.8</v>
      </c>
      <c r="D6983" s="8" t="s">
        <v>39567</v>
      </c>
      <c r="E6983" s="8" t="s">
        <v>39568</v>
      </c>
      <c r="F6983" s="8" t="s">
        <v>39569</v>
      </c>
      <c r="G6983" s="6" t="s">
        <v>60</v>
      </c>
      <c r="H6983" s="6" t="s">
        <v>34</v>
      </c>
      <c r="I6983" s="8" t="s">
        <v>304</v>
      </c>
      <c r="J6983" s="9">
        <v>1</v>
      </c>
      <c r="K6983" s="9">
        <v>288</v>
      </c>
      <c r="L6983" s="9">
        <v>2027</v>
      </c>
      <c r="M6983" s="8" t="s">
        <v>39570</v>
      </c>
      <c r="N6983" s="8" t="s">
        <v>37</v>
      </c>
      <c r="O6983" s="8" t="s">
        <v>233</v>
      </c>
      <c r="P6983" s="6" t="s">
        <v>306</v>
      </c>
      <c r="Q6983" s="8" t="s">
        <v>500</v>
      </c>
      <c r="R6983" s="10" t="s">
        <v>39571</v>
      </c>
      <c r="S6983" s="11"/>
      <c r="T6983" s="6"/>
      <c r="U6983" s="15" t="str">
        <f>HYPERLINK("https://media.infra-m.ru/2272/2272213/cover/2272213.jpg", "Обложка")</f>
        <v>Обложка</v>
      </c>
      <c r="V6983" s="8" t="s">
        <v>247</v>
      </c>
      <c r="W6983" s="6"/>
      <c r="X6983" s="6"/>
      <c r="Y6983" s="6"/>
      <c r="Z6983" s="6"/>
      <c r="AA6983" s="6" t="s">
        <v>76</v>
      </c>
      <c r="AB6983" s="8"/>
      <c r="AC6983" s="27">
        <v>9785160194844</v>
      </c>
    </row>
    <row r="6984" spans="1:29" s="4" customFormat="1" ht="51.9" customHeight="1" x14ac:dyDescent="0.2">
      <c r="A6984" s="5">
        <v>0</v>
      </c>
      <c r="B6984" s="6" t="s">
        <v>39572</v>
      </c>
      <c r="C6984" s="7">
        <v>1684.8</v>
      </c>
      <c r="D6984" s="8" t="s">
        <v>39573</v>
      </c>
      <c r="E6984" s="8" t="s">
        <v>39568</v>
      </c>
      <c r="F6984" s="8" t="s">
        <v>13556</v>
      </c>
      <c r="G6984" s="6" t="s">
        <v>60</v>
      </c>
      <c r="H6984" s="6" t="s">
        <v>34</v>
      </c>
      <c r="I6984" s="8" t="s">
        <v>504</v>
      </c>
      <c r="J6984" s="9">
        <v>1</v>
      </c>
      <c r="K6984" s="9">
        <v>256</v>
      </c>
      <c r="L6984" s="9">
        <v>2026</v>
      </c>
      <c r="M6984" s="8" t="s">
        <v>39574</v>
      </c>
      <c r="N6984" s="8" t="s">
        <v>37</v>
      </c>
      <c r="O6984" s="8" t="s">
        <v>280</v>
      </c>
      <c r="P6984" s="6" t="s">
        <v>306</v>
      </c>
      <c r="Q6984" s="8" t="s">
        <v>500</v>
      </c>
      <c r="R6984" s="10" t="s">
        <v>2061</v>
      </c>
      <c r="S6984" s="11" t="s">
        <v>39575</v>
      </c>
      <c r="T6984" s="6"/>
      <c r="U6984" s="15" t="str">
        <f>HYPERLINK("https://media.infra-m.ru/2218/2218025/cover/2218025.jpg", "Обложка")</f>
        <v>Обложка</v>
      </c>
      <c r="V6984" s="8" t="s">
        <v>5964</v>
      </c>
      <c r="W6984" s="6"/>
      <c r="X6984" s="6"/>
      <c r="Y6984" s="6"/>
      <c r="Z6984" s="6"/>
      <c r="AA6984" s="6" t="s">
        <v>55</v>
      </c>
      <c r="AB6984" s="8"/>
      <c r="AC6984" s="27">
        <v>9785160056555</v>
      </c>
    </row>
    <row r="6985" spans="1:29" s="4" customFormat="1" ht="51.9" customHeight="1" x14ac:dyDescent="0.2">
      <c r="A6985" s="5">
        <v>0</v>
      </c>
      <c r="B6985" s="6" t="s">
        <v>39576</v>
      </c>
      <c r="C6985" s="7">
        <v>3384</v>
      </c>
      <c r="D6985" s="8" t="s">
        <v>39577</v>
      </c>
      <c r="E6985" s="8" t="s">
        <v>39578</v>
      </c>
      <c r="F6985" s="8" t="s">
        <v>39579</v>
      </c>
      <c r="G6985" s="6" t="s">
        <v>60</v>
      </c>
      <c r="H6985" s="6" t="s">
        <v>34</v>
      </c>
      <c r="I6985" s="8" t="s">
        <v>3092</v>
      </c>
      <c r="J6985" s="9">
        <v>1</v>
      </c>
      <c r="K6985" s="9">
        <v>512</v>
      </c>
      <c r="L6985" s="9">
        <v>2026</v>
      </c>
      <c r="M6985" s="8" t="s">
        <v>39580</v>
      </c>
      <c r="N6985" s="8" t="s">
        <v>37</v>
      </c>
      <c r="O6985" s="8" t="s">
        <v>233</v>
      </c>
      <c r="P6985" s="6" t="s">
        <v>4401</v>
      </c>
      <c r="Q6985" s="8" t="s">
        <v>65</v>
      </c>
      <c r="R6985" s="10" t="s">
        <v>39581</v>
      </c>
      <c r="S6985" s="11"/>
      <c r="T6985" s="6"/>
      <c r="U6985" s="15" t="str">
        <f>HYPERLINK("https://media.infra-m.ru/2253/2253762/cover/2253762.jpg", "Обложка")</f>
        <v>Обложка</v>
      </c>
      <c r="V6985" s="8" t="s">
        <v>8479</v>
      </c>
      <c r="W6985" s="6"/>
      <c r="X6985" s="6"/>
      <c r="Y6985" s="6"/>
      <c r="Z6985" s="6"/>
      <c r="AA6985" s="6" t="s">
        <v>39582</v>
      </c>
      <c r="AB6985" s="8"/>
      <c r="AC6985" s="27">
        <v>9785160099668</v>
      </c>
    </row>
    <row r="6986" spans="1:29" s="4" customFormat="1" ht="42" customHeight="1" x14ac:dyDescent="0.2">
      <c r="A6986" s="5">
        <v>0</v>
      </c>
      <c r="B6986" s="6" t="s">
        <v>39583</v>
      </c>
      <c r="C6986" s="7">
        <v>1420.8</v>
      </c>
      <c r="D6986" s="8" t="s">
        <v>39584</v>
      </c>
      <c r="E6986" s="8" t="s">
        <v>39585</v>
      </c>
      <c r="F6986" s="8" t="s">
        <v>39586</v>
      </c>
      <c r="G6986" s="6" t="s">
        <v>60</v>
      </c>
      <c r="H6986" s="6" t="s">
        <v>34</v>
      </c>
      <c r="I6986" s="8" t="s">
        <v>35</v>
      </c>
      <c r="J6986" s="9">
        <v>1</v>
      </c>
      <c r="K6986" s="9">
        <v>252</v>
      </c>
      <c r="L6986" s="9">
        <v>2024</v>
      </c>
      <c r="M6986" s="8" t="s">
        <v>39587</v>
      </c>
      <c r="N6986" s="8" t="s">
        <v>243</v>
      </c>
      <c r="O6986" s="8" t="s">
        <v>758</v>
      </c>
      <c r="P6986" s="6" t="s">
        <v>39</v>
      </c>
      <c r="Q6986" s="8" t="s">
        <v>40</v>
      </c>
      <c r="R6986" s="10" t="s">
        <v>39588</v>
      </c>
      <c r="S6986" s="11"/>
      <c r="T6986" s="6"/>
      <c r="U6986" s="15" t="str">
        <f>HYPERLINK("https://media.infra-m.ru/2136/2136576/cover/2136576.jpg", "Обложка")</f>
        <v>Обложка</v>
      </c>
      <c r="V6986" s="8" t="s">
        <v>3794</v>
      </c>
      <c r="W6986" s="6"/>
      <c r="X6986" s="6"/>
      <c r="Y6986" s="6"/>
      <c r="Z6986" s="6"/>
      <c r="AA6986" s="6" t="s">
        <v>1256</v>
      </c>
      <c r="AB6986" s="8"/>
      <c r="AC6986" s="27">
        <v>9785160147123</v>
      </c>
    </row>
    <row r="6987" spans="1:29" s="4" customFormat="1" ht="44.1" customHeight="1" x14ac:dyDescent="0.2">
      <c r="A6987" s="5">
        <v>0</v>
      </c>
      <c r="B6987" s="6" t="s">
        <v>39589</v>
      </c>
      <c r="C6987" s="7">
        <v>1188</v>
      </c>
      <c r="D6987" s="8" t="s">
        <v>39590</v>
      </c>
      <c r="E6987" s="8" t="s">
        <v>39591</v>
      </c>
      <c r="F6987" s="8" t="s">
        <v>39592</v>
      </c>
      <c r="G6987" s="6" t="s">
        <v>33</v>
      </c>
      <c r="H6987" s="6" t="s">
        <v>34</v>
      </c>
      <c r="I6987" s="8" t="s">
        <v>457</v>
      </c>
      <c r="J6987" s="9">
        <v>1</v>
      </c>
      <c r="K6987" s="9">
        <v>177</v>
      </c>
      <c r="L6987" s="9">
        <v>2025</v>
      </c>
      <c r="M6987" s="8" t="s">
        <v>39593</v>
      </c>
      <c r="N6987" s="8" t="s">
        <v>37</v>
      </c>
      <c r="O6987" s="8" t="s">
        <v>136</v>
      </c>
      <c r="P6987" s="6" t="s">
        <v>39</v>
      </c>
      <c r="Q6987" s="8" t="s">
        <v>40</v>
      </c>
      <c r="R6987" s="10" t="s">
        <v>39594</v>
      </c>
      <c r="S6987" s="11"/>
      <c r="T6987" s="6"/>
      <c r="U6987" s="15" t="str">
        <f>HYPERLINK("https://media.infra-m.ru/2163/2163328/cover/2163328.jpg", "Обложка")</f>
        <v>Обложка</v>
      </c>
      <c r="V6987" s="8" t="s">
        <v>247</v>
      </c>
      <c r="W6987" s="6"/>
      <c r="X6987" s="6"/>
      <c r="Y6987" s="6"/>
      <c r="Z6987" s="6"/>
      <c r="AA6987" s="6" t="s">
        <v>68</v>
      </c>
      <c r="AB6987" s="8"/>
      <c r="AC6987" s="27">
        <v>9785160202242</v>
      </c>
    </row>
    <row r="6988" spans="1:29" s="4" customFormat="1" ht="42" customHeight="1" x14ac:dyDescent="0.2">
      <c r="A6988" s="5">
        <v>0</v>
      </c>
      <c r="B6988" s="6" t="s">
        <v>39595</v>
      </c>
      <c r="C6988" s="7">
        <v>1392</v>
      </c>
      <c r="D6988" s="8" t="s">
        <v>39596</v>
      </c>
      <c r="E6988" s="8" t="s">
        <v>39597</v>
      </c>
      <c r="F6988" s="8" t="s">
        <v>10183</v>
      </c>
      <c r="G6988" s="6" t="s">
        <v>118</v>
      </c>
      <c r="H6988" s="6" t="s">
        <v>34</v>
      </c>
      <c r="I6988" s="8" t="s">
        <v>263</v>
      </c>
      <c r="J6988" s="9">
        <v>1</v>
      </c>
      <c r="K6988" s="9">
        <v>201</v>
      </c>
      <c r="L6988" s="9">
        <v>2026</v>
      </c>
      <c r="M6988" s="8" t="s">
        <v>39598</v>
      </c>
      <c r="N6988" s="8" t="s">
        <v>63</v>
      </c>
      <c r="O6988" s="8" t="s">
        <v>181</v>
      </c>
      <c r="P6988" s="6" t="s">
        <v>51</v>
      </c>
      <c r="Q6988" s="8" t="s">
        <v>265</v>
      </c>
      <c r="R6988" s="10" t="s">
        <v>29629</v>
      </c>
      <c r="S6988" s="11"/>
      <c r="T6988" s="6" t="s">
        <v>97</v>
      </c>
      <c r="U6988" s="15" t="str">
        <f>HYPERLINK("https://media.infra-m.ru/2219/2219025/cover/2219025.jpg", "Обложка")</f>
        <v>Обложка</v>
      </c>
      <c r="V6988" s="8" t="s">
        <v>28461</v>
      </c>
      <c r="W6988" s="6"/>
      <c r="X6988" s="6"/>
      <c r="Y6988" s="6"/>
      <c r="Z6988" s="6"/>
      <c r="AA6988" s="6" t="s">
        <v>68</v>
      </c>
      <c r="AB6988" s="8" t="s">
        <v>437</v>
      </c>
      <c r="AC6988" s="27">
        <v>9785160196749</v>
      </c>
    </row>
    <row r="6989" spans="1:29" s="4" customFormat="1" ht="51.9" customHeight="1" x14ac:dyDescent="0.2">
      <c r="A6989" s="5">
        <v>0</v>
      </c>
      <c r="B6989" s="6" t="s">
        <v>39599</v>
      </c>
      <c r="C6989" s="7">
        <v>1444.8</v>
      </c>
      <c r="D6989" s="8" t="s">
        <v>39600</v>
      </c>
      <c r="E6989" s="8" t="s">
        <v>39601</v>
      </c>
      <c r="F6989" s="8" t="s">
        <v>13835</v>
      </c>
      <c r="G6989" s="6" t="s">
        <v>33</v>
      </c>
      <c r="H6989" s="6" t="s">
        <v>134</v>
      </c>
      <c r="I6989" s="8"/>
      <c r="J6989" s="9">
        <v>1</v>
      </c>
      <c r="K6989" s="9">
        <v>240</v>
      </c>
      <c r="L6989" s="9">
        <v>2025</v>
      </c>
      <c r="M6989" s="8" t="s">
        <v>39602</v>
      </c>
      <c r="N6989" s="8" t="s">
        <v>63</v>
      </c>
      <c r="O6989" s="8" t="s">
        <v>126</v>
      </c>
      <c r="P6989" s="6" t="s">
        <v>39</v>
      </c>
      <c r="Q6989" s="8" t="s">
        <v>40</v>
      </c>
      <c r="R6989" s="10" t="s">
        <v>39603</v>
      </c>
      <c r="S6989" s="11"/>
      <c r="T6989" s="6"/>
      <c r="U6989" s="15" t="str">
        <f>HYPERLINK("https://media.infra-m.ru/2174/2174446/cover/2174446.jpg", "Обложка")</f>
        <v>Обложка</v>
      </c>
      <c r="V6989" s="8" t="s">
        <v>1069</v>
      </c>
      <c r="W6989" s="6"/>
      <c r="X6989" s="6"/>
      <c r="Y6989" s="6"/>
      <c r="Z6989" s="6"/>
      <c r="AA6989" s="6" t="s">
        <v>623</v>
      </c>
      <c r="AB6989" s="8"/>
      <c r="AC6989" s="27">
        <v>9785917683058</v>
      </c>
    </row>
    <row r="6990" spans="1:29" s="4" customFormat="1" ht="51.9" customHeight="1" x14ac:dyDescent="0.2">
      <c r="A6990" s="5">
        <v>0</v>
      </c>
      <c r="B6990" s="6" t="s">
        <v>39604</v>
      </c>
      <c r="C6990" s="7">
        <v>1552.8</v>
      </c>
      <c r="D6990" s="8" t="s">
        <v>39605</v>
      </c>
      <c r="E6990" s="8" t="s">
        <v>39606</v>
      </c>
      <c r="F6990" s="8" t="s">
        <v>13835</v>
      </c>
      <c r="G6990" s="6" t="s">
        <v>33</v>
      </c>
      <c r="H6990" s="6" t="s">
        <v>134</v>
      </c>
      <c r="I6990" s="8"/>
      <c r="J6990" s="9">
        <v>1</v>
      </c>
      <c r="K6990" s="9">
        <v>240</v>
      </c>
      <c r="L6990" s="9">
        <v>2026</v>
      </c>
      <c r="M6990" s="8" t="s">
        <v>39602</v>
      </c>
      <c r="N6990" s="8" t="s">
        <v>63</v>
      </c>
      <c r="O6990" s="8" t="s">
        <v>126</v>
      </c>
      <c r="P6990" s="6" t="s">
        <v>39</v>
      </c>
      <c r="Q6990" s="8" t="s">
        <v>500</v>
      </c>
      <c r="R6990" s="10" t="s">
        <v>39603</v>
      </c>
      <c r="S6990" s="11"/>
      <c r="T6990" s="6"/>
      <c r="U6990" s="15" t="str">
        <f>HYPERLINK("https://media.infra-m.ru/2237/2237632/cover/2237632.jpg", "Обложка")</f>
        <v>Обложка</v>
      </c>
      <c r="V6990" s="8" t="s">
        <v>1069</v>
      </c>
      <c r="W6990" s="6"/>
      <c r="X6990" s="6"/>
      <c r="Y6990" s="6"/>
      <c r="Z6990" s="6"/>
      <c r="AA6990" s="6" t="s">
        <v>39607</v>
      </c>
      <c r="AB6990" s="8"/>
      <c r="AC6990" s="27">
        <v>9785917683058</v>
      </c>
    </row>
    <row r="6991" spans="1:29" s="4" customFormat="1" ht="42" customHeight="1" x14ac:dyDescent="0.2">
      <c r="A6991" s="5">
        <v>0</v>
      </c>
      <c r="B6991" s="6" t="s">
        <v>39608</v>
      </c>
      <c r="C6991" s="7">
        <v>2098.8000000000002</v>
      </c>
      <c r="D6991" s="8" t="s">
        <v>39609</v>
      </c>
      <c r="E6991" s="8" t="s">
        <v>39610</v>
      </c>
      <c r="F6991" s="8"/>
      <c r="G6991" s="6" t="s">
        <v>33</v>
      </c>
      <c r="H6991" s="6" t="s">
        <v>39611</v>
      </c>
      <c r="I6991" s="8"/>
      <c r="J6991" s="9">
        <v>1</v>
      </c>
      <c r="K6991" s="9">
        <v>123</v>
      </c>
      <c r="L6991" s="9">
        <v>2020</v>
      </c>
      <c r="M6991" s="8"/>
      <c r="N6991" s="8" t="s">
        <v>585</v>
      </c>
      <c r="O6991" s="8" t="s">
        <v>667</v>
      </c>
      <c r="P6991" s="6" t="s">
        <v>314</v>
      </c>
      <c r="Q6991" s="8" t="s">
        <v>40</v>
      </c>
      <c r="R6991" s="10"/>
      <c r="S6991" s="11"/>
      <c r="T6991" s="6"/>
      <c r="U6991" s="15" t="str">
        <f>HYPERLINK("https://media.infra-m.ru/1074/1074457/cover/1074457.jpg", "Обложка")</f>
        <v>Обложка</v>
      </c>
      <c r="V6991" s="8"/>
      <c r="W6991" s="6"/>
      <c r="X6991" s="6"/>
      <c r="Y6991" s="6"/>
      <c r="Z6991" s="6"/>
      <c r="AA6991" s="6"/>
      <c r="AB6991" s="8"/>
      <c r="AC6991" s="27"/>
    </row>
    <row r="6992" spans="1:29" s="4" customFormat="1" ht="51.9" customHeight="1" x14ac:dyDescent="0.2">
      <c r="A6992" s="5">
        <v>0</v>
      </c>
      <c r="B6992" s="6" t="s">
        <v>39612</v>
      </c>
      <c r="C6992" s="13">
        <v>984</v>
      </c>
      <c r="D6992" s="8" t="s">
        <v>39613</v>
      </c>
      <c r="E6992" s="8" t="s">
        <v>39614</v>
      </c>
      <c r="F6992" s="8" t="s">
        <v>39615</v>
      </c>
      <c r="G6992" s="6" t="s">
        <v>118</v>
      </c>
      <c r="H6992" s="6" t="s">
        <v>34</v>
      </c>
      <c r="I6992" s="8" t="s">
        <v>263</v>
      </c>
      <c r="J6992" s="9">
        <v>1</v>
      </c>
      <c r="K6992" s="9">
        <v>164</v>
      </c>
      <c r="L6992" s="9">
        <v>2025</v>
      </c>
      <c r="M6992" s="8" t="s">
        <v>39616</v>
      </c>
      <c r="N6992" s="8" t="s">
        <v>63</v>
      </c>
      <c r="O6992" s="8" t="s">
        <v>23071</v>
      </c>
      <c r="P6992" s="6" t="s">
        <v>51</v>
      </c>
      <c r="Q6992" s="8" t="s">
        <v>265</v>
      </c>
      <c r="R6992" s="10" t="s">
        <v>39617</v>
      </c>
      <c r="S6992" s="11"/>
      <c r="T6992" s="6"/>
      <c r="U6992" s="15" t="str">
        <f>HYPERLINK("https://media.infra-m.ru/2169/2169124/cover/2169124.jpg", "Обложка")</f>
        <v>Обложка</v>
      </c>
      <c r="V6992" s="8" t="s">
        <v>39618</v>
      </c>
      <c r="W6992" s="6"/>
      <c r="X6992" s="6"/>
      <c r="Y6992" s="6"/>
      <c r="Z6992" s="6" t="s">
        <v>882</v>
      </c>
      <c r="AA6992" s="6" t="s">
        <v>68</v>
      </c>
      <c r="AB6992" s="8"/>
      <c r="AC6992" s="27">
        <v>9785160203027</v>
      </c>
    </row>
    <row r="6993" spans="1:29" s="4" customFormat="1" ht="51.9" customHeight="1" x14ac:dyDescent="0.2">
      <c r="A6993" s="5">
        <v>0</v>
      </c>
      <c r="B6993" s="6" t="s">
        <v>39619</v>
      </c>
      <c r="C6993" s="7">
        <v>1140</v>
      </c>
      <c r="D6993" s="8" t="s">
        <v>39620</v>
      </c>
      <c r="E6993" s="8" t="s">
        <v>39614</v>
      </c>
      <c r="F6993" s="8" t="s">
        <v>39615</v>
      </c>
      <c r="G6993" s="6" t="s">
        <v>118</v>
      </c>
      <c r="H6993" s="6" t="s">
        <v>34</v>
      </c>
      <c r="I6993" s="8" t="s">
        <v>253</v>
      </c>
      <c r="J6993" s="9">
        <v>1</v>
      </c>
      <c r="K6993" s="9">
        <v>164</v>
      </c>
      <c r="L6993" s="9">
        <v>2027</v>
      </c>
      <c r="M6993" s="8" t="s">
        <v>39621</v>
      </c>
      <c r="N6993" s="8" t="s">
        <v>63</v>
      </c>
      <c r="O6993" s="8" t="s">
        <v>23071</v>
      </c>
      <c r="P6993" s="6" t="s">
        <v>51</v>
      </c>
      <c r="Q6993" s="8" t="s">
        <v>65</v>
      </c>
      <c r="R6993" s="10" t="s">
        <v>39622</v>
      </c>
      <c r="S6993" s="11" t="s">
        <v>39623</v>
      </c>
      <c r="T6993" s="6"/>
      <c r="U6993" s="15" t="str">
        <f>HYPERLINK("https://media.infra-m.ru/2266/2266138/cover/2266138.jpg", "Обложка")</f>
        <v>Обложка</v>
      </c>
      <c r="V6993" s="8" t="s">
        <v>39618</v>
      </c>
      <c r="W6993" s="6"/>
      <c r="X6993" s="6"/>
      <c r="Y6993" s="6"/>
      <c r="Z6993" s="6"/>
      <c r="AA6993" s="6" t="s">
        <v>157</v>
      </c>
      <c r="AB6993" s="8"/>
      <c r="AC6993" s="27">
        <v>9785160183091</v>
      </c>
    </row>
    <row r="6994" spans="1:29" s="4" customFormat="1" ht="51.9" customHeight="1" x14ac:dyDescent="0.2">
      <c r="A6994" s="5">
        <v>0</v>
      </c>
      <c r="B6994" s="6" t="s">
        <v>39624</v>
      </c>
      <c r="C6994" s="7">
        <v>1116</v>
      </c>
      <c r="D6994" s="8" t="s">
        <v>39625</v>
      </c>
      <c r="E6994" s="8" t="s">
        <v>39626</v>
      </c>
      <c r="F6994" s="8" t="s">
        <v>39627</v>
      </c>
      <c r="G6994" s="6" t="s">
        <v>118</v>
      </c>
      <c r="H6994" s="6" t="s">
        <v>34</v>
      </c>
      <c r="I6994" s="8" t="s">
        <v>253</v>
      </c>
      <c r="J6994" s="9">
        <v>1</v>
      </c>
      <c r="K6994" s="9">
        <v>202</v>
      </c>
      <c r="L6994" s="9">
        <v>2023</v>
      </c>
      <c r="M6994" s="8" t="s">
        <v>39628</v>
      </c>
      <c r="N6994" s="8" t="s">
        <v>243</v>
      </c>
      <c r="O6994" s="8" t="s">
        <v>1100</v>
      </c>
      <c r="P6994" s="6" t="s">
        <v>306</v>
      </c>
      <c r="Q6994" s="8" t="s">
        <v>52</v>
      </c>
      <c r="R6994" s="10" t="s">
        <v>1858</v>
      </c>
      <c r="S6994" s="11" t="s">
        <v>39629</v>
      </c>
      <c r="T6994" s="6" t="s">
        <v>97</v>
      </c>
      <c r="U6994" s="15" t="str">
        <f>HYPERLINK("https://media.infra-m.ru/2125/2125314/cover/2125314.jpg", "Обложка")</f>
        <v>Обложка</v>
      </c>
      <c r="V6994" s="8" t="s">
        <v>4976</v>
      </c>
      <c r="W6994" s="6"/>
      <c r="X6994" s="6"/>
      <c r="Y6994" s="6"/>
      <c r="Z6994" s="6"/>
      <c r="AA6994" s="6" t="s">
        <v>99</v>
      </c>
      <c r="AB6994" s="8"/>
      <c r="AC6994" s="27">
        <v>9785160193526</v>
      </c>
    </row>
    <row r="6995" spans="1:29" s="4" customFormat="1" ht="51.9" customHeight="1" x14ac:dyDescent="0.2">
      <c r="A6995" s="5">
        <v>0</v>
      </c>
      <c r="B6995" s="6" t="s">
        <v>39630</v>
      </c>
      <c r="C6995" s="7">
        <v>3518.4</v>
      </c>
      <c r="D6995" s="8" t="s">
        <v>39631</v>
      </c>
      <c r="E6995" s="8" t="s">
        <v>39632</v>
      </c>
      <c r="F6995" s="8" t="s">
        <v>39633</v>
      </c>
      <c r="G6995" s="6" t="s">
        <v>118</v>
      </c>
      <c r="H6995" s="6" t="s">
        <v>34</v>
      </c>
      <c r="I6995" s="8"/>
      <c r="J6995" s="9">
        <v>1</v>
      </c>
      <c r="K6995" s="9">
        <v>389</v>
      </c>
      <c r="L6995" s="9">
        <v>2026</v>
      </c>
      <c r="M6995" s="8" t="s">
        <v>39634</v>
      </c>
      <c r="N6995" s="8" t="s">
        <v>243</v>
      </c>
      <c r="O6995" s="8" t="s">
        <v>329</v>
      </c>
      <c r="P6995" s="6" t="s">
        <v>51</v>
      </c>
      <c r="Q6995" s="8" t="s">
        <v>52</v>
      </c>
      <c r="R6995" s="10" t="s">
        <v>39635</v>
      </c>
      <c r="S6995" s="11" t="s">
        <v>39636</v>
      </c>
      <c r="T6995" s="6"/>
      <c r="U6995" s="15" t="str">
        <f>HYPERLINK("https://media.infra-m.ru/2206/2206255/cover/2206255.jpg", "Обложка")</f>
        <v>Обложка</v>
      </c>
      <c r="V6995" s="8" t="s">
        <v>809</v>
      </c>
      <c r="W6995" s="6"/>
      <c r="X6995" s="6"/>
      <c r="Y6995" s="6"/>
      <c r="Z6995" s="6"/>
      <c r="AA6995" s="6" t="s">
        <v>129</v>
      </c>
      <c r="AB6995" s="8"/>
      <c r="AC6995" s="27">
        <v>9785160048406</v>
      </c>
    </row>
    <row r="6996" spans="1:29" s="4" customFormat="1" ht="51.9" customHeight="1" x14ac:dyDescent="0.2">
      <c r="A6996" s="5">
        <v>0</v>
      </c>
      <c r="B6996" s="6" t="s">
        <v>39637</v>
      </c>
      <c r="C6996" s="7">
        <v>2632.8</v>
      </c>
      <c r="D6996" s="8" t="s">
        <v>39638</v>
      </c>
      <c r="E6996" s="8" t="s">
        <v>39639</v>
      </c>
      <c r="F6996" s="8" t="s">
        <v>39640</v>
      </c>
      <c r="G6996" s="6" t="s">
        <v>60</v>
      </c>
      <c r="H6996" s="6" t="s">
        <v>34</v>
      </c>
      <c r="I6996" s="8" t="s">
        <v>253</v>
      </c>
      <c r="J6996" s="9">
        <v>1</v>
      </c>
      <c r="K6996" s="9">
        <v>428</v>
      </c>
      <c r="L6996" s="9">
        <v>2027</v>
      </c>
      <c r="M6996" s="8" t="s">
        <v>39641</v>
      </c>
      <c r="N6996" s="8" t="s">
        <v>243</v>
      </c>
      <c r="O6996" s="8" t="s">
        <v>329</v>
      </c>
      <c r="P6996" s="6" t="s">
        <v>51</v>
      </c>
      <c r="Q6996" s="8" t="s">
        <v>65</v>
      </c>
      <c r="R6996" s="10" t="s">
        <v>39642</v>
      </c>
      <c r="S6996" s="11" t="s">
        <v>39643</v>
      </c>
      <c r="T6996" s="6"/>
      <c r="U6996" s="15" t="str">
        <f>HYPERLINK("https://media.infra-m.ru/2257/2257176/cover/2257176.jpg", "Обложка")</f>
        <v>Обложка</v>
      </c>
      <c r="V6996" s="8" t="s">
        <v>809</v>
      </c>
      <c r="W6996" s="6"/>
      <c r="X6996" s="6"/>
      <c r="Y6996" s="6"/>
      <c r="Z6996" s="6"/>
      <c r="AA6996" s="6" t="s">
        <v>106</v>
      </c>
      <c r="AB6996" s="8"/>
      <c r="AC6996" s="27">
        <v>9785160183879</v>
      </c>
    </row>
    <row r="6997" spans="1:29" s="4" customFormat="1" ht="51.9" customHeight="1" x14ac:dyDescent="0.2">
      <c r="A6997" s="5">
        <v>0</v>
      </c>
      <c r="B6997" s="6" t="s">
        <v>39644</v>
      </c>
      <c r="C6997" s="13">
        <v>772.8</v>
      </c>
      <c r="D6997" s="8" t="s">
        <v>39645</v>
      </c>
      <c r="E6997" s="8" t="s">
        <v>39646</v>
      </c>
      <c r="F6997" s="8" t="s">
        <v>39647</v>
      </c>
      <c r="G6997" s="6" t="s">
        <v>33</v>
      </c>
      <c r="H6997" s="6" t="s">
        <v>34</v>
      </c>
      <c r="I6997" s="8" t="s">
        <v>7198</v>
      </c>
      <c r="J6997" s="9">
        <v>1</v>
      </c>
      <c r="K6997" s="9">
        <v>140</v>
      </c>
      <c r="L6997" s="9">
        <v>2023</v>
      </c>
      <c r="M6997" s="8" t="s">
        <v>39648</v>
      </c>
      <c r="N6997" s="8" t="s">
        <v>243</v>
      </c>
      <c r="O6997" s="8" t="s">
        <v>329</v>
      </c>
      <c r="P6997" s="6" t="s">
        <v>51</v>
      </c>
      <c r="Q6997" s="8" t="s">
        <v>52</v>
      </c>
      <c r="R6997" s="10" t="s">
        <v>39649</v>
      </c>
      <c r="S6997" s="11" t="s">
        <v>39650</v>
      </c>
      <c r="T6997" s="6"/>
      <c r="U6997" s="15" t="str">
        <f>HYPERLINK("https://media.infra-m.ru/2006/2006822/cover/2006822.jpg", "Обложка")</f>
        <v>Обложка</v>
      </c>
      <c r="V6997" s="8" t="s">
        <v>1083</v>
      </c>
      <c r="W6997" s="6"/>
      <c r="X6997" s="6"/>
      <c r="Y6997" s="6"/>
      <c r="Z6997" s="6"/>
      <c r="AA6997" s="6" t="s">
        <v>99</v>
      </c>
      <c r="AB6997" s="8"/>
      <c r="AC6997" s="27">
        <v>9785160129617</v>
      </c>
    </row>
    <row r="6998" spans="1:29" s="4" customFormat="1" ht="51.9" customHeight="1" x14ac:dyDescent="0.2">
      <c r="A6998" s="5">
        <v>0</v>
      </c>
      <c r="B6998" s="6" t="s">
        <v>39651</v>
      </c>
      <c r="C6998" s="7">
        <v>2772</v>
      </c>
      <c r="D6998" s="8" t="s">
        <v>39652</v>
      </c>
      <c r="E6998" s="8" t="s">
        <v>39653</v>
      </c>
      <c r="F6998" s="8" t="s">
        <v>39654</v>
      </c>
      <c r="G6998" s="6" t="s">
        <v>60</v>
      </c>
      <c r="H6998" s="6" t="s">
        <v>34</v>
      </c>
      <c r="I6998" s="8" t="s">
        <v>253</v>
      </c>
      <c r="J6998" s="9">
        <v>1</v>
      </c>
      <c r="K6998" s="9">
        <v>420</v>
      </c>
      <c r="L6998" s="9">
        <v>2026</v>
      </c>
      <c r="M6998" s="8" t="s">
        <v>39655</v>
      </c>
      <c r="N6998" s="8" t="s">
        <v>243</v>
      </c>
      <c r="O6998" s="8" t="s">
        <v>329</v>
      </c>
      <c r="P6998" s="6" t="s">
        <v>306</v>
      </c>
      <c r="Q6998" s="8" t="s">
        <v>377</v>
      </c>
      <c r="R6998" s="10" t="s">
        <v>39656</v>
      </c>
      <c r="S6998" s="11" t="s">
        <v>39657</v>
      </c>
      <c r="T6998" s="6"/>
      <c r="U6998" s="15" t="str">
        <f>HYPERLINK("https://media.infra-m.ru/2241/2241346/cover/2241346.jpg", "Обложка")</f>
        <v>Обложка</v>
      </c>
      <c r="V6998" s="8"/>
      <c r="W6998" s="6"/>
      <c r="X6998" s="6"/>
      <c r="Y6998" s="6"/>
      <c r="Z6998" s="6"/>
      <c r="AA6998" s="6" t="s">
        <v>148</v>
      </c>
      <c r="AB6998" s="8"/>
      <c r="AC6998" s="27">
        <v>9785160218885</v>
      </c>
    </row>
    <row r="6999" spans="1:29" s="4" customFormat="1" ht="51.9" customHeight="1" x14ac:dyDescent="0.2">
      <c r="A6999" s="5">
        <v>0</v>
      </c>
      <c r="B6999" s="6" t="s">
        <v>39658</v>
      </c>
      <c r="C6999" s="7">
        <v>2196</v>
      </c>
      <c r="D6999" s="8" t="s">
        <v>39659</v>
      </c>
      <c r="E6999" s="8" t="s">
        <v>39660</v>
      </c>
      <c r="F6999" s="8" t="s">
        <v>39640</v>
      </c>
      <c r="G6999" s="6" t="s">
        <v>118</v>
      </c>
      <c r="H6999" s="6" t="s">
        <v>34</v>
      </c>
      <c r="I6999" s="8" t="s">
        <v>271</v>
      </c>
      <c r="J6999" s="9">
        <v>1</v>
      </c>
      <c r="K6999" s="9">
        <v>407</v>
      </c>
      <c r="L6999" s="9">
        <v>2023</v>
      </c>
      <c r="M6999" s="8" t="s">
        <v>39661</v>
      </c>
      <c r="N6999" s="8" t="s">
        <v>243</v>
      </c>
      <c r="O6999" s="8" t="s">
        <v>329</v>
      </c>
      <c r="P6999" s="6" t="s">
        <v>51</v>
      </c>
      <c r="Q6999" s="8" t="s">
        <v>52</v>
      </c>
      <c r="R6999" s="10" t="s">
        <v>39642</v>
      </c>
      <c r="S6999" s="11" t="s">
        <v>39662</v>
      </c>
      <c r="T6999" s="6"/>
      <c r="U6999" s="15" t="str">
        <f>HYPERLINK("https://media.infra-m.ru/1914/1914090/cover/1914090.jpg", "Обложка")</f>
        <v>Обложка</v>
      </c>
      <c r="V6999" s="8" t="s">
        <v>809</v>
      </c>
      <c r="W6999" s="6"/>
      <c r="X6999" s="6"/>
      <c r="Y6999" s="6"/>
      <c r="Z6999" s="6"/>
      <c r="AA6999" s="6" t="s">
        <v>1015</v>
      </c>
      <c r="AB6999" s="8"/>
      <c r="AC6999" s="27">
        <v>9785160038711</v>
      </c>
    </row>
    <row r="7000" spans="1:29" s="4" customFormat="1" ht="51.9" customHeight="1" x14ac:dyDescent="0.2">
      <c r="A7000" s="5">
        <v>0</v>
      </c>
      <c r="B7000" s="6" t="s">
        <v>39663</v>
      </c>
      <c r="C7000" s="7">
        <v>2748</v>
      </c>
      <c r="D7000" s="8" t="s">
        <v>39664</v>
      </c>
      <c r="E7000" s="8" t="s">
        <v>39665</v>
      </c>
      <c r="F7000" s="8" t="s">
        <v>39666</v>
      </c>
      <c r="G7000" s="6" t="s">
        <v>60</v>
      </c>
      <c r="H7000" s="6" t="s">
        <v>34</v>
      </c>
      <c r="I7000" s="8" t="s">
        <v>253</v>
      </c>
      <c r="J7000" s="9">
        <v>1</v>
      </c>
      <c r="K7000" s="9">
        <v>416</v>
      </c>
      <c r="L7000" s="9">
        <v>2026</v>
      </c>
      <c r="M7000" s="8" t="s">
        <v>39667</v>
      </c>
      <c r="N7000" s="8" t="s">
        <v>243</v>
      </c>
      <c r="O7000" s="8" t="s">
        <v>329</v>
      </c>
      <c r="P7000" s="6" t="s">
        <v>306</v>
      </c>
      <c r="Q7000" s="8" t="s">
        <v>52</v>
      </c>
      <c r="R7000" s="10" t="s">
        <v>39668</v>
      </c>
      <c r="S7000" s="11" t="s">
        <v>39669</v>
      </c>
      <c r="T7000" s="6" t="s">
        <v>97</v>
      </c>
      <c r="U7000" s="15" t="str">
        <f>HYPERLINK("https://media.infra-m.ru/2230/2230159/cover/2230159.jpg", "Обложка")</f>
        <v>Обложка</v>
      </c>
      <c r="V7000" s="8" t="s">
        <v>809</v>
      </c>
      <c r="W7000" s="6"/>
      <c r="X7000" s="6"/>
      <c r="Y7000" s="6"/>
      <c r="Z7000" s="6"/>
      <c r="AA7000" s="6" t="s">
        <v>874</v>
      </c>
      <c r="AB7000" s="8"/>
      <c r="AC7000" s="27">
        <v>9785160210063</v>
      </c>
    </row>
    <row r="7001" spans="1:29" s="4" customFormat="1" ht="51.9" customHeight="1" x14ac:dyDescent="0.2">
      <c r="A7001" s="5">
        <v>0</v>
      </c>
      <c r="B7001" s="6" t="s">
        <v>39670</v>
      </c>
      <c r="C7001" s="7">
        <v>3192</v>
      </c>
      <c r="D7001" s="8" t="s">
        <v>39671</v>
      </c>
      <c r="E7001" s="8" t="s">
        <v>39672</v>
      </c>
      <c r="F7001" s="8" t="s">
        <v>39673</v>
      </c>
      <c r="G7001" s="6" t="s">
        <v>60</v>
      </c>
      <c r="H7001" s="6" t="s">
        <v>34</v>
      </c>
      <c r="I7001" s="8" t="s">
        <v>253</v>
      </c>
      <c r="J7001" s="9">
        <v>1</v>
      </c>
      <c r="K7001" s="9">
        <v>512</v>
      </c>
      <c r="L7001" s="9">
        <v>2025</v>
      </c>
      <c r="M7001" s="8" t="s">
        <v>39674</v>
      </c>
      <c r="N7001" s="8" t="s">
        <v>243</v>
      </c>
      <c r="O7001" s="8" t="s">
        <v>329</v>
      </c>
      <c r="P7001" s="6" t="s">
        <v>306</v>
      </c>
      <c r="Q7001" s="8" t="s">
        <v>52</v>
      </c>
      <c r="R7001" s="10" t="s">
        <v>6735</v>
      </c>
      <c r="S7001" s="11" t="s">
        <v>39675</v>
      </c>
      <c r="T7001" s="6" t="s">
        <v>97</v>
      </c>
      <c r="U7001" s="15" t="str">
        <f>HYPERLINK("https://media.infra-m.ru/2206/2206268/cover/2206268.jpg", "Обложка")</f>
        <v>Обложка</v>
      </c>
      <c r="V7001" s="8" t="s">
        <v>809</v>
      </c>
      <c r="W7001" s="6"/>
      <c r="X7001" s="6"/>
      <c r="Y7001" s="6"/>
      <c r="Z7001" s="6"/>
      <c r="AA7001" s="6" t="s">
        <v>2338</v>
      </c>
      <c r="AB7001" s="8"/>
      <c r="AC7001" s="27">
        <v>9785160211046</v>
      </c>
    </row>
    <row r="7002" spans="1:29" s="4" customFormat="1" ht="51.9" customHeight="1" x14ac:dyDescent="0.2">
      <c r="A7002" s="5">
        <v>0</v>
      </c>
      <c r="B7002" s="6" t="s">
        <v>39676</v>
      </c>
      <c r="C7002" s="13">
        <v>581.9</v>
      </c>
      <c r="D7002" s="8" t="s">
        <v>39677</v>
      </c>
      <c r="E7002" s="8" t="s">
        <v>39678</v>
      </c>
      <c r="F7002" s="8" t="s">
        <v>39679</v>
      </c>
      <c r="G7002" s="6" t="s">
        <v>33</v>
      </c>
      <c r="H7002" s="6" t="s">
        <v>48</v>
      </c>
      <c r="I7002" s="8" t="s">
        <v>253</v>
      </c>
      <c r="J7002" s="9">
        <v>1</v>
      </c>
      <c r="K7002" s="9">
        <v>128</v>
      </c>
      <c r="L7002" s="9">
        <v>2023</v>
      </c>
      <c r="M7002" s="8" t="s">
        <v>39680</v>
      </c>
      <c r="N7002" s="8" t="s">
        <v>243</v>
      </c>
      <c r="O7002" s="8" t="s">
        <v>329</v>
      </c>
      <c r="P7002" s="6" t="s">
        <v>51</v>
      </c>
      <c r="Q7002" s="8" t="s">
        <v>52</v>
      </c>
      <c r="R7002" s="10" t="s">
        <v>39681</v>
      </c>
      <c r="S7002" s="11" t="s">
        <v>39682</v>
      </c>
      <c r="T7002" s="6"/>
      <c r="U7002" s="15" t="str">
        <f>HYPERLINK("https://media.infra-m.ru/1858/1858424/cover/1858424.jpg", "Обложка")</f>
        <v>Обложка</v>
      </c>
      <c r="V7002" s="8" t="s">
        <v>867</v>
      </c>
      <c r="W7002" s="6"/>
      <c r="X7002" s="6"/>
      <c r="Y7002" s="6"/>
      <c r="Z7002" s="6"/>
      <c r="AA7002" s="6" t="s">
        <v>274</v>
      </c>
      <c r="AB7002" s="8"/>
      <c r="AC7002" s="27">
        <v>9785000910535</v>
      </c>
    </row>
    <row r="7003" spans="1:29" s="4" customFormat="1" ht="42" customHeight="1" x14ac:dyDescent="0.2">
      <c r="A7003" s="5">
        <v>0</v>
      </c>
      <c r="B7003" s="6" t="s">
        <v>39683</v>
      </c>
      <c r="C7003" s="7">
        <v>1216.8</v>
      </c>
      <c r="D7003" s="8" t="s">
        <v>39684</v>
      </c>
      <c r="E7003" s="8" t="s">
        <v>39685</v>
      </c>
      <c r="F7003" s="8" t="s">
        <v>39686</v>
      </c>
      <c r="G7003" s="6" t="s">
        <v>60</v>
      </c>
      <c r="H7003" s="6" t="s">
        <v>313</v>
      </c>
      <c r="I7003" s="8" t="s">
        <v>392</v>
      </c>
      <c r="J7003" s="9">
        <v>1</v>
      </c>
      <c r="K7003" s="9">
        <v>191</v>
      </c>
      <c r="L7003" s="9">
        <v>2026</v>
      </c>
      <c r="M7003" s="8" t="s">
        <v>39687</v>
      </c>
      <c r="N7003" s="8" t="s">
        <v>243</v>
      </c>
      <c r="O7003" s="8" t="s">
        <v>329</v>
      </c>
      <c r="P7003" s="6" t="s">
        <v>51</v>
      </c>
      <c r="Q7003" s="8" t="s">
        <v>52</v>
      </c>
      <c r="R7003" s="10" t="s">
        <v>39649</v>
      </c>
      <c r="S7003" s="11"/>
      <c r="T7003" s="6"/>
      <c r="U7003" s="15" t="str">
        <f>HYPERLINK("https://media.infra-m.ru/2220/2220586/cover/2220586.jpg", "Обложка")</f>
        <v>Обложка</v>
      </c>
      <c r="V7003" s="8" t="s">
        <v>2427</v>
      </c>
      <c r="W7003" s="6"/>
      <c r="X7003" s="6"/>
      <c r="Y7003" s="6"/>
      <c r="Z7003" s="6"/>
      <c r="AA7003" s="6" t="s">
        <v>1303</v>
      </c>
      <c r="AB7003" s="8"/>
      <c r="AC7003" s="27">
        <v>9785369019160</v>
      </c>
    </row>
    <row r="7004" spans="1:29" s="4" customFormat="1" ht="51.9" customHeight="1" x14ac:dyDescent="0.2">
      <c r="A7004" s="5">
        <v>0</v>
      </c>
      <c r="B7004" s="6" t="s">
        <v>39688</v>
      </c>
      <c r="C7004" s="13">
        <v>419.9</v>
      </c>
      <c r="D7004" s="8" t="s">
        <v>39689</v>
      </c>
      <c r="E7004" s="8" t="s">
        <v>39690</v>
      </c>
      <c r="F7004" s="8" t="s">
        <v>39691</v>
      </c>
      <c r="G7004" s="6" t="s">
        <v>21</v>
      </c>
      <c r="H7004" s="6" t="s">
        <v>313</v>
      </c>
      <c r="I7004" s="8" t="s">
        <v>253</v>
      </c>
      <c r="J7004" s="9">
        <v>1</v>
      </c>
      <c r="K7004" s="9">
        <v>210</v>
      </c>
      <c r="L7004" s="9">
        <v>2014</v>
      </c>
      <c r="M7004" s="8" t="s">
        <v>39692</v>
      </c>
      <c r="N7004" s="8" t="s">
        <v>243</v>
      </c>
      <c r="O7004" s="8" t="s">
        <v>329</v>
      </c>
      <c r="P7004" s="6" t="s">
        <v>51</v>
      </c>
      <c r="Q7004" s="8" t="s">
        <v>52</v>
      </c>
      <c r="R7004" s="10" t="s">
        <v>39693</v>
      </c>
      <c r="S7004" s="11"/>
      <c r="T7004" s="6"/>
      <c r="U7004" s="12"/>
      <c r="V7004" s="8" t="s">
        <v>801</v>
      </c>
      <c r="W7004" s="6"/>
      <c r="X7004" s="6" t="s">
        <v>24</v>
      </c>
      <c r="Y7004" s="6"/>
      <c r="Z7004" s="6"/>
      <c r="AA7004" s="6" t="s">
        <v>248</v>
      </c>
      <c r="AB7004" s="8"/>
      <c r="AC7004" s="27">
        <v>9785369011607</v>
      </c>
    </row>
    <row r="7005" spans="1:29" s="4" customFormat="1" ht="51.9" customHeight="1" x14ac:dyDescent="0.2">
      <c r="A7005" s="5">
        <v>0</v>
      </c>
      <c r="B7005" s="6" t="s">
        <v>39694</v>
      </c>
      <c r="C7005" s="7">
        <v>2520</v>
      </c>
      <c r="D7005" s="8" t="s">
        <v>39695</v>
      </c>
      <c r="E7005" s="8" t="s">
        <v>39696</v>
      </c>
      <c r="F7005" s="8" t="s">
        <v>39697</v>
      </c>
      <c r="G7005" s="6" t="s">
        <v>118</v>
      </c>
      <c r="H7005" s="6" t="s">
        <v>313</v>
      </c>
      <c r="I7005" s="8" t="s">
        <v>253</v>
      </c>
      <c r="J7005" s="9">
        <v>1</v>
      </c>
      <c r="K7005" s="9">
        <v>344</v>
      </c>
      <c r="L7005" s="9">
        <v>2027</v>
      </c>
      <c r="M7005" s="8" t="s">
        <v>39698</v>
      </c>
      <c r="N7005" s="8" t="s">
        <v>243</v>
      </c>
      <c r="O7005" s="8" t="s">
        <v>329</v>
      </c>
      <c r="P7005" s="6" t="s">
        <v>51</v>
      </c>
      <c r="Q7005" s="8" t="s">
        <v>52</v>
      </c>
      <c r="R7005" s="10" t="s">
        <v>39693</v>
      </c>
      <c r="S7005" s="11"/>
      <c r="T7005" s="6" t="s">
        <v>97</v>
      </c>
      <c r="U7005" s="15" t="str">
        <f>HYPERLINK("https://media.infra-m.ru/2263/2263430/cover/2263430.jpg", "Обложка")</f>
        <v>Обложка</v>
      </c>
      <c r="V7005" s="8" t="s">
        <v>801</v>
      </c>
      <c r="W7005" s="6"/>
      <c r="X7005" s="6" t="s">
        <v>24</v>
      </c>
      <c r="Y7005" s="6"/>
      <c r="Z7005" s="6"/>
      <c r="AA7005" s="6" t="s">
        <v>623</v>
      </c>
      <c r="AB7005" s="8"/>
      <c r="AC7005" s="27">
        <v>9785369030196</v>
      </c>
    </row>
    <row r="7006" spans="1:29" s="4" customFormat="1" ht="42" customHeight="1" x14ac:dyDescent="0.2">
      <c r="A7006" s="5">
        <v>0</v>
      </c>
      <c r="B7006" s="6" t="s">
        <v>39699</v>
      </c>
      <c r="C7006" s="13">
        <v>749.9</v>
      </c>
      <c r="D7006" s="8" t="s">
        <v>39700</v>
      </c>
      <c r="E7006" s="8" t="s">
        <v>39701</v>
      </c>
      <c r="F7006" s="8" t="s">
        <v>39686</v>
      </c>
      <c r="G7006" s="6" t="s">
        <v>60</v>
      </c>
      <c r="H7006" s="6" t="s">
        <v>313</v>
      </c>
      <c r="I7006" s="8" t="s">
        <v>392</v>
      </c>
      <c r="J7006" s="9">
        <v>1</v>
      </c>
      <c r="K7006" s="9">
        <v>184</v>
      </c>
      <c r="L7006" s="9">
        <v>2020</v>
      </c>
      <c r="M7006" s="8" t="s">
        <v>39702</v>
      </c>
      <c r="N7006" s="8" t="s">
        <v>243</v>
      </c>
      <c r="O7006" s="8" t="s">
        <v>329</v>
      </c>
      <c r="P7006" s="6" t="s">
        <v>51</v>
      </c>
      <c r="Q7006" s="8" t="s">
        <v>52</v>
      </c>
      <c r="R7006" s="10" t="s">
        <v>39649</v>
      </c>
      <c r="S7006" s="11"/>
      <c r="T7006" s="6"/>
      <c r="U7006" s="15" t="str">
        <f>HYPERLINK("https://media.infra-m.ru/1047/1047104/cover/1047104.jpg", "Обложка")</f>
        <v>Обложка</v>
      </c>
      <c r="V7006" s="8" t="s">
        <v>2427</v>
      </c>
      <c r="W7006" s="6"/>
      <c r="X7006" s="6"/>
      <c r="Y7006" s="6"/>
      <c r="Z7006" s="6"/>
      <c r="AA7006" s="6" t="s">
        <v>86</v>
      </c>
      <c r="AB7006" s="8"/>
      <c r="AC7006" s="27">
        <v>9785369016947</v>
      </c>
    </row>
    <row r="7007" spans="1:29" s="4" customFormat="1" ht="51.9" customHeight="1" x14ac:dyDescent="0.2">
      <c r="A7007" s="5">
        <v>0</v>
      </c>
      <c r="B7007" s="6" t="s">
        <v>39703</v>
      </c>
      <c r="C7007" s="7">
        <v>3388.8</v>
      </c>
      <c r="D7007" s="8" t="s">
        <v>39704</v>
      </c>
      <c r="E7007" s="8" t="s">
        <v>39705</v>
      </c>
      <c r="F7007" s="8" t="s">
        <v>39706</v>
      </c>
      <c r="G7007" s="6" t="s">
        <v>60</v>
      </c>
      <c r="H7007" s="6" t="s">
        <v>313</v>
      </c>
      <c r="I7007" s="8" t="s">
        <v>253</v>
      </c>
      <c r="J7007" s="9">
        <v>1</v>
      </c>
      <c r="K7007" s="9">
        <v>543</v>
      </c>
      <c r="L7007" s="9">
        <v>2025</v>
      </c>
      <c r="M7007" s="8" t="s">
        <v>39707</v>
      </c>
      <c r="N7007" s="8" t="s">
        <v>243</v>
      </c>
      <c r="O7007" s="8" t="s">
        <v>329</v>
      </c>
      <c r="P7007" s="6" t="s">
        <v>306</v>
      </c>
      <c r="Q7007" s="8" t="s">
        <v>52</v>
      </c>
      <c r="R7007" s="10" t="s">
        <v>39708</v>
      </c>
      <c r="S7007" s="11" t="s">
        <v>39709</v>
      </c>
      <c r="T7007" s="6"/>
      <c r="U7007" s="15" t="str">
        <f>HYPERLINK("https://media.infra-m.ru/2192/2192247/cover/2192247.jpg", "Обложка")</f>
        <v>Обложка</v>
      </c>
      <c r="V7007" s="8" t="s">
        <v>851</v>
      </c>
      <c r="W7007" s="6"/>
      <c r="X7007" s="6"/>
      <c r="Y7007" s="6"/>
      <c r="Z7007" s="6"/>
      <c r="AA7007" s="6" t="s">
        <v>14106</v>
      </c>
      <c r="AB7007" s="8"/>
      <c r="AC7007" s="27">
        <v>9785369011591</v>
      </c>
    </row>
    <row r="7008" spans="1:29" s="4" customFormat="1" ht="42" customHeight="1" x14ac:dyDescent="0.2">
      <c r="A7008" s="5">
        <v>0</v>
      </c>
      <c r="B7008" s="6" t="s">
        <v>39710</v>
      </c>
      <c r="C7008" s="7">
        <v>1792.8</v>
      </c>
      <c r="D7008" s="8" t="s">
        <v>39711</v>
      </c>
      <c r="E7008" s="8" t="s">
        <v>39712</v>
      </c>
      <c r="F7008" s="8" t="s">
        <v>39713</v>
      </c>
      <c r="G7008" s="6" t="s">
        <v>60</v>
      </c>
      <c r="H7008" s="6" t="s">
        <v>820</v>
      </c>
      <c r="I7008" s="8"/>
      <c r="J7008" s="9">
        <v>1</v>
      </c>
      <c r="K7008" s="9">
        <v>272</v>
      </c>
      <c r="L7008" s="9">
        <v>2026</v>
      </c>
      <c r="M7008" s="8" t="s">
        <v>39714</v>
      </c>
      <c r="N7008" s="8" t="s">
        <v>243</v>
      </c>
      <c r="O7008" s="8" t="s">
        <v>329</v>
      </c>
      <c r="P7008" s="6" t="s">
        <v>306</v>
      </c>
      <c r="Q7008" s="8" t="s">
        <v>52</v>
      </c>
      <c r="R7008" s="10" t="s">
        <v>7911</v>
      </c>
      <c r="S7008" s="11"/>
      <c r="T7008" s="6"/>
      <c r="U7008" s="15" t="str">
        <f>HYPERLINK("https://media.infra-m.ru/2223/2223613/cover/2223613.jpg", "Обложка")</f>
        <v>Обложка</v>
      </c>
      <c r="V7008" s="8" t="s">
        <v>1206</v>
      </c>
      <c r="W7008" s="6"/>
      <c r="X7008" s="6"/>
      <c r="Y7008" s="6"/>
      <c r="Z7008" s="6"/>
      <c r="AA7008" s="6" t="s">
        <v>86</v>
      </c>
      <c r="AB7008" s="8"/>
      <c r="AC7008" s="27">
        <v>9785906923653</v>
      </c>
    </row>
    <row r="7009" spans="1:29" s="4" customFormat="1" ht="42" customHeight="1" x14ac:dyDescent="0.2">
      <c r="A7009" s="5">
        <v>0</v>
      </c>
      <c r="B7009" s="6" t="s">
        <v>39715</v>
      </c>
      <c r="C7009" s="7">
        <v>1336.8</v>
      </c>
      <c r="D7009" s="8" t="s">
        <v>39716</v>
      </c>
      <c r="E7009" s="8" t="s">
        <v>39717</v>
      </c>
      <c r="F7009" s="8" t="s">
        <v>39713</v>
      </c>
      <c r="G7009" s="6" t="s">
        <v>60</v>
      </c>
      <c r="H7009" s="6" t="s">
        <v>820</v>
      </c>
      <c r="I7009" s="8"/>
      <c r="J7009" s="9">
        <v>1</v>
      </c>
      <c r="K7009" s="9">
        <v>192</v>
      </c>
      <c r="L7009" s="9">
        <v>2026</v>
      </c>
      <c r="M7009" s="8" t="s">
        <v>39718</v>
      </c>
      <c r="N7009" s="8" t="s">
        <v>243</v>
      </c>
      <c r="O7009" s="8" t="s">
        <v>329</v>
      </c>
      <c r="P7009" s="6" t="s">
        <v>306</v>
      </c>
      <c r="Q7009" s="8" t="s">
        <v>52</v>
      </c>
      <c r="R7009" s="10" t="s">
        <v>7911</v>
      </c>
      <c r="S7009" s="11"/>
      <c r="T7009" s="6"/>
      <c r="U7009" s="15" t="str">
        <f>HYPERLINK("https://media.infra-m.ru/2223/2223614/cover/2223614.jpg", "Обложка")</f>
        <v>Обложка</v>
      </c>
      <c r="V7009" s="8" t="s">
        <v>1206</v>
      </c>
      <c r="W7009" s="6"/>
      <c r="X7009" s="6"/>
      <c r="Y7009" s="6"/>
      <c r="Z7009" s="6"/>
      <c r="AA7009" s="6" t="s">
        <v>86</v>
      </c>
      <c r="AB7009" s="8"/>
      <c r="AC7009" s="27">
        <v>9785906923677</v>
      </c>
    </row>
    <row r="7010" spans="1:29" s="4" customFormat="1" ht="51.9" customHeight="1" x14ac:dyDescent="0.2">
      <c r="A7010" s="5">
        <v>0</v>
      </c>
      <c r="B7010" s="6" t="s">
        <v>39719</v>
      </c>
      <c r="C7010" s="7">
        <v>1320</v>
      </c>
      <c r="D7010" s="8" t="s">
        <v>39720</v>
      </c>
      <c r="E7010" s="8" t="s">
        <v>39721</v>
      </c>
      <c r="F7010" s="8" t="s">
        <v>39722</v>
      </c>
      <c r="G7010" s="6" t="s">
        <v>118</v>
      </c>
      <c r="H7010" s="6" t="s">
        <v>34</v>
      </c>
      <c r="I7010" s="8" t="s">
        <v>2171</v>
      </c>
      <c r="J7010" s="9">
        <v>1</v>
      </c>
      <c r="K7010" s="9">
        <v>185</v>
      </c>
      <c r="L7010" s="9">
        <v>2026</v>
      </c>
      <c r="M7010" s="8" t="s">
        <v>39723</v>
      </c>
      <c r="N7010" s="8" t="s">
        <v>243</v>
      </c>
      <c r="O7010" s="8" t="s">
        <v>329</v>
      </c>
      <c r="P7010" s="6" t="s">
        <v>51</v>
      </c>
      <c r="Q7010" s="8" t="s">
        <v>65</v>
      </c>
      <c r="R7010" s="10" t="s">
        <v>2107</v>
      </c>
      <c r="S7010" s="11" t="s">
        <v>39724</v>
      </c>
      <c r="T7010" s="6"/>
      <c r="U7010" s="15" t="str">
        <f>HYPERLINK("https://media.infra-m.ru/2229/2229644/cover/2229644.jpg", "Обложка")</f>
        <v>Обложка</v>
      </c>
      <c r="V7010" s="8" t="s">
        <v>2175</v>
      </c>
      <c r="W7010" s="6"/>
      <c r="X7010" s="6"/>
      <c r="Y7010" s="6"/>
      <c r="Z7010" s="6"/>
      <c r="AA7010" s="6" t="s">
        <v>430</v>
      </c>
      <c r="AB7010" s="8"/>
      <c r="AC7010" s="27">
        <v>9785160163406</v>
      </c>
    </row>
    <row r="7011" spans="1:29" s="4" customFormat="1" ht="51.9" customHeight="1" x14ac:dyDescent="0.2">
      <c r="A7011" s="5">
        <v>0</v>
      </c>
      <c r="B7011" s="6" t="s">
        <v>39725</v>
      </c>
      <c r="C7011" s="13">
        <v>821.9</v>
      </c>
      <c r="D7011" s="8" t="s">
        <v>39726</v>
      </c>
      <c r="E7011" s="8" t="s">
        <v>39727</v>
      </c>
      <c r="F7011" s="8" t="s">
        <v>39728</v>
      </c>
      <c r="G7011" s="6" t="s">
        <v>33</v>
      </c>
      <c r="H7011" s="6" t="s">
        <v>313</v>
      </c>
      <c r="I7011" s="8" t="s">
        <v>253</v>
      </c>
      <c r="J7011" s="9">
        <v>1</v>
      </c>
      <c r="K7011" s="9">
        <v>212</v>
      </c>
      <c r="L7011" s="9">
        <v>2019</v>
      </c>
      <c r="M7011" s="8" t="s">
        <v>39729</v>
      </c>
      <c r="N7011" s="8" t="s">
        <v>243</v>
      </c>
      <c r="O7011" s="8" t="s">
        <v>329</v>
      </c>
      <c r="P7011" s="6" t="s">
        <v>51</v>
      </c>
      <c r="Q7011" s="8" t="s">
        <v>52</v>
      </c>
      <c r="R7011" s="10" t="s">
        <v>39730</v>
      </c>
      <c r="S7011" s="11"/>
      <c r="T7011" s="6"/>
      <c r="U7011" s="15" t="str">
        <f>HYPERLINK("https://media.infra-m.ru/1023/1023251/cover/1023251.jpg", "Обложка")</f>
        <v>Обложка</v>
      </c>
      <c r="V7011" s="8" t="s">
        <v>801</v>
      </c>
      <c r="W7011" s="6"/>
      <c r="X7011" s="6"/>
      <c r="Y7011" s="6"/>
      <c r="Z7011" s="6"/>
      <c r="AA7011" s="6" t="s">
        <v>15559</v>
      </c>
      <c r="AB7011" s="8"/>
      <c r="AC7011" s="27">
        <v>9785369015285</v>
      </c>
    </row>
    <row r="7012" spans="1:29" s="4" customFormat="1" ht="42" customHeight="1" x14ac:dyDescent="0.2">
      <c r="A7012" s="5">
        <v>0</v>
      </c>
      <c r="B7012" s="6" t="s">
        <v>39731</v>
      </c>
      <c r="C7012" s="7">
        <v>1380</v>
      </c>
      <c r="D7012" s="8" t="s">
        <v>39732</v>
      </c>
      <c r="E7012" s="8" t="s">
        <v>39733</v>
      </c>
      <c r="F7012" s="8" t="s">
        <v>39734</v>
      </c>
      <c r="G7012" s="6" t="s">
        <v>118</v>
      </c>
      <c r="H7012" s="6" t="s">
        <v>34</v>
      </c>
      <c r="I7012" s="8" t="s">
        <v>1081</v>
      </c>
      <c r="J7012" s="9">
        <v>1</v>
      </c>
      <c r="K7012" s="9">
        <v>198</v>
      </c>
      <c r="L7012" s="9">
        <v>2027</v>
      </c>
      <c r="M7012" s="8" t="s">
        <v>39735</v>
      </c>
      <c r="N7012" s="8" t="s">
        <v>243</v>
      </c>
      <c r="O7012" s="8" t="s">
        <v>758</v>
      </c>
      <c r="P7012" s="6" t="s">
        <v>39</v>
      </c>
      <c r="Q7012" s="8" t="s">
        <v>40</v>
      </c>
      <c r="R7012" s="10" t="s">
        <v>39736</v>
      </c>
      <c r="S7012" s="11"/>
      <c r="T7012" s="6"/>
      <c r="U7012" s="15" t="str">
        <f>HYPERLINK("https://media.infra-m.ru/2264/2264974/cover/2264974.jpg", "Обложка")</f>
        <v>Обложка</v>
      </c>
      <c r="V7012" s="8" t="s">
        <v>1083</v>
      </c>
      <c r="W7012" s="6"/>
      <c r="X7012" s="6"/>
      <c r="Y7012" s="6"/>
      <c r="Z7012" s="6"/>
      <c r="AA7012" s="6" t="s">
        <v>86</v>
      </c>
      <c r="AB7012" s="8"/>
      <c r="AC7012" s="27">
        <v>9785160179582</v>
      </c>
    </row>
    <row r="7013" spans="1:29" s="4" customFormat="1" ht="51.9" customHeight="1" x14ac:dyDescent="0.2">
      <c r="A7013" s="5">
        <v>0</v>
      </c>
      <c r="B7013" s="6" t="s">
        <v>39737</v>
      </c>
      <c r="C7013" s="13">
        <v>928.8</v>
      </c>
      <c r="D7013" s="8" t="s">
        <v>39738</v>
      </c>
      <c r="E7013" s="8" t="s">
        <v>39739</v>
      </c>
      <c r="F7013" s="8" t="s">
        <v>39740</v>
      </c>
      <c r="G7013" s="6" t="s">
        <v>60</v>
      </c>
      <c r="H7013" s="6" t="s">
        <v>34</v>
      </c>
      <c r="I7013" s="8" t="s">
        <v>271</v>
      </c>
      <c r="J7013" s="9">
        <v>1</v>
      </c>
      <c r="K7013" s="9">
        <v>140</v>
      </c>
      <c r="L7013" s="9">
        <v>2026</v>
      </c>
      <c r="M7013" s="8" t="s">
        <v>39741</v>
      </c>
      <c r="N7013" s="8" t="s">
        <v>243</v>
      </c>
      <c r="O7013" s="8" t="s">
        <v>758</v>
      </c>
      <c r="P7013" s="6" t="s">
        <v>51</v>
      </c>
      <c r="Q7013" s="8" t="s">
        <v>52</v>
      </c>
      <c r="R7013" s="10" t="s">
        <v>13656</v>
      </c>
      <c r="S7013" s="11" t="s">
        <v>39742</v>
      </c>
      <c r="T7013" s="6"/>
      <c r="U7013" s="15" t="str">
        <f>HYPERLINK("https://media.infra-m.ru/2239/2239113/cover/2239113.jpg", "Обложка")</f>
        <v>Обложка</v>
      </c>
      <c r="V7013" s="8" t="s">
        <v>8139</v>
      </c>
      <c r="W7013" s="6"/>
      <c r="X7013" s="6"/>
      <c r="Y7013" s="6"/>
      <c r="Z7013" s="6"/>
      <c r="AA7013" s="6" t="s">
        <v>430</v>
      </c>
      <c r="AB7013" s="8"/>
      <c r="AC7013" s="27">
        <v>9785160164151</v>
      </c>
    </row>
    <row r="7014" spans="1:29" s="4" customFormat="1" ht="42" customHeight="1" x14ac:dyDescent="0.2">
      <c r="A7014" s="5">
        <v>0</v>
      </c>
      <c r="B7014" s="6" t="s">
        <v>39743</v>
      </c>
      <c r="C7014" s="7">
        <v>2112</v>
      </c>
      <c r="D7014" s="8" t="s">
        <v>39744</v>
      </c>
      <c r="E7014" s="8" t="s">
        <v>39745</v>
      </c>
      <c r="F7014" s="8" t="s">
        <v>39746</v>
      </c>
      <c r="G7014" s="6" t="s">
        <v>118</v>
      </c>
      <c r="H7014" s="6" t="s">
        <v>34</v>
      </c>
      <c r="I7014" s="8" t="s">
        <v>434</v>
      </c>
      <c r="J7014" s="9">
        <v>1</v>
      </c>
      <c r="K7014" s="9">
        <v>302</v>
      </c>
      <c r="L7014" s="9">
        <v>2027</v>
      </c>
      <c r="M7014" s="8" t="s">
        <v>39747</v>
      </c>
      <c r="N7014" s="8" t="s">
        <v>37</v>
      </c>
      <c r="O7014" s="8" t="s">
        <v>233</v>
      </c>
      <c r="P7014" s="6" t="s">
        <v>306</v>
      </c>
      <c r="Q7014" s="8" t="s">
        <v>265</v>
      </c>
      <c r="R7014" s="10" t="s">
        <v>3777</v>
      </c>
      <c r="S7014" s="11"/>
      <c r="T7014" s="6"/>
      <c r="U7014" s="15" t="str">
        <f>HYPERLINK("https://media.infra-m.ru/2266/2266079/cover/2266079.jpg", "Обложка")</f>
        <v>Обложка</v>
      </c>
      <c r="V7014" s="8" t="s">
        <v>247</v>
      </c>
      <c r="W7014" s="6"/>
      <c r="X7014" s="6"/>
      <c r="Y7014" s="6"/>
      <c r="Z7014" s="6"/>
      <c r="AA7014" s="6" t="s">
        <v>68</v>
      </c>
      <c r="AB7014" s="8" t="s">
        <v>2691</v>
      </c>
      <c r="AC7014" s="27">
        <v>9785160193670</v>
      </c>
    </row>
    <row r="7015" spans="1:29" s="4" customFormat="1" ht="51.9" customHeight="1" x14ac:dyDescent="0.2">
      <c r="A7015" s="5">
        <v>0</v>
      </c>
      <c r="B7015" s="6" t="s">
        <v>39748</v>
      </c>
      <c r="C7015" s="13">
        <v>593.9</v>
      </c>
      <c r="D7015" s="8" t="s">
        <v>39749</v>
      </c>
      <c r="E7015" s="8" t="s">
        <v>39750</v>
      </c>
      <c r="F7015" s="8" t="s">
        <v>39751</v>
      </c>
      <c r="G7015" s="6" t="s">
        <v>33</v>
      </c>
      <c r="H7015" s="6" t="s">
        <v>313</v>
      </c>
      <c r="I7015" s="8" t="s">
        <v>35</v>
      </c>
      <c r="J7015" s="9">
        <v>1</v>
      </c>
      <c r="K7015" s="9">
        <v>140</v>
      </c>
      <c r="L7015" s="9">
        <v>2020</v>
      </c>
      <c r="M7015" s="8" t="s">
        <v>39752</v>
      </c>
      <c r="N7015" s="8" t="s">
        <v>37</v>
      </c>
      <c r="O7015" s="8" t="s">
        <v>233</v>
      </c>
      <c r="P7015" s="6" t="s">
        <v>39</v>
      </c>
      <c r="Q7015" s="8" t="s">
        <v>40</v>
      </c>
      <c r="R7015" s="10" t="s">
        <v>39753</v>
      </c>
      <c r="S7015" s="11"/>
      <c r="T7015" s="6"/>
      <c r="U7015" s="15" t="str">
        <f>HYPERLINK("https://media.infra-m.ru/1047/1047171/cover/1047171.jpg", "Обложка")</f>
        <v>Обложка</v>
      </c>
      <c r="V7015" s="8" t="s">
        <v>12821</v>
      </c>
      <c r="W7015" s="6"/>
      <c r="X7015" s="6"/>
      <c r="Y7015" s="6"/>
      <c r="Z7015" s="6"/>
      <c r="AA7015" s="6" t="s">
        <v>779</v>
      </c>
      <c r="AB7015" s="8"/>
      <c r="AC7015" s="27">
        <v>9785369016022</v>
      </c>
    </row>
    <row r="7016" spans="1:29" s="4" customFormat="1" ht="42" customHeight="1" x14ac:dyDescent="0.2">
      <c r="A7016" s="5">
        <v>0</v>
      </c>
      <c r="B7016" s="6" t="s">
        <v>39754</v>
      </c>
      <c r="C7016" s="7">
        <v>1624.8</v>
      </c>
      <c r="D7016" s="8" t="s">
        <v>39755</v>
      </c>
      <c r="E7016" s="8" t="s">
        <v>39756</v>
      </c>
      <c r="F7016" s="8" t="s">
        <v>39757</v>
      </c>
      <c r="G7016" s="6" t="s">
        <v>60</v>
      </c>
      <c r="H7016" s="6" t="s">
        <v>134</v>
      </c>
      <c r="I7016" s="8"/>
      <c r="J7016" s="9">
        <v>1</v>
      </c>
      <c r="K7016" s="9">
        <v>288</v>
      </c>
      <c r="L7016" s="9">
        <v>2024</v>
      </c>
      <c r="M7016" s="8" t="s">
        <v>39758</v>
      </c>
      <c r="N7016" s="8" t="s">
        <v>37</v>
      </c>
      <c r="O7016" s="8" t="s">
        <v>136</v>
      </c>
      <c r="P7016" s="6" t="s">
        <v>39</v>
      </c>
      <c r="Q7016" s="8" t="s">
        <v>40</v>
      </c>
      <c r="R7016" s="10" t="s">
        <v>684</v>
      </c>
      <c r="S7016" s="11"/>
      <c r="T7016" s="6"/>
      <c r="U7016" s="15" t="str">
        <f>HYPERLINK("https://media.infra-m.ru/2123/2123405/cover/2123405.jpg", "Обложка")</f>
        <v>Обложка</v>
      </c>
      <c r="V7016" s="8" t="s">
        <v>39759</v>
      </c>
      <c r="W7016" s="6"/>
      <c r="X7016" s="6"/>
      <c r="Y7016" s="6"/>
      <c r="Z7016" s="6"/>
      <c r="AA7016" s="6" t="s">
        <v>148</v>
      </c>
      <c r="AB7016" s="8"/>
      <c r="AC7016" s="27">
        <v>9785001561484</v>
      </c>
    </row>
    <row r="7017" spans="1:29" s="4" customFormat="1" ht="51.9" customHeight="1" x14ac:dyDescent="0.2">
      <c r="A7017" s="5">
        <v>0</v>
      </c>
      <c r="B7017" s="6" t="s">
        <v>39760</v>
      </c>
      <c r="C7017" s="7">
        <v>1128</v>
      </c>
      <c r="D7017" s="8" t="s">
        <v>39761</v>
      </c>
      <c r="E7017" s="8" t="s">
        <v>39762</v>
      </c>
      <c r="F7017" s="8" t="s">
        <v>39757</v>
      </c>
      <c r="G7017" s="6" t="s">
        <v>118</v>
      </c>
      <c r="H7017" s="6" t="s">
        <v>134</v>
      </c>
      <c r="I7017" s="8"/>
      <c r="J7017" s="9">
        <v>1</v>
      </c>
      <c r="K7017" s="9">
        <v>240</v>
      </c>
      <c r="L7017" s="9">
        <v>2022</v>
      </c>
      <c r="M7017" s="8" t="s">
        <v>39763</v>
      </c>
      <c r="N7017" s="8" t="s">
        <v>37</v>
      </c>
      <c r="O7017" s="8" t="s">
        <v>136</v>
      </c>
      <c r="P7017" s="6" t="s">
        <v>39</v>
      </c>
      <c r="Q7017" s="8" t="s">
        <v>500</v>
      </c>
      <c r="R7017" s="10" t="s">
        <v>1275</v>
      </c>
      <c r="S7017" s="11"/>
      <c r="T7017" s="6"/>
      <c r="U7017" s="15" t="str">
        <f>HYPERLINK("https://media.infra-m.ru/1816/1816676/cover/1816676.jpg", "Обложка")</f>
        <v>Обложка</v>
      </c>
      <c r="V7017" s="8" t="s">
        <v>39759</v>
      </c>
      <c r="W7017" s="6"/>
      <c r="X7017" s="6"/>
      <c r="Y7017" s="6"/>
      <c r="Z7017" s="6"/>
      <c r="AA7017" s="6" t="s">
        <v>115</v>
      </c>
      <c r="AB7017" s="8"/>
      <c r="AC7017" s="27">
        <v>9785917689715</v>
      </c>
    </row>
    <row r="7018" spans="1:29" s="4" customFormat="1" ht="51.9" customHeight="1" x14ac:dyDescent="0.2">
      <c r="A7018" s="5">
        <v>0</v>
      </c>
      <c r="B7018" s="6" t="s">
        <v>39764</v>
      </c>
      <c r="C7018" s="7">
        <v>2004</v>
      </c>
      <c r="D7018" s="8" t="s">
        <v>39765</v>
      </c>
      <c r="E7018" s="8" t="s">
        <v>39766</v>
      </c>
      <c r="F7018" s="8" t="s">
        <v>39767</v>
      </c>
      <c r="G7018" s="6" t="s">
        <v>33</v>
      </c>
      <c r="H7018" s="6" t="s">
        <v>34</v>
      </c>
      <c r="I7018" s="8" t="s">
        <v>35</v>
      </c>
      <c r="J7018" s="9">
        <v>1</v>
      </c>
      <c r="K7018" s="9">
        <v>320</v>
      </c>
      <c r="L7018" s="9">
        <v>2026</v>
      </c>
      <c r="M7018" s="8" t="s">
        <v>39768</v>
      </c>
      <c r="N7018" s="8" t="s">
        <v>63</v>
      </c>
      <c r="O7018" s="8" t="s">
        <v>23071</v>
      </c>
      <c r="P7018" s="6" t="s">
        <v>39</v>
      </c>
      <c r="Q7018" s="8" t="s">
        <v>40</v>
      </c>
      <c r="R7018" s="10" t="s">
        <v>39769</v>
      </c>
      <c r="S7018" s="11"/>
      <c r="T7018" s="6"/>
      <c r="U7018" s="15" t="str">
        <f>HYPERLINK("https://media.infra-m.ru/2222/2222663/cover/2222663.jpg", "Обложка")</f>
        <v>Обложка</v>
      </c>
      <c r="V7018" s="8" t="s">
        <v>227</v>
      </c>
      <c r="W7018" s="6"/>
      <c r="X7018" s="6"/>
      <c r="Y7018" s="6"/>
      <c r="Z7018" s="6"/>
      <c r="AA7018" s="6" t="s">
        <v>1256</v>
      </c>
      <c r="AB7018" s="8"/>
      <c r="AC7018" s="27">
        <v>9785160151793</v>
      </c>
    </row>
    <row r="7019" spans="1:29" s="4" customFormat="1" ht="51.9" customHeight="1" x14ac:dyDescent="0.2">
      <c r="A7019" s="5">
        <v>0</v>
      </c>
      <c r="B7019" s="6" t="s">
        <v>39770</v>
      </c>
      <c r="C7019" s="7">
        <v>2105.9</v>
      </c>
      <c r="D7019" s="8" t="s">
        <v>39771</v>
      </c>
      <c r="E7019" s="8" t="s">
        <v>39772</v>
      </c>
      <c r="F7019" s="8" t="s">
        <v>1965</v>
      </c>
      <c r="G7019" s="6" t="s">
        <v>118</v>
      </c>
      <c r="H7019" s="6" t="s">
        <v>34</v>
      </c>
      <c r="I7019" s="8" t="s">
        <v>35</v>
      </c>
      <c r="J7019" s="9">
        <v>1</v>
      </c>
      <c r="K7019" s="9">
        <v>390</v>
      </c>
      <c r="L7019" s="9">
        <v>2023</v>
      </c>
      <c r="M7019" s="8" t="s">
        <v>39773</v>
      </c>
      <c r="N7019" s="8" t="s">
        <v>63</v>
      </c>
      <c r="O7019" s="8" t="s">
        <v>64</v>
      </c>
      <c r="P7019" s="6" t="s">
        <v>39</v>
      </c>
      <c r="Q7019" s="8" t="s">
        <v>40</v>
      </c>
      <c r="R7019" s="10" t="s">
        <v>1914</v>
      </c>
      <c r="S7019" s="11"/>
      <c r="T7019" s="6"/>
      <c r="U7019" s="15" t="str">
        <f>HYPERLINK("https://media.infra-m.ru/2002/2002602/cover/2002602.jpg", "Обложка")</f>
        <v>Обложка</v>
      </c>
      <c r="V7019" s="8" t="s">
        <v>1599</v>
      </c>
      <c r="W7019" s="6"/>
      <c r="X7019" s="6"/>
      <c r="Y7019" s="6"/>
      <c r="Z7019" s="6"/>
      <c r="AA7019" s="6" t="s">
        <v>623</v>
      </c>
      <c r="AB7019" s="8"/>
      <c r="AC7019" s="27">
        <v>9785160122694</v>
      </c>
    </row>
    <row r="7020" spans="1:29" s="4" customFormat="1" ht="51.9" customHeight="1" x14ac:dyDescent="0.2">
      <c r="A7020" s="5">
        <v>0</v>
      </c>
      <c r="B7020" s="6" t="s">
        <v>39774</v>
      </c>
      <c r="C7020" s="7">
        <v>4466.3999999999996</v>
      </c>
      <c r="D7020" s="8" t="s">
        <v>39775</v>
      </c>
      <c r="E7020" s="8" t="s">
        <v>39776</v>
      </c>
      <c r="F7020" s="8" t="s">
        <v>39777</v>
      </c>
      <c r="G7020" s="6" t="s">
        <v>60</v>
      </c>
      <c r="H7020" s="6" t="s">
        <v>313</v>
      </c>
      <c r="I7020" s="8" t="s">
        <v>39778</v>
      </c>
      <c r="J7020" s="9">
        <v>1</v>
      </c>
      <c r="K7020" s="9">
        <v>716</v>
      </c>
      <c r="L7020" s="9">
        <v>2025</v>
      </c>
      <c r="M7020" s="8" t="s">
        <v>39779</v>
      </c>
      <c r="N7020" s="8" t="s">
        <v>37</v>
      </c>
      <c r="O7020" s="8" t="s">
        <v>83</v>
      </c>
      <c r="P7020" s="6" t="s">
        <v>8120</v>
      </c>
      <c r="Q7020" s="8" t="s">
        <v>40</v>
      </c>
      <c r="R7020" s="10" t="s">
        <v>39780</v>
      </c>
      <c r="S7020" s="11"/>
      <c r="T7020" s="6"/>
      <c r="U7020" s="15" t="str">
        <f>HYPERLINK("https://media.infra-m.ru/2208/2208456/cover/2208456.jpg", "Обложка")</f>
        <v>Обложка</v>
      </c>
      <c r="V7020" s="8"/>
      <c r="W7020" s="6"/>
      <c r="X7020" s="6"/>
      <c r="Y7020" s="6"/>
      <c r="Z7020" s="6"/>
      <c r="AA7020" s="6" t="s">
        <v>115</v>
      </c>
      <c r="AB7020" s="8"/>
      <c r="AC7020" s="27">
        <v>9785369017746</v>
      </c>
    </row>
    <row r="7021" spans="1:29" s="4" customFormat="1" ht="51.9" customHeight="1" x14ac:dyDescent="0.2">
      <c r="A7021" s="5">
        <v>0</v>
      </c>
      <c r="B7021" s="6" t="s">
        <v>39781</v>
      </c>
      <c r="C7021" s="7">
        <v>2988</v>
      </c>
      <c r="D7021" s="8" t="s">
        <v>39782</v>
      </c>
      <c r="E7021" s="8" t="s">
        <v>39783</v>
      </c>
      <c r="F7021" s="8" t="s">
        <v>21579</v>
      </c>
      <c r="G7021" s="6" t="s">
        <v>60</v>
      </c>
      <c r="H7021" s="6" t="s">
        <v>34</v>
      </c>
      <c r="I7021" s="8" t="s">
        <v>253</v>
      </c>
      <c r="J7021" s="9">
        <v>1</v>
      </c>
      <c r="K7021" s="9">
        <v>688</v>
      </c>
      <c r="L7021" s="9">
        <v>2025</v>
      </c>
      <c r="M7021" s="8" t="s">
        <v>39784</v>
      </c>
      <c r="N7021" s="8" t="s">
        <v>37</v>
      </c>
      <c r="O7021" s="8" t="s">
        <v>83</v>
      </c>
      <c r="P7021" s="6" t="s">
        <v>306</v>
      </c>
      <c r="Q7021" s="8" t="s">
        <v>65</v>
      </c>
      <c r="R7021" s="10" t="s">
        <v>39785</v>
      </c>
      <c r="S7021" s="11" t="s">
        <v>39786</v>
      </c>
      <c r="T7021" s="6"/>
      <c r="U7021" s="15" t="str">
        <f>HYPERLINK("https://media.infra-m.ru/2185/2185640/cover/2185640.jpg", "Обложка")</f>
        <v>Обложка</v>
      </c>
      <c r="V7021" s="8" t="s">
        <v>21583</v>
      </c>
      <c r="W7021" s="6"/>
      <c r="X7021" s="6"/>
      <c r="Y7021" s="6"/>
      <c r="Z7021" s="6"/>
      <c r="AA7021" s="6" t="s">
        <v>4554</v>
      </c>
      <c r="AB7021" s="8"/>
      <c r="AC7021" s="27">
        <v>9785160186122</v>
      </c>
    </row>
    <row r="7022" spans="1:29" s="4" customFormat="1" ht="51.9" customHeight="1" x14ac:dyDescent="0.2">
      <c r="A7022" s="5">
        <v>0</v>
      </c>
      <c r="B7022" s="6" t="s">
        <v>39787</v>
      </c>
      <c r="C7022" s="7">
        <v>1704</v>
      </c>
      <c r="D7022" s="8" t="s">
        <v>39788</v>
      </c>
      <c r="E7022" s="8" t="s">
        <v>39789</v>
      </c>
      <c r="F7022" s="8" t="s">
        <v>39790</v>
      </c>
      <c r="G7022" s="6" t="s">
        <v>33</v>
      </c>
      <c r="H7022" s="6" t="s">
        <v>34</v>
      </c>
      <c r="I7022" s="8" t="s">
        <v>35</v>
      </c>
      <c r="J7022" s="9">
        <v>1</v>
      </c>
      <c r="K7022" s="9">
        <v>307</v>
      </c>
      <c r="L7022" s="9">
        <v>2024</v>
      </c>
      <c r="M7022" s="8" t="s">
        <v>39791</v>
      </c>
      <c r="N7022" s="8" t="s">
        <v>37</v>
      </c>
      <c r="O7022" s="8" t="s">
        <v>233</v>
      </c>
      <c r="P7022" s="6" t="s">
        <v>39</v>
      </c>
      <c r="Q7022" s="8" t="s">
        <v>40</v>
      </c>
      <c r="R7022" s="10" t="s">
        <v>39792</v>
      </c>
      <c r="S7022" s="11"/>
      <c r="T7022" s="6"/>
      <c r="U7022" s="15" t="str">
        <f>HYPERLINK("https://media.infra-m.ru/2120/2120771/cover/2120771.jpg", "Обложка")</f>
        <v>Обложка</v>
      </c>
      <c r="V7022" s="8" t="s">
        <v>21052</v>
      </c>
      <c r="W7022" s="6"/>
      <c r="X7022" s="6"/>
      <c r="Y7022" s="6"/>
      <c r="Z7022" s="6"/>
      <c r="AA7022" s="6" t="s">
        <v>360</v>
      </c>
      <c r="AB7022" s="8"/>
      <c r="AC7022" s="27">
        <v>9785160160917</v>
      </c>
    </row>
    <row r="7023" spans="1:29" s="4" customFormat="1" ht="51.9" customHeight="1" x14ac:dyDescent="0.2">
      <c r="A7023" s="5">
        <v>0</v>
      </c>
      <c r="B7023" s="6" t="s">
        <v>39793</v>
      </c>
      <c r="C7023" s="7">
        <v>1152</v>
      </c>
      <c r="D7023" s="8" t="s">
        <v>39794</v>
      </c>
      <c r="E7023" s="8" t="s">
        <v>39789</v>
      </c>
      <c r="F7023" s="8" t="s">
        <v>39790</v>
      </c>
      <c r="G7023" s="6" t="s">
        <v>60</v>
      </c>
      <c r="H7023" s="6" t="s">
        <v>34</v>
      </c>
      <c r="I7023" s="8" t="s">
        <v>35</v>
      </c>
      <c r="J7023" s="9">
        <v>16</v>
      </c>
      <c r="K7023" s="9">
        <v>307</v>
      </c>
      <c r="L7023" s="9">
        <v>2018</v>
      </c>
      <c r="M7023" s="8" t="s">
        <v>39795</v>
      </c>
      <c r="N7023" s="8" t="s">
        <v>37</v>
      </c>
      <c r="O7023" s="8" t="s">
        <v>233</v>
      </c>
      <c r="P7023" s="6" t="s">
        <v>39</v>
      </c>
      <c r="Q7023" s="8" t="s">
        <v>40</v>
      </c>
      <c r="R7023" s="10" t="s">
        <v>39792</v>
      </c>
      <c r="S7023" s="11"/>
      <c r="T7023" s="6"/>
      <c r="U7023" s="12"/>
      <c r="V7023" s="8" t="s">
        <v>21052</v>
      </c>
      <c r="W7023" s="6"/>
      <c r="X7023" s="6"/>
      <c r="Y7023" s="6"/>
      <c r="Z7023" s="6"/>
      <c r="AA7023" s="6" t="s">
        <v>360</v>
      </c>
      <c r="AB7023" s="8"/>
      <c r="AC7023" s="27">
        <v>9785160114774</v>
      </c>
    </row>
    <row r="7024" spans="1:29" s="4" customFormat="1" ht="51.9" customHeight="1" x14ac:dyDescent="0.2">
      <c r="A7024" s="5">
        <v>0</v>
      </c>
      <c r="B7024" s="6" t="s">
        <v>39796</v>
      </c>
      <c r="C7024" s="7">
        <v>1192.8</v>
      </c>
      <c r="D7024" s="8" t="s">
        <v>39797</v>
      </c>
      <c r="E7024" s="8" t="s">
        <v>39798</v>
      </c>
      <c r="F7024" s="8" t="s">
        <v>39799</v>
      </c>
      <c r="G7024" s="6" t="s">
        <v>118</v>
      </c>
      <c r="H7024" s="6" t="s">
        <v>34</v>
      </c>
      <c r="I7024" s="8" t="s">
        <v>271</v>
      </c>
      <c r="J7024" s="9">
        <v>1</v>
      </c>
      <c r="K7024" s="9">
        <v>171</v>
      </c>
      <c r="L7024" s="9">
        <v>2027</v>
      </c>
      <c r="M7024" s="8" t="s">
        <v>39800</v>
      </c>
      <c r="N7024" s="8" t="s">
        <v>37</v>
      </c>
      <c r="O7024" s="8" t="s">
        <v>83</v>
      </c>
      <c r="P7024" s="6" t="s">
        <v>51</v>
      </c>
      <c r="Q7024" s="8" t="s">
        <v>52</v>
      </c>
      <c r="R7024" s="10" t="s">
        <v>39801</v>
      </c>
      <c r="S7024" s="11" t="s">
        <v>39802</v>
      </c>
      <c r="T7024" s="6"/>
      <c r="U7024" s="15" t="str">
        <f>HYPERLINK("https://media.infra-m.ru/2250/2250926/cover/2250926.jpg", "Обложка")</f>
        <v>Обложка</v>
      </c>
      <c r="V7024" s="8" t="s">
        <v>2427</v>
      </c>
      <c r="W7024" s="6"/>
      <c r="X7024" s="6"/>
      <c r="Y7024" s="6"/>
      <c r="Z7024" s="6"/>
      <c r="AA7024" s="6" t="s">
        <v>43</v>
      </c>
      <c r="AB7024" s="8"/>
      <c r="AC7024" s="27">
        <v>9785160049502</v>
      </c>
    </row>
    <row r="7025" spans="1:29" s="4" customFormat="1" ht="51.9" customHeight="1" x14ac:dyDescent="0.2">
      <c r="A7025" s="5">
        <v>0</v>
      </c>
      <c r="B7025" s="6" t="s">
        <v>39803</v>
      </c>
      <c r="C7025" s="13">
        <v>485.9</v>
      </c>
      <c r="D7025" s="8" t="s">
        <v>39804</v>
      </c>
      <c r="E7025" s="8" t="s">
        <v>39805</v>
      </c>
      <c r="F7025" s="8" t="s">
        <v>11107</v>
      </c>
      <c r="G7025" s="6" t="s">
        <v>33</v>
      </c>
      <c r="H7025" s="6" t="s">
        <v>34</v>
      </c>
      <c r="I7025" s="8" t="s">
        <v>35</v>
      </c>
      <c r="J7025" s="9">
        <v>1</v>
      </c>
      <c r="K7025" s="9">
        <v>120</v>
      </c>
      <c r="L7025" s="9">
        <v>2019</v>
      </c>
      <c r="M7025" s="8" t="s">
        <v>39806</v>
      </c>
      <c r="N7025" s="8" t="s">
        <v>37</v>
      </c>
      <c r="O7025" s="8" t="s">
        <v>83</v>
      </c>
      <c r="P7025" s="6" t="s">
        <v>39</v>
      </c>
      <c r="Q7025" s="8" t="s">
        <v>40</v>
      </c>
      <c r="R7025" s="10" t="s">
        <v>39807</v>
      </c>
      <c r="S7025" s="11"/>
      <c r="T7025" s="6"/>
      <c r="U7025" s="15" t="str">
        <f>HYPERLINK("https://media.infra-m.ru/1013/1013452/cover/1013452.jpg", "Обложка")</f>
        <v>Обложка</v>
      </c>
      <c r="V7025" s="8" t="s">
        <v>227</v>
      </c>
      <c r="W7025" s="6"/>
      <c r="X7025" s="6"/>
      <c r="Y7025" s="6"/>
      <c r="Z7025" s="6"/>
      <c r="AA7025" s="6" t="s">
        <v>248</v>
      </c>
      <c r="AB7025" s="8"/>
      <c r="AC7025" s="27">
        <v>9785160095677</v>
      </c>
    </row>
    <row r="7026" spans="1:29" s="4" customFormat="1" ht="42" customHeight="1" x14ac:dyDescent="0.2">
      <c r="A7026" s="5">
        <v>0</v>
      </c>
      <c r="B7026" s="6" t="s">
        <v>39808</v>
      </c>
      <c r="C7026" s="7">
        <v>2388</v>
      </c>
      <c r="D7026" s="8" t="s">
        <v>39809</v>
      </c>
      <c r="E7026" s="8" t="s">
        <v>39810</v>
      </c>
      <c r="F7026" s="8" t="s">
        <v>39811</v>
      </c>
      <c r="G7026" s="6" t="s">
        <v>60</v>
      </c>
      <c r="H7026" s="6" t="s">
        <v>34</v>
      </c>
      <c r="I7026" s="8" t="s">
        <v>35</v>
      </c>
      <c r="J7026" s="9">
        <v>1</v>
      </c>
      <c r="K7026" s="9">
        <v>640</v>
      </c>
      <c r="L7026" s="9">
        <v>2021</v>
      </c>
      <c r="M7026" s="8" t="s">
        <v>39812</v>
      </c>
      <c r="N7026" s="8" t="s">
        <v>63</v>
      </c>
      <c r="O7026" s="8" t="s">
        <v>126</v>
      </c>
      <c r="P7026" s="6" t="s">
        <v>39</v>
      </c>
      <c r="Q7026" s="8" t="s">
        <v>40</v>
      </c>
      <c r="R7026" s="10" t="s">
        <v>465</v>
      </c>
      <c r="S7026" s="11"/>
      <c r="T7026" s="6"/>
      <c r="U7026" s="15" t="str">
        <f>HYPERLINK("https://media.infra-m.ru/1078/1078147/cover/1078147.jpg", "Обложка")</f>
        <v>Обложка</v>
      </c>
      <c r="V7026" s="8" t="s">
        <v>5250</v>
      </c>
      <c r="W7026" s="6"/>
      <c r="X7026" s="6"/>
      <c r="Y7026" s="6"/>
      <c r="Z7026" s="6"/>
      <c r="AA7026" s="6" t="s">
        <v>430</v>
      </c>
      <c r="AB7026" s="8"/>
      <c r="AC7026" s="27">
        <v>9785160160245</v>
      </c>
    </row>
    <row r="7027" spans="1:29" s="4" customFormat="1" ht="42" customHeight="1" x14ac:dyDescent="0.2">
      <c r="A7027" s="5">
        <v>0</v>
      </c>
      <c r="B7027" s="6" t="s">
        <v>39813</v>
      </c>
      <c r="C7027" s="13">
        <v>773.9</v>
      </c>
      <c r="D7027" s="8" t="s">
        <v>39814</v>
      </c>
      <c r="E7027" s="8" t="s">
        <v>39815</v>
      </c>
      <c r="F7027" s="8" t="s">
        <v>32370</v>
      </c>
      <c r="G7027" s="6" t="s">
        <v>60</v>
      </c>
      <c r="H7027" s="6" t="s">
        <v>313</v>
      </c>
      <c r="I7027" s="8" t="s">
        <v>253</v>
      </c>
      <c r="J7027" s="9">
        <v>1</v>
      </c>
      <c r="K7027" s="9">
        <v>144</v>
      </c>
      <c r="L7027" s="9">
        <v>2022</v>
      </c>
      <c r="M7027" s="8" t="s">
        <v>39816</v>
      </c>
      <c r="N7027" s="8" t="s">
        <v>37</v>
      </c>
      <c r="O7027" s="8" t="s">
        <v>83</v>
      </c>
      <c r="P7027" s="6" t="s">
        <v>51</v>
      </c>
      <c r="Q7027" s="8" t="s">
        <v>52</v>
      </c>
      <c r="R7027" s="10" t="s">
        <v>35075</v>
      </c>
      <c r="S7027" s="11"/>
      <c r="T7027" s="6"/>
      <c r="U7027" s="15" t="str">
        <f>HYPERLINK("https://media.infra-m.ru/1865/1865647/cover/1865647.jpg", "Обложка")</f>
        <v>Обложка</v>
      </c>
      <c r="V7027" s="8" t="s">
        <v>1425</v>
      </c>
      <c r="W7027" s="6"/>
      <c r="X7027" s="6"/>
      <c r="Y7027" s="6"/>
      <c r="Z7027" s="6"/>
      <c r="AA7027" s="6" t="s">
        <v>779</v>
      </c>
      <c r="AB7027" s="8"/>
      <c r="AC7027" s="27">
        <v>9785369014561</v>
      </c>
    </row>
    <row r="7028" spans="1:29" s="4" customFormat="1" ht="51.9" customHeight="1" x14ac:dyDescent="0.2">
      <c r="A7028" s="5">
        <v>0</v>
      </c>
      <c r="B7028" s="6" t="s">
        <v>39817</v>
      </c>
      <c r="C7028" s="7">
        <v>2104.8000000000002</v>
      </c>
      <c r="D7028" s="8" t="s">
        <v>39818</v>
      </c>
      <c r="E7028" s="8" t="s">
        <v>39819</v>
      </c>
      <c r="F7028" s="8" t="s">
        <v>39820</v>
      </c>
      <c r="G7028" s="6" t="s">
        <v>118</v>
      </c>
      <c r="H7028" s="6" t="s">
        <v>34</v>
      </c>
      <c r="I7028" s="8" t="s">
        <v>271</v>
      </c>
      <c r="J7028" s="9">
        <v>1</v>
      </c>
      <c r="K7028" s="9">
        <v>319</v>
      </c>
      <c r="L7028" s="9">
        <v>2026</v>
      </c>
      <c r="M7028" s="8" t="s">
        <v>39821</v>
      </c>
      <c r="N7028" s="8" t="s">
        <v>93</v>
      </c>
      <c r="O7028" s="8" t="s">
        <v>94</v>
      </c>
      <c r="P7028" s="6" t="s">
        <v>306</v>
      </c>
      <c r="Q7028" s="8" t="s">
        <v>52</v>
      </c>
      <c r="R7028" s="10" t="s">
        <v>35477</v>
      </c>
      <c r="S7028" s="11" t="s">
        <v>39822</v>
      </c>
      <c r="T7028" s="6"/>
      <c r="U7028" s="15" t="str">
        <f>HYPERLINK("https://media.infra-m.ru/2243/2243204/cover/2243204.jpg", "Обложка")</f>
        <v>Обложка</v>
      </c>
      <c r="V7028" s="8" t="s">
        <v>10238</v>
      </c>
      <c r="W7028" s="6"/>
      <c r="X7028" s="6"/>
      <c r="Y7028" s="6"/>
      <c r="Z7028" s="6"/>
      <c r="AA7028" s="6" t="s">
        <v>779</v>
      </c>
      <c r="AB7028" s="8"/>
      <c r="AC7028" s="27">
        <v>9785160113623</v>
      </c>
    </row>
    <row r="7029" spans="1:29" s="4" customFormat="1" ht="51.9" customHeight="1" x14ac:dyDescent="0.2">
      <c r="A7029" s="5">
        <v>0</v>
      </c>
      <c r="B7029" s="6" t="s">
        <v>39823</v>
      </c>
      <c r="C7029" s="7">
        <v>1692</v>
      </c>
      <c r="D7029" s="8" t="s">
        <v>39824</v>
      </c>
      <c r="E7029" s="8" t="s">
        <v>39819</v>
      </c>
      <c r="F7029" s="8" t="s">
        <v>39825</v>
      </c>
      <c r="G7029" s="6" t="s">
        <v>118</v>
      </c>
      <c r="H7029" s="6" t="s">
        <v>34</v>
      </c>
      <c r="I7029" s="8" t="s">
        <v>1248</v>
      </c>
      <c r="J7029" s="9">
        <v>1</v>
      </c>
      <c r="K7029" s="9">
        <v>306</v>
      </c>
      <c r="L7029" s="9">
        <v>2024</v>
      </c>
      <c r="M7029" s="8" t="s">
        <v>39826</v>
      </c>
      <c r="N7029" s="8" t="s">
        <v>93</v>
      </c>
      <c r="O7029" s="8" t="s">
        <v>94</v>
      </c>
      <c r="P7029" s="6" t="s">
        <v>51</v>
      </c>
      <c r="Q7029" s="8" t="s">
        <v>52</v>
      </c>
      <c r="R7029" s="10" t="s">
        <v>39827</v>
      </c>
      <c r="S7029" s="11" t="s">
        <v>39828</v>
      </c>
      <c r="T7029" s="6"/>
      <c r="U7029" s="15" t="str">
        <f>HYPERLINK("https://media.infra-m.ru/2119/2119945/cover/2119945.jpg", "Обложка")</f>
        <v>Обложка</v>
      </c>
      <c r="V7029" s="8" t="s">
        <v>1083</v>
      </c>
      <c r="W7029" s="6"/>
      <c r="X7029" s="6"/>
      <c r="Y7029" s="6"/>
      <c r="Z7029" s="6"/>
      <c r="AA7029" s="6" t="s">
        <v>99</v>
      </c>
      <c r="AB7029" s="8"/>
      <c r="AC7029" s="27">
        <v>9785160194462</v>
      </c>
    </row>
    <row r="7030" spans="1:29" s="4" customFormat="1" ht="51.9" customHeight="1" x14ac:dyDescent="0.2">
      <c r="A7030" s="5">
        <v>0</v>
      </c>
      <c r="B7030" s="6" t="s">
        <v>39829</v>
      </c>
      <c r="C7030" s="7">
        <v>1500</v>
      </c>
      <c r="D7030" s="8" t="s">
        <v>39830</v>
      </c>
      <c r="E7030" s="8" t="s">
        <v>39831</v>
      </c>
      <c r="F7030" s="8" t="s">
        <v>39832</v>
      </c>
      <c r="G7030" s="6" t="s">
        <v>118</v>
      </c>
      <c r="H7030" s="6" t="s">
        <v>34</v>
      </c>
      <c r="I7030" s="8" t="s">
        <v>253</v>
      </c>
      <c r="J7030" s="9">
        <v>1</v>
      </c>
      <c r="K7030" s="9">
        <v>272</v>
      </c>
      <c r="L7030" s="9">
        <v>2024</v>
      </c>
      <c r="M7030" s="8" t="s">
        <v>39833</v>
      </c>
      <c r="N7030" s="8" t="s">
        <v>37</v>
      </c>
      <c r="O7030" s="8" t="s">
        <v>83</v>
      </c>
      <c r="P7030" s="6" t="s">
        <v>51</v>
      </c>
      <c r="Q7030" s="8" t="s">
        <v>52</v>
      </c>
      <c r="R7030" s="10" t="s">
        <v>39834</v>
      </c>
      <c r="S7030" s="11" t="s">
        <v>39835</v>
      </c>
      <c r="T7030" s="6"/>
      <c r="U7030" s="15" t="str">
        <f>HYPERLINK("https://media.infra-m.ru/2104/2104846/cover/2104846.jpg", "Обложка")</f>
        <v>Обложка</v>
      </c>
      <c r="V7030" s="8" t="s">
        <v>2055</v>
      </c>
      <c r="W7030" s="6"/>
      <c r="X7030" s="6"/>
      <c r="Y7030" s="6"/>
      <c r="Z7030" s="6"/>
      <c r="AA7030" s="6" t="s">
        <v>561</v>
      </c>
      <c r="AB7030" s="8"/>
      <c r="AC7030" s="27">
        <v>9785160193335</v>
      </c>
    </row>
    <row r="7031" spans="1:29" s="4" customFormat="1" ht="51.9" customHeight="1" x14ac:dyDescent="0.2">
      <c r="A7031" s="5">
        <v>0</v>
      </c>
      <c r="B7031" s="6" t="s">
        <v>39836</v>
      </c>
      <c r="C7031" s="13">
        <v>648</v>
      </c>
      <c r="D7031" s="8" t="s">
        <v>39837</v>
      </c>
      <c r="E7031" s="8" t="s">
        <v>39831</v>
      </c>
      <c r="F7031" s="8" t="s">
        <v>13227</v>
      </c>
      <c r="G7031" s="6" t="s">
        <v>60</v>
      </c>
      <c r="H7031" s="6" t="s">
        <v>34</v>
      </c>
      <c r="I7031" s="8" t="s">
        <v>271</v>
      </c>
      <c r="J7031" s="9">
        <v>1</v>
      </c>
      <c r="K7031" s="9">
        <v>157</v>
      </c>
      <c r="L7031" s="9">
        <v>2020</v>
      </c>
      <c r="M7031" s="8" t="s">
        <v>39838</v>
      </c>
      <c r="N7031" s="8" t="s">
        <v>37</v>
      </c>
      <c r="O7031" s="8" t="s">
        <v>83</v>
      </c>
      <c r="P7031" s="6" t="s">
        <v>51</v>
      </c>
      <c r="Q7031" s="8" t="s">
        <v>52</v>
      </c>
      <c r="R7031" s="10" t="s">
        <v>39839</v>
      </c>
      <c r="S7031" s="11" t="s">
        <v>39840</v>
      </c>
      <c r="T7031" s="6"/>
      <c r="U7031" s="15" t="str">
        <f>HYPERLINK("https://media.infra-m.ru/1081/1081980/cover/1081980.jpg", "Обложка")</f>
        <v>Обложка</v>
      </c>
      <c r="V7031" s="8" t="s">
        <v>657</v>
      </c>
      <c r="W7031" s="6"/>
      <c r="X7031" s="6"/>
      <c r="Y7031" s="6"/>
      <c r="Z7031" s="6"/>
      <c r="AA7031" s="6" t="s">
        <v>55</v>
      </c>
      <c r="AB7031" s="8"/>
      <c r="AC7031" s="27">
        <v>9785160061511</v>
      </c>
    </row>
    <row r="7032" spans="1:29" s="4" customFormat="1" ht="51.9" customHeight="1" x14ac:dyDescent="0.2">
      <c r="A7032" s="5">
        <v>0</v>
      </c>
      <c r="B7032" s="6" t="s">
        <v>39841</v>
      </c>
      <c r="C7032" s="7">
        <v>1056</v>
      </c>
      <c r="D7032" s="8" t="s">
        <v>39842</v>
      </c>
      <c r="E7032" s="8" t="s">
        <v>39843</v>
      </c>
      <c r="F7032" s="8" t="s">
        <v>13227</v>
      </c>
      <c r="G7032" s="6" t="s">
        <v>118</v>
      </c>
      <c r="H7032" s="6" t="s">
        <v>34</v>
      </c>
      <c r="I7032" s="8" t="s">
        <v>253</v>
      </c>
      <c r="J7032" s="9">
        <v>1</v>
      </c>
      <c r="K7032" s="9">
        <v>184</v>
      </c>
      <c r="L7032" s="9">
        <v>2024</v>
      </c>
      <c r="M7032" s="8" t="s">
        <v>39844</v>
      </c>
      <c r="N7032" s="8" t="s">
        <v>37</v>
      </c>
      <c r="O7032" s="8" t="s">
        <v>83</v>
      </c>
      <c r="P7032" s="6" t="s">
        <v>51</v>
      </c>
      <c r="Q7032" s="8" t="s">
        <v>52</v>
      </c>
      <c r="R7032" s="10" t="s">
        <v>39839</v>
      </c>
      <c r="S7032" s="11" t="s">
        <v>39845</v>
      </c>
      <c r="T7032" s="6"/>
      <c r="U7032" s="15" t="str">
        <f>HYPERLINK("https://media.infra-m.ru/2091/2091913/cover/2091913.jpg", "Обложка")</f>
        <v>Обложка</v>
      </c>
      <c r="V7032" s="8" t="s">
        <v>657</v>
      </c>
      <c r="W7032" s="6"/>
      <c r="X7032" s="6"/>
      <c r="Y7032" s="6"/>
      <c r="Z7032" s="6"/>
      <c r="AA7032" s="6" t="s">
        <v>258</v>
      </c>
      <c r="AB7032" s="8"/>
      <c r="AC7032" s="27">
        <v>9785160191836</v>
      </c>
    </row>
    <row r="7033" spans="1:29" s="4" customFormat="1" ht="51.9" customHeight="1" x14ac:dyDescent="0.2">
      <c r="A7033" s="5">
        <v>0</v>
      </c>
      <c r="B7033" s="6" t="s">
        <v>39846</v>
      </c>
      <c r="C7033" s="7">
        <v>1576.8</v>
      </c>
      <c r="D7033" s="8" t="s">
        <v>39847</v>
      </c>
      <c r="E7033" s="8" t="s">
        <v>39848</v>
      </c>
      <c r="F7033" s="8" t="s">
        <v>25408</v>
      </c>
      <c r="G7033" s="6" t="s">
        <v>118</v>
      </c>
      <c r="H7033" s="6" t="s">
        <v>241</v>
      </c>
      <c r="I7033" s="8"/>
      <c r="J7033" s="9">
        <v>1</v>
      </c>
      <c r="K7033" s="9">
        <v>227</v>
      </c>
      <c r="L7033" s="9">
        <v>2026</v>
      </c>
      <c r="M7033" s="8" t="s">
        <v>39849</v>
      </c>
      <c r="N7033" s="8" t="s">
        <v>63</v>
      </c>
      <c r="O7033" s="8" t="s">
        <v>154</v>
      </c>
      <c r="P7033" s="6" t="s">
        <v>51</v>
      </c>
      <c r="Q7033" s="8" t="s">
        <v>52</v>
      </c>
      <c r="R7033" s="10" t="s">
        <v>39850</v>
      </c>
      <c r="S7033" s="11" t="s">
        <v>39851</v>
      </c>
      <c r="T7033" s="6"/>
      <c r="U7033" s="15" t="str">
        <f>HYPERLINK("https://media.infra-m.ru/2261/2261320/cover/2261320.jpg", "Обложка")</f>
        <v>Обложка</v>
      </c>
      <c r="V7033" s="8" t="s">
        <v>1505</v>
      </c>
      <c r="W7033" s="6"/>
      <c r="X7033" s="6"/>
      <c r="Y7033" s="6"/>
      <c r="Z7033" s="6"/>
      <c r="AA7033" s="6" t="s">
        <v>15559</v>
      </c>
      <c r="AB7033" s="8"/>
      <c r="AC7033" s="27">
        <v>9785955804453</v>
      </c>
    </row>
    <row r="7034" spans="1:29" s="4" customFormat="1" ht="51.9" customHeight="1" x14ac:dyDescent="0.2">
      <c r="A7034" s="5">
        <v>0</v>
      </c>
      <c r="B7034" s="6" t="s">
        <v>39852</v>
      </c>
      <c r="C7034" s="7">
        <v>2628</v>
      </c>
      <c r="D7034" s="8" t="s">
        <v>39853</v>
      </c>
      <c r="E7034" s="8" t="s">
        <v>39854</v>
      </c>
      <c r="F7034" s="8" t="s">
        <v>39855</v>
      </c>
      <c r="G7034" s="6" t="s">
        <v>60</v>
      </c>
      <c r="H7034" s="6" t="s">
        <v>34</v>
      </c>
      <c r="I7034" s="8" t="s">
        <v>271</v>
      </c>
      <c r="J7034" s="9">
        <v>1</v>
      </c>
      <c r="K7034" s="9">
        <v>511</v>
      </c>
      <c r="L7034" s="9">
        <v>2023</v>
      </c>
      <c r="M7034" s="8" t="s">
        <v>39856</v>
      </c>
      <c r="N7034" s="8" t="s">
        <v>63</v>
      </c>
      <c r="O7034" s="8" t="s">
        <v>154</v>
      </c>
      <c r="P7034" s="6" t="s">
        <v>306</v>
      </c>
      <c r="Q7034" s="8" t="s">
        <v>52</v>
      </c>
      <c r="R7034" s="10" t="s">
        <v>39857</v>
      </c>
      <c r="S7034" s="11" t="s">
        <v>39858</v>
      </c>
      <c r="T7034" s="6" t="s">
        <v>97</v>
      </c>
      <c r="U7034" s="15" t="str">
        <f>HYPERLINK("https://media.infra-m.ru/1860/1860811/cover/1860811.jpg", "Обложка")</f>
        <v>Обложка</v>
      </c>
      <c r="V7034" s="8" t="s">
        <v>9346</v>
      </c>
      <c r="W7034" s="6"/>
      <c r="X7034" s="6"/>
      <c r="Y7034" s="6"/>
      <c r="Z7034" s="6"/>
      <c r="AA7034" s="6" t="s">
        <v>623</v>
      </c>
      <c r="AB7034" s="8" t="s">
        <v>493</v>
      </c>
      <c r="AC7034" s="27">
        <v>9785160122793</v>
      </c>
    </row>
    <row r="7035" spans="1:29" s="4" customFormat="1" ht="51.9" customHeight="1" x14ac:dyDescent="0.2">
      <c r="A7035" s="5">
        <v>0</v>
      </c>
      <c r="B7035" s="6" t="s">
        <v>39859</v>
      </c>
      <c r="C7035" s="7">
        <v>2116.8000000000002</v>
      </c>
      <c r="D7035" s="8" t="s">
        <v>39860</v>
      </c>
      <c r="E7035" s="8" t="s">
        <v>39861</v>
      </c>
      <c r="F7035" s="8" t="s">
        <v>39862</v>
      </c>
      <c r="G7035" s="6" t="s">
        <v>60</v>
      </c>
      <c r="H7035" s="6" t="s">
        <v>241</v>
      </c>
      <c r="I7035" s="8"/>
      <c r="J7035" s="9">
        <v>1</v>
      </c>
      <c r="K7035" s="9">
        <v>320</v>
      </c>
      <c r="L7035" s="9">
        <v>2026</v>
      </c>
      <c r="M7035" s="8" t="s">
        <v>39863</v>
      </c>
      <c r="N7035" s="8" t="s">
        <v>93</v>
      </c>
      <c r="O7035" s="8" t="s">
        <v>94</v>
      </c>
      <c r="P7035" s="6" t="s">
        <v>51</v>
      </c>
      <c r="Q7035" s="8" t="s">
        <v>52</v>
      </c>
      <c r="R7035" s="10" t="s">
        <v>39864</v>
      </c>
      <c r="S7035" s="11"/>
      <c r="T7035" s="6"/>
      <c r="U7035" s="15" t="str">
        <f>HYPERLINK("https://media.infra-m.ru/2199/2199049/cover/2199049.jpg", "Обложка")</f>
        <v>Обложка</v>
      </c>
      <c r="V7035" s="8" t="s">
        <v>10325</v>
      </c>
      <c r="W7035" s="6"/>
      <c r="X7035" s="6"/>
      <c r="Y7035" s="6"/>
      <c r="Z7035" s="6"/>
      <c r="AA7035" s="6" t="s">
        <v>274</v>
      </c>
      <c r="AB7035" s="8"/>
      <c r="AC7035" s="27">
        <v>9785955803760</v>
      </c>
    </row>
    <row r="7036" spans="1:29" s="4" customFormat="1" ht="51.9" customHeight="1" x14ac:dyDescent="0.2">
      <c r="A7036" s="5">
        <v>0</v>
      </c>
      <c r="B7036" s="6" t="s">
        <v>39865</v>
      </c>
      <c r="C7036" s="7">
        <v>1860</v>
      </c>
      <c r="D7036" s="8" t="s">
        <v>39866</v>
      </c>
      <c r="E7036" s="8" t="s">
        <v>39867</v>
      </c>
      <c r="F7036" s="8" t="s">
        <v>39868</v>
      </c>
      <c r="G7036" s="6" t="s">
        <v>118</v>
      </c>
      <c r="H7036" s="6" t="s">
        <v>34</v>
      </c>
      <c r="I7036" s="8" t="s">
        <v>253</v>
      </c>
      <c r="J7036" s="9">
        <v>1</v>
      </c>
      <c r="K7036" s="9">
        <v>262</v>
      </c>
      <c r="L7036" s="9">
        <v>2027</v>
      </c>
      <c r="M7036" s="8" t="s">
        <v>39869</v>
      </c>
      <c r="N7036" s="8" t="s">
        <v>63</v>
      </c>
      <c r="O7036" s="8" t="s">
        <v>154</v>
      </c>
      <c r="P7036" s="6" t="s">
        <v>51</v>
      </c>
      <c r="Q7036" s="8" t="s">
        <v>52</v>
      </c>
      <c r="R7036" s="10" t="s">
        <v>39870</v>
      </c>
      <c r="S7036" s="11" t="s">
        <v>39871</v>
      </c>
      <c r="T7036" s="6"/>
      <c r="U7036" s="15" t="str">
        <f>HYPERLINK("https://media.infra-m.ru/2269/2269988/cover/2269988.jpg", "Обложка")</f>
        <v>Обложка</v>
      </c>
      <c r="V7036" s="8" t="s">
        <v>10325</v>
      </c>
      <c r="W7036" s="6"/>
      <c r="X7036" s="6"/>
      <c r="Y7036" s="6"/>
      <c r="Z7036" s="6"/>
      <c r="AA7036" s="6" t="s">
        <v>1256</v>
      </c>
      <c r="AB7036" s="8"/>
      <c r="AC7036" s="27">
        <v>9785160224855</v>
      </c>
    </row>
    <row r="7037" spans="1:29" s="4" customFormat="1" ht="51.9" customHeight="1" x14ac:dyDescent="0.2">
      <c r="A7037" s="5">
        <v>0</v>
      </c>
      <c r="B7037" s="6" t="s">
        <v>39872</v>
      </c>
      <c r="C7037" s="7">
        <v>2568</v>
      </c>
      <c r="D7037" s="8" t="s">
        <v>39873</v>
      </c>
      <c r="E7037" s="8" t="s">
        <v>39874</v>
      </c>
      <c r="F7037" s="8" t="s">
        <v>39875</v>
      </c>
      <c r="G7037" s="6" t="s">
        <v>118</v>
      </c>
      <c r="H7037" s="6" t="s">
        <v>34</v>
      </c>
      <c r="I7037" s="8" t="s">
        <v>35</v>
      </c>
      <c r="J7037" s="9">
        <v>1</v>
      </c>
      <c r="K7037" s="9">
        <v>389</v>
      </c>
      <c r="L7037" s="9">
        <v>2026</v>
      </c>
      <c r="M7037" s="8" t="s">
        <v>39876</v>
      </c>
      <c r="N7037" s="8" t="s">
        <v>63</v>
      </c>
      <c r="O7037" s="8" t="s">
        <v>154</v>
      </c>
      <c r="P7037" s="6" t="s">
        <v>39</v>
      </c>
      <c r="Q7037" s="8" t="s">
        <v>40</v>
      </c>
      <c r="R7037" s="10" t="s">
        <v>39877</v>
      </c>
      <c r="S7037" s="11"/>
      <c r="T7037" s="6"/>
      <c r="U7037" s="15" t="str">
        <f>HYPERLINK("https://media.infra-m.ru/2234/2234086/cover/2234086.jpg", "Обложка")</f>
        <v>Обложка</v>
      </c>
      <c r="V7037" s="8" t="s">
        <v>588</v>
      </c>
      <c r="W7037" s="6"/>
      <c r="X7037" s="6" t="s">
        <v>24</v>
      </c>
      <c r="Y7037" s="6"/>
      <c r="Z7037" s="6"/>
      <c r="AA7037" s="6" t="s">
        <v>2240</v>
      </c>
      <c r="AB7037" s="8"/>
      <c r="AC7037" s="27">
        <v>9785160141923</v>
      </c>
    </row>
    <row r="7038" spans="1:29" s="4" customFormat="1" ht="51.9" customHeight="1" x14ac:dyDescent="0.2">
      <c r="A7038" s="5">
        <v>0</v>
      </c>
      <c r="B7038" s="6" t="s">
        <v>39878</v>
      </c>
      <c r="C7038" s="13">
        <v>924</v>
      </c>
      <c r="D7038" s="8" t="s">
        <v>39879</v>
      </c>
      <c r="E7038" s="8" t="s">
        <v>39880</v>
      </c>
      <c r="F7038" s="8" t="s">
        <v>39881</v>
      </c>
      <c r="G7038" s="6" t="s">
        <v>60</v>
      </c>
      <c r="H7038" s="6" t="s">
        <v>34</v>
      </c>
      <c r="I7038" s="8" t="s">
        <v>35</v>
      </c>
      <c r="J7038" s="9">
        <v>1</v>
      </c>
      <c r="K7038" s="9">
        <v>256</v>
      </c>
      <c r="L7038" s="9">
        <v>2018</v>
      </c>
      <c r="M7038" s="8" t="s">
        <v>39882</v>
      </c>
      <c r="N7038" s="8" t="s">
        <v>63</v>
      </c>
      <c r="O7038" s="8" t="s">
        <v>154</v>
      </c>
      <c r="P7038" s="6" t="s">
        <v>39</v>
      </c>
      <c r="Q7038" s="8" t="s">
        <v>40</v>
      </c>
      <c r="R7038" s="10" t="s">
        <v>39877</v>
      </c>
      <c r="S7038" s="11"/>
      <c r="T7038" s="6"/>
      <c r="U7038" s="15" t="str">
        <f>HYPERLINK("https://media.infra-m.ru/0961/0961435/cover/961435.jpg", "Обложка")</f>
        <v>Обложка</v>
      </c>
      <c r="V7038" s="8" t="s">
        <v>588</v>
      </c>
      <c r="W7038" s="6"/>
      <c r="X7038" s="6" t="s">
        <v>24</v>
      </c>
      <c r="Y7038" s="6"/>
      <c r="Z7038" s="6"/>
      <c r="AA7038" s="6" t="s">
        <v>99</v>
      </c>
      <c r="AB7038" s="8"/>
      <c r="AC7038" s="27">
        <v>9785160121864</v>
      </c>
    </row>
    <row r="7039" spans="1:29" s="4" customFormat="1" ht="51.9" customHeight="1" x14ac:dyDescent="0.2">
      <c r="A7039" s="5">
        <v>0</v>
      </c>
      <c r="B7039" s="6" t="s">
        <v>39883</v>
      </c>
      <c r="C7039" s="7">
        <v>1692</v>
      </c>
      <c r="D7039" s="8" t="s">
        <v>39884</v>
      </c>
      <c r="E7039" s="8" t="s">
        <v>39885</v>
      </c>
      <c r="F7039" s="8" t="s">
        <v>25408</v>
      </c>
      <c r="G7039" s="6" t="s">
        <v>118</v>
      </c>
      <c r="H7039" s="6" t="s">
        <v>34</v>
      </c>
      <c r="I7039" s="8" t="s">
        <v>253</v>
      </c>
      <c r="J7039" s="9">
        <v>1</v>
      </c>
      <c r="K7039" s="9">
        <v>256</v>
      </c>
      <c r="L7039" s="9">
        <v>2026</v>
      </c>
      <c r="M7039" s="8" t="s">
        <v>39886</v>
      </c>
      <c r="N7039" s="8" t="s">
        <v>63</v>
      </c>
      <c r="O7039" s="8" t="s">
        <v>154</v>
      </c>
      <c r="P7039" s="6" t="s">
        <v>51</v>
      </c>
      <c r="Q7039" s="8" t="s">
        <v>65</v>
      </c>
      <c r="R7039" s="10" t="s">
        <v>39887</v>
      </c>
      <c r="S7039" s="11" t="s">
        <v>39888</v>
      </c>
      <c r="T7039" s="6"/>
      <c r="U7039" s="15" t="str">
        <f>HYPERLINK("https://media.infra-m.ru/2224/2224092/cover/2224092.jpg", "Обложка")</f>
        <v>Обложка</v>
      </c>
      <c r="V7039" s="8" t="s">
        <v>1505</v>
      </c>
      <c r="W7039" s="6"/>
      <c r="X7039" s="6"/>
      <c r="Y7039" s="6"/>
      <c r="Z7039" s="6"/>
      <c r="AA7039" s="6" t="s">
        <v>16547</v>
      </c>
      <c r="AB7039" s="8"/>
      <c r="AC7039" s="27">
        <v>9785160214368</v>
      </c>
    </row>
    <row r="7040" spans="1:29" s="4" customFormat="1" ht="51.9" customHeight="1" x14ac:dyDescent="0.2">
      <c r="A7040" s="5">
        <v>0</v>
      </c>
      <c r="B7040" s="6" t="s">
        <v>39889</v>
      </c>
      <c r="C7040" s="7">
        <v>2008.8</v>
      </c>
      <c r="D7040" s="8" t="s">
        <v>39890</v>
      </c>
      <c r="E7040" s="8" t="s">
        <v>39891</v>
      </c>
      <c r="F7040" s="8" t="s">
        <v>39892</v>
      </c>
      <c r="G7040" s="6" t="s">
        <v>118</v>
      </c>
      <c r="H7040" s="6" t="s">
        <v>48</v>
      </c>
      <c r="I7040" s="8" t="s">
        <v>401</v>
      </c>
      <c r="J7040" s="9">
        <v>1</v>
      </c>
      <c r="K7040" s="9">
        <v>335</v>
      </c>
      <c r="L7040" s="9">
        <v>2025</v>
      </c>
      <c r="M7040" s="8" t="s">
        <v>39893</v>
      </c>
      <c r="N7040" s="8" t="s">
        <v>63</v>
      </c>
      <c r="O7040" s="8" t="s">
        <v>154</v>
      </c>
      <c r="P7040" s="6" t="s">
        <v>306</v>
      </c>
      <c r="Q7040" s="8" t="s">
        <v>265</v>
      </c>
      <c r="R7040" s="10" t="s">
        <v>39894</v>
      </c>
      <c r="S7040" s="11" t="s">
        <v>4015</v>
      </c>
      <c r="T7040" s="6"/>
      <c r="U7040" s="15" t="str">
        <f>HYPERLINK("https://media.infra-m.ru/2184/2184961/cover/2184961.jpg", "Обложка")</f>
        <v>Обложка</v>
      </c>
      <c r="V7040" s="8" t="s">
        <v>9318</v>
      </c>
      <c r="W7040" s="6"/>
      <c r="X7040" s="6"/>
      <c r="Y7040" s="6"/>
      <c r="Z7040" s="6"/>
      <c r="AA7040" s="6" t="s">
        <v>7159</v>
      </c>
      <c r="AB7040" s="8"/>
      <c r="AC7040" s="27">
        <v>9785000914922</v>
      </c>
    </row>
    <row r="7041" spans="1:29" s="4" customFormat="1" ht="51.9" customHeight="1" x14ac:dyDescent="0.2">
      <c r="A7041" s="5">
        <v>0</v>
      </c>
      <c r="B7041" s="6" t="s">
        <v>39895</v>
      </c>
      <c r="C7041" s="7">
        <v>2220</v>
      </c>
      <c r="D7041" s="8" t="s">
        <v>39896</v>
      </c>
      <c r="E7041" s="8" t="s">
        <v>39897</v>
      </c>
      <c r="F7041" s="8" t="s">
        <v>39898</v>
      </c>
      <c r="G7041" s="6" t="s">
        <v>118</v>
      </c>
      <c r="H7041" s="6" t="s">
        <v>34</v>
      </c>
      <c r="I7041" s="8" t="s">
        <v>253</v>
      </c>
      <c r="J7041" s="9">
        <v>1</v>
      </c>
      <c r="K7041" s="9">
        <v>336</v>
      </c>
      <c r="L7041" s="9">
        <v>2026</v>
      </c>
      <c r="M7041" s="8" t="s">
        <v>39899</v>
      </c>
      <c r="N7041" s="8" t="s">
        <v>63</v>
      </c>
      <c r="O7041" s="8" t="s">
        <v>154</v>
      </c>
      <c r="P7041" s="6" t="s">
        <v>306</v>
      </c>
      <c r="Q7041" s="8" t="s">
        <v>52</v>
      </c>
      <c r="R7041" s="10" t="s">
        <v>39900</v>
      </c>
      <c r="S7041" s="11" t="s">
        <v>35746</v>
      </c>
      <c r="T7041" s="6" t="s">
        <v>97</v>
      </c>
      <c r="U7041" s="15" t="str">
        <f>HYPERLINK("https://media.infra-m.ru/2224/2224088/cover/2224088.jpg", "Обложка")</f>
        <v>Обложка</v>
      </c>
      <c r="V7041" s="8" t="s">
        <v>39901</v>
      </c>
      <c r="W7041" s="6"/>
      <c r="X7041" s="6"/>
      <c r="Y7041" s="6"/>
      <c r="Z7041" s="6"/>
      <c r="AA7041" s="6" t="s">
        <v>779</v>
      </c>
      <c r="AB7041" s="8"/>
      <c r="AC7041" s="27">
        <v>9785160214351</v>
      </c>
    </row>
    <row r="7042" spans="1:29" s="4" customFormat="1" ht="51.9" customHeight="1" x14ac:dyDescent="0.2">
      <c r="A7042" s="5">
        <v>0</v>
      </c>
      <c r="B7042" s="6" t="s">
        <v>39902</v>
      </c>
      <c r="C7042" s="7">
        <v>2033.9</v>
      </c>
      <c r="D7042" s="8" t="s">
        <v>39903</v>
      </c>
      <c r="E7042" s="8" t="s">
        <v>39904</v>
      </c>
      <c r="F7042" s="8" t="s">
        <v>39905</v>
      </c>
      <c r="G7042" s="6" t="s">
        <v>60</v>
      </c>
      <c r="H7042" s="6" t="s">
        <v>48</v>
      </c>
      <c r="I7042" s="8" t="s">
        <v>253</v>
      </c>
      <c r="J7042" s="9">
        <v>1</v>
      </c>
      <c r="K7042" s="9">
        <v>496</v>
      </c>
      <c r="L7042" s="9">
        <v>2020</v>
      </c>
      <c r="M7042" s="8" t="s">
        <v>39906</v>
      </c>
      <c r="N7042" s="8" t="s">
        <v>63</v>
      </c>
      <c r="O7042" s="8" t="s">
        <v>154</v>
      </c>
      <c r="P7042" s="6" t="s">
        <v>51</v>
      </c>
      <c r="Q7042" s="8" t="s">
        <v>52</v>
      </c>
      <c r="R7042" s="10" t="s">
        <v>14977</v>
      </c>
      <c r="S7042" s="11" t="s">
        <v>39907</v>
      </c>
      <c r="T7042" s="6"/>
      <c r="U7042" s="15" t="str">
        <f>HYPERLINK("https://media.infra-m.ru/1042/1042114/cover/1042114.jpg", "Обложка")</f>
        <v>Обложка</v>
      </c>
      <c r="V7042" s="8" t="s">
        <v>9318</v>
      </c>
      <c r="W7042" s="6"/>
      <c r="X7042" s="6"/>
      <c r="Y7042" s="6"/>
      <c r="Z7042" s="6"/>
      <c r="AA7042" s="6" t="s">
        <v>2338</v>
      </c>
      <c r="AB7042" s="8"/>
      <c r="AC7042" s="27">
        <v>9785911344948</v>
      </c>
    </row>
    <row r="7043" spans="1:29" s="4" customFormat="1" ht="51.9" customHeight="1" x14ac:dyDescent="0.2">
      <c r="A7043" s="5">
        <v>0</v>
      </c>
      <c r="B7043" s="6" t="s">
        <v>39908</v>
      </c>
      <c r="C7043" s="7">
        <v>1192.8</v>
      </c>
      <c r="D7043" s="8" t="s">
        <v>39909</v>
      </c>
      <c r="E7043" s="8" t="s">
        <v>39897</v>
      </c>
      <c r="F7043" s="8" t="s">
        <v>28365</v>
      </c>
      <c r="G7043" s="6" t="s">
        <v>118</v>
      </c>
      <c r="H7043" s="6" t="s">
        <v>1042</v>
      </c>
      <c r="I7043" s="8" t="s">
        <v>263</v>
      </c>
      <c r="J7043" s="9">
        <v>1</v>
      </c>
      <c r="K7043" s="9">
        <v>192</v>
      </c>
      <c r="L7043" s="9">
        <v>2025</v>
      </c>
      <c r="M7043" s="8" t="s">
        <v>39910</v>
      </c>
      <c r="N7043" s="8" t="s">
        <v>63</v>
      </c>
      <c r="O7043" s="8" t="s">
        <v>154</v>
      </c>
      <c r="P7043" s="6" t="s">
        <v>51</v>
      </c>
      <c r="Q7043" s="8" t="s">
        <v>265</v>
      </c>
      <c r="R7043" s="10" t="s">
        <v>39911</v>
      </c>
      <c r="S7043" s="11" t="s">
        <v>39912</v>
      </c>
      <c r="T7043" s="6"/>
      <c r="U7043" s="15" t="str">
        <f>HYPERLINK("https://media.infra-m.ru/2198/2198561/cover/2198561.jpg", "Обложка")</f>
        <v>Обложка</v>
      </c>
      <c r="V7043" s="8" t="s">
        <v>5951</v>
      </c>
      <c r="W7043" s="6"/>
      <c r="X7043" s="6"/>
      <c r="Y7043" s="6"/>
      <c r="Z7043" s="6"/>
      <c r="AA7043" s="6" t="s">
        <v>1047</v>
      </c>
      <c r="AB7043" s="8"/>
      <c r="AC7043" s="27">
        <v>9785819907238</v>
      </c>
    </row>
    <row r="7044" spans="1:29" s="4" customFormat="1" ht="51.9" customHeight="1" x14ac:dyDescent="0.2">
      <c r="A7044" s="5">
        <v>0</v>
      </c>
      <c r="B7044" s="6" t="s">
        <v>39913</v>
      </c>
      <c r="C7044" s="7">
        <v>3592.8</v>
      </c>
      <c r="D7044" s="8" t="s">
        <v>39914</v>
      </c>
      <c r="E7044" s="8" t="s">
        <v>39891</v>
      </c>
      <c r="F7044" s="8" t="s">
        <v>39915</v>
      </c>
      <c r="G7044" s="6" t="s">
        <v>60</v>
      </c>
      <c r="H7044" s="6" t="s">
        <v>34</v>
      </c>
      <c r="I7044" s="8" t="s">
        <v>253</v>
      </c>
      <c r="J7044" s="9">
        <v>1</v>
      </c>
      <c r="K7044" s="9">
        <v>544</v>
      </c>
      <c r="L7044" s="9">
        <v>2026</v>
      </c>
      <c r="M7044" s="8" t="s">
        <v>39916</v>
      </c>
      <c r="N7044" s="8" t="s">
        <v>63</v>
      </c>
      <c r="O7044" s="8" t="s">
        <v>154</v>
      </c>
      <c r="P7044" s="6" t="s">
        <v>51</v>
      </c>
      <c r="Q7044" s="8" t="s">
        <v>52</v>
      </c>
      <c r="R7044" s="10" t="s">
        <v>14977</v>
      </c>
      <c r="S7044" s="11" t="s">
        <v>39917</v>
      </c>
      <c r="T7044" s="6"/>
      <c r="U7044" s="15" t="str">
        <f>HYPERLINK("https://media.infra-m.ru/2239/2239529/cover/2239529.jpg", "Обложка")</f>
        <v>Обложка</v>
      </c>
      <c r="V7044" s="8" t="s">
        <v>9318</v>
      </c>
      <c r="W7044" s="6"/>
      <c r="X7044" s="6"/>
      <c r="Y7044" s="6"/>
      <c r="Z7044" s="6"/>
      <c r="AA7044" s="6" t="s">
        <v>4023</v>
      </c>
      <c r="AB7044" s="8"/>
      <c r="AC7044" s="27">
        <v>9785160163758</v>
      </c>
    </row>
    <row r="7045" spans="1:29" s="4" customFormat="1" ht="51.9" customHeight="1" x14ac:dyDescent="0.2">
      <c r="A7045" s="5">
        <v>0</v>
      </c>
      <c r="B7045" s="6" t="s">
        <v>39918</v>
      </c>
      <c r="C7045" s="7">
        <v>1504.8</v>
      </c>
      <c r="D7045" s="8" t="s">
        <v>39919</v>
      </c>
      <c r="E7045" s="8" t="s">
        <v>39920</v>
      </c>
      <c r="F7045" s="8" t="s">
        <v>39921</v>
      </c>
      <c r="G7045" s="6" t="s">
        <v>33</v>
      </c>
      <c r="H7045" s="6" t="s">
        <v>48</v>
      </c>
      <c r="I7045" s="8" t="s">
        <v>271</v>
      </c>
      <c r="J7045" s="9">
        <v>1</v>
      </c>
      <c r="K7045" s="9">
        <v>272</v>
      </c>
      <c r="L7045" s="9">
        <v>2024</v>
      </c>
      <c r="M7045" s="8" t="s">
        <v>39922</v>
      </c>
      <c r="N7045" s="8" t="s">
        <v>37</v>
      </c>
      <c r="O7045" s="8" t="s">
        <v>83</v>
      </c>
      <c r="P7045" s="6" t="s">
        <v>51</v>
      </c>
      <c r="Q7045" s="8" t="s">
        <v>52</v>
      </c>
      <c r="R7045" s="10" t="s">
        <v>6011</v>
      </c>
      <c r="S7045" s="11" t="s">
        <v>39923</v>
      </c>
      <c r="T7045" s="6"/>
      <c r="U7045" s="15" t="str">
        <f>HYPERLINK("https://media.infra-m.ru/2088/2088248/cover/2088248.jpg", "Обложка")</f>
        <v>Обложка</v>
      </c>
      <c r="V7045" s="8" t="s">
        <v>5964</v>
      </c>
      <c r="W7045" s="6"/>
      <c r="X7045" s="6"/>
      <c r="Y7045" s="6"/>
      <c r="Z7045" s="6"/>
      <c r="AA7045" s="6" t="s">
        <v>274</v>
      </c>
      <c r="AB7045" s="8"/>
      <c r="AC7045" s="27">
        <v>9785000910191</v>
      </c>
    </row>
    <row r="7046" spans="1:29" s="4" customFormat="1" ht="51.9" customHeight="1" x14ac:dyDescent="0.2">
      <c r="A7046" s="5">
        <v>0</v>
      </c>
      <c r="B7046" s="6" t="s">
        <v>39924</v>
      </c>
      <c r="C7046" s="13">
        <v>684</v>
      </c>
      <c r="D7046" s="8" t="s">
        <v>39925</v>
      </c>
      <c r="E7046" s="8" t="s">
        <v>39926</v>
      </c>
      <c r="F7046" s="8" t="s">
        <v>39927</v>
      </c>
      <c r="G7046" s="6" t="s">
        <v>118</v>
      </c>
      <c r="H7046" s="6" t="s">
        <v>34</v>
      </c>
      <c r="I7046" s="8" t="s">
        <v>263</v>
      </c>
      <c r="J7046" s="9">
        <v>1</v>
      </c>
      <c r="K7046" s="9">
        <v>167</v>
      </c>
      <c r="L7046" s="9">
        <v>2020</v>
      </c>
      <c r="M7046" s="8" t="s">
        <v>39928</v>
      </c>
      <c r="N7046" s="8" t="s">
        <v>37</v>
      </c>
      <c r="O7046" s="8" t="s">
        <v>83</v>
      </c>
      <c r="P7046" s="6" t="s">
        <v>51</v>
      </c>
      <c r="Q7046" s="8" t="s">
        <v>265</v>
      </c>
      <c r="R7046" s="10" t="s">
        <v>39929</v>
      </c>
      <c r="S7046" s="11" t="s">
        <v>39930</v>
      </c>
      <c r="T7046" s="6"/>
      <c r="U7046" s="15" t="str">
        <f>HYPERLINK("https://media.infra-m.ru/1059/1059391/cover/1059391.jpg", "Обложка")</f>
        <v>Обложка</v>
      </c>
      <c r="V7046" s="8" t="s">
        <v>4409</v>
      </c>
      <c r="W7046" s="6"/>
      <c r="X7046" s="6"/>
      <c r="Y7046" s="6"/>
      <c r="Z7046" s="6" t="s">
        <v>267</v>
      </c>
      <c r="AA7046" s="6" t="s">
        <v>86</v>
      </c>
      <c r="AB7046" s="8"/>
      <c r="AC7046" s="27">
        <v>9785160140025</v>
      </c>
    </row>
    <row r="7047" spans="1:29" s="4" customFormat="1" ht="51.9" customHeight="1" x14ac:dyDescent="0.2">
      <c r="A7047" s="5">
        <v>0</v>
      </c>
      <c r="B7047" s="6" t="s">
        <v>39931</v>
      </c>
      <c r="C7047" s="7">
        <v>1108.8</v>
      </c>
      <c r="D7047" s="8" t="s">
        <v>39932</v>
      </c>
      <c r="E7047" s="8" t="s">
        <v>39933</v>
      </c>
      <c r="F7047" s="8" t="s">
        <v>38199</v>
      </c>
      <c r="G7047" s="6" t="s">
        <v>118</v>
      </c>
      <c r="H7047" s="6" t="s">
        <v>34</v>
      </c>
      <c r="I7047" s="8" t="s">
        <v>263</v>
      </c>
      <c r="J7047" s="9">
        <v>1</v>
      </c>
      <c r="K7047" s="9">
        <v>159</v>
      </c>
      <c r="L7047" s="9">
        <v>2026</v>
      </c>
      <c r="M7047" s="8" t="s">
        <v>39934</v>
      </c>
      <c r="N7047" s="8" t="s">
        <v>37</v>
      </c>
      <c r="O7047" s="8" t="s">
        <v>83</v>
      </c>
      <c r="P7047" s="6" t="s">
        <v>51</v>
      </c>
      <c r="Q7047" s="8" t="s">
        <v>265</v>
      </c>
      <c r="R7047" s="10" t="s">
        <v>29039</v>
      </c>
      <c r="S7047" s="11" t="s">
        <v>39935</v>
      </c>
      <c r="T7047" s="6"/>
      <c r="U7047" s="15" t="str">
        <f>HYPERLINK("https://media.infra-m.ru/2258/2258365/cover/2258365.jpg", "Обложка")</f>
        <v>Обложка</v>
      </c>
      <c r="V7047" s="8" t="s">
        <v>6012</v>
      </c>
      <c r="W7047" s="6"/>
      <c r="X7047" s="6"/>
      <c r="Y7047" s="6"/>
      <c r="Z7047" s="6" t="s">
        <v>267</v>
      </c>
      <c r="AA7047" s="6" t="s">
        <v>115</v>
      </c>
      <c r="AB7047" s="8" t="s">
        <v>3581</v>
      </c>
      <c r="AC7047" s="27">
        <v>9785160163864</v>
      </c>
    </row>
    <row r="7048" spans="1:29" s="4" customFormat="1" ht="51.9" customHeight="1" x14ac:dyDescent="0.2">
      <c r="A7048" s="5">
        <v>0</v>
      </c>
      <c r="B7048" s="6" t="s">
        <v>39936</v>
      </c>
      <c r="C7048" s="7">
        <v>1092</v>
      </c>
      <c r="D7048" s="8" t="s">
        <v>39937</v>
      </c>
      <c r="E7048" s="8" t="s">
        <v>39938</v>
      </c>
      <c r="F7048" s="8" t="s">
        <v>38199</v>
      </c>
      <c r="G7048" s="6" t="s">
        <v>118</v>
      </c>
      <c r="H7048" s="6" t="s">
        <v>34</v>
      </c>
      <c r="I7048" s="8" t="s">
        <v>253</v>
      </c>
      <c r="J7048" s="9">
        <v>1</v>
      </c>
      <c r="K7048" s="9">
        <v>159</v>
      </c>
      <c r="L7048" s="9">
        <v>2024</v>
      </c>
      <c r="M7048" s="8" t="s">
        <v>39939</v>
      </c>
      <c r="N7048" s="8" t="s">
        <v>37</v>
      </c>
      <c r="O7048" s="8" t="s">
        <v>83</v>
      </c>
      <c r="P7048" s="6" t="s">
        <v>51</v>
      </c>
      <c r="Q7048" s="8" t="s">
        <v>52</v>
      </c>
      <c r="R7048" s="10" t="s">
        <v>6011</v>
      </c>
      <c r="S7048" s="11" t="s">
        <v>39940</v>
      </c>
      <c r="T7048" s="6"/>
      <c r="U7048" s="15" t="str">
        <f>HYPERLINK("https://media.infra-m.ru/2130/2130170/cover/2130170.jpg", "Обложка")</f>
        <v>Обложка</v>
      </c>
      <c r="V7048" s="8" t="s">
        <v>6012</v>
      </c>
      <c r="W7048" s="6"/>
      <c r="X7048" s="6"/>
      <c r="Y7048" s="6"/>
      <c r="Z7048" s="6"/>
      <c r="AA7048" s="6" t="s">
        <v>258</v>
      </c>
      <c r="AB7048" s="8"/>
      <c r="AC7048" s="27">
        <v>9785160195759</v>
      </c>
    </row>
    <row r="7049" spans="1:29" s="4" customFormat="1" ht="51.9" customHeight="1" x14ac:dyDescent="0.2">
      <c r="A7049" s="5">
        <v>0</v>
      </c>
      <c r="B7049" s="6" t="s">
        <v>39941</v>
      </c>
      <c r="C7049" s="13">
        <v>684</v>
      </c>
      <c r="D7049" s="8" t="s">
        <v>39942</v>
      </c>
      <c r="E7049" s="8" t="s">
        <v>39933</v>
      </c>
      <c r="F7049" s="8" t="s">
        <v>38199</v>
      </c>
      <c r="G7049" s="6" t="s">
        <v>118</v>
      </c>
      <c r="H7049" s="6" t="s">
        <v>34</v>
      </c>
      <c r="I7049" s="8" t="s">
        <v>271</v>
      </c>
      <c r="J7049" s="9">
        <v>1</v>
      </c>
      <c r="K7049" s="9">
        <v>159</v>
      </c>
      <c r="L7049" s="9">
        <v>2020</v>
      </c>
      <c r="M7049" s="8" t="s">
        <v>39943</v>
      </c>
      <c r="N7049" s="8" t="s">
        <v>37</v>
      </c>
      <c r="O7049" s="8" t="s">
        <v>83</v>
      </c>
      <c r="P7049" s="6" t="s">
        <v>51</v>
      </c>
      <c r="Q7049" s="8" t="s">
        <v>52</v>
      </c>
      <c r="R7049" s="10" t="s">
        <v>6011</v>
      </c>
      <c r="S7049" s="11" t="s">
        <v>39944</v>
      </c>
      <c r="T7049" s="6"/>
      <c r="U7049" s="15" t="str">
        <f>HYPERLINK("https://media.infra-m.ru/1208/1208470/cover/1208470.jpg", "Обложка")</f>
        <v>Обложка</v>
      </c>
      <c r="V7049" s="8" t="s">
        <v>6012</v>
      </c>
      <c r="W7049" s="6"/>
      <c r="X7049" s="6"/>
      <c r="Y7049" s="6"/>
      <c r="Z7049" s="6"/>
      <c r="AA7049" s="6" t="s">
        <v>274</v>
      </c>
      <c r="AB7049" s="8"/>
      <c r="AC7049" s="27">
        <v>9785160155678</v>
      </c>
    </row>
    <row r="7050" spans="1:29" s="4" customFormat="1" ht="51.9" customHeight="1" x14ac:dyDescent="0.2">
      <c r="A7050" s="5">
        <v>0</v>
      </c>
      <c r="B7050" s="6" t="s">
        <v>39945</v>
      </c>
      <c r="C7050" s="7">
        <v>1372.8</v>
      </c>
      <c r="D7050" s="8" t="s">
        <v>39946</v>
      </c>
      <c r="E7050" s="8" t="s">
        <v>39947</v>
      </c>
      <c r="F7050" s="8" t="s">
        <v>39948</v>
      </c>
      <c r="G7050" s="6" t="s">
        <v>33</v>
      </c>
      <c r="H7050" s="6" t="s">
        <v>34</v>
      </c>
      <c r="I7050" s="8" t="s">
        <v>253</v>
      </c>
      <c r="J7050" s="9">
        <v>1</v>
      </c>
      <c r="K7050" s="9">
        <v>220</v>
      </c>
      <c r="L7050" s="9">
        <v>2025</v>
      </c>
      <c r="M7050" s="8" t="s">
        <v>39949</v>
      </c>
      <c r="N7050" s="8" t="s">
        <v>37</v>
      </c>
      <c r="O7050" s="8" t="s">
        <v>83</v>
      </c>
      <c r="P7050" s="6" t="s">
        <v>51</v>
      </c>
      <c r="Q7050" s="8" t="s">
        <v>52</v>
      </c>
      <c r="R7050" s="10" t="s">
        <v>35075</v>
      </c>
      <c r="S7050" s="11" t="s">
        <v>39950</v>
      </c>
      <c r="T7050" s="6"/>
      <c r="U7050" s="15" t="str">
        <f>HYPERLINK("https://media.infra-m.ru/2198/2198938/cover/2198938.jpg", "Обложка")</f>
        <v>Обложка</v>
      </c>
      <c r="V7050" s="8" t="s">
        <v>657</v>
      </c>
      <c r="W7050" s="6"/>
      <c r="X7050" s="6"/>
      <c r="Y7050" s="6"/>
      <c r="Z7050" s="6"/>
      <c r="AA7050" s="6" t="s">
        <v>874</v>
      </c>
      <c r="AB7050" s="8"/>
      <c r="AC7050" s="27">
        <v>9785160099194</v>
      </c>
    </row>
    <row r="7051" spans="1:29" s="4" customFormat="1" ht="51.9" customHeight="1" x14ac:dyDescent="0.2">
      <c r="A7051" s="5">
        <v>0</v>
      </c>
      <c r="B7051" s="6" t="s">
        <v>39951</v>
      </c>
      <c r="C7051" s="7">
        <v>1536</v>
      </c>
      <c r="D7051" s="8" t="s">
        <v>39952</v>
      </c>
      <c r="E7051" s="8" t="s">
        <v>39953</v>
      </c>
      <c r="F7051" s="8" t="s">
        <v>39954</v>
      </c>
      <c r="G7051" s="6" t="s">
        <v>33</v>
      </c>
      <c r="H7051" s="6" t="s">
        <v>34</v>
      </c>
      <c r="I7051" s="8" t="s">
        <v>1835</v>
      </c>
      <c r="J7051" s="9">
        <v>1</v>
      </c>
      <c r="K7051" s="9">
        <v>232</v>
      </c>
      <c r="L7051" s="9">
        <v>2026</v>
      </c>
      <c r="M7051" s="8" t="s">
        <v>39955</v>
      </c>
      <c r="N7051" s="8" t="s">
        <v>37</v>
      </c>
      <c r="O7051" s="8" t="s">
        <v>83</v>
      </c>
      <c r="P7051" s="6" t="s">
        <v>1837</v>
      </c>
      <c r="Q7051" s="8" t="s">
        <v>40</v>
      </c>
      <c r="R7051" s="10" t="s">
        <v>39956</v>
      </c>
      <c r="S7051" s="11" t="s">
        <v>39944</v>
      </c>
      <c r="T7051" s="6"/>
      <c r="U7051" s="15" t="str">
        <f>HYPERLINK("https://media.infra-m.ru/2246/2246651/cover/2246651.jpg", "Обложка")</f>
        <v>Обложка</v>
      </c>
      <c r="V7051" s="8" t="s">
        <v>6012</v>
      </c>
      <c r="W7051" s="6"/>
      <c r="X7051" s="6"/>
      <c r="Y7051" s="6"/>
      <c r="Z7051" s="6"/>
      <c r="AA7051" s="6" t="s">
        <v>274</v>
      </c>
      <c r="AB7051" s="8"/>
      <c r="AC7051" s="27">
        <v>9785160220277</v>
      </c>
    </row>
    <row r="7052" spans="1:29" s="4" customFormat="1" ht="51.9" customHeight="1" x14ac:dyDescent="0.2">
      <c r="A7052" s="5">
        <v>0</v>
      </c>
      <c r="B7052" s="6" t="s">
        <v>39957</v>
      </c>
      <c r="C7052" s="7">
        <v>1768.8</v>
      </c>
      <c r="D7052" s="8" t="s">
        <v>39958</v>
      </c>
      <c r="E7052" s="8" t="s">
        <v>39959</v>
      </c>
      <c r="F7052" s="8" t="s">
        <v>39960</v>
      </c>
      <c r="G7052" s="6" t="s">
        <v>60</v>
      </c>
      <c r="H7052" s="6" t="s">
        <v>34</v>
      </c>
      <c r="I7052" s="8" t="s">
        <v>271</v>
      </c>
      <c r="J7052" s="9">
        <v>1</v>
      </c>
      <c r="K7052" s="9">
        <v>320</v>
      </c>
      <c r="L7052" s="9">
        <v>2024</v>
      </c>
      <c r="M7052" s="8" t="s">
        <v>39961</v>
      </c>
      <c r="N7052" s="8" t="s">
        <v>37</v>
      </c>
      <c r="O7052" s="8" t="s">
        <v>83</v>
      </c>
      <c r="P7052" s="6" t="s">
        <v>306</v>
      </c>
      <c r="Q7052" s="8" t="s">
        <v>52</v>
      </c>
      <c r="R7052" s="10" t="s">
        <v>39801</v>
      </c>
      <c r="S7052" s="11" t="s">
        <v>39962</v>
      </c>
      <c r="T7052" s="6"/>
      <c r="U7052" s="15" t="str">
        <f>HYPERLINK("https://media.infra-m.ru/2103/2103706/cover/2103706.jpg", "Обложка")</f>
        <v>Обложка</v>
      </c>
      <c r="V7052" s="8" t="s">
        <v>18741</v>
      </c>
      <c r="W7052" s="6"/>
      <c r="X7052" s="6"/>
      <c r="Y7052" s="6"/>
      <c r="Z7052" s="6"/>
      <c r="AA7052" s="6" t="s">
        <v>43</v>
      </c>
      <c r="AB7052" s="8"/>
      <c r="AC7052" s="27">
        <v>9785160051512</v>
      </c>
    </row>
    <row r="7053" spans="1:29" s="4" customFormat="1" ht="51.9" customHeight="1" x14ac:dyDescent="0.2">
      <c r="A7053" s="5">
        <v>0</v>
      </c>
      <c r="B7053" s="6" t="s">
        <v>39963</v>
      </c>
      <c r="C7053" s="13">
        <v>684</v>
      </c>
      <c r="D7053" s="8" t="s">
        <v>39964</v>
      </c>
      <c r="E7053" s="8" t="s">
        <v>39965</v>
      </c>
      <c r="F7053" s="8" t="s">
        <v>39966</v>
      </c>
      <c r="G7053" s="6" t="s">
        <v>33</v>
      </c>
      <c r="H7053" s="6" t="s">
        <v>34</v>
      </c>
      <c r="I7053" s="8" t="s">
        <v>35</v>
      </c>
      <c r="J7053" s="9">
        <v>1</v>
      </c>
      <c r="K7053" s="9">
        <v>126</v>
      </c>
      <c r="L7053" s="9">
        <v>2023</v>
      </c>
      <c r="M7053" s="8" t="s">
        <v>39967</v>
      </c>
      <c r="N7053" s="8" t="s">
        <v>37</v>
      </c>
      <c r="O7053" s="8" t="s">
        <v>83</v>
      </c>
      <c r="P7053" s="6" t="s">
        <v>39</v>
      </c>
      <c r="Q7053" s="8" t="s">
        <v>40</v>
      </c>
      <c r="R7053" s="10" t="s">
        <v>39968</v>
      </c>
      <c r="S7053" s="11"/>
      <c r="T7053" s="6"/>
      <c r="U7053" s="15" t="str">
        <f>HYPERLINK("https://media.infra-m.ru/1937/1937187/cover/1937187.jpg", "Обложка")</f>
        <v>Обложка</v>
      </c>
      <c r="V7053" s="8" t="s">
        <v>39969</v>
      </c>
      <c r="W7053" s="6"/>
      <c r="X7053" s="6"/>
      <c r="Y7053" s="6"/>
      <c r="Z7053" s="6"/>
      <c r="AA7053" s="6" t="s">
        <v>99</v>
      </c>
      <c r="AB7053" s="8"/>
      <c r="AC7053" s="27">
        <v>9785160129433</v>
      </c>
    </row>
    <row r="7054" spans="1:29" s="4" customFormat="1" ht="51.9" customHeight="1" x14ac:dyDescent="0.2">
      <c r="A7054" s="5">
        <v>0</v>
      </c>
      <c r="B7054" s="6" t="s">
        <v>39970</v>
      </c>
      <c r="C7054" s="7">
        <v>1996.8</v>
      </c>
      <c r="D7054" s="8" t="s">
        <v>39971</v>
      </c>
      <c r="E7054" s="8" t="s">
        <v>39972</v>
      </c>
      <c r="F7054" s="8" t="s">
        <v>6945</v>
      </c>
      <c r="G7054" s="6" t="s">
        <v>60</v>
      </c>
      <c r="H7054" s="6" t="s">
        <v>241</v>
      </c>
      <c r="I7054" s="8" t="s">
        <v>253</v>
      </c>
      <c r="J7054" s="9">
        <v>1</v>
      </c>
      <c r="K7054" s="9">
        <v>302</v>
      </c>
      <c r="L7054" s="9">
        <v>2026</v>
      </c>
      <c r="M7054" s="8" t="s">
        <v>39973</v>
      </c>
      <c r="N7054" s="8" t="s">
        <v>37</v>
      </c>
      <c r="O7054" s="8" t="s">
        <v>499</v>
      </c>
      <c r="P7054" s="6" t="s">
        <v>51</v>
      </c>
      <c r="Q7054" s="8" t="s">
        <v>65</v>
      </c>
      <c r="R7054" s="10" t="s">
        <v>39974</v>
      </c>
      <c r="S7054" s="11" t="s">
        <v>39975</v>
      </c>
      <c r="T7054" s="6"/>
      <c r="U7054" s="15" t="str">
        <f>HYPERLINK("https://media.infra-m.ru/2246/2246859/cover/2246859.jpg", "Обложка")</f>
        <v>Обложка</v>
      </c>
      <c r="V7054" s="8" t="s">
        <v>617</v>
      </c>
      <c r="W7054" s="6"/>
      <c r="X7054" s="6"/>
      <c r="Y7054" s="6"/>
      <c r="Z7054" s="6"/>
      <c r="AA7054" s="6" t="s">
        <v>43</v>
      </c>
      <c r="AB7054" s="8"/>
      <c r="AC7054" s="27">
        <v>9785955801773</v>
      </c>
    </row>
    <row r="7055" spans="1:29" s="4" customFormat="1" ht="51.9" customHeight="1" x14ac:dyDescent="0.2">
      <c r="A7055" s="5">
        <v>0</v>
      </c>
      <c r="B7055" s="6" t="s">
        <v>39976</v>
      </c>
      <c r="C7055" s="7">
        <v>2640</v>
      </c>
      <c r="D7055" s="8" t="s">
        <v>39977</v>
      </c>
      <c r="E7055" s="8" t="s">
        <v>39978</v>
      </c>
      <c r="F7055" s="8" t="s">
        <v>39979</v>
      </c>
      <c r="G7055" s="6" t="s">
        <v>60</v>
      </c>
      <c r="H7055" s="6" t="s">
        <v>34</v>
      </c>
      <c r="I7055" s="8" t="s">
        <v>504</v>
      </c>
      <c r="J7055" s="9">
        <v>1</v>
      </c>
      <c r="K7055" s="9">
        <v>478</v>
      </c>
      <c r="L7055" s="9">
        <v>2024</v>
      </c>
      <c r="M7055" s="8" t="s">
        <v>39980</v>
      </c>
      <c r="N7055" s="8" t="s">
        <v>63</v>
      </c>
      <c r="O7055" s="8" t="s">
        <v>126</v>
      </c>
      <c r="P7055" s="6" t="s">
        <v>51</v>
      </c>
      <c r="Q7055" s="8" t="s">
        <v>500</v>
      </c>
      <c r="R7055" s="10" t="s">
        <v>9551</v>
      </c>
      <c r="S7055" s="11" t="s">
        <v>39981</v>
      </c>
      <c r="T7055" s="6"/>
      <c r="U7055" s="15" t="str">
        <f>HYPERLINK("https://media.infra-m.ru/2118/2118168/cover/2118168.jpg", "Обложка")</f>
        <v>Обложка</v>
      </c>
      <c r="V7055" s="8" t="s">
        <v>16500</v>
      </c>
      <c r="W7055" s="6"/>
      <c r="X7055" s="6"/>
      <c r="Y7055" s="6"/>
      <c r="Z7055" s="6"/>
      <c r="AA7055" s="6" t="s">
        <v>115</v>
      </c>
      <c r="AB7055" s="8"/>
      <c r="AC7055" s="27">
        <v>9785160136417</v>
      </c>
    </row>
    <row r="7056" spans="1:29" s="4" customFormat="1" ht="51.9" customHeight="1" x14ac:dyDescent="0.2">
      <c r="A7056" s="5">
        <v>0</v>
      </c>
      <c r="B7056" s="6" t="s">
        <v>39982</v>
      </c>
      <c r="C7056" s="7">
        <v>1188</v>
      </c>
      <c r="D7056" s="8" t="s">
        <v>39983</v>
      </c>
      <c r="E7056" s="8" t="s">
        <v>39984</v>
      </c>
      <c r="F7056" s="8" t="s">
        <v>39985</v>
      </c>
      <c r="G7056" s="6" t="s">
        <v>118</v>
      </c>
      <c r="H7056" s="6" t="s">
        <v>34</v>
      </c>
      <c r="I7056" s="8" t="s">
        <v>271</v>
      </c>
      <c r="J7056" s="9">
        <v>1</v>
      </c>
      <c r="K7056" s="9">
        <v>214</v>
      </c>
      <c r="L7056" s="9">
        <v>2023</v>
      </c>
      <c r="M7056" s="8" t="s">
        <v>39986</v>
      </c>
      <c r="N7056" s="8" t="s">
        <v>37</v>
      </c>
      <c r="O7056" s="8" t="s">
        <v>83</v>
      </c>
      <c r="P7056" s="6" t="s">
        <v>306</v>
      </c>
      <c r="Q7056" s="8" t="s">
        <v>52</v>
      </c>
      <c r="R7056" s="10" t="s">
        <v>39987</v>
      </c>
      <c r="S7056" s="11" t="s">
        <v>39988</v>
      </c>
      <c r="T7056" s="6"/>
      <c r="U7056" s="15" t="str">
        <f>HYPERLINK("https://media.infra-m.ru/1965/1965762/cover/1965762.jpg", "Обложка")</f>
        <v>Обложка</v>
      </c>
      <c r="V7056" s="8" t="s">
        <v>1994</v>
      </c>
      <c r="W7056" s="6"/>
      <c r="X7056" s="6"/>
      <c r="Y7056" s="6"/>
      <c r="Z7056" s="6"/>
      <c r="AA7056" s="6" t="s">
        <v>430</v>
      </c>
      <c r="AB7056" s="8"/>
      <c r="AC7056" s="27">
        <v>9785160151847</v>
      </c>
    </row>
    <row r="7057" spans="1:29" s="4" customFormat="1" ht="42" customHeight="1" x14ac:dyDescent="0.2">
      <c r="A7057" s="5">
        <v>0</v>
      </c>
      <c r="B7057" s="6" t="s">
        <v>39989</v>
      </c>
      <c r="C7057" s="7">
        <v>1680</v>
      </c>
      <c r="D7057" s="8" t="s">
        <v>39990</v>
      </c>
      <c r="E7057" s="8" t="s">
        <v>39984</v>
      </c>
      <c r="F7057" s="8" t="s">
        <v>3261</v>
      </c>
      <c r="G7057" s="6" t="s">
        <v>60</v>
      </c>
      <c r="H7057" s="6" t="s">
        <v>34</v>
      </c>
      <c r="I7057" s="8" t="s">
        <v>253</v>
      </c>
      <c r="J7057" s="9">
        <v>1</v>
      </c>
      <c r="K7057" s="9">
        <v>280</v>
      </c>
      <c r="L7057" s="9">
        <v>2025</v>
      </c>
      <c r="M7057" s="8" t="s">
        <v>39991</v>
      </c>
      <c r="N7057" s="8" t="s">
        <v>585</v>
      </c>
      <c r="O7057" s="8" t="s">
        <v>775</v>
      </c>
      <c r="P7057" s="6" t="s">
        <v>306</v>
      </c>
      <c r="Q7057" s="8" t="s">
        <v>52</v>
      </c>
      <c r="R7057" s="10" t="s">
        <v>35075</v>
      </c>
      <c r="S7057" s="11"/>
      <c r="T7057" s="6"/>
      <c r="U7057" s="15" t="str">
        <f>HYPERLINK("https://media.infra-m.ru/1870/1870117/cover/1870117.jpg", "Обложка")</f>
        <v>Обложка</v>
      </c>
      <c r="V7057" s="8" t="s">
        <v>3264</v>
      </c>
      <c r="W7057" s="6"/>
      <c r="X7057" s="6"/>
      <c r="Y7057" s="6"/>
      <c r="Z7057" s="6"/>
      <c r="AA7057" s="6" t="s">
        <v>68</v>
      </c>
      <c r="AB7057" s="8"/>
      <c r="AC7057" s="27">
        <v>9785160177144</v>
      </c>
    </row>
    <row r="7058" spans="1:29" s="4" customFormat="1" ht="42" customHeight="1" x14ac:dyDescent="0.2">
      <c r="A7058" s="5">
        <v>0</v>
      </c>
      <c r="B7058" s="6" t="s">
        <v>39992</v>
      </c>
      <c r="C7058" s="13">
        <v>852</v>
      </c>
      <c r="D7058" s="8" t="s">
        <v>39993</v>
      </c>
      <c r="E7058" s="8" t="s">
        <v>39994</v>
      </c>
      <c r="F7058" s="8" t="s">
        <v>39995</v>
      </c>
      <c r="G7058" s="6" t="s">
        <v>33</v>
      </c>
      <c r="H7058" s="6" t="s">
        <v>34</v>
      </c>
      <c r="I7058" s="8" t="s">
        <v>35</v>
      </c>
      <c r="J7058" s="9">
        <v>1</v>
      </c>
      <c r="K7058" s="9">
        <v>183</v>
      </c>
      <c r="L7058" s="9">
        <v>2021</v>
      </c>
      <c r="M7058" s="8" t="s">
        <v>39996</v>
      </c>
      <c r="N7058" s="8" t="s">
        <v>37</v>
      </c>
      <c r="O7058" s="8" t="s">
        <v>136</v>
      </c>
      <c r="P7058" s="6" t="s">
        <v>39</v>
      </c>
      <c r="Q7058" s="8" t="s">
        <v>40</v>
      </c>
      <c r="R7058" s="10" t="s">
        <v>23283</v>
      </c>
      <c r="S7058" s="11"/>
      <c r="T7058" s="6"/>
      <c r="U7058" s="15" t="str">
        <f>HYPERLINK("https://media.infra-m.ru/1243/1243771/cover/1243771.jpg", "Обложка")</f>
        <v>Обложка</v>
      </c>
      <c r="V7058" s="8" t="s">
        <v>247</v>
      </c>
      <c r="W7058" s="6"/>
      <c r="X7058" s="6"/>
      <c r="Y7058" s="6"/>
      <c r="Z7058" s="6"/>
      <c r="AA7058" s="6" t="s">
        <v>430</v>
      </c>
      <c r="AB7058" s="8"/>
      <c r="AC7058" s="27">
        <v>9785160168395</v>
      </c>
    </row>
    <row r="7059" spans="1:29" s="4" customFormat="1" ht="42" customHeight="1" x14ac:dyDescent="0.2">
      <c r="A7059" s="5">
        <v>0</v>
      </c>
      <c r="B7059" s="6" t="s">
        <v>39997</v>
      </c>
      <c r="C7059" s="13">
        <v>912</v>
      </c>
      <c r="D7059" s="8" t="s">
        <v>39998</v>
      </c>
      <c r="E7059" s="8" t="s">
        <v>39994</v>
      </c>
      <c r="F7059" s="8" t="s">
        <v>39995</v>
      </c>
      <c r="G7059" s="6" t="s">
        <v>118</v>
      </c>
      <c r="H7059" s="6" t="s">
        <v>34</v>
      </c>
      <c r="I7059" s="8" t="s">
        <v>35</v>
      </c>
      <c r="J7059" s="9">
        <v>1</v>
      </c>
      <c r="K7059" s="9">
        <v>183</v>
      </c>
      <c r="L7059" s="9">
        <v>2022</v>
      </c>
      <c r="M7059" s="8" t="s">
        <v>39999</v>
      </c>
      <c r="N7059" s="8" t="s">
        <v>37</v>
      </c>
      <c r="O7059" s="8" t="s">
        <v>136</v>
      </c>
      <c r="P7059" s="6" t="s">
        <v>39</v>
      </c>
      <c r="Q7059" s="8" t="s">
        <v>40</v>
      </c>
      <c r="R7059" s="10" t="s">
        <v>23283</v>
      </c>
      <c r="S7059" s="11"/>
      <c r="T7059" s="6"/>
      <c r="U7059" s="15" t="str">
        <f>HYPERLINK("https://media.infra-m.ru/1836/1836398/cover/1836398.jpg", "Обложка")</f>
        <v>Обложка</v>
      </c>
      <c r="V7059" s="8" t="s">
        <v>247</v>
      </c>
      <c r="W7059" s="6"/>
      <c r="X7059" s="6"/>
      <c r="Y7059" s="6"/>
      <c r="Z7059" s="6"/>
      <c r="AA7059" s="6" t="s">
        <v>430</v>
      </c>
      <c r="AB7059" s="8"/>
      <c r="AC7059" s="27">
        <v>9785160172514</v>
      </c>
    </row>
    <row r="7060" spans="1:29" s="4" customFormat="1" ht="44.1" customHeight="1" x14ac:dyDescent="0.2">
      <c r="A7060" s="5">
        <v>0</v>
      </c>
      <c r="B7060" s="6" t="s">
        <v>40000</v>
      </c>
      <c r="C7060" s="7">
        <v>2304</v>
      </c>
      <c r="D7060" s="8" t="s">
        <v>40001</v>
      </c>
      <c r="E7060" s="8" t="s">
        <v>40002</v>
      </c>
      <c r="F7060" s="8" t="s">
        <v>40003</v>
      </c>
      <c r="G7060" s="6" t="s">
        <v>60</v>
      </c>
      <c r="H7060" s="6" t="s">
        <v>34</v>
      </c>
      <c r="I7060" s="8" t="s">
        <v>111</v>
      </c>
      <c r="J7060" s="9">
        <v>1</v>
      </c>
      <c r="K7060" s="9">
        <v>381</v>
      </c>
      <c r="L7060" s="9">
        <v>2025</v>
      </c>
      <c r="M7060" s="8" t="s">
        <v>40004</v>
      </c>
      <c r="N7060" s="8" t="s">
        <v>37</v>
      </c>
      <c r="O7060" s="8" t="s">
        <v>233</v>
      </c>
      <c r="P7060" s="6" t="s">
        <v>39</v>
      </c>
      <c r="Q7060" s="8" t="s">
        <v>40</v>
      </c>
      <c r="R7060" s="10" t="s">
        <v>40005</v>
      </c>
      <c r="S7060" s="11"/>
      <c r="T7060" s="6"/>
      <c r="U7060" s="15" t="str">
        <f>HYPERLINK("https://media.infra-m.ru/2157/2157183/cover/2157183.jpg", "Обложка")</f>
        <v>Обложка</v>
      </c>
      <c r="V7060" s="8" t="s">
        <v>414</v>
      </c>
      <c r="W7060" s="6"/>
      <c r="X7060" s="6"/>
      <c r="Y7060" s="6"/>
      <c r="Z7060" s="6"/>
      <c r="AA7060" s="6" t="s">
        <v>76</v>
      </c>
      <c r="AB7060" s="8"/>
      <c r="AC7060" s="27">
        <v>9785160200750</v>
      </c>
    </row>
    <row r="7061" spans="1:29" s="4" customFormat="1" ht="51.9" customHeight="1" x14ac:dyDescent="0.2">
      <c r="A7061" s="5">
        <v>0</v>
      </c>
      <c r="B7061" s="6" t="s">
        <v>40006</v>
      </c>
      <c r="C7061" s="7">
        <v>1212</v>
      </c>
      <c r="D7061" s="8" t="s">
        <v>40007</v>
      </c>
      <c r="E7061" s="8" t="s">
        <v>40008</v>
      </c>
      <c r="F7061" s="8" t="s">
        <v>40009</v>
      </c>
      <c r="G7061" s="6" t="s">
        <v>118</v>
      </c>
      <c r="H7061" s="6" t="s">
        <v>134</v>
      </c>
      <c r="I7061" s="8"/>
      <c r="J7061" s="9">
        <v>1</v>
      </c>
      <c r="K7061" s="9">
        <v>240</v>
      </c>
      <c r="L7061" s="9">
        <v>2022</v>
      </c>
      <c r="M7061" s="8" t="s">
        <v>40010</v>
      </c>
      <c r="N7061" s="8" t="s">
        <v>37</v>
      </c>
      <c r="O7061" s="8" t="s">
        <v>83</v>
      </c>
      <c r="P7061" s="6" t="s">
        <v>1689</v>
      </c>
      <c r="Q7061" s="8" t="s">
        <v>40</v>
      </c>
      <c r="R7061" s="10" t="s">
        <v>40011</v>
      </c>
      <c r="S7061" s="11"/>
      <c r="T7061" s="6"/>
      <c r="U7061" s="15" t="str">
        <f>HYPERLINK("https://media.infra-m.ru/1877/1877364/cover/1877364.jpg", "Обложка")</f>
        <v>Обложка</v>
      </c>
      <c r="V7061" s="8" t="s">
        <v>1184</v>
      </c>
      <c r="W7061" s="6"/>
      <c r="X7061" s="6"/>
      <c r="Y7061" s="6"/>
      <c r="Z7061" s="6"/>
      <c r="AA7061" s="6" t="s">
        <v>115</v>
      </c>
      <c r="AB7061" s="8"/>
      <c r="AC7061" s="27">
        <v>9785001560029</v>
      </c>
    </row>
    <row r="7062" spans="1:29" s="4" customFormat="1" ht="44.1" customHeight="1" x14ac:dyDescent="0.2">
      <c r="A7062" s="5">
        <v>0</v>
      </c>
      <c r="B7062" s="6" t="s">
        <v>40012</v>
      </c>
      <c r="C7062" s="13">
        <v>744</v>
      </c>
      <c r="D7062" s="8" t="s">
        <v>40013</v>
      </c>
      <c r="E7062" s="8" t="s">
        <v>40014</v>
      </c>
      <c r="F7062" s="8" t="s">
        <v>40015</v>
      </c>
      <c r="G7062" s="6" t="s">
        <v>33</v>
      </c>
      <c r="H7062" s="6" t="s">
        <v>34</v>
      </c>
      <c r="I7062" s="8" t="s">
        <v>35</v>
      </c>
      <c r="J7062" s="9">
        <v>1</v>
      </c>
      <c r="K7062" s="9">
        <v>110</v>
      </c>
      <c r="L7062" s="9">
        <v>2024</v>
      </c>
      <c r="M7062" s="8" t="s">
        <v>40016</v>
      </c>
      <c r="N7062" s="8" t="s">
        <v>37</v>
      </c>
      <c r="O7062" s="8" t="s">
        <v>233</v>
      </c>
      <c r="P7062" s="6" t="s">
        <v>39</v>
      </c>
      <c r="Q7062" s="8" t="s">
        <v>40</v>
      </c>
      <c r="R7062" s="10" t="s">
        <v>459</v>
      </c>
      <c r="S7062" s="11"/>
      <c r="T7062" s="6"/>
      <c r="U7062" s="15" t="str">
        <f>HYPERLINK("https://media.infra-m.ru/2079/2079698/cover/2079698.jpg", "Обложка")</f>
        <v>Обложка</v>
      </c>
      <c r="V7062" s="8" t="s">
        <v>4892</v>
      </c>
      <c r="W7062" s="6"/>
      <c r="X7062" s="6"/>
      <c r="Y7062" s="6"/>
      <c r="Z7062" s="6"/>
      <c r="AA7062" s="6" t="s">
        <v>157</v>
      </c>
      <c r="AB7062" s="8"/>
      <c r="AC7062" s="27">
        <v>9785160177878</v>
      </c>
    </row>
    <row r="7063" spans="1:29" s="4" customFormat="1" ht="51.9" customHeight="1" x14ac:dyDescent="0.2">
      <c r="A7063" s="5">
        <v>0</v>
      </c>
      <c r="B7063" s="6" t="s">
        <v>40017</v>
      </c>
      <c r="C7063" s="13">
        <v>912</v>
      </c>
      <c r="D7063" s="8" t="s">
        <v>40018</v>
      </c>
      <c r="E7063" s="8" t="s">
        <v>40019</v>
      </c>
      <c r="F7063" s="8" t="s">
        <v>6466</v>
      </c>
      <c r="G7063" s="6" t="s">
        <v>118</v>
      </c>
      <c r="H7063" s="6" t="s">
        <v>34</v>
      </c>
      <c r="I7063" s="8" t="s">
        <v>35</v>
      </c>
      <c r="J7063" s="9">
        <v>1</v>
      </c>
      <c r="K7063" s="9">
        <v>148</v>
      </c>
      <c r="L7063" s="9">
        <v>2024</v>
      </c>
      <c r="M7063" s="8" t="s">
        <v>40020</v>
      </c>
      <c r="N7063" s="8" t="s">
        <v>37</v>
      </c>
      <c r="O7063" s="8" t="s">
        <v>233</v>
      </c>
      <c r="P7063" s="6" t="s">
        <v>39</v>
      </c>
      <c r="Q7063" s="8" t="s">
        <v>40</v>
      </c>
      <c r="R7063" s="10" t="s">
        <v>40021</v>
      </c>
      <c r="S7063" s="11"/>
      <c r="T7063" s="6"/>
      <c r="U7063" s="15" t="str">
        <f>HYPERLINK("https://media.infra-m.ru/2122/2122503/cover/2122503.jpg", "Обложка")</f>
        <v>Обложка</v>
      </c>
      <c r="V7063" s="8" t="s">
        <v>4892</v>
      </c>
      <c r="W7063" s="6"/>
      <c r="X7063" s="6"/>
      <c r="Y7063" s="6"/>
      <c r="Z7063" s="6"/>
      <c r="AA7063" s="6" t="s">
        <v>76</v>
      </c>
      <c r="AB7063" s="8"/>
      <c r="AC7063" s="27">
        <v>9785160185347</v>
      </c>
    </row>
    <row r="7064" spans="1:29" s="4" customFormat="1" ht="51.9" customHeight="1" x14ac:dyDescent="0.2">
      <c r="A7064" s="5">
        <v>0</v>
      </c>
      <c r="B7064" s="6" t="s">
        <v>40022</v>
      </c>
      <c r="C7064" s="7">
        <v>2340</v>
      </c>
      <c r="D7064" s="8" t="s">
        <v>40023</v>
      </c>
      <c r="E7064" s="8" t="s">
        <v>40024</v>
      </c>
      <c r="F7064" s="8" t="s">
        <v>3261</v>
      </c>
      <c r="G7064" s="6" t="s">
        <v>60</v>
      </c>
      <c r="H7064" s="6" t="s">
        <v>34</v>
      </c>
      <c r="I7064" s="8" t="s">
        <v>35</v>
      </c>
      <c r="J7064" s="9">
        <v>1</v>
      </c>
      <c r="K7064" s="9">
        <v>336</v>
      </c>
      <c r="L7064" s="9">
        <v>2026</v>
      </c>
      <c r="M7064" s="8" t="s">
        <v>40025</v>
      </c>
      <c r="N7064" s="8" t="s">
        <v>37</v>
      </c>
      <c r="O7064" s="8" t="s">
        <v>83</v>
      </c>
      <c r="P7064" s="6" t="s">
        <v>39</v>
      </c>
      <c r="Q7064" s="8" t="s">
        <v>40</v>
      </c>
      <c r="R7064" s="10" t="s">
        <v>40026</v>
      </c>
      <c r="S7064" s="11"/>
      <c r="T7064" s="6"/>
      <c r="U7064" s="15" t="str">
        <f>HYPERLINK("https://media.infra-m.ru/2227/2227080/cover/2227080.jpg", "Обложка")</f>
        <v>Обложка</v>
      </c>
      <c r="V7064" s="8" t="s">
        <v>3264</v>
      </c>
      <c r="W7064" s="6" t="s">
        <v>649</v>
      </c>
      <c r="X7064" s="6"/>
      <c r="Y7064" s="6"/>
      <c r="Z7064" s="6"/>
      <c r="AA7064" s="6" t="s">
        <v>187</v>
      </c>
      <c r="AB7064" s="8" t="s">
        <v>308</v>
      </c>
      <c r="AC7064" s="27">
        <v>9785160214917</v>
      </c>
    </row>
    <row r="7065" spans="1:29" s="4" customFormat="1" ht="51.9" customHeight="1" x14ac:dyDescent="0.2">
      <c r="A7065" s="5">
        <v>0</v>
      </c>
      <c r="B7065" s="6" t="s">
        <v>40027</v>
      </c>
      <c r="C7065" s="7">
        <v>1240.8</v>
      </c>
      <c r="D7065" s="8" t="s">
        <v>40028</v>
      </c>
      <c r="E7065" s="8" t="s">
        <v>40029</v>
      </c>
      <c r="F7065" s="8" t="s">
        <v>6714</v>
      </c>
      <c r="G7065" s="6" t="s">
        <v>60</v>
      </c>
      <c r="H7065" s="6" t="s">
        <v>34</v>
      </c>
      <c r="I7065" s="8" t="s">
        <v>271</v>
      </c>
      <c r="J7065" s="9">
        <v>1</v>
      </c>
      <c r="K7065" s="9">
        <v>189</v>
      </c>
      <c r="L7065" s="9">
        <v>2026</v>
      </c>
      <c r="M7065" s="8" t="s">
        <v>40030</v>
      </c>
      <c r="N7065" s="8" t="s">
        <v>37</v>
      </c>
      <c r="O7065" s="8" t="s">
        <v>83</v>
      </c>
      <c r="P7065" s="6" t="s">
        <v>51</v>
      </c>
      <c r="Q7065" s="8" t="s">
        <v>52</v>
      </c>
      <c r="R7065" s="10" t="s">
        <v>40031</v>
      </c>
      <c r="S7065" s="11" t="s">
        <v>40032</v>
      </c>
      <c r="T7065" s="6"/>
      <c r="U7065" s="15" t="str">
        <f>HYPERLINK("https://media.infra-m.ru/2250/2250933/cover/2250933.jpg", "Обложка")</f>
        <v>Обложка</v>
      </c>
      <c r="V7065" s="8" t="s">
        <v>5820</v>
      </c>
      <c r="W7065" s="6"/>
      <c r="X7065" s="6"/>
      <c r="Y7065" s="6"/>
      <c r="Z7065" s="6"/>
      <c r="AA7065" s="6" t="s">
        <v>1389</v>
      </c>
      <c r="AB7065" s="8"/>
      <c r="AC7065" s="27">
        <v>9785160158280</v>
      </c>
    </row>
    <row r="7066" spans="1:29" s="4" customFormat="1" ht="51.9" customHeight="1" x14ac:dyDescent="0.2">
      <c r="A7066" s="5">
        <v>0</v>
      </c>
      <c r="B7066" s="6" t="s">
        <v>40033</v>
      </c>
      <c r="C7066" s="13">
        <v>689.9</v>
      </c>
      <c r="D7066" s="8" t="s">
        <v>40034</v>
      </c>
      <c r="E7066" s="8" t="s">
        <v>40035</v>
      </c>
      <c r="F7066" s="8" t="s">
        <v>40036</v>
      </c>
      <c r="G7066" s="6" t="s">
        <v>33</v>
      </c>
      <c r="H7066" s="6" t="s">
        <v>48</v>
      </c>
      <c r="I7066" s="8" t="s">
        <v>271</v>
      </c>
      <c r="J7066" s="9">
        <v>1</v>
      </c>
      <c r="K7066" s="9">
        <v>192</v>
      </c>
      <c r="L7066" s="9">
        <v>2019</v>
      </c>
      <c r="M7066" s="8" t="s">
        <v>40037</v>
      </c>
      <c r="N7066" s="8" t="s">
        <v>37</v>
      </c>
      <c r="O7066" s="8" t="s">
        <v>83</v>
      </c>
      <c r="P7066" s="6" t="s">
        <v>51</v>
      </c>
      <c r="Q7066" s="8" t="s">
        <v>52</v>
      </c>
      <c r="R7066" s="10" t="s">
        <v>40031</v>
      </c>
      <c r="S7066" s="11" t="s">
        <v>40038</v>
      </c>
      <c r="T7066" s="6"/>
      <c r="U7066" s="15" t="str">
        <f>HYPERLINK("https://media.infra-m.ru/1021/1021549/cover/1021549.jpg", "Обложка")</f>
        <v>Обложка</v>
      </c>
      <c r="V7066" s="8" t="s">
        <v>5820</v>
      </c>
      <c r="W7066" s="6"/>
      <c r="X7066" s="6"/>
      <c r="Y7066" s="6"/>
      <c r="Z7066" s="6"/>
      <c r="AA7066" s="6" t="s">
        <v>859</v>
      </c>
      <c r="AB7066" s="8"/>
      <c r="AC7066" s="27">
        <v>9785911348779</v>
      </c>
    </row>
    <row r="7067" spans="1:29" s="4" customFormat="1" ht="51.9" customHeight="1" x14ac:dyDescent="0.2">
      <c r="A7067" s="5">
        <v>0</v>
      </c>
      <c r="B7067" s="6" t="s">
        <v>40039</v>
      </c>
      <c r="C7067" s="7">
        <v>1300.8</v>
      </c>
      <c r="D7067" s="8" t="s">
        <v>40040</v>
      </c>
      <c r="E7067" s="8" t="s">
        <v>40041</v>
      </c>
      <c r="F7067" s="8" t="s">
        <v>40042</v>
      </c>
      <c r="G7067" s="6" t="s">
        <v>118</v>
      </c>
      <c r="H7067" s="6" t="s">
        <v>34</v>
      </c>
      <c r="I7067" s="8" t="s">
        <v>253</v>
      </c>
      <c r="J7067" s="9">
        <v>1</v>
      </c>
      <c r="K7067" s="9">
        <v>208</v>
      </c>
      <c r="L7067" s="9">
        <v>2025</v>
      </c>
      <c r="M7067" s="8" t="s">
        <v>40043</v>
      </c>
      <c r="N7067" s="8" t="s">
        <v>37</v>
      </c>
      <c r="O7067" s="8" t="s">
        <v>83</v>
      </c>
      <c r="P7067" s="6" t="s">
        <v>51</v>
      </c>
      <c r="Q7067" s="8" t="s">
        <v>65</v>
      </c>
      <c r="R7067" s="10" t="s">
        <v>35075</v>
      </c>
      <c r="S7067" s="11" t="s">
        <v>40044</v>
      </c>
      <c r="T7067" s="6"/>
      <c r="U7067" s="15" t="str">
        <f>HYPERLINK("https://media.infra-m.ru/2194/2194336/cover/2194336.jpg", "Обложка")</f>
        <v>Обложка</v>
      </c>
      <c r="V7067" s="8" t="s">
        <v>2427</v>
      </c>
      <c r="W7067" s="6"/>
      <c r="X7067" s="6"/>
      <c r="Y7067" s="6"/>
      <c r="Z7067" s="6"/>
      <c r="AA7067" s="6" t="s">
        <v>274</v>
      </c>
      <c r="AB7067" s="8"/>
      <c r="AC7067" s="27">
        <v>9785160187297</v>
      </c>
    </row>
    <row r="7068" spans="1:29" s="4" customFormat="1" ht="51.9" customHeight="1" x14ac:dyDescent="0.2">
      <c r="A7068" s="5">
        <v>0</v>
      </c>
      <c r="B7068" s="6" t="s">
        <v>40045</v>
      </c>
      <c r="C7068" s="13">
        <v>828</v>
      </c>
      <c r="D7068" s="8" t="s">
        <v>40046</v>
      </c>
      <c r="E7068" s="8" t="s">
        <v>40047</v>
      </c>
      <c r="F7068" s="8" t="s">
        <v>40048</v>
      </c>
      <c r="G7068" s="6" t="s">
        <v>33</v>
      </c>
      <c r="H7068" s="6" t="s">
        <v>34</v>
      </c>
      <c r="I7068" s="8" t="s">
        <v>35</v>
      </c>
      <c r="J7068" s="9">
        <v>1</v>
      </c>
      <c r="K7068" s="9">
        <v>153</v>
      </c>
      <c r="L7068" s="9">
        <v>2022</v>
      </c>
      <c r="M7068" s="8" t="s">
        <v>40049</v>
      </c>
      <c r="N7068" s="8" t="s">
        <v>585</v>
      </c>
      <c r="O7068" s="8" t="s">
        <v>586</v>
      </c>
      <c r="P7068" s="6" t="s">
        <v>39</v>
      </c>
      <c r="Q7068" s="8" t="s">
        <v>40</v>
      </c>
      <c r="R7068" s="10" t="s">
        <v>40050</v>
      </c>
      <c r="S7068" s="11"/>
      <c r="T7068" s="6"/>
      <c r="U7068" s="15" t="str">
        <f>HYPERLINK("https://media.infra-m.ru/1859/1859843/cover/1859843.jpg", "Обложка")</f>
        <v>Обложка</v>
      </c>
      <c r="V7068" s="8" t="s">
        <v>4481</v>
      </c>
      <c r="W7068" s="6"/>
      <c r="X7068" s="6"/>
      <c r="Y7068" s="6"/>
      <c r="Z7068" s="6"/>
      <c r="AA7068" s="6" t="s">
        <v>55</v>
      </c>
      <c r="AB7068" s="8"/>
      <c r="AC7068" s="27">
        <v>9785160064086</v>
      </c>
    </row>
    <row r="7069" spans="1:29" s="4" customFormat="1" ht="44.1" customHeight="1" x14ac:dyDescent="0.2">
      <c r="A7069" s="5">
        <v>0</v>
      </c>
      <c r="B7069" s="6" t="s">
        <v>40051</v>
      </c>
      <c r="C7069" s="13">
        <v>828</v>
      </c>
      <c r="D7069" s="8" t="s">
        <v>40052</v>
      </c>
      <c r="E7069" s="8" t="s">
        <v>40053</v>
      </c>
      <c r="F7069" s="8" t="s">
        <v>40054</v>
      </c>
      <c r="G7069" s="6" t="s">
        <v>33</v>
      </c>
      <c r="H7069" s="6" t="s">
        <v>34</v>
      </c>
      <c r="I7069" s="8" t="s">
        <v>35</v>
      </c>
      <c r="J7069" s="9">
        <v>1</v>
      </c>
      <c r="K7069" s="9">
        <v>167</v>
      </c>
      <c r="L7069" s="9">
        <v>2022</v>
      </c>
      <c r="M7069" s="8" t="s">
        <v>40055</v>
      </c>
      <c r="N7069" s="8" t="s">
        <v>37</v>
      </c>
      <c r="O7069" s="8" t="s">
        <v>83</v>
      </c>
      <c r="P7069" s="6" t="s">
        <v>39</v>
      </c>
      <c r="Q7069" s="8" t="s">
        <v>40</v>
      </c>
      <c r="R7069" s="10" t="s">
        <v>40056</v>
      </c>
      <c r="S7069" s="11"/>
      <c r="T7069" s="6"/>
      <c r="U7069" s="15" t="str">
        <f>HYPERLINK("https://media.infra-m.ru/1861/1861576/cover/1861576.jpg", "Обложка")</f>
        <v>Обложка</v>
      </c>
      <c r="V7069" s="8" t="s">
        <v>1505</v>
      </c>
      <c r="W7069" s="6"/>
      <c r="X7069" s="6"/>
      <c r="Y7069" s="6"/>
      <c r="Z7069" s="6"/>
      <c r="AA7069" s="6" t="s">
        <v>430</v>
      </c>
      <c r="AB7069" s="8"/>
      <c r="AC7069" s="27">
        <v>9785160158808</v>
      </c>
    </row>
    <row r="7070" spans="1:29" s="4" customFormat="1" ht="51.9" customHeight="1" x14ac:dyDescent="0.2">
      <c r="A7070" s="5">
        <v>0</v>
      </c>
      <c r="B7070" s="6" t="s">
        <v>40057</v>
      </c>
      <c r="C7070" s="7">
        <v>1324.8</v>
      </c>
      <c r="D7070" s="8" t="s">
        <v>40058</v>
      </c>
      <c r="E7070" s="8" t="s">
        <v>40059</v>
      </c>
      <c r="F7070" s="8" t="s">
        <v>40060</v>
      </c>
      <c r="G7070" s="6" t="s">
        <v>33</v>
      </c>
      <c r="H7070" s="6" t="s">
        <v>34</v>
      </c>
      <c r="I7070" s="8" t="s">
        <v>35</v>
      </c>
      <c r="J7070" s="9">
        <v>1</v>
      </c>
      <c r="K7070" s="9">
        <v>241</v>
      </c>
      <c r="L7070" s="9">
        <v>2024</v>
      </c>
      <c r="M7070" s="8" t="s">
        <v>40061</v>
      </c>
      <c r="N7070" s="8" t="s">
        <v>37</v>
      </c>
      <c r="O7070" s="8" t="s">
        <v>83</v>
      </c>
      <c r="P7070" s="6" t="s">
        <v>39</v>
      </c>
      <c r="Q7070" s="8" t="s">
        <v>500</v>
      </c>
      <c r="R7070" s="10" t="s">
        <v>40062</v>
      </c>
      <c r="S7070" s="11"/>
      <c r="T7070" s="6"/>
      <c r="U7070" s="15" t="str">
        <f>HYPERLINK("https://media.infra-m.ru/2079/2079699/cover/2079699.jpg", "Обложка")</f>
        <v>Обложка</v>
      </c>
      <c r="V7070" s="8" t="s">
        <v>1768</v>
      </c>
      <c r="W7070" s="6"/>
      <c r="X7070" s="6"/>
      <c r="Y7070" s="6"/>
      <c r="Z7070" s="6"/>
      <c r="AA7070" s="6" t="s">
        <v>115</v>
      </c>
      <c r="AB7070" s="8"/>
      <c r="AC7070" s="27">
        <v>9785160150864</v>
      </c>
    </row>
    <row r="7071" spans="1:29" s="4" customFormat="1" ht="51.9" customHeight="1" x14ac:dyDescent="0.2">
      <c r="A7071" s="5">
        <v>0</v>
      </c>
      <c r="B7071" s="6" t="s">
        <v>40063</v>
      </c>
      <c r="C7071" s="13">
        <v>960</v>
      </c>
      <c r="D7071" s="8" t="s">
        <v>40064</v>
      </c>
      <c r="E7071" s="8" t="s">
        <v>40065</v>
      </c>
      <c r="F7071" s="8" t="s">
        <v>40066</v>
      </c>
      <c r="G7071" s="6" t="s">
        <v>33</v>
      </c>
      <c r="H7071" s="6" t="s">
        <v>34</v>
      </c>
      <c r="I7071" s="8" t="s">
        <v>35</v>
      </c>
      <c r="J7071" s="9">
        <v>1</v>
      </c>
      <c r="K7071" s="9">
        <v>171</v>
      </c>
      <c r="L7071" s="9">
        <v>2022</v>
      </c>
      <c r="M7071" s="8" t="s">
        <v>40067</v>
      </c>
      <c r="N7071" s="8" t="s">
        <v>37</v>
      </c>
      <c r="O7071" s="8" t="s">
        <v>83</v>
      </c>
      <c r="P7071" s="6" t="s">
        <v>39</v>
      </c>
      <c r="Q7071" s="8" t="s">
        <v>40</v>
      </c>
      <c r="R7071" s="10" t="s">
        <v>40068</v>
      </c>
      <c r="S7071" s="11"/>
      <c r="T7071" s="6"/>
      <c r="U7071" s="15" t="str">
        <f>HYPERLINK("https://media.infra-m.ru/1872/1872851/cover/1872851.jpg", "Обложка")</f>
        <v>Обложка</v>
      </c>
      <c r="V7071" s="8" t="s">
        <v>40069</v>
      </c>
      <c r="W7071" s="6"/>
      <c r="X7071" s="6"/>
      <c r="Y7071" s="6"/>
      <c r="Z7071" s="6"/>
      <c r="AA7071" s="6" t="s">
        <v>148</v>
      </c>
      <c r="AB7071" s="8"/>
      <c r="AC7071" s="27">
        <v>9785160177601</v>
      </c>
    </row>
    <row r="7072" spans="1:29" s="4" customFormat="1" ht="44.1" customHeight="1" x14ac:dyDescent="0.2">
      <c r="A7072" s="5">
        <v>0</v>
      </c>
      <c r="B7072" s="6" t="s">
        <v>40070</v>
      </c>
      <c r="C7072" s="13">
        <v>840</v>
      </c>
      <c r="D7072" s="8" t="s">
        <v>40071</v>
      </c>
      <c r="E7072" s="8" t="s">
        <v>40072</v>
      </c>
      <c r="F7072" s="8" t="s">
        <v>17123</v>
      </c>
      <c r="G7072" s="6" t="s">
        <v>33</v>
      </c>
      <c r="H7072" s="6" t="s">
        <v>34</v>
      </c>
      <c r="I7072" s="8" t="s">
        <v>35</v>
      </c>
      <c r="J7072" s="9">
        <v>1</v>
      </c>
      <c r="K7072" s="9">
        <v>173</v>
      </c>
      <c r="L7072" s="9">
        <v>2022</v>
      </c>
      <c r="M7072" s="8" t="s">
        <v>40073</v>
      </c>
      <c r="N7072" s="8" t="s">
        <v>37</v>
      </c>
      <c r="O7072" s="8" t="s">
        <v>83</v>
      </c>
      <c r="P7072" s="6" t="s">
        <v>39</v>
      </c>
      <c r="Q7072" s="8" t="s">
        <v>40</v>
      </c>
      <c r="R7072" s="10" t="s">
        <v>40074</v>
      </c>
      <c r="S7072" s="11"/>
      <c r="T7072" s="6"/>
      <c r="U7072" s="15" t="str">
        <f>HYPERLINK("https://media.infra-m.ru/1842/1842565/cover/1842565.jpg", "Обложка")</f>
        <v>Обложка</v>
      </c>
      <c r="V7072" s="8" t="s">
        <v>9514</v>
      </c>
      <c r="W7072" s="6"/>
      <c r="X7072" s="6"/>
      <c r="Y7072" s="6"/>
      <c r="Z7072" s="6"/>
      <c r="AA7072" s="6" t="s">
        <v>148</v>
      </c>
      <c r="AB7072" s="8" t="s">
        <v>3024</v>
      </c>
      <c r="AC7072" s="27">
        <v>9785160173177</v>
      </c>
    </row>
    <row r="7073" spans="1:29" s="4" customFormat="1" ht="42" customHeight="1" x14ac:dyDescent="0.2">
      <c r="A7073" s="5">
        <v>0</v>
      </c>
      <c r="B7073" s="6" t="s">
        <v>40075</v>
      </c>
      <c r="C7073" s="7">
        <v>1488</v>
      </c>
      <c r="D7073" s="8" t="s">
        <v>40076</v>
      </c>
      <c r="E7073" s="8" t="s">
        <v>40077</v>
      </c>
      <c r="F7073" s="8" t="s">
        <v>40078</v>
      </c>
      <c r="G7073" s="6" t="s">
        <v>118</v>
      </c>
      <c r="H7073" s="6" t="s">
        <v>34</v>
      </c>
      <c r="I7073" s="8"/>
      <c r="J7073" s="9">
        <v>1</v>
      </c>
      <c r="K7073" s="9">
        <v>232</v>
      </c>
      <c r="L7073" s="9">
        <v>2026</v>
      </c>
      <c r="M7073" s="8" t="s">
        <v>40079</v>
      </c>
      <c r="N7073" s="8" t="s">
        <v>37</v>
      </c>
      <c r="O7073" s="8" t="s">
        <v>83</v>
      </c>
      <c r="P7073" s="6" t="s">
        <v>39</v>
      </c>
      <c r="Q7073" s="8" t="s">
        <v>40</v>
      </c>
      <c r="R7073" s="10" t="s">
        <v>20332</v>
      </c>
      <c r="S7073" s="11"/>
      <c r="T7073" s="6"/>
      <c r="U7073" s="15" t="str">
        <f>HYPERLINK("https://media.infra-m.ru/2219/2219028/cover/2219028.jpg", "Обложка")</f>
        <v>Обложка</v>
      </c>
      <c r="V7073" s="8" t="s">
        <v>396</v>
      </c>
      <c r="W7073" s="6"/>
      <c r="X7073" s="6"/>
      <c r="Y7073" s="6"/>
      <c r="Z7073" s="6"/>
      <c r="AA7073" s="6" t="s">
        <v>86</v>
      </c>
      <c r="AB7073" s="8"/>
      <c r="AC7073" s="27">
        <v>9785160150673</v>
      </c>
    </row>
    <row r="7074" spans="1:29" s="4" customFormat="1" ht="51.9" customHeight="1" x14ac:dyDescent="0.2">
      <c r="A7074" s="5">
        <v>0</v>
      </c>
      <c r="B7074" s="6" t="s">
        <v>40080</v>
      </c>
      <c r="C7074" s="13">
        <v>948</v>
      </c>
      <c r="D7074" s="8" t="s">
        <v>40081</v>
      </c>
      <c r="E7074" s="8" t="s">
        <v>40082</v>
      </c>
      <c r="F7074" s="8" t="s">
        <v>40083</v>
      </c>
      <c r="G7074" s="6" t="s">
        <v>33</v>
      </c>
      <c r="H7074" s="6" t="s">
        <v>34</v>
      </c>
      <c r="I7074" s="8" t="s">
        <v>35</v>
      </c>
      <c r="J7074" s="9">
        <v>1</v>
      </c>
      <c r="K7074" s="9">
        <v>172</v>
      </c>
      <c r="L7074" s="9">
        <v>2023</v>
      </c>
      <c r="M7074" s="8" t="s">
        <v>40084</v>
      </c>
      <c r="N7074" s="8" t="s">
        <v>37</v>
      </c>
      <c r="O7074" s="8" t="s">
        <v>83</v>
      </c>
      <c r="P7074" s="6" t="s">
        <v>39</v>
      </c>
      <c r="Q7074" s="8" t="s">
        <v>40</v>
      </c>
      <c r="R7074" s="10" t="s">
        <v>40085</v>
      </c>
      <c r="S7074" s="11"/>
      <c r="T7074" s="6"/>
      <c r="U7074" s="15" t="str">
        <f>HYPERLINK("https://media.infra-m.ru/2063/2063406/cover/2063406.jpg", "Обложка")</f>
        <v>Обложка</v>
      </c>
      <c r="V7074" s="8" t="s">
        <v>10325</v>
      </c>
      <c r="W7074" s="6"/>
      <c r="X7074" s="6"/>
      <c r="Y7074" s="6"/>
      <c r="Z7074" s="6"/>
      <c r="AA7074" s="6" t="s">
        <v>430</v>
      </c>
      <c r="AB7074" s="8"/>
      <c r="AC7074" s="27">
        <v>9785160170961</v>
      </c>
    </row>
    <row r="7075" spans="1:29" s="4" customFormat="1" ht="42" customHeight="1" x14ac:dyDescent="0.2">
      <c r="A7075" s="5">
        <v>0</v>
      </c>
      <c r="B7075" s="6" t="s">
        <v>40086</v>
      </c>
      <c r="C7075" s="7">
        <v>1480.8</v>
      </c>
      <c r="D7075" s="8" t="s">
        <v>40087</v>
      </c>
      <c r="E7075" s="8" t="s">
        <v>40088</v>
      </c>
      <c r="F7075" s="8" t="s">
        <v>40089</v>
      </c>
      <c r="G7075" s="6" t="s">
        <v>33</v>
      </c>
      <c r="H7075" s="6" t="s">
        <v>48</v>
      </c>
      <c r="I7075" s="8"/>
      <c r="J7075" s="9">
        <v>1</v>
      </c>
      <c r="K7075" s="9">
        <v>224</v>
      </c>
      <c r="L7075" s="9">
        <v>2026</v>
      </c>
      <c r="M7075" s="8" t="s">
        <v>40090</v>
      </c>
      <c r="N7075" s="8" t="s">
        <v>63</v>
      </c>
      <c r="O7075" s="8" t="s">
        <v>154</v>
      </c>
      <c r="P7075" s="6" t="s">
        <v>95</v>
      </c>
      <c r="Q7075" s="8" t="s">
        <v>40</v>
      </c>
      <c r="R7075" s="10" t="s">
        <v>40091</v>
      </c>
      <c r="S7075" s="11"/>
      <c r="T7075" s="6"/>
      <c r="U7075" s="15" t="str">
        <f>HYPERLINK("https://media.infra-m.ru/2224/2224134/cover/2224134.jpg", "Обложка")</f>
        <v>Обложка</v>
      </c>
      <c r="V7075" s="8" t="s">
        <v>1357</v>
      </c>
      <c r="W7075" s="6"/>
      <c r="X7075" s="6"/>
      <c r="Y7075" s="6"/>
      <c r="Z7075" s="6"/>
      <c r="AA7075" s="6" t="s">
        <v>2338</v>
      </c>
      <c r="AB7075" s="8"/>
      <c r="AC7075" s="27">
        <v>9785911345129</v>
      </c>
    </row>
    <row r="7076" spans="1:29" s="4" customFormat="1" ht="51.9" customHeight="1" x14ac:dyDescent="0.2">
      <c r="A7076" s="5">
        <v>0</v>
      </c>
      <c r="B7076" s="6" t="s">
        <v>40092</v>
      </c>
      <c r="C7076" s="7">
        <v>1500</v>
      </c>
      <c r="D7076" s="8" t="s">
        <v>40093</v>
      </c>
      <c r="E7076" s="8" t="s">
        <v>40094</v>
      </c>
      <c r="F7076" s="8" t="s">
        <v>40095</v>
      </c>
      <c r="G7076" s="6" t="s">
        <v>60</v>
      </c>
      <c r="H7076" s="6" t="s">
        <v>34</v>
      </c>
      <c r="I7076" s="8" t="s">
        <v>35</v>
      </c>
      <c r="J7076" s="9">
        <v>1</v>
      </c>
      <c r="K7076" s="9">
        <v>217</v>
      </c>
      <c r="L7076" s="9">
        <v>2026</v>
      </c>
      <c r="M7076" s="8" t="s">
        <v>40096</v>
      </c>
      <c r="N7076" s="8" t="s">
        <v>63</v>
      </c>
      <c r="O7076" s="8" t="s">
        <v>154</v>
      </c>
      <c r="P7076" s="6" t="s">
        <v>39</v>
      </c>
      <c r="Q7076" s="8" t="s">
        <v>40</v>
      </c>
      <c r="R7076" s="10" t="s">
        <v>40097</v>
      </c>
      <c r="S7076" s="11"/>
      <c r="T7076" s="6"/>
      <c r="U7076" s="15" t="str">
        <f>HYPERLINK("https://media.infra-m.ru/2230/2230810/cover/2230810.jpg", "Обложка")</f>
        <v>Обложка</v>
      </c>
      <c r="V7076" s="8" t="s">
        <v>10325</v>
      </c>
      <c r="W7076" s="6" t="s">
        <v>351</v>
      </c>
      <c r="X7076" s="6"/>
      <c r="Y7076" s="6"/>
      <c r="Z7076" s="6"/>
      <c r="AA7076" s="6" t="s">
        <v>187</v>
      </c>
      <c r="AB7076" s="8" t="s">
        <v>308</v>
      </c>
      <c r="AC7076" s="27">
        <v>9785160215655</v>
      </c>
    </row>
    <row r="7077" spans="1:29" s="4" customFormat="1" ht="51.9" customHeight="1" x14ac:dyDescent="0.2">
      <c r="A7077" s="5">
        <v>0</v>
      </c>
      <c r="B7077" s="6" t="s">
        <v>40098</v>
      </c>
      <c r="C7077" s="7">
        <v>1216.8</v>
      </c>
      <c r="D7077" s="8" t="s">
        <v>40099</v>
      </c>
      <c r="E7077" s="8" t="s">
        <v>40100</v>
      </c>
      <c r="F7077" s="8" t="s">
        <v>40101</v>
      </c>
      <c r="G7077" s="6" t="s">
        <v>33</v>
      </c>
      <c r="H7077" s="6" t="s">
        <v>34</v>
      </c>
      <c r="I7077" s="8" t="s">
        <v>271</v>
      </c>
      <c r="J7077" s="9">
        <v>1</v>
      </c>
      <c r="K7077" s="9">
        <v>185</v>
      </c>
      <c r="L7077" s="9">
        <v>2026</v>
      </c>
      <c r="M7077" s="8" t="s">
        <v>40102</v>
      </c>
      <c r="N7077" s="8" t="s">
        <v>37</v>
      </c>
      <c r="O7077" s="8" t="s">
        <v>83</v>
      </c>
      <c r="P7077" s="6" t="s">
        <v>51</v>
      </c>
      <c r="Q7077" s="8" t="s">
        <v>52</v>
      </c>
      <c r="R7077" s="10" t="s">
        <v>40103</v>
      </c>
      <c r="S7077" s="11" t="s">
        <v>40104</v>
      </c>
      <c r="T7077" s="6"/>
      <c r="U7077" s="15" t="str">
        <f>HYPERLINK("https://media.infra-m.ru/2239/2239114/cover/2239114.jpg", "Обложка")</f>
        <v>Обложка</v>
      </c>
      <c r="V7077" s="8" t="s">
        <v>2854</v>
      </c>
      <c r="W7077" s="6"/>
      <c r="X7077" s="6"/>
      <c r="Y7077" s="6"/>
      <c r="Z7077" s="6"/>
      <c r="AA7077" s="6" t="s">
        <v>2311</v>
      </c>
      <c r="AB7077" s="8"/>
      <c r="AC7077" s="27">
        <v>9785160120904</v>
      </c>
    </row>
    <row r="7078" spans="1:29" s="4" customFormat="1" ht="44.1" customHeight="1" x14ac:dyDescent="0.2">
      <c r="A7078" s="5">
        <v>0</v>
      </c>
      <c r="B7078" s="6" t="s">
        <v>40105</v>
      </c>
      <c r="C7078" s="13">
        <v>936</v>
      </c>
      <c r="D7078" s="8" t="s">
        <v>40106</v>
      </c>
      <c r="E7078" s="8" t="s">
        <v>40107</v>
      </c>
      <c r="F7078" s="8" t="s">
        <v>40108</v>
      </c>
      <c r="G7078" s="6" t="s">
        <v>33</v>
      </c>
      <c r="H7078" s="6" t="s">
        <v>34</v>
      </c>
      <c r="I7078" s="8" t="s">
        <v>457</v>
      </c>
      <c r="J7078" s="9">
        <v>1</v>
      </c>
      <c r="K7078" s="9">
        <v>194</v>
      </c>
      <c r="L7078" s="9">
        <v>2022</v>
      </c>
      <c r="M7078" s="8" t="s">
        <v>40109</v>
      </c>
      <c r="N7078" s="8" t="s">
        <v>37</v>
      </c>
      <c r="O7078" s="8" t="s">
        <v>83</v>
      </c>
      <c r="P7078" s="6" t="s">
        <v>39</v>
      </c>
      <c r="Q7078" s="8" t="s">
        <v>40</v>
      </c>
      <c r="R7078" s="10" t="s">
        <v>11239</v>
      </c>
      <c r="S7078" s="11"/>
      <c r="T7078" s="6"/>
      <c r="U7078" s="15" t="str">
        <f>HYPERLINK("https://media.infra-m.ru/1098/1098271/cover/1098271.jpg", "Обложка")</f>
        <v>Обложка</v>
      </c>
      <c r="V7078" s="8" t="s">
        <v>247</v>
      </c>
      <c r="W7078" s="6"/>
      <c r="X7078" s="6"/>
      <c r="Y7078" s="6"/>
      <c r="Z7078" s="6"/>
      <c r="AA7078" s="6" t="s">
        <v>148</v>
      </c>
      <c r="AB7078" s="8"/>
      <c r="AC7078" s="27">
        <v>9785160163307</v>
      </c>
    </row>
    <row r="7079" spans="1:29" s="4" customFormat="1" ht="51.9" customHeight="1" x14ac:dyDescent="0.2">
      <c r="A7079" s="5">
        <v>0</v>
      </c>
      <c r="B7079" s="6" t="s">
        <v>40110</v>
      </c>
      <c r="C7079" s="7">
        <v>1392</v>
      </c>
      <c r="D7079" s="8" t="s">
        <v>40111</v>
      </c>
      <c r="E7079" s="8" t="s">
        <v>40112</v>
      </c>
      <c r="F7079" s="8" t="s">
        <v>463</v>
      </c>
      <c r="G7079" s="6" t="s">
        <v>60</v>
      </c>
      <c r="H7079" s="6" t="s">
        <v>34</v>
      </c>
      <c r="I7079" s="8" t="s">
        <v>253</v>
      </c>
      <c r="J7079" s="9">
        <v>1</v>
      </c>
      <c r="K7079" s="9">
        <v>219</v>
      </c>
      <c r="L7079" s="9">
        <v>2025</v>
      </c>
      <c r="M7079" s="8" t="s">
        <v>40113</v>
      </c>
      <c r="N7079" s="8" t="s">
        <v>63</v>
      </c>
      <c r="O7079" s="8" t="s">
        <v>126</v>
      </c>
      <c r="P7079" s="6" t="s">
        <v>51</v>
      </c>
      <c r="Q7079" s="8" t="s">
        <v>65</v>
      </c>
      <c r="R7079" s="10" t="s">
        <v>40114</v>
      </c>
      <c r="S7079" s="11"/>
      <c r="T7079" s="6"/>
      <c r="U7079" s="15" t="str">
        <f>HYPERLINK("https://media.infra-m.ru/2049/2049713/cover/2049713.jpg", "Обложка")</f>
        <v>Обложка</v>
      </c>
      <c r="V7079" s="8" t="s">
        <v>466</v>
      </c>
      <c r="W7079" s="6"/>
      <c r="X7079" s="6"/>
      <c r="Y7079" s="6"/>
      <c r="Z7079" s="6"/>
      <c r="AA7079" s="6" t="s">
        <v>68</v>
      </c>
      <c r="AB7079" s="8" t="s">
        <v>4718</v>
      </c>
      <c r="AC7079" s="27">
        <v>9785160187143</v>
      </c>
    </row>
    <row r="7080" spans="1:29" s="4" customFormat="1" ht="51.9" customHeight="1" x14ac:dyDescent="0.2">
      <c r="A7080" s="5">
        <v>0</v>
      </c>
      <c r="B7080" s="6" t="s">
        <v>40115</v>
      </c>
      <c r="C7080" s="7">
        <v>3060</v>
      </c>
      <c r="D7080" s="8" t="s">
        <v>40116</v>
      </c>
      <c r="E7080" s="8" t="s">
        <v>40117</v>
      </c>
      <c r="F7080" s="8" t="s">
        <v>40118</v>
      </c>
      <c r="G7080" s="6" t="s">
        <v>118</v>
      </c>
      <c r="H7080" s="6" t="s">
        <v>34</v>
      </c>
      <c r="I7080" s="8" t="s">
        <v>271</v>
      </c>
      <c r="J7080" s="9">
        <v>1</v>
      </c>
      <c r="K7080" s="9">
        <v>600</v>
      </c>
      <c r="L7080" s="9">
        <v>2023</v>
      </c>
      <c r="M7080" s="8" t="s">
        <v>40119</v>
      </c>
      <c r="N7080" s="8" t="s">
        <v>37</v>
      </c>
      <c r="O7080" s="8" t="s">
        <v>233</v>
      </c>
      <c r="P7080" s="6" t="s">
        <v>51</v>
      </c>
      <c r="Q7080" s="8" t="s">
        <v>52</v>
      </c>
      <c r="R7080" s="10" t="s">
        <v>18474</v>
      </c>
      <c r="S7080" s="11" t="s">
        <v>40120</v>
      </c>
      <c r="T7080" s="6" t="s">
        <v>97</v>
      </c>
      <c r="U7080" s="15" t="str">
        <f>HYPERLINK("https://media.infra-m.ru/1908/1908741/cover/1908741.jpg", "Обложка")</f>
        <v>Обложка</v>
      </c>
      <c r="V7080" s="8" t="s">
        <v>2055</v>
      </c>
      <c r="W7080" s="6"/>
      <c r="X7080" s="6"/>
      <c r="Y7080" s="6"/>
      <c r="Z7080" s="6"/>
      <c r="AA7080" s="6" t="s">
        <v>623</v>
      </c>
      <c r="AB7080" s="8"/>
      <c r="AC7080" s="27">
        <v>9785160100708</v>
      </c>
    </row>
    <row r="7081" spans="1:29" s="4" customFormat="1" ht="51.9" customHeight="1" x14ac:dyDescent="0.2">
      <c r="A7081" s="5">
        <v>0</v>
      </c>
      <c r="B7081" s="6" t="s">
        <v>40121</v>
      </c>
      <c r="C7081" s="13">
        <v>617.9</v>
      </c>
      <c r="D7081" s="8" t="s">
        <v>40122</v>
      </c>
      <c r="E7081" s="8" t="s">
        <v>40123</v>
      </c>
      <c r="F7081" s="8" t="s">
        <v>40124</v>
      </c>
      <c r="G7081" s="6" t="s">
        <v>60</v>
      </c>
      <c r="H7081" s="6" t="s">
        <v>34</v>
      </c>
      <c r="I7081" s="8" t="s">
        <v>6752</v>
      </c>
      <c r="J7081" s="9">
        <v>1</v>
      </c>
      <c r="K7081" s="9">
        <v>151</v>
      </c>
      <c r="L7081" s="9">
        <v>2018</v>
      </c>
      <c r="M7081" s="8" t="s">
        <v>40125</v>
      </c>
      <c r="N7081" s="8" t="s">
        <v>585</v>
      </c>
      <c r="O7081" s="8" t="s">
        <v>775</v>
      </c>
      <c r="P7081" s="6" t="s">
        <v>39</v>
      </c>
      <c r="Q7081" s="8" t="s">
        <v>40</v>
      </c>
      <c r="R7081" s="10" t="s">
        <v>40126</v>
      </c>
      <c r="S7081" s="11"/>
      <c r="T7081" s="6" t="s">
        <v>97</v>
      </c>
      <c r="U7081" s="15" t="str">
        <f>HYPERLINK("https://media.infra-m.ru/2081/2081992/cover/2081992.jpg", "Обложка")</f>
        <v>Обложка</v>
      </c>
      <c r="V7081" s="8" t="s">
        <v>22691</v>
      </c>
      <c r="W7081" s="6"/>
      <c r="X7081" s="6"/>
      <c r="Y7081" s="6"/>
      <c r="Z7081" s="6"/>
      <c r="AA7081" s="6" t="s">
        <v>86</v>
      </c>
      <c r="AB7081" s="8"/>
      <c r="AC7081" s="27">
        <v>9785160141749</v>
      </c>
    </row>
    <row r="7082" spans="1:29" s="4" customFormat="1" ht="51.9" customHeight="1" x14ac:dyDescent="0.2">
      <c r="A7082" s="5">
        <v>0</v>
      </c>
      <c r="B7082" s="6" t="s">
        <v>40127</v>
      </c>
      <c r="C7082" s="13">
        <v>816</v>
      </c>
      <c r="D7082" s="8" t="s">
        <v>40128</v>
      </c>
      <c r="E7082" s="8" t="s">
        <v>40123</v>
      </c>
      <c r="F7082" s="8" t="s">
        <v>40124</v>
      </c>
      <c r="G7082" s="6" t="s">
        <v>33</v>
      </c>
      <c r="H7082" s="6" t="s">
        <v>34</v>
      </c>
      <c r="I7082" s="8" t="s">
        <v>6752</v>
      </c>
      <c r="J7082" s="9">
        <v>1</v>
      </c>
      <c r="K7082" s="9">
        <v>151</v>
      </c>
      <c r="L7082" s="9">
        <v>2023</v>
      </c>
      <c r="M7082" s="8" t="s">
        <v>40129</v>
      </c>
      <c r="N7082" s="8" t="s">
        <v>585</v>
      </c>
      <c r="O7082" s="8" t="s">
        <v>775</v>
      </c>
      <c r="P7082" s="6" t="s">
        <v>39</v>
      </c>
      <c r="Q7082" s="8" t="s">
        <v>40</v>
      </c>
      <c r="R7082" s="10" t="s">
        <v>40126</v>
      </c>
      <c r="S7082" s="11"/>
      <c r="T7082" s="6" t="s">
        <v>97</v>
      </c>
      <c r="U7082" s="15" t="str">
        <f>HYPERLINK("https://media.infra-m.ru/2032/2032493/cover/2032493.jpg", "Обложка")</f>
        <v>Обложка</v>
      </c>
      <c r="V7082" s="8" t="s">
        <v>22691</v>
      </c>
      <c r="W7082" s="6"/>
      <c r="X7082" s="6"/>
      <c r="Y7082" s="6"/>
      <c r="Z7082" s="6"/>
      <c r="AA7082" s="6" t="s">
        <v>86</v>
      </c>
      <c r="AB7082" s="8"/>
      <c r="AC7082" s="27">
        <v>9785160156903</v>
      </c>
    </row>
    <row r="7083" spans="1:29" s="4" customFormat="1" ht="42" customHeight="1" x14ac:dyDescent="0.2">
      <c r="A7083" s="5">
        <v>0</v>
      </c>
      <c r="B7083" s="6" t="s">
        <v>40130</v>
      </c>
      <c r="C7083" s="13">
        <v>792</v>
      </c>
      <c r="D7083" s="8" t="s">
        <v>40131</v>
      </c>
      <c r="E7083" s="8" t="s">
        <v>40132</v>
      </c>
      <c r="F7083" s="8" t="s">
        <v>7452</v>
      </c>
      <c r="G7083" s="6" t="s">
        <v>118</v>
      </c>
      <c r="H7083" s="6" t="s">
        <v>34</v>
      </c>
      <c r="I7083" s="8" t="s">
        <v>35</v>
      </c>
      <c r="J7083" s="9">
        <v>1</v>
      </c>
      <c r="K7083" s="9">
        <v>194</v>
      </c>
      <c r="L7083" s="9">
        <v>2019</v>
      </c>
      <c r="M7083" s="8" t="s">
        <v>40133</v>
      </c>
      <c r="N7083" s="8" t="s">
        <v>37</v>
      </c>
      <c r="O7083" s="8" t="s">
        <v>233</v>
      </c>
      <c r="P7083" s="6" t="s">
        <v>39</v>
      </c>
      <c r="Q7083" s="8" t="s">
        <v>40</v>
      </c>
      <c r="R7083" s="10" t="s">
        <v>1646</v>
      </c>
      <c r="S7083" s="11"/>
      <c r="T7083" s="6"/>
      <c r="U7083" s="15" t="str">
        <f>HYPERLINK("https://media.infra-m.ru/1014/1014727/cover/1014727.jpg", "Обложка")</f>
        <v>Обложка</v>
      </c>
      <c r="V7083" s="8" t="s">
        <v>7455</v>
      </c>
      <c r="W7083" s="6"/>
      <c r="X7083" s="6"/>
      <c r="Y7083" s="6"/>
      <c r="Z7083" s="6"/>
      <c r="AA7083" s="6" t="s">
        <v>99</v>
      </c>
      <c r="AB7083" s="8"/>
      <c r="AC7083" s="27">
        <v>9785160132594</v>
      </c>
    </row>
    <row r="7084" spans="1:29" s="4" customFormat="1" ht="42" customHeight="1" x14ac:dyDescent="0.2">
      <c r="A7084" s="5">
        <v>0</v>
      </c>
      <c r="B7084" s="6" t="s">
        <v>40134</v>
      </c>
      <c r="C7084" s="7">
        <v>1864.8</v>
      </c>
      <c r="D7084" s="8" t="s">
        <v>40135</v>
      </c>
      <c r="E7084" s="8" t="s">
        <v>40136</v>
      </c>
      <c r="F7084" s="8" t="s">
        <v>40137</v>
      </c>
      <c r="G7084" s="6" t="s">
        <v>60</v>
      </c>
      <c r="H7084" s="6" t="s">
        <v>34</v>
      </c>
      <c r="I7084" s="8" t="s">
        <v>35</v>
      </c>
      <c r="J7084" s="9">
        <v>1</v>
      </c>
      <c r="K7084" s="9">
        <v>298</v>
      </c>
      <c r="L7084" s="9">
        <v>2025</v>
      </c>
      <c r="M7084" s="8" t="s">
        <v>40138</v>
      </c>
      <c r="N7084" s="8" t="s">
        <v>37</v>
      </c>
      <c r="O7084" s="8" t="s">
        <v>233</v>
      </c>
      <c r="P7084" s="6" t="s">
        <v>39</v>
      </c>
      <c r="Q7084" s="8" t="s">
        <v>40</v>
      </c>
      <c r="R7084" s="10" t="s">
        <v>3008</v>
      </c>
      <c r="S7084" s="11"/>
      <c r="T7084" s="6"/>
      <c r="U7084" s="15" t="str">
        <f>HYPERLINK("https://media.infra-m.ru/2196/2196132/cover/2196132.jpg", "Обложка")</f>
        <v>Обложка</v>
      </c>
      <c r="V7084" s="8" t="s">
        <v>5693</v>
      </c>
      <c r="W7084" s="6"/>
      <c r="X7084" s="6"/>
      <c r="Y7084" s="6"/>
      <c r="Z7084" s="6"/>
      <c r="AA7084" s="6" t="s">
        <v>99</v>
      </c>
      <c r="AB7084" s="8"/>
      <c r="AC7084" s="27">
        <v>9785160123493</v>
      </c>
    </row>
    <row r="7085" spans="1:29" s="4" customFormat="1" ht="51.9" customHeight="1" x14ac:dyDescent="0.2">
      <c r="A7085" s="5">
        <v>0</v>
      </c>
      <c r="B7085" s="6" t="s">
        <v>40139</v>
      </c>
      <c r="C7085" s="7">
        <v>1308</v>
      </c>
      <c r="D7085" s="8" t="s">
        <v>40140</v>
      </c>
      <c r="E7085" s="8" t="s">
        <v>40141</v>
      </c>
      <c r="F7085" s="8" t="s">
        <v>40142</v>
      </c>
      <c r="G7085" s="6" t="s">
        <v>118</v>
      </c>
      <c r="H7085" s="6" t="s">
        <v>34</v>
      </c>
      <c r="I7085" s="8" t="s">
        <v>271</v>
      </c>
      <c r="J7085" s="9">
        <v>1</v>
      </c>
      <c r="K7085" s="9">
        <v>286</v>
      </c>
      <c r="L7085" s="9">
        <v>2022</v>
      </c>
      <c r="M7085" s="8" t="s">
        <v>40143</v>
      </c>
      <c r="N7085" s="8" t="s">
        <v>37</v>
      </c>
      <c r="O7085" s="8" t="s">
        <v>233</v>
      </c>
      <c r="P7085" s="6" t="s">
        <v>306</v>
      </c>
      <c r="Q7085" s="8" t="s">
        <v>52</v>
      </c>
      <c r="R7085" s="10" t="s">
        <v>1646</v>
      </c>
      <c r="S7085" s="11" t="s">
        <v>40144</v>
      </c>
      <c r="T7085" s="6"/>
      <c r="U7085" s="15" t="str">
        <f>HYPERLINK("https://media.infra-m.ru/1865/1865806/cover/1865806.jpg", "Обложка")</f>
        <v>Обложка</v>
      </c>
      <c r="V7085" s="8" t="s">
        <v>2055</v>
      </c>
      <c r="W7085" s="6"/>
      <c r="X7085" s="6"/>
      <c r="Y7085" s="6"/>
      <c r="Z7085" s="6"/>
      <c r="AA7085" s="6" t="s">
        <v>1256</v>
      </c>
      <c r="AB7085" s="8"/>
      <c r="AC7085" s="27">
        <v>9785160157696</v>
      </c>
    </row>
    <row r="7086" spans="1:29" s="4" customFormat="1" ht="51.9" customHeight="1" x14ac:dyDescent="0.2">
      <c r="A7086" s="5">
        <v>0</v>
      </c>
      <c r="B7086" s="6" t="s">
        <v>40145</v>
      </c>
      <c r="C7086" s="7">
        <v>1224</v>
      </c>
      <c r="D7086" s="8" t="s">
        <v>40146</v>
      </c>
      <c r="E7086" s="8" t="s">
        <v>40147</v>
      </c>
      <c r="F7086" s="8" t="s">
        <v>11449</v>
      </c>
      <c r="G7086" s="6" t="s">
        <v>118</v>
      </c>
      <c r="H7086" s="6" t="s">
        <v>34</v>
      </c>
      <c r="I7086" s="8" t="s">
        <v>253</v>
      </c>
      <c r="J7086" s="9">
        <v>1</v>
      </c>
      <c r="K7086" s="9">
        <v>186</v>
      </c>
      <c r="L7086" s="9">
        <v>2026</v>
      </c>
      <c r="M7086" s="8" t="s">
        <v>40148</v>
      </c>
      <c r="N7086" s="8" t="s">
        <v>37</v>
      </c>
      <c r="O7086" s="8" t="s">
        <v>207</v>
      </c>
      <c r="P7086" s="6" t="s">
        <v>51</v>
      </c>
      <c r="Q7086" s="8" t="s">
        <v>52</v>
      </c>
      <c r="R7086" s="10" t="s">
        <v>357</v>
      </c>
      <c r="S7086" s="11" t="s">
        <v>40149</v>
      </c>
      <c r="T7086" s="6"/>
      <c r="U7086" s="15" t="str">
        <f>HYPERLINK("https://media.infra-m.ru/2227/2227028/cover/2227028.jpg", "Обложка")</f>
        <v>Обложка</v>
      </c>
      <c r="V7086" s="8" t="s">
        <v>1505</v>
      </c>
      <c r="W7086" s="6"/>
      <c r="X7086" s="6"/>
      <c r="Y7086" s="6"/>
      <c r="Z7086" s="6"/>
      <c r="AA7086" s="6" t="s">
        <v>718</v>
      </c>
      <c r="AB7086" s="8"/>
      <c r="AC7086" s="27">
        <v>9785160214856</v>
      </c>
    </row>
    <row r="7087" spans="1:29" s="4" customFormat="1" ht="51.9" customHeight="1" x14ac:dyDescent="0.2">
      <c r="A7087" s="5">
        <v>0</v>
      </c>
      <c r="B7087" s="6" t="s">
        <v>40150</v>
      </c>
      <c r="C7087" s="7">
        <v>1512</v>
      </c>
      <c r="D7087" s="8" t="s">
        <v>40151</v>
      </c>
      <c r="E7087" s="8" t="s">
        <v>40152</v>
      </c>
      <c r="F7087" s="8" t="s">
        <v>40153</v>
      </c>
      <c r="G7087" s="6" t="s">
        <v>118</v>
      </c>
      <c r="H7087" s="6" t="s">
        <v>34</v>
      </c>
      <c r="I7087" s="8" t="s">
        <v>35</v>
      </c>
      <c r="J7087" s="9">
        <v>1</v>
      </c>
      <c r="K7087" s="9">
        <v>281</v>
      </c>
      <c r="L7087" s="9">
        <v>2019</v>
      </c>
      <c r="M7087" s="8" t="s">
        <v>40154</v>
      </c>
      <c r="N7087" s="8" t="s">
        <v>37</v>
      </c>
      <c r="O7087" s="8" t="s">
        <v>233</v>
      </c>
      <c r="P7087" s="6" t="s">
        <v>39</v>
      </c>
      <c r="Q7087" s="8" t="s">
        <v>40</v>
      </c>
      <c r="R7087" s="10" t="s">
        <v>36667</v>
      </c>
      <c r="S7087" s="11"/>
      <c r="T7087" s="6"/>
      <c r="U7087" s="15" t="str">
        <f>HYPERLINK("https://media.infra-m.ru/1948/1948200/cover/1948200.jpg", "Обложка")</f>
        <v>Обложка</v>
      </c>
      <c r="V7087" s="8" t="s">
        <v>1094</v>
      </c>
      <c r="W7087" s="6"/>
      <c r="X7087" s="6"/>
      <c r="Y7087" s="6"/>
      <c r="Z7087" s="6"/>
      <c r="AA7087" s="6" t="s">
        <v>115</v>
      </c>
      <c r="AB7087" s="8"/>
      <c r="AC7087" s="27">
        <v>9785160136790</v>
      </c>
    </row>
    <row r="7088" spans="1:29" s="4" customFormat="1" ht="42" customHeight="1" x14ac:dyDescent="0.2">
      <c r="A7088" s="5">
        <v>0</v>
      </c>
      <c r="B7088" s="6" t="s">
        <v>40155</v>
      </c>
      <c r="C7088" s="13">
        <v>820.8</v>
      </c>
      <c r="D7088" s="8" t="s">
        <v>40156</v>
      </c>
      <c r="E7088" s="8" t="s">
        <v>40157</v>
      </c>
      <c r="F7088" s="8" t="s">
        <v>4951</v>
      </c>
      <c r="G7088" s="6" t="s">
        <v>33</v>
      </c>
      <c r="H7088" s="6" t="s">
        <v>134</v>
      </c>
      <c r="I7088" s="8"/>
      <c r="J7088" s="9">
        <v>1</v>
      </c>
      <c r="K7088" s="9">
        <v>136</v>
      </c>
      <c r="L7088" s="9">
        <v>2025</v>
      </c>
      <c r="M7088" s="8" t="s">
        <v>40158</v>
      </c>
      <c r="N7088" s="8" t="s">
        <v>37</v>
      </c>
      <c r="O7088" s="8" t="s">
        <v>83</v>
      </c>
      <c r="P7088" s="6" t="s">
        <v>39</v>
      </c>
      <c r="Q7088" s="8" t="s">
        <v>40</v>
      </c>
      <c r="R7088" s="10" t="s">
        <v>1667</v>
      </c>
      <c r="S7088" s="11"/>
      <c r="T7088" s="6"/>
      <c r="U7088" s="15" t="str">
        <f>HYPERLINK("https://media.infra-m.ru/2170/2170326/cover/2170326.jpg", "Обложка")</f>
        <v>Обложка</v>
      </c>
      <c r="V7088" s="8" t="s">
        <v>1184</v>
      </c>
      <c r="W7088" s="6"/>
      <c r="X7088" s="6"/>
      <c r="Y7088" s="6"/>
      <c r="Z7088" s="6"/>
      <c r="AA7088" s="6" t="s">
        <v>99</v>
      </c>
      <c r="AB7088" s="8"/>
      <c r="AC7088" s="27">
        <v>9785917687735</v>
      </c>
    </row>
    <row r="7089" spans="1:29" s="4" customFormat="1" ht="51.9" customHeight="1" x14ac:dyDescent="0.2">
      <c r="A7089" s="5">
        <v>0</v>
      </c>
      <c r="B7089" s="6" t="s">
        <v>40159</v>
      </c>
      <c r="C7089" s="7">
        <v>1624.8</v>
      </c>
      <c r="D7089" s="8" t="s">
        <v>40160</v>
      </c>
      <c r="E7089" s="8" t="s">
        <v>40161</v>
      </c>
      <c r="F7089" s="8" t="s">
        <v>22941</v>
      </c>
      <c r="G7089" s="6" t="s">
        <v>118</v>
      </c>
      <c r="H7089" s="6" t="s">
        <v>34</v>
      </c>
      <c r="I7089" s="8" t="s">
        <v>253</v>
      </c>
      <c r="J7089" s="9">
        <v>1</v>
      </c>
      <c r="K7089" s="9">
        <v>233</v>
      </c>
      <c r="L7089" s="9">
        <v>2026</v>
      </c>
      <c r="M7089" s="8" t="s">
        <v>40162</v>
      </c>
      <c r="N7089" s="8" t="s">
        <v>37</v>
      </c>
      <c r="O7089" s="8" t="s">
        <v>83</v>
      </c>
      <c r="P7089" s="6" t="s">
        <v>306</v>
      </c>
      <c r="Q7089" s="8" t="s">
        <v>52</v>
      </c>
      <c r="R7089" s="10" t="s">
        <v>40163</v>
      </c>
      <c r="S7089" s="11" t="s">
        <v>40164</v>
      </c>
      <c r="T7089" s="6"/>
      <c r="U7089" s="15" t="str">
        <f>HYPERLINK("https://media.infra-m.ru/2256/2256960/cover/2256960.jpg", "Обложка")</f>
        <v>Обложка</v>
      </c>
      <c r="V7089" s="8" t="s">
        <v>10985</v>
      </c>
      <c r="W7089" s="6"/>
      <c r="X7089" s="6"/>
      <c r="Y7089" s="6"/>
      <c r="Z7089" s="6"/>
      <c r="AA7089" s="6" t="s">
        <v>430</v>
      </c>
      <c r="AB7089" s="8"/>
      <c r="AC7089" s="27">
        <v>9785160221922</v>
      </c>
    </row>
    <row r="7090" spans="1:29" s="4" customFormat="1" ht="51.9" customHeight="1" x14ac:dyDescent="0.2">
      <c r="A7090" s="5">
        <v>0</v>
      </c>
      <c r="B7090" s="6" t="s">
        <v>40165</v>
      </c>
      <c r="C7090" s="7">
        <v>2676</v>
      </c>
      <c r="D7090" s="8" t="s">
        <v>40166</v>
      </c>
      <c r="E7090" s="8" t="s">
        <v>40167</v>
      </c>
      <c r="F7090" s="8" t="s">
        <v>40168</v>
      </c>
      <c r="G7090" s="6" t="s">
        <v>60</v>
      </c>
      <c r="H7090" s="6" t="s">
        <v>34</v>
      </c>
      <c r="I7090" s="8" t="s">
        <v>457</v>
      </c>
      <c r="J7090" s="9">
        <v>1</v>
      </c>
      <c r="K7090" s="9">
        <v>396</v>
      </c>
      <c r="L7090" s="9">
        <v>2025</v>
      </c>
      <c r="M7090" s="8" t="s">
        <v>40169</v>
      </c>
      <c r="N7090" s="8" t="s">
        <v>37</v>
      </c>
      <c r="O7090" s="8" t="s">
        <v>83</v>
      </c>
      <c r="P7090" s="6" t="s">
        <v>39</v>
      </c>
      <c r="Q7090" s="8" t="s">
        <v>40</v>
      </c>
      <c r="R7090" s="10" t="s">
        <v>40170</v>
      </c>
      <c r="S7090" s="11"/>
      <c r="T7090" s="6"/>
      <c r="U7090" s="15" t="str">
        <f>HYPERLINK("https://media.infra-m.ru/2216/2216484/cover/2216484.jpg", "Обложка")</f>
        <v>Обложка</v>
      </c>
      <c r="V7090" s="8" t="s">
        <v>247</v>
      </c>
      <c r="W7090" s="6" t="s">
        <v>1382</v>
      </c>
      <c r="X7090" s="6"/>
      <c r="Y7090" s="6"/>
      <c r="Z7090" s="6"/>
      <c r="AA7090" s="6" t="s">
        <v>68</v>
      </c>
      <c r="AB7090" s="8"/>
      <c r="AC7090" s="27">
        <v>9785160211701</v>
      </c>
    </row>
    <row r="7091" spans="1:29" s="4" customFormat="1" ht="42" customHeight="1" x14ac:dyDescent="0.2">
      <c r="A7091" s="5">
        <v>0</v>
      </c>
      <c r="B7091" s="6" t="s">
        <v>40171</v>
      </c>
      <c r="C7091" s="7">
        <v>2004</v>
      </c>
      <c r="D7091" s="8" t="s">
        <v>40172</v>
      </c>
      <c r="E7091" s="8" t="s">
        <v>40173</v>
      </c>
      <c r="F7091" s="8" t="s">
        <v>4678</v>
      </c>
      <c r="G7091" s="6" t="s">
        <v>60</v>
      </c>
      <c r="H7091" s="6" t="s">
        <v>34</v>
      </c>
      <c r="I7091" s="8" t="s">
        <v>35</v>
      </c>
      <c r="J7091" s="9">
        <v>1</v>
      </c>
      <c r="K7091" s="9">
        <v>369</v>
      </c>
      <c r="L7091" s="9">
        <v>2023</v>
      </c>
      <c r="M7091" s="8" t="s">
        <v>40174</v>
      </c>
      <c r="N7091" s="8" t="s">
        <v>585</v>
      </c>
      <c r="O7091" s="8" t="s">
        <v>2472</v>
      </c>
      <c r="P7091" s="6" t="s">
        <v>39</v>
      </c>
      <c r="Q7091" s="8" t="s">
        <v>40</v>
      </c>
      <c r="R7091" s="10" t="s">
        <v>40175</v>
      </c>
      <c r="S7091" s="11"/>
      <c r="T7091" s="6"/>
      <c r="U7091" s="15" t="str">
        <f>HYPERLINK("https://media.infra-m.ru/1903/1903346/cover/1903346.jpg", "Обложка")</f>
        <v>Обложка</v>
      </c>
      <c r="V7091" s="8" t="s">
        <v>2047</v>
      </c>
      <c r="W7091" s="6"/>
      <c r="X7091" s="6"/>
      <c r="Y7091" s="6"/>
      <c r="Z7091" s="6"/>
      <c r="AA7091" s="6" t="s">
        <v>157</v>
      </c>
      <c r="AB7091" s="8"/>
      <c r="AC7091" s="27">
        <v>9785160180113</v>
      </c>
    </row>
    <row r="7092" spans="1:29" s="4" customFormat="1" ht="51.9" customHeight="1" x14ac:dyDescent="0.2">
      <c r="A7092" s="5">
        <v>0</v>
      </c>
      <c r="B7092" s="6" t="s">
        <v>40176</v>
      </c>
      <c r="C7092" s="13">
        <v>713.9</v>
      </c>
      <c r="D7092" s="8" t="s">
        <v>40177</v>
      </c>
      <c r="E7092" s="8" t="s">
        <v>40178</v>
      </c>
      <c r="F7092" s="8" t="s">
        <v>40179</v>
      </c>
      <c r="G7092" s="6" t="s">
        <v>33</v>
      </c>
      <c r="H7092" s="6" t="s">
        <v>34</v>
      </c>
      <c r="I7092" s="8" t="s">
        <v>35</v>
      </c>
      <c r="J7092" s="9">
        <v>1</v>
      </c>
      <c r="K7092" s="9">
        <v>172</v>
      </c>
      <c r="L7092" s="9">
        <v>2019</v>
      </c>
      <c r="M7092" s="8" t="s">
        <v>40180</v>
      </c>
      <c r="N7092" s="8" t="s">
        <v>63</v>
      </c>
      <c r="O7092" s="8" t="s">
        <v>126</v>
      </c>
      <c r="P7092" s="6" t="s">
        <v>39</v>
      </c>
      <c r="Q7092" s="8" t="s">
        <v>40</v>
      </c>
      <c r="R7092" s="10" t="s">
        <v>40181</v>
      </c>
      <c r="S7092" s="11"/>
      <c r="T7092" s="6"/>
      <c r="U7092" s="15" t="str">
        <f>HYPERLINK("https://media.infra-m.ru/0992/0992568/cover/992568.jpg", "Обложка")</f>
        <v>Обложка</v>
      </c>
      <c r="V7092" s="8" t="s">
        <v>546</v>
      </c>
      <c r="W7092" s="6"/>
      <c r="X7092" s="6"/>
      <c r="Y7092" s="6"/>
      <c r="Z7092" s="6"/>
      <c r="AA7092" s="6" t="s">
        <v>248</v>
      </c>
      <c r="AB7092" s="8"/>
      <c r="AC7092" s="27">
        <v>9785160102023</v>
      </c>
    </row>
    <row r="7093" spans="1:29" s="4" customFormat="1" ht="51.9" customHeight="1" x14ac:dyDescent="0.2">
      <c r="A7093" s="5">
        <v>0</v>
      </c>
      <c r="B7093" s="6" t="s">
        <v>40182</v>
      </c>
      <c r="C7093" s="7">
        <v>1085.9000000000001</v>
      </c>
      <c r="D7093" s="8" t="s">
        <v>40183</v>
      </c>
      <c r="E7093" s="8" t="s">
        <v>40184</v>
      </c>
      <c r="F7093" s="8" t="s">
        <v>12287</v>
      </c>
      <c r="G7093" s="6" t="s">
        <v>33</v>
      </c>
      <c r="H7093" s="6" t="s">
        <v>34</v>
      </c>
      <c r="I7093" s="8" t="s">
        <v>35</v>
      </c>
      <c r="J7093" s="9">
        <v>1</v>
      </c>
      <c r="K7093" s="9">
        <v>201</v>
      </c>
      <c r="L7093" s="9">
        <v>2023</v>
      </c>
      <c r="M7093" s="8" t="s">
        <v>40185</v>
      </c>
      <c r="N7093" s="8" t="s">
        <v>63</v>
      </c>
      <c r="O7093" s="8" t="s">
        <v>126</v>
      </c>
      <c r="P7093" s="6" t="s">
        <v>39</v>
      </c>
      <c r="Q7093" s="8" t="s">
        <v>40</v>
      </c>
      <c r="R7093" s="10" t="s">
        <v>40181</v>
      </c>
      <c r="S7093" s="11"/>
      <c r="T7093" s="6"/>
      <c r="U7093" s="15" t="str">
        <f>HYPERLINK("https://media.infra-m.ru/1981/1981600/cover/1981600.jpg", "Обложка")</f>
        <v>Обложка</v>
      </c>
      <c r="V7093" s="8" t="s">
        <v>546</v>
      </c>
      <c r="W7093" s="6"/>
      <c r="X7093" s="6"/>
      <c r="Y7093" s="6"/>
      <c r="Z7093" s="6"/>
      <c r="AA7093" s="6" t="s">
        <v>218</v>
      </c>
      <c r="AB7093" s="8"/>
      <c r="AC7093" s="27">
        <v>9785160145884</v>
      </c>
    </row>
    <row r="7094" spans="1:29" s="4" customFormat="1" ht="51.9" customHeight="1" x14ac:dyDescent="0.2">
      <c r="A7094" s="5">
        <v>0</v>
      </c>
      <c r="B7094" s="6" t="s">
        <v>40186</v>
      </c>
      <c r="C7094" s="7">
        <v>4368</v>
      </c>
      <c r="D7094" s="8" t="s">
        <v>40187</v>
      </c>
      <c r="E7094" s="8" t="s">
        <v>40188</v>
      </c>
      <c r="F7094" s="8" t="s">
        <v>17399</v>
      </c>
      <c r="G7094" s="6" t="s">
        <v>60</v>
      </c>
      <c r="H7094" s="6" t="s">
        <v>134</v>
      </c>
      <c r="I7094" s="8"/>
      <c r="J7094" s="9">
        <v>1</v>
      </c>
      <c r="K7094" s="9">
        <v>800</v>
      </c>
      <c r="L7094" s="9">
        <v>2027</v>
      </c>
      <c r="M7094" s="8" t="s">
        <v>40189</v>
      </c>
      <c r="N7094" s="8" t="s">
        <v>37</v>
      </c>
      <c r="O7094" s="8" t="s">
        <v>136</v>
      </c>
      <c r="P7094" s="6" t="s">
        <v>39</v>
      </c>
      <c r="Q7094" s="8" t="s">
        <v>40</v>
      </c>
      <c r="R7094" s="10" t="s">
        <v>40190</v>
      </c>
      <c r="S7094" s="11"/>
      <c r="T7094" s="6"/>
      <c r="U7094" s="15" t="str">
        <f>HYPERLINK("https://media.infra-m.ru/2266/2266131/cover/2266131.jpg", "Обложка")</f>
        <v>Обложка</v>
      </c>
      <c r="V7094" s="8" t="s">
        <v>657</v>
      </c>
      <c r="W7094" s="6"/>
      <c r="X7094" s="6"/>
      <c r="Y7094" s="6"/>
      <c r="Z7094" s="6"/>
      <c r="AA7094" s="6" t="s">
        <v>1506</v>
      </c>
      <c r="AB7094" s="8"/>
      <c r="AC7094" s="27">
        <v>9785917681757</v>
      </c>
    </row>
    <row r="7095" spans="1:29" s="4" customFormat="1" ht="42" customHeight="1" x14ac:dyDescent="0.2">
      <c r="A7095" s="5">
        <v>0</v>
      </c>
      <c r="B7095" s="6" t="s">
        <v>40191</v>
      </c>
      <c r="C7095" s="7">
        <v>1284</v>
      </c>
      <c r="D7095" s="8" t="s">
        <v>40192</v>
      </c>
      <c r="E7095" s="8" t="s">
        <v>40193</v>
      </c>
      <c r="F7095" s="8" t="s">
        <v>39825</v>
      </c>
      <c r="G7095" s="6" t="s">
        <v>60</v>
      </c>
      <c r="H7095" s="6" t="s">
        <v>34</v>
      </c>
      <c r="I7095" s="8" t="s">
        <v>1248</v>
      </c>
      <c r="J7095" s="9">
        <v>1</v>
      </c>
      <c r="K7095" s="9">
        <v>208</v>
      </c>
      <c r="L7095" s="9">
        <v>2025</v>
      </c>
      <c r="M7095" s="8" t="s">
        <v>40194</v>
      </c>
      <c r="N7095" s="8" t="s">
        <v>37</v>
      </c>
      <c r="O7095" s="8" t="s">
        <v>83</v>
      </c>
      <c r="P7095" s="6" t="s">
        <v>51</v>
      </c>
      <c r="Q7095" s="8" t="s">
        <v>52</v>
      </c>
      <c r="R7095" s="10" t="s">
        <v>40195</v>
      </c>
      <c r="S7095" s="11"/>
      <c r="T7095" s="6"/>
      <c r="U7095" s="15" t="str">
        <f>HYPERLINK("https://media.infra-m.ru/2168/2168124/cover/2168124.jpg", "Обложка")</f>
        <v>Обложка</v>
      </c>
      <c r="V7095" s="8" t="s">
        <v>1083</v>
      </c>
      <c r="W7095" s="6"/>
      <c r="X7095" s="6"/>
      <c r="Y7095" s="6"/>
      <c r="Z7095" s="6"/>
      <c r="AA7095" s="6" t="s">
        <v>68</v>
      </c>
      <c r="AB7095" s="8"/>
      <c r="AC7095" s="27">
        <v>9785160202822</v>
      </c>
    </row>
    <row r="7096" spans="1:29" s="4" customFormat="1" ht="51.9" customHeight="1" x14ac:dyDescent="0.2">
      <c r="A7096" s="5">
        <v>0</v>
      </c>
      <c r="B7096" s="6" t="s">
        <v>40196</v>
      </c>
      <c r="C7096" s="13">
        <v>808.8</v>
      </c>
      <c r="D7096" s="8" t="s">
        <v>40197</v>
      </c>
      <c r="E7096" s="8" t="s">
        <v>40198</v>
      </c>
      <c r="F7096" s="8" t="s">
        <v>11107</v>
      </c>
      <c r="G7096" s="6" t="s">
        <v>33</v>
      </c>
      <c r="H7096" s="6" t="s">
        <v>34</v>
      </c>
      <c r="I7096" s="8" t="s">
        <v>35</v>
      </c>
      <c r="J7096" s="9">
        <v>1</v>
      </c>
      <c r="K7096" s="9">
        <v>123</v>
      </c>
      <c r="L7096" s="9">
        <v>2026</v>
      </c>
      <c r="M7096" s="8" t="s">
        <v>40199</v>
      </c>
      <c r="N7096" s="8" t="s">
        <v>63</v>
      </c>
      <c r="O7096" s="8" t="s">
        <v>126</v>
      </c>
      <c r="P7096" s="6" t="s">
        <v>39</v>
      </c>
      <c r="Q7096" s="8" t="s">
        <v>40</v>
      </c>
      <c r="R7096" s="10" t="s">
        <v>40181</v>
      </c>
      <c r="S7096" s="11"/>
      <c r="T7096" s="6"/>
      <c r="U7096" s="15" t="str">
        <f>HYPERLINK("https://media.infra-m.ru/2234/2234455/cover/2234455.jpg", "Обложка")</f>
        <v>Обложка</v>
      </c>
      <c r="V7096" s="8" t="s">
        <v>227</v>
      </c>
      <c r="W7096" s="6"/>
      <c r="X7096" s="6"/>
      <c r="Y7096" s="6"/>
      <c r="Z7096" s="6"/>
      <c r="AA7096" s="6" t="s">
        <v>43</v>
      </c>
      <c r="AB7096" s="8"/>
      <c r="AC7096" s="27">
        <v>9785160051499</v>
      </c>
    </row>
    <row r="7097" spans="1:29" s="4" customFormat="1" ht="42" customHeight="1" x14ac:dyDescent="0.2">
      <c r="A7097" s="5">
        <v>0</v>
      </c>
      <c r="B7097" s="6" t="s">
        <v>40200</v>
      </c>
      <c r="C7097" s="7">
        <v>1156.8</v>
      </c>
      <c r="D7097" s="8" t="s">
        <v>40201</v>
      </c>
      <c r="E7097" s="8" t="s">
        <v>40202</v>
      </c>
      <c r="F7097" s="8" t="s">
        <v>40203</v>
      </c>
      <c r="G7097" s="6" t="s">
        <v>118</v>
      </c>
      <c r="H7097" s="6" t="s">
        <v>134</v>
      </c>
      <c r="I7097" s="8"/>
      <c r="J7097" s="9">
        <v>1</v>
      </c>
      <c r="K7097" s="9">
        <v>192</v>
      </c>
      <c r="L7097" s="9">
        <v>2025</v>
      </c>
      <c r="M7097" s="8" t="s">
        <v>40204</v>
      </c>
      <c r="N7097" s="8" t="s">
        <v>37</v>
      </c>
      <c r="O7097" s="8" t="s">
        <v>83</v>
      </c>
      <c r="P7097" s="6" t="s">
        <v>39</v>
      </c>
      <c r="Q7097" s="8" t="s">
        <v>40</v>
      </c>
      <c r="R7097" s="10" t="s">
        <v>1625</v>
      </c>
      <c r="S7097" s="11"/>
      <c r="T7097" s="6"/>
      <c r="U7097" s="15" t="str">
        <f>HYPERLINK("https://media.infra-m.ru/2179/2179203/cover/2179203.jpg", "Обложка")</f>
        <v>Обложка</v>
      </c>
      <c r="V7097" s="8" t="s">
        <v>1184</v>
      </c>
      <c r="W7097" s="6"/>
      <c r="X7097" s="6"/>
      <c r="Y7097" s="6"/>
      <c r="Z7097" s="6"/>
      <c r="AA7097" s="6" t="s">
        <v>99</v>
      </c>
      <c r="AB7097" s="8"/>
      <c r="AC7097" s="27">
        <v>9785917688183</v>
      </c>
    </row>
    <row r="7098" spans="1:29" s="4" customFormat="1" ht="51.9" customHeight="1" x14ac:dyDescent="0.2">
      <c r="A7098" s="5">
        <v>0</v>
      </c>
      <c r="B7098" s="6" t="s">
        <v>40205</v>
      </c>
      <c r="C7098" s="13">
        <v>772.8</v>
      </c>
      <c r="D7098" s="8" t="s">
        <v>40206</v>
      </c>
      <c r="E7098" s="8" t="s">
        <v>40207</v>
      </c>
      <c r="F7098" s="8" t="s">
        <v>40208</v>
      </c>
      <c r="G7098" s="6" t="s">
        <v>33</v>
      </c>
      <c r="H7098" s="6" t="s">
        <v>34</v>
      </c>
      <c r="I7098" s="8" t="s">
        <v>35</v>
      </c>
      <c r="J7098" s="9">
        <v>1</v>
      </c>
      <c r="K7098" s="9">
        <v>140</v>
      </c>
      <c r="L7098" s="9">
        <v>2024</v>
      </c>
      <c r="M7098" s="8" t="s">
        <v>40209</v>
      </c>
      <c r="N7098" s="8" t="s">
        <v>37</v>
      </c>
      <c r="O7098" s="8" t="s">
        <v>83</v>
      </c>
      <c r="P7098" s="6" t="s">
        <v>39</v>
      </c>
      <c r="Q7098" s="8" t="s">
        <v>40</v>
      </c>
      <c r="R7098" s="10" t="s">
        <v>40210</v>
      </c>
      <c r="S7098" s="11"/>
      <c r="T7098" s="6"/>
      <c r="U7098" s="15" t="str">
        <f>HYPERLINK("https://media.infra-m.ru/2084/2084562/cover/2084562.jpg", "Обложка")</f>
        <v>Обложка</v>
      </c>
      <c r="V7098" s="8" t="s">
        <v>2215</v>
      </c>
      <c r="W7098" s="6"/>
      <c r="X7098" s="6"/>
      <c r="Y7098" s="6"/>
      <c r="Z7098" s="6"/>
      <c r="AA7098" s="6" t="s">
        <v>55</v>
      </c>
      <c r="AB7098" s="8"/>
      <c r="AC7098" s="27">
        <v>9785160090580</v>
      </c>
    </row>
    <row r="7099" spans="1:29" s="4" customFormat="1" ht="51.9" customHeight="1" x14ac:dyDescent="0.2">
      <c r="A7099" s="5">
        <v>0</v>
      </c>
      <c r="B7099" s="6" t="s">
        <v>40211</v>
      </c>
      <c r="C7099" s="13">
        <v>988.8</v>
      </c>
      <c r="D7099" s="8" t="s">
        <v>40212</v>
      </c>
      <c r="E7099" s="8" t="s">
        <v>40213</v>
      </c>
      <c r="F7099" s="8" t="s">
        <v>13605</v>
      </c>
      <c r="G7099" s="6" t="s">
        <v>33</v>
      </c>
      <c r="H7099" s="6" t="s">
        <v>134</v>
      </c>
      <c r="I7099" s="8"/>
      <c r="J7099" s="9">
        <v>1</v>
      </c>
      <c r="K7099" s="9">
        <v>176</v>
      </c>
      <c r="L7099" s="9">
        <v>2024</v>
      </c>
      <c r="M7099" s="8" t="s">
        <v>40214</v>
      </c>
      <c r="N7099" s="8" t="s">
        <v>37</v>
      </c>
      <c r="O7099" s="8" t="s">
        <v>83</v>
      </c>
      <c r="P7099" s="6" t="s">
        <v>39</v>
      </c>
      <c r="Q7099" s="8" t="s">
        <v>40</v>
      </c>
      <c r="R7099" s="10" t="s">
        <v>40215</v>
      </c>
      <c r="S7099" s="11"/>
      <c r="T7099" s="6"/>
      <c r="U7099" s="15" t="str">
        <f>HYPERLINK("https://media.infra-m.ru/2146/2146807/cover/2146807.jpg", "Обложка")</f>
        <v>Обложка</v>
      </c>
      <c r="V7099" s="8" t="s">
        <v>1184</v>
      </c>
      <c r="W7099" s="6"/>
      <c r="X7099" s="6"/>
      <c r="Y7099" s="6"/>
      <c r="Z7099" s="6"/>
      <c r="AA7099" s="6" t="s">
        <v>779</v>
      </c>
      <c r="AB7099" s="8"/>
      <c r="AC7099" s="27">
        <v>9785917686530</v>
      </c>
    </row>
    <row r="7100" spans="1:29" s="4" customFormat="1" ht="44.1" customHeight="1" x14ac:dyDescent="0.2">
      <c r="A7100" s="5">
        <v>0</v>
      </c>
      <c r="B7100" s="6" t="s">
        <v>40216</v>
      </c>
      <c r="C7100" s="13">
        <v>828</v>
      </c>
      <c r="D7100" s="8" t="s">
        <v>40217</v>
      </c>
      <c r="E7100" s="8" t="s">
        <v>40218</v>
      </c>
      <c r="F7100" s="8" t="s">
        <v>40219</v>
      </c>
      <c r="G7100" s="6" t="s">
        <v>33</v>
      </c>
      <c r="H7100" s="6" t="s">
        <v>34</v>
      </c>
      <c r="I7100" s="8" t="s">
        <v>35</v>
      </c>
      <c r="J7100" s="9">
        <v>1</v>
      </c>
      <c r="K7100" s="9">
        <v>164</v>
      </c>
      <c r="L7100" s="9">
        <v>2021</v>
      </c>
      <c r="M7100" s="8" t="s">
        <v>40220</v>
      </c>
      <c r="N7100" s="8" t="s">
        <v>37</v>
      </c>
      <c r="O7100" s="8" t="s">
        <v>83</v>
      </c>
      <c r="P7100" s="6" t="s">
        <v>39</v>
      </c>
      <c r="Q7100" s="8" t="s">
        <v>40</v>
      </c>
      <c r="R7100" s="10" t="s">
        <v>20475</v>
      </c>
      <c r="S7100" s="11"/>
      <c r="T7100" s="6"/>
      <c r="U7100" s="15" t="str">
        <f>HYPERLINK("https://media.infra-m.ru/1209/1209845/cover/1209845.jpg", "Обложка")</f>
        <v>Обложка</v>
      </c>
      <c r="V7100" s="8" t="s">
        <v>9720</v>
      </c>
      <c r="W7100" s="6"/>
      <c r="X7100" s="6"/>
      <c r="Y7100" s="6"/>
      <c r="Z7100" s="6"/>
      <c r="AA7100" s="6" t="s">
        <v>430</v>
      </c>
      <c r="AB7100" s="8"/>
      <c r="AC7100" s="27">
        <v>9785160140179</v>
      </c>
    </row>
    <row r="7101" spans="1:29" s="4" customFormat="1" ht="42" customHeight="1" x14ac:dyDescent="0.2">
      <c r="A7101" s="5">
        <v>0</v>
      </c>
      <c r="B7101" s="6" t="s">
        <v>40221</v>
      </c>
      <c r="C7101" s="13">
        <v>928.8</v>
      </c>
      <c r="D7101" s="8" t="s">
        <v>40222</v>
      </c>
      <c r="E7101" s="8" t="s">
        <v>40223</v>
      </c>
      <c r="F7101" s="8" t="s">
        <v>1960</v>
      </c>
      <c r="G7101" s="6" t="s">
        <v>33</v>
      </c>
      <c r="H7101" s="6" t="s">
        <v>34</v>
      </c>
      <c r="I7101" s="8" t="s">
        <v>35</v>
      </c>
      <c r="J7101" s="9">
        <v>1</v>
      </c>
      <c r="K7101" s="9">
        <v>145</v>
      </c>
      <c r="L7101" s="9">
        <v>2023</v>
      </c>
      <c r="M7101" s="8" t="s">
        <v>40224</v>
      </c>
      <c r="N7101" s="8" t="s">
        <v>63</v>
      </c>
      <c r="O7101" s="8" t="s">
        <v>126</v>
      </c>
      <c r="P7101" s="6" t="s">
        <v>39</v>
      </c>
      <c r="Q7101" s="8" t="s">
        <v>40</v>
      </c>
      <c r="R7101" s="10" t="s">
        <v>465</v>
      </c>
      <c r="S7101" s="11"/>
      <c r="T7101" s="6"/>
      <c r="U7101" s="15" t="str">
        <f>HYPERLINK("https://media.infra-m.ru/1964/1964963/cover/1964963.jpg", "Обложка")</f>
        <v>Обложка</v>
      </c>
      <c r="V7101" s="8" t="s">
        <v>227</v>
      </c>
      <c r="W7101" s="6"/>
      <c r="X7101" s="6"/>
      <c r="Y7101" s="6"/>
      <c r="Z7101" s="6"/>
      <c r="AA7101" s="6" t="s">
        <v>1256</v>
      </c>
      <c r="AB7101" s="8"/>
      <c r="AC7101" s="27">
        <v>9785160147703</v>
      </c>
    </row>
    <row r="7102" spans="1:29" s="4" customFormat="1" ht="42" customHeight="1" x14ac:dyDescent="0.2">
      <c r="A7102" s="5">
        <v>0</v>
      </c>
      <c r="B7102" s="6" t="s">
        <v>40225</v>
      </c>
      <c r="C7102" s="7">
        <v>1536</v>
      </c>
      <c r="D7102" s="8" t="s">
        <v>40226</v>
      </c>
      <c r="E7102" s="8" t="s">
        <v>40227</v>
      </c>
      <c r="F7102" s="8" t="s">
        <v>40228</v>
      </c>
      <c r="G7102" s="6" t="s">
        <v>60</v>
      </c>
      <c r="H7102" s="6" t="s">
        <v>34</v>
      </c>
      <c r="I7102" s="8" t="s">
        <v>304</v>
      </c>
      <c r="J7102" s="9">
        <v>1</v>
      </c>
      <c r="K7102" s="9">
        <v>219</v>
      </c>
      <c r="L7102" s="9">
        <v>2026</v>
      </c>
      <c r="M7102" s="8" t="s">
        <v>40229</v>
      </c>
      <c r="N7102" s="8" t="s">
        <v>37</v>
      </c>
      <c r="O7102" s="8" t="s">
        <v>83</v>
      </c>
      <c r="P7102" s="6" t="s">
        <v>306</v>
      </c>
      <c r="Q7102" s="8" t="s">
        <v>500</v>
      </c>
      <c r="R7102" s="10" t="s">
        <v>35880</v>
      </c>
      <c r="S7102" s="11"/>
      <c r="T7102" s="6"/>
      <c r="U7102" s="15" t="str">
        <f>HYPERLINK("https://media.infra-m.ru/2207/2207939/cover/2207939.jpg", "Обложка")</f>
        <v>Обложка</v>
      </c>
      <c r="V7102" s="8" t="s">
        <v>247</v>
      </c>
      <c r="W7102" s="6" t="s">
        <v>2941</v>
      </c>
      <c r="X7102" s="6"/>
      <c r="Y7102" s="6"/>
      <c r="Z7102" s="6"/>
      <c r="AA7102" s="6" t="s">
        <v>68</v>
      </c>
      <c r="AB7102" s="8" t="s">
        <v>6493</v>
      </c>
      <c r="AC7102" s="27">
        <v>9785160209616</v>
      </c>
    </row>
    <row r="7103" spans="1:29" s="4" customFormat="1" ht="44.1" customHeight="1" x14ac:dyDescent="0.2">
      <c r="A7103" s="5">
        <v>0</v>
      </c>
      <c r="B7103" s="6" t="s">
        <v>40230</v>
      </c>
      <c r="C7103" s="7">
        <v>1504.8</v>
      </c>
      <c r="D7103" s="8" t="s">
        <v>40231</v>
      </c>
      <c r="E7103" s="8" t="s">
        <v>40232</v>
      </c>
      <c r="F7103" s="8" t="s">
        <v>40233</v>
      </c>
      <c r="G7103" s="6" t="s">
        <v>118</v>
      </c>
      <c r="H7103" s="6" t="s">
        <v>34</v>
      </c>
      <c r="I7103" s="8" t="s">
        <v>35</v>
      </c>
      <c r="J7103" s="9">
        <v>1</v>
      </c>
      <c r="K7103" s="9">
        <v>250</v>
      </c>
      <c r="L7103" s="9">
        <v>2025</v>
      </c>
      <c r="M7103" s="8" t="s">
        <v>40234</v>
      </c>
      <c r="N7103" s="8" t="s">
        <v>37</v>
      </c>
      <c r="O7103" s="8" t="s">
        <v>83</v>
      </c>
      <c r="P7103" s="6" t="s">
        <v>39</v>
      </c>
      <c r="Q7103" s="8" t="s">
        <v>40</v>
      </c>
      <c r="R7103" s="10" t="s">
        <v>2214</v>
      </c>
      <c r="S7103" s="11"/>
      <c r="T7103" s="6"/>
      <c r="U7103" s="15" t="str">
        <f>HYPERLINK("https://media.infra-m.ru/2187/2187617/cover/2187617.jpg", "Обложка")</f>
        <v>Обложка</v>
      </c>
      <c r="V7103" s="8" t="s">
        <v>588</v>
      </c>
      <c r="W7103" s="6"/>
      <c r="X7103" s="6"/>
      <c r="Y7103" s="6"/>
      <c r="Z7103" s="6"/>
      <c r="AA7103" s="6" t="s">
        <v>55</v>
      </c>
      <c r="AB7103" s="8"/>
      <c r="AC7103" s="27">
        <v>9785160089775</v>
      </c>
    </row>
    <row r="7104" spans="1:29" s="4" customFormat="1" ht="44.1" customHeight="1" x14ac:dyDescent="0.2">
      <c r="A7104" s="5">
        <v>0</v>
      </c>
      <c r="B7104" s="6" t="s">
        <v>40235</v>
      </c>
      <c r="C7104" s="7">
        <v>1564.8</v>
      </c>
      <c r="D7104" s="8" t="s">
        <v>40236</v>
      </c>
      <c r="E7104" s="8" t="s">
        <v>40232</v>
      </c>
      <c r="F7104" s="8" t="s">
        <v>40233</v>
      </c>
      <c r="G7104" s="6" t="s">
        <v>33</v>
      </c>
      <c r="H7104" s="6" t="s">
        <v>34</v>
      </c>
      <c r="I7104" s="8" t="s">
        <v>35</v>
      </c>
      <c r="J7104" s="9">
        <v>1</v>
      </c>
      <c r="K7104" s="9">
        <v>250</v>
      </c>
      <c r="L7104" s="9">
        <v>2026</v>
      </c>
      <c r="M7104" s="8" t="s">
        <v>40237</v>
      </c>
      <c r="N7104" s="8" t="s">
        <v>37</v>
      </c>
      <c r="O7104" s="8" t="s">
        <v>83</v>
      </c>
      <c r="P7104" s="6" t="s">
        <v>39</v>
      </c>
      <c r="Q7104" s="8" t="s">
        <v>40</v>
      </c>
      <c r="R7104" s="10" t="s">
        <v>2214</v>
      </c>
      <c r="S7104" s="11"/>
      <c r="T7104" s="6"/>
      <c r="U7104" s="15" t="str">
        <f>HYPERLINK("https://media.infra-m.ru/2219/2219587/cover/2219587.jpg", "Обложка")</f>
        <v>Обложка</v>
      </c>
      <c r="V7104" s="8" t="s">
        <v>588</v>
      </c>
      <c r="W7104" s="6"/>
      <c r="X7104" s="6"/>
      <c r="Y7104" s="6"/>
      <c r="Z7104" s="6"/>
      <c r="AA7104" s="6" t="s">
        <v>55</v>
      </c>
      <c r="AB7104" s="8"/>
      <c r="AC7104" s="27">
        <v>9785160208985</v>
      </c>
    </row>
    <row r="7105" spans="1:29" s="4" customFormat="1" ht="42" customHeight="1" x14ac:dyDescent="0.2">
      <c r="A7105" s="5">
        <v>0</v>
      </c>
      <c r="B7105" s="6" t="s">
        <v>40238</v>
      </c>
      <c r="C7105" s="7">
        <v>1888.8</v>
      </c>
      <c r="D7105" s="8" t="s">
        <v>40239</v>
      </c>
      <c r="E7105" s="8" t="s">
        <v>40240</v>
      </c>
      <c r="F7105" s="8" t="s">
        <v>40241</v>
      </c>
      <c r="G7105" s="6" t="s">
        <v>60</v>
      </c>
      <c r="H7105" s="6" t="s">
        <v>34</v>
      </c>
      <c r="I7105" s="8" t="s">
        <v>35</v>
      </c>
      <c r="J7105" s="9">
        <v>1</v>
      </c>
      <c r="K7105" s="9">
        <v>271</v>
      </c>
      <c r="L7105" s="9">
        <v>2026</v>
      </c>
      <c r="M7105" s="8" t="s">
        <v>40242</v>
      </c>
      <c r="N7105" s="8" t="s">
        <v>37</v>
      </c>
      <c r="O7105" s="8" t="s">
        <v>83</v>
      </c>
      <c r="P7105" s="6" t="s">
        <v>39</v>
      </c>
      <c r="Q7105" s="8" t="s">
        <v>40</v>
      </c>
      <c r="R7105" s="10" t="s">
        <v>40243</v>
      </c>
      <c r="S7105" s="11"/>
      <c r="T7105" s="6"/>
      <c r="U7105" s="15" t="str">
        <f>HYPERLINK("https://media.infra-m.ru/2262/2262015/cover/2262015.jpg", "Обложка")</f>
        <v>Обложка</v>
      </c>
      <c r="V7105" s="8" t="s">
        <v>39901</v>
      </c>
      <c r="W7105" s="6"/>
      <c r="X7105" s="6"/>
      <c r="Y7105" s="6"/>
      <c r="Z7105" s="6"/>
      <c r="AA7105" s="6" t="s">
        <v>76</v>
      </c>
      <c r="AB7105" s="8"/>
      <c r="AC7105" s="27">
        <v>9785160190068</v>
      </c>
    </row>
    <row r="7106" spans="1:29" s="4" customFormat="1" ht="51.9" customHeight="1" x14ac:dyDescent="0.2">
      <c r="A7106" s="5">
        <v>0</v>
      </c>
      <c r="B7106" s="6" t="s">
        <v>40244</v>
      </c>
      <c r="C7106" s="13">
        <v>960</v>
      </c>
      <c r="D7106" s="8" t="s">
        <v>40245</v>
      </c>
      <c r="E7106" s="8" t="s">
        <v>40246</v>
      </c>
      <c r="F7106" s="8" t="s">
        <v>38199</v>
      </c>
      <c r="G7106" s="6" t="s">
        <v>33</v>
      </c>
      <c r="H7106" s="6" t="s">
        <v>34</v>
      </c>
      <c r="I7106" s="8" t="s">
        <v>35</v>
      </c>
      <c r="J7106" s="9">
        <v>1</v>
      </c>
      <c r="K7106" s="9">
        <v>171</v>
      </c>
      <c r="L7106" s="9">
        <v>2023</v>
      </c>
      <c r="M7106" s="8" t="s">
        <v>40247</v>
      </c>
      <c r="N7106" s="8" t="s">
        <v>37</v>
      </c>
      <c r="O7106" s="8" t="s">
        <v>83</v>
      </c>
      <c r="P7106" s="6" t="s">
        <v>39</v>
      </c>
      <c r="Q7106" s="8" t="s">
        <v>40</v>
      </c>
      <c r="R7106" s="10" t="s">
        <v>6011</v>
      </c>
      <c r="S7106" s="11"/>
      <c r="T7106" s="6"/>
      <c r="U7106" s="15" t="str">
        <f>HYPERLINK("https://media.infra-m.ru/1910/1910609/cover/1910609.jpg", "Обложка")</f>
        <v>Обложка</v>
      </c>
      <c r="V7106" s="8" t="s">
        <v>6012</v>
      </c>
      <c r="W7106" s="6"/>
      <c r="X7106" s="6"/>
      <c r="Y7106" s="6"/>
      <c r="Z7106" s="6"/>
      <c r="AA7106" s="6" t="s">
        <v>157</v>
      </c>
      <c r="AB7106" s="8" t="s">
        <v>40248</v>
      </c>
      <c r="AC7106" s="27">
        <v>9785160180779</v>
      </c>
    </row>
    <row r="7107" spans="1:29" s="4" customFormat="1" ht="42" customHeight="1" x14ac:dyDescent="0.2">
      <c r="A7107" s="5">
        <v>0</v>
      </c>
      <c r="B7107" s="6" t="s">
        <v>40249</v>
      </c>
      <c r="C7107" s="7">
        <v>1008</v>
      </c>
      <c r="D7107" s="8" t="s">
        <v>40250</v>
      </c>
      <c r="E7107" s="8" t="s">
        <v>40251</v>
      </c>
      <c r="F7107" s="8" t="s">
        <v>40252</v>
      </c>
      <c r="G7107" s="6" t="s">
        <v>33</v>
      </c>
      <c r="H7107" s="6" t="s">
        <v>34</v>
      </c>
      <c r="I7107" s="8" t="s">
        <v>35</v>
      </c>
      <c r="J7107" s="9">
        <v>1</v>
      </c>
      <c r="K7107" s="9">
        <v>178</v>
      </c>
      <c r="L7107" s="9">
        <v>2024</v>
      </c>
      <c r="M7107" s="8" t="s">
        <v>40253</v>
      </c>
      <c r="N7107" s="8" t="s">
        <v>63</v>
      </c>
      <c r="O7107" s="8" t="s">
        <v>64</v>
      </c>
      <c r="P7107" s="6" t="s">
        <v>39</v>
      </c>
      <c r="Q7107" s="8" t="s">
        <v>40</v>
      </c>
      <c r="R7107" s="10" t="s">
        <v>5704</v>
      </c>
      <c r="S7107" s="11"/>
      <c r="T7107" s="6"/>
      <c r="U7107" s="15" t="str">
        <f>HYPERLINK("https://media.infra-m.ru/2147/2147909/cover/2147909.jpg", "Обложка")</f>
        <v>Обложка</v>
      </c>
      <c r="V7107" s="8" t="s">
        <v>704</v>
      </c>
      <c r="W7107" s="6"/>
      <c r="X7107" s="6"/>
      <c r="Y7107" s="6"/>
      <c r="Z7107" s="6"/>
      <c r="AA7107" s="6" t="s">
        <v>1256</v>
      </c>
      <c r="AB7107" s="8"/>
      <c r="AC7107" s="27">
        <v>9785160157351</v>
      </c>
    </row>
    <row r="7108" spans="1:29" s="4" customFormat="1" ht="42" customHeight="1" x14ac:dyDescent="0.2">
      <c r="A7108" s="5">
        <v>0</v>
      </c>
      <c r="B7108" s="6" t="s">
        <v>40254</v>
      </c>
      <c r="C7108" s="7">
        <v>1252.8</v>
      </c>
      <c r="D7108" s="8" t="s">
        <v>40255</v>
      </c>
      <c r="E7108" s="8" t="s">
        <v>40256</v>
      </c>
      <c r="F7108" s="8" t="s">
        <v>40257</v>
      </c>
      <c r="G7108" s="6" t="s">
        <v>33</v>
      </c>
      <c r="H7108" s="6" t="s">
        <v>241</v>
      </c>
      <c r="I7108" s="8" t="s">
        <v>3496</v>
      </c>
      <c r="J7108" s="9">
        <v>1</v>
      </c>
      <c r="K7108" s="9">
        <v>222</v>
      </c>
      <c r="L7108" s="9">
        <v>2024</v>
      </c>
      <c r="M7108" s="8" t="s">
        <v>40258</v>
      </c>
      <c r="N7108" s="8" t="s">
        <v>37</v>
      </c>
      <c r="O7108" s="8" t="s">
        <v>83</v>
      </c>
      <c r="P7108" s="6" t="s">
        <v>39</v>
      </c>
      <c r="Q7108" s="8" t="s">
        <v>40</v>
      </c>
      <c r="R7108" s="10" t="s">
        <v>2558</v>
      </c>
      <c r="S7108" s="11"/>
      <c r="T7108" s="6"/>
      <c r="U7108" s="15" t="str">
        <f>HYPERLINK("https://media.infra-m.ru/2144/2144240/cover/2144240.jpg", "Обложка")</f>
        <v>Обложка</v>
      </c>
      <c r="V7108" s="8" t="s">
        <v>23141</v>
      </c>
      <c r="W7108" s="6"/>
      <c r="X7108" s="6"/>
      <c r="Y7108" s="6"/>
      <c r="Z7108" s="6"/>
      <c r="AA7108" s="6" t="s">
        <v>274</v>
      </c>
      <c r="AB7108" s="8"/>
      <c r="AC7108" s="27">
        <v>9785955804293</v>
      </c>
    </row>
    <row r="7109" spans="1:29" s="4" customFormat="1" ht="51.9" customHeight="1" x14ac:dyDescent="0.2">
      <c r="A7109" s="5">
        <v>0</v>
      </c>
      <c r="B7109" s="6" t="s">
        <v>40259</v>
      </c>
      <c r="C7109" s="7">
        <v>1072.8</v>
      </c>
      <c r="D7109" s="8" t="s">
        <v>40260</v>
      </c>
      <c r="E7109" s="8" t="s">
        <v>40261</v>
      </c>
      <c r="F7109" s="8" t="s">
        <v>40262</v>
      </c>
      <c r="G7109" s="6" t="s">
        <v>33</v>
      </c>
      <c r="H7109" s="6" t="s">
        <v>34</v>
      </c>
      <c r="I7109" s="8" t="s">
        <v>35</v>
      </c>
      <c r="J7109" s="9">
        <v>1</v>
      </c>
      <c r="K7109" s="9">
        <v>160</v>
      </c>
      <c r="L7109" s="9">
        <v>2026</v>
      </c>
      <c r="M7109" s="8" t="s">
        <v>40263</v>
      </c>
      <c r="N7109" s="8" t="s">
        <v>37</v>
      </c>
      <c r="O7109" s="8" t="s">
        <v>233</v>
      </c>
      <c r="P7109" s="6" t="s">
        <v>39</v>
      </c>
      <c r="Q7109" s="8" t="s">
        <v>40</v>
      </c>
      <c r="R7109" s="10" t="s">
        <v>40264</v>
      </c>
      <c r="S7109" s="11"/>
      <c r="T7109" s="6"/>
      <c r="U7109" s="15" t="str">
        <f>HYPERLINK("https://media.infra-m.ru/2238/2238370/cover/2238370.jpg", "Обложка")</f>
        <v>Обложка</v>
      </c>
      <c r="V7109" s="8" t="s">
        <v>1425</v>
      </c>
      <c r="W7109" s="6"/>
      <c r="X7109" s="6"/>
      <c r="Y7109" s="6"/>
      <c r="Z7109" s="6"/>
      <c r="AA7109" s="6" t="s">
        <v>55</v>
      </c>
      <c r="AB7109" s="8"/>
      <c r="AC7109" s="27">
        <v>9785160062600</v>
      </c>
    </row>
    <row r="7110" spans="1:29" s="4" customFormat="1" ht="51.9" customHeight="1" x14ac:dyDescent="0.2">
      <c r="A7110" s="5">
        <v>0</v>
      </c>
      <c r="B7110" s="6" t="s">
        <v>40265</v>
      </c>
      <c r="C7110" s="7">
        <v>2316</v>
      </c>
      <c r="D7110" s="8" t="s">
        <v>40266</v>
      </c>
      <c r="E7110" s="8" t="s">
        <v>40267</v>
      </c>
      <c r="F7110" s="8" t="s">
        <v>13316</v>
      </c>
      <c r="G7110" s="6" t="s">
        <v>118</v>
      </c>
      <c r="H7110" s="6" t="s">
        <v>34</v>
      </c>
      <c r="I7110" s="8" t="s">
        <v>253</v>
      </c>
      <c r="J7110" s="9">
        <v>1</v>
      </c>
      <c r="K7110" s="9">
        <v>333</v>
      </c>
      <c r="L7110" s="9">
        <v>2027</v>
      </c>
      <c r="M7110" s="8" t="s">
        <v>40268</v>
      </c>
      <c r="N7110" s="8" t="s">
        <v>37</v>
      </c>
      <c r="O7110" s="8" t="s">
        <v>83</v>
      </c>
      <c r="P7110" s="6" t="s">
        <v>306</v>
      </c>
      <c r="Q7110" s="8" t="s">
        <v>65</v>
      </c>
      <c r="R7110" s="10" t="s">
        <v>40269</v>
      </c>
      <c r="S7110" s="11" t="s">
        <v>40270</v>
      </c>
      <c r="T7110" s="6" t="s">
        <v>97</v>
      </c>
      <c r="U7110" s="15" t="str">
        <f>HYPERLINK("https://media.infra-m.ru/2246/2246457/cover/2246457.jpg", "Обложка")</f>
        <v>Обложка</v>
      </c>
      <c r="V7110" s="8" t="s">
        <v>3087</v>
      </c>
      <c r="W7110" s="6"/>
      <c r="X7110" s="6"/>
      <c r="Y7110" s="6"/>
      <c r="Z7110" s="6"/>
      <c r="AA7110" s="6" t="s">
        <v>86</v>
      </c>
      <c r="AB7110" s="8"/>
      <c r="AC7110" s="27">
        <v>9785160185330</v>
      </c>
    </row>
    <row r="7111" spans="1:29" s="4" customFormat="1" ht="51.9" customHeight="1" x14ac:dyDescent="0.2">
      <c r="A7111" s="5">
        <v>0</v>
      </c>
      <c r="B7111" s="6" t="s">
        <v>40271</v>
      </c>
      <c r="C7111" s="13">
        <v>828</v>
      </c>
      <c r="D7111" s="8" t="s">
        <v>40272</v>
      </c>
      <c r="E7111" s="8" t="s">
        <v>40273</v>
      </c>
      <c r="F7111" s="8" t="s">
        <v>40274</v>
      </c>
      <c r="G7111" s="6" t="s">
        <v>33</v>
      </c>
      <c r="H7111" s="6" t="s">
        <v>34</v>
      </c>
      <c r="I7111" s="8" t="s">
        <v>35</v>
      </c>
      <c r="J7111" s="9">
        <v>1</v>
      </c>
      <c r="K7111" s="9">
        <v>148</v>
      </c>
      <c r="L7111" s="9">
        <v>2023</v>
      </c>
      <c r="M7111" s="8" t="s">
        <v>40275</v>
      </c>
      <c r="N7111" s="8" t="s">
        <v>37</v>
      </c>
      <c r="O7111" s="8" t="s">
        <v>50</v>
      </c>
      <c r="P7111" s="6" t="s">
        <v>39</v>
      </c>
      <c r="Q7111" s="8" t="s">
        <v>40</v>
      </c>
      <c r="R7111" s="10" t="s">
        <v>40276</v>
      </c>
      <c r="S7111" s="11"/>
      <c r="T7111" s="6"/>
      <c r="U7111" s="15" t="str">
        <f>HYPERLINK("https://media.infra-m.ru/1868/1868937/cover/1868937.jpg", "Обложка")</f>
        <v>Обложка</v>
      </c>
      <c r="V7111" s="8" t="s">
        <v>322</v>
      </c>
      <c r="W7111" s="6"/>
      <c r="X7111" s="6"/>
      <c r="Y7111" s="6"/>
      <c r="Z7111" s="6"/>
      <c r="AA7111" s="6" t="s">
        <v>157</v>
      </c>
      <c r="AB7111" s="8"/>
      <c r="AC7111" s="27">
        <v>9785160177045</v>
      </c>
    </row>
    <row r="7112" spans="1:29" s="4" customFormat="1" ht="42" customHeight="1" x14ac:dyDescent="0.2">
      <c r="A7112" s="5">
        <v>0</v>
      </c>
      <c r="B7112" s="6" t="s">
        <v>40277</v>
      </c>
      <c r="C7112" s="7">
        <v>1300.8</v>
      </c>
      <c r="D7112" s="8" t="s">
        <v>40278</v>
      </c>
      <c r="E7112" s="8" t="s">
        <v>40279</v>
      </c>
      <c r="F7112" s="8" t="s">
        <v>40280</v>
      </c>
      <c r="G7112" s="6" t="s">
        <v>33</v>
      </c>
      <c r="H7112" s="6" t="s">
        <v>313</v>
      </c>
      <c r="I7112" s="8" t="s">
        <v>35</v>
      </c>
      <c r="J7112" s="9">
        <v>1</v>
      </c>
      <c r="K7112" s="9">
        <v>187</v>
      </c>
      <c r="L7112" s="9">
        <v>2026</v>
      </c>
      <c r="M7112" s="8" t="s">
        <v>40281</v>
      </c>
      <c r="N7112" s="8" t="s">
        <v>37</v>
      </c>
      <c r="O7112" s="8" t="s">
        <v>136</v>
      </c>
      <c r="P7112" s="6" t="s">
        <v>39</v>
      </c>
      <c r="Q7112" s="8" t="s">
        <v>40</v>
      </c>
      <c r="R7112" s="10" t="s">
        <v>1631</v>
      </c>
      <c r="S7112" s="11"/>
      <c r="T7112" s="6"/>
      <c r="U7112" s="15" t="str">
        <f>HYPERLINK("https://media.infra-m.ru/2253/2253632/cover/2253632.jpg", "Обложка")</f>
        <v>Обложка</v>
      </c>
      <c r="V7112" s="8" t="s">
        <v>1425</v>
      </c>
      <c r="W7112" s="6"/>
      <c r="X7112" s="6"/>
      <c r="Y7112" s="6"/>
      <c r="Z7112" s="6"/>
      <c r="AA7112" s="6" t="s">
        <v>99</v>
      </c>
      <c r="AB7112" s="8"/>
      <c r="AC7112" s="27">
        <v>9785369016763</v>
      </c>
    </row>
    <row r="7113" spans="1:29" s="4" customFormat="1" ht="44.1" customHeight="1" x14ac:dyDescent="0.2">
      <c r="A7113" s="5">
        <v>0</v>
      </c>
      <c r="B7113" s="6" t="s">
        <v>40282</v>
      </c>
      <c r="C7113" s="13">
        <v>904.8</v>
      </c>
      <c r="D7113" s="8" t="s">
        <v>40283</v>
      </c>
      <c r="E7113" s="8" t="s">
        <v>40284</v>
      </c>
      <c r="F7113" s="8" t="s">
        <v>40285</v>
      </c>
      <c r="G7113" s="6" t="s">
        <v>33</v>
      </c>
      <c r="H7113" s="6" t="s">
        <v>1644</v>
      </c>
      <c r="I7113" s="8"/>
      <c r="J7113" s="9">
        <v>1</v>
      </c>
      <c r="K7113" s="9">
        <v>136</v>
      </c>
      <c r="L7113" s="9">
        <v>2026</v>
      </c>
      <c r="M7113" s="8" t="s">
        <v>40286</v>
      </c>
      <c r="N7113" s="8" t="s">
        <v>63</v>
      </c>
      <c r="O7113" s="8" t="s">
        <v>181</v>
      </c>
      <c r="P7113" s="6" t="s">
        <v>39</v>
      </c>
      <c r="Q7113" s="8" t="s">
        <v>749</v>
      </c>
      <c r="R7113" s="10" t="s">
        <v>40287</v>
      </c>
      <c r="S7113" s="11"/>
      <c r="T7113" s="6"/>
      <c r="U7113" s="15" t="str">
        <f>HYPERLINK("https://media.infra-m.ru/2226/2226829/cover/2226829.jpg", "Обложка")</f>
        <v>Обложка</v>
      </c>
      <c r="V7113" s="8" t="s">
        <v>958</v>
      </c>
      <c r="W7113" s="6"/>
      <c r="X7113" s="6"/>
      <c r="Y7113" s="6"/>
      <c r="Z7113" s="6"/>
      <c r="AA7113" s="6" t="s">
        <v>274</v>
      </c>
      <c r="AB7113" s="8"/>
      <c r="AC7113" s="27">
        <v>9785977603355</v>
      </c>
    </row>
    <row r="7114" spans="1:29" s="4" customFormat="1" ht="42" customHeight="1" x14ac:dyDescent="0.2">
      <c r="A7114" s="5">
        <v>0</v>
      </c>
      <c r="B7114" s="6" t="s">
        <v>40288</v>
      </c>
      <c r="C7114" s="13">
        <v>616.79999999999995</v>
      </c>
      <c r="D7114" s="8" t="s">
        <v>40289</v>
      </c>
      <c r="E7114" s="8" t="s">
        <v>40290</v>
      </c>
      <c r="F7114" s="8" t="s">
        <v>40291</v>
      </c>
      <c r="G7114" s="6" t="s">
        <v>33</v>
      </c>
      <c r="H7114" s="6" t="s">
        <v>34</v>
      </c>
      <c r="I7114" s="8" t="s">
        <v>1081</v>
      </c>
      <c r="J7114" s="9">
        <v>1</v>
      </c>
      <c r="K7114" s="9">
        <v>113</v>
      </c>
      <c r="L7114" s="9">
        <v>2023</v>
      </c>
      <c r="M7114" s="8" t="s">
        <v>40292</v>
      </c>
      <c r="N7114" s="8" t="s">
        <v>37</v>
      </c>
      <c r="O7114" s="8" t="s">
        <v>50</v>
      </c>
      <c r="P7114" s="6" t="s">
        <v>39</v>
      </c>
      <c r="Q7114" s="8" t="s">
        <v>40</v>
      </c>
      <c r="R7114" s="10" t="s">
        <v>40293</v>
      </c>
      <c r="S7114" s="11"/>
      <c r="T7114" s="6"/>
      <c r="U7114" s="15" t="str">
        <f>HYPERLINK("https://media.infra-m.ru/2006/2006895/cover/2006895.jpg", "Обложка")</f>
        <v>Обложка</v>
      </c>
      <c r="V7114" s="8" t="s">
        <v>1083</v>
      </c>
      <c r="W7114" s="6"/>
      <c r="X7114" s="6"/>
      <c r="Y7114" s="6"/>
      <c r="Z7114" s="6"/>
      <c r="AA7114" s="6" t="s">
        <v>86</v>
      </c>
      <c r="AB7114" s="8"/>
      <c r="AC7114" s="27">
        <v>9785160134192</v>
      </c>
    </row>
    <row r="7115" spans="1:29" s="4" customFormat="1" ht="42" customHeight="1" x14ac:dyDescent="0.2">
      <c r="A7115" s="5">
        <v>0</v>
      </c>
      <c r="B7115" s="6" t="s">
        <v>40294</v>
      </c>
      <c r="C7115" s="7">
        <v>3040.8</v>
      </c>
      <c r="D7115" s="8" t="s">
        <v>40295</v>
      </c>
      <c r="E7115" s="8" t="s">
        <v>40296</v>
      </c>
      <c r="F7115" s="8" t="s">
        <v>28647</v>
      </c>
      <c r="G7115" s="6" t="s">
        <v>60</v>
      </c>
      <c r="H7115" s="6" t="s">
        <v>134</v>
      </c>
      <c r="I7115" s="8"/>
      <c r="J7115" s="9">
        <v>1</v>
      </c>
      <c r="K7115" s="9">
        <v>488</v>
      </c>
      <c r="L7115" s="9">
        <v>2026</v>
      </c>
      <c r="M7115" s="8" t="s">
        <v>40297</v>
      </c>
      <c r="N7115" s="8" t="s">
        <v>63</v>
      </c>
      <c r="O7115" s="8" t="s">
        <v>64</v>
      </c>
      <c r="P7115" s="6" t="s">
        <v>51</v>
      </c>
      <c r="Q7115" s="8" t="s">
        <v>377</v>
      </c>
      <c r="R7115" s="10" t="s">
        <v>40298</v>
      </c>
      <c r="S7115" s="11"/>
      <c r="T7115" s="6"/>
      <c r="U7115" s="15" t="str">
        <f>HYPERLINK("https://media.infra-m.ru/2218/2218690/cover/2218690.jpg", "Обложка")</f>
        <v>Обложка</v>
      </c>
      <c r="V7115" s="8" t="s">
        <v>1184</v>
      </c>
      <c r="W7115" s="6"/>
      <c r="X7115" s="6"/>
      <c r="Y7115" s="6"/>
      <c r="Z7115" s="6"/>
      <c r="AA7115" s="6" t="s">
        <v>157</v>
      </c>
      <c r="AB7115" s="8"/>
      <c r="AC7115" s="27">
        <v>9785001562603</v>
      </c>
    </row>
    <row r="7116" spans="1:29" s="4" customFormat="1" ht="51.9" customHeight="1" x14ac:dyDescent="0.2">
      <c r="A7116" s="5">
        <v>0</v>
      </c>
      <c r="B7116" s="6" t="s">
        <v>40299</v>
      </c>
      <c r="C7116" s="7">
        <v>3448.8</v>
      </c>
      <c r="D7116" s="8" t="s">
        <v>40300</v>
      </c>
      <c r="E7116" s="8" t="s">
        <v>40301</v>
      </c>
      <c r="F7116" s="8" t="s">
        <v>21422</v>
      </c>
      <c r="G7116" s="6" t="s">
        <v>118</v>
      </c>
      <c r="H7116" s="6" t="s">
        <v>34</v>
      </c>
      <c r="I7116" s="8" t="s">
        <v>271</v>
      </c>
      <c r="J7116" s="9">
        <v>1</v>
      </c>
      <c r="K7116" s="9">
        <v>496</v>
      </c>
      <c r="L7116" s="9">
        <v>2026</v>
      </c>
      <c r="M7116" s="8" t="s">
        <v>40302</v>
      </c>
      <c r="N7116" s="8" t="s">
        <v>37</v>
      </c>
      <c r="O7116" s="8" t="s">
        <v>83</v>
      </c>
      <c r="P7116" s="6" t="s">
        <v>51</v>
      </c>
      <c r="Q7116" s="8" t="s">
        <v>52</v>
      </c>
      <c r="R7116" s="10" t="s">
        <v>6011</v>
      </c>
      <c r="S7116" s="11" t="s">
        <v>40303</v>
      </c>
      <c r="T7116" s="6"/>
      <c r="U7116" s="15" t="str">
        <f>HYPERLINK("https://media.infra-m.ru/2223/2223643/cover/2223643.jpg", "Обложка")</f>
        <v>Обложка</v>
      </c>
      <c r="V7116" s="8" t="s">
        <v>9869</v>
      </c>
      <c r="W7116" s="6"/>
      <c r="X7116" s="6"/>
      <c r="Y7116" s="6"/>
      <c r="Z7116" s="6"/>
      <c r="AA7116" s="6" t="s">
        <v>779</v>
      </c>
      <c r="AB7116" s="8"/>
      <c r="AC7116" s="27">
        <v>9785160108858</v>
      </c>
    </row>
    <row r="7117" spans="1:29" s="4" customFormat="1" ht="42" customHeight="1" x14ac:dyDescent="0.2">
      <c r="A7117" s="5">
        <v>0</v>
      </c>
      <c r="B7117" s="6" t="s">
        <v>40304</v>
      </c>
      <c r="C7117" s="13">
        <v>940.8</v>
      </c>
      <c r="D7117" s="8" t="s">
        <v>40305</v>
      </c>
      <c r="E7117" s="8" t="s">
        <v>40306</v>
      </c>
      <c r="F7117" s="8" t="s">
        <v>2212</v>
      </c>
      <c r="G7117" s="6" t="s">
        <v>33</v>
      </c>
      <c r="H7117" s="6" t="s">
        <v>34</v>
      </c>
      <c r="I7117" s="8" t="s">
        <v>35</v>
      </c>
      <c r="J7117" s="9">
        <v>1</v>
      </c>
      <c r="K7117" s="9">
        <v>166</v>
      </c>
      <c r="L7117" s="9">
        <v>2024</v>
      </c>
      <c r="M7117" s="8" t="s">
        <v>40307</v>
      </c>
      <c r="N7117" s="8" t="s">
        <v>37</v>
      </c>
      <c r="O7117" s="8" t="s">
        <v>83</v>
      </c>
      <c r="P7117" s="6" t="s">
        <v>39</v>
      </c>
      <c r="Q7117" s="8" t="s">
        <v>40</v>
      </c>
      <c r="R7117" s="10" t="s">
        <v>35880</v>
      </c>
      <c r="S7117" s="11"/>
      <c r="T7117" s="6"/>
      <c r="U7117" s="15" t="str">
        <f>HYPERLINK("https://media.infra-m.ru/2151/2151395/cover/2151395.jpg", "Обложка")</f>
        <v>Обложка</v>
      </c>
      <c r="V7117" s="8" t="s">
        <v>2215</v>
      </c>
      <c r="W7117" s="6"/>
      <c r="X7117" s="6"/>
      <c r="Y7117" s="6"/>
      <c r="Z7117" s="6"/>
      <c r="AA7117" s="6" t="s">
        <v>115</v>
      </c>
      <c r="AB7117" s="8"/>
      <c r="AC7117" s="27">
        <v>9785160147093</v>
      </c>
    </row>
    <row r="7118" spans="1:29" s="4" customFormat="1" ht="51.9" customHeight="1" x14ac:dyDescent="0.2">
      <c r="A7118" s="5">
        <v>0</v>
      </c>
      <c r="B7118" s="6" t="s">
        <v>40308</v>
      </c>
      <c r="C7118" s="7">
        <v>4256.3999999999996</v>
      </c>
      <c r="D7118" s="8" t="s">
        <v>40309</v>
      </c>
      <c r="E7118" s="8" t="s">
        <v>40310</v>
      </c>
      <c r="F7118" s="8" t="s">
        <v>40311</v>
      </c>
      <c r="G7118" s="6" t="s">
        <v>118</v>
      </c>
      <c r="H7118" s="6" t="s">
        <v>1779</v>
      </c>
      <c r="I7118" s="8"/>
      <c r="J7118" s="9">
        <v>1</v>
      </c>
      <c r="K7118" s="9">
        <v>608</v>
      </c>
      <c r="L7118" s="9">
        <v>2026</v>
      </c>
      <c r="M7118" s="8" t="s">
        <v>40312</v>
      </c>
      <c r="N7118" s="8" t="s">
        <v>37</v>
      </c>
      <c r="O7118" s="8" t="s">
        <v>83</v>
      </c>
      <c r="P7118" s="6" t="s">
        <v>1837</v>
      </c>
      <c r="Q7118" s="8" t="s">
        <v>40</v>
      </c>
      <c r="R7118" s="10" t="s">
        <v>16976</v>
      </c>
      <c r="S7118" s="11"/>
      <c r="T7118" s="6"/>
      <c r="U7118" s="15" t="str">
        <f>HYPERLINK("https://media.infra-m.ru/2250/2250662/cover/2250662.jpg", "Обложка")</f>
        <v>Обложка</v>
      </c>
      <c r="V7118" s="8" t="s">
        <v>3087</v>
      </c>
      <c r="W7118" s="6"/>
      <c r="X7118" s="6"/>
      <c r="Y7118" s="6"/>
      <c r="Z7118" s="6"/>
      <c r="AA7118" s="6" t="s">
        <v>1047</v>
      </c>
      <c r="AB7118" s="8"/>
      <c r="AC7118" s="27">
        <v>9785917680989</v>
      </c>
    </row>
    <row r="7119" spans="1:29" s="4" customFormat="1" ht="51.9" customHeight="1" x14ac:dyDescent="0.2">
      <c r="A7119" s="5">
        <v>0</v>
      </c>
      <c r="B7119" s="6" t="s">
        <v>40313</v>
      </c>
      <c r="C7119" s="7">
        <v>1440</v>
      </c>
      <c r="D7119" s="8" t="s">
        <v>40314</v>
      </c>
      <c r="E7119" s="8" t="s">
        <v>40315</v>
      </c>
      <c r="F7119" s="8" t="s">
        <v>40316</v>
      </c>
      <c r="G7119" s="6" t="s">
        <v>118</v>
      </c>
      <c r="H7119" s="6" t="s">
        <v>313</v>
      </c>
      <c r="I7119" s="8" t="s">
        <v>253</v>
      </c>
      <c r="J7119" s="9">
        <v>1</v>
      </c>
      <c r="K7119" s="9">
        <v>264</v>
      </c>
      <c r="L7119" s="9">
        <v>2023</v>
      </c>
      <c r="M7119" s="8" t="s">
        <v>40317</v>
      </c>
      <c r="N7119" s="8" t="s">
        <v>37</v>
      </c>
      <c r="O7119" s="8" t="s">
        <v>83</v>
      </c>
      <c r="P7119" s="6" t="s">
        <v>306</v>
      </c>
      <c r="Q7119" s="8" t="s">
        <v>65</v>
      </c>
      <c r="R7119" s="10" t="s">
        <v>40318</v>
      </c>
      <c r="S7119" s="11" t="s">
        <v>40319</v>
      </c>
      <c r="T7119" s="6"/>
      <c r="U7119" s="15" t="str">
        <f>HYPERLINK("https://media.infra-m.ru/2002/2002592/cover/2002592.jpg", "Обложка")</f>
        <v>Обложка</v>
      </c>
      <c r="V7119" s="8"/>
      <c r="W7119" s="6"/>
      <c r="X7119" s="6"/>
      <c r="Y7119" s="6"/>
      <c r="Z7119" s="6"/>
      <c r="AA7119" s="6" t="s">
        <v>99</v>
      </c>
      <c r="AB7119" s="8"/>
      <c r="AC7119" s="27">
        <v>9785369015827</v>
      </c>
    </row>
    <row r="7120" spans="1:29" s="4" customFormat="1" ht="42" customHeight="1" x14ac:dyDescent="0.2">
      <c r="A7120" s="5">
        <v>0</v>
      </c>
      <c r="B7120" s="6" t="s">
        <v>40320</v>
      </c>
      <c r="C7120" s="7">
        <v>1428</v>
      </c>
      <c r="D7120" s="8" t="s">
        <v>40321</v>
      </c>
      <c r="E7120" s="8" t="s">
        <v>40322</v>
      </c>
      <c r="F7120" s="8" t="s">
        <v>40323</v>
      </c>
      <c r="G7120" s="6" t="s">
        <v>60</v>
      </c>
      <c r="H7120" s="6" t="s">
        <v>34</v>
      </c>
      <c r="I7120" s="8" t="s">
        <v>35</v>
      </c>
      <c r="J7120" s="9">
        <v>1</v>
      </c>
      <c r="K7120" s="9">
        <v>251</v>
      </c>
      <c r="L7120" s="9">
        <v>2023</v>
      </c>
      <c r="M7120" s="8" t="s">
        <v>40324</v>
      </c>
      <c r="N7120" s="8" t="s">
        <v>37</v>
      </c>
      <c r="O7120" s="8" t="s">
        <v>83</v>
      </c>
      <c r="P7120" s="6" t="s">
        <v>39</v>
      </c>
      <c r="Q7120" s="8" t="s">
        <v>40</v>
      </c>
      <c r="R7120" s="10" t="s">
        <v>37315</v>
      </c>
      <c r="S7120" s="11"/>
      <c r="T7120" s="6"/>
      <c r="U7120" s="15" t="str">
        <f>HYPERLINK("https://media.infra-m.ru/1978/1978893/cover/1978893.jpg", "Обложка")</f>
        <v>Обложка</v>
      </c>
      <c r="V7120" s="8" t="s">
        <v>39901</v>
      </c>
      <c r="W7120" s="6"/>
      <c r="X7120" s="6"/>
      <c r="Y7120" s="6"/>
      <c r="Z7120" s="6"/>
      <c r="AA7120" s="6" t="s">
        <v>157</v>
      </c>
      <c r="AB7120" s="8"/>
      <c r="AC7120" s="27">
        <v>9785160183343</v>
      </c>
    </row>
    <row r="7121" spans="1:29" s="4" customFormat="1" ht="42" customHeight="1" x14ac:dyDescent="0.2">
      <c r="A7121" s="5">
        <v>0</v>
      </c>
      <c r="B7121" s="6" t="s">
        <v>40325</v>
      </c>
      <c r="C7121" s="7">
        <v>1152</v>
      </c>
      <c r="D7121" s="8" t="s">
        <v>40326</v>
      </c>
      <c r="E7121" s="8" t="s">
        <v>40327</v>
      </c>
      <c r="F7121" s="8" t="s">
        <v>40328</v>
      </c>
      <c r="G7121" s="6" t="s">
        <v>118</v>
      </c>
      <c r="H7121" s="6" t="s">
        <v>34</v>
      </c>
      <c r="I7121" s="8" t="s">
        <v>35</v>
      </c>
      <c r="J7121" s="9">
        <v>1</v>
      </c>
      <c r="K7121" s="9">
        <v>174</v>
      </c>
      <c r="L7121" s="9">
        <v>2026</v>
      </c>
      <c r="M7121" s="8" t="s">
        <v>40329</v>
      </c>
      <c r="N7121" s="8" t="s">
        <v>37</v>
      </c>
      <c r="O7121" s="8" t="s">
        <v>83</v>
      </c>
      <c r="P7121" s="6" t="s">
        <v>39</v>
      </c>
      <c r="Q7121" s="8" t="s">
        <v>40</v>
      </c>
      <c r="R7121" s="10" t="s">
        <v>35880</v>
      </c>
      <c r="S7121" s="11"/>
      <c r="T7121" s="6"/>
      <c r="U7121" s="15" t="str">
        <f>HYPERLINK("https://media.infra-m.ru/2227/2227192/cover/2227192.jpg", "Обложка")</f>
        <v>Обложка</v>
      </c>
      <c r="V7121" s="8"/>
      <c r="W7121" s="6"/>
      <c r="X7121" s="6"/>
      <c r="Y7121" s="6"/>
      <c r="Z7121" s="6"/>
      <c r="AA7121" s="6" t="s">
        <v>99</v>
      </c>
      <c r="AB7121" s="8"/>
      <c r="AC7121" s="27">
        <v>9785160123387</v>
      </c>
    </row>
    <row r="7122" spans="1:29" s="4" customFormat="1" ht="51.9" customHeight="1" x14ac:dyDescent="0.2">
      <c r="A7122" s="5">
        <v>0</v>
      </c>
      <c r="B7122" s="6" t="s">
        <v>40330</v>
      </c>
      <c r="C7122" s="7">
        <v>2644.8</v>
      </c>
      <c r="D7122" s="8" t="s">
        <v>40331</v>
      </c>
      <c r="E7122" s="8" t="s">
        <v>40332</v>
      </c>
      <c r="F7122" s="8" t="s">
        <v>40333</v>
      </c>
      <c r="G7122" s="6" t="s">
        <v>60</v>
      </c>
      <c r="H7122" s="6" t="s">
        <v>134</v>
      </c>
      <c r="I7122" s="8"/>
      <c r="J7122" s="9">
        <v>1</v>
      </c>
      <c r="K7122" s="9">
        <v>400</v>
      </c>
      <c r="L7122" s="9">
        <v>2026</v>
      </c>
      <c r="M7122" s="8" t="s">
        <v>40334</v>
      </c>
      <c r="N7122" s="8" t="s">
        <v>37</v>
      </c>
      <c r="O7122" s="8" t="s">
        <v>136</v>
      </c>
      <c r="P7122" s="6" t="s">
        <v>306</v>
      </c>
      <c r="Q7122" s="8" t="s">
        <v>65</v>
      </c>
      <c r="R7122" s="10" t="s">
        <v>1275</v>
      </c>
      <c r="S7122" s="11"/>
      <c r="T7122" s="6"/>
      <c r="U7122" s="15" t="str">
        <f>HYPERLINK("https://media.infra-m.ru/2242/2242273/cover/2242273.jpg", "Обложка")</f>
        <v>Обложка</v>
      </c>
      <c r="V7122" s="8" t="s">
        <v>1184</v>
      </c>
      <c r="W7122" s="6"/>
      <c r="X7122" s="6"/>
      <c r="Y7122" s="6"/>
      <c r="Z7122" s="6"/>
      <c r="AA7122" s="6" t="s">
        <v>430</v>
      </c>
      <c r="AB7122" s="8"/>
      <c r="AC7122" s="27">
        <v>9785001561385</v>
      </c>
    </row>
    <row r="7123" spans="1:29" s="4" customFormat="1" ht="51.9" customHeight="1" x14ac:dyDescent="0.2">
      <c r="A7123" s="5">
        <v>0</v>
      </c>
      <c r="B7123" s="6" t="s">
        <v>40335</v>
      </c>
      <c r="C7123" s="7">
        <v>1320</v>
      </c>
      <c r="D7123" s="8" t="s">
        <v>40336</v>
      </c>
      <c r="E7123" s="8" t="s">
        <v>40337</v>
      </c>
      <c r="F7123" s="8" t="s">
        <v>10552</v>
      </c>
      <c r="G7123" s="6" t="s">
        <v>118</v>
      </c>
      <c r="H7123" s="6" t="s">
        <v>34</v>
      </c>
      <c r="I7123" s="8" t="s">
        <v>253</v>
      </c>
      <c r="J7123" s="9">
        <v>1</v>
      </c>
      <c r="K7123" s="9">
        <v>237</v>
      </c>
      <c r="L7123" s="9">
        <v>2024</v>
      </c>
      <c r="M7123" s="8" t="s">
        <v>40338</v>
      </c>
      <c r="N7123" s="8" t="s">
        <v>37</v>
      </c>
      <c r="O7123" s="8" t="s">
        <v>83</v>
      </c>
      <c r="P7123" s="6" t="s">
        <v>51</v>
      </c>
      <c r="Q7123" s="8" t="s">
        <v>52</v>
      </c>
      <c r="R7123" s="10" t="s">
        <v>40339</v>
      </c>
      <c r="S7123" s="11" t="s">
        <v>10555</v>
      </c>
      <c r="T7123" s="6"/>
      <c r="U7123" s="15" t="str">
        <f>HYPERLINK("https://media.infra-m.ru/2103/2103734/cover/2103734.jpg", "Обложка")</f>
        <v>Обложка</v>
      </c>
      <c r="V7123" s="8" t="s">
        <v>3087</v>
      </c>
      <c r="W7123" s="6"/>
      <c r="X7123" s="6"/>
      <c r="Y7123" s="6"/>
      <c r="Z7123" s="6"/>
      <c r="AA7123" s="6" t="s">
        <v>779</v>
      </c>
      <c r="AB7123" s="8"/>
      <c r="AC7123" s="27">
        <v>9785160192802</v>
      </c>
    </row>
    <row r="7124" spans="1:29" s="4" customFormat="1" ht="51.9" customHeight="1" x14ac:dyDescent="0.2">
      <c r="A7124" s="5">
        <v>0</v>
      </c>
      <c r="B7124" s="6" t="s">
        <v>40340</v>
      </c>
      <c r="C7124" s="7">
        <v>1589.9</v>
      </c>
      <c r="D7124" s="8" t="s">
        <v>40341</v>
      </c>
      <c r="E7124" s="8" t="s">
        <v>40342</v>
      </c>
      <c r="F7124" s="8" t="s">
        <v>27966</v>
      </c>
      <c r="G7124" s="6" t="s">
        <v>60</v>
      </c>
      <c r="H7124" s="6" t="s">
        <v>34</v>
      </c>
      <c r="I7124" s="8" t="s">
        <v>271</v>
      </c>
      <c r="J7124" s="9">
        <v>1</v>
      </c>
      <c r="K7124" s="9">
        <v>295</v>
      </c>
      <c r="L7124" s="9">
        <v>2023</v>
      </c>
      <c r="M7124" s="8" t="s">
        <v>40343</v>
      </c>
      <c r="N7124" s="8" t="s">
        <v>37</v>
      </c>
      <c r="O7124" s="8" t="s">
        <v>83</v>
      </c>
      <c r="P7124" s="6" t="s">
        <v>51</v>
      </c>
      <c r="Q7124" s="8" t="s">
        <v>52</v>
      </c>
      <c r="R7124" s="10" t="s">
        <v>40344</v>
      </c>
      <c r="S7124" s="11"/>
      <c r="T7124" s="6"/>
      <c r="U7124" s="15" t="str">
        <f>HYPERLINK("https://media.infra-m.ru/1981/1981675/cover/1981675.jpg", "Обложка")</f>
        <v>Обложка</v>
      </c>
      <c r="V7124" s="8" t="s">
        <v>1599</v>
      </c>
      <c r="W7124" s="6"/>
      <c r="X7124" s="6"/>
      <c r="Y7124" s="6"/>
      <c r="Z7124" s="6"/>
      <c r="AA7124" s="6" t="s">
        <v>55</v>
      </c>
      <c r="AB7124" s="8"/>
      <c r="AC7124" s="27">
        <v>9785160055442</v>
      </c>
    </row>
    <row r="7125" spans="1:29" s="4" customFormat="1" ht="51.9" customHeight="1" x14ac:dyDescent="0.2">
      <c r="A7125" s="5">
        <v>0</v>
      </c>
      <c r="B7125" s="6" t="s">
        <v>40345</v>
      </c>
      <c r="C7125" s="7">
        <v>2332.8000000000002</v>
      </c>
      <c r="D7125" s="8" t="s">
        <v>40346</v>
      </c>
      <c r="E7125" s="8" t="s">
        <v>40347</v>
      </c>
      <c r="F7125" s="8" t="s">
        <v>40348</v>
      </c>
      <c r="G7125" s="6" t="s">
        <v>60</v>
      </c>
      <c r="H7125" s="6" t="s">
        <v>1795</v>
      </c>
      <c r="I7125" s="8" t="s">
        <v>1904</v>
      </c>
      <c r="J7125" s="9">
        <v>1</v>
      </c>
      <c r="K7125" s="9">
        <v>336</v>
      </c>
      <c r="L7125" s="9">
        <v>2027</v>
      </c>
      <c r="M7125" s="8" t="s">
        <v>40349</v>
      </c>
      <c r="N7125" s="8" t="s">
        <v>37</v>
      </c>
      <c r="O7125" s="8" t="s">
        <v>83</v>
      </c>
      <c r="P7125" s="6" t="s">
        <v>306</v>
      </c>
      <c r="Q7125" s="8" t="s">
        <v>52</v>
      </c>
      <c r="R7125" s="10" t="s">
        <v>40350</v>
      </c>
      <c r="S7125" s="11"/>
      <c r="T7125" s="6"/>
      <c r="U7125" s="15" t="str">
        <f>HYPERLINK("https://media.infra-m.ru/2238/2238479/cover/2238479.jpg", "Обложка")</f>
        <v>Обложка</v>
      </c>
      <c r="V7125" s="8" t="s">
        <v>25957</v>
      </c>
      <c r="W7125" s="6"/>
      <c r="X7125" s="6"/>
      <c r="Y7125" s="6"/>
      <c r="Z7125" s="6"/>
      <c r="AA7125" s="6" t="s">
        <v>718</v>
      </c>
      <c r="AB7125" s="8"/>
      <c r="AC7125" s="27">
        <v>9785982813381</v>
      </c>
    </row>
    <row r="7126" spans="1:29" s="4" customFormat="1" ht="42" customHeight="1" x14ac:dyDescent="0.2">
      <c r="A7126" s="5">
        <v>0</v>
      </c>
      <c r="B7126" s="6" t="s">
        <v>40351</v>
      </c>
      <c r="C7126" s="7">
        <v>1312.8</v>
      </c>
      <c r="D7126" s="8" t="s">
        <v>40352</v>
      </c>
      <c r="E7126" s="8" t="s">
        <v>40353</v>
      </c>
      <c r="F7126" s="8" t="s">
        <v>40354</v>
      </c>
      <c r="G7126" s="6" t="s">
        <v>33</v>
      </c>
      <c r="H7126" s="6" t="s">
        <v>313</v>
      </c>
      <c r="I7126" s="8" t="s">
        <v>253</v>
      </c>
      <c r="J7126" s="9">
        <v>1</v>
      </c>
      <c r="K7126" s="9">
        <v>189</v>
      </c>
      <c r="L7126" s="9">
        <v>2027</v>
      </c>
      <c r="M7126" s="8" t="s">
        <v>40355</v>
      </c>
      <c r="N7126" s="8" t="s">
        <v>37</v>
      </c>
      <c r="O7126" s="8" t="s">
        <v>83</v>
      </c>
      <c r="P7126" s="6" t="s">
        <v>306</v>
      </c>
      <c r="Q7126" s="8" t="s">
        <v>52</v>
      </c>
      <c r="R7126" s="10" t="s">
        <v>13600</v>
      </c>
      <c r="S7126" s="11"/>
      <c r="T7126" s="6"/>
      <c r="U7126" s="15" t="str">
        <f>HYPERLINK("https://media.infra-m.ru/2270/2270168/cover/2270168.jpg", "Обложка")</f>
        <v>Обложка</v>
      </c>
      <c r="V7126" s="8" t="s">
        <v>1425</v>
      </c>
      <c r="W7126" s="6"/>
      <c r="X7126" s="6"/>
      <c r="Y7126" s="6"/>
      <c r="Z7126" s="6"/>
      <c r="AA7126" s="6" t="s">
        <v>99</v>
      </c>
      <c r="AB7126" s="8"/>
      <c r="AC7126" s="27">
        <v>9785369019399</v>
      </c>
    </row>
    <row r="7127" spans="1:29" s="4" customFormat="1" ht="51.9" customHeight="1" x14ac:dyDescent="0.2">
      <c r="A7127" s="5">
        <v>0</v>
      </c>
      <c r="B7127" s="6" t="s">
        <v>40356</v>
      </c>
      <c r="C7127" s="7">
        <v>1252.8</v>
      </c>
      <c r="D7127" s="8" t="s">
        <v>40357</v>
      </c>
      <c r="E7127" s="8" t="s">
        <v>40358</v>
      </c>
      <c r="F7127" s="8" t="s">
        <v>40359</v>
      </c>
      <c r="G7127" s="6" t="s">
        <v>33</v>
      </c>
      <c r="H7127" s="6" t="s">
        <v>34</v>
      </c>
      <c r="I7127" s="8" t="s">
        <v>271</v>
      </c>
      <c r="J7127" s="9">
        <v>1</v>
      </c>
      <c r="K7127" s="9">
        <v>190</v>
      </c>
      <c r="L7127" s="9">
        <v>2026</v>
      </c>
      <c r="M7127" s="8" t="s">
        <v>40360</v>
      </c>
      <c r="N7127" s="8" t="s">
        <v>37</v>
      </c>
      <c r="O7127" s="8" t="s">
        <v>83</v>
      </c>
      <c r="P7127" s="6" t="s">
        <v>51</v>
      </c>
      <c r="Q7127" s="8" t="s">
        <v>52</v>
      </c>
      <c r="R7127" s="10" t="s">
        <v>30082</v>
      </c>
      <c r="S7127" s="11" t="s">
        <v>40361</v>
      </c>
      <c r="T7127" s="6"/>
      <c r="U7127" s="15" t="str">
        <f>HYPERLINK("https://media.infra-m.ru/2251/2251069/cover/2251069.jpg", "Обложка")</f>
        <v>Обложка</v>
      </c>
      <c r="V7127" s="8" t="s">
        <v>227</v>
      </c>
      <c r="W7127" s="6"/>
      <c r="X7127" s="6"/>
      <c r="Y7127" s="6"/>
      <c r="Z7127" s="6"/>
      <c r="AA7127" s="6" t="s">
        <v>55</v>
      </c>
      <c r="AB7127" s="8"/>
      <c r="AC7127" s="27">
        <v>9785160062570</v>
      </c>
    </row>
    <row r="7128" spans="1:29" s="4" customFormat="1" ht="51.9" customHeight="1" x14ac:dyDescent="0.2">
      <c r="A7128" s="5">
        <v>0</v>
      </c>
      <c r="B7128" s="6" t="s">
        <v>40362</v>
      </c>
      <c r="C7128" s="7">
        <v>1284</v>
      </c>
      <c r="D7128" s="8" t="s">
        <v>40363</v>
      </c>
      <c r="E7128" s="8" t="s">
        <v>40364</v>
      </c>
      <c r="F7128" s="8" t="s">
        <v>40365</v>
      </c>
      <c r="G7128" s="6" t="s">
        <v>118</v>
      </c>
      <c r="H7128" s="6" t="s">
        <v>34</v>
      </c>
      <c r="I7128" s="8" t="s">
        <v>253</v>
      </c>
      <c r="J7128" s="9">
        <v>1</v>
      </c>
      <c r="K7128" s="9">
        <v>231</v>
      </c>
      <c r="L7128" s="9">
        <v>2024</v>
      </c>
      <c r="M7128" s="8" t="s">
        <v>40366</v>
      </c>
      <c r="N7128" s="8" t="s">
        <v>37</v>
      </c>
      <c r="O7128" s="8" t="s">
        <v>83</v>
      </c>
      <c r="P7128" s="6" t="s">
        <v>306</v>
      </c>
      <c r="Q7128" s="8" t="s">
        <v>65</v>
      </c>
      <c r="R7128" s="10" t="s">
        <v>40367</v>
      </c>
      <c r="S7128" s="11" t="s">
        <v>40368</v>
      </c>
      <c r="T7128" s="6"/>
      <c r="U7128" s="15" t="str">
        <f>HYPERLINK("https://media.infra-m.ru/2080/2080362/cover/2080362.jpg", "Обложка")</f>
        <v>Обложка</v>
      </c>
      <c r="V7128" s="8" t="s">
        <v>40069</v>
      </c>
      <c r="W7128" s="6"/>
      <c r="X7128" s="6"/>
      <c r="Y7128" s="6"/>
      <c r="Z7128" s="6"/>
      <c r="AA7128" s="6" t="s">
        <v>86</v>
      </c>
      <c r="AB7128" s="8" t="s">
        <v>1317</v>
      </c>
      <c r="AC7128" s="27">
        <v>9785160189482</v>
      </c>
    </row>
    <row r="7129" spans="1:29" s="4" customFormat="1" ht="42" customHeight="1" x14ac:dyDescent="0.2">
      <c r="A7129" s="5">
        <v>0</v>
      </c>
      <c r="B7129" s="6" t="s">
        <v>40369</v>
      </c>
      <c r="C7129" s="7">
        <v>1552.8</v>
      </c>
      <c r="D7129" s="8" t="s">
        <v>40370</v>
      </c>
      <c r="E7129" s="8" t="s">
        <v>40364</v>
      </c>
      <c r="F7129" s="8" t="s">
        <v>40371</v>
      </c>
      <c r="G7129" s="6" t="s">
        <v>60</v>
      </c>
      <c r="H7129" s="6" t="s">
        <v>34</v>
      </c>
      <c r="I7129" s="8" t="s">
        <v>304</v>
      </c>
      <c r="J7129" s="9">
        <v>1</v>
      </c>
      <c r="K7129" s="9">
        <v>224</v>
      </c>
      <c r="L7129" s="9">
        <v>2025</v>
      </c>
      <c r="M7129" s="8" t="s">
        <v>40372</v>
      </c>
      <c r="N7129" s="8" t="s">
        <v>37</v>
      </c>
      <c r="O7129" s="8" t="s">
        <v>83</v>
      </c>
      <c r="P7129" s="6" t="s">
        <v>51</v>
      </c>
      <c r="Q7129" s="8" t="s">
        <v>65</v>
      </c>
      <c r="R7129" s="10" t="s">
        <v>4211</v>
      </c>
      <c r="S7129" s="11"/>
      <c r="T7129" s="6"/>
      <c r="U7129" s="15" t="str">
        <f>HYPERLINK("https://media.infra-m.ru/2217/2217535/cover/2217535.jpg", "Обложка")</f>
        <v>Обложка</v>
      </c>
      <c r="V7129" s="8" t="s">
        <v>247</v>
      </c>
      <c r="W7129" s="6"/>
      <c r="X7129" s="6"/>
      <c r="Y7129" s="6"/>
      <c r="Z7129" s="6"/>
      <c r="AA7129" s="6" t="s">
        <v>68</v>
      </c>
      <c r="AB7129" s="8"/>
      <c r="AC7129" s="27">
        <v>9785160196770</v>
      </c>
    </row>
    <row r="7130" spans="1:29" s="4" customFormat="1" ht="51.9" customHeight="1" x14ac:dyDescent="0.2">
      <c r="A7130" s="5">
        <v>0</v>
      </c>
      <c r="B7130" s="6" t="s">
        <v>40373</v>
      </c>
      <c r="C7130" s="7">
        <v>1512</v>
      </c>
      <c r="D7130" s="8" t="s">
        <v>40374</v>
      </c>
      <c r="E7130" s="8" t="s">
        <v>40375</v>
      </c>
      <c r="F7130" s="8" t="s">
        <v>40376</v>
      </c>
      <c r="G7130" s="6" t="s">
        <v>118</v>
      </c>
      <c r="H7130" s="6" t="s">
        <v>34</v>
      </c>
      <c r="I7130" s="8" t="s">
        <v>253</v>
      </c>
      <c r="J7130" s="9">
        <v>1</v>
      </c>
      <c r="K7130" s="9">
        <v>274</v>
      </c>
      <c r="L7130" s="9">
        <v>2023</v>
      </c>
      <c r="M7130" s="8" t="s">
        <v>40377</v>
      </c>
      <c r="N7130" s="8" t="s">
        <v>37</v>
      </c>
      <c r="O7130" s="8" t="s">
        <v>83</v>
      </c>
      <c r="P7130" s="6" t="s">
        <v>306</v>
      </c>
      <c r="Q7130" s="8" t="s">
        <v>65</v>
      </c>
      <c r="R7130" s="10" t="s">
        <v>40378</v>
      </c>
      <c r="S7130" s="11" t="s">
        <v>40379</v>
      </c>
      <c r="T7130" s="6"/>
      <c r="U7130" s="15" t="str">
        <f>HYPERLINK("https://media.infra-m.ru/2023/2023167/cover/2023167.jpg", "Обложка")</f>
        <v>Обложка</v>
      </c>
      <c r="V7130" s="8" t="s">
        <v>40069</v>
      </c>
      <c r="W7130" s="6"/>
      <c r="X7130" s="6"/>
      <c r="Y7130" s="6"/>
      <c r="Z7130" s="6"/>
      <c r="AA7130" s="6" t="s">
        <v>99</v>
      </c>
      <c r="AB7130" s="8" t="s">
        <v>308</v>
      </c>
      <c r="AC7130" s="27">
        <v>9785160185866</v>
      </c>
    </row>
    <row r="7131" spans="1:29" s="4" customFormat="1" ht="44.1" customHeight="1" x14ac:dyDescent="0.2">
      <c r="A7131" s="5">
        <v>0</v>
      </c>
      <c r="B7131" s="6" t="s">
        <v>40380</v>
      </c>
      <c r="C7131" s="7">
        <v>1025.9000000000001</v>
      </c>
      <c r="D7131" s="8" t="s">
        <v>40381</v>
      </c>
      <c r="E7131" s="8" t="s">
        <v>40375</v>
      </c>
      <c r="F7131" s="8" t="s">
        <v>28011</v>
      </c>
      <c r="G7131" s="6" t="s">
        <v>60</v>
      </c>
      <c r="H7131" s="6" t="s">
        <v>1042</v>
      </c>
      <c r="I7131" s="8" t="s">
        <v>253</v>
      </c>
      <c r="J7131" s="9">
        <v>1</v>
      </c>
      <c r="K7131" s="9">
        <v>224</v>
      </c>
      <c r="L7131" s="9">
        <v>2022</v>
      </c>
      <c r="M7131" s="8" t="s">
        <v>40382</v>
      </c>
      <c r="N7131" s="8" t="s">
        <v>37</v>
      </c>
      <c r="O7131" s="8" t="s">
        <v>83</v>
      </c>
      <c r="P7131" s="6" t="s">
        <v>51</v>
      </c>
      <c r="Q7131" s="8" t="s">
        <v>52</v>
      </c>
      <c r="R7131" s="10" t="s">
        <v>2214</v>
      </c>
      <c r="S7131" s="11"/>
      <c r="T7131" s="6"/>
      <c r="U7131" s="15" t="str">
        <f>HYPERLINK("https://media.infra-m.ru/1852/1852243/cover/1852243.jpg", "Обложка")</f>
        <v>Обложка</v>
      </c>
      <c r="V7131" s="8" t="s">
        <v>5951</v>
      </c>
      <c r="W7131" s="6"/>
      <c r="X7131" s="6"/>
      <c r="Y7131" s="6"/>
      <c r="Z7131" s="6"/>
      <c r="AA7131" s="6" t="s">
        <v>248</v>
      </c>
      <c r="AB7131" s="8"/>
      <c r="AC7131" s="27">
        <v>9785819906071</v>
      </c>
    </row>
    <row r="7132" spans="1:29" s="4" customFormat="1" ht="51.9" customHeight="1" x14ac:dyDescent="0.2">
      <c r="A7132" s="5">
        <v>0</v>
      </c>
      <c r="B7132" s="6" t="s">
        <v>40383</v>
      </c>
      <c r="C7132" s="7">
        <v>1672.8</v>
      </c>
      <c r="D7132" s="8" t="s">
        <v>40384</v>
      </c>
      <c r="E7132" s="8" t="s">
        <v>40385</v>
      </c>
      <c r="F7132" s="8" t="s">
        <v>16467</v>
      </c>
      <c r="G7132" s="6" t="s">
        <v>118</v>
      </c>
      <c r="H7132" s="6" t="s">
        <v>1042</v>
      </c>
      <c r="I7132" s="8" t="s">
        <v>253</v>
      </c>
      <c r="J7132" s="9">
        <v>1</v>
      </c>
      <c r="K7132" s="9">
        <v>254</v>
      </c>
      <c r="L7132" s="9">
        <v>2026</v>
      </c>
      <c r="M7132" s="8" t="s">
        <v>40386</v>
      </c>
      <c r="N7132" s="8" t="s">
        <v>37</v>
      </c>
      <c r="O7132" s="8" t="s">
        <v>83</v>
      </c>
      <c r="P7132" s="6" t="s">
        <v>51</v>
      </c>
      <c r="Q7132" s="8" t="s">
        <v>52</v>
      </c>
      <c r="R7132" s="10" t="s">
        <v>40387</v>
      </c>
      <c r="S7132" s="11" t="s">
        <v>40388</v>
      </c>
      <c r="T7132" s="6"/>
      <c r="U7132" s="15" t="str">
        <f>HYPERLINK("https://media.infra-m.ru/2196/2196121/cover/2196121.jpg", "Обложка")</f>
        <v>Обложка</v>
      </c>
      <c r="V7132" s="8" t="s">
        <v>5951</v>
      </c>
      <c r="W7132" s="6"/>
      <c r="X7132" s="6"/>
      <c r="Y7132" s="6"/>
      <c r="Z7132" s="6"/>
      <c r="AA7132" s="6" t="s">
        <v>99</v>
      </c>
      <c r="AB7132" s="8"/>
      <c r="AC7132" s="27">
        <v>9785819909188</v>
      </c>
    </row>
    <row r="7133" spans="1:29" s="4" customFormat="1" ht="51.9" customHeight="1" x14ac:dyDescent="0.2">
      <c r="A7133" s="5">
        <v>0</v>
      </c>
      <c r="B7133" s="6" t="s">
        <v>40389</v>
      </c>
      <c r="C7133" s="7">
        <v>1792.8</v>
      </c>
      <c r="D7133" s="8" t="s">
        <v>40390</v>
      </c>
      <c r="E7133" s="8" t="s">
        <v>40391</v>
      </c>
      <c r="F7133" s="8" t="s">
        <v>40392</v>
      </c>
      <c r="G7133" s="6" t="s">
        <v>33</v>
      </c>
      <c r="H7133" s="6" t="s">
        <v>1779</v>
      </c>
      <c r="I7133" s="8" t="s">
        <v>8663</v>
      </c>
      <c r="J7133" s="9">
        <v>1</v>
      </c>
      <c r="K7133" s="9">
        <v>336</v>
      </c>
      <c r="L7133" s="9">
        <v>2025</v>
      </c>
      <c r="M7133" s="8" t="s">
        <v>40393</v>
      </c>
      <c r="N7133" s="8" t="s">
        <v>37</v>
      </c>
      <c r="O7133" s="8" t="s">
        <v>136</v>
      </c>
      <c r="P7133" s="6" t="s">
        <v>51</v>
      </c>
      <c r="Q7133" s="8" t="s">
        <v>52</v>
      </c>
      <c r="R7133" s="10" t="s">
        <v>40394</v>
      </c>
      <c r="S7133" s="11"/>
      <c r="T7133" s="6"/>
      <c r="U7133" s="15" t="str">
        <f>HYPERLINK("https://media.infra-m.ru/2170/2170312/cover/2170312.jpg", "Обложка")</f>
        <v>Обложка</v>
      </c>
      <c r="V7133" s="8" t="s">
        <v>1069</v>
      </c>
      <c r="W7133" s="6"/>
      <c r="X7133" s="6"/>
      <c r="Y7133" s="6"/>
      <c r="Z7133" s="6"/>
      <c r="AA7133" s="6" t="s">
        <v>6584</v>
      </c>
      <c r="AB7133" s="8"/>
      <c r="AC7133" s="27">
        <v>9785917685199</v>
      </c>
    </row>
    <row r="7134" spans="1:29" s="4" customFormat="1" ht="51.9" customHeight="1" x14ac:dyDescent="0.2">
      <c r="A7134" s="5">
        <v>0</v>
      </c>
      <c r="B7134" s="6" t="s">
        <v>40395</v>
      </c>
      <c r="C7134" s="7">
        <v>1408.8</v>
      </c>
      <c r="D7134" s="8" t="s">
        <v>40396</v>
      </c>
      <c r="E7134" s="8" t="s">
        <v>40397</v>
      </c>
      <c r="F7134" s="8" t="s">
        <v>31633</v>
      </c>
      <c r="G7134" s="6" t="s">
        <v>60</v>
      </c>
      <c r="H7134" s="6" t="s">
        <v>313</v>
      </c>
      <c r="I7134" s="8" t="s">
        <v>253</v>
      </c>
      <c r="J7134" s="9">
        <v>1</v>
      </c>
      <c r="K7134" s="9">
        <v>235</v>
      </c>
      <c r="L7134" s="9">
        <v>2025</v>
      </c>
      <c r="M7134" s="8" t="s">
        <v>40398</v>
      </c>
      <c r="N7134" s="8" t="s">
        <v>37</v>
      </c>
      <c r="O7134" s="8" t="s">
        <v>83</v>
      </c>
      <c r="P7134" s="6" t="s">
        <v>306</v>
      </c>
      <c r="Q7134" s="8" t="s">
        <v>52</v>
      </c>
      <c r="R7134" s="10" t="s">
        <v>12247</v>
      </c>
      <c r="S7134" s="11" t="s">
        <v>40399</v>
      </c>
      <c r="T7134" s="6"/>
      <c r="U7134" s="15" t="str">
        <f>HYPERLINK("https://media.infra-m.ru/2188/2188173/cover/2188173.jpg", "Обложка")</f>
        <v>Обложка</v>
      </c>
      <c r="V7134" s="8" t="s">
        <v>1030</v>
      </c>
      <c r="W7134" s="6"/>
      <c r="X7134" s="6"/>
      <c r="Y7134" s="6"/>
      <c r="Z7134" s="6"/>
      <c r="AA7134" s="6" t="s">
        <v>55</v>
      </c>
      <c r="AB7134" s="8"/>
      <c r="AC7134" s="27">
        <v>9785369010648</v>
      </c>
    </row>
    <row r="7135" spans="1:29" s="4" customFormat="1" ht="51.9" customHeight="1" x14ac:dyDescent="0.2">
      <c r="A7135" s="5">
        <v>0</v>
      </c>
      <c r="B7135" s="6" t="s">
        <v>40400</v>
      </c>
      <c r="C7135" s="13">
        <v>892.8</v>
      </c>
      <c r="D7135" s="8" t="s">
        <v>40401</v>
      </c>
      <c r="E7135" s="8" t="s">
        <v>40402</v>
      </c>
      <c r="F7135" s="8" t="s">
        <v>40403</v>
      </c>
      <c r="G7135" s="6" t="s">
        <v>33</v>
      </c>
      <c r="H7135" s="6" t="s">
        <v>34</v>
      </c>
      <c r="I7135" s="8" t="s">
        <v>271</v>
      </c>
      <c r="J7135" s="9">
        <v>1</v>
      </c>
      <c r="K7135" s="9">
        <v>128</v>
      </c>
      <c r="L7135" s="9">
        <v>2027</v>
      </c>
      <c r="M7135" s="8" t="s">
        <v>40404</v>
      </c>
      <c r="N7135" s="8" t="s">
        <v>37</v>
      </c>
      <c r="O7135" s="8" t="s">
        <v>499</v>
      </c>
      <c r="P7135" s="6" t="s">
        <v>51</v>
      </c>
      <c r="Q7135" s="8" t="s">
        <v>52</v>
      </c>
      <c r="R7135" s="10" t="s">
        <v>40405</v>
      </c>
      <c r="S7135" s="11" t="s">
        <v>26608</v>
      </c>
      <c r="T7135" s="6"/>
      <c r="U7135" s="15" t="str">
        <f>HYPERLINK("https://media.infra-m.ru/2264/2264635/cover/2264635.jpg", "Обложка")</f>
        <v>Обложка</v>
      </c>
      <c r="V7135" s="8" t="s">
        <v>4409</v>
      </c>
      <c r="W7135" s="6"/>
      <c r="X7135" s="6"/>
      <c r="Y7135" s="6"/>
      <c r="Z7135" s="6"/>
      <c r="AA7135" s="6" t="s">
        <v>129</v>
      </c>
      <c r="AB7135" s="8"/>
      <c r="AC7135" s="27">
        <v>9785160044095</v>
      </c>
    </row>
    <row r="7136" spans="1:29" s="4" customFormat="1" ht="51.9" customHeight="1" x14ac:dyDescent="0.2">
      <c r="A7136" s="5">
        <v>0</v>
      </c>
      <c r="B7136" s="6" t="s">
        <v>40406</v>
      </c>
      <c r="C7136" s="7">
        <v>1708.8</v>
      </c>
      <c r="D7136" s="8" t="s">
        <v>40407</v>
      </c>
      <c r="E7136" s="8" t="s">
        <v>40408</v>
      </c>
      <c r="F7136" s="8" t="s">
        <v>40409</v>
      </c>
      <c r="G7136" s="6" t="s">
        <v>60</v>
      </c>
      <c r="H7136" s="6" t="s">
        <v>34</v>
      </c>
      <c r="I7136" s="8" t="s">
        <v>271</v>
      </c>
      <c r="J7136" s="9">
        <v>1</v>
      </c>
      <c r="K7136" s="9">
        <v>304</v>
      </c>
      <c r="L7136" s="9">
        <v>2024</v>
      </c>
      <c r="M7136" s="8" t="s">
        <v>40410</v>
      </c>
      <c r="N7136" s="8" t="s">
        <v>37</v>
      </c>
      <c r="O7136" s="8" t="s">
        <v>83</v>
      </c>
      <c r="P7136" s="6" t="s">
        <v>51</v>
      </c>
      <c r="Q7136" s="8" t="s">
        <v>52</v>
      </c>
      <c r="R7136" s="10" t="s">
        <v>40411</v>
      </c>
      <c r="S7136" s="11" t="s">
        <v>40412</v>
      </c>
      <c r="T7136" s="6"/>
      <c r="U7136" s="15" t="str">
        <f>HYPERLINK("https://media.infra-m.ru/2136/2136880/cover/2136880.jpg", "Обложка")</f>
        <v>Обложка</v>
      </c>
      <c r="V7136" s="8" t="s">
        <v>3087</v>
      </c>
      <c r="W7136" s="6"/>
      <c r="X7136" s="6"/>
      <c r="Y7136" s="6"/>
      <c r="Z7136" s="6"/>
      <c r="AA7136" s="6" t="s">
        <v>17179</v>
      </c>
      <c r="AB7136" s="8"/>
      <c r="AC7136" s="27">
        <v>9785160037653</v>
      </c>
    </row>
    <row r="7137" spans="1:29" s="4" customFormat="1" ht="44.1" customHeight="1" x14ac:dyDescent="0.2">
      <c r="A7137" s="5">
        <v>0</v>
      </c>
      <c r="B7137" s="6" t="s">
        <v>40413</v>
      </c>
      <c r="C7137" s="7">
        <v>1216.8</v>
      </c>
      <c r="D7137" s="8" t="s">
        <v>40414</v>
      </c>
      <c r="E7137" s="8" t="s">
        <v>40415</v>
      </c>
      <c r="F7137" s="8" t="s">
        <v>16467</v>
      </c>
      <c r="G7137" s="6" t="s">
        <v>33</v>
      </c>
      <c r="H7137" s="6" t="s">
        <v>1042</v>
      </c>
      <c r="I7137" s="8" t="s">
        <v>253</v>
      </c>
      <c r="J7137" s="9">
        <v>1</v>
      </c>
      <c r="K7137" s="9">
        <v>192</v>
      </c>
      <c r="L7137" s="9">
        <v>2026</v>
      </c>
      <c r="M7137" s="8" t="s">
        <v>40416</v>
      </c>
      <c r="N7137" s="8" t="s">
        <v>37</v>
      </c>
      <c r="O7137" s="8" t="s">
        <v>83</v>
      </c>
      <c r="P7137" s="6" t="s">
        <v>51</v>
      </c>
      <c r="Q7137" s="8" t="s">
        <v>52</v>
      </c>
      <c r="R7137" s="10" t="s">
        <v>40417</v>
      </c>
      <c r="S7137" s="11"/>
      <c r="T7137" s="6"/>
      <c r="U7137" s="15" t="str">
        <f>HYPERLINK("https://media.infra-m.ru/2219/2219575/cover/2219575.jpg", "Обложка")</f>
        <v>Обложка</v>
      </c>
      <c r="V7137" s="8" t="s">
        <v>5951</v>
      </c>
      <c r="W7137" s="6"/>
      <c r="X7137" s="6"/>
      <c r="Y7137" s="6"/>
      <c r="Z7137" s="6"/>
      <c r="AA7137" s="6" t="s">
        <v>779</v>
      </c>
      <c r="AB7137" s="8"/>
      <c r="AC7137" s="27">
        <v>9785819906361</v>
      </c>
    </row>
    <row r="7138" spans="1:29" s="4" customFormat="1" ht="51.9" customHeight="1" x14ac:dyDescent="0.2">
      <c r="A7138" s="5">
        <v>0</v>
      </c>
      <c r="B7138" s="6" t="s">
        <v>40418</v>
      </c>
      <c r="C7138" s="7">
        <v>3444</v>
      </c>
      <c r="D7138" s="8" t="s">
        <v>40419</v>
      </c>
      <c r="E7138" s="8" t="s">
        <v>40420</v>
      </c>
      <c r="F7138" s="8" t="s">
        <v>40421</v>
      </c>
      <c r="G7138" s="6" t="s">
        <v>60</v>
      </c>
      <c r="H7138" s="6" t="s">
        <v>34</v>
      </c>
      <c r="I7138" s="8" t="s">
        <v>271</v>
      </c>
      <c r="J7138" s="9">
        <v>1</v>
      </c>
      <c r="K7138" s="9">
        <v>637</v>
      </c>
      <c r="L7138" s="9">
        <v>2023</v>
      </c>
      <c r="M7138" s="8" t="s">
        <v>40422</v>
      </c>
      <c r="N7138" s="8" t="s">
        <v>37</v>
      </c>
      <c r="O7138" s="8" t="s">
        <v>83</v>
      </c>
      <c r="P7138" s="6" t="s">
        <v>306</v>
      </c>
      <c r="Q7138" s="8" t="s">
        <v>52</v>
      </c>
      <c r="R7138" s="10" t="s">
        <v>40417</v>
      </c>
      <c r="S7138" s="11" t="s">
        <v>40423</v>
      </c>
      <c r="T7138" s="6"/>
      <c r="U7138" s="15" t="str">
        <f>HYPERLINK("https://media.infra-m.ru/1932/1932287/cover/1932287.jpg", "Обложка")</f>
        <v>Обложка</v>
      </c>
      <c r="V7138" s="8" t="s">
        <v>21583</v>
      </c>
      <c r="W7138" s="6"/>
      <c r="X7138" s="6"/>
      <c r="Y7138" s="6"/>
      <c r="Z7138" s="6"/>
      <c r="AA7138" s="6" t="s">
        <v>2304</v>
      </c>
      <c r="AB7138" s="8"/>
      <c r="AC7138" s="27">
        <v>9785160142142</v>
      </c>
    </row>
    <row r="7139" spans="1:29" s="4" customFormat="1" ht="51.9" customHeight="1" x14ac:dyDescent="0.2">
      <c r="A7139" s="5">
        <v>0</v>
      </c>
      <c r="B7139" s="6" t="s">
        <v>40424</v>
      </c>
      <c r="C7139" s="7">
        <v>1433.9</v>
      </c>
      <c r="D7139" s="8" t="s">
        <v>40425</v>
      </c>
      <c r="E7139" s="8" t="s">
        <v>40426</v>
      </c>
      <c r="F7139" s="8" t="s">
        <v>40427</v>
      </c>
      <c r="G7139" s="6" t="s">
        <v>60</v>
      </c>
      <c r="H7139" s="6" t="s">
        <v>34</v>
      </c>
      <c r="I7139" s="8" t="s">
        <v>504</v>
      </c>
      <c r="J7139" s="9">
        <v>1</v>
      </c>
      <c r="K7139" s="9">
        <v>265</v>
      </c>
      <c r="L7139" s="9">
        <v>2023</v>
      </c>
      <c r="M7139" s="8" t="s">
        <v>40428</v>
      </c>
      <c r="N7139" s="8" t="s">
        <v>37</v>
      </c>
      <c r="O7139" s="8" t="s">
        <v>83</v>
      </c>
      <c r="P7139" s="6" t="s">
        <v>51</v>
      </c>
      <c r="Q7139" s="8" t="s">
        <v>500</v>
      </c>
      <c r="R7139" s="10" t="s">
        <v>40429</v>
      </c>
      <c r="S7139" s="11" t="s">
        <v>40430</v>
      </c>
      <c r="T7139" s="6"/>
      <c r="U7139" s="15" t="str">
        <f>HYPERLINK("https://media.infra-m.ru/2006/2006900/cover/2006900.jpg", "Обложка")</f>
        <v>Обложка</v>
      </c>
      <c r="V7139" s="8" t="s">
        <v>40431</v>
      </c>
      <c r="W7139" s="6"/>
      <c r="X7139" s="6"/>
      <c r="Y7139" s="6"/>
      <c r="Z7139" s="6"/>
      <c r="AA7139" s="6" t="s">
        <v>115</v>
      </c>
      <c r="AB7139" s="8"/>
      <c r="AC7139" s="27">
        <v>9785160142937</v>
      </c>
    </row>
    <row r="7140" spans="1:29" s="4" customFormat="1" ht="51.9" customHeight="1" x14ac:dyDescent="0.2">
      <c r="A7140" s="5">
        <v>0</v>
      </c>
      <c r="B7140" s="6" t="s">
        <v>40432</v>
      </c>
      <c r="C7140" s="7">
        <v>2188.8000000000002</v>
      </c>
      <c r="D7140" s="8" t="s">
        <v>40433</v>
      </c>
      <c r="E7140" s="8" t="s">
        <v>40434</v>
      </c>
      <c r="F7140" s="8" t="s">
        <v>40435</v>
      </c>
      <c r="G7140" s="6" t="s">
        <v>60</v>
      </c>
      <c r="H7140" s="6" t="s">
        <v>34</v>
      </c>
      <c r="I7140" s="8" t="s">
        <v>271</v>
      </c>
      <c r="J7140" s="9">
        <v>1</v>
      </c>
      <c r="K7140" s="9">
        <v>350</v>
      </c>
      <c r="L7140" s="9">
        <v>2025</v>
      </c>
      <c r="M7140" s="8" t="s">
        <v>40436</v>
      </c>
      <c r="N7140" s="8" t="s">
        <v>37</v>
      </c>
      <c r="O7140" s="8" t="s">
        <v>83</v>
      </c>
      <c r="P7140" s="6" t="s">
        <v>51</v>
      </c>
      <c r="Q7140" s="8" t="s">
        <v>52</v>
      </c>
      <c r="R7140" s="10" t="s">
        <v>40437</v>
      </c>
      <c r="S7140" s="11" t="s">
        <v>40438</v>
      </c>
      <c r="T7140" s="6" t="s">
        <v>97</v>
      </c>
      <c r="U7140" s="15" t="str">
        <f>HYPERLINK("https://media.infra-m.ru/2195/2195962/cover/2195962.jpg", "Обложка")</f>
        <v>Обложка</v>
      </c>
      <c r="V7140" s="8" t="s">
        <v>1505</v>
      </c>
      <c r="W7140" s="6"/>
      <c r="X7140" s="6"/>
      <c r="Y7140" s="6"/>
      <c r="Z7140" s="6"/>
      <c r="AA7140" s="6" t="s">
        <v>248</v>
      </c>
      <c r="AB7140" s="8"/>
      <c r="AC7140" s="27">
        <v>9785160054988</v>
      </c>
    </row>
    <row r="7141" spans="1:29" s="4" customFormat="1" ht="51.9" customHeight="1" x14ac:dyDescent="0.2">
      <c r="A7141" s="5">
        <v>0</v>
      </c>
      <c r="B7141" s="6" t="s">
        <v>40439</v>
      </c>
      <c r="C7141" s="7">
        <v>1788</v>
      </c>
      <c r="D7141" s="8" t="s">
        <v>40440</v>
      </c>
      <c r="E7141" s="8" t="s">
        <v>40441</v>
      </c>
      <c r="F7141" s="8" t="s">
        <v>40442</v>
      </c>
      <c r="G7141" s="6" t="s">
        <v>60</v>
      </c>
      <c r="H7141" s="6" t="s">
        <v>34</v>
      </c>
      <c r="I7141" s="8" t="s">
        <v>253</v>
      </c>
      <c r="J7141" s="9">
        <v>1</v>
      </c>
      <c r="K7141" s="9">
        <v>289</v>
      </c>
      <c r="L7141" s="9">
        <v>2025</v>
      </c>
      <c r="M7141" s="8" t="s">
        <v>40443</v>
      </c>
      <c r="N7141" s="8" t="s">
        <v>37</v>
      </c>
      <c r="O7141" s="8" t="s">
        <v>83</v>
      </c>
      <c r="P7141" s="6" t="s">
        <v>51</v>
      </c>
      <c r="Q7141" s="8" t="s">
        <v>500</v>
      </c>
      <c r="R7141" s="10" t="s">
        <v>35880</v>
      </c>
      <c r="S7141" s="11"/>
      <c r="T7141" s="6"/>
      <c r="U7141" s="15" t="str">
        <f>HYPERLINK("https://media.infra-m.ru/2086/2086345/cover/2086345.jpg", "Обложка")</f>
        <v>Обложка</v>
      </c>
      <c r="V7141" s="8" t="s">
        <v>25957</v>
      </c>
      <c r="W7141" s="6"/>
      <c r="X7141" s="6"/>
      <c r="Y7141" s="6"/>
      <c r="Z7141" s="6"/>
      <c r="AA7141" s="6" t="s">
        <v>68</v>
      </c>
      <c r="AB7141" s="8" t="s">
        <v>8822</v>
      </c>
      <c r="AC7141" s="27">
        <v>9785160190938</v>
      </c>
    </row>
    <row r="7142" spans="1:29" s="4" customFormat="1" ht="51.9" customHeight="1" x14ac:dyDescent="0.2">
      <c r="A7142" s="5">
        <v>0</v>
      </c>
      <c r="B7142" s="6" t="s">
        <v>40444</v>
      </c>
      <c r="C7142" s="7">
        <v>2092.8000000000002</v>
      </c>
      <c r="D7142" s="8" t="s">
        <v>40445</v>
      </c>
      <c r="E7142" s="8" t="s">
        <v>40446</v>
      </c>
      <c r="F7142" s="8" t="s">
        <v>40447</v>
      </c>
      <c r="G7142" s="6" t="s">
        <v>118</v>
      </c>
      <c r="H7142" s="6" t="s">
        <v>34</v>
      </c>
      <c r="I7142" s="8" t="s">
        <v>304</v>
      </c>
      <c r="J7142" s="9">
        <v>1</v>
      </c>
      <c r="K7142" s="9">
        <v>317</v>
      </c>
      <c r="L7142" s="9">
        <v>2026</v>
      </c>
      <c r="M7142" s="8" t="s">
        <v>40448</v>
      </c>
      <c r="N7142" s="8" t="s">
        <v>37</v>
      </c>
      <c r="O7142" s="8" t="s">
        <v>83</v>
      </c>
      <c r="P7142" s="6" t="s">
        <v>306</v>
      </c>
      <c r="Q7142" s="8" t="s">
        <v>52</v>
      </c>
      <c r="R7142" s="10" t="s">
        <v>40449</v>
      </c>
      <c r="S7142" s="11" t="s">
        <v>40450</v>
      </c>
      <c r="T7142" s="6"/>
      <c r="U7142" s="15" t="str">
        <f>HYPERLINK("https://media.infra-m.ru/2223/2223176/cover/2223176.jpg", "Обложка")</f>
        <v>Обложка</v>
      </c>
      <c r="V7142" s="8" t="s">
        <v>247</v>
      </c>
      <c r="W7142" s="6"/>
      <c r="X7142" s="6"/>
      <c r="Y7142" s="6"/>
      <c r="Z7142" s="6"/>
      <c r="AA7142" s="6" t="s">
        <v>99</v>
      </c>
      <c r="AB7142" s="8"/>
      <c r="AC7142" s="27">
        <v>9785160192529</v>
      </c>
    </row>
    <row r="7143" spans="1:29" s="4" customFormat="1" ht="51.9" customHeight="1" x14ac:dyDescent="0.2">
      <c r="A7143" s="5">
        <v>0</v>
      </c>
      <c r="B7143" s="6" t="s">
        <v>40451</v>
      </c>
      <c r="C7143" s="13">
        <v>904.8</v>
      </c>
      <c r="D7143" s="8" t="s">
        <v>40452</v>
      </c>
      <c r="E7143" s="8" t="s">
        <v>40453</v>
      </c>
      <c r="F7143" s="8" t="s">
        <v>40454</v>
      </c>
      <c r="G7143" s="6" t="s">
        <v>33</v>
      </c>
      <c r="H7143" s="6" t="s">
        <v>34</v>
      </c>
      <c r="I7143" s="8" t="s">
        <v>253</v>
      </c>
      <c r="J7143" s="9">
        <v>1</v>
      </c>
      <c r="K7143" s="9">
        <v>150</v>
      </c>
      <c r="L7143" s="9">
        <v>2025</v>
      </c>
      <c r="M7143" s="8" t="s">
        <v>40455</v>
      </c>
      <c r="N7143" s="8" t="s">
        <v>37</v>
      </c>
      <c r="O7143" s="8" t="s">
        <v>280</v>
      </c>
      <c r="P7143" s="6" t="s">
        <v>306</v>
      </c>
      <c r="Q7143" s="8" t="s">
        <v>52</v>
      </c>
      <c r="R7143" s="10" t="s">
        <v>40456</v>
      </c>
      <c r="S7143" s="11" t="s">
        <v>40457</v>
      </c>
      <c r="T7143" s="6"/>
      <c r="U7143" s="15" t="str">
        <f>HYPERLINK("https://media.infra-m.ru/2184/2184943/cover/2184943.jpg", "Обложка")</f>
        <v>Обложка</v>
      </c>
      <c r="V7143" s="8" t="s">
        <v>2854</v>
      </c>
      <c r="W7143" s="6"/>
      <c r="X7143" s="6"/>
      <c r="Y7143" s="6"/>
      <c r="Z7143" s="6"/>
      <c r="AA7143" s="6" t="s">
        <v>360</v>
      </c>
      <c r="AB7143" s="8"/>
      <c r="AC7143" s="27">
        <v>9785160112855</v>
      </c>
    </row>
    <row r="7144" spans="1:29" s="4" customFormat="1" ht="51.9" customHeight="1" x14ac:dyDescent="0.2">
      <c r="A7144" s="5">
        <v>0</v>
      </c>
      <c r="B7144" s="6" t="s">
        <v>40458</v>
      </c>
      <c r="C7144" s="7">
        <v>1336.8</v>
      </c>
      <c r="D7144" s="8" t="s">
        <v>40459</v>
      </c>
      <c r="E7144" s="8" t="s">
        <v>40446</v>
      </c>
      <c r="F7144" s="8" t="s">
        <v>40460</v>
      </c>
      <c r="G7144" s="6" t="s">
        <v>60</v>
      </c>
      <c r="H7144" s="6" t="s">
        <v>34</v>
      </c>
      <c r="I7144" s="8" t="s">
        <v>271</v>
      </c>
      <c r="J7144" s="9">
        <v>1</v>
      </c>
      <c r="K7144" s="9">
        <v>202</v>
      </c>
      <c r="L7144" s="9">
        <v>2026</v>
      </c>
      <c r="M7144" s="8" t="s">
        <v>40461</v>
      </c>
      <c r="N7144" s="8" t="s">
        <v>37</v>
      </c>
      <c r="O7144" s="8" t="s">
        <v>83</v>
      </c>
      <c r="P7144" s="6" t="s">
        <v>51</v>
      </c>
      <c r="Q7144" s="8" t="s">
        <v>52</v>
      </c>
      <c r="R7144" s="10" t="s">
        <v>40462</v>
      </c>
      <c r="S7144" s="11" t="s">
        <v>40463</v>
      </c>
      <c r="T7144" s="6"/>
      <c r="U7144" s="15" t="str">
        <f>HYPERLINK("https://media.infra-m.ru/2239/2239101/cover/2239101.jpg", "Обложка")</f>
        <v>Обложка</v>
      </c>
      <c r="V7144" s="8" t="s">
        <v>657</v>
      </c>
      <c r="W7144" s="6"/>
      <c r="X7144" s="6"/>
      <c r="Y7144" s="6"/>
      <c r="Z7144" s="6"/>
      <c r="AA7144" s="6" t="s">
        <v>779</v>
      </c>
      <c r="AB7144" s="8"/>
      <c r="AC7144" s="27">
        <v>9785160110943</v>
      </c>
    </row>
    <row r="7145" spans="1:29" s="4" customFormat="1" ht="51.9" customHeight="1" x14ac:dyDescent="0.2">
      <c r="A7145" s="5">
        <v>0</v>
      </c>
      <c r="B7145" s="6" t="s">
        <v>40464</v>
      </c>
      <c r="C7145" s="7">
        <v>1308</v>
      </c>
      <c r="D7145" s="8" t="s">
        <v>40465</v>
      </c>
      <c r="E7145" s="8" t="s">
        <v>40446</v>
      </c>
      <c r="F7145" s="8" t="s">
        <v>6714</v>
      </c>
      <c r="G7145" s="6" t="s">
        <v>60</v>
      </c>
      <c r="H7145" s="6" t="s">
        <v>34</v>
      </c>
      <c r="I7145" s="8" t="s">
        <v>253</v>
      </c>
      <c r="J7145" s="9">
        <v>1</v>
      </c>
      <c r="K7145" s="9">
        <v>201</v>
      </c>
      <c r="L7145" s="9">
        <v>2024</v>
      </c>
      <c r="M7145" s="8" t="s">
        <v>40466</v>
      </c>
      <c r="N7145" s="8" t="s">
        <v>37</v>
      </c>
      <c r="O7145" s="8" t="s">
        <v>83</v>
      </c>
      <c r="P7145" s="6" t="s">
        <v>51</v>
      </c>
      <c r="Q7145" s="8" t="s">
        <v>65</v>
      </c>
      <c r="R7145" s="10" t="s">
        <v>40467</v>
      </c>
      <c r="S7145" s="11"/>
      <c r="T7145" s="6"/>
      <c r="U7145" s="15" t="str">
        <f>HYPERLINK("https://media.infra-m.ru/2110/2110853/cover/2110853.jpg", "Обложка")</f>
        <v>Обложка</v>
      </c>
      <c r="V7145" s="8" t="s">
        <v>5820</v>
      </c>
      <c r="W7145" s="6"/>
      <c r="X7145" s="6"/>
      <c r="Y7145" s="6"/>
      <c r="Z7145" s="6"/>
      <c r="AA7145" s="6" t="s">
        <v>76</v>
      </c>
      <c r="AB7145" s="8"/>
      <c r="AC7145" s="27">
        <v>9785160193434</v>
      </c>
    </row>
    <row r="7146" spans="1:29" s="4" customFormat="1" ht="51.9" customHeight="1" x14ac:dyDescent="0.2">
      <c r="A7146" s="5">
        <v>0</v>
      </c>
      <c r="B7146" s="6" t="s">
        <v>40468</v>
      </c>
      <c r="C7146" s="7">
        <v>1536</v>
      </c>
      <c r="D7146" s="8" t="s">
        <v>40469</v>
      </c>
      <c r="E7146" s="8" t="s">
        <v>40470</v>
      </c>
      <c r="F7146" s="8" t="s">
        <v>40471</v>
      </c>
      <c r="G7146" s="6" t="s">
        <v>60</v>
      </c>
      <c r="H7146" s="6" t="s">
        <v>34</v>
      </c>
      <c r="I7146" s="8" t="s">
        <v>35</v>
      </c>
      <c r="J7146" s="9">
        <v>1</v>
      </c>
      <c r="K7146" s="9">
        <v>254</v>
      </c>
      <c r="L7146" s="9">
        <v>2024</v>
      </c>
      <c r="M7146" s="8" t="s">
        <v>40472</v>
      </c>
      <c r="N7146" s="8" t="s">
        <v>37</v>
      </c>
      <c r="O7146" s="8" t="s">
        <v>83</v>
      </c>
      <c r="P7146" s="6" t="s">
        <v>39</v>
      </c>
      <c r="Q7146" s="8" t="s">
        <v>40</v>
      </c>
      <c r="R7146" s="10" t="s">
        <v>40473</v>
      </c>
      <c r="S7146" s="11"/>
      <c r="T7146" s="6"/>
      <c r="U7146" s="15" t="str">
        <f>HYPERLINK("https://media.infra-m.ru/2133/2133680/cover/2133680.jpg", "Обложка")</f>
        <v>Обложка</v>
      </c>
      <c r="V7146" s="8" t="s">
        <v>657</v>
      </c>
      <c r="W7146" s="6"/>
      <c r="X7146" s="6"/>
      <c r="Y7146" s="6"/>
      <c r="Z7146" s="6"/>
      <c r="AA7146" s="6" t="s">
        <v>76</v>
      </c>
      <c r="AB7146" s="8" t="s">
        <v>4718</v>
      </c>
      <c r="AC7146" s="27">
        <v>9785160196831</v>
      </c>
    </row>
    <row r="7147" spans="1:29" s="4" customFormat="1" ht="51.9" customHeight="1" x14ac:dyDescent="0.2">
      <c r="A7147" s="5">
        <v>0</v>
      </c>
      <c r="B7147" s="6" t="s">
        <v>40474</v>
      </c>
      <c r="C7147" s="7">
        <v>1193.9000000000001</v>
      </c>
      <c r="D7147" s="8" t="s">
        <v>40475</v>
      </c>
      <c r="E7147" s="8" t="s">
        <v>40476</v>
      </c>
      <c r="F7147" s="8" t="s">
        <v>40477</v>
      </c>
      <c r="G7147" s="6" t="s">
        <v>60</v>
      </c>
      <c r="H7147" s="6" t="s">
        <v>34</v>
      </c>
      <c r="I7147" s="8" t="s">
        <v>271</v>
      </c>
      <c r="J7147" s="9">
        <v>1</v>
      </c>
      <c r="K7147" s="9">
        <v>332</v>
      </c>
      <c r="L7147" s="9">
        <v>2018</v>
      </c>
      <c r="M7147" s="8" t="s">
        <v>40478</v>
      </c>
      <c r="N7147" s="8" t="s">
        <v>37</v>
      </c>
      <c r="O7147" s="8" t="s">
        <v>83</v>
      </c>
      <c r="P7147" s="6" t="s">
        <v>306</v>
      </c>
      <c r="Q7147" s="8" t="s">
        <v>52</v>
      </c>
      <c r="R7147" s="10" t="s">
        <v>40479</v>
      </c>
      <c r="S7147" s="11" t="s">
        <v>40480</v>
      </c>
      <c r="T7147" s="6"/>
      <c r="U7147" s="15" t="str">
        <f>HYPERLINK("https://media.infra-m.ru/0967/0967034/cover/967034.jpg", "Обложка")</f>
        <v>Обложка</v>
      </c>
      <c r="V7147" s="8" t="s">
        <v>1505</v>
      </c>
      <c r="W7147" s="6"/>
      <c r="X7147" s="6"/>
      <c r="Y7147" s="6"/>
      <c r="Z7147" s="6"/>
      <c r="AA7147" s="6" t="s">
        <v>1007</v>
      </c>
      <c r="AB7147" s="8"/>
      <c r="AC7147" s="27">
        <v>9785160057200</v>
      </c>
    </row>
    <row r="7148" spans="1:29" s="4" customFormat="1" ht="51.9" customHeight="1" x14ac:dyDescent="0.2">
      <c r="A7148" s="5">
        <v>0</v>
      </c>
      <c r="B7148" s="6" t="s">
        <v>40481</v>
      </c>
      <c r="C7148" s="7">
        <v>2592</v>
      </c>
      <c r="D7148" s="8" t="s">
        <v>40482</v>
      </c>
      <c r="E7148" s="8" t="s">
        <v>40483</v>
      </c>
      <c r="F7148" s="8" t="s">
        <v>40484</v>
      </c>
      <c r="G7148" s="6" t="s">
        <v>118</v>
      </c>
      <c r="H7148" s="6" t="s">
        <v>34</v>
      </c>
      <c r="I7148" s="8" t="s">
        <v>253</v>
      </c>
      <c r="J7148" s="9">
        <v>1</v>
      </c>
      <c r="K7148" s="9">
        <v>391</v>
      </c>
      <c r="L7148" s="9">
        <v>2026</v>
      </c>
      <c r="M7148" s="8" t="s">
        <v>40485</v>
      </c>
      <c r="N7148" s="8" t="s">
        <v>37</v>
      </c>
      <c r="O7148" s="8" t="s">
        <v>83</v>
      </c>
      <c r="P7148" s="6" t="s">
        <v>306</v>
      </c>
      <c r="Q7148" s="8" t="s">
        <v>65</v>
      </c>
      <c r="R7148" s="10" t="s">
        <v>40479</v>
      </c>
      <c r="S7148" s="11" t="s">
        <v>40486</v>
      </c>
      <c r="T7148" s="6"/>
      <c r="U7148" s="15" t="str">
        <f>HYPERLINK("https://media.infra-m.ru/2255/2255348/cover/2255348.jpg", "Обложка")</f>
        <v>Обложка</v>
      </c>
      <c r="V7148" s="8" t="s">
        <v>1505</v>
      </c>
      <c r="W7148" s="6"/>
      <c r="X7148" s="6"/>
      <c r="Y7148" s="6"/>
      <c r="Z7148" s="6"/>
      <c r="AA7148" s="6" t="s">
        <v>2240</v>
      </c>
      <c r="AB7148" s="8"/>
      <c r="AC7148" s="27">
        <v>9785160186313</v>
      </c>
    </row>
    <row r="7149" spans="1:29" s="4" customFormat="1" ht="51.9" customHeight="1" x14ac:dyDescent="0.2">
      <c r="A7149" s="5">
        <v>0</v>
      </c>
      <c r="B7149" s="6" t="s">
        <v>40487</v>
      </c>
      <c r="C7149" s="7">
        <v>3592.8</v>
      </c>
      <c r="D7149" s="8" t="s">
        <v>40488</v>
      </c>
      <c r="E7149" s="8" t="s">
        <v>40489</v>
      </c>
      <c r="F7149" s="8" t="s">
        <v>40490</v>
      </c>
      <c r="G7149" s="6" t="s">
        <v>60</v>
      </c>
      <c r="H7149" s="6" t="s">
        <v>1779</v>
      </c>
      <c r="I7149" s="8"/>
      <c r="J7149" s="9">
        <v>1</v>
      </c>
      <c r="K7149" s="9">
        <v>912</v>
      </c>
      <c r="L7149" s="9">
        <v>2026</v>
      </c>
      <c r="M7149" s="8" t="s">
        <v>40491</v>
      </c>
      <c r="N7149" s="8" t="s">
        <v>37</v>
      </c>
      <c r="O7149" s="8" t="s">
        <v>83</v>
      </c>
      <c r="P7149" s="6" t="s">
        <v>306</v>
      </c>
      <c r="Q7149" s="8" t="s">
        <v>52</v>
      </c>
      <c r="R7149" s="10" t="s">
        <v>25440</v>
      </c>
      <c r="S7149" s="11"/>
      <c r="T7149" s="6"/>
      <c r="U7149" s="15" t="str">
        <f>HYPERLINK("https://media.infra-m.ru/2184/2184950/cover/2184950.jpg", "Обложка")</f>
        <v>Обложка</v>
      </c>
      <c r="V7149" s="8" t="s">
        <v>3087</v>
      </c>
      <c r="W7149" s="6"/>
      <c r="X7149" s="6"/>
      <c r="Y7149" s="6"/>
      <c r="Z7149" s="6"/>
      <c r="AA7149" s="6" t="s">
        <v>6584</v>
      </c>
      <c r="AB7149" s="8"/>
      <c r="AC7149" s="27">
        <v>9785917685977</v>
      </c>
    </row>
    <row r="7150" spans="1:29" s="4" customFormat="1" ht="51.9" customHeight="1" x14ac:dyDescent="0.2">
      <c r="A7150" s="5">
        <v>0</v>
      </c>
      <c r="B7150" s="6" t="s">
        <v>40492</v>
      </c>
      <c r="C7150" s="7">
        <v>1660.8</v>
      </c>
      <c r="D7150" s="8" t="s">
        <v>40493</v>
      </c>
      <c r="E7150" s="8" t="s">
        <v>40494</v>
      </c>
      <c r="F7150" s="8" t="s">
        <v>40495</v>
      </c>
      <c r="G7150" s="6" t="s">
        <v>60</v>
      </c>
      <c r="H7150" s="6" t="s">
        <v>313</v>
      </c>
      <c r="I7150" s="8" t="s">
        <v>253</v>
      </c>
      <c r="J7150" s="9">
        <v>1</v>
      </c>
      <c r="K7150" s="9">
        <v>252</v>
      </c>
      <c r="L7150" s="9">
        <v>2026</v>
      </c>
      <c r="M7150" s="8" t="s">
        <v>40496</v>
      </c>
      <c r="N7150" s="8" t="s">
        <v>37</v>
      </c>
      <c r="O7150" s="8" t="s">
        <v>83</v>
      </c>
      <c r="P7150" s="6" t="s">
        <v>51</v>
      </c>
      <c r="Q7150" s="8" t="s">
        <v>52</v>
      </c>
      <c r="R7150" s="10" t="s">
        <v>40497</v>
      </c>
      <c r="S7150" s="11" t="s">
        <v>40498</v>
      </c>
      <c r="T7150" s="6"/>
      <c r="U7150" s="15" t="str">
        <f>HYPERLINK("https://media.infra-m.ru/2241/2241505/cover/2241505.jpg", "Обложка")</f>
        <v>Обложка</v>
      </c>
      <c r="V7150" s="8"/>
      <c r="W7150" s="6"/>
      <c r="X7150" s="6"/>
      <c r="Y7150" s="6"/>
      <c r="Z7150" s="6"/>
      <c r="AA7150" s="6" t="s">
        <v>779</v>
      </c>
      <c r="AB7150" s="8"/>
      <c r="AC7150" s="27">
        <v>9785369015353</v>
      </c>
    </row>
    <row r="7151" spans="1:29" s="4" customFormat="1" ht="51.9" customHeight="1" x14ac:dyDescent="0.2">
      <c r="A7151" s="5">
        <v>0</v>
      </c>
      <c r="B7151" s="6" t="s">
        <v>40499</v>
      </c>
      <c r="C7151" s="7">
        <v>1888.8</v>
      </c>
      <c r="D7151" s="8" t="s">
        <v>40500</v>
      </c>
      <c r="E7151" s="8" t="s">
        <v>40501</v>
      </c>
      <c r="F7151" s="8" t="s">
        <v>40502</v>
      </c>
      <c r="G7151" s="6" t="s">
        <v>118</v>
      </c>
      <c r="H7151" s="6" t="s">
        <v>241</v>
      </c>
      <c r="I7151" s="8" t="s">
        <v>241</v>
      </c>
      <c r="J7151" s="9">
        <v>1</v>
      </c>
      <c r="K7151" s="9">
        <v>348</v>
      </c>
      <c r="L7151" s="9">
        <v>2023</v>
      </c>
      <c r="M7151" s="8" t="s">
        <v>40503</v>
      </c>
      <c r="N7151" s="8" t="s">
        <v>37</v>
      </c>
      <c r="O7151" s="8" t="s">
        <v>83</v>
      </c>
      <c r="P7151" s="6" t="s">
        <v>306</v>
      </c>
      <c r="Q7151" s="8" t="s">
        <v>52</v>
      </c>
      <c r="R7151" s="10" t="s">
        <v>25440</v>
      </c>
      <c r="S7151" s="11"/>
      <c r="T7151" s="6"/>
      <c r="U7151" s="15" t="str">
        <f>HYPERLINK("https://media.infra-m.ru/2006/2006085/cover/2006085.jpg", "Обложка")</f>
        <v>Обложка</v>
      </c>
      <c r="V7151" s="8" t="s">
        <v>414</v>
      </c>
      <c r="W7151" s="6"/>
      <c r="X7151" s="6"/>
      <c r="Y7151" s="6"/>
      <c r="Z7151" s="6"/>
      <c r="AA7151" s="6" t="s">
        <v>99</v>
      </c>
      <c r="AB7151" s="8"/>
      <c r="AC7151" s="27">
        <v>9785955805726</v>
      </c>
    </row>
    <row r="7152" spans="1:29" s="4" customFormat="1" ht="51.9" customHeight="1" x14ac:dyDescent="0.2">
      <c r="A7152" s="5">
        <v>0</v>
      </c>
      <c r="B7152" s="6" t="s">
        <v>40504</v>
      </c>
      <c r="C7152" s="7">
        <v>4120.8</v>
      </c>
      <c r="D7152" s="8" t="s">
        <v>40505</v>
      </c>
      <c r="E7152" s="8" t="s">
        <v>40506</v>
      </c>
      <c r="F7152" s="8" t="s">
        <v>40507</v>
      </c>
      <c r="G7152" s="6" t="s">
        <v>118</v>
      </c>
      <c r="H7152" s="6" t="s">
        <v>34</v>
      </c>
      <c r="I7152" s="8" t="s">
        <v>271</v>
      </c>
      <c r="J7152" s="9">
        <v>1</v>
      </c>
      <c r="K7152" s="9">
        <v>624</v>
      </c>
      <c r="L7152" s="9">
        <v>2026</v>
      </c>
      <c r="M7152" s="8" t="s">
        <v>40508</v>
      </c>
      <c r="N7152" s="8" t="s">
        <v>37</v>
      </c>
      <c r="O7152" s="8" t="s">
        <v>83</v>
      </c>
      <c r="P7152" s="6" t="s">
        <v>306</v>
      </c>
      <c r="Q7152" s="8" t="s">
        <v>52</v>
      </c>
      <c r="R7152" s="10" t="s">
        <v>25440</v>
      </c>
      <c r="S7152" s="11" t="s">
        <v>40509</v>
      </c>
      <c r="T7152" s="6"/>
      <c r="U7152" s="15" t="str">
        <f>HYPERLINK("https://media.infra-m.ru/2242/2242402/cover/2242402.jpg", "Обложка")</f>
        <v>Обложка</v>
      </c>
      <c r="V7152" s="8" t="s">
        <v>21583</v>
      </c>
      <c r="W7152" s="6"/>
      <c r="X7152" s="6"/>
      <c r="Y7152" s="6"/>
      <c r="Z7152" s="6"/>
      <c r="AA7152" s="6" t="s">
        <v>1007</v>
      </c>
      <c r="AB7152" s="8"/>
      <c r="AC7152" s="27">
        <v>9785160035222</v>
      </c>
    </row>
    <row r="7153" spans="1:29" s="4" customFormat="1" ht="51.9" customHeight="1" x14ac:dyDescent="0.2">
      <c r="A7153" s="5">
        <v>0</v>
      </c>
      <c r="B7153" s="6" t="s">
        <v>40510</v>
      </c>
      <c r="C7153" s="7">
        <v>2760</v>
      </c>
      <c r="D7153" s="8" t="s">
        <v>40511</v>
      </c>
      <c r="E7153" s="8" t="s">
        <v>40512</v>
      </c>
      <c r="F7153" s="8" t="s">
        <v>40513</v>
      </c>
      <c r="G7153" s="6" t="s">
        <v>60</v>
      </c>
      <c r="H7153" s="6" t="s">
        <v>1795</v>
      </c>
      <c r="I7153" s="8" t="s">
        <v>1904</v>
      </c>
      <c r="J7153" s="9">
        <v>1</v>
      </c>
      <c r="K7153" s="9">
        <v>512</v>
      </c>
      <c r="L7153" s="9">
        <v>2024</v>
      </c>
      <c r="M7153" s="8" t="s">
        <v>40514</v>
      </c>
      <c r="N7153" s="8" t="s">
        <v>37</v>
      </c>
      <c r="O7153" s="8" t="s">
        <v>83</v>
      </c>
      <c r="P7153" s="6" t="s">
        <v>306</v>
      </c>
      <c r="Q7153" s="8" t="s">
        <v>52</v>
      </c>
      <c r="R7153" s="10" t="s">
        <v>25440</v>
      </c>
      <c r="S7153" s="11" t="s">
        <v>40515</v>
      </c>
      <c r="T7153" s="6"/>
      <c r="U7153" s="15" t="str">
        <f>HYPERLINK("https://media.infra-m.ru/1838/1838396/cover/1838396.jpg", "Обложка")</f>
        <v>Обложка</v>
      </c>
      <c r="V7153" s="8" t="s">
        <v>1425</v>
      </c>
      <c r="W7153" s="6"/>
      <c r="X7153" s="6"/>
      <c r="Y7153" s="6"/>
      <c r="Z7153" s="6"/>
      <c r="AA7153" s="6" t="s">
        <v>1401</v>
      </c>
      <c r="AB7153" s="8"/>
      <c r="AC7153" s="27">
        <v>9785982814159</v>
      </c>
    </row>
    <row r="7154" spans="1:29" s="4" customFormat="1" ht="51.9" customHeight="1" x14ac:dyDescent="0.2">
      <c r="A7154" s="5">
        <v>0</v>
      </c>
      <c r="B7154" s="6" t="s">
        <v>40516</v>
      </c>
      <c r="C7154" s="13">
        <v>864</v>
      </c>
      <c r="D7154" s="8" t="s">
        <v>40517</v>
      </c>
      <c r="E7154" s="8" t="s">
        <v>40518</v>
      </c>
      <c r="F7154" s="8" t="s">
        <v>40519</v>
      </c>
      <c r="G7154" s="6" t="s">
        <v>60</v>
      </c>
      <c r="H7154" s="6" t="s">
        <v>313</v>
      </c>
      <c r="I7154" s="8" t="s">
        <v>253</v>
      </c>
      <c r="J7154" s="9">
        <v>1</v>
      </c>
      <c r="K7154" s="9">
        <v>224</v>
      </c>
      <c r="L7154" s="9">
        <v>2018</v>
      </c>
      <c r="M7154" s="8" t="s">
        <v>40520</v>
      </c>
      <c r="N7154" s="8" t="s">
        <v>37</v>
      </c>
      <c r="O7154" s="8" t="s">
        <v>83</v>
      </c>
      <c r="P7154" s="6" t="s">
        <v>51</v>
      </c>
      <c r="Q7154" s="8" t="s">
        <v>52</v>
      </c>
      <c r="R7154" s="10" t="s">
        <v>40521</v>
      </c>
      <c r="S7154" s="11" t="s">
        <v>40522</v>
      </c>
      <c r="T7154" s="6"/>
      <c r="U7154" s="15" t="str">
        <f>HYPERLINK("https://media.infra-m.ru/1012/1012407/cover/1012407.jpg", "Обложка")</f>
        <v>Обложка</v>
      </c>
      <c r="V7154" s="8" t="s">
        <v>1030</v>
      </c>
      <c r="W7154" s="6"/>
      <c r="X7154" s="6"/>
      <c r="Y7154" s="6"/>
      <c r="Z7154" s="6"/>
      <c r="AA7154" s="6" t="s">
        <v>360</v>
      </c>
      <c r="AB7154" s="8"/>
      <c r="AC7154" s="27">
        <v>9785369014578</v>
      </c>
    </row>
    <row r="7155" spans="1:29" s="4" customFormat="1" ht="51.9" customHeight="1" x14ac:dyDescent="0.2">
      <c r="A7155" s="5">
        <v>0</v>
      </c>
      <c r="B7155" s="6" t="s">
        <v>40523</v>
      </c>
      <c r="C7155" s="7">
        <v>1588.8</v>
      </c>
      <c r="D7155" s="8" t="s">
        <v>40524</v>
      </c>
      <c r="E7155" s="8" t="s">
        <v>40525</v>
      </c>
      <c r="F7155" s="8" t="s">
        <v>40519</v>
      </c>
      <c r="G7155" s="6" t="s">
        <v>118</v>
      </c>
      <c r="H7155" s="6" t="s">
        <v>313</v>
      </c>
      <c r="I7155" s="8" t="s">
        <v>253</v>
      </c>
      <c r="J7155" s="9">
        <v>1</v>
      </c>
      <c r="K7155" s="9">
        <v>260</v>
      </c>
      <c r="L7155" s="9">
        <v>2025</v>
      </c>
      <c r="M7155" s="8" t="s">
        <v>40526</v>
      </c>
      <c r="N7155" s="8" t="s">
        <v>37</v>
      </c>
      <c r="O7155" s="8" t="s">
        <v>83</v>
      </c>
      <c r="P7155" s="6" t="s">
        <v>51</v>
      </c>
      <c r="Q7155" s="8" t="s">
        <v>52</v>
      </c>
      <c r="R7155" s="10" t="s">
        <v>40521</v>
      </c>
      <c r="S7155" s="11" t="s">
        <v>40522</v>
      </c>
      <c r="T7155" s="6"/>
      <c r="U7155" s="15" t="str">
        <f>HYPERLINK("https://media.infra-m.ru/2188/2188174/cover/2188174.jpg", "Обложка")</f>
        <v>Обложка</v>
      </c>
      <c r="V7155" s="8" t="s">
        <v>1030</v>
      </c>
      <c r="W7155" s="6"/>
      <c r="X7155" s="6"/>
      <c r="Y7155" s="6"/>
      <c r="Z7155" s="6"/>
      <c r="AA7155" s="6" t="s">
        <v>2230</v>
      </c>
      <c r="AB7155" s="8"/>
      <c r="AC7155" s="27">
        <v>9785369018637</v>
      </c>
    </row>
    <row r="7156" spans="1:29" s="4" customFormat="1" ht="51.9" customHeight="1" x14ac:dyDescent="0.2">
      <c r="A7156" s="5">
        <v>0</v>
      </c>
      <c r="B7156" s="6" t="s">
        <v>40527</v>
      </c>
      <c r="C7156" s="7">
        <v>1312.8</v>
      </c>
      <c r="D7156" s="8" t="s">
        <v>40528</v>
      </c>
      <c r="E7156" s="8" t="s">
        <v>40518</v>
      </c>
      <c r="F7156" s="8" t="s">
        <v>40529</v>
      </c>
      <c r="G7156" s="6" t="s">
        <v>60</v>
      </c>
      <c r="H7156" s="6" t="s">
        <v>34</v>
      </c>
      <c r="I7156" s="8" t="s">
        <v>271</v>
      </c>
      <c r="J7156" s="9">
        <v>1</v>
      </c>
      <c r="K7156" s="9">
        <v>211</v>
      </c>
      <c r="L7156" s="9">
        <v>2025</v>
      </c>
      <c r="M7156" s="8" t="s">
        <v>40530</v>
      </c>
      <c r="N7156" s="8" t="s">
        <v>37</v>
      </c>
      <c r="O7156" s="8" t="s">
        <v>83</v>
      </c>
      <c r="P7156" s="6" t="s">
        <v>51</v>
      </c>
      <c r="Q7156" s="8" t="s">
        <v>52</v>
      </c>
      <c r="R7156" s="10" t="s">
        <v>40531</v>
      </c>
      <c r="S7156" s="11" t="s">
        <v>40532</v>
      </c>
      <c r="T7156" s="6"/>
      <c r="U7156" s="15" t="str">
        <f>HYPERLINK("https://media.infra-m.ru/2196/2196127/cover/2196127.jpg", "Обложка")</f>
        <v>Обложка</v>
      </c>
      <c r="V7156" s="8" t="s">
        <v>5087</v>
      </c>
      <c r="W7156" s="6"/>
      <c r="X7156" s="6"/>
      <c r="Y7156" s="6"/>
      <c r="Z7156" s="6"/>
      <c r="AA7156" s="6" t="s">
        <v>218</v>
      </c>
      <c r="AB7156" s="8"/>
      <c r="AC7156" s="27">
        <v>9785160161990</v>
      </c>
    </row>
    <row r="7157" spans="1:29" s="4" customFormat="1" ht="51.9" customHeight="1" x14ac:dyDescent="0.2">
      <c r="A7157" s="5">
        <v>0</v>
      </c>
      <c r="B7157" s="6" t="s">
        <v>40533</v>
      </c>
      <c r="C7157" s="7">
        <v>1468.8</v>
      </c>
      <c r="D7157" s="8" t="s">
        <v>40534</v>
      </c>
      <c r="E7157" s="8" t="s">
        <v>40518</v>
      </c>
      <c r="F7157" s="8" t="s">
        <v>40529</v>
      </c>
      <c r="G7157" s="6" t="s">
        <v>118</v>
      </c>
      <c r="H7157" s="6" t="s">
        <v>34</v>
      </c>
      <c r="I7157" s="8" t="s">
        <v>5350</v>
      </c>
      <c r="J7157" s="9">
        <v>1</v>
      </c>
      <c r="K7157" s="9">
        <v>211</v>
      </c>
      <c r="L7157" s="9">
        <v>2026</v>
      </c>
      <c r="M7157" s="8" t="s">
        <v>40535</v>
      </c>
      <c r="N7157" s="8" t="s">
        <v>37</v>
      </c>
      <c r="O7157" s="8" t="s">
        <v>83</v>
      </c>
      <c r="P7157" s="6" t="s">
        <v>51</v>
      </c>
      <c r="Q7157" s="8" t="s">
        <v>377</v>
      </c>
      <c r="R7157" s="10" t="s">
        <v>40536</v>
      </c>
      <c r="S7157" s="11" t="s">
        <v>40537</v>
      </c>
      <c r="T7157" s="6"/>
      <c r="U7157" s="15" t="str">
        <f>HYPERLINK("https://media.infra-m.ru/2259/2259167/cover/2259167.jpg", "Обложка")</f>
        <v>Обложка</v>
      </c>
      <c r="V7157" s="8" t="s">
        <v>5087</v>
      </c>
      <c r="W7157" s="6"/>
      <c r="X7157" s="6"/>
      <c r="Y7157" s="6"/>
      <c r="Z7157" s="6" t="s">
        <v>429</v>
      </c>
      <c r="AA7157" s="6" t="s">
        <v>258</v>
      </c>
      <c r="AB7157" s="8"/>
      <c r="AC7157" s="27">
        <v>9785160165509</v>
      </c>
    </row>
    <row r="7158" spans="1:29" s="4" customFormat="1" ht="51.9" customHeight="1" x14ac:dyDescent="0.2">
      <c r="A7158" s="5">
        <v>0</v>
      </c>
      <c r="B7158" s="6" t="s">
        <v>40538</v>
      </c>
      <c r="C7158" s="13">
        <v>737.9</v>
      </c>
      <c r="D7158" s="8" t="s">
        <v>40539</v>
      </c>
      <c r="E7158" s="8" t="s">
        <v>40506</v>
      </c>
      <c r="F7158" s="8" t="s">
        <v>40540</v>
      </c>
      <c r="G7158" s="6" t="s">
        <v>33</v>
      </c>
      <c r="H7158" s="6" t="s">
        <v>34</v>
      </c>
      <c r="I7158" s="8" t="s">
        <v>271</v>
      </c>
      <c r="J7158" s="9">
        <v>1</v>
      </c>
      <c r="K7158" s="9">
        <v>181</v>
      </c>
      <c r="L7158" s="9">
        <v>2020</v>
      </c>
      <c r="M7158" s="8" t="s">
        <v>40541</v>
      </c>
      <c r="N7158" s="8" t="s">
        <v>37</v>
      </c>
      <c r="O7158" s="8" t="s">
        <v>83</v>
      </c>
      <c r="P7158" s="6" t="s">
        <v>51</v>
      </c>
      <c r="Q7158" s="8" t="s">
        <v>52</v>
      </c>
      <c r="R7158" s="10" t="s">
        <v>40531</v>
      </c>
      <c r="S7158" s="11" t="s">
        <v>40542</v>
      </c>
      <c r="T7158" s="6"/>
      <c r="U7158" s="15" t="str">
        <f>HYPERLINK("https://media.infra-m.ru/1082/1082434/cover/1082434.jpg", "Обложка")</f>
        <v>Обложка</v>
      </c>
      <c r="V7158" s="8" t="s">
        <v>5087</v>
      </c>
      <c r="W7158" s="6"/>
      <c r="X7158" s="6"/>
      <c r="Y7158" s="6"/>
      <c r="Z7158" s="6"/>
      <c r="AA7158" s="6" t="s">
        <v>99</v>
      </c>
      <c r="AB7158" s="8"/>
      <c r="AC7158" s="27">
        <v>9785160104423</v>
      </c>
    </row>
    <row r="7159" spans="1:29" s="4" customFormat="1" ht="51.9" customHeight="1" x14ac:dyDescent="0.2">
      <c r="A7159" s="5">
        <v>0</v>
      </c>
      <c r="B7159" s="6" t="s">
        <v>40543</v>
      </c>
      <c r="C7159" s="7">
        <v>2116.8000000000002</v>
      </c>
      <c r="D7159" s="8" t="s">
        <v>40544</v>
      </c>
      <c r="E7159" s="8" t="s">
        <v>40518</v>
      </c>
      <c r="F7159" s="8" t="s">
        <v>28011</v>
      </c>
      <c r="G7159" s="6" t="s">
        <v>60</v>
      </c>
      <c r="H7159" s="6" t="s">
        <v>1042</v>
      </c>
      <c r="I7159" s="8" t="s">
        <v>253</v>
      </c>
      <c r="J7159" s="9">
        <v>1</v>
      </c>
      <c r="K7159" s="9">
        <v>320</v>
      </c>
      <c r="L7159" s="9">
        <v>2026</v>
      </c>
      <c r="M7159" s="8" t="s">
        <v>40545</v>
      </c>
      <c r="N7159" s="8" t="s">
        <v>37</v>
      </c>
      <c r="O7159" s="8" t="s">
        <v>83</v>
      </c>
      <c r="P7159" s="6" t="s">
        <v>51</v>
      </c>
      <c r="Q7159" s="8" t="s">
        <v>52</v>
      </c>
      <c r="R7159" s="10" t="s">
        <v>25440</v>
      </c>
      <c r="S7159" s="11" t="s">
        <v>40546</v>
      </c>
      <c r="T7159" s="6"/>
      <c r="U7159" s="15" t="str">
        <f>HYPERLINK("https://media.infra-m.ru/2224/2224159/cover/2224159.jpg", "Обложка")</f>
        <v>Обложка</v>
      </c>
      <c r="V7159" s="8" t="s">
        <v>5951</v>
      </c>
      <c r="W7159" s="6"/>
      <c r="X7159" s="6"/>
      <c r="Y7159" s="6"/>
      <c r="Z7159" s="6"/>
      <c r="AA7159" s="6" t="s">
        <v>3391</v>
      </c>
      <c r="AB7159" s="8"/>
      <c r="AC7159" s="27">
        <v>9785819904053</v>
      </c>
    </row>
    <row r="7160" spans="1:29" s="4" customFormat="1" ht="51.9" customHeight="1" x14ac:dyDescent="0.2">
      <c r="A7160" s="5">
        <v>0</v>
      </c>
      <c r="B7160" s="6" t="s">
        <v>40547</v>
      </c>
      <c r="C7160" s="7">
        <v>1408.8</v>
      </c>
      <c r="D7160" s="8" t="s">
        <v>40548</v>
      </c>
      <c r="E7160" s="8" t="s">
        <v>40506</v>
      </c>
      <c r="F7160" s="8" t="s">
        <v>28192</v>
      </c>
      <c r="G7160" s="6" t="s">
        <v>60</v>
      </c>
      <c r="H7160" s="6" t="s">
        <v>34</v>
      </c>
      <c r="I7160" s="8" t="s">
        <v>271</v>
      </c>
      <c r="J7160" s="9">
        <v>1</v>
      </c>
      <c r="K7160" s="9">
        <v>202</v>
      </c>
      <c r="L7160" s="9">
        <v>2026</v>
      </c>
      <c r="M7160" s="8" t="s">
        <v>40549</v>
      </c>
      <c r="N7160" s="8" t="s">
        <v>37</v>
      </c>
      <c r="O7160" s="8" t="s">
        <v>83</v>
      </c>
      <c r="P7160" s="6" t="s">
        <v>51</v>
      </c>
      <c r="Q7160" s="8" t="s">
        <v>52</v>
      </c>
      <c r="R7160" s="10" t="s">
        <v>40550</v>
      </c>
      <c r="S7160" s="11" t="s">
        <v>40551</v>
      </c>
      <c r="T7160" s="6"/>
      <c r="U7160" s="15" t="str">
        <f>HYPERLINK("https://media.infra-m.ru/2258/2258360/cover/2258360.jpg", "Обложка")</f>
        <v>Обложка</v>
      </c>
      <c r="V7160" s="8" t="s">
        <v>657</v>
      </c>
      <c r="W7160" s="6"/>
      <c r="X7160" s="6"/>
      <c r="Y7160" s="6"/>
      <c r="Z7160" s="6"/>
      <c r="AA7160" s="6" t="s">
        <v>55</v>
      </c>
      <c r="AB7160" s="8"/>
      <c r="AC7160" s="27">
        <v>9785160063799</v>
      </c>
    </row>
    <row r="7161" spans="1:29" s="4" customFormat="1" ht="51.9" customHeight="1" x14ac:dyDescent="0.2">
      <c r="A7161" s="5">
        <v>0</v>
      </c>
      <c r="B7161" s="6" t="s">
        <v>40552</v>
      </c>
      <c r="C7161" s="7">
        <v>2500.8000000000002</v>
      </c>
      <c r="D7161" s="8" t="s">
        <v>40553</v>
      </c>
      <c r="E7161" s="8" t="s">
        <v>40506</v>
      </c>
      <c r="F7161" s="8" t="s">
        <v>40554</v>
      </c>
      <c r="G7161" s="6" t="s">
        <v>60</v>
      </c>
      <c r="H7161" s="6" t="s">
        <v>48</v>
      </c>
      <c r="I7161" s="8" t="s">
        <v>253</v>
      </c>
      <c r="J7161" s="9">
        <v>1</v>
      </c>
      <c r="K7161" s="9">
        <v>400</v>
      </c>
      <c r="L7161" s="9">
        <v>2025</v>
      </c>
      <c r="M7161" s="8" t="s">
        <v>40555</v>
      </c>
      <c r="N7161" s="8" t="s">
        <v>37</v>
      </c>
      <c r="O7161" s="8" t="s">
        <v>83</v>
      </c>
      <c r="P7161" s="6" t="s">
        <v>51</v>
      </c>
      <c r="Q7161" s="8" t="s">
        <v>52</v>
      </c>
      <c r="R7161" s="10" t="s">
        <v>13318</v>
      </c>
      <c r="S7161" s="11" t="s">
        <v>40556</v>
      </c>
      <c r="T7161" s="6"/>
      <c r="U7161" s="15" t="str">
        <f>HYPERLINK("https://media.infra-m.ru/2196/2196879/cover/2196879.jpg", "Обложка")</f>
        <v>Обложка</v>
      </c>
      <c r="V7161" s="8" t="s">
        <v>98</v>
      </c>
      <c r="W7161" s="6"/>
      <c r="X7161" s="6"/>
      <c r="Y7161" s="6"/>
      <c r="Z7161" s="6"/>
      <c r="AA7161" s="6" t="s">
        <v>1047</v>
      </c>
      <c r="AB7161" s="8"/>
      <c r="AC7161" s="27">
        <v>9785911342197</v>
      </c>
    </row>
    <row r="7162" spans="1:29" s="4" customFormat="1" ht="51.9" customHeight="1" x14ac:dyDescent="0.2">
      <c r="A7162" s="5">
        <v>0</v>
      </c>
      <c r="B7162" s="6" t="s">
        <v>40557</v>
      </c>
      <c r="C7162" s="7">
        <v>1560</v>
      </c>
      <c r="D7162" s="8" t="s">
        <v>40558</v>
      </c>
      <c r="E7162" s="8" t="s">
        <v>40506</v>
      </c>
      <c r="F7162" s="8" t="s">
        <v>40559</v>
      </c>
      <c r="G7162" s="6" t="s">
        <v>118</v>
      </c>
      <c r="H7162" s="6" t="s">
        <v>34</v>
      </c>
      <c r="I7162" s="8" t="s">
        <v>253</v>
      </c>
      <c r="J7162" s="9">
        <v>1</v>
      </c>
      <c r="K7162" s="9">
        <v>236</v>
      </c>
      <c r="L7162" s="9">
        <v>2026</v>
      </c>
      <c r="M7162" s="8" t="s">
        <v>40560</v>
      </c>
      <c r="N7162" s="8" t="s">
        <v>37</v>
      </c>
      <c r="O7162" s="8" t="s">
        <v>83</v>
      </c>
      <c r="P7162" s="6" t="s">
        <v>51</v>
      </c>
      <c r="Q7162" s="8" t="s">
        <v>52</v>
      </c>
      <c r="R7162" s="10" t="s">
        <v>25440</v>
      </c>
      <c r="S7162" s="11" t="s">
        <v>40561</v>
      </c>
      <c r="T7162" s="6"/>
      <c r="U7162" s="15" t="str">
        <f>HYPERLINK("https://media.infra-m.ru/2224/2224076/cover/2224076.jpg", "Обложка")</f>
        <v>Обложка</v>
      </c>
      <c r="V7162" s="8" t="s">
        <v>40562</v>
      </c>
      <c r="W7162" s="6"/>
      <c r="X7162" s="6"/>
      <c r="Y7162" s="6"/>
      <c r="Z7162" s="6"/>
      <c r="AA7162" s="6" t="s">
        <v>43</v>
      </c>
      <c r="AB7162" s="8"/>
      <c r="AC7162" s="27">
        <v>9785160190266</v>
      </c>
    </row>
    <row r="7163" spans="1:29" s="4" customFormat="1" ht="51.9" customHeight="1" x14ac:dyDescent="0.2">
      <c r="A7163" s="5">
        <v>0</v>
      </c>
      <c r="B7163" s="6" t="s">
        <v>40563</v>
      </c>
      <c r="C7163" s="7">
        <v>1012.8</v>
      </c>
      <c r="D7163" s="8" t="s">
        <v>40564</v>
      </c>
      <c r="E7163" s="8" t="s">
        <v>40565</v>
      </c>
      <c r="F7163" s="8" t="s">
        <v>40566</v>
      </c>
      <c r="G7163" s="6" t="s">
        <v>33</v>
      </c>
      <c r="H7163" s="6" t="s">
        <v>34</v>
      </c>
      <c r="I7163" s="8" t="s">
        <v>6570</v>
      </c>
      <c r="J7163" s="9">
        <v>1</v>
      </c>
      <c r="K7163" s="9">
        <v>186</v>
      </c>
      <c r="L7163" s="9">
        <v>2023</v>
      </c>
      <c r="M7163" s="8" t="s">
        <v>40567</v>
      </c>
      <c r="N7163" s="8" t="s">
        <v>37</v>
      </c>
      <c r="O7163" s="8" t="s">
        <v>233</v>
      </c>
      <c r="P7163" s="6" t="s">
        <v>39</v>
      </c>
      <c r="Q7163" s="8" t="s">
        <v>40</v>
      </c>
      <c r="R7163" s="10" t="s">
        <v>40568</v>
      </c>
      <c r="S7163" s="11"/>
      <c r="T7163" s="6"/>
      <c r="U7163" s="15" t="str">
        <f>HYPERLINK("https://media.infra-m.ru/2021/2021406/cover/2021406.jpg", "Обложка")</f>
        <v>Обложка</v>
      </c>
      <c r="V7163" s="8" t="s">
        <v>36909</v>
      </c>
      <c r="W7163" s="6"/>
      <c r="X7163" s="6"/>
      <c r="Y7163" s="6"/>
      <c r="Z7163" s="6"/>
      <c r="AA7163" s="6" t="s">
        <v>115</v>
      </c>
      <c r="AB7163" s="8"/>
      <c r="AC7163" s="27">
        <v>9785160143668</v>
      </c>
    </row>
    <row r="7164" spans="1:29" s="4" customFormat="1" ht="44.1" customHeight="1" x14ac:dyDescent="0.2">
      <c r="A7164" s="5">
        <v>0</v>
      </c>
      <c r="B7164" s="6" t="s">
        <v>40569</v>
      </c>
      <c r="C7164" s="7">
        <v>1092</v>
      </c>
      <c r="D7164" s="8" t="s">
        <v>40570</v>
      </c>
      <c r="E7164" s="8" t="s">
        <v>40571</v>
      </c>
      <c r="F7164" s="8" t="s">
        <v>40572</v>
      </c>
      <c r="G7164" s="6" t="s">
        <v>33</v>
      </c>
      <c r="H7164" s="6" t="s">
        <v>34</v>
      </c>
      <c r="I7164" s="8" t="s">
        <v>35</v>
      </c>
      <c r="J7164" s="9">
        <v>1</v>
      </c>
      <c r="K7164" s="9">
        <v>164</v>
      </c>
      <c r="L7164" s="9">
        <v>2024</v>
      </c>
      <c r="M7164" s="8" t="s">
        <v>40573</v>
      </c>
      <c r="N7164" s="8" t="s">
        <v>37</v>
      </c>
      <c r="O7164" s="8" t="s">
        <v>136</v>
      </c>
      <c r="P7164" s="6" t="s">
        <v>39</v>
      </c>
      <c r="Q7164" s="8" t="s">
        <v>40</v>
      </c>
      <c r="R7164" s="10" t="s">
        <v>39594</v>
      </c>
      <c r="S7164" s="11"/>
      <c r="T7164" s="6"/>
      <c r="U7164" s="15" t="str">
        <f>HYPERLINK("https://media.infra-m.ru/2157/2157617/cover/2157617.jpg", "Обложка")</f>
        <v>Обложка</v>
      </c>
      <c r="V7164" s="8" t="s">
        <v>138</v>
      </c>
      <c r="W7164" s="6"/>
      <c r="X7164" s="6"/>
      <c r="Y7164" s="6"/>
      <c r="Z7164" s="6"/>
      <c r="AA7164" s="6" t="s">
        <v>76</v>
      </c>
      <c r="AB7164" s="8"/>
      <c r="AC7164" s="27">
        <v>9785160200910</v>
      </c>
    </row>
    <row r="7165" spans="1:29" s="4" customFormat="1" ht="42" customHeight="1" x14ac:dyDescent="0.2">
      <c r="A7165" s="5">
        <v>0</v>
      </c>
      <c r="B7165" s="6" t="s">
        <v>40574</v>
      </c>
      <c r="C7165" s="13">
        <v>708</v>
      </c>
      <c r="D7165" s="8" t="s">
        <v>40575</v>
      </c>
      <c r="E7165" s="8" t="s">
        <v>40576</v>
      </c>
      <c r="F7165" s="8" t="s">
        <v>40577</v>
      </c>
      <c r="G7165" s="6" t="s">
        <v>33</v>
      </c>
      <c r="H7165" s="6" t="s">
        <v>241</v>
      </c>
      <c r="I7165" s="8"/>
      <c r="J7165" s="9">
        <v>1</v>
      </c>
      <c r="K7165" s="9">
        <v>127</v>
      </c>
      <c r="L7165" s="9">
        <v>2023</v>
      </c>
      <c r="M7165" s="8" t="s">
        <v>40578</v>
      </c>
      <c r="N7165" s="8" t="s">
        <v>243</v>
      </c>
      <c r="O7165" s="8" t="s">
        <v>964</v>
      </c>
      <c r="P7165" s="6" t="s">
        <v>51</v>
      </c>
      <c r="Q7165" s="8" t="s">
        <v>52</v>
      </c>
      <c r="R7165" s="10" t="s">
        <v>23228</v>
      </c>
      <c r="S7165" s="11"/>
      <c r="T7165" s="6"/>
      <c r="U7165" s="15" t="str">
        <f>HYPERLINK("https://media.infra-m.ru/1922/1922249/cover/1922249.jpg", "Обложка")</f>
        <v>Обложка</v>
      </c>
      <c r="V7165" s="8" t="s">
        <v>217</v>
      </c>
      <c r="W7165" s="6"/>
      <c r="X7165" s="6"/>
      <c r="Y7165" s="6"/>
      <c r="Z7165" s="6"/>
      <c r="AA7165" s="6" t="s">
        <v>779</v>
      </c>
      <c r="AB7165" s="8"/>
      <c r="AC7165" s="27">
        <v>9785955804552</v>
      </c>
    </row>
    <row r="7166" spans="1:29" s="4" customFormat="1" ht="51.9" customHeight="1" x14ac:dyDescent="0.2">
      <c r="A7166" s="5">
        <v>0</v>
      </c>
      <c r="B7166" s="6" t="s">
        <v>40579</v>
      </c>
      <c r="C7166" s="7">
        <v>1204.8</v>
      </c>
      <c r="D7166" s="8" t="s">
        <v>40580</v>
      </c>
      <c r="E7166" s="8" t="s">
        <v>40581</v>
      </c>
      <c r="F7166" s="8" t="s">
        <v>40582</v>
      </c>
      <c r="G7166" s="6" t="s">
        <v>33</v>
      </c>
      <c r="H7166" s="6" t="s">
        <v>34</v>
      </c>
      <c r="I7166" s="8" t="s">
        <v>35</v>
      </c>
      <c r="J7166" s="9">
        <v>1</v>
      </c>
      <c r="K7166" s="9">
        <v>183</v>
      </c>
      <c r="L7166" s="9">
        <v>2026</v>
      </c>
      <c r="M7166" s="8" t="s">
        <v>40583</v>
      </c>
      <c r="N7166" s="8" t="s">
        <v>93</v>
      </c>
      <c r="O7166" s="8" t="s">
        <v>94</v>
      </c>
      <c r="P7166" s="6" t="s">
        <v>39</v>
      </c>
      <c r="Q7166" s="8" t="s">
        <v>40</v>
      </c>
      <c r="R7166" s="10" t="s">
        <v>40584</v>
      </c>
      <c r="S7166" s="11"/>
      <c r="T7166" s="6"/>
      <c r="U7166" s="15" t="str">
        <f>HYPERLINK("https://media.infra-m.ru/2240/2240576/cover/2240576.jpg", "Обложка")</f>
        <v>Обложка</v>
      </c>
      <c r="V7166" s="8" t="s">
        <v>6474</v>
      </c>
      <c r="W7166" s="6"/>
      <c r="X7166" s="6"/>
      <c r="Y7166" s="6"/>
      <c r="Z7166" s="6"/>
      <c r="AA7166" s="6" t="s">
        <v>157</v>
      </c>
      <c r="AB7166" s="8"/>
      <c r="AC7166" s="27">
        <v>9785160183053</v>
      </c>
    </row>
    <row r="7167" spans="1:29" s="4" customFormat="1" ht="51.9" customHeight="1" x14ac:dyDescent="0.2">
      <c r="A7167" s="5">
        <v>0</v>
      </c>
      <c r="B7167" s="6" t="s">
        <v>40585</v>
      </c>
      <c r="C7167" s="7">
        <v>3720</v>
      </c>
      <c r="D7167" s="8" t="s">
        <v>40586</v>
      </c>
      <c r="E7167" s="8" t="s">
        <v>40587</v>
      </c>
      <c r="F7167" s="8" t="s">
        <v>4590</v>
      </c>
      <c r="G7167" s="6" t="s">
        <v>60</v>
      </c>
      <c r="H7167" s="6" t="s">
        <v>34</v>
      </c>
      <c r="I7167" s="8" t="s">
        <v>1835</v>
      </c>
      <c r="J7167" s="9">
        <v>1</v>
      </c>
      <c r="K7167" s="9">
        <v>630</v>
      </c>
      <c r="L7167" s="9">
        <v>2025</v>
      </c>
      <c r="M7167" s="8" t="s">
        <v>40588</v>
      </c>
      <c r="N7167" s="8" t="s">
        <v>63</v>
      </c>
      <c r="O7167" s="8" t="s">
        <v>126</v>
      </c>
      <c r="P7167" s="6" t="s">
        <v>1837</v>
      </c>
      <c r="Q7167" s="8" t="s">
        <v>40</v>
      </c>
      <c r="R7167" s="10" t="s">
        <v>40589</v>
      </c>
      <c r="S7167" s="11"/>
      <c r="T7167" s="6"/>
      <c r="U7167" s="15" t="str">
        <f>HYPERLINK("https://media.infra-m.ru/2161/2161245/cover/2161245.jpg", "Обложка")</f>
        <v>Обложка</v>
      </c>
      <c r="V7167" s="8" t="s">
        <v>3413</v>
      </c>
      <c r="W7167" s="6"/>
      <c r="X7167" s="6"/>
      <c r="Y7167" s="6"/>
      <c r="Z7167" s="6"/>
      <c r="AA7167" s="6" t="s">
        <v>99</v>
      </c>
      <c r="AB7167" s="8" t="s">
        <v>467</v>
      </c>
      <c r="AC7167" s="27">
        <v>9785160128092</v>
      </c>
    </row>
    <row r="7168" spans="1:29" s="4" customFormat="1" ht="51.9" customHeight="1" x14ac:dyDescent="0.2">
      <c r="A7168" s="5">
        <v>0</v>
      </c>
      <c r="B7168" s="6" t="s">
        <v>40590</v>
      </c>
      <c r="C7168" s="7">
        <v>1732.8</v>
      </c>
      <c r="D7168" s="8" t="s">
        <v>40591</v>
      </c>
      <c r="E7168" s="8" t="s">
        <v>40592</v>
      </c>
      <c r="F7168" s="8" t="s">
        <v>40593</v>
      </c>
      <c r="G7168" s="6" t="s">
        <v>33</v>
      </c>
      <c r="H7168" s="6" t="s">
        <v>34</v>
      </c>
      <c r="I7168" s="8" t="s">
        <v>253</v>
      </c>
      <c r="J7168" s="9">
        <v>1</v>
      </c>
      <c r="K7168" s="9">
        <v>263</v>
      </c>
      <c r="L7168" s="9">
        <v>2026</v>
      </c>
      <c r="M7168" s="8" t="s">
        <v>40594</v>
      </c>
      <c r="N7168" s="8" t="s">
        <v>585</v>
      </c>
      <c r="O7168" s="8" t="s">
        <v>775</v>
      </c>
      <c r="P7168" s="6" t="s">
        <v>306</v>
      </c>
      <c r="Q7168" s="8" t="s">
        <v>65</v>
      </c>
      <c r="R7168" s="10" t="s">
        <v>18053</v>
      </c>
      <c r="S7168" s="11" t="s">
        <v>40595</v>
      </c>
      <c r="T7168" s="6"/>
      <c r="U7168" s="15" t="str">
        <f>HYPERLINK("https://media.infra-m.ru/2241/2241216/cover/2241216.jpg", "Обложка")</f>
        <v>Обложка</v>
      </c>
      <c r="V7168" s="8" t="s">
        <v>3595</v>
      </c>
      <c r="W7168" s="6"/>
      <c r="X7168" s="6"/>
      <c r="Y7168" s="6"/>
      <c r="Z7168" s="6"/>
      <c r="AA7168" s="6" t="s">
        <v>779</v>
      </c>
      <c r="AB7168" s="8"/>
      <c r="AC7168" s="27">
        <v>9785160188430</v>
      </c>
    </row>
    <row r="7169" spans="1:29" s="4" customFormat="1" ht="44.1" customHeight="1" x14ac:dyDescent="0.2">
      <c r="A7169" s="5">
        <v>0</v>
      </c>
      <c r="B7169" s="6" t="s">
        <v>40596</v>
      </c>
      <c r="C7169" s="7">
        <v>2640</v>
      </c>
      <c r="D7169" s="8" t="s">
        <v>40597</v>
      </c>
      <c r="E7169" s="8" t="s">
        <v>40598</v>
      </c>
      <c r="F7169" s="8" t="s">
        <v>40599</v>
      </c>
      <c r="G7169" s="6" t="s">
        <v>118</v>
      </c>
      <c r="H7169" s="6" t="s">
        <v>34</v>
      </c>
      <c r="I7169" s="8" t="s">
        <v>253</v>
      </c>
      <c r="J7169" s="9">
        <v>1</v>
      </c>
      <c r="K7169" s="9">
        <v>385</v>
      </c>
      <c r="L7169" s="9">
        <v>2026</v>
      </c>
      <c r="M7169" s="8" t="s">
        <v>40600</v>
      </c>
      <c r="N7169" s="8" t="s">
        <v>93</v>
      </c>
      <c r="O7169" s="8" t="s">
        <v>94</v>
      </c>
      <c r="P7169" s="6" t="s">
        <v>306</v>
      </c>
      <c r="Q7169" s="8" t="s">
        <v>65</v>
      </c>
      <c r="R7169" s="10" t="s">
        <v>40601</v>
      </c>
      <c r="S7169" s="11"/>
      <c r="T7169" s="6"/>
      <c r="U7169" s="15" t="str">
        <f>HYPERLINK("https://media.infra-m.ru/2244/2244303/cover/2244303.jpg", "Обложка")</f>
        <v>Обложка</v>
      </c>
      <c r="V7169" s="8" t="s">
        <v>1599</v>
      </c>
      <c r="W7169" s="6"/>
      <c r="X7169" s="6"/>
      <c r="Y7169" s="6"/>
      <c r="Z7169" s="6"/>
      <c r="AA7169" s="6" t="s">
        <v>68</v>
      </c>
      <c r="AB7169" s="8" t="s">
        <v>1806</v>
      </c>
      <c r="AC7169" s="27">
        <v>9785160192437</v>
      </c>
    </row>
    <row r="7170" spans="1:29" s="4" customFormat="1" ht="51.9" customHeight="1" x14ac:dyDescent="0.2">
      <c r="A7170" s="5">
        <v>0</v>
      </c>
      <c r="B7170" s="6" t="s">
        <v>40602</v>
      </c>
      <c r="C7170" s="7">
        <v>2268</v>
      </c>
      <c r="D7170" s="8" t="s">
        <v>40603</v>
      </c>
      <c r="E7170" s="8" t="s">
        <v>40604</v>
      </c>
      <c r="F7170" s="8" t="s">
        <v>40605</v>
      </c>
      <c r="G7170" s="6" t="s">
        <v>118</v>
      </c>
      <c r="H7170" s="6" t="s">
        <v>34</v>
      </c>
      <c r="I7170" s="8" t="s">
        <v>253</v>
      </c>
      <c r="J7170" s="9">
        <v>1</v>
      </c>
      <c r="K7170" s="9">
        <v>357</v>
      </c>
      <c r="L7170" s="9">
        <v>2026</v>
      </c>
      <c r="M7170" s="8" t="s">
        <v>40606</v>
      </c>
      <c r="N7170" s="8" t="s">
        <v>93</v>
      </c>
      <c r="O7170" s="8" t="s">
        <v>94</v>
      </c>
      <c r="P7170" s="6" t="s">
        <v>306</v>
      </c>
      <c r="Q7170" s="8" t="s">
        <v>52</v>
      </c>
      <c r="R7170" s="10" t="s">
        <v>9415</v>
      </c>
      <c r="S7170" s="11" t="s">
        <v>40607</v>
      </c>
      <c r="T7170" s="6"/>
      <c r="U7170" s="15" t="str">
        <f>HYPERLINK("https://media.infra-m.ru/2213/2213018/cover/2213018.jpg", "Обложка")</f>
        <v>Обложка</v>
      </c>
      <c r="V7170" s="8" t="s">
        <v>1192</v>
      </c>
      <c r="W7170" s="6"/>
      <c r="X7170" s="6"/>
      <c r="Y7170" s="6"/>
      <c r="Z7170" s="6"/>
      <c r="AA7170" s="6" t="s">
        <v>258</v>
      </c>
      <c r="AB7170" s="8"/>
      <c r="AC7170" s="27">
        <v>9785160187860</v>
      </c>
    </row>
    <row r="7171" spans="1:29" s="4" customFormat="1" ht="42" customHeight="1" x14ac:dyDescent="0.2">
      <c r="A7171" s="5">
        <v>0</v>
      </c>
      <c r="B7171" s="6" t="s">
        <v>40608</v>
      </c>
      <c r="C7171" s="7">
        <v>2664</v>
      </c>
      <c r="D7171" s="8" t="s">
        <v>40609</v>
      </c>
      <c r="E7171" s="8" t="s">
        <v>40610</v>
      </c>
      <c r="F7171" s="8" t="s">
        <v>40611</v>
      </c>
      <c r="G7171" s="6" t="s">
        <v>118</v>
      </c>
      <c r="H7171" s="6" t="s">
        <v>34</v>
      </c>
      <c r="I7171" s="8"/>
      <c r="J7171" s="9">
        <v>1</v>
      </c>
      <c r="K7171" s="9">
        <v>235</v>
      </c>
      <c r="L7171" s="9">
        <v>2026</v>
      </c>
      <c r="M7171" s="8" t="s">
        <v>40612</v>
      </c>
      <c r="N7171" s="8" t="s">
        <v>37</v>
      </c>
      <c r="O7171" s="8" t="s">
        <v>136</v>
      </c>
      <c r="P7171" s="6" t="s">
        <v>51</v>
      </c>
      <c r="Q7171" s="8" t="s">
        <v>65</v>
      </c>
      <c r="R7171" s="10" t="s">
        <v>32721</v>
      </c>
      <c r="S7171" s="11"/>
      <c r="T7171" s="6"/>
      <c r="U7171" s="15" t="str">
        <f>HYPERLINK("https://media.infra-m.ru/2234/2234627/cover/2234627.jpg", "Обложка")</f>
        <v>Обложка</v>
      </c>
      <c r="V7171" s="8" t="s">
        <v>911</v>
      </c>
      <c r="W7171" s="6"/>
      <c r="X7171" s="6"/>
      <c r="Y7171" s="6"/>
      <c r="Z7171" s="6"/>
      <c r="AA7171" s="6" t="s">
        <v>76</v>
      </c>
      <c r="AB7171" s="8"/>
      <c r="AC7171" s="27">
        <v>9785160198316</v>
      </c>
    </row>
    <row r="7172" spans="1:29" s="4" customFormat="1" ht="42" customHeight="1" x14ac:dyDescent="0.2">
      <c r="A7172" s="5">
        <v>0</v>
      </c>
      <c r="B7172" s="6" t="s">
        <v>40613</v>
      </c>
      <c r="C7172" s="7">
        <v>3552</v>
      </c>
      <c r="D7172" s="8" t="s">
        <v>40614</v>
      </c>
      <c r="E7172" s="8" t="s">
        <v>40610</v>
      </c>
      <c r="F7172" s="8" t="s">
        <v>40611</v>
      </c>
      <c r="G7172" s="6" t="s">
        <v>118</v>
      </c>
      <c r="H7172" s="6" t="s">
        <v>34</v>
      </c>
      <c r="I7172" s="8" t="s">
        <v>263</v>
      </c>
      <c r="J7172" s="9">
        <v>1</v>
      </c>
      <c r="K7172" s="9">
        <v>362</v>
      </c>
      <c r="L7172" s="9">
        <v>2026</v>
      </c>
      <c r="M7172" s="8" t="s">
        <v>40615</v>
      </c>
      <c r="N7172" s="8" t="s">
        <v>37</v>
      </c>
      <c r="O7172" s="8" t="s">
        <v>136</v>
      </c>
      <c r="P7172" s="6" t="s">
        <v>51</v>
      </c>
      <c r="Q7172" s="8" t="s">
        <v>265</v>
      </c>
      <c r="R7172" s="10" t="s">
        <v>17055</v>
      </c>
      <c r="S7172" s="11"/>
      <c r="T7172" s="6"/>
      <c r="U7172" s="15" t="str">
        <f>HYPERLINK("https://media.infra-m.ru/2242/2242562/cover/2242562.jpg", "Обложка")</f>
        <v>Обложка</v>
      </c>
      <c r="V7172" s="8" t="s">
        <v>911</v>
      </c>
      <c r="W7172" s="6" t="s">
        <v>299</v>
      </c>
      <c r="X7172" s="6"/>
      <c r="Y7172" s="6"/>
      <c r="Z7172" s="6"/>
      <c r="AA7172" s="6" t="s">
        <v>187</v>
      </c>
      <c r="AB7172" s="8"/>
      <c r="AC7172" s="27">
        <v>9785160219165</v>
      </c>
    </row>
    <row r="7173" spans="1:29" s="4" customFormat="1" ht="51.9" customHeight="1" x14ac:dyDescent="0.2">
      <c r="A7173" s="5">
        <v>0</v>
      </c>
      <c r="B7173" s="6" t="s">
        <v>40616</v>
      </c>
      <c r="C7173" s="7">
        <v>2028</v>
      </c>
      <c r="D7173" s="8" t="s">
        <v>40617</v>
      </c>
      <c r="E7173" s="8" t="s">
        <v>40618</v>
      </c>
      <c r="F7173" s="8" t="s">
        <v>25908</v>
      </c>
      <c r="G7173" s="6" t="s">
        <v>60</v>
      </c>
      <c r="H7173" s="6" t="s">
        <v>34</v>
      </c>
      <c r="I7173" s="8" t="s">
        <v>30608</v>
      </c>
      <c r="J7173" s="9">
        <v>1</v>
      </c>
      <c r="K7173" s="9">
        <v>368</v>
      </c>
      <c r="L7173" s="9">
        <v>2023</v>
      </c>
      <c r="M7173" s="8" t="s">
        <v>40619</v>
      </c>
      <c r="N7173" s="8" t="s">
        <v>37</v>
      </c>
      <c r="O7173" s="8" t="s">
        <v>290</v>
      </c>
      <c r="P7173" s="6" t="s">
        <v>51</v>
      </c>
      <c r="Q7173" s="8" t="s">
        <v>65</v>
      </c>
      <c r="R7173" s="10" t="s">
        <v>40620</v>
      </c>
      <c r="S7173" s="11" t="s">
        <v>25910</v>
      </c>
      <c r="T7173" s="6"/>
      <c r="U7173" s="15" t="str">
        <f>HYPERLINK("https://media.infra-m.ru/1908/1908965/cover/1908965.jpg", "Обложка")</f>
        <v>Обложка</v>
      </c>
      <c r="V7173" s="8" t="s">
        <v>1132</v>
      </c>
      <c r="W7173" s="6"/>
      <c r="X7173" s="6"/>
      <c r="Y7173" s="6"/>
      <c r="Z7173" s="6"/>
      <c r="AA7173" s="6" t="s">
        <v>157</v>
      </c>
      <c r="AB7173" s="8"/>
      <c r="AC7173" s="27">
        <v>9785160180649</v>
      </c>
    </row>
    <row r="7174" spans="1:29" s="4" customFormat="1" ht="42" customHeight="1" x14ac:dyDescent="0.2">
      <c r="A7174" s="5">
        <v>0</v>
      </c>
      <c r="B7174" s="6" t="s">
        <v>40621</v>
      </c>
      <c r="C7174" s="7">
        <v>2224.8000000000002</v>
      </c>
      <c r="D7174" s="8" t="s">
        <v>40622</v>
      </c>
      <c r="E7174" s="8" t="s">
        <v>40623</v>
      </c>
      <c r="F7174" s="8" t="s">
        <v>40624</v>
      </c>
      <c r="G7174" s="6" t="s">
        <v>118</v>
      </c>
      <c r="H7174" s="6" t="s">
        <v>34</v>
      </c>
      <c r="I7174" s="8" t="s">
        <v>263</v>
      </c>
      <c r="J7174" s="9">
        <v>1</v>
      </c>
      <c r="K7174" s="9">
        <v>337</v>
      </c>
      <c r="L7174" s="9">
        <v>2026</v>
      </c>
      <c r="M7174" s="8" t="s">
        <v>40625</v>
      </c>
      <c r="N7174" s="8" t="s">
        <v>37</v>
      </c>
      <c r="O7174" s="8" t="s">
        <v>136</v>
      </c>
      <c r="P7174" s="6" t="s">
        <v>51</v>
      </c>
      <c r="Q7174" s="8" t="s">
        <v>265</v>
      </c>
      <c r="R7174" s="10" t="s">
        <v>17055</v>
      </c>
      <c r="S7174" s="11"/>
      <c r="T7174" s="6"/>
      <c r="U7174" s="15" t="str">
        <f>HYPERLINK("https://media.infra-m.ru/2224/2224104/cover/2224104.jpg", "Обложка")</f>
        <v>Обложка</v>
      </c>
      <c r="V7174" s="8" t="s">
        <v>4943</v>
      </c>
      <c r="W7174" s="6"/>
      <c r="X7174" s="6"/>
      <c r="Y7174" s="6"/>
      <c r="Z7174" s="6" t="s">
        <v>3911</v>
      </c>
      <c r="AA7174" s="6" t="s">
        <v>76</v>
      </c>
      <c r="AB7174" s="8"/>
      <c r="AC7174" s="27">
        <v>9785160200347</v>
      </c>
    </row>
    <row r="7175" spans="1:29" s="4" customFormat="1" ht="42" customHeight="1" x14ac:dyDescent="0.2">
      <c r="A7175" s="5">
        <v>0</v>
      </c>
      <c r="B7175" s="6" t="s">
        <v>40626</v>
      </c>
      <c r="C7175" s="7">
        <v>2224.8000000000002</v>
      </c>
      <c r="D7175" s="8" t="s">
        <v>40627</v>
      </c>
      <c r="E7175" s="8" t="s">
        <v>40623</v>
      </c>
      <c r="F7175" s="8" t="s">
        <v>40624</v>
      </c>
      <c r="G7175" s="6" t="s">
        <v>118</v>
      </c>
      <c r="H7175" s="6" t="s">
        <v>34</v>
      </c>
      <c r="I7175" s="8" t="s">
        <v>5350</v>
      </c>
      <c r="J7175" s="9">
        <v>1</v>
      </c>
      <c r="K7175" s="9">
        <v>337</v>
      </c>
      <c r="L7175" s="9">
        <v>2026</v>
      </c>
      <c r="M7175" s="8" t="s">
        <v>40628</v>
      </c>
      <c r="N7175" s="8" t="s">
        <v>37</v>
      </c>
      <c r="O7175" s="8" t="s">
        <v>136</v>
      </c>
      <c r="P7175" s="6" t="s">
        <v>51</v>
      </c>
      <c r="Q7175" s="8" t="s">
        <v>377</v>
      </c>
      <c r="R7175" s="10" t="s">
        <v>1690</v>
      </c>
      <c r="S7175" s="11"/>
      <c r="T7175" s="6"/>
      <c r="U7175" s="15" t="str">
        <f>HYPERLINK("https://media.infra-m.ru/2248/2248347/cover/2248347.jpg", "Обложка")</f>
        <v>Обложка</v>
      </c>
      <c r="V7175" s="8" t="s">
        <v>4943</v>
      </c>
      <c r="W7175" s="6"/>
      <c r="X7175" s="6"/>
      <c r="Y7175" s="6"/>
      <c r="Z7175" s="6"/>
      <c r="AA7175" s="6" t="s">
        <v>76</v>
      </c>
      <c r="AB7175" s="8"/>
      <c r="AC7175" s="27">
        <v>9785160182285</v>
      </c>
    </row>
    <row r="7176" spans="1:29" s="4" customFormat="1" ht="51.9" customHeight="1" x14ac:dyDescent="0.2">
      <c r="A7176" s="5">
        <v>0</v>
      </c>
      <c r="B7176" s="6" t="s">
        <v>40629</v>
      </c>
      <c r="C7176" s="13">
        <v>816</v>
      </c>
      <c r="D7176" s="8" t="s">
        <v>40630</v>
      </c>
      <c r="E7176" s="8" t="s">
        <v>40631</v>
      </c>
      <c r="F7176" s="8" t="s">
        <v>1707</v>
      </c>
      <c r="G7176" s="6" t="s">
        <v>33</v>
      </c>
      <c r="H7176" s="6" t="s">
        <v>1644</v>
      </c>
      <c r="I7176" s="8"/>
      <c r="J7176" s="9">
        <v>1</v>
      </c>
      <c r="K7176" s="9">
        <v>120</v>
      </c>
      <c r="L7176" s="9">
        <v>2026</v>
      </c>
      <c r="M7176" s="8" t="s">
        <v>40632</v>
      </c>
      <c r="N7176" s="8" t="s">
        <v>37</v>
      </c>
      <c r="O7176" s="8" t="s">
        <v>233</v>
      </c>
      <c r="P7176" s="6" t="s">
        <v>51</v>
      </c>
      <c r="Q7176" s="8"/>
      <c r="R7176" s="10" t="s">
        <v>40633</v>
      </c>
      <c r="S7176" s="11"/>
      <c r="T7176" s="6"/>
      <c r="U7176" s="15" t="str">
        <f>HYPERLINK("https://media.infra-m.ru/2216/2216928/cover/2216928.jpg", "Обложка")</f>
        <v>Обложка</v>
      </c>
      <c r="V7176" s="8" t="s">
        <v>247</v>
      </c>
      <c r="W7176" s="6"/>
      <c r="X7176" s="6"/>
      <c r="Y7176" s="6"/>
      <c r="Z7176" s="6"/>
      <c r="AA7176" s="6" t="s">
        <v>99</v>
      </c>
      <c r="AB7176" s="8"/>
      <c r="AC7176" s="27">
        <v>9785977604659</v>
      </c>
    </row>
    <row r="7177" spans="1:29" s="4" customFormat="1" ht="42" customHeight="1" x14ac:dyDescent="0.2">
      <c r="A7177" s="5">
        <v>0</v>
      </c>
      <c r="B7177" s="6" t="s">
        <v>40634</v>
      </c>
      <c r="C7177" s="13">
        <v>784.8</v>
      </c>
      <c r="D7177" s="8" t="s">
        <v>40635</v>
      </c>
      <c r="E7177" s="8" t="s">
        <v>40636</v>
      </c>
      <c r="F7177" s="8" t="s">
        <v>40637</v>
      </c>
      <c r="G7177" s="6" t="s">
        <v>60</v>
      </c>
      <c r="H7177" s="6" t="s">
        <v>134</v>
      </c>
      <c r="I7177" s="8"/>
      <c r="J7177" s="9">
        <v>1</v>
      </c>
      <c r="K7177" s="9">
        <v>144</v>
      </c>
      <c r="L7177" s="9">
        <v>2023</v>
      </c>
      <c r="M7177" s="8" t="s">
        <v>40638</v>
      </c>
      <c r="N7177" s="8" t="s">
        <v>37</v>
      </c>
      <c r="O7177" s="8" t="s">
        <v>233</v>
      </c>
      <c r="P7177" s="6" t="s">
        <v>51</v>
      </c>
      <c r="Q7177" s="8" t="s">
        <v>500</v>
      </c>
      <c r="R7177" s="10" t="s">
        <v>40639</v>
      </c>
      <c r="S7177" s="11"/>
      <c r="T7177" s="6"/>
      <c r="U7177" s="15" t="str">
        <f>HYPERLINK("https://media.infra-m.ru/1891/1891320/cover/1891320.jpg", "Обложка")</f>
        <v>Обложка</v>
      </c>
      <c r="V7177" s="8" t="s">
        <v>588</v>
      </c>
      <c r="W7177" s="6"/>
      <c r="X7177" s="6"/>
      <c r="Y7177" s="6"/>
      <c r="Z7177" s="6"/>
      <c r="AA7177" s="6" t="s">
        <v>115</v>
      </c>
      <c r="AB7177" s="8"/>
      <c r="AC7177" s="27">
        <v>9785917689975</v>
      </c>
    </row>
    <row r="7178" spans="1:29" s="4" customFormat="1" ht="51.9" customHeight="1" x14ac:dyDescent="0.2">
      <c r="A7178" s="5">
        <v>0</v>
      </c>
      <c r="B7178" s="6" t="s">
        <v>40640</v>
      </c>
      <c r="C7178" s="7">
        <v>2208</v>
      </c>
      <c r="D7178" s="8" t="s">
        <v>40641</v>
      </c>
      <c r="E7178" s="8" t="s">
        <v>40642</v>
      </c>
      <c r="F7178" s="8" t="s">
        <v>3350</v>
      </c>
      <c r="G7178" s="6" t="s">
        <v>118</v>
      </c>
      <c r="H7178" s="6" t="s">
        <v>34</v>
      </c>
      <c r="I7178" s="8" t="s">
        <v>253</v>
      </c>
      <c r="J7178" s="9">
        <v>1</v>
      </c>
      <c r="K7178" s="9">
        <v>352</v>
      </c>
      <c r="L7178" s="9">
        <v>2026</v>
      </c>
      <c r="M7178" s="8" t="s">
        <v>40643</v>
      </c>
      <c r="N7178" s="8" t="s">
        <v>63</v>
      </c>
      <c r="O7178" s="8" t="s">
        <v>154</v>
      </c>
      <c r="P7178" s="6" t="s">
        <v>51</v>
      </c>
      <c r="Q7178" s="8" t="s">
        <v>500</v>
      </c>
      <c r="R7178" s="10" t="s">
        <v>40644</v>
      </c>
      <c r="S7178" s="11" t="s">
        <v>28824</v>
      </c>
      <c r="T7178" s="6" t="s">
        <v>97</v>
      </c>
      <c r="U7178" s="15" t="str">
        <f>HYPERLINK("https://media.infra-m.ru/2217/2217573/cover/2217573.jpg", "Обложка")</f>
        <v>Обложка</v>
      </c>
      <c r="V7178" s="8" t="s">
        <v>2389</v>
      </c>
      <c r="W7178" s="6"/>
      <c r="X7178" s="6"/>
      <c r="Y7178" s="6"/>
      <c r="Z7178" s="6"/>
      <c r="AA7178" s="6" t="s">
        <v>258</v>
      </c>
      <c r="AB7178" s="8"/>
      <c r="AC7178" s="27">
        <v>9785160205939</v>
      </c>
    </row>
    <row r="7179" spans="1:29" s="4" customFormat="1" ht="51.9" customHeight="1" x14ac:dyDescent="0.2">
      <c r="A7179" s="5">
        <v>0</v>
      </c>
      <c r="B7179" s="6" t="s">
        <v>40645</v>
      </c>
      <c r="C7179" s="7">
        <v>1344</v>
      </c>
      <c r="D7179" s="8" t="s">
        <v>40646</v>
      </c>
      <c r="E7179" s="8" t="s">
        <v>40647</v>
      </c>
      <c r="F7179" s="8" t="s">
        <v>7386</v>
      </c>
      <c r="G7179" s="6" t="s">
        <v>118</v>
      </c>
      <c r="H7179" s="6" t="s">
        <v>241</v>
      </c>
      <c r="I7179" s="8" t="s">
        <v>241</v>
      </c>
      <c r="J7179" s="9">
        <v>1</v>
      </c>
      <c r="K7179" s="9">
        <v>348</v>
      </c>
      <c r="L7179" s="9">
        <v>2019</v>
      </c>
      <c r="M7179" s="8" t="s">
        <v>40648</v>
      </c>
      <c r="N7179" s="8" t="s">
        <v>63</v>
      </c>
      <c r="O7179" s="8" t="s">
        <v>154</v>
      </c>
      <c r="P7179" s="6" t="s">
        <v>51</v>
      </c>
      <c r="Q7179" s="8" t="s">
        <v>52</v>
      </c>
      <c r="R7179" s="10" t="s">
        <v>40644</v>
      </c>
      <c r="S7179" s="11"/>
      <c r="T7179" s="6" t="s">
        <v>97</v>
      </c>
      <c r="U7179" s="15" t="str">
        <f>HYPERLINK("https://media.infra-m.ru/1001/1001983/cover/1001983.jpg", "Обложка")</f>
        <v>Обложка</v>
      </c>
      <c r="V7179" s="8" t="s">
        <v>2389</v>
      </c>
      <c r="W7179" s="6"/>
      <c r="X7179" s="6"/>
      <c r="Y7179" s="6"/>
      <c r="Z7179" s="6"/>
      <c r="AA7179" s="6" t="s">
        <v>55</v>
      </c>
      <c r="AB7179" s="8"/>
      <c r="AC7179" s="27">
        <v>9785955802541</v>
      </c>
    </row>
    <row r="7180" spans="1:29" s="4" customFormat="1" ht="42" customHeight="1" x14ac:dyDescent="0.2">
      <c r="A7180" s="5">
        <v>0</v>
      </c>
      <c r="B7180" s="6" t="s">
        <v>40649</v>
      </c>
      <c r="C7180" s="13">
        <v>497.9</v>
      </c>
      <c r="D7180" s="8" t="s">
        <v>40650</v>
      </c>
      <c r="E7180" s="8" t="s">
        <v>40651</v>
      </c>
      <c r="F7180" s="8" t="s">
        <v>40652</v>
      </c>
      <c r="G7180" s="6" t="s">
        <v>33</v>
      </c>
      <c r="H7180" s="6" t="s">
        <v>241</v>
      </c>
      <c r="I7180" s="8"/>
      <c r="J7180" s="9">
        <v>1</v>
      </c>
      <c r="K7180" s="9">
        <v>123</v>
      </c>
      <c r="L7180" s="9">
        <v>2019</v>
      </c>
      <c r="M7180" s="8" t="s">
        <v>40653</v>
      </c>
      <c r="N7180" s="8" t="s">
        <v>585</v>
      </c>
      <c r="O7180" s="8" t="s">
        <v>667</v>
      </c>
      <c r="P7180" s="6" t="s">
        <v>394</v>
      </c>
      <c r="Q7180" s="8" t="s">
        <v>52</v>
      </c>
      <c r="R7180" s="10" t="s">
        <v>40654</v>
      </c>
      <c r="S7180" s="11"/>
      <c r="T7180" s="6"/>
      <c r="U7180" s="15" t="str">
        <f>HYPERLINK("https://media.infra-m.ru/1054/1054776/cover/1054776.jpg", "Обложка")</f>
        <v>Обложка</v>
      </c>
      <c r="V7180" s="8" t="s">
        <v>217</v>
      </c>
      <c r="W7180" s="6"/>
      <c r="X7180" s="6"/>
      <c r="Y7180" s="6"/>
      <c r="Z7180" s="6"/>
      <c r="AA7180" s="6" t="s">
        <v>99</v>
      </c>
      <c r="AB7180" s="8"/>
      <c r="AC7180" s="27">
        <v>9785955805047</v>
      </c>
    </row>
    <row r="7181" spans="1:29" s="4" customFormat="1" ht="51.9" customHeight="1" x14ac:dyDescent="0.2">
      <c r="A7181" s="5">
        <v>0</v>
      </c>
      <c r="B7181" s="6" t="s">
        <v>40655</v>
      </c>
      <c r="C7181" s="13">
        <v>820.8</v>
      </c>
      <c r="D7181" s="8" t="s">
        <v>40656</v>
      </c>
      <c r="E7181" s="8" t="s">
        <v>40657</v>
      </c>
      <c r="F7181" s="8" t="s">
        <v>28286</v>
      </c>
      <c r="G7181" s="6" t="s">
        <v>33</v>
      </c>
      <c r="H7181" s="6" t="s">
        <v>34</v>
      </c>
      <c r="I7181" s="8" t="s">
        <v>271</v>
      </c>
      <c r="J7181" s="9">
        <v>1</v>
      </c>
      <c r="K7181" s="9">
        <v>132</v>
      </c>
      <c r="L7181" s="9">
        <v>2025</v>
      </c>
      <c r="M7181" s="8" t="s">
        <v>40658</v>
      </c>
      <c r="N7181" s="8" t="s">
        <v>243</v>
      </c>
      <c r="O7181" s="8" t="s">
        <v>758</v>
      </c>
      <c r="P7181" s="6" t="s">
        <v>51</v>
      </c>
      <c r="Q7181" s="8" t="s">
        <v>52</v>
      </c>
      <c r="R7181" s="10" t="s">
        <v>40659</v>
      </c>
      <c r="S7181" s="11" t="s">
        <v>40660</v>
      </c>
      <c r="T7181" s="6"/>
      <c r="U7181" s="15" t="str">
        <f>HYPERLINK("https://media.infra-m.ru/2207/2207145/cover/2207145.jpg", "Обложка")</f>
        <v>Обложка</v>
      </c>
      <c r="V7181" s="8" t="s">
        <v>28290</v>
      </c>
      <c r="W7181" s="6"/>
      <c r="X7181" s="6" t="s">
        <v>24</v>
      </c>
      <c r="Y7181" s="6"/>
      <c r="Z7181" s="6"/>
      <c r="AA7181" s="6" t="s">
        <v>248</v>
      </c>
      <c r="AB7181" s="8"/>
      <c r="AC7181" s="27">
        <v>9785160055510</v>
      </c>
    </row>
    <row r="7182" spans="1:29" s="4" customFormat="1" ht="51.9" customHeight="1" x14ac:dyDescent="0.2">
      <c r="A7182" s="5">
        <v>0</v>
      </c>
      <c r="B7182" s="6" t="s">
        <v>40661</v>
      </c>
      <c r="C7182" s="13">
        <v>900</v>
      </c>
      <c r="D7182" s="8" t="s">
        <v>40662</v>
      </c>
      <c r="E7182" s="8" t="s">
        <v>40663</v>
      </c>
      <c r="F7182" s="8" t="s">
        <v>40664</v>
      </c>
      <c r="G7182" s="6" t="s">
        <v>118</v>
      </c>
      <c r="H7182" s="6" t="s">
        <v>34</v>
      </c>
      <c r="I7182" s="8" t="s">
        <v>7198</v>
      </c>
      <c r="J7182" s="9">
        <v>1</v>
      </c>
      <c r="K7182" s="9">
        <v>167</v>
      </c>
      <c r="L7182" s="9">
        <v>2023</v>
      </c>
      <c r="M7182" s="8" t="s">
        <v>40665</v>
      </c>
      <c r="N7182" s="8" t="s">
        <v>243</v>
      </c>
      <c r="O7182" s="8" t="s">
        <v>758</v>
      </c>
      <c r="P7182" s="6" t="s">
        <v>105</v>
      </c>
      <c r="Q7182" s="8" t="s">
        <v>52</v>
      </c>
      <c r="R7182" s="10" t="s">
        <v>40666</v>
      </c>
      <c r="S7182" s="11" t="s">
        <v>40667</v>
      </c>
      <c r="T7182" s="6"/>
      <c r="U7182" s="15" t="str">
        <f>HYPERLINK("https://media.infra-m.ru/1856/1856444/cover/1856444.jpg", "Обложка")</f>
        <v>Обложка</v>
      </c>
      <c r="V7182" s="8" t="s">
        <v>1083</v>
      </c>
      <c r="W7182" s="6"/>
      <c r="X7182" s="6"/>
      <c r="Y7182" s="6"/>
      <c r="Z7182" s="6"/>
      <c r="AA7182" s="6" t="s">
        <v>86</v>
      </c>
      <c r="AB7182" s="8"/>
      <c r="AC7182" s="27">
        <v>9785160182155</v>
      </c>
    </row>
    <row r="7183" spans="1:29" s="4" customFormat="1" ht="44.1" customHeight="1" x14ac:dyDescent="0.2">
      <c r="A7183" s="5">
        <v>0</v>
      </c>
      <c r="B7183" s="6" t="s">
        <v>40668</v>
      </c>
      <c r="C7183" s="7">
        <v>1260</v>
      </c>
      <c r="D7183" s="8" t="s">
        <v>40669</v>
      </c>
      <c r="E7183" s="8" t="s">
        <v>40670</v>
      </c>
      <c r="F7183" s="8" t="s">
        <v>40671</v>
      </c>
      <c r="G7183" s="6" t="s">
        <v>118</v>
      </c>
      <c r="H7183" s="6" t="s">
        <v>34</v>
      </c>
      <c r="I7183" s="8" t="s">
        <v>35</v>
      </c>
      <c r="J7183" s="9">
        <v>1</v>
      </c>
      <c r="K7183" s="9">
        <v>233</v>
      </c>
      <c r="L7183" s="9">
        <v>2023</v>
      </c>
      <c r="M7183" s="8" t="s">
        <v>40672</v>
      </c>
      <c r="N7183" s="8" t="s">
        <v>37</v>
      </c>
      <c r="O7183" s="8" t="s">
        <v>50</v>
      </c>
      <c r="P7183" s="6" t="s">
        <v>39</v>
      </c>
      <c r="Q7183" s="8" t="s">
        <v>40</v>
      </c>
      <c r="R7183" s="10" t="s">
        <v>40673</v>
      </c>
      <c r="S7183" s="11"/>
      <c r="T7183" s="6"/>
      <c r="U7183" s="15" t="str">
        <f>HYPERLINK("https://media.infra-m.ru/1938/1938032/cover/1938032.jpg", "Обложка")</f>
        <v>Обложка</v>
      </c>
      <c r="V7183" s="8" t="s">
        <v>10238</v>
      </c>
      <c r="W7183" s="6"/>
      <c r="X7183" s="6"/>
      <c r="Y7183" s="6"/>
      <c r="Z7183" s="6"/>
      <c r="AA7183" s="6" t="s">
        <v>86</v>
      </c>
      <c r="AB7183" s="8"/>
      <c r="AC7183" s="27">
        <v>9785160137612</v>
      </c>
    </row>
    <row r="7184" spans="1:29" s="4" customFormat="1" ht="51.9" customHeight="1" x14ac:dyDescent="0.2">
      <c r="A7184" s="5">
        <v>0</v>
      </c>
      <c r="B7184" s="6" t="s">
        <v>40674</v>
      </c>
      <c r="C7184" s="7">
        <v>1464</v>
      </c>
      <c r="D7184" s="8" t="s">
        <v>40675</v>
      </c>
      <c r="E7184" s="8" t="s">
        <v>40676</v>
      </c>
      <c r="F7184" s="8" t="s">
        <v>40677</v>
      </c>
      <c r="G7184" s="6" t="s">
        <v>118</v>
      </c>
      <c r="H7184" s="6" t="s">
        <v>34</v>
      </c>
      <c r="I7184" s="8" t="s">
        <v>253</v>
      </c>
      <c r="J7184" s="9">
        <v>1</v>
      </c>
      <c r="K7184" s="9">
        <v>254</v>
      </c>
      <c r="L7184" s="9">
        <v>2024</v>
      </c>
      <c r="M7184" s="8" t="s">
        <v>40678</v>
      </c>
      <c r="N7184" s="8" t="s">
        <v>224</v>
      </c>
      <c r="O7184" s="8" t="s">
        <v>225</v>
      </c>
      <c r="P7184" s="6" t="s">
        <v>306</v>
      </c>
      <c r="Q7184" s="8" t="s">
        <v>52</v>
      </c>
      <c r="R7184" s="10" t="s">
        <v>17809</v>
      </c>
      <c r="S7184" s="11" t="s">
        <v>40679</v>
      </c>
      <c r="T7184" s="6"/>
      <c r="U7184" s="15" t="str">
        <f>HYPERLINK("https://media.infra-m.ru/1933/1933134/cover/1933134.jpg", "Обложка")</f>
        <v>Обложка</v>
      </c>
      <c r="V7184" s="8" t="s">
        <v>9494</v>
      </c>
      <c r="W7184" s="6"/>
      <c r="X7184" s="6"/>
      <c r="Y7184" s="6"/>
      <c r="Z7184" s="6"/>
      <c r="AA7184" s="6" t="s">
        <v>99</v>
      </c>
      <c r="AB7184" s="8"/>
      <c r="AC7184" s="27">
        <v>9785160191027</v>
      </c>
    </row>
    <row r="7185" spans="1:29" s="4" customFormat="1" ht="42" customHeight="1" x14ac:dyDescent="0.2">
      <c r="A7185" s="5">
        <v>0</v>
      </c>
      <c r="B7185" s="6" t="s">
        <v>40680</v>
      </c>
      <c r="C7185" s="7">
        <v>1608</v>
      </c>
      <c r="D7185" s="8" t="s">
        <v>40681</v>
      </c>
      <c r="E7185" s="8" t="s">
        <v>40682</v>
      </c>
      <c r="F7185" s="8" t="s">
        <v>40683</v>
      </c>
      <c r="G7185" s="6" t="s">
        <v>118</v>
      </c>
      <c r="H7185" s="6" t="s">
        <v>34</v>
      </c>
      <c r="I7185" s="8" t="s">
        <v>1074</v>
      </c>
      <c r="J7185" s="9">
        <v>1</v>
      </c>
      <c r="K7185" s="9">
        <v>232</v>
      </c>
      <c r="L7185" s="9">
        <v>2027</v>
      </c>
      <c r="M7185" s="8" t="s">
        <v>40684</v>
      </c>
      <c r="N7185" s="8" t="s">
        <v>37</v>
      </c>
      <c r="O7185" s="8" t="s">
        <v>136</v>
      </c>
      <c r="P7185" s="6" t="s">
        <v>51</v>
      </c>
      <c r="Q7185" s="8" t="s">
        <v>500</v>
      </c>
      <c r="R7185" s="10" t="s">
        <v>1667</v>
      </c>
      <c r="S7185" s="11"/>
      <c r="T7185" s="6"/>
      <c r="U7185" s="15" t="str">
        <f>HYPERLINK("https://media.infra-m.ru/2255/2255283/cover/2255283.jpg", "Обложка")</f>
        <v>Обложка</v>
      </c>
      <c r="V7185" s="8" t="s">
        <v>138</v>
      </c>
      <c r="W7185" s="6"/>
      <c r="X7185" s="6"/>
      <c r="Y7185" s="6"/>
      <c r="Z7185" s="6"/>
      <c r="AA7185" s="6" t="s">
        <v>68</v>
      </c>
      <c r="AB7185" s="8"/>
      <c r="AC7185" s="27">
        <v>9785160197333</v>
      </c>
    </row>
    <row r="7186" spans="1:29" s="4" customFormat="1" ht="51.9" customHeight="1" x14ac:dyDescent="0.2">
      <c r="A7186" s="5">
        <v>0</v>
      </c>
      <c r="B7186" s="6" t="s">
        <v>40685</v>
      </c>
      <c r="C7186" s="7">
        <v>1240.8</v>
      </c>
      <c r="D7186" s="8" t="s">
        <v>40686</v>
      </c>
      <c r="E7186" s="8" t="s">
        <v>40687</v>
      </c>
      <c r="F7186" s="8" t="s">
        <v>40688</v>
      </c>
      <c r="G7186" s="6" t="s">
        <v>60</v>
      </c>
      <c r="H7186" s="6" t="s">
        <v>34</v>
      </c>
      <c r="I7186" s="8" t="s">
        <v>1248</v>
      </c>
      <c r="J7186" s="9">
        <v>1</v>
      </c>
      <c r="K7186" s="9">
        <v>178</v>
      </c>
      <c r="L7186" s="9">
        <v>2027</v>
      </c>
      <c r="M7186" s="8" t="s">
        <v>40689</v>
      </c>
      <c r="N7186" s="8" t="s">
        <v>224</v>
      </c>
      <c r="O7186" s="8" t="s">
        <v>225</v>
      </c>
      <c r="P7186" s="6" t="s">
        <v>51</v>
      </c>
      <c r="Q7186" s="8" t="s">
        <v>52</v>
      </c>
      <c r="R7186" s="10" t="s">
        <v>40690</v>
      </c>
      <c r="S7186" s="11"/>
      <c r="T7186" s="6"/>
      <c r="U7186" s="15" t="str">
        <f>HYPERLINK("https://media.infra-m.ru/2272/2272094/cover/2272094.jpg", "Обложка")</f>
        <v>Обложка</v>
      </c>
      <c r="V7186" s="8" t="s">
        <v>1083</v>
      </c>
      <c r="W7186" s="6"/>
      <c r="X7186" s="6"/>
      <c r="Y7186" s="6"/>
      <c r="Z7186" s="6"/>
      <c r="AA7186" s="6" t="s">
        <v>68</v>
      </c>
      <c r="AB7186" s="8" t="s">
        <v>14095</v>
      </c>
      <c r="AC7186" s="27">
        <v>9785160202778</v>
      </c>
    </row>
    <row r="7187" spans="1:29" s="4" customFormat="1" ht="51.9" customHeight="1" x14ac:dyDescent="0.2">
      <c r="A7187" s="5">
        <v>0</v>
      </c>
      <c r="B7187" s="6" t="s">
        <v>40691</v>
      </c>
      <c r="C7187" s="13">
        <v>952.8</v>
      </c>
      <c r="D7187" s="8" t="s">
        <v>40692</v>
      </c>
      <c r="E7187" s="8" t="s">
        <v>40693</v>
      </c>
      <c r="F7187" s="8" t="s">
        <v>40694</v>
      </c>
      <c r="G7187" s="6" t="s">
        <v>33</v>
      </c>
      <c r="H7187" s="6" t="s">
        <v>134</v>
      </c>
      <c r="I7187" s="8"/>
      <c r="J7187" s="9">
        <v>1</v>
      </c>
      <c r="K7187" s="9">
        <v>176</v>
      </c>
      <c r="L7187" s="9">
        <v>2024</v>
      </c>
      <c r="M7187" s="8" t="s">
        <v>40695</v>
      </c>
      <c r="N7187" s="8" t="s">
        <v>37</v>
      </c>
      <c r="O7187" s="8" t="s">
        <v>136</v>
      </c>
      <c r="P7187" s="6" t="s">
        <v>39</v>
      </c>
      <c r="Q7187" s="8" t="s">
        <v>40</v>
      </c>
      <c r="R7187" s="10" t="s">
        <v>37271</v>
      </c>
      <c r="S7187" s="11"/>
      <c r="T7187" s="6"/>
      <c r="U7187" s="15" t="str">
        <f>HYPERLINK("https://media.infra-m.ru/1981/1981610/cover/1981610.jpg", "Обложка")</f>
        <v>Обложка</v>
      </c>
      <c r="V7187" s="8" t="s">
        <v>1083</v>
      </c>
      <c r="W7187" s="6"/>
      <c r="X7187" s="6"/>
      <c r="Y7187" s="6"/>
      <c r="Z7187" s="6"/>
      <c r="AA7187" s="6" t="s">
        <v>248</v>
      </c>
      <c r="AB7187" s="8"/>
      <c r="AC7187" s="27">
        <v>9785917685083</v>
      </c>
    </row>
    <row r="7188" spans="1:29" s="4" customFormat="1" ht="51.9" customHeight="1" x14ac:dyDescent="0.2">
      <c r="A7188" s="5">
        <v>0</v>
      </c>
      <c r="B7188" s="6" t="s">
        <v>40696</v>
      </c>
      <c r="C7188" s="7">
        <v>1356</v>
      </c>
      <c r="D7188" s="8" t="s">
        <v>40697</v>
      </c>
      <c r="E7188" s="8" t="s">
        <v>40698</v>
      </c>
      <c r="F7188" s="8" t="s">
        <v>4643</v>
      </c>
      <c r="G7188" s="6" t="s">
        <v>33</v>
      </c>
      <c r="H7188" s="6" t="s">
        <v>34</v>
      </c>
      <c r="I7188" s="8" t="s">
        <v>35</v>
      </c>
      <c r="J7188" s="9">
        <v>1</v>
      </c>
      <c r="K7188" s="9">
        <v>170</v>
      </c>
      <c r="L7188" s="9">
        <v>2026</v>
      </c>
      <c r="M7188" s="8" t="s">
        <v>40699</v>
      </c>
      <c r="N7188" s="8" t="s">
        <v>585</v>
      </c>
      <c r="O7188" s="8" t="s">
        <v>775</v>
      </c>
      <c r="P7188" s="6" t="s">
        <v>39</v>
      </c>
      <c r="Q7188" s="8" t="s">
        <v>40</v>
      </c>
      <c r="R7188" s="10" t="s">
        <v>40700</v>
      </c>
      <c r="S7188" s="11"/>
      <c r="T7188" s="6"/>
      <c r="U7188" s="15" t="str">
        <f>HYPERLINK("https://media.infra-m.ru/2261/2261155/cover/2261155.jpg", "Обложка")</f>
        <v>Обложка</v>
      </c>
      <c r="V7188" s="8" t="s">
        <v>761</v>
      </c>
      <c r="W7188" s="6"/>
      <c r="X7188" s="6"/>
      <c r="Y7188" s="6"/>
      <c r="Z7188" s="6"/>
      <c r="AA7188" s="6" t="s">
        <v>187</v>
      </c>
      <c r="AB7188" s="8" t="s">
        <v>308</v>
      </c>
      <c r="AC7188" s="27">
        <v>9785160209661</v>
      </c>
    </row>
    <row r="7189" spans="1:29" s="4" customFormat="1" ht="51.9" customHeight="1" x14ac:dyDescent="0.2">
      <c r="A7189" s="5">
        <v>0</v>
      </c>
      <c r="B7189" s="6" t="s">
        <v>40701</v>
      </c>
      <c r="C7189" s="7">
        <v>2080.8000000000002</v>
      </c>
      <c r="D7189" s="8" t="s">
        <v>40702</v>
      </c>
      <c r="E7189" s="8" t="s">
        <v>40703</v>
      </c>
      <c r="F7189" s="8" t="s">
        <v>40704</v>
      </c>
      <c r="G7189" s="6" t="s">
        <v>118</v>
      </c>
      <c r="H7189" s="6" t="s">
        <v>34</v>
      </c>
      <c r="I7189" s="8" t="s">
        <v>263</v>
      </c>
      <c r="J7189" s="9">
        <v>1</v>
      </c>
      <c r="K7189" s="9">
        <v>334</v>
      </c>
      <c r="L7189" s="9">
        <v>2026</v>
      </c>
      <c r="M7189" s="8" t="s">
        <v>40705</v>
      </c>
      <c r="N7189" s="8" t="s">
        <v>243</v>
      </c>
      <c r="O7189" s="8" t="s">
        <v>798</v>
      </c>
      <c r="P7189" s="6" t="s">
        <v>51</v>
      </c>
      <c r="Q7189" s="8" t="s">
        <v>265</v>
      </c>
      <c r="R7189" s="10" t="s">
        <v>40706</v>
      </c>
      <c r="S7189" s="11" t="s">
        <v>40707</v>
      </c>
      <c r="T7189" s="6"/>
      <c r="U7189" s="15" t="str">
        <f>HYPERLINK("https://media.infra-m.ru/2216/2216848/cover/2216848.jpg", "Обложка")</f>
        <v>Обложка</v>
      </c>
      <c r="V7189" s="8" t="s">
        <v>831</v>
      </c>
      <c r="W7189" s="6"/>
      <c r="X7189" s="6"/>
      <c r="Y7189" s="6"/>
      <c r="Z7189" s="6"/>
      <c r="AA7189" s="6" t="s">
        <v>1015</v>
      </c>
      <c r="AB7189" s="8"/>
      <c r="AC7189" s="27">
        <v>9785160107967</v>
      </c>
    </row>
    <row r="7190" spans="1:29" s="4" customFormat="1" ht="42" customHeight="1" x14ac:dyDescent="0.2">
      <c r="A7190" s="5">
        <v>0</v>
      </c>
      <c r="B7190" s="6" t="s">
        <v>40708</v>
      </c>
      <c r="C7190" s="7">
        <v>2832</v>
      </c>
      <c r="D7190" s="8" t="s">
        <v>40709</v>
      </c>
      <c r="E7190" s="8" t="s">
        <v>40710</v>
      </c>
      <c r="F7190" s="8" t="s">
        <v>40711</v>
      </c>
      <c r="G7190" s="6" t="s">
        <v>60</v>
      </c>
      <c r="H7190" s="6" t="s">
        <v>134</v>
      </c>
      <c r="I7190" s="8"/>
      <c r="J7190" s="9">
        <v>1</v>
      </c>
      <c r="K7190" s="9">
        <v>472</v>
      </c>
      <c r="L7190" s="9">
        <v>2025</v>
      </c>
      <c r="M7190" s="8" t="s">
        <v>40712</v>
      </c>
      <c r="N7190" s="8" t="s">
        <v>37</v>
      </c>
      <c r="O7190" s="8" t="s">
        <v>136</v>
      </c>
      <c r="P7190" s="6" t="s">
        <v>759</v>
      </c>
      <c r="Q7190" s="8" t="s">
        <v>40</v>
      </c>
      <c r="R7190" s="10" t="s">
        <v>6892</v>
      </c>
      <c r="S7190" s="11"/>
      <c r="T7190" s="6"/>
      <c r="U7190" s="15" t="str">
        <f>HYPERLINK("https://media.infra-m.ru/2173/2173439/cover/2173439.jpg", "Обложка")</f>
        <v>Обложка</v>
      </c>
      <c r="V7190" s="8"/>
      <c r="W7190" s="6"/>
      <c r="X7190" s="6"/>
      <c r="Y7190" s="6"/>
      <c r="Z7190" s="6"/>
      <c r="AA7190" s="6" t="s">
        <v>40713</v>
      </c>
      <c r="AB7190" s="8"/>
      <c r="AC7190" s="27">
        <v>9785001560777</v>
      </c>
    </row>
    <row r="7191" spans="1:29" s="4" customFormat="1" ht="44.1" customHeight="1" x14ac:dyDescent="0.2">
      <c r="A7191" s="5">
        <v>0</v>
      </c>
      <c r="B7191" s="6" t="s">
        <v>40714</v>
      </c>
      <c r="C7191" s="7">
        <v>3384</v>
      </c>
      <c r="D7191" s="8" t="s">
        <v>40715</v>
      </c>
      <c r="E7191" s="8" t="s">
        <v>40716</v>
      </c>
      <c r="F7191" s="8" t="s">
        <v>40717</v>
      </c>
      <c r="G7191" s="6" t="s">
        <v>60</v>
      </c>
      <c r="H7191" s="6" t="s">
        <v>134</v>
      </c>
      <c r="I7191" s="8"/>
      <c r="J7191" s="9">
        <v>1</v>
      </c>
      <c r="K7191" s="9">
        <v>512</v>
      </c>
      <c r="L7191" s="9">
        <v>2026</v>
      </c>
      <c r="M7191" s="8" t="s">
        <v>40718</v>
      </c>
      <c r="N7191" s="8" t="s">
        <v>37</v>
      </c>
      <c r="O7191" s="8" t="s">
        <v>136</v>
      </c>
      <c r="P7191" s="6" t="s">
        <v>759</v>
      </c>
      <c r="Q7191" s="8" t="s">
        <v>40</v>
      </c>
      <c r="R7191" s="10" t="s">
        <v>6892</v>
      </c>
      <c r="S7191" s="11"/>
      <c r="T7191" s="6"/>
      <c r="U7191" s="15" t="str">
        <f>HYPERLINK("https://media.infra-m.ru/2223/2223989/cover/2223989.jpg", "Обложка")</f>
        <v>Обложка</v>
      </c>
      <c r="V7191" s="8" t="s">
        <v>1277</v>
      </c>
      <c r="W7191" s="6"/>
      <c r="X7191" s="6"/>
      <c r="Y7191" s="6"/>
      <c r="Z7191" s="6"/>
      <c r="AA7191" s="6" t="s">
        <v>40719</v>
      </c>
      <c r="AB7191" s="8"/>
      <c r="AC7191" s="27">
        <v>9785001564393</v>
      </c>
    </row>
    <row r="7192" spans="1:29" s="4" customFormat="1" ht="51.9" customHeight="1" x14ac:dyDescent="0.2">
      <c r="A7192" s="5">
        <v>0</v>
      </c>
      <c r="B7192" s="6" t="s">
        <v>40720</v>
      </c>
      <c r="C7192" s="7">
        <v>1072.8</v>
      </c>
      <c r="D7192" s="8" t="s">
        <v>40721</v>
      </c>
      <c r="E7192" s="8" t="s">
        <v>40722</v>
      </c>
      <c r="F7192" s="8" t="s">
        <v>3308</v>
      </c>
      <c r="G7192" s="6" t="s">
        <v>118</v>
      </c>
      <c r="H7192" s="6" t="s">
        <v>134</v>
      </c>
      <c r="I7192" s="8"/>
      <c r="J7192" s="9">
        <v>1</v>
      </c>
      <c r="K7192" s="9">
        <v>160</v>
      </c>
      <c r="L7192" s="9">
        <v>2025</v>
      </c>
      <c r="M7192" s="8" t="s">
        <v>40723</v>
      </c>
      <c r="N7192" s="8" t="s">
        <v>37</v>
      </c>
      <c r="O7192" s="8" t="s">
        <v>136</v>
      </c>
      <c r="P7192" s="6" t="s">
        <v>759</v>
      </c>
      <c r="Q7192" s="8" t="s">
        <v>40</v>
      </c>
      <c r="R7192" s="10" t="s">
        <v>40724</v>
      </c>
      <c r="S7192" s="11"/>
      <c r="T7192" s="6"/>
      <c r="U7192" s="15" t="str">
        <f>HYPERLINK("https://media.infra-m.ru/2186/2186920/cover/2186920.jpg", "Обложка")</f>
        <v>Обложка</v>
      </c>
      <c r="V7192" s="8"/>
      <c r="W7192" s="6"/>
      <c r="X7192" s="6"/>
      <c r="Y7192" s="6"/>
      <c r="Z7192" s="6"/>
      <c r="AA7192" s="6" t="s">
        <v>218</v>
      </c>
      <c r="AB7192" s="8"/>
      <c r="AC7192" s="27">
        <v>9785001560609</v>
      </c>
    </row>
    <row r="7193" spans="1:29" s="4" customFormat="1" ht="51.9" customHeight="1" x14ac:dyDescent="0.2">
      <c r="A7193" s="5">
        <v>0</v>
      </c>
      <c r="B7193" s="6" t="s">
        <v>40725</v>
      </c>
      <c r="C7193" s="7">
        <v>1188</v>
      </c>
      <c r="D7193" s="8" t="s">
        <v>40726</v>
      </c>
      <c r="E7193" s="8" t="s">
        <v>40727</v>
      </c>
      <c r="F7193" s="8" t="s">
        <v>40728</v>
      </c>
      <c r="G7193" s="6" t="s">
        <v>118</v>
      </c>
      <c r="H7193" s="6" t="s">
        <v>134</v>
      </c>
      <c r="I7193" s="8"/>
      <c r="J7193" s="9">
        <v>1</v>
      </c>
      <c r="K7193" s="9">
        <v>164</v>
      </c>
      <c r="L7193" s="9">
        <v>2026</v>
      </c>
      <c r="M7193" s="8" t="s">
        <v>40729</v>
      </c>
      <c r="N7193" s="8" t="s">
        <v>37</v>
      </c>
      <c r="O7193" s="8" t="s">
        <v>136</v>
      </c>
      <c r="P7193" s="6" t="s">
        <v>759</v>
      </c>
      <c r="Q7193" s="8" t="s">
        <v>40</v>
      </c>
      <c r="R7193" s="10" t="s">
        <v>40724</v>
      </c>
      <c r="S7193" s="11"/>
      <c r="T7193" s="6"/>
      <c r="U7193" s="15" t="str">
        <f>HYPERLINK("https://media.infra-m.ru/2258/2258951/cover/2258951.jpg", "Обложка")</f>
        <v>Обложка</v>
      </c>
      <c r="V7193" s="8" t="s">
        <v>1277</v>
      </c>
      <c r="W7193" s="6"/>
      <c r="X7193" s="6"/>
      <c r="Y7193" s="6"/>
      <c r="Z7193" s="6"/>
      <c r="AA7193" s="6" t="s">
        <v>3772</v>
      </c>
      <c r="AB7193" s="8"/>
      <c r="AC7193" s="27">
        <v>9785001564522</v>
      </c>
    </row>
    <row r="7194" spans="1:29" s="4" customFormat="1" ht="51.9" customHeight="1" x14ac:dyDescent="0.2">
      <c r="A7194" s="5">
        <v>0</v>
      </c>
      <c r="B7194" s="6" t="s">
        <v>40730</v>
      </c>
      <c r="C7194" s="13">
        <v>516</v>
      </c>
      <c r="D7194" s="8" t="s">
        <v>40731</v>
      </c>
      <c r="E7194" s="8" t="s">
        <v>40732</v>
      </c>
      <c r="F7194" s="8" t="s">
        <v>3308</v>
      </c>
      <c r="G7194" s="6" t="s">
        <v>33</v>
      </c>
      <c r="H7194" s="6" t="s">
        <v>134</v>
      </c>
      <c r="I7194" s="8"/>
      <c r="J7194" s="9">
        <v>1</v>
      </c>
      <c r="K7194" s="9">
        <v>128</v>
      </c>
      <c r="L7194" s="9">
        <v>2019</v>
      </c>
      <c r="M7194" s="8" t="s">
        <v>40733</v>
      </c>
      <c r="N7194" s="8" t="s">
        <v>37</v>
      </c>
      <c r="O7194" s="8" t="s">
        <v>136</v>
      </c>
      <c r="P7194" s="6" t="s">
        <v>759</v>
      </c>
      <c r="Q7194" s="8" t="s">
        <v>749</v>
      </c>
      <c r="R7194" s="10" t="s">
        <v>40724</v>
      </c>
      <c r="S7194" s="11"/>
      <c r="T7194" s="6"/>
      <c r="U7194" s="15" t="str">
        <f>HYPERLINK("https://media.infra-m.ru/0995/0995303/cover/995303.jpg", "Обложка")</f>
        <v>Обложка</v>
      </c>
      <c r="V7194" s="8" t="s">
        <v>1277</v>
      </c>
      <c r="W7194" s="6"/>
      <c r="X7194" s="6"/>
      <c r="Y7194" s="6"/>
      <c r="Z7194" s="6"/>
      <c r="AA7194" s="6" t="s">
        <v>779</v>
      </c>
      <c r="AB7194" s="8"/>
      <c r="AC7194" s="27">
        <v>9785917687148</v>
      </c>
    </row>
    <row r="7195" spans="1:29" s="4" customFormat="1" ht="44.1" customHeight="1" x14ac:dyDescent="0.2">
      <c r="A7195" s="5">
        <v>0</v>
      </c>
      <c r="B7195" s="6" t="s">
        <v>40734</v>
      </c>
      <c r="C7195" s="7">
        <v>2592</v>
      </c>
      <c r="D7195" s="8" t="s">
        <v>40735</v>
      </c>
      <c r="E7195" s="8" t="s">
        <v>40736</v>
      </c>
      <c r="F7195" s="8" t="s">
        <v>40737</v>
      </c>
      <c r="G7195" s="6" t="s">
        <v>118</v>
      </c>
      <c r="H7195" s="6" t="s">
        <v>134</v>
      </c>
      <c r="I7195" s="8"/>
      <c r="J7195" s="9">
        <v>1</v>
      </c>
      <c r="K7195" s="9">
        <v>480</v>
      </c>
      <c r="L7195" s="9">
        <v>2023</v>
      </c>
      <c r="M7195" s="8" t="s">
        <v>40738</v>
      </c>
      <c r="N7195" s="8" t="s">
        <v>37</v>
      </c>
      <c r="O7195" s="8" t="s">
        <v>136</v>
      </c>
      <c r="P7195" s="6" t="s">
        <v>759</v>
      </c>
      <c r="Q7195" s="8" t="s">
        <v>40</v>
      </c>
      <c r="R7195" s="10" t="s">
        <v>9251</v>
      </c>
      <c r="S7195" s="11"/>
      <c r="T7195" s="6"/>
      <c r="U7195" s="15" t="str">
        <f>HYPERLINK("https://media.infra-m.ru/1895/1895986/cover/1895986.jpg", "Обложка")</f>
        <v>Обложка</v>
      </c>
      <c r="V7195" s="8" t="s">
        <v>1277</v>
      </c>
      <c r="W7195" s="6"/>
      <c r="X7195" s="6"/>
      <c r="Y7195" s="6"/>
      <c r="Z7195" s="6"/>
      <c r="AA7195" s="6" t="s">
        <v>896</v>
      </c>
      <c r="AB7195" s="8"/>
      <c r="AC7195" s="27">
        <v>9785001562252</v>
      </c>
    </row>
    <row r="7196" spans="1:29" s="4" customFormat="1" ht="44.1" customHeight="1" x14ac:dyDescent="0.2">
      <c r="A7196" s="5">
        <v>0</v>
      </c>
      <c r="B7196" s="6" t="s">
        <v>40739</v>
      </c>
      <c r="C7196" s="7">
        <v>1523.9</v>
      </c>
      <c r="D7196" s="8" t="s">
        <v>40740</v>
      </c>
      <c r="E7196" s="8" t="s">
        <v>40741</v>
      </c>
      <c r="F7196" s="8" t="s">
        <v>40737</v>
      </c>
      <c r="G7196" s="6" t="s">
        <v>60</v>
      </c>
      <c r="H7196" s="6" t="s">
        <v>134</v>
      </c>
      <c r="I7196" s="8"/>
      <c r="J7196" s="9">
        <v>1</v>
      </c>
      <c r="K7196" s="9">
        <v>360</v>
      </c>
      <c r="L7196" s="9">
        <v>2020</v>
      </c>
      <c r="M7196" s="8" t="s">
        <v>40742</v>
      </c>
      <c r="N7196" s="8" t="s">
        <v>37</v>
      </c>
      <c r="O7196" s="8" t="s">
        <v>136</v>
      </c>
      <c r="P7196" s="6" t="s">
        <v>759</v>
      </c>
      <c r="Q7196" s="8" t="s">
        <v>40</v>
      </c>
      <c r="R7196" s="10" t="s">
        <v>9251</v>
      </c>
      <c r="S7196" s="11"/>
      <c r="T7196" s="6"/>
      <c r="U7196" s="12"/>
      <c r="V7196" s="8" t="s">
        <v>1277</v>
      </c>
      <c r="W7196" s="6"/>
      <c r="X7196" s="6"/>
      <c r="Y7196" s="6"/>
      <c r="Z7196" s="6"/>
      <c r="AA7196" s="6" t="s">
        <v>1256</v>
      </c>
      <c r="AB7196" s="8"/>
      <c r="AC7196" s="27">
        <v>9785001560241</v>
      </c>
    </row>
    <row r="7197" spans="1:29" s="4" customFormat="1" ht="44.1" customHeight="1" x14ac:dyDescent="0.2">
      <c r="A7197" s="5">
        <v>0</v>
      </c>
      <c r="B7197" s="6" t="s">
        <v>40743</v>
      </c>
      <c r="C7197" s="7">
        <v>3792</v>
      </c>
      <c r="D7197" s="8" t="s">
        <v>40744</v>
      </c>
      <c r="E7197" s="8" t="s">
        <v>40745</v>
      </c>
      <c r="F7197" s="8" t="s">
        <v>40746</v>
      </c>
      <c r="G7197" s="6" t="s">
        <v>60</v>
      </c>
      <c r="H7197" s="6" t="s">
        <v>134</v>
      </c>
      <c r="I7197" s="8"/>
      <c r="J7197" s="9">
        <v>1</v>
      </c>
      <c r="K7197" s="9">
        <v>544</v>
      </c>
      <c r="L7197" s="9">
        <v>2027</v>
      </c>
      <c r="M7197" s="8" t="s">
        <v>40747</v>
      </c>
      <c r="N7197" s="8" t="s">
        <v>37</v>
      </c>
      <c r="O7197" s="8" t="s">
        <v>136</v>
      </c>
      <c r="P7197" s="6" t="s">
        <v>759</v>
      </c>
      <c r="Q7197" s="8" t="s">
        <v>40</v>
      </c>
      <c r="R7197" s="10" t="s">
        <v>9251</v>
      </c>
      <c r="S7197" s="11"/>
      <c r="T7197" s="6"/>
      <c r="U7197" s="15" t="str">
        <f>HYPERLINK("https://media.infra-m.ru/2265/2265122/cover/2265122.jpg", "Обложка")</f>
        <v>Обложка</v>
      </c>
      <c r="V7197" s="8" t="s">
        <v>1277</v>
      </c>
      <c r="W7197" s="6"/>
      <c r="X7197" s="6"/>
      <c r="Y7197" s="6"/>
      <c r="Z7197" s="6"/>
      <c r="AA7197" s="6" t="s">
        <v>3772</v>
      </c>
      <c r="AB7197" s="8"/>
      <c r="AC7197" s="27">
        <v>9785001564423</v>
      </c>
    </row>
    <row r="7198" spans="1:29" s="4" customFormat="1" ht="51.9" customHeight="1" x14ac:dyDescent="0.2">
      <c r="A7198" s="5">
        <v>0</v>
      </c>
      <c r="B7198" s="6" t="s">
        <v>40748</v>
      </c>
      <c r="C7198" s="7">
        <v>3436.8</v>
      </c>
      <c r="D7198" s="8" t="s">
        <v>40749</v>
      </c>
      <c r="E7198" s="8" t="s">
        <v>40750</v>
      </c>
      <c r="F7198" s="8" t="s">
        <v>40751</v>
      </c>
      <c r="G7198" s="6" t="s">
        <v>118</v>
      </c>
      <c r="H7198" s="6" t="s">
        <v>34</v>
      </c>
      <c r="I7198" s="8" t="s">
        <v>599</v>
      </c>
      <c r="J7198" s="9">
        <v>1</v>
      </c>
      <c r="K7198" s="9">
        <v>494</v>
      </c>
      <c r="L7198" s="9">
        <v>2027</v>
      </c>
      <c r="M7198" s="8" t="s">
        <v>40752</v>
      </c>
      <c r="N7198" s="8" t="s">
        <v>243</v>
      </c>
      <c r="O7198" s="8" t="s">
        <v>329</v>
      </c>
      <c r="P7198" s="6" t="s">
        <v>759</v>
      </c>
      <c r="Q7198" s="8" t="s">
        <v>65</v>
      </c>
      <c r="R7198" s="10" t="s">
        <v>40753</v>
      </c>
      <c r="S7198" s="11"/>
      <c r="T7198" s="6"/>
      <c r="U7198" s="15" t="str">
        <f>HYPERLINK("https://media.infra-m.ru/2261/2261558/cover/2261558.jpg", "Обложка")</f>
        <v>Обложка</v>
      </c>
      <c r="V7198" s="8" t="s">
        <v>644</v>
      </c>
      <c r="W7198" s="6"/>
      <c r="X7198" s="6" t="s">
        <v>24</v>
      </c>
      <c r="Y7198" s="6"/>
      <c r="Z7198" s="6"/>
      <c r="AA7198" s="6" t="s">
        <v>40754</v>
      </c>
      <c r="AB7198" s="8"/>
      <c r="AC7198" s="27">
        <v>9785160104171</v>
      </c>
    </row>
    <row r="7199" spans="1:29" s="4" customFormat="1" ht="51.9" customHeight="1" x14ac:dyDescent="0.2">
      <c r="A7199" s="5">
        <v>0</v>
      </c>
      <c r="B7199" s="6" t="s">
        <v>40755</v>
      </c>
      <c r="C7199" s="7">
        <v>1696.8</v>
      </c>
      <c r="D7199" s="8" t="s">
        <v>40756</v>
      </c>
      <c r="E7199" s="8" t="s">
        <v>40757</v>
      </c>
      <c r="F7199" s="8" t="s">
        <v>40758</v>
      </c>
      <c r="G7199" s="6" t="s">
        <v>60</v>
      </c>
      <c r="H7199" s="6" t="s">
        <v>34</v>
      </c>
      <c r="I7199" s="8" t="s">
        <v>271</v>
      </c>
      <c r="J7199" s="9">
        <v>1</v>
      </c>
      <c r="K7199" s="9">
        <v>239</v>
      </c>
      <c r="L7199" s="9">
        <v>2027</v>
      </c>
      <c r="M7199" s="8" t="s">
        <v>40759</v>
      </c>
      <c r="N7199" s="8" t="s">
        <v>37</v>
      </c>
      <c r="O7199" s="8" t="s">
        <v>233</v>
      </c>
      <c r="P7199" s="6" t="s">
        <v>51</v>
      </c>
      <c r="Q7199" s="8" t="s">
        <v>52</v>
      </c>
      <c r="R7199" s="10" t="s">
        <v>40760</v>
      </c>
      <c r="S7199" s="11" t="s">
        <v>40761</v>
      </c>
      <c r="T7199" s="6"/>
      <c r="U7199" s="15" t="str">
        <f>HYPERLINK("https://media.infra-m.ru/2264/2264769/cover/2264769.jpg", "Обложка")</f>
        <v>Обложка</v>
      </c>
      <c r="V7199" s="8" t="s">
        <v>247</v>
      </c>
      <c r="W7199" s="6"/>
      <c r="X7199" s="6"/>
      <c r="Y7199" s="6"/>
      <c r="Z7199" s="6"/>
      <c r="AA7199" s="6" t="s">
        <v>248</v>
      </c>
      <c r="AB7199" s="8"/>
      <c r="AC7199" s="27">
        <v>9785160095776</v>
      </c>
    </row>
    <row r="7200" spans="1:29" s="4" customFormat="1" ht="51.9" customHeight="1" x14ac:dyDescent="0.2">
      <c r="A7200" s="5">
        <v>0</v>
      </c>
      <c r="B7200" s="6" t="s">
        <v>40762</v>
      </c>
      <c r="C7200" s="7">
        <v>2644.8</v>
      </c>
      <c r="D7200" s="8" t="s">
        <v>40763</v>
      </c>
      <c r="E7200" s="8" t="s">
        <v>40764</v>
      </c>
      <c r="F7200" s="8" t="s">
        <v>40765</v>
      </c>
      <c r="G7200" s="6" t="s">
        <v>60</v>
      </c>
      <c r="H7200" s="6" t="s">
        <v>48</v>
      </c>
      <c r="I7200" s="8" t="s">
        <v>401</v>
      </c>
      <c r="J7200" s="9">
        <v>1</v>
      </c>
      <c r="K7200" s="9">
        <v>400</v>
      </c>
      <c r="L7200" s="9">
        <v>2026</v>
      </c>
      <c r="M7200" s="8" t="s">
        <v>40766</v>
      </c>
      <c r="N7200" s="8" t="s">
        <v>243</v>
      </c>
      <c r="O7200" s="8" t="s">
        <v>758</v>
      </c>
      <c r="P7200" s="6" t="s">
        <v>51</v>
      </c>
      <c r="Q7200" s="8" t="s">
        <v>265</v>
      </c>
      <c r="R7200" s="10" t="s">
        <v>40767</v>
      </c>
      <c r="S7200" s="11"/>
      <c r="T7200" s="6"/>
      <c r="U7200" s="15" t="str">
        <f>HYPERLINK("https://media.infra-m.ru/2241/2241221/cover/2241221.jpg", "Обложка")</f>
        <v>Обложка</v>
      </c>
      <c r="V7200" s="8" t="s">
        <v>227</v>
      </c>
      <c r="W7200" s="6"/>
      <c r="X7200" s="6"/>
      <c r="Y7200" s="6"/>
      <c r="Z7200" s="6"/>
      <c r="AA7200" s="6" t="s">
        <v>40768</v>
      </c>
      <c r="AB7200" s="8"/>
      <c r="AC7200" s="27">
        <v>9785911348441</v>
      </c>
    </row>
    <row r="7201" spans="1:29" s="4" customFormat="1" ht="51.9" customHeight="1" x14ac:dyDescent="0.2">
      <c r="A7201" s="5">
        <v>0</v>
      </c>
      <c r="B7201" s="6" t="s">
        <v>40769</v>
      </c>
      <c r="C7201" s="7">
        <v>2008.8</v>
      </c>
      <c r="D7201" s="8" t="s">
        <v>40770</v>
      </c>
      <c r="E7201" s="8" t="s">
        <v>40771</v>
      </c>
      <c r="F7201" s="8" t="s">
        <v>20707</v>
      </c>
      <c r="G7201" s="6" t="s">
        <v>118</v>
      </c>
      <c r="H7201" s="6" t="s">
        <v>1042</v>
      </c>
      <c r="I7201" s="8" t="s">
        <v>263</v>
      </c>
      <c r="J7201" s="9">
        <v>1</v>
      </c>
      <c r="K7201" s="9">
        <v>304</v>
      </c>
      <c r="L7201" s="9">
        <v>2026</v>
      </c>
      <c r="M7201" s="8" t="s">
        <v>40772</v>
      </c>
      <c r="N7201" s="8" t="s">
        <v>243</v>
      </c>
      <c r="O7201" s="8" t="s">
        <v>758</v>
      </c>
      <c r="P7201" s="6" t="s">
        <v>51</v>
      </c>
      <c r="Q7201" s="8" t="s">
        <v>265</v>
      </c>
      <c r="R7201" s="10" t="s">
        <v>40773</v>
      </c>
      <c r="S7201" s="11" t="s">
        <v>34803</v>
      </c>
      <c r="T7201" s="6"/>
      <c r="U7201" s="15" t="str">
        <f>HYPERLINK("https://media.infra-m.ru/2230/2230619/cover/2230619.jpg", "Обложка")</f>
        <v>Обложка</v>
      </c>
      <c r="V7201" s="8" t="s">
        <v>831</v>
      </c>
      <c r="W7201" s="6"/>
      <c r="X7201" s="6"/>
      <c r="Y7201" s="6"/>
      <c r="Z7201" s="6"/>
      <c r="AA7201" s="6" t="s">
        <v>248</v>
      </c>
      <c r="AB7201" s="8"/>
      <c r="AC7201" s="27">
        <v>9785819908952</v>
      </c>
    </row>
    <row r="7202" spans="1:29" s="4" customFormat="1" ht="51.9" customHeight="1" x14ac:dyDescent="0.2">
      <c r="A7202" s="5">
        <v>0</v>
      </c>
      <c r="B7202" s="6" t="s">
        <v>40774</v>
      </c>
      <c r="C7202" s="7">
        <v>2796</v>
      </c>
      <c r="D7202" s="8" t="s">
        <v>40775</v>
      </c>
      <c r="E7202" s="8" t="s">
        <v>40776</v>
      </c>
      <c r="F7202" s="8" t="s">
        <v>40777</v>
      </c>
      <c r="G7202" s="6" t="s">
        <v>60</v>
      </c>
      <c r="H7202" s="6" t="s">
        <v>34</v>
      </c>
      <c r="I7202" s="8" t="s">
        <v>599</v>
      </c>
      <c r="J7202" s="9">
        <v>1</v>
      </c>
      <c r="K7202" s="9">
        <v>424</v>
      </c>
      <c r="L7202" s="9">
        <v>2027</v>
      </c>
      <c r="M7202" s="8" t="s">
        <v>40778</v>
      </c>
      <c r="N7202" s="8" t="s">
        <v>37</v>
      </c>
      <c r="O7202" s="8" t="s">
        <v>233</v>
      </c>
      <c r="P7202" s="6" t="s">
        <v>759</v>
      </c>
      <c r="Q7202" s="8" t="s">
        <v>40</v>
      </c>
      <c r="R7202" s="10" t="s">
        <v>40779</v>
      </c>
      <c r="S7202" s="11"/>
      <c r="T7202" s="6"/>
      <c r="U7202" s="15" t="str">
        <f>HYPERLINK("https://media.infra-m.ru/2249/2249330/cover/2249330.jpg", "Обложка")</f>
        <v>Обложка</v>
      </c>
      <c r="V7202" s="8" t="s">
        <v>396</v>
      </c>
      <c r="W7202" s="6"/>
      <c r="X7202" s="6"/>
      <c r="Y7202" s="6"/>
      <c r="Z7202" s="6"/>
      <c r="AA7202" s="6" t="s">
        <v>99</v>
      </c>
      <c r="AB7202" s="8"/>
      <c r="AC7202" s="27">
        <v>9785160124247</v>
      </c>
    </row>
    <row r="7203" spans="1:29" s="4" customFormat="1" ht="51.9" customHeight="1" x14ac:dyDescent="0.2">
      <c r="A7203" s="5">
        <v>0</v>
      </c>
      <c r="B7203" s="6" t="s">
        <v>40780</v>
      </c>
      <c r="C7203" s="7">
        <v>1764</v>
      </c>
      <c r="D7203" s="8" t="s">
        <v>40781</v>
      </c>
      <c r="E7203" s="8" t="s">
        <v>40782</v>
      </c>
      <c r="F7203" s="8" t="s">
        <v>40783</v>
      </c>
      <c r="G7203" s="6" t="s">
        <v>118</v>
      </c>
      <c r="H7203" s="6" t="s">
        <v>34</v>
      </c>
      <c r="I7203" s="8" t="s">
        <v>263</v>
      </c>
      <c r="J7203" s="9">
        <v>1</v>
      </c>
      <c r="K7203" s="9">
        <v>262</v>
      </c>
      <c r="L7203" s="9">
        <v>2026</v>
      </c>
      <c r="M7203" s="8" t="s">
        <v>40784</v>
      </c>
      <c r="N7203" s="8" t="s">
        <v>243</v>
      </c>
      <c r="O7203" s="8" t="s">
        <v>758</v>
      </c>
      <c r="P7203" s="6" t="s">
        <v>759</v>
      </c>
      <c r="Q7203" s="8" t="s">
        <v>265</v>
      </c>
      <c r="R7203" s="10" t="s">
        <v>40785</v>
      </c>
      <c r="S7203" s="11"/>
      <c r="T7203" s="6"/>
      <c r="U7203" s="15" t="str">
        <f>HYPERLINK("https://media.infra-m.ru/2224/2224064/cover/2224064.jpg", "Обложка")</f>
        <v>Обложка</v>
      </c>
      <c r="V7203" s="8" t="s">
        <v>227</v>
      </c>
      <c r="W7203" s="6"/>
      <c r="X7203" s="6"/>
      <c r="Y7203" s="6"/>
      <c r="Z7203" s="6"/>
      <c r="AA7203" s="6" t="s">
        <v>1303</v>
      </c>
      <c r="AB7203" s="8"/>
      <c r="AC7203" s="27">
        <v>9785160176154</v>
      </c>
    </row>
    <row r="7204" spans="1:29" s="4" customFormat="1" ht="51.9" customHeight="1" x14ac:dyDescent="0.2">
      <c r="A7204" s="5">
        <v>0</v>
      </c>
      <c r="B7204" s="6" t="s">
        <v>40786</v>
      </c>
      <c r="C7204" s="7">
        <v>2724</v>
      </c>
      <c r="D7204" s="8" t="s">
        <v>40787</v>
      </c>
      <c r="E7204" s="8" t="s">
        <v>40788</v>
      </c>
      <c r="F7204" s="8" t="s">
        <v>31791</v>
      </c>
      <c r="G7204" s="6" t="s">
        <v>60</v>
      </c>
      <c r="H7204" s="6" t="s">
        <v>34</v>
      </c>
      <c r="I7204" s="8" t="s">
        <v>263</v>
      </c>
      <c r="J7204" s="9">
        <v>1</v>
      </c>
      <c r="K7204" s="9">
        <v>412</v>
      </c>
      <c r="L7204" s="9">
        <v>2026</v>
      </c>
      <c r="M7204" s="8" t="s">
        <v>40789</v>
      </c>
      <c r="N7204" s="8" t="s">
        <v>243</v>
      </c>
      <c r="O7204" s="8" t="s">
        <v>758</v>
      </c>
      <c r="P7204" s="6" t="s">
        <v>51</v>
      </c>
      <c r="Q7204" s="8" t="s">
        <v>265</v>
      </c>
      <c r="R7204" s="10" t="s">
        <v>40790</v>
      </c>
      <c r="S7204" s="11" t="s">
        <v>40791</v>
      </c>
      <c r="T7204" s="6"/>
      <c r="U7204" s="15" t="str">
        <f>HYPERLINK("https://media.infra-m.ru/2239/2239062/cover/2239062.jpg", "Обложка")</f>
        <v>Обложка</v>
      </c>
      <c r="V7204" s="8" t="s">
        <v>227</v>
      </c>
      <c r="W7204" s="6"/>
      <c r="X7204" s="6" t="s">
        <v>24</v>
      </c>
      <c r="Y7204" s="6"/>
      <c r="Z7204" s="6"/>
      <c r="AA7204" s="6" t="s">
        <v>7875</v>
      </c>
      <c r="AB7204" s="8"/>
      <c r="AC7204" s="27">
        <v>9785160125268</v>
      </c>
    </row>
    <row r="7205" spans="1:29" s="4" customFormat="1" ht="51.9" customHeight="1" x14ac:dyDescent="0.2">
      <c r="A7205" s="5">
        <v>0</v>
      </c>
      <c r="B7205" s="6" t="s">
        <v>40792</v>
      </c>
      <c r="C7205" s="13">
        <v>940.8</v>
      </c>
      <c r="D7205" s="8" t="s">
        <v>40793</v>
      </c>
      <c r="E7205" s="8" t="s">
        <v>40794</v>
      </c>
      <c r="F7205" s="8" t="s">
        <v>36483</v>
      </c>
      <c r="G7205" s="6" t="s">
        <v>33</v>
      </c>
      <c r="H7205" s="6" t="s">
        <v>34</v>
      </c>
      <c r="I7205" s="8" t="s">
        <v>263</v>
      </c>
      <c r="J7205" s="9">
        <v>1</v>
      </c>
      <c r="K7205" s="9">
        <v>136</v>
      </c>
      <c r="L7205" s="9">
        <v>2026</v>
      </c>
      <c r="M7205" s="8" t="s">
        <v>40795</v>
      </c>
      <c r="N7205" s="8" t="s">
        <v>243</v>
      </c>
      <c r="O7205" s="8" t="s">
        <v>758</v>
      </c>
      <c r="P7205" s="6" t="s">
        <v>51</v>
      </c>
      <c r="Q7205" s="8" t="s">
        <v>265</v>
      </c>
      <c r="R7205" s="10" t="s">
        <v>40796</v>
      </c>
      <c r="S7205" s="11" t="s">
        <v>40797</v>
      </c>
      <c r="T7205" s="6"/>
      <c r="U7205" s="15" t="str">
        <f>HYPERLINK("https://media.infra-m.ru/2251/2251184/cover/2251184.jpg", "Обложка")</f>
        <v>Обложка</v>
      </c>
      <c r="V7205" s="8" t="s">
        <v>3297</v>
      </c>
      <c r="W7205" s="6"/>
      <c r="X7205" s="6"/>
      <c r="Y7205" s="6"/>
      <c r="Z7205" s="6"/>
      <c r="AA7205" s="6" t="s">
        <v>3800</v>
      </c>
      <c r="AB7205" s="8"/>
      <c r="AC7205" s="27">
        <v>9785160134246</v>
      </c>
    </row>
    <row r="7206" spans="1:29" s="4" customFormat="1" ht="51.9" customHeight="1" x14ac:dyDescent="0.2">
      <c r="A7206" s="5">
        <v>0</v>
      </c>
      <c r="B7206" s="6" t="s">
        <v>40798</v>
      </c>
      <c r="C7206" s="7">
        <v>3352.8</v>
      </c>
      <c r="D7206" s="8" t="s">
        <v>40799</v>
      </c>
      <c r="E7206" s="8" t="s">
        <v>40800</v>
      </c>
      <c r="F7206" s="8" t="s">
        <v>40801</v>
      </c>
      <c r="G7206" s="6" t="s">
        <v>60</v>
      </c>
      <c r="H7206" s="6" t="s">
        <v>134</v>
      </c>
      <c r="I7206" s="8"/>
      <c r="J7206" s="9">
        <v>1</v>
      </c>
      <c r="K7206" s="9">
        <v>544</v>
      </c>
      <c r="L7206" s="9">
        <v>2026</v>
      </c>
      <c r="M7206" s="8" t="s">
        <v>40802</v>
      </c>
      <c r="N7206" s="8" t="s">
        <v>37</v>
      </c>
      <c r="O7206" s="8" t="s">
        <v>136</v>
      </c>
      <c r="P7206" s="6" t="s">
        <v>306</v>
      </c>
      <c r="Q7206" s="8" t="s">
        <v>65</v>
      </c>
      <c r="R7206" s="10" t="s">
        <v>1068</v>
      </c>
      <c r="S7206" s="11"/>
      <c r="T7206" s="6"/>
      <c r="U7206" s="15" t="str">
        <f>HYPERLINK("https://media.infra-m.ru/2242/2242699/cover/2242699.jpg", "Обложка")</f>
        <v>Обложка</v>
      </c>
      <c r="V7206" s="8" t="s">
        <v>1647</v>
      </c>
      <c r="W7206" s="6"/>
      <c r="X7206" s="6"/>
      <c r="Y7206" s="6"/>
      <c r="Z7206" s="6"/>
      <c r="AA7206" s="6" t="s">
        <v>76</v>
      </c>
      <c r="AB7206" s="8"/>
      <c r="AC7206" s="27">
        <v>9785001563082</v>
      </c>
    </row>
    <row r="7207" spans="1:29" s="4" customFormat="1" ht="51.9" customHeight="1" x14ac:dyDescent="0.2">
      <c r="A7207" s="5">
        <v>0</v>
      </c>
      <c r="B7207" s="6" t="s">
        <v>40803</v>
      </c>
      <c r="C7207" s="7">
        <v>3472.8</v>
      </c>
      <c r="D7207" s="8" t="s">
        <v>40804</v>
      </c>
      <c r="E7207" s="8" t="s">
        <v>40805</v>
      </c>
      <c r="F7207" s="8" t="s">
        <v>40801</v>
      </c>
      <c r="G7207" s="6" t="s">
        <v>60</v>
      </c>
      <c r="H7207" s="6" t="s">
        <v>134</v>
      </c>
      <c r="I7207" s="8"/>
      <c r="J7207" s="9">
        <v>1</v>
      </c>
      <c r="K7207" s="9">
        <v>624</v>
      </c>
      <c r="L7207" s="9">
        <v>2026</v>
      </c>
      <c r="M7207" s="8" t="s">
        <v>40806</v>
      </c>
      <c r="N7207" s="8" t="s">
        <v>37</v>
      </c>
      <c r="O7207" s="8" t="s">
        <v>136</v>
      </c>
      <c r="P7207" s="6" t="s">
        <v>306</v>
      </c>
      <c r="Q7207" s="8" t="s">
        <v>65</v>
      </c>
      <c r="R7207" s="10" t="s">
        <v>1068</v>
      </c>
      <c r="S7207" s="11"/>
      <c r="T7207" s="6"/>
      <c r="U7207" s="15" t="str">
        <f>HYPERLINK("https://media.infra-m.ru/2242/2242700/cover/2242700.jpg", "Обложка")</f>
        <v>Обложка</v>
      </c>
      <c r="V7207" s="8" t="s">
        <v>1647</v>
      </c>
      <c r="W7207" s="6"/>
      <c r="X7207" s="6"/>
      <c r="Y7207" s="6"/>
      <c r="Z7207" s="6"/>
      <c r="AA7207" s="6" t="s">
        <v>76</v>
      </c>
      <c r="AB7207" s="8"/>
      <c r="AC7207" s="27">
        <v>9785001563174</v>
      </c>
    </row>
    <row r="7208" spans="1:29" s="4" customFormat="1" ht="42" customHeight="1" x14ac:dyDescent="0.2">
      <c r="A7208" s="5">
        <v>0</v>
      </c>
      <c r="B7208" s="6" t="s">
        <v>40807</v>
      </c>
      <c r="C7208" s="7">
        <v>2304</v>
      </c>
      <c r="D7208" s="8" t="s">
        <v>40808</v>
      </c>
      <c r="E7208" s="8" t="s">
        <v>40809</v>
      </c>
      <c r="F7208" s="8" t="s">
        <v>40810</v>
      </c>
      <c r="G7208" s="6" t="s">
        <v>118</v>
      </c>
      <c r="H7208" s="6" t="s">
        <v>134</v>
      </c>
      <c r="I7208" s="8"/>
      <c r="J7208" s="9">
        <v>1</v>
      </c>
      <c r="K7208" s="9">
        <v>368</v>
      </c>
      <c r="L7208" s="9">
        <v>2026</v>
      </c>
      <c r="M7208" s="8" t="s">
        <v>40811</v>
      </c>
      <c r="N7208" s="8" t="s">
        <v>37</v>
      </c>
      <c r="O7208" s="8" t="s">
        <v>136</v>
      </c>
      <c r="P7208" s="6" t="s">
        <v>39</v>
      </c>
      <c r="Q7208" s="8" t="s">
        <v>40</v>
      </c>
      <c r="R7208" s="10" t="s">
        <v>1625</v>
      </c>
      <c r="S7208" s="11"/>
      <c r="T7208" s="6"/>
      <c r="U7208" s="15" t="str">
        <f>HYPERLINK("https://media.infra-m.ru/2218/2218401/cover/2218401.jpg", "Обложка")</f>
        <v>Обложка</v>
      </c>
      <c r="V7208" s="8" t="s">
        <v>677</v>
      </c>
      <c r="W7208" s="6"/>
      <c r="X7208" s="6"/>
      <c r="Y7208" s="6"/>
      <c r="Z7208" s="6"/>
      <c r="AA7208" s="6" t="s">
        <v>43</v>
      </c>
      <c r="AB7208" s="8"/>
      <c r="AC7208" s="27">
        <v>9785917683225</v>
      </c>
    </row>
    <row r="7209" spans="1:29" s="4" customFormat="1" ht="44.1" customHeight="1" x14ac:dyDescent="0.2">
      <c r="A7209" s="5">
        <v>0</v>
      </c>
      <c r="B7209" s="6" t="s">
        <v>40812</v>
      </c>
      <c r="C7209" s="7">
        <v>1708.8</v>
      </c>
      <c r="D7209" s="8" t="s">
        <v>40813</v>
      </c>
      <c r="E7209" s="8" t="s">
        <v>40814</v>
      </c>
      <c r="F7209" s="8" t="s">
        <v>40815</v>
      </c>
      <c r="G7209" s="6" t="s">
        <v>60</v>
      </c>
      <c r="H7209" s="6" t="s">
        <v>313</v>
      </c>
      <c r="I7209" s="8" t="s">
        <v>35</v>
      </c>
      <c r="J7209" s="9">
        <v>1</v>
      </c>
      <c r="K7209" s="9">
        <v>245</v>
      </c>
      <c r="L7209" s="9">
        <v>2026</v>
      </c>
      <c r="M7209" s="8" t="s">
        <v>40816</v>
      </c>
      <c r="N7209" s="8" t="s">
        <v>37</v>
      </c>
      <c r="O7209" s="8" t="s">
        <v>136</v>
      </c>
      <c r="P7209" s="6" t="s">
        <v>39</v>
      </c>
      <c r="Q7209" s="8" t="s">
        <v>40</v>
      </c>
      <c r="R7209" s="10" t="s">
        <v>40817</v>
      </c>
      <c r="S7209" s="11"/>
      <c r="T7209" s="6"/>
      <c r="U7209" s="15" t="str">
        <f>HYPERLINK("https://media.infra-m.ru/2255/2255686/cover/2255686.jpg", "Обложка")</f>
        <v>Обложка</v>
      </c>
      <c r="V7209" s="8" t="s">
        <v>6224</v>
      </c>
      <c r="W7209" s="6"/>
      <c r="X7209" s="6"/>
      <c r="Y7209" s="6"/>
      <c r="Z7209" s="6"/>
      <c r="AA7209" s="6" t="s">
        <v>157</v>
      </c>
      <c r="AB7209" s="8"/>
      <c r="AC7209" s="27">
        <v>9785369019191</v>
      </c>
    </row>
    <row r="7210" spans="1:29" s="4" customFormat="1" ht="51.9" customHeight="1" x14ac:dyDescent="0.2">
      <c r="A7210" s="5">
        <v>0</v>
      </c>
      <c r="B7210" s="6" t="s">
        <v>40818</v>
      </c>
      <c r="C7210" s="7">
        <v>2788.8</v>
      </c>
      <c r="D7210" s="8" t="s">
        <v>40819</v>
      </c>
      <c r="E7210" s="8" t="s">
        <v>40814</v>
      </c>
      <c r="F7210" s="8" t="s">
        <v>6215</v>
      </c>
      <c r="G7210" s="6" t="s">
        <v>118</v>
      </c>
      <c r="H7210" s="6" t="s">
        <v>134</v>
      </c>
      <c r="I7210" s="8"/>
      <c r="J7210" s="9">
        <v>1</v>
      </c>
      <c r="K7210" s="9">
        <v>448</v>
      </c>
      <c r="L7210" s="9">
        <v>2026</v>
      </c>
      <c r="M7210" s="8" t="s">
        <v>40820</v>
      </c>
      <c r="N7210" s="8" t="s">
        <v>37</v>
      </c>
      <c r="O7210" s="8" t="s">
        <v>136</v>
      </c>
      <c r="P7210" s="6" t="s">
        <v>51</v>
      </c>
      <c r="Q7210" s="8" t="s">
        <v>52</v>
      </c>
      <c r="R7210" s="10" t="s">
        <v>15781</v>
      </c>
      <c r="S7210" s="11"/>
      <c r="T7210" s="6"/>
      <c r="U7210" s="15" t="str">
        <f>HYPERLINK("https://media.infra-m.ru/2218/2218691/cover/2218691.jpg", "Обложка")</f>
        <v>Обложка</v>
      </c>
      <c r="V7210" s="8" t="s">
        <v>1069</v>
      </c>
      <c r="W7210" s="6"/>
      <c r="X7210" s="6"/>
      <c r="Y7210" s="6"/>
      <c r="Z7210" s="6"/>
      <c r="AA7210" s="6" t="s">
        <v>129</v>
      </c>
      <c r="AB7210" s="8"/>
      <c r="AC7210" s="27">
        <v>9785917681443</v>
      </c>
    </row>
    <row r="7211" spans="1:29" s="4" customFormat="1" ht="51.9" customHeight="1" x14ac:dyDescent="0.2">
      <c r="A7211" s="5">
        <v>0</v>
      </c>
      <c r="B7211" s="6" t="s">
        <v>40821</v>
      </c>
      <c r="C7211" s="7">
        <v>3118.8</v>
      </c>
      <c r="D7211" s="8" t="s">
        <v>40822</v>
      </c>
      <c r="E7211" s="8" t="s">
        <v>40823</v>
      </c>
      <c r="F7211" s="8" t="s">
        <v>10001</v>
      </c>
      <c r="G7211" s="6" t="s">
        <v>60</v>
      </c>
      <c r="H7211" s="6" t="s">
        <v>134</v>
      </c>
      <c r="I7211" s="8"/>
      <c r="J7211" s="9">
        <v>1</v>
      </c>
      <c r="K7211" s="9">
        <v>264</v>
      </c>
      <c r="L7211" s="9">
        <v>2026</v>
      </c>
      <c r="M7211" s="8" t="s">
        <v>40824</v>
      </c>
      <c r="N7211" s="8" t="s">
        <v>37</v>
      </c>
      <c r="O7211" s="8" t="s">
        <v>136</v>
      </c>
      <c r="P7211" s="6" t="s">
        <v>39</v>
      </c>
      <c r="Q7211" s="8"/>
      <c r="R7211" s="10" t="s">
        <v>15797</v>
      </c>
      <c r="S7211" s="11"/>
      <c r="T7211" s="6"/>
      <c r="U7211" s="15" t="str">
        <f>HYPERLINK("https://media.infra-m.ru/2258/2258727/cover/2258727.jpg", "Обложка")</f>
        <v>Обложка</v>
      </c>
      <c r="V7211" s="8" t="s">
        <v>138</v>
      </c>
      <c r="W7211" s="6"/>
      <c r="X7211" s="6"/>
      <c r="Y7211" s="6"/>
      <c r="Z7211" s="6"/>
      <c r="AA7211" s="6" t="s">
        <v>68</v>
      </c>
      <c r="AB7211" s="8"/>
      <c r="AC7211" s="27">
        <v>9785001564003</v>
      </c>
    </row>
    <row r="7212" spans="1:29" s="4" customFormat="1" ht="51.9" customHeight="1" x14ac:dyDescent="0.2">
      <c r="A7212" s="5">
        <v>0</v>
      </c>
      <c r="B7212" s="6" t="s">
        <v>40825</v>
      </c>
      <c r="C7212" s="7">
        <v>2112</v>
      </c>
      <c r="D7212" s="8" t="s">
        <v>40826</v>
      </c>
      <c r="E7212" s="8" t="s">
        <v>40827</v>
      </c>
      <c r="F7212" s="8" t="s">
        <v>40828</v>
      </c>
      <c r="G7212" s="6" t="s">
        <v>118</v>
      </c>
      <c r="H7212" s="6" t="s">
        <v>134</v>
      </c>
      <c r="I7212" s="8" t="s">
        <v>10823</v>
      </c>
      <c r="J7212" s="9">
        <v>1</v>
      </c>
      <c r="K7212" s="9">
        <v>320</v>
      </c>
      <c r="L7212" s="9">
        <v>2026</v>
      </c>
      <c r="M7212" s="8" t="s">
        <v>40829</v>
      </c>
      <c r="N7212" s="8" t="s">
        <v>37</v>
      </c>
      <c r="O7212" s="8" t="s">
        <v>136</v>
      </c>
      <c r="P7212" s="6" t="s">
        <v>306</v>
      </c>
      <c r="Q7212" s="8" t="s">
        <v>65</v>
      </c>
      <c r="R7212" s="10" t="s">
        <v>1275</v>
      </c>
      <c r="S7212" s="11"/>
      <c r="T7212" s="6"/>
      <c r="U7212" s="15" t="str">
        <f>HYPERLINK("https://media.infra-m.ru/2227/2227745/cover/2227745.jpg", "Обложка")</f>
        <v>Обложка</v>
      </c>
      <c r="V7212" s="8"/>
      <c r="W7212" s="6"/>
      <c r="X7212" s="6"/>
      <c r="Y7212" s="6"/>
      <c r="Z7212" s="6"/>
      <c r="AA7212" s="6" t="s">
        <v>1256</v>
      </c>
      <c r="AB7212" s="8"/>
      <c r="AC7212" s="27">
        <v>9785001560210</v>
      </c>
    </row>
    <row r="7213" spans="1:29" s="4" customFormat="1" ht="51.9" customHeight="1" x14ac:dyDescent="0.2">
      <c r="A7213" s="5">
        <v>0</v>
      </c>
      <c r="B7213" s="6" t="s">
        <v>40830</v>
      </c>
      <c r="C7213" s="7">
        <v>2448</v>
      </c>
      <c r="D7213" s="8" t="s">
        <v>40831</v>
      </c>
      <c r="E7213" s="8" t="s">
        <v>40832</v>
      </c>
      <c r="F7213" s="8" t="s">
        <v>40828</v>
      </c>
      <c r="G7213" s="6" t="s">
        <v>118</v>
      </c>
      <c r="H7213" s="6" t="s">
        <v>134</v>
      </c>
      <c r="I7213" s="8" t="s">
        <v>10823</v>
      </c>
      <c r="J7213" s="9">
        <v>1</v>
      </c>
      <c r="K7213" s="9">
        <v>352</v>
      </c>
      <c r="L7213" s="9">
        <v>2027</v>
      </c>
      <c r="M7213" s="8" t="s">
        <v>40833</v>
      </c>
      <c r="N7213" s="8" t="s">
        <v>37</v>
      </c>
      <c r="O7213" s="8" t="s">
        <v>136</v>
      </c>
      <c r="P7213" s="6" t="s">
        <v>306</v>
      </c>
      <c r="Q7213" s="8" t="s">
        <v>65</v>
      </c>
      <c r="R7213" s="10" t="s">
        <v>1275</v>
      </c>
      <c r="S7213" s="11"/>
      <c r="T7213" s="6"/>
      <c r="U7213" s="15" t="str">
        <f>HYPERLINK("https://media.infra-m.ru/2266/2266745/cover/2266745.jpg", "Обложка")</f>
        <v>Обложка</v>
      </c>
      <c r="V7213" s="8"/>
      <c r="W7213" s="6" t="s">
        <v>2115</v>
      </c>
      <c r="X7213" s="6"/>
      <c r="Y7213" s="6"/>
      <c r="Z7213" s="6"/>
      <c r="AA7213" s="6" t="s">
        <v>1256</v>
      </c>
      <c r="AB7213" s="8"/>
      <c r="AC7213" s="27">
        <v>9785001564980</v>
      </c>
    </row>
    <row r="7214" spans="1:29" s="4" customFormat="1" ht="51.9" customHeight="1" x14ac:dyDescent="0.2">
      <c r="A7214" s="5">
        <v>0</v>
      </c>
      <c r="B7214" s="6" t="s">
        <v>40834</v>
      </c>
      <c r="C7214" s="7">
        <v>2116.8000000000002</v>
      </c>
      <c r="D7214" s="8" t="s">
        <v>40835</v>
      </c>
      <c r="E7214" s="8" t="s">
        <v>40832</v>
      </c>
      <c r="F7214" s="8" t="s">
        <v>6215</v>
      </c>
      <c r="G7214" s="6" t="s">
        <v>118</v>
      </c>
      <c r="H7214" s="6" t="s">
        <v>134</v>
      </c>
      <c r="I7214" s="8"/>
      <c r="J7214" s="9">
        <v>1</v>
      </c>
      <c r="K7214" s="9">
        <v>320</v>
      </c>
      <c r="L7214" s="9">
        <v>2026</v>
      </c>
      <c r="M7214" s="8" t="s">
        <v>40836</v>
      </c>
      <c r="N7214" s="8" t="s">
        <v>37</v>
      </c>
      <c r="O7214" s="8" t="s">
        <v>136</v>
      </c>
      <c r="P7214" s="6" t="s">
        <v>306</v>
      </c>
      <c r="Q7214" s="8" t="s">
        <v>500</v>
      </c>
      <c r="R7214" s="10" t="s">
        <v>1275</v>
      </c>
      <c r="S7214" s="11"/>
      <c r="T7214" s="6"/>
      <c r="U7214" s="15" t="str">
        <f>HYPERLINK("https://media.infra-m.ru/2227/2227715/cover/2227715.jpg", "Обложка")</f>
        <v>Обложка</v>
      </c>
      <c r="V7214" s="8" t="s">
        <v>1069</v>
      </c>
      <c r="W7214" s="6"/>
      <c r="X7214" s="6"/>
      <c r="Y7214" s="6"/>
      <c r="Z7214" s="6"/>
      <c r="AA7214" s="6" t="s">
        <v>874</v>
      </c>
      <c r="AB7214" s="8"/>
      <c r="AC7214" s="27">
        <v>9785917686189</v>
      </c>
    </row>
    <row r="7215" spans="1:29" s="4" customFormat="1" ht="42" customHeight="1" x14ac:dyDescent="0.2">
      <c r="A7215" s="5">
        <v>0</v>
      </c>
      <c r="B7215" s="6" t="s">
        <v>40837</v>
      </c>
      <c r="C7215" s="7">
        <v>1948.8</v>
      </c>
      <c r="D7215" s="8" t="s">
        <v>40838</v>
      </c>
      <c r="E7215" s="8" t="s">
        <v>40827</v>
      </c>
      <c r="F7215" s="8" t="s">
        <v>40839</v>
      </c>
      <c r="G7215" s="6" t="s">
        <v>60</v>
      </c>
      <c r="H7215" s="6" t="s">
        <v>1779</v>
      </c>
      <c r="I7215" s="8" t="s">
        <v>40840</v>
      </c>
      <c r="J7215" s="9">
        <v>1</v>
      </c>
      <c r="K7215" s="9">
        <v>352</v>
      </c>
      <c r="L7215" s="9">
        <v>2024</v>
      </c>
      <c r="M7215" s="8" t="s">
        <v>40841</v>
      </c>
      <c r="N7215" s="8" t="s">
        <v>37</v>
      </c>
      <c r="O7215" s="8" t="s">
        <v>136</v>
      </c>
      <c r="P7215" s="6" t="s">
        <v>13440</v>
      </c>
      <c r="Q7215" s="8" t="s">
        <v>52</v>
      </c>
      <c r="R7215" s="10" t="s">
        <v>1625</v>
      </c>
      <c r="S7215" s="11"/>
      <c r="T7215" s="6"/>
      <c r="U7215" s="15" t="str">
        <f>HYPERLINK("https://media.infra-m.ru/1855/1855798/cover/1855798.jpg", "Обложка")</f>
        <v>Обложка</v>
      </c>
      <c r="V7215" s="8" t="s">
        <v>1069</v>
      </c>
      <c r="W7215" s="6"/>
      <c r="X7215" s="6"/>
      <c r="Y7215" s="6"/>
      <c r="Z7215" s="6"/>
      <c r="AA7215" s="6" t="s">
        <v>1047</v>
      </c>
      <c r="AB7215" s="8"/>
      <c r="AC7215" s="27">
        <v>9785468001868</v>
      </c>
    </row>
    <row r="7216" spans="1:29" s="4" customFormat="1" ht="51.9" customHeight="1" x14ac:dyDescent="0.2">
      <c r="A7216" s="5">
        <v>0</v>
      </c>
      <c r="B7216" s="6" t="s">
        <v>40842</v>
      </c>
      <c r="C7216" s="7">
        <v>1944</v>
      </c>
      <c r="D7216" s="8" t="s">
        <v>40843</v>
      </c>
      <c r="E7216" s="8" t="s">
        <v>40844</v>
      </c>
      <c r="F7216" s="8" t="s">
        <v>17737</v>
      </c>
      <c r="G7216" s="6" t="s">
        <v>118</v>
      </c>
      <c r="H7216" s="6" t="s">
        <v>34</v>
      </c>
      <c r="I7216" s="8" t="s">
        <v>253</v>
      </c>
      <c r="J7216" s="9">
        <v>1</v>
      </c>
      <c r="K7216" s="9">
        <v>294</v>
      </c>
      <c r="L7216" s="9">
        <v>2026</v>
      </c>
      <c r="M7216" s="8" t="s">
        <v>40845</v>
      </c>
      <c r="N7216" s="8" t="s">
        <v>63</v>
      </c>
      <c r="O7216" s="8" t="s">
        <v>64</v>
      </c>
      <c r="P7216" s="6" t="s">
        <v>306</v>
      </c>
      <c r="Q7216" s="8" t="s">
        <v>377</v>
      </c>
      <c r="R7216" s="10" t="s">
        <v>40846</v>
      </c>
      <c r="S7216" s="11" t="s">
        <v>40847</v>
      </c>
      <c r="T7216" s="6"/>
      <c r="U7216" s="15" t="str">
        <f>HYPERLINK("https://media.infra-m.ru/2219/2219589/cover/2219589.jpg", "Обложка")</f>
        <v>Обложка</v>
      </c>
      <c r="V7216" s="8" t="s">
        <v>17741</v>
      </c>
      <c r="W7216" s="6"/>
      <c r="X7216" s="6"/>
      <c r="Y7216" s="6"/>
      <c r="Z7216" s="6"/>
      <c r="AA7216" s="6" t="s">
        <v>2240</v>
      </c>
      <c r="AB7216" s="8"/>
      <c r="AC7216" s="27">
        <v>9785160216553</v>
      </c>
    </row>
    <row r="7217" spans="1:29" s="4" customFormat="1" ht="44.1" customHeight="1" x14ac:dyDescent="0.2">
      <c r="A7217" s="5">
        <v>0</v>
      </c>
      <c r="B7217" s="6" t="s">
        <v>40848</v>
      </c>
      <c r="C7217" s="7">
        <v>1733.9</v>
      </c>
      <c r="D7217" s="8" t="s">
        <v>40849</v>
      </c>
      <c r="E7217" s="8" t="s">
        <v>40850</v>
      </c>
      <c r="F7217" s="8" t="s">
        <v>40851</v>
      </c>
      <c r="G7217" s="6" t="s">
        <v>33</v>
      </c>
      <c r="H7217" s="6" t="s">
        <v>48</v>
      </c>
      <c r="I7217" s="8" t="s">
        <v>253</v>
      </c>
      <c r="J7217" s="9">
        <v>1</v>
      </c>
      <c r="K7217" s="9">
        <v>320</v>
      </c>
      <c r="L7217" s="9">
        <v>2023</v>
      </c>
      <c r="M7217" s="8" t="s">
        <v>40852</v>
      </c>
      <c r="N7217" s="8" t="s">
        <v>63</v>
      </c>
      <c r="O7217" s="8" t="s">
        <v>64</v>
      </c>
      <c r="P7217" s="6" t="s">
        <v>51</v>
      </c>
      <c r="Q7217" s="8" t="s">
        <v>52</v>
      </c>
      <c r="R7217" s="10" t="s">
        <v>28908</v>
      </c>
      <c r="S7217" s="11"/>
      <c r="T7217" s="6"/>
      <c r="U7217" s="15" t="str">
        <f>HYPERLINK("https://media.infra-m.ru/1981/1981684/cover/1981684.jpg", "Обложка")</f>
        <v>Обложка</v>
      </c>
      <c r="V7217" s="8" t="s">
        <v>17741</v>
      </c>
      <c r="W7217" s="6"/>
      <c r="X7217" s="6"/>
      <c r="Y7217" s="6"/>
      <c r="Z7217" s="6"/>
      <c r="AA7217" s="6" t="s">
        <v>55</v>
      </c>
      <c r="AB7217" s="8"/>
      <c r="AC7217" s="27">
        <v>9785911347406</v>
      </c>
    </row>
    <row r="7218" spans="1:29" s="4" customFormat="1" ht="51.9" customHeight="1" x14ac:dyDescent="0.2">
      <c r="A7218" s="5">
        <v>0</v>
      </c>
      <c r="B7218" s="6" t="s">
        <v>40853</v>
      </c>
      <c r="C7218" s="7">
        <v>1216.8</v>
      </c>
      <c r="D7218" s="8" t="s">
        <v>40854</v>
      </c>
      <c r="E7218" s="8" t="s">
        <v>40855</v>
      </c>
      <c r="F7218" s="8" t="s">
        <v>40856</v>
      </c>
      <c r="G7218" s="6" t="s">
        <v>60</v>
      </c>
      <c r="H7218" s="6" t="s">
        <v>34</v>
      </c>
      <c r="I7218" s="8" t="s">
        <v>271</v>
      </c>
      <c r="J7218" s="9">
        <v>1</v>
      </c>
      <c r="K7218" s="9">
        <v>220</v>
      </c>
      <c r="L7218" s="9">
        <v>2024</v>
      </c>
      <c r="M7218" s="8" t="s">
        <v>40857</v>
      </c>
      <c r="N7218" s="8" t="s">
        <v>37</v>
      </c>
      <c r="O7218" s="8" t="s">
        <v>280</v>
      </c>
      <c r="P7218" s="6" t="s">
        <v>51</v>
      </c>
      <c r="Q7218" s="8" t="s">
        <v>52</v>
      </c>
      <c r="R7218" s="10" t="s">
        <v>40858</v>
      </c>
      <c r="S7218" s="11" t="s">
        <v>40859</v>
      </c>
      <c r="T7218" s="6"/>
      <c r="U7218" s="15" t="str">
        <f>HYPERLINK("https://media.infra-m.ru/2082/2082646/cover/2082646.jpg", "Обложка")</f>
        <v>Обложка</v>
      </c>
      <c r="V7218" s="8" t="s">
        <v>1768</v>
      </c>
      <c r="W7218" s="6"/>
      <c r="X7218" s="6"/>
      <c r="Y7218" s="6"/>
      <c r="Z7218" s="6"/>
      <c r="AA7218" s="6" t="s">
        <v>55</v>
      </c>
      <c r="AB7218" s="8"/>
      <c r="AC7218" s="27">
        <v>9785160055848</v>
      </c>
    </row>
    <row r="7219" spans="1:29" s="4" customFormat="1" ht="42" customHeight="1" x14ac:dyDescent="0.2">
      <c r="A7219" s="5">
        <v>0</v>
      </c>
      <c r="B7219" s="6" t="s">
        <v>40860</v>
      </c>
      <c r="C7219" s="7">
        <v>1992</v>
      </c>
      <c r="D7219" s="8" t="s">
        <v>40861</v>
      </c>
      <c r="E7219" s="8" t="s">
        <v>40862</v>
      </c>
      <c r="F7219" s="8" t="s">
        <v>9391</v>
      </c>
      <c r="G7219" s="6" t="s">
        <v>60</v>
      </c>
      <c r="H7219" s="6" t="s">
        <v>34</v>
      </c>
      <c r="I7219" s="8" t="s">
        <v>288</v>
      </c>
      <c r="J7219" s="9">
        <v>1</v>
      </c>
      <c r="K7219" s="9">
        <v>292</v>
      </c>
      <c r="L7219" s="9">
        <v>2026</v>
      </c>
      <c r="M7219" s="8" t="s">
        <v>40863</v>
      </c>
      <c r="N7219" s="8" t="s">
        <v>37</v>
      </c>
      <c r="O7219" s="8" t="s">
        <v>136</v>
      </c>
      <c r="P7219" s="6" t="s">
        <v>51</v>
      </c>
      <c r="Q7219" s="8" t="s">
        <v>65</v>
      </c>
      <c r="R7219" s="10" t="s">
        <v>40864</v>
      </c>
      <c r="S7219" s="11"/>
      <c r="T7219" s="6"/>
      <c r="U7219" s="15" t="str">
        <f>HYPERLINK("https://media.infra-m.ru/2203/2203310/cover/2203310.jpg", "Обложка")</f>
        <v>Обложка</v>
      </c>
      <c r="V7219" s="8" t="s">
        <v>292</v>
      </c>
      <c r="W7219" s="6" t="s">
        <v>342</v>
      </c>
      <c r="X7219" s="6"/>
      <c r="Y7219" s="6"/>
      <c r="Z7219" s="6"/>
      <c r="AA7219" s="6" t="s">
        <v>187</v>
      </c>
      <c r="AB7219" s="8" t="s">
        <v>308</v>
      </c>
      <c r="AC7219" s="27">
        <v>9785160209098</v>
      </c>
    </row>
    <row r="7220" spans="1:29" s="4" customFormat="1" ht="42" customHeight="1" x14ac:dyDescent="0.2">
      <c r="A7220" s="5">
        <v>0</v>
      </c>
      <c r="B7220" s="6" t="s">
        <v>40865</v>
      </c>
      <c r="C7220" s="13">
        <v>720</v>
      </c>
      <c r="D7220" s="8" t="s">
        <v>40866</v>
      </c>
      <c r="E7220" s="8" t="s">
        <v>40867</v>
      </c>
      <c r="F7220" s="8" t="s">
        <v>11207</v>
      </c>
      <c r="G7220" s="6" t="s">
        <v>33</v>
      </c>
      <c r="H7220" s="6" t="s">
        <v>34</v>
      </c>
      <c r="I7220" s="8" t="s">
        <v>35</v>
      </c>
      <c r="J7220" s="9">
        <v>1</v>
      </c>
      <c r="K7220" s="9">
        <v>140</v>
      </c>
      <c r="L7220" s="9">
        <v>2022</v>
      </c>
      <c r="M7220" s="8" t="s">
        <v>40868</v>
      </c>
      <c r="N7220" s="8" t="s">
        <v>37</v>
      </c>
      <c r="O7220" s="8" t="s">
        <v>83</v>
      </c>
      <c r="P7220" s="6" t="s">
        <v>39</v>
      </c>
      <c r="Q7220" s="8" t="s">
        <v>40</v>
      </c>
      <c r="R7220" s="10" t="s">
        <v>25036</v>
      </c>
      <c r="S7220" s="11"/>
      <c r="T7220" s="6"/>
      <c r="U7220" s="15" t="str">
        <f>HYPERLINK("https://media.infra-m.ru/1042/1042275/cover/1042275.jpg", "Обложка")</f>
        <v>Обложка</v>
      </c>
      <c r="V7220" s="8" t="s">
        <v>11210</v>
      </c>
      <c r="W7220" s="6"/>
      <c r="X7220" s="6"/>
      <c r="Y7220" s="6"/>
      <c r="Z7220" s="6"/>
      <c r="AA7220" s="6" t="s">
        <v>148</v>
      </c>
      <c r="AB7220" s="8"/>
      <c r="AC7220" s="27">
        <v>9785160155838</v>
      </c>
    </row>
    <row r="7221" spans="1:29" s="4" customFormat="1" ht="51.9" customHeight="1" x14ac:dyDescent="0.2">
      <c r="A7221" s="5">
        <v>0</v>
      </c>
      <c r="B7221" s="6" t="s">
        <v>40869</v>
      </c>
      <c r="C7221" s="7">
        <v>1216.8</v>
      </c>
      <c r="D7221" s="8" t="s">
        <v>40870</v>
      </c>
      <c r="E7221" s="8" t="s">
        <v>40871</v>
      </c>
      <c r="F7221" s="8" t="s">
        <v>31230</v>
      </c>
      <c r="G7221" s="6" t="s">
        <v>118</v>
      </c>
      <c r="H7221" s="6" t="s">
        <v>34</v>
      </c>
      <c r="I7221" s="8" t="s">
        <v>504</v>
      </c>
      <c r="J7221" s="9">
        <v>1</v>
      </c>
      <c r="K7221" s="9">
        <v>184</v>
      </c>
      <c r="L7221" s="9">
        <v>2026</v>
      </c>
      <c r="M7221" s="8" t="s">
        <v>40872</v>
      </c>
      <c r="N7221" s="8" t="s">
        <v>243</v>
      </c>
      <c r="O7221" s="8" t="s">
        <v>329</v>
      </c>
      <c r="P7221" s="6" t="s">
        <v>51</v>
      </c>
      <c r="Q7221" s="8" t="s">
        <v>500</v>
      </c>
      <c r="R7221" s="10" t="s">
        <v>40873</v>
      </c>
      <c r="S7221" s="11" t="s">
        <v>40874</v>
      </c>
      <c r="T7221" s="6"/>
      <c r="U7221" s="15" t="str">
        <f>HYPERLINK("https://media.infra-m.ru/2237/2237095/cover/2237095.jpg", "Обложка")</f>
        <v>Обложка</v>
      </c>
      <c r="V7221" s="8" t="s">
        <v>1871</v>
      </c>
      <c r="W7221" s="6"/>
      <c r="X7221" s="6"/>
      <c r="Y7221" s="6"/>
      <c r="Z7221" s="6"/>
      <c r="AA7221" s="6" t="s">
        <v>274</v>
      </c>
      <c r="AB7221" s="8"/>
      <c r="AC7221" s="27">
        <v>9785160114927</v>
      </c>
    </row>
    <row r="7222" spans="1:29" s="4" customFormat="1" ht="51.9" customHeight="1" x14ac:dyDescent="0.2">
      <c r="A7222" s="5">
        <v>0</v>
      </c>
      <c r="B7222" s="6" t="s">
        <v>40875</v>
      </c>
      <c r="C7222" s="7">
        <v>1227.5</v>
      </c>
      <c r="D7222" s="8" t="s">
        <v>40876</v>
      </c>
      <c r="E7222" s="8" t="s">
        <v>40877</v>
      </c>
      <c r="F7222" s="8" t="s">
        <v>15801</v>
      </c>
      <c r="G7222" s="6" t="s">
        <v>60</v>
      </c>
      <c r="H7222" s="6" t="s">
        <v>134</v>
      </c>
      <c r="I7222" s="8"/>
      <c r="J7222" s="9">
        <v>1</v>
      </c>
      <c r="K7222" s="9">
        <v>384</v>
      </c>
      <c r="L7222" s="9">
        <v>2019</v>
      </c>
      <c r="M7222" s="8" t="s">
        <v>40878</v>
      </c>
      <c r="N7222" s="8" t="s">
        <v>37</v>
      </c>
      <c r="O7222" s="8" t="s">
        <v>136</v>
      </c>
      <c r="P7222" s="6" t="s">
        <v>39</v>
      </c>
      <c r="Q7222" s="8" t="s">
        <v>40</v>
      </c>
      <c r="R7222" s="10" t="s">
        <v>15803</v>
      </c>
      <c r="S7222" s="11"/>
      <c r="T7222" s="6"/>
      <c r="U7222" s="15" t="str">
        <f>HYPERLINK("https://media.infra-m.ru/1019/1019212/cover/1019212.jpg", "Обложка")</f>
        <v>Обложка</v>
      </c>
      <c r="V7222" s="8" t="s">
        <v>13400</v>
      </c>
      <c r="W7222" s="6"/>
      <c r="X7222" s="6"/>
      <c r="Y7222" s="6"/>
      <c r="Z7222" s="6"/>
      <c r="AA7222" s="6" t="s">
        <v>115</v>
      </c>
      <c r="AB7222" s="8"/>
      <c r="AC7222" s="27">
        <v>9785917686370</v>
      </c>
    </row>
    <row r="7223" spans="1:29" s="4" customFormat="1" ht="51.9" customHeight="1" x14ac:dyDescent="0.2">
      <c r="A7223" s="5">
        <v>0</v>
      </c>
      <c r="B7223" s="6" t="s">
        <v>40879</v>
      </c>
      <c r="C7223" s="13">
        <v>780</v>
      </c>
      <c r="D7223" s="8" t="s">
        <v>40880</v>
      </c>
      <c r="E7223" s="8" t="s">
        <v>40881</v>
      </c>
      <c r="F7223" s="8" t="s">
        <v>40882</v>
      </c>
      <c r="G7223" s="6" t="s">
        <v>33</v>
      </c>
      <c r="H7223" s="6" t="s">
        <v>34</v>
      </c>
      <c r="I7223" s="8" t="s">
        <v>271</v>
      </c>
      <c r="J7223" s="9">
        <v>1</v>
      </c>
      <c r="K7223" s="9">
        <v>161</v>
      </c>
      <c r="L7223" s="9">
        <v>2022</v>
      </c>
      <c r="M7223" s="8" t="s">
        <v>40883</v>
      </c>
      <c r="N7223" s="8" t="s">
        <v>585</v>
      </c>
      <c r="O7223" s="8" t="s">
        <v>775</v>
      </c>
      <c r="P7223" s="6" t="s">
        <v>51</v>
      </c>
      <c r="Q7223" s="8" t="s">
        <v>52</v>
      </c>
      <c r="R7223" s="10" t="s">
        <v>7596</v>
      </c>
      <c r="S7223" s="11" t="s">
        <v>40884</v>
      </c>
      <c r="T7223" s="6"/>
      <c r="U7223" s="15" t="str">
        <f>HYPERLINK("https://media.infra-m.ru/1743/1743736/cover/1743736.jpg", "Обложка")</f>
        <v>Обложка</v>
      </c>
      <c r="V7223" s="8" t="s">
        <v>7429</v>
      </c>
      <c r="W7223" s="6"/>
      <c r="X7223" s="6"/>
      <c r="Y7223" s="6"/>
      <c r="Z7223" s="6"/>
      <c r="AA7223" s="6" t="s">
        <v>360</v>
      </c>
      <c r="AB7223" s="8"/>
      <c r="AC7223" s="27">
        <v>9785160122182</v>
      </c>
    </row>
    <row r="7224" spans="1:29" s="4" customFormat="1" ht="51.9" customHeight="1" x14ac:dyDescent="0.2">
      <c r="A7224" s="5">
        <v>0</v>
      </c>
      <c r="B7224" s="6" t="s">
        <v>40885</v>
      </c>
      <c r="C7224" s="13">
        <v>828</v>
      </c>
      <c r="D7224" s="8" t="s">
        <v>40886</v>
      </c>
      <c r="E7224" s="8" t="s">
        <v>40887</v>
      </c>
      <c r="F7224" s="8" t="s">
        <v>40888</v>
      </c>
      <c r="G7224" s="6" t="s">
        <v>33</v>
      </c>
      <c r="H7224" s="6" t="s">
        <v>34</v>
      </c>
      <c r="I7224" s="8" t="s">
        <v>271</v>
      </c>
      <c r="J7224" s="9">
        <v>1</v>
      </c>
      <c r="K7224" s="9">
        <v>135</v>
      </c>
      <c r="L7224" s="9">
        <v>2024</v>
      </c>
      <c r="M7224" s="8" t="s">
        <v>40889</v>
      </c>
      <c r="N7224" s="8" t="s">
        <v>37</v>
      </c>
      <c r="O7224" s="8" t="s">
        <v>499</v>
      </c>
      <c r="P7224" s="6" t="s">
        <v>51</v>
      </c>
      <c r="Q7224" s="8" t="s">
        <v>52</v>
      </c>
      <c r="R7224" s="10" t="s">
        <v>2711</v>
      </c>
      <c r="S7224" s="11" t="s">
        <v>40890</v>
      </c>
      <c r="T7224" s="6"/>
      <c r="U7224" s="15" t="str">
        <f>HYPERLINK("https://media.infra-m.ru/2114/2114826/cover/2114826.jpg", "Обложка")</f>
        <v>Обложка</v>
      </c>
      <c r="V7224" s="8" t="s">
        <v>40891</v>
      </c>
      <c r="W7224" s="6"/>
      <c r="X7224" s="6"/>
      <c r="Y7224" s="6"/>
      <c r="Z7224" s="6"/>
      <c r="AA7224" s="6" t="s">
        <v>779</v>
      </c>
      <c r="AB7224" s="8"/>
      <c r="AC7224" s="27">
        <v>9785160103549</v>
      </c>
    </row>
    <row r="7225" spans="1:29" s="4" customFormat="1" ht="51.9" customHeight="1" x14ac:dyDescent="0.2">
      <c r="A7225" s="5">
        <v>0</v>
      </c>
      <c r="B7225" s="6" t="s">
        <v>40892</v>
      </c>
      <c r="C7225" s="7">
        <v>1960.8</v>
      </c>
      <c r="D7225" s="8" t="s">
        <v>40893</v>
      </c>
      <c r="E7225" s="8" t="s">
        <v>40894</v>
      </c>
      <c r="F7225" s="8" t="s">
        <v>26574</v>
      </c>
      <c r="G7225" s="6" t="s">
        <v>118</v>
      </c>
      <c r="H7225" s="6" t="s">
        <v>34</v>
      </c>
      <c r="I7225" s="8" t="s">
        <v>271</v>
      </c>
      <c r="J7225" s="9">
        <v>1</v>
      </c>
      <c r="K7225" s="9">
        <v>297</v>
      </c>
      <c r="L7225" s="9">
        <v>2026</v>
      </c>
      <c r="M7225" s="8" t="s">
        <v>40895</v>
      </c>
      <c r="N7225" s="8" t="s">
        <v>243</v>
      </c>
      <c r="O7225" s="8" t="s">
        <v>329</v>
      </c>
      <c r="P7225" s="6" t="s">
        <v>306</v>
      </c>
      <c r="Q7225" s="8" t="s">
        <v>52</v>
      </c>
      <c r="R7225" s="10" t="s">
        <v>40896</v>
      </c>
      <c r="S7225" s="11" t="s">
        <v>40897</v>
      </c>
      <c r="T7225" s="6"/>
      <c r="U7225" s="15" t="str">
        <f>HYPERLINK("https://media.infra-m.ru/2237/2237205/cover/2237205.jpg", "Обложка")</f>
        <v>Обложка</v>
      </c>
      <c r="V7225" s="8" t="s">
        <v>657</v>
      </c>
      <c r="W7225" s="6"/>
      <c r="X7225" s="6" t="s">
        <v>24</v>
      </c>
      <c r="Y7225" s="6"/>
      <c r="Z7225" s="6"/>
      <c r="AA7225" s="6" t="s">
        <v>1389</v>
      </c>
      <c r="AB7225" s="8"/>
      <c r="AC7225" s="27">
        <v>9785160147611</v>
      </c>
    </row>
    <row r="7226" spans="1:29" s="4" customFormat="1" ht="51.9" customHeight="1" x14ac:dyDescent="0.2">
      <c r="A7226" s="5">
        <v>0</v>
      </c>
      <c r="B7226" s="6" t="s">
        <v>40898</v>
      </c>
      <c r="C7226" s="7">
        <v>1960.8</v>
      </c>
      <c r="D7226" s="8" t="s">
        <v>40899</v>
      </c>
      <c r="E7226" s="8" t="s">
        <v>40894</v>
      </c>
      <c r="F7226" s="8" t="s">
        <v>26574</v>
      </c>
      <c r="G7226" s="6" t="s">
        <v>60</v>
      </c>
      <c r="H7226" s="6" t="s">
        <v>34</v>
      </c>
      <c r="I7226" s="8" t="s">
        <v>263</v>
      </c>
      <c r="J7226" s="9">
        <v>1</v>
      </c>
      <c r="K7226" s="9">
        <v>297</v>
      </c>
      <c r="L7226" s="9">
        <v>2026</v>
      </c>
      <c r="M7226" s="8" t="s">
        <v>40900</v>
      </c>
      <c r="N7226" s="8" t="s">
        <v>243</v>
      </c>
      <c r="O7226" s="8" t="s">
        <v>329</v>
      </c>
      <c r="P7226" s="6" t="s">
        <v>306</v>
      </c>
      <c r="Q7226" s="8" t="s">
        <v>265</v>
      </c>
      <c r="R7226" s="10" t="s">
        <v>40901</v>
      </c>
      <c r="S7226" s="11" t="s">
        <v>40902</v>
      </c>
      <c r="T7226" s="6"/>
      <c r="U7226" s="15" t="str">
        <f>HYPERLINK("https://media.infra-m.ru/2237/2237128/cover/2237128.jpg", "Обложка")</f>
        <v>Обложка</v>
      </c>
      <c r="V7226" s="8" t="s">
        <v>657</v>
      </c>
      <c r="W7226" s="6"/>
      <c r="X7226" s="6" t="s">
        <v>24</v>
      </c>
      <c r="Y7226" s="6"/>
      <c r="Z7226" s="6" t="s">
        <v>267</v>
      </c>
      <c r="AA7226" s="6" t="s">
        <v>2230</v>
      </c>
      <c r="AB7226" s="8"/>
      <c r="AC7226" s="27">
        <v>9785160170084</v>
      </c>
    </row>
    <row r="7227" spans="1:29" s="4" customFormat="1" ht="51.9" customHeight="1" x14ac:dyDescent="0.2">
      <c r="A7227" s="5">
        <v>0</v>
      </c>
      <c r="B7227" s="6" t="s">
        <v>40903</v>
      </c>
      <c r="C7227" s="7">
        <v>1361.9</v>
      </c>
      <c r="D7227" s="8" t="s">
        <v>40904</v>
      </c>
      <c r="E7227" s="8" t="s">
        <v>40905</v>
      </c>
      <c r="F7227" s="8" t="s">
        <v>40906</v>
      </c>
      <c r="G7227" s="6" t="s">
        <v>60</v>
      </c>
      <c r="H7227" s="6" t="s">
        <v>1042</v>
      </c>
      <c r="I7227" s="8" t="s">
        <v>253</v>
      </c>
      <c r="J7227" s="9">
        <v>1</v>
      </c>
      <c r="K7227" s="9">
        <v>352</v>
      </c>
      <c r="L7227" s="9">
        <v>2019</v>
      </c>
      <c r="M7227" s="8" t="s">
        <v>40907</v>
      </c>
      <c r="N7227" s="8" t="s">
        <v>243</v>
      </c>
      <c r="O7227" s="8" t="s">
        <v>329</v>
      </c>
      <c r="P7227" s="6" t="s">
        <v>306</v>
      </c>
      <c r="Q7227" s="8" t="s">
        <v>52</v>
      </c>
      <c r="R7227" s="10" t="s">
        <v>40896</v>
      </c>
      <c r="S7227" s="11" t="s">
        <v>40908</v>
      </c>
      <c r="T7227" s="6"/>
      <c r="U7227" s="15" t="str">
        <f>HYPERLINK("https://media.infra-m.ru/0999/0999617/cover/999617.jpg", "Обложка")</f>
        <v>Обложка</v>
      </c>
      <c r="V7227" s="8" t="s">
        <v>657</v>
      </c>
      <c r="W7227" s="6"/>
      <c r="X7227" s="6" t="s">
        <v>24</v>
      </c>
      <c r="Y7227" s="6"/>
      <c r="Z7227" s="6"/>
      <c r="AA7227" s="6" t="s">
        <v>874</v>
      </c>
      <c r="AB7227" s="8"/>
      <c r="AC7227" s="27">
        <v>9785819906231</v>
      </c>
    </row>
    <row r="7228" spans="1:29" s="4" customFormat="1" ht="51.9" customHeight="1" x14ac:dyDescent="0.2">
      <c r="A7228" s="5">
        <v>0</v>
      </c>
      <c r="B7228" s="6" t="s">
        <v>40909</v>
      </c>
      <c r="C7228" s="13">
        <v>708</v>
      </c>
      <c r="D7228" s="8" t="s">
        <v>40910</v>
      </c>
      <c r="E7228" s="8" t="s">
        <v>40911</v>
      </c>
      <c r="F7228" s="8" t="s">
        <v>40912</v>
      </c>
      <c r="G7228" s="6" t="s">
        <v>33</v>
      </c>
      <c r="H7228" s="6" t="s">
        <v>34</v>
      </c>
      <c r="I7228" s="8" t="s">
        <v>253</v>
      </c>
      <c r="J7228" s="9">
        <v>1</v>
      </c>
      <c r="K7228" s="9">
        <v>115</v>
      </c>
      <c r="L7228" s="9">
        <v>2024</v>
      </c>
      <c r="M7228" s="8" t="s">
        <v>40913</v>
      </c>
      <c r="N7228" s="8" t="s">
        <v>243</v>
      </c>
      <c r="O7228" s="8" t="s">
        <v>329</v>
      </c>
      <c r="P7228" s="6" t="s">
        <v>51</v>
      </c>
      <c r="Q7228" s="8" t="s">
        <v>52</v>
      </c>
      <c r="R7228" s="10" t="s">
        <v>40914</v>
      </c>
      <c r="S7228" s="11" t="s">
        <v>40915</v>
      </c>
      <c r="T7228" s="6"/>
      <c r="U7228" s="15" t="str">
        <f>HYPERLINK("https://media.infra-m.ru/2131/2131760/cover/2131760.jpg", "Обложка")</f>
        <v>Обложка</v>
      </c>
      <c r="V7228" s="8" t="s">
        <v>657</v>
      </c>
      <c r="W7228" s="6"/>
      <c r="X7228" s="6"/>
      <c r="Y7228" s="6"/>
      <c r="Z7228" s="6"/>
      <c r="AA7228" s="6" t="s">
        <v>896</v>
      </c>
      <c r="AB7228" s="8"/>
      <c r="AC7228" s="27">
        <v>9785160196435</v>
      </c>
    </row>
    <row r="7229" spans="1:29" s="4" customFormat="1" ht="51.9" customHeight="1" x14ac:dyDescent="0.2">
      <c r="A7229" s="5">
        <v>0</v>
      </c>
      <c r="B7229" s="6" t="s">
        <v>40916</v>
      </c>
      <c r="C7229" s="7">
        <v>2404.8000000000002</v>
      </c>
      <c r="D7229" s="8" t="s">
        <v>40917</v>
      </c>
      <c r="E7229" s="8" t="s">
        <v>40918</v>
      </c>
      <c r="F7229" s="8" t="s">
        <v>40919</v>
      </c>
      <c r="G7229" s="6" t="s">
        <v>118</v>
      </c>
      <c r="H7229" s="6" t="s">
        <v>34</v>
      </c>
      <c r="I7229" s="8" t="s">
        <v>271</v>
      </c>
      <c r="J7229" s="9">
        <v>1</v>
      </c>
      <c r="K7229" s="9">
        <v>365</v>
      </c>
      <c r="L7229" s="9">
        <v>2026</v>
      </c>
      <c r="M7229" s="8" t="s">
        <v>40920</v>
      </c>
      <c r="N7229" s="8" t="s">
        <v>243</v>
      </c>
      <c r="O7229" s="8" t="s">
        <v>329</v>
      </c>
      <c r="P7229" s="6" t="s">
        <v>306</v>
      </c>
      <c r="Q7229" s="8" t="s">
        <v>52</v>
      </c>
      <c r="R7229" s="10" t="s">
        <v>18659</v>
      </c>
      <c r="S7229" s="11" t="s">
        <v>40921</v>
      </c>
      <c r="T7229" s="6"/>
      <c r="U7229" s="15" t="str">
        <f>HYPERLINK("https://media.infra-m.ru/2251/2251334/cover/2251334.jpg", "Обложка")</f>
        <v>Обложка</v>
      </c>
      <c r="V7229" s="8" t="s">
        <v>227</v>
      </c>
      <c r="W7229" s="6"/>
      <c r="X7229" s="6"/>
      <c r="Y7229" s="6"/>
      <c r="Z7229" s="6"/>
      <c r="AA7229" s="6" t="s">
        <v>258</v>
      </c>
      <c r="AB7229" s="8"/>
      <c r="AC7229" s="27">
        <v>9785160160221</v>
      </c>
    </row>
    <row r="7230" spans="1:29" s="4" customFormat="1" ht="51.9" customHeight="1" x14ac:dyDescent="0.2">
      <c r="A7230" s="5">
        <v>0</v>
      </c>
      <c r="B7230" s="6" t="s">
        <v>40922</v>
      </c>
      <c r="C7230" s="7">
        <v>1492.8</v>
      </c>
      <c r="D7230" s="8" t="s">
        <v>40923</v>
      </c>
      <c r="E7230" s="8" t="s">
        <v>40924</v>
      </c>
      <c r="F7230" s="8" t="s">
        <v>40919</v>
      </c>
      <c r="G7230" s="6" t="s">
        <v>60</v>
      </c>
      <c r="H7230" s="6" t="s">
        <v>34</v>
      </c>
      <c r="I7230" s="8" t="s">
        <v>271</v>
      </c>
      <c r="J7230" s="9">
        <v>1</v>
      </c>
      <c r="K7230" s="9">
        <v>239</v>
      </c>
      <c r="L7230" s="9">
        <v>2025</v>
      </c>
      <c r="M7230" s="8" t="s">
        <v>40925</v>
      </c>
      <c r="N7230" s="8" t="s">
        <v>243</v>
      </c>
      <c r="O7230" s="8" t="s">
        <v>329</v>
      </c>
      <c r="P7230" s="6" t="s">
        <v>51</v>
      </c>
      <c r="Q7230" s="8" t="s">
        <v>52</v>
      </c>
      <c r="R7230" s="10" t="s">
        <v>40926</v>
      </c>
      <c r="S7230" s="11" t="s">
        <v>40927</v>
      </c>
      <c r="T7230" s="6"/>
      <c r="U7230" s="15" t="str">
        <f>HYPERLINK("https://media.infra-m.ru/2195/2195876/cover/2195876.jpg", "Обложка")</f>
        <v>Обложка</v>
      </c>
      <c r="V7230" s="8" t="s">
        <v>227</v>
      </c>
      <c r="W7230" s="6"/>
      <c r="X7230" s="6"/>
      <c r="Y7230" s="6"/>
      <c r="Z7230" s="6"/>
      <c r="AA7230" s="6" t="s">
        <v>1389</v>
      </c>
      <c r="AB7230" s="8"/>
      <c r="AC7230" s="27">
        <v>9785160159560</v>
      </c>
    </row>
    <row r="7231" spans="1:29" s="4" customFormat="1" ht="42" customHeight="1" x14ac:dyDescent="0.2">
      <c r="A7231" s="5">
        <v>0</v>
      </c>
      <c r="B7231" s="6" t="s">
        <v>40928</v>
      </c>
      <c r="C7231" s="13">
        <v>977.9</v>
      </c>
      <c r="D7231" s="8" t="s">
        <v>40929</v>
      </c>
      <c r="E7231" s="8" t="s">
        <v>40918</v>
      </c>
      <c r="F7231" s="8" t="s">
        <v>40919</v>
      </c>
      <c r="G7231" s="6" t="s">
        <v>60</v>
      </c>
      <c r="H7231" s="6" t="s">
        <v>34</v>
      </c>
      <c r="I7231" s="8" t="s">
        <v>253</v>
      </c>
      <c r="J7231" s="9">
        <v>1</v>
      </c>
      <c r="K7231" s="9">
        <v>219</v>
      </c>
      <c r="L7231" s="9">
        <v>2019</v>
      </c>
      <c r="M7231" s="8" t="s">
        <v>40930</v>
      </c>
      <c r="N7231" s="8" t="s">
        <v>243</v>
      </c>
      <c r="O7231" s="8" t="s">
        <v>329</v>
      </c>
      <c r="P7231" s="6" t="s">
        <v>51</v>
      </c>
      <c r="Q7231" s="8" t="s">
        <v>52</v>
      </c>
      <c r="R7231" s="10" t="s">
        <v>40926</v>
      </c>
      <c r="S7231" s="11"/>
      <c r="T7231" s="6" t="s">
        <v>97</v>
      </c>
      <c r="U7231" s="15" t="str">
        <f>HYPERLINK("https://media.infra-m.ru/1010/1010097/cover/1010097.jpg", "Обложка")</f>
        <v>Обложка</v>
      </c>
      <c r="V7231" s="8" t="s">
        <v>227</v>
      </c>
      <c r="W7231" s="6"/>
      <c r="X7231" s="6"/>
      <c r="Y7231" s="6"/>
      <c r="Z7231" s="6"/>
      <c r="AA7231" s="6" t="s">
        <v>874</v>
      </c>
      <c r="AB7231" s="8"/>
      <c r="AC7231" s="27">
        <v>9785160097992</v>
      </c>
    </row>
    <row r="7232" spans="1:29" s="4" customFormat="1" ht="51.9" customHeight="1" x14ac:dyDescent="0.2">
      <c r="A7232" s="5">
        <v>0</v>
      </c>
      <c r="B7232" s="6" t="s">
        <v>40931</v>
      </c>
      <c r="C7232" s="7">
        <v>1241.9000000000001</v>
      </c>
      <c r="D7232" s="8" t="s">
        <v>40932</v>
      </c>
      <c r="E7232" s="8" t="s">
        <v>40933</v>
      </c>
      <c r="F7232" s="8" t="s">
        <v>40934</v>
      </c>
      <c r="G7232" s="6" t="s">
        <v>60</v>
      </c>
      <c r="H7232" s="6" t="s">
        <v>34</v>
      </c>
      <c r="I7232" s="8" t="s">
        <v>271</v>
      </c>
      <c r="J7232" s="9">
        <v>20</v>
      </c>
      <c r="K7232" s="9">
        <v>304</v>
      </c>
      <c r="L7232" s="9">
        <v>2020</v>
      </c>
      <c r="M7232" s="8" t="s">
        <v>40935</v>
      </c>
      <c r="N7232" s="8" t="s">
        <v>243</v>
      </c>
      <c r="O7232" s="8" t="s">
        <v>329</v>
      </c>
      <c r="P7232" s="6" t="s">
        <v>306</v>
      </c>
      <c r="Q7232" s="8" t="s">
        <v>52</v>
      </c>
      <c r="R7232" s="10" t="s">
        <v>18659</v>
      </c>
      <c r="S7232" s="11" t="s">
        <v>40936</v>
      </c>
      <c r="T7232" s="6" t="s">
        <v>97</v>
      </c>
      <c r="U7232" s="15" t="str">
        <f>HYPERLINK("https://media.infra-m.ru/1068/1068788/cover/1068788.jpg", "Обложка")</f>
        <v>Обложка</v>
      </c>
      <c r="V7232" s="8" t="s">
        <v>227</v>
      </c>
      <c r="W7232" s="6"/>
      <c r="X7232" s="6"/>
      <c r="Y7232" s="6"/>
      <c r="Z7232" s="6"/>
      <c r="AA7232" s="6" t="s">
        <v>779</v>
      </c>
      <c r="AB7232" s="8"/>
      <c r="AC7232" s="27">
        <v>9785160103983</v>
      </c>
    </row>
    <row r="7233" spans="1:29" s="4" customFormat="1" ht="51.9" customHeight="1" x14ac:dyDescent="0.2">
      <c r="A7233" s="5">
        <v>0</v>
      </c>
      <c r="B7233" s="6" t="s">
        <v>40937</v>
      </c>
      <c r="C7233" s="7">
        <v>1488</v>
      </c>
      <c r="D7233" s="8" t="s">
        <v>40938</v>
      </c>
      <c r="E7233" s="8" t="s">
        <v>40939</v>
      </c>
      <c r="F7233" s="8" t="s">
        <v>40940</v>
      </c>
      <c r="G7233" s="6" t="s">
        <v>118</v>
      </c>
      <c r="H7233" s="6" t="s">
        <v>34</v>
      </c>
      <c r="I7233" s="8" t="s">
        <v>263</v>
      </c>
      <c r="J7233" s="9">
        <v>1</v>
      </c>
      <c r="K7233" s="9">
        <v>232</v>
      </c>
      <c r="L7233" s="9">
        <v>2026</v>
      </c>
      <c r="M7233" s="8" t="s">
        <v>40941</v>
      </c>
      <c r="N7233" s="8" t="s">
        <v>243</v>
      </c>
      <c r="O7233" s="8" t="s">
        <v>244</v>
      </c>
      <c r="P7233" s="6" t="s">
        <v>51</v>
      </c>
      <c r="Q7233" s="8" t="s">
        <v>265</v>
      </c>
      <c r="R7233" s="10" t="s">
        <v>40942</v>
      </c>
      <c r="S7233" s="11" t="s">
        <v>3985</v>
      </c>
      <c r="T7233" s="6"/>
      <c r="U7233" s="15" t="str">
        <f>HYPERLINK("https://media.infra-m.ru/2216/2216049/cover/2216049.jpg", "Обложка")</f>
        <v>Обложка</v>
      </c>
      <c r="V7233" s="8" t="s">
        <v>4409</v>
      </c>
      <c r="W7233" s="6"/>
      <c r="X7233" s="6"/>
      <c r="Y7233" s="6"/>
      <c r="Z7233" s="6" t="s">
        <v>267</v>
      </c>
      <c r="AA7233" s="6" t="s">
        <v>115</v>
      </c>
      <c r="AB7233" s="8"/>
      <c r="AC7233" s="27">
        <v>9785160148878</v>
      </c>
    </row>
    <row r="7234" spans="1:29" s="4" customFormat="1" ht="51.9" customHeight="1" x14ac:dyDescent="0.2">
      <c r="A7234" s="5">
        <v>0</v>
      </c>
      <c r="B7234" s="6" t="s">
        <v>40943</v>
      </c>
      <c r="C7234" s="7">
        <v>1536</v>
      </c>
      <c r="D7234" s="8" t="s">
        <v>40944</v>
      </c>
      <c r="E7234" s="8" t="s">
        <v>40939</v>
      </c>
      <c r="F7234" s="8" t="s">
        <v>40940</v>
      </c>
      <c r="G7234" s="6" t="s">
        <v>118</v>
      </c>
      <c r="H7234" s="6" t="s">
        <v>34</v>
      </c>
      <c r="I7234" s="8" t="s">
        <v>253</v>
      </c>
      <c r="J7234" s="9">
        <v>1</v>
      </c>
      <c r="K7234" s="9">
        <v>232</v>
      </c>
      <c r="L7234" s="9">
        <v>2026</v>
      </c>
      <c r="M7234" s="8" t="s">
        <v>40945</v>
      </c>
      <c r="N7234" s="8" t="s">
        <v>243</v>
      </c>
      <c r="O7234" s="8" t="s">
        <v>244</v>
      </c>
      <c r="P7234" s="6" t="s">
        <v>51</v>
      </c>
      <c r="Q7234" s="8" t="s">
        <v>52</v>
      </c>
      <c r="R7234" s="10" t="s">
        <v>40946</v>
      </c>
      <c r="S7234" s="11" t="s">
        <v>40947</v>
      </c>
      <c r="T7234" s="6"/>
      <c r="U7234" s="15" t="str">
        <f>HYPERLINK("https://media.infra-m.ru/2226/2226483/cover/2226483.jpg", "Обложка")</f>
        <v>Обложка</v>
      </c>
      <c r="V7234" s="8" t="s">
        <v>4409</v>
      </c>
      <c r="W7234" s="6"/>
      <c r="X7234" s="6"/>
      <c r="Y7234" s="6"/>
      <c r="Z7234" s="6"/>
      <c r="AA7234" s="6" t="s">
        <v>779</v>
      </c>
      <c r="AB7234" s="8"/>
      <c r="AC7234" s="27">
        <v>9785160214726</v>
      </c>
    </row>
    <row r="7235" spans="1:29" s="4" customFormat="1" ht="51.9" customHeight="1" x14ac:dyDescent="0.2">
      <c r="A7235" s="5">
        <v>0</v>
      </c>
      <c r="B7235" s="6" t="s">
        <v>40948</v>
      </c>
      <c r="C7235" s="13">
        <v>245.9</v>
      </c>
      <c r="D7235" s="8" t="s">
        <v>40949</v>
      </c>
      <c r="E7235" s="8" t="s">
        <v>40950</v>
      </c>
      <c r="F7235" s="8" t="s">
        <v>40912</v>
      </c>
      <c r="G7235" s="6" t="s">
        <v>33</v>
      </c>
      <c r="H7235" s="6" t="s">
        <v>1042</v>
      </c>
      <c r="I7235" s="8" t="s">
        <v>253</v>
      </c>
      <c r="J7235" s="9">
        <v>1</v>
      </c>
      <c r="K7235" s="9">
        <v>64</v>
      </c>
      <c r="L7235" s="9">
        <v>2017</v>
      </c>
      <c r="M7235" s="8" t="s">
        <v>40951</v>
      </c>
      <c r="N7235" s="8" t="s">
        <v>243</v>
      </c>
      <c r="O7235" s="8" t="s">
        <v>329</v>
      </c>
      <c r="P7235" s="6" t="s">
        <v>51</v>
      </c>
      <c r="Q7235" s="8" t="s">
        <v>52</v>
      </c>
      <c r="R7235" s="10" t="s">
        <v>40914</v>
      </c>
      <c r="S7235" s="11" t="s">
        <v>40952</v>
      </c>
      <c r="T7235" s="6"/>
      <c r="U7235" s="12"/>
      <c r="V7235" s="8" t="s">
        <v>657</v>
      </c>
      <c r="W7235" s="6"/>
      <c r="X7235" s="6"/>
      <c r="Y7235" s="6"/>
      <c r="Z7235" s="6"/>
      <c r="AA7235" s="6" t="s">
        <v>55</v>
      </c>
      <c r="AB7235" s="8"/>
      <c r="AC7235" s="27">
        <v>9785819905708</v>
      </c>
    </row>
    <row r="7236" spans="1:29" s="4" customFormat="1" ht="42" customHeight="1" x14ac:dyDescent="0.2">
      <c r="A7236" s="5">
        <v>0</v>
      </c>
      <c r="B7236" s="6" t="s">
        <v>40953</v>
      </c>
      <c r="C7236" s="7">
        <v>1504.8</v>
      </c>
      <c r="D7236" s="8" t="s">
        <v>40954</v>
      </c>
      <c r="E7236" s="8" t="s">
        <v>40955</v>
      </c>
      <c r="F7236" s="8" t="s">
        <v>40956</v>
      </c>
      <c r="G7236" s="6" t="s">
        <v>60</v>
      </c>
      <c r="H7236" s="6" t="s">
        <v>34</v>
      </c>
      <c r="I7236" s="8" t="s">
        <v>504</v>
      </c>
      <c r="J7236" s="9">
        <v>1</v>
      </c>
      <c r="K7236" s="9">
        <v>217</v>
      </c>
      <c r="L7236" s="9">
        <v>2027</v>
      </c>
      <c r="M7236" s="8" t="s">
        <v>40957</v>
      </c>
      <c r="N7236" s="8" t="s">
        <v>37</v>
      </c>
      <c r="O7236" s="8" t="s">
        <v>233</v>
      </c>
      <c r="P7236" s="6" t="s">
        <v>51</v>
      </c>
      <c r="Q7236" s="8" t="s">
        <v>500</v>
      </c>
      <c r="R7236" s="10" t="s">
        <v>2228</v>
      </c>
      <c r="S7236" s="11"/>
      <c r="T7236" s="6"/>
      <c r="U7236" s="15" t="str">
        <f>HYPERLINK("https://media.infra-m.ru/2262/2262915/cover/2262915.jpg", "Обложка")</f>
        <v>Обложка</v>
      </c>
      <c r="V7236" s="8" t="s">
        <v>67</v>
      </c>
      <c r="W7236" s="6"/>
      <c r="X7236" s="6"/>
      <c r="Y7236" s="6"/>
      <c r="Z7236" s="6"/>
      <c r="AA7236" s="6" t="s">
        <v>157</v>
      </c>
      <c r="AB7236" s="8"/>
      <c r="AC7236" s="27">
        <v>9785160177793</v>
      </c>
    </row>
    <row r="7237" spans="1:29" s="4" customFormat="1" ht="51.9" customHeight="1" x14ac:dyDescent="0.2">
      <c r="A7237" s="5">
        <v>0</v>
      </c>
      <c r="B7237" s="6" t="s">
        <v>40958</v>
      </c>
      <c r="C7237" s="7">
        <v>1385.9</v>
      </c>
      <c r="D7237" s="8" t="s">
        <v>40959</v>
      </c>
      <c r="E7237" s="8" t="s">
        <v>40960</v>
      </c>
      <c r="F7237" s="8" t="s">
        <v>40961</v>
      </c>
      <c r="G7237" s="6" t="s">
        <v>33</v>
      </c>
      <c r="H7237" s="6" t="s">
        <v>48</v>
      </c>
      <c r="I7237" s="8" t="s">
        <v>253</v>
      </c>
      <c r="J7237" s="9">
        <v>1</v>
      </c>
      <c r="K7237" s="9">
        <v>256</v>
      </c>
      <c r="L7237" s="9">
        <v>2023</v>
      </c>
      <c r="M7237" s="8" t="s">
        <v>40962</v>
      </c>
      <c r="N7237" s="8" t="s">
        <v>243</v>
      </c>
      <c r="O7237" s="8" t="s">
        <v>329</v>
      </c>
      <c r="P7237" s="6" t="s">
        <v>51</v>
      </c>
      <c r="Q7237" s="8" t="s">
        <v>52</v>
      </c>
      <c r="R7237" s="10" t="s">
        <v>40963</v>
      </c>
      <c r="S7237" s="11" t="s">
        <v>40964</v>
      </c>
      <c r="T7237" s="6"/>
      <c r="U7237" s="15" t="str">
        <f>HYPERLINK("https://media.infra-m.ru/1900/1900478/cover/1900478.jpg", "Обложка")</f>
        <v>Обложка</v>
      </c>
      <c r="V7237" s="8" t="s">
        <v>4330</v>
      </c>
      <c r="W7237" s="6"/>
      <c r="X7237" s="6"/>
      <c r="Y7237" s="6"/>
      <c r="Z7237" s="6"/>
      <c r="AA7237" s="6" t="s">
        <v>248</v>
      </c>
      <c r="AB7237" s="8"/>
      <c r="AC7237" s="27">
        <v>9785911348380</v>
      </c>
    </row>
    <row r="7238" spans="1:29" s="4" customFormat="1" ht="42" customHeight="1" x14ac:dyDescent="0.2">
      <c r="A7238" s="5">
        <v>0</v>
      </c>
      <c r="B7238" s="6" t="s">
        <v>40965</v>
      </c>
      <c r="C7238" s="7">
        <v>1980</v>
      </c>
      <c r="D7238" s="8" t="s">
        <v>40966</v>
      </c>
      <c r="E7238" s="8" t="s">
        <v>40967</v>
      </c>
      <c r="F7238" s="8"/>
      <c r="G7238" s="6" t="s">
        <v>33</v>
      </c>
      <c r="H7238" s="6" t="s">
        <v>34</v>
      </c>
      <c r="I7238" s="8"/>
      <c r="J7238" s="9">
        <v>1</v>
      </c>
      <c r="K7238" s="9">
        <v>60</v>
      </c>
      <c r="L7238" s="9">
        <v>2023</v>
      </c>
      <c r="M7238" s="8"/>
      <c r="N7238" s="8" t="s">
        <v>93</v>
      </c>
      <c r="O7238" s="8" t="s">
        <v>94</v>
      </c>
      <c r="P7238" s="6" t="s">
        <v>314</v>
      </c>
      <c r="Q7238" s="8"/>
      <c r="R7238" s="10"/>
      <c r="S7238" s="11"/>
      <c r="T7238" s="6"/>
      <c r="U7238" s="15" t="str">
        <f>HYPERLINK("https://media.infra-m.ru/1902/1902961/cover/1902961.jpg", "Обложка")</f>
        <v>Обложка</v>
      </c>
      <c r="V7238" s="8"/>
      <c r="W7238" s="6"/>
      <c r="X7238" s="6"/>
      <c r="Y7238" s="6"/>
      <c r="Z7238" s="6"/>
      <c r="AA7238" s="6" t="s">
        <v>561</v>
      </c>
      <c r="AB7238" s="8"/>
      <c r="AC7238" s="27"/>
    </row>
    <row r="7239" spans="1:29" s="4" customFormat="1" ht="42" customHeight="1" x14ac:dyDescent="0.2">
      <c r="A7239" s="5">
        <v>0</v>
      </c>
      <c r="B7239" s="6" t="s">
        <v>40968</v>
      </c>
      <c r="C7239" s="7">
        <v>2032.8</v>
      </c>
      <c r="D7239" s="8" t="s">
        <v>40969</v>
      </c>
      <c r="E7239" s="8" t="s">
        <v>40970</v>
      </c>
      <c r="F7239" s="8"/>
      <c r="G7239" s="6" t="s">
        <v>33</v>
      </c>
      <c r="H7239" s="6" t="s">
        <v>34</v>
      </c>
      <c r="I7239" s="8"/>
      <c r="J7239" s="9">
        <v>1</v>
      </c>
      <c r="K7239" s="9">
        <v>78</v>
      </c>
      <c r="L7239" s="9">
        <v>2026</v>
      </c>
      <c r="M7239" s="8"/>
      <c r="N7239" s="8" t="s">
        <v>93</v>
      </c>
      <c r="O7239" s="8" t="s">
        <v>94</v>
      </c>
      <c r="P7239" s="6" t="s">
        <v>314</v>
      </c>
      <c r="Q7239" s="8"/>
      <c r="R7239" s="10"/>
      <c r="S7239" s="11"/>
      <c r="T7239" s="6"/>
      <c r="U7239" s="15" t="str">
        <f>HYPERLINK("https://media.infra-m.ru/2228/2228191/cover/2228191.jpg", "Обложка")</f>
        <v>Обложка</v>
      </c>
      <c r="V7239" s="8"/>
      <c r="W7239" s="6" t="s">
        <v>2115</v>
      </c>
      <c r="X7239" s="6"/>
      <c r="Y7239" s="6"/>
      <c r="Z7239" s="6"/>
      <c r="AA7239" s="6" t="s">
        <v>55</v>
      </c>
      <c r="AB7239" s="8"/>
      <c r="AC7239" s="27"/>
    </row>
    <row r="7240" spans="1:29" s="4" customFormat="1" ht="51.9" customHeight="1" x14ac:dyDescent="0.2">
      <c r="A7240" s="5">
        <v>0</v>
      </c>
      <c r="B7240" s="6" t="s">
        <v>40971</v>
      </c>
      <c r="C7240" s="7">
        <v>3736.8</v>
      </c>
      <c r="D7240" s="8" t="s">
        <v>40972</v>
      </c>
      <c r="E7240" s="8" t="s">
        <v>40973</v>
      </c>
      <c r="F7240" s="8" t="s">
        <v>4288</v>
      </c>
      <c r="G7240" s="6" t="s">
        <v>118</v>
      </c>
      <c r="H7240" s="6" t="s">
        <v>34</v>
      </c>
      <c r="I7240" s="8" t="s">
        <v>253</v>
      </c>
      <c r="J7240" s="9">
        <v>1</v>
      </c>
      <c r="K7240" s="9">
        <v>602</v>
      </c>
      <c r="L7240" s="9">
        <v>2026</v>
      </c>
      <c r="M7240" s="8" t="s">
        <v>40974</v>
      </c>
      <c r="N7240" s="8" t="s">
        <v>243</v>
      </c>
      <c r="O7240" s="8" t="s">
        <v>244</v>
      </c>
      <c r="P7240" s="6" t="s">
        <v>51</v>
      </c>
      <c r="Q7240" s="8" t="s">
        <v>52</v>
      </c>
      <c r="R7240" s="10" t="s">
        <v>40975</v>
      </c>
      <c r="S7240" s="11"/>
      <c r="T7240" s="6"/>
      <c r="U7240" s="15" t="str">
        <f>HYPERLINK("https://media.infra-m.ru/2257/2257174/cover/2257174.jpg", "Обложка")</f>
        <v>Обложка</v>
      </c>
      <c r="V7240" s="8" t="s">
        <v>396</v>
      </c>
      <c r="W7240" s="6"/>
      <c r="X7240" s="6"/>
      <c r="Y7240" s="6"/>
      <c r="Z7240" s="6"/>
      <c r="AA7240" s="6" t="s">
        <v>106</v>
      </c>
      <c r="AB7240" s="8"/>
      <c r="AC7240" s="27">
        <v>9785160199047</v>
      </c>
    </row>
    <row r="7241" spans="1:29" s="4" customFormat="1" ht="51.9" customHeight="1" x14ac:dyDescent="0.2">
      <c r="A7241" s="5">
        <v>0</v>
      </c>
      <c r="B7241" s="6" t="s">
        <v>40976</v>
      </c>
      <c r="C7241" s="7">
        <v>3324</v>
      </c>
      <c r="D7241" s="8" t="s">
        <v>40977</v>
      </c>
      <c r="E7241" s="8" t="s">
        <v>40973</v>
      </c>
      <c r="F7241" s="8" t="s">
        <v>4288</v>
      </c>
      <c r="G7241" s="6" t="s">
        <v>60</v>
      </c>
      <c r="H7241" s="6" t="s">
        <v>34</v>
      </c>
      <c r="I7241" s="8" t="s">
        <v>263</v>
      </c>
      <c r="J7241" s="9">
        <v>1</v>
      </c>
      <c r="K7241" s="9">
        <v>602</v>
      </c>
      <c r="L7241" s="9">
        <v>2024</v>
      </c>
      <c r="M7241" s="8" t="s">
        <v>40978</v>
      </c>
      <c r="N7241" s="8" t="s">
        <v>243</v>
      </c>
      <c r="O7241" s="8" t="s">
        <v>244</v>
      </c>
      <c r="P7241" s="6" t="s">
        <v>51</v>
      </c>
      <c r="Q7241" s="8" t="s">
        <v>265</v>
      </c>
      <c r="R7241" s="10" t="s">
        <v>40979</v>
      </c>
      <c r="S7241" s="11" t="s">
        <v>40980</v>
      </c>
      <c r="T7241" s="6"/>
      <c r="U7241" s="15" t="str">
        <f>HYPERLINK("https://media.infra-m.ru/1942/1942679/cover/1942679.jpg", "Обложка")</f>
        <v>Обложка</v>
      </c>
      <c r="V7241" s="8" t="s">
        <v>396</v>
      </c>
      <c r="W7241" s="6"/>
      <c r="X7241" s="6"/>
      <c r="Y7241" s="6"/>
      <c r="Z7241" s="6" t="s">
        <v>267</v>
      </c>
      <c r="AA7241" s="6" t="s">
        <v>106</v>
      </c>
      <c r="AB7241" s="8"/>
      <c r="AC7241" s="27">
        <v>9785160182537</v>
      </c>
    </row>
    <row r="7242" spans="1:29" s="4" customFormat="1" ht="51.9" customHeight="1" x14ac:dyDescent="0.2">
      <c r="A7242" s="5">
        <v>0</v>
      </c>
      <c r="B7242" s="6" t="s">
        <v>40981</v>
      </c>
      <c r="C7242" s="7">
        <v>3348</v>
      </c>
      <c r="D7242" s="8" t="s">
        <v>40982</v>
      </c>
      <c r="E7242" s="8" t="s">
        <v>40973</v>
      </c>
      <c r="F7242" s="8" t="s">
        <v>4288</v>
      </c>
      <c r="G7242" s="6" t="s">
        <v>118</v>
      </c>
      <c r="H7242" s="6" t="s">
        <v>34</v>
      </c>
      <c r="I7242" s="8" t="s">
        <v>5350</v>
      </c>
      <c r="J7242" s="9">
        <v>1</v>
      </c>
      <c r="K7242" s="9">
        <v>602</v>
      </c>
      <c r="L7242" s="9">
        <v>2024</v>
      </c>
      <c r="M7242" s="8" t="s">
        <v>40983</v>
      </c>
      <c r="N7242" s="8" t="s">
        <v>243</v>
      </c>
      <c r="O7242" s="8" t="s">
        <v>244</v>
      </c>
      <c r="P7242" s="6" t="s">
        <v>51</v>
      </c>
      <c r="Q7242" s="8" t="s">
        <v>377</v>
      </c>
      <c r="R7242" s="10" t="s">
        <v>3904</v>
      </c>
      <c r="S7242" s="11"/>
      <c r="T7242" s="6"/>
      <c r="U7242" s="15" t="str">
        <f>HYPERLINK("https://media.infra-m.ru/2143/2143785/cover/2143785.jpg", "Обложка")</f>
        <v>Обложка</v>
      </c>
      <c r="V7242" s="8" t="s">
        <v>396</v>
      </c>
      <c r="W7242" s="6"/>
      <c r="X7242" s="6"/>
      <c r="Y7242" s="6"/>
      <c r="Z7242" s="6" t="s">
        <v>429</v>
      </c>
      <c r="AA7242" s="6" t="s">
        <v>106</v>
      </c>
      <c r="AB7242" s="8"/>
      <c r="AC7242" s="27">
        <v>9785160199054</v>
      </c>
    </row>
    <row r="7243" spans="1:29" s="4" customFormat="1" ht="51.9" customHeight="1" x14ac:dyDescent="0.2">
      <c r="A7243" s="5">
        <v>0</v>
      </c>
      <c r="B7243" s="6" t="s">
        <v>40984</v>
      </c>
      <c r="C7243" s="7">
        <v>1416</v>
      </c>
      <c r="D7243" s="8" t="s">
        <v>40985</v>
      </c>
      <c r="E7243" s="8" t="s">
        <v>40986</v>
      </c>
      <c r="F7243" s="8" t="s">
        <v>4288</v>
      </c>
      <c r="G7243" s="6" t="s">
        <v>118</v>
      </c>
      <c r="H7243" s="6" t="s">
        <v>34</v>
      </c>
      <c r="I7243" s="8" t="s">
        <v>263</v>
      </c>
      <c r="J7243" s="9">
        <v>1</v>
      </c>
      <c r="K7243" s="9">
        <v>223</v>
      </c>
      <c r="L7243" s="9">
        <v>2023</v>
      </c>
      <c r="M7243" s="8" t="s">
        <v>40987</v>
      </c>
      <c r="N7243" s="8" t="s">
        <v>243</v>
      </c>
      <c r="O7243" s="8" t="s">
        <v>244</v>
      </c>
      <c r="P7243" s="6" t="s">
        <v>51</v>
      </c>
      <c r="Q7243" s="8" t="s">
        <v>265</v>
      </c>
      <c r="R7243" s="10" t="s">
        <v>40979</v>
      </c>
      <c r="S7243" s="11" t="s">
        <v>40980</v>
      </c>
      <c r="T7243" s="6"/>
      <c r="U7243" s="15" t="str">
        <f>HYPERLINK("https://media.infra-m.ru/2171/2171029/cover/2171029.jpg", "Обложка")</f>
        <v>Обложка</v>
      </c>
      <c r="V7243" s="8" t="s">
        <v>396</v>
      </c>
      <c r="W7243" s="6"/>
      <c r="X7243" s="6"/>
      <c r="Y7243" s="6"/>
      <c r="Z7243" s="6" t="s">
        <v>267</v>
      </c>
      <c r="AA7243" s="6" t="s">
        <v>1256</v>
      </c>
      <c r="AB7243" s="8"/>
      <c r="AC7243" s="27">
        <v>9785160157184</v>
      </c>
    </row>
    <row r="7244" spans="1:29" s="4" customFormat="1" ht="51.9" customHeight="1" x14ac:dyDescent="0.2">
      <c r="A7244" s="5">
        <v>0</v>
      </c>
      <c r="B7244" s="6" t="s">
        <v>40988</v>
      </c>
      <c r="C7244" s="7">
        <v>1216.8</v>
      </c>
      <c r="D7244" s="8" t="s">
        <v>40989</v>
      </c>
      <c r="E7244" s="8" t="s">
        <v>40986</v>
      </c>
      <c r="F7244" s="8" t="s">
        <v>4288</v>
      </c>
      <c r="G7244" s="6" t="s">
        <v>118</v>
      </c>
      <c r="H7244" s="6" t="s">
        <v>34</v>
      </c>
      <c r="I7244" s="8" t="s">
        <v>271</v>
      </c>
      <c r="J7244" s="9">
        <v>1</v>
      </c>
      <c r="K7244" s="9">
        <v>223</v>
      </c>
      <c r="L7244" s="9">
        <v>2023</v>
      </c>
      <c r="M7244" s="8" t="s">
        <v>40990</v>
      </c>
      <c r="N7244" s="8" t="s">
        <v>243</v>
      </c>
      <c r="O7244" s="8" t="s">
        <v>244</v>
      </c>
      <c r="P7244" s="6" t="s">
        <v>51</v>
      </c>
      <c r="Q7244" s="8" t="s">
        <v>52</v>
      </c>
      <c r="R7244" s="10" t="s">
        <v>40975</v>
      </c>
      <c r="S7244" s="11" t="s">
        <v>40991</v>
      </c>
      <c r="T7244" s="6"/>
      <c r="U7244" s="15" t="str">
        <f>HYPERLINK("https://media.infra-m.ru/1927/1927332/cover/1927332.jpg", "Обложка")</f>
        <v>Обложка</v>
      </c>
      <c r="V7244" s="8" t="s">
        <v>396</v>
      </c>
      <c r="W7244" s="6"/>
      <c r="X7244" s="6"/>
      <c r="Y7244" s="6"/>
      <c r="Z7244" s="6"/>
      <c r="AA7244" s="6" t="s">
        <v>115</v>
      </c>
      <c r="AB7244" s="8"/>
      <c r="AC7244" s="27">
        <v>9785160143972</v>
      </c>
    </row>
    <row r="7245" spans="1:29" s="4" customFormat="1" ht="51.9" customHeight="1" x14ac:dyDescent="0.2">
      <c r="A7245" s="5">
        <v>0</v>
      </c>
      <c r="B7245" s="6" t="s">
        <v>40992</v>
      </c>
      <c r="C7245" s="7">
        <v>1236</v>
      </c>
      <c r="D7245" s="8" t="s">
        <v>40993</v>
      </c>
      <c r="E7245" s="8" t="s">
        <v>40986</v>
      </c>
      <c r="F7245" s="8" t="s">
        <v>4288</v>
      </c>
      <c r="G7245" s="6" t="s">
        <v>118</v>
      </c>
      <c r="H7245" s="6" t="s">
        <v>34</v>
      </c>
      <c r="I7245" s="8" t="s">
        <v>5350</v>
      </c>
      <c r="J7245" s="9">
        <v>1</v>
      </c>
      <c r="K7245" s="9">
        <v>223</v>
      </c>
      <c r="L7245" s="9">
        <v>2024</v>
      </c>
      <c r="M7245" s="8" t="s">
        <v>40994</v>
      </c>
      <c r="N7245" s="8" t="s">
        <v>243</v>
      </c>
      <c r="O7245" s="8" t="s">
        <v>244</v>
      </c>
      <c r="P7245" s="6" t="s">
        <v>51</v>
      </c>
      <c r="Q7245" s="8" t="s">
        <v>377</v>
      </c>
      <c r="R7245" s="10" t="s">
        <v>3904</v>
      </c>
      <c r="S7245" s="11" t="s">
        <v>40995</v>
      </c>
      <c r="T7245" s="6"/>
      <c r="U7245" s="15" t="str">
        <f>HYPERLINK("https://media.infra-m.ru/2003/2003474/cover/2003474.jpg", "Обложка")</f>
        <v>Обложка</v>
      </c>
      <c r="V7245" s="8" t="s">
        <v>396</v>
      </c>
      <c r="W7245" s="6"/>
      <c r="X7245" s="6"/>
      <c r="Y7245" s="6"/>
      <c r="Z7245" s="6" t="s">
        <v>429</v>
      </c>
      <c r="AA7245" s="6" t="s">
        <v>148</v>
      </c>
      <c r="AB7245" s="8"/>
      <c r="AC7245" s="27">
        <v>9785160165332</v>
      </c>
    </row>
    <row r="7246" spans="1:29" s="4" customFormat="1" ht="42" customHeight="1" x14ac:dyDescent="0.2">
      <c r="A7246" s="5">
        <v>0</v>
      </c>
      <c r="B7246" s="6" t="s">
        <v>40996</v>
      </c>
      <c r="C7246" s="13">
        <v>628.79999999999995</v>
      </c>
      <c r="D7246" s="8" t="s">
        <v>40997</v>
      </c>
      <c r="E7246" s="8" t="s">
        <v>40998</v>
      </c>
      <c r="F7246" s="8" t="s">
        <v>18621</v>
      </c>
      <c r="G7246" s="6" t="s">
        <v>33</v>
      </c>
      <c r="H7246" s="6" t="s">
        <v>241</v>
      </c>
      <c r="I7246" s="8"/>
      <c r="J7246" s="9">
        <v>1</v>
      </c>
      <c r="K7246" s="9">
        <v>96</v>
      </c>
      <c r="L7246" s="9">
        <v>2026</v>
      </c>
      <c r="M7246" s="8" t="s">
        <v>40999</v>
      </c>
      <c r="N7246" s="8" t="s">
        <v>37</v>
      </c>
      <c r="O7246" s="8" t="s">
        <v>499</v>
      </c>
      <c r="P7246" s="6" t="s">
        <v>51</v>
      </c>
      <c r="Q7246" s="8" t="s">
        <v>52</v>
      </c>
      <c r="R7246" s="10" t="s">
        <v>41000</v>
      </c>
      <c r="S7246" s="11"/>
      <c r="T7246" s="6"/>
      <c r="U7246" s="15" t="str">
        <f>HYPERLINK("https://media.infra-m.ru/2218/2218894/cover/2218894.jpg", "Обложка")</f>
        <v>Обложка</v>
      </c>
      <c r="V7246" s="8" t="s">
        <v>6583</v>
      </c>
      <c r="W7246" s="6"/>
      <c r="X7246" s="6"/>
      <c r="Y7246" s="6"/>
      <c r="Z7246" s="6"/>
      <c r="AA7246" s="6" t="s">
        <v>274</v>
      </c>
      <c r="AB7246" s="8"/>
      <c r="AC7246" s="27">
        <v>9785955804125</v>
      </c>
    </row>
    <row r="7247" spans="1:29" s="4" customFormat="1" ht="51.9" customHeight="1" x14ac:dyDescent="0.2">
      <c r="A7247" s="5">
        <v>0</v>
      </c>
      <c r="B7247" s="6" t="s">
        <v>41001</v>
      </c>
      <c r="C7247" s="7">
        <v>1272</v>
      </c>
      <c r="D7247" s="8" t="s">
        <v>41002</v>
      </c>
      <c r="E7247" s="8" t="s">
        <v>41003</v>
      </c>
      <c r="F7247" s="8" t="s">
        <v>41004</v>
      </c>
      <c r="G7247" s="6" t="s">
        <v>33</v>
      </c>
      <c r="H7247" s="6" t="s">
        <v>313</v>
      </c>
      <c r="I7247" s="8" t="s">
        <v>35</v>
      </c>
      <c r="J7247" s="9">
        <v>1</v>
      </c>
      <c r="K7247" s="9">
        <v>204</v>
      </c>
      <c r="L7247" s="9">
        <v>2025</v>
      </c>
      <c r="M7247" s="8" t="s">
        <v>41005</v>
      </c>
      <c r="N7247" s="8" t="s">
        <v>63</v>
      </c>
      <c r="O7247" s="8" t="s">
        <v>181</v>
      </c>
      <c r="P7247" s="6" t="s">
        <v>39</v>
      </c>
      <c r="Q7247" s="8" t="s">
        <v>40</v>
      </c>
      <c r="R7247" s="10" t="s">
        <v>41006</v>
      </c>
      <c r="S7247" s="11"/>
      <c r="T7247" s="6"/>
      <c r="U7247" s="15" t="str">
        <f>HYPERLINK("https://media.infra-m.ru/2200/2200970/cover/2200970.jpg", "Обложка")</f>
        <v>Обложка</v>
      </c>
      <c r="V7247" s="8" t="s">
        <v>41007</v>
      </c>
      <c r="W7247" s="6"/>
      <c r="X7247" s="6"/>
      <c r="Y7247" s="6"/>
      <c r="Z7247" s="6"/>
      <c r="AA7247" s="6" t="s">
        <v>718</v>
      </c>
      <c r="AB7247" s="8"/>
      <c r="AC7247" s="27">
        <v>9785369011416</v>
      </c>
    </row>
    <row r="7248" spans="1:29" s="4" customFormat="1" ht="51.9" customHeight="1" x14ac:dyDescent="0.2">
      <c r="A7248" s="5">
        <v>0</v>
      </c>
      <c r="B7248" s="6" t="s">
        <v>41008</v>
      </c>
      <c r="C7248" s="7">
        <v>2016</v>
      </c>
      <c r="D7248" s="8" t="s">
        <v>41009</v>
      </c>
      <c r="E7248" s="8" t="s">
        <v>41010</v>
      </c>
      <c r="F7248" s="8" t="s">
        <v>41011</v>
      </c>
      <c r="G7248" s="6" t="s">
        <v>118</v>
      </c>
      <c r="H7248" s="6" t="s">
        <v>134</v>
      </c>
      <c r="I7248" s="8" t="s">
        <v>8166</v>
      </c>
      <c r="J7248" s="9">
        <v>1</v>
      </c>
      <c r="K7248" s="9">
        <v>304</v>
      </c>
      <c r="L7248" s="9">
        <v>2026</v>
      </c>
      <c r="M7248" s="8" t="s">
        <v>41012</v>
      </c>
      <c r="N7248" s="8" t="s">
        <v>37</v>
      </c>
      <c r="O7248" s="8" t="s">
        <v>83</v>
      </c>
      <c r="P7248" s="6" t="s">
        <v>51</v>
      </c>
      <c r="Q7248" s="8" t="s">
        <v>52</v>
      </c>
      <c r="R7248" s="10" t="s">
        <v>41013</v>
      </c>
      <c r="S7248" s="11"/>
      <c r="T7248" s="6"/>
      <c r="U7248" s="15" t="str">
        <f>HYPERLINK("https://media.infra-m.ru/2238/2238251/cover/2238251.jpg", "Обложка")</f>
        <v>Обложка</v>
      </c>
      <c r="V7248" s="8" t="s">
        <v>3087</v>
      </c>
      <c r="W7248" s="6"/>
      <c r="X7248" s="6"/>
      <c r="Y7248" s="6"/>
      <c r="Z7248" s="6"/>
      <c r="AA7248" s="6" t="s">
        <v>248</v>
      </c>
      <c r="AB7248" s="8"/>
      <c r="AC7248" s="27">
        <v>9785917685342</v>
      </c>
    </row>
    <row r="7249" spans="1:29" s="4" customFormat="1" ht="51.9" customHeight="1" x14ac:dyDescent="0.2">
      <c r="A7249" s="5">
        <v>0</v>
      </c>
      <c r="B7249" s="6" t="s">
        <v>41014</v>
      </c>
      <c r="C7249" s="7">
        <v>1236</v>
      </c>
      <c r="D7249" s="8" t="s">
        <v>41015</v>
      </c>
      <c r="E7249" s="8" t="s">
        <v>41016</v>
      </c>
      <c r="F7249" s="8" t="s">
        <v>41017</v>
      </c>
      <c r="G7249" s="6" t="s">
        <v>33</v>
      </c>
      <c r="H7249" s="6" t="s">
        <v>34</v>
      </c>
      <c r="I7249" s="8" t="s">
        <v>35</v>
      </c>
      <c r="J7249" s="9">
        <v>1</v>
      </c>
      <c r="K7249" s="9">
        <v>198</v>
      </c>
      <c r="L7249" s="9">
        <v>2026</v>
      </c>
      <c r="M7249" s="8" t="s">
        <v>41018</v>
      </c>
      <c r="N7249" s="8" t="s">
        <v>93</v>
      </c>
      <c r="O7249" s="8" t="s">
        <v>94</v>
      </c>
      <c r="P7249" s="6" t="s">
        <v>39</v>
      </c>
      <c r="Q7249" s="8" t="s">
        <v>40</v>
      </c>
      <c r="R7249" s="10" t="s">
        <v>11871</v>
      </c>
      <c r="S7249" s="11"/>
      <c r="T7249" s="6"/>
      <c r="U7249" s="15" t="str">
        <f>HYPERLINK("https://media.infra-m.ru/2210/2210791/cover/2210791.jpg", "Обложка")</f>
        <v>Обложка</v>
      </c>
      <c r="V7249" s="8" t="s">
        <v>644</v>
      </c>
      <c r="W7249" s="6"/>
      <c r="X7249" s="6"/>
      <c r="Y7249" s="6"/>
      <c r="Z7249" s="6"/>
      <c r="AA7249" s="6" t="s">
        <v>779</v>
      </c>
      <c r="AB7249" s="8"/>
      <c r="AC7249" s="27">
        <v>9785160112794</v>
      </c>
    </row>
    <row r="7250" spans="1:29" s="4" customFormat="1" ht="51.9" customHeight="1" x14ac:dyDescent="0.2">
      <c r="A7250" s="5">
        <v>0</v>
      </c>
      <c r="B7250" s="6" t="s">
        <v>41019</v>
      </c>
      <c r="C7250" s="7">
        <v>2552.4</v>
      </c>
      <c r="D7250" s="8" t="s">
        <v>41020</v>
      </c>
      <c r="E7250" s="8" t="s">
        <v>41021</v>
      </c>
      <c r="F7250" s="8" t="s">
        <v>29349</v>
      </c>
      <c r="G7250" s="6" t="s">
        <v>118</v>
      </c>
      <c r="H7250" s="6" t="s">
        <v>48</v>
      </c>
      <c r="I7250" s="8" t="s">
        <v>253</v>
      </c>
      <c r="J7250" s="9">
        <v>1</v>
      </c>
      <c r="K7250" s="9">
        <v>319</v>
      </c>
      <c r="L7250" s="9">
        <v>2025</v>
      </c>
      <c r="M7250" s="8" t="s">
        <v>41022</v>
      </c>
      <c r="N7250" s="8" t="s">
        <v>243</v>
      </c>
      <c r="O7250" s="8" t="s">
        <v>758</v>
      </c>
      <c r="P7250" s="6" t="s">
        <v>306</v>
      </c>
      <c r="Q7250" s="8" t="s">
        <v>52</v>
      </c>
      <c r="R7250" s="10" t="s">
        <v>41023</v>
      </c>
      <c r="S7250" s="11" t="s">
        <v>41024</v>
      </c>
      <c r="T7250" s="6"/>
      <c r="U7250" s="15" t="str">
        <f>HYPERLINK("https://media.infra-m.ru/2202/2202658/cover/2202658.jpg", "Обложка")</f>
        <v>Обложка</v>
      </c>
      <c r="V7250" s="8" t="s">
        <v>831</v>
      </c>
      <c r="W7250" s="6"/>
      <c r="X7250" s="6"/>
      <c r="Y7250" s="6"/>
      <c r="Z7250" s="6"/>
      <c r="AA7250" s="6" t="s">
        <v>779</v>
      </c>
      <c r="AB7250" s="8"/>
      <c r="AC7250" s="27">
        <v>9785000916728</v>
      </c>
    </row>
    <row r="7251" spans="1:29" s="4" customFormat="1" ht="51.9" customHeight="1" x14ac:dyDescent="0.2">
      <c r="A7251" s="5">
        <v>0</v>
      </c>
      <c r="B7251" s="6" t="s">
        <v>41025</v>
      </c>
      <c r="C7251" s="7">
        <v>2888.4</v>
      </c>
      <c r="D7251" s="8" t="s">
        <v>41026</v>
      </c>
      <c r="E7251" s="8" t="s">
        <v>41021</v>
      </c>
      <c r="F7251" s="8" t="s">
        <v>29349</v>
      </c>
      <c r="G7251" s="6" t="s">
        <v>118</v>
      </c>
      <c r="H7251" s="6" t="s">
        <v>48</v>
      </c>
      <c r="I7251" s="8" t="s">
        <v>263</v>
      </c>
      <c r="J7251" s="9">
        <v>1</v>
      </c>
      <c r="K7251" s="9">
        <v>319</v>
      </c>
      <c r="L7251" s="9">
        <v>2026</v>
      </c>
      <c r="M7251" s="8" t="s">
        <v>41027</v>
      </c>
      <c r="N7251" s="8" t="s">
        <v>243</v>
      </c>
      <c r="O7251" s="8" t="s">
        <v>758</v>
      </c>
      <c r="P7251" s="6" t="s">
        <v>306</v>
      </c>
      <c r="Q7251" s="8" t="s">
        <v>265</v>
      </c>
      <c r="R7251" s="10" t="s">
        <v>41028</v>
      </c>
      <c r="S7251" s="11" t="s">
        <v>41029</v>
      </c>
      <c r="T7251" s="6"/>
      <c r="U7251" s="15" t="str">
        <f>HYPERLINK("https://media.infra-m.ru/2213/2213293/cover/2213293.jpg", "Обложка")</f>
        <v>Обложка</v>
      </c>
      <c r="V7251" s="8" t="s">
        <v>831</v>
      </c>
      <c r="W7251" s="6"/>
      <c r="X7251" s="6"/>
      <c r="Y7251" s="6"/>
      <c r="Z7251" s="6" t="s">
        <v>267</v>
      </c>
      <c r="AA7251" s="6" t="s">
        <v>115</v>
      </c>
      <c r="AB7251" s="8"/>
      <c r="AC7251" s="27">
        <v>9785000915837</v>
      </c>
    </row>
    <row r="7252" spans="1:29" s="4" customFormat="1" ht="42" customHeight="1" x14ac:dyDescent="0.2">
      <c r="A7252" s="5">
        <v>0</v>
      </c>
      <c r="B7252" s="6" t="s">
        <v>41030</v>
      </c>
      <c r="C7252" s="7">
        <v>1404</v>
      </c>
      <c r="D7252" s="8" t="s">
        <v>41031</v>
      </c>
      <c r="E7252" s="8" t="s">
        <v>41032</v>
      </c>
      <c r="F7252" s="8" t="s">
        <v>41033</v>
      </c>
      <c r="G7252" s="6" t="s">
        <v>118</v>
      </c>
      <c r="H7252" s="6" t="s">
        <v>34</v>
      </c>
      <c r="I7252" s="8" t="s">
        <v>35</v>
      </c>
      <c r="J7252" s="9">
        <v>1</v>
      </c>
      <c r="K7252" s="9">
        <v>212</v>
      </c>
      <c r="L7252" s="9">
        <v>2026</v>
      </c>
      <c r="M7252" s="8" t="s">
        <v>41034</v>
      </c>
      <c r="N7252" s="8" t="s">
        <v>63</v>
      </c>
      <c r="O7252" s="8" t="s">
        <v>9718</v>
      </c>
      <c r="P7252" s="6" t="s">
        <v>39</v>
      </c>
      <c r="Q7252" s="8" t="s">
        <v>40</v>
      </c>
      <c r="R7252" s="10" t="s">
        <v>41035</v>
      </c>
      <c r="S7252" s="11"/>
      <c r="T7252" s="6"/>
      <c r="U7252" s="15" t="str">
        <f>HYPERLINK("https://media.infra-m.ru/2246/2246353/cover/2246353.jpg", "Обложка")</f>
        <v>Обложка</v>
      </c>
      <c r="V7252" s="8" t="s">
        <v>227</v>
      </c>
      <c r="W7252" s="6"/>
      <c r="X7252" s="6"/>
      <c r="Y7252" s="6"/>
      <c r="Z7252" s="6"/>
      <c r="AA7252" s="6" t="s">
        <v>76</v>
      </c>
      <c r="AB7252" s="8"/>
      <c r="AC7252" s="27">
        <v>9785160186955</v>
      </c>
    </row>
    <row r="7253" spans="1:29" s="4" customFormat="1" ht="51.9" customHeight="1" x14ac:dyDescent="0.2">
      <c r="A7253" s="5">
        <v>0</v>
      </c>
      <c r="B7253" s="6" t="s">
        <v>41036</v>
      </c>
      <c r="C7253" s="7">
        <v>1320</v>
      </c>
      <c r="D7253" s="8" t="s">
        <v>41037</v>
      </c>
      <c r="E7253" s="8" t="s">
        <v>41038</v>
      </c>
      <c r="F7253" s="8" t="s">
        <v>41039</v>
      </c>
      <c r="G7253" s="6" t="s">
        <v>118</v>
      </c>
      <c r="H7253" s="6" t="s">
        <v>34</v>
      </c>
      <c r="I7253" s="8" t="s">
        <v>253</v>
      </c>
      <c r="J7253" s="9">
        <v>1</v>
      </c>
      <c r="K7253" s="9">
        <v>189</v>
      </c>
      <c r="L7253" s="9">
        <v>2027</v>
      </c>
      <c r="M7253" s="8" t="s">
        <v>41040</v>
      </c>
      <c r="N7253" s="8" t="s">
        <v>63</v>
      </c>
      <c r="O7253" s="8" t="s">
        <v>64</v>
      </c>
      <c r="P7253" s="6" t="s">
        <v>51</v>
      </c>
      <c r="Q7253" s="8" t="s">
        <v>52</v>
      </c>
      <c r="R7253" s="10" t="s">
        <v>10991</v>
      </c>
      <c r="S7253" s="11" t="s">
        <v>41041</v>
      </c>
      <c r="T7253" s="6"/>
      <c r="U7253" s="15" t="str">
        <f>HYPERLINK("https://media.infra-m.ru/2266/2266853/cover/2266853.jpg", "Обложка")</f>
        <v>Обложка</v>
      </c>
      <c r="V7253" s="8" t="s">
        <v>1675</v>
      </c>
      <c r="W7253" s="6"/>
      <c r="X7253" s="6"/>
      <c r="Y7253" s="6"/>
      <c r="Z7253" s="6"/>
      <c r="AA7253" s="6" t="s">
        <v>76</v>
      </c>
      <c r="AB7253" s="8"/>
      <c r="AC7253" s="27">
        <v>9785160177205</v>
      </c>
    </row>
    <row r="7254" spans="1:29" s="4" customFormat="1" ht="51.9" customHeight="1" x14ac:dyDescent="0.2">
      <c r="A7254" s="5">
        <v>0</v>
      </c>
      <c r="B7254" s="6" t="s">
        <v>41042</v>
      </c>
      <c r="C7254" s="7">
        <v>1912.8</v>
      </c>
      <c r="D7254" s="8" t="s">
        <v>41043</v>
      </c>
      <c r="E7254" s="8" t="s">
        <v>41044</v>
      </c>
      <c r="F7254" s="8" t="s">
        <v>41045</v>
      </c>
      <c r="G7254" s="6" t="s">
        <v>60</v>
      </c>
      <c r="H7254" s="6" t="s">
        <v>34</v>
      </c>
      <c r="I7254" s="8" t="s">
        <v>253</v>
      </c>
      <c r="J7254" s="9">
        <v>1</v>
      </c>
      <c r="K7254" s="9">
        <v>290</v>
      </c>
      <c r="L7254" s="9">
        <v>2026</v>
      </c>
      <c r="M7254" s="8" t="s">
        <v>41046</v>
      </c>
      <c r="N7254" s="8" t="s">
        <v>37</v>
      </c>
      <c r="O7254" s="8" t="s">
        <v>207</v>
      </c>
      <c r="P7254" s="6" t="s">
        <v>51</v>
      </c>
      <c r="Q7254" s="8" t="s">
        <v>52</v>
      </c>
      <c r="R7254" s="10" t="s">
        <v>11463</v>
      </c>
      <c r="S7254" s="11" t="s">
        <v>41047</v>
      </c>
      <c r="T7254" s="6"/>
      <c r="U7254" s="15" t="str">
        <f>HYPERLINK("https://media.infra-m.ru/2227/2227029/cover/2227029.jpg", "Обложка")</f>
        <v>Обложка</v>
      </c>
      <c r="V7254" s="8" t="s">
        <v>2088</v>
      </c>
      <c r="W7254" s="6"/>
      <c r="X7254" s="6"/>
      <c r="Y7254" s="6"/>
      <c r="Z7254" s="6"/>
      <c r="AA7254" s="6" t="s">
        <v>1303</v>
      </c>
      <c r="AB7254" s="8"/>
      <c r="AC7254" s="27">
        <v>9785160181547</v>
      </c>
    </row>
    <row r="7255" spans="1:29" s="4" customFormat="1" ht="51.9" customHeight="1" x14ac:dyDescent="0.2">
      <c r="A7255" s="5">
        <v>0</v>
      </c>
      <c r="B7255" s="6" t="s">
        <v>41048</v>
      </c>
      <c r="C7255" s="7">
        <v>1553.9</v>
      </c>
      <c r="D7255" s="8" t="s">
        <v>41049</v>
      </c>
      <c r="E7255" s="8" t="s">
        <v>41050</v>
      </c>
      <c r="F7255" s="8" t="s">
        <v>41051</v>
      </c>
      <c r="G7255" s="6" t="s">
        <v>60</v>
      </c>
      <c r="H7255" s="6" t="s">
        <v>34</v>
      </c>
      <c r="I7255" s="8" t="s">
        <v>271</v>
      </c>
      <c r="J7255" s="9">
        <v>1</v>
      </c>
      <c r="K7255" s="9">
        <v>288</v>
      </c>
      <c r="L7255" s="9">
        <v>2023</v>
      </c>
      <c r="M7255" s="8" t="s">
        <v>41052</v>
      </c>
      <c r="N7255" s="8" t="s">
        <v>37</v>
      </c>
      <c r="O7255" s="8" t="s">
        <v>207</v>
      </c>
      <c r="P7255" s="6" t="s">
        <v>51</v>
      </c>
      <c r="Q7255" s="8" t="s">
        <v>52</v>
      </c>
      <c r="R7255" s="10" t="s">
        <v>11463</v>
      </c>
      <c r="S7255" s="11" t="s">
        <v>41047</v>
      </c>
      <c r="T7255" s="6" t="s">
        <v>97</v>
      </c>
      <c r="U7255" s="15" t="str">
        <f>HYPERLINK("https://media.infra-m.ru/1911/1911818/cover/1911818.jpg", "Обложка")</f>
        <v>Обложка</v>
      </c>
      <c r="V7255" s="8" t="s">
        <v>5162</v>
      </c>
      <c r="W7255" s="6"/>
      <c r="X7255" s="6"/>
      <c r="Y7255" s="6"/>
      <c r="Z7255" s="6"/>
      <c r="AA7255" s="6" t="s">
        <v>779</v>
      </c>
      <c r="AB7255" s="8"/>
      <c r="AC7255" s="27">
        <v>9785160107851</v>
      </c>
    </row>
    <row r="7256" spans="1:29" s="4" customFormat="1" ht="51.9" customHeight="1" x14ac:dyDescent="0.2">
      <c r="A7256" s="5">
        <v>0</v>
      </c>
      <c r="B7256" s="6" t="s">
        <v>41053</v>
      </c>
      <c r="C7256" s="13">
        <v>952.8</v>
      </c>
      <c r="D7256" s="8" t="s">
        <v>41054</v>
      </c>
      <c r="E7256" s="8" t="s">
        <v>41055</v>
      </c>
      <c r="F7256" s="8" t="s">
        <v>41056</v>
      </c>
      <c r="G7256" s="6" t="s">
        <v>33</v>
      </c>
      <c r="H7256" s="6" t="s">
        <v>34</v>
      </c>
      <c r="I7256" s="8" t="s">
        <v>271</v>
      </c>
      <c r="J7256" s="9">
        <v>1</v>
      </c>
      <c r="K7256" s="9">
        <v>172</v>
      </c>
      <c r="L7256" s="9">
        <v>2024</v>
      </c>
      <c r="M7256" s="8" t="s">
        <v>41057</v>
      </c>
      <c r="N7256" s="8" t="s">
        <v>37</v>
      </c>
      <c r="O7256" s="8" t="s">
        <v>207</v>
      </c>
      <c r="P7256" s="6" t="s">
        <v>51</v>
      </c>
      <c r="Q7256" s="8" t="s">
        <v>52</v>
      </c>
      <c r="R7256" s="10" t="s">
        <v>37321</v>
      </c>
      <c r="S7256" s="11" t="s">
        <v>41058</v>
      </c>
      <c r="T7256" s="6"/>
      <c r="U7256" s="15" t="str">
        <f>HYPERLINK("https://media.infra-m.ru/2104/2104856/cover/2104856.jpg", "Обложка")</f>
        <v>Обложка</v>
      </c>
      <c r="V7256" s="8" t="s">
        <v>21052</v>
      </c>
      <c r="W7256" s="6"/>
      <c r="X7256" s="6"/>
      <c r="Y7256" s="6"/>
      <c r="Z7256" s="6"/>
      <c r="AA7256" s="6" t="s">
        <v>99</v>
      </c>
      <c r="AB7256" s="8"/>
      <c r="AC7256" s="27">
        <v>9785160121512</v>
      </c>
    </row>
    <row r="7257" spans="1:29" s="4" customFormat="1" ht="51.9" customHeight="1" x14ac:dyDescent="0.2">
      <c r="A7257" s="5">
        <v>0</v>
      </c>
      <c r="B7257" s="6" t="s">
        <v>41059</v>
      </c>
      <c r="C7257" s="7">
        <v>1096.8</v>
      </c>
      <c r="D7257" s="8" t="s">
        <v>41060</v>
      </c>
      <c r="E7257" s="8" t="s">
        <v>41061</v>
      </c>
      <c r="F7257" s="8" t="s">
        <v>6697</v>
      </c>
      <c r="G7257" s="6" t="s">
        <v>33</v>
      </c>
      <c r="H7257" s="6" t="s">
        <v>48</v>
      </c>
      <c r="I7257" s="8" t="s">
        <v>271</v>
      </c>
      <c r="J7257" s="9">
        <v>1</v>
      </c>
      <c r="K7257" s="9">
        <v>176</v>
      </c>
      <c r="L7257" s="9">
        <v>2025</v>
      </c>
      <c r="M7257" s="8" t="s">
        <v>41062</v>
      </c>
      <c r="N7257" s="8" t="s">
        <v>37</v>
      </c>
      <c r="O7257" s="8" t="s">
        <v>207</v>
      </c>
      <c r="P7257" s="6" t="s">
        <v>51</v>
      </c>
      <c r="Q7257" s="8" t="s">
        <v>52</v>
      </c>
      <c r="R7257" s="10" t="s">
        <v>7774</v>
      </c>
      <c r="S7257" s="11" t="s">
        <v>41063</v>
      </c>
      <c r="T7257" s="6"/>
      <c r="U7257" s="15" t="str">
        <f>HYPERLINK("https://media.infra-m.ru/2196/2196078/cover/2196078.jpg", "Обложка")</f>
        <v>Обложка</v>
      </c>
      <c r="V7257" s="8" t="s">
        <v>6700</v>
      </c>
      <c r="W7257" s="6"/>
      <c r="X7257" s="6"/>
      <c r="Y7257" s="6"/>
      <c r="Z7257" s="6"/>
      <c r="AA7257" s="6" t="s">
        <v>274</v>
      </c>
      <c r="AB7257" s="8"/>
      <c r="AC7257" s="27">
        <v>9785911349493</v>
      </c>
    </row>
    <row r="7258" spans="1:29" s="4" customFormat="1" ht="51.9" customHeight="1" x14ac:dyDescent="0.2">
      <c r="A7258" s="5">
        <v>0</v>
      </c>
      <c r="B7258" s="6" t="s">
        <v>41064</v>
      </c>
      <c r="C7258" s="7">
        <v>1084.8</v>
      </c>
      <c r="D7258" s="8" t="s">
        <v>41065</v>
      </c>
      <c r="E7258" s="8" t="s">
        <v>41061</v>
      </c>
      <c r="F7258" s="8" t="s">
        <v>6697</v>
      </c>
      <c r="G7258" s="6" t="s">
        <v>60</v>
      </c>
      <c r="H7258" s="6" t="s">
        <v>48</v>
      </c>
      <c r="I7258" s="8" t="s">
        <v>263</v>
      </c>
      <c r="J7258" s="9">
        <v>1</v>
      </c>
      <c r="K7258" s="9">
        <v>174</v>
      </c>
      <c r="L7258" s="9">
        <v>2025</v>
      </c>
      <c r="M7258" s="8" t="s">
        <v>41066</v>
      </c>
      <c r="N7258" s="8" t="s">
        <v>37</v>
      </c>
      <c r="O7258" s="8" t="s">
        <v>207</v>
      </c>
      <c r="P7258" s="6" t="s">
        <v>51</v>
      </c>
      <c r="Q7258" s="8" t="s">
        <v>265</v>
      </c>
      <c r="R7258" s="10" t="s">
        <v>41067</v>
      </c>
      <c r="S7258" s="11" t="s">
        <v>41068</v>
      </c>
      <c r="T7258" s="6"/>
      <c r="U7258" s="15" t="str">
        <f>HYPERLINK("https://media.infra-m.ru/2199/2199133/cover/2199133.jpg", "Обложка")</f>
        <v>Обложка</v>
      </c>
      <c r="V7258" s="8" t="s">
        <v>6700</v>
      </c>
      <c r="W7258" s="6"/>
      <c r="X7258" s="6"/>
      <c r="Y7258" s="6"/>
      <c r="Z7258" s="6" t="s">
        <v>267</v>
      </c>
      <c r="AA7258" s="6" t="s">
        <v>115</v>
      </c>
      <c r="AB7258" s="8"/>
      <c r="AC7258" s="27">
        <v>9785000916179</v>
      </c>
    </row>
    <row r="7259" spans="1:29" s="4" customFormat="1" ht="51.9" customHeight="1" x14ac:dyDescent="0.2">
      <c r="A7259" s="5">
        <v>0</v>
      </c>
      <c r="B7259" s="6" t="s">
        <v>41069</v>
      </c>
      <c r="C7259" s="7">
        <v>1732.8</v>
      </c>
      <c r="D7259" s="8" t="s">
        <v>41070</v>
      </c>
      <c r="E7259" s="8" t="s">
        <v>41071</v>
      </c>
      <c r="F7259" s="8" t="s">
        <v>41072</v>
      </c>
      <c r="G7259" s="6" t="s">
        <v>118</v>
      </c>
      <c r="H7259" s="6" t="s">
        <v>34</v>
      </c>
      <c r="I7259" s="8" t="s">
        <v>263</v>
      </c>
      <c r="J7259" s="9">
        <v>1</v>
      </c>
      <c r="K7259" s="9">
        <v>248</v>
      </c>
      <c r="L7259" s="9">
        <v>2027</v>
      </c>
      <c r="M7259" s="8" t="s">
        <v>41073</v>
      </c>
      <c r="N7259" s="8" t="s">
        <v>37</v>
      </c>
      <c r="O7259" s="8" t="s">
        <v>207</v>
      </c>
      <c r="P7259" s="6" t="s">
        <v>51</v>
      </c>
      <c r="Q7259" s="8" t="s">
        <v>265</v>
      </c>
      <c r="R7259" s="10" t="s">
        <v>4160</v>
      </c>
      <c r="S7259" s="11" t="s">
        <v>41074</v>
      </c>
      <c r="T7259" s="6"/>
      <c r="U7259" s="15" t="str">
        <f>HYPERLINK("https://media.infra-m.ru/2262/2262617/cover/2262617.jpg", "Обложка")</f>
        <v>Обложка</v>
      </c>
      <c r="V7259" s="8" t="s">
        <v>9565</v>
      </c>
      <c r="W7259" s="6"/>
      <c r="X7259" s="6"/>
      <c r="Y7259" s="6"/>
      <c r="Z7259" s="6" t="s">
        <v>267</v>
      </c>
      <c r="AA7259" s="6" t="s">
        <v>115</v>
      </c>
      <c r="AB7259" s="8"/>
      <c r="AC7259" s="27">
        <v>9785160153261</v>
      </c>
    </row>
    <row r="7260" spans="1:29" s="4" customFormat="1" ht="51.9" customHeight="1" x14ac:dyDescent="0.2">
      <c r="A7260" s="5">
        <v>0</v>
      </c>
      <c r="B7260" s="6" t="s">
        <v>41075</v>
      </c>
      <c r="C7260" s="7">
        <v>1996.8</v>
      </c>
      <c r="D7260" s="8" t="s">
        <v>41076</v>
      </c>
      <c r="E7260" s="8" t="s">
        <v>41077</v>
      </c>
      <c r="F7260" s="8" t="s">
        <v>41072</v>
      </c>
      <c r="G7260" s="6" t="s">
        <v>118</v>
      </c>
      <c r="H7260" s="6" t="s">
        <v>34</v>
      </c>
      <c r="I7260" s="8" t="s">
        <v>271</v>
      </c>
      <c r="J7260" s="9">
        <v>1</v>
      </c>
      <c r="K7260" s="9">
        <v>287</v>
      </c>
      <c r="L7260" s="9">
        <v>2027</v>
      </c>
      <c r="M7260" s="8" t="s">
        <v>41078</v>
      </c>
      <c r="N7260" s="8" t="s">
        <v>37</v>
      </c>
      <c r="O7260" s="8" t="s">
        <v>207</v>
      </c>
      <c r="P7260" s="6" t="s">
        <v>51</v>
      </c>
      <c r="Q7260" s="8" t="s">
        <v>52</v>
      </c>
      <c r="R7260" s="10" t="s">
        <v>41079</v>
      </c>
      <c r="S7260" s="11" t="s">
        <v>41080</v>
      </c>
      <c r="T7260" s="6"/>
      <c r="U7260" s="15" t="str">
        <f>HYPERLINK("https://media.infra-m.ru/2262/2262616/cover/2262616.jpg", "Обложка")</f>
        <v>Обложка</v>
      </c>
      <c r="V7260" s="8" t="s">
        <v>9565</v>
      </c>
      <c r="W7260" s="6"/>
      <c r="X7260" s="6"/>
      <c r="Y7260" s="6"/>
      <c r="Z7260" s="6"/>
      <c r="AA7260" s="6" t="s">
        <v>218</v>
      </c>
      <c r="AB7260" s="8"/>
      <c r="AC7260" s="27">
        <v>9785160154817</v>
      </c>
    </row>
    <row r="7261" spans="1:29" s="4" customFormat="1" ht="51.9" customHeight="1" x14ac:dyDescent="0.2">
      <c r="A7261" s="5">
        <v>0</v>
      </c>
      <c r="B7261" s="6" t="s">
        <v>41081</v>
      </c>
      <c r="C7261" s="7">
        <v>1013.9</v>
      </c>
      <c r="D7261" s="8" t="s">
        <v>41082</v>
      </c>
      <c r="E7261" s="8" t="s">
        <v>41071</v>
      </c>
      <c r="F7261" s="8" t="s">
        <v>41072</v>
      </c>
      <c r="G7261" s="6" t="s">
        <v>60</v>
      </c>
      <c r="H7261" s="6" t="s">
        <v>34</v>
      </c>
      <c r="I7261" s="8" t="s">
        <v>271</v>
      </c>
      <c r="J7261" s="9">
        <v>1</v>
      </c>
      <c r="K7261" s="9">
        <v>248</v>
      </c>
      <c r="L7261" s="9">
        <v>2020</v>
      </c>
      <c r="M7261" s="8" t="s">
        <v>41083</v>
      </c>
      <c r="N7261" s="8" t="s">
        <v>37</v>
      </c>
      <c r="O7261" s="8" t="s">
        <v>207</v>
      </c>
      <c r="P7261" s="6" t="s">
        <v>51</v>
      </c>
      <c r="Q7261" s="8" t="s">
        <v>52</v>
      </c>
      <c r="R7261" s="10" t="s">
        <v>41079</v>
      </c>
      <c r="S7261" s="11" t="s">
        <v>10013</v>
      </c>
      <c r="T7261" s="6"/>
      <c r="U7261" s="15" t="str">
        <f>HYPERLINK("https://media.infra-m.ru/1044/1044013/cover/1044013.jpg", "Обложка")</f>
        <v>Обложка</v>
      </c>
      <c r="V7261" s="8" t="s">
        <v>9565</v>
      </c>
      <c r="W7261" s="6"/>
      <c r="X7261" s="6"/>
      <c r="Y7261" s="6"/>
      <c r="Z7261" s="6"/>
      <c r="AA7261" s="6" t="s">
        <v>274</v>
      </c>
      <c r="AB7261" s="8"/>
      <c r="AC7261" s="27">
        <v>9785160117966</v>
      </c>
    </row>
    <row r="7262" spans="1:29" s="4" customFormat="1" ht="51.9" customHeight="1" x14ac:dyDescent="0.2">
      <c r="A7262" s="5">
        <v>0</v>
      </c>
      <c r="B7262" s="6" t="s">
        <v>41084</v>
      </c>
      <c r="C7262" s="7">
        <v>1900.8</v>
      </c>
      <c r="D7262" s="8" t="s">
        <v>41085</v>
      </c>
      <c r="E7262" s="8" t="s">
        <v>41086</v>
      </c>
      <c r="F7262" s="8" t="s">
        <v>41087</v>
      </c>
      <c r="G7262" s="6" t="s">
        <v>60</v>
      </c>
      <c r="H7262" s="6" t="s">
        <v>34</v>
      </c>
      <c r="I7262" s="8" t="s">
        <v>271</v>
      </c>
      <c r="J7262" s="9">
        <v>1</v>
      </c>
      <c r="K7262" s="9">
        <v>288</v>
      </c>
      <c r="L7262" s="9">
        <v>2026</v>
      </c>
      <c r="M7262" s="8" t="s">
        <v>41088</v>
      </c>
      <c r="N7262" s="8" t="s">
        <v>37</v>
      </c>
      <c r="O7262" s="8" t="s">
        <v>233</v>
      </c>
      <c r="P7262" s="6" t="s">
        <v>51</v>
      </c>
      <c r="Q7262" s="8" t="s">
        <v>52</v>
      </c>
      <c r="R7262" s="10" t="s">
        <v>2053</v>
      </c>
      <c r="S7262" s="11" t="s">
        <v>41089</v>
      </c>
      <c r="T7262" s="6"/>
      <c r="U7262" s="15" t="str">
        <f>HYPERLINK("https://media.infra-m.ru/2237/2237645/cover/2237645.jpg", "Обложка")</f>
        <v>Обложка</v>
      </c>
      <c r="V7262" s="8" t="s">
        <v>37473</v>
      </c>
      <c r="W7262" s="6"/>
      <c r="X7262" s="6"/>
      <c r="Y7262" s="6"/>
      <c r="Z7262" s="6"/>
      <c r="AA7262" s="6" t="s">
        <v>248</v>
      </c>
      <c r="AB7262" s="8"/>
      <c r="AC7262" s="27">
        <v>9785160090924</v>
      </c>
    </row>
    <row r="7263" spans="1:29" s="4" customFormat="1" ht="51.9" customHeight="1" x14ac:dyDescent="0.2">
      <c r="A7263" s="5">
        <v>0</v>
      </c>
      <c r="B7263" s="6" t="s">
        <v>41090</v>
      </c>
      <c r="C7263" s="13">
        <v>580.79999999999995</v>
      </c>
      <c r="D7263" s="8" t="s">
        <v>41091</v>
      </c>
      <c r="E7263" s="8" t="s">
        <v>41092</v>
      </c>
      <c r="F7263" s="8" t="s">
        <v>41093</v>
      </c>
      <c r="G7263" s="6" t="s">
        <v>33</v>
      </c>
      <c r="H7263" s="6" t="s">
        <v>48</v>
      </c>
      <c r="I7263" s="8" t="s">
        <v>401</v>
      </c>
      <c r="J7263" s="9">
        <v>1</v>
      </c>
      <c r="K7263" s="9">
        <v>72</v>
      </c>
      <c r="L7263" s="9">
        <v>2024</v>
      </c>
      <c r="M7263" s="8" t="s">
        <v>41094</v>
      </c>
      <c r="N7263" s="8" t="s">
        <v>37</v>
      </c>
      <c r="O7263" s="8" t="s">
        <v>207</v>
      </c>
      <c r="P7263" s="6" t="s">
        <v>51</v>
      </c>
      <c r="Q7263" s="8" t="s">
        <v>265</v>
      </c>
      <c r="R7263" s="10" t="s">
        <v>19623</v>
      </c>
      <c r="S7263" s="11" t="s">
        <v>1013</v>
      </c>
      <c r="T7263" s="6"/>
      <c r="U7263" s="15" t="str">
        <f>HYPERLINK("https://media.infra-m.ru/2187/2187050/cover/2187050.jpg", "Обложка")</f>
        <v>Обложка</v>
      </c>
      <c r="V7263" s="8" t="s">
        <v>1030</v>
      </c>
      <c r="W7263" s="6"/>
      <c r="X7263" s="6"/>
      <c r="Y7263" s="6"/>
      <c r="Z7263" s="6"/>
      <c r="AA7263" s="6" t="s">
        <v>874</v>
      </c>
      <c r="AB7263" s="8"/>
      <c r="AC7263" s="27">
        <v>9785000917473</v>
      </c>
    </row>
    <row r="7264" spans="1:29" s="4" customFormat="1" ht="42" customHeight="1" x14ac:dyDescent="0.2">
      <c r="A7264" s="5">
        <v>0</v>
      </c>
      <c r="B7264" s="6" t="s">
        <v>41095</v>
      </c>
      <c r="C7264" s="7">
        <v>2268</v>
      </c>
      <c r="D7264" s="8" t="s">
        <v>41096</v>
      </c>
      <c r="E7264" s="8" t="s">
        <v>41097</v>
      </c>
      <c r="F7264" s="8" t="s">
        <v>41098</v>
      </c>
      <c r="G7264" s="6" t="s">
        <v>118</v>
      </c>
      <c r="H7264" s="6" t="s">
        <v>34</v>
      </c>
      <c r="I7264" s="8" t="s">
        <v>263</v>
      </c>
      <c r="J7264" s="9">
        <v>1</v>
      </c>
      <c r="K7264" s="9">
        <v>372</v>
      </c>
      <c r="L7264" s="9">
        <v>2025</v>
      </c>
      <c r="M7264" s="8" t="s">
        <v>41099</v>
      </c>
      <c r="N7264" s="8" t="s">
        <v>37</v>
      </c>
      <c r="O7264" s="8" t="s">
        <v>207</v>
      </c>
      <c r="P7264" s="6" t="s">
        <v>306</v>
      </c>
      <c r="Q7264" s="8" t="s">
        <v>265</v>
      </c>
      <c r="R7264" s="10" t="s">
        <v>41100</v>
      </c>
      <c r="S7264" s="11"/>
      <c r="T7264" s="6"/>
      <c r="U7264" s="15" t="str">
        <f>HYPERLINK("https://media.infra-m.ru/2169/2169870/cover/2169870.jpg", "Обложка")</f>
        <v>Обложка</v>
      </c>
      <c r="V7264" s="8" t="s">
        <v>2854</v>
      </c>
      <c r="W7264" s="6"/>
      <c r="X7264" s="6"/>
      <c r="Y7264" s="6"/>
      <c r="Z7264" s="6" t="s">
        <v>267</v>
      </c>
      <c r="AA7264" s="6" t="s">
        <v>5423</v>
      </c>
      <c r="AB7264" s="8"/>
      <c r="AC7264" s="27">
        <v>9785160203485</v>
      </c>
    </row>
    <row r="7265" spans="1:29" s="4" customFormat="1" ht="51.9" customHeight="1" x14ac:dyDescent="0.2">
      <c r="A7265" s="5">
        <v>0</v>
      </c>
      <c r="B7265" s="6" t="s">
        <v>41101</v>
      </c>
      <c r="C7265" s="7">
        <v>2320.8000000000002</v>
      </c>
      <c r="D7265" s="8" t="s">
        <v>41102</v>
      </c>
      <c r="E7265" s="8" t="s">
        <v>41097</v>
      </c>
      <c r="F7265" s="8" t="s">
        <v>41098</v>
      </c>
      <c r="G7265" s="6" t="s">
        <v>60</v>
      </c>
      <c r="H7265" s="6" t="s">
        <v>34</v>
      </c>
      <c r="I7265" s="8" t="s">
        <v>253</v>
      </c>
      <c r="J7265" s="9">
        <v>1</v>
      </c>
      <c r="K7265" s="9">
        <v>372</v>
      </c>
      <c r="L7265" s="9">
        <v>2026</v>
      </c>
      <c r="M7265" s="8" t="s">
        <v>41103</v>
      </c>
      <c r="N7265" s="8" t="s">
        <v>37</v>
      </c>
      <c r="O7265" s="8" t="s">
        <v>207</v>
      </c>
      <c r="P7265" s="6" t="s">
        <v>306</v>
      </c>
      <c r="Q7265" s="8" t="s">
        <v>52</v>
      </c>
      <c r="R7265" s="10" t="s">
        <v>11463</v>
      </c>
      <c r="S7265" s="11" t="s">
        <v>41104</v>
      </c>
      <c r="T7265" s="6"/>
      <c r="U7265" s="15" t="str">
        <f>HYPERLINK("https://media.infra-m.ru/2221/2221119/cover/2221119.jpg", "Обложка")</f>
        <v>Обложка</v>
      </c>
      <c r="V7265" s="8" t="s">
        <v>2854</v>
      </c>
      <c r="W7265" s="6"/>
      <c r="X7265" s="6"/>
      <c r="Y7265" s="6"/>
      <c r="Z7265" s="6"/>
      <c r="AA7265" s="6" t="s">
        <v>10805</v>
      </c>
      <c r="AB7265" s="8"/>
      <c r="AC7265" s="27">
        <v>9785160183435</v>
      </c>
    </row>
    <row r="7266" spans="1:29" s="4" customFormat="1" ht="42" customHeight="1" x14ac:dyDescent="0.2">
      <c r="A7266" s="5">
        <v>0</v>
      </c>
      <c r="B7266" s="6" t="s">
        <v>41105</v>
      </c>
      <c r="C7266" s="7">
        <v>1500</v>
      </c>
      <c r="D7266" s="8" t="s">
        <v>41106</v>
      </c>
      <c r="E7266" s="8" t="s">
        <v>41107</v>
      </c>
      <c r="F7266" s="8" t="s">
        <v>41108</v>
      </c>
      <c r="G7266" s="6" t="s">
        <v>60</v>
      </c>
      <c r="H7266" s="6" t="s">
        <v>34</v>
      </c>
      <c r="I7266" s="8" t="s">
        <v>253</v>
      </c>
      <c r="J7266" s="9">
        <v>1</v>
      </c>
      <c r="K7266" s="9">
        <v>249</v>
      </c>
      <c r="L7266" s="9">
        <v>2024</v>
      </c>
      <c r="M7266" s="8" t="s">
        <v>41109</v>
      </c>
      <c r="N7266" s="8" t="s">
        <v>37</v>
      </c>
      <c r="O7266" s="8" t="s">
        <v>207</v>
      </c>
      <c r="P7266" s="6" t="s">
        <v>306</v>
      </c>
      <c r="Q7266" s="8" t="s">
        <v>52</v>
      </c>
      <c r="R7266" s="10" t="s">
        <v>41110</v>
      </c>
      <c r="S7266" s="11"/>
      <c r="T7266" s="6"/>
      <c r="U7266" s="15" t="str">
        <f>HYPERLINK("https://media.infra-m.ru/1577/1577822/cover/1577822.jpg", "Обложка")</f>
        <v>Обложка</v>
      </c>
      <c r="V7266" s="8" t="s">
        <v>5117</v>
      </c>
      <c r="W7266" s="6"/>
      <c r="X7266" s="6"/>
      <c r="Y7266" s="6"/>
      <c r="Z7266" s="6"/>
      <c r="AA7266" s="6" t="s">
        <v>76</v>
      </c>
      <c r="AB7266" s="8"/>
      <c r="AC7266" s="27">
        <v>9785160170503</v>
      </c>
    </row>
    <row r="7267" spans="1:29" s="4" customFormat="1" ht="51.9" customHeight="1" x14ac:dyDescent="0.2">
      <c r="A7267" s="5">
        <v>0</v>
      </c>
      <c r="B7267" s="6" t="s">
        <v>41111</v>
      </c>
      <c r="C7267" s="7">
        <v>1684.8</v>
      </c>
      <c r="D7267" s="8" t="s">
        <v>41112</v>
      </c>
      <c r="E7267" s="8" t="s">
        <v>41113</v>
      </c>
      <c r="F7267" s="8" t="s">
        <v>41114</v>
      </c>
      <c r="G7267" s="6" t="s">
        <v>118</v>
      </c>
      <c r="H7267" s="6" t="s">
        <v>1042</v>
      </c>
      <c r="I7267" s="8" t="s">
        <v>263</v>
      </c>
      <c r="J7267" s="9">
        <v>1</v>
      </c>
      <c r="K7267" s="9">
        <v>304</v>
      </c>
      <c r="L7267" s="9">
        <v>2024</v>
      </c>
      <c r="M7267" s="8" t="s">
        <v>41115</v>
      </c>
      <c r="N7267" s="8" t="s">
        <v>37</v>
      </c>
      <c r="O7267" s="8" t="s">
        <v>207</v>
      </c>
      <c r="P7267" s="6" t="s">
        <v>306</v>
      </c>
      <c r="Q7267" s="8" t="s">
        <v>265</v>
      </c>
      <c r="R7267" s="10" t="s">
        <v>41116</v>
      </c>
      <c r="S7267" s="11" t="s">
        <v>2343</v>
      </c>
      <c r="T7267" s="6"/>
      <c r="U7267" s="15" t="str">
        <f>HYPERLINK("https://media.infra-m.ru/2054/2054962/cover/2054962.jpg", "Обложка")</f>
        <v>Обложка</v>
      </c>
      <c r="V7267" s="8" t="s">
        <v>717</v>
      </c>
      <c r="W7267" s="6"/>
      <c r="X7267" s="6"/>
      <c r="Y7267" s="6"/>
      <c r="Z7267" s="6"/>
      <c r="AA7267" s="6" t="s">
        <v>2338</v>
      </c>
      <c r="AB7267" s="8"/>
      <c r="AC7267" s="27">
        <v>9785819908884</v>
      </c>
    </row>
    <row r="7268" spans="1:29" s="4" customFormat="1" ht="51.9" customHeight="1" x14ac:dyDescent="0.2">
      <c r="A7268" s="5">
        <v>0</v>
      </c>
      <c r="B7268" s="6" t="s">
        <v>41117</v>
      </c>
      <c r="C7268" s="7">
        <v>1924.8</v>
      </c>
      <c r="D7268" s="8" t="s">
        <v>41118</v>
      </c>
      <c r="E7268" s="8" t="s">
        <v>41119</v>
      </c>
      <c r="F7268" s="8" t="s">
        <v>41120</v>
      </c>
      <c r="G7268" s="6" t="s">
        <v>60</v>
      </c>
      <c r="H7268" s="6" t="s">
        <v>34</v>
      </c>
      <c r="I7268" s="8" t="s">
        <v>271</v>
      </c>
      <c r="J7268" s="9">
        <v>1</v>
      </c>
      <c r="K7268" s="9">
        <v>355</v>
      </c>
      <c r="L7268" s="9">
        <v>2023</v>
      </c>
      <c r="M7268" s="8" t="s">
        <v>41121</v>
      </c>
      <c r="N7268" s="8" t="s">
        <v>37</v>
      </c>
      <c r="O7268" s="8" t="s">
        <v>207</v>
      </c>
      <c r="P7268" s="6" t="s">
        <v>306</v>
      </c>
      <c r="Q7268" s="8" t="s">
        <v>52</v>
      </c>
      <c r="R7268" s="10" t="s">
        <v>11463</v>
      </c>
      <c r="S7268" s="11" t="s">
        <v>41104</v>
      </c>
      <c r="T7268" s="6"/>
      <c r="U7268" s="15" t="str">
        <f>HYPERLINK("https://media.infra-m.ru/2085/2085537/cover/2085537.jpg", "Обложка")</f>
        <v>Обложка</v>
      </c>
      <c r="V7268" s="8" t="s">
        <v>2854</v>
      </c>
      <c r="W7268" s="6"/>
      <c r="X7268" s="6"/>
      <c r="Y7268" s="6"/>
      <c r="Z7268" s="6"/>
      <c r="AA7268" s="6" t="s">
        <v>8545</v>
      </c>
      <c r="AB7268" s="8"/>
      <c r="AC7268" s="27">
        <v>9785160120706</v>
      </c>
    </row>
    <row r="7269" spans="1:29" s="4" customFormat="1" ht="51.9" customHeight="1" x14ac:dyDescent="0.2">
      <c r="A7269" s="5">
        <v>0</v>
      </c>
      <c r="B7269" s="6" t="s">
        <v>41122</v>
      </c>
      <c r="C7269" s="7">
        <v>1936.8</v>
      </c>
      <c r="D7269" s="8" t="s">
        <v>41123</v>
      </c>
      <c r="E7269" s="8" t="s">
        <v>41107</v>
      </c>
      <c r="F7269" s="8" t="s">
        <v>41124</v>
      </c>
      <c r="G7269" s="6" t="s">
        <v>60</v>
      </c>
      <c r="H7269" s="6" t="s">
        <v>313</v>
      </c>
      <c r="I7269" s="8" t="s">
        <v>253</v>
      </c>
      <c r="J7269" s="9">
        <v>1</v>
      </c>
      <c r="K7269" s="9">
        <v>311</v>
      </c>
      <c r="L7269" s="9">
        <v>2025</v>
      </c>
      <c r="M7269" s="8" t="s">
        <v>41125</v>
      </c>
      <c r="N7269" s="8" t="s">
        <v>37</v>
      </c>
      <c r="O7269" s="8" t="s">
        <v>207</v>
      </c>
      <c r="P7269" s="6" t="s">
        <v>51</v>
      </c>
      <c r="Q7269" s="8" t="s">
        <v>52</v>
      </c>
      <c r="R7269" s="10" t="s">
        <v>11463</v>
      </c>
      <c r="S7269" s="11" t="s">
        <v>41126</v>
      </c>
      <c r="T7269" s="6"/>
      <c r="U7269" s="15" t="str">
        <f>HYPERLINK("https://media.infra-m.ru/1843/1843599/cover/1843599.jpg", "Обложка")</f>
        <v>Обложка</v>
      </c>
      <c r="V7269" s="8" t="s">
        <v>3297</v>
      </c>
      <c r="W7269" s="6"/>
      <c r="X7269" s="6"/>
      <c r="Y7269" s="6"/>
      <c r="Z7269" s="6"/>
      <c r="AA7269" s="6" t="s">
        <v>43</v>
      </c>
      <c r="AB7269" s="8"/>
      <c r="AC7269" s="27">
        <v>9785369010488</v>
      </c>
    </row>
    <row r="7270" spans="1:29" s="4" customFormat="1" ht="51.9" customHeight="1" x14ac:dyDescent="0.2">
      <c r="A7270" s="5">
        <v>0</v>
      </c>
      <c r="B7270" s="6" t="s">
        <v>41127</v>
      </c>
      <c r="C7270" s="7">
        <v>1529.9</v>
      </c>
      <c r="D7270" s="8" t="s">
        <v>41128</v>
      </c>
      <c r="E7270" s="8" t="s">
        <v>41107</v>
      </c>
      <c r="F7270" s="8" t="s">
        <v>41129</v>
      </c>
      <c r="G7270" s="6" t="s">
        <v>60</v>
      </c>
      <c r="H7270" s="6" t="s">
        <v>313</v>
      </c>
      <c r="I7270" s="8" t="s">
        <v>253</v>
      </c>
      <c r="J7270" s="9">
        <v>1</v>
      </c>
      <c r="K7270" s="9">
        <v>375</v>
      </c>
      <c r="L7270" s="9">
        <v>2020</v>
      </c>
      <c r="M7270" s="8" t="s">
        <v>41130</v>
      </c>
      <c r="N7270" s="8" t="s">
        <v>37</v>
      </c>
      <c r="O7270" s="8" t="s">
        <v>207</v>
      </c>
      <c r="P7270" s="6" t="s">
        <v>51</v>
      </c>
      <c r="Q7270" s="8" t="s">
        <v>52</v>
      </c>
      <c r="R7270" s="10" t="s">
        <v>41131</v>
      </c>
      <c r="S7270" s="11" t="s">
        <v>2135</v>
      </c>
      <c r="T7270" s="6"/>
      <c r="U7270" s="15" t="str">
        <f>HYPERLINK("https://media.infra-m.ru/1072/1072277/cover/1072277.jpg", "Обложка")</f>
        <v>Обложка</v>
      </c>
      <c r="V7270" s="8" t="s">
        <v>13958</v>
      </c>
      <c r="W7270" s="6"/>
      <c r="X7270" s="6"/>
      <c r="Y7270" s="6"/>
      <c r="Z7270" s="6"/>
      <c r="AA7270" s="6" t="s">
        <v>129</v>
      </c>
      <c r="AB7270" s="8"/>
      <c r="AC7270" s="27">
        <v>9785369006368</v>
      </c>
    </row>
    <row r="7271" spans="1:29" s="4" customFormat="1" ht="51.9" customHeight="1" x14ac:dyDescent="0.2">
      <c r="A7271" s="5">
        <v>0</v>
      </c>
      <c r="B7271" s="6" t="s">
        <v>41132</v>
      </c>
      <c r="C7271" s="7">
        <v>1816.8</v>
      </c>
      <c r="D7271" s="8" t="s">
        <v>41133</v>
      </c>
      <c r="E7271" s="8" t="s">
        <v>41107</v>
      </c>
      <c r="F7271" s="8" t="s">
        <v>41134</v>
      </c>
      <c r="G7271" s="6" t="s">
        <v>60</v>
      </c>
      <c r="H7271" s="6" t="s">
        <v>241</v>
      </c>
      <c r="I7271" s="8"/>
      <c r="J7271" s="9">
        <v>1</v>
      </c>
      <c r="K7271" s="9">
        <v>303</v>
      </c>
      <c r="L7271" s="9">
        <v>2025</v>
      </c>
      <c r="M7271" s="8" t="s">
        <v>41135</v>
      </c>
      <c r="N7271" s="8" t="s">
        <v>37</v>
      </c>
      <c r="O7271" s="8" t="s">
        <v>207</v>
      </c>
      <c r="P7271" s="6" t="s">
        <v>51</v>
      </c>
      <c r="Q7271" s="8" t="s">
        <v>52</v>
      </c>
      <c r="R7271" s="10" t="s">
        <v>41136</v>
      </c>
      <c r="S7271" s="11" t="s">
        <v>2135</v>
      </c>
      <c r="T7271" s="6"/>
      <c r="U7271" s="15" t="str">
        <f>HYPERLINK("https://media.infra-m.ru/2187/2187720/cover/2187720.jpg", "Обложка")</f>
        <v>Обложка</v>
      </c>
      <c r="V7271" s="8" t="s">
        <v>10430</v>
      </c>
      <c r="W7271" s="6"/>
      <c r="X7271" s="6"/>
      <c r="Y7271" s="6"/>
      <c r="Z7271" s="6"/>
      <c r="AA7271" s="6" t="s">
        <v>43</v>
      </c>
      <c r="AB7271" s="8"/>
      <c r="AC7271" s="27">
        <v>9785955801445</v>
      </c>
    </row>
    <row r="7272" spans="1:29" s="4" customFormat="1" ht="51.9" customHeight="1" x14ac:dyDescent="0.2">
      <c r="A7272" s="5">
        <v>0</v>
      </c>
      <c r="B7272" s="6" t="s">
        <v>41137</v>
      </c>
      <c r="C7272" s="7">
        <v>1060.8</v>
      </c>
      <c r="D7272" s="8" t="s">
        <v>41138</v>
      </c>
      <c r="E7272" s="8" t="s">
        <v>41107</v>
      </c>
      <c r="F7272" s="8" t="s">
        <v>41139</v>
      </c>
      <c r="G7272" s="6" t="s">
        <v>33</v>
      </c>
      <c r="H7272" s="6" t="s">
        <v>48</v>
      </c>
      <c r="I7272" s="8"/>
      <c r="J7272" s="9">
        <v>1</v>
      </c>
      <c r="K7272" s="9">
        <v>160</v>
      </c>
      <c r="L7272" s="9">
        <v>2026</v>
      </c>
      <c r="M7272" s="8" t="s">
        <v>41140</v>
      </c>
      <c r="N7272" s="8" t="s">
        <v>37</v>
      </c>
      <c r="O7272" s="8" t="s">
        <v>207</v>
      </c>
      <c r="P7272" s="6" t="s">
        <v>51</v>
      </c>
      <c r="Q7272" s="8" t="s">
        <v>65</v>
      </c>
      <c r="R7272" s="10" t="s">
        <v>41141</v>
      </c>
      <c r="S7272" s="11" t="s">
        <v>41142</v>
      </c>
      <c r="T7272" s="6"/>
      <c r="U7272" s="15" t="str">
        <f>HYPERLINK("https://media.infra-m.ru/2250/2250895/cover/2250895.jpg", "Обложка")</f>
        <v>Обложка</v>
      </c>
      <c r="V7272" s="8" t="s">
        <v>21746</v>
      </c>
      <c r="W7272" s="6"/>
      <c r="X7272" s="6"/>
      <c r="Y7272" s="6"/>
      <c r="Z7272" s="6"/>
      <c r="AA7272" s="6" t="s">
        <v>1506</v>
      </c>
      <c r="AB7272" s="8"/>
      <c r="AC7272" s="27">
        <v>9785911341602</v>
      </c>
    </row>
    <row r="7273" spans="1:29" s="4" customFormat="1" ht="42" customHeight="1" x14ac:dyDescent="0.2">
      <c r="A7273" s="5">
        <v>0</v>
      </c>
      <c r="B7273" s="6" t="s">
        <v>41143</v>
      </c>
      <c r="C7273" s="7">
        <v>2117.9</v>
      </c>
      <c r="D7273" s="8" t="s">
        <v>41144</v>
      </c>
      <c r="E7273" s="8" t="s">
        <v>41145</v>
      </c>
      <c r="F7273" s="8" t="s">
        <v>41146</v>
      </c>
      <c r="G7273" s="6" t="s">
        <v>60</v>
      </c>
      <c r="H7273" s="6" t="s">
        <v>1644</v>
      </c>
      <c r="I7273" s="8" t="s">
        <v>4073</v>
      </c>
      <c r="J7273" s="9">
        <v>1</v>
      </c>
      <c r="K7273" s="9">
        <v>464</v>
      </c>
      <c r="L7273" s="9">
        <v>2022</v>
      </c>
      <c r="M7273" s="8" t="s">
        <v>41147</v>
      </c>
      <c r="N7273" s="8" t="s">
        <v>37</v>
      </c>
      <c r="O7273" s="8" t="s">
        <v>207</v>
      </c>
      <c r="P7273" s="6" t="s">
        <v>51</v>
      </c>
      <c r="Q7273" s="8" t="s">
        <v>500</v>
      </c>
      <c r="R7273" s="10" t="s">
        <v>2033</v>
      </c>
      <c r="S7273" s="11"/>
      <c r="T7273" s="6"/>
      <c r="U7273" s="15" t="str">
        <f>HYPERLINK("https://media.infra-m.ru/1846/1846450/cover/1846450.jpg", "Обложка")</f>
        <v>Обложка</v>
      </c>
      <c r="V7273" s="8" t="s">
        <v>5117</v>
      </c>
      <c r="W7273" s="6"/>
      <c r="X7273" s="6"/>
      <c r="Y7273" s="6"/>
      <c r="Z7273" s="6"/>
      <c r="AA7273" s="6" t="s">
        <v>55</v>
      </c>
      <c r="AB7273" s="8"/>
      <c r="AC7273" s="27">
        <v>9785977602839</v>
      </c>
    </row>
    <row r="7274" spans="1:29" s="4" customFormat="1" ht="51.9" customHeight="1" x14ac:dyDescent="0.2">
      <c r="A7274" s="5">
        <v>0</v>
      </c>
      <c r="B7274" s="6" t="s">
        <v>41148</v>
      </c>
      <c r="C7274" s="13">
        <v>660</v>
      </c>
      <c r="D7274" s="8" t="s">
        <v>41149</v>
      </c>
      <c r="E7274" s="8" t="s">
        <v>41150</v>
      </c>
      <c r="F7274" s="8" t="s">
        <v>41151</v>
      </c>
      <c r="G7274" s="6" t="s">
        <v>33</v>
      </c>
      <c r="H7274" s="6" t="s">
        <v>34</v>
      </c>
      <c r="I7274" s="8" t="s">
        <v>253</v>
      </c>
      <c r="J7274" s="9">
        <v>1</v>
      </c>
      <c r="K7274" s="9">
        <v>96</v>
      </c>
      <c r="L7274" s="9">
        <v>2026</v>
      </c>
      <c r="M7274" s="8" t="s">
        <v>41152</v>
      </c>
      <c r="N7274" s="8" t="s">
        <v>37</v>
      </c>
      <c r="O7274" s="8" t="s">
        <v>207</v>
      </c>
      <c r="P7274" s="6" t="s">
        <v>51</v>
      </c>
      <c r="Q7274" s="8" t="s">
        <v>52</v>
      </c>
      <c r="R7274" s="10" t="s">
        <v>5600</v>
      </c>
      <c r="S7274" s="11" t="s">
        <v>41153</v>
      </c>
      <c r="T7274" s="6"/>
      <c r="U7274" s="15" t="str">
        <f>HYPERLINK("https://media.infra-m.ru/2237/2237106/cover/2237106.jpg", "Обложка")</f>
        <v>Обложка</v>
      </c>
      <c r="V7274" s="8" t="s">
        <v>28389</v>
      </c>
      <c r="W7274" s="6"/>
      <c r="X7274" s="6"/>
      <c r="Y7274" s="6"/>
      <c r="Z7274" s="6"/>
      <c r="AA7274" s="6" t="s">
        <v>43</v>
      </c>
      <c r="AB7274" s="8"/>
      <c r="AC7274" s="27">
        <v>9785160217390</v>
      </c>
    </row>
    <row r="7275" spans="1:29" s="4" customFormat="1" ht="44.1" customHeight="1" x14ac:dyDescent="0.2">
      <c r="A7275" s="5">
        <v>0</v>
      </c>
      <c r="B7275" s="6" t="s">
        <v>41154</v>
      </c>
      <c r="C7275" s="7">
        <v>1792.8</v>
      </c>
      <c r="D7275" s="8" t="s">
        <v>41155</v>
      </c>
      <c r="E7275" s="8" t="s">
        <v>41156</v>
      </c>
      <c r="F7275" s="8" t="s">
        <v>41157</v>
      </c>
      <c r="G7275" s="6" t="s">
        <v>60</v>
      </c>
      <c r="H7275" s="6" t="s">
        <v>313</v>
      </c>
      <c r="I7275" s="8" t="s">
        <v>253</v>
      </c>
      <c r="J7275" s="9">
        <v>1</v>
      </c>
      <c r="K7275" s="9">
        <v>333</v>
      </c>
      <c r="L7275" s="9">
        <v>2023</v>
      </c>
      <c r="M7275" s="8" t="s">
        <v>41158</v>
      </c>
      <c r="N7275" s="8" t="s">
        <v>37</v>
      </c>
      <c r="O7275" s="8" t="s">
        <v>233</v>
      </c>
      <c r="P7275" s="6" t="s">
        <v>306</v>
      </c>
      <c r="Q7275" s="8" t="s">
        <v>52</v>
      </c>
      <c r="R7275" s="10" t="s">
        <v>41159</v>
      </c>
      <c r="S7275" s="11"/>
      <c r="T7275" s="6"/>
      <c r="U7275" s="15" t="str">
        <f>HYPERLINK("https://media.infra-m.ru/2001/2001683/cover/2001683.jpg", "Обложка")</f>
        <v>Обложка</v>
      </c>
      <c r="V7275" s="8" t="s">
        <v>15265</v>
      </c>
      <c r="W7275" s="6"/>
      <c r="X7275" s="6"/>
      <c r="Y7275" s="6"/>
      <c r="Z7275" s="6"/>
      <c r="AA7275" s="6" t="s">
        <v>779</v>
      </c>
      <c r="AB7275" s="8"/>
      <c r="AC7275" s="27">
        <v>9785369016121</v>
      </c>
    </row>
    <row r="7276" spans="1:29" s="4" customFormat="1" ht="51.9" customHeight="1" x14ac:dyDescent="0.2">
      <c r="A7276" s="5">
        <v>0</v>
      </c>
      <c r="B7276" s="6" t="s">
        <v>41160</v>
      </c>
      <c r="C7276" s="7">
        <v>4670.3999999999996</v>
      </c>
      <c r="D7276" s="8" t="s">
        <v>41161</v>
      </c>
      <c r="E7276" s="8" t="s">
        <v>41162</v>
      </c>
      <c r="F7276" s="8" t="s">
        <v>41163</v>
      </c>
      <c r="G7276" s="6" t="s">
        <v>60</v>
      </c>
      <c r="H7276" s="6" t="s">
        <v>34</v>
      </c>
      <c r="I7276" s="8" t="s">
        <v>253</v>
      </c>
      <c r="J7276" s="9">
        <v>1</v>
      </c>
      <c r="K7276" s="9">
        <v>547</v>
      </c>
      <c r="L7276" s="9">
        <v>2026</v>
      </c>
      <c r="M7276" s="8" t="s">
        <v>41164</v>
      </c>
      <c r="N7276" s="8" t="s">
        <v>37</v>
      </c>
      <c r="O7276" s="8" t="s">
        <v>280</v>
      </c>
      <c r="P7276" s="6" t="s">
        <v>306</v>
      </c>
      <c r="Q7276" s="8" t="s">
        <v>65</v>
      </c>
      <c r="R7276" s="10" t="s">
        <v>41165</v>
      </c>
      <c r="S7276" s="11"/>
      <c r="T7276" s="6"/>
      <c r="U7276" s="15" t="str">
        <f>HYPERLINK("https://media.infra-m.ru/2244/2244158/cover/2244158.jpg", "Обложка")</f>
        <v>Обложка</v>
      </c>
      <c r="V7276" s="8" t="s">
        <v>227</v>
      </c>
      <c r="W7276" s="6" t="s">
        <v>9380</v>
      </c>
      <c r="X7276" s="6"/>
      <c r="Y7276" s="6"/>
      <c r="Z7276" s="6"/>
      <c r="AA7276" s="6" t="s">
        <v>187</v>
      </c>
      <c r="AB7276" s="8"/>
      <c r="AC7276" s="27">
        <v>9785160219752</v>
      </c>
    </row>
    <row r="7277" spans="1:29" s="4" customFormat="1" ht="51.9" customHeight="1" x14ac:dyDescent="0.2">
      <c r="A7277" s="5">
        <v>0</v>
      </c>
      <c r="B7277" s="6" t="s">
        <v>41166</v>
      </c>
      <c r="C7277" s="7">
        <v>1300.8</v>
      </c>
      <c r="D7277" s="8" t="s">
        <v>41167</v>
      </c>
      <c r="E7277" s="8" t="s">
        <v>41168</v>
      </c>
      <c r="F7277" s="8" t="s">
        <v>41169</v>
      </c>
      <c r="G7277" s="6" t="s">
        <v>21</v>
      </c>
      <c r="H7277" s="6" t="s">
        <v>820</v>
      </c>
      <c r="I7277" s="8"/>
      <c r="J7277" s="9">
        <v>1</v>
      </c>
      <c r="K7277" s="9">
        <v>208</v>
      </c>
      <c r="L7277" s="9">
        <v>2025</v>
      </c>
      <c r="M7277" s="8" t="s">
        <v>41170</v>
      </c>
      <c r="N7277" s="8" t="s">
        <v>243</v>
      </c>
      <c r="O7277" s="8" t="s">
        <v>244</v>
      </c>
      <c r="P7277" s="6" t="s">
        <v>51</v>
      </c>
      <c r="Q7277" s="8" t="s">
        <v>52</v>
      </c>
      <c r="R7277" s="10" t="s">
        <v>41171</v>
      </c>
      <c r="S7277" s="11" t="s">
        <v>41172</v>
      </c>
      <c r="T7277" s="6"/>
      <c r="U7277" s="15" t="str">
        <f>HYPERLINK("https://media.infra-m.ru/2195/2195020/cover/2195020.jpg", "Обложка")</f>
        <v>Обложка</v>
      </c>
      <c r="V7277" s="8" t="s">
        <v>3297</v>
      </c>
      <c r="W7277" s="6"/>
      <c r="X7277" s="6"/>
      <c r="Y7277" s="6"/>
      <c r="Z7277" s="6"/>
      <c r="AA7277" s="6" t="s">
        <v>274</v>
      </c>
      <c r="AB7277" s="8"/>
      <c r="AC7277" s="27">
        <v>9785905554964</v>
      </c>
    </row>
    <row r="7278" spans="1:29" s="4" customFormat="1" ht="51.9" customHeight="1" x14ac:dyDescent="0.2">
      <c r="A7278" s="5">
        <v>0</v>
      </c>
      <c r="B7278" s="6" t="s">
        <v>41173</v>
      </c>
      <c r="C7278" s="7">
        <v>2112</v>
      </c>
      <c r="D7278" s="8" t="s">
        <v>41174</v>
      </c>
      <c r="E7278" s="8" t="s">
        <v>41175</v>
      </c>
      <c r="F7278" s="8" t="s">
        <v>41176</v>
      </c>
      <c r="G7278" s="6" t="s">
        <v>118</v>
      </c>
      <c r="H7278" s="6" t="s">
        <v>34</v>
      </c>
      <c r="I7278" s="8" t="s">
        <v>253</v>
      </c>
      <c r="J7278" s="9">
        <v>1</v>
      </c>
      <c r="K7278" s="9">
        <v>320</v>
      </c>
      <c r="L7278" s="9">
        <v>2026</v>
      </c>
      <c r="M7278" s="8" t="s">
        <v>41177</v>
      </c>
      <c r="N7278" s="8" t="s">
        <v>243</v>
      </c>
      <c r="O7278" s="8" t="s">
        <v>244</v>
      </c>
      <c r="P7278" s="6" t="s">
        <v>306</v>
      </c>
      <c r="Q7278" s="8" t="s">
        <v>52</v>
      </c>
      <c r="R7278" s="10" t="s">
        <v>21172</v>
      </c>
      <c r="S7278" s="11" t="s">
        <v>41178</v>
      </c>
      <c r="T7278" s="6"/>
      <c r="U7278" s="15" t="str">
        <f>HYPERLINK("https://media.infra-m.ru/2252/2252527/cover/2252527.jpg", "Обложка")</f>
        <v>Обложка</v>
      </c>
      <c r="V7278" s="8" t="s">
        <v>6224</v>
      </c>
      <c r="W7278" s="6"/>
      <c r="X7278" s="6"/>
      <c r="Y7278" s="6"/>
      <c r="Z7278" s="6"/>
      <c r="AA7278" s="6" t="s">
        <v>43</v>
      </c>
      <c r="AB7278" s="8"/>
      <c r="AC7278" s="27">
        <v>9785160220994</v>
      </c>
    </row>
    <row r="7279" spans="1:29" s="4" customFormat="1" ht="44.1" customHeight="1" x14ac:dyDescent="0.2">
      <c r="A7279" s="5">
        <v>0</v>
      </c>
      <c r="B7279" s="6" t="s">
        <v>41179</v>
      </c>
      <c r="C7279" s="7">
        <v>1144.8</v>
      </c>
      <c r="D7279" s="8" t="s">
        <v>41180</v>
      </c>
      <c r="E7279" s="8" t="s">
        <v>41181</v>
      </c>
      <c r="F7279" s="8" t="s">
        <v>41182</v>
      </c>
      <c r="G7279" s="6" t="s">
        <v>33</v>
      </c>
      <c r="H7279" s="6" t="s">
        <v>34</v>
      </c>
      <c r="I7279" s="8" t="s">
        <v>35</v>
      </c>
      <c r="J7279" s="9">
        <v>1</v>
      </c>
      <c r="K7279" s="9">
        <v>173</v>
      </c>
      <c r="L7279" s="9">
        <v>2026</v>
      </c>
      <c r="M7279" s="8" t="s">
        <v>41183</v>
      </c>
      <c r="N7279" s="8" t="s">
        <v>93</v>
      </c>
      <c r="O7279" s="8" t="s">
        <v>94</v>
      </c>
      <c r="P7279" s="6" t="s">
        <v>39</v>
      </c>
      <c r="Q7279" s="8" t="s">
        <v>40</v>
      </c>
      <c r="R7279" s="10" t="s">
        <v>14600</v>
      </c>
      <c r="S7279" s="11"/>
      <c r="T7279" s="6"/>
      <c r="U7279" s="15" t="str">
        <f>HYPERLINK("https://media.infra-m.ru/2210/2210792/cover/2210792.jpg", "Обложка")</f>
        <v>Обложка</v>
      </c>
      <c r="V7279" s="8" t="s">
        <v>198</v>
      </c>
      <c r="W7279" s="6"/>
      <c r="X7279" s="6"/>
      <c r="Y7279" s="6"/>
      <c r="Z7279" s="6"/>
      <c r="AA7279" s="6" t="s">
        <v>115</v>
      </c>
      <c r="AB7279" s="8"/>
      <c r="AC7279" s="27">
        <v>9785160148373</v>
      </c>
    </row>
    <row r="7280" spans="1:29" s="4" customFormat="1" ht="51.9" customHeight="1" x14ac:dyDescent="0.2">
      <c r="A7280" s="5">
        <v>0</v>
      </c>
      <c r="B7280" s="6" t="s">
        <v>41184</v>
      </c>
      <c r="C7280" s="7">
        <v>2224.8000000000002</v>
      </c>
      <c r="D7280" s="8" t="s">
        <v>41185</v>
      </c>
      <c r="E7280" s="8" t="s">
        <v>41186</v>
      </c>
      <c r="F7280" s="8" t="s">
        <v>41187</v>
      </c>
      <c r="G7280" s="6" t="s">
        <v>60</v>
      </c>
      <c r="H7280" s="6" t="s">
        <v>48</v>
      </c>
      <c r="I7280" s="8" t="s">
        <v>271</v>
      </c>
      <c r="J7280" s="9">
        <v>1</v>
      </c>
      <c r="K7280" s="9">
        <v>320</v>
      </c>
      <c r="L7280" s="9">
        <v>2027</v>
      </c>
      <c r="M7280" s="8" t="s">
        <v>41188</v>
      </c>
      <c r="N7280" s="8" t="s">
        <v>63</v>
      </c>
      <c r="O7280" s="8" t="s">
        <v>64</v>
      </c>
      <c r="P7280" s="6" t="s">
        <v>51</v>
      </c>
      <c r="Q7280" s="8" t="s">
        <v>52</v>
      </c>
      <c r="R7280" s="10" t="s">
        <v>66</v>
      </c>
      <c r="S7280" s="11" t="s">
        <v>41189</v>
      </c>
      <c r="T7280" s="6"/>
      <c r="U7280" s="15" t="str">
        <f>HYPERLINK("https://media.infra-m.ru/2264/2264642/cover/2264642.jpg", "Обложка")</f>
        <v>Обложка</v>
      </c>
      <c r="V7280" s="8" t="s">
        <v>6583</v>
      </c>
      <c r="W7280" s="6"/>
      <c r="X7280" s="6"/>
      <c r="Y7280" s="6"/>
      <c r="Z7280" s="6"/>
      <c r="AA7280" s="6" t="s">
        <v>55</v>
      </c>
      <c r="AB7280" s="8"/>
      <c r="AC7280" s="27">
        <v>9785911347178</v>
      </c>
    </row>
    <row r="7281" spans="1:29" s="4" customFormat="1" ht="42" customHeight="1" x14ac:dyDescent="0.2">
      <c r="A7281" s="5">
        <v>0</v>
      </c>
      <c r="B7281" s="6" t="s">
        <v>41190</v>
      </c>
      <c r="C7281" s="7">
        <v>1672.8</v>
      </c>
      <c r="D7281" s="8" t="s">
        <v>41191</v>
      </c>
      <c r="E7281" s="8" t="s">
        <v>41192</v>
      </c>
      <c r="F7281" s="8" t="s">
        <v>41193</v>
      </c>
      <c r="G7281" s="6" t="s">
        <v>60</v>
      </c>
      <c r="H7281" s="6" t="s">
        <v>34</v>
      </c>
      <c r="I7281" s="8" t="s">
        <v>263</v>
      </c>
      <c r="J7281" s="9">
        <v>1</v>
      </c>
      <c r="K7281" s="9">
        <v>254</v>
      </c>
      <c r="L7281" s="9">
        <v>2026</v>
      </c>
      <c r="M7281" s="8" t="s">
        <v>41194</v>
      </c>
      <c r="N7281" s="8" t="s">
        <v>63</v>
      </c>
      <c r="O7281" s="8" t="s">
        <v>64</v>
      </c>
      <c r="P7281" s="6" t="s">
        <v>51</v>
      </c>
      <c r="Q7281" s="8" t="s">
        <v>265</v>
      </c>
      <c r="R7281" s="10" t="s">
        <v>41195</v>
      </c>
      <c r="S7281" s="11"/>
      <c r="T7281" s="6"/>
      <c r="U7281" s="15" t="str">
        <f>HYPERLINK("https://media.infra-m.ru/2238/2238438/cover/2238438.jpg", "Обложка")</f>
        <v>Обложка</v>
      </c>
      <c r="V7281" s="8" t="s">
        <v>6583</v>
      </c>
      <c r="W7281" s="6"/>
      <c r="X7281" s="6"/>
      <c r="Y7281" s="6"/>
      <c r="Z7281" s="6" t="s">
        <v>882</v>
      </c>
      <c r="AA7281" s="6" t="s">
        <v>68</v>
      </c>
      <c r="AB7281" s="8"/>
      <c r="AC7281" s="27">
        <v>9785160203690</v>
      </c>
    </row>
    <row r="7282" spans="1:29" s="4" customFormat="1" ht="42" customHeight="1" x14ac:dyDescent="0.2">
      <c r="A7282" s="5">
        <v>0</v>
      </c>
      <c r="B7282" s="6" t="s">
        <v>41196</v>
      </c>
      <c r="C7282" s="7">
        <v>1768.8</v>
      </c>
      <c r="D7282" s="8" t="s">
        <v>41197</v>
      </c>
      <c r="E7282" s="8" t="s">
        <v>41192</v>
      </c>
      <c r="F7282" s="8" t="s">
        <v>41193</v>
      </c>
      <c r="G7282" s="6" t="s">
        <v>60</v>
      </c>
      <c r="H7282" s="6" t="s">
        <v>34</v>
      </c>
      <c r="I7282" s="8" t="s">
        <v>1203</v>
      </c>
      <c r="J7282" s="9">
        <v>1</v>
      </c>
      <c r="K7282" s="9">
        <v>254</v>
      </c>
      <c r="L7282" s="9">
        <v>2027</v>
      </c>
      <c r="M7282" s="8" t="s">
        <v>41198</v>
      </c>
      <c r="N7282" s="8" t="s">
        <v>63</v>
      </c>
      <c r="O7282" s="8" t="s">
        <v>64</v>
      </c>
      <c r="P7282" s="6" t="s">
        <v>51</v>
      </c>
      <c r="Q7282" s="8" t="s">
        <v>65</v>
      </c>
      <c r="R7282" s="10" t="s">
        <v>3376</v>
      </c>
      <c r="S7282" s="11"/>
      <c r="T7282" s="6"/>
      <c r="U7282" s="15" t="str">
        <f>HYPERLINK("https://media.infra-m.ru/2264/2264641/cover/2264641.jpg", "Обложка")</f>
        <v>Обложка</v>
      </c>
      <c r="V7282" s="8" t="s">
        <v>6583</v>
      </c>
      <c r="W7282" s="6"/>
      <c r="X7282" s="6"/>
      <c r="Y7282" s="6"/>
      <c r="Z7282" s="6"/>
      <c r="AA7282" s="6" t="s">
        <v>68</v>
      </c>
      <c r="AB7282" s="8"/>
      <c r="AC7282" s="27">
        <v>9785160192925</v>
      </c>
    </row>
    <row r="7283" spans="1:29" s="4" customFormat="1" ht="42" customHeight="1" x14ac:dyDescent="0.2">
      <c r="A7283" s="5">
        <v>0</v>
      </c>
      <c r="B7283" s="6" t="s">
        <v>41199</v>
      </c>
      <c r="C7283" s="13">
        <v>576</v>
      </c>
      <c r="D7283" s="8" t="s">
        <v>41200</v>
      </c>
      <c r="E7283" s="8" t="s">
        <v>41201</v>
      </c>
      <c r="F7283" s="8" t="s">
        <v>41202</v>
      </c>
      <c r="G7283" s="6" t="s">
        <v>33</v>
      </c>
      <c r="H7283" s="6" t="s">
        <v>34</v>
      </c>
      <c r="I7283" s="8" t="s">
        <v>35</v>
      </c>
      <c r="J7283" s="9">
        <v>1</v>
      </c>
      <c r="K7283" s="9">
        <v>104</v>
      </c>
      <c r="L7283" s="9">
        <v>2024</v>
      </c>
      <c r="M7283" s="8" t="s">
        <v>41203</v>
      </c>
      <c r="N7283" s="8" t="s">
        <v>37</v>
      </c>
      <c r="O7283" s="8" t="s">
        <v>233</v>
      </c>
      <c r="P7283" s="6" t="s">
        <v>39</v>
      </c>
      <c r="Q7283" s="8" t="s">
        <v>40</v>
      </c>
      <c r="R7283" s="10" t="s">
        <v>8450</v>
      </c>
      <c r="S7283" s="11"/>
      <c r="T7283" s="6"/>
      <c r="U7283" s="15" t="str">
        <f>HYPERLINK("https://media.infra-m.ru/2117/2117130/cover/2117130.jpg", "Обложка")</f>
        <v>Обложка</v>
      </c>
      <c r="V7283" s="8" t="s">
        <v>5250</v>
      </c>
      <c r="W7283" s="6"/>
      <c r="X7283" s="6"/>
      <c r="Y7283" s="6"/>
      <c r="Z7283" s="6"/>
      <c r="AA7283" s="6" t="s">
        <v>86</v>
      </c>
      <c r="AB7283" s="8"/>
      <c r="AC7283" s="27">
        <v>9785160137896</v>
      </c>
    </row>
    <row r="7284" spans="1:29" s="4" customFormat="1" ht="51.9" customHeight="1" x14ac:dyDescent="0.2">
      <c r="A7284" s="5">
        <v>0</v>
      </c>
      <c r="B7284" s="6" t="s">
        <v>41204</v>
      </c>
      <c r="C7284" s="13">
        <v>700.8</v>
      </c>
      <c r="D7284" s="8" t="s">
        <v>41205</v>
      </c>
      <c r="E7284" s="8" t="s">
        <v>41206</v>
      </c>
      <c r="F7284" s="8" t="s">
        <v>41207</v>
      </c>
      <c r="G7284" s="6" t="s">
        <v>33</v>
      </c>
      <c r="H7284" s="6" t="s">
        <v>34</v>
      </c>
      <c r="I7284" s="8" t="s">
        <v>271</v>
      </c>
      <c r="J7284" s="9">
        <v>1</v>
      </c>
      <c r="K7284" s="9">
        <v>107</v>
      </c>
      <c r="L7284" s="9">
        <v>2026</v>
      </c>
      <c r="M7284" s="8" t="s">
        <v>41208</v>
      </c>
      <c r="N7284" s="8" t="s">
        <v>37</v>
      </c>
      <c r="O7284" s="8" t="s">
        <v>499</v>
      </c>
      <c r="P7284" s="6" t="s">
        <v>51</v>
      </c>
      <c r="Q7284" s="8" t="s">
        <v>52</v>
      </c>
      <c r="R7284" s="10" t="s">
        <v>5054</v>
      </c>
      <c r="S7284" s="11" t="s">
        <v>41209</v>
      </c>
      <c r="T7284" s="6"/>
      <c r="U7284" s="15" t="str">
        <f>HYPERLINK("https://media.infra-m.ru/2230/2230923/cover/2230923.jpg", "Обложка")</f>
        <v>Обложка</v>
      </c>
      <c r="V7284" s="8" t="s">
        <v>396</v>
      </c>
      <c r="W7284" s="6"/>
      <c r="X7284" s="6"/>
      <c r="Y7284" s="6"/>
      <c r="Z7284" s="6"/>
      <c r="AA7284" s="6" t="s">
        <v>248</v>
      </c>
      <c r="AB7284" s="8"/>
      <c r="AC7284" s="27">
        <v>9785160093451</v>
      </c>
    </row>
    <row r="7285" spans="1:29" s="4" customFormat="1" ht="42" customHeight="1" x14ac:dyDescent="0.2">
      <c r="A7285" s="5">
        <v>0</v>
      </c>
      <c r="B7285" s="6" t="s">
        <v>41210</v>
      </c>
      <c r="C7285" s="7">
        <v>1200</v>
      </c>
      <c r="D7285" s="8" t="s">
        <v>41211</v>
      </c>
      <c r="E7285" s="8" t="s">
        <v>41212</v>
      </c>
      <c r="F7285" s="8" t="s">
        <v>41213</v>
      </c>
      <c r="G7285" s="6" t="s">
        <v>33</v>
      </c>
      <c r="H7285" s="6" t="s">
        <v>34</v>
      </c>
      <c r="I7285" s="8" t="s">
        <v>35</v>
      </c>
      <c r="J7285" s="9">
        <v>1</v>
      </c>
      <c r="K7285" s="9">
        <v>225</v>
      </c>
      <c r="L7285" s="9">
        <v>2022</v>
      </c>
      <c r="M7285" s="8" t="s">
        <v>41214</v>
      </c>
      <c r="N7285" s="8" t="s">
        <v>63</v>
      </c>
      <c r="O7285" s="8" t="s">
        <v>64</v>
      </c>
      <c r="P7285" s="6" t="s">
        <v>39</v>
      </c>
      <c r="Q7285" s="8" t="s">
        <v>40</v>
      </c>
      <c r="R7285" s="10" t="s">
        <v>41215</v>
      </c>
      <c r="S7285" s="11"/>
      <c r="T7285" s="6"/>
      <c r="U7285" s="15" t="str">
        <f>HYPERLINK("https://media.infra-m.ru/1868/1868934/cover/1868934.jpg", "Обложка")</f>
        <v>Обложка</v>
      </c>
      <c r="V7285" s="8" t="s">
        <v>1949</v>
      </c>
      <c r="W7285" s="6"/>
      <c r="X7285" s="6"/>
      <c r="Y7285" s="6"/>
      <c r="Z7285" s="6"/>
      <c r="AA7285" s="6" t="s">
        <v>148</v>
      </c>
      <c r="AB7285" s="8"/>
      <c r="AC7285" s="27">
        <v>9785160177038</v>
      </c>
    </row>
    <row r="7286" spans="1:29" s="4" customFormat="1" ht="44.1" customHeight="1" x14ac:dyDescent="0.2">
      <c r="A7286" s="5">
        <v>0</v>
      </c>
      <c r="B7286" s="6" t="s">
        <v>41216</v>
      </c>
      <c r="C7286" s="7">
        <v>1756.8</v>
      </c>
      <c r="D7286" s="8" t="s">
        <v>41217</v>
      </c>
      <c r="E7286" s="8" t="s">
        <v>41218</v>
      </c>
      <c r="F7286" s="8" t="s">
        <v>41219</v>
      </c>
      <c r="G7286" s="6" t="s">
        <v>33</v>
      </c>
      <c r="H7286" s="6" t="s">
        <v>34</v>
      </c>
      <c r="I7286" s="8" t="s">
        <v>111</v>
      </c>
      <c r="J7286" s="9">
        <v>1</v>
      </c>
      <c r="K7286" s="9">
        <v>267</v>
      </c>
      <c r="L7286" s="9">
        <v>2026</v>
      </c>
      <c r="M7286" s="8" t="s">
        <v>41220</v>
      </c>
      <c r="N7286" s="8" t="s">
        <v>63</v>
      </c>
      <c r="O7286" s="8" t="s">
        <v>64</v>
      </c>
      <c r="P7286" s="6" t="s">
        <v>39</v>
      </c>
      <c r="Q7286" s="8" t="s">
        <v>40</v>
      </c>
      <c r="R7286" s="10" t="s">
        <v>28600</v>
      </c>
      <c r="S7286" s="11"/>
      <c r="T7286" s="6"/>
      <c r="U7286" s="15" t="str">
        <f>HYPERLINK("https://media.infra-m.ru/2179/2179422/cover/2179422.jpg", "Обложка")</f>
        <v>Обложка</v>
      </c>
      <c r="V7286" s="8" t="s">
        <v>414</v>
      </c>
      <c r="W7286" s="6"/>
      <c r="X7286" s="6"/>
      <c r="Y7286" s="6"/>
      <c r="Z7286" s="6"/>
      <c r="AA7286" s="6" t="s">
        <v>115</v>
      </c>
      <c r="AB7286" s="8"/>
      <c r="AC7286" s="27">
        <v>9785160189093</v>
      </c>
    </row>
    <row r="7287" spans="1:29" s="4" customFormat="1" ht="44.1" customHeight="1" x14ac:dyDescent="0.2">
      <c r="A7287" s="5">
        <v>0</v>
      </c>
      <c r="B7287" s="6" t="s">
        <v>41221</v>
      </c>
      <c r="C7287" s="7">
        <v>1445.9</v>
      </c>
      <c r="D7287" s="8" t="s">
        <v>41222</v>
      </c>
      <c r="E7287" s="8" t="s">
        <v>41218</v>
      </c>
      <c r="F7287" s="8" t="s">
        <v>41219</v>
      </c>
      <c r="G7287" s="6" t="s">
        <v>118</v>
      </c>
      <c r="H7287" s="6" t="s">
        <v>34</v>
      </c>
      <c r="I7287" s="8" t="s">
        <v>119</v>
      </c>
      <c r="J7287" s="9">
        <v>1</v>
      </c>
      <c r="K7287" s="9">
        <v>267</v>
      </c>
      <c r="L7287" s="9">
        <v>2023</v>
      </c>
      <c r="M7287" s="8" t="s">
        <v>41223</v>
      </c>
      <c r="N7287" s="8" t="s">
        <v>63</v>
      </c>
      <c r="O7287" s="8" t="s">
        <v>64</v>
      </c>
      <c r="P7287" s="6" t="s">
        <v>39</v>
      </c>
      <c r="Q7287" s="8" t="s">
        <v>40</v>
      </c>
      <c r="R7287" s="10" t="s">
        <v>28600</v>
      </c>
      <c r="S7287" s="11"/>
      <c r="T7287" s="6"/>
      <c r="U7287" s="15" t="str">
        <f>HYPERLINK("https://media.infra-m.ru/2030/2030873/cover/2030873.jpg", "Обложка")</f>
        <v>Обложка</v>
      </c>
      <c r="V7287" s="8" t="s">
        <v>414</v>
      </c>
      <c r="W7287" s="6"/>
      <c r="X7287" s="6"/>
      <c r="Y7287" s="6"/>
      <c r="Z7287" s="6"/>
      <c r="AA7287" s="6" t="s">
        <v>115</v>
      </c>
      <c r="AB7287" s="8"/>
      <c r="AC7287" s="27">
        <v>9785160145761</v>
      </c>
    </row>
    <row r="7288" spans="1:29" s="4" customFormat="1" ht="42" customHeight="1" x14ac:dyDescent="0.2">
      <c r="A7288" s="5">
        <v>0</v>
      </c>
      <c r="B7288" s="6" t="s">
        <v>41224</v>
      </c>
      <c r="C7288" s="7">
        <v>3590.4</v>
      </c>
      <c r="D7288" s="8" t="s">
        <v>41225</v>
      </c>
      <c r="E7288" s="8" t="s">
        <v>41226</v>
      </c>
      <c r="F7288" s="8" t="s">
        <v>41227</v>
      </c>
      <c r="G7288" s="6" t="s">
        <v>118</v>
      </c>
      <c r="H7288" s="6" t="s">
        <v>34</v>
      </c>
      <c r="I7288" s="8" t="s">
        <v>1835</v>
      </c>
      <c r="J7288" s="9">
        <v>1</v>
      </c>
      <c r="K7288" s="9">
        <v>292</v>
      </c>
      <c r="L7288" s="9">
        <v>2025</v>
      </c>
      <c r="M7288" s="8" t="s">
        <v>41228</v>
      </c>
      <c r="N7288" s="8" t="s">
        <v>93</v>
      </c>
      <c r="O7288" s="8" t="s">
        <v>94</v>
      </c>
      <c r="P7288" s="6" t="s">
        <v>41229</v>
      </c>
      <c r="Q7288" s="8" t="s">
        <v>65</v>
      </c>
      <c r="R7288" s="10" t="s">
        <v>25286</v>
      </c>
      <c r="S7288" s="11"/>
      <c r="T7288" s="6"/>
      <c r="U7288" s="15" t="str">
        <f>HYPERLINK("https://media.infra-m.ru/2143/2143237/cover/2143237.jpg", "Обложка")</f>
        <v>Обложка</v>
      </c>
      <c r="V7288" s="8"/>
      <c r="W7288" s="6"/>
      <c r="X7288" s="6"/>
      <c r="Y7288" s="6"/>
      <c r="Z7288" s="6"/>
      <c r="AA7288" s="6" t="s">
        <v>157</v>
      </c>
      <c r="AB7288" s="8"/>
      <c r="AC7288" s="27">
        <v>9785160193205</v>
      </c>
    </row>
    <row r="7289" spans="1:29" s="4" customFormat="1" ht="42" customHeight="1" x14ac:dyDescent="0.2">
      <c r="A7289" s="5">
        <v>0</v>
      </c>
      <c r="B7289" s="6" t="s">
        <v>41230</v>
      </c>
      <c r="C7289" s="7">
        <v>1408.8</v>
      </c>
      <c r="D7289" s="8" t="s">
        <v>41231</v>
      </c>
      <c r="E7289" s="8" t="s">
        <v>41232</v>
      </c>
      <c r="F7289" s="8" t="s">
        <v>41233</v>
      </c>
      <c r="G7289" s="6" t="s">
        <v>21</v>
      </c>
      <c r="H7289" s="6" t="s">
        <v>134</v>
      </c>
      <c r="I7289" s="8"/>
      <c r="J7289" s="9">
        <v>1</v>
      </c>
      <c r="K7289" s="9">
        <v>224</v>
      </c>
      <c r="L7289" s="9">
        <v>2026</v>
      </c>
      <c r="M7289" s="8" t="s">
        <v>41234</v>
      </c>
      <c r="N7289" s="8" t="s">
        <v>37</v>
      </c>
      <c r="O7289" s="8" t="s">
        <v>136</v>
      </c>
      <c r="P7289" s="6" t="s">
        <v>39</v>
      </c>
      <c r="Q7289" s="8"/>
      <c r="R7289" s="10" t="s">
        <v>41235</v>
      </c>
      <c r="S7289" s="11"/>
      <c r="T7289" s="6"/>
      <c r="U7289" s="15" t="str">
        <f>HYPERLINK("https://media.infra-m.ru/2220/2220704/cover/2220704.jpg", "Обложка")</f>
        <v>Обложка</v>
      </c>
      <c r="V7289" s="8" t="s">
        <v>18096</v>
      </c>
      <c r="W7289" s="6"/>
      <c r="X7289" s="6"/>
      <c r="Y7289" s="6"/>
      <c r="Z7289" s="6"/>
      <c r="AA7289" s="6" t="s">
        <v>55</v>
      </c>
      <c r="AB7289" s="8"/>
      <c r="AC7289" s="27">
        <v>9785917683560</v>
      </c>
    </row>
    <row r="7290" spans="1:29" s="4" customFormat="1" ht="42" customHeight="1" x14ac:dyDescent="0.2">
      <c r="A7290" s="5">
        <v>0</v>
      </c>
      <c r="B7290" s="6" t="s">
        <v>41236</v>
      </c>
      <c r="C7290" s="7">
        <v>1000.8</v>
      </c>
      <c r="D7290" s="8" t="s">
        <v>41237</v>
      </c>
      <c r="E7290" s="8" t="s">
        <v>41238</v>
      </c>
      <c r="F7290" s="8" t="s">
        <v>41239</v>
      </c>
      <c r="G7290" s="6" t="s">
        <v>33</v>
      </c>
      <c r="H7290" s="6" t="s">
        <v>34</v>
      </c>
      <c r="I7290" s="8" t="s">
        <v>35</v>
      </c>
      <c r="J7290" s="9">
        <v>1</v>
      </c>
      <c r="K7290" s="9">
        <v>151</v>
      </c>
      <c r="L7290" s="9">
        <v>2026</v>
      </c>
      <c r="M7290" s="8" t="s">
        <v>41240</v>
      </c>
      <c r="N7290" s="8" t="s">
        <v>63</v>
      </c>
      <c r="O7290" s="8" t="s">
        <v>64</v>
      </c>
      <c r="P7290" s="6" t="s">
        <v>39</v>
      </c>
      <c r="Q7290" s="8" t="s">
        <v>40</v>
      </c>
      <c r="R7290" s="10" t="s">
        <v>41241</v>
      </c>
      <c r="S7290" s="11"/>
      <c r="T7290" s="6"/>
      <c r="U7290" s="15" t="str">
        <f>HYPERLINK("https://media.infra-m.ru/2219/2219603/cover/2219603.jpg", "Обложка")</f>
        <v>Обложка</v>
      </c>
      <c r="V7290" s="8" t="s">
        <v>18741</v>
      </c>
      <c r="W7290" s="6"/>
      <c r="X7290" s="6"/>
      <c r="Y7290" s="6"/>
      <c r="Z7290" s="6"/>
      <c r="AA7290" s="6" t="s">
        <v>55</v>
      </c>
      <c r="AB7290" s="8"/>
      <c r="AC7290" s="27">
        <v>9785160068114</v>
      </c>
    </row>
    <row r="7291" spans="1:29" s="4" customFormat="1" ht="44.1" customHeight="1" x14ac:dyDescent="0.2">
      <c r="A7291" s="5">
        <v>0</v>
      </c>
      <c r="B7291" s="6" t="s">
        <v>41242</v>
      </c>
      <c r="C7291" s="7">
        <v>2712</v>
      </c>
      <c r="D7291" s="8" t="s">
        <v>41243</v>
      </c>
      <c r="E7291" s="8" t="s">
        <v>41244</v>
      </c>
      <c r="F7291" s="8" t="s">
        <v>41245</v>
      </c>
      <c r="G7291" s="6" t="s">
        <v>60</v>
      </c>
      <c r="H7291" s="6" t="s">
        <v>1644</v>
      </c>
      <c r="I7291" s="8"/>
      <c r="J7291" s="9">
        <v>1</v>
      </c>
      <c r="K7291" s="9">
        <v>480</v>
      </c>
      <c r="L7291" s="9">
        <v>2024</v>
      </c>
      <c r="M7291" s="8" t="s">
        <v>41246</v>
      </c>
      <c r="N7291" s="8" t="s">
        <v>37</v>
      </c>
      <c r="O7291" s="8" t="s">
        <v>233</v>
      </c>
      <c r="P7291" s="6" t="s">
        <v>39</v>
      </c>
      <c r="Q7291" s="8" t="s">
        <v>749</v>
      </c>
      <c r="R7291" s="10" t="s">
        <v>41247</v>
      </c>
      <c r="S7291" s="11"/>
      <c r="T7291" s="6"/>
      <c r="U7291" s="15" t="str">
        <f>HYPERLINK("https://media.infra-m.ru/2136/2136708/cover/2136708.jpg", "Обложка")</f>
        <v>Обложка</v>
      </c>
      <c r="V7291" s="8" t="s">
        <v>588</v>
      </c>
      <c r="W7291" s="6"/>
      <c r="X7291" s="6"/>
      <c r="Y7291" s="6"/>
      <c r="Z7291" s="6"/>
      <c r="AA7291" s="6" t="s">
        <v>55</v>
      </c>
      <c r="AB7291" s="8"/>
      <c r="AC7291" s="27">
        <v>9785977602556</v>
      </c>
    </row>
    <row r="7292" spans="1:29" s="4" customFormat="1" ht="42" customHeight="1" x14ac:dyDescent="0.2">
      <c r="A7292" s="5">
        <v>0</v>
      </c>
      <c r="B7292" s="6" t="s">
        <v>41248</v>
      </c>
      <c r="C7292" s="7">
        <v>1558.8</v>
      </c>
      <c r="D7292" s="8" t="s">
        <v>41249</v>
      </c>
      <c r="E7292" s="8" t="s">
        <v>41250</v>
      </c>
      <c r="F7292" s="8" t="s">
        <v>41251</v>
      </c>
      <c r="G7292" s="6" t="s">
        <v>60</v>
      </c>
      <c r="H7292" s="6" t="s">
        <v>36777</v>
      </c>
      <c r="I7292" s="8"/>
      <c r="J7292" s="9">
        <v>1</v>
      </c>
      <c r="K7292" s="9">
        <v>285</v>
      </c>
      <c r="L7292" s="9">
        <v>2019</v>
      </c>
      <c r="M7292" s="8" t="s">
        <v>41252</v>
      </c>
      <c r="N7292" s="8" t="s">
        <v>37</v>
      </c>
      <c r="O7292" s="8" t="s">
        <v>233</v>
      </c>
      <c r="P7292" s="6" t="s">
        <v>39</v>
      </c>
      <c r="Q7292" s="8" t="s">
        <v>40</v>
      </c>
      <c r="R7292" s="10" t="s">
        <v>5331</v>
      </c>
      <c r="S7292" s="11"/>
      <c r="T7292" s="6"/>
      <c r="U7292" s="15" t="str">
        <f>HYPERLINK("https://media.infra-m.ru/1090/1090603/cover/1090603.jpg", "Обложка")</f>
        <v>Обложка</v>
      </c>
      <c r="V7292" s="8" t="s">
        <v>247</v>
      </c>
      <c r="W7292" s="6"/>
      <c r="X7292" s="6"/>
      <c r="Y7292" s="6"/>
      <c r="Z7292" s="6"/>
      <c r="AA7292" s="6" t="s">
        <v>115</v>
      </c>
      <c r="AB7292" s="8"/>
      <c r="AC7292" s="27">
        <v>9789949720187</v>
      </c>
    </row>
    <row r="7293" spans="1:29" s="4" customFormat="1" ht="44.1" customHeight="1" x14ac:dyDescent="0.2">
      <c r="A7293" s="5">
        <v>0</v>
      </c>
      <c r="B7293" s="6" t="s">
        <v>41253</v>
      </c>
      <c r="C7293" s="7">
        <v>2320.8000000000002</v>
      </c>
      <c r="D7293" s="8" t="s">
        <v>41254</v>
      </c>
      <c r="E7293" s="8" t="s">
        <v>41255</v>
      </c>
      <c r="F7293" s="8" t="s">
        <v>4951</v>
      </c>
      <c r="G7293" s="6" t="s">
        <v>118</v>
      </c>
      <c r="H7293" s="6" t="s">
        <v>134</v>
      </c>
      <c r="I7293" s="8"/>
      <c r="J7293" s="9">
        <v>1</v>
      </c>
      <c r="K7293" s="9">
        <v>368</v>
      </c>
      <c r="L7293" s="9">
        <v>2026</v>
      </c>
      <c r="M7293" s="8" t="s">
        <v>41256</v>
      </c>
      <c r="N7293" s="8" t="s">
        <v>37</v>
      </c>
      <c r="O7293" s="8" t="s">
        <v>136</v>
      </c>
      <c r="P7293" s="6" t="s">
        <v>39</v>
      </c>
      <c r="Q7293" s="8" t="s">
        <v>749</v>
      </c>
      <c r="R7293" s="10" t="s">
        <v>9577</v>
      </c>
      <c r="S7293" s="11"/>
      <c r="T7293" s="6"/>
      <c r="U7293" s="15" t="str">
        <f>HYPERLINK("https://media.infra-m.ru/2218/2218479/cover/2218479.jpg", "Обложка")</f>
        <v>Обложка</v>
      </c>
      <c r="V7293" s="8" t="s">
        <v>1184</v>
      </c>
      <c r="W7293" s="6"/>
      <c r="X7293" s="6"/>
      <c r="Y7293" s="6"/>
      <c r="Z7293" s="6"/>
      <c r="AA7293" s="6" t="s">
        <v>623</v>
      </c>
      <c r="AB7293" s="8"/>
      <c r="AC7293" s="27">
        <v>9785917687049</v>
      </c>
    </row>
    <row r="7294" spans="1:29" s="4" customFormat="1" ht="51.9" customHeight="1" x14ac:dyDescent="0.2">
      <c r="A7294" s="5">
        <v>0</v>
      </c>
      <c r="B7294" s="6" t="s">
        <v>41257</v>
      </c>
      <c r="C7294" s="7">
        <v>2248.8000000000002</v>
      </c>
      <c r="D7294" s="8" t="s">
        <v>41258</v>
      </c>
      <c r="E7294" s="8" t="s">
        <v>41259</v>
      </c>
      <c r="F7294" s="8" t="s">
        <v>15650</v>
      </c>
      <c r="G7294" s="6" t="s">
        <v>60</v>
      </c>
      <c r="H7294" s="6" t="s">
        <v>34</v>
      </c>
      <c r="I7294" s="8" t="s">
        <v>253</v>
      </c>
      <c r="J7294" s="9">
        <v>1</v>
      </c>
      <c r="K7294" s="9">
        <v>340</v>
      </c>
      <c r="L7294" s="9">
        <v>2026</v>
      </c>
      <c r="M7294" s="8" t="s">
        <v>41260</v>
      </c>
      <c r="N7294" s="8" t="s">
        <v>37</v>
      </c>
      <c r="O7294" s="8" t="s">
        <v>280</v>
      </c>
      <c r="P7294" s="6" t="s">
        <v>306</v>
      </c>
      <c r="Q7294" s="8" t="s">
        <v>65</v>
      </c>
      <c r="R7294" s="10" t="s">
        <v>41261</v>
      </c>
      <c r="S7294" s="11" t="s">
        <v>41262</v>
      </c>
      <c r="T7294" s="6"/>
      <c r="U7294" s="15" t="str">
        <f>HYPERLINK("https://media.infra-m.ru/2239/2239069/cover/2239069.jpg", "Обложка")</f>
        <v>Обложка</v>
      </c>
      <c r="V7294" s="8" t="s">
        <v>3177</v>
      </c>
      <c r="W7294" s="6"/>
      <c r="X7294" s="6"/>
      <c r="Y7294" s="6"/>
      <c r="Z7294" s="6"/>
      <c r="AA7294" s="6" t="s">
        <v>157</v>
      </c>
      <c r="AB7294" s="8" t="s">
        <v>1806</v>
      </c>
      <c r="AC7294" s="27">
        <v>9785160184289</v>
      </c>
    </row>
    <row r="7295" spans="1:29" s="4" customFormat="1" ht="42" customHeight="1" x14ac:dyDescent="0.2">
      <c r="A7295" s="5">
        <v>0</v>
      </c>
      <c r="B7295" s="6" t="s">
        <v>41263</v>
      </c>
      <c r="C7295" s="7">
        <v>1180.8</v>
      </c>
      <c r="D7295" s="8" t="s">
        <v>41264</v>
      </c>
      <c r="E7295" s="8" t="s">
        <v>41265</v>
      </c>
      <c r="F7295" s="8" t="s">
        <v>41266</v>
      </c>
      <c r="G7295" s="6" t="s">
        <v>33</v>
      </c>
      <c r="H7295" s="6" t="s">
        <v>34</v>
      </c>
      <c r="I7295" s="8" t="s">
        <v>35</v>
      </c>
      <c r="J7295" s="9">
        <v>1</v>
      </c>
      <c r="K7295" s="9">
        <v>177</v>
      </c>
      <c r="L7295" s="9">
        <v>2025</v>
      </c>
      <c r="M7295" s="8" t="s">
        <v>41267</v>
      </c>
      <c r="N7295" s="8" t="s">
        <v>37</v>
      </c>
      <c r="O7295" s="8" t="s">
        <v>83</v>
      </c>
      <c r="P7295" s="6" t="s">
        <v>39</v>
      </c>
      <c r="Q7295" s="8" t="s">
        <v>40</v>
      </c>
      <c r="R7295" s="10" t="s">
        <v>41268</v>
      </c>
      <c r="S7295" s="11"/>
      <c r="T7295" s="6"/>
      <c r="U7295" s="15" t="str">
        <f>HYPERLINK("https://media.infra-m.ru/2237/2237013/cover/2237013.jpg", "Обложка")</f>
        <v>Обложка</v>
      </c>
      <c r="V7295" s="8" t="s">
        <v>41269</v>
      </c>
      <c r="W7295" s="6"/>
      <c r="X7295" s="6"/>
      <c r="Y7295" s="6"/>
      <c r="Z7295" s="6"/>
      <c r="AA7295" s="6" t="s">
        <v>68</v>
      </c>
      <c r="AB7295" s="8" t="s">
        <v>308</v>
      </c>
      <c r="AC7295" s="27">
        <v>9785160212067</v>
      </c>
    </row>
    <row r="7296" spans="1:29" s="4" customFormat="1" ht="51.9" customHeight="1" x14ac:dyDescent="0.2">
      <c r="A7296" s="5">
        <v>0</v>
      </c>
      <c r="B7296" s="6" t="s">
        <v>41270</v>
      </c>
      <c r="C7296" s="13">
        <v>653.9</v>
      </c>
      <c r="D7296" s="8" t="s">
        <v>41271</v>
      </c>
      <c r="E7296" s="8" t="s">
        <v>41272</v>
      </c>
      <c r="F7296" s="8" t="s">
        <v>41273</v>
      </c>
      <c r="G7296" s="6" t="s">
        <v>60</v>
      </c>
      <c r="H7296" s="6" t="s">
        <v>34</v>
      </c>
      <c r="I7296" s="8" t="s">
        <v>35</v>
      </c>
      <c r="J7296" s="9">
        <v>1</v>
      </c>
      <c r="K7296" s="9">
        <v>161</v>
      </c>
      <c r="L7296" s="9">
        <v>2020</v>
      </c>
      <c r="M7296" s="8" t="s">
        <v>41274</v>
      </c>
      <c r="N7296" s="8" t="s">
        <v>37</v>
      </c>
      <c r="O7296" s="8" t="s">
        <v>233</v>
      </c>
      <c r="P7296" s="6" t="s">
        <v>39</v>
      </c>
      <c r="Q7296" s="8" t="s">
        <v>40</v>
      </c>
      <c r="R7296" s="10" t="s">
        <v>41275</v>
      </c>
      <c r="S7296" s="11"/>
      <c r="T7296" s="6"/>
      <c r="U7296" s="15" t="str">
        <f>HYPERLINK("https://media.infra-m.ru/1036/1036622/cover/1036622.jpg", "Обложка")</f>
        <v>Обложка</v>
      </c>
      <c r="V7296" s="8" t="s">
        <v>6224</v>
      </c>
      <c r="W7296" s="6"/>
      <c r="X7296" s="6"/>
      <c r="Y7296" s="6"/>
      <c r="Z7296" s="6"/>
      <c r="AA7296" s="6" t="s">
        <v>99</v>
      </c>
      <c r="AB7296" s="8"/>
      <c r="AC7296" s="27">
        <v>9785160127446</v>
      </c>
    </row>
    <row r="7297" spans="1:29" s="4" customFormat="1" ht="51.9" customHeight="1" x14ac:dyDescent="0.2">
      <c r="A7297" s="5">
        <v>0</v>
      </c>
      <c r="B7297" s="6" t="s">
        <v>41276</v>
      </c>
      <c r="C7297" s="13">
        <v>264</v>
      </c>
      <c r="D7297" s="8" t="s">
        <v>41277</v>
      </c>
      <c r="E7297" s="8" t="s">
        <v>41278</v>
      </c>
      <c r="F7297" s="8" t="s">
        <v>31047</v>
      </c>
      <c r="G7297" s="6" t="s">
        <v>33</v>
      </c>
      <c r="H7297" s="6" t="s">
        <v>134</v>
      </c>
      <c r="I7297" s="8"/>
      <c r="J7297" s="9">
        <v>1</v>
      </c>
      <c r="K7297" s="9">
        <v>48</v>
      </c>
      <c r="L7297" s="9">
        <v>2023</v>
      </c>
      <c r="M7297" s="8" t="s">
        <v>41279</v>
      </c>
      <c r="N7297" s="8" t="s">
        <v>37</v>
      </c>
      <c r="O7297" s="8" t="s">
        <v>83</v>
      </c>
      <c r="P7297" s="6" t="s">
        <v>39</v>
      </c>
      <c r="Q7297" s="8" t="s">
        <v>40</v>
      </c>
      <c r="R7297" s="10" t="s">
        <v>41280</v>
      </c>
      <c r="S7297" s="11"/>
      <c r="T7297" s="6"/>
      <c r="U7297" s="15" t="str">
        <f>HYPERLINK("https://media.infra-m.ru/1993/1993586/cover/1993586.jpg", "Обложка")</f>
        <v>Обложка</v>
      </c>
      <c r="V7297" s="8" t="s">
        <v>1069</v>
      </c>
      <c r="W7297" s="6"/>
      <c r="X7297" s="6"/>
      <c r="Y7297" s="6"/>
      <c r="Z7297" s="6"/>
      <c r="AA7297" s="6" t="s">
        <v>129</v>
      </c>
      <c r="AB7297" s="8"/>
      <c r="AC7297" s="27">
        <v>9785917681566</v>
      </c>
    </row>
    <row r="7298" spans="1:29" s="4" customFormat="1" ht="42" customHeight="1" x14ac:dyDescent="0.2">
      <c r="A7298" s="5">
        <v>0</v>
      </c>
      <c r="B7298" s="6" t="s">
        <v>41281</v>
      </c>
      <c r="C7298" s="13">
        <v>712.8</v>
      </c>
      <c r="D7298" s="8" t="s">
        <v>41282</v>
      </c>
      <c r="E7298" s="8" t="s">
        <v>41283</v>
      </c>
      <c r="F7298" s="8" t="s">
        <v>41284</v>
      </c>
      <c r="G7298" s="6" t="s">
        <v>33</v>
      </c>
      <c r="H7298" s="6" t="s">
        <v>34</v>
      </c>
      <c r="I7298" s="8" t="s">
        <v>35</v>
      </c>
      <c r="J7298" s="9">
        <v>1</v>
      </c>
      <c r="K7298" s="9">
        <v>108</v>
      </c>
      <c r="L7298" s="9">
        <v>2026</v>
      </c>
      <c r="M7298" s="8" t="s">
        <v>41285</v>
      </c>
      <c r="N7298" s="8" t="s">
        <v>37</v>
      </c>
      <c r="O7298" s="8" t="s">
        <v>233</v>
      </c>
      <c r="P7298" s="6" t="s">
        <v>39</v>
      </c>
      <c r="Q7298" s="8" t="s">
        <v>40</v>
      </c>
      <c r="R7298" s="10" t="s">
        <v>4087</v>
      </c>
      <c r="S7298" s="11"/>
      <c r="T7298" s="6"/>
      <c r="U7298" s="15" t="str">
        <f>HYPERLINK("https://media.infra-m.ru/2224/2224135/cover/2224135.jpg", "Обложка")</f>
        <v>Обложка</v>
      </c>
      <c r="V7298" s="8" t="s">
        <v>396</v>
      </c>
      <c r="W7298" s="6"/>
      <c r="X7298" s="6"/>
      <c r="Y7298" s="6"/>
      <c r="Z7298" s="6"/>
      <c r="AA7298" s="6" t="s">
        <v>55</v>
      </c>
      <c r="AB7298" s="8"/>
      <c r="AC7298" s="27">
        <v>9785160096155</v>
      </c>
    </row>
    <row r="7299" spans="1:29" s="4" customFormat="1" ht="42" customHeight="1" x14ac:dyDescent="0.2">
      <c r="A7299" s="5">
        <v>0</v>
      </c>
      <c r="B7299" s="6" t="s">
        <v>41286</v>
      </c>
      <c r="C7299" s="7">
        <v>1332</v>
      </c>
      <c r="D7299" s="8" t="s">
        <v>41287</v>
      </c>
      <c r="E7299" s="8" t="s">
        <v>41288</v>
      </c>
      <c r="F7299" s="8" t="s">
        <v>5153</v>
      </c>
      <c r="G7299" s="6" t="s">
        <v>33</v>
      </c>
      <c r="H7299" s="6" t="s">
        <v>1644</v>
      </c>
      <c r="I7299" s="8"/>
      <c r="J7299" s="9">
        <v>1</v>
      </c>
      <c r="K7299" s="9">
        <v>216</v>
      </c>
      <c r="L7299" s="9">
        <v>2025</v>
      </c>
      <c r="M7299" s="8" t="s">
        <v>41289</v>
      </c>
      <c r="N7299" s="8" t="s">
        <v>37</v>
      </c>
      <c r="O7299" s="8" t="s">
        <v>280</v>
      </c>
      <c r="P7299" s="6" t="s">
        <v>51</v>
      </c>
      <c r="Q7299" s="8" t="s">
        <v>52</v>
      </c>
      <c r="R7299" s="10" t="s">
        <v>1646</v>
      </c>
      <c r="S7299" s="11"/>
      <c r="T7299" s="6"/>
      <c r="U7299" s="15" t="str">
        <f>HYPERLINK("https://media.infra-m.ru/2179/2179063/cover/2179063.jpg", "Обложка")</f>
        <v>Обложка</v>
      </c>
      <c r="V7299" s="8" t="s">
        <v>67</v>
      </c>
      <c r="W7299" s="6"/>
      <c r="X7299" s="6"/>
      <c r="Y7299" s="6"/>
      <c r="Z7299" s="6"/>
      <c r="AA7299" s="6" t="s">
        <v>55</v>
      </c>
      <c r="AB7299" s="8"/>
      <c r="AC7299" s="27">
        <v>9785977602600</v>
      </c>
    </row>
    <row r="7300" spans="1:29" s="4" customFormat="1" ht="42" customHeight="1" x14ac:dyDescent="0.2">
      <c r="A7300" s="5">
        <v>0</v>
      </c>
      <c r="B7300" s="6" t="s">
        <v>41290</v>
      </c>
      <c r="C7300" s="7">
        <v>2212.8000000000002</v>
      </c>
      <c r="D7300" s="8" t="s">
        <v>41291</v>
      </c>
      <c r="E7300" s="8" t="s">
        <v>41292</v>
      </c>
      <c r="F7300" s="8" t="s">
        <v>41293</v>
      </c>
      <c r="G7300" s="6" t="s">
        <v>60</v>
      </c>
      <c r="H7300" s="6" t="s">
        <v>241</v>
      </c>
      <c r="I7300" s="8" t="s">
        <v>4439</v>
      </c>
      <c r="J7300" s="9">
        <v>1</v>
      </c>
      <c r="K7300" s="9">
        <v>354</v>
      </c>
      <c r="L7300" s="9">
        <v>2025</v>
      </c>
      <c r="M7300" s="8" t="s">
        <v>41294</v>
      </c>
      <c r="N7300" s="8" t="s">
        <v>37</v>
      </c>
      <c r="O7300" s="8" t="s">
        <v>499</v>
      </c>
      <c r="P7300" s="6" t="s">
        <v>306</v>
      </c>
      <c r="Q7300" s="8" t="s">
        <v>500</v>
      </c>
      <c r="R7300" s="10" t="s">
        <v>1576</v>
      </c>
      <c r="S7300" s="11"/>
      <c r="T7300" s="6" t="s">
        <v>97</v>
      </c>
      <c r="U7300" s="15" t="str">
        <f>HYPERLINK("https://media.infra-m.ru/2195/2195013/cover/2195013.jpg", "Обложка")</f>
        <v>Обложка</v>
      </c>
      <c r="V7300" s="8" t="s">
        <v>247</v>
      </c>
      <c r="W7300" s="6"/>
      <c r="X7300" s="6"/>
      <c r="Y7300" s="6"/>
      <c r="Z7300" s="6"/>
      <c r="AA7300" s="6" t="s">
        <v>779</v>
      </c>
      <c r="AB7300" s="8"/>
      <c r="AC7300" s="27">
        <v>9785955804347</v>
      </c>
    </row>
    <row r="7301" spans="1:29" s="4" customFormat="1" ht="51.9" customHeight="1" x14ac:dyDescent="0.2">
      <c r="A7301" s="5">
        <v>0</v>
      </c>
      <c r="B7301" s="6" t="s">
        <v>41295</v>
      </c>
      <c r="C7301" s="7">
        <v>2224.8000000000002</v>
      </c>
      <c r="D7301" s="8" t="s">
        <v>41296</v>
      </c>
      <c r="E7301" s="8" t="s">
        <v>41297</v>
      </c>
      <c r="F7301" s="8" t="s">
        <v>18764</v>
      </c>
      <c r="G7301" s="6" t="s">
        <v>60</v>
      </c>
      <c r="H7301" s="6" t="s">
        <v>34</v>
      </c>
      <c r="I7301" s="8" t="s">
        <v>504</v>
      </c>
      <c r="J7301" s="9">
        <v>1</v>
      </c>
      <c r="K7301" s="9">
        <v>356</v>
      </c>
      <c r="L7301" s="9">
        <v>2026</v>
      </c>
      <c r="M7301" s="8" t="s">
        <v>41298</v>
      </c>
      <c r="N7301" s="8" t="s">
        <v>37</v>
      </c>
      <c r="O7301" s="8" t="s">
        <v>499</v>
      </c>
      <c r="P7301" s="6" t="s">
        <v>306</v>
      </c>
      <c r="Q7301" s="8" t="s">
        <v>500</v>
      </c>
      <c r="R7301" s="10" t="s">
        <v>1576</v>
      </c>
      <c r="S7301" s="11" t="s">
        <v>41299</v>
      </c>
      <c r="T7301" s="6"/>
      <c r="U7301" s="15" t="str">
        <f>HYPERLINK("https://media.infra-m.ru/2222/2222251/cover/2222251.jpg", "Обложка")</f>
        <v>Обложка</v>
      </c>
      <c r="V7301" s="8" t="s">
        <v>1768</v>
      </c>
      <c r="W7301" s="6"/>
      <c r="X7301" s="6"/>
      <c r="Y7301" s="6"/>
      <c r="Z7301" s="6"/>
      <c r="AA7301" s="6" t="s">
        <v>218</v>
      </c>
      <c r="AB7301" s="8"/>
      <c r="AC7301" s="27">
        <v>9785160152707</v>
      </c>
    </row>
    <row r="7302" spans="1:29" s="4" customFormat="1" ht="51.9" customHeight="1" x14ac:dyDescent="0.2">
      <c r="A7302" s="5">
        <v>0</v>
      </c>
      <c r="B7302" s="6" t="s">
        <v>41300</v>
      </c>
      <c r="C7302" s="7">
        <v>1049.9000000000001</v>
      </c>
      <c r="D7302" s="8" t="s">
        <v>41301</v>
      </c>
      <c r="E7302" s="8" t="s">
        <v>41302</v>
      </c>
      <c r="F7302" s="8" t="s">
        <v>18764</v>
      </c>
      <c r="G7302" s="6" t="s">
        <v>60</v>
      </c>
      <c r="H7302" s="6" t="s">
        <v>34</v>
      </c>
      <c r="I7302" s="8" t="s">
        <v>504</v>
      </c>
      <c r="J7302" s="9">
        <v>1</v>
      </c>
      <c r="K7302" s="9">
        <v>272</v>
      </c>
      <c r="L7302" s="9">
        <v>2019</v>
      </c>
      <c r="M7302" s="8" t="s">
        <v>41303</v>
      </c>
      <c r="N7302" s="8" t="s">
        <v>37</v>
      </c>
      <c r="O7302" s="8" t="s">
        <v>499</v>
      </c>
      <c r="P7302" s="6" t="s">
        <v>306</v>
      </c>
      <c r="Q7302" s="8" t="s">
        <v>500</v>
      </c>
      <c r="R7302" s="10" t="s">
        <v>1576</v>
      </c>
      <c r="S7302" s="11" t="s">
        <v>41304</v>
      </c>
      <c r="T7302" s="6"/>
      <c r="U7302" s="15" t="str">
        <f>HYPERLINK("https://media.infra-m.ru/1009/1009011/cover/1009011.jpg", "Обложка")</f>
        <v>Обложка</v>
      </c>
      <c r="V7302" s="8" t="s">
        <v>1768</v>
      </c>
      <c r="W7302" s="6"/>
      <c r="X7302" s="6"/>
      <c r="Y7302" s="6"/>
      <c r="Z7302" s="6"/>
      <c r="AA7302" s="6" t="s">
        <v>248</v>
      </c>
      <c r="AB7302" s="8"/>
      <c r="AC7302" s="27">
        <v>9785160092324</v>
      </c>
    </row>
    <row r="7303" spans="1:29" s="4" customFormat="1" ht="51.9" customHeight="1" x14ac:dyDescent="0.2">
      <c r="A7303" s="5">
        <v>0</v>
      </c>
      <c r="B7303" s="6" t="s">
        <v>41305</v>
      </c>
      <c r="C7303" s="7">
        <v>2752.8</v>
      </c>
      <c r="D7303" s="8" t="s">
        <v>41306</v>
      </c>
      <c r="E7303" s="8" t="s">
        <v>41307</v>
      </c>
      <c r="F7303" s="8" t="s">
        <v>41308</v>
      </c>
      <c r="G7303" s="6" t="s">
        <v>60</v>
      </c>
      <c r="H7303" s="6" t="s">
        <v>241</v>
      </c>
      <c r="I7303" s="8"/>
      <c r="J7303" s="9">
        <v>1</v>
      </c>
      <c r="K7303" s="9">
        <v>396</v>
      </c>
      <c r="L7303" s="9">
        <v>2027</v>
      </c>
      <c r="M7303" s="8" t="s">
        <v>41309</v>
      </c>
      <c r="N7303" s="8" t="s">
        <v>37</v>
      </c>
      <c r="O7303" s="8" t="s">
        <v>280</v>
      </c>
      <c r="P7303" s="6" t="s">
        <v>306</v>
      </c>
      <c r="Q7303" s="8" t="s">
        <v>52</v>
      </c>
      <c r="R7303" s="10" t="s">
        <v>41310</v>
      </c>
      <c r="S7303" s="11" t="s">
        <v>41311</v>
      </c>
      <c r="T7303" s="6"/>
      <c r="U7303" s="15" t="str">
        <f>HYPERLINK("https://media.infra-m.ru/2227/2227778/cover/2227778.jpg", "Обложка")</f>
        <v>Обложка</v>
      </c>
      <c r="V7303" s="8" t="s">
        <v>4943</v>
      </c>
      <c r="W7303" s="6"/>
      <c r="X7303" s="6"/>
      <c r="Y7303" s="6"/>
      <c r="Z7303" s="6"/>
      <c r="AA7303" s="6" t="s">
        <v>43</v>
      </c>
      <c r="AB7303" s="8"/>
      <c r="AC7303" s="27">
        <v>9785955802251</v>
      </c>
    </row>
    <row r="7304" spans="1:29" s="4" customFormat="1" ht="51.9" customHeight="1" x14ac:dyDescent="0.2">
      <c r="A7304" s="5">
        <v>0</v>
      </c>
      <c r="B7304" s="6" t="s">
        <v>41312</v>
      </c>
      <c r="C7304" s="7">
        <v>1468.8</v>
      </c>
      <c r="D7304" s="8" t="s">
        <v>41313</v>
      </c>
      <c r="E7304" s="8" t="s">
        <v>41314</v>
      </c>
      <c r="F7304" s="8" t="s">
        <v>27627</v>
      </c>
      <c r="G7304" s="6" t="s">
        <v>60</v>
      </c>
      <c r="H7304" s="6" t="s">
        <v>34</v>
      </c>
      <c r="I7304" s="8" t="s">
        <v>271</v>
      </c>
      <c r="J7304" s="9">
        <v>1</v>
      </c>
      <c r="K7304" s="9">
        <v>211</v>
      </c>
      <c r="L7304" s="9">
        <v>2027</v>
      </c>
      <c r="M7304" s="8" t="s">
        <v>41315</v>
      </c>
      <c r="N7304" s="8" t="s">
        <v>37</v>
      </c>
      <c r="O7304" s="8" t="s">
        <v>499</v>
      </c>
      <c r="P7304" s="6" t="s">
        <v>51</v>
      </c>
      <c r="Q7304" s="8" t="s">
        <v>52</v>
      </c>
      <c r="R7304" s="10" t="s">
        <v>41316</v>
      </c>
      <c r="S7304" s="11" t="s">
        <v>41317</v>
      </c>
      <c r="T7304" s="6"/>
      <c r="U7304" s="15" t="str">
        <f>HYPERLINK("https://media.infra-m.ru/2272/2272322/cover/2272322.jpg", "Обложка")</f>
        <v>Обложка</v>
      </c>
      <c r="V7304" s="8" t="s">
        <v>1116</v>
      </c>
      <c r="W7304" s="6"/>
      <c r="X7304" s="6"/>
      <c r="Y7304" s="6"/>
      <c r="Z7304" s="6"/>
      <c r="AA7304" s="6" t="s">
        <v>157</v>
      </c>
      <c r="AB7304" s="8"/>
      <c r="AC7304" s="27">
        <v>9785160172323</v>
      </c>
    </row>
    <row r="7305" spans="1:29" s="4" customFormat="1" ht="42" customHeight="1" x14ac:dyDescent="0.2">
      <c r="A7305" s="5">
        <v>0</v>
      </c>
      <c r="B7305" s="6" t="s">
        <v>41318</v>
      </c>
      <c r="C7305" s="7">
        <v>2832</v>
      </c>
      <c r="D7305" s="8" t="s">
        <v>41319</v>
      </c>
      <c r="E7305" s="8" t="s">
        <v>41320</v>
      </c>
      <c r="F7305" s="8" t="s">
        <v>41321</v>
      </c>
      <c r="G7305" s="6" t="s">
        <v>60</v>
      </c>
      <c r="H7305" s="6" t="s">
        <v>34</v>
      </c>
      <c r="I7305" s="8" t="s">
        <v>504</v>
      </c>
      <c r="J7305" s="9">
        <v>1</v>
      </c>
      <c r="K7305" s="9">
        <v>471</v>
      </c>
      <c r="L7305" s="9">
        <v>2025</v>
      </c>
      <c r="M7305" s="8" t="s">
        <v>41322</v>
      </c>
      <c r="N7305" s="8" t="s">
        <v>37</v>
      </c>
      <c r="O7305" s="8" t="s">
        <v>280</v>
      </c>
      <c r="P7305" s="6" t="s">
        <v>306</v>
      </c>
      <c r="Q7305" s="8" t="s">
        <v>65</v>
      </c>
      <c r="R7305" s="10" t="s">
        <v>41323</v>
      </c>
      <c r="S7305" s="11"/>
      <c r="T7305" s="6"/>
      <c r="U7305" s="15" t="str">
        <f>HYPERLINK("https://media.infra-m.ru/2001/2001688/cover/2001688.jpg", "Обложка")</f>
        <v>Обложка</v>
      </c>
      <c r="V7305" s="8" t="s">
        <v>41324</v>
      </c>
      <c r="W7305" s="6"/>
      <c r="X7305" s="6"/>
      <c r="Y7305" s="6"/>
      <c r="Z7305" s="6"/>
      <c r="AA7305" s="6" t="s">
        <v>68</v>
      </c>
      <c r="AB7305" s="8"/>
      <c r="AC7305" s="27">
        <v>9785160184111</v>
      </c>
    </row>
    <row r="7306" spans="1:29" s="4" customFormat="1" ht="51.9" customHeight="1" x14ac:dyDescent="0.2">
      <c r="A7306" s="5">
        <v>0</v>
      </c>
      <c r="B7306" s="6" t="s">
        <v>41325</v>
      </c>
      <c r="C7306" s="7">
        <v>1325.9</v>
      </c>
      <c r="D7306" s="8" t="s">
        <v>41326</v>
      </c>
      <c r="E7306" s="8" t="s">
        <v>41327</v>
      </c>
      <c r="F7306" s="8" t="s">
        <v>41328</v>
      </c>
      <c r="G7306" s="6" t="s">
        <v>60</v>
      </c>
      <c r="H7306" s="6" t="s">
        <v>34</v>
      </c>
      <c r="I7306" s="8" t="s">
        <v>271</v>
      </c>
      <c r="J7306" s="9">
        <v>1</v>
      </c>
      <c r="K7306" s="9">
        <v>246</v>
      </c>
      <c r="L7306" s="9">
        <v>2023</v>
      </c>
      <c r="M7306" s="8" t="s">
        <v>41329</v>
      </c>
      <c r="N7306" s="8" t="s">
        <v>37</v>
      </c>
      <c r="O7306" s="8" t="s">
        <v>280</v>
      </c>
      <c r="P7306" s="6" t="s">
        <v>51</v>
      </c>
      <c r="Q7306" s="8" t="s">
        <v>52</v>
      </c>
      <c r="R7306" s="10" t="s">
        <v>16828</v>
      </c>
      <c r="S7306" s="11" t="s">
        <v>41330</v>
      </c>
      <c r="T7306" s="6"/>
      <c r="U7306" s="15" t="str">
        <f>HYPERLINK("https://media.infra-m.ru/1981/1981716/cover/1981716.jpg", "Обложка")</f>
        <v>Обложка</v>
      </c>
      <c r="V7306" s="8" t="s">
        <v>5250</v>
      </c>
      <c r="W7306" s="6"/>
      <c r="X7306" s="6"/>
      <c r="Y7306" s="6"/>
      <c r="Z7306" s="6"/>
      <c r="AA7306" s="6" t="s">
        <v>248</v>
      </c>
      <c r="AB7306" s="8"/>
      <c r="AC7306" s="27">
        <v>9785160065892</v>
      </c>
    </row>
    <row r="7307" spans="1:29" s="4" customFormat="1" ht="51.9" customHeight="1" x14ac:dyDescent="0.2">
      <c r="A7307" s="5">
        <v>0</v>
      </c>
      <c r="B7307" s="6" t="s">
        <v>41331</v>
      </c>
      <c r="C7307" s="7">
        <v>1900.8</v>
      </c>
      <c r="D7307" s="8" t="s">
        <v>41332</v>
      </c>
      <c r="E7307" s="8" t="s">
        <v>41333</v>
      </c>
      <c r="F7307" s="8" t="s">
        <v>41334</v>
      </c>
      <c r="G7307" s="6" t="s">
        <v>33</v>
      </c>
      <c r="H7307" s="6" t="s">
        <v>34</v>
      </c>
      <c r="I7307" s="8" t="s">
        <v>271</v>
      </c>
      <c r="J7307" s="9">
        <v>1</v>
      </c>
      <c r="K7307" s="9">
        <v>288</v>
      </c>
      <c r="L7307" s="9">
        <v>2026</v>
      </c>
      <c r="M7307" s="8" t="s">
        <v>41335</v>
      </c>
      <c r="N7307" s="8" t="s">
        <v>37</v>
      </c>
      <c r="O7307" s="8" t="s">
        <v>280</v>
      </c>
      <c r="P7307" s="6" t="s">
        <v>51</v>
      </c>
      <c r="Q7307" s="8" t="s">
        <v>52</v>
      </c>
      <c r="R7307" s="10" t="s">
        <v>41336</v>
      </c>
      <c r="S7307" s="11" t="s">
        <v>41337</v>
      </c>
      <c r="T7307" s="6"/>
      <c r="U7307" s="15" t="str">
        <f>HYPERLINK("https://media.infra-m.ru/2251/2251398/cover/2251398.jpg", "Обложка")</f>
        <v>Обложка</v>
      </c>
      <c r="V7307" s="8" t="s">
        <v>6059</v>
      </c>
      <c r="W7307" s="6"/>
      <c r="X7307" s="6"/>
      <c r="Y7307" s="6"/>
      <c r="Z7307" s="6"/>
      <c r="AA7307" s="6" t="s">
        <v>1716</v>
      </c>
      <c r="AB7307" s="8"/>
      <c r="AC7307" s="27">
        <v>9785160022987</v>
      </c>
    </row>
    <row r="7308" spans="1:29" s="4" customFormat="1" ht="51.9" customHeight="1" x14ac:dyDescent="0.2">
      <c r="A7308" s="5">
        <v>0</v>
      </c>
      <c r="B7308" s="6" t="s">
        <v>41338</v>
      </c>
      <c r="C7308" s="7">
        <v>1728</v>
      </c>
      <c r="D7308" s="8" t="s">
        <v>41339</v>
      </c>
      <c r="E7308" s="8" t="s">
        <v>41340</v>
      </c>
      <c r="F7308" s="8" t="s">
        <v>41341</v>
      </c>
      <c r="G7308" s="6" t="s">
        <v>118</v>
      </c>
      <c r="H7308" s="6" t="s">
        <v>34</v>
      </c>
      <c r="I7308" s="8" t="s">
        <v>35</v>
      </c>
      <c r="J7308" s="9">
        <v>1</v>
      </c>
      <c r="K7308" s="9">
        <v>276</v>
      </c>
      <c r="L7308" s="9">
        <v>2026</v>
      </c>
      <c r="M7308" s="8" t="s">
        <v>41342</v>
      </c>
      <c r="N7308" s="8" t="s">
        <v>37</v>
      </c>
      <c r="O7308" s="8" t="s">
        <v>280</v>
      </c>
      <c r="P7308" s="6" t="s">
        <v>39</v>
      </c>
      <c r="Q7308" s="8" t="s">
        <v>40</v>
      </c>
      <c r="R7308" s="10" t="s">
        <v>41343</v>
      </c>
      <c r="S7308" s="11"/>
      <c r="T7308" s="6"/>
      <c r="U7308" s="15" t="str">
        <f>HYPERLINK("https://media.infra-m.ru/2214/2214235/cover/2214235.jpg", "Обложка")</f>
        <v>Обложка</v>
      </c>
      <c r="V7308" s="8" t="s">
        <v>12056</v>
      </c>
      <c r="W7308" s="6"/>
      <c r="X7308" s="6"/>
      <c r="Y7308" s="6"/>
      <c r="Z7308" s="6"/>
      <c r="AA7308" s="6" t="s">
        <v>99</v>
      </c>
      <c r="AB7308" s="8"/>
      <c r="AC7308" s="27">
        <v>9785160126166</v>
      </c>
    </row>
    <row r="7309" spans="1:29" s="4" customFormat="1" ht="51.9" customHeight="1" x14ac:dyDescent="0.2">
      <c r="A7309" s="5">
        <v>0</v>
      </c>
      <c r="B7309" s="6" t="s">
        <v>41344</v>
      </c>
      <c r="C7309" s="7">
        <v>2492.4</v>
      </c>
      <c r="D7309" s="8" t="s">
        <v>41345</v>
      </c>
      <c r="E7309" s="8" t="s">
        <v>41346</v>
      </c>
      <c r="F7309" s="8" t="s">
        <v>41334</v>
      </c>
      <c r="G7309" s="6" t="s">
        <v>33</v>
      </c>
      <c r="H7309" s="6" t="s">
        <v>34</v>
      </c>
      <c r="I7309" s="8" t="s">
        <v>756</v>
      </c>
      <c r="J7309" s="9">
        <v>1</v>
      </c>
      <c r="K7309" s="9">
        <v>320</v>
      </c>
      <c r="L7309" s="9">
        <v>2025</v>
      </c>
      <c r="M7309" s="8" t="s">
        <v>41347</v>
      </c>
      <c r="N7309" s="8" t="s">
        <v>37</v>
      </c>
      <c r="O7309" s="8" t="s">
        <v>280</v>
      </c>
      <c r="P7309" s="6" t="s">
        <v>601</v>
      </c>
      <c r="Q7309" s="8" t="s">
        <v>40</v>
      </c>
      <c r="R7309" s="10" t="s">
        <v>41348</v>
      </c>
      <c r="S7309" s="11"/>
      <c r="T7309" s="6"/>
      <c r="U7309" s="15" t="str">
        <f>HYPERLINK("https://media.infra-m.ru/2188/2188758/cover/2188758.jpg", "Обложка")</f>
        <v>Обложка</v>
      </c>
      <c r="V7309" s="8" t="s">
        <v>6059</v>
      </c>
      <c r="W7309" s="6"/>
      <c r="X7309" s="6"/>
      <c r="Y7309" s="6"/>
      <c r="Z7309" s="6"/>
      <c r="AA7309" s="6" t="s">
        <v>43</v>
      </c>
      <c r="AB7309" s="8"/>
      <c r="AC7309" s="27">
        <v>9785160098609</v>
      </c>
    </row>
    <row r="7310" spans="1:29" s="4" customFormat="1" ht="44.1" customHeight="1" x14ac:dyDescent="0.2">
      <c r="A7310" s="5">
        <v>0</v>
      </c>
      <c r="B7310" s="6" t="s">
        <v>41349</v>
      </c>
      <c r="C7310" s="7">
        <v>3960</v>
      </c>
      <c r="D7310" s="8" t="s">
        <v>41350</v>
      </c>
      <c r="E7310" s="8" t="s">
        <v>41351</v>
      </c>
      <c r="F7310" s="8" t="s">
        <v>26327</v>
      </c>
      <c r="G7310" s="6" t="s">
        <v>60</v>
      </c>
      <c r="H7310" s="6" t="s">
        <v>34</v>
      </c>
      <c r="I7310" s="8"/>
      <c r="J7310" s="9">
        <v>1</v>
      </c>
      <c r="K7310" s="9">
        <v>512</v>
      </c>
      <c r="L7310" s="9">
        <v>2026</v>
      </c>
      <c r="M7310" s="8" t="s">
        <v>41352</v>
      </c>
      <c r="N7310" s="8" t="s">
        <v>37</v>
      </c>
      <c r="O7310" s="8" t="s">
        <v>280</v>
      </c>
      <c r="P7310" s="6" t="s">
        <v>306</v>
      </c>
      <c r="Q7310" s="8" t="s">
        <v>65</v>
      </c>
      <c r="R7310" s="10" t="s">
        <v>41353</v>
      </c>
      <c r="S7310" s="11"/>
      <c r="T7310" s="6" t="s">
        <v>97</v>
      </c>
      <c r="U7310" s="15" t="str">
        <f>HYPERLINK("https://media.infra-m.ru/2230/2230294/cover/2230294.jpg", "Обложка")</f>
        <v>Обложка</v>
      </c>
      <c r="V7310" s="8" t="s">
        <v>1647</v>
      </c>
      <c r="W7310" s="6"/>
      <c r="X7310" s="6"/>
      <c r="Y7310" s="6"/>
      <c r="Z7310" s="6"/>
      <c r="AA7310" s="6" t="s">
        <v>157</v>
      </c>
      <c r="AB7310" s="8"/>
      <c r="AC7310" s="27">
        <v>9785160215518</v>
      </c>
    </row>
    <row r="7311" spans="1:29" s="4" customFormat="1" ht="51.9" customHeight="1" x14ac:dyDescent="0.2">
      <c r="A7311" s="5">
        <v>0</v>
      </c>
      <c r="B7311" s="6" t="s">
        <v>41354</v>
      </c>
      <c r="C7311" s="7">
        <v>2020.8</v>
      </c>
      <c r="D7311" s="8" t="s">
        <v>41355</v>
      </c>
      <c r="E7311" s="8" t="s">
        <v>41356</v>
      </c>
      <c r="F7311" s="8" t="s">
        <v>41357</v>
      </c>
      <c r="G7311" s="6" t="s">
        <v>118</v>
      </c>
      <c r="H7311" s="6" t="s">
        <v>34</v>
      </c>
      <c r="I7311" s="8" t="s">
        <v>253</v>
      </c>
      <c r="J7311" s="9">
        <v>1</v>
      </c>
      <c r="K7311" s="9">
        <v>290</v>
      </c>
      <c r="L7311" s="9">
        <v>2027</v>
      </c>
      <c r="M7311" s="8" t="s">
        <v>41358</v>
      </c>
      <c r="N7311" s="8" t="s">
        <v>37</v>
      </c>
      <c r="O7311" s="8" t="s">
        <v>280</v>
      </c>
      <c r="P7311" s="6" t="s">
        <v>306</v>
      </c>
      <c r="Q7311" s="8" t="s">
        <v>65</v>
      </c>
      <c r="R7311" s="10" t="s">
        <v>41359</v>
      </c>
      <c r="S7311" s="11" t="s">
        <v>41360</v>
      </c>
      <c r="T7311" s="6"/>
      <c r="U7311" s="15" t="str">
        <f>HYPERLINK("https://media.infra-m.ru/2257/2257194/cover/2257194.jpg", "Обложка")</f>
        <v>Обложка</v>
      </c>
      <c r="V7311" s="8" t="s">
        <v>23026</v>
      </c>
      <c r="W7311" s="6"/>
      <c r="X7311" s="6"/>
      <c r="Y7311" s="6"/>
      <c r="Z7311" s="6"/>
      <c r="AA7311" s="6" t="s">
        <v>623</v>
      </c>
      <c r="AB7311" s="8"/>
      <c r="AC7311" s="27">
        <v>9785160186191</v>
      </c>
    </row>
    <row r="7312" spans="1:29" s="4" customFormat="1" ht="51.9" customHeight="1" x14ac:dyDescent="0.2">
      <c r="A7312" s="5">
        <v>0</v>
      </c>
      <c r="B7312" s="6" t="s">
        <v>41361</v>
      </c>
      <c r="C7312" s="7">
        <v>1720.8</v>
      </c>
      <c r="D7312" s="8" t="s">
        <v>41362</v>
      </c>
      <c r="E7312" s="8" t="s">
        <v>41351</v>
      </c>
      <c r="F7312" s="8" t="s">
        <v>41363</v>
      </c>
      <c r="G7312" s="6" t="s">
        <v>118</v>
      </c>
      <c r="H7312" s="6" t="s">
        <v>34</v>
      </c>
      <c r="I7312" s="8" t="s">
        <v>271</v>
      </c>
      <c r="J7312" s="9">
        <v>1</v>
      </c>
      <c r="K7312" s="9">
        <v>261</v>
      </c>
      <c r="L7312" s="9">
        <v>2026</v>
      </c>
      <c r="M7312" s="8" t="s">
        <v>41364</v>
      </c>
      <c r="N7312" s="8" t="s">
        <v>37</v>
      </c>
      <c r="O7312" s="8" t="s">
        <v>280</v>
      </c>
      <c r="P7312" s="6" t="s">
        <v>306</v>
      </c>
      <c r="Q7312" s="8" t="s">
        <v>52</v>
      </c>
      <c r="R7312" s="10" t="s">
        <v>3013</v>
      </c>
      <c r="S7312" s="11" t="s">
        <v>41365</v>
      </c>
      <c r="T7312" s="6"/>
      <c r="U7312" s="15" t="str">
        <f>HYPERLINK("https://media.infra-m.ru/2246/2246670/cover/2246670.jpg", "Обложка")</f>
        <v>Обложка</v>
      </c>
      <c r="V7312" s="8" t="s">
        <v>831</v>
      </c>
      <c r="W7312" s="6"/>
      <c r="X7312" s="6"/>
      <c r="Y7312" s="6"/>
      <c r="Z7312" s="6"/>
      <c r="AA7312" s="6" t="s">
        <v>157</v>
      </c>
      <c r="AB7312" s="8"/>
      <c r="AC7312" s="27">
        <v>9785160176161</v>
      </c>
    </row>
    <row r="7313" spans="1:29" s="4" customFormat="1" ht="51.9" customHeight="1" x14ac:dyDescent="0.2">
      <c r="A7313" s="5">
        <v>0</v>
      </c>
      <c r="B7313" s="6" t="s">
        <v>41366</v>
      </c>
      <c r="C7313" s="7">
        <v>2188.8000000000002</v>
      </c>
      <c r="D7313" s="8" t="s">
        <v>41367</v>
      </c>
      <c r="E7313" s="8" t="s">
        <v>41351</v>
      </c>
      <c r="F7313" s="8" t="s">
        <v>13556</v>
      </c>
      <c r="G7313" s="6" t="s">
        <v>60</v>
      </c>
      <c r="H7313" s="6" t="s">
        <v>34</v>
      </c>
      <c r="I7313" s="8" t="s">
        <v>253</v>
      </c>
      <c r="J7313" s="9">
        <v>1</v>
      </c>
      <c r="K7313" s="9">
        <v>365</v>
      </c>
      <c r="L7313" s="9">
        <v>2025</v>
      </c>
      <c r="M7313" s="8" t="s">
        <v>41368</v>
      </c>
      <c r="N7313" s="8" t="s">
        <v>37</v>
      </c>
      <c r="O7313" s="8" t="s">
        <v>280</v>
      </c>
      <c r="P7313" s="6" t="s">
        <v>306</v>
      </c>
      <c r="Q7313" s="8" t="s">
        <v>52</v>
      </c>
      <c r="R7313" s="10" t="s">
        <v>41369</v>
      </c>
      <c r="S7313" s="11" t="s">
        <v>41370</v>
      </c>
      <c r="T7313" s="6"/>
      <c r="U7313" s="15" t="str">
        <f>HYPERLINK("https://media.infra-m.ru/2192/2192168/cover/2192168.jpg", "Обложка")</f>
        <v>Обложка</v>
      </c>
      <c r="V7313" s="8" t="s">
        <v>5964</v>
      </c>
      <c r="W7313" s="6"/>
      <c r="X7313" s="6"/>
      <c r="Y7313" s="6"/>
      <c r="Z7313" s="6"/>
      <c r="AA7313" s="6" t="s">
        <v>43</v>
      </c>
      <c r="AB7313" s="8"/>
      <c r="AC7313" s="27">
        <v>9785160051154</v>
      </c>
    </row>
    <row r="7314" spans="1:29" s="4" customFormat="1" ht="51.9" customHeight="1" x14ac:dyDescent="0.2">
      <c r="A7314" s="5">
        <v>0</v>
      </c>
      <c r="B7314" s="6" t="s">
        <v>41371</v>
      </c>
      <c r="C7314" s="7">
        <v>2112</v>
      </c>
      <c r="D7314" s="8" t="s">
        <v>41372</v>
      </c>
      <c r="E7314" s="8" t="s">
        <v>41351</v>
      </c>
      <c r="F7314" s="8" t="s">
        <v>41373</v>
      </c>
      <c r="G7314" s="6" t="s">
        <v>118</v>
      </c>
      <c r="H7314" s="6" t="s">
        <v>34</v>
      </c>
      <c r="I7314" s="8" t="s">
        <v>253</v>
      </c>
      <c r="J7314" s="9">
        <v>1</v>
      </c>
      <c r="K7314" s="9">
        <v>320</v>
      </c>
      <c r="L7314" s="9">
        <v>2026</v>
      </c>
      <c r="M7314" s="8" t="s">
        <v>41374</v>
      </c>
      <c r="N7314" s="8" t="s">
        <v>37</v>
      </c>
      <c r="O7314" s="8" t="s">
        <v>280</v>
      </c>
      <c r="P7314" s="6" t="s">
        <v>306</v>
      </c>
      <c r="Q7314" s="8" t="s">
        <v>52</v>
      </c>
      <c r="R7314" s="10" t="s">
        <v>41375</v>
      </c>
      <c r="S7314" s="11" t="s">
        <v>41376</v>
      </c>
      <c r="T7314" s="6" t="s">
        <v>97</v>
      </c>
      <c r="U7314" s="15" t="str">
        <f>HYPERLINK("https://media.infra-m.ru/2227/2227790/cover/2227790.jpg", "Обложка")</f>
        <v>Обложка</v>
      </c>
      <c r="V7314" s="8" t="s">
        <v>396</v>
      </c>
      <c r="W7314" s="6"/>
      <c r="X7314" s="6"/>
      <c r="Y7314" s="6"/>
      <c r="Z7314" s="6"/>
      <c r="AA7314" s="6" t="s">
        <v>43</v>
      </c>
      <c r="AB7314" s="8"/>
      <c r="AC7314" s="27">
        <v>9785160050287</v>
      </c>
    </row>
    <row r="7315" spans="1:29" s="4" customFormat="1" ht="51.9" customHeight="1" x14ac:dyDescent="0.2">
      <c r="A7315" s="5">
        <v>0</v>
      </c>
      <c r="B7315" s="6" t="s">
        <v>41377</v>
      </c>
      <c r="C7315" s="7">
        <v>1432.8</v>
      </c>
      <c r="D7315" s="8" t="s">
        <v>41378</v>
      </c>
      <c r="E7315" s="8" t="s">
        <v>41351</v>
      </c>
      <c r="F7315" s="8" t="s">
        <v>5247</v>
      </c>
      <c r="G7315" s="6" t="s">
        <v>60</v>
      </c>
      <c r="H7315" s="6" t="s">
        <v>34</v>
      </c>
      <c r="I7315" s="8" t="s">
        <v>29399</v>
      </c>
      <c r="J7315" s="9">
        <v>1</v>
      </c>
      <c r="K7315" s="9">
        <v>263</v>
      </c>
      <c r="L7315" s="9">
        <v>2023</v>
      </c>
      <c r="M7315" s="8" t="s">
        <v>41379</v>
      </c>
      <c r="N7315" s="8" t="s">
        <v>37</v>
      </c>
      <c r="O7315" s="8" t="s">
        <v>280</v>
      </c>
      <c r="P7315" s="6" t="s">
        <v>306</v>
      </c>
      <c r="Q7315" s="8" t="s">
        <v>52</v>
      </c>
      <c r="R7315" s="10" t="s">
        <v>6039</v>
      </c>
      <c r="S7315" s="11" t="s">
        <v>41380</v>
      </c>
      <c r="T7315" s="6"/>
      <c r="U7315" s="15" t="str">
        <f>HYPERLINK("https://media.infra-m.ru/2006/2006825/cover/2006825.jpg", "Обложка")</f>
        <v>Обложка</v>
      </c>
      <c r="V7315" s="8" t="s">
        <v>5250</v>
      </c>
      <c r="W7315" s="6"/>
      <c r="X7315" s="6"/>
      <c r="Y7315" s="6"/>
      <c r="Z7315" s="6"/>
      <c r="AA7315" s="6" t="s">
        <v>430</v>
      </c>
      <c r="AB7315" s="8" t="s">
        <v>34628</v>
      </c>
      <c r="AC7315" s="27">
        <v>9785160138152</v>
      </c>
    </row>
    <row r="7316" spans="1:29" s="4" customFormat="1" ht="51.9" customHeight="1" x14ac:dyDescent="0.2">
      <c r="A7316" s="5">
        <v>0</v>
      </c>
      <c r="B7316" s="6" t="s">
        <v>41381</v>
      </c>
      <c r="C7316" s="7">
        <v>1492.8</v>
      </c>
      <c r="D7316" s="8" t="s">
        <v>41382</v>
      </c>
      <c r="E7316" s="8" t="s">
        <v>41351</v>
      </c>
      <c r="F7316" s="8" t="s">
        <v>41383</v>
      </c>
      <c r="G7316" s="6" t="s">
        <v>118</v>
      </c>
      <c r="H7316" s="6" t="s">
        <v>34</v>
      </c>
      <c r="I7316" s="8" t="s">
        <v>271</v>
      </c>
      <c r="J7316" s="9">
        <v>1</v>
      </c>
      <c r="K7316" s="9">
        <v>271</v>
      </c>
      <c r="L7316" s="9">
        <v>2024</v>
      </c>
      <c r="M7316" s="8" t="s">
        <v>41384</v>
      </c>
      <c r="N7316" s="8" t="s">
        <v>37</v>
      </c>
      <c r="O7316" s="8" t="s">
        <v>280</v>
      </c>
      <c r="P7316" s="6" t="s">
        <v>306</v>
      </c>
      <c r="Q7316" s="8" t="s">
        <v>52</v>
      </c>
      <c r="R7316" s="10" t="s">
        <v>26346</v>
      </c>
      <c r="S7316" s="11" t="s">
        <v>41385</v>
      </c>
      <c r="T7316" s="6"/>
      <c r="U7316" s="15" t="str">
        <f>HYPERLINK("https://media.infra-m.ru/2079/2079678/cover/2079678.jpg", "Обложка")</f>
        <v>Обложка</v>
      </c>
      <c r="V7316" s="8" t="s">
        <v>1599</v>
      </c>
      <c r="W7316" s="6"/>
      <c r="X7316" s="6"/>
      <c r="Y7316" s="6"/>
      <c r="Z7316" s="6"/>
      <c r="AA7316" s="6" t="s">
        <v>129</v>
      </c>
      <c r="AB7316" s="8"/>
      <c r="AC7316" s="27">
        <v>9785160163109</v>
      </c>
    </row>
    <row r="7317" spans="1:29" s="4" customFormat="1" ht="51.9" customHeight="1" x14ac:dyDescent="0.2">
      <c r="A7317" s="5">
        <v>0</v>
      </c>
      <c r="B7317" s="6" t="s">
        <v>41386</v>
      </c>
      <c r="C7317" s="7">
        <v>1000.8</v>
      </c>
      <c r="D7317" s="8" t="s">
        <v>41387</v>
      </c>
      <c r="E7317" s="8" t="s">
        <v>41356</v>
      </c>
      <c r="F7317" s="8" t="s">
        <v>41388</v>
      </c>
      <c r="G7317" s="6" t="s">
        <v>60</v>
      </c>
      <c r="H7317" s="6" t="s">
        <v>34</v>
      </c>
      <c r="I7317" s="8" t="s">
        <v>253</v>
      </c>
      <c r="J7317" s="9">
        <v>1</v>
      </c>
      <c r="K7317" s="9">
        <v>160</v>
      </c>
      <c r="L7317" s="9">
        <v>2025</v>
      </c>
      <c r="M7317" s="8" t="s">
        <v>41389</v>
      </c>
      <c r="N7317" s="8" t="s">
        <v>37</v>
      </c>
      <c r="O7317" s="8" t="s">
        <v>280</v>
      </c>
      <c r="P7317" s="6" t="s">
        <v>51</v>
      </c>
      <c r="Q7317" s="8" t="s">
        <v>52</v>
      </c>
      <c r="R7317" s="10" t="s">
        <v>41390</v>
      </c>
      <c r="S7317" s="11" t="s">
        <v>41391</v>
      </c>
      <c r="T7317" s="6"/>
      <c r="U7317" s="15" t="str">
        <f>HYPERLINK("https://media.infra-m.ru/2192/2192209/cover/2192209.jpg", "Обложка")</f>
        <v>Обложка</v>
      </c>
      <c r="V7317" s="8" t="s">
        <v>16903</v>
      </c>
      <c r="W7317" s="6"/>
      <c r="X7317" s="6"/>
      <c r="Y7317" s="6"/>
      <c r="Z7317" s="6"/>
      <c r="AA7317" s="6" t="s">
        <v>769</v>
      </c>
      <c r="AB7317" s="8"/>
      <c r="AC7317" s="27">
        <v>9785160051352</v>
      </c>
    </row>
    <row r="7318" spans="1:29" s="4" customFormat="1" ht="51.9" customHeight="1" x14ac:dyDescent="0.2">
      <c r="A7318" s="5">
        <v>0</v>
      </c>
      <c r="B7318" s="6" t="s">
        <v>41392</v>
      </c>
      <c r="C7318" s="7">
        <v>1156.8</v>
      </c>
      <c r="D7318" s="8" t="s">
        <v>41393</v>
      </c>
      <c r="E7318" s="8" t="s">
        <v>41356</v>
      </c>
      <c r="F7318" s="8" t="s">
        <v>41394</v>
      </c>
      <c r="G7318" s="6" t="s">
        <v>60</v>
      </c>
      <c r="H7318" s="6" t="s">
        <v>34</v>
      </c>
      <c r="I7318" s="8" t="s">
        <v>271</v>
      </c>
      <c r="J7318" s="9">
        <v>1</v>
      </c>
      <c r="K7318" s="9">
        <v>208</v>
      </c>
      <c r="L7318" s="9">
        <v>2024</v>
      </c>
      <c r="M7318" s="8" t="s">
        <v>41395</v>
      </c>
      <c r="N7318" s="8" t="s">
        <v>37</v>
      </c>
      <c r="O7318" s="8" t="s">
        <v>280</v>
      </c>
      <c r="P7318" s="6" t="s">
        <v>51</v>
      </c>
      <c r="Q7318" s="8" t="s">
        <v>52</v>
      </c>
      <c r="R7318" s="10" t="s">
        <v>41396</v>
      </c>
      <c r="S7318" s="11" t="s">
        <v>41397</v>
      </c>
      <c r="T7318" s="6"/>
      <c r="U7318" s="15" t="str">
        <f>HYPERLINK("https://media.infra-m.ru/2054/2054993/cover/2054993.jpg", "Обложка")</f>
        <v>Обложка</v>
      </c>
      <c r="V7318" s="8" t="s">
        <v>12203</v>
      </c>
      <c r="W7318" s="6"/>
      <c r="X7318" s="6"/>
      <c r="Y7318" s="6"/>
      <c r="Z7318" s="6"/>
      <c r="AA7318" s="6" t="s">
        <v>859</v>
      </c>
      <c r="AB7318" s="8"/>
      <c r="AC7318" s="27">
        <v>9785160065922</v>
      </c>
    </row>
    <row r="7319" spans="1:29" s="4" customFormat="1" ht="51.9" customHeight="1" x14ac:dyDescent="0.2">
      <c r="A7319" s="5">
        <v>0</v>
      </c>
      <c r="B7319" s="6" t="s">
        <v>41398</v>
      </c>
      <c r="C7319" s="13">
        <v>713.9</v>
      </c>
      <c r="D7319" s="8" t="s">
        <v>41399</v>
      </c>
      <c r="E7319" s="8" t="s">
        <v>41351</v>
      </c>
      <c r="F7319" s="8" t="s">
        <v>41400</v>
      </c>
      <c r="G7319" s="6" t="s">
        <v>60</v>
      </c>
      <c r="H7319" s="6" t="s">
        <v>313</v>
      </c>
      <c r="I7319" s="8" t="s">
        <v>253</v>
      </c>
      <c r="J7319" s="9">
        <v>1</v>
      </c>
      <c r="K7319" s="9">
        <v>176</v>
      </c>
      <c r="L7319" s="9">
        <v>2020</v>
      </c>
      <c r="M7319" s="8" t="s">
        <v>41401</v>
      </c>
      <c r="N7319" s="8" t="s">
        <v>37</v>
      </c>
      <c r="O7319" s="8" t="s">
        <v>280</v>
      </c>
      <c r="P7319" s="6" t="s">
        <v>51</v>
      </c>
      <c r="Q7319" s="8" t="s">
        <v>52</v>
      </c>
      <c r="R7319" s="10" t="s">
        <v>41402</v>
      </c>
      <c r="S7319" s="11" t="s">
        <v>41403</v>
      </c>
      <c r="T7319" s="6"/>
      <c r="U7319" s="15" t="str">
        <f>HYPERLINK("https://media.infra-m.ru/1083/1083434/cover/1083434.jpg", "Обложка")</f>
        <v>Обложка</v>
      </c>
      <c r="V7319" s="8" t="s">
        <v>350</v>
      </c>
      <c r="W7319" s="6"/>
      <c r="X7319" s="6"/>
      <c r="Y7319" s="6"/>
      <c r="Z7319" s="6"/>
      <c r="AA7319" s="6" t="s">
        <v>55</v>
      </c>
      <c r="AB7319" s="8"/>
      <c r="AC7319" s="27">
        <v>9785369011430</v>
      </c>
    </row>
    <row r="7320" spans="1:29" s="4" customFormat="1" ht="51.9" customHeight="1" x14ac:dyDescent="0.2">
      <c r="A7320" s="5">
        <v>0</v>
      </c>
      <c r="B7320" s="6" t="s">
        <v>41404</v>
      </c>
      <c r="C7320" s="7">
        <v>1264.8</v>
      </c>
      <c r="D7320" s="8" t="s">
        <v>41405</v>
      </c>
      <c r="E7320" s="8" t="s">
        <v>41351</v>
      </c>
      <c r="F7320" s="8" t="s">
        <v>41406</v>
      </c>
      <c r="G7320" s="6" t="s">
        <v>33</v>
      </c>
      <c r="H7320" s="6" t="s">
        <v>313</v>
      </c>
      <c r="I7320" s="8" t="s">
        <v>253</v>
      </c>
      <c r="J7320" s="9">
        <v>1</v>
      </c>
      <c r="K7320" s="9">
        <v>228</v>
      </c>
      <c r="L7320" s="9">
        <v>2024</v>
      </c>
      <c r="M7320" s="8" t="s">
        <v>41407</v>
      </c>
      <c r="N7320" s="8" t="s">
        <v>37</v>
      </c>
      <c r="O7320" s="8" t="s">
        <v>280</v>
      </c>
      <c r="P7320" s="6" t="s">
        <v>51</v>
      </c>
      <c r="Q7320" s="8" t="s">
        <v>52</v>
      </c>
      <c r="R7320" s="10" t="s">
        <v>41408</v>
      </c>
      <c r="S7320" s="11"/>
      <c r="T7320" s="6"/>
      <c r="U7320" s="15" t="str">
        <f>HYPERLINK("https://media.infra-m.ru/1850/1850687/cover/1850687.jpg", "Обложка")</f>
        <v>Обложка</v>
      </c>
      <c r="V7320" s="8"/>
      <c r="W7320" s="6"/>
      <c r="X7320" s="6"/>
      <c r="Y7320" s="6"/>
      <c r="Z7320" s="6"/>
      <c r="AA7320" s="6" t="s">
        <v>248</v>
      </c>
      <c r="AB7320" s="8"/>
      <c r="AC7320" s="27">
        <v>9785369013052</v>
      </c>
    </row>
    <row r="7321" spans="1:29" s="4" customFormat="1" ht="51.9" customHeight="1" x14ac:dyDescent="0.2">
      <c r="A7321" s="5">
        <v>0</v>
      </c>
      <c r="B7321" s="6" t="s">
        <v>41409</v>
      </c>
      <c r="C7321" s="7">
        <v>1632</v>
      </c>
      <c r="D7321" s="8" t="s">
        <v>41410</v>
      </c>
      <c r="E7321" s="8" t="s">
        <v>41356</v>
      </c>
      <c r="F7321" s="8" t="s">
        <v>41411</v>
      </c>
      <c r="G7321" s="6" t="s">
        <v>118</v>
      </c>
      <c r="H7321" s="6" t="s">
        <v>34</v>
      </c>
      <c r="I7321" s="8" t="s">
        <v>271</v>
      </c>
      <c r="J7321" s="9">
        <v>1</v>
      </c>
      <c r="K7321" s="9">
        <v>294</v>
      </c>
      <c r="L7321" s="9">
        <v>2024</v>
      </c>
      <c r="M7321" s="8" t="s">
        <v>41412</v>
      </c>
      <c r="N7321" s="8" t="s">
        <v>37</v>
      </c>
      <c r="O7321" s="8" t="s">
        <v>280</v>
      </c>
      <c r="P7321" s="6" t="s">
        <v>51</v>
      </c>
      <c r="Q7321" s="8" t="s">
        <v>52</v>
      </c>
      <c r="R7321" s="10" t="s">
        <v>41375</v>
      </c>
      <c r="S7321" s="11" t="s">
        <v>41413</v>
      </c>
      <c r="T7321" s="6"/>
      <c r="U7321" s="15" t="str">
        <f>HYPERLINK("https://media.infra-m.ru/2127/2127007/cover/2127007.jpg", "Обложка")</f>
        <v>Обложка</v>
      </c>
      <c r="V7321" s="8" t="s">
        <v>396</v>
      </c>
      <c r="W7321" s="6"/>
      <c r="X7321" s="6"/>
      <c r="Y7321" s="6"/>
      <c r="Z7321" s="6"/>
      <c r="AA7321" s="6" t="s">
        <v>258</v>
      </c>
      <c r="AB7321" s="8"/>
      <c r="AC7321" s="27">
        <v>9785160169361</v>
      </c>
    </row>
    <row r="7322" spans="1:29" s="4" customFormat="1" ht="51.9" customHeight="1" x14ac:dyDescent="0.2">
      <c r="A7322" s="5">
        <v>0</v>
      </c>
      <c r="B7322" s="6" t="s">
        <v>41414</v>
      </c>
      <c r="C7322" s="7">
        <v>1097.9000000000001</v>
      </c>
      <c r="D7322" s="8" t="s">
        <v>41415</v>
      </c>
      <c r="E7322" s="8" t="s">
        <v>41351</v>
      </c>
      <c r="F7322" s="8" t="s">
        <v>41416</v>
      </c>
      <c r="G7322" s="6" t="s">
        <v>60</v>
      </c>
      <c r="H7322" s="6" t="s">
        <v>5605</v>
      </c>
      <c r="I7322" s="8" t="s">
        <v>253</v>
      </c>
      <c r="J7322" s="9">
        <v>1</v>
      </c>
      <c r="K7322" s="9">
        <v>285</v>
      </c>
      <c r="L7322" s="9">
        <v>2019</v>
      </c>
      <c r="M7322" s="8" t="s">
        <v>41417</v>
      </c>
      <c r="N7322" s="8" t="s">
        <v>37</v>
      </c>
      <c r="O7322" s="8" t="s">
        <v>280</v>
      </c>
      <c r="P7322" s="6" t="s">
        <v>51</v>
      </c>
      <c r="Q7322" s="8" t="s">
        <v>52</v>
      </c>
      <c r="R7322" s="10" t="s">
        <v>41375</v>
      </c>
      <c r="S7322" s="11" t="s">
        <v>41418</v>
      </c>
      <c r="T7322" s="6"/>
      <c r="U7322" s="15" t="str">
        <f>HYPERLINK("https://media.infra-m.ru/0990/0990419/cover/990419.jpg", "Обложка")</f>
        <v>Обложка</v>
      </c>
      <c r="V7322" s="8" t="s">
        <v>396</v>
      </c>
      <c r="W7322" s="6"/>
      <c r="X7322" s="6"/>
      <c r="Y7322" s="6"/>
      <c r="Z7322" s="6"/>
      <c r="AA7322" s="6" t="s">
        <v>949</v>
      </c>
      <c r="AB7322" s="8"/>
      <c r="AC7322" s="27">
        <v>9785160025896</v>
      </c>
    </row>
    <row r="7323" spans="1:29" s="4" customFormat="1" ht="51.9" customHeight="1" x14ac:dyDescent="0.2">
      <c r="A7323" s="5">
        <v>0</v>
      </c>
      <c r="B7323" s="6" t="s">
        <v>41419</v>
      </c>
      <c r="C7323" s="13">
        <v>639.6</v>
      </c>
      <c r="D7323" s="8" t="s">
        <v>41420</v>
      </c>
      <c r="E7323" s="8" t="s">
        <v>41421</v>
      </c>
      <c r="F7323" s="8" t="s">
        <v>41422</v>
      </c>
      <c r="G7323" s="6" t="s">
        <v>33</v>
      </c>
      <c r="H7323" s="6" t="s">
        <v>313</v>
      </c>
      <c r="I7323" s="8" t="s">
        <v>253</v>
      </c>
      <c r="J7323" s="9">
        <v>1</v>
      </c>
      <c r="K7323" s="9">
        <v>106</v>
      </c>
      <c r="L7323" s="9">
        <v>2024</v>
      </c>
      <c r="M7323" s="8" t="s">
        <v>41423</v>
      </c>
      <c r="N7323" s="8" t="s">
        <v>37</v>
      </c>
      <c r="O7323" s="8" t="s">
        <v>280</v>
      </c>
      <c r="P7323" s="6" t="s">
        <v>51</v>
      </c>
      <c r="Q7323" s="8" t="s">
        <v>52</v>
      </c>
      <c r="R7323" s="10" t="s">
        <v>41424</v>
      </c>
      <c r="S7323" s="11"/>
      <c r="T7323" s="6"/>
      <c r="U7323" s="15" t="str">
        <f>HYPERLINK("https://media.infra-m.ru/2136/2136844/cover/2136844.jpg", "Обложка")</f>
        <v>Обложка</v>
      </c>
      <c r="V7323" s="8" t="s">
        <v>11774</v>
      </c>
      <c r="W7323" s="6"/>
      <c r="X7323" s="6"/>
      <c r="Y7323" s="6"/>
      <c r="Z7323" s="6"/>
      <c r="AA7323" s="6" t="s">
        <v>2311</v>
      </c>
      <c r="AB7323" s="8"/>
      <c r="AC7323" s="27">
        <v>9785369016435</v>
      </c>
    </row>
    <row r="7324" spans="1:29" s="4" customFormat="1" ht="51.9" customHeight="1" x14ac:dyDescent="0.2">
      <c r="A7324" s="5">
        <v>0</v>
      </c>
      <c r="B7324" s="6" t="s">
        <v>41425</v>
      </c>
      <c r="C7324" s="7">
        <v>1024.8</v>
      </c>
      <c r="D7324" s="8" t="s">
        <v>41426</v>
      </c>
      <c r="E7324" s="8" t="s">
        <v>41421</v>
      </c>
      <c r="F7324" s="8" t="s">
        <v>41427</v>
      </c>
      <c r="G7324" s="6" t="s">
        <v>60</v>
      </c>
      <c r="H7324" s="6" t="s">
        <v>313</v>
      </c>
      <c r="I7324" s="8" t="s">
        <v>392</v>
      </c>
      <c r="J7324" s="9">
        <v>1</v>
      </c>
      <c r="K7324" s="9">
        <v>184</v>
      </c>
      <c r="L7324" s="9">
        <v>2024</v>
      </c>
      <c r="M7324" s="8" t="s">
        <v>41428</v>
      </c>
      <c r="N7324" s="8" t="s">
        <v>37</v>
      </c>
      <c r="O7324" s="8" t="s">
        <v>280</v>
      </c>
      <c r="P7324" s="6" t="s">
        <v>51</v>
      </c>
      <c r="Q7324" s="8" t="s">
        <v>52</v>
      </c>
      <c r="R7324" s="10" t="s">
        <v>41429</v>
      </c>
      <c r="S7324" s="11" t="s">
        <v>11940</v>
      </c>
      <c r="T7324" s="6"/>
      <c r="U7324" s="15" t="str">
        <f>HYPERLINK("https://media.infra-m.ru/1981/1981584/cover/1981584.jpg", "Обложка")</f>
        <v>Обложка</v>
      </c>
      <c r="V7324" s="8"/>
      <c r="W7324" s="6"/>
      <c r="X7324" s="6"/>
      <c r="Y7324" s="6"/>
      <c r="Z7324" s="6"/>
      <c r="AA7324" s="6" t="s">
        <v>11623</v>
      </c>
      <c r="AB7324" s="8"/>
      <c r="AC7324" s="27">
        <v>9785369006344</v>
      </c>
    </row>
    <row r="7325" spans="1:29" s="4" customFormat="1" ht="51.9" customHeight="1" x14ac:dyDescent="0.2">
      <c r="A7325" s="5">
        <v>0</v>
      </c>
      <c r="B7325" s="6" t="s">
        <v>41430</v>
      </c>
      <c r="C7325" s="7">
        <v>2020.8</v>
      </c>
      <c r="D7325" s="8" t="s">
        <v>41431</v>
      </c>
      <c r="E7325" s="8" t="s">
        <v>41432</v>
      </c>
      <c r="F7325" s="8" t="s">
        <v>41433</v>
      </c>
      <c r="G7325" s="6" t="s">
        <v>60</v>
      </c>
      <c r="H7325" s="6" t="s">
        <v>34</v>
      </c>
      <c r="I7325" s="8" t="s">
        <v>504</v>
      </c>
      <c r="J7325" s="9">
        <v>1</v>
      </c>
      <c r="K7325" s="9">
        <v>336</v>
      </c>
      <c r="L7325" s="9">
        <v>2025</v>
      </c>
      <c r="M7325" s="8" t="s">
        <v>41434</v>
      </c>
      <c r="N7325" s="8" t="s">
        <v>37</v>
      </c>
      <c r="O7325" s="8" t="s">
        <v>233</v>
      </c>
      <c r="P7325" s="6" t="s">
        <v>306</v>
      </c>
      <c r="Q7325" s="8" t="s">
        <v>52</v>
      </c>
      <c r="R7325" s="10" t="s">
        <v>41435</v>
      </c>
      <c r="S7325" s="11" t="s">
        <v>30118</v>
      </c>
      <c r="T7325" s="6"/>
      <c r="U7325" s="15" t="str">
        <f>HYPERLINK("https://media.infra-m.ru/2192/2192257/cover/2192257.jpg", "Обложка")</f>
        <v>Обложка</v>
      </c>
      <c r="V7325" s="8" t="s">
        <v>27491</v>
      </c>
      <c r="W7325" s="6"/>
      <c r="X7325" s="6"/>
      <c r="Y7325" s="6"/>
      <c r="Z7325" s="6"/>
      <c r="AA7325" s="6" t="s">
        <v>55</v>
      </c>
      <c r="AB7325" s="8"/>
      <c r="AC7325" s="27">
        <v>9785160055138</v>
      </c>
    </row>
    <row r="7326" spans="1:29" s="4" customFormat="1" ht="51.9" customHeight="1" x14ac:dyDescent="0.2">
      <c r="A7326" s="5">
        <v>0</v>
      </c>
      <c r="B7326" s="6" t="s">
        <v>41436</v>
      </c>
      <c r="C7326" s="7">
        <v>1428</v>
      </c>
      <c r="D7326" s="8" t="s">
        <v>41437</v>
      </c>
      <c r="E7326" s="8" t="s">
        <v>41438</v>
      </c>
      <c r="F7326" s="8" t="s">
        <v>41439</v>
      </c>
      <c r="G7326" s="6" t="s">
        <v>60</v>
      </c>
      <c r="H7326" s="6" t="s">
        <v>34</v>
      </c>
      <c r="I7326" s="8" t="s">
        <v>504</v>
      </c>
      <c r="J7326" s="9">
        <v>1</v>
      </c>
      <c r="K7326" s="9">
        <v>272</v>
      </c>
      <c r="L7326" s="9">
        <v>2023</v>
      </c>
      <c r="M7326" s="8" t="s">
        <v>41440</v>
      </c>
      <c r="N7326" s="8" t="s">
        <v>37</v>
      </c>
      <c r="O7326" s="8" t="s">
        <v>280</v>
      </c>
      <c r="P7326" s="6" t="s">
        <v>51</v>
      </c>
      <c r="Q7326" s="8" t="s">
        <v>500</v>
      </c>
      <c r="R7326" s="10" t="s">
        <v>41441</v>
      </c>
      <c r="S7326" s="11" t="s">
        <v>41442</v>
      </c>
      <c r="T7326" s="6"/>
      <c r="U7326" s="15" t="str">
        <f>HYPERLINK("https://media.infra-m.ru/1842/1842522/cover/1842522.jpg", "Обложка")</f>
        <v>Обложка</v>
      </c>
      <c r="V7326" s="8" t="s">
        <v>12917</v>
      </c>
      <c r="W7326" s="6"/>
      <c r="X7326" s="6"/>
      <c r="Y7326" s="6"/>
      <c r="Z7326" s="6"/>
      <c r="AA7326" s="6" t="s">
        <v>157</v>
      </c>
      <c r="AB7326" s="8"/>
      <c r="AC7326" s="27">
        <v>9785160173139</v>
      </c>
    </row>
    <row r="7327" spans="1:29" s="4" customFormat="1" ht="44.1" customHeight="1" x14ac:dyDescent="0.2">
      <c r="A7327" s="5">
        <v>0</v>
      </c>
      <c r="B7327" s="6" t="s">
        <v>41443</v>
      </c>
      <c r="C7327" s="7">
        <v>1500</v>
      </c>
      <c r="D7327" s="8" t="s">
        <v>41444</v>
      </c>
      <c r="E7327" s="8" t="s">
        <v>41445</v>
      </c>
      <c r="F7327" s="8" t="s">
        <v>28610</v>
      </c>
      <c r="G7327" s="6" t="s">
        <v>33</v>
      </c>
      <c r="H7327" s="6" t="s">
        <v>34</v>
      </c>
      <c r="I7327" s="8" t="s">
        <v>35</v>
      </c>
      <c r="J7327" s="9">
        <v>1</v>
      </c>
      <c r="K7327" s="9">
        <v>270</v>
      </c>
      <c r="L7327" s="9">
        <v>2024</v>
      </c>
      <c r="M7327" s="8" t="s">
        <v>41446</v>
      </c>
      <c r="N7327" s="8" t="s">
        <v>37</v>
      </c>
      <c r="O7327" s="8" t="s">
        <v>499</v>
      </c>
      <c r="P7327" s="6" t="s">
        <v>39</v>
      </c>
      <c r="Q7327" s="8" t="s">
        <v>40</v>
      </c>
      <c r="R7327" s="10" t="s">
        <v>2053</v>
      </c>
      <c r="S7327" s="11"/>
      <c r="T7327" s="6"/>
      <c r="U7327" s="15" t="str">
        <f>HYPERLINK("https://media.infra-m.ru/2086/2086387/cover/2086387.jpg", "Обложка")</f>
        <v>Обложка</v>
      </c>
      <c r="V7327" s="8" t="s">
        <v>1768</v>
      </c>
      <c r="W7327" s="6"/>
      <c r="X7327" s="6"/>
      <c r="Y7327" s="6"/>
      <c r="Z7327" s="6"/>
      <c r="AA7327" s="6" t="s">
        <v>274</v>
      </c>
      <c r="AB7327" s="8"/>
      <c r="AC7327" s="27">
        <v>9785160097824</v>
      </c>
    </row>
    <row r="7328" spans="1:29" s="4" customFormat="1" ht="44.1" customHeight="1" x14ac:dyDescent="0.2">
      <c r="A7328" s="5">
        <v>0</v>
      </c>
      <c r="B7328" s="6" t="s">
        <v>41447</v>
      </c>
      <c r="C7328" s="7">
        <v>1936.8</v>
      </c>
      <c r="D7328" s="8" t="s">
        <v>41448</v>
      </c>
      <c r="E7328" s="8" t="s">
        <v>41449</v>
      </c>
      <c r="F7328" s="8" t="s">
        <v>41450</v>
      </c>
      <c r="G7328" s="6" t="s">
        <v>118</v>
      </c>
      <c r="H7328" s="6" t="s">
        <v>34</v>
      </c>
      <c r="I7328" s="8" t="s">
        <v>457</v>
      </c>
      <c r="J7328" s="9">
        <v>1</v>
      </c>
      <c r="K7328" s="9">
        <v>344</v>
      </c>
      <c r="L7328" s="9">
        <v>2024</v>
      </c>
      <c r="M7328" s="8" t="s">
        <v>41451</v>
      </c>
      <c r="N7328" s="8" t="s">
        <v>37</v>
      </c>
      <c r="O7328" s="8" t="s">
        <v>280</v>
      </c>
      <c r="P7328" s="6" t="s">
        <v>39</v>
      </c>
      <c r="Q7328" s="8" t="s">
        <v>40</v>
      </c>
      <c r="R7328" s="10" t="s">
        <v>459</v>
      </c>
      <c r="S7328" s="11"/>
      <c r="T7328" s="6"/>
      <c r="U7328" s="15" t="str">
        <f>HYPERLINK("https://media.infra-m.ru/2136/2136029/cover/2136029.jpg", "Обложка")</f>
        <v>Обложка</v>
      </c>
      <c r="V7328" s="8" t="s">
        <v>247</v>
      </c>
      <c r="W7328" s="6"/>
      <c r="X7328" s="6"/>
      <c r="Y7328" s="6"/>
      <c r="Z7328" s="6"/>
      <c r="AA7328" s="6" t="s">
        <v>430</v>
      </c>
      <c r="AB7328" s="8"/>
      <c r="AC7328" s="27">
        <v>9785160161051</v>
      </c>
    </row>
    <row r="7329" spans="1:29" s="4" customFormat="1" ht="51.9" customHeight="1" x14ac:dyDescent="0.2">
      <c r="A7329" s="5">
        <v>0</v>
      </c>
      <c r="B7329" s="6" t="s">
        <v>41452</v>
      </c>
      <c r="C7329" s="7">
        <v>1908</v>
      </c>
      <c r="D7329" s="8" t="s">
        <v>41453</v>
      </c>
      <c r="E7329" s="8" t="s">
        <v>41454</v>
      </c>
      <c r="F7329" s="8" t="s">
        <v>41455</v>
      </c>
      <c r="G7329" s="6" t="s">
        <v>118</v>
      </c>
      <c r="H7329" s="6" t="s">
        <v>1644</v>
      </c>
      <c r="I7329" s="8"/>
      <c r="J7329" s="9">
        <v>1</v>
      </c>
      <c r="K7329" s="9">
        <v>304</v>
      </c>
      <c r="L7329" s="9">
        <v>2025</v>
      </c>
      <c r="M7329" s="8" t="s">
        <v>41456</v>
      </c>
      <c r="N7329" s="8" t="s">
        <v>37</v>
      </c>
      <c r="O7329" s="8" t="s">
        <v>233</v>
      </c>
      <c r="P7329" s="6" t="s">
        <v>39</v>
      </c>
      <c r="Q7329" s="8" t="s">
        <v>40</v>
      </c>
      <c r="R7329" s="10" t="s">
        <v>41457</v>
      </c>
      <c r="S7329" s="11"/>
      <c r="T7329" s="6"/>
      <c r="U7329" s="15" t="str">
        <f>HYPERLINK("https://media.infra-m.ru/2204/2204274/cover/2204274.jpg", "Обложка")</f>
        <v>Обложка</v>
      </c>
      <c r="V7329" s="8" t="s">
        <v>227</v>
      </c>
      <c r="W7329" s="6"/>
      <c r="X7329" s="6"/>
      <c r="Y7329" s="6"/>
      <c r="Z7329" s="6"/>
      <c r="AA7329" s="6" t="s">
        <v>157</v>
      </c>
      <c r="AB7329" s="8"/>
      <c r="AC7329" s="27">
        <v>9785977605496</v>
      </c>
    </row>
    <row r="7330" spans="1:29" s="4" customFormat="1" ht="51.9" customHeight="1" x14ac:dyDescent="0.2">
      <c r="A7330" s="5">
        <v>0</v>
      </c>
      <c r="B7330" s="6" t="s">
        <v>41458</v>
      </c>
      <c r="C7330" s="7">
        <v>1824</v>
      </c>
      <c r="D7330" s="8" t="s">
        <v>41459</v>
      </c>
      <c r="E7330" s="8" t="s">
        <v>41460</v>
      </c>
      <c r="F7330" s="8" t="s">
        <v>41273</v>
      </c>
      <c r="G7330" s="6" t="s">
        <v>33</v>
      </c>
      <c r="H7330" s="6" t="s">
        <v>34</v>
      </c>
      <c r="I7330" s="8" t="s">
        <v>35</v>
      </c>
      <c r="J7330" s="9">
        <v>1</v>
      </c>
      <c r="K7330" s="9">
        <v>303</v>
      </c>
      <c r="L7330" s="9">
        <v>2025</v>
      </c>
      <c r="M7330" s="8" t="s">
        <v>41461</v>
      </c>
      <c r="N7330" s="8" t="s">
        <v>37</v>
      </c>
      <c r="O7330" s="8" t="s">
        <v>233</v>
      </c>
      <c r="P7330" s="6" t="s">
        <v>39</v>
      </c>
      <c r="Q7330" s="8" t="s">
        <v>40</v>
      </c>
      <c r="R7330" s="10" t="s">
        <v>41462</v>
      </c>
      <c r="S7330" s="11"/>
      <c r="T7330" s="6"/>
      <c r="U7330" s="15" t="str">
        <f>HYPERLINK("https://media.infra-m.ru/2137/2137593/cover/2137593.jpg", "Обложка")</f>
        <v>Обложка</v>
      </c>
      <c r="V7330" s="8" t="s">
        <v>6224</v>
      </c>
      <c r="W7330" s="6"/>
      <c r="X7330" s="6"/>
      <c r="Y7330" s="6"/>
      <c r="Z7330" s="6"/>
      <c r="AA7330" s="6" t="s">
        <v>68</v>
      </c>
      <c r="AB7330" s="8" t="s">
        <v>5450</v>
      </c>
      <c r="AC7330" s="27">
        <v>9785160197890</v>
      </c>
    </row>
    <row r="7331" spans="1:29" s="4" customFormat="1" ht="42" customHeight="1" x14ac:dyDescent="0.2">
      <c r="A7331" s="5">
        <v>0</v>
      </c>
      <c r="B7331" s="6" t="s">
        <v>41463</v>
      </c>
      <c r="C7331" s="7">
        <v>1512</v>
      </c>
      <c r="D7331" s="8" t="s">
        <v>41464</v>
      </c>
      <c r="E7331" s="8" t="s">
        <v>41465</v>
      </c>
      <c r="F7331" s="8" t="s">
        <v>4576</v>
      </c>
      <c r="G7331" s="6" t="s">
        <v>33</v>
      </c>
      <c r="H7331" s="6" t="s">
        <v>34</v>
      </c>
      <c r="I7331" s="8" t="s">
        <v>35</v>
      </c>
      <c r="J7331" s="9">
        <v>1</v>
      </c>
      <c r="K7331" s="9">
        <v>229</v>
      </c>
      <c r="L7331" s="9">
        <v>2026</v>
      </c>
      <c r="M7331" s="8" t="s">
        <v>41466</v>
      </c>
      <c r="N7331" s="8" t="s">
        <v>37</v>
      </c>
      <c r="O7331" s="8" t="s">
        <v>233</v>
      </c>
      <c r="P7331" s="6" t="s">
        <v>39</v>
      </c>
      <c r="Q7331" s="8" t="s">
        <v>40</v>
      </c>
      <c r="R7331" s="10" t="s">
        <v>41467</v>
      </c>
      <c r="S7331" s="11"/>
      <c r="T7331" s="6"/>
      <c r="U7331" s="15" t="str">
        <f>HYPERLINK("https://media.infra-m.ru/2251/2251499/cover/2251499.jpg", "Обложка")</f>
        <v>Обложка</v>
      </c>
      <c r="V7331" s="8" t="s">
        <v>4579</v>
      </c>
      <c r="W7331" s="6"/>
      <c r="X7331" s="6"/>
      <c r="Y7331" s="6"/>
      <c r="Z7331" s="6"/>
      <c r="AA7331" s="6" t="s">
        <v>430</v>
      </c>
      <c r="AB7331" s="8"/>
      <c r="AC7331" s="27">
        <v>9785160165943</v>
      </c>
    </row>
    <row r="7332" spans="1:29" s="4" customFormat="1" ht="44.1" customHeight="1" x14ac:dyDescent="0.2">
      <c r="A7332" s="5">
        <v>0</v>
      </c>
      <c r="B7332" s="6" t="s">
        <v>41468</v>
      </c>
      <c r="C7332" s="13">
        <v>984</v>
      </c>
      <c r="D7332" s="8" t="s">
        <v>41469</v>
      </c>
      <c r="E7332" s="8" t="s">
        <v>41470</v>
      </c>
      <c r="F7332" s="8" t="s">
        <v>8448</v>
      </c>
      <c r="G7332" s="6" t="s">
        <v>118</v>
      </c>
      <c r="H7332" s="6" t="s">
        <v>34</v>
      </c>
      <c r="I7332" s="8" t="s">
        <v>35</v>
      </c>
      <c r="J7332" s="9">
        <v>1</v>
      </c>
      <c r="K7332" s="9">
        <v>157</v>
      </c>
      <c r="L7332" s="9">
        <v>2025</v>
      </c>
      <c r="M7332" s="8" t="s">
        <v>41471</v>
      </c>
      <c r="N7332" s="8" t="s">
        <v>37</v>
      </c>
      <c r="O7332" s="8" t="s">
        <v>233</v>
      </c>
      <c r="P7332" s="6" t="s">
        <v>39</v>
      </c>
      <c r="Q7332" s="8" t="s">
        <v>40</v>
      </c>
      <c r="R7332" s="10" t="s">
        <v>5320</v>
      </c>
      <c r="S7332" s="11"/>
      <c r="T7332" s="6"/>
      <c r="U7332" s="15" t="str">
        <f>HYPERLINK("https://media.infra-m.ru/2207/2207147/cover/2207147.jpg", "Обложка")</f>
        <v>Обложка</v>
      </c>
      <c r="V7332" s="8" t="s">
        <v>8451</v>
      </c>
      <c r="W7332" s="6"/>
      <c r="X7332" s="6"/>
      <c r="Y7332" s="6"/>
      <c r="Z7332" s="6"/>
      <c r="AA7332" s="6" t="s">
        <v>430</v>
      </c>
      <c r="AB7332" s="8"/>
      <c r="AC7332" s="27">
        <v>9785160170756</v>
      </c>
    </row>
    <row r="7333" spans="1:29" s="4" customFormat="1" ht="42" customHeight="1" x14ac:dyDescent="0.2">
      <c r="A7333" s="5">
        <v>0</v>
      </c>
      <c r="B7333" s="6" t="s">
        <v>41472</v>
      </c>
      <c r="C7333" s="7">
        <v>2393.9</v>
      </c>
      <c r="D7333" s="8" t="s">
        <v>41473</v>
      </c>
      <c r="E7333" s="8" t="s">
        <v>41474</v>
      </c>
      <c r="F7333" s="8" t="s">
        <v>26327</v>
      </c>
      <c r="G7333" s="6" t="s">
        <v>60</v>
      </c>
      <c r="H7333" s="6" t="s">
        <v>1644</v>
      </c>
      <c r="I7333" s="8"/>
      <c r="J7333" s="9">
        <v>1</v>
      </c>
      <c r="K7333" s="9">
        <v>608</v>
      </c>
      <c r="L7333" s="9">
        <v>2020</v>
      </c>
      <c r="M7333" s="8" t="s">
        <v>41475</v>
      </c>
      <c r="N7333" s="8" t="s">
        <v>37</v>
      </c>
      <c r="O7333" s="8" t="s">
        <v>280</v>
      </c>
      <c r="P7333" s="6" t="s">
        <v>306</v>
      </c>
      <c r="Q7333" s="8" t="s">
        <v>52</v>
      </c>
      <c r="R7333" s="10"/>
      <c r="S7333" s="11"/>
      <c r="T7333" s="6" t="s">
        <v>97</v>
      </c>
      <c r="U7333" s="15" t="str">
        <f>HYPERLINK("https://media.infra-m.ru/1044/1044536/cover/1044536.jpg", "Обложка")</f>
        <v>Обложка</v>
      </c>
      <c r="V7333" s="8" t="s">
        <v>1647</v>
      </c>
      <c r="W7333" s="6"/>
      <c r="X7333" s="6"/>
      <c r="Y7333" s="6"/>
      <c r="Z7333" s="6"/>
      <c r="AA7333" s="6" t="s">
        <v>86</v>
      </c>
      <c r="AB7333" s="8"/>
      <c r="AC7333" s="27">
        <v>9785977604772</v>
      </c>
    </row>
    <row r="7334" spans="1:29" s="4" customFormat="1" ht="42" customHeight="1" x14ac:dyDescent="0.2">
      <c r="A7334" s="5">
        <v>0</v>
      </c>
      <c r="B7334" s="6" t="s">
        <v>41476</v>
      </c>
      <c r="C7334" s="7">
        <v>3196.8</v>
      </c>
      <c r="D7334" s="8" t="s">
        <v>41477</v>
      </c>
      <c r="E7334" s="8" t="s">
        <v>41478</v>
      </c>
      <c r="F7334" s="8" t="s">
        <v>41479</v>
      </c>
      <c r="G7334" s="6" t="s">
        <v>60</v>
      </c>
      <c r="H7334" s="6" t="s">
        <v>34</v>
      </c>
      <c r="I7334" s="8" t="s">
        <v>1753</v>
      </c>
      <c r="J7334" s="9">
        <v>1</v>
      </c>
      <c r="K7334" s="9">
        <v>459</v>
      </c>
      <c r="L7334" s="9">
        <v>2027</v>
      </c>
      <c r="M7334" s="8" t="s">
        <v>41480</v>
      </c>
      <c r="N7334" s="8" t="s">
        <v>37</v>
      </c>
      <c r="O7334" s="8" t="s">
        <v>280</v>
      </c>
      <c r="P7334" s="6" t="s">
        <v>51</v>
      </c>
      <c r="Q7334" s="8" t="s">
        <v>500</v>
      </c>
      <c r="R7334" s="10" t="s">
        <v>35880</v>
      </c>
      <c r="S7334" s="11"/>
      <c r="T7334" s="6"/>
      <c r="U7334" s="15" t="str">
        <f>HYPERLINK("https://media.infra-m.ru/2263/2263499/cover/2263499.jpg", "Обложка")</f>
        <v>Обложка</v>
      </c>
      <c r="V7334" s="8" t="s">
        <v>247</v>
      </c>
      <c r="W7334" s="6"/>
      <c r="X7334" s="6"/>
      <c r="Y7334" s="6"/>
      <c r="Z7334" s="6"/>
      <c r="AA7334" s="6" t="s">
        <v>68</v>
      </c>
      <c r="AB7334" s="8" t="s">
        <v>2208</v>
      </c>
      <c r="AC7334" s="27">
        <v>9785160188812</v>
      </c>
    </row>
    <row r="7335" spans="1:29" s="4" customFormat="1" ht="42" customHeight="1" x14ac:dyDescent="0.2">
      <c r="A7335" s="5">
        <v>0</v>
      </c>
      <c r="B7335" s="6" t="s">
        <v>41481</v>
      </c>
      <c r="C7335" s="7">
        <v>2028</v>
      </c>
      <c r="D7335" s="8" t="s">
        <v>41482</v>
      </c>
      <c r="E7335" s="8" t="s">
        <v>41483</v>
      </c>
      <c r="F7335" s="8" t="s">
        <v>41484</v>
      </c>
      <c r="G7335" s="6" t="s">
        <v>60</v>
      </c>
      <c r="H7335" s="6" t="s">
        <v>34</v>
      </c>
      <c r="I7335" s="8" t="s">
        <v>35</v>
      </c>
      <c r="J7335" s="9">
        <v>1</v>
      </c>
      <c r="K7335" s="9">
        <v>359</v>
      </c>
      <c r="L7335" s="9">
        <v>2024</v>
      </c>
      <c r="M7335" s="8" t="s">
        <v>41485</v>
      </c>
      <c r="N7335" s="8" t="s">
        <v>37</v>
      </c>
      <c r="O7335" s="8" t="s">
        <v>280</v>
      </c>
      <c r="P7335" s="6" t="s">
        <v>39</v>
      </c>
      <c r="Q7335" s="8" t="s">
        <v>40</v>
      </c>
      <c r="R7335" s="10" t="s">
        <v>41486</v>
      </c>
      <c r="S7335" s="11"/>
      <c r="T7335" s="6"/>
      <c r="U7335" s="15" t="str">
        <f>HYPERLINK("https://media.infra-m.ru/2130/2130671/cover/2130671.jpg", "Обложка")</f>
        <v>Обложка</v>
      </c>
      <c r="V7335" s="8" t="s">
        <v>8451</v>
      </c>
      <c r="W7335" s="6"/>
      <c r="X7335" s="6"/>
      <c r="Y7335" s="6"/>
      <c r="Z7335" s="6"/>
      <c r="AA7335" s="6" t="s">
        <v>76</v>
      </c>
      <c r="AB7335" s="8"/>
      <c r="AC7335" s="27">
        <v>9785160196114</v>
      </c>
    </row>
    <row r="7336" spans="1:29" s="4" customFormat="1" ht="51.9" customHeight="1" x14ac:dyDescent="0.2">
      <c r="A7336" s="5">
        <v>0</v>
      </c>
      <c r="B7336" s="6" t="s">
        <v>41487</v>
      </c>
      <c r="C7336" s="7">
        <v>2568</v>
      </c>
      <c r="D7336" s="8" t="s">
        <v>41488</v>
      </c>
      <c r="E7336" s="8" t="s">
        <v>41489</v>
      </c>
      <c r="F7336" s="8" t="s">
        <v>41490</v>
      </c>
      <c r="G7336" s="6" t="s">
        <v>60</v>
      </c>
      <c r="H7336" s="6" t="s">
        <v>34</v>
      </c>
      <c r="I7336" s="8" t="s">
        <v>253</v>
      </c>
      <c r="J7336" s="9">
        <v>1</v>
      </c>
      <c r="K7336" s="9">
        <v>465</v>
      </c>
      <c r="L7336" s="9">
        <v>2024</v>
      </c>
      <c r="M7336" s="8" t="s">
        <v>41491</v>
      </c>
      <c r="N7336" s="8" t="s">
        <v>37</v>
      </c>
      <c r="O7336" s="8" t="s">
        <v>280</v>
      </c>
      <c r="P7336" s="6" t="s">
        <v>306</v>
      </c>
      <c r="Q7336" s="8" t="s">
        <v>52</v>
      </c>
      <c r="R7336" s="10" t="s">
        <v>3013</v>
      </c>
      <c r="S7336" s="11" t="s">
        <v>41492</v>
      </c>
      <c r="T7336" s="6"/>
      <c r="U7336" s="15" t="str">
        <f>HYPERLINK("https://media.infra-m.ru/1995/1995308/cover/1995308.jpg", "Обложка")</f>
        <v>Обложка</v>
      </c>
      <c r="V7336" s="8" t="s">
        <v>761</v>
      </c>
      <c r="W7336" s="6"/>
      <c r="X7336" s="6"/>
      <c r="Y7336" s="6"/>
      <c r="Z7336" s="6"/>
      <c r="AA7336" s="6" t="s">
        <v>148</v>
      </c>
      <c r="AB7336" s="8"/>
      <c r="AC7336" s="27">
        <v>9785160192130</v>
      </c>
    </row>
    <row r="7337" spans="1:29" s="4" customFormat="1" ht="51.9" customHeight="1" x14ac:dyDescent="0.2">
      <c r="A7337" s="5">
        <v>0</v>
      </c>
      <c r="B7337" s="6" t="s">
        <v>41493</v>
      </c>
      <c r="C7337" s="7">
        <v>1140</v>
      </c>
      <c r="D7337" s="8" t="s">
        <v>41494</v>
      </c>
      <c r="E7337" s="8" t="s">
        <v>41495</v>
      </c>
      <c r="F7337" s="8" t="s">
        <v>41496</v>
      </c>
      <c r="G7337" s="6" t="s">
        <v>33</v>
      </c>
      <c r="H7337" s="6" t="s">
        <v>1644</v>
      </c>
      <c r="I7337" s="8"/>
      <c r="J7337" s="9">
        <v>1</v>
      </c>
      <c r="K7337" s="9">
        <v>176</v>
      </c>
      <c r="L7337" s="9">
        <v>2025</v>
      </c>
      <c r="M7337" s="8" t="s">
        <v>41497</v>
      </c>
      <c r="N7337" s="8" t="s">
        <v>37</v>
      </c>
      <c r="O7337" s="8" t="s">
        <v>280</v>
      </c>
      <c r="P7337" s="6" t="s">
        <v>39</v>
      </c>
      <c r="Q7337" s="8" t="s">
        <v>749</v>
      </c>
      <c r="R7337" s="10" t="s">
        <v>41498</v>
      </c>
      <c r="S7337" s="11"/>
      <c r="T7337" s="6" t="s">
        <v>97</v>
      </c>
      <c r="U7337" s="15" t="str">
        <f>HYPERLINK("https://media.infra-m.ru/2208/2208461/cover/2208461.jpg", "Обложка")</f>
        <v>Обложка</v>
      </c>
      <c r="V7337" s="8" t="s">
        <v>396</v>
      </c>
      <c r="W7337" s="6"/>
      <c r="X7337" s="6"/>
      <c r="Y7337" s="6"/>
      <c r="Z7337" s="6"/>
      <c r="AA7337" s="6" t="s">
        <v>274</v>
      </c>
      <c r="AB7337" s="8"/>
      <c r="AC7337" s="27">
        <v>9785977603461</v>
      </c>
    </row>
    <row r="7338" spans="1:29" s="4" customFormat="1" ht="51.9" customHeight="1" x14ac:dyDescent="0.2">
      <c r="A7338" s="5">
        <v>0</v>
      </c>
      <c r="B7338" s="6" t="s">
        <v>41499</v>
      </c>
      <c r="C7338" s="7">
        <v>1128</v>
      </c>
      <c r="D7338" s="8" t="s">
        <v>41500</v>
      </c>
      <c r="E7338" s="8" t="s">
        <v>41501</v>
      </c>
      <c r="F7338" s="8" t="s">
        <v>41502</v>
      </c>
      <c r="G7338" s="6" t="s">
        <v>33</v>
      </c>
      <c r="H7338" s="6" t="s">
        <v>313</v>
      </c>
      <c r="I7338" s="8" t="s">
        <v>35</v>
      </c>
      <c r="J7338" s="9">
        <v>1</v>
      </c>
      <c r="K7338" s="9">
        <v>274</v>
      </c>
      <c r="L7338" s="9">
        <v>2019</v>
      </c>
      <c r="M7338" s="8" t="s">
        <v>41503</v>
      </c>
      <c r="N7338" s="8" t="s">
        <v>37</v>
      </c>
      <c r="O7338" s="8" t="s">
        <v>280</v>
      </c>
      <c r="P7338" s="6" t="s">
        <v>39</v>
      </c>
      <c r="Q7338" s="8" t="s">
        <v>40</v>
      </c>
      <c r="R7338" s="10" t="s">
        <v>41504</v>
      </c>
      <c r="S7338" s="11"/>
      <c r="T7338" s="6" t="s">
        <v>97</v>
      </c>
      <c r="U7338" s="15" t="str">
        <f>HYPERLINK("https://media.infra-m.ru/1010/1010120/cover/1010120.jpg", "Обложка")</f>
        <v>Обложка</v>
      </c>
      <c r="V7338" s="8" t="s">
        <v>396</v>
      </c>
      <c r="W7338" s="6"/>
      <c r="X7338" s="6"/>
      <c r="Y7338" s="6"/>
      <c r="Z7338" s="6"/>
      <c r="AA7338" s="6" t="s">
        <v>99</v>
      </c>
      <c r="AB7338" s="8"/>
      <c r="AC7338" s="27">
        <v>9785369015674</v>
      </c>
    </row>
    <row r="7339" spans="1:29" s="4" customFormat="1" ht="42" customHeight="1" x14ac:dyDescent="0.2">
      <c r="A7339" s="5">
        <v>0</v>
      </c>
      <c r="B7339" s="6" t="s">
        <v>41505</v>
      </c>
      <c r="C7339" s="13">
        <v>960</v>
      </c>
      <c r="D7339" s="8" t="s">
        <v>41506</v>
      </c>
      <c r="E7339" s="8" t="s">
        <v>41507</v>
      </c>
      <c r="F7339" s="8" t="s">
        <v>41508</v>
      </c>
      <c r="G7339" s="6" t="s">
        <v>33</v>
      </c>
      <c r="H7339" s="6" t="s">
        <v>34</v>
      </c>
      <c r="I7339" s="8" t="s">
        <v>35</v>
      </c>
      <c r="J7339" s="9">
        <v>1</v>
      </c>
      <c r="K7339" s="9">
        <v>154</v>
      </c>
      <c r="L7339" s="9">
        <v>2025</v>
      </c>
      <c r="M7339" s="8" t="s">
        <v>41509</v>
      </c>
      <c r="N7339" s="8" t="s">
        <v>37</v>
      </c>
      <c r="O7339" s="8" t="s">
        <v>233</v>
      </c>
      <c r="P7339" s="6" t="s">
        <v>39</v>
      </c>
      <c r="Q7339" s="8" t="s">
        <v>40</v>
      </c>
      <c r="R7339" s="10" t="s">
        <v>8450</v>
      </c>
      <c r="S7339" s="11"/>
      <c r="T7339" s="6"/>
      <c r="U7339" s="15" t="str">
        <f>HYPERLINK("https://media.infra-m.ru/2163/2163999/cover/2163999.jpg", "Обложка")</f>
        <v>Обложка</v>
      </c>
      <c r="V7339" s="8" t="s">
        <v>3693</v>
      </c>
      <c r="W7339" s="6"/>
      <c r="X7339" s="6"/>
      <c r="Y7339" s="6"/>
      <c r="Z7339" s="6"/>
      <c r="AA7339" s="6" t="s">
        <v>274</v>
      </c>
      <c r="AB7339" s="8"/>
      <c r="AC7339" s="27">
        <v>9785160168043</v>
      </c>
    </row>
    <row r="7340" spans="1:29" s="4" customFormat="1" ht="33" customHeight="1" x14ac:dyDescent="0.2">
      <c r="A7340" s="5">
        <v>0</v>
      </c>
      <c r="B7340" s="6" t="s">
        <v>41510</v>
      </c>
      <c r="C7340" s="13">
        <v>629.9</v>
      </c>
      <c r="D7340" s="8" t="s">
        <v>41511</v>
      </c>
      <c r="E7340" s="8" t="s">
        <v>41507</v>
      </c>
      <c r="F7340" s="8" t="s">
        <v>41508</v>
      </c>
      <c r="G7340" s="6" t="s">
        <v>60</v>
      </c>
      <c r="H7340" s="6" t="s">
        <v>34</v>
      </c>
      <c r="I7340" s="8" t="s">
        <v>35</v>
      </c>
      <c r="J7340" s="9">
        <v>1</v>
      </c>
      <c r="K7340" s="9">
        <v>154</v>
      </c>
      <c r="L7340" s="9">
        <v>2019</v>
      </c>
      <c r="M7340" s="8" t="s">
        <v>41512</v>
      </c>
      <c r="N7340" s="8" t="s">
        <v>37</v>
      </c>
      <c r="O7340" s="8" t="s">
        <v>233</v>
      </c>
      <c r="P7340" s="6" t="s">
        <v>39</v>
      </c>
      <c r="Q7340" s="8" t="s">
        <v>40</v>
      </c>
      <c r="R7340" s="10" t="s">
        <v>8450</v>
      </c>
      <c r="S7340" s="11"/>
      <c r="T7340" s="6"/>
      <c r="U7340" s="12"/>
      <c r="V7340" s="8" t="s">
        <v>3693</v>
      </c>
      <c r="W7340" s="6"/>
      <c r="X7340" s="6"/>
      <c r="Y7340" s="6"/>
      <c r="Z7340" s="6"/>
      <c r="AA7340" s="6" t="s">
        <v>274</v>
      </c>
      <c r="AB7340" s="8"/>
      <c r="AC7340" s="27">
        <v>9785160096711</v>
      </c>
    </row>
    <row r="7341" spans="1:29" s="4" customFormat="1" ht="51.9" customHeight="1" x14ac:dyDescent="0.2">
      <c r="A7341" s="5">
        <v>0</v>
      </c>
      <c r="B7341" s="6" t="s">
        <v>41513</v>
      </c>
      <c r="C7341" s="7">
        <v>1728</v>
      </c>
      <c r="D7341" s="8" t="s">
        <v>41514</v>
      </c>
      <c r="E7341" s="8" t="s">
        <v>41515</v>
      </c>
      <c r="F7341" s="8" t="s">
        <v>41516</v>
      </c>
      <c r="G7341" s="6" t="s">
        <v>118</v>
      </c>
      <c r="H7341" s="6" t="s">
        <v>34</v>
      </c>
      <c r="I7341" s="8" t="s">
        <v>271</v>
      </c>
      <c r="J7341" s="9">
        <v>1</v>
      </c>
      <c r="K7341" s="9">
        <v>320</v>
      </c>
      <c r="L7341" s="9">
        <v>2023</v>
      </c>
      <c r="M7341" s="8" t="s">
        <v>41517</v>
      </c>
      <c r="N7341" s="8" t="s">
        <v>37</v>
      </c>
      <c r="O7341" s="8" t="s">
        <v>233</v>
      </c>
      <c r="P7341" s="6" t="s">
        <v>51</v>
      </c>
      <c r="Q7341" s="8" t="s">
        <v>52</v>
      </c>
      <c r="R7341" s="10" t="s">
        <v>3516</v>
      </c>
      <c r="S7341" s="11" t="s">
        <v>5142</v>
      </c>
      <c r="T7341" s="6" t="s">
        <v>97</v>
      </c>
      <c r="U7341" s="15" t="str">
        <f>HYPERLINK("https://media.infra-m.ru/1891/1891620/cover/1891620.jpg", "Обложка")</f>
        <v>Обложка</v>
      </c>
      <c r="V7341" s="8" t="s">
        <v>4892</v>
      </c>
      <c r="W7341" s="6"/>
      <c r="X7341" s="6"/>
      <c r="Y7341" s="6"/>
      <c r="Z7341" s="6"/>
      <c r="AA7341" s="6" t="s">
        <v>859</v>
      </c>
      <c r="AB7341" s="8"/>
      <c r="AC7341" s="27">
        <v>9785160091204</v>
      </c>
    </row>
    <row r="7342" spans="1:29" s="4" customFormat="1" ht="51.9" customHeight="1" x14ac:dyDescent="0.2">
      <c r="A7342" s="5">
        <v>0</v>
      </c>
      <c r="B7342" s="6" t="s">
        <v>41518</v>
      </c>
      <c r="C7342" s="13">
        <v>701.9</v>
      </c>
      <c r="D7342" s="8" t="s">
        <v>41519</v>
      </c>
      <c r="E7342" s="8" t="s">
        <v>41520</v>
      </c>
      <c r="F7342" s="8" t="s">
        <v>41521</v>
      </c>
      <c r="G7342" s="6" t="s">
        <v>60</v>
      </c>
      <c r="H7342" s="6" t="s">
        <v>34</v>
      </c>
      <c r="I7342" s="8" t="s">
        <v>504</v>
      </c>
      <c r="J7342" s="9">
        <v>1</v>
      </c>
      <c r="K7342" s="9">
        <v>167</v>
      </c>
      <c r="L7342" s="9">
        <v>2020</v>
      </c>
      <c r="M7342" s="8" t="s">
        <v>41522</v>
      </c>
      <c r="N7342" s="8" t="s">
        <v>37</v>
      </c>
      <c r="O7342" s="8" t="s">
        <v>280</v>
      </c>
      <c r="P7342" s="6" t="s">
        <v>51</v>
      </c>
      <c r="Q7342" s="8" t="s">
        <v>500</v>
      </c>
      <c r="R7342" s="10" t="s">
        <v>41523</v>
      </c>
      <c r="S7342" s="11" t="s">
        <v>41524</v>
      </c>
      <c r="T7342" s="6"/>
      <c r="U7342" s="15" t="str">
        <f>HYPERLINK("https://media.infra-m.ru/1150/1150845/cover/1150845.jpg", "Обложка")</f>
        <v>Обложка</v>
      </c>
      <c r="V7342" s="8" t="s">
        <v>3196</v>
      </c>
      <c r="W7342" s="6"/>
      <c r="X7342" s="6"/>
      <c r="Y7342" s="6"/>
      <c r="Z7342" s="6"/>
      <c r="AA7342" s="6" t="s">
        <v>86</v>
      </c>
      <c r="AB7342" s="8"/>
      <c r="AC7342" s="27">
        <v>9785160130897</v>
      </c>
    </row>
    <row r="7343" spans="1:29" s="4" customFormat="1" ht="51.9" customHeight="1" x14ac:dyDescent="0.2">
      <c r="A7343" s="5">
        <v>0</v>
      </c>
      <c r="B7343" s="6" t="s">
        <v>41525</v>
      </c>
      <c r="C7343" s="7">
        <v>1288.8</v>
      </c>
      <c r="D7343" s="8" t="s">
        <v>41526</v>
      </c>
      <c r="E7343" s="8" t="s">
        <v>41527</v>
      </c>
      <c r="F7343" s="8" t="s">
        <v>41528</v>
      </c>
      <c r="G7343" s="6" t="s">
        <v>60</v>
      </c>
      <c r="H7343" s="6" t="s">
        <v>34</v>
      </c>
      <c r="I7343" s="8" t="s">
        <v>504</v>
      </c>
      <c r="J7343" s="9">
        <v>1</v>
      </c>
      <c r="K7343" s="9">
        <v>211</v>
      </c>
      <c r="L7343" s="9">
        <v>2025</v>
      </c>
      <c r="M7343" s="8" t="s">
        <v>41529</v>
      </c>
      <c r="N7343" s="8" t="s">
        <v>37</v>
      </c>
      <c r="O7343" s="8" t="s">
        <v>280</v>
      </c>
      <c r="P7343" s="6" t="s">
        <v>51</v>
      </c>
      <c r="Q7343" s="8" t="s">
        <v>500</v>
      </c>
      <c r="R7343" s="10" t="s">
        <v>41523</v>
      </c>
      <c r="S7343" s="11" t="s">
        <v>41524</v>
      </c>
      <c r="T7343" s="6"/>
      <c r="U7343" s="15" t="str">
        <f>HYPERLINK("https://media.infra-m.ru/2187/2187618/cover/2187618.jpg", "Обложка")</f>
        <v>Обложка</v>
      </c>
      <c r="V7343" s="8" t="s">
        <v>3196</v>
      </c>
      <c r="W7343" s="6"/>
      <c r="X7343" s="6"/>
      <c r="Y7343" s="6"/>
      <c r="Z7343" s="6"/>
      <c r="AA7343" s="6" t="s">
        <v>1303</v>
      </c>
      <c r="AB7343" s="8"/>
      <c r="AC7343" s="27">
        <v>9785160178356</v>
      </c>
    </row>
    <row r="7344" spans="1:29" s="4" customFormat="1" ht="42" customHeight="1" x14ac:dyDescent="0.2">
      <c r="A7344" s="5">
        <v>0</v>
      </c>
      <c r="B7344" s="6" t="s">
        <v>41530</v>
      </c>
      <c r="C7344" s="7">
        <v>2760</v>
      </c>
      <c r="D7344" s="8" t="s">
        <v>41531</v>
      </c>
      <c r="E7344" s="8" t="s">
        <v>41532</v>
      </c>
      <c r="F7344" s="8" t="s">
        <v>41533</v>
      </c>
      <c r="G7344" s="6" t="s">
        <v>33</v>
      </c>
      <c r="H7344" s="6" t="s">
        <v>1644</v>
      </c>
      <c r="I7344" s="8"/>
      <c r="J7344" s="9">
        <v>1</v>
      </c>
      <c r="K7344" s="9">
        <v>512</v>
      </c>
      <c r="L7344" s="9">
        <v>2023</v>
      </c>
      <c r="M7344" s="8" t="s">
        <v>41534</v>
      </c>
      <c r="N7344" s="8" t="s">
        <v>37</v>
      </c>
      <c r="O7344" s="8" t="s">
        <v>83</v>
      </c>
      <c r="P7344" s="6" t="s">
        <v>39</v>
      </c>
      <c r="Q7344" s="8" t="s">
        <v>40</v>
      </c>
      <c r="R7344" s="10" t="s">
        <v>15372</v>
      </c>
      <c r="S7344" s="11"/>
      <c r="T7344" s="6"/>
      <c r="U7344" s="15" t="str">
        <f>HYPERLINK("https://media.infra-m.ru/2020/2020557/cover/2020557.jpg", "Обложка")</f>
        <v>Обложка</v>
      </c>
      <c r="V7344" s="8" t="s">
        <v>1069</v>
      </c>
      <c r="W7344" s="6"/>
      <c r="X7344" s="6"/>
      <c r="Y7344" s="6"/>
      <c r="Z7344" s="6"/>
      <c r="AA7344" s="6" t="s">
        <v>43</v>
      </c>
      <c r="AB7344" s="8"/>
      <c r="AC7344" s="27">
        <v>9785977602242</v>
      </c>
    </row>
    <row r="7345" spans="1:29" s="4" customFormat="1" ht="51.9" customHeight="1" x14ac:dyDescent="0.2">
      <c r="A7345" s="5">
        <v>0</v>
      </c>
      <c r="B7345" s="6" t="s">
        <v>41535</v>
      </c>
      <c r="C7345" s="13">
        <v>299.89999999999998</v>
      </c>
      <c r="D7345" s="8" t="s">
        <v>41536</v>
      </c>
      <c r="E7345" s="8" t="s">
        <v>41537</v>
      </c>
      <c r="F7345" s="8" t="s">
        <v>6770</v>
      </c>
      <c r="G7345" s="6" t="s">
        <v>33</v>
      </c>
      <c r="H7345" s="6" t="s">
        <v>34</v>
      </c>
      <c r="I7345" s="8"/>
      <c r="J7345" s="9">
        <v>1</v>
      </c>
      <c r="K7345" s="9">
        <v>84</v>
      </c>
      <c r="L7345" s="9">
        <v>2020</v>
      </c>
      <c r="M7345" s="8" t="s">
        <v>41538</v>
      </c>
      <c r="N7345" s="8" t="s">
        <v>37</v>
      </c>
      <c r="O7345" s="8" t="s">
        <v>290</v>
      </c>
      <c r="P7345" s="6" t="s">
        <v>6774</v>
      </c>
      <c r="Q7345" s="8" t="s">
        <v>40</v>
      </c>
      <c r="R7345" s="10" t="s">
        <v>41539</v>
      </c>
      <c r="S7345" s="11"/>
      <c r="T7345" s="6"/>
      <c r="U7345" s="15" t="str">
        <f>HYPERLINK("https://media.infra-m.ru/1077/1077296/cover/1077296.jpg", "Обложка")</f>
        <v>Обложка</v>
      </c>
      <c r="V7345" s="8"/>
      <c r="W7345" s="6"/>
      <c r="X7345" s="6"/>
      <c r="Y7345" s="6"/>
      <c r="Z7345" s="6"/>
      <c r="AA7345" s="6" t="s">
        <v>218</v>
      </c>
      <c r="AB7345" s="8"/>
      <c r="AC7345" s="27">
        <v>9785160127842</v>
      </c>
    </row>
    <row r="7346" spans="1:29" s="4" customFormat="1" ht="51.9" customHeight="1" x14ac:dyDescent="0.2">
      <c r="A7346" s="5">
        <v>0</v>
      </c>
      <c r="B7346" s="6" t="s">
        <v>41540</v>
      </c>
      <c r="C7346" s="13">
        <v>180</v>
      </c>
      <c r="D7346" s="8" t="s">
        <v>41541</v>
      </c>
      <c r="E7346" s="8" t="s">
        <v>41542</v>
      </c>
      <c r="F7346" s="8" t="s">
        <v>6770</v>
      </c>
      <c r="G7346" s="6" t="s">
        <v>6771</v>
      </c>
      <c r="H7346" s="6" t="s">
        <v>34</v>
      </c>
      <c r="I7346" s="8"/>
      <c r="J7346" s="9">
        <v>1</v>
      </c>
      <c r="K7346" s="9">
        <v>38</v>
      </c>
      <c r="L7346" s="9">
        <v>2019</v>
      </c>
      <c r="M7346" s="8" t="s">
        <v>41538</v>
      </c>
      <c r="N7346" s="8" t="s">
        <v>37</v>
      </c>
      <c r="O7346" s="8" t="s">
        <v>290</v>
      </c>
      <c r="P7346" s="6" t="s">
        <v>6774</v>
      </c>
      <c r="Q7346" s="8" t="s">
        <v>40</v>
      </c>
      <c r="R7346" s="10" t="s">
        <v>41539</v>
      </c>
      <c r="S7346" s="11"/>
      <c r="T7346" s="6"/>
      <c r="U7346" s="15" t="str">
        <f>HYPERLINK("https://media.infra-m.ru/0990/0990042/cover/990042.jpg", "Обложка")</f>
        <v>Обложка</v>
      </c>
      <c r="V7346" s="8"/>
      <c r="W7346" s="6"/>
      <c r="X7346" s="6"/>
      <c r="Y7346" s="6"/>
      <c r="Z7346" s="6"/>
      <c r="AA7346" s="6" t="s">
        <v>99</v>
      </c>
      <c r="AB7346" s="8"/>
      <c r="AC7346" s="27">
        <v>9785160127842</v>
      </c>
    </row>
    <row r="7347" spans="1:29" s="4" customFormat="1" ht="51.9" customHeight="1" x14ac:dyDescent="0.2">
      <c r="A7347" s="5">
        <v>0</v>
      </c>
      <c r="B7347" s="6" t="s">
        <v>41543</v>
      </c>
      <c r="C7347" s="13">
        <v>564</v>
      </c>
      <c r="D7347" s="8" t="s">
        <v>41544</v>
      </c>
      <c r="E7347" s="8" t="s">
        <v>41545</v>
      </c>
      <c r="F7347" s="8" t="s">
        <v>6770</v>
      </c>
      <c r="G7347" s="6" t="s">
        <v>33</v>
      </c>
      <c r="H7347" s="6" t="s">
        <v>34</v>
      </c>
      <c r="I7347" s="8"/>
      <c r="J7347" s="9">
        <v>1</v>
      </c>
      <c r="K7347" s="9">
        <v>101</v>
      </c>
      <c r="L7347" s="9">
        <v>2024</v>
      </c>
      <c r="M7347" s="8" t="s">
        <v>41546</v>
      </c>
      <c r="N7347" s="8" t="s">
        <v>37</v>
      </c>
      <c r="O7347" s="8" t="s">
        <v>290</v>
      </c>
      <c r="P7347" s="6" t="s">
        <v>6774</v>
      </c>
      <c r="Q7347" s="8" t="s">
        <v>40</v>
      </c>
      <c r="R7347" s="10" t="s">
        <v>41539</v>
      </c>
      <c r="S7347" s="11"/>
      <c r="T7347" s="6" t="s">
        <v>97</v>
      </c>
      <c r="U7347" s="15" t="str">
        <f>HYPERLINK("https://media.infra-m.ru/2119/2119920/cover/2119920.jpg", "Обложка")</f>
        <v>Обложка</v>
      </c>
      <c r="V7347" s="8"/>
      <c r="W7347" s="6"/>
      <c r="X7347" s="6"/>
      <c r="Y7347" s="6"/>
      <c r="Z7347" s="6"/>
      <c r="AA7347" s="6" t="s">
        <v>2230</v>
      </c>
      <c r="AB7347" s="8"/>
      <c r="AC7347" s="27">
        <v>9785160164953</v>
      </c>
    </row>
    <row r="7348" spans="1:29" s="4" customFormat="1" ht="51.9" customHeight="1" x14ac:dyDescent="0.2">
      <c r="A7348" s="5">
        <v>0</v>
      </c>
      <c r="B7348" s="6" t="s">
        <v>41547</v>
      </c>
      <c r="C7348" s="13">
        <v>708</v>
      </c>
      <c r="D7348" s="8" t="s">
        <v>41548</v>
      </c>
      <c r="E7348" s="8" t="s">
        <v>41549</v>
      </c>
      <c r="F7348" s="8" t="s">
        <v>6770</v>
      </c>
      <c r="G7348" s="6" t="s">
        <v>33</v>
      </c>
      <c r="H7348" s="6" t="s">
        <v>34</v>
      </c>
      <c r="I7348" s="8" t="s">
        <v>6772</v>
      </c>
      <c r="J7348" s="9">
        <v>1</v>
      </c>
      <c r="K7348" s="9">
        <v>101</v>
      </c>
      <c r="L7348" s="9">
        <v>2027</v>
      </c>
      <c r="M7348" s="8" t="s">
        <v>41550</v>
      </c>
      <c r="N7348" s="8" t="s">
        <v>37</v>
      </c>
      <c r="O7348" s="8" t="s">
        <v>290</v>
      </c>
      <c r="P7348" s="6" t="s">
        <v>6774</v>
      </c>
      <c r="Q7348" s="8" t="s">
        <v>40</v>
      </c>
      <c r="R7348" s="10" t="s">
        <v>41539</v>
      </c>
      <c r="S7348" s="11"/>
      <c r="T7348" s="6" t="s">
        <v>97</v>
      </c>
      <c r="U7348" s="15" t="str">
        <f>HYPERLINK("https://media.infra-m.ru/2268/2268473/cover/2268473.jpg", "Обложка")</f>
        <v>Обложка</v>
      </c>
      <c r="V7348" s="8"/>
      <c r="W7348" s="6"/>
      <c r="X7348" s="6"/>
      <c r="Y7348" s="6"/>
      <c r="Z7348" s="6"/>
      <c r="AA7348" s="6" t="s">
        <v>8987</v>
      </c>
      <c r="AB7348" s="8"/>
      <c r="AC7348" s="27">
        <v>9785160197524</v>
      </c>
    </row>
    <row r="7349" spans="1:29" s="4" customFormat="1" ht="51.9" customHeight="1" x14ac:dyDescent="0.2">
      <c r="A7349" s="5">
        <v>0</v>
      </c>
      <c r="B7349" s="6" t="s">
        <v>41551</v>
      </c>
      <c r="C7349" s="7">
        <v>1584</v>
      </c>
      <c r="D7349" s="8" t="s">
        <v>41552</v>
      </c>
      <c r="E7349" s="8" t="s">
        <v>41553</v>
      </c>
      <c r="F7349" s="8" t="s">
        <v>41554</v>
      </c>
      <c r="G7349" s="6" t="s">
        <v>33</v>
      </c>
      <c r="H7349" s="6" t="s">
        <v>313</v>
      </c>
      <c r="I7349" s="8" t="s">
        <v>35</v>
      </c>
      <c r="J7349" s="9">
        <v>1</v>
      </c>
      <c r="K7349" s="9">
        <v>346</v>
      </c>
      <c r="L7349" s="9">
        <v>2022</v>
      </c>
      <c r="M7349" s="8" t="s">
        <v>41555</v>
      </c>
      <c r="N7349" s="8" t="s">
        <v>37</v>
      </c>
      <c r="O7349" s="8" t="s">
        <v>233</v>
      </c>
      <c r="P7349" s="6" t="s">
        <v>39</v>
      </c>
      <c r="Q7349" s="8" t="s">
        <v>40</v>
      </c>
      <c r="R7349" s="10" t="s">
        <v>41556</v>
      </c>
      <c r="S7349" s="11"/>
      <c r="T7349" s="6" t="s">
        <v>97</v>
      </c>
      <c r="U7349" s="15" t="str">
        <f>HYPERLINK("https://media.infra-m.ru/1839/1839914/cover/1839914.jpg", "Обложка")</f>
        <v>Обложка</v>
      </c>
      <c r="V7349" s="8" t="s">
        <v>41557</v>
      </c>
      <c r="W7349" s="6"/>
      <c r="X7349" s="6"/>
      <c r="Y7349" s="6"/>
      <c r="Z7349" s="6"/>
      <c r="AA7349" s="6" t="s">
        <v>99</v>
      </c>
      <c r="AB7349" s="8"/>
      <c r="AC7349" s="27">
        <v>9785369016701</v>
      </c>
    </row>
    <row r="7350" spans="1:29" s="4" customFormat="1" ht="44.1" customHeight="1" x14ac:dyDescent="0.2">
      <c r="A7350" s="5">
        <v>0</v>
      </c>
      <c r="B7350" s="6" t="s">
        <v>41558</v>
      </c>
      <c r="C7350" s="7">
        <v>1224</v>
      </c>
      <c r="D7350" s="8" t="s">
        <v>41559</v>
      </c>
      <c r="E7350" s="8" t="s">
        <v>41560</v>
      </c>
      <c r="F7350" s="8" t="s">
        <v>41561</v>
      </c>
      <c r="G7350" s="6" t="s">
        <v>33</v>
      </c>
      <c r="H7350" s="6" t="s">
        <v>313</v>
      </c>
      <c r="I7350" s="8" t="s">
        <v>35</v>
      </c>
      <c r="J7350" s="9">
        <v>1</v>
      </c>
      <c r="K7350" s="9">
        <v>228</v>
      </c>
      <c r="L7350" s="9">
        <v>2022</v>
      </c>
      <c r="M7350" s="8" t="s">
        <v>41562</v>
      </c>
      <c r="N7350" s="8" t="s">
        <v>37</v>
      </c>
      <c r="O7350" s="8" t="s">
        <v>136</v>
      </c>
      <c r="P7350" s="6" t="s">
        <v>39</v>
      </c>
      <c r="Q7350" s="8" t="s">
        <v>40</v>
      </c>
      <c r="R7350" s="10" t="s">
        <v>3242</v>
      </c>
      <c r="S7350" s="11"/>
      <c r="T7350" s="6"/>
      <c r="U7350" s="15" t="str">
        <f>HYPERLINK("https://media.infra-m.ru/1816/1816933/cover/1816933.jpg", "Обложка")</f>
        <v>Обложка</v>
      </c>
      <c r="V7350" s="8" t="s">
        <v>6224</v>
      </c>
      <c r="W7350" s="6"/>
      <c r="X7350" s="6"/>
      <c r="Y7350" s="6"/>
      <c r="Z7350" s="6"/>
      <c r="AA7350" s="6" t="s">
        <v>99</v>
      </c>
      <c r="AB7350" s="8"/>
      <c r="AC7350" s="27">
        <v>9785369015964</v>
      </c>
    </row>
    <row r="7351" spans="1:29" s="4" customFormat="1" ht="51.9" customHeight="1" x14ac:dyDescent="0.2">
      <c r="A7351" s="5">
        <v>0</v>
      </c>
      <c r="B7351" s="6" t="s">
        <v>41563</v>
      </c>
      <c r="C7351" s="7">
        <v>1188</v>
      </c>
      <c r="D7351" s="8" t="s">
        <v>41564</v>
      </c>
      <c r="E7351" s="8" t="s">
        <v>41565</v>
      </c>
      <c r="F7351" s="8" t="s">
        <v>41566</v>
      </c>
      <c r="G7351" s="6" t="s">
        <v>33</v>
      </c>
      <c r="H7351" s="6" t="s">
        <v>34</v>
      </c>
      <c r="I7351" s="8" t="s">
        <v>35</v>
      </c>
      <c r="J7351" s="9">
        <v>1</v>
      </c>
      <c r="K7351" s="9">
        <v>215</v>
      </c>
      <c r="L7351" s="9">
        <v>2024</v>
      </c>
      <c r="M7351" s="8" t="s">
        <v>41567</v>
      </c>
      <c r="N7351" s="8" t="s">
        <v>224</v>
      </c>
      <c r="O7351" s="8" t="s">
        <v>225</v>
      </c>
      <c r="P7351" s="6" t="s">
        <v>39</v>
      </c>
      <c r="Q7351" s="8" t="s">
        <v>40</v>
      </c>
      <c r="R7351" s="10" t="s">
        <v>41568</v>
      </c>
      <c r="S7351" s="11"/>
      <c r="T7351" s="6"/>
      <c r="U7351" s="15" t="str">
        <f>HYPERLINK("https://media.infra-m.ru/1971/1971851/cover/1971851.jpg", "Обложка")</f>
        <v>Обложка</v>
      </c>
      <c r="V7351" s="8" t="s">
        <v>247</v>
      </c>
      <c r="W7351" s="6"/>
      <c r="X7351" s="6"/>
      <c r="Y7351" s="6"/>
      <c r="Z7351" s="6"/>
      <c r="AA7351" s="6" t="s">
        <v>76</v>
      </c>
      <c r="AB7351" s="8"/>
      <c r="AC7351" s="27">
        <v>9785160183077</v>
      </c>
    </row>
    <row r="7352" spans="1:29" s="4" customFormat="1" ht="51.9" customHeight="1" x14ac:dyDescent="0.2">
      <c r="A7352" s="5">
        <v>0</v>
      </c>
      <c r="B7352" s="6" t="s">
        <v>41569</v>
      </c>
      <c r="C7352" s="13">
        <v>960</v>
      </c>
      <c r="D7352" s="8" t="s">
        <v>41570</v>
      </c>
      <c r="E7352" s="8" t="s">
        <v>41571</v>
      </c>
      <c r="F7352" s="8" t="s">
        <v>41572</v>
      </c>
      <c r="G7352" s="6" t="s">
        <v>60</v>
      </c>
      <c r="H7352" s="6" t="s">
        <v>34</v>
      </c>
      <c r="I7352" s="8" t="s">
        <v>35</v>
      </c>
      <c r="J7352" s="9">
        <v>20</v>
      </c>
      <c r="K7352" s="9">
        <v>255</v>
      </c>
      <c r="L7352" s="9">
        <v>2016</v>
      </c>
      <c r="M7352" s="8" t="s">
        <v>41573</v>
      </c>
      <c r="N7352" s="8" t="s">
        <v>37</v>
      </c>
      <c r="O7352" s="8" t="s">
        <v>280</v>
      </c>
      <c r="P7352" s="6" t="s">
        <v>39</v>
      </c>
      <c r="Q7352" s="8" t="s">
        <v>40</v>
      </c>
      <c r="R7352" s="10" t="s">
        <v>41574</v>
      </c>
      <c r="S7352" s="11"/>
      <c r="T7352" s="6"/>
      <c r="U7352" s="15" t="str">
        <f>HYPERLINK("https://media.infra-m.ru/0554/0554439/cover/554439.jpg", "Обложка")</f>
        <v>Обложка</v>
      </c>
      <c r="V7352" s="8" t="s">
        <v>16903</v>
      </c>
      <c r="W7352" s="6"/>
      <c r="X7352" s="6"/>
      <c r="Y7352" s="6"/>
      <c r="Z7352" s="6"/>
      <c r="AA7352" s="6" t="s">
        <v>779</v>
      </c>
      <c r="AB7352" s="8"/>
      <c r="AC7352" s="27">
        <v>9785160121130</v>
      </c>
    </row>
    <row r="7353" spans="1:29" s="4" customFormat="1" ht="51.9" customHeight="1" x14ac:dyDescent="0.2">
      <c r="A7353" s="5">
        <v>0</v>
      </c>
      <c r="B7353" s="6" t="s">
        <v>41575</v>
      </c>
      <c r="C7353" s="7">
        <v>1780.8</v>
      </c>
      <c r="D7353" s="8" t="s">
        <v>41576</v>
      </c>
      <c r="E7353" s="8" t="s">
        <v>41571</v>
      </c>
      <c r="F7353" s="8" t="s">
        <v>41572</v>
      </c>
      <c r="G7353" s="6" t="s">
        <v>33</v>
      </c>
      <c r="H7353" s="6" t="s">
        <v>34</v>
      </c>
      <c r="I7353" s="8" t="s">
        <v>35</v>
      </c>
      <c r="J7353" s="9">
        <v>1</v>
      </c>
      <c r="K7353" s="9">
        <v>255</v>
      </c>
      <c r="L7353" s="9">
        <v>2027</v>
      </c>
      <c r="M7353" s="8" t="s">
        <v>41577</v>
      </c>
      <c r="N7353" s="8" t="s">
        <v>37</v>
      </c>
      <c r="O7353" s="8" t="s">
        <v>280</v>
      </c>
      <c r="P7353" s="6" t="s">
        <v>39</v>
      </c>
      <c r="Q7353" s="8" t="s">
        <v>40</v>
      </c>
      <c r="R7353" s="10" t="s">
        <v>41574</v>
      </c>
      <c r="S7353" s="11"/>
      <c r="T7353" s="6"/>
      <c r="U7353" s="15" t="str">
        <f>HYPERLINK("https://media.infra-m.ru/2257/2257173/cover/2257173.jpg", "Обложка")</f>
        <v>Обложка</v>
      </c>
      <c r="V7353" s="8" t="s">
        <v>16903</v>
      </c>
      <c r="W7353" s="6"/>
      <c r="X7353" s="6"/>
      <c r="Y7353" s="6"/>
      <c r="Z7353" s="6"/>
      <c r="AA7353" s="6" t="s">
        <v>779</v>
      </c>
      <c r="AB7353" s="8"/>
      <c r="AC7353" s="27">
        <v>9785160162980</v>
      </c>
    </row>
    <row r="7354" spans="1:29" s="4" customFormat="1" ht="51.9" customHeight="1" x14ac:dyDescent="0.2">
      <c r="A7354" s="5">
        <v>0</v>
      </c>
      <c r="B7354" s="6" t="s">
        <v>41578</v>
      </c>
      <c r="C7354" s="7">
        <v>1716</v>
      </c>
      <c r="D7354" s="8" t="s">
        <v>41579</v>
      </c>
      <c r="E7354" s="8" t="s">
        <v>41580</v>
      </c>
      <c r="F7354" s="8" t="s">
        <v>41581</v>
      </c>
      <c r="G7354" s="6" t="s">
        <v>118</v>
      </c>
      <c r="H7354" s="6" t="s">
        <v>34</v>
      </c>
      <c r="I7354" s="8" t="s">
        <v>253</v>
      </c>
      <c r="J7354" s="9">
        <v>1</v>
      </c>
      <c r="K7354" s="9">
        <v>260</v>
      </c>
      <c r="L7354" s="9">
        <v>2027</v>
      </c>
      <c r="M7354" s="8" t="s">
        <v>41582</v>
      </c>
      <c r="N7354" s="8" t="s">
        <v>37</v>
      </c>
      <c r="O7354" s="8" t="s">
        <v>499</v>
      </c>
      <c r="P7354" s="6" t="s">
        <v>51</v>
      </c>
      <c r="Q7354" s="8" t="s">
        <v>500</v>
      </c>
      <c r="R7354" s="10" t="s">
        <v>41583</v>
      </c>
      <c r="S7354" s="11" t="s">
        <v>41584</v>
      </c>
      <c r="T7354" s="6"/>
      <c r="U7354" s="15" t="str">
        <f>HYPERLINK("https://media.infra-m.ru/2257/2257590/cover/2257590.jpg", "Обложка")</f>
        <v>Обложка</v>
      </c>
      <c r="V7354" s="8" t="s">
        <v>41585</v>
      </c>
      <c r="W7354" s="6"/>
      <c r="X7354" s="6"/>
      <c r="Y7354" s="6"/>
      <c r="Z7354" s="6"/>
      <c r="AA7354" s="6" t="s">
        <v>115</v>
      </c>
      <c r="AB7354" s="8"/>
      <c r="AC7354" s="27">
        <v>9785160223452</v>
      </c>
    </row>
    <row r="7355" spans="1:29" s="4" customFormat="1" ht="42" customHeight="1" x14ac:dyDescent="0.2">
      <c r="A7355" s="5">
        <v>0</v>
      </c>
      <c r="B7355" s="6" t="s">
        <v>41586</v>
      </c>
      <c r="C7355" s="7">
        <v>1032</v>
      </c>
      <c r="D7355" s="8" t="s">
        <v>41587</v>
      </c>
      <c r="E7355" s="8" t="s">
        <v>41588</v>
      </c>
      <c r="F7355" s="8" t="s">
        <v>11412</v>
      </c>
      <c r="G7355" s="6" t="s">
        <v>33</v>
      </c>
      <c r="H7355" s="6" t="s">
        <v>34</v>
      </c>
      <c r="I7355" s="8" t="s">
        <v>35</v>
      </c>
      <c r="J7355" s="9">
        <v>1</v>
      </c>
      <c r="K7355" s="9">
        <v>218</v>
      </c>
      <c r="L7355" s="9">
        <v>2021</v>
      </c>
      <c r="M7355" s="8" t="s">
        <v>41589</v>
      </c>
      <c r="N7355" s="8" t="s">
        <v>37</v>
      </c>
      <c r="O7355" s="8" t="s">
        <v>280</v>
      </c>
      <c r="P7355" s="6" t="s">
        <v>39</v>
      </c>
      <c r="Q7355" s="8" t="s">
        <v>40</v>
      </c>
      <c r="R7355" s="10" t="s">
        <v>3832</v>
      </c>
      <c r="S7355" s="11"/>
      <c r="T7355" s="6" t="s">
        <v>97</v>
      </c>
      <c r="U7355" s="15" t="str">
        <f>HYPERLINK("https://media.infra-m.ru/1064/1064905/cover/1064905.jpg", "Обложка")</f>
        <v>Обложка</v>
      </c>
      <c r="V7355" s="8" t="s">
        <v>1425</v>
      </c>
      <c r="W7355" s="6"/>
      <c r="X7355" s="6"/>
      <c r="Y7355" s="6"/>
      <c r="Z7355" s="6"/>
      <c r="AA7355" s="6" t="s">
        <v>430</v>
      </c>
      <c r="AB7355" s="8"/>
      <c r="AC7355" s="27">
        <v>9785160158778</v>
      </c>
    </row>
    <row r="7356" spans="1:29" s="4" customFormat="1" ht="42" customHeight="1" x14ac:dyDescent="0.2">
      <c r="A7356" s="5">
        <v>0</v>
      </c>
      <c r="B7356" s="6" t="s">
        <v>41590</v>
      </c>
      <c r="C7356" s="7">
        <v>1754.4</v>
      </c>
      <c r="D7356" s="8" t="s">
        <v>41591</v>
      </c>
      <c r="E7356" s="8" t="s">
        <v>41592</v>
      </c>
      <c r="F7356" s="8" t="s">
        <v>41593</v>
      </c>
      <c r="G7356" s="6" t="s">
        <v>118</v>
      </c>
      <c r="H7356" s="6" t="s">
        <v>34</v>
      </c>
      <c r="I7356" s="8" t="s">
        <v>1081</v>
      </c>
      <c r="J7356" s="9">
        <v>1</v>
      </c>
      <c r="K7356" s="9">
        <v>244</v>
      </c>
      <c r="L7356" s="9">
        <v>2023</v>
      </c>
      <c r="M7356" s="8" t="s">
        <v>41594</v>
      </c>
      <c r="N7356" s="8" t="s">
        <v>37</v>
      </c>
      <c r="O7356" s="8" t="s">
        <v>83</v>
      </c>
      <c r="P7356" s="6" t="s">
        <v>39</v>
      </c>
      <c r="Q7356" s="8" t="s">
        <v>40</v>
      </c>
      <c r="R7356" s="10" t="s">
        <v>41595</v>
      </c>
      <c r="S7356" s="11"/>
      <c r="T7356" s="6"/>
      <c r="U7356" s="15" t="str">
        <f>HYPERLINK("https://media.infra-m.ru/2091/2091423/cover/2091423.jpg", "Обложка")</f>
        <v>Обложка</v>
      </c>
      <c r="V7356" s="8" t="s">
        <v>1083</v>
      </c>
      <c r="W7356" s="6"/>
      <c r="X7356" s="6"/>
      <c r="Y7356" s="6"/>
      <c r="Z7356" s="6"/>
      <c r="AA7356" s="6" t="s">
        <v>86</v>
      </c>
      <c r="AB7356" s="8"/>
      <c r="AC7356" s="27">
        <v>9785160134208</v>
      </c>
    </row>
    <row r="7357" spans="1:29" s="4" customFormat="1" ht="42" customHeight="1" x14ac:dyDescent="0.2">
      <c r="A7357" s="5">
        <v>0</v>
      </c>
      <c r="B7357" s="6" t="s">
        <v>41596</v>
      </c>
      <c r="C7357" s="7">
        <v>1792.8</v>
      </c>
      <c r="D7357" s="8" t="s">
        <v>41597</v>
      </c>
      <c r="E7357" s="8" t="s">
        <v>41598</v>
      </c>
      <c r="F7357" s="8" t="s">
        <v>41599</v>
      </c>
      <c r="G7357" s="6" t="s">
        <v>33</v>
      </c>
      <c r="H7357" s="6" t="s">
        <v>34</v>
      </c>
      <c r="I7357" s="8" t="s">
        <v>457</v>
      </c>
      <c r="J7357" s="9">
        <v>1</v>
      </c>
      <c r="K7357" s="9">
        <v>258</v>
      </c>
      <c r="L7357" s="9">
        <v>2026</v>
      </c>
      <c r="M7357" s="8" t="s">
        <v>41600</v>
      </c>
      <c r="N7357" s="8" t="s">
        <v>37</v>
      </c>
      <c r="O7357" s="8" t="s">
        <v>499</v>
      </c>
      <c r="P7357" s="6" t="s">
        <v>39</v>
      </c>
      <c r="Q7357" s="8" t="s">
        <v>40</v>
      </c>
      <c r="R7357" s="10" t="s">
        <v>5331</v>
      </c>
      <c r="S7357" s="11"/>
      <c r="T7357" s="6"/>
      <c r="U7357" s="15" t="str">
        <f>HYPERLINK("https://media.infra-m.ru/2264/2264731/cover/2264731.jpg", "Обложка")</f>
        <v>Обложка</v>
      </c>
      <c r="V7357" s="8" t="s">
        <v>1647</v>
      </c>
      <c r="W7357" s="6"/>
      <c r="X7357" s="6"/>
      <c r="Y7357" s="6"/>
      <c r="Z7357" s="6"/>
      <c r="AA7357" s="6" t="s">
        <v>148</v>
      </c>
      <c r="AB7357" s="8"/>
      <c r="AC7357" s="27">
        <v>9785160168470</v>
      </c>
    </row>
    <row r="7358" spans="1:29" s="4" customFormat="1" ht="51.9" customHeight="1" x14ac:dyDescent="0.2">
      <c r="A7358" s="5">
        <v>0</v>
      </c>
      <c r="B7358" s="6" t="s">
        <v>41601</v>
      </c>
      <c r="C7358" s="7">
        <v>1236</v>
      </c>
      <c r="D7358" s="8" t="s">
        <v>41602</v>
      </c>
      <c r="E7358" s="8" t="s">
        <v>41603</v>
      </c>
      <c r="F7358" s="8" t="s">
        <v>41604</v>
      </c>
      <c r="G7358" s="6" t="s">
        <v>33</v>
      </c>
      <c r="H7358" s="6" t="s">
        <v>34</v>
      </c>
      <c r="I7358" s="8" t="s">
        <v>35</v>
      </c>
      <c r="J7358" s="9">
        <v>1</v>
      </c>
      <c r="K7358" s="9">
        <v>170</v>
      </c>
      <c r="L7358" s="9">
        <v>2026</v>
      </c>
      <c r="M7358" s="8" t="s">
        <v>41605</v>
      </c>
      <c r="N7358" s="8" t="s">
        <v>37</v>
      </c>
      <c r="O7358" s="8" t="s">
        <v>499</v>
      </c>
      <c r="P7358" s="6" t="s">
        <v>39</v>
      </c>
      <c r="Q7358" s="8" t="s">
        <v>40</v>
      </c>
      <c r="R7358" s="10" t="s">
        <v>41606</v>
      </c>
      <c r="S7358" s="11"/>
      <c r="T7358" s="6"/>
      <c r="U7358" s="15" t="str">
        <f>HYPERLINK("https://media.infra-m.ru/2240/2240085/cover/2240085.jpg", "Обложка")</f>
        <v>Обложка</v>
      </c>
      <c r="V7358" s="8" t="s">
        <v>41607</v>
      </c>
      <c r="W7358" s="6" t="s">
        <v>9380</v>
      </c>
      <c r="X7358" s="6"/>
      <c r="Y7358" s="6"/>
      <c r="Z7358" s="6"/>
      <c r="AA7358" s="6" t="s">
        <v>187</v>
      </c>
      <c r="AB7358" s="8"/>
      <c r="AC7358" s="27">
        <v>9785160218670</v>
      </c>
    </row>
    <row r="7359" spans="1:29" s="4" customFormat="1" ht="42" customHeight="1" x14ac:dyDescent="0.2">
      <c r="A7359" s="5">
        <v>0</v>
      </c>
      <c r="B7359" s="6" t="s">
        <v>41608</v>
      </c>
      <c r="C7359" s="7">
        <v>1104</v>
      </c>
      <c r="D7359" s="8" t="s">
        <v>41609</v>
      </c>
      <c r="E7359" s="8" t="s">
        <v>41610</v>
      </c>
      <c r="F7359" s="8" t="s">
        <v>41611</v>
      </c>
      <c r="G7359" s="6" t="s">
        <v>60</v>
      </c>
      <c r="H7359" s="6" t="s">
        <v>34</v>
      </c>
      <c r="I7359" s="8" t="s">
        <v>304</v>
      </c>
      <c r="J7359" s="9">
        <v>1</v>
      </c>
      <c r="K7359" s="9">
        <v>147</v>
      </c>
      <c r="L7359" s="9">
        <v>2026</v>
      </c>
      <c r="M7359" s="8" t="s">
        <v>41612</v>
      </c>
      <c r="N7359" s="8" t="s">
        <v>37</v>
      </c>
      <c r="O7359" s="8" t="s">
        <v>499</v>
      </c>
      <c r="P7359" s="6" t="s">
        <v>51</v>
      </c>
      <c r="Q7359" s="8" t="s">
        <v>52</v>
      </c>
      <c r="R7359" s="10" t="s">
        <v>14350</v>
      </c>
      <c r="S7359" s="11"/>
      <c r="T7359" s="6"/>
      <c r="U7359" s="15" t="str">
        <f>HYPERLINK("https://media.infra-m.ru/2206/2206803/cover/2206803.jpg", "Обложка")</f>
        <v>Обложка</v>
      </c>
      <c r="V7359" s="8" t="s">
        <v>22661</v>
      </c>
      <c r="W7359" s="6" t="s">
        <v>351</v>
      </c>
      <c r="X7359" s="6"/>
      <c r="Y7359" s="6"/>
      <c r="Z7359" s="6"/>
      <c r="AA7359" s="6" t="s">
        <v>187</v>
      </c>
      <c r="AB7359" s="8" t="s">
        <v>308</v>
      </c>
      <c r="AC7359" s="27">
        <v>9785160209500</v>
      </c>
    </row>
    <row r="7360" spans="1:29" s="4" customFormat="1" ht="51.9" customHeight="1" x14ac:dyDescent="0.2">
      <c r="A7360" s="5">
        <v>0</v>
      </c>
      <c r="B7360" s="6" t="s">
        <v>41613</v>
      </c>
      <c r="C7360" s="7">
        <v>1068</v>
      </c>
      <c r="D7360" s="8" t="s">
        <v>41614</v>
      </c>
      <c r="E7360" s="8" t="s">
        <v>41615</v>
      </c>
      <c r="F7360" s="8" t="s">
        <v>41616</v>
      </c>
      <c r="G7360" s="6" t="s">
        <v>33</v>
      </c>
      <c r="H7360" s="6" t="s">
        <v>34</v>
      </c>
      <c r="I7360" s="8" t="s">
        <v>7198</v>
      </c>
      <c r="J7360" s="9">
        <v>1</v>
      </c>
      <c r="K7360" s="9">
        <v>148</v>
      </c>
      <c r="L7360" s="9">
        <v>2023</v>
      </c>
      <c r="M7360" s="8" t="s">
        <v>41617</v>
      </c>
      <c r="N7360" s="8" t="s">
        <v>37</v>
      </c>
      <c r="O7360" s="8" t="s">
        <v>499</v>
      </c>
      <c r="P7360" s="6" t="s">
        <v>51</v>
      </c>
      <c r="Q7360" s="8" t="s">
        <v>52</v>
      </c>
      <c r="R7360" s="10" t="s">
        <v>41618</v>
      </c>
      <c r="S7360" s="11" t="s">
        <v>41619</v>
      </c>
      <c r="T7360" s="6"/>
      <c r="U7360" s="15" t="str">
        <f>HYPERLINK("https://media.infra-m.ru/1910/1910855/cover/1910855.jpg", "Обложка")</f>
        <v>Обложка</v>
      </c>
      <c r="V7360" s="8" t="s">
        <v>1083</v>
      </c>
      <c r="W7360" s="6"/>
      <c r="X7360" s="6"/>
      <c r="Y7360" s="6"/>
      <c r="Z7360" s="6"/>
      <c r="AA7360" s="6" t="s">
        <v>157</v>
      </c>
      <c r="AB7360" s="8"/>
      <c r="AC7360" s="27">
        <v>9785160180847</v>
      </c>
    </row>
    <row r="7361" spans="1:29" s="4" customFormat="1" ht="42" customHeight="1" x14ac:dyDescent="0.2">
      <c r="A7361" s="5">
        <v>0</v>
      </c>
      <c r="B7361" s="6" t="s">
        <v>41620</v>
      </c>
      <c r="C7361" s="7">
        <v>1089</v>
      </c>
      <c r="D7361" s="8" t="s">
        <v>41621</v>
      </c>
      <c r="E7361" s="8" t="s">
        <v>41615</v>
      </c>
      <c r="F7361" s="8" t="s">
        <v>41622</v>
      </c>
      <c r="G7361" s="6" t="s">
        <v>33</v>
      </c>
      <c r="H7361" s="6" t="s">
        <v>1644</v>
      </c>
      <c r="I7361" s="8"/>
      <c r="J7361" s="9">
        <v>1</v>
      </c>
      <c r="K7361" s="9">
        <v>100</v>
      </c>
      <c r="L7361" s="9">
        <v>2023</v>
      </c>
      <c r="M7361" s="8" t="s">
        <v>41623</v>
      </c>
      <c r="N7361" s="8" t="s">
        <v>37</v>
      </c>
      <c r="O7361" s="8" t="s">
        <v>499</v>
      </c>
      <c r="P7361" s="6" t="s">
        <v>51</v>
      </c>
      <c r="Q7361" s="8"/>
      <c r="R7361" s="10" t="s">
        <v>5270</v>
      </c>
      <c r="S7361" s="11"/>
      <c r="T7361" s="6"/>
      <c r="U7361" s="15" t="str">
        <f>HYPERLINK("https://media.infra-m.ru/2076/2076737/cover/2076737.jpg", "Обложка")</f>
        <v>Обложка</v>
      </c>
      <c r="V7361" s="8" t="s">
        <v>247</v>
      </c>
      <c r="W7361" s="6"/>
      <c r="X7361" s="6"/>
      <c r="Y7361" s="6"/>
      <c r="Z7361" s="6"/>
      <c r="AA7361" s="6" t="s">
        <v>157</v>
      </c>
      <c r="AB7361" s="8"/>
      <c r="AC7361" s="27">
        <v>9785977605557</v>
      </c>
    </row>
    <row r="7362" spans="1:29" s="4" customFormat="1" ht="51.9" customHeight="1" x14ac:dyDescent="0.2">
      <c r="A7362" s="5">
        <v>0</v>
      </c>
      <c r="B7362" s="6" t="s">
        <v>41624</v>
      </c>
      <c r="C7362" s="7">
        <v>2140.8000000000002</v>
      </c>
      <c r="D7362" s="8" t="s">
        <v>41625</v>
      </c>
      <c r="E7362" s="8" t="s">
        <v>41626</v>
      </c>
      <c r="F7362" s="8" t="s">
        <v>41627</v>
      </c>
      <c r="G7362" s="6" t="s">
        <v>118</v>
      </c>
      <c r="H7362" s="6" t="s">
        <v>34</v>
      </c>
      <c r="I7362" s="8" t="s">
        <v>271</v>
      </c>
      <c r="J7362" s="9">
        <v>1</v>
      </c>
      <c r="K7362" s="9">
        <v>357</v>
      </c>
      <c r="L7362" s="9">
        <v>2025</v>
      </c>
      <c r="M7362" s="8" t="s">
        <v>41628</v>
      </c>
      <c r="N7362" s="8" t="s">
        <v>37</v>
      </c>
      <c r="O7362" s="8" t="s">
        <v>499</v>
      </c>
      <c r="P7362" s="6" t="s">
        <v>51</v>
      </c>
      <c r="Q7362" s="8" t="s">
        <v>52</v>
      </c>
      <c r="R7362" s="10" t="s">
        <v>1646</v>
      </c>
      <c r="S7362" s="11" t="s">
        <v>41629</v>
      </c>
      <c r="T7362" s="6"/>
      <c r="U7362" s="15" t="str">
        <f>HYPERLINK("https://media.infra-m.ru/2184/2184952/cover/2184952.jpg", "Обложка")</f>
        <v>Обложка</v>
      </c>
      <c r="V7362" s="8" t="s">
        <v>247</v>
      </c>
      <c r="W7362" s="6"/>
      <c r="X7362" s="6"/>
      <c r="Y7362" s="6"/>
      <c r="Z7362" s="6"/>
      <c r="AA7362" s="6" t="s">
        <v>3391</v>
      </c>
      <c r="AB7362" s="8"/>
      <c r="AC7362" s="27">
        <v>9785160035758</v>
      </c>
    </row>
    <row r="7363" spans="1:29" s="4" customFormat="1" ht="51.9" customHeight="1" x14ac:dyDescent="0.2">
      <c r="A7363" s="5">
        <v>0</v>
      </c>
      <c r="B7363" s="6" t="s">
        <v>41630</v>
      </c>
      <c r="C7363" s="7">
        <v>2140.8000000000002</v>
      </c>
      <c r="D7363" s="8" t="s">
        <v>41631</v>
      </c>
      <c r="E7363" s="8" t="s">
        <v>41626</v>
      </c>
      <c r="F7363" s="8" t="s">
        <v>41627</v>
      </c>
      <c r="G7363" s="6" t="s">
        <v>118</v>
      </c>
      <c r="H7363" s="6" t="s">
        <v>34</v>
      </c>
      <c r="I7363" s="8" t="s">
        <v>263</v>
      </c>
      <c r="J7363" s="9">
        <v>1</v>
      </c>
      <c r="K7363" s="9">
        <v>357</v>
      </c>
      <c r="L7363" s="9">
        <v>2024</v>
      </c>
      <c r="M7363" s="8" t="s">
        <v>41632</v>
      </c>
      <c r="N7363" s="8" t="s">
        <v>37</v>
      </c>
      <c r="O7363" s="8" t="s">
        <v>499</v>
      </c>
      <c r="P7363" s="6" t="s">
        <v>51</v>
      </c>
      <c r="Q7363" s="8" t="s">
        <v>265</v>
      </c>
      <c r="R7363" s="10" t="s">
        <v>41633</v>
      </c>
      <c r="S7363" s="11" t="s">
        <v>41634</v>
      </c>
      <c r="T7363" s="6"/>
      <c r="U7363" s="15" t="str">
        <f>HYPERLINK("https://media.infra-m.ru/2104/2104834/cover/2104834.jpg", "Обложка")</f>
        <v>Обложка</v>
      </c>
      <c r="V7363" s="8" t="s">
        <v>247</v>
      </c>
      <c r="W7363" s="6"/>
      <c r="X7363" s="6" t="s">
        <v>24</v>
      </c>
      <c r="Y7363" s="6"/>
      <c r="Z7363" s="6" t="s">
        <v>267</v>
      </c>
      <c r="AA7363" s="6" t="s">
        <v>896</v>
      </c>
      <c r="AB7363" s="8"/>
      <c r="AC7363" s="27">
        <v>9785160177472</v>
      </c>
    </row>
    <row r="7364" spans="1:29" s="4" customFormat="1" ht="42" customHeight="1" x14ac:dyDescent="0.2">
      <c r="A7364" s="5">
        <v>0</v>
      </c>
      <c r="B7364" s="6" t="s">
        <v>41635</v>
      </c>
      <c r="C7364" s="7">
        <v>1080</v>
      </c>
      <c r="D7364" s="8" t="s">
        <v>41636</v>
      </c>
      <c r="E7364" s="8" t="s">
        <v>41637</v>
      </c>
      <c r="F7364" s="8" t="s">
        <v>41611</v>
      </c>
      <c r="G7364" s="6" t="s">
        <v>118</v>
      </c>
      <c r="H7364" s="6" t="s">
        <v>34</v>
      </c>
      <c r="I7364" s="8" t="s">
        <v>263</v>
      </c>
      <c r="J7364" s="9">
        <v>1</v>
      </c>
      <c r="K7364" s="9">
        <v>147</v>
      </c>
      <c r="L7364" s="9">
        <v>2026</v>
      </c>
      <c r="M7364" s="8" t="s">
        <v>41638</v>
      </c>
      <c r="N7364" s="8" t="s">
        <v>37</v>
      </c>
      <c r="O7364" s="8" t="s">
        <v>499</v>
      </c>
      <c r="P7364" s="6" t="s">
        <v>51</v>
      </c>
      <c r="Q7364" s="8" t="s">
        <v>1891</v>
      </c>
      <c r="R7364" s="10" t="s">
        <v>41639</v>
      </c>
      <c r="S7364" s="11"/>
      <c r="T7364" s="6"/>
      <c r="U7364" s="15" t="str">
        <f>HYPERLINK("https://media.infra-m.ru/2268/2268361/cover/2268361.jpg", "Обложка")</f>
        <v>Обложка</v>
      </c>
      <c r="V7364" s="8" t="s">
        <v>22661</v>
      </c>
      <c r="W7364" s="6"/>
      <c r="X7364" s="6"/>
      <c r="Y7364" s="6"/>
      <c r="Z7364" s="6"/>
      <c r="AA7364" s="6" t="s">
        <v>187</v>
      </c>
      <c r="AB7364" s="8"/>
      <c r="AC7364" s="27">
        <v>9785160220246</v>
      </c>
    </row>
    <row r="7365" spans="1:29" s="4" customFormat="1" ht="42" customHeight="1" x14ac:dyDescent="0.2">
      <c r="A7365" s="5">
        <v>0</v>
      </c>
      <c r="B7365" s="6" t="s">
        <v>41640</v>
      </c>
      <c r="C7365" s="7">
        <v>2484</v>
      </c>
      <c r="D7365" s="8" t="s">
        <v>41641</v>
      </c>
      <c r="E7365" s="8" t="s">
        <v>41642</v>
      </c>
      <c r="F7365" s="8" t="s">
        <v>41643</v>
      </c>
      <c r="G7365" s="6" t="s">
        <v>118</v>
      </c>
      <c r="H7365" s="6" t="s">
        <v>134</v>
      </c>
      <c r="I7365" s="8"/>
      <c r="J7365" s="9">
        <v>1</v>
      </c>
      <c r="K7365" s="9">
        <v>576</v>
      </c>
      <c r="L7365" s="9">
        <v>2021</v>
      </c>
      <c r="M7365" s="8" t="s">
        <v>41644</v>
      </c>
      <c r="N7365" s="8" t="s">
        <v>37</v>
      </c>
      <c r="O7365" s="8" t="s">
        <v>136</v>
      </c>
      <c r="P7365" s="6" t="s">
        <v>39</v>
      </c>
      <c r="Q7365" s="8" t="s">
        <v>40</v>
      </c>
      <c r="R7365" s="10" t="s">
        <v>1625</v>
      </c>
      <c r="S7365" s="11"/>
      <c r="T7365" s="6"/>
      <c r="U7365" s="15" t="str">
        <f>HYPERLINK("https://media.infra-m.ru/1227/1227192/cover/1227192.jpg", "Обложка")</f>
        <v>Обложка</v>
      </c>
      <c r="V7365" s="8" t="s">
        <v>644</v>
      </c>
      <c r="W7365" s="6"/>
      <c r="X7365" s="6"/>
      <c r="Y7365" s="6"/>
      <c r="Z7365" s="6"/>
      <c r="AA7365" s="6" t="s">
        <v>43</v>
      </c>
      <c r="AB7365" s="8"/>
      <c r="AC7365" s="27">
        <v>9785917682686</v>
      </c>
    </row>
    <row r="7366" spans="1:29" s="4" customFormat="1" ht="51.9" customHeight="1" x14ac:dyDescent="0.2">
      <c r="A7366" s="5">
        <v>0</v>
      </c>
      <c r="B7366" s="6" t="s">
        <v>41645</v>
      </c>
      <c r="C7366" s="7">
        <v>2057.9</v>
      </c>
      <c r="D7366" s="8" t="s">
        <v>41646</v>
      </c>
      <c r="E7366" s="8" t="s">
        <v>41647</v>
      </c>
      <c r="F7366" s="8" t="s">
        <v>41648</v>
      </c>
      <c r="G7366" s="6" t="s">
        <v>118</v>
      </c>
      <c r="H7366" s="6" t="s">
        <v>241</v>
      </c>
      <c r="I7366" s="8"/>
      <c r="J7366" s="9">
        <v>1</v>
      </c>
      <c r="K7366" s="9">
        <v>380</v>
      </c>
      <c r="L7366" s="9">
        <v>2023</v>
      </c>
      <c r="M7366" s="8" t="s">
        <v>41649</v>
      </c>
      <c r="N7366" s="8" t="s">
        <v>37</v>
      </c>
      <c r="O7366" s="8" t="s">
        <v>499</v>
      </c>
      <c r="P7366" s="6" t="s">
        <v>306</v>
      </c>
      <c r="Q7366" s="8" t="s">
        <v>52</v>
      </c>
      <c r="R7366" s="10" t="s">
        <v>41650</v>
      </c>
      <c r="S7366" s="11"/>
      <c r="T7366" s="6"/>
      <c r="U7366" s="15" t="str">
        <f>HYPERLINK("https://media.infra-m.ru/2002/2002596/cover/2002596.jpg", "Обложка")</f>
        <v>Обложка</v>
      </c>
      <c r="V7366" s="8" t="s">
        <v>247</v>
      </c>
      <c r="W7366" s="6"/>
      <c r="X7366" s="6"/>
      <c r="Y7366" s="6"/>
      <c r="Z7366" s="6"/>
      <c r="AA7366" s="6" t="s">
        <v>86</v>
      </c>
      <c r="AB7366" s="8"/>
      <c r="AC7366" s="27">
        <v>9785955805375</v>
      </c>
    </row>
    <row r="7367" spans="1:29" s="4" customFormat="1" ht="51.9" customHeight="1" x14ac:dyDescent="0.2">
      <c r="A7367" s="5">
        <v>0</v>
      </c>
      <c r="B7367" s="6" t="s">
        <v>41651</v>
      </c>
      <c r="C7367" s="7">
        <v>1108.8</v>
      </c>
      <c r="D7367" s="8" t="s">
        <v>41652</v>
      </c>
      <c r="E7367" s="8" t="s">
        <v>41653</v>
      </c>
      <c r="F7367" s="8" t="s">
        <v>41654</v>
      </c>
      <c r="G7367" s="6" t="s">
        <v>118</v>
      </c>
      <c r="H7367" s="6" t="s">
        <v>134</v>
      </c>
      <c r="I7367" s="8"/>
      <c r="J7367" s="9">
        <v>1</v>
      </c>
      <c r="K7367" s="9">
        <v>176</v>
      </c>
      <c r="L7367" s="9">
        <v>2025</v>
      </c>
      <c r="M7367" s="8" t="s">
        <v>41655</v>
      </c>
      <c r="N7367" s="8" t="s">
        <v>37</v>
      </c>
      <c r="O7367" s="8" t="s">
        <v>136</v>
      </c>
      <c r="P7367" s="6" t="s">
        <v>51</v>
      </c>
      <c r="Q7367" s="8" t="s">
        <v>500</v>
      </c>
      <c r="R7367" s="10" t="s">
        <v>1275</v>
      </c>
      <c r="S7367" s="11"/>
      <c r="T7367" s="6"/>
      <c r="U7367" s="15" t="str">
        <f>HYPERLINK("https://media.infra-m.ru/2192/2192587/cover/2192587.jpg", "Обложка")</f>
        <v>Обложка</v>
      </c>
      <c r="V7367" s="8" t="s">
        <v>1184</v>
      </c>
      <c r="W7367" s="6"/>
      <c r="X7367" s="6"/>
      <c r="Y7367" s="6"/>
      <c r="Z7367" s="6"/>
      <c r="AA7367" s="6" t="s">
        <v>258</v>
      </c>
      <c r="AB7367" s="8"/>
      <c r="AC7367" s="27">
        <v>9785001561330</v>
      </c>
    </row>
    <row r="7368" spans="1:29" s="4" customFormat="1" ht="51.9" customHeight="1" x14ac:dyDescent="0.2">
      <c r="A7368" s="5">
        <v>0</v>
      </c>
      <c r="B7368" s="6" t="s">
        <v>41656</v>
      </c>
      <c r="C7368" s="13">
        <v>600</v>
      </c>
      <c r="D7368" s="8" t="s">
        <v>41657</v>
      </c>
      <c r="E7368" s="8" t="s">
        <v>41658</v>
      </c>
      <c r="F7368" s="8" t="s">
        <v>41654</v>
      </c>
      <c r="G7368" s="6" t="s">
        <v>60</v>
      </c>
      <c r="H7368" s="6" t="s">
        <v>134</v>
      </c>
      <c r="I7368" s="8"/>
      <c r="J7368" s="9">
        <v>1</v>
      </c>
      <c r="K7368" s="9">
        <v>160</v>
      </c>
      <c r="L7368" s="9">
        <v>2018</v>
      </c>
      <c r="M7368" s="8" t="s">
        <v>41659</v>
      </c>
      <c r="N7368" s="8" t="s">
        <v>37</v>
      </c>
      <c r="O7368" s="8" t="s">
        <v>136</v>
      </c>
      <c r="P7368" s="6" t="s">
        <v>51</v>
      </c>
      <c r="Q7368" s="8" t="s">
        <v>500</v>
      </c>
      <c r="R7368" s="10" t="s">
        <v>1275</v>
      </c>
      <c r="S7368" s="11"/>
      <c r="T7368" s="6"/>
      <c r="U7368" s="15" t="str">
        <f>HYPERLINK("https://media.infra-m.ru/0948/0948181/cover/948181.jpg", "Обложка")</f>
        <v>Обложка</v>
      </c>
      <c r="V7368" s="8" t="s">
        <v>1184</v>
      </c>
      <c r="W7368" s="6"/>
      <c r="X7368" s="6"/>
      <c r="Y7368" s="6"/>
      <c r="Z7368" s="6"/>
      <c r="AA7368" s="6" t="s">
        <v>86</v>
      </c>
      <c r="AB7368" s="8"/>
      <c r="AC7368" s="27">
        <v>9785917688985</v>
      </c>
    </row>
    <row r="7369" spans="1:29" s="4" customFormat="1" ht="42" customHeight="1" x14ac:dyDescent="0.2">
      <c r="A7369" s="5">
        <v>0</v>
      </c>
      <c r="B7369" s="6" t="s">
        <v>41660</v>
      </c>
      <c r="C7369" s="7">
        <v>1800</v>
      </c>
      <c r="D7369" s="8" t="s">
        <v>41661</v>
      </c>
      <c r="E7369" s="8" t="s">
        <v>41662</v>
      </c>
      <c r="F7369" s="8" t="s">
        <v>7127</v>
      </c>
      <c r="G7369" s="6" t="s">
        <v>118</v>
      </c>
      <c r="H7369" s="6" t="s">
        <v>134</v>
      </c>
      <c r="I7369" s="8"/>
      <c r="J7369" s="9">
        <v>1</v>
      </c>
      <c r="K7369" s="9">
        <v>272</v>
      </c>
      <c r="L7369" s="9">
        <v>2026</v>
      </c>
      <c r="M7369" s="8" t="s">
        <v>41663</v>
      </c>
      <c r="N7369" s="8" t="s">
        <v>37</v>
      </c>
      <c r="O7369" s="8" t="s">
        <v>136</v>
      </c>
      <c r="P7369" s="6" t="s">
        <v>39</v>
      </c>
      <c r="Q7369" s="8" t="s">
        <v>40</v>
      </c>
      <c r="R7369" s="10" t="s">
        <v>684</v>
      </c>
      <c r="S7369" s="11"/>
      <c r="T7369" s="6"/>
      <c r="U7369" s="15" t="str">
        <f>HYPERLINK("https://media.infra-m.ru/2221/2221168/cover/2221168.jpg", "Обложка")</f>
        <v>Обложка</v>
      </c>
      <c r="V7369" s="8" t="s">
        <v>1083</v>
      </c>
      <c r="W7369" s="6"/>
      <c r="X7369" s="6"/>
      <c r="Y7369" s="6"/>
      <c r="Z7369" s="6"/>
      <c r="AA7369" s="6" t="s">
        <v>1256</v>
      </c>
      <c r="AB7369" s="8"/>
      <c r="AC7369" s="27">
        <v>9785001560661</v>
      </c>
    </row>
    <row r="7370" spans="1:29" s="4" customFormat="1" ht="44.1" customHeight="1" x14ac:dyDescent="0.2">
      <c r="A7370" s="5">
        <v>0</v>
      </c>
      <c r="B7370" s="6" t="s">
        <v>41664</v>
      </c>
      <c r="C7370" s="13">
        <v>552</v>
      </c>
      <c r="D7370" s="8" t="s">
        <v>41665</v>
      </c>
      <c r="E7370" s="8" t="s">
        <v>41666</v>
      </c>
      <c r="F7370" s="8" t="s">
        <v>5649</v>
      </c>
      <c r="G7370" s="6" t="s">
        <v>33</v>
      </c>
      <c r="H7370" s="6" t="s">
        <v>34</v>
      </c>
      <c r="I7370" s="8"/>
      <c r="J7370" s="9">
        <v>1</v>
      </c>
      <c r="K7370" s="9">
        <v>88</v>
      </c>
      <c r="L7370" s="9">
        <v>2026</v>
      </c>
      <c r="M7370" s="8" t="s">
        <v>41667</v>
      </c>
      <c r="N7370" s="8" t="s">
        <v>37</v>
      </c>
      <c r="O7370" s="8" t="s">
        <v>233</v>
      </c>
      <c r="P7370" s="6" t="s">
        <v>51</v>
      </c>
      <c r="Q7370" s="8" t="s">
        <v>65</v>
      </c>
      <c r="R7370" s="10" t="s">
        <v>41668</v>
      </c>
      <c r="S7370" s="11"/>
      <c r="T7370" s="6"/>
      <c r="U7370" s="15" t="str">
        <f>HYPERLINK("https://media.infra-m.ru/2220/2220728/cover/2220728.jpg", "Обложка")</f>
        <v>Обложка</v>
      </c>
      <c r="V7370" s="8" t="s">
        <v>247</v>
      </c>
      <c r="W7370" s="6" t="s">
        <v>2565</v>
      </c>
      <c r="X7370" s="6"/>
      <c r="Y7370" s="6"/>
      <c r="Z7370" s="6"/>
      <c r="AA7370" s="6" t="s">
        <v>187</v>
      </c>
      <c r="AB7370" s="8"/>
      <c r="AC7370" s="27">
        <v>9785160212692</v>
      </c>
    </row>
    <row r="7371" spans="1:29" s="4" customFormat="1" ht="42" customHeight="1" x14ac:dyDescent="0.2">
      <c r="A7371" s="5">
        <v>0</v>
      </c>
      <c r="B7371" s="6" t="s">
        <v>41669</v>
      </c>
      <c r="C7371" s="13">
        <v>492</v>
      </c>
      <c r="D7371" s="8" t="s">
        <v>41670</v>
      </c>
      <c r="E7371" s="8" t="s">
        <v>41671</v>
      </c>
      <c r="F7371" s="8" t="s">
        <v>6770</v>
      </c>
      <c r="G7371" s="6" t="s">
        <v>33</v>
      </c>
      <c r="H7371" s="6" t="s">
        <v>34</v>
      </c>
      <c r="I7371" s="8" t="s">
        <v>6772</v>
      </c>
      <c r="J7371" s="9">
        <v>1</v>
      </c>
      <c r="K7371" s="9">
        <v>101</v>
      </c>
      <c r="L7371" s="9">
        <v>2027</v>
      </c>
      <c r="M7371" s="8" t="s">
        <v>41672</v>
      </c>
      <c r="N7371" s="8" t="s">
        <v>37</v>
      </c>
      <c r="O7371" s="8" t="s">
        <v>290</v>
      </c>
      <c r="P7371" s="6" t="s">
        <v>9800</v>
      </c>
      <c r="Q7371" s="8" t="s">
        <v>65</v>
      </c>
      <c r="R7371" s="10" t="s">
        <v>9801</v>
      </c>
      <c r="S7371" s="11"/>
      <c r="T7371" s="6"/>
      <c r="U7371" s="15" t="str">
        <f>HYPERLINK("https://media.infra-m.ru/2265/2265161/cover/2265161.jpg", "Обложка")</f>
        <v>Обложка</v>
      </c>
      <c r="V7371" s="8"/>
      <c r="W7371" s="6"/>
      <c r="X7371" s="6"/>
      <c r="Y7371" s="6"/>
      <c r="Z7371" s="6"/>
      <c r="AA7371" s="6" t="s">
        <v>157</v>
      </c>
      <c r="AB7371" s="8"/>
      <c r="AC7371" s="27">
        <v>9785160184852</v>
      </c>
    </row>
    <row r="7372" spans="1:29" s="4" customFormat="1" ht="51.9" customHeight="1" x14ac:dyDescent="0.2">
      <c r="A7372" s="5">
        <v>0</v>
      </c>
      <c r="B7372" s="6" t="s">
        <v>41673</v>
      </c>
      <c r="C7372" s="7">
        <v>1672.8</v>
      </c>
      <c r="D7372" s="8" t="s">
        <v>41674</v>
      </c>
      <c r="E7372" s="8" t="s">
        <v>41675</v>
      </c>
      <c r="F7372" s="8" t="s">
        <v>41676</v>
      </c>
      <c r="G7372" s="6" t="s">
        <v>60</v>
      </c>
      <c r="H7372" s="6" t="s">
        <v>34</v>
      </c>
      <c r="I7372" s="8" t="s">
        <v>271</v>
      </c>
      <c r="J7372" s="9">
        <v>1</v>
      </c>
      <c r="K7372" s="9">
        <v>278</v>
      </c>
      <c r="L7372" s="9">
        <v>2025</v>
      </c>
      <c r="M7372" s="8" t="s">
        <v>41677</v>
      </c>
      <c r="N7372" s="8" t="s">
        <v>243</v>
      </c>
      <c r="O7372" s="8" t="s">
        <v>798</v>
      </c>
      <c r="P7372" s="6" t="s">
        <v>51</v>
      </c>
      <c r="Q7372" s="8" t="s">
        <v>52</v>
      </c>
      <c r="R7372" s="10" t="s">
        <v>6735</v>
      </c>
      <c r="S7372" s="11" t="s">
        <v>41678</v>
      </c>
      <c r="T7372" s="6"/>
      <c r="U7372" s="15" t="str">
        <f>HYPERLINK("https://media.infra-m.ru/2186/2186218/cover/2186218.jpg", "Обложка")</f>
        <v>Обложка</v>
      </c>
      <c r="V7372" s="8" t="s">
        <v>911</v>
      </c>
      <c r="W7372" s="6"/>
      <c r="X7372" s="6"/>
      <c r="Y7372" s="6"/>
      <c r="Z7372" s="6"/>
      <c r="AA7372" s="6" t="s">
        <v>859</v>
      </c>
      <c r="AB7372" s="8"/>
      <c r="AC7372" s="27">
        <v>9785160094519</v>
      </c>
    </row>
    <row r="7373" spans="1:29" s="4" customFormat="1" ht="51.9" customHeight="1" x14ac:dyDescent="0.2">
      <c r="A7373" s="5">
        <v>0</v>
      </c>
      <c r="B7373" s="6" t="s">
        <v>41679</v>
      </c>
      <c r="C7373" s="7">
        <v>2020.8</v>
      </c>
      <c r="D7373" s="8" t="s">
        <v>41680</v>
      </c>
      <c r="E7373" s="8" t="s">
        <v>41681</v>
      </c>
      <c r="F7373" s="8" t="s">
        <v>41682</v>
      </c>
      <c r="G7373" s="6" t="s">
        <v>118</v>
      </c>
      <c r="H7373" s="6" t="s">
        <v>34</v>
      </c>
      <c r="I7373" s="8" t="s">
        <v>271</v>
      </c>
      <c r="J7373" s="9">
        <v>1</v>
      </c>
      <c r="K7373" s="9">
        <v>305</v>
      </c>
      <c r="L7373" s="9">
        <v>2026</v>
      </c>
      <c r="M7373" s="8" t="s">
        <v>41683</v>
      </c>
      <c r="N7373" s="8" t="s">
        <v>243</v>
      </c>
      <c r="O7373" s="8" t="s">
        <v>798</v>
      </c>
      <c r="P7373" s="6" t="s">
        <v>51</v>
      </c>
      <c r="Q7373" s="8" t="s">
        <v>52</v>
      </c>
      <c r="R7373" s="10" t="s">
        <v>6735</v>
      </c>
      <c r="S7373" s="11" t="s">
        <v>41684</v>
      </c>
      <c r="T7373" s="6"/>
      <c r="U7373" s="15" t="str">
        <f>HYPERLINK("https://media.infra-m.ru/2254/2254529/cover/2254529.jpg", "Обложка")</f>
        <v>Обложка</v>
      </c>
      <c r="V7373" s="8" t="s">
        <v>809</v>
      </c>
      <c r="W7373" s="6"/>
      <c r="X7373" s="6"/>
      <c r="Y7373" s="6"/>
      <c r="Z7373" s="6"/>
      <c r="AA7373" s="6" t="s">
        <v>779</v>
      </c>
      <c r="AB7373" s="8"/>
      <c r="AC7373" s="27">
        <v>9785160114286</v>
      </c>
    </row>
    <row r="7374" spans="1:29" s="4" customFormat="1" ht="51.9" customHeight="1" x14ac:dyDescent="0.2">
      <c r="A7374" s="5">
        <v>0</v>
      </c>
      <c r="B7374" s="6" t="s">
        <v>41685</v>
      </c>
      <c r="C7374" s="7">
        <v>1732.8</v>
      </c>
      <c r="D7374" s="8" t="s">
        <v>41686</v>
      </c>
      <c r="E7374" s="8" t="s">
        <v>41687</v>
      </c>
      <c r="F7374" s="8" t="s">
        <v>41688</v>
      </c>
      <c r="G7374" s="6" t="s">
        <v>118</v>
      </c>
      <c r="H7374" s="6" t="s">
        <v>34</v>
      </c>
      <c r="I7374" s="8" t="s">
        <v>253</v>
      </c>
      <c r="J7374" s="9">
        <v>1</v>
      </c>
      <c r="K7374" s="9">
        <v>262</v>
      </c>
      <c r="L7374" s="9">
        <v>2026</v>
      </c>
      <c r="M7374" s="8" t="s">
        <v>41689</v>
      </c>
      <c r="N7374" s="8" t="s">
        <v>243</v>
      </c>
      <c r="O7374" s="8" t="s">
        <v>798</v>
      </c>
      <c r="P7374" s="6" t="s">
        <v>51</v>
      </c>
      <c r="Q7374" s="8" t="s">
        <v>52</v>
      </c>
      <c r="R7374" s="10" t="s">
        <v>6735</v>
      </c>
      <c r="S7374" s="11" t="s">
        <v>41690</v>
      </c>
      <c r="T7374" s="6"/>
      <c r="U7374" s="15" t="str">
        <f>HYPERLINK("https://media.infra-m.ru/2224/2224096/cover/2224096.jpg", "Обложка")</f>
        <v>Обложка</v>
      </c>
      <c r="V7374" s="8" t="s">
        <v>2446</v>
      </c>
      <c r="W7374" s="6"/>
      <c r="X7374" s="6"/>
      <c r="Y7374" s="6"/>
      <c r="Z7374" s="6"/>
      <c r="AA7374" s="6" t="s">
        <v>55</v>
      </c>
      <c r="AB7374" s="8"/>
      <c r="AC7374" s="27">
        <v>9785160191843</v>
      </c>
    </row>
    <row r="7375" spans="1:29" s="4" customFormat="1" ht="51.9" customHeight="1" x14ac:dyDescent="0.2">
      <c r="A7375" s="5">
        <v>0</v>
      </c>
      <c r="B7375" s="6" t="s">
        <v>41691</v>
      </c>
      <c r="C7375" s="7">
        <v>1559.9</v>
      </c>
      <c r="D7375" s="8" t="s">
        <v>41692</v>
      </c>
      <c r="E7375" s="8" t="s">
        <v>41693</v>
      </c>
      <c r="F7375" s="8" t="s">
        <v>41694</v>
      </c>
      <c r="G7375" s="6" t="s">
        <v>60</v>
      </c>
      <c r="H7375" s="6" t="s">
        <v>34</v>
      </c>
      <c r="I7375" s="8" t="s">
        <v>263</v>
      </c>
      <c r="J7375" s="9">
        <v>1</v>
      </c>
      <c r="K7375" s="9">
        <v>444</v>
      </c>
      <c r="L7375" s="9">
        <v>2017</v>
      </c>
      <c r="M7375" s="8" t="s">
        <v>41695</v>
      </c>
      <c r="N7375" s="8" t="s">
        <v>243</v>
      </c>
      <c r="O7375" s="8" t="s">
        <v>798</v>
      </c>
      <c r="P7375" s="6" t="s">
        <v>306</v>
      </c>
      <c r="Q7375" s="8" t="s">
        <v>265</v>
      </c>
      <c r="R7375" s="10" t="s">
        <v>41696</v>
      </c>
      <c r="S7375" s="11" t="s">
        <v>25176</v>
      </c>
      <c r="T7375" s="6"/>
      <c r="U7375" s="15" t="str">
        <f>HYPERLINK("https://media.infra-m.ru/0773/0773849/cover/773849.jpg", "Обложка")</f>
        <v>Обложка</v>
      </c>
      <c r="V7375" s="8" t="s">
        <v>41697</v>
      </c>
      <c r="W7375" s="6"/>
      <c r="X7375" s="6"/>
      <c r="Y7375" s="6"/>
      <c r="Z7375" s="6"/>
      <c r="AA7375" s="6" t="s">
        <v>11623</v>
      </c>
      <c r="AB7375" s="8"/>
      <c r="AC7375" s="27">
        <v>9785160039893</v>
      </c>
    </row>
    <row r="7376" spans="1:29" s="4" customFormat="1" ht="51.9" customHeight="1" x14ac:dyDescent="0.2">
      <c r="A7376" s="5">
        <v>0</v>
      </c>
      <c r="B7376" s="6" t="s">
        <v>41698</v>
      </c>
      <c r="C7376" s="7">
        <v>3120</v>
      </c>
      <c r="D7376" s="8" t="s">
        <v>41699</v>
      </c>
      <c r="E7376" s="8" t="s">
        <v>41700</v>
      </c>
      <c r="F7376" s="8" t="s">
        <v>41701</v>
      </c>
      <c r="G7376" s="6" t="s">
        <v>60</v>
      </c>
      <c r="H7376" s="6" t="s">
        <v>34</v>
      </c>
      <c r="I7376" s="8" t="s">
        <v>263</v>
      </c>
      <c r="J7376" s="9">
        <v>1</v>
      </c>
      <c r="K7376" s="9">
        <v>447</v>
      </c>
      <c r="L7376" s="9">
        <v>2027</v>
      </c>
      <c r="M7376" s="8" t="s">
        <v>41702</v>
      </c>
      <c r="N7376" s="8" t="s">
        <v>243</v>
      </c>
      <c r="O7376" s="8" t="s">
        <v>798</v>
      </c>
      <c r="P7376" s="6" t="s">
        <v>306</v>
      </c>
      <c r="Q7376" s="8" t="s">
        <v>265</v>
      </c>
      <c r="R7376" s="10" t="s">
        <v>41696</v>
      </c>
      <c r="S7376" s="11" t="s">
        <v>25176</v>
      </c>
      <c r="T7376" s="6"/>
      <c r="U7376" s="15" t="str">
        <f>HYPERLINK("https://media.infra-m.ru/2265/2265519/cover/2265519.jpg", "Обложка")</f>
        <v>Обложка</v>
      </c>
      <c r="V7376" s="8" t="s">
        <v>41697</v>
      </c>
      <c r="W7376" s="6"/>
      <c r="X7376" s="6"/>
      <c r="Y7376" s="6"/>
      <c r="Z7376" s="6"/>
      <c r="AA7376" s="6" t="s">
        <v>1375</v>
      </c>
      <c r="AB7376" s="8"/>
      <c r="AC7376" s="27">
        <v>9785160153827</v>
      </c>
    </row>
    <row r="7377" spans="1:29" s="4" customFormat="1" ht="51.9" customHeight="1" x14ac:dyDescent="0.2">
      <c r="A7377" s="5">
        <v>0</v>
      </c>
      <c r="B7377" s="6" t="s">
        <v>41703</v>
      </c>
      <c r="C7377" s="7">
        <v>1419.6</v>
      </c>
      <c r="D7377" s="8" t="s">
        <v>41704</v>
      </c>
      <c r="E7377" s="8" t="s">
        <v>41705</v>
      </c>
      <c r="F7377" s="8" t="s">
        <v>41701</v>
      </c>
      <c r="G7377" s="6" t="s">
        <v>33</v>
      </c>
      <c r="H7377" s="6" t="s">
        <v>313</v>
      </c>
      <c r="I7377" s="8" t="s">
        <v>401</v>
      </c>
      <c r="J7377" s="9">
        <v>1</v>
      </c>
      <c r="K7377" s="9">
        <v>236</v>
      </c>
      <c r="L7377" s="9">
        <v>2027</v>
      </c>
      <c r="M7377" s="8" t="s">
        <v>41706</v>
      </c>
      <c r="N7377" s="8" t="s">
        <v>243</v>
      </c>
      <c r="O7377" s="8" t="s">
        <v>798</v>
      </c>
      <c r="P7377" s="6" t="s">
        <v>51</v>
      </c>
      <c r="Q7377" s="8" t="s">
        <v>265</v>
      </c>
      <c r="R7377" s="10" t="s">
        <v>41707</v>
      </c>
      <c r="S7377" s="11" t="s">
        <v>41708</v>
      </c>
      <c r="T7377" s="6"/>
      <c r="U7377" s="15" t="str">
        <f>HYPERLINK("https://media.infra-m.ru/2269/2269760/cover/2269760.jpg", "Обложка")</f>
        <v>Обложка</v>
      </c>
      <c r="V7377" s="8" t="s">
        <v>41697</v>
      </c>
      <c r="W7377" s="6"/>
      <c r="X7377" s="6"/>
      <c r="Y7377" s="6"/>
      <c r="Z7377" s="6"/>
      <c r="AA7377" s="6" t="s">
        <v>949</v>
      </c>
      <c r="AB7377" s="8"/>
      <c r="AC7377" s="27">
        <v>9785369000113</v>
      </c>
    </row>
    <row r="7378" spans="1:29" s="4" customFormat="1" ht="51.9" customHeight="1" x14ac:dyDescent="0.2">
      <c r="A7378" s="5">
        <v>0</v>
      </c>
      <c r="B7378" s="6" t="s">
        <v>41709</v>
      </c>
      <c r="C7378" s="7">
        <v>3952.8</v>
      </c>
      <c r="D7378" s="8" t="s">
        <v>41710</v>
      </c>
      <c r="E7378" s="8" t="s">
        <v>41711</v>
      </c>
      <c r="F7378" s="8" t="s">
        <v>41712</v>
      </c>
      <c r="G7378" s="6" t="s">
        <v>60</v>
      </c>
      <c r="H7378" s="6" t="s">
        <v>34</v>
      </c>
      <c r="I7378" s="8" t="s">
        <v>253</v>
      </c>
      <c r="J7378" s="9">
        <v>1</v>
      </c>
      <c r="K7378" s="9">
        <v>633</v>
      </c>
      <c r="L7378" s="9">
        <v>2025</v>
      </c>
      <c r="M7378" s="8" t="s">
        <v>41713</v>
      </c>
      <c r="N7378" s="8" t="s">
        <v>243</v>
      </c>
      <c r="O7378" s="8" t="s">
        <v>798</v>
      </c>
      <c r="P7378" s="6" t="s">
        <v>51</v>
      </c>
      <c r="Q7378" s="8" t="s">
        <v>65</v>
      </c>
      <c r="R7378" s="10" t="s">
        <v>6735</v>
      </c>
      <c r="S7378" s="11" t="s">
        <v>41714</v>
      </c>
      <c r="T7378" s="6"/>
      <c r="U7378" s="15" t="str">
        <f>HYPERLINK("https://media.infra-m.ru/2199/2199979/cover/2199979.jpg", "Обложка")</f>
        <v>Обложка</v>
      </c>
      <c r="V7378" s="8" t="s">
        <v>7509</v>
      </c>
      <c r="W7378" s="6"/>
      <c r="X7378" s="6"/>
      <c r="Y7378" s="6"/>
      <c r="Z7378" s="6"/>
      <c r="AA7378" s="6" t="s">
        <v>55</v>
      </c>
      <c r="AB7378" s="8"/>
      <c r="AC7378" s="27">
        <v>9785160064062</v>
      </c>
    </row>
    <row r="7379" spans="1:29" s="4" customFormat="1" ht="51.9" customHeight="1" x14ac:dyDescent="0.2">
      <c r="A7379" s="5">
        <v>0</v>
      </c>
      <c r="B7379" s="6" t="s">
        <v>41715</v>
      </c>
      <c r="C7379" s="7">
        <v>1684.8</v>
      </c>
      <c r="D7379" s="8" t="s">
        <v>41716</v>
      </c>
      <c r="E7379" s="8" t="s">
        <v>41717</v>
      </c>
      <c r="F7379" s="8" t="s">
        <v>41718</v>
      </c>
      <c r="G7379" s="6" t="s">
        <v>118</v>
      </c>
      <c r="H7379" s="6" t="s">
        <v>34</v>
      </c>
      <c r="I7379" s="8" t="s">
        <v>263</v>
      </c>
      <c r="J7379" s="9">
        <v>1</v>
      </c>
      <c r="K7379" s="9">
        <v>256</v>
      </c>
      <c r="L7379" s="9">
        <v>2026</v>
      </c>
      <c r="M7379" s="8" t="s">
        <v>41719</v>
      </c>
      <c r="N7379" s="8" t="s">
        <v>243</v>
      </c>
      <c r="O7379" s="8" t="s">
        <v>798</v>
      </c>
      <c r="P7379" s="6" t="s">
        <v>51</v>
      </c>
      <c r="Q7379" s="8" t="s">
        <v>265</v>
      </c>
      <c r="R7379" s="10" t="s">
        <v>41720</v>
      </c>
      <c r="S7379" s="11" t="s">
        <v>41721</v>
      </c>
      <c r="T7379" s="6"/>
      <c r="U7379" s="15" t="str">
        <f>HYPERLINK("https://media.infra-m.ru/2233/2233635/cover/2233635.jpg", "Обложка")</f>
        <v>Обложка</v>
      </c>
      <c r="V7379" s="8" t="s">
        <v>14816</v>
      </c>
      <c r="W7379" s="6"/>
      <c r="X7379" s="6" t="s">
        <v>24</v>
      </c>
      <c r="Y7379" s="6"/>
      <c r="Z7379" s="6" t="s">
        <v>267</v>
      </c>
      <c r="AA7379" s="6" t="s">
        <v>1256</v>
      </c>
      <c r="AB7379" s="8"/>
      <c r="AC7379" s="27">
        <v>9785000916834</v>
      </c>
    </row>
    <row r="7380" spans="1:29" s="4" customFormat="1" ht="51.9" customHeight="1" x14ac:dyDescent="0.2">
      <c r="A7380" s="5">
        <v>0</v>
      </c>
      <c r="B7380" s="6" t="s">
        <v>41722</v>
      </c>
      <c r="C7380" s="7">
        <v>1684.8</v>
      </c>
      <c r="D7380" s="8" t="s">
        <v>41723</v>
      </c>
      <c r="E7380" s="8" t="s">
        <v>41717</v>
      </c>
      <c r="F7380" s="8" t="s">
        <v>41718</v>
      </c>
      <c r="G7380" s="6" t="s">
        <v>118</v>
      </c>
      <c r="H7380" s="6" t="s">
        <v>48</v>
      </c>
      <c r="I7380" s="8" t="s">
        <v>253</v>
      </c>
      <c r="J7380" s="9">
        <v>1</v>
      </c>
      <c r="K7380" s="9">
        <v>256</v>
      </c>
      <c r="L7380" s="9">
        <v>2026</v>
      </c>
      <c r="M7380" s="8" t="s">
        <v>41724</v>
      </c>
      <c r="N7380" s="8" t="s">
        <v>243</v>
      </c>
      <c r="O7380" s="8" t="s">
        <v>798</v>
      </c>
      <c r="P7380" s="6" t="s">
        <v>51</v>
      </c>
      <c r="Q7380" s="8" t="s">
        <v>52</v>
      </c>
      <c r="R7380" s="10" t="s">
        <v>41725</v>
      </c>
      <c r="S7380" s="11" t="s">
        <v>41726</v>
      </c>
      <c r="T7380" s="6"/>
      <c r="U7380" s="15" t="str">
        <f>HYPERLINK("https://media.infra-m.ru/2223/2223195/cover/2223195.jpg", "Обложка")</f>
        <v>Обложка</v>
      </c>
      <c r="V7380" s="8" t="s">
        <v>14816</v>
      </c>
      <c r="W7380" s="6"/>
      <c r="X7380" s="6"/>
      <c r="Y7380" s="6"/>
      <c r="Z7380" s="6"/>
      <c r="AA7380" s="6" t="s">
        <v>55</v>
      </c>
      <c r="AB7380" s="8"/>
      <c r="AC7380" s="27">
        <v>9785000916650</v>
      </c>
    </row>
    <row r="7381" spans="1:29" s="4" customFormat="1" ht="51.9" customHeight="1" x14ac:dyDescent="0.2">
      <c r="A7381" s="5">
        <v>0</v>
      </c>
      <c r="B7381" s="6" t="s">
        <v>41727</v>
      </c>
      <c r="C7381" s="7">
        <v>3720</v>
      </c>
      <c r="D7381" s="8" t="s">
        <v>41728</v>
      </c>
      <c r="E7381" s="8" t="s">
        <v>41729</v>
      </c>
      <c r="F7381" s="8" t="s">
        <v>41730</v>
      </c>
      <c r="G7381" s="6" t="s">
        <v>60</v>
      </c>
      <c r="H7381" s="6" t="s">
        <v>34</v>
      </c>
      <c r="I7381" s="8" t="s">
        <v>263</v>
      </c>
      <c r="J7381" s="9">
        <v>1</v>
      </c>
      <c r="K7381" s="9">
        <v>533</v>
      </c>
      <c r="L7381" s="9">
        <v>2027</v>
      </c>
      <c r="M7381" s="8" t="s">
        <v>41731</v>
      </c>
      <c r="N7381" s="8" t="s">
        <v>243</v>
      </c>
      <c r="O7381" s="8" t="s">
        <v>798</v>
      </c>
      <c r="P7381" s="6" t="s">
        <v>306</v>
      </c>
      <c r="Q7381" s="8" t="s">
        <v>265</v>
      </c>
      <c r="R7381" s="10" t="s">
        <v>41732</v>
      </c>
      <c r="S7381" s="11" t="s">
        <v>41733</v>
      </c>
      <c r="T7381" s="6"/>
      <c r="U7381" s="15" t="str">
        <f>HYPERLINK("https://media.infra-m.ru/2265/2265448/cover/2265448.jpg", "Обложка")</f>
        <v>Обложка</v>
      </c>
      <c r="V7381" s="8" t="s">
        <v>4368</v>
      </c>
      <c r="W7381" s="6"/>
      <c r="X7381" s="6" t="s">
        <v>24</v>
      </c>
      <c r="Y7381" s="6"/>
      <c r="Z7381" s="6" t="s">
        <v>267</v>
      </c>
      <c r="AA7381" s="6" t="s">
        <v>86</v>
      </c>
      <c r="AB7381" s="8"/>
      <c r="AC7381" s="27">
        <v>9785160142500</v>
      </c>
    </row>
    <row r="7382" spans="1:29" s="4" customFormat="1" ht="51.9" customHeight="1" x14ac:dyDescent="0.2">
      <c r="A7382" s="5">
        <v>0</v>
      </c>
      <c r="B7382" s="6" t="s">
        <v>41734</v>
      </c>
      <c r="C7382" s="7">
        <v>2640</v>
      </c>
      <c r="D7382" s="8" t="s">
        <v>41735</v>
      </c>
      <c r="E7382" s="8" t="s">
        <v>41736</v>
      </c>
      <c r="F7382" s="8" t="s">
        <v>41737</v>
      </c>
      <c r="G7382" s="6" t="s">
        <v>118</v>
      </c>
      <c r="H7382" s="6" t="s">
        <v>34</v>
      </c>
      <c r="I7382" s="8" t="s">
        <v>253</v>
      </c>
      <c r="J7382" s="9">
        <v>1</v>
      </c>
      <c r="K7382" s="9">
        <v>400</v>
      </c>
      <c r="L7382" s="9">
        <v>2026</v>
      </c>
      <c r="M7382" s="8" t="s">
        <v>41738</v>
      </c>
      <c r="N7382" s="8" t="s">
        <v>243</v>
      </c>
      <c r="O7382" s="8" t="s">
        <v>798</v>
      </c>
      <c r="P7382" s="6" t="s">
        <v>306</v>
      </c>
      <c r="Q7382" s="8" t="s">
        <v>52</v>
      </c>
      <c r="R7382" s="10" t="s">
        <v>6735</v>
      </c>
      <c r="S7382" s="11" t="s">
        <v>41739</v>
      </c>
      <c r="T7382" s="6"/>
      <c r="U7382" s="15" t="str">
        <f>HYPERLINK("https://media.infra-m.ru/2227/2227855/cover/2227855.jpg", "Обложка")</f>
        <v>Обложка</v>
      </c>
      <c r="V7382" s="8" t="s">
        <v>4368</v>
      </c>
      <c r="W7382" s="6"/>
      <c r="X7382" s="6"/>
      <c r="Y7382" s="6"/>
      <c r="Z7382" s="6"/>
      <c r="AA7382" s="6" t="s">
        <v>2240</v>
      </c>
      <c r="AB7382" s="8"/>
      <c r="AC7382" s="27">
        <v>9785160215105</v>
      </c>
    </row>
    <row r="7383" spans="1:29" s="4" customFormat="1" ht="51.9" customHeight="1" x14ac:dyDescent="0.2">
      <c r="A7383" s="5">
        <v>0</v>
      </c>
      <c r="B7383" s="6" t="s">
        <v>41740</v>
      </c>
      <c r="C7383" s="7">
        <v>1800</v>
      </c>
      <c r="D7383" s="8" t="s">
        <v>41741</v>
      </c>
      <c r="E7383" s="8" t="s">
        <v>41729</v>
      </c>
      <c r="F7383" s="8" t="s">
        <v>41742</v>
      </c>
      <c r="G7383" s="6" t="s">
        <v>118</v>
      </c>
      <c r="H7383" s="6" t="s">
        <v>34</v>
      </c>
      <c r="I7383" s="8" t="s">
        <v>271</v>
      </c>
      <c r="J7383" s="9">
        <v>1</v>
      </c>
      <c r="K7383" s="9">
        <v>533</v>
      </c>
      <c r="L7383" s="9">
        <v>2018</v>
      </c>
      <c r="M7383" s="8" t="s">
        <v>41743</v>
      </c>
      <c r="N7383" s="8" t="s">
        <v>243</v>
      </c>
      <c r="O7383" s="8" t="s">
        <v>798</v>
      </c>
      <c r="P7383" s="6" t="s">
        <v>306</v>
      </c>
      <c r="Q7383" s="8" t="s">
        <v>52</v>
      </c>
      <c r="R7383" s="10" t="s">
        <v>6735</v>
      </c>
      <c r="S7383" s="11" t="s">
        <v>41739</v>
      </c>
      <c r="T7383" s="6"/>
      <c r="U7383" s="15" t="str">
        <f>HYPERLINK("https://media.infra-m.ru/0954/0954457/cover/954457.jpg", "Обложка")</f>
        <v>Обложка</v>
      </c>
      <c r="V7383" s="8" t="s">
        <v>4368</v>
      </c>
      <c r="W7383" s="6"/>
      <c r="X7383" s="6"/>
      <c r="Y7383" s="6"/>
      <c r="Z7383" s="6"/>
      <c r="AA7383" s="6" t="s">
        <v>43</v>
      </c>
      <c r="AB7383" s="8"/>
      <c r="AC7383" s="27">
        <v>9785160048260</v>
      </c>
    </row>
    <row r="7384" spans="1:29" s="4" customFormat="1" ht="51.9" customHeight="1" x14ac:dyDescent="0.2">
      <c r="A7384" s="5">
        <v>0</v>
      </c>
      <c r="B7384" s="6" t="s">
        <v>41744</v>
      </c>
      <c r="C7384" s="7">
        <v>2748</v>
      </c>
      <c r="D7384" s="8" t="s">
        <v>41745</v>
      </c>
      <c r="E7384" s="8" t="s">
        <v>41746</v>
      </c>
      <c r="F7384" s="8" t="s">
        <v>41747</v>
      </c>
      <c r="G7384" s="6" t="s">
        <v>33</v>
      </c>
      <c r="H7384" s="6" t="s">
        <v>313</v>
      </c>
      <c r="I7384" s="8" t="s">
        <v>253</v>
      </c>
      <c r="J7384" s="9">
        <v>1</v>
      </c>
      <c r="K7384" s="9">
        <v>397</v>
      </c>
      <c r="L7384" s="9">
        <v>2026</v>
      </c>
      <c r="M7384" s="8" t="s">
        <v>41748</v>
      </c>
      <c r="N7384" s="8" t="s">
        <v>243</v>
      </c>
      <c r="O7384" s="8" t="s">
        <v>798</v>
      </c>
      <c r="P7384" s="6" t="s">
        <v>306</v>
      </c>
      <c r="Q7384" s="8" t="s">
        <v>52</v>
      </c>
      <c r="R7384" s="10" t="s">
        <v>6735</v>
      </c>
      <c r="S7384" s="11" t="s">
        <v>41749</v>
      </c>
      <c r="T7384" s="6"/>
      <c r="U7384" s="15" t="str">
        <f>HYPERLINK("https://media.infra-m.ru/2224/2224080/cover/2224080.jpg", "Обложка")</f>
        <v>Обложка</v>
      </c>
      <c r="V7384" s="8" t="s">
        <v>4368</v>
      </c>
      <c r="W7384" s="6"/>
      <c r="X7384" s="6"/>
      <c r="Y7384" s="6"/>
      <c r="Z7384" s="6"/>
      <c r="AA7384" s="6" t="s">
        <v>248</v>
      </c>
      <c r="AB7384" s="8"/>
      <c r="AC7384" s="27">
        <v>9785369013311</v>
      </c>
    </row>
    <row r="7385" spans="1:29" s="4" customFormat="1" ht="51.9" customHeight="1" x14ac:dyDescent="0.2">
      <c r="A7385" s="5">
        <v>0</v>
      </c>
      <c r="B7385" s="6" t="s">
        <v>41750</v>
      </c>
      <c r="C7385" s="7">
        <v>1760.4</v>
      </c>
      <c r="D7385" s="8" t="s">
        <v>41751</v>
      </c>
      <c r="E7385" s="8" t="s">
        <v>41752</v>
      </c>
      <c r="F7385" s="8" t="s">
        <v>41753</v>
      </c>
      <c r="G7385" s="6" t="s">
        <v>60</v>
      </c>
      <c r="H7385" s="6" t="s">
        <v>48</v>
      </c>
      <c r="I7385" s="8" t="s">
        <v>263</v>
      </c>
      <c r="J7385" s="9">
        <v>1</v>
      </c>
      <c r="K7385" s="9">
        <v>205</v>
      </c>
      <c r="L7385" s="9">
        <v>2026</v>
      </c>
      <c r="M7385" s="8" t="s">
        <v>41754</v>
      </c>
      <c r="N7385" s="8" t="s">
        <v>63</v>
      </c>
      <c r="O7385" s="8" t="s">
        <v>181</v>
      </c>
      <c r="P7385" s="6" t="s">
        <v>306</v>
      </c>
      <c r="Q7385" s="8" t="s">
        <v>265</v>
      </c>
      <c r="R7385" s="10" t="s">
        <v>41755</v>
      </c>
      <c r="S7385" s="11" t="s">
        <v>41756</v>
      </c>
      <c r="T7385" s="6"/>
      <c r="U7385" s="15" t="str">
        <f>HYPERLINK("https://media.infra-m.ru/2233/2233662/cover/2233662.jpg", "Обложка")</f>
        <v>Обложка</v>
      </c>
      <c r="V7385" s="8" t="s">
        <v>546</v>
      </c>
      <c r="W7385" s="6"/>
      <c r="X7385" s="6"/>
      <c r="Y7385" s="6"/>
      <c r="Z7385" s="6" t="s">
        <v>267</v>
      </c>
      <c r="AA7385" s="6" t="s">
        <v>115</v>
      </c>
      <c r="AB7385" s="8"/>
      <c r="AC7385" s="27">
        <v>9785000916629</v>
      </c>
    </row>
    <row r="7386" spans="1:29" s="4" customFormat="1" ht="42" customHeight="1" x14ac:dyDescent="0.2">
      <c r="A7386" s="5">
        <v>0</v>
      </c>
      <c r="B7386" s="6" t="s">
        <v>41757</v>
      </c>
      <c r="C7386" s="7">
        <v>1628.4</v>
      </c>
      <c r="D7386" s="8" t="s">
        <v>41758</v>
      </c>
      <c r="E7386" s="8" t="s">
        <v>41752</v>
      </c>
      <c r="F7386" s="8" t="s">
        <v>41753</v>
      </c>
      <c r="G7386" s="6" t="s">
        <v>60</v>
      </c>
      <c r="H7386" s="6" t="s">
        <v>48</v>
      </c>
      <c r="I7386" s="8" t="s">
        <v>271</v>
      </c>
      <c r="J7386" s="9">
        <v>1</v>
      </c>
      <c r="K7386" s="9">
        <v>208</v>
      </c>
      <c r="L7386" s="9">
        <v>2024</v>
      </c>
      <c r="M7386" s="8" t="s">
        <v>41759</v>
      </c>
      <c r="N7386" s="8" t="s">
        <v>63</v>
      </c>
      <c r="O7386" s="8" t="s">
        <v>181</v>
      </c>
      <c r="P7386" s="6" t="s">
        <v>306</v>
      </c>
      <c r="Q7386" s="8" t="s">
        <v>52</v>
      </c>
      <c r="R7386" s="10" t="s">
        <v>41760</v>
      </c>
      <c r="S7386" s="11"/>
      <c r="T7386" s="6"/>
      <c r="U7386" s="15" t="str">
        <f>HYPERLINK("https://media.infra-m.ru/2170/2170074/cover/2170074.jpg", "Обложка")</f>
        <v>Обложка</v>
      </c>
      <c r="V7386" s="8" t="s">
        <v>546</v>
      </c>
      <c r="W7386" s="6"/>
      <c r="X7386" s="6"/>
      <c r="Y7386" s="6"/>
      <c r="Z7386" s="6"/>
      <c r="AA7386" s="6" t="s">
        <v>55</v>
      </c>
      <c r="AB7386" s="8"/>
      <c r="AC7386" s="27">
        <v>9785911346829</v>
      </c>
    </row>
    <row r="7387" spans="1:29" s="4" customFormat="1" ht="51.9" customHeight="1" x14ac:dyDescent="0.2">
      <c r="A7387" s="5">
        <v>0</v>
      </c>
      <c r="B7387" s="6" t="s">
        <v>41761</v>
      </c>
      <c r="C7387" s="7">
        <v>2316</v>
      </c>
      <c r="D7387" s="8" t="s">
        <v>41762</v>
      </c>
      <c r="E7387" s="8" t="s">
        <v>41763</v>
      </c>
      <c r="F7387" s="8" t="s">
        <v>41764</v>
      </c>
      <c r="G7387" s="6" t="s">
        <v>118</v>
      </c>
      <c r="H7387" s="6" t="s">
        <v>34</v>
      </c>
      <c r="I7387" s="8" t="s">
        <v>253</v>
      </c>
      <c r="J7387" s="9">
        <v>1</v>
      </c>
      <c r="K7387" s="9">
        <v>333</v>
      </c>
      <c r="L7387" s="9">
        <v>2026</v>
      </c>
      <c r="M7387" s="8" t="s">
        <v>41765</v>
      </c>
      <c r="N7387" s="8" t="s">
        <v>243</v>
      </c>
      <c r="O7387" s="8" t="s">
        <v>798</v>
      </c>
      <c r="P7387" s="6" t="s">
        <v>51</v>
      </c>
      <c r="Q7387" s="8" t="s">
        <v>52</v>
      </c>
      <c r="R7387" s="10" t="s">
        <v>41766</v>
      </c>
      <c r="S7387" s="11" t="s">
        <v>11247</v>
      </c>
      <c r="T7387" s="6"/>
      <c r="U7387" s="15" t="str">
        <f>HYPERLINK("https://media.infra-m.ru/2266/2266115/cover/2266115.jpg", "Обложка")</f>
        <v>Обложка</v>
      </c>
      <c r="V7387" s="8" t="s">
        <v>7509</v>
      </c>
      <c r="W7387" s="6"/>
      <c r="X7387" s="6"/>
      <c r="Y7387" s="6"/>
      <c r="Z7387" s="6"/>
      <c r="AA7387" s="6" t="s">
        <v>779</v>
      </c>
      <c r="AB7387" s="8"/>
      <c r="AC7387" s="27">
        <v>9785160224305</v>
      </c>
    </row>
    <row r="7388" spans="1:29" s="4" customFormat="1" ht="51.9" customHeight="1" x14ac:dyDescent="0.2">
      <c r="A7388" s="5">
        <v>0</v>
      </c>
      <c r="B7388" s="6" t="s">
        <v>41767</v>
      </c>
      <c r="C7388" s="7">
        <v>2389.1999999999998</v>
      </c>
      <c r="D7388" s="8" t="s">
        <v>41768</v>
      </c>
      <c r="E7388" s="8" t="s">
        <v>41769</v>
      </c>
      <c r="F7388" s="8"/>
      <c r="G7388" s="6" t="s">
        <v>33</v>
      </c>
      <c r="H7388" s="6" t="s">
        <v>313</v>
      </c>
      <c r="I7388" s="8"/>
      <c r="J7388" s="9">
        <v>1</v>
      </c>
      <c r="K7388" s="9">
        <v>100</v>
      </c>
      <c r="L7388" s="9">
        <v>2020</v>
      </c>
      <c r="M7388" s="8"/>
      <c r="N7388" s="8" t="s">
        <v>243</v>
      </c>
      <c r="O7388" s="8" t="s">
        <v>798</v>
      </c>
      <c r="P7388" s="6" t="s">
        <v>314</v>
      </c>
      <c r="Q7388" s="8" t="s">
        <v>40</v>
      </c>
      <c r="R7388" s="10" t="s">
        <v>41770</v>
      </c>
      <c r="S7388" s="11"/>
      <c r="T7388" s="6"/>
      <c r="U7388" s="15" t="str">
        <f>HYPERLINK("https://media.infra-m.ru/1074/1074464/cover/1074464.jpg", "Обложка")</f>
        <v>Обложка</v>
      </c>
      <c r="V7388" s="8"/>
      <c r="W7388" s="6"/>
      <c r="X7388" s="6"/>
      <c r="Y7388" s="6"/>
      <c r="Z7388" s="6"/>
      <c r="AA7388" s="6"/>
      <c r="AB7388" s="8"/>
      <c r="AC7388" s="27"/>
    </row>
    <row r="7389" spans="1:29" s="4" customFormat="1" ht="51.9" customHeight="1" x14ac:dyDescent="0.2">
      <c r="A7389" s="5">
        <v>0</v>
      </c>
      <c r="B7389" s="6" t="s">
        <v>41771</v>
      </c>
      <c r="C7389" s="7">
        <v>1380</v>
      </c>
      <c r="D7389" s="8" t="s">
        <v>41772</v>
      </c>
      <c r="E7389" s="8" t="s">
        <v>41773</v>
      </c>
      <c r="F7389" s="8" t="s">
        <v>41774</v>
      </c>
      <c r="G7389" s="6" t="s">
        <v>118</v>
      </c>
      <c r="H7389" s="6" t="s">
        <v>34</v>
      </c>
      <c r="I7389" s="8" t="s">
        <v>253</v>
      </c>
      <c r="J7389" s="9">
        <v>1</v>
      </c>
      <c r="K7389" s="9">
        <v>238</v>
      </c>
      <c r="L7389" s="9">
        <v>2024</v>
      </c>
      <c r="M7389" s="8" t="s">
        <v>41775</v>
      </c>
      <c r="N7389" s="8" t="s">
        <v>243</v>
      </c>
      <c r="O7389" s="8" t="s">
        <v>798</v>
      </c>
      <c r="P7389" s="6" t="s">
        <v>51</v>
      </c>
      <c r="Q7389" s="8" t="s">
        <v>52</v>
      </c>
      <c r="R7389" s="10" t="s">
        <v>41776</v>
      </c>
      <c r="S7389" s="11" t="s">
        <v>41777</v>
      </c>
      <c r="T7389" s="6"/>
      <c r="U7389" s="15" t="str">
        <f>HYPERLINK("https://media.infra-m.ru/2147/2147930/cover/2147930.jpg", "Обложка")</f>
        <v>Обложка</v>
      </c>
      <c r="V7389" s="8" t="s">
        <v>546</v>
      </c>
      <c r="W7389" s="6"/>
      <c r="X7389" s="6"/>
      <c r="Y7389" s="6"/>
      <c r="Z7389" s="6"/>
      <c r="AA7389" s="6" t="s">
        <v>129</v>
      </c>
      <c r="AB7389" s="8"/>
      <c r="AC7389" s="27">
        <v>9785160199627</v>
      </c>
    </row>
    <row r="7390" spans="1:29" s="4" customFormat="1" ht="51.9" customHeight="1" x14ac:dyDescent="0.2">
      <c r="A7390" s="5">
        <v>0</v>
      </c>
      <c r="B7390" s="6" t="s">
        <v>41778</v>
      </c>
      <c r="C7390" s="7">
        <v>1464</v>
      </c>
      <c r="D7390" s="8" t="s">
        <v>41779</v>
      </c>
      <c r="E7390" s="8" t="s">
        <v>41780</v>
      </c>
      <c r="F7390" s="8" t="s">
        <v>41781</v>
      </c>
      <c r="G7390" s="6" t="s">
        <v>118</v>
      </c>
      <c r="H7390" s="6" t="s">
        <v>34</v>
      </c>
      <c r="I7390" s="8" t="s">
        <v>263</v>
      </c>
      <c r="J7390" s="9">
        <v>1</v>
      </c>
      <c r="K7390" s="9">
        <v>221</v>
      </c>
      <c r="L7390" s="9">
        <v>2026</v>
      </c>
      <c r="M7390" s="8" t="s">
        <v>41782</v>
      </c>
      <c r="N7390" s="8" t="s">
        <v>243</v>
      </c>
      <c r="O7390" s="8" t="s">
        <v>798</v>
      </c>
      <c r="P7390" s="6" t="s">
        <v>51</v>
      </c>
      <c r="Q7390" s="8" t="s">
        <v>265</v>
      </c>
      <c r="R7390" s="10" t="s">
        <v>41783</v>
      </c>
      <c r="S7390" s="11" t="s">
        <v>41784</v>
      </c>
      <c r="T7390" s="6"/>
      <c r="U7390" s="15" t="str">
        <f>HYPERLINK("https://media.infra-m.ru/2233/2233824/cover/2233824.jpg", "Обложка")</f>
        <v>Обложка</v>
      </c>
      <c r="V7390" s="8" t="s">
        <v>809</v>
      </c>
      <c r="W7390" s="6"/>
      <c r="X7390" s="6"/>
      <c r="Y7390" s="6"/>
      <c r="Z7390" s="6"/>
      <c r="AA7390" s="6" t="s">
        <v>1506</v>
      </c>
      <c r="AB7390" s="8"/>
      <c r="AC7390" s="27">
        <v>9785160126036</v>
      </c>
    </row>
    <row r="7391" spans="1:29" s="4" customFormat="1" ht="42" customHeight="1" x14ac:dyDescent="0.2">
      <c r="A7391" s="5">
        <v>0</v>
      </c>
      <c r="B7391" s="6" t="s">
        <v>41785</v>
      </c>
      <c r="C7391" s="13">
        <v>592.79999999999995</v>
      </c>
      <c r="D7391" s="8" t="s">
        <v>41786</v>
      </c>
      <c r="E7391" s="8" t="s">
        <v>41787</v>
      </c>
      <c r="F7391" s="8" t="s">
        <v>41788</v>
      </c>
      <c r="G7391" s="6" t="s">
        <v>33</v>
      </c>
      <c r="H7391" s="6" t="s">
        <v>48</v>
      </c>
      <c r="I7391" s="8" t="s">
        <v>253</v>
      </c>
      <c r="J7391" s="9">
        <v>1</v>
      </c>
      <c r="K7391" s="9">
        <v>104</v>
      </c>
      <c r="L7391" s="9">
        <v>2024</v>
      </c>
      <c r="M7391" s="8" t="s">
        <v>41789</v>
      </c>
      <c r="N7391" s="8" t="s">
        <v>243</v>
      </c>
      <c r="O7391" s="8" t="s">
        <v>329</v>
      </c>
      <c r="P7391" s="6" t="s">
        <v>51</v>
      </c>
      <c r="Q7391" s="8" t="s">
        <v>52</v>
      </c>
      <c r="R7391" s="10" t="s">
        <v>41790</v>
      </c>
      <c r="S7391" s="11"/>
      <c r="T7391" s="6"/>
      <c r="U7391" s="15" t="str">
        <f>HYPERLINK("https://media.infra-m.ru/1911/1911781/cover/1911781.jpg", "Обложка")</f>
        <v>Обложка</v>
      </c>
      <c r="V7391" s="8" t="s">
        <v>867</v>
      </c>
      <c r="W7391" s="6"/>
      <c r="X7391" s="6"/>
      <c r="Y7391" s="6"/>
      <c r="Z7391" s="6"/>
      <c r="AA7391" s="6" t="s">
        <v>274</v>
      </c>
      <c r="AB7391" s="8"/>
      <c r="AC7391" s="27">
        <v>9785000910108</v>
      </c>
    </row>
    <row r="7392" spans="1:29" s="4" customFormat="1" ht="51.9" customHeight="1" x14ac:dyDescent="0.2">
      <c r="A7392" s="5">
        <v>0</v>
      </c>
      <c r="B7392" s="6" t="s">
        <v>41791</v>
      </c>
      <c r="C7392" s="7">
        <v>1348.8</v>
      </c>
      <c r="D7392" s="8" t="s">
        <v>41792</v>
      </c>
      <c r="E7392" s="8" t="s">
        <v>41793</v>
      </c>
      <c r="F7392" s="8" t="s">
        <v>4080</v>
      </c>
      <c r="G7392" s="6" t="s">
        <v>60</v>
      </c>
      <c r="H7392" s="6" t="s">
        <v>34</v>
      </c>
      <c r="I7392" s="8" t="s">
        <v>263</v>
      </c>
      <c r="J7392" s="9">
        <v>1</v>
      </c>
      <c r="K7392" s="9">
        <v>204</v>
      </c>
      <c r="L7392" s="9">
        <v>2026</v>
      </c>
      <c r="M7392" s="8" t="s">
        <v>41794</v>
      </c>
      <c r="N7392" s="8" t="s">
        <v>37</v>
      </c>
      <c r="O7392" s="8" t="s">
        <v>233</v>
      </c>
      <c r="P7392" s="6" t="s">
        <v>306</v>
      </c>
      <c r="Q7392" s="8" t="s">
        <v>265</v>
      </c>
      <c r="R7392" s="10" t="s">
        <v>27464</v>
      </c>
      <c r="S7392" s="11" t="s">
        <v>41795</v>
      </c>
      <c r="T7392" s="6"/>
      <c r="U7392" s="15" t="str">
        <f>HYPERLINK("https://media.infra-m.ru/2239/2239115/cover/2239115.jpg", "Обложка")</f>
        <v>Обложка</v>
      </c>
      <c r="V7392" s="8" t="s">
        <v>2035</v>
      </c>
      <c r="W7392" s="6"/>
      <c r="X7392" s="6"/>
      <c r="Y7392" s="6"/>
      <c r="Z7392" s="6"/>
      <c r="AA7392" s="6" t="s">
        <v>1256</v>
      </c>
      <c r="AB7392" s="8"/>
      <c r="AC7392" s="27">
        <v>9785160152288</v>
      </c>
    </row>
    <row r="7393" spans="1:29" s="4" customFormat="1" ht="51.9" customHeight="1" x14ac:dyDescent="0.2">
      <c r="A7393" s="5">
        <v>0</v>
      </c>
      <c r="B7393" s="6" t="s">
        <v>41796</v>
      </c>
      <c r="C7393" s="7">
        <v>2416.8000000000002</v>
      </c>
      <c r="D7393" s="8" t="s">
        <v>41797</v>
      </c>
      <c r="E7393" s="8" t="s">
        <v>41798</v>
      </c>
      <c r="F7393" s="8" t="s">
        <v>41799</v>
      </c>
      <c r="G7393" s="6" t="s">
        <v>60</v>
      </c>
      <c r="H7393" s="6" t="s">
        <v>34</v>
      </c>
      <c r="I7393" s="8" t="s">
        <v>271</v>
      </c>
      <c r="J7393" s="9">
        <v>1</v>
      </c>
      <c r="K7393" s="9">
        <v>387</v>
      </c>
      <c r="L7393" s="9">
        <v>2025</v>
      </c>
      <c r="M7393" s="8" t="s">
        <v>41800</v>
      </c>
      <c r="N7393" s="8" t="s">
        <v>243</v>
      </c>
      <c r="O7393" s="8" t="s">
        <v>758</v>
      </c>
      <c r="P7393" s="6" t="s">
        <v>51</v>
      </c>
      <c r="Q7393" s="8" t="s">
        <v>52</v>
      </c>
      <c r="R7393" s="10" t="s">
        <v>41801</v>
      </c>
      <c r="S7393" s="11" t="s">
        <v>41802</v>
      </c>
      <c r="T7393" s="6"/>
      <c r="U7393" s="15" t="str">
        <f>HYPERLINK("https://media.infra-m.ru/2196/2196136/cover/2196136.jpg", "Обложка")</f>
        <v>Обложка</v>
      </c>
      <c r="V7393" s="8" t="s">
        <v>18741</v>
      </c>
      <c r="W7393" s="6"/>
      <c r="X7393" s="6"/>
      <c r="Y7393" s="6"/>
      <c r="Z7393" s="6"/>
      <c r="AA7393" s="6" t="s">
        <v>115</v>
      </c>
      <c r="AB7393" s="8"/>
      <c r="AC7393" s="27">
        <v>9785160136745</v>
      </c>
    </row>
    <row r="7394" spans="1:29" s="4" customFormat="1" ht="51.9" customHeight="1" x14ac:dyDescent="0.2">
      <c r="A7394" s="5">
        <v>0</v>
      </c>
      <c r="B7394" s="6" t="s">
        <v>41803</v>
      </c>
      <c r="C7394" s="7">
        <v>2380.8000000000002</v>
      </c>
      <c r="D7394" s="8" t="s">
        <v>41804</v>
      </c>
      <c r="E7394" s="8" t="s">
        <v>41805</v>
      </c>
      <c r="F7394" s="8" t="s">
        <v>41806</v>
      </c>
      <c r="G7394" s="6" t="s">
        <v>118</v>
      </c>
      <c r="H7394" s="6" t="s">
        <v>34</v>
      </c>
      <c r="I7394" s="8" t="s">
        <v>253</v>
      </c>
      <c r="J7394" s="9">
        <v>1</v>
      </c>
      <c r="K7394" s="9">
        <v>342</v>
      </c>
      <c r="L7394" s="9">
        <v>2027</v>
      </c>
      <c r="M7394" s="8" t="s">
        <v>41807</v>
      </c>
      <c r="N7394" s="8" t="s">
        <v>585</v>
      </c>
      <c r="O7394" s="8" t="s">
        <v>775</v>
      </c>
      <c r="P7394" s="6" t="s">
        <v>306</v>
      </c>
      <c r="Q7394" s="8" t="s">
        <v>52</v>
      </c>
      <c r="R7394" s="10" t="s">
        <v>41808</v>
      </c>
      <c r="S7394" s="11" t="s">
        <v>41809</v>
      </c>
      <c r="T7394" s="6" t="s">
        <v>97</v>
      </c>
      <c r="U7394" s="15" t="str">
        <f>HYPERLINK("https://media.infra-m.ru/2262/2262920/cover/2262920.jpg", "Обложка")</f>
        <v>Обложка</v>
      </c>
      <c r="V7394" s="8" t="s">
        <v>3087</v>
      </c>
      <c r="W7394" s="6"/>
      <c r="X7394" s="6" t="s">
        <v>24</v>
      </c>
      <c r="Y7394" s="6"/>
      <c r="Z7394" s="6"/>
      <c r="AA7394" s="6" t="s">
        <v>360</v>
      </c>
      <c r="AB7394" s="8"/>
      <c r="AC7394" s="27">
        <v>9785160201597</v>
      </c>
    </row>
    <row r="7395" spans="1:29" s="4" customFormat="1" ht="44.1" customHeight="1" x14ac:dyDescent="0.2">
      <c r="A7395" s="5">
        <v>0</v>
      </c>
      <c r="B7395" s="6" t="s">
        <v>41810</v>
      </c>
      <c r="C7395" s="7">
        <v>1492.8</v>
      </c>
      <c r="D7395" s="8" t="s">
        <v>41811</v>
      </c>
      <c r="E7395" s="8" t="s">
        <v>41812</v>
      </c>
      <c r="F7395" s="8" t="s">
        <v>41813</v>
      </c>
      <c r="G7395" s="6" t="s">
        <v>60</v>
      </c>
      <c r="H7395" s="6" t="s">
        <v>34</v>
      </c>
      <c r="I7395" s="8" t="s">
        <v>35</v>
      </c>
      <c r="J7395" s="9">
        <v>1</v>
      </c>
      <c r="K7395" s="9">
        <v>225</v>
      </c>
      <c r="L7395" s="9">
        <v>2026</v>
      </c>
      <c r="M7395" s="8" t="s">
        <v>41814</v>
      </c>
      <c r="N7395" s="8" t="s">
        <v>37</v>
      </c>
      <c r="O7395" s="8" t="s">
        <v>233</v>
      </c>
      <c r="P7395" s="6" t="s">
        <v>39</v>
      </c>
      <c r="Q7395" s="8" t="s">
        <v>40</v>
      </c>
      <c r="R7395" s="10" t="s">
        <v>459</v>
      </c>
      <c r="S7395" s="11"/>
      <c r="T7395" s="6"/>
      <c r="U7395" s="15" t="str">
        <f>HYPERLINK("https://media.infra-m.ru/2219/2219035/cover/2219035.jpg", "Обложка")</f>
        <v>Обложка</v>
      </c>
      <c r="V7395" s="8" t="s">
        <v>396</v>
      </c>
      <c r="W7395" s="6"/>
      <c r="X7395" s="6"/>
      <c r="Y7395" s="6"/>
      <c r="Z7395" s="6"/>
      <c r="AA7395" s="6" t="s">
        <v>76</v>
      </c>
      <c r="AB7395" s="8"/>
      <c r="AC7395" s="27">
        <v>9785160199115</v>
      </c>
    </row>
    <row r="7396" spans="1:29" s="4" customFormat="1" ht="51.9" customHeight="1" x14ac:dyDescent="0.2">
      <c r="A7396" s="5">
        <v>0</v>
      </c>
      <c r="B7396" s="6" t="s">
        <v>41815</v>
      </c>
      <c r="C7396" s="13">
        <v>612</v>
      </c>
      <c r="D7396" s="8" t="s">
        <v>41816</v>
      </c>
      <c r="E7396" s="8" t="s">
        <v>41817</v>
      </c>
      <c r="F7396" s="8" t="s">
        <v>3461</v>
      </c>
      <c r="G7396" s="6" t="s">
        <v>33</v>
      </c>
      <c r="H7396" s="6" t="s">
        <v>34</v>
      </c>
      <c r="I7396" s="8" t="s">
        <v>253</v>
      </c>
      <c r="J7396" s="9">
        <v>1</v>
      </c>
      <c r="K7396" s="9">
        <v>88</v>
      </c>
      <c r="L7396" s="9">
        <v>2024</v>
      </c>
      <c r="M7396" s="8" t="s">
        <v>41818</v>
      </c>
      <c r="N7396" s="8" t="s">
        <v>63</v>
      </c>
      <c r="O7396" s="8" t="s">
        <v>181</v>
      </c>
      <c r="P7396" s="6" t="s">
        <v>51</v>
      </c>
      <c r="Q7396" s="8" t="s">
        <v>65</v>
      </c>
      <c r="R7396" s="10" t="s">
        <v>8626</v>
      </c>
      <c r="S7396" s="11" t="s">
        <v>41819</v>
      </c>
      <c r="T7396" s="6"/>
      <c r="U7396" s="15" t="str">
        <f>HYPERLINK("https://media.infra-m.ru/1871/1871529/cover/1871529.jpg", "Обложка")</f>
        <v>Обложка</v>
      </c>
      <c r="V7396" s="8" t="s">
        <v>2446</v>
      </c>
      <c r="W7396" s="6"/>
      <c r="X7396" s="6"/>
      <c r="Y7396" s="6"/>
      <c r="Z7396" s="6"/>
      <c r="AA7396" s="6" t="s">
        <v>779</v>
      </c>
      <c r="AB7396" s="8"/>
      <c r="AC7396" s="27">
        <v>9785160188836</v>
      </c>
    </row>
    <row r="7397" spans="1:29" s="4" customFormat="1" ht="42" customHeight="1" x14ac:dyDescent="0.2">
      <c r="A7397" s="5">
        <v>0</v>
      </c>
      <c r="B7397" s="6" t="s">
        <v>41820</v>
      </c>
      <c r="C7397" s="13">
        <v>460.8</v>
      </c>
      <c r="D7397" s="8" t="s">
        <v>41821</v>
      </c>
      <c r="E7397" s="8" t="s">
        <v>41822</v>
      </c>
      <c r="F7397" s="8" t="s">
        <v>41823</v>
      </c>
      <c r="G7397" s="6" t="s">
        <v>33</v>
      </c>
      <c r="H7397" s="6" t="s">
        <v>34</v>
      </c>
      <c r="I7397" s="8" t="s">
        <v>271</v>
      </c>
      <c r="J7397" s="9">
        <v>1</v>
      </c>
      <c r="K7397" s="9">
        <v>61</v>
      </c>
      <c r="L7397" s="9">
        <v>2025</v>
      </c>
      <c r="M7397" s="8" t="s">
        <v>41824</v>
      </c>
      <c r="N7397" s="8" t="s">
        <v>243</v>
      </c>
      <c r="O7397" s="8" t="s">
        <v>798</v>
      </c>
      <c r="P7397" s="6" t="s">
        <v>51</v>
      </c>
      <c r="Q7397" s="8" t="s">
        <v>52</v>
      </c>
      <c r="R7397" s="10" t="s">
        <v>7812</v>
      </c>
      <c r="S7397" s="11"/>
      <c r="T7397" s="6"/>
      <c r="U7397" s="15" t="str">
        <f>HYPERLINK("https://media.infra-m.ru/2196/2196899/cover/2196899.jpg", "Обложка")</f>
        <v>Обложка</v>
      </c>
      <c r="V7397" s="8" t="s">
        <v>4032</v>
      </c>
      <c r="W7397" s="6"/>
      <c r="X7397" s="6"/>
      <c r="Y7397" s="6"/>
      <c r="Z7397" s="6"/>
      <c r="AA7397" s="6" t="s">
        <v>779</v>
      </c>
      <c r="AB7397" s="8"/>
      <c r="AC7397" s="27">
        <v>9785160107554</v>
      </c>
    </row>
    <row r="7398" spans="1:29" s="4" customFormat="1" ht="51.9" customHeight="1" x14ac:dyDescent="0.2">
      <c r="A7398" s="5">
        <v>0</v>
      </c>
      <c r="B7398" s="6" t="s">
        <v>41825</v>
      </c>
      <c r="C7398" s="13">
        <v>672</v>
      </c>
      <c r="D7398" s="8" t="s">
        <v>41826</v>
      </c>
      <c r="E7398" s="8" t="s">
        <v>41827</v>
      </c>
      <c r="F7398" s="8" t="s">
        <v>3461</v>
      </c>
      <c r="G7398" s="6" t="s">
        <v>33</v>
      </c>
      <c r="H7398" s="6" t="s">
        <v>34</v>
      </c>
      <c r="I7398" s="8" t="s">
        <v>504</v>
      </c>
      <c r="J7398" s="9">
        <v>1</v>
      </c>
      <c r="K7398" s="9">
        <v>112</v>
      </c>
      <c r="L7398" s="9">
        <v>2025</v>
      </c>
      <c r="M7398" s="8" t="s">
        <v>41828</v>
      </c>
      <c r="N7398" s="8" t="s">
        <v>63</v>
      </c>
      <c r="O7398" s="8" t="s">
        <v>181</v>
      </c>
      <c r="P7398" s="6" t="s">
        <v>51</v>
      </c>
      <c r="Q7398" s="8" t="s">
        <v>500</v>
      </c>
      <c r="R7398" s="10" t="s">
        <v>3463</v>
      </c>
      <c r="S7398" s="11" t="s">
        <v>41829</v>
      </c>
      <c r="T7398" s="6"/>
      <c r="U7398" s="15" t="str">
        <f>HYPERLINK("https://media.infra-m.ru/2160/2160651/cover/2160651.jpg", "Обложка")</f>
        <v>Обложка</v>
      </c>
      <c r="V7398" s="8" t="s">
        <v>2446</v>
      </c>
      <c r="W7398" s="6"/>
      <c r="X7398" s="6"/>
      <c r="Y7398" s="6"/>
      <c r="Z7398" s="6"/>
      <c r="AA7398" s="6" t="s">
        <v>779</v>
      </c>
      <c r="AB7398" s="8"/>
      <c r="AC7398" s="27">
        <v>9785160161150</v>
      </c>
    </row>
    <row r="7399" spans="1:29" s="4" customFormat="1" ht="51.9" customHeight="1" x14ac:dyDescent="0.2">
      <c r="A7399" s="5">
        <v>0</v>
      </c>
      <c r="B7399" s="6" t="s">
        <v>41830</v>
      </c>
      <c r="C7399" s="7">
        <v>1956</v>
      </c>
      <c r="D7399" s="8" t="s">
        <v>41831</v>
      </c>
      <c r="E7399" s="8" t="s">
        <v>41832</v>
      </c>
      <c r="F7399" s="8" t="s">
        <v>28076</v>
      </c>
      <c r="G7399" s="6" t="s">
        <v>118</v>
      </c>
      <c r="H7399" s="6" t="s">
        <v>313</v>
      </c>
      <c r="I7399" s="8" t="s">
        <v>253</v>
      </c>
      <c r="J7399" s="9">
        <v>1</v>
      </c>
      <c r="K7399" s="9">
        <v>296</v>
      </c>
      <c r="L7399" s="9">
        <v>2026</v>
      </c>
      <c r="M7399" s="8" t="s">
        <v>41833</v>
      </c>
      <c r="N7399" s="8" t="s">
        <v>243</v>
      </c>
      <c r="O7399" s="8" t="s">
        <v>244</v>
      </c>
      <c r="P7399" s="6" t="s">
        <v>51</v>
      </c>
      <c r="Q7399" s="8" t="s">
        <v>52</v>
      </c>
      <c r="R7399" s="10" t="s">
        <v>41834</v>
      </c>
      <c r="S7399" s="11" t="s">
        <v>41835</v>
      </c>
      <c r="T7399" s="6"/>
      <c r="U7399" s="15" t="str">
        <f>HYPERLINK("https://media.infra-m.ru/2238/2238226/cover/2238226.jpg", "Обложка")</f>
        <v>Обложка</v>
      </c>
      <c r="V7399" s="8" t="s">
        <v>3428</v>
      </c>
      <c r="W7399" s="6"/>
      <c r="X7399" s="6"/>
      <c r="Y7399" s="6"/>
      <c r="Z7399" s="6"/>
      <c r="AA7399" s="6" t="s">
        <v>248</v>
      </c>
      <c r="AB7399" s="8"/>
      <c r="AC7399" s="27">
        <v>9785369012642</v>
      </c>
    </row>
    <row r="7400" spans="1:29" s="4" customFormat="1" ht="51.9" customHeight="1" x14ac:dyDescent="0.2">
      <c r="A7400" s="5">
        <v>0</v>
      </c>
      <c r="B7400" s="6" t="s">
        <v>41836</v>
      </c>
      <c r="C7400" s="7">
        <v>1505.9</v>
      </c>
      <c r="D7400" s="8" t="s">
        <v>41837</v>
      </c>
      <c r="E7400" s="8" t="s">
        <v>41838</v>
      </c>
      <c r="F7400" s="8" t="s">
        <v>41839</v>
      </c>
      <c r="G7400" s="6" t="s">
        <v>60</v>
      </c>
      <c r="H7400" s="6" t="s">
        <v>34</v>
      </c>
      <c r="I7400" s="8" t="s">
        <v>271</v>
      </c>
      <c r="J7400" s="9">
        <v>1</v>
      </c>
      <c r="K7400" s="9">
        <v>366</v>
      </c>
      <c r="L7400" s="9">
        <v>2019</v>
      </c>
      <c r="M7400" s="8" t="s">
        <v>41840</v>
      </c>
      <c r="N7400" s="8" t="s">
        <v>37</v>
      </c>
      <c r="O7400" s="8" t="s">
        <v>280</v>
      </c>
      <c r="P7400" s="6" t="s">
        <v>306</v>
      </c>
      <c r="Q7400" s="8" t="s">
        <v>52</v>
      </c>
      <c r="R7400" s="10" t="s">
        <v>37321</v>
      </c>
      <c r="S7400" s="11"/>
      <c r="T7400" s="6"/>
      <c r="U7400" s="15" t="str">
        <f>HYPERLINK("https://media.infra-m.ru/1003/1003451/cover/1003451.jpg", "Обложка")</f>
        <v>Обложка</v>
      </c>
      <c r="V7400" s="8" t="s">
        <v>3196</v>
      </c>
      <c r="W7400" s="6"/>
      <c r="X7400" s="6"/>
      <c r="Y7400" s="6"/>
      <c r="Z7400" s="6"/>
      <c r="AA7400" s="6" t="s">
        <v>446</v>
      </c>
      <c r="AB7400" s="8"/>
      <c r="AC7400" s="27">
        <v>9785160101347</v>
      </c>
    </row>
    <row r="7401" spans="1:29" s="4" customFormat="1" ht="51.9" customHeight="1" x14ac:dyDescent="0.2">
      <c r="A7401" s="5">
        <v>0</v>
      </c>
      <c r="B7401" s="6" t="s">
        <v>41841</v>
      </c>
      <c r="C7401" s="7">
        <v>2200.8000000000002</v>
      </c>
      <c r="D7401" s="8" t="s">
        <v>41842</v>
      </c>
      <c r="E7401" s="8" t="s">
        <v>41843</v>
      </c>
      <c r="F7401" s="8" t="s">
        <v>5930</v>
      </c>
      <c r="G7401" s="6" t="s">
        <v>118</v>
      </c>
      <c r="H7401" s="6" t="s">
        <v>34</v>
      </c>
      <c r="I7401" s="8" t="s">
        <v>271</v>
      </c>
      <c r="J7401" s="9">
        <v>1</v>
      </c>
      <c r="K7401" s="9">
        <v>391</v>
      </c>
      <c r="L7401" s="9">
        <v>2024</v>
      </c>
      <c r="M7401" s="8" t="s">
        <v>41844</v>
      </c>
      <c r="N7401" s="8" t="s">
        <v>37</v>
      </c>
      <c r="O7401" s="8" t="s">
        <v>280</v>
      </c>
      <c r="P7401" s="6" t="s">
        <v>306</v>
      </c>
      <c r="Q7401" s="8" t="s">
        <v>52</v>
      </c>
      <c r="R7401" s="10" t="s">
        <v>37321</v>
      </c>
      <c r="S7401" s="11" t="s">
        <v>41845</v>
      </c>
      <c r="T7401" s="6"/>
      <c r="U7401" s="15" t="str">
        <f>HYPERLINK("https://media.infra-m.ru/2140/2140134/cover/2140134.jpg", "Обложка")</f>
        <v>Обложка</v>
      </c>
      <c r="V7401" s="8" t="s">
        <v>3196</v>
      </c>
      <c r="W7401" s="6"/>
      <c r="X7401" s="6"/>
      <c r="Y7401" s="6"/>
      <c r="Z7401" s="6"/>
      <c r="AA7401" s="6" t="s">
        <v>7463</v>
      </c>
      <c r="AB7401" s="8"/>
      <c r="AC7401" s="27">
        <v>9785160147826</v>
      </c>
    </row>
    <row r="7402" spans="1:29" s="4" customFormat="1" ht="51.9" customHeight="1" x14ac:dyDescent="0.2">
      <c r="A7402" s="5">
        <v>0</v>
      </c>
      <c r="B7402" s="6" t="s">
        <v>41846</v>
      </c>
      <c r="C7402" s="7">
        <v>2152.8000000000002</v>
      </c>
      <c r="D7402" s="8" t="s">
        <v>41847</v>
      </c>
      <c r="E7402" s="8" t="s">
        <v>41848</v>
      </c>
      <c r="F7402" s="8" t="s">
        <v>20629</v>
      </c>
      <c r="G7402" s="6" t="s">
        <v>60</v>
      </c>
      <c r="H7402" s="6" t="s">
        <v>34</v>
      </c>
      <c r="I7402" s="8" t="s">
        <v>253</v>
      </c>
      <c r="J7402" s="9">
        <v>1</v>
      </c>
      <c r="K7402" s="9">
        <v>341</v>
      </c>
      <c r="L7402" s="9">
        <v>2025</v>
      </c>
      <c r="M7402" s="8" t="s">
        <v>41849</v>
      </c>
      <c r="N7402" s="8" t="s">
        <v>93</v>
      </c>
      <c r="O7402" s="8" t="s">
        <v>94</v>
      </c>
      <c r="P7402" s="6" t="s">
        <v>306</v>
      </c>
      <c r="Q7402" s="8" t="s">
        <v>65</v>
      </c>
      <c r="R7402" s="10" t="s">
        <v>37321</v>
      </c>
      <c r="S7402" s="11" t="s">
        <v>41845</v>
      </c>
      <c r="T7402" s="6"/>
      <c r="U7402" s="15" t="str">
        <f>HYPERLINK("https://media.infra-m.ru/2206/2206146/cover/2206146.jpg", "Обложка")</f>
        <v>Обложка</v>
      </c>
      <c r="V7402" s="8" t="s">
        <v>3196</v>
      </c>
      <c r="W7402" s="6"/>
      <c r="X7402" s="6"/>
      <c r="Y7402" s="6"/>
      <c r="Z7402" s="6"/>
      <c r="AA7402" s="6" t="s">
        <v>8682</v>
      </c>
      <c r="AB7402" s="8"/>
      <c r="AC7402" s="27">
        <v>9785160203263</v>
      </c>
    </row>
    <row r="7403" spans="1:29" s="4" customFormat="1" ht="42" customHeight="1" x14ac:dyDescent="0.2">
      <c r="A7403" s="5">
        <v>0</v>
      </c>
      <c r="B7403" s="6" t="s">
        <v>41850</v>
      </c>
      <c r="C7403" s="7">
        <v>1360.8</v>
      </c>
      <c r="D7403" s="8" t="s">
        <v>41851</v>
      </c>
      <c r="E7403" s="8" t="s">
        <v>41852</v>
      </c>
      <c r="F7403" s="8" t="s">
        <v>41853</v>
      </c>
      <c r="G7403" s="6" t="s">
        <v>33</v>
      </c>
      <c r="H7403" s="6" t="s">
        <v>34</v>
      </c>
      <c r="I7403" s="8" t="s">
        <v>35</v>
      </c>
      <c r="J7403" s="9">
        <v>1</v>
      </c>
      <c r="K7403" s="9">
        <v>242</v>
      </c>
      <c r="L7403" s="9">
        <v>2024</v>
      </c>
      <c r="M7403" s="8" t="s">
        <v>41854</v>
      </c>
      <c r="N7403" s="8" t="s">
        <v>93</v>
      </c>
      <c r="O7403" s="8" t="s">
        <v>94</v>
      </c>
      <c r="P7403" s="6" t="s">
        <v>39</v>
      </c>
      <c r="Q7403" s="8" t="s">
        <v>40</v>
      </c>
      <c r="R7403" s="10" t="s">
        <v>20332</v>
      </c>
      <c r="S7403" s="11"/>
      <c r="T7403" s="6"/>
      <c r="U7403" s="15" t="str">
        <f>HYPERLINK("https://media.infra-m.ru/2138/2138768/cover/2138768.jpg", "Обложка")</f>
        <v>Обложка</v>
      </c>
      <c r="V7403" s="8" t="s">
        <v>3196</v>
      </c>
      <c r="W7403" s="6"/>
      <c r="X7403" s="6"/>
      <c r="Y7403" s="6"/>
      <c r="Z7403" s="6"/>
      <c r="AA7403" s="6" t="s">
        <v>2240</v>
      </c>
      <c r="AB7403" s="8"/>
      <c r="AC7403" s="27">
        <v>9785160147437</v>
      </c>
    </row>
    <row r="7404" spans="1:29" s="4" customFormat="1" ht="42" customHeight="1" x14ac:dyDescent="0.2">
      <c r="A7404" s="5">
        <v>0</v>
      </c>
      <c r="B7404" s="6" t="s">
        <v>41855</v>
      </c>
      <c r="C7404" s="7">
        <v>2392.8000000000002</v>
      </c>
      <c r="D7404" s="8" t="s">
        <v>41856</v>
      </c>
      <c r="E7404" s="8" t="s">
        <v>41857</v>
      </c>
      <c r="F7404" s="8" t="s">
        <v>3261</v>
      </c>
      <c r="G7404" s="6" t="s">
        <v>60</v>
      </c>
      <c r="H7404" s="6" t="s">
        <v>34</v>
      </c>
      <c r="I7404" s="8" t="s">
        <v>35</v>
      </c>
      <c r="J7404" s="9">
        <v>1</v>
      </c>
      <c r="K7404" s="9">
        <v>383</v>
      </c>
      <c r="L7404" s="9">
        <v>2025</v>
      </c>
      <c r="M7404" s="8" t="s">
        <v>41858</v>
      </c>
      <c r="N7404" s="8" t="s">
        <v>37</v>
      </c>
      <c r="O7404" s="8" t="s">
        <v>83</v>
      </c>
      <c r="P7404" s="6" t="s">
        <v>39</v>
      </c>
      <c r="Q7404" s="8" t="s">
        <v>40</v>
      </c>
      <c r="R7404" s="10" t="s">
        <v>41859</v>
      </c>
      <c r="S7404" s="11"/>
      <c r="T7404" s="6"/>
      <c r="U7404" s="15" t="str">
        <f>HYPERLINK("https://media.infra-m.ru/2217/2217151/cover/2217151.jpg", "Обложка")</f>
        <v>Обложка</v>
      </c>
      <c r="V7404" s="8" t="s">
        <v>3264</v>
      </c>
      <c r="W7404" s="6"/>
      <c r="X7404" s="6"/>
      <c r="Y7404" s="6"/>
      <c r="Z7404" s="6"/>
      <c r="AA7404" s="6" t="s">
        <v>115</v>
      </c>
      <c r="AB7404" s="8"/>
      <c r="AC7404" s="27">
        <v>9785160145877</v>
      </c>
    </row>
    <row r="7405" spans="1:29" s="4" customFormat="1" ht="51.9" customHeight="1" x14ac:dyDescent="0.2">
      <c r="A7405" s="5">
        <v>0</v>
      </c>
      <c r="B7405" s="6" t="s">
        <v>41860</v>
      </c>
      <c r="C7405" s="13">
        <v>628.79999999999995</v>
      </c>
      <c r="D7405" s="8" t="s">
        <v>41861</v>
      </c>
      <c r="E7405" s="8" t="s">
        <v>41862</v>
      </c>
      <c r="F7405" s="8" t="s">
        <v>41863</v>
      </c>
      <c r="G7405" s="6" t="s">
        <v>33</v>
      </c>
      <c r="H7405" s="6" t="s">
        <v>34</v>
      </c>
      <c r="I7405" s="8" t="s">
        <v>35</v>
      </c>
      <c r="J7405" s="9">
        <v>1</v>
      </c>
      <c r="K7405" s="9">
        <v>111</v>
      </c>
      <c r="L7405" s="9">
        <v>2023</v>
      </c>
      <c r="M7405" s="8" t="s">
        <v>41864</v>
      </c>
      <c r="N7405" s="8" t="s">
        <v>37</v>
      </c>
      <c r="O7405" s="8" t="s">
        <v>136</v>
      </c>
      <c r="P7405" s="6" t="s">
        <v>39</v>
      </c>
      <c r="Q7405" s="8" t="s">
        <v>40</v>
      </c>
      <c r="R7405" s="10" t="s">
        <v>11151</v>
      </c>
      <c r="S7405" s="11"/>
      <c r="T7405" s="6"/>
      <c r="U7405" s="15" t="str">
        <f>HYPERLINK("https://media.infra-m.ru/2021/2021405/cover/2021405.jpg", "Обложка")</f>
        <v>Обложка</v>
      </c>
      <c r="V7405" s="8" t="s">
        <v>5902</v>
      </c>
      <c r="W7405" s="6"/>
      <c r="X7405" s="6"/>
      <c r="Y7405" s="6"/>
      <c r="Z7405" s="6"/>
      <c r="AA7405" s="6" t="s">
        <v>115</v>
      </c>
      <c r="AB7405" s="8"/>
      <c r="AC7405" s="27">
        <v>9785160137957</v>
      </c>
    </row>
    <row r="7406" spans="1:29" s="4" customFormat="1" ht="51.9" customHeight="1" x14ac:dyDescent="0.2">
      <c r="A7406" s="5">
        <v>0</v>
      </c>
      <c r="B7406" s="6" t="s">
        <v>41865</v>
      </c>
      <c r="C7406" s="7">
        <v>1860</v>
      </c>
      <c r="D7406" s="8" t="s">
        <v>41866</v>
      </c>
      <c r="E7406" s="8" t="s">
        <v>41867</v>
      </c>
      <c r="F7406" s="8" t="s">
        <v>41868</v>
      </c>
      <c r="G7406" s="6" t="s">
        <v>118</v>
      </c>
      <c r="H7406" s="6" t="s">
        <v>134</v>
      </c>
      <c r="I7406" s="8"/>
      <c r="J7406" s="9">
        <v>1</v>
      </c>
      <c r="K7406" s="9">
        <v>336</v>
      </c>
      <c r="L7406" s="9">
        <v>2024</v>
      </c>
      <c r="M7406" s="8" t="s">
        <v>41869</v>
      </c>
      <c r="N7406" s="8" t="s">
        <v>37</v>
      </c>
      <c r="O7406" s="8" t="s">
        <v>136</v>
      </c>
      <c r="P7406" s="6" t="s">
        <v>39</v>
      </c>
      <c r="Q7406" s="8" t="s">
        <v>40</v>
      </c>
      <c r="R7406" s="10" t="s">
        <v>4881</v>
      </c>
      <c r="S7406" s="11"/>
      <c r="T7406" s="6"/>
      <c r="U7406" s="15" t="str">
        <f>HYPERLINK("https://media.infra-m.ru/2114/2114307/cover/2114307.jpg", "Обложка")</f>
        <v>Обложка</v>
      </c>
      <c r="V7406" s="8" t="s">
        <v>6114</v>
      </c>
      <c r="W7406" s="6"/>
      <c r="X7406" s="6"/>
      <c r="Y7406" s="6"/>
      <c r="Z7406" s="6"/>
      <c r="AA7406" s="6" t="s">
        <v>430</v>
      </c>
      <c r="AB7406" s="8"/>
      <c r="AC7406" s="27">
        <v>9785001561415</v>
      </c>
    </row>
    <row r="7407" spans="1:29" s="4" customFormat="1" ht="42" customHeight="1" x14ac:dyDescent="0.2">
      <c r="A7407" s="5">
        <v>0</v>
      </c>
      <c r="B7407" s="6" t="s">
        <v>41870</v>
      </c>
      <c r="C7407" s="7">
        <v>2512.8000000000002</v>
      </c>
      <c r="D7407" s="8" t="s">
        <v>41871</v>
      </c>
      <c r="E7407" s="8" t="s">
        <v>41872</v>
      </c>
      <c r="F7407" s="8" t="s">
        <v>41873</v>
      </c>
      <c r="G7407" s="6" t="s">
        <v>60</v>
      </c>
      <c r="H7407" s="6" t="s">
        <v>134</v>
      </c>
      <c r="I7407" s="8"/>
      <c r="J7407" s="9">
        <v>1</v>
      </c>
      <c r="K7407" s="9">
        <v>368</v>
      </c>
      <c r="L7407" s="9">
        <v>2026</v>
      </c>
      <c r="M7407" s="8" t="s">
        <v>41874</v>
      </c>
      <c r="N7407" s="8" t="s">
        <v>37</v>
      </c>
      <c r="O7407" s="8" t="s">
        <v>136</v>
      </c>
      <c r="P7407" s="6" t="s">
        <v>51</v>
      </c>
      <c r="Q7407" s="8" t="s">
        <v>377</v>
      </c>
      <c r="R7407" s="10" t="s">
        <v>23298</v>
      </c>
      <c r="S7407" s="11"/>
      <c r="T7407" s="6"/>
      <c r="U7407" s="15" t="str">
        <f>HYPERLINK("https://media.infra-m.ru/2221/2221577/cover/2221577.jpg", "Обложка")</f>
        <v>Обложка</v>
      </c>
      <c r="V7407" s="8" t="s">
        <v>1184</v>
      </c>
      <c r="W7407" s="6"/>
      <c r="X7407" s="6"/>
      <c r="Y7407" s="6"/>
      <c r="Z7407" s="6"/>
      <c r="AA7407" s="6" t="s">
        <v>157</v>
      </c>
      <c r="AB7407" s="8"/>
      <c r="AC7407" s="27">
        <v>9785001562511</v>
      </c>
    </row>
    <row r="7408" spans="1:29" s="4" customFormat="1" ht="42" customHeight="1" x14ac:dyDescent="0.2">
      <c r="A7408" s="5">
        <v>0</v>
      </c>
      <c r="B7408" s="6" t="s">
        <v>41875</v>
      </c>
      <c r="C7408" s="7">
        <v>2760</v>
      </c>
      <c r="D7408" s="8" t="s">
        <v>41876</v>
      </c>
      <c r="E7408" s="8" t="s">
        <v>41877</v>
      </c>
      <c r="F7408" s="8" t="s">
        <v>39213</v>
      </c>
      <c r="G7408" s="6" t="s">
        <v>60</v>
      </c>
      <c r="H7408" s="6" t="s">
        <v>34</v>
      </c>
      <c r="I7408" s="8" t="s">
        <v>1835</v>
      </c>
      <c r="J7408" s="9">
        <v>1</v>
      </c>
      <c r="K7408" s="9">
        <v>486</v>
      </c>
      <c r="L7408" s="9">
        <v>2024</v>
      </c>
      <c r="M7408" s="8" t="s">
        <v>41878</v>
      </c>
      <c r="N7408" s="8" t="s">
        <v>37</v>
      </c>
      <c r="O7408" s="8" t="s">
        <v>136</v>
      </c>
      <c r="P7408" s="6" t="s">
        <v>1837</v>
      </c>
      <c r="Q7408" s="8" t="s">
        <v>65</v>
      </c>
      <c r="R7408" s="10" t="s">
        <v>41879</v>
      </c>
      <c r="S7408" s="11"/>
      <c r="T7408" s="6"/>
      <c r="U7408" s="15" t="str">
        <f>HYPERLINK("https://media.infra-m.ru/1876/1876529/cover/1876529.jpg", "Обложка")</f>
        <v>Обложка</v>
      </c>
      <c r="V7408" s="8" t="s">
        <v>1231</v>
      </c>
      <c r="W7408" s="6"/>
      <c r="X7408" s="6"/>
      <c r="Y7408" s="6"/>
      <c r="Z7408" s="6"/>
      <c r="AA7408" s="6" t="s">
        <v>76</v>
      </c>
      <c r="AB7408" s="8"/>
      <c r="AC7408" s="27">
        <v>9785160177984</v>
      </c>
    </row>
    <row r="7409" spans="1:29" s="4" customFormat="1" ht="44.1" customHeight="1" x14ac:dyDescent="0.2">
      <c r="A7409" s="5">
        <v>0</v>
      </c>
      <c r="B7409" s="6" t="s">
        <v>41880</v>
      </c>
      <c r="C7409" s="7">
        <v>2021.9</v>
      </c>
      <c r="D7409" s="8" t="s">
        <v>41881</v>
      </c>
      <c r="E7409" s="8" t="s">
        <v>41882</v>
      </c>
      <c r="F7409" s="8" t="s">
        <v>21836</v>
      </c>
      <c r="G7409" s="6" t="s">
        <v>60</v>
      </c>
      <c r="H7409" s="6" t="s">
        <v>134</v>
      </c>
      <c r="I7409" s="8"/>
      <c r="J7409" s="9">
        <v>1</v>
      </c>
      <c r="K7409" s="9">
        <v>400</v>
      </c>
      <c r="L7409" s="9">
        <v>2022</v>
      </c>
      <c r="M7409" s="8" t="s">
        <v>41883</v>
      </c>
      <c r="N7409" s="8" t="s">
        <v>37</v>
      </c>
      <c r="O7409" s="8" t="s">
        <v>136</v>
      </c>
      <c r="P7409" s="6" t="s">
        <v>39</v>
      </c>
      <c r="Q7409" s="8" t="s">
        <v>40</v>
      </c>
      <c r="R7409" s="10" t="s">
        <v>6217</v>
      </c>
      <c r="S7409" s="11"/>
      <c r="T7409" s="6"/>
      <c r="U7409" s="15" t="str">
        <f>HYPERLINK("https://media.infra-m.ru/1875/1875343/cover/1875343.jpg", "Обложка")</f>
        <v>Обложка</v>
      </c>
      <c r="V7409" s="8" t="s">
        <v>6114</v>
      </c>
      <c r="W7409" s="6"/>
      <c r="X7409" s="6"/>
      <c r="Y7409" s="6"/>
      <c r="Z7409" s="6"/>
      <c r="AA7409" s="6" t="s">
        <v>129</v>
      </c>
      <c r="AB7409" s="8"/>
      <c r="AC7409" s="27">
        <v>9785917682037</v>
      </c>
    </row>
    <row r="7410" spans="1:29" s="4" customFormat="1" ht="51.9" customHeight="1" x14ac:dyDescent="0.2">
      <c r="A7410" s="5">
        <v>0</v>
      </c>
      <c r="B7410" s="6" t="s">
        <v>41884</v>
      </c>
      <c r="C7410" s="7">
        <v>1344</v>
      </c>
      <c r="D7410" s="8" t="s">
        <v>41885</v>
      </c>
      <c r="E7410" s="8" t="s">
        <v>41886</v>
      </c>
      <c r="F7410" s="8" t="s">
        <v>41887</v>
      </c>
      <c r="G7410" s="6" t="s">
        <v>118</v>
      </c>
      <c r="H7410" s="6" t="s">
        <v>134</v>
      </c>
      <c r="I7410" s="8"/>
      <c r="J7410" s="9">
        <v>1</v>
      </c>
      <c r="K7410" s="9">
        <v>192</v>
      </c>
      <c r="L7410" s="9">
        <v>2026</v>
      </c>
      <c r="M7410" s="8" t="s">
        <v>41888</v>
      </c>
      <c r="N7410" s="8" t="s">
        <v>37</v>
      </c>
      <c r="O7410" s="8" t="s">
        <v>136</v>
      </c>
      <c r="P7410" s="6" t="s">
        <v>39</v>
      </c>
      <c r="Q7410" s="8" t="s">
        <v>40</v>
      </c>
      <c r="R7410" s="10" t="s">
        <v>1068</v>
      </c>
      <c r="S7410" s="11"/>
      <c r="T7410" s="6"/>
      <c r="U7410" s="15" t="str">
        <f>HYPERLINK("https://media.infra-m.ru/2258/2258306/cover/2258306.jpg", "Обложка")</f>
        <v>Обложка</v>
      </c>
      <c r="V7410" s="8" t="s">
        <v>1184</v>
      </c>
      <c r="W7410" s="6"/>
      <c r="X7410" s="6"/>
      <c r="Y7410" s="6"/>
      <c r="Z7410" s="6"/>
      <c r="AA7410" s="6" t="s">
        <v>115</v>
      </c>
      <c r="AB7410" s="8"/>
      <c r="AC7410" s="27">
        <v>9785917689623</v>
      </c>
    </row>
    <row r="7411" spans="1:29" s="4" customFormat="1" ht="51.9" customHeight="1" x14ac:dyDescent="0.2">
      <c r="A7411" s="5">
        <v>0</v>
      </c>
      <c r="B7411" s="6" t="s">
        <v>41889</v>
      </c>
      <c r="C7411" s="7">
        <v>1944</v>
      </c>
      <c r="D7411" s="8" t="s">
        <v>41890</v>
      </c>
      <c r="E7411" s="8" t="s">
        <v>41891</v>
      </c>
      <c r="F7411" s="8" t="s">
        <v>41892</v>
      </c>
      <c r="G7411" s="6" t="s">
        <v>118</v>
      </c>
      <c r="H7411" s="6" t="s">
        <v>313</v>
      </c>
      <c r="I7411" s="8" t="s">
        <v>253</v>
      </c>
      <c r="J7411" s="9">
        <v>1</v>
      </c>
      <c r="K7411" s="9">
        <v>294</v>
      </c>
      <c r="L7411" s="9">
        <v>2026</v>
      </c>
      <c r="M7411" s="8" t="s">
        <v>41893</v>
      </c>
      <c r="N7411" s="8" t="s">
        <v>37</v>
      </c>
      <c r="O7411" s="8" t="s">
        <v>136</v>
      </c>
      <c r="P7411" s="6" t="s">
        <v>306</v>
      </c>
      <c r="Q7411" s="8" t="s">
        <v>65</v>
      </c>
      <c r="R7411" s="10" t="s">
        <v>41894</v>
      </c>
      <c r="S7411" s="11" t="s">
        <v>41895</v>
      </c>
      <c r="T7411" s="6"/>
      <c r="U7411" s="15" t="str">
        <f>HYPERLINK("https://media.infra-m.ru/2242/2242280/cover/2242280.jpg", "Обложка")</f>
        <v>Обложка</v>
      </c>
      <c r="V7411" s="8" t="s">
        <v>8054</v>
      </c>
      <c r="W7411" s="6"/>
      <c r="X7411" s="6"/>
      <c r="Y7411" s="6"/>
      <c r="Z7411" s="6"/>
      <c r="AA7411" s="6" t="s">
        <v>3721</v>
      </c>
      <c r="AB7411" s="8"/>
      <c r="AC7411" s="27">
        <v>9785369010914</v>
      </c>
    </row>
    <row r="7412" spans="1:29" s="4" customFormat="1" ht="51.9" customHeight="1" x14ac:dyDescent="0.2">
      <c r="A7412" s="5">
        <v>0</v>
      </c>
      <c r="B7412" s="6" t="s">
        <v>41896</v>
      </c>
      <c r="C7412" s="13">
        <v>783.6</v>
      </c>
      <c r="D7412" s="8" t="s">
        <v>41897</v>
      </c>
      <c r="E7412" s="8" t="s">
        <v>41898</v>
      </c>
      <c r="F7412" s="8" t="s">
        <v>41892</v>
      </c>
      <c r="G7412" s="6" t="s">
        <v>33</v>
      </c>
      <c r="H7412" s="6" t="s">
        <v>313</v>
      </c>
      <c r="I7412" s="8" t="s">
        <v>4551</v>
      </c>
      <c r="J7412" s="9">
        <v>1</v>
      </c>
      <c r="K7412" s="9">
        <v>152</v>
      </c>
      <c r="L7412" s="9">
        <v>2026</v>
      </c>
      <c r="M7412" s="8" t="s">
        <v>41899</v>
      </c>
      <c r="N7412" s="8" t="s">
        <v>37</v>
      </c>
      <c r="O7412" s="8" t="s">
        <v>136</v>
      </c>
      <c r="P7412" s="6" t="s">
        <v>51</v>
      </c>
      <c r="Q7412" s="8" t="s">
        <v>52</v>
      </c>
      <c r="R7412" s="10" t="s">
        <v>41900</v>
      </c>
      <c r="S7412" s="11"/>
      <c r="T7412" s="6"/>
      <c r="U7412" s="15" t="str">
        <f>HYPERLINK("https://media.infra-m.ru/2259/2259933/cover/2259933.jpg", "Обложка")</f>
        <v>Обложка</v>
      </c>
      <c r="V7412" s="8" t="s">
        <v>8054</v>
      </c>
      <c r="W7412" s="6"/>
      <c r="X7412" s="6"/>
      <c r="Y7412" s="6"/>
      <c r="Z7412" s="6"/>
      <c r="AA7412" s="6" t="s">
        <v>360</v>
      </c>
      <c r="AB7412" s="8"/>
      <c r="AC7412" s="27">
        <v>9785369015308</v>
      </c>
    </row>
    <row r="7413" spans="1:29" s="4" customFormat="1" ht="51.9" customHeight="1" x14ac:dyDescent="0.2">
      <c r="A7413" s="5">
        <v>0</v>
      </c>
      <c r="B7413" s="6" t="s">
        <v>41901</v>
      </c>
      <c r="C7413" s="7">
        <v>1876.8</v>
      </c>
      <c r="D7413" s="8" t="s">
        <v>41902</v>
      </c>
      <c r="E7413" s="8" t="s">
        <v>41903</v>
      </c>
      <c r="F7413" s="8" t="s">
        <v>41904</v>
      </c>
      <c r="G7413" s="6" t="s">
        <v>33</v>
      </c>
      <c r="H7413" s="6" t="s">
        <v>134</v>
      </c>
      <c r="I7413" s="8"/>
      <c r="J7413" s="9">
        <v>1</v>
      </c>
      <c r="K7413" s="9">
        <v>288</v>
      </c>
      <c r="L7413" s="9">
        <v>2027</v>
      </c>
      <c r="M7413" s="8" t="s">
        <v>41905</v>
      </c>
      <c r="N7413" s="8" t="s">
        <v>37</v>
      </c>
      <c r="O7413" s="8" t="s">
        <v>136</v>
      </c>
      <c r="P7413" s="6" t="s">
        <v>51</v>
      </c>
      <c r="Q7413" s="8" t="s">
        <v>52</v>
      </c>
      <c r="R7413" s="10" t="s">
        <v>41906</v>
      </c>
      <c r="S7413" s="11"/>
      <c r="T7413" s="6"/>
      <c r="U7413" s="15" t="str">
        <f>HYPERLINK("https://media.infra-m.ru/2266/2266027/cover/2266027.jpg", "Обложка")</f>
        <v>Обложка</v>
      </c>
      <c r="V7413" s="8" t="s">
        <v>41907</v>
      </c>
      <c r="W7413" s="6"/>
      <c r="X7413" s="6"/>
      <c r="Y7413" s="6"/>
      <c r="Z7413" s="6"/>
      <c r="AA7413" s="6" t="s">
        <v>43</v>
      </c>
      <c r="AB7413" s="8"/>
      <c r="AC7413" s="27">
        <v>9785917682884</v>
      </c>
    </row>
    <row r="7414" spans="1:29" s="4" customFormat="1" ht="51.9" customHeight="1" x14ac:dyDescent="0.2">
      <c r="A7414" s="5">
        <v>0</v>
      </c>
      <c r="B7414" s="6" t="s">
        <v>41908</v>
      </c>
      <c r="C7414" s="7">
        <v>4176</v>
      </c>
      <c r="D7414" s="8" t="s">
        <v>41909</v>
      </c>
      <c r="E7414" s="8" t="s">
        <v>41910</v>
      </c>
      <c r="F7414" s="8" t="s">
        <v>41911</v>
      </c>
      <c r="G7414" s="6" t="s">
        <v>60</v>
      </c>
      <c r="H7414" s="6" t="s">
        <v>134</v>
      </c>
      <c r="I7414" s="8"/>
      <c r="J7414" s="9">
        <v>1</v>
      </c>
      <c r="K7414" s="9">
        <v>632</v>
      </c>
      <c r="L7414" s="9">
        <v>2025</v>
      </c>
      <c r="M7414" s="8" t="s">
        <v>41912</v>
      </c>
      <c r="N7414" s="8" t="s">
        <v>37</v>
      </c>
      <c r="O7414" s="8" t="s">
        <v>136</v>
      </c>
      <c r="P7414" s="6" t="s">
        <v>306</v>
      </c>
      <c r="Q7414" s="8" t="s">
        <v>377</v>
      </c>
      <c r="R7414" s="10" t="s">
        <v>41900</v>
      </c>
      <c r="S7414" s="11"/>
      <c r="T7414" s="6"/>
      <c r="U7414" s="15" t="str">
        <f>HYPERLINK("https://media.infra-m.ru/2223/2223539/cover/2223539.jpg", "Обложка")</f>
        <v>Обложка</v>
      </c>
      <c r="V7414" s="8" t="s">
        <v>2513</v>
      </c>
      <c r="W7414" s="6"/>
      <c r="X7414" s="6"/>
      <c r="Y7414" s="6"/>
      <c r="Z7414" s="6"/>
      <c r="AA7414" s="6" t="s">
        <v>917</v>
      </c>
      <c r="AB7414" s="8"/>
      <c r="AC7414" s="27">
        <v>9785001563754</v>
      </c>
    </row>
    <row r="7415" spans="1:29" s="4" customFormat="1" ht="51.9" customHeight="1" x14ac:dyDescent="0.2">
      <c r="A7415" s="5">
        <v>0</v>
      </c>
      <c r="B7415" s="6" t="s">
        <v>41913</v>
      </c>
      <c r="C7415" s="7">
        <v>3960</v>
      </c>
      <c r="D7415" s="8" t="s">
        <v>41914</v>
      </c>
      <c r="E7415" s="8" t="s">
        <v>41915</v>
      </c>
      <c r="F7415" s="8" t="s">
        <v>41911</v>
      </c>
      <c r="G7415" s="6" t="s">
        <v>60</v>
      </c>
      <c r="H7415" s="6" t="s">
        <v>134</v>
      </c>
      <c r="I7415" s="8"/>
      <c r="J7415" s="9">
        <v>1</v>
      </c>
      <c r="K7415" s="9">
        <v>604</v>
      </c>
      <c r="L7415" s="9">
        <v>2026</v>
      </c>
      <c r="M7415" s="8" t="s">
        <v>41916</v>
      </c>
      <c r="N7415" s="8" t="s">
        <v>37</v>
      </c>
      <c r="O7415" s="8" t="s">
        <v>136</v>
      </c>
      <c r="P7415" s="6" t="s">
        <v>306</v>
      </c>
      <c r="Q7415" s="8" t="s">
        <v>377</v>
      </c>
      <c r="R7415" s="10" t="s">
        <v>41900</v>
      </c>
      <c r="S7415" s="11"/>
      <c r="T7415" s="6"/>
      <c r="U7415" s="15" t="str">
        <f>HYPERLINK("https://media.infra-m.ru/2227/2227440/cover/2227440.jpg", "Обложка")</f>
        <v>Обложка</v>
      </c>
      <c r="V7415" s="8" t="s">
        <v>2513</v>
      </c>
      <c r="W7415" s="6" t="s">
        <v>186</v>
      </c>
      <c r="X7415" s="6"/>
      <c r="Y7415" s="6"/>
      <c r="Z7415" s="6"/>
      <c r="AA7415" s="6" t="s">
        <v>3772</v>
      </c>
      <c r="AB7415" s="8"/>
      <c r="AC7415" s="27">
        <v>9785001564638</v>
      </c>
    </row>
    <row r="7416" spans="1:29" s="4" customFormat="1" ht="51.9" customHeight="1" x14ac:dyDescent="0.2">
      <c r="A7416" s="5">
        <v>0</v>
      </c>
      <c r="B7416" s="6" t="s">
        <v>41917</v>
      </c>
      <c r="C7416" s="7">
        <v>2880</v>
      </c>
      <c r="D7416" s="8" t="s">
        <v>41918</v>
      </c>
      <c r="E7416" s="8" t="s">
        <v>41919</v>
      </c>
      <c r="F7416" s="8" t="s">
        <v>41911</v>
      </c>
      <c r="G7416" s="6" t="s">
        <v>118</v>
      </c>
      <c r="H7416" s="6" t="s">
        <v>134</v>
      </c>
      <c r="I7416" s="8"/>
      <c r="J7416" s="9">
        <v>1</v>
      </c>
      <c r="K7416" s="9">
        <v>688</v>
      </c>
      <c r="L7416" s="9">
        <v>2023</v>
      </c>
      <c r="M7416" s="8" t="s">
        <v>41920</v>
      </c>
      <c r="N7416" s="8" t="s">
        <v>37</v>
      </c>
      <c r="O7416" s="8" t="s">
        <v>136</v>
      </c>
      <c r="P7416" s="6" t="s">
        <v>306</v>
      </c>
      <c r="Q7416" s="8" t="s">
        <v>377</v>
      </c>
      <c r="R7416" s="10" t="s">
        <v>41900</v>
      </c>
      <c r="S7416" s="11"/>
      <c r="T7416" s="6"/>
      <c r="U7416" s="15" t="str">
        <f>HYPERLINK("https://media.infra-m.ru/1999/1999881/cover/1999881.jpg", "Обложка")</f>
        <v>Обложка</v>
      </c>
      <c r="V7416" s="8" t="s">
        <v>2513</v>
      </c>
      <c r="W7416" s="6"/>
      <c r="X7416" s="6"/>
      <c r="Y7416" s="6"/>
      <c r="Z7416" s="6"/>
      <c r="AA7416" s="6" t="s">
        <v>1256</v>
      </c>
      <c r="AB7416" s="8"/>
      <c r="AC7416" s="27">
        <v>9785001560159</v>
      </c>
    </row>
    <row r="7417" spans="1:29" s="4" customFormat="1" ht="51.9" customHeight="1" x14ac:dyDescent="0.2">
      <c r="A7417" s="5">
        <v>0</v>
      </c>
      <c r="B7417" s="6" t="s">
        <v>41921</v>
      </c>
      <c r="C7417" s="7">
        <v>2692.8</v>
      </c>
      <c r="D7417" s="8" t="s">
        <v>41922</v>
      </c>
      <c r="E7417" s="8" t="s">
        <v>41910</v>
      </c>
      <c r="F7417" s="8" t="s">
        <v>41923</v>
      </c>
      <c r="G7417" s="6" t="s">
        <v>60</v>
      </c>
      <c r="H7417" s="6" t="s">
        <v>134</v>
      </c>
      <c r="I7417" s="8"/>
      <c r="J7417" s="9">
        <v>1</v>
      </c>
      <c r="K7417" s="9">
        <v>432</v>
      </c>
      <c r="L7417" s="9">
        <v>2026</v>
      </c>
      <c r="M7417" s="8" t="s">
        <v>41924</v>
      </c>
      <c r="N7417" s="8" t="s">
        <v>37</v>
      </c>
      <c r="O7417" s="8" t="s">
        <v>136</v>
      </c>
      <c r="P7417" s="6" t="s">
        <v>306</v>
      </c>
      <c r="Q7417" s="8" t="s">
        <v>52</v>
      </c>
      <c r="R7417" s="10" t="s">
        <v>41906</v>
      </c>
      <c r="S7417" s="11" t="s">
        <v>41925</v>
      </c>
      <c r="T7417" s="6"/>
      <c r="U7417" s="15" t="str">
        <f>HYPERLINK("https://media.infra-m.ru/2215/2215963/cover/2215963.jpg", "Обложка")</f>
        <v>Обложка</v>
      </c>
      <c r="V7417" s="8" t="s">
        <v>2513</v>
      </c>
      <c r="W7417" s="6"/>
      <c r="X7417" s="6"/>
      <c r="Y7417" s="6"/>
      <c r="Z7417" s="6"/>
      <c r="AA7417" s="6" t="s">
        <v>6584</v>
      </c>
      <c r="AB7417" s="8"/>
      <c r="AC7417" s="27">
        <v>9785917682488</v>
      </c>
    </row>
    <row r="7418" spans="1:29" s="4" customFormat="1" ht="42" customHeight="1" x14ac:dyDescent="0.2">
      <c r="A7418" s="5">
        <v>0</v>
      </c>
      <c r="B7418" s="6" t="s">
        <v>41926</v>
      </c>
      <c r="C7418" s="7">
        <v>1296</v>
      </c>
      <c r="D7418" s="8" t="s">
        <v>41927</v>
      </c>
      <c r="E7418" s="8" t="s">
        <v>41928</v>
      </c>
      <c r="F7418" s="8" t="s">
        <v>41929</v>
      </c>
      <c r="G7418" s="6" t="s">
        <v>60</v>
      </c>
      <c r="H7418" s="6" t="s">
        <v>34</v>
      </c>
      <c r="I7418" s="8" t="s">
        <v>253</v>
      </c>
      <c r="J7418" s="9">
        <v>1</v>
      </c>
      <c r="K7418" s="9">
        <v>186</v>
      </c>
      <c r="L7418" s="9">
        <v>2026</v>
      </c>
      <c r="M7418" s="8" t="s">
        <v>41930</v>
      </c>
      <c r="N7418" s="8" t="s">
        <v>37</v>
      </c>
      <c r="O7418" s="8" t="s">
        <v>136</v>
      </c>
      <c r="P7418" s="6" t="s">
        <v>51</v>
      </c>
      <c r="Q7418" s="8" t="s">
        <v>377</v>
      </c>
      <c r="R7418" s="10" t="s">
        <v>23298</v>
      </c>
      <c r="S7418" s="11"/>
      <c r="T7418" s="6"/>
      <c r="U7418" s="15" t="str">
        <f>HYPERLINK("https://media.infra-m.ru/2193/2193747/cover/2193747.jpg", "Обложка")</f>
        <v>Обложка</v>
      </c>
      <c r="V7418" s="8" t="s">
        <v>5117</v>
      </c>
      <c r="W7418" s="6" t="s">
        <v>342</v>
      </c>
      <c r="X7418" s="6"/>
      <c r="Y7418" s="6"/>
      <c r="Z7418" s="6"/>
      <c r="AA7418" s="6" t="s">
        <v>650</v>
      </c>
      <c r="AB7418" s="8"/>
      <c r="AC7418" s="27">
        <v>9785160207858</v>
      </c>
    </row>
    <row r="7419" spans="1:29" s="4" customFormat="1" ht="51.9" customHeight="1" x14ac:dyDescent="0.2">
      <c r="A7419" s="5">
        <v>0</v>
      </c>
      <c r="B7419" s="6" t="s">
        <v>41931</v>
      </c>
      <c r="C7419" s="7">
        <v>1800</v>
      </c>
      <c r="D7419" s="8" t="s">
        <v>41932</v>
      </c>
      <c r="E7419" s="8" t="s">
        <v>41933</v>
      </c>
      <c r="F7419" s="8" t="s">
        <v>41934</v>
      </c>
      <c r="G7419" s="6" t="s">
        <v>118</v>
      </c>
      <c r="H7419" s="6" t="s">
        <v>134</v>
      </c>
      <c r="I7419" s="8"/>
      <c r="J7419" s="9">
        <v>1</v>
      </c>
      <c r="K7419" s="9">
        <v>272</v>
      </c>
      <c r="L7419" s="9">
        <v>2026</v>
      </c>
      <c r="M7419" s="8" t="s">
        <v>41935</v>
      </c>
      <c r="N7419" s="8" t="s">
        <v>37</v>
      </c>
      <c r="O7419" s="8" t="s">
        <v>136</v>
      </c>
      <c r="P7419" s="6" t="s">
        <v>105</v>
      </c>
      <c r="Q7419" s="8" t="s">
        <v>52</v>
      </c>
      <c r="R7419" s="10" t="s">
        <v>1068</v>
      </c>
      <c r="S7419" s="11"/>
      <c r="T7419" s="6"/>
      <c r="U7419" s="15" t="str">
        <f>HYPERLINK("https://media.infra-m.ru/2239/2239934/cover/2239934.jpg", "Обложка")</f>
        <v>Обложка</v>
      </c>
      <c r="V7419" s="8" t="s">
        <v>1184</v>
      </c>
      <c r="W7419" s="6"/>
      <c r="X7419" s="6"/>
      <c r="Y7419" s="6"/>
      <c r="Z7419" s="6"/>
      <c r="AA7419" s="6" t="s">
        <v>99</v>
      </c>
      <c r="AB7419" s="8"/>
      <c r="AC7419" s="27">
        <v>9785917687995</v>
      </c>
    </row>
    <row r="7420" spans="1:29" s="4" customFormat="1" ht="42" customHeight="1" x14ac:dyDescent="0.2">
      <c r="A7420" s="5">
        <v>0</v>
      </c>
      <c r="B7420" s="6" t="s">
        <v>41936</v>
      </c>
      <c r="C7420" s="13">
        <v>785.9</v>
      </c>
      <c r="D7420" s="8" t="s">
        <v>41937</v>
      </c>
      <c r="E7420" s="8" t="s">
        <v>41938</v>
      </c>
      <c r="F7420" s="8" t="s">
        <v>41939</v>
      </c>
      <c r="G7420" s="6" t="s">
        <v>33</v>
      </c>
      <c r="H7420" s="6" t="s">
        <v>34</v>
      </c>
      <c r="I7420" s="8" t="s">
        <v>1074</v>
      </c>
      <c r="J7420" s="9">
        <v>1</v>
      </c>
      <c r="K7420" s="9">
        <v>168</v>
      </c>
      <c r="L7420" s="9">
        <v>2022</v>
      </c>
      <c r="M7420" s="8" t="s">
        <v>41940</v>
      </c>
      <c r="N7420" s="8" t="s">
        <v>37</v>
      </c>
      <c r="O7420" s="8" t="s">
        <v>136</v>
      </c>
      <c r="P7420" s="6" t="s">
        <v>3141</v>
      </c>
      <c r="Q7420" s="8" t="s">
        <v>40</v>
      </c>
      <c r="R7420" s="10" t="s">
        <v>1667</v>
      </c>
      <c r="S7420" s="11"/>
      <c r="T7420" s="6"/>
      <c r="U7420" s="15" t="str">
        <f>HYPERLINK("https://media.infra-m.ru/1861/1861790/cover/1861790.jpg", "Обложка")</f>
        <v>Обложка</v>
      </c>
      <c r="V7420" s="8" t="s">
        <v>138</v>
      </c>
      <c r="W7420" s="6"/>
      <c r="X7420" s="6"/>
      <c r="Y7420" s="6"/>
      <c r="Z7420" s="6"/>
      <c r="AA7420" s="6" t="s">
        <v>99</v>
      </c>
      <c r="AB7420" s="8"/>
      <c r="AC7420" s="27">
        <v>9785160128863</v>
      </c>
    </row>
    <row r="7421" spans="1:29" s="4" customFormat="1" ht="42" customHeight="1" x14ac:dyDescent="0.2">
      <c r="A7421" s="5">
        <v>0</v>
      </c>
      <c r="B7421" s="6" t="s">
        <v>41941</v>
      </c>
      <c r="C7421" s="7">
        <v>2392.8000000000002</v>
      </c>
      <c r="D7421" s="8" t="s">
        <v>41942</v>
      </c>
      <c r="E7421" s="8" t="s">
        <v>41943</v>
      </c>
      <c r="F7421" s="8" t="s">
        <v>10001</v>
      </c>
      <c r="G7421" s="6" t="s">
        <v>60</v>
      </c>
      <c r="H7421" s="6" t="s">
        <v>134</v>
      </c>
      <c r="I7421" s="8"/>
      <c r="J7421" s="9">
        <v>1</v>
      </c>
      <c r="K7421" s="9">
        <v>432</v>
      </c>
      <c r="L7421" s="9">
        <v>2024</v>
      </c>
      <c r="M7421" s="8" t="s">
        <v>41944</v>
      </c>
      <c r="N7421" s="8" t="s">
        <v>37</v>
      </c>
      <c r="O7421" s="8" t="s">
        <v>136</v>
      </c>
      <c r="P7421" s="6" t="s">
        <v>39</v>
      </c>
      <c r="Q7421" s="8" t="s">
        <v>40</v>
      </c>
      <c r="R7421" s="10" t="s">
        <v>1667</v>
      </c>
      <c r="S7421" s="11"/>
      <c r="T7421" s="6"/>
      <c r="U7421" s="15" t="str">
        <f>HYPERLINK("https://media.infra-m.ru/1862/1862615/cover/1862615.jpg", "Обложка")</f>
        <v>Обложка</v>
      </c>
      <c r="V7421" s="8" t="s">
        <v>138</v>
      </c>
      <c r="W7421" s="6"/>
      <c r="X7421" s="6"/>
      <c r="Y7421" s="6"/>
      <c r="Z7421" s="6"/>
      <c r="AA7421" s="6" t="s">
        <v>99</v>
      </c>
      <c r="AB7421" s="8"/>
      <c r="AC7421" s="27">
        <v>9785917688350</v>
      </c>
    </row>
    <row r="7422" spans="1:29" s="4" customFormat="1" ht="51.9" customHeight="1" x14ac:dyDescent="0.2">
      <c r="A7422" s="5">
        <v>0</v>
      </c>
      <c r="B7422" s="6" t="s">
        <v>41945</v>
      </c>
      <c r="C7422" s="7">
        <v>3792</v>
      </c>
      <c r="D7422" s="8" t="s">
        <v>41946</v>
      </c>
      <c r="E7422" s="8" t="s">
        <v>41947</v>
      </c>
      <c r="F7422" s="8" t="s">
        <v>41948</v>
      </c>
      <c r="G7422" s="6" t="s">
        <v>60</v>
      </c>
      <c r="H7422" s="6" t="s">
        <v>134</v>
      </c>
      <c r="I7422" s="8"/>
      <c r="J7422" s="9">
        <v>1</v>
      </c>
      <c r="K7422" s="9">
        <v>632</v>
      </c>
      <c r="L7422" s="9">
        <v>2025</v>
      </c>
      <c r="M7422" s="8" t="s">
        <v>41949</v>
      </c>
      <c r="N7422" s="8" t="s">
        <v>37</v>
      </c>
      <c r="O7422" s="8" t="s">
        <v>136</v>
      </c>
      <c r="P7422" s="6" t="s">
        <v>306</v>
      </c>
      <c r="Q7422" s="8" t="s">
        <v>52</v>
      </c>
      <c r="R7422" s="10" t="s">
        <v>41950</v>
      </c>
      <c r="S7422" s="11" t="s">
        <v>41951</v>
      </c>
      <c r="T7422" s="6"/>
      <c r="U7422" s="15" t="str">
        <f>HYPERLINK("https://media.infra-m.ru/2185/2185073/cover/2185073.jpg", "Обложка")</f>
        <v>Обложка</v>
      </c>
      <c r="V7422" s="8" t="s">
        <v>8054</v>
      </c>
      <c r="W7422" s="6"/>
      <c r="X7422" s="6"/>
      <c r="Y7422" s="6"/>
      <c r="Z7422" s="6"/>
      <c r="AA7422" s="6" t="s">
        <v>1411</v>
      </c>
      <c r="AB7422" s="8"/>
      <c r="AC7422" s="27">
        <v>9785917686073</v>
      </c>
    </row>
    <row r="7423" spans="1:29" s="4" customFormat="1" ht="51.9" customHeight="1" x14ac:dyDescent="0.2">
      <c r="A7423" s="5">
        <v>0</v>
      </c>
      <c r="B7423" s="6" t="s">
        <v>41952</v>
      </c>
      <c r="C7423" s="7">
        <v>2572.8000000000002</v>
      </c>
      <c r="D7423" s="8" t="s">
        <v>41953</v>
      </c>
      <c r="E7423" s="8" t="s">
        <v>41954</v>
      </c>
      <c r="F7423" s="8" t="s">
        <v>41955</v>
      </c>
      <c r="G7423" s="6" t="s">
        <v>60</v>
      </c>
      <c r="H7423" s="6" t="s">
        <v>134</v>
      </c>
      <c r="I7423" s="8"/>
      <c r="J7423" s="9">
        <v>1</v>
      </c>
      <c r="K7423" s="9">
        <v>528</v>
      </c>
      <c r="L7423" s="9">
        <v>2023</v>
      </c>
      <c r="M7423" s="8" t="s">
        <v>41956</v>
      </c>
      <c r="N7423" s="8" t="s">
        <v>37</v>
      </c>
      <c r="O7423" s="8" t="s">
        <v>136</v>
      </c>
      <c r="P7423" s="6" t="s">
        <v>306</v>
      </c>
      <c r="Q7423" s="8" t="s">
        <v>52</v>
      </c>
      <c r="R7423" s="10" t="s">
        <v>1068</v>
      </c>
      <c r="S7423" s="11"/>
      <c r="T7423" s="6"/>
      <c r="U7423" s="15" t="str">
        <f>HYPERLINK("https://media.infra-m.ru/2132/2132554/cover/2132554.jpg", "Обложка")</f>
        <v>Обложка</v>
      </c>
      <c r="V7423" s="8" t="s">
        <v>1184</v>
      </c>
      <c r="W7423" s="6"/>
      <c r="X7423" s="6"/>
      <c r="Y7423" s="6"/>
      <c r="Z7423" s="6"/>
      <c r="AA7423" s="6" t="s">
        <v>99</v>
      </c>
      <c r="AB7423" s="8"/>
      <c r="AC7423" s="27">
        <v>9785917688114</v>
      </c>
    </row>
    <row r="7424" spans="1:29" s="4" customFormat="1" ht="51.9" customHeight="1" x14ac:dyDescent="0.2">
      <c r="A7424" s="5">
        <v>0</v>
      </c>
      <c r="B7424" s="6" t="s">
        <v>41957</v>
      </c>
      <c r="C7424" s="13">
        <v>924</v>
      </c>
      <c r="D7424" s="8" t="s">
        <v>41958</v>
      </c>
      <c r="E7424" s="8" t="s">
        <v>41959</v>
      </c>
      <c r="F7424" s="8" t="s">
        <v>41960</v>
      </c>
      <c r="G7424" s="6" t="s">
        <v>118</v>
      </c>
      <c r="H7424" s="6" t="s">
        <v>34</v>
      </c>
      <c r="I7424" s="8" t="s">
        <v>5350</v>
      </c>
      <c r="J7424" s="9">
        <v>1</v>
      </c>
      <c r="K7424" s="9">
        <v>167</v>
      </c>
      <c r="L7424" s="9">
        <v>2024</v>
      </c>
      <c r="M7424" s="8" t="s">
        <v>41961</v>
      </c>
      <c r="N7424" s="8" t="s">
        <v>37</v>
      </c>
      <c r="O7424" s="8" t="s">
        <v>136</v>
      </c>
      <c r="P7424" s="6" t="s">
        <v>51</v>
      </c>
      <c r="Q7424" s="8" t="s">
        <v>377</v>
      </c>
      <c r="R7424" s="10" t="s">
        <v>5687</v>
      </c>
      <c r="S7424" s="11" t="s">
        <v>41962</v>
      </c>
      <c r="T7424" s="6"/>
      <c r="U7424" s="15" t="str">
        <f>HYPERLINK("https://media.infra-m.ru/2129/2129665/cover/2129665.jpg", "Обложка")</f>
        <v>Обложка</v>
      </c>
      <c r="V7424" s="8" t="s">
        <v>2035</v>
      </c>
      <c r="W7424" s="6"/>
      <c r="X7424" s="6"/>
      <c r="Y7424" s="6"/>
      <c r="Z7424" s="6"/>
      <c r="AA7424" s="6" t="s">
        <v>148</v>
      </c>
      <c r="AB7424" s="8"/>
      <c r="AC7424" s="27">
        <v>9785160173351</v>
      </c>
    </row>
    <row r="7425" spans="1:29" s="4" customFormat="1" ht="51.9" customHeight="1" x14ac:dyDescent="0.2">
      <c r="A7425" s="5">
        <v>0</v>
      </c>
      <c r="B7425" s="6" t="s">
        <v>41963</v>
      </c>
      <c r="C7425" s="7">
        <v>1320</v>
      </c>
      <c r="D7425" s="8" t="s">
        <v>41964</v>
      </c>
      <c r="E7425" s="8" t="s">
        <v>41965</v>
      </c>
      <c r="F7425" s="8" t="s">
        <v>41966</v>
      </c>
      <c r="G7425" s="6" t="s">
        <v>118</v>
      </c>
      <c r="H7425" s="6" t="s">
        <v>34</v>
      </c>
      <c r="I7425" s="8" t="s">
        <v>253</v>
      </c>
      <c r="J7425" s="9">
        <v>1</v>
      </c>
      <c r="K7425" s="9">
        <v>200</v>
      </c>
      <c r="L7425" s="9">
        <v>2026</v>
      </c>
      <c r="M7425" s="8" t="s">
        <v>41967</v>
      </c>
      <c r="N7425" s="8" t="s">
        <v>37</v>
      </c>
      <c r="O7425" s="8" t="s">
        <v>136</v>
      </c>
      <c r="P7425" s="6" t="s">
        <v>306</v>
      </c>
      <c r="Q7425" s="8" t="s">
        <v>377</v>
      </c>
      <c r="R7425" s="10" t="s">
        <v>15372</v>
      </c>
      <c r="S7425" s="11" t="s">
        <v>41968</v>
      </c>
      <c r="T7425" s="6"/>
      <c r="U7425" s="15" t="str">
        <f>HYPERLINK("https://media.infra-m.ru/2212/2212646/cover/2212646.jpg", "Обложка")</f>
        <v>Обложка</v>
      </c>
      <c r="V7425" s="8" t="s">
        <v>2035</v>
      </c>
      <c r="W7425" s="6"/>
      <c r="X7425" s="6"/>
      <c r="Y7425" s="6"/>
      <c r="Z7425" s="6"/>
      <c r="AA7425" s="6" t="s">
        <v>430</v>
      </c>
      <c r="AB7425" s="8"/>
      <c r="AC7425" s="27">
        <v>9785160206967</v>
      </c>
    </row>
    <row r="7426" spans="1:29" s="4" customFormat="1" ht="42" customHeight="1" x14ac:dyDescent="0.2">
      <c r="A7426" s="5">
        <v>0</v>
      </c>
      <c r="B7426" s="6" t="s">
        <v>41969</v>
      </c>
      <c r="C7426" s="7">
        <v>2844</v>
      </c>
      <c r="D7426" s="8" t="s">
        <v>41970</v>
      </c>
      <c r="E7426" s="8" t="s">
        <v>41965</v>
      </c>
      <c r="F7426" s="8" t="s">
        <v>22864</v>
      </c>
      <c r="G7426" s="6" t="s">
        <v>60</v>
      </c>
      <c r="H7426" s="6" t="s">
        <v>34</v>
      </c>
      <c r="I7426" s="8" t="s">
        <v>5350</v>
      </c>
      <c r="J7426" s="9">
        <v>1</v>
      </c>
      <c r="K7426" s="9">
        <v>515</v>
      </c>
      <c r="L7426" s="9">
        <v>2024</v>
      </c>
      <c r="M7426" s="8" t="s">
        <v>41971</v>
      </c>
      <c r="N7426" s="8" t="s">
        <v>37</v>
      </c>
      <c r="O7426" s="8" t="s">
        <v>136</v>
      </c>
      <c r="P7426" s="6" t="s">
        <v>51</v>
      </c>
      <c r="Q7426" s="8" t="s">
        <v>377</v>
      </c>
      <c r="R7426" s="10" t="s">
        <v>5687</v>
      </c>
      <c r="S7426" s="11"/>
      <c r="T7426" s="6"/>
      <c r="U7426" s="15" t="str">
        <f>HYPERLINK("https://media.infra-m.ru/1910/1910863/cover/1910863.jpg", "Обложка")</f>
        <v>Обложка</v>
      </c>
      <c r="V7426" s="8" t="s">
        <v>1231</v>
      </c>
      <c r="W7426" s="6"/>
      <c r="X7426" s="6"/>
      <c r="Y7426" s="6"/>
      <c r="Z7426" s="6"/>
      <c r="AA7426" s="6" t="s">
        <v>76</v>
      </c>
      <c r="AB7426" s="8"/>
      <c r="AC7426" s="27">
        <v>9785160180892</v>
      </c>
    </row>
    <row r="7427" spans="1:29" s="4" customFormat="1" ht="42" customHeight="1" x14ac:dyDescent="0.2">
      <c r="A7427" s="5">
        <v>0</v>
      </c>
      <c r="B7427" s="6" t="s">
        <v>41972</v>
      </c>
      <c r="C7427" s="7">
        <v>3804</v>
      </c>
      <c r="D7427" s="8" t="s">
        <v>41973</v>
      </c>
      <c r="E7427" s="8" t="s">
        <v>41974</v>
      </c>
      <c r="F7427" s="8" t="s">
        <v>17064</v>
      </c>
      <c r="G7427" s="6" t="s">
        <v>60</v>
      </c>
      <c r="H7427" s="6" t="s">
        <v>134</v>
      </c>
      <c r="I7427" s="8"/>
      <c r="J7427" s="9">
        <v>1</v>
      </c>
      <c r="K7427" s="9">
        <v>576</v>
      </c>
      <c r="L7427" s="9">
        <v>2026</v>
      </c>
      <c r="M7427" s="8" t="s">
        <v>41975</v>
      </c>
      <c r="N7427" s="8" t="s">
        <v>37</v>
      </c>
      <c r="O7427" s="8" t="s">
        <v>136</v>
      </c>
      <c r="P7427" s="6" t="s">
        <v>39</v>
      </c>
      <c r="Q7427" s="8" t="s">
        <v>40</v>
      </c>
      <c r="R7427" s="10" t="s">
        <v>1625</v>
      </c>
      <c r="S7427" s="11"/>
      <c r="T7427" s="6"/>
      <c r="U7427" s="15" t="str">
        <f>HYPERLINK("https://media.infra-m.ru/2231/2231011/cover/2231011.jpg", "Обложка")</f>
        <v>Обложка</v>
      </c>
      <c r="V7427" s="8" t="s">
        <v>1184</v>
      </c>
      <c r="W7427" s="6"/>
      <c r="X7427" s="6"/>
      <c r="Y7427" s="6"/>
      <c r="Z7427" s="6"/>
      <c r="AA7427" s="6" t="s">
        <v>3736</v>
      </c>
      <c r="AB7427" s="8"/>
      <c r="AC7427" s="27">
        <v>9785917689555</v>
      </c>
    </row>
    <row r="7428" spans="1:29" s="4" customFormat="1" ht="51.9" customHeight="1" x14ac:dyDescent="0.2">
      <c r="A7428" s="5">
        <v>0</v>
      </c>
      <c r="B7428" s="6" t="s">
        <v>41976</v>
      </c>
      <c r="C7428" s="7">
        <v>3324</v>
      </c>
      <c r="D7428" s="8" t="s">
        <v>41977</v>
      </c>
      <c r="E7428" s="8" t="s">
        <v>41978</v>
      </c>
      <c r="F7428" s="8" t="s">
        <v>41979</v>
      </c>
      <c r="G7428" s="6" t="s">
        <v>60</v>
      </c>
      <c r="H7428" s="6" t="s">
        <v>34</v>
      </c>
      <c r="I7428" s="8"/>
      <c r="J7428" s="9">
        <v>1</v>
      </c>
      <c r="K7428" s="9">
        <v>504</v>
      </c>
      <c r="L7428" s="9">
        <v>2025</v>
      </c>
      <c r="M7428" s="8" t="s">
        <v>41980</v>
      </c>
      <c r="N7428" s="8" t="s">
        <v>37</v>
      </c>
      <c r="O7428" s="8" t="s">
        <v>136</v>
      </c>
      <c r="P7428" s="6" t="s">
        <v>306</v>
      </c>
      <c r="Q7428" s="8" t="s">
        <v>65</v>
      </c>
      <c r="R7428" s="10" t="s">
        <v>41981</v>
      </c>
      <c r="S7428" s="11"/>
      <c r="T7428" s="6"/>
      <c r="U7428" s="15" t="str">
        <f>HYPERLINK("https://media.infra-m.ru/2227/2227701/cover/2227701.jpg", "Обложка")</f>
        <v>Обложка</v>
      </c>
      <c r="V7428" s="8" t="s">
        <v>1231</v>
      </c>
      <c r="W7428" s="6" t="s">
        <v>342</v>
      </c>
      <c r="X7428" s="6"/>
      <c r="Y7428" s="6"/>
      <c r="Z7428" s="6"/>
      <c r="AA7428" s="6" t="s">
        <v>68</v>
      </c>
      <c r="AB7428" s="8"/>
      <c r="AC7428" s="27">
        <v>9785160213781</v>
      </c>
    </row>
    <row r="7429" spans="1:29" s="4" customFormat="1" ht="42" customHeight="1" x14ac:dyDescent="0.2">
      <c r="A7429" s="5">
        <v>0</v>
      </c>
      <c r="B7429" s="6" t="s">
        <v>41982</v>
      </c>
      <c r="C7429" s="7">
        <v>2220</v>
      </c>
      <c r="D7429" s="8" t="s">
        <v>41983</v>
      </c>
      <c r="E7429" s="8" t="s">
        <v>41984</v>
      </c>
      <c r="F7429" s="8" t="s">
        <v>41985</v>
      </c>
      <c r="G7429" s="6" t="s">
        <v>60</v>
      </c>
      <c r="H7429" s="6" t="s">
        <v>34</v>
      </c>
      <c r="I7429" s="8" t="s">
        <v>5350</v>
      </c>
      <c r="J7429" s="9">
        <v>1</v>
      </c>
      <c r="K7429" s="9">
        <v>377</v>
      </c>
      <c r="L7429" s="9">
        <v>2023</v>
      </c>
      <c r="M7429" s="8" t="s">
        <v>41986</v>
      </c>
      <c r="N7429" s="8" t="s">
        <v>37</v>
      </c>
      <c r="O7429" s="8" t="s">
        <v>136</v>
      </c>
      <c r="P7429" s="6" t="s">
        <v>306</v>
      </c>
      <c r="Q7429" s="8" t="s">
        <v>65</v>
      </c>
      <c r="R7429" s="10" t="s">
        <v>41987</v>
      </c>
      <c r="S7429" s="11"/>
      <c r="T7429" s="6"/>
      <c r="U7429" s="15" t="str">
        <f>HYPERLINK("https://media.infra-m.ru/1904/1904326/cover/1904326.jpg", "Обложка")</f>
        <v>Обложка</v>
      </c>
      <c r="V7429" s="8" t="s">
        <v>11240</v>
      </c>
      <c r="W7429" s="6"/>
      <c r="X7429" s="6"/>
      <c r="Y7429" s="6"/>
      <c r="Z7429" s="6"/>
      <c r="AA7429" s="6" t="s">
        <v>157</v>
      </c>
      <c r="AB7429" s="8"/>
      <c r="AC7429" s="27">
        <v>9785160180182</v>
      </c>
    </row>
    <row r="7430" spans="1:29" s="4" customFormat="1" ht="51.9" customHeight="1" x14ac:dyDescent="0.2">
      <c r="A7430" s="5">
        <v>0</v>
      </c>
      <c r="B7430" s="6" t="s">
        <v>41988</v>
      </c>
      <c r="C7430" s="7">
        <v>2880</v>
      </c>
      <c r="D7430" s="8" t="s">
        <v>41989</v>
      </c>
      <c r="E7430" s="8" t="s">
        <v>41990</v>
      </c>
      <c r="F7430" s="8" t="s">
        <v>41991</v>
      </c>
      <c r="G7430" s="6" t="s">
        <v>60</v>
      </c>
      <c r="H7430" s="6" t="s">
        <v>134</v>
      </c>
      <c r="I7430" s="8"/>
      <c r="J7430" s="9">
        <v>1</v>
      </c>
      <c r="K7430" s="9">
        <v>480</v>
      </c>
      <c r="L7430" s="9">
        <v>2025</v>
      </c>
      <c r="M7430" s="8" t="s">
        <v>41992</v>
      </c>
      <c r="N7430" s="8" t="s">
        <v>37</v>
      </c>
      <c r="O7430" s="8" t="s">
        <v>136</v>
      </c>
      <c r="P7430" s="6" t="s">
        <v>39</v>
      </c>
      <c r="Q7430" s="8" t="s">
        <v>52</v>
      </c>
      <c r="R7430" s="10" t="s">
        <v>484</v>
      </c>
      <c r="S7430" s="11" t="s">
        <v>41993</v>
      </c>
      <c r="T7430" s="6"/>
      <c r="U7430" s="15" t="str">
        <f>HYPERLINK("https://media.infra-m.ru/2177/2177861/cover/2177861.jpg", "Обложка")</f>
        <v>Обложка</v>
      </c>
      <c r="V7430" s="8" t="s">
        <v>6114</v>
      </c>
      <c r="W7430" s="6"/>
      <c r="X7430" s="6"/>
      <c r="Y7430" s="6"/>
      <c r="Z7430" s="6"/>
      <c r="AA7430" s="6" t="s">
        <v>949</v>
      </c>
      <c r="AB7430" s="8"/>
      <c r="AC7430" s="27">
        <v>9785917680132</v>
      </c>
    </row>
    <row r="7431" spans="1:29" s="4" customFormat="1" ht="42" customHeight="1" x14ac:dyDescent="0.2">
      <c r="A7431" s="5">
        <v>0</v>
      </c>
      <c r="B7431" s="6" t="s">
        <v>41994</v>
      </c>
      <c r="C7431" s="7">
        <v>2544</v>
      </c>
      <c r="D7431" s="8" t="s">
        <v>41995</v>
      </c>
      <c r="E7431" s="8" t="s">
        <v>41996</v>
      </c>
      <c r="F7431" s="8" t="s">
        <v>41997</v>
      </c>
      <c r="G7431" s="6" t="s">
        <v>118</v>
      </c>
      <c r="H7431" s="6" t="s">
        <v>134</v>
      </c>
      <c r="I7431" s="8"/>
      <c r="J7431" s="9">
        <v>1</v>
      </c>
      <c r="K7431" s="9">
        <v>384</v>
      </c>
      <c r="L7431" s="9">
        <v>2026</v>
      </c>
      <c r="M7431" s="8" t="s">
        <v>41998</v>
      </c>
      <c r="N7431" s="8" t="s">
        <v>37</v>
      </c>
      <c r="O7431" s="8" t="s">
        <v>136</v>
      </c>
      <c r="P7431" s="6" t="s">
        <v>39</v>
      </c>
      <c r="Q7431" s="8" t="s">
        <v>40</v>
      </c>
      <c r="R7431" s="10" t="s">
        <v>684</v>
      </c>
      <c r="S7431" s="11"/>
      <c r="T7431" s="6"/>
      <c r="U7431" s="15" t="str">
        <f>HYPERLINK("https://media.infra-m.ru/2253/2253656/cover/2253656.jpg", "Обложка")</f>
        <v>Обложка</v>
      </c>
      <c r="V7431" s="8" t="s">
        <v>138</v>
      </c>
      <c r="W7431" s="6"/>
      <c r="X7431" s="6"/>
      <c r="Y7431" s="6"/>
      <c r="Z7431" s="6"/>
      <c r="AA7431" s="6" t="s">
        <v>76</v>
      </c>
      <c r="AB7431" s="8"/>
      <c r="AC7431" s="27">
        <v>9785001563624</v>
      </c>
    </row>
    <row r="7432" spans="1:29" s="4" customFormat="1" ht="42" customHeight="1" x14ac:dyDescent="0.2">
      <c r="A7432" s="5">
        <v>0</v>
      </c>
      <c r="B7432" s="6" t="s">
        <v>41999</v>
      </c>
      <c r="C7432" s="7">
        <v>1612.8</v>
      </c>
      <c r="D7432" s="8" t="s">
        <v>42000</v>
      </c>
      <c r="E7432" s="8" t="s">
        <v>42001</v>
      </c>
      <c r="F7432" s="8" t="s">
        <v>41929</v>
      </c>
      <c r="G7432" s="6" t="s">
        <v>118</v>
      </c>
      <c r="H7432" s="6" t="s">
        <v>34</v>
      </c>
      <c r="I7432" s="8" t="s">
        <v>5350</v>
      </c>
      <c r="J7432" s="9">
        <v>1</v>
      </c>
      <c r="K7432" s="9">
        <v>244</v>
      </c>
      <c r="L7432" s="9">
        <v>2026</v>
      </c>
      <c r="M7432" s="8" t="s">
        <v>42002</v>
      </c>
      <c r="N7432" s="8" t="s">
        <v>37</v>
      </c>
      <c r="O7432" s="8" t="s">
        <v>136</v>
      </c>
      <c r="P7432" s="6" t="s">
        <v>306</v>
      </c>
      <c r="Q7432" s="8" t="s">
        <v>377</v>
      </c>
      <c r="R7432" s="10" t="s">
        <v>23298</v>
      </c>
      <c r="S7432" s="11"/>
      <c r="T7432" s="6"/>
      <c r="U7432" s="15" t="str">
        <f>HYPERLINK("https://media.infra-m.ru/2239/2239135/cover/2239135.jpg", "Обложка")</f>
        <v>Обложка</v>
      </c>
      <c r="V7432" s="8" t="s">
        <v>5117</v>
      </c>
      <c r="W7432" s="6"/>
      <c r="X7432" s="6"/>
      <c r="Y7432" s="6"/>
      <c r="Z7432" s="6"/>
      <c r="AA7432" s="6" t="s">
        <v>157</v>
      </c>
      <c r="AB7432" s="8"/>
      <c r="AC7432" s="27">
        <v>9785160174693</v>
      </c>
    </row>
    <row r="7433" spans="1:29" s="4" customFormat="1" ht="51.9" customHeight="1" x14ac:dyDescent="0.2">
      <c r="A7433" s="5">
        <v>0</v>
      </c>
      <c r="B7433" s="6" t="s">
        <v>42003</v>
      </c>
      <c r="C7433" s="7">
        <v>1924.8</v>
      </c>
      <c r="D7433" s="8" t="s">
        <v>42004</v>
      </c>
      <c r="E7433" s="8" t="s">
        <v>42005</v>
      </c>
      <c r="F7433" s="8" t="s">
        <v>42006</v>
      </c>
      <c r="G7433" s="6" t="s">
        <v>118</v>
      </c>
      <c r="H7433" s="6" t="s">
        <v>134</v>
      </c>
      <c r="I7433" s="8"/>
      <c r="J7433" s="9">
        <v>1</v>
      </c>
      <c r="K7433" s="9">
        <v>320</v>
      </c>
      <c r="L7433" s="9">
        <v>2025</v>
      </c>
      <c r="M7433" s="8" t="s">
        <v>42007</v>
      </c>
      <c r="N7433" s="8" t="s">
        <v>37</v>
      </c>
      <c r="O7433" s="8" t="s">
        <v>136</v>
      </c>
      <c r="P7433" s="6" t="s">
        <v>306</v>
      </c>
      <c r="Q7433" s="8" t="s">
        <v>500</v>
      </c>
      <c r="R7433" s="10" t="s">
        <v>1275</v>
      </c>
      <c r="S7433" s="11"/>
      <c r="T7433" s="6"/>
      <c r="U7433" s="15" t="str">
        <f>HYPERLINK("https://media.infra-m.ru/2174/2174249/cover/2174249.jpg", "Обложка")</f>
        <v>Обложка</v>
      </c>
      <c r="V7433" s="8" t="s">
        <v>1184</v>
      </c>
      <c r="W7433" s="6"/>
      <c r="X7433" s="6"/>
      <c r="Y7433" s="6"/>
      <c r="Z7433" s="6"/>
      <c r="AA7433" s="6" t="s">
        <v>1256</v>
      </c>
      <c r="AB7433" s="8"/>
      <c r="AC7433" s="27">
        <v>9785001560166</v>
      </c>
    </row>
    <row r="7434" spans="1:29" s="4" customFormat="1" ht="51.9" customHeight="1" x14ac:dyDescent="0.2">
      <c r="A7434" s="5">
        <v>0</v>
      </c>
      <c r="B7434" s="6" t="s">
        <v>42008</v>
      </c>
      <c r="C7434" s="7">
        <v>1068</v>
      </c>
      <c r="D7434" s="8" t="s">
        <v>42009</v>
      </c>
      <c r="E7434" s="8" t="s">
        <v>42010</v>
      </c>
      <c r="F7434" s="8" t="s">
        <v>42011</v>
      </c>
      <c r="G7434" s="6" t="s">
        <v>60</v>
      </c>
      <c r="H7434" s="6" t="s">
        <v>34</v>
      </c>
      <c r="I7434" s="8" t="s">
        <v>35</v>
      </c>
      <c r="J7434" s="9">
        <v>1</v>
      </c>
      <c r="K7434" s="9">
        <v>188</v>
      </c>
      <c r="L7434" s="9">
        <v>2024</v>
      </c>
      <c r="M7434" s="8" t="s">
        <v>42012</v>
      </c>
      <c r="N7434" s="8" t="s">
        <v>37</v>
      </c>
      <c r="O7434" s="8" t="s">
        <v>136</v>
      </c>
      <c r="P7434" s="6" t="s">
        <v>39</v>
      </c>
      <c r="Q7434" s="8" t="s">
        <v>40</v>
      </c>
      <c r="R7434" s="10" t="s">
        <v>8620</v>
      </c>
      <c r="S7434" s="11"/>
      <c r="T7434" s="6"/>
      <c r="U7434" s="15" t="str">
        <f>HYPERLINK("https://media.infra-m.ru/1959/1959242/cover/1959242.jpg", "Обложка")</f>
        <v>Обложка</v>
      </c>
      <c r="V7434" s="8" t="s">
        <v>7082</v>
      </c>
      <c r="W7434" s="6"/>
      <c r="X7434" s="6"/>
      <c r="Y7434" s="6"/>
      <c r="Z7434" s="6"/>
      <c r="AA7434" s="6" t="s">
        <v>76</v>
      </c>
      <c r="AB7434" s="8"/>
      <c r="AC7434" s="27">
        <v>9785160182872</v>
      </c>
    </row>
    <row r="7435" spans="1:29" s="4" customFormat="1" ht="51.9" customHeight="1" x14ac:dyDescent="0.2">
      <c r="A7435" s="5">
        <v>0</v>
      </c>
      <c r="B7435" s="6" t="s">
        <v>42013</v>
      </c>
      <c r="C7435" s="7">
        <v>1692</v>
      </c>
      <c r="D7435" s="8" t="s">
        <v>42014</v>
      </c>
      <c r="E7435" s="8" t="s">
        <v>42015</v>
      </c>
      <c r="F7435" s="8" t="s">
        <v>42016</v>
      </c>
      <c r="G7435" s="6" t="s">
        <v>33</v>
      </c>
      <c r="H7435" s="6" t="s">
        <v>134</v>
      </c>
      <c r="I7435" s="8" t="s">
        <v>42017</v>
      </c>
      <c r="J7435" s="9">
        <v>1</v>
      </c>
      <c r="K7435" s="9">
        <v>256</v>
      </c>
      <c r="L7435" s="9">
        <v>2026</v>
      </c>
      <c r="M7435" s="8" t="s">
        <v>42018</v>
      </c>
      <c r="N7435" s="8" t="s">
        <v>37</v>
      </c>
      <c r="O7435" s="8" t="s">
        <v>136</v>
      </c>
      <c r="P7435" s="6" t="s">
        <v>4401</v>
      </c>
      <c r="Q7435" s="8" t="s">
        <v>40</v>
      </c>
      <c r="R7435" s="10" t="s">
        <v>42019</v>
      </c>
      <c r="S7435" s="11"/>
      <c r="T7435" s="6"/>
      <c r="U7435" s="15" t="str">
        <f>HYPERLINK("https://media.infra-m.ru/2252/2252423/cover/2252423.jpg", "Обложка")</f>
        <v>Обложка</v>
      </c>
      <c r="V7435" s="8" t="s">
        <v>2513</v>
      </c>
      <c r="W7435" s="6"/>
      <c r="X7435" s="6"/>
      <c r="Y7435" s="6"/>
      <c r="Z7435" s="6"/>
      <c r="AA7435" s="6" t="s">
        <v>949</v>
      </c>
      <c r="AB7435" s="8"/>
      <c r="AC7435" s="27">
        <v>9785917682495</v>
      </c>
    </row>
    <row r="7436" spans="1:29" s="4" customFormat="1" ht="51.9" customHeight="1" x14ac:dyDescent="0.2">
      <c r="A7436" s="5">
        <v>0</v>
      </c>
      <c r="B7436" s="6" t="s">
        <v>42020</v>
      </c>
      <c r="C7436" s="13">
        <v>792</v>
      </c>
      <c r="D7436" s="8" t="s">
        <v>42021</v>
      </c>
      <c r="E7436" s="8" t="s">
        <v>42022</v>
      </c>
      <c r="F7436" s="8" t="s">
        <v>42023</v>
      </c>
      <c r="G7436" s="6" t="s">
        <v>33</v>
      </c>
      <c r="H7436" s="6" t="s">
        <v>134</v>
      </c>
      <c r="I7436" s="8"/>
      <c r="J7436" s="9">
        <v>1</v>
      </c>
      <c r="K7436" s="9">
        <v>80</v>
      </c>
      <c r="L7436" s="9">
        <v>2026</v>
      </c>
      <c r="M7436" s="8" t="s">
        <v>42024</v>
      </c>
      <c r="N7436" s="8" t="s">
        <v>243</v>
      </c>
      <c r="O7436" s="8" t="s">
        <v>385</v>
      </c>
      <c r="P7436" s="6" t="s">
        <v>39</v>
      </c>
      <c r="Q7436" s="8"/>
      <c r="R7436" s="10" t="s">
        <v>42025</v>
      </c>
      <c r="S7436" s="11"/>
      <c r="T7436" s="6"/>
      <c r="U7436" s="15" t="str">
        <f>HYPERLINK("https://media.infra-m.ru/2224/2224589/cover/2224589.jpg", "Обложка")</f>
        <v>Обложка</v>
      </c>
      <c r="V7436" s="8" t="s">
        <v>2513</v>
      </c>
      <c r="W7436" s="6"/>
      <c r="X7436" s="6"/>
      <c r="Y7436" s="6"/>
      <c r="Z7436" s="6"/>
      <c r="AA7436" s="6" t="s">
        <v>187</v>
      </c>
      <c r="AB7436" s="8"/>
      <c r="AC7436" s="27">
        <v>9785001564553</v>
      </c>
    </row>
    <row r="7437" spans="1:29" s="4" customFormat="1" ht="51.9" customHeight="1" x14ac:dyDescent="0.2">
      <c r="A7437" s="5">
        <v>0</v>
      </c>
      <c r="B7437" s="6" t="s">
        <v>42026</v>
      </c>
      <c r="C7437" s="7">
        <v>1308</v>
      </c>
      <c r="D7437" s="8" t="s">
        <v>42027</v>
      </c>
      <c r="E7437" s="8" t="s">
        <v>42028</v>
      </c>
      <c r="F7437" s="8" t="s">
        <v>42029</v>
      </c>
      <c r="G7437" s="6" t="s">
        <v>118</v>
      </c>
      <c r="H7437" s="6" t="s">
        <v>34</v>
      </c>
      <c r="I7437" s="8" t="s">
        <v>253</v>
      </c>
      <c r="J7437" s="9">
        <v>1</v>
      </c>
      <c r="K7437" s="9">
        <v>197</v>
      </c>
      <c r="L7437" s="9">
        <v>2025</v>
      </c>
      <c r="M7437" s="8" t="s">
        <v>42030</v>
      </c>
      <c r="N7437" s="8" t="s">
        <v>37</v>
      </c>
      <c r="O7437" s="8" t="s">
        <v>136</v>
      </c>
      <c r="P7437" s="6" t="s">
        <v>51</v>
      </c>
      <c r="Q7437" s="8" t="s">
        <v>52</v>
      </c>
      <c r="R7437" s="10" t="s">
        <v>1255</v>
      </c>
      <c r="S7437" s="11" t="s">
        <v>42031</v>
      </c>
      <c r="T7437" s="6"/>
      <c r="U7437" s="15" t="str">
        <f>HYPERLINK("https://media.infra-m.ru/2205/2205501/cover/2205501.jpg", "Обложка")</f>
        <v>Обложка</v>
      </c>
      <c r="V7437" s="8" t="s">
        <v>1505</v>
      </c>
      <c r="W7437" s="6"/>
      <c r="X7437" s="6"/>
      <c r="Y7437" s="6"/>
      <c r="Z7437" s="6"/>
      <c r="AA7437" s="6" t="s">
        <v>1256</v>
      </c>
      <c r="AB7437" s="8"/>
      <c r="AC7437" s="27">
        <v>9785160209340</v>
      </c>
    </row>
    <row r="7438" spans="1:29" s="4" customFormat="1" ht="51.9" customHeight="1" x14ac:dyDescent="0.2">
      <c r="A7438" s="5">
        <v>0</v>
      </c>
      <c r="B7438" s="6" t="s">
        <v>42032</v>
      </c>
      <c r="C7438" s="7">
        <v>2644.8</v>
      </c>
      <c r="D7438" s="8" t="s">
        <v>42033</v>
      </c>
      <c r="E7438" s="8" t="s">
        <v>42034</v>
      </c>
      <c r="F7438" s="8" t="s">
        <v>11182</v>
      </c>
      <c r="G7438" s="6" t="s">
        <v>60</v>
      </c>
      <c r="H7438" s="6" t="s">
        <v>134</v>
      </c>
      <c r="I7438" s="8"/>
      <c r="J7438" s="9">
        <v>1</v>
      </c>
      <c r="K7438" s="9">
        <v>400</v>
      </c>
      <c r="L7438" s="9">
        <v>2026</v>
      </c>
      <c r="M7438" s="8" t="s">
        <v>42035</v>
      </c>
      <c r="N7438" s="8" t="s">
        <v>37</v>
      </c>
      <c r="O7438" s="8" t="s">
        <v>136</v>
      </c>
      <c r="P7438" s="6" t="s">
        <v>306</v>
      </c>
      <c r="Q7438" s="8" t="s">
        <v>1349</v>
      </c>
      <c r="R7438" s="10" t="s">
        <v>42036</v>
      </c>
      <c r="S7438" s="11"/>
      <c r="T7438" s="6"/>
      <c r="U7438" s="15" t="str">
        <f>HYPERLINK("https://media.infra-m.ru/2221/2221828/cover/2221828.jpg", "Обложка")</f>
        <v>Обложка</v>
      </c>
      <c r="V7438" s="8" t="s">
        <v>1184</v>
      </c>
      <c r="W7438" s="6"/>
      <c r="X7438" s="6"/>
      <c r="Y7438" s="6"/>
      <c r="Z7438" s="6"/>
      <c r="AA7438" s="6" t="s">
        <v>99</v>
      </c>
      <c r="AB7438" s="8"/>
      <c r="AC7438" s="27">
        <v>9785917687902</v>
      </c>
    </row>
    <row r="7439" spans="1:29" s="4" customFormat="1" ht="51.9" customHeight="1" x14ac:dyDescent="0.2">
      <c r="A7439" s="5">
        <v>0</v>
      </c>
      <c r="B7439" s="6" t="s">
        <v>42037</v>
      </c>
      <c r="C7439" s="7">
        <v>2484</v>
      </c>
      <c r="D7439" s="8" t="s">
        <v>42038</v>
      </c>
      <c r="E7439" s="8" t="s">
        <v>42039</v>
      </c>
      <c r="F7439" s="8" t="s">
        <v>42040</v>
      </c>
      <c r="G7439" s="6" t="s">
        <v>60</v>
      </c>
      <c r="H7439" s="6" t="s">
        <v>134</v>
      </c>
      <c r="I7439" s="8"/>
      <c r="J7439" s="9">
        <v>1</v>
      </c>
      <c r="K7439" s="9">
        <v>376</v>
      </c>
      <c r="L7439" s="9">
        <v>2026</v>
      </c>
      <c r="M7439" s="8" t="s">
        <v>42041</v>
      </c>
      <c r="N7439" s="8" t="s">
        <v>37</v>
      </c>
      <c r="O7439" s="8" t="s">
        <v>136</v>
      </c>
      <c r="P7439" s="6" t="s">
        <v>39</v>
      </c>
      <c r="Q7439" s="8" t="s">
        <v>183</v>
      </c>
      <c r="R7439" s="10" t="s">
        <v>4348</v>
      </c>
      <c r="S7439" s="11"/>
      <c r="T7439" s="6"/>
      <c r="U7439" s="15" t="str">
        <f>HYPERLINK("https://media.infra-m.ru/2235/2235920/cover/2235920.jpg", "Обложка")</f>
        <v>Обложка</v>
      </c>
      <c r="V7439" s="8" t="s">
        <v>29465</v>
      </c>
      <c r="W7439" s="6" t="s">
        <v>2941</v>
      </c>
      <c r="X7439" s="6"/>
      <c r="Y7439" s="6"/>
      <c r="Z7439" s="6"/>
      <c r="AA7439" s="6" t="s">
        <v>187</v>
      </c>
      <c r="AB7439" s="8"/>
      <c r="AC7439" s="27">
        <v>9785001564737</v>
      </c>
    </row>
    <row r="7440" spans="1:29" s="4" customFormat="1" ht="44.1" customHeight="1" x14ac:dyDescent="0.2">
      <c r="A7440" s="5">
        <v>0</v>
      </c>
      <c r="B7440" s="6" t="s">
        <v>42042</v>
      </c>
      <c r="C7440" s="7">
        <v>2400</v>
      </c>
      <c r="D7440" s="8" t="s">
        <v>42043</v>
      </c>
      <c r="E7440" s="8" t="s">
        <v>42044</v>
      </c>
      <c r="F7440" s="8" t="s">
        <v>42045</v>
      </c>
      <c r="G7440" s="6" t="s">
        <v>118</v>
      </c>
      <c r="H7440" s="6" t="s">
        <v>134</v>
      </c>
      <c r="I7440" s="8"/>
      <c r="J7440" s="9">
        <v>1</v>
      </c>
      <c r="K7440" s="9">
        <v>344</v>
      </c>
      <c r="L7440" s="9">
        <v>2027</v>
      </c>
      <c r="M7440" s="8" t="s">
        <v>42046</v>
      </c>
      <c r="N7440" s="8" t="s">
        <v>37</v>
      </c>
      <c r="O7440" s="8" t="s">
        <v>136</v>
      </c>
      <c r="P7440" s="6" t="s">
        <v>39</v>
      </c>
      <c r="Q7440" s="8" t="s">
        <v>40</v>
      </c>
      <c r="R7440" s="10" t="s">
        <v>9251</v>
      </c>
      <c r="S7440" s="11"/>
      <c r="T7440" s="6"/>
      <c r="U7440" s="15" t="str">
        <f>HYPERLINK("https://media.infra-m.ru/2269/2269278/cover/2269278.jpg", "Обложка")</f>
        <v>Обложка</v>
      </c>
      <c r="V7440" s="8" t="s">
        <v>6114</v>
      </c>
      <c r="W7440" s="6"/>
      <c r="X7440" s="6"/>
      <c r="Y7440" s="6"/>
      <c r="Z7440" s="6"/>
      <c r="AA7440" s="6" t="s">
        <v>430</v>
      </c>
      <c r="AB7440" s="8"/>
      <c r="AC7440" s="27">
        <v>9785001561101</v>
      </c>
    </row>
    <row r="7441" spans="1:29" s="4" customFormat="1" ht="51.9" customHeight="1" x14ac:dyDescent="0.2">
      <c r="A7441" s="5">
        <v>0</v>
      </c>
      <c r="B7441" s="6" t="s">
        <v>42047</v>
      </c>
      <c r="C7441" s="7">
        <v>1120.8</v>
      </c>
      <c r="D7441" s="8" t="s">
        <v>42048</v>
      </c>
      <c r="E7441" s="8" t="s">
        <v>42049</v>
      </c>
      <c r="F7441" s="8" t="s">
        <v>42050</v>
      </c>
      <c r="G7441" s="6" t="s">
        <v>118</v>
      </c>
      <c r="H7441" s="6" t="s">
        <v>134</v>
      </c>
      <c r="I7441" s="8"/>
      <c r="J7441" s="9">
        <v>1</v>
      </c>
      <c r="K7441" s="9">
        <v>160</v>
      </c>
      <c r="L7441" s="9">
        <v>2026</v>
      </c>
      <c r="M7441" s="8" t="s">
        <v>42051</v>
      </c>
      <c r="N7441" s="8" t="s">
        <v>37</v>
      </c>
      <c r="O7441" s="8" t="s">
        <v>136</v>
      </c>
      <c r="P7441" s="6" t="s">
        <v>51</v>
      </c>
      <c r="Q7441" s="8" t="s">
        <v>500</v>
      </c>
      <c r="R7441" s="10" t="s">
        <v>1275</v>
      </c>
      <c r="S7441" s="11"/>
      <c r="T7441" s="6"/>
      <c r="U7441" s="15" t="str">
        <f>HYPERLINK("https://media.infra-m.ru/2247/2247111/cover/2247111.jpg", "Обложка")</f>
        <v>Обложка</v>
      </c>
      <c r="V7441" s="8" t="s">
        <v>1184</v>
      </c>
      <c r="W7441" s="6"/>
      <c r="X7441" s="6"/>
      <c r="Y7441" s="6"/>
      <c r="Z7441" s="6"/>
      <c r="AA7441" s="6" t="s">
        <v>86</v>
      </c>
      <c r="AB7441" s="8"/>
      <c r="AC7441" s="27">
        <v>9785917688718</v>
      </c>
    </row>
    <row r="7442" spans="1:29" s="4" customFormat="1" ht="51.9" customHeight="1" x14ac:dyDescent="0.2">
      <c r="A7442" s="5">
        <v>0</v>
      </c>
      <c r="B7442" s="6" t="s">
        <v>42052</v>
      </c>
      <c r="C7442" s="7">
        <v>3484.8</v>
      </c>
      <c r="D7442" s="8" t="s">
        <v>42053</v>
      </c>
      <c r="E7442" s="8" t="s">
        <v>42054</v>
      </c>
      <c r="F7442" s="8" t="s">
        <v>42055</v>
      </c>
      <c r="G7442" s="6" t="s">
        <v>60</v>
      </c>
      <c r="H7442" s="6" t="s">
        <v>134</v>
      </c>
      <c r="I7442" s="8"/>
      <c r="J7442" s="9">
        <v>1</v>
      </c>
      <c r="K7442" s="9">
        <v>528</v>
      </c>
      <c r="L7442" s="9">
        <v>2026</v>
      </c>
      <c r="M7442" s="8" t="s">
        <v>42056</v>
      </c>
      <c r="N7442" s="8" t="s">
        <v>37</v>
      </c>
      <c r="O7442" s="8" t="s">
        <v>136</v>
      </c>
      <c r="P7442" s="6" t="s">
        <v>39</v>
      </c>
      <c r="Q7442" s="8" t="s">
        <v>40</v>
      </c>
      <c r="R7442" s="10" t="s">
        <v>676</v>
      </c>
      <c r="S7442" s="11"/>
      <c r="T7442" s="6"/>
      <c r="U7442" s="15" t="str">
        <f>HYPERLINK("https://media.infra-m.ru/2238/2238400/cover/2238400.jpg", "Обложка")</f>
        <v>Обложка</v>
      </c>
      <c r="V7442" s="8" t="s">
        <v>138</v>
      </c>
      <c r="W7442" s="6"/>
      <c r="X7442" s="6"/>
      <c r="Y7442" s="6"/>
      <c r="Z7442" s="6"/>
      <c r="AA7442" s="6" t="s">
        <v>874</v>
      </c>
      <c r="AB7442" s="8"/>
      <c r="AC7442" s="27">
        <v>9785917686547</v>
      </c>
    </row>
    <row r="7443" spans="1:29" s="4" customFormat="1" ht="51.9" customHeight="1" x14ac:dyDescent="0.2">
      <c r="A7443" s="5">
        <v>0</v>
      </c>
      <c r="B7443" s="6" t="s">
        <v>42057</v>
      </c>
      <c r="C7443" s="7">
        <v>1408.8</v>
      </c>
      <c r="D7443" s="8" t="s">
        <v>42058</v>
      </c>
      <c r="E7443" s="8" t="s">
        <v>42059</v>
      </c>
      <c r="F7443" s="8" t="s">
        <v>42060</v>
      </c>
      <c r="G7443" s="6" t="s">
        <v>60</v>
      </c>
      <c r="H7443" s="6" t="s">
        <v>134</v>
      </c>
      <c r="I7443" s="8"/>
      <c r="J7443" s="9">
        <v>1</v>
      </c>
      <c r="K7443" s="9">
        <v>256</v>
      </c>
      <c r="L7443" s="9">
        <v>2023</v>
      </c>
      <c r="M7443" s="8" t="s">
        <v>42061</v>
      </c>
      <c r="N7443" s="8" t="s">
        <v>37</v>
      </c>
      <c r="O7443" s="8" t="s">
        <v>136</v>
      </c>
      <c r="P7443" s="6" t="s">
        <v>39</v>
      </c>
      <c r="Q7443" s="8" t="s">
        <v>40</v>
      </c>
      <c r="R7443" s="10" t="s">
        <v>484</v>
      </c>
      <c r="S7443" s="11"/>
      <c r="T7443" s="6"/>
      <c r="U7443" s="15" t="str">
        <f>HYPERLINK("https://media.infra-m.ru/2096/2096169/cover/2096169.jpg", "Обложка")</f>
        <v>Обложка</v>
      </c>
      <c r="V7443" s="8" t="s">
        <v>677</v>
      </c>
      <c r="W7443" s="6"/>
      <c r="X7443" s="6"/>
      <c r="Y7443" s="6"/>
      <c r="Z7443" s="6"/>
      <c r="AA7443" s="6" t="s">
        <v>86</v>
      </c>
      <c r="AB7443" s="8"/>
      <c r="AC7443" s="27">
        <v>9785917688909</v>
      </c>
    </row>
    <row r="7444" spans="1:29" s="4" customFormat="1" ht="42" customHeight="1" x14ac:dyDescent="0.2">
      <c r="A7444" s="5">
        <v>0</v>
      </c>
      <c r="B7444" s="6" t="s">
        <v>42062</v>
      </c>
      <c r="C7444" s="7">
        <v>2116.8000000000002</v>
      </c>
      <c r="D7444" s="8" t="s">
        <v>42063</v>
      </c>
      <c r="E7444" s="8" t="s">
        <v>42064</v>
      </c>
      <c r="F7444" s="8" t="s">
        <v>21853</v>
      </c>
      <c r="G7444" s="6" t="s">
        <v>118</v>
      </c>
      <c r="H7444" s="6" t="s">
        <v>134</v>
      </c>
      <c r="I7444" s="8"/>
      <c r="J7444" s="9">
        <v>1</v>
      </c>
      <c r="K7444" s="9">
        <v>320</v>
      </c>
      <c r="L7444" s="9">
        <v>2026</v>
      </c>
      <c r="M7444" s="8" t="s">
        <v>42065</v>
      </c>
      <c r="N7444" s="8" t="s">
        <v>37</v>
      </c>
      <c r="O7444" s="8" t="s">
        <v>136</v>
      </c>
      <c r="P7444" s="6" t="s">
        <v>39</v>
      </c>
      <c r="Q7444" s="8" t="s">
        <v>40</v>
      </c>
      <c r="R7444" s="10" t="s">
        <v>1625</v>
      </c>
      <c r="S7444" s="11"/>
      <c r="T7444" s="6"/>
      <c r="U7444" s="15" t="str">
        <f>HYPERLINK("https://media.infra-m.ru/2232/2232160/cover/2232160.jpg", "Обложка")</f>
        <v>Обложка</v>
      </c>
      <c r="V7444" s="8" t="s">
        <v>1069</v>
      </c>
      <c r="W7444" s="6"/>
      <c r="X7444" s="6"/>
      <c r="Y7444" s="6"/>
      <c r="Z7444" s="6"/>
      <c r="AA7444" s="6" t="s">
        <v>115</v>
      </c>
      <c r="AB7444" s="8"/>
      <c r="AC7444" s="27">
        <v>9785917686929</v>
      </c>
    </row>
    <row r="7445" spans="1:29" s="4" customFormat="1" ht="51.9" customHeight="1" x14ac:dyDescent="0.2">
      <c r="A7445" s="5">
        <v>0</v>
      </c>
      <c r="B7445" s="6" t="s">
        <v>42066</v>
      </c>
      <c r="C7445" s="7">
        <v>1049.9000000000001</v>
      </c>
      <c r="D7445" s="8" t="s">
        <v>42067</v>
      </c>
      <c r="E7445" s="8" t="s">
        <v>42068</v>
      </c>
      <c r="F7445" s="8" t="s">
        <v>42069</v>
      </c>
      <c r="G7445" s="6" t="s">
        <v>60</v>
      </c>
      <c r="H7445" s="6" t="s">
        <v>134</v>
      </c>
      <c r="I7445" s="8"/>
      <c r="J7445" s="9">
        <v>1</v>
      </c>
      <c r="K7445" s="9">
        <v>256</v>
      </c>
      <c r="L7445" s="9">
        <v>2019</v>
      </c>
      <c r="M7445" s="8" t="s">
        <v>42070</v>
      </c>
      <c r="N7445" s="8" t="s">
        <v>37</v>
      </c>
      <c r="O7445" s="8" t="s">
        <v>136</v>
      </c>
      <c r="P7445" s="6" t="s">
        <v>601</v>
      </c>
      <c r="Q7445" s="8" t="s">
        <v>65</v>
      </c>
      <c r="R7445" s="10" t="s">
        <v>15926</v>
      </c>
      <c r="S7445" s="11"/>
      <c r="T7445" s="6"/>
      <c r="U7445" s="15" t="str">
        <f>HYPERLINK("https://media.infra-m.ru/0988/0988093/cover/988093.jpg", "Обложка")</f>
        <v>Обложка</v>
      </c>
      <c r="V7445" s="8" t="s">
        <v>1069</v>
      </c>
      <c r="W7445" s="6"/>
      <c r="X7445" s="6"/>
      <c r="Y7445" s="6"/>
      <c r="Z7445" s="6"/>
      <c r="AA7445" s="6" t="s">
        <v>248</v>
      </c>
      <c r="AB7445" s="8"/>
      <c r="AC7445" s="27">
        <v>9785917684888</v>
      </c>
    </row>
    <row r="7446" spans="1:29" s="4" customFormat="1" ht="44.1" customHeight="1" x14ac:dyDescent="0.2">
      <c r="A7446" s="5">
        <v>0</v>
      </c>
      <c r="B7446" s="6" t="s">
        <v>42071</v>
      </c>
      <c r="C7446" s="7">
        <v>2200.8000000000002</v>
      </c>
      <c r="D7446" s="8" t="s">
        <v>42072</v>
      </c>
      <c r="E7446" s="8" t="s">
        <v>42073</v>
      </c>
      <c r="F7446" s="8" t="s">
        <v>42074</v>
      </c>
      <c r="G7446" s="6" t="s">
        <v>21</v>
      </c>
      <c r="H7446" s="6" t="s">
        <v>134</v>
      </c>
      <c r="I7446" s="8"/>
      <c r="J7446" s="9">
        <v>1</v>
      </c>
      <c r="K7446" s="9">
        <v>352</v>
      </c>
      <c r="L7446" s="9">
        <v>2025</v>
      </c>
      <c r="M7446" s="8" t="s">
        <v>42075</v>
      </c>
      <c r="N7446" s="8" t="s">
        <v>37</v>
      </c>
      <c r="O7446" s="8" t="s">
        <v>136</v>
      </c>
      <c r="P7446" s="6" t="s">
        <v>39</v>
      </c>
      <c r="Q7446" s="8" t="s">
        <v>52</v>
      </c>
      <c r="R7446" s="10" t="s">
        <v>8859</v>
      </c>
      <c r="S7446" s="11"/>
      <c r="T7446" s="6"/>
      <c r="U7446" s="15" t="str">
        <f>HYPERLINK("https://media.infra-m.ru/2192/2192438/cover/2192438.jpg", "Обложка")</f>
        <v>Обложка</v>
      </c>
      <c r="V7446" s="8" t="s">
        <v>1069</v>
      </c>
      <c r="W7446" s="6"/>
      <c r="X7446" s="6"/>
      <c r="Y7446" s="6"/>
      <c r="Z7446" s="6"/>
      <c r="AA7446" s="6" t="s">
        <v>248</v>
      </c>
      <c r="AB7446" s="8"/>
      <c r="AC7446" s="27">
        <v>9785917684642</v>
      </c>
    </row>
    <row r="7447" spans="1:29" s="4" customFormat="1" ht="51.9" customHeight="1" x14ac:dyDescent="0.2">
      <c r="A7447" s="5">
        <v>0</v>
      </c>
      <c r="B7447" s="6" t="s">
        <v>42076</v>
      </c>
      <c r="C7447" s="13">
        <v>936</v>
      </c>
      <c r="D7447" s="8" t="s">
        <v>42077</v>
      </c>
      <c r="E7447" s="8" t="s">
        <v>42078</v>
      </c>
      <c r="F7447" s="8" t="s">
        <v>42079</v>
      </c>
      <c r="G7447" s="6" t="s">
        <v>118</v>
      </c>
      <c r="H7447" s="6" t="s">
        <v>34</v>
      </c>
      <c r="I7447" s="8" t="s">
        <v>2171</v>
      </c>
      <c r="J7447" s="9">
        <v>1</v>
      </c>
      <c r="K7447" s="9">
        <v>111</v>
      </c>
      <c r="L7447" s="9">
        <v>2026</v>
      </c>
      <c r="M7447" s="8" t="s">
        <v>42080</v>
      </c>
      <c r="N7447" s="8" t="s">
        <v>243</v>
      </c>
      <c r="O7447" s="8" t="s">
        <v>964</v>
      </c>
      <c r="P7447" s="6" t="s">
        <v>51</v>
      </c>
      <c r="Q7447" s="8" t="s">
        <v>65</v>
      </c>
      <c r="R7447" s="10" t="s">
        <v>42081</v>
      </c>
      <c r="S7447" s="11" t="s">
        <v>42082</v>
      </c>
      <c r="T7447" s="6"/>
      <c r="U7447" s="15" t="str">
        <f>HYPERLINK("https://media.infra-m.ru/2218/2218019/cover/2218019.jpg", "Обложка")</f>
        <v>Обложка</v>
      </c>
      <c r="V7447" s="8"/>
      <c r="W7447" s="6"/>
      <c r="X7447" s="6"/>
      <c r="Y7447" s="6"/>
      <c r="Z7447" s="6"/>
      <c r="AA7447" s="6" t="s">
        <v>157</v>
      </c>
      <c r="AB7447" s="8"/>
      <c r="AC7447" s="27">
        <v>9785160177151</v>
      </c>
    </row>
    <row r="7448" spans="1:29" s="4" customFormat="1" ht="51.9" customHeight="1" x14ac:dyDescent="0.2">
      <c r="A7448" s="5">
        <v>0</v>
      </c>
      <c r="B7448" s="6" t="s">
        <v>42083</v>
      </c>
      <c r="C7448" s="7">
        <v>1696.8</v>
      </c>
      <c r="D7448" s="8" t="s">
        <v>42084</v>
      </c>
      <c r="E7448" s="8" t="s">
        <v>42085</v>
      </c>
      <c r="F7448" s="8" t="s">
        <v>42086</v>
      </c>
      <c r="G7448" s="6" t="s">
        <v>118</v>
      </c>
      <c r="H7448" s="6" t="s">
        <v>34</v>
      </c>
      <c r="I7448" s="8" t="s">
        <v>2171</v>
      </c>
      <c r="J7448" s="9">
        <v>1</v>
      </c>
      <c r="K7448" s="9">
        <v>256</v>
      </c>
      <c r="L7448" s="9">
        <v>2026</v>
      </c>
      <c r="M7448" s="8" t="s">
        <v>42087</v>
      </c>
      <c r="N7448" s="8" t="s">
        <v>243</v>
      </c>
      <c r="O7448" s="8" t="s">
        <v>964</v>
      </c>
      <c r="P7448" s="6" t="s">
        <v>51</v>
      </c>
      <c r="Q7448" s="8" t="s">
        <v>65</v>
      </c>
      <c r="R7448" s="10" t="s">
        <v>42088</v>
      </c>
      <c r="S7448" s="11" t="s">
        <v>42089</v>
      </c>
      <c r="T7448" s="6"/>
      <c r="U7448" s="15" t="str">
        <f>HYPERLINK("https://media.infra-m.ru/2239/2239099/cover/2239099.jpg", "Обложка")</f>
        <v>Обложка</v>
      </c>
      <c r="V7448" s="8" t="s">
        <v>2175</v>
      </c>
      <c r="W7448" s="6"/>
      <c r="X7448" s="6"/>
      <c r="Y7448" s="6"/>
      <c r="Z7448" s="6"/>
      <c r="AA7448" s="6" t="s">
        <v>1256</v>
      </c>
      <c r="AB7448" s="8"/>
      <c r="AC7448" s="27">
        <v>9785160158587</v>
      </c>
    </row>
    <row r="7449" spans="1:29" s="4" customFormat="1" ht="51.9" customHeight="1" x14ac:dyDescent="0.2">
      <c r="A7449" s="5">
        <v>0</v>
      </c>
      <c r="B7449" s="6" t="s">
        <v>42090</v>
      </c>
      <c r="C7449" s="13">
        <v>828</v>
      </c>
      <c r="D7449" s="8" t="s">
        <v>42091</v>
      </c>
      <c r="E7449" s="8" t="s">
        <v>42092</v>
      </c>
      <c r="F7449" s="8" t="s">
        <v>42093</v>
      </c>
      <c r="G7449" s="6" t="s">
        <v>33</v>
      </c>
      <c r="H7449" s="6" t="s">
        <v>34</v>
      </c>
      <c r="I7449" s="8" t="s">
        <v>2171</v>
      </c>
      <c r="J7449" s="9">
        <v>1</v>
      </c>
      <c r="K7449" s="9">
        <v>49</v>
      </c>
      <c r="L7449" s="9">
        <v>2026</v>
      </c>
      <c r="M7449" s="8" t="s">
        <v>42094</v>
      </c>
      <c r="N7449" s="8" t="s">
        <v>243</v>
      </c>
      <c r="O7449" s="8" t="s">
        <v>964</v>
      </c>
      <c r="P7449" s="6" t="s">
        <v>51</v>
      </c>
      <c r="Q7449" s="8" t="s">
        <v>65</v>
      </c>
      <c r="R7449" s="10" t="s">
        <v>42095</v>
      </c>
      <c r="S7449" s="11" t="s">
        <v>42096</v>
      </c>
      <c r="T7449" s="6"/>
      <c r="U7449" s="15" t="str">
        <f>HYPERLINK("https://media.infra-m.ru/2231/2231145/cover/2231145.jpg", "Обложка")</f>
        <v>Обложка</v>
      </c>
      <c r="V7449" s="8" t="s">
        <v>2175</v>
      </c>
      <c r="W7449" s="6"/>
      <c r="X7449" s="6"/>
      <c r="Y7449" s="6"/>
      <c r="Z7449" s="6"/>
      <c r="AA7449" s="6" t="s">
        <v>115</v>
      </c>
      <c r="AB7449" s="8"/>
      <c r="AC7449" s="27">
        <v>9785160164496</v>
      </c>
    </row>
    <row r="7450" spans="1:29" s="4" customFormat="1" ht="51.9" customHeight="1" x14ac:dyDescent="0.2">
      <c r="A7450" s="5">
        <v>0</v>
      </c>
      <c r="B7450" s="6" t="s">
        <v>42097</v>
      </c>
      <c r="C7450" s="7">
        <v>1092</v>
      </c>
      <c r="D7450" s="8" t="s">
        <v>42098</v>
      </c>
      <c r="E7450" s="8" t="s">
        <v>42099</v>
      </c>
      <c r="F7450" s="8" t="s">
        <v>42100</v>
      </c>
      <c r="G7450" s="6" t="s">
        <v>118</v>
      </c>
      <c r="H7450" s="6" t="s">
        <v>34</v>
      </c>
      <c r="I7450" s="8" t="s">
        <v>2171</v>
      </c>
      <c r="J7450" s="9">
        <v>1</v>
      </c>
      <c r="K7450" s="9">
        <v>176</v>
      </c>
      <c r="L7450" s="9">
        <v>2021</v>
      </c>
      <c r="M7450" s="8" t="s">
        <v>42101</v>
      </c>
      <c r="N7450" s="8" t="s">
        <v>37</v>
      </c>
      <c r="O7450" s="8" t="s">
        <v>290</v>
      </c>
      <c r="P7450" s="6" t="s">
        <v>51</v>
      </c>
      <c r="Q7450" s="8" t="s">
        <v>65</v>
      </c>
      <c r="R7450" s="10" t="s">
        <v>42102</v>
      </c>
      <c r="S7450" s="11" t="s">
        <v>42103</v>
      </c>
      <c r="T7450" s="6"/>
      <c r="U7450" s="15" t="str">
        <f>HYPERLINK("https://media.infra-m.ru/1134/1134556/cover/1134556.jpg", "Обложка")</f>
        <v>Обложка</v>
      </c>
      <c r="V7450" s="8" t="s">
        <v>2175</v>
      </c>
      <c r="W7450" s="6"/>
      <c r="X7450" s="6"/>
      <c r="Y7450" s="6"/>
      <c r="Z7450" s="6"/>
      <c r="AA7450" s="6" t="s">
        <v>1256</v>
      </c>
      <c r="AB7450" s="8"/>
      <c r="AC7450" s="27">
        <v>9785160158594</v>
      </c>
    </row>
    <row r="7451" spans="1:29" s="4" customFormat="1" ht="51.9" customHeight="1" x14ac:dyDescent="0.2">
      <c r="A7451" s="5">
        <v>0</v>
      </c>
      <c r="B7451" s="6" t="s">
        <v>42104</v>
      </c>
      <c r="C7451" s="7">
        <v>1500</v>
      </c>
      <c r="D7451" s="8" t="s">
        <v>42105</v>
      </c>
      <c r="E7451" s="8" t="s">
        <v>42106</v>
      </c>
      <c r="F7451" s="8" t="s">
        <v>42107</v>
      </c>
      <c r="G7451" s="6" t="s">
        <v>118</v>
      </c>
      <c r="H7451" s="6" t="s">
        <v>34</v>
      </c>
      <c r="I7451" s="8" t="s">
        <v>2171</v>
      </c>
      <c r="J7451" s="9">
        <v>1</v>
      </c>
      <c r="K7451" s="9">
        <v>227</v>
      </c>
      <c r="L7451" s="9">
        <v>2026</v>
      </c>
      <c r="M7451" s="8" t="s">
        <v>42108</v>
      </c>
      <c r="N7451" s="8" t="s">
        <v>243</v>
      </c>
      <c r="O7451" s="8" t="s">
        <v>964</v>
      </c>
      <c r="P7451" s="6" t="s">
        <v>105</v>
      </c>
      <c r="Q7451" s="8" t="s">
        <v>65</v>
      </c>
      <c r="R7451" s="10" t="s">
        <v>42109</v>
      </c>
      <c r="S7451" s="11"/>
      <c r="T7451" s="6"/>
      <c r="U7451" s="15" t="str">
        <f>HYPERLINK("https://media.infra-m.ru/2231/2231744/cover/2231744.jpg", "Обложка")</f>
        <v>Обложка</v>
      </c>
      <c r="V7451" s="8" t="s">
        <v>2175</v>
      </c>
      <c r="W7451" s="6"/>
      <c r="X7451" s="6"/>
      <c r="Y7451" s="6"/>
      <c r="Z7451" s="6"/>
      <c r="AA7451" s="6" t="s">
        <v>76</v>
      </c>
      <c r="AB7451" s="8"/>
      <c r="AC7451" s="27">
        <v>9785160184463</v>
      </c>
    </row>
    <row r="7452" spans="1:29" s="4" customFormat="1" ht="42" customHeight="1" x14ac:dyDescent="0.2">
      <c r="A7452" s="5">
        <v>0</v>
      </c>
      <c r="B7452" s="6" t="s">
        <v>42110</v>
      </c>
      <c r="C7452" s="13">
        <v>876</v>
      </c>
      <c r="D7452" s="8" t="s">
        <v>42111</v>
      </c>
      <c r="E7452" s="8" t="s">
        <v>42112</v>
      </c>
      <c r="F7452" s="8" t="s">
        <v>42113</v>
      </c>
      <c r="G7452" s="6" t="s">
        <v>33</v>
      </c>
      <c r="H7452" s="6" t="s">
        <v>134</v>
      </c>
      <c r="I7452" s="8"/>
      <c r="J7452" s="9">
        <v>1</v>
      </c>
      <c r="K7452" s="9">
        <v>108</v>
      </c>
      <c r="L7452" s="9">
        <v>2027</v>
      </c>
      <c r="M7452" s="8" t="s">
        <v>42114</v>
      </c>
      <c r="N7452" s="8" t="s">
        <v>37</v>
      </c>
      <c r="O7452" s="8" t="s">
        <v>136</v>
      </c>
      <c r="P7452" s="6" t="s">
        <v>51</v>
      </c>
      <c r="Q7452" s="8" t="s">
        <v>52</v>
      </c>
      <c r="R7452" s="10" t="s">
        <v>1255</v>
      </c>
      <c r="S7452" s="11"/>
      <c r="T7452" s="6"/>
      <c r="U7452" s="15" t="str">
        <f>HYPERLINK("https://media.infra-m.ru/2266/2266378/cover/2266378.jpg", "Обложка")</f>
        <v>Обложка</v>
      </c>
      <c r="V7452" s="8" t="s">
        <v>1184</v>
      </c>
      <c r="W7452" s="6"/>
      <c r="X7452" s="6"/>
      <c r="Y7452" s="6"/>
      <c r="Z7452" s="6"/>
      <c r="AA7452" s="6" t="s">
        <v>1303</v>
      </c>
      <c r="AB7452" s="8"/>
      <c r="AC7452" s="27">
        <v>9785001562894</v>
      </c>
    </row>
    <row r="7453" spans="1:29" s="4" customFormat="1" ht="42" customHeight="1" x14ac:dyDescent="0.2">
      <c r="A7453" s="5">
        <v>0</v>
      </c>
      <c r="B7453" s="6" t="s">
        <v>42115</v>
      </c>
      <c r="C7453" s="13">
        <v>540</v>
      </c>
      <c r="D7453" s="8" t="s">
        <v>42116</v>
      </c>
      <c r="E7453" s="8" t="s">
        <v>42117</v>
      </c>
      <c r="F7453" s="8" t="s">
        <v>42113</v>
      </c>
      <c r="G7453" s="6" t="s">
        <v>33</v>
      </c>
      <c r="H7453" s="6" t="s">
        <v>134</v>
      </c>
      <c r="I7453" s="8"/>
      <c r="J7453" s="9">
        <v>1</v>
      </c>
      <c r="K7453" s="9">
        <v>80</v>
      </c>
      <c r="L7453" s="9">
        <v>2022</v>
      </c>
      <c r="M7453" s="8" t="s">
        <v>42118</v>
      </c>
      <c r="N7453" s="8" t="s">
        <v>37</v>
      </c>
      <c r="O7453" s="8" t="s">
        <v>136</v>
      </c>
      <c r="P7453" s="6" t="s">
        <v>51</v>
      </c>
      <c r="Q7453" s="8" t="s">
        <v>52</v>
      </c>
      <c r="R7453" s="10" t="s">
        <v>1255</v>
      </c>
      <c r="S7453" s="11"/>
      <c r="T7453" s="6"/>
      <c r="U7453" s="15" t="str">
        <f>HYPERLINK("https://media.infra-m.ru/1859/1859818/cover/1859818.jpg", "Обложка")</f>
        <v>Обложка</v>
      </c>
      <c r="V7453" s="8" t="s">
        <v>1184</v>
      </c>
      <c r="W7453" s="6"/>
      <c r="X7453" s="6"/>
      <c r="Y7453" s="6"/>
      <c r="Z7453" s="6"/>
      <c r="AA7453" s="6" t="s">
        <v>1256</v>
      </c>
      <c r="AB7453" s="8"/>
      <c r="AC7453" s="27">
        <v>9785001560654</v>
      </c>
    </row>
    <row r="7454" spans="1:29" s="4" customFormat="1" ht="51.9" customHeight="1" x14ac:dyDescent="0.2">
      <c r="A7454" s="5">
        <v>0</v>
      </c>
      <c r="B7454" s="6" t="s">
        <v>42119</v>
      </c>
      <c r="C7454" s="13">
        <v>724.8</v>
      </c>
      <c r="D7454" s="8" t="s">
        <v>42120</v>
      </c>
      <c r="E7454" s="8" t="s">
        <v>42121</v>
      </c>
      <c r="F7454" s="8" t="s">
        <v>42122</v>
      </c>
      <c r="G7454" s="6" t="s">
        <v>33</v>
      </c>
      <c r="H7454" s="6" t="s">
        <v>134</v>
      </c>
      <c r="I7454" s="8"/>
      <c r="J7454" s="9">
        <v>1</v>
      </c>
      <c r="K7454" s="9">
        <v>80</v>
      </c>
      <c r="L7454" s="9">
        <v>2026</v>
      </c>
      <c r="M7454" s="8" t="s">
        <v>42123</v>
      </c>
      <c r="N7454" s="8" t="s">
        <v>37</v>
      </c>
      <c r="O7454" s="8" t="s">
        <v>136</v>
      </c>
      <c r="P7454" s="6" t="s">
        <v>394</v>
      </c>
      <c r="Q7454" s="8" t="s">
        <v>52</v>
      </c>
      <c r="R7454" s="10" t="s">
        <v>1068</v>
      </c>
      <c r="S7454" s="11"/>
      <c r="T7454" s="6"/>
      <c r="U7454" s="15" t="str">
        <f>HYPERLINK("https://media.infra-m.ru/2236/2236549/cover/2236549.jpg", "Обложка")</f>
        <v>Обложка</v>
      </c>
      <c r="V7454" s="8" t="s">
        <v>1184</v>
      </c>
      <c r="W7454" s="6"/>
      <c r="X7454" s="6"/>
      <c r="Y7454" s="6"/>
      <c r="Z7454" s="6"/>
      <c r="AA7454" s="6" t="s">
        <v>115</v>
      </c>
      <c r="AB7454" s="8"/>
      <c r="AC7454" s="27">
        <v>9785001560357</v>
      </c>
    </row>
    <row r="7455" spans="1:29" s="4" customFormat="1" ht="51.9" customHeight="1" x14ac:dyDescent="0.2">
      <c r="A7455" s="5">
        <v>0</v>
      </c>
      <c r="B7455" s="6" t="s">
        <v>42124</v>
      </c>
      <c r="C7455" s="7">
        <v>1428</v>
      </c>
      <c r="D7455" s="8" t="s">
        <v>42125</v>
      </c>
      <c r="E7455" s="8" t="s">
        <v>42121</v>
      </c>
      <c r="F7455" s="8" t="s">
        <v>42126</v>
      </c>
      <c r="G7455" s="6" t="s">
        <v>60</v>
      </c>
      <c r="H7455" s="6" t="s">
        <v>134</v>
      </c>
      <c r="I7455" s="8"/>
      <c r="J7455" s="9">
        <v>1</v>
      </c>
      <c r="K7455" s="9">
        <v>200</v>
      </c>
      <c r="L7455" s="9">
        <v>2027</v>
      </c>
      <c r="M7455" s="8" t="s">
        <v>42127</v>
      </c>
      <c r="N7455" s="8" t="s">
        <v>37</v>
      </c>
      <c r="O7455" s="8" t="s">
        <v>136</v>
      </c>
      <c r="P7455" s="6" t="s">
        <v>394</v>
      </c>
      <c r="Q7455" s="8" t="s">
        <v>65</v>
      </c>
      <c r="R7455" s="10" t="s">
        <v>8722</v>
      </c>
      <c r="S7455" s="11"/>
      <c r="T7455" s="6"/>
      <c r="U7455" s="15" t="str">
        <f>HYPERLINK("https://media.infra-m.ru/2267/2267120/cover/2267120.jpg", "Обложка")</f>
        <v>Обложка</v>
      </c>
      <c r="V7455" s="8" t="s">
        <v>1184</v>
      </c>
      <c r="W7455" s="6" t="s">
        <v>2115</v>
      </c>
      <c r="X7455" s="6"/>
      <c r="Y7455" s="6"/>
      <c r="Z7455" s="6"/>
      <c r="AA7455" s="6" t="s">
        <v>420</v>
      </c>
      <c r="AB7455" s="8"/>
      <c r="AC7455" s="27">
        <v>9785001565017</v>
      </c>
    </row>
    <row r="7456" spans="1:29" s="4" customFormat="1" ht="51.9" customHeight="1" x14ac:dyDescent="0.2">
      <c r="A7456" s="5">
        <v>0</v>
      </c>
      <c r="B7456" s="6" t="s">
        <v>42128</v>
      </c>
      <c r="C7456" s="7">
        <v>1680</v>
      </c>
      <c r="D7456" s="8" t="s">
        <v>42129</v>
      </c>
      <c r="E7456" s="8" t="s">
        <v>42130</v>
      </c>
      <c r="F7456" s="8" t="s">
        <v>42131</v>
      </c>
      <c r="G7456" s="6" t="s">
        <v>118</v>
      </c>
      <c r="H7456" s="6" t="s">
        <v>313</v>
      </c>
      <c r="I7456" s="8" t="s">
        <v>35</v>
      </c>
      <c r="J7456" s="9">
        <v>1</v>
      </c>
      <c r="K7456" s="9">
        <v>304</v>
      </c>
      <c r="L7456" s="9">
        <v>2023</v>
      </c>
      <c r="M7456" s="8" t="s">
        <v>42132</v>
      </c>
      <c r="N7456" s="8" t="s">
        <v>37</v>
      </c>
      <c r="O7456" s="8" t="s">
        <v>83</v>
      </c>
      <c r="P7456" s="6" t="s">
        <v>39</v>
      </c>
      <c r="Q7456" s="8" t="s">
        <v>40</v>
      </c>
      <c r="R7456" s="10" t="s">
        <v>42133</v>
      </c>
      <c r="S7456" s="11"/>
      <c r="T7456" s="6"/>
      <c r="U7456" s="15" t="str">
        <f>HYPERLINK("https://media.infra-m.ru/1979/1979153/cover/1979153.jpg", "Обложка")</f>
        <v>Обложка</v>
      </c>
      <c r="V7456" s="8" t="s">
        <v>6224</v>
      </c>
      <c r="W7456" s="6"/>
      <c r="X7456" s="6"/>
      <c r="Y7456" s="6"/>
      <c r="Z7456" s="6"/>
      <c r="AA7456" s="6" t="s">
        <v>896</v>
      </c>
      <c r="AB7456" s="8"/>
      <c r="AC7456" s="27">
        <v>9785369018811</v>
      </c>
    </row>
    <row r="7457" spans="1:29" s="4" customFormat="1" ht="51.9" customHeight="1" x14ac:dyDescent="0.2">
      <c r="A7457" s="5">
        <v>0</v>
      </c>
      <c r="B7457" s="6" t="s">
        <v>42134</v>
      </c>
      <c r="C7457" s="7">
        <v>1044</v>
      </c>
      <c r="D7457" s="8" t="s">
        <v>42135</v>
      </c>
      <c r="E7457" s="8" t="s">
        <v>42136</v>
      </c>
      <c r="F7457" s="8" t="s">
        <v>42131</v>
      </c>
      <c r="G7457" s="6" t="s">
        <v>60</v>
      </c>
      <c r="H7457" s="6" t="s">
        <v>313</v>
      </c>
      <c r="I7457" s="8" t="s">
        <v>35</v>
      </c>
      <c r="J7457" s="9">
        <v>1</v>
      </c>
      <c r="K7457" s="9">
        <v>248</v>
      </c>
      <c r="L7457" s="9">
        <v>2020</v>
      </c>
      <c r="M7457" s="8" t="s">
        <v>42137</v>
      </c>
      <c r="N7457" s="8" t="s">
        <v>37</v>
      </c>
      <c r="O7457" s="8" t="s">
        <v>83</v>
      </c>
      <c r="P7457" s="6" t="s">
        <v>39</v>
      </c>
      <c r="Q7457" s="8" t="s">
        <v>40</v>
      </c>
      <c r="R7457" s="10" t="s">
        <v>42133</v>
      </c>
      <c r="S7457" s="11"/>
      <c r="T7457" s="6"/>
      <c r="U7457" s="15" t="str">
        <f>HYPERLINK("https://media.infra-m.ru/1061/1061615/cover/1061615.jpg", "Обложка")</f>
        <v>Обложка</v>
      </c>
      <c r="V7457" s="8" t="s">
        <v>6224</v>
      </c>
      <c r="W7457" s="6"/>
      <c r="X7457" s="6"/>
      <c r="Y7457" s="6"/>
      <c r="Z7457" s="6"/>
      <c r="AA7457" s="6" t="s">
        <v>115</v>
      </c>
      <c r="AB7457" s="8"/>
      <c r="AC7457" s="27">
        <v>9785369017975</v>
      </c>
    </row>
    <row r="7458" spans="1:29" s="4" customFormat="1" ht="51.9" customHeight="1" x14ac:dyDescent="0.2">
      <c r="A7458" s="5">
        <v>0</v>
      </c>
      <c r="B7458" s="6" t="s">
        <v>42138</v>
      </c>
      <c r="C7458" s="7">
        <v>1013.9</v>
      </c>
      <c r="D7458" s="8" t="s">
        <v>42139</v>
      </c>
      <c r="E7458" s="8" t="s">
        <v>42140</v>
      </c>
      <c r="F7458" s="8" t="s">
        <v>42141</v>
      </c>
      <c r="G7458" s="6" t="s">
        <v>33</v>
      </c>
      <c r="H7458" s="6" t="s">
        <v>34</v>
      </c>
      <c r="I7458" s="8" t="s">
        <v>35</v>
      </c>
      <c r="J7458" s="9">
        <v>1</v>
      </c>
      <c r="K7458" s="9">
        <v>188</v>
      </c>
      <c r="L7458" s="9">
        <v>2023</v>
      </c>
      <c r="M7458" s="8" t="s">
        <v>42142</v>
      </c>
      <c r="N7458" s="8" t="s">
        <v>37</v>
      </c>
      <c r="O7458" s="8" t="s">
        <v>233</v>
      </c>
      <c r="P7458" s="6" t="s">
        <v>39</v>
      </c>
      <c r="Q7458" s="8" t="s">
        <v>40</v>
      </c>
      <c r="R7458" s="10" t="s">
        <v>42143</v>
      </c>
      <c r="S7458" s="11"/>
      <c r="T7458" s="6"/>
      <c r="U7458" s="15" t="str">
        <f>HYPERLINK("https://media.infra-m.ru/1899/1899823/cover/1899823.jpg", "Обложка")</f>
        <v>Обложка</v>
      </c>
      <c r="V7458" s="8" t="s">
        <v>1083</v>
      </c>
      <c r="W7458" s="6"/>
      <c r="X7458" s="6"/>
      <c r="Y7458" s="6"/>
      <c r="Z7458" s="6"/>
      <c r="AA7458" s="6" t="s">
        <v>248</v>
      </c>
      <c r="AB7458" s="8"/>
      <c r="AC7458" s="27">
        <v>9785160093598</v>
      </c>
    </row>
    <row r="7459" spans="1:29" s="4" customFormat="1" ht="51.9" customHeight="1" x14ac:dyDescent="0.2">
      <c r="A7459" s="5">
        <v>0</v>
      </c>
      <c r="B7459" s="6" t="s">
        <v>42144</v>
      </c>
      <c r="C7459" s="7">
        <v>1048.8</v>
      </c>
      <c r="D7459" s="8" t="s">
        <v>42145</v>
      </c>
      <c r="E7459" s="8" t="s">
        <v>42146</v>
      </c>
      <c r="F7459" s="8" t="s">
        <v>42147</v>
      </c>
      <c r="G7459" s="6" t="s">
        <v>33</v>
      </c>
      <c r="H7459" s="6" t="s">
        <v>34</v>
      </c>
      <c r="I7459" s="8" t="s">
        <v>35</v>
      </c>
      <c r="J7459" s="9">
        <v>1</v>
      </c>
      <c r="K7459" s="9">
        <v>150</v>
      </c>
      <c r="L7459" s="9">
        <v>2027</v>
      </c>
      <c r="M7459" s="8" t="s">
        <v>42148</v>
      </c>
      <c r="N7459" s="8" t="s">
        <v>63</v>
      </c>
      <c r="O7459" s="8" t="s">
        <v>64</v>
      </c>
      <c r="P7459" s="6" t="s">
        <v>39</v>
      </c>
      <c r="Q7459" s="8" t="s">
        <v>40</v>
      </c>
      <c r="R7459" s="10" t="s">
        <v>17733</v>
      </c>
      <c r="S7459" s="11"/>
      <c r="T7459" s="6"/>
      <c r="U7459" s="15" t="str">
        <f>HYPERLINK("https://media.infra-m.ru/2244/2244530/cover/2244530.jpg", "Обложка")</f>
        <v>Обложка</v>
      </c>
      <c r="V7459" s="8" t="s">
        <v>322</v>
      </c>
      <c r="W7459" s="6"/>
      <c r="X7459" s="6"/>
      <c r="Y7459" s="6"/>
      <c r="Z7459" s="6"/>
      <c r="AA7459" s="6" t="s">
        <v>55</v>
      </c>
      <c r="AB7459" s="8"/>
      <c r="AC7459" s="27">
        <v>9785160089744</v>
      </c>
    </row>
    <row r="7460" spans="1:29" s="4" customFormat="1" ht="44.1" customHeight="1" x14ac:dyDescent="0.2">
      <c r="A7460" s="5">
        <v>0</v>
      </c>
      <c r="B7460" s="6" t="s">
        <v>42149</v>
      </c>
      <c r="C7460" s="7">
        <v>1452</v>
      </c>
      <c r="D7460" s="8" t="s">
        <v>42150</v>
      </c>
      <c r="E7460" s="8" t="s">
        <v>42151</v>
      </c>
      <c r="F7460" s="8" t="s">
        <v>42152</v>
      </c>
      <c r="G7460" s="6" t="s">
        <v>33</v>
      </c>
      <c r="H7460" s="6" t="s">
        <v>34</v>
      </c>
      <c r="I7460" s="8" t="s">
        <v>35</v>
      </c>
      <c r="J7460" s="9">
        <v>1</v>
      </c>
      <c r="K7460" s="9">
        <v>220</v>
      </c>
      <c r="L7460" s="9">
        <v>2026</v>
      </c>
      <c r="M7460" s="8" t="s">
        <v>42153</v>
      </c>
      <c r="N7460" s="8" t="s">
        <v>585</v>
      </c>
      <c r="O7460" s="8" t="s">
        <v>667</v>
      </c>
      <c r="P7460" s="6" t="s">
        <v>39</v>
      </c>
      <c r="Q7460" s="8" t="s">
        <v>40</v>
      </c>
      <c r="R7460" s="10" t="s">
        <v>42154</v>
      </c>
      <c r="S7460" s="11"/>
      <c r="T7460" s="6"/>
      <c r="U7460" s="15" t="str">
        <f>HYPERLINK("https://media.infra-m.ru/2257/2257114/cover/2257114.jpg", "Обложка")</f>
        <v>Обложка</v>
      </c>
      <c r="V7460" s="8" t="s">
        <v>67</v>
      </c>
      <c r="W7460" s="6"/>
      <c r="X7460" s="6"/>
      <c r="Y7460" s="6"/>
      <c r="Z7460" s="6"/>
      <c r="AA7460" s="6" t="s">
        <v>1256</v>
      </c>
      <c r="AB7460" s="8"/>
      <c r="AC7460" s="27">
        <v>9785160171500</v>
      </c>
    </row>
    <row r="7461" spans="1:29" s="4" customFormat="1" ht="44.1" customHeight="1" x14ac:dyDescent="0.2">
      <c r="A7461" s="5">
        <v>0</v>
      </c>
      <c r="B7461" s="6" t="s">
        <v>42155</v>
      </c>
      <c r="C7461" s="7">
        <v>1188</v>
      </c>
      <c r="D7461" s="8" t="s">
        <v>42156</v>
      </c>
      <c r="E7461" s="8" t="s">
        <v>42151</v>
      </c>
      <c r="F7461" s="8" t="s">
        <v>42152</v>
      </c>
      <c r="G7461" s="6" t="s">
        <v>60</v>
      </c>
      <c r="H7461" s="6" t="s">
        <v>34</v>
      </c>
      <c r="I7461" s="8" t="s">
        <v>35</v>
      </c>
      <c r="J7461" s="9">
        <v>1</v>
      </c>
      <c r="K7461" s="9">
        <v>220</v>
      </c>
      <c r="L7461" s="9">
        <v>2020</v>
      </c>
      <c r="M7461" s="8" t="s">
        <v>42157</v>
      </c>
      <c r="N7461" s="8" t="s">
        <v>585</v>
      </c>
      <c r="O7461" s="8" t="s">
        <v>667</v>
      </c>
      <c r="P7461" s="6" t="s">
        <v>39</v>
      </c>
      <c r="Q7461" s="8" t="s">
        <v>40</v>
      </c>
      <c r="R7461" s="10" t="s">
        <v>42154</v>
      </c>
      <c r="S7461" s="11"/>
      <c r="T7461" s="6"/>
      <c r="U7461" s="15" t="str">
        <f>HYPERLINK("https://media.infra-m.ru/1043/1043236/cover/1043236.jpg", "Обложка")</f>
        <v>Обложка</v>
      </c>
      <c r="V7461" s="8" t="s">
        <v>67</v>
      </c>
      <c r="W7461" s="6"/>
      <c r="X7461" s="6"/>
      <c r="Y7461" s="6"/>
      <c r="Z7461" s="6"/>
      <c r="AA7461" s="6" t="s">
        <v>1256</v>
      </c>
      <c r="AB7461" s="8"/>
      <c r="AC7461" s="27">
        <v>9785160156187</v>
      </c>
    </row>
    <row r="7462" spans="1:29" s="4" customFormat="1" ht="51.9" customHeight="1" x14ac:dyDescent="0.2">
      <c r="A7462" s="5">
        <v>0</v>
      </c>
      <c r="B7462" s="6" t="s">
        <v>42158</v>
      </c>
      <c r="C7462" s="7">
        <v>1152</v>
      </c>
      <c r="D7462" s="8" t="s">
        <v>42159</v>
      </c>
      <c r="E7462" s="8" t="s">
        <v>42160</v>
      </c>
      <c r="F7462" s="8" t="s">
        <v>42161</v>
      </c>
      <c r="G7462" s="6" t="s">
        <v>60</v>
      </c>
      <c r="H7462" s="6" t="s">
        <v>34</v>
      </c>
      <c r="I7462" s="8" t="s">
        <v>375</v>
      </c>
      <c r="J7462" s="9">
        <v>1</v>
      </c>
      <c r="K7462" s="9">
        <v>124</v>
      </c>
      <c r="L7462" s="9">
        <v>2026</v>
      </c>
      <c r="M7462" s="8" t="s">
        <v>42162</v>
      </c>
      <c r="N7462" s="8" t="s">
        <v>243</v>
      </c>
      <c r="O7462" s="8" t="s">
        <v>385</v>
      </c>
      <c r="P7462" s="6" t="s">
        <v>105</v>
      </c>
      <c r="Q7462" s="8" t="s">
        <v>65</v>
      </c>
      <c r="R7462" s="10" t="s">
        <v>42163</v>
      </c>
      <c r="S7462" s="11"/>
      <c r="T7462" s="6"/>
      <c r="U7462" s="15" t="str">
        <f>HYPERLINK("https://media.infra-m.ru/2233/2233189/cover/2233189.jpg", "Обложка")</f>
        <v>Обложка</v>
      </c>
      <c r="V7462" s="8" t="s">
        <v>379</v>
      </c>
      <c r="W7462" s="6" t="s">
        <v>528</v>
      </c>
      <c r="X7462" s="6"/>
      <c r="Y7462" s="6"/>
      <c r="Z7462" s="6"/>
      <c r="AA7462" s="6" t="s">
        <v>187</v>
      </c>
      <c r="AB7462" s="8"/>
      <c r="AC7462" s="27">
        <v>9785160216362</v>
      </c>
    </row>
    <row r="7463" spans="1:29" s="4" customFormat="1" ht="51.9" customHeight="1" x14ac:dyDescent="0.2">
      <c r="A7463" s="5">
        <v>0</v>
      </c>
      <c r="B7463" s="6" t="s">
        <v>42164</v>
      </c>
      <c r="C7463" s="7">
        <v>1188</v>
      </c>
      <c r="D7463" s="8" t="s">
        <v>42165</v>
      </c>
      <c r="E7463" s="8" t="s">
        <v>42166</v>
      </c>
      <c r="F7463" s="8" t="s">
        <v>37207</v>
      </c>
      <c r="G7463" s="6" t="s">
        <v>118</v>
      </c>
      <c r="H7463" s="6" t="s">
        <v>34</v>
      </c>
      <c r="I7463" s="8" t="s">
        <v>271</v>
      </c>
      <c r="J7463" s="9">
        <v>1</v>
      </c>
      <c r="K7463" s="9">
        <v>235</v>
      </c>
      <c r="L7463" s="9">
        <v>2022</v>
      </c>
      <c r="M7463" s="8" t="s">
        <v>42167</v>
      </c>
      <c r="N7463" s="8" t="s">
        <v>37</v>
      </c>
      <c r="O7463" s="8" t="s">
        <v>136</v>
      </c>
      <c r="P7463" s="6" t="s">
        <v>51</v>
      </c>
      <c r="Q7463" s="8" t="s">
        <v>52</v>
      </c>
      <c r="R7463" s="10" t="s">
        <v>42168</v>
      </c>
      <c r="S7463" s="11" t="s">
        <v>42169</v>
      </c>
      <c r="T7463" s="6"/>
      <c r="U7463" s="15" t="str">
        <f>HYPERLINK("https://media.infra-m.ru/1889/1889069/cover/1889069.jpg", "Обложка")</f>
        <v>Обложка</v>
      </c>
      <c r="V7463" s="8" t="s">
        <v>10951</v>
      </c>
      <c r="W7463" s="6"/>
      <c r="X7463" s="6"/>
      <c r="Y7463" s="6"/>
      <c r="Z7463" s="6"/>
      <c r="AA7463" s="6" t="s">
        <v>430</v>
      </c>
      <c r="AB7463" s="8"/>
      <c r="AC7463" s="27">
        <v>9785160145914</v>
      </c>
    </row>
    <row r="7464" spans="1:29" s="4" customFormat="1" ht="51.9" customHeight="1" x14ac:dyDescent="0.2">
      <c r="A7464" s="5">
        <v>0</v>
      </c>
      <c r="B7464" s="6" t="s">
        <v>42170</v>
      </c>
      <c r="C7464" s="7">
        <v>1632</v>
      </c>
      <c r="D7464" s="8" t="s">
        <v>42171</v>
      </c>
      <c r="E7464" s="8" t="s">
        <v>42172</v>
      </c>
      <c r="F7464" s="8" t="s">
        <v>37207</v>
      </c>
      <c r="G7464" s="6" t="s">
        <v>60</v>
      </c>
      <c r="H7464" s="6" t="s">
        <v>34</v>
      </c>
      <c r="I7464" s="8" t="s">
        <v>271</v>
      </c>
      <c r="J7464" s="9">
        <v>1</v>
      </c>
      <c r="K7464" s="9">
        <v>355</v>
      </c>
      <c r="L7464" s="9">
        <v>2022</v>
      </c>
      <c r="M7464" s="8" t="s">
        <v>42173</v>
      </c>
      <c r="N7464" s="8" t="s">
        <v>37</v>
      </c>
      <c r="O7464" s="8" t="s">
        <v>38</v>
      </c>
      <c r="P7464" s="6" t="s">
        <v>51</v>
      </c>
      <c r="Q7464" s="8" t="s">
        <v>52</v>
      </c>
      <c r="R7464" s="10" t="s">
        <v>42174</v>
      </c>
      <c r="S7464" s="11" t="s">
        <v>42169</v>
      </c>
      <c r="T7464" s="6"/>
      <c r="U7464" s="15" t="str">
        <f>HYPERLINK("https://media.infra-m.ru/0992/0992890/cover/992890.jpg", "Обложка")</f>
        <v>Обложка</v>
      </c>
      <c r="V7464" s="8" t="s">
        <v>10951</v>
      </c>
      <c r="W7464" s="6"/>
      <c r="X7464" s="6"/>
      <c r="Y7464" s="6"/>
      <c r="Z7464" s="6"/>
      <c r="AA7464" s="6" t="s">
        <v>148</v>
      </c>
      <c r="AB7464" s="8"/>
      <c r="AC7464" s="27">
        <v>9785160145907</v>
      </c>
    </row>
    <row r="7465" spans="1:29" s="4" customFormat="1" ht="51.9" customHeight="1" x14ac:dyDescent="0.2">
      <c r="A7465" s="5">
        <v>0</v>
      </c>
      <c r="B7465" s="6" t="s">
        <v>42175</v>
      </c>
      <c r="C7465" s="7">
        <v>2352</v>
      </c>
      <c r="D7465" s="8" t="s">
        <v>42176</v>
      </c>
      <c r="E7465" s="8" t="s">
        <v>42177</v>
      </c>
      <c r="F7465" s="8" t="s">
        <v>10948</v>
      </c>
      <c r="G7465" s="6" t="s">
        <v>60</v>
      </c>
      <c r="H7465" s="6" t="s">
        <v>34</v>
      </c>
      <c r="I7465" s="8" t="s">
        <v>35</v>
      </c>
      <c r="J7465" s="9">
        <v>1</v>
      </c>
      <c r="K7465" s="9">
        <v>356</v>
      </c>
      <c r="L7465" s="9">
        <v>2026</v>
      </c>
      <c r="M7465" s="8" t="s">
        <v>42178</v>
      </c>
      <c r="N7465" s="8" t="s">
        <v>37</v>
      </c>
      <c r="O7465" s="8" t="s">
        <v>38</v>
      </c>
      <c r="P7465" s="6" t="s">
        <v>39</v>
      </c>
      <c r="Q7465" s="8" t="s">
        <v>40</v>
      </c>
      <c r="R7465" s="10" t="s">
        <v>42179</v>
      </c>
      <c r="S7465" s="11"/>
      <c r="T7465" s="6"/>
      <c r="U7465" s="15" t="str">
        <f>HYPERLINK("https://media.infra-m.ru/2189/2189209/cover/2189209.jpg", "Обложка")</f>
        <v>Обложка</v>
      </c>
      <c r="V7465" s="8" t="s">
        <v>10951</v>
      </c>
      <c r="W7465" s="6" t="s">
        <v>342</v>
      </c>
      <c r="X7465" s="6"/>
      <c r="Y7465" s="6"/>
      <c r="Z7465" s="6"/>
      <c r="AA7465" s="6" t="s">
        <v>187</v>
      </c>
      <c r="AB7465" s="8" t="s">
        <v>3833</v>
      </c>
      <c r="AC7465" s="27">
        <v>9785160207353</v>
      </c>
    </row>
    <row r="7466" spans="1:29" s="4" customFormat="1" ht="42" customHeight="1" x14ac:dyDescent="0.2">
      <c r="A7466" s="5">
        <v>0</v>
      </c>
      <c r="B7466" s="6" t="s">
        <v>42180</v>
      </c>
      <c r="C7466" s="7">
        <v>1620</v>
      </c>
      <c r="D7466" s="8" t="s">
        <v>42181</v>
      </c>
      <c r="E7466" s="8" t="s">
        <v>42182</v>
      </c>
      <c r="F7466" s="8" t="s">
        <v>42183</v>
      </c>
      <c r="G7466" s="6" t="s">
        <v>118</v>
      </c>
      <c r="H7466" s="6" t="s">
        <v>34</v>
      </c>
      <c r="I7466" s="8" t="s">
        <v>1081</v>
      </c>
      <c r="J7466" s="9">
        <v>1</v>
      </c>
      <c r="K7466" s="9">
        <v>259</v>
      </c>
      <c r="L7466" s="9">
        <v>2025</v>
      </c>
      <c r="M7466" s="8" t="s">
        <v>42184</v>
      </c>
      <c r="N7466" s="8" t="s">
        <v>63</v>
      </c>
      <c r="O7466" s="8" t="s">
        <v>64</v>
      </c>
      <c r="P7466" s="6" t="s">
        <v>39</v>
      </c>
      <c r="Q7466" s="8" t="s">
        <v>40</v>
      </c>
      <c r="R7466" s="10" t="s">
        <v>5704</v>
      </c>
      <c r="S7466" s="11"/>
      <c r="T7466" s="6"/>
      <c r="U7466" s="15" t="str">
        <f>HYPERLINK("https://media.infra-m.ru/2206/2206793/cover/2206793.jpg", "Обложка")</f>
        <v>Обложка</v>
      </c>
      <c r="V7466" s="8" t="s">
        <v>1083</v>
      </c>
      <c r="W7466" s="6"/>
      <c r="X7466" s="6"/>
      <c r="Y7466" s="6"/>
      <c r="Z7466" s="6"/>
      <c r="AA7466" s="6" t="s">
        <v>86</v>
      </c>
      <c r="AB7466" s="8"/>
      <c r="AC7466" s="27">
        <v>9785160176314</v>
      </c>
    </row>
    <row r="7467" spans="1:29" s="4" customFormat="1" ht="44.1" customHeight="1" x14ac:dyDescent="0.2">
      <c r="A7467" s="5">
        <v>0</v>
      </c>
      <c r="B7467" s="6" t="s">
        <v>42185</v>
      </c>
      <c r="C7467" s="7">
        <v>5158.8</v>
      </c>
      <c r="D7467" s="8" t="s">
        <v>42186</v>
      </c>
      <c r="E7467" s="8" t="s">
        <v>42187</v>
      </c>
      <c r="F7467" s="8" t="s">
        <v>42188</v>
      </c>
      <c r="G7467" s="6" t="s">
        <v>118</v>
      </c>
      <c r="H7467" s="6" t="s">
        <v>34</v>
      </c>
      <c r="I7467" s="8" t="s">
        <v>304</v>
      </c>
      <c r="J7467" s="9">
        <v>1</v>
      </c>
      <c r="K7467" s="9">
        <v>224</v>
      </c>
      <c r="L7467" s="9">
        <v>2026</v>
      </c>
      <c r="M7467" s="8" t="s">
        <v>42189</v>
      </c>
      <c r="N7467" s="8" t="s">
        <v>37</v>
      </c>
      <c r="O7467" s="8" t="s">
        <v>290</v>
      </c>
      <c r="P7467" s="6" t="s">
        <v>51</v>
      </c>
      <c r="Q7467" s="8" t="s">
        <v>65</v>
      </c>
      <c r="R7467" s="10" t="s">
        <v>20821</v>
      </c>
      <c r="S7467" s="11"/>
      <c r="T7467" s="6"/>
      <c r="U7467" s="15" t="str">
        <f>HYPERLINK("https://media.infra-m.ru/2257/2257121/cover/2257121.jpg", "Обложка")</f>
        <v>Обложка</v>
      </c>
      <c r="V7467" s="8"/>
      <c r="W7467" s="6"/>
      <c r="X7467" s="6"/>
      <c r="Y7467" s="6"/>
      <c r="Z7467" s="6"/>
      <c r="AA7467" s="6" t="s">
        <v>148</v>
      </c>
      <c r="AB7467" s="8"/>
      <c r="AC7467" s="27">
        <v>9785160185279</v>
      </c>
    </row>
    <row r="7468" spans="1:29" s="4" customFormat="1" ht="51.9" customHeight="1" x14ac:dyDescent="0.2">
      <c r="A7468" s="5">
        <v>0</v>
      </c>
      <c r="B7468" s="6" t="s">
        <v>42190</v>
      </c>
      <c r="C7468" s="7">
        <v>2208</v>
      </c>
      <c r="D7468" s="8" t="s">
        <v>42191</v>
      </c>
      <c r="E7468" s="8" t="s">
        <v>42192</v>
      </c>
      <c r="F7468" s="8" t="s">
        <v>42193</v>
      </c>
      <c r="G7468" s="6" t="s">
        <v>118</v>
      </c>
      <c r="H7468" s="6" t="s">
        <v>34</v>
      </c>
      <c r="I7468" s="8" t="s">
        <v>263</v>
      </c>
      <c r="J7468" s="9">
        <v>1</v>
      </c>
      <c r="K7468" s="9">
        <v>318</v>
      </c>
      <c r="L7468" s="9">
        <v>2027</v>
      </c>
      <c r="M7468" s="8" t="s">
        <v>42194</v>
      </c>
      <c r="N7468" s="8" t="s">
        <v>243</v>
      </c>
      <c r="O7468" s="8" t="s">
        <v>385</v>
      </c>
      <c r="P7468" s="6" t="s">
        <v>51</v>
      </c>
      <c r="Q7468" s="8" t="s">
        <v>265</v>
      </c>
      <c r="R7468" s="10" t="s">
        <v>25949</v>
      </c>
      <c r="S7468" s="11" t="s">
        <v>42195</v>
      </c>
      <c r="T7468" s="6"/>
      <c r="U7468" s="15" t="str">
        <f>HYPERLINK("https://media.infra-m.ru/2266/2266523/cover/2266523.jpg", "Обложка")</f>
        <v>Обложка</v>
      </c>
      <c r="V7468" s="8" t="s">
        <v>2154</v>
      </c>
      <c r="W7468" s="6"/>
      <c r="X7468" s="6"/>
      <c r="Y7468" s="6"/>
      <c r="Z7468" s="6"/>
      <c r="AA7468" s="6" t="s">
        <v>1117</v>
      </c>
      <c r="AB7468" s="8"/>
      <c r="AC7468" s="27">
        <v>9785160143279</v>
      </c>
    </row>
    <row r="7469" spans="1:29" s="4" customFormat="1" ht="51.9" customHeight="1" x14ac:dyDescent="0.2">
      <c r="A7469" s="5">
        <v>0</v>
      </c>
      <c r="B7469" s="6" t="s">
        <v>42196</v>
      </c>
      <c r="C7469" s="7">
        <v>1308</v>
      </c>
      <c r="D7469" s="8" t="s">
        <v>42197</v>
      </c>
      <c r="E7469" s="8" t="s">
        <v>42198</v>
      </c>
      <c r="F7469" s="8" t="s">
        <v>42199</v>
      </c>
      <c r="G7469" s="6" t="s">
        <v>118</v>
      </c>
      <c r="H7469" s="6" t="s">
        <v>48</v>
      </c>
      <c r="I7469" s="8" t="s">
        <v>263</v>
      </c>
      <c r="J7469" s="9">
        <v>1</v>
      </c>
      <c r="K7469" s="9">
        <v>352</v>
      </c>
      <c r="L7469" s="9">
        <v>2018</v>
      </c>
      <c r="M7469" s="8" t="s">
        <v>42200</v>
      </c>
      <c r="N7469" s="8" t="s">
        <v>243</v>
      </c>
      <c r="O7469" s="8" t="s">
        <v>385</v>
      </c>
      <c r="P7469" s="6" t="s">
        <v>51</v>
      </c>
      <c r="Q7469" s="8" t="s">
        <v>265</v>
      </c>
      <c r="R7469" s="10" t="s">
        <v>25949</v>
      </c>
      <c r="S7469" s="11" t="s">
        <v>42201</v>
      </c>
      <c r="T7469" s="6"/>
      <c r="U7469" s="15" t="str">
        <f>HYPERLINK("https://media.infra-m.ru/0915/0915568/cover/915568.jpg", "Обложка")</f>
        <v>Обложка</v>
      </c>
      <c r="V7469" s="8" t="s">
        <v>2154</v>
      </c>
      <c r="W7469" s="6"/>
      <c r="X7469" s="6"/>
      <c r="Y7469" s="6"/>
      <c r="Z7469" s="6"/>
      <c r="AA7469" s="6" t="s">
        <v>360</v>
      </c>
      <c r="AB7469" s="8"/>
      <c r="AC7469" s="27">
        <v>9785000914717</v>
      </c>
    </row>
    <row r="7470" spans="1:29" s="4" customFormat="1" ht="51.9" customHeight="1" x14ac:dyDescent="0.2">
      <c r="A7470" s="5">
        <v>0</v>
      </c>
      <c r="B7470" s="6" t="s">
        <v>42202</v>
      </c>
      <c r="C7470" s="13">
        <v>600</v>
      </c>
      <c r="D7470" s="8" t="s">
        <v>42203</v>
      </c>
      <c r="E7470" s="8" t="s">
        <v>42204</v>
      </c>
      <c r="F7470" s="8" t="s">
        <v>42205</v>
      </c>
      <c r="G7470" s="6" t="s">
        <v>33</v>
      </c>
      <c r="H7470" s="6" t="s">
        <v>34</v>
      </c>
      <c r="I7470" s="8" t="s">
        <v>253</v>
      </c>
      <c r="J7470" s="9">
        <v>1</v>
      </c>
      <c r="K7470" s="9">
        <v>76</v>
      </c>
      <c r="L7470" s="9">
        <v>2026</v>
      </c>
      <c r="M7470" s="8" t="s">
        <v>42206</v>
      </c>
      <c r="N7470" s="8" t="s">
        <v>243</v>
      </c>
      <c r="O7470" s="8" t="s">
        <v>385</v>
      </c>
      <c r="P7470" s="6" t="s">
        <v>51</v>
      </c>
      <c r="Q7470" s="8" t="s">
        <v>377</v>
      </c>
      <c r="R7470" s="10" t="s">
        <v>42207</v>
      </c>
      <c r="S7470" s="11" t="s">
        <v>42208</v>
      </c>
      <c r="T7470" s="6"/>
      <c r="U7470" s="15" t="str">
        <f>HYPERLINK("https://media.infra-m.ru/2218/2218567/cover/2218567.jpg", "Обложка")</f>
        <v>Обложка</v>
      </c>
      <c r="V7470" s="8" t="s">
        <v>7082</v>
      </c>
      <c r="W7470" s="6"/>
      <c r="X7470" s="6"/>
      <c r="Y7470" s="6"/>
      <c r="Z7470" s="6"/>
      <c r="AA7470" s="6" t="s">
        <v>248</v>
      </c>
      <c r="AB7470" s="8"/>
      <c r="AC7470" s="27">
        <v>9785160205946</v>
      </c>
    </row>
    <row r="7471" spans="1:29" s="4" customFormat="1" ht="51.9" customHeight="1" x14ac:dyDescent="0.2">
      <c r="A7471" s="5">
        <v>0</v>
      </c>
      <c r="B7471" s="6" t="s">
        <v>42209</v>
      </c>
      <c r="C7471" s="7">
        <v>1468.8</v>
      </c>
      <c r="D7471" s="8" t="s">
        <v>42210</v>
      </c>
      <c r="E7471" s="8" t="s">
        <v>42211</v>
      </c>
      <c r="F7471" s="8" t="s">
        <v>20928</v>
      </c>
      <c r="G7471" s="6" t="s">
        <v>118</v>
      </c>
      <c r="H7471" s="6" t="s">
        <v>34</v>
      </c>
      <c r="I7471" s="8" t="s">
        <v>504</v>
      </c>
      <c r="J7471" s="9">
        <v>1</v>
      </c>
      <c r="K7471" s="9">
        <v>223</v>
      </c>
      <c r="L7471" s="9">
        <v>2026</v>
      </c>
      <c r="M7471" s="8" t="s">
        <v>42212</v>
      </c>
      <c r="N7471" s="8" t="s">
        <v>37</v>
      </c>
      <c r="O7471" s="8" t="s">
        <v>136</v>
      </c>
      <c r="P7471" s="6" t="s">
        <v>51</v>
      </c>
      <c r="Q7471" s="8" t="s">
        <v>500</v>
      </c>
      <c r="R7471" s="10" t="s">
        <v>13507</v>
      </c>
      <c r="S7471" s="11" t="s">
        <v>42213</v>
      </c>
      <c r="T7471" s="6"/>
      <c r="U7471" s="15" t="str">
        <f>HYPERLINK("https://media.infra-m.ru/2242/2242409/cover/2242409.jpg", "Обложка")</f>
        <v>Обложка</v>
      </c>
      <c r="V7471" s="8" t="s">
        <v>1277</v>
      </c>
      <c r="W7471" s="6"/>
      <c r="X7471" s="6"/>
      <c r="Y7471" s="6"/>
      <c r="Z7471" s="6"/>
      <c r="AA7471" s="6" t="s">
        <v>148</v>
      </c>
      <c r="AB7471" s="8" t="s">
        <v>42214</v>
      </c>
      <c r="AC7471" s="27">
        <v>9785160170343</v>
      </c>
    </row>
    <row r="7472" spans="1:29" s="4" customFormat="1" ht="51.9" customHeight="1" x14ac:dyDescent="0.2">
      <c r="A7472" s="5">
        <v>0</v>
      </c>
      <c r="B7472" s="6" t="s">
        <v>42215</v>
      </c>
      <c r="C7472" s="7">
        <v>1188</v>
      </c>
      <c r="D7472" s="8" t="s">
        <v>42216</v>
      </c>
      <c r="E7472" s="8" t="s">
        <v>42217</v>
      </c>
      <c r="F7472" s="8" t="s">
        <v>20928</v>
      </c>
      <c r="G7472" s="6" t="s">
        <v>118</v>
      </c>
      <c r="H7472" s="6" t="s">
        <v>34</v>
      </c>
      <c r="I7472" s="8" t="s">
        <v>253</v>
      </c>
      <c r="J7472" s="9">
        <v>1</v>
      </c>
      <c r="K7472" s="9">
        <v>199</v>
      </c>
      <c r="L7472" s="9">
        <v>2025</v>
      </c>
      <c r="M7472" s="8" t="s">
        <v>42218</v>
      </c>
      <c r="N7472" s="8" t="s">
        <v>37</v>
      </c>
      <c r="O7472" s="8" t="s">
        <v>136</v>
      </c>
      <c r="P7472" s="6" t="s">
        <v>51</v>
      </c>
      <c r="Q7472" s="8" t="s">
        <v>377</v>
      </c>
      <c r="R7472" s="10" t="s">
        <v>1653</v>
      </c>
      <c r="S7472" s="11" t="s">
        <v>42219</v>
      </c>
      <c r="T7472" s="6"/>
      <c r="U7472" s="15" t="str">
        <f>HYPERLINK("https://media.infra-m.ru/2132/2132129/cover/2132129.jpg", "Обложка")</f>
        <v>Обложка</v>
      </c>
      <c r="V7472" s="8" t="s">
        <v>1277</v>
      </c>
      <c r="W7472" s="6"/>
      <c r="X7472" s="6"/>
      <c r="Y7472" s="6"/>
      <c r="Z7472" s="6"/>
      <c r="AA7472" s="6" t="s">
        <v>148</v>
      </c>
      <c r="AB7472" s="8"/>
      <c r="AC7472" s="27">
        <v>9785160207209</v>
      </c>
    </row>
    <row r="7473" spans="1:29" s="4" customFormat="1" ht="42" customHeight="1" x14ac:dyDescent="0.2">
      <c r="A7473" s="5">
        <v>0</v>
      </c>
      <c r="B7473" s="6" t="s">
        <v>42220</v>
      </c>
      <c r="C7473" s="7">
        <v>1094.4000000000001</v>
      </c>
      <c r="D7473" s="8" t="s">
        <v>42221</v>
      </c>
      <c r="E7473" s="8" t="s">
        <v>42222</v>
      </c>
      <c r="F7473" s="8" t="s">
        <v>42223</v>
      </c>
      <c r="G7473" s="6" t="s">
        <v>33</v>
      </c>
      <c r="H7473" s="6" t="s">
        <v>34</v>
      </c>
      <c r="I7473" s="8" t="s">
        <v>954</v>
      </c>
      <c r="J7473" s="9">
        <v>1</v>
      </c>
      <c r="K7473" s="9">
        <v>128</v>
      </c>
      <c r="L7473" s="9">
        <v>2026</v>
      </c>
      <c r="M7473" s="8" t="s">
        <v>42224</v>
      </c>
      <c r="N7473" s="8" t="s">
        <v>37</v>
      </c>
      <c r="O7473" s="8" t="s">
        <v>290</v>
      </c>
      <c r="P7473" s="6" t="s">
        <v>51</v>
      </c>
      <c r="Q7473" s="8" t="s">
        <v>65</v>
      </c>
      <c r="R7473" s="10" t="s">
        <v>42225</v>
      </c>
      <c r="S7473" s="11"/>
      <c r="T7473" s="6"/>
      <c r="U7473" s="15" t="str">
        <f>HYPERLINK("https://media.infra-m.ru/2252/2252529/cover/2252529.jpg", "Обложка")</f>
        <v>Обложка</v>
      </c>
      <c r="V7473" s="8" t="s">
        <v>958</v>
      </c>
      <c r="W7473" s="6"/>
      <c r="X7473" s="6"/>
      <c r="Y7473" s="6"/>
      <c r="Z7473" s="6"/>
      <c r="AA7473" s="6" t="s">
        <v>76</v>
      </c>
      <c r="AB7473" s="8"/>
      <c r="AC7473" s="27">
        <v>9785160190174</v>
      </c>
    </row>
    <row r="7474" spans="1:29" s="4" customFormat="1" ht="51.9" customHeight="1" x14ac:dyDescent="0.2">
      <c r="A7474" s="5">
        <v>0</v>
      </c>
      <c r="B7474" s="6" t="s">
        <v>42226</v>
      </c>
      <c r="C7474" s="7">
        <v>3780</v>
      </c>
      <c r="D7474" s="8" t="s">
        <v>42227</v>
      </c>
      <c r="E7474" s="8" t="s">
        <v>42228</v>
      </c>
      <c r="F7474" s="8" t="s">
        <v>42229</v>
      </c>
      <c r="G7474" s="6" t="s">
        <v>60</v>
      </c>
      <c r="H7474" s="6" t="s">
        <v>34</v>
      </c>
      <c r="I7474" s="8" t="s">
        <v>263</v>
      </c>
      <c r="J7474" s="9">
        <v>1</v>
      </c>
      <c r="K7474" s="9">
        <v>573</v>
      </c>
      <c r="L7474" s="9">
        <v>2026</v>
      </c>
      <c r="M7474" s="8" t="s">
        <v>42230</v>
      </c>
      <c r="N7474" s="8" t="s">
        <v>37</v>
      </c>
      <c r="O7474" s="8" t="s">
        <v>290</v>
      </c>
      <c r="P7474" s="6" t="s">
        <v>306</v>
      </c>
      <c r="Q7474" s="8" t="s">
        <v>265</v>
      </c>
      <c r="R7474" s="10" t="s">
        <v>17055</v>
      </c>
      <c r="S7474" s="11" t="s">
        <v>42231</v>
      </c>
      <c r="T7474" s="6"/>
      <c r="U7474" s="15" t="str">
        <f>HYPERLINK("https://media.infra-m.ru/2227/2227857/cover/2227857.jpg", "Обложка")</f>
        <v>Обложка</v>
      </c>
      <c r="V7474" s="8" t="s">
        <v>31401</v>
      </c>
      <c r="W7474" s="6"/>
      <c r="X7474" s="6"/>
      <c r="Y7474" s="6"/>
      <c r="Z7474" s="6" t="s">
        <v>3911</v>
      </c>
      <c r="AA7474" s="6" t="s">
        <v>148</v>
      </c>
      <c r="AB7474" s="8"/>
      <c r="AC7474" s="27">
        <v>9785160171029</v>
      </c>
    </row>
    <row r="7475" spans="1:29" s="4" customFormat="1" ht="51.9" customHeight="1" x14ac:dyDescent="0.2">
      <c r="A7475" s="5">
        <v>0</v>
      </c>
      <c r="B7475" s="6" t="s">
        <v>42232</v>
      </c>
      <c r="C7475" s="7">
        <v>3976.8</v>
      </c>
      <c r="D7475" s="8" t="s">
        <v>42233</v>
      </c>
      <c r="E7475" s="8" t="s">
        <v>42228</v>
      </c>
      <c r="F7475" s="8" t="s">
        <v>42229</v>
      </c>
      <c r="G7475" s="6" t="s">
        <v>60</v>
      </c>
      <c r="H7475" s="6" t="s">
        <v>34</v>
      </c>
      <c r="I7475" s="8" t="s">
        <v>5350</v>
      </c>
      <c r="J7475" s="9">
        <v>1</v>
      </c>
      <c r="K7475" s="9">
        <v>573</v>
      </c>
      <c r="L7475" s="9">
        <v>2027</v>
      </c>
      <c r="M7475" s="8" t="s">
        <v>42234</v>
      </c>
      <c r="N7475" s="8" t="s">
        <v>37</v>
      </c>
      <c r="O7475" s="8" t="s">
        <v>290</v>
      </c>
      <c r="P7475" s="6" t="s">
        <v>306</v>
      </c>
      <c r="Q7475" s="8" t="s">
        <v>377</v>
      </c>
      <c r="R7475" s="10" t="s">
        <v>1690</v>
      </c>
      <c r="S7475" s="11" t="s">
        <v>42235</v>
      </c>
      <c r="T7475" s="6"/>
      <c r="U7475" s="15" t="str">
        <f>HYPERLINK("https://media.infra-m.ru/2268/2268360/cover/2268360.jpg", "Обложка")</f>
        <v>Обложка</v>
      </c>
      <c r="V7475" s="8" t="s">
        <v>31401</v>
      </c>
      <c r="W7475" s="6"/>
      <c r="X7475" s="6"/>
      <c r="Y7475" s="6"/>
      <c r="Z7475" s="6"/>
      <c r="AA7475" s="6" t="s">
        <v>430</v>
      </c>
      <c r="AB7475" s="8"/>
      <c r="AC7475" s="27">
        <v>9785160207018</v>
      </c>
    </row>
    <row r="7476" spans="1:29" s="4" customFormat="1" ht="51.9" customHeight="1" x14ac:dyDescent="0.2">
      <c r="A7476" s="5">
        <v>0</v>
      </c>
      <c r="B7476" s="6" t="s">
        <v>42236</v>
      </c>
      <c r="C7476" s="7">
        <v>1768.8</v>
      </c>
      <c r="D7476" s="8" t="s">
        <v>42237</v>
      </c>
      <c r="E7476" s="8" t="s">
        <v>42228</v>
      </c>
      <c r="F7476" s="8" t="s">
        <v>42238</v>
      </c>
      <c r="G7476" s="6" t="s">
        <v>118</v>
      </c>
      <c r="H7476" s="6" t="s">
        <v>34</v>
      </c>
      <c r="I7476" s="8" t="s">
        <v>5350</v>
      </c>
      <c r="J7476" s="9">
        <v>1</v>
      </c>
      <c r="K7476" s="9">
        <v>277</v>
      </c>
      <c r="L7476" s="9">
        <v>2026</v>
      </c>
      <c r="M7476" s="8" t="s">
        <v>42239</v>
      </c>
      <c r="N7476" s="8" t="s">
        <v>37</v>
      </c>
      <c r="O7476" s="8" t="s">
        <v>290</v>
      </c>
      <c r="P7476" s="6" t="s">
        <v>51</v>
      </c>
      <c r="Q7476" s="8" t="s">
        <v>377</v>
      </c>
      <c r="R7476" s="10" t="s">
        <v>15372</v>
      </c>
      <c r="S7476" s="11" t="s">
        <v>42240</v>
      </c>
      <c r="T7476" s="6"/>
      <c r="U7476" s="15" t="str">
        <f>HYPERLINK("https://media.infra-m.ru/2223/2223209/cover/2223209.jpg", "Обложка")</f>
        <v>Обложка</v>
      </c>
      <c r="V7476" s="8" t="s">
        <v>396</v>
      </c>
      <c r="W7476" s="6"/>
      <c r="X7476" s="6"/>
      <c r="Y7476" s="6"/>
      <c r="Z7476" s="6"/>
      <c r="AA7476" s="6" t="s">
        <v>430</v>
      </c>
      <c r="AB7476" s="8" t="s">
        <v>2231</v>
      </c>
      <c r="AC7476" s="27">
        <v>9785160161853</v>
      </c>
    </row>
    <row r="7477" spans="1:29" s="4" customFormat="1" ht="51.9" customHeight="1" x14ac:dyDescent="0.2">
      <c r="A7477" s="5">
        <v>0</v>
      </c>
      <c r="B7477" s="6" t="s">
        <v>42241</v>
      </c>
      <c r="C7477" s="7">
        <v>2158.8000000000002</v>
      </c>
      <c r="D7477" s="8" t="s">
        <v>42242</v>
      </c>
      <c r="E7477" s="8" t="s">
        <v>42243</v>
      </c>
      <c r="F7477" s="8" t="s">
        <v>42244</v>
      </c>
      <c r="G7477" s="6" t="s">
        <v>60</v>
      </c>
      <c r="H7477" s="6" t="s">
        <v>34</v>
      </c>
      <c r="I7477" s="8" t="s">
        <v>288</v>
      </c>
      <c r="J7477" s="9">
        <v>1</v>
      </c>
      <c r="K7477" s="9">
        <v>192</v>
      </c>
      <c r="L7477" s="9">
        <v>2026</v>
      </c>
      <c r="M7477" s="8" t="s">
        <v>42245</v>
      </c>
      <c r="N7477" s="8" t="s">
        <v>243</v>
      </c>
      <c r="O7477" s="8" t="s">
        <v>385</v>
      </c>
      <c r="P7477" s="6" t="s">
        <v>51</v>
      </c>
      <c r="Q7477" s="8" t="s">
        <v>65</v>
      </c>
      <c r="R7477" s="10" t="s">
        <v>42246</v>
      </c>
      <c r="S7477" s="11"/>
      <c r="T7477" s="6"/>
      <c r="U7477" s="15" t="str">
        <f>HYPERLINK("https://media.infra-m.ru/2211/2211622/cover/2211622.jpg", "Обложка")</f>
        <v>Обложка</v>
      </c>
      <c r="V7477" s="8" t="s">
        <v>292</v>
      </c>
      <c r="W7477" s="6" t="s">
        <v>528</v>
      </c>
      <c r="X7477" s="6"/>
      <c r="Y7477" s="6"/>
      <c r="Z7477" s="6"/>
      <c r="AA7477" s="6" t="s">
        <v>187</v>
      </c>
      <c r="AB7477" s="8"/>
      <c r="AC7477" s="27">
        <v>9785160210384</v>
      </c>
    </row>
    <row r="7478" spans="1:29" s="4" customFormat="1" ht="51.9" customHeight="1" x14ac:dyDescent="0.2">
      <c r="A7478" s="5">
        <v>0</v>
      </c>
      <c r="B7478" s="6" t="s">
        <v>42247</v>
      </c>
      <c r="C7478" s="7">
        <v>3420</v>
      </c>
      <c r="D7478" s="8" t="s">
        <v>42248</v>
      </c>
      <c r="E7478" s="8" t="s">
        <v>42249</v>
      </c>
      <c r="F7478" s="8" t="s">
        <v>42250</v>
      </c>
      <c r="G7478" s="6" t="s">
        <v>60</v>
      </c>
      <c r="H7478" s="6" t="s">
        <v>34</v>
      </c>
      <c r="I7478" s="8" t="s">
        <v>2927</v>
      </c>
      <c r="J7478" s="9">
        <v>1</v>
      </c>
      <c r="K7478" s="9">
        <v>518</v>
      </c>
      <c r="L7478" s="9">
        <v>2026</v>
      </c>
      <c r="M7478" s="8" t="s">
        <v>42251</v>
      </c>
      <c r="N7478" s="8" t="s">
        <v>37</v>
      </c>
      <c r="O7478" s="8" t="s">
        <v>290</v>
      </c>
      <c r="P7478" s="6" t="s">
        <v>306</v>
      </c>
      <c r="Q7478" s="8" t="s">
        <v>377</v>
      </c>
      <c r="R7478" s="10" t="s">
        <v>25454</v>
      </c>
      <c r="S7478" s="11" t="s">
        <v>42252</v>
      </c>
      <c r="T7478" s="6"/>
      <c r="U7478" s="15" t="str">
        <f>HYPERLINK("https://media.infra-m.ru/2254/2254339/cover/2254339.jpg", "Обложка")</f>
        <v>Обложка</v>
      </c>
      <c r="V7478" s="8" t="s">
        <v>1083</v>
      </c>
      <c r="W7478" s="6"/>
      <c r="X7478" s="6"/>
      <c r="Y7478" s="6"/>
      <c r="Z7478" s="6"/>
      <c r="AA7478" s="6" t="s">
        <v>99</v>
      </c>
      <c r="AB7478" s="8"/>
      <c r="AC7478" s="27">
        <v>9785160166537</v>
      </c>
    </row>
    <row r="7479" spans="1:29" s="4" customFormat="1" ht="51.9" customHeight="1" x14ac:dyDescent="0.2">
      <c r="A7479" s="5">
        <v>0</v>
      </c>
      <c r="B7479" s="6" t="s">
        <v>42253</v>
      </c>
      <c r="C7479" s="7">
        <v>1666.8</v>
      </c>
      <c r="D7479" s="8" t="s">
        <v>42254</v>
      </c>
      <c r="E7479" s="8" t="s">
        <v>42255</v>
      </c>
      <c r="F7479" s="8" t="s">
        <v>42256</v>
      </c>
      <c r="G7479" s="6" t="s">
        <v>33</v>
      </c>
      <c r="H7479" s="6" t="s">
        <v>34</v>
      </c>
      <c r="I7479" s="8" t="s">
        <v>35</v>
      </c>
      <c r="J7479" s="9">
        <v>1</v>
      </c>
      <c r="K7479" s="9">
        <v>187</v>
      </c>
      <c r="L7479" s="9">
        <v>2026</v>
      </c>
      <c r="M7479" s="8" t="s">
        <v>42257</v>
      </c>
      <c r="N7479" s="8" t="s">
        <v>37</v>
      </c>
      <c r="O7479" s="8" t="s">
        <v>136</v>
      </c>
      <c r="P7479" s="6" t="s">
        <v>39</v>
      </c>
      <c r="Q7479" s="8" t="s">
        <v>40</v>
      </c>
      <c r="R7479" s="10" t="s">
        <v>42258</v>
      </c>
      <c r="S7479" s="11"/>
      <c r="T7479" s="6"/>
      <c r="U7479" s="15" t="str">
        <f>HYPERLINK("https://media.infra-m.ru/2236/2236178/cover/2236178.jpg", "Обложка")</f>
        <v>Обложка</v>
      </c>
      <c r="V7479" s="8" t="s">
        <v>42259</v>
      </c>
      <c r="W7479" s="6" t="s">
        <v>299</v>
      </c>
      <c r="X7479" s="6"/>
      <c r="Y7479" s="6"/>
      <c r="Z7479" s="6"/>
      <c r="AA7479" s="6" t="s">
        <v>187</v>
      </c>
      <c r="AB7479" s="8" t="s">
        <v>11878</v>
      </c>
      <c r="AC7479" s="27">
        <v>9785160217093</v>
      </c>
    </row>
    <row r="7480" spans="1:29" s="4" customFormat="1" ht="51.9" customHeight="1" x14ac:dyDescent="0.2">
      <c r="A7480" s="5">
        <v>0</v>
      </c>
      <c r="B7480" s="6" t="s">
        <v>42260</v>
      </c>
      <c r="C7480" s="7">
        <v>1128</v>
      </c>
      <c r="D7480" s="8" t="s">
        <v>42261</v>
      </c>
      <c r="E7480" s="8" t="s">
        <v>42262</v>
      </c>
      <c r="F7480" s="8" t="s">
        <v>42263</v>
      </c>
      <c r="G7480" s="6" t="s">
        <v>118</v>
      </c>
      <c r="H7480" s="6" t="s">
        <v>34</v>
      </c>
      <c r="I7480" s="8" t="s">
        <v>271</v>
      </c>
      <c r="J7480" s="9">
        <v>1</v>
      </c>
      <c r="K7480" s="9">
        <v>208</v>
      </c>
      <c r="L7480" s="9">
        <v>2023</v>
      </c>
      <c r="M7480" s="8" t="s">
        <v>42264</v>
      </c>
      <c r="N7480" s="8" t="s">
        <v>37</v>
      </c>
      <c r="O7480" s="8" t="s">
        <v>207</v>
      </c>
      <c r="P7480" s="6" t="s">
        <v>306</v>
      </c>
      <c r="Q7480" s="8" t="s">
        <v>52</v>
      </c>
      <c r="R7480" s="10" t="s">
        <v>42265</v>
      </c>
      <c r="S7480" s="11" t="s">
        <v>42266</v>
      </c>
      <c r="T7480" s="6"/>
      <c r="U7480" s="15" t="str">
        <f>HYPERLINK("https://media.infra-m.ru/1974/1974372/cover/1974372.jpg", "Обложка")</f>
        <v>Обложка</v>
      </c>
      <c r="V7480" s="8" t="s">
        <v>12821</v>
      </c>
      <c r="W7480" s="6"/>
      <c r="X7480" s="6"/>
      <c r="Y7480" s="6"/>
      <c r="Z7480" s="6"/>
      <c r="AA7480" s="6" t="s">
        <v>86</v>
      </c>
      <c r="AB7480" s="8"/>
      <c r="AC7480" s="27">
        <v>9785160137933</v>
      </c>
    </row>
    <row r="7481" spans="1:29" s="4" customFormat="1" ht="42" customHeight="1" x14ac:dyDescent="0.2">
      <c r="A7481" s="5">
        <v>0</v>
      </c>
      <c r="B7481" s="6" t="s">
        <v>42267</v>
      </c>
      <c r="C7481" s="13">
        <v>420</v>
      </c>
      <c r="D7481" s="8" t="s">
        <v>42268</v>
      </c>
      <c r="E7481" s="8" t="s">
        <v>42269</v>
      </c>
      <c r="F7481" s="8" t="s">
        <v>42270</v>
      </c>
      <c r="G7481" s="6" t="s">
        <v>33</v>
      </c>
      <c r="H7481" s="6" t="s">
        <v>313</v>
      </c>
      <c r="I7481" s="8" t="s">
        <v>392</v>
      </c>
      <c r="J7481" s="9">
        <v>1</v>
      </c>
      <c r="K7481" s="9">
        <v>123</v>
      </c>
      <c r="L7481" s="9">
        <v>2018</v>
      </c>
      <c r="M7481" s="8" t="s">
        <v>42271</v>
      </c>
      <c r="N7481" s="8" t="s">
        <v>37</v>
      </c>
      <c r="O7481" s="8" t="s">
        <v>233</v>
      </c>
      <c r="P7481" s="6" t="s">
        <v>51</v>
      </c>
      <c r="Q7481" s="8" t="s">
        <v>377</v>
      </c>
      <c r="R7481" s="10" t="s">
        <v>2750</v>
      </c>
      <c r="S7481" s="11"/>
      <c r="T7481" s="6" t="s">
        <v>97</v>
      </c>
      <c r="U7481" s="15" t="str">
        <f>HYPERLINK("https://media.infra-m.ru/0942/0942810/cover/942810.jpg", "Обложка")</f>
        <v>Обложка</v>
      </c>
      <c r="V7481" s="8" t="s">
        <v>13958</v>
      </c>
      <c r="W7481" s="6"/>
      <c r="X7481" s="6"/>
      <c r="Y7481" s="6"/>
      <c r="Z7481" s="6"/>
      <c r="AA7481" s="6" t="s">
        <v>623</v>
      </c>
      <c r="AB7481" s="8"/>
      <c r="AC7481" s="27">
        <v>9785369016695</v>
      </c>
    </row>
    <row r="7482" spans="1:29" s="4" customFormat="1" ht="42" customHeight="1" x14ac:dyDescent="0.2">
      <c r="A7482" s="5">
        <v>0</v>
      </c>
      <c r="B7482" s="6" t="s">
        <v>42272</v>
      </c>
      <c r="C7482" s="13">
        <v>804</v>
      </c>
      <c r="D7482" s="8" t="s">
        <v>42273</v>
      </c>
      <c r="E7482" s="8" t="s">
        <v>42274</v>
      </c>
      <c r="F7482" s="8" t="s">
        <v>42270</v>
      </c>
      <c r="G7482" s="6" t="s">
        <v>33</v>
      </c>
      <c r="H7482" s="6" t="s">
        <v>313</v>
      </c>
      <c r="I7482" s="8" t="s">
        <v>253</v>
      </c>
      <c r="J7482" s="9">
        <v>1</v>
      </c>
      <c r="K7482" s="9">
        <v>134</v>
      </c>
      <c r="L7482" s="9">
        <v>2025</v>
      </c>
      <c r="M7482" s="8" t="s">
        <v>42275</v>
      </c>
      <c r="N7482" s="8" t="s">
        <v>37</v>
      </c>
      <c r="O7482" s="8" t="s">
        <v>233</v>
      </c>
      <c r="P7482" s="6" t="s">
        <v>51</v>
      </c>
      <c r="Q7482" s="8" t="s">
        <v>377</v>
      </c>
      <c r="R7482" s="10" t="s">
        <v>2750</v>
      </c>
      <c r="S7482" s="11"/>
      <c r="T7482" s="6" t="s">
        <v>97</v>
      </c>
      <c r="U7482" s="15" t="str">
        <f>HYPERLINK("https://media.infra-m.ru/2171/2171407/cover/2171407.jpg", "Обложка")</f>
        <v>Обложка</v>
      </c>
      <c r="V7482" s="8" t="s">
        <v>13958</v>
      </c>
      <c r="W7482" s="6"/>
      <c r="X7482" s="6"/>
      <c r="Y7482" s="6"/>
      <c r="Z7482" s="6"/>
      <c r="AA7482" s="6" t="s">
        <v>1389</v>
      </c>
      <c r="AB7482" s="8"/>
      <c r="AC7482" s="27">
        <v>9785369018866</v>
      </c>
    </row>
    <row r="7483" spans="1:29" s="4" customFormat="1" ht="51.9" customHeight="1" x14ac:dyDescent="0.2">
      <c r="A7483" s="5">
        <v>0</v>
      </c>
      <c r="B7483" s="6" t="s">
        <v>42276</v>
      </c>
      <c r="C7483" s="7">
        <v>2916</v>
      </c>
      <c r="D7483" s="8" t="s">
        <v>42277</v>
      </c>
      <c r="E7483" s="8" t="s">
        <v>42278</v>
      </c>
      <c r="F7483" s="8" t="s">
        <v>42279</v>
      </c>
      <c r="G7483" s="6" t="s">
        <v>60</v>
      </c>
      <c r="H7483" s="6" t="s">
        <v>34</v>
      </c>
      <c r="I7483" s="8" t="s">
        <v>5350</v>
      </c>
      <c r="J7483" s="9">
        <v>1</v>
      </c>
      <c r="K7483" s="9">
        <v>522</v>
      </c>
      <c r="L7483" s="9">
        <v>2024</v>
      </c>
      <c r="M7483" s="8" t="s">
        <v>42280</v>
      </c>
      <c r="N7483" s="8" t="s">
        <v>37</v>
      </c>
      <c r="O7483" s="8" t="s">
        <v>136</v>
      </c>
      <c r="P7483" s="6" t="s">
        <v>306</v>
      </c>
      <c r="Q7483" s="8" t="s">
        <v>377</v>
      </c>
      <c r="R7483" s="10" t="s">
        <v>42281</v>
      </c>
      <c r="S7483" s="11"/>
      <c r="T7483" s="6"/>
      <c r="U7483" s="15" t="str">
        <f>HYPERLINK("https://media.infra-m.ru/1911/1911528/cover/1911528.jpg", "Обложка")</f>
        <v>Обложка</v>
      </c>
      <c r="V7483" s="8" t="s">
        <v>1505</v>
      </c>
      <c r="W7483" s="6"/>
      <c r="X7483" s="6"/>
      <c r="Y7483" s="6"/>
      <c r="Z7483" s="6"/>
      <c r="AA7483" s="6" t="s">
        <v>76</v>
      </c>
      <c r="AB7483" s="8"/>
      <c r="AC7483" s="27">
        <v>9785160181172</v>
      </c>
    </row>
    <row r="7484" spans="1:29" s="4" customFormat="1" ht="51.9" customHeight="1" x14ac:dyDescent="0.2">
      <c r="A7484" s="5">
        <v>0</v>
      </c>
      <c r="B7484" s="6" t="s">
        <v>42282</v>
      </c>
      <c r="C7484" s="7">
        <v>2628</v>
      </c>
      <c r="D7484" s="8" t="s">
        <v>42283</v>
      </c>
      <c r="E7484" s="8" t="s">
        <v>42278</v>
      </c>
      <c r="F7484" s="8" t="s">
        <v>1281</v>
      </c>
      <c r="G7484" s="6" t="s">
        <v>60</v>
      </c>
      <c r="H7484" s="6" t="s">
        <v>34</v>
      </c>
      <c r="I7484" s="8" t="s">
        <v>253</v>
      </c>
      <c r="J7484" s="9">
        <v>1</v>
      </c>
      <c r="K7484" s="9">
        <v>365</v>
      </c>
      <c r="L7484" s="9">
        <v>2027</v>
      </c>
      <c r="M7484" s="8" t="s">
        <v>42284</v>
      </c>
      <c r="N7484" s="8" t="s">
        <v>37</v>
      </c>
      <c r="O7484" s="8" t="s">
        <v>136</v>
      </c>
      <c r="P7484" s="6" t="s">
        <v>306</v>
      </c>
      <c r="Q7484" s="8" t="s">
        <v>65</v>
      </c>
      <c r="R7484" s="10" t="s">
        <v>42281</v>
      </c>
      <c r="S7484" s="11"/>
      <c r="T7484" s="6"/>
      <c r="U7484" s="15" t="str">
        <f>HYPERLINK("https://media.infra-m.ru/2236/2236981/cover/2236981.jpg", "Обложка")</f>
        <v>Обложка</v>
      </c>
      <c r="V7484" s="8" t="s">
        <v>1277</v>
      </c>
      <c r="W7484" s="6" t="s">
        <v>2115</v>
      </c>
      <c r="X7484" s="6"/>
      <c r="Y7484" s="6"/>
      <c r="Z7484" s="6"/>
      <c r="AA7484" s="6" t="s">
        <v>420</v>
      </c>
      <c r="AB7484" s="8"/>
      <c r="AC7484" s="27">
        <v>9785160217291</v>
      </c>
    </row>
    <row r="7485" spans="1:29" s="4" customFormat="1" ht="51.9" customHeight="1" x14ac:dyDescent="0.2">
      <c r="A7485" s="5">
        <v>0</v>
      </c>
      <c r="B7485" s="6" t="s">
        <v>42285</v>
      </c>
      <c r="C7485" s="7">
        <v>3480</v>
      </c>
      <c r="D7485" s="8" t="s">
        <v>42286</v>
      </c>
      <c r="E7485" s="8" t="s">
        <v>42287</v>
      </c>
      <c r="F7485" s="8" t="s">
        <v>42288</v>
      </c>
      <c r="G7485" s="6" t="s">
        <v>60</v>
      </c>
      <c r="H7485" s="6" t="s">
        <v>134</v>
      </c>
      <c r="I7485" s="8"/>
      <c r="J7485" s="9">
        <v>1</v>
      </c>
      <c r="K7485" s="9">
        <v>592</v>
      </c>
      <c r="L7485" s="9">
        <v>2026</v>
      </c>
      <c r="M7485" s="8" t="s">
        <v>42289</v>
      </c>
      <c r="N7485" s="8" t="s">
        <v>37</v>
      </c>
      <c r="O7485" s="8" t="s">
        <v>136</v>
      </c>
      <c r="P7485" s="6" t="s">
        <v>51</v>
      </c>
      <c r="Q7485" s="8" t="s">
        <v>52</v>
      </c>
      <c r="R7485" s="10" t="s">
        <v>42290</v>
      </c>
      <c r="S7485" s="11" t="s">
        <v>42291</v>
      </c>
      <c r="T7485" s="6"/>
      <c r="U7485" s="15" t="str">
        <f>HYPERLINK("https://media.infra-m.ru/2175/2175117/cover/2175117.jpg", "Обложка")</f>
        <v>Обложка</v>
      </c>
      <c r="V7485" s="8" t="s">
        <v>1339</v>
      </c>
      <c r="W7485" s="6"/>
      <c r="X7485" s="6"/>
      <c r="Y7485" s="6"/>
      <c r="Z7485" s="6"/>
      <c r="AA7485" s="6" t="s">
        <v>1117</v>
      </c>
      <c r="AB7485" s="8"/>
      <c r="AC7485" s="27">
        <v>9785917686417</v>
      </c>
    </row>
    <row r="7486" spans="1:29" s="4" customFormat="1" ht="42" customHeight="1" x14ac:dyDescent="0.2">
      <c r="A7486" s="5">
        <v>0</v>
      </c>
      <c r="B7486" s="6" t="s">
        <v>42292</v>
      </c>
      <c r="C7486" s="13">
        <v>900</v>
      </c>
      <c r="D7486" s="8" t="s">
        <v>42293</v>
      </c>
      <c r="E7486" s="8" t="s">
        <v>42294</v>
      </c>
      <c r="F7486" s="8" t="s">
        <v>16399</v>
      </c>
      <c r="G7486" s="6" t="s">
        <v>33</v>
      </c>
      <c r="H7486" s="6" t="s">
        <v>34</v>
      </c>
      <c r="I7486" s="8" t="s">
        <v>35</v>
      </c>
      <c r="J7486" s="9">
        <v>1</v>
      </c>
      <c r="K7486" s="9">
        <v>160</v>
      </c>
      <c r="L7486" s="9">
        <v>2023</v>
      </c>
      <c r="M7486" s="8" t="s">
        <v>42295</v>
      </c>
      <c r="N7486" s="8" t="s">
        <v>37</v>
      </c>
      <c r="O7486" s="8" t="s">
        <v>136</v>
      </c>
      <c r="P7486" s="6" t="s">
        <v>39</v>
      </c>
      <c r="Q7486" s="8" t="s">
        <v>40</v>
      </c>
      <c r="R7486" s="10" t="s">
        <v>8113</v>
      </c>
      <c r="S7486" s="11"/>
      <c r="T7486" s="6"/>
      <c r="U7486" s="15" t="str">
        <f>HYPERLINK("https://media.infra-m.ru/1894/1894020/cover/1894020.jpg", "Обложка")</f>
        <v>Обложка</v>
      </c>
      <c r="V7486" s="8" t="s">
        <v>1069</v>
      </c>
      <c r="W7486" s="6"/>
      <c r="X7486" s="6"/>
      <c r="Y7486" s="6"/>
      <c r="Z7486" s="6"/>
      <c r="AA7486" s="6" t="s">
        <v>274</v>
      </c>
      <c r="AB7486" s="8"/>
      <c r="AC7486" s="27">
        <v>9785160101460</v>
      </c>
    </row>
    <row r="7487" spans="1:29" s="4" customFormat="1" ht="51.9" customHeight="1" x14ac:dyDescent="0.2">
      <c r="A7487" s="5">
        <v>0</v>
      </c>
      <c r="B7487" s="6" t="s">
        <v>42296</v>
      </c>
      <c r="C7487" s="7">
        <v>1176</v>
      </c>
      <c r="D7487" s="8" t="s">
        <v>42297</v>
      </c>
      <c r="E7487" s="8" t="s">
        <v>42298</v>
      </c>
      <c r="F7487" s="8" t="s">
        <v>5033</v>
      </c>
      <c r="G7487" s="6" t="s">
        <v>118</v>
      </c>
      <c r="H7487" s="6" t="s">
        <v>34</v>
      </c>
      <c r="I7487" s="8" t="s">
        <v>7625</v>
      </c>
      <c r="J7487" s="9">
        <v>1</v>
      </c>
      <c r="K7487" s="9">
        <v>216</v>
      </c>
      <c r="L7487" s="9">
        <v>2023</v>
      </c>
      <c r="M7487" s="8" t="s">
        <v>42299</v>
      </c>
      <c r="N7487" s="8" t="s">
        <v>585</v>
      </c>
      <c r="O7487" s="8" t="s">
        <v>775</v>
      </c>
      <c r="P7487" s="6" t="s">
        <v>51</v>
      </c>
      <c r="Q7487" s="8" t="s">
        <v>377</v>
      </c>
      <c r="R7487" s="10" t="s">
        <v>42300</v>
      </c>
      <c r="S7487" s="11" t="s">
        <v>42301</v>
      </c>
      <c r="T7487" s="6"/>
      <c r="U7487" s="15" t="str">
        <f>HYPERLINK("https://media.infra-m.ru/1925/1925539/cover/1925539.jpg", "Обложка")</f>
        <v>Обложка</v>
      </c>
      <c r="V7487" s="8" t="s">
        <v>1083</v>
      </c>
      <c r="W7487" s="6"/>
      <c r="X7487" s="6"/>
      <c r="Y7487" s="6"/>
      <c r="Z7487" s="6"/>
      <c r="AA7487" s="6" t="s">
        <v>86</v>
      </c>
      <c r="AB7487" s="8"/>
      <c r="AC7487" s="27">
        <v>9785160182094</v>
      </c>
    </row>
    <row r="7488" spans="1:29" s="4" customFormat="1" ht="51.9" customHeight="1" x14ac:dyDescent="0.2">
      <c r="A7488" s="5">
        <v>0</v>
      </c>
      <c r="B7488" s="6" t="s">
        <v>42302</v>
      </c>
      <c r="C7488" s="7">
        <v>1720.8</v>
      </c>
      <c r="D7488" s="8" t="s">
        <v>42303</v>
      </c>
      <c r="E7488" s="8" t="s">
        <v>42304</v>
      </c>
      <c r="F7488" s="8" t="s">
        <v>42305</v>
      </c>
      <c r="G7488" s="6" t="s">
        <v>60</v>
      </c>
      <c r="H7488" s="6" t="s">
        <v>34</v>
      </c>
      <c r="I7488" s="8" t="s">
        <v>954</v>
      </c>
      <c r="J7488" s="9">
        <v>1</v>
      </c>
      <c r="K7488" s="9">
        <v>260</v>
      </c>
      <c r="L7488" s="9">
        <v>2026</v>
      </c>
      <c r="M7488" s="8" t="s">
        <v>42306</v>
      </c>
      <c r="N7488" s="8" t="s">
        <v>37</v>
      </c>
      <c r="O7488" s="8" t="s">
        <v>290</v>
      </c>
      <c r="P7488" s="6" t="s">
        <v>51</v>
      </c>
      <c r="Q7488" s="8" t="s">
        <v>65</v>
      </c>
      <c r="R7488" s="10" t="s">
        <v>42307</v>
      </c>
      <c r="S7488" s="11"/>
      <c r="T7488" s="6"/>
      <c r="U7488" s="15" t="str">
        <f>HYPERLINK("https://media.infra-m.ru/2244/2244278/cover/2244278.jpg", "Обложка")</f>
        <v>Обложка</v>
      </c>
      <c r="V7488" s="8" t="s">
        <v>958</v>
      </c>
      <c r="W7488" s="6"/>
      <c r="X7488" s="6"/>
      <c r="Y7488" s="6"/>
      <c r="Z7488" s="6"/>
      <c r="AA7488" s="6" t="s">
        <v>157</v>
      </c>
      <c r="AB7488" s="8"/>
      <c r="AC7488" s="27">
        <v>9785160179971</v>
      </c>
    </row>
    <row r="7489" spans="1:29" s="4" customFormat="1" ht="42" customHeight="1" x14ac:dyDescent="0.2">
      <c r="A7489" s="5">
        <v>0</v>
      </c>
      <c r="B7489" s="6" t="s">
        <v>42308</v>
      </c>
      <c r="C7489" s="13">
        <v>696</v>
      </c>
      <c r="D7489" s="8" t="s">
        <v>42309</v>
      </c>
      <c r="E7489" s="8" t="s">
        <v>42310</v>
      </c>
      <c r="F7489" s="8" t="s">
        <v>42311</v>
      </c>
      <c r="G7489" s="6" t="s">
        <v>33</v>
      </c>
      <c r="H7489" s="6" t="s">
        <v>34</v>
      </c>
      <c r="I7489" s="8" t="s">
        <v>35</v>
      </c>
      <c r="J7489" s="9">
        <v>1</v>
      </c>
      <c r="K7489" s="9">
        <v>124</v>
      </c>
      <c r="L7489" s="9">
        <v>2024</v>
      </c>
      <c r="M7489" s="8" t="s">
        <v>42312</v>
      </c>
      <c r="N7489" s="8" t="s">
        <v>37</v>
      </c>
      <c r="O7489" s="8" t="s">
        <v>233</v>
      </c>
      <c r="P7489" s="6" t="s">
        <v>39</v>
      </c>
      <c r="Q7489" s="8" t="s">
        <v>40</v>
      </c>
      <c r="R7489" s="10" t="s">
        <v>8450</v>
      </c>
      <c r="S7489" s="11"/>
      <c r="T7489" s="6"/>
      <c r="U7489" s="15" t="str">
        <f>HYPERLINK("https://media.infra-m.ru/2117/2117123/cover/2117123.jpg", "Обложка")</f>
        <v>Обложка</v>
      </c>
      <c r="V7489" s="8" t="s">
        <v>247</v>
      </c>
      <c r="W7489" s="6"/>
      <c r="X7489" s="6"/>
      <c r="Y7489" s="6"/>
      <c r="Z7489" s="6"/>
      <c r="AA7489" s="6" t="s">
        <v>779</v>
      </c>
      <c r="AB7489" s="8"/>
      <c r="AC7489" s="27">
        <v>9785160113333</v>
      </c>
    </row>
    <row r="7490" spans="1:29" s="4" customFormat="1" ht="42" customHeight="1" x14ac:dyDescent="0.2">
      <c r="A7490" s="5">
        <v>0</v>
      </c>
      <c r="B7490" s="6" t="s">
        <v>42313</v>
      </c>
      <c r="C7490" s="7">
        <v>1320</v>
      </c>
      <c r="D7490" s="8" t="s">
        <v>42314</v>
      </c>
      <c r="E7490" s="8" t="s">
        <v>42315</v>
      </c>
      <c r="F7490" s="8" t="s">
        <v>42316</v>
      </c>
      <c r="G7490" s="6" t="s">
        <v>33</v>
      </c>
      <c r="H7490" s="6" t="s">
        <v>34</v>
      </c>
      <c r="I7490" s="8" t="s">
        <v>6570</v>
      </c>
      <c r="J7490" s="9">
        <v>1</v>
      </c>
      <c r="K7490" s="9">
        <v>199</v>
      </c>
      <c r="L7490" s="9">
        <v>2026</v>
      </c>
      <c r="M7490" s="8" t="s">
        <v>42317</v>
      </c>
      <c r="N7490" s="8" t="s">
        <v>63</v>
      </c>
      <c r="O7490" s="8" t="s">
        <v>126</v>
      </c>
      <c r="P7490" s="6" t="s">
        <v>39</v>
      </c>
      <c r="Q7490" s="8" t="s">
        <v>40</v>
      </c>
      <c r="R7490" s="10" t="s">
        <v>5818</v>
      </c>
      <c r="S7490" s="11"/>
      <c r="T7490" s="6"/>
      <c r="U7490" s="15" t="str">
        <f>HYPERLINK("https://media.infra-m.ru/2244/2244305/cover/2244305.jpg", "Обложка")</f>
        <v>Обложка</v>
      </c>
      <c r="V7490" s="8" t="s">
        <v>546</v>
      </c>
      <c r="W7490" s="6"/>
      <c r="X7490" s="6"/>
      <c r="Y7490" s="6"/>
      <c r="Z7490" s="6"/>
      <c r="AA7490" s="6" t="s">
        <v>115</v>
      </c>
      <c r="AB7490" s="8"/>
      <c r="AC7490" s="27">
        <v>9785160163932</v>
      </c>
    </row>
    <row r="7491" spans="1:29" s="4" customFormat="1" ht="51.9" customHeight="1" x14ac:dyDescent="0.2">
      <c r="A7491" s="5">
        <v>0</v>
      </c>
      <c r="B7491" s="6" t="s">
        <v>42318</v>
      </c>
      <c r="C7491" s="7">
        <v>1200</v>
      </c>
      <c r="D7491" s="8" t="s">
        <v>42319</v>
      </c>
      <c r="E7491" s="8" t="s">
        <v>42320</v>
      </c>
      <c r="F7491" s="8" t="s">
        <v>4896</v>
      </c>
      <c r="G7491" s="6" t="s">
        <v>33</v>
      </c>
      <c r="H7491" s="6" t="s">
        <v>34</v>
      </c>
      <c r="I7491" s="8" t="s">
        <v>35</v>
      </c>
      <c r="J7491" s="9">
        <v>1</v>
      </c>
      <c r="K7491" s="9">
        <v>192</v>
      </c>
      <c r="L7491" s="9">
        <v>2025</v>
      </c>
      <c r="M7491" s="8" t="s">
        <v>42321</v>
      </c>
      <c r="N7491" s="8" t="s">
        <v>63</v>
      </c>
      <c r="O7491" s="8" t="s">
        <v>64</v>
      </c>
      <c r="P7491" s="6" t="s">
        <v>39</v>
      </c>
      <c r="Q7491" s="8" t="s">
        <v>40</v>
      </c>
      <c r="R7491" s="10" t="s">
        <v>17696</v>
      </c>
      <c r="S7491" s="11"/>
      <c r="T7491" s="6"/>
      <c r="U7491" s="15" t="str">
        <f>HYPERLINK("https://media.infra-m.ru/2174/2174705/cover/2174705.jpg", "Обложка")</f>
        <v>Обложка</v>
      </c>
      <c r="V7491" s="8" t="s">
        <v>156</v>
      </c>
      <c r="W7491" s="6"/>
      <c r="X7491" s="6"/>
      <c r="Y7491" s="6"/>
      <c r="Z7491" s="6"/>
      <c r="AA7491" s="6" t="s">
        <v>68</v>
      </c>
      <c r="AB7491" s="8" t="s">
        <v>42322</v>
      </c>
      <c r="AC7491" s="27">
        <v>9785160204475</v>
      </c>
    </row>
    <row r="7492" spans="1:29" s="4" customFormat="1" ht="51.9" customHeight="1" x14ac:dyDescent="0.2">
      <c r="A7492" s="5">
        <v>0</v>
      </c>
      <c r="B7492" s="6" t="s">
        <v>42323</v>
      </c>
      <c r="C7492" s="13">
        <v>636</v>
      </c>
      <c r="D7492" s="8" t="s">
        <v>42324</v>
      </c>
      <c r="E7492" s="8" t="s">
        <v>42325</v>
      </c>
      <c r="F7492" s="8" t="s">
        <v>42326</v>
      </c>
      <c r="G7492" s="6" t="s">
        <v>33</v>
      </c>
      <c r="H7492" s="6" t="s">
        <v>34</v>
      </c>
      <c r="I7492" s="8" t="s">
        <v>35</v>
      </c>
      <c r="J7492" s="9">
        <v>1</v>
      </c>
      <c r="K7492" s="9">
        <v>112</v>
      </c>
      <c r="L7492" s="9">
        <v>2023</v>
      </c>
      <c r="M7492" s="8" t="s">
        <v>42327</v>
      </c>
      <c r="N7492" s="8" t="s">
        <v>63</v>
      </c>
      <c r="O7492" s="8" t="s">
        <v>64</v>
      </c>
      <c r="P7492" s="6" t="s">
        <v>39</v>
      </c>
      <c r="Q7492" s="8" t="s">
        <v>40</v>
      </c>
      <c r="R7492" s="10" t="s">
        <v>42328</v>
      </c>
      <c r="S7492" s="11"/>
      <c r="T7492" s="6"/>
      <c r="U7492" s="15" t="str">
        <f>HYPERLINK("https://media.infra-m.ru/2017/2017322/cover/2017322.jpg", "Обложка")</f>
        <v>Обложка</v>
      </c>
      <c r="V7492" s="8" t="s">
        <v>3177</v>
      </c>
      <c r="W7492" s="6"/>
      <c r="X7492" s="6"/>
      <c r="Y7492" s="6"/>
      <c r="Z7492" s="6"/>
      <c r="AA7492" s="6" t="s">
        <v>86</v>
      </c>
      <c r="AB7492" s="8"/>
      <c r="AC7492" s="27">
        <v>9785160136479</v>
      </c>
    </row>
    <row r="7493" spans="1:29" s="4" customFormat="1" ht="51.9" customHeight="1" x14ac:dyDescent="0.2">
      <c r="A7493" s="5">
        <v>0</v>
      </c>
      <c r="B7493" s="6" t="s">
        <v>42329</v>
      </c>
      <c r="C7493" s="7">
        <v>1872</v>
      </c>
      <c r="D7493" s="8" t="s">
        <v>42330</v>
      </c>
      <c r="E7493" s="8" t="s">
        <v>42331</v>
      </c>
      <c r="F7493" s="8" t="s">
        <v>42332</v>
      </c>
      <c r="G7493" s="6" t="s">
        <v>118</v>
      </c>
      <c r="H7493" s="6" t="s">
        <v>34</v>
      </c>
      <c r="I7493" s="8" t="s">
        <v>253</v>
      </c>
      <c r="J7493" s="9">
        <v>1</v>
      </c>
      <c r="K7493" s="9">
        <v>284</v>
      </c>
      <c r="L7493" s="9">
        <v>2026</v>
      </c>
      <c r="M7493" s="8" t="s">
        <v>42333</v>
      </c>
      <c r="N7493" s="8" t="s">
        <v>63</v>
      </c>
      <c r="O7493" s="8" t="s">
        <v>181</v>
      </c>
      <c r="P7493" s="6" t="s">
        <v>51</v>
      </c>
      <c r="Q7493" s="8" t="s">
        <v>377</v>
      </c>
      <c r="R7493" s="10" t="s">
        <v>42334</v>
      </c>
      <c r="S7493" s="11" t="s">
        <v>42335</v>
      </c>
      <c r="T7493" s="6"/>
      <c r="U7493" s="15" t="str">
        <f>HYPERLINK("https://media.infra-m.ru/2226/2226512/cover/2226512.jpg", "Обложка")</f>
        <v>Обложка</v>
      </c>
      <c r="V7493" s="8" t="s">
        <v>42336</v>
      </c>
      <c r="W7493" s="6"/>
      <c r="X7493" s="6"/>
      <c r="Y7493" s="6"/>
      <c r="Z7493" s="6"/>
      <c r="AA7493" s="6" t="s">
        <v>115</v>
      </c>
      <c r="AB7493" s="8"/>
      <c r="AC7493" s="27">
        <v>9785160214740</v>
      </c>
    </row>
    <row r="7494" spans="1:29" s="4" customFormat="1" ht="42" customHeight="1" x14ac:dyDescent="0.2">
      <c r="A7494" s="5">
        <v>0</v>
      </c>
      <c r="B7494" s="6" t="s">
        <v>42337</v>
      </c>
      <c r="C7494" s="7">
        <v>1776</v>
      </c>
      <c r="D7494" s="8" t="s">
        <v>42338</v>
      </c>
      <c r="E7494" s="8" t="s">
        <v>42339</v>
      </c>
      <c r="F7494" s="8" t="s">
        <v>42340</v>
      </c>
      <c r="G7494" s="6" t="s">
        <v>118</v>
      </c>
      <c r="H7494" s="6" t="s">
        <v>34</v>
      </c>
      <c r="I7494" s="8" t="s">
        <v>35</v>
      </c>
      <c r="J7494" s="9">
        <v>1</v>
      </c>
      <c r="K7494" s="9">
        <v>290</v>
      </c>
      <c r="L7494" s="9">
        <v>2025</v>
      </c>
      <c r="M7494" s="8" t="s">
        <v>42341</v>
      </c>
      <c r="N7494" s="8" t="s">
        <v>243</v>
      </c>
      <c r="O7494" s="8" t="s">
        <v>758</v>
      </c>
      <c r="P7494" s="6" t="s">
        <v>39</v>
      </c>
      <c r="Q7494" s="8" t="s">
        <v>40</v>
      </c>
      <c r="R7494" s="10" t="s">
        <v>42342</v>
      </c>
      <c r="S7494" s="11"/>
      <c r="T7494" s="6"/>
      <c r="U7494" s="15" t="str">
        <f>HYPERLINK("https://media.infra-m.ru/2188/2188321/cover/2188321.jpg", "Обложка")</f>
        <v>Обложка</v>
      </c>
      <c r="V7494" s="8" t="s">
        <v>1157</v>
      </c>
      <c r="W7494" s="6"/>
      <c r="X7494" s="6"/>
      <c r="Y7494" s="6"/>
      <c r="Z7494" s="6"/>
      <c r="AA7494" s="6" t="s">
        <v>76</v>
      </c>
      <c r="AB7494" s="8"/>
      <c r="AC7494" s="27">
        <v>9785160194684</v>
      </c>
    </row>
    <row r="7495" spans="1:29" s="4" customFormat="1" ht="51.9" customHeight="1" x14ac:dyDescent="0.2">
      <c r="A7495" s="5">
        <v>0</v>
      </c>
      <c r="B7495" s="6" t="s">
        <v>42343</v>
      </c>
      <c r="C7495" s="7">
        <v>2548.8000000000002</v>
      </c>
      <c r="D7495" s="8" t="s">
        <v>42344</v>
      </c>
      <c r="E7495" s="8" t="s">
        <v>42345</v>
      </c>
      <c r="F7495" s="8" t="s">
        <v>42346</v>
      </c>
      <c r="G7495" s="6" t="s">
        <v>118</v>
      </c>
      <c r="H7495" s="6" t="s">
        <v>34</v>
      </c>
      <c r="I7495" s="8" t="s">
        <v>253</v>
      </c>
      <c r="J7495" s="9">
        <v>1</v>
      </c>
      <c r="K7495" s="9">
        <v>386</v>
      </c>
      <c r="L7495" s="9">
        <v>2026</v>
      </c>
      <c r="M7495" s="8" t="s">
        <v>42347</v>
      </c>
      <c r="N7495" s="8" t="s">
        <v>243</v>
      </c>
      <c r="O7495" s="8" t="s">
        <v>758</v>
      </c>
      <c r="P7495" s="6" t="s">
        <v>306</v>
      </c>
      <c r="Q7495" s="8" t="s">
        <v>52</v>
      </c>
      <c r="R7495" s="10" t="s">
        <v>29945</v>
      </c>
      <c r="S7495" s="11" t="s">
        <v>42348</v>
      </c>
      <c r="T7495" s="6"/>
      <c r="U7495" s="15" t="str">
        <f>HYPERLINK("https://media.infra-m.ru/2247/2247897/cover/2247897.jpg", "Обложка")</f>
        <v>Обложка</v>
      </c>
      <c r="V7495" s="8" t="s">
        <v>1157</v>
      </c>
      <c r="W7495" s="6"/>
      <c r="X7495" s="6"/>
      <c r="Y7495" s="6"/>
      <c r="Z7495" s="6"/>
      <c r="AA7495" s="6" t="s">
        <v>148</v>
      </c>
      <c r="AB7495" s="8"/>
      <c r="AC7495" s="27">
        <v>9785160204109</v>
      </c>
    </row>
    <row r="7496" spans="1:29" s="4" customFormat="1" ht="51.9" customHeight="1" x14ac:dyDescent="0.2">
      <c r="A7496" s="5">
        <v>0</v>
      </c>
      <c r="B7496" s="6" t="s">
        <v>42349</v>
      </c>
      <c r="C7496" s="7">
        <v>2352</v>
      </c>
      <c r="D7496" s="8" t="s">
        <v>42350</v>
      </c>
      <c r="E7496" s="8" t="s">
        <v>42351</v>
      </c>
      <c r="F7496" s="8" t="s">
        <v>42352</v>
      </c>
      <c r="G7496" s="6" t="s">
        <v>118</v>
      </c>
      <c r="H7496" s="6" t="s">
        <v>34</v>
      </c>
      <c r="I7496" s="8" t="s">
        <v>253</v>
      </c>
      <c r="J7496" s="9">
        <v>1</v>
      </c>
      <c r="K7496" s="9">
        <v>357</v>
      </c>
      <c r="L7496" s="9">
        <v>2026</v>
      </c>
      <c r="M7496" s="8" t="s">
        <v>42353</v>
      </c>
      <c r="N7496" s="8" t="s">
        <v>243</v>
      </c>
      <c r="O7496" s="8" t="s">
        <v>329</v>
      </c>
      <c r="P7496" s="6" t="s">
        <v>51</v>
      </c>
      <c r="Q7496" s="8" t="s">
        <v>52</v>
      </c>
      <c r="R7496" s="10" t="s">
        <v>42354</v>
      </c>
      <c r="S7496" s="11" t="s">
        <v>42355</v>
      </c>
      <c r="T7496" s="6"/>
      <c r="U7496" s="15" t="str">
        <f>HYPERLINK("https://media.infra-m.ru/2188/2188267/cover/2188267.jpg", "Обложка")</f>
        <v>Обложка</v>
      </c>
      <c r="V7496" s="8" t="s">
        <v>1157</v>
      </c>
      <c r="W7496" s="6"/>
      <c r="X7496" s="6"/>
      <c r="Y7496" s="6"/>
      <c r="Z7496" s="6"/>
      <c r="AA7496" s="6" t="s">
        <v>1375</v>
      </c>
      <c r="AB7496" s="8"/>
      <c r="AC7496" s="27">
        <v>9785160217987</v>
      </c>
    </row>
    <row r="7497" spans="1:29" s="4" customFormat="1" ht="51.9" customHeight="1" x14ac:dyDescent="0.2">
      <c r="A7497" s="5">
        <v>0</v>
      </c>
      <c r="B7497" s="6" t="s">
        <v>42356</v>
      </c>
      <c r="C7497" s="7">
        <v>1385.9</v>
      </c>
      <c r="D7497" s="8" t="s">
        <v>42357</v>
      </c>
      <c r="E7497" s="8" t="s">
        <v>42358</v>
      </c>
      <c r="F7497" s="8" t="s">
        <v>42352</v>
      </c>
      <c r="G7497" s="6" t="s">
        <v>60</v>
      </c>
      <c r="H7497" s="6" t="s">
        <v>34</v>
      </c>
      <c r="I7497" s="8" t="s">
        <v>271</v>
      </c>
      <c r="J7497" s="9">
        <v>1</v>
      </c>
      <c r="K7497" s="9">
        <v>341</v>
      </c>
      <c r="L7497" s="9">
        <v>2020</v>
      </c>
      <c r="M7497" s="8" t="s">
        <v>42359</v>
      </c>
      <c r="N7497" s="8" t="s">
        <v>243</v>
      </c>
      <c r="O7497" s="8" t="s">
        <v>329</v>
      </c>
      <c r="P7497" s="6" t="s">
        <v>51</v>
      </c>
      <c r="Q7497" s="8" t="s">
        <v>52</v>
      </c>
      <c r="R7497" s="10" t="s">
        <v>42354</v>
      </c>
      <c r="S7497" s="11" t="s">
        <v>42360</v>
      </c>
      <c r="T7497" s="6"/>
      <c r="U7497" s="15" t="str">
        <f>HYPERLINK("https://media.infra-m.ru/1085/1085274/cover/1085274.jpg", "Обложка")</f>
        <v>Обложка</v>
      </c>
      <c r="V7497" s="8" t="s">
        <v>1157</v>
      </c>
      <c r="W7497" s="6"/>
      <c r="X7497" s="6"/>
      <c r="Y7497" s="6"/>
      <c r="Z7497" s="6"/>
      <c r="AA7497" s="6" t="s">
        <v>3800</v>
      </c>
      <c r="AB7497" s="8"/>
      <c r="AC7497" s="27">
        <v>9785160117201</v>
      </c>
    </row>
    <row r="7498" spans="1:29" s="4" customFormat="1" ht="51.9" customHeight="1" x14ac:dyDescent="0.2">
      <c r="A7498" s="5">
        <v>0</v>
      </c>
      <c r="B7498" s="6" t="s">
        <v>42361</v>
      </c>
      <c r="C7498" s="7">
        <v>1272</v>
      </c>
      <c r="D7498" s="8" t="s">
        <v>42362</v>
      </c>
      <c r="E7498" s="8" t="s">
        <v>42363</v>
      </c>
      <c r="F7498" s="8" t="s">
        <v>42364</v>
      </c>
      <c r="G7498" s="6" t="s">
        <v>118</v>
      </c>
      <c r="H7498" s="6" t="s">
        <v>34</v>
      </c>
      <c r="I7498" s="8" t="s">
        <v>1835</v>
      </c>
      <c r="J7498" s="9">
        <v>1</v>
      </c>
      <c r="K7498" s="9">
        <v>176</v>
      </c>
      <c r="L7498" s="9">
        <v>2025</v>
      </c>
      <c r="M7498" s="8" t="s">
        <v>42365</v>
      </c>
      <c r="N7498" s="8" t="s">
        <v>243</v>
      </c>
      <c r="O7498" s="8" t="s">
        <v>758</v>
      </c>
      <c r="P7498" s="6" t="s">
        <v>4401</v>
      </c>
      <c r="Q7498" s="8" t="s">
        <v>65</v>
      </c>
      <c r="R7498" s="10" t="s">
        <v>42366</v>
      </c>
      <c r="S7498" s="11"/>
      <c r="T7498" s="6"/>
      <c r="U7498" s="15" t="str">
        <f>HYPERLINK("https://media.infra-m.ru/2200/2200001/cover/2200001.jpg", "Обложка")</f>
        <v>Обложка</v>
      </c>
      <c r="V7498" s="8" t="s">
        <v>30943</v>
      </c>
      <c r="W7498" s="6"/>
      <c r="X7498" s="6"/>
      <c r="Y7498" s="6"/>
      <c r="Z7498" s="6"/>
      <c r="AA7498" s="6" t="s">
        <v>76</v>
      </c>
      <c r="AB7498" s="8"/>
      <c r="AC7498" s="27">
        <v>9785160178301</v>
      </c>
    </row>
    <row r="7499" spans="1:29" s="4" customFormat="1" ht="51.9" customHeight="1" x14ac:dyDescent="0.2">
      <c r="A7499" s="5">
        <v>0</v>
      </c>
      <c r="B7499" s="6" t="s">
        <v>42367</v>
      </c>
      <c r="C7499" s="7">
        <v>1380</v>
      </c>
      <c r="D7499" s="8" t="s">
        <v>42368</v>
      </c>
      <c r="E7499" s="8" t="s">
        <v>42369</v>
      </c>
      <c r="F7499" s="8" t="s">
        <v>42370</v>
      </c>
      <c r="G7499" s="6" t="s">
        <v>33</v>
      </c>
      <c r="H7499" s="6" t="s">
        <v>241</v>
      </c>
      <c r="I7499" s="8"/>
      <c r="J7499" s="9">
        <v>1</v>
      </c>
      <c r="K7499" s="9">
        <v>256</v>
      </c>
      <c r="L7499" s="9">
        <v>2023</v>
      </c>
      <c r="M7499" s="8" t="s">
        <v>42371</v>
      </c>
      <c r="N7499" s="8" t="s">
        <v>37</v>
      </c>
      <c r="O7499" s="8" t="s">
        <v>499</v>
      </c>
      <c r="P7499" s="6" t="s">
        <v>51</v>
      </c>
      <c r="Q7499" s="8" t="s">
        <v>52</v>
      </c>
      <c r="R7499" s="10" t="s">
        <v>42372</v>
      </c>
      <c r="S7499" s="11"/>
      <c r="T7499" s="6"/>
      <c r="U7499" s="15" t="str">
        <f>HYPERLINK("https://media.infra-m.ru/2020/2020594/cover/2020594.jpg", "Обложка")</f>
        <v>Обложка</v>
      </c>
      <c r="V7499" s="8" t="s">
        <v>42373</v>
      </c>
      <c r="W7499" s="6"/>
      <c r="X7499" s="6"/>
      <c r="Y7499" s="6"/>
      <c r="Z7499" s="6"/>
      <c r="AA7499" s="6" t="s">
        <v>274</v>
      </c>
      <c r="AB7499" s="8"/>
      <c r="AC7499" s="27">
        <v>9785955803920</v>
      </c>
    </row>
    <row r="7500" spans="1:29" s="4" customFormat="1" ht="51.9" customHeight="1" x14ac:dyDescent="0.2">
      <c r="A7500" s="5">
        <v>0</v>
      </c>
      <c r="B7500" s="6" t="s">
        <v>42374</v>
      </c>
      <c r="C7500" s="7">
        <v>1192.8</v>
      </c>
      <c r="D7500" s="8" t="s">
        <v>42375</v>
      </c>
      <c r="E7500" s="8" t="s">
        <v>42376</v>
      </c>
      <c r="F7500" s="8" t="s">
        <v>42377</v>
      </c>
      <c r="G7500" s="6" t="s">
        <v>33</v>
      </c>
      <c r="H7500" s="6" t="s">
        <v>34</v>
      </c>
      <c r="I7500" s="8" t="s">
        <v>35</v>
      </c>
      <c r="J7500" s="9">
        <v>1</v>
      </c>
      <c r="K7500" s="9">
        <v>200</v>
      </c>
      <c r="L7500" s="9">
        <v>2025</v>
      </c>
      <c r="M7500" s="8" t="s">
        <v>42378</v>
      </c>
      <c r="N7500" s="8" t="s">
        <v>243</v>
      </c>
      <c r="O7500" s="8" t="s">
        <v>964</v>
      </c>
      <c r="P7500" s="6" t="s">
        <v>39</v>
      </c>
      <c r="Q7500" s="8" t="s">
        <v>40</v>
      </c>
      <c r="R7500" s="10" t="s">
        <v>42379</v>
      </c>
      <c r="S7500" s="11"/>
      <c r="T7500" s="6"/>
      <c r="U7500" s="15" t="str">
        <f>HYPERLINK("https://media.infra-m.ru/2186/2186412/cover/2186412.jpg", "Обложка")</f>
        <v>Обложка</v>
      </c>
      <c r="V7500" s="8" t="s">
        <v>4368</v>
      </c>
      <c r="W7500" s="6"/>
      <c r="X7500" s="6"/>
      <c r="Y7500" s="6"/>
      <c r="Z7500" s="6"/>
      <c r="AA7500" s="6" t="s">
        <v>148</v>
      </c>
      <c r="AB7500" s="8"/>
      <c r="AC7500" s="27">
        <v>9785160172101</v>
      </c>
    </row>
    <row r="7501" spans="1:29" s="4" customFormat="1" ht="51.9" customHeight="1" x14ac:dyDescent="0.2">
      <c r="A7501" s="5">
        <v>0</v>
      </c>
      <c r="B7501" s="6" t="s">
        <v>42380</v>
      </c>
      <c r="C7501" s="7">
        <v>1188</v>
      </c>
      <c r="D7501" s="8" t="s">
        <v>42381</v>
      </c>
      <c r="E7501" s="8" t="s">
        <v>42382</v>
      </c>
      <c r="F7501" s="8" t="s">
        <v>42383</v>
      </c>
      <c r="G7501" s="6" t="s">
        <v>118</v>
      </c>
      <c r="H7501" s="6" t="s">
        <v>134</v>
      </c>
      <c r="I7501" s="8"/>
      <c r="J7501" s="9">
        <v>1</v>
      </c>
      <c r="K7501" s="9">
        <v>240</v>
      </c>
      <c r="L7501" s="9">
        <v>2022</v>
      </c>
      <c r="M7501" s="8" t="s">
        <v>42384</v>
      </c>
      <c r="N7501" s="8" t="s">
        <v>37</v>
      </c>
      <c r="O7501" s="8" t="s">
        <v>136</v>
      </c>
      <c r="P7501" s="6" t="s">
        <v>683</v>
      </c>
      <c r="Q7501" s="8" t="s">
        <v>65</v>
      </c>
      <c r="R7501" s="10" t="s">
        <v>676</v>
      </c>
      <c r="S7501" s="11"/>
      <c r="T7501" s="6"/>
      <c r="U7501" s="15" t="str">
        <f>HYPERLINK("https://media.infra-m.ru/1872/1872304/cover/1872304.jpg", "Обложка")</f>
        <v>Обложка</v>
      </c>
      <c r="V7501" s="8" t="s">
        <v>138</v>
      </c>
      <c r="W7501" s="6"/>
      <c r="X7501" s="6"/>
      <c r="Y7501" s="6"/>
      <c r="Z7501" s="6"/>
      <c r="AA7501" s="6" t="s">
        <v>1256</v>
      </c>
      <c r="AB7501" s="8"/>
      <c r="AC7501" s="27">
        <v>9785001560906</v>
      </c>
    </row>
    <row r="7502" spans="1:29" s="4" customFormat="1" ht="44.1" customHeight="1" x14ac:dyDescent="0.2">
      <c r="A7502" s="5">
        <v>0</v>
      </c>
      <c r="B7502" s="6" t="s">
        <v>42385</v>
      </c>
      <c r="C7502" s="13">
        <v>960</v>
      </c>
      <c r="D7502" s="8" t="s">
        <v>42386</v>
      </c>
      <c r="E7502" s="8" t="s">
        <v>42387</v>
      </c>
      <c r="F7502" s="8" t="s">
        <v>42388</v>
      </c>
      <c r="G7502" s="6" t="s">
        <v>33</v>
      </c>
      <c r="H7502" s="6" t="s">
        <v>34</v>
      </c>
      <c r="I7502" s="8" t="s">
        <v>35</v>
      </c>
      <c r="J7502" s="9">
        <v>1</v>
      </c>
      <c r="K7502" s="9">
        <v>213</v>
      </c>
      <c r="L7502" s="9">
        <v>2021</v>
      </c>
      <c r="M7502" s="8" t="s">
        <v>42389</v>
      </c>
      <c r="N7502" s="8" t="s">
        <v>37</v>
      </c>
      <c r="O7502" s="8" t="s">
        <v>233</v>
      </c>
      <c r="P7502" s="6" t="s">
        <v>39</v>
      </c>
      <c r="Q7502" s="8" t="s">
        <v>40</v>
      </c>
      <c r="R7502" s="10" t="s">
        <v>5331</v>
      </c>
      <c r="S7502" s="11"/>
      <c r="T7502" s="6"/>
      <c r="U7502" s="15" t="str">
        <f>HYPERLINK("https://media.infra-m.ru/1080/1080624/cover/1080624.jpg", "Обложка")</f>
        <v>Обложка</v>
      </c>
      <c r="V7502" s="8" t="s">
        <v>831</v>
      </c>
      <c r="W7502" s="6"/>
      <c r="X7502" s="6"/>
      <c r="Y7502" s="6"/>
      <c r="Z7502" s="6"/>
      <c r="AA7502" s="6" t="s">
        <v>1256</v>
      </c>
      <c r="AB7502" s="8" t="s">
        <v>2231</v>
      </c>
      <c r="AC7502" s="27">
        <v>9785160160825</v>
      </c>
    </row>
    <row r="7503" spans="1:29" s="4" customFormat="1" ht="51.9" customHeight="1" x14ac:dyDescent="0.2">
      <c r="A7503" s="5">
        <v>0</v>
      </c>
      <c r="B7503" s="6" t="s">
        <v>42390</v>
      </c>
      <c r="C7503" s="7">
        <v>1344</v>
      </c>
      <c r="D7503" s="8" t="s">
        <v>42391</v>
      </c>
      <c r="E7503" s="8" t="s">
        <v>42392</v>
      </c>
      <c r="F7503" s="8" t="s">
        <v>42393</v>
      </c>
      <c r="G7503" s="6" t="s">
        <v>118</v>
      </c>
      <c r="H7503" s="6" t="s">
        <v>134</v>
      </c>
      <c r="I7503" s="8"/>
      <c r="J7503" s="9">
        <v>1</v>
      </c>
      <c r="K7503" s="9">
        <v>192</v>
      </c>
      <c r="L7503" s="9">
        <v>2027</v>
      </c>
      <c r="M7503" s="8" t="s">
        <v>42394</v>
      </c>
      <c r="N7503" s="8" t="s">
        <v>37</v>
      </c>
      <c r="O7503" s="8" t="s">
        <v>136</v>
      </c>
      <c r="P7503" s="6" t="s">
        <v>39</v>
      </c>
      <c r="Q7503" s="8" t="s">
        <v>40</v>
      </c>
      <c r="R7503" s="10" t="s">
        <v>6985</v>
      </c>
      <c r="S7503" s="11"/>
      <c r="T7503" s="6"/>
      <c r="U7503" s="15" t="str">
        <f>HYPERLINK("https://media.infra-m.ru/2268/2268637/cover/2268637.jpg", "Обложка")</f>
        <v>Обложка</v>
      </c>
      <c r="V7503" s="8" t="s">
        <v>5902</v>
      </c>
      <c r="W7503" s="6"/>
      <c r="X7503" s="6"/>
      <c r="Y7503" s="6"/>
      <c r="Z7503" s="6"/>
      <c r="AA7503" s="6" t="s">
        <v>76</v>
      </c>
      <c r="AB7503" s="8"/>
      <c r="AC7503" s="27">
        <v>9785001563266</v>
      </c>
    </row>
    <row r="7504" spans="1:29" s="4" customFormat="1" ht="44.1" customHeight="1" x14ac:dyDescent="0.2">
      <c r="A7504" s="5">
        <v>0</v>
      </c>
      <c r="B7504" s="6" t="s">
        <v>42395</v>
      </c>
      <c r="C7504" s="13">
        <v>796.8</v>
      </c>
      <c r="D7504" s="8" t="s">
        <v>42396</v>
      </c>
      <c r="E7504" s="8" t="s">
        <v>42397</v>
      </c>
      <c r="F7504" s="8" t="s">
        <v>42398</v>
      </c>
      <c r="G7504" s="6" t="s">
        <v>33</v>
      </c>
      <c r="H7504" s="6" t="s">
        <v>241</v>
      </c>
      <c r="I7504" s="8" t="s">
        <v>3496</v>
      </c>
      <c r="J7504" s="9">
        <v>1</v>
      </c>
      <c r="K7504" s="9">
        <v>120</v>
      </c>
      <c r="L7504" s="9">
        <v>2026</v>
      </c>
      <c r="M7504" s="8" t="s">
        <v>42399</v>
      </c>
      <c r="N7504" s="8" t="s">
        <v>585</v>
      </c>
      <c r="O7504" s="8" t="s">
        <v>775</v>
      </c>
      <c r="P7504" s="6" t="s">
        <v>39</v>
      </c>
      <c r="Q7504" s="8" t="s">
        <v>40</v>
      </c>
      <c r="R7504" s="10" t="s">
        <v>42400</v>
      </c>
      <c r="S7504" s="11"/>
      <c r="T7504" s="6"/>
      <c r="U7504" s="15" t="str">
        <f>HYPERLINK("https://media.infra-m.ru/2233/2233527/cover/2233527.jpg", "Обложка")</f>
        <v>Обложка</v>
      </c>
      <c r="V7504" s="8" t="s">
        <v>217</v>
      </c>
      <c r="W7504" s="6"/>
      <c r="X7504" s="6"/>
      <c r="Y7504" s="6"/>
      <c r="Z7504" s="6"/>
      <c r="AA7504" s="6" t="s">
        <v>86</v>
      </c>
      <c r="AB7504" s="8"/>
      <c r="AC7504" s="27">
        <v>9785955805771</v>
      </c>
    </row>
    <row r="7505" spans="1:29" s="4" customFormat="1" ht="51.9" customHeight="1" x14ac:dyDescent="0.2">
      <c r="A7505" s="5">
        <v>0</v>
      </c>
      <c r="B7505" s="6" t="s">
        <v>42401</v>
      </c>
      <c r="C7505" s="7">
        <v>2080.8000000000002</v>
      </c>
      <c r="D7505" s="8" t="s">
        <v>42402</v>
      </c>
      <c r="E7505" s="8" t="s">
        <v>42403</v>
      </c>
      <c r="F7505" s="8" t="s">
        <v>21110</v>
      </c>
      <c r="G7505" s="6" t="s">
        <v>60</v>
      </c>
      <c r="H7505" s="6" t="s">
        <v>34</v>
      </c>
      <c r="I7505" s="8" t="s">
        <v>9737</v>
      </c>
      <c r="J7505" s="9">
        <v>1</v>
      </c>
      <c r="K7505" s="9">
        <v>333</v>
      </c>
      <c r="L7505" s="9">
        <v>2025</v>
      </c>
      <c r="M7505" s="8" t="s">
        <v>42404</v>
      </c>
      <c r="N7505" s="8" t="s">
        <v>243</v>
      </c>
      <c r="O7505" s="8" t="s">
        <v>244</v>
      </c>
      <c r="P7505" s="6" t="s">
        <v>51</v>
      </c>
      <c r="Q7505" s="8" t="s">
        <v>65</v>
      </c>
      <c r="R7505" s="10" t="s">
        <v>42405</v>
      </c>
      <c r="S7505" s="11" t="s">
        <v>42406</v>
      </c>
      <c r="T7505" s="6"/>
      <c r="U7505" s="15" t="str">
        <f>HYPERLINK("https://media.infra-m.ru/2194/2194346/cover/2194346.jpg", "Обложка")</f>
        <v>Обложка</v>
      </c>
      <c r="V7505" s="8" t="s">
        <v>3428</v>
      </c>
      <c r="W7505" s="6"/>
      <c r="X7505" s="6"/>
      <c r="Y7505" s="6"/>
      <c r="Z7505" s="6"/>
      <c r="AA7505" s="6" t="s">
        <v>430</v>
      </c>
      <c r="AB7505" s="8"/>
      <c r="AC7505" s="27">
        <v>9785160150208</v>
      </c>
    </row>
    <row r="7506" spans="1:29" s="4" customFormat="1" ht="42" customHeight="1" x14ac:dyDescent="0.2">
      <c r="A7506" s="5">
        <v>0</v>
      </c>
      <c r="B7506" s="6" t="s">
        <v>42407</v>
      </c>
      <c r="C7506" s="7">
        <v>1116</v>
      </c>
      <c r="D7506" s="8" t="s">
        <v>42408</v>
      </c>
      <c r="E7506" s="8" t="s">
        <v>42409</v>
      </c>
      <c r="F7506" s="8" t="s">
        <v>42410</v>
      </c>
      <c r="G7506" s="6" t="s">
        <v>33</v>
      </c>
      <c r="H7506" s="6" t="s">
        <v>34</v>
      </c>
      <c r="I7506" s="8" t="s">
        <v>457</v>
      </c>
      <c r="J7506" s="9">
        <v>1</v>
      </c>
      <c r="K7506" s="9">
        <v>181</v>
      </c>
      <c r="L7506" s="9">
        <v>2023</v>
      </c>
      <c r="M7506" s="8" t="s">
        <v>42411</v>
      </c>
      <c r="N7506" s="8" t="s">
        <v>37</v>
      </c>
      <c r="O7506" s="8" t="s">
        <v>233</v>
      </c>
      <c r="P7506" s="6" t="s">
        <v>39</v>
      </c>
      <c r="Q7506" s="8" t="s">
        <v>40</v>
      </c>
      <c r="R7506" s="10" t="s">
        <v>5331</v>
      </c>
      <c r="S7506" s="11"/>
      <c r="T7506" s="6"/>
      <c r="U7506" s="15" t="str">
        <f>HYPERLINK("https://media.infra-m.ru/1098/1098270/cover/1098270.jpg", "Обложка")</f>
        <v>Обложка</v>
      </c>
      <c r="V7506" s="8" t="s">
        <v>247</v>
      </c>
      <c r="W7506" s="6"/>
      <c r="X7506" s="6"/>
      <c r="Y7506" s="6"/>
      <c r="Z7506" s="6"/>
      <c r="AA7506" s="6" t="s">
        <v>157</v>
      </c>
      <c r="AB7506" s="8"/>
      <c r="AC7506" s="27">
        <v>9785160163291</v>
      </c>
    </row>
    <row r="7507" spans="1:29" s="4" customFormat="1" ht="44.1" customHeight="1" x14ac:dyDescent="0.2">
      <c r="A7507" s="5">
        <v>0</v>
      </c>
      <c r="B7507" s="6" t="s">
        <v>42412</v>
      </c>
      <c r="C7507" s="13">
        <v>844.8</v>
      </c>
      <c r="D7507" s="8" t="s">
        <v>42413</v>
      </c>
      <c r="E7507" s="8" t="s">
        <v>42414</v>
      </c>
      <c r="F7507" s="8" t="s">
        <v>36117</v>
      </c>
      <c r="G7507" s="6" t="s">
        <v>33</v>
      </c>
      <c r="H7507" s="6" t="s">
        <v>34</v>
      </c>
      <c r="I7507" s="8" t="s">
        <v>35</v>
      </c>
      <c r="J7507" s="9">
        <v>1</v>
      </c>
      <c r="K7507" s="9">
        <v>140</v>
      </c>
      <c r="L7507" s="9">
        <v>2025</v>
      </c>
      <c r="M7507" s="8" t="s">
        <v>42415</v>
      </c>
      <c r="N7507" s="8" t="s">
        <v>37</v>
      </c>
      <c r="O7507" s="8" t="s">
        <v>280</v>
      </c>
      <c r="P7507" s="6" t="s">
        <v>39</v>
      </c>
      <c r="Q7507" s="8" t="s">
        <v>40</v>
      </c>
      <c r="R7507" s="10" t="s">
        <v>2053</v>
      </c>
      <c r="S7507" s="11"/>
      <c r="T7507" s="6"/>
      <c r="U7507" s="15" t="str">
        <f>HYPERLINK("https://media.infra-m.ru/2185/2185315/cover/2185315.jpg", "Обложка")</f>
        <v>Обложка</v>
      </c>
      <c r="V7507" s="8" t="s">
        <v>4943</v>
      </c>
      <c r="W7507" s="6"/>
      <c r="X7507" s="6"/>
      <c r="Y7507" s="6"/>
      <c r="Z7507" s="6"/>
      <c r="AA7507" s="6" t="s">
        <v>779</v>
      </c>
      <c r="AB7507" s="8"/>
      <c r="AC7507" s="27">
        <v>9785160106014</v>
      </c>
    </row>
    <row r="7508" spans="1:29" s="4" customFormat="1" ht="42" customHeight="1" x14ac:dyDescent="0.2">
      <c r="A7508" s="5">
        <v>0</v>
      </c>
      <c r="B7508" s="6" t="s">
        <v>42416</v>
      </c>
      <c r="C7508" s="13">
        <v>828</v>
      </c>
      <c r="D7508" s="8" t="s">
        <v>42417</v>
      </c>
      <c r="E7508" s="8" t="s">
        <v>42418</v>
      </c>
      <c r="F7508" s="8" t="s">
        <v>42419</v>
      </c>
      <c r="G7508" s="6" t="s">
        <v>33</v>
      </c>
      <c r="H7508" s="6" t="s">
        <v>34</v>
      </c>
      <c r="I7508" s="8" t="s">
        <v>35</v>
      </c>
      <c r="J7508" s="9">
        <v>1</v>
      </c>
      <c r="K7508" s="9">
        <v>159</v>
      </c>
      <c r="L7508" s="9">
        <v>2022</v>
      </c>
      <c r="M7508" s="8" t="s">
        <v>42420</v>
      </c>
      <c r="N7508" s="8" t="s">
        <v>37</v>
      </c>
      <c r="O7508" s="8" t="s">
        <v>83</v>
      </c>
      <c r="P7508" s="6" t="s">
        <v>39</v>
      </c>
      <c r="Q7508" s="8" t="s">
        <v>40</v>
      </c>
      <c r="R7508" s="10" t="s">
        <v>6716</v>
      </c>
      <c r="S7508" s="11"/>
      <c r="T7508" s="6"/>
      <c r="U7508" s="15" t="str">
        <f>HYPERLINK("https://media.infra-m.ru/1111/1111372/cover/1111372.jpg", "Обложка")</f>
        <v>Обложка</v>
      </c>
      <c r="V7508" s="8" t="s">
        <v>247</v>
      </c>
      <c r="W7508" s="6"/>
      <c r="X7508" s="6"/>
      <c r="Y7508" s="6"/>
      <c r="Z7508" s="6"/>
      <c r="AA7508" s="6" t="s">
        <v>148</v>
      </c>
      <c r="AB7508" s="8"/>
      <c r="AC7508" s="27">
        <v>9785160163598</v>
      </c>
    </row>
    <row r="7509" spans="1:29" s="4" customFormat="1" ht="51.9" customHeight="1" x14ac:dyDescent="0.2">
      <c r="A7509" s="5">
        <v>0</v>
      </c>
      <c r="B7509" s="6" t="s">
        <v>42421</v>
      </c>
      <c r="C7509" s="7">
        <v>1956</v>
      </c>
      <c r="D7509" s="8" t="s">
        <v>42422</v>
      </c>
      <c r="E7509" s="8" t="s">
        <v>42423</v>
      </c>
      <c r="F7509" s="8" t="s">
        <v>42424</v>
      </c>
      <c r="G7509" s="6" t="s">
        <v>118</v>
      </c>
      <c r="H7509" s="6" t="s">
        <v>34</v>
      </c>
      <c r="I7509" s="8" t="s">
        <v>1074</v>
      </c>
      <c r="J7509" s="9">
        <v>1</v>
      </c>
      <c r="K7509" s="9">
        <v>296</v>
      </c>
      <c r="L7509" s="9">
        <v>2026</v>
      </c>
      <c r="M7509" s="8" t="s">
        <v>42425</v>
      </c>
      <c r="N7509" s="8" t="s">
        <v>37</v>
      </c>
      <c r="O7509" s="8" t="s">
        <v>136</v>
      </c>
      <c r="P7509" s="6" t="s">
        <v>39</v>
      </c>
      <c r="Q7509" s="8" t="s">
        <v>40</v>
      </c>
      <c r="R7509" s="10" t="s">
        <v>4348</v>
      </c>
      <c r="S7509" s="11"/>
      <c r="T7509" s="6"/>
      <c r="U7509" s="15" t="str">
        <f>HYPERLINK("https://media.infra-m.ru/2234/2234442/cover/2234442.jpg", "Обложка")</f>
        <v>Обложка</v>
      </c>
      <c r="V7509" s="8" t="s">
        <v>1184</v>
      </c>
      <c r="W7509" s="6"/>
      <c r="X7509" s="6"/>
      <c r="Y7509" s="6"/>
      <c r="Z7509" s="6"/>
      <c r="AA7509" s="6" t="s">
        <v>76</v>
      </c>
      <c r="AB7509" s="8"/>
      <c r="AC7509" s="27">
        <v>9785160197371</v>
      </c>
    </row>
    <row r="7510" spans="1:29" s="4" customFormat="1" ht="42" customHeight="1" x14ac:dyDescent="0.2">
      <c r="A7510" s="5">
        <v>0</v>
      </c>
      <c r="B7510" s="6" t="s">
        <v>42426</v>
      </c>
      <c r="C7510" s="7">
        <v>2080.8000000000002</v>
      </c>
      <c r="D7510" s="8" t="s">
        <v>42427</v>
      </c>
      <c r="E7510" s="8" t="s">
        <v>42428</v>
      </c>
      <c r="F7510" s="8" t="s">
        <v>5604</v>
      </c>
      <c r="G7510" s="6" t="s">
        <v>118</v>
      </c>
      <c r="H7510" s="6" t="s">
        <v>34</v>
      </c>
      <c r="I7510" s="8" t="s">
        <v>35</v>
      </c>
      <c r="J7510" s="9">
        <v>1</v>
      </c>
      <c r="K7510" s="9">
        <v>315</v>
      </c>
      <c r="L7510" s="9">
        <v>2026</v>
      </c>
      <c r="M7510" s="8" t="s">
        <v>42429</v>
      </c>
      <c r="N7510" s="8" t="s">
        <v>37</v>
      </c>
      <c r="O7510" s="8" t="s">
        <v>136</v>
      </c>
      <c r="P7510" s="6" t="s">
        <v>39</v>
      </c>
      <c r="Q7510" s="8" t="s">
        <v>40</v>
      </c>
      <c r="R7510" s="10" t="s">
        <v>1667</v>
      </c>
      <c r="S7510" s="11"/>
      <c r="T7510" s="6"/>
      <c r="U7510" s="15" t="str">
        <f>HYPERLINK("https://media.infra-m.ru/2239/2239142/cover/2239142.jpg", "Обложка")</f>
        <v>Обложка</v>
      </c>
      <c r="V7510" s="8" t="s">
        <v>5609</v>
      </c>
      <c r="W7510" s="6"/>
      <c r="X7510" s="6"/>
      <c r="Y7510" s="6"/>
      <c r="Z7510" s="6"/>
      <c r="AA7510" s="6" t="s">
        <v>86</v>
      </c>
      <c r="AB7510" s="8"/>
      <c r="AC7510" s="27">
        <v>9785160129525</v>
      </c>
    </row>
    <row r="7511" spans="1:29" s="4" customFormat="1" ht="51.9" customHeight="1" x14ac:dyDescent="0.2">
      <c r="A7511" s="5">
        <v>0</v>
      </c>
      <c r="B7511" s="6" t="s">
        <v>42430</v>
      </c>
      <c r="C7511" s="7">
        <v>1188</v>
      </c>
      <c r="D7511" s="8" t="s">
        <v>42431</v>
      </c>
      <c r="E7511" s="8" t="s">
        <v>42432</v>
      </c>
      <c r="F7511" s="8" t="s">
        <v>42433</v>
      </c>
      <c r="G7511" s="6" t="s">
        <v>60</v>
      </c>
      <c r="H7511" s="6" t="s">
        <v>34</v>
      </c>
      <c r="I7511" s="8" t="s">
        <v>35</v>
      </c>
      <c r="J7511" s="9">
        <v>1</v>
      </c>
      <c r="K7511" s="9">
        <v>198</v>
      </c>
      <c r="L7511" s="9">
        <v>2024</v>
      </c>
      <c r="M7511" s="8" t="s">
        <v>42434</v>
      </c>
      <c r="N7511" s="8" t="s">
        <v>37</v>
      </c>
      <c r="O7511" s="8" t="s">
        <v>233</v>
      </c>
      <c r="P7511" s="6" t="s">
        <v>39</v>
      </c>
      <c r="Q7511" s="8" t="s">
        <v>40</v>
      </c>
      <c r="R7511" s="10" t="s">
        <v>42435</v>
      </c>
      <c r="S7511" s="11"/>
      <c r="T7511" s="6"/>
      <c r="U7511" s="15" t="str">
        <f>HYPERLINK("https://media.infra-m.ru/2124/2124803/cover/2124803.jpg", "Обложка")</f>
        <v>Обложка</v>
      </c>
      <c r="V7511" s="8" t="s">
        <v>12917</v>
      </c>
      <c r="W7511" s="6"/>
      <c r="X7511" s="6"/>
      <c r="Y7511" s="6"/>
      <c r="Z7511" s="6"/>
      <c r="AA7511" s="6" t="s">
        <v>76</v>
      </c>
      <c r="AB7511" s="8"/>
      <c r="AC7511" s="27">
        <v>9785160194929</v>
      </c>
    </row>
    <row r="7512" spans="1:29" s="4" customFormat="1" ht="51.9" customHeight="1" x14ac:dyDescent="0.2">
      <c r="A7512" s="5">
        <v>0</v>
      </c>
      <c r="B7512" s="6" t="s">
        <v>42436</v>
      </c>
      <c r="C7512" s="7">
        <v>1308</v>
      </c>
      <c r="D7512" s="8" t="s">
        <v>42437</v>
      </c>
      <c r="E7512" s="8" t="s">
        <v>42438</v>
      </c>
      <c r="F7512" s="8" t="s">
        <v>42439</v>
      </c>
      <c r="G7512" s="6" t="s">
        <v>33</v>
      </c>
      <c r="H7512" s="6" t="s">
        <v>34</v>
      </c>
      <c r="I7512" s="8" t="s">
        <v>35</v>
      </c>
      <c r="J7512" s="9">
        <v>1</v>
      </c>
      <c r="K7512" s="9">
        <v>210</v>
      </c>
      <c r="L7512" s="9">
        <v>2024</v>
      </c>
      <c r="M7512" s="8" t="s">
        <v>42440</v>
      </c>
      <c r="N7512" s="8" t="s">
        <v>243</v>
      </c>
      <c r="O7512" s="8" t="s">
        <v>933</v>
      </c>
      <c r="P7512" s="6" t="s">
        <v>39</v>
      </c>
      <c r="Q7512" s="8" t="s">
        <v>40</v>
      </c>
      <c r="R7512" s="10" t="s">
        <v>42441</v>
      </c>
      <c r="S7512" s="11"/>
      <c r="T7512" s="6"/>
      <c r="U7512" s="15" t="str">
        <f>HYPERLINK("https://media.infra-m.ru/2048/2048102/cover/2048102.jpg", "Обложка")</f>
        <v>Обложка</v>
      </c>
      <c r="V7512" s="8" t="s">
        <v>761</v>
      </c>
      <c r="W7512" s="6"/>
      <c r="X7512" s="6"/>
      <c r="Y7512" s="6"/>
      <c r="Z7512" s="6"/>
      <c r="AA7512" s="6" t="s">
        <v>76</v>
      </c>
      <c r="AB7512" s="8"/>
      <c r="AC7512" s="27">
        <v>9785160186962</v>
      </c>
    </row>
    <row r="7513" spans="1:29" s="4" customFormat="1" ht="51.9" customHeight="1" x14ac:dyDescent="0.2">
      <c r="A7513" s="5">
        <v>0</v>
      </c>
      <c r="B7513" s="6" t="s">
        <v>42442</v>
      </c>
      <c r="C7513" s="7">
        <v>1433.9</v>
      </c>
      <c r="D7513" s="8" t="s">
        <v>42443</v>
      </c>
      <c r="E7513" s="8" t="s">
        <v>42444</v>
      </c>
      <c r="F7513" s="8" t="s">
        <v>42445</v>
      </c>
      <c r="G7513" s="6" t="s">
        <v>60</v>
      </c>
      <c r="H7513" s="6" t="s">
        <v>5605</v>
      </c>
      <c r="I7513" s="8" t="s">
        <v>253</v>
      </c>
      <c r="J7513" s="9">
        <v>1</v>
      </c>
      <c r="K7513" s="9">
        <v>635</v>
      </c>
      <c r="L7513" s="9">
        <v>2022</v>
      </c>
      <c r="M7513" s="8" t="s">
        <v>42446</v>
      </c>
      <c r="N7513" s="8" t="s">
        <v>585</v>
      </c>
      <c r="O7513" s="8" t="s">
        <v>667</v>
      </c>
      <c r="P7513" s="6" t="s">
        <v>51</v>
      </c>
      <c r="Q7513" s="8" t="s">
        <v>52</v>
      </c>
      <c r="R7513" s="10" t="s">
        <v>42447</v>
      </c>
      <c r="S7513" s="11" t="s">
        <v>42448</v>
      </c>
      <c r="T7513" s="6"/>
      <c r="U7513" s="15" t="str">
        <f>HYPERLINK("https://media.infra-m.ru/0519/0519576/cover/519576.jpg", "Обложка")</f>
        <v>Обложка</v>
      </c>
      <c r="V7513" s="8" t="s">
        <v>7509</v>
      </c>
      <c r="W7513" s="6"/>
      <c r="X7513" s="6"/>
      <c r="Y7513" s="6"/>
      <c r="Z7513" s="6"/>
      <c r="AA7513" s="6" t="s">
        <v>43</v>
      </c>
      <c r="AB7513" s="8"/>
      <c r="AC7513" s="27">
        <v>9785160050645</v>
      </c>
    </row>
    <row r="7514" spans="1:29" s="4" customFormat="1" ht="51.9" customHeight="1" x14ac:dyDescent="0.2">
      <c r="A7514" s="5">
        <v>0</v>
      </c>
      <c r="B7514" s="6" t="s">
        <v>42449</v>
      </c>
      <c r="C7514" s="7">
        <v>1828.8</v>
      </c>
      <c r="D7514" s="8" t="s">
        <v>42450</v>
      </c>
      <c r="E7514" s="8" t="s">
        <v>42451</v>
      </c>
      <c r="F7514" s="8" t="s">
        <v>42452</v>
      </c>
      <c r="G7514" s="6" t="s">
        <v>118</v>
      </c>
      <c r="H7514" s="6" t="s">
        <v>241</v>
      </c>
      <c r="I7514" s="8" t="s">
        <v>241</v>
      </c>
      <c r="J7514" s="9">
        <v>1</v>
      </c>
      <c r="K7514" s="9">
        <v>337</v>
      </c>
      <c r="L7514" s="9">
        <v>2023</v>
      </c>
      <c r="M7514" s="8" t="s">
        <v>42453</v>
      </c>
      <c r="N7514" s="8" t="s">
        <v>243</v>
      </c>
      <c r="O7514" s="8" t="s">
        <v>329</v>
      </c>
      <c r="P7514" s="6" t="s">
        <v>51</v>
      </c>
      <c r="Q7514" s="8" t="s">
        <v>52</v>
      </c>
      <c r="R7514" s="10" t="s">
        <v>42454</v>
      </c>
      <c r="S7514" s="11" t="s">
        <v>42455</v>
      </c>
      <c r="T7514" s="6"/>
      <c r="U7514" s="15" t="str">
        <f>HYPERLINK("https://media.infra-m.ru/2111/2111346/cover/2111346.jpg", "Обложка")</f>
        <v>Обложка</v>
      </c>
      <c r="V7514" s="8" t="s">
        <v>36576</v>
      </c>
      <c r="W7514" s="6"/>
      <c r="X7514" s="6"/>
      <c r="Y7514" s="6"/>
      <c r="Z7514" s="6"/>
      <c r="AA7514" s="6" t="s">
        <v>86</v>
      </c>
      <c r="AB7514" s="8"/>
      <c r="AC7514" s="27">
        <v>9785955805474</v>
      </c>
    </row>
    <row r="7515" spans="1:29" s="4" customFormat="1" ht="51.9" customHeight="1" x14ac:dyDescent="0.2">
      <c r="A7515" s="5">
        <v>0</v>
      </c>
      <c r="B7515" s="6" t="s">
        <v>42456</v>
      </c>
      <c r="C7515" s="7">
        <v>2321.9</v>
      </c>
      <c r="D7515" s="8" t="s">
        <v>42457</v>
      </c>
      <c r="E7515" s="8" t="s">
        <v>42458</v>
      </c>
      <c r="F7515" s="8" t="s">
        <v>42459</v>
      </c>
      <c r="G7515" s="6" t="s">
        <v>60</v>
      </c>
      <c r="H7515" s="6" t="s">
        <v>34</v>
      </c>
      <c r="I7515" s="8" t="s">
        <v>253</v>
      </c>
      <c r="J7515" s="9">
        <v>1</v>
      </c>
      <c r="K7515" s="9">
        <v>430</v>
      </c>
      <c r="L7515" s="9">
        <v>2023</v>
      </c>
      <c r="M7515" s="8" t="s">
        <v>42460</v>
      </c>
      <c r="N7515" s="8" t="s">
        <v>585</v>
      </c>
      <c r="O7515" s="8" t="s">
        <v>667</v>
      </c>
      <c r="P7515" s="6" t="s">
        <v>51</v>
      </c>
      <c r="Q7515" s="8" t="s">
        <v>52</v>
      </c>
      <c r="R7515" s="10" t="s">
        <v>42461</v>
      </c>
      <c r="S7515" s="11"/>
      <c r="T7515" s="6"/>
      <c r="U7515" s="15" t="str">
        <f>HYPERLINK("https://media.infra-m.ru/1981/1981609/cover/1981609.jpg", "Обложка")</f>
        <v>Обложка</v>
      </c>
      <c r="V7515" s="8" t="s">
        <v>1871</v>
      </c>
      <c r="W7515" s="6"/>
      <c r="X7515" s="6"/>
      <c r="Y7515" s="6"/>
      <c r="Z7515" s="6"/>
      <c r="AA7515" s="6" t="s">
        <v>248</v>
      </c>
      <c r="AB7515" s="8"/>
      <c r="AC7515" s="27">
        <v>9785160100265</v>
      </c>
    </row>
    <row r="7516" spans="1:29" s="4" customFormat="1" ht="51.9" customHeight="1" x14ac:dyDescent="0.2">
      <c r="A7516" s="5">
        <v>0</v>
      </c>
      <c r="B7516" s="6" t="s">
        <v>42462</v>
      </c>
      <c r="C7516" s="7">
        <v>2556</v>
      </c>
      <c r="D7516" s="8" t="s">
        <v>42463</v>
      </c>
      <c r="E7516" s="8" t="s">
        <v>42464</v>
      </c>
      <c r="F7516" s="8" t="s">
        <v>42465</v>
      </c>
      <c r="G7516" s="6" t="s">
        <v>118</v>
      </c>
      <c r="H7516" s="6" t="s">
        <v>820</v>
      </c>
      <c r="I7516" s="8"/>
      <c r="J7516" s="9">
        <v>1</v>
      </c>
      <c r="K7516" s="9">
        <v>368</v>
      </c>
      <c r="L7516" s="9">
        <v>2026</v>
      </c>
      <c r="M7516" s="8" t="s">
        <v>42466</v>
      </c>
      <c r="N7516" s="8" t="s">
        <v>585</v>
      </c>
      <c r="O7516" s="8" t="s">
        <v>667</v>
      </c>
      <c r="P7516" s="6" t="s">
        <v>306</v>
      </c>
      <c r="Q7516" s="8" t="s">
        <v>52</v>
      </c>
      <c r="R7516" s="10" t="s">
        <v>42467</v>
      </c>
      <c r="S7516" s="11" t="s">
        <v>42468</v>
      </c>
      <c r="T7516" s="6"/>
      <c r="U7516" s="15" t="str">
        <f>HYPERLINK("https://media.infra-m.ru/2224/2224085/cover/2224085.jpg", "Обложка")</f>
        <v>Обложка</v>
      </c>
      <c r="V7516" s="8" t="s">
        <v>42469</v>
      </c>
      <c r="W7516" s="6"/>
      <c r="X7516" s="6"/>
      <c r="Y7516" s="6"/>
      <c r="Z7516" s="6"/>
      <c r="AA7516" s="6" t="s">
        <v>11574</v>
      </c>
      <c r="AB7516" s="8"/>
      <c r="AC7516" s="27">
        <v>9785906923714</v>
      </c>
    </row>
    <row r="7517" spans="1:29" s="4" customFormat="1" ht="51.9" customHeight="1" x14ac:dyDescent="0.2">
      <c r="A7517" s="5">
        <v>0</v>
      </c>
      <c r="B7517" s="6" t="s">
        <v>42470</v>
      </c>
      <c r="C7517" s="7">
        <v>1948.8</v>
      </c>
      <c r="D7517" s="8" t="s">
        <v>42471</v>
      </c>
      <c r="E7517" s="8" t="s">
        <v>42472</v>
      </c>
      <c r="F7517" s="8" t="s">
        <v>42452</v>
      </c>
      <c r="G7517" s="6" t="s">
        <v>118</v>
      </c>
      <c r="H7517" s="6" t="s">
        <v>241</v>
      </c>
      <c r="I7517" s="8" t="s">
        <v>271</v>
      </c>
      <c r="J7517" s="9">
        <v>1</v>
      </c>
      <c r="K7517" s="9">
        <v>359</v>
      </c>
      <c r="L7517" s="9">
        <v>2023</v>
      </c>
      <c r="M7517" s="8" t="s">
        <v>42473</v>
      </c>
      <c r="N7517" s="8" t="s">
        <v>585</v>
      </c>
      <c r="O7517" s="8" t="s">
        <v>667</v>
      </c>
      <c r="P7517" s="6" t="s">
        <v>306</v>
      </c>
      <c r="Q7517" s="8" t="s">
        <v>52</v>
      </c>
      <c r="R7517" s="10" t="s">
        <v>42474</v>
      </c>
      <c r="S7517" s="11" t="s">
        <v>42475</v>
      </c>
      <c r="T7517" s="6"/>
      <c r="U7517" s="15" t="str">
        <f>HYPERLINK("https://media.infra-m.ru/2006/2006018/cover/2006018.jpg", "Обложка")</f>
        <v>Обложка</v>
      </c>
      <c r="V7517" s="8" t="s">
        <v>36576</v>
      </c>
      <c r="W7517" s="6"/>
      <c r="X7517" s="6"/>
      <c r="Y7517" s="6"/>
      <c r="Z7517" s="6"/>
      <c r="AA7517" s="6" t="s">
        <v>86</v>
      </c>
      <c r="AB7517" s="8"/>
      <c r="AC7517" s="27">
        <v>9785955805467</v>
      </c>
    </row>
    <row r="7518" spans="1:29" s="4" customFormat="1" ht="51.9" customHeight="1" x14ac:dyDescent="0.2">
      <c r="A7518" s="5">
        <v>0</v>
      </c>
      <c r="B7518" s="6" t="s">
        <v>42476</v>
      </c>
      <c r="C7518" s="7">
        <v>1457.9</v>
      </c>
      <c r="D7518" s="8" t="s">
        <v>42477</v>
      </c>
      <c r="E7518" s="8" t="s">
        <v>42472</v>
      </c>
      <c r="F7518" s="8" t="s">
        <v>42478</v>
      </c>
      <c r="G7518" s="6" t="s">
        <v>118</v>
      </c>
      <c r="H7518" s="6" t="s">
        <v>34</v>
      </c>
      <c r="I7518" s="8" t="s">
        <v>271</v>
      </c>
      <c r="J7518" s="9">
        <v>1</v>
      </c>
      <c r="K7518" s="9">
        <v>271</v>
      </c>
      <c r="L7518" s="9">
        <v>2023</v>
      </c>
      <c r="M7518" s="8" t="s">
        <v>42479</v>
      </c>
      <c r="N7518" s="8" t="s">
        <v>585</v>
      </c>
      <c r="O7518" s="8" t="s">
        <v>667</v>
      </c>
      <c r="P7518" s="6" t="s">
        <v>51</v>
      </c>
      <c r="Q7518" s="8" t="s">
        <v>52</v>
      </c>
      <c r="R7518" s="10" t="s">
        <v>37276</v>
      </c>
      <c r="S7518" s="11" t="s">
        <v>11604</v>
      </c>
      <c r="T7518" s="6"/>
      <c r="U7518" s="15" t="str">
        <f>HYPERLINK("https://media.infra-m.ru/1903/1903567/cover/1903567.jpg", "Обложка")</f>
        <v>Обложка</v>
      </c>
      <c r="V7518" s="8" t="s">
        <v>761</v>
      </c>
      <c r="W7518" s="6"/>
      <c r="X7518" s="6"/>
      <c r="Y7518" s="6"/>
      <c r="Z7518" s="6"/>
      <c r="AA7518" s="6" t="s">
        <v>274</v>
      </c>
      <c r="AB7518" s="8"/>
      <c r="AC7518" s="27">
        <v>9785160096483</v>
      </c>
    </row>
    <row r="7519" spans="1:29" s="4" customFormat="1" ht="51.9" customHeight="1" x14ac:dyDescent="0.2">
      <c r="A7519" s="5">
        <v>0</v>
      </c>
      <c r="B7519" s="6" t="s">
        <v>42480</v>
      </c>
      <c r="C7519" s="7">
        <v>2272.8000000000002</v>
      </c>
      <c r="D7519" s="8" t="s">
        <v>42481</v>
      </c>
      <c r="E7519" s="8" t="s">
        <v>42482</v>
      </c>
      <c r="F7519" s="8" t="s">
        <v>42483</v>
      </c>
      <c r="G7519" s="6" t="s">
        <v>118</v>
      </c>
      <c r="H7519" s="6" t="s">
        <v>313</v>
      </c>
      <c r="I7519" s="8" t="s">
        <v>253</v>
      </c>
      <c r="J7519" s="9">
        <v>1</v>
      </c>
      <c r="K7519" s="9">
        <v>336</v>
      </c>
      <c r="L7519" s="9">
        <v>2026</v>
      </c>
      <c r="M7519" s="8" t="s">
        <v>42484</v>
      </c>
      <c r="N7519" s="8" t="s">
        <v>585</v>
      </c>
      <c r="O7519" s="8" t="s">
        <v>667</v>
      </c>
      <c r="P7519" s="6" t="s">
        <v>51</v>
      </c>
      <c r="Q7519" s="8" t="s">
        <v>65</v>
      </c>
      <c r="R7519" s="10" t="s">
        <v>2820</v>
      </c>
      <c r="S7519" s="11" t="s">
        <v>33073</v>
      </c>
      <c r="T7519" s="6"/>
      <c r="U7519" s="15" t="str">
        <f>HYPERLINK("https://media.infra-m.ru/2224/2224190/cover/2224190.jpg", "Обложка")</f>
        <v>Обложка</v>
      </c>
      <c r="V7519" s="8" t="s">
        <v>1030</v>
      </c>
      <c r="W7519" s="6"/>
      <c r="X7519" s="6"/>
      <c r="Y7519" s="6"/>
      <c r="Z7519" s="6"/>
      <c r="AA7519" s="6" t="s">
        <v>623</v>
      </c>
      <c r="AB7519" s="8"/>
      <c r="AC7519" s="27">
        <v>9785369015742</v>
      </c>
    </row>
    <row r="7520" spans="1:29" s="4" customFormat="1" ht="42" customHeight="1" x14ac:dyDescent="0.2">
      <c r="A7520" s="5">
        <v>0</v>
      </c>
      <c r="B7520" s="6" t="s">
        <v>42485</v>
      </c>
      <c r="C7520" s="13">
        <v>652.79999999999995</v>
      </c>
      <c r="D7520" s="8" t="s">
        <v>42486</v>
      </c>
      <c r="E7520" s="8" t="s">
        <v>42487</v>
      </c>
      <c r="F7520" s="8" t="s">
        <v>42488</v>
      </c>
      <c r="G7520" s="6" t="s">
        <v>33</v>
      </c>
      <c r="H7520" s="6" t="s">
        <v>34</v>
      </c>
      <c r="I7520" s="8" t="s">
        <v>1081</v>
      </c>
      <c r="J7520" s="9">
        <v>1</v>
      </c>
      <c r="K7520" s="9">
        <v>119</v>
      </c>
      <c r="L7520" s="9">
        <v>2023</v>
      </c>
      <c r="M7520" s="8" t="s">
        <v>42489</v>
      </c>
      <c r="N7520" s="8" t="s">
        <v>63</v>
      </c>
      <c r="O7520" s="8" t="s">
        <v>126</v>
      </c>
      <c r="P7520" s="6" t="s">
        <v>39</v>
      </c>
      <c r="Q7520" s="8" t="s">
        <v>40</v>
      </c>
      <c r="R7520" s="10" t="s">
        <v>10423</v>
      </c>
      <c r="S7520" s="11"/>
      <c r="T7520" s="6"/>
      <c r="U7520" s="15" t="str">
        <f>HYPERLINK("https://media.infra-m.ru/2006/2006889/cover/2006889.jpg", "Обложка")</f>
        <v>Обложка</v>
      </c>
      <c r="V7520" s="8" t="s">
        <v>1083</v>
      </c>
      <c r="W7520" s="6"/>
      <c r="X7520" s="6"/>
      <c r="Y7520" s="6"/>
      <c r="Z7520" s="6"/>
      <c r="AA7520" s="6" t="s">
        <v>86</v>
      </c>
      <c r="AB7520" s="8"/>
      <c r="AC7520" s="27">
        <v>9785160133607</v>
      </c>
    </row>
    <row r="7521" spans="1:29" s="4" customFormat="1" ht="42" customHeight="1" x14ac:dyDescent="0.2">
      <c r="A7521" s="5">
        <v>0</v>
      </c>
      <c r="B7521" s="6" t="s">
        <v>42490</v>
      </c>
      <c r="C7521" s="7">
        <v>1272</v>
      </c>
      <c r="D7521" s="8" t="s">
        <v>42491</v>
      </c>
      <c r="E7521" s="8" t="s">
        <v>42492</v>
      </c>
      <c r="F7521" s="8" t="s">
        <v>42493</v>
      </c>
      <c r="G7521" s="6" t="s">
        <v>60</v>
      </c>
      <c r="H7521" s="6" t="s">
        <v>34</v>
      </c>
      <c r="I7521" s="8" t="s">
        <v>253</v>
      </c>
      <c r="J7521" s="9">
        <v>1</v>
      </c>
      <c r="K7521" s="9">
        <v>212</v>
      </c>
      <c r="L7521" s="9">
        <v>2025</v>
      </c>
      <c r="M7521" s="8" t="s">
        <v>42494</v>
      </c>
      <c r="N7521" s="8" t="s">
        <v>63</v>
      </c>
      <c r="O7521" s="8" t="s">
        <v>64</v>
      </c>
      <c r="P7521" s="6" t="s">
        <v>51</v>
      </c>
      <c r="Q7521" s="8" t="s">
        <v>52</v>
      </c>
      <c r="R7521" s="10" t="s">
        <v>594</v>
      </c>
      <c r="S7521" s="11"/>
      <c r="T7521" s="6"/>
      <c r="U7521" s="15" t="str">
        <f>HYPERLINK("https://media.infra-m.ru/1214/1214580/cover/1214580.jpg", "Обложка")</f>
        <v>Обложка</v>
      </c>
      <c r="V7521" s="8" t="s">
        <v>10951</v>
      </c>
      <c r="W7521" s="6"/>
      <c r="X7521" s="6"/>
      <c r="Y7521" s="6"/>
      <c r="Z7521" s="6"/>
      <c r="AA7521" s="6" t="s">
        <v>68</v>
      </c>
      <c r="AB7521" s="8"/>
      <c r="AC7521" s="27">
        <v>9785160166766</v>
      </c>
    </row>
    <row r="7522" spans="1:29" s="4" customFormat="1" ht="42" customHeight="1" x14ac:dyDescent="0.2">
      <c r="A7522" s="5">
        <v>0</v>
      </c>
      <c r="B7522" s="6" t="s">
        <v>42495</v>
      </c>
      <c r="C7522" s="13">
        <v>900</v>
      </c>
      <c r="D7522" s="8" t="s">
        <v>42496</v>
      </c>
      <c r="E7522" s="8" t="s">
        <v>42497</v>
      </c>
      <c r="F7522" s="8" t="s">
        <v>24904</v>
      </c>
      <c r="G7522" s="6" t="s">
        <v>33</v>
      </c>
      <c r="H7522" s="6" t="s">
        <v>34</v>
      </c>
      <c r="I7522" s="8" t="s">
        <v>35</v>
      </c>
      <c r="J7522" s="9">
        <v>1</v>
      </c>
      <c r="K7522" s="9">
        <v>167</v>
      </c>
      <c r="L7522" s="9">
        <v>2022</v>
      </c>
      <c r="M7522" s="8" t="s">
        <v>42498</v>
      </c>
      <c r="N7522" s="8" t="s">
        <v>37</v>
      </c>
      <c r="O7522" s="8" t="s">
        <v>233</v>
      </c>
      <c r="P7522" s="6" t="s">
        <v>39</v>
      </c>
      <c r="Q7522" s="8" t="s">
        <v>40</v>
      </c>
      <c r="R7522" s="10" t="s">
        <v>42499</v>
      </c>
      <c r="S7522" s="11"/>
      <c r="T7522" s="6"/>
      <c r="U7522" s="15" t="str">
        <f>HYPERLINK("https://media.infra-m.ru/1836/1836240/cover/1836240.jpg", "Обложка")</f>
        <v>Обложка</v>
      </c>
      <c r="V7522" s="8" t="s">
        <v>2035</v>
      </c>
      <c r="W7522" s="6"/>
      <c r="X7522" s="6"/>
      <c r="Y7522" s="6"/>
      <c r="Z7522" s="6"/>
      <c r="AA7522" s="6" t="s">
        <v>148</v>
      </c>
      <c r="AB7522" s="8"/>
      <c r="AC7522" s="27">
        <v>9785160172460</v>
      </c>
    </row>
    <row r="7523" spans="1:29" s="4" customFormat="1" ht="51.9" customHeight="1" x14ac:dyDescent="0.2">
      <c r="A7523" s="5">
        <v>0</v>
      </c>
      <c r="B7523" s="6" t="s">
        <v>42500</v>
      </c>
      <c r="C7523" s="7">
        <v>3360</v>
      </c>
      <c r="D7523" s="8" t="s">
        <v>42501</v>
      </c>
      <c r="E7523" s="8" t="s">
        <v>42502</v>
      </c>
      <c r="F7523" s="8" t="s">
        <v>7066</v>
      </c>
      <c r="G7523" s="6" t="s">
        <v>60</v>
      </c>
      <c r="H7523" s="6" t="s">
        <v>34</v>
      </c>
      <c r="I7523" s="8" t="s">
        <v>263</v>
      </c>
      <c r="J7523" s="9">
        <v>1</v>
      </c>
      <c r="K7523" s="9">
        <v>508</v>
      </c>
      <c r="L7523" s="9">
        <v>2026</v>
      </c>
      <c r="M7523" s="8" t="s">
        <v>42503</v>
      </c>
      <c r="N7523" s="8" t="s">
        <v>93</v>
      </c>
      <c r="O7523" s="8" t="s">
        <v>94</v>
      </c>
      <c r="P7523" s="6" t="s">
        <v>51</v>
      </c>
      <c r="Q7523" s="8" t="s">
        <v>265</v>
      </c>
      <c r="R7523" s="10" t="s">
        <v>42504</v>
      </c>
      <c r="S7523" s="11" t="s">
        <v>42505</v>
      </c>
      <c r="T7523" s="6"/>
      <c r="U7523" s="15" t="str">
        <f>HYPERLINK("https://media.infra-m.ru/2231/2231999/cover/2231999.jpg", "Обложка")</f>
        <v>Обложка</v>
      </c>
      <c r="V7523" s="8" t="s">
        <v>1599</v>
      </c>
      <c r="W7523" s="6"/>
      <c r="X7523" s="6"/>
      <c r="Y7523" s="6"/>
      <c r="Z7523" s="6" t="s">
        <v>267</v>
      </c>
      <c r="AA7523" s="6" t="s">
        <v>404</v>
      </c>
      <c r="AB7523" s="8"/>
      <c r="AC7523" s="27">
        <v>9785160139050</v>
      </c>
    </row>
    <row r="7524" spans="1:29" s="4" customFormat="1" ht="42" customHeight="1" x14ac:dyDescent="0.2">
      <c r="A7524" s="5">
        <v>0</v>
      </c>
      <c r="B7524" s="6" t="s">
        <v>42506</v>
      </c>
      <c r="C7524" s="13">
        <v>948</v>
      </c>
      <c r="D7524" s="8" t="s">
        <v>42507</v>
      </c>
      <c r="E7524" s="8" t="s">
        <v>42508</v>
      </c>
      <c r="F7524" s="8" t="s">
        <v>42509</v>
      </c>
      <c r="G7524" s="6" t="s">
        <v>33</v>
      </c>
      <c r="H7524" s="6" t="s">
        <v>34</v>
      </c>
      <c r="I7524" s="8" t="s">
        <v>35</v>
      </c>
      <c r="J7524" s="9">
        <v>1</v>
      </c>
      <c r="K7524" s="9">
        <v>162</v>
      </c>
      <c r="L7524" s="9">
        <v>2024</v>
      </c>
      <c r="M7524" s="8" t="s">
        <v>42510</v>
      </c>
      <c r="N7524" s="8" t="s">
        <v>37</v>
      </c>
      <c r="O7524" s="8" t="s">
        <v>136</v>
      </c>
      <c r="P7524" s="6" t="s">
        <v>39</v>
      </c>
      <c r="Q7524" s="8" t="s">
        <v>40</v>
      </c>
      <c r="R7524" s="10" t="s">
        <v>32721</v>
      </c>
      <c r="S7524" s="11"/>
      <c r="T7524" s="6"/>
      <c r="U7524" s="15" t="str">
        <f>HYPERLINK("https://media.infra-m.ru/2124/2124799/cover/2124799.jpg", "Обложка")</f>
        <v>Обложка</v>
      </c>
      <c r="V7524" s="8" t="s">
        <v>1231</v>
      </c>
      <c r="W7524" s="6"/>
      <c r="X7524" s="6"/>
      <c r="Y7524" s="6"/>
      <c r="Z7524" s="6"/>
      <c r="AA7524" s="6" t="s">
        <v>99</v>
      </c>
      <c r="AB7524" s="8"/>
      <c r="AC7524" s="27">
        <v>9785160112732</v>
      </c>
    </row>
    <row r="7525" spans="1:29" s="4" customFormat="1" ht="42" customHeight="1" x14ac:dyDescent="0.2">
      <c r="A7525" s="5">
        <v>0</v>
      </c>
      <c r="B7525" s="6" t="s">
        <v>42511</v>
      </c>
      <c r="C7525" s="7">
        <v>1144.8</v>
      </c>
      <c r="D7525" s="8" t="s">
        <v>42512</v>
      </c>
      <c r="E7525" s="8" t="s">
        <v>42513</v>
      </c>
      <c r="F7525" s="8" t="s">
        <v>42514</v>
      </c>
      <c r="G7525" s="6" t="s">
        <v>60</v>
      </c>
      <c r="H7525" s="6" t="s">
        <v>34</v>
      </c>
      <c r="I7525" s="8" t="s">
        <v>35</v>
      </c>
      <c r="J7525" s="9">
        <v>1</v>
      </c>
      <c r="K7525" s="9">
        <v>164</v>
      </c>
      <c r="L7525" s="9">
        <v>2027</v>
      </c>
      <c r="M7525" s="8" t="s">
        <v>42515</v>
      </c>
      <c r="N7525" s="8" t="s">
        <v>243</v>
      </c>
      <c r="O7525" s="8" t="s">
        <v>758</v>
      </c>
      <c r="P7525" s="6" t="s">
        <v>39</v>
      </c>
      <c r="Q7525" s="8" t="s">
        <v>40</v>
      </c>
      <c r="R7525" s="10" t="s">
        <v>42516</v>
      </c>
      <c r="S7525" s="11"/>
      <c r="T7525" s="6"/>
      <c r="U7525" s="15" t="str">
        <f>HYPERLINK("https://media.infra-m.ru/2267/2267466/cover/2267466.jpg", "Обложка")</f>
        <v>Обложка</v>
      </c>
      <c r="V7525" s="8" t="s">
        <v>12917</v>
      </c>
      <c r="W7525" s="6"/>
      <c r="X7525" s="6"/>
      <c r="Y7525" s="6"/>
      <c r="Z7525" s="6"/>
      <c r="AA7525" s="6" t="s">
        <v>99</v>
      </c>
      <c r="AB7525" s="8"/>
      <c r="AC7525" s="27">
        <v>9785160139418</v>
      </c>
    </row>
    <row r="7526" spans="1:29" s="4" customFormat="1" ht="51.9" customHeight="1" x14ac:dyDescent="0.2">
      <c r="A7526" s="5">
        <v>0</v>
      </c>
      <c r="B7526" s="6" t="s">
        <v>42517</v>
      </c>
      <c r="C7526" s="13">
        <v>605.9</v>
      </c>
      <c r="D7526" s="8" t="s">
        <v>42518</v>
      </c>
      <c r="E7526" s="8" t="s">
        <v>42519</v>
      </c>
      <c r="F7526" s="8" t="s">
        <v>26612</v>
      </c>
      <c r="G7526" s="6" t="s">
        <v>33</v>
      </c>
      <c r="H7526" s="6" t="s">
        <v>48</v>
      </c>
      <c r="I7526" s="8" t="s">
        <v>271</v>
      </c>
      <c r="J7526" s="9">
        <v>1</v>
      </c>
      <c r="K7526" s="9">
        <v>112</v>
      </c>
      <c r="L7526" s="9">
        <v>2023</v>
      </c>
      <c r="M7526" s="8" t="s">
        <v>42520</v>
      </c>
      <c r="N7526" s="8" t="s">
        <v>243</v>
      </c>
      <c r="O7526" s="8" t="s">
        <v>758</v>
      </c>
      <c r="P7526" s="6" t="s">
        <v>51</v>
      </c>
      <c r="Q7526" s="8" t="s">
        <v>52</v>
      </c>
      <c r="R7526" s="10" t="s">
        <v>2820</v>
      </c>
      <c r="S7526" s="11" t="s">
        <v>42521</v>
      </c>
      <c r="T7526" s="6"/>
      <c r="U7526" s="15" t="str">
        <f>HYPERLINK("https://media.infra-m.ru/1094/1094969/cover/1094969.jpg", "Обложка")</f>
        <v>Обложка</v>
      </c>
      <c r="V7526" s="8" t="s">
        <v>13400</v>
      </c>
      <c r="W7526" s="6"/>
      <c r="X7526" s="6"/>
      <c r="Y7526" s="6"/>
      <c r="Z7526" s="6"/>
      <c r="AA7526" s="6" t="s">
        <v>779</v>
      </c>
      <c r="AB7526" s="8"/>
      <c r="AC7526" s="27">
        <v>9785000911679</v>
      </c>
    </row>
    <row r="7527" spans="1:29" s="4" customFormat="1" ht="51.9" customHeight="1" x14ac:dyDescent="0.2">
      <c r="A7527" s="5">
        <v>0</v>
      </c>
      <c r="B7527" s="6" t="s">
        <v>42522</v>
      </c>
      <c r="C7527" s="7">
        <v>2200.8000000000002</v>
      </c>
      <c r="D7527" s="8" t="s">
        <v>42523</v>
      </c>
      <c r="E7527" s="8" t="s">
        <v>42524</v>
      </c>
      <c r="F7527" s="8" t="s">
        <v>42525</v>
      </c>
      <c r="G7527" s="6" t="s">
        <v>118</v>
      </c>
      <c r="H7527" s="6" t="s">
        <v>34</v>
      </c>
      <c r="I7527" s="8" t="s">
        <v>35</v>
      </c>
      <c r="J7527" s="9">
        <v>1</v>
      </c>
      <c r="K7527" s="9">
        <v>395</v>
      </c>
      <c r="L7527" s="9">
        <v>2024</v>
      </c>
      <c r="M7527" s="8" t="s">
        <v>42526</v>
      </c>
      <c r="N7527" s="8" t="s">
        <v>63</v>
      </c>
      <c r="O7527" s="8" t="s">
        <v>126</v>
      </c>
      <c r="P7527" s="6" t="s">
        <v>39</v>
      </c>
      <c r="Q7527" s="8" t="s">
        <v>40</v>
      </c>
      <c r="R7527" s="10" t="s">
        <v>42527</v>
      </c>
      <c r="S7527" s="11"/>
      <c r="T7527" s="6"/>
      <c r="U7527" s="15" t="str">
        <f>HYPERLINK("https://media.infra-m.ru/2126/2126855/cover/2126855.jpg", "Обложка")</f>
        <v>Обложка</v>
      </c>
      <c r="V7527" s="8" t="s">
        <v>247</v>
      </c>
      <c r="W7527" s="6"/>
      <c r="X7527" s="6"/>
      <c r="Y7527" s="6"/>
      <c r="Z7527" s="6"/>
      <c r="AA7527" s="6" t="s">
        <v>274</v>
      </c>
      <c r="AB7527" s="8"/>
      <c r="AC7527" s="27">
        <v>9785160112763</v>
      </c>
    </row>
    <row r="7528" spans="1:29" s="4" customFormat="1" ht="51.9" customHeight="1" x14ac:dyDescent="0.2">
      <c r="A7528" s="5">
        <v>0</v>
      </c>
      <c r="B7528" s="6" t="s">
        <v>42528</v>
      </c>
      <c r="C7528" s="7">
        <v>1836</v>
      </c>
      <c r="D7528" s="8" t="s">
        <v>42529</v>
      </c>
      <c r="E7528" s="8" t="s">
        <v>42530</v>
      </c>
      <c r="F7528" s="8" t="s">
        <v>42531</v>
      </c>
      <c r="G7528" s="6" t="s">
        <v>60</v>
      </c>
      <c r="H7528" s="6" t="s">
        <v>34</v>
      </c>
      <c r="I7528" s="8" t="s">
        <v>5350</v>
      </c>
      <c r="J7528" s="9">
        <v>1</v>
      </c>
      <c r="K7528" s="9">
        <v>286</v>
      </c>
      <c r="L7528" s="9">
        <v>2024</v>
      </c>
      <c r="M7528" s="8" t="s">
        <v>42532</v>
      </c>
      <c r="N7528" s="8" t="s">
        <v>243</v>
      </c>
      <c r="O7528" s="8" t="s">
        <v>964</v>
      </c>
      <c r="P7528" s="6" t="s">
        <v>51</v>
      </c>
      <c r="Q7528" s="8" t="s">
        <v>65</v>
      </c>
      <c r="R7528" s="10" t="s">
        <v>42533</v>
      </c>
      <c r="S7528" s="11"/>
      <c r="T7528" s="6"/>
      <c r="U7528" s="15" t="str">
        <f>HYPERLINK("https://media.infra-m.ru/1959/1959273/cover/1959273.jpg", "Обложка")</f>
        <v>Обложка</v>
      </c>
      <c r="V7528" s="8" t="s">
        <v>761</v>
      </c>
      <c r="W7528" s="6"/>
      <c r="X7528" s="6"/>
      <c r="Y7528" s="6"/>
      <c r="Z7528" s="6"/>
      <c r="AA7528" s="6" t="s">
        <v>76</v>
      </c>
      <c r="AB7528" s="8"/>
      <c r="AC7528" s="27">
        <v>9785160182902</v>
      </c>
    </row>
    <row r="7529" spans="1:29" s="4" customFormat="1" ht="42" customHeight="1" x14ac:dyDescent="0.2">
      <c r="A7529" s="5">
        <v>0</v>
      </c>
      <c r="B7529" s="6" t="s">
        <v>42534</v>
      </c>
      <c r="C7529" s="7">
        <v>1024.8</v>
      </c>
      <c r="D7529" s="8" t="s">
        <v>42535</v>
      </c>
      <c r="E7529" s="8" t="s">
        <v>42536</v>
      </c>
      <c r="F7529" s="8" t="s">
        <v>42537</v>
      </c>
      <c r="G7529" s="6" t="s">
        <v>60</v>
      </c>
      <c r="H7529" s="6" t="s">
        <v>34</v>
      </c>
      <c r="I7529" s="8" t="s">
        <v>1081</v>
      </c>
      <c r="J7529" s="9">
        <v>1</v>
      </c>
      <c r="K7529" s="9">
        <v>181</v>
      </c>
      <c r="L7529" s="9">
        <v>2024</v>
      </c>
      <c r="M7529" s="8" t="s">
        <v>42538</v>
      </c>
      <c r="N7529" s="8" t="s">
        <v>585</v>
      </c>
      <c r="O7529" s="8" t="s">
        <v>667</v>
      </c>
      <c r="P7529" s="6" t="s">
        <v>39</v>
      </c>
      <c r="Q7529" s="8" t="s">
        <v>40</v>
      </c>
      <c r="R7529" s="10"/>
      <c r="S7529" s="11"/>
      <c r="T7529" s="6"/>
      <c r="U7529" s="15" t="str">
        <f>HYPERLINK("https://media.infra-m.ru/2136/2136030/cover/2136030.jpg", "Обложка")</f>
        <v>Обложка</v>
      </c>
      <c r="V7529" s="8" t="s">
        <v>1083</v>
      </c>
      <c r="W7529" s="6"/>
      <c r="X7529" s="6"/>
      <c r="Y7529" s="6"/>
      <c r="Z7529" s="6"/>
      <c r="AA7529" s="6" t="s">
        <v>86</v>
      </c>
      <c r="AB7529" s="8"/>
      <c r="AC7529" s="27">
        <v>9785160133645</v>
      </c>
    </row>
    <row r="7530" spans="1:29" s="4" customFormat="1" ht="51.9" customHeight="1" x14ac:dyDescent="0.2">
      <c r="A7530" s="5">
        <v>0</v>
      </c>
      <c r="B7530" s="6" t="s">
        <v>42539</v>
      </c>
      <c r="C7530" s="7">
        <v>1300.8</v>
      </c>
      <c r="D7530" s="8" t="s">
        <v>42540</v>
      </c>
      <c r="E7530" s="8" t="s">
        <v>42541</v>
      </c>
      <c r="F7530" s="8" t="s">
        <v>2186</v>
      </c>
      <c r="G7530" s="6" t="s">
        <v>118</v>
      </c>
      <c r="H7530" s="6" t="s">
        <v>34</v>
      </c>
      <c r="I7530" s="8" t="s">
        <v>271</v>
      </c>
      <c r="J7530" s="9">
        <v>1</v>
      </c>
      <c r="K7530" s="9">
        <v>217</v>
      </c>
      <c r="L7530" s="9">
        <v>2025</v>
      </c>
      <c r="M7530" s="8" t="s">
        <v>42542</v>
      </c>
      <c r="N7530" s="8" t="s">
        <v>37</v>
      </c>
      <c r="O7530" s="8" t="s">
        <v>233</v>
      </c>
      <c r="P7530" s="6" t="s">
        <v>51</v>
      </c>
      <c r="Q7530" s="8" t="s">
        <v>52</v>
      </c>
      <c r="R7530" s="10" t="s">
        <v>11376</v>
      </c>
      <c r="S7530" s="11" t="s">
        <v>5142</v>
      </c>
      <c r="T7530" s="6"/>
      <c r="U7530" s="15" t="str">
        <f>HYPERLINK("https://media.infra-m.ru/2185/2185896/cover/2185896.jpg", "Обложка")</f>
        <v>Обложка</v>
      </c>
      <c r="V7530" s="8" t="s">
        <v>227</v>
      </c>
      <c r="W7530" s="6"/>
      <c r="X7530" s="6"/>
      <c r="Y7530" s="6"/>
      <c r="Z7530" s="6"/>
      <c r="AA7530" s="6" t="s">
        <v>1031</v>
      </c>
      <c r="AB7530" s="8"/>
      <c r="AC7530" s="27">
        <v>9785160131573</v>
      </c>
    </row>
    <row r="7531" spans="1:29" s="4" customFormat="1" ht="42" customHeight="1" x14ac:dyDescent="0.2">
      <c r="A7531" s="5">
        <v>0</v>
      </c>
      <c r="B7531" s="6" t="s">
        <v>42543</v>
      </c>
      <c r="C7531" s="7">
        <v>2304</v>
      </c>
      <c r="D7531" s="8" t="s">
        <v>42544</v>
      </c>
      <c r="E7531" s="8" t="s">
        <v>42545</v>
      </c>
      <c r="F7531" s="8" t="s">
        <v>5389</v>
      </c>
      <c r="G7531" s="6" t="s">
        <v>118</v>
      </c>
      <c r="H7531" s="6" t="s">
        <v>34</v>
      </c>
      <c r="I7531" s="8"/>
      <c r="J7531" s="9">
        <v>1</v>
      </c>
      <c r="K7531" s="9">
        <v>268</v>
      </c>
      <c r="L7531" s="9">
        <v>2026</v>
      </c>
      <c r="M7531" s="8" t="s">
        <v>42546</v>
      </c>
      <c r="N7531" s="8" t="s">
        <v>37</v>
      </c>
      <c r="O7531" s="8" t="s">
        <v>233</v>
      </c>
      <c r="P7531" s="6" t="s">
        <v>306</v>
      </c>
      <c r="Q7531" s="8" t="s">
        <v>65</v>
      </c>
      <c r="R7531" s="10" t="s">
        <v>3008</v>
      </c>
      <c r="S7531" s="11"/>
      <c r="T7531" s="6"/>
      <c r="U7531" s="15" t="str">
        <f>HYPERLINK("https://media.infra-m.ru/2243/2243423/cover/2243423.jpg", "Обложка")</f>
        <v>Обложка</v>
      </c>
      <c r="V7531" s="8" t="s">
        <v>5117</v>
      </c>
      <c r="W7531" s="6"/>
      <c r="X7531" s="6"/>
      <c r="Y7531" s="6"/>
      <c r="Z7531" s="6"/>
      <c r="AA7531" s="6" t="s">
        <v>76</v>
      </c>
      <c r="AB7531" s="8"/>
      <c r="AC7531" s="27">
        <v>9785160219585</v>
      </c>
    </row>
    <row r="7532" spans="1:29" s="4" customFormat="1" ht="51.9" customHeight="1" x14ac:dyDescent="0.2">
      <c r="A7532" s="5">
        <v>0</v>
      </c>
      <c r="B7532" s="6" t="s">
        <v>42547</v>
      </c>
      <c r="C7532" s="7">
        <v>1524</v>
      </c>
      <c r="D7532" s="8" t="s">
        <v>42548</v>
      </c>
      <c r="E7532" s="8" t="s">
        <v>42549</v>
      </c>
      <c r="F7532" s="8" t="s">
        <v>11757</v>
      </c>
      <c r="G7532" s="6" t="s">
        <v>118</v>
      </c>
      <c r="H7532" s="6" t="s">
        <v>34</v>
      </c>
      <c r="I7532" s="8" t="s">
        <v>253</v>
      </c>
      <c r="J7532" s="9">
        <v>1</v>
      </c>
      <c r="K7532" s="9">
        <v>243</v>
      </c>
      <c r="L7532" s="9">
        <v>2026</v>
      </c>
      <c r="M7532" s="8" t="s">
        <v>42550</v>
      </c>
      <c r="N7532" s="8" t="s">
        <v>243</v>
      </c>
      <c r="O7532" s="8" t="s">
        <v>385</v>
      </c>
      <c r="P7532" s="6" t="s">
        <v>51</v>
      </c>
      <c r="Q7532" s="8" t="s">
        <v>52</v>
      </c>
      <c r="R7532" s="10" t="s">
        <v>42551</v>
      </c>
      <c r="S7532" s="11" t="s">
        <v>42552</v>
      </c>
      <c r="T7532" s="6"/>
      <c r="U7532" s="15" t="str">
        <f>HYPERLINK("https://media.infra-m.ru/2214/2214798/cover/2214798.jpg", "Обложка")</f>
        <v>Обложка</v>
      </c>
      <c r="V7532" s="8" t="s">
        <v>4943</v>
      </c>
      <c r="W7532" s="6"/>
      <c r="X7532" s="6"/>
      <c r="Y7532" s="6"/>
      <c r="Z7532" s="6"/>
      <c r="AA7532" s="6" t="s">
        <v>1256</v>
      </c>
      <c r="AB7532" s="8" t="s">
        <v>7101</v>
      </c>
      <c r="AC7532" s="27">
        <v>9785160211305</v>
      </c>
    </row>
    <row r="7533" spans="1:29" s="4" customFormat="1" ht="42" customHeight="1" x14ac:dyDescent="0.2">
      <c r="A7533" s="5">
        <v>0</v>
      </c>
      <c r="B7533" s="6" t="s">
        <v>42553</v>
      </c>
      <c r="C7533" s="7">
        <v>2692.8</v>
      </c>
      <c r="D7533" s="8" t="s">
        <v>42554</v>
      </c>
      <c r="E7533" s="8" t="s">
        <v>42555</v>
      </c>
      <c r="F7533" s="8" t="s">
        <v>42556</v>
      </c>
      <c r="G7533" s="6" t="s">
        <v>60</v>
      </c>
      <c r="H7533" s="6" t="s">
        <v>34</v>
      </c>
      <c r="I7533" s="8" t="s">
        <v>253</v>
      </c>
      <c r="J7533" s="9">
        <v>1</v>
      </c>
      <c r="K7533" s="9">
        <v>480</v>
      </c>
      <c r="L7533" s="9">
        <v>2025</v>
      </c>
      <c r="M7533" s="8" t="s">
        <v>42557</v>
      </c>
      <c r="N7533" s="8" t="s">
        <v>243</v>
      </c>
      <c r="O7533" s="8" t="s">
        <v>758</v>
      </c>
      <c r="P7533" s="6" t="s">
        <v>306</v>
      </c>
      <c r="Q7533" s="8" t="s">
        <v>52</v>
      </c>
      <c r="R7533" s="10" t="s">
        <v>42558</v>
      </c>
      <c r="S7533" s="11"/>
      <c r="T7533" s="6" t="s">
        <v>97</v>
      </c>
      <c r="U7533" s="15" t="str">
        <f>HYPERLINK("https://media.infra-m.ru/2169/2169232/cover/2169232.jpg", "Обложка")</f>
        <v>Обложка</v>
      </c>
      <c r="V7533" s="8" t="s">
        <v>2427</v>
      </c>
      <c r="W7533" s="6"/>
      <c r="X7533" s="6"/>
      <c r="Y7533" s="6"/>
      <c r="Z7533" s="6"/>
      <c r="AA7533" s="6" t="s">
        <v>1123</v>
      </c>
      <c r="AB7533" s="8"/>
      <c r="AC7533" s="27">
        <v>9785160096391</v>
      </c>
    </row>
    <row r="7534" spans="1:29" s="4" customFormat="1" ht="51.9" customHeight="1" x14ac:dyDescent="0.2">
      <c r="A7534" s="5">
        <v>0</v>
      </c>
      <c r="B7534" s="6" t="s">
        <v>42559</v>
      </c>
      <c r="C7534" s="7">
        <v>1056</v>
      </c>
      <c r="D7534" s="8" t="s">
        <v>42560</v>
      </c>
      <c r="E7534" s="8" t="s">
        <v>42561</v>
      </c>
      <c r="F7534" s="8" t="s">
        <v>42562</v>
      </c>
      <c r="G7534" s="6" t="s">
        <v>118</v>
      </c>
      <c r="H7534" s="6" t="s">
        <v>34</v>
      </c>
      <c r="I7534" s="8" t="s">
        <v>271</v>
      </c>
      <c r="J7534" s="9">
        <v>1</v>
      </c>
      <c r="K7534" s="9">
        <v>256</v>
      </c>
      <c r="L7534" s="9">
        <v>2020</v>
      </c>
      <c r="M7534" s="8" t="s">
        <v>42563</v>
      </c>
      <c r="N7534" s="8" t="s">
        <v>37</v>
      </c>
      <c r="O7534" s="8" t="s">
        <v>136</v>
      </c>
      <c r="P7534" s="6" t="s">
        <v>51</v>
      </c>
      <c r="Q7534" s="8" t="s">
        <v>52</v>
      </c>
      <c r="R7534" s="10" t="s">
        <v>42564</v>
      </c>
      <c r="S7534" s="11" t="s">
        <v>42565</v>
      </c>
      <c r="T7534" s="6"/>
      <c r="U7534" s="15" t="str">
        <f>HYPERLINK("https://media.infra-m.ru/1090/1090546/cover/1090546.jpg", "Обложка")</f>
        <v>Обложка</v>
      </c>
      <c r="V7534" s="8" t="s">
        <v>9482</v>
      </c>
      <c r="W7534" s="6"/>
      <c r="X7534" s="6"/>
      <c r="Y7534" s="6"/>
      <c r="Z7534" s="6"/>
      <c r="AA7534" s="6" t="s">
        <v>129</v>
      </c>
      <c r="AB7534" s="8"/>
      <c r="AC7534" s="27">
        <v>9785160099750</v>
      </c>
    </row>
    <row r="7535" spans="1:29" s="4" customFormat="1" ht="51.9" customHeight="1" x14ac:dyDescent="0.2">
      <c r="A7535" s="5">
        <v>0</v>
      </c>
      <c r="B7535" s="6" t="s">
        <v>42566</v>
      </c>
      <c r="C7535" s="7">
        <v>1308</v>
      </c>
      <c r="D7535" s="8" t="s">
        <v>42567</v>
      </c>
      <c r="E7535" s="8" t="s">
        <v>42568</v>
      </c>
      <c r="F7535" s="8" t="s">
        <v>42569</v>
      </c>
      <c r="G7535" s="6" t="s">
        <v>60</v>
      </c>
      <c r="H7535" s="6" t="s">
        <v>34</v>
      </c>
      <c r="I7535" s="8" t="s">
        <v>253</v>
      </c>
      <c r="J7535" s="9">
        <v>1</v>
      </c>
      <c r="K7535" s="9">
        <v>230</v>
      </c>
      <c r="L7535" s="9">
        <v>2024</v>
      </c>
      <c r="M7535" s="8" t="s">
        <v>42570</v>
      </c>
      <c r="N7535" s="8" t="s">
        <v>37</v>
      </c>
      <c r="O7535" s="8" t="s">
        <v>136</v>
      </c>
      <c r="P7535" s="6" t="s">
        <v>51</v>
      </c>
      <c r="Q7535" s="8" t="s">
        <v>65</v>
      </c>
      <c r="R7535" s="10" t="s">
        <v>15797</v>
      </c>
      <c r="S7535" s="11"/>
      <c r="T7535" s="6"/>
      <c r="U7535" s="15" t="str">
        <f>HYPERLINK("https://media.infra-m.ru/2010/2010443/cover/2010443.jpg", "Обложка")</f>
        <v>Обложка</v>
      </c>
      <c r="V7535" s="8" t="s">
        <v>3304</v>
      </c>
      <c r="W7535" s="6"/>
      <c r="X7535" s="6"/>
      <c r="Y7535" s="6"/>
      <c r="Z7535" s="6"/>
      <c r="AA7535" s="6" t="s">
        <v>76</v>
      </c>
      <c r="AB7535" s="8"/>
      <c r="AC7535" s="27">
        <v>9785160184791</v>
      </c>
    </row>
    <row r="7536" spans="1:29" s="4" customFormat="1" ht="51.9" customHeight="1" x14ac:dyDescent="0.2">
      <c r="A7536" s="5">
        <v>0</v>
      </c>
      <c r="B7536" s="6" t="s">
        <v>42571</v>
      </c>
      <c r="C7536" s="7">
        <v>1468.8</v>
      </c>
      <c r="D7536" s="8" t="s">
        <v>42572</v>
      </c>
      <c r="E7536" s="8" t="s">
        <v>42573</v>
      </c>
      <c r="F7536" s="8" t="s">
        <v>42574</v>
      </c>
      <c r="G7536" s="6" t="s">
        <v>60</v>
      </c>
      <c r="H7536" s="6" t="s">
        <v>48</v>
      </c>
      <c r="I7536" s="8" t="s">
        <v>253</v>
      </c>
      <c r="J7536" s="9">
        <v>1</v>
      </c>
      <c r="K7536" s="9">
        <v>272</v>
      </c>
      <c r="L7536" s="9">
        <v>2023</v>
      </c>
      <c r="M7536" s="8" t="s">
        <v>42575</v>
      </c>
      <c r="N7536" s="8" t="s">
        <v>243</v>
      </c>
      <c r="O7536" s="8" t="s">
        <v>964</v>
      </c>
      <c r="P7536" s="6" t="s">
        <v>51</v>
      </c>
      <c r="Q7536" s="8" t="s">
        <v>52</v>
      </c>
      <c r="R7536" s="10" t="s">
        <v>23228</v>
      </c>
      <c r="S7536" s="11" t="s">
        <v>42576</v>
      </c>
      <c r="T7536" s="6"/>
      <c r="U7536" s="15" t="str">
        <f>HYPERLINK("https://media.infra-m.ru/2029/2029836/cover/2029836.jpg", "Обложка")</f>
        <v>Обложка</v>
      </c>
      <c r="V7536" s="8" t="s">
        <v>867</v>
      </c>
      <c r="W7536" s="6"/>
      <c r="X7536" s="6"/>
      <c r="Y7536" s="6"/>
      <c r="Z7536" s="6"/>
      <c r="AA7536" s="6" t="s">
        <v>248</v>
      </c>
      <c r="AB7536" s="8"/>
      <c r="AC7536" s="27">
        <v>9785911348816</v>
      </c>
    </row>
    <row r="7537" spans="1:29" s="4" customFormat="1" ht="51.9" customHeight="1" x14ac:dyDescent="0.2">
      <c r="A7537" s="5">
        <v>0</v>
      </c>
      <c r="B7537" s="6" t="s">
        <v>42577</v>
      </c>
      <c r="C7537" s="7">
        <v>2376</v>
      </c>
      <c r="D7537" s="8" t="s">
        <v>42578</v>
      </c>
      <c r="E7537" s="8" t="s">
        <v>42579</v>
      </c>
      <c r="F7537" s="8" t="s">
        <v>16603</v>
      </c>
      <c r="G7537" s="6" t="s">
        <v>60</v>
      </c>
      <c r="H7537" s="6" t="s">
        <v>134</v>
      </c>
      <c r="I7537" s="8"/>
      <c r="J7537" s="9">
        <v>1</v>
      </c>
      <c r="K7537" s="9">
        <v>340</v>
      </c>
      <c r="L7537" s="9">
        <v>2026</v>
      </c>
      <c r="M7537" s="8" t="s">
        <v>42580</v>
      </c>
      <c r="N7537" s="8" t="s">
        <v>37</v>
      </c>
      <c r="O7537" s="8" t="s">
        <v>136</v>
      </c>
      <c r="P7537" s="6" t="s">
        <v>51</v>
      </c>
      <c r="Q7537" s="8" t="s">
        <v>65</v>
      </c>
      <c r="R7537" s="10" t="s">
        <v>1183</v>
      </c>
      <c r="S7537" s="11"/>
      <c r="T7537" s="6"/>
      <c r="U7537" s="15" t="str">
        <f>HYPERLINK("https://media.infra-m.ru/2261/2261084/cover/2261084.jpg", "Обложка")</f>
        <v>Обложка</v>
      </c>
      <c r="V7537" s="8" t="s">
        <v>1184</v>
      </c>
      <c r="W7537" s="6" t="s">
        <v>2115</v>
      </c>
      <c r="X7537" s="6"/>
      <c r="Y7537" s="6"/>
      <c r="Z7537" s="6"/>
      <c r="AA7537" s="6" t="s">
        <v>187</v>
      </c>
      <c r="AB7537" s="8"/>
      <c r="AC7537" s="27">
        <v>9785001564911</v>
      </c>
    </row>
    <row r="7538" spans="1:29" s="4" customFormat="1" ht="51.9" customHeight="1" x14ac:dyDescent="0.2">
      <c r="A7538" s="5">
        <v>0</v>
      </c>
      <c r="B7538" s="6" t="s">
        <v>42581</v>
      </c>
      <c r="C7538" s="13">
        <v>876</v>
      </c>
      <c r="D7538" s="8" t="s">
        <v>42582</v>
      </c>
      <c r="E7538" s="8" t="s">
        <v>42583</v>
      </c>
      <c r="F7538" s="8" t="s">
        <v>42584</v>
      </c>
      <c r="G7538" s="6" t="s">
        <v>118</v>
      </c>
      <c r="H7538" s="6" t="s">
        <v>34</v>
      </c>
      <c r="I7538" s="8" t="s">
        <v>271</v>
      </c>
      <c r="J7538" s="9">
        <v>1</v>
      </c>
      <c r="K7538" s="9">
        <v>191</v>
      </c>
      <c r="L7538" s="9">
        <v>2022</v>
      </c>
      <c r="M7538" s="8" t="s">
        <v>42585</v>
      </c>
      <c r="N7538" s="8" t="s">
        <v>243</v>
      </c>
      <c r="O7538" s="8" t="s">
        <v>933</v>
      </c>
      <c r="P7538" s="6" t="s">
        <v>51</v>
      </c>
      <c r="Q7538" s="8" t="s">
        <v>52</v>
      </c>
      <c r="R7538" s="10" t="s">
        <v>42586</v>
      </c>
      <c r="S7538" s="11" t="s">
        <v>42587</v>
      </c>
      <c r="T7538" s="6"/>
      <c r="U7538" s="15" t="str">
        <f>HYPERLINK("https://media.infra-m.ru/1862/1862063/cover/1862063.jpg", "Обложка")</f>
        <v>Обложка</v>
      </c>
      <c r="V7538" s="8" t="s">
        <v>1014</v>
      </c>
      <c r="W7538" s="6"/>
      <c r="X7538" s="6"/>
      <c r="Y7538" s="6"/>
      <c r="Z7538" s="6" t="s">
        <v>632</v>
      </c>
      <c r="AA7538" s="6" t="s">
        <v>430</v>
      </c>
      <c r="AB7538" s="8"/>
      <c r="AC7538" s="27">
        <v>9785160164670</v>
      </c>
    </row>
    <row r="7539" spans="1:29" s="4" customFormat="1" ht="51.9" customHeight="1" x14ac:dyDescent="0.2">
      <c r="A7539" s="5">
        <v>0</v>
      </c>
      <c r="B7539" s="6" t="s">
        <v>42588</v>
      </c>
      <c r="C7539" s="7">
        <v>1336.8</v>
      </c>
      <c r="D7539" s="8" t="s">
        <v>42589</v>
      </c>
      <c r="E7539" s="8" t="s">
        <v>42583</v>
      </c>
      <c r="F7539" s="8" t="s">
        <v>42584</v>
      </c>
      <c r="G7539" s="6" t="s">
        <v>118</v>
      </c>
      <c r="H7539" s="6" t="s">
        <v>48</v>
      </c>
      <c r="I7539" s="8" t="s">
        <v>263</v>
      </c>
      <c r="J7539" s="9">
        <v>1</v>
      </c>
      <c r="K7539" s="9">
        <v>192</v>
      </c>
      <c r="L7539" s="9">
        <v>2027</v>
      </c>
      <c r="M7539" s="8" t="s">
        <v>42590</v>
      </c>
      <c r="N7539" s="8" t="s">
        <v>243</v>
      </c>
      <c r="O7539" s="8" t="s">
        <v>933</v>
      </c>
      <c r="P7539" s="6" t="s">
        <v>51</v>
      </c>
      <c r="Q7539" s="8" t="s">
        <v>265</v>
      </c>
      <c r="R7539" s="10" t="s">
        <v>42591</v>
      </c>
      <c r="S7539" s="11" t="s">
        <v>6429</v>
      </c>
      <c r="T7539" s="6"/>
      <c r="U7539" s="15" t="str">
        <f>HYPERLINK("https://media.infra-m.ru/2262/2262686/cover/2262686.jpg", "Обложка")</f>
        <v>Обложка</v>
      </c>
      <c r="V7539" s="8" t="s">
        <v>1014</v>
      </c>
      <c r="W7539" s="6"/>
      <c r="X7539" s="6"/>
      <c r="Y7539" s="6"/>
      <c r="Z7539" s="6"/>
      <c r="AA7539" s="6" t="s">
        <v>129</v>
      </c>
      <c r="AB7539" s="8"/>
      <c r="AC7539" s="27">
        <v>9785000916780</v>
      </c>
    </row>
    <row r="7540" spans="1:29" s="4" customFormat="1" ht="51.9" customHeight="1" x14ac:dyDescent="0.2">
      <c r="A7540" s="5">
        <v>0</v>
      </c>
      <c r="B7540" s="6" t="s">
        <v>42592</v>
      </c>
      <c r="C7540" s="13">
        <v>689.9</v>
      </c>
      <c r="D7540" s="8" t="s">
        <v>42593</v>
      </c>
      <c r="E7540" s="8" t="s">
        <v>42583</v>
      </c>
      <c r="F7540" s="8" t="s">
        <v>42584</v>
      </c>
      <c r="G7540" s="6" t="s">
        <v>33</v>
      </c>
      <c r="H7540" s="6" t="s">
        <v>48</v>
      </c>
      <c r="I7540" s="8" t="s">
        <v>401</v>
      </c>
      <c r="J7540" s="9">
        <v>1</v>
      </c>
      <c r="K7540" s="9">
        <v>191</v>
      </c>
      <c r="L7540" s="9">
        <v>2019</v>
      </c>
      <c r="M7540" s="8" t="s">
        <v>42594</v>
      </c>
      <c r="N7540" s="8" t="s">
        <v>243</v>
      </c>
      <c r="O7540" s="8" t="s">
        <v>933</v>
      </c>
      <c r="P7540" s="6" t="s">
        <v>51</v>
      </c>
      <c r="Q7540" s="8" t="s">
        <v>265</v>
      </c>
      <c r="R7540" s="10" t="s">
        <v>42591</v>
      </c>
      <c r="S7540" s="11" t="s">
        <v>6429</v>
      </c>
      <c r="T7540" s="6"/>
      <c r="U7540" s="15" t="str">
        <f>HYPERLINK("https://media.infra-m.ru/1002/1002376/cover/1002376.jpg", "Обложка")</f>
        <v>Обложка</v>
      </c>
      <c r="V7540" s="8" t="s">
        <v>1014</v>
      </c>
      <c r="W7540" s="6"/>
      <c r="X7540" s="6"/>
      <c r="Y7540" s="6"/>
      <c r="Z7540" s="6"/>
      <c r="AA7540" s="6" t="s">
        <v>129</v>
      </c>
      <c r="AB7540" s="8"/>
      <c r="AC7540" s="27">
        <v>9785911344795</v>
      </c>
    </row>
    <row r="7541" spans="1:29" s="4" customFormat="1" ht="51.9" customHeight="1" x14ac:dyDescent="0.2">
      <c r="A7541" s="5">
        <v>0</v>
      </c>
      <c r="B7541" s="6" t="s">
        <v>42595</v>
      </c>
      <c r="C7541" s="7">
        <v>1373.9</v>
      </c>
      <c r="D7541" s="8" t="s">
        <v>42596</v>
      </c>
      <c r="E7541" s="8" t="s">
        <v>42597</v>
      </c>
      <c r="F7541" s="8" t="s">
        <v>20603</v>
      </c>
      <c r="G7541" s="6" t="s">
        <v>60</v>
      </c>
      <c r="H7541" s="6" t="s">
        <v>241</v>
      </c>
      <c r="I7541" s="8"/>
      <c r="J7541" s="9">
        <v>1</v>
      </c>
      <c r="K7541" s="9">
        <v>254</v>
      </c>
      <c r="L7541" s="9">
        <v>2023</v>
      </c>
      <c r="M7541" s="8" t="s">
        <v>42598</v>
      </c>
      <c r="N7541" s="8" t="s">
        <v>37</v>
      </c>
      <c r="O7541" s="8" t="s">
        <v>280</v>
      </c>
      <c r="P7541" s="6" t="s">
        <v>51</v>
      </c>
      <c r="Q7541" s="8" t="s">
        <v>500</v>
      </c>
      <c r="R7541" s="10" t="s">
        <v>42599</v>
      </c>
      <c r="S7541" s="11"/>
      <c r="T7541" s="6"/>
      <c r="U7541" s="15" t="str">
        <f>HYPERLINK("https://media.infra-m.ru/2001/2001633/cover/2001633.jpg", "Обложка")</f>
        <v>Обложка</v>
      </c>
      <c r="V7541" s="8" t="s">
        <v>1527</v>
      </c>
      <c r="W7541" s="6"/>
      <c r="X7541" s="6"/>
      <c r="Y7541" s="6"/>
      <c r="Z7541" s="6"/>
      <c r="AA7541" s="6" t="s">
        <v>623</v>
      </c>
      <c r="AB7541" s="8"/>
      <c r="AC7541" s="27">
        <v>9785955805023</v>
      </c>
    </row>
    <row r="7542" spans="1:29" s="4" customFormat="1" ht="51.9" customHeight="1" x14ac:dyDescent="0.2">
      <c r="A7542" s="5">
        <v>0</v>
      </c>
      <c r="B7542" s="6" t="s">
        <v>42600</v>
      </c>
      <c r="C7542" s="7">
        <v>1445.9</v>
      </c>
      <c r="D7542" s="8" t="s">
        <v>42601</v>
      </c>
      <c r="E7542" s="8" t="s">
        <v>42602</v>
      </c>
      <c r="F7542" s="8" t="s">
        <v>42603</v>
      </c>
      <c r="G7542" s="6" t="s">
        <v>60</v>
      </c>
      <c r="H7542" s="6" t="s">
        <v>34</v>
      </c>
      <c r="I7542" s="8" t="s">
        <v>35</v>
      </c>
      <c r="J7542" s="9">
        <v>1</v>
      </c>
      <c r="K7542" s="9">
        <v>325</v>
      </c>
      <c r="L7542" s="9">
        <v>2021</v>
      </c>
      <c r="M7542" s="8" t="s">
        <v>42604</v>
      </c>
      <c r="N7542" s="8" t="s">
        <v>37</v>
      </c>
      <c r="O7542" s="8" t="s">
        <v>136</v>
      </c>
      <c r="P7542" s="6" t="s">
        <v>39</v>
      </c>
      <c r="Q7542" s="8" t="s">
        <v>40</v>
      </c>
      <c r="R7542" s="10" t="s">
        <v>484</v>
      </c>
      <c r="S7542" s="11"/>
      <c r="T7542" s="6"/>
      <c r="U7542" s="15" t="str">
        <f>HYPERLINK("https://media.infra-m.ru/1209/1209787/cover/1209787.jpg", "Обложка")</f>
        <v>Обложка</v>
      </c>
      <c r="V7542" s="8" t="s">
        <v>5902</v>
      </c>
      <c r="W7542" s="6"/>
      <c r="X7542" s="6"/>
      <c r="Y7542" s="6"/>
      <c r="Z7542" s="6"/>
      <c r="AA7542" s="6" t="s">
        <v>86</v>
      </c>
      <c r="AB7542" s="8"/>
      <c r="AC7542" s="27">
        <v>9785160131412</v>
      </c>
    </row>
    <row r="7543" spans="1:29" s="4" customFormat="1" ht="51.9" customHeight="1" x14ac:dyDescent="0.2">
      <c r="A7543" s="5">
        <v>0</v>
      </c>
      <c r="B7543" s="6" t="s">
        <v>42605</v>
      </c>
      <c r="C7543" s="7">
        <v>1900.8</v>
      </c>
      <c r="D7543" s="8" t="s">
        <v>42606</v>
      </c>
      <c r="E7543" s="8" t="s">
        <v>42607</v>
      </c>
      <c r="F7543" s="8" t="s">
        <v>42608</v>
      </c>
      <c r="G7543" s="6" t="s">
        <v>118</v>
      </c>
      <c r="H7543" s="6" t="s">
        <v>134</v>
      </c>
      <c r="I7543" s="8"/>
      <c r="J7543" s="9">
        <v>1</v>
      </c>
      <c r="K7543" s="9">
        <v>288</v>
      </c>
      <c r="L7543" s="9">
        <v>2026</v>
      </c>
      <c r="M7543" s="8" t="s">
        <v>42609</v>
      </c>
      <c r="N7543" s="8" t="s">
        <v>37</v>
      </c>
      <c r="O7543" s="8" t="s">
        <v>136</v>
      </c>
      <c r="P7543" s="6" t="s">
        <v>306</v>
      </c>
      <c r="Q7543" s="8" t="s">
        <v>52</v>
      </c>
      <c r="R7543" s="10" t="s">
        <v>4109</v>
      </c>
      <c r="S7543" s="11"/>
      <c r="T7543" s="6"/>
      <c r="U7543" s="15" t="str">
        <f>HYPERLINK("https://media.infra-m.ru/2239/2239936/cover/2239936.jpg", "Обложка")</f>
        <v>Обложка</v>
      </c>
      <c r="V7543" s="8" t="s">
        <v>1184</v>
      </c>
      <c r="W7543" s="6"/>
      <c r="X7543" s="6"/>
      <c r="Y7543" s="6"/>
      <c r="Z7543" s="6"/>
      <c r="AA7543" s="6" t="s">
        <v>99</v>
      </c>
      <c r="AB7543" s="8"/>
      <c r="AC7543" s="27">
        <v>9785917688107</v>
      </c>
    </row>
    <row r="7544" spans="1:29" s="4" customFormat="1" ht="42" customHeight="1" x14ac:dyDescent="0.2">
      <c r="A7544" s="5">
        <v>0</v>
      </c>
      <c r="B7544" s="6" t="s">
        <v>42610</v>
      </c>
      <c r="C7544" s="7">
        <v>2284.8000000000002</v>
      </c>
      <c r="D7544" s="8" t="s">
        <v>42611</v>
      </c>
      <c r="E7544" s="8" t="s">
        <v>42612</v>
      </c>
      <c r="F7544" s="8" t="s">
        <v>23214</v>
      </c>
      <c r="G7544" s="6" t="s">
        <v>60</v>
      </c>
      <c r="H7544" s="6" t="s">
        <v>820</v>
      </c>
      <c r="I7544" s="8"/>
      <c r="J7544" s="9">
        <v>1</v>
      </c>
      <c r="K7544" s="9">
        <v>328</v>
      </c>
      <c r="L7544" s="9">
        <v>2026</v>
      </c>
      <c r="M7544" s="8" t="s">
        <v>42613</v>
      </c>
      <c r="N7544" s="8" t="s">
        <v>243</v>
      </c>
      <c r="O7544" s="8" t="s">
        <v>758</v>
      </c>
      <c r="P7544" s="6" t="s">
        <v>51</v>
      </c>
      <c r="Q7544" s="8" t="s">
        <v>52</v>
      </c>
      <c r="R7544" s="10" t="s">
        <v>42614</v>
      </c>
      <c r="S7544" s="11"/>
      <c r="T7544" s="6"/>
      <c r="U7544" s="15" t="str">
        <f>HYPERLINK("https://media.infra-m.ru/2255/2255179/cover/2255179.jpg", "Обложка")</f>
        <v>Обложка</v>
      </c>
      <c r="V7544" s="8" t="s">
        <v>359</v>
      </c>
      <c r="W7544" s="6"/>
      <c r="X7544" s="6"/>
      <c r="Y7544" s="6"/>
      <c r="Z7544" s="6"/>
      <c r="AA7544" s="6" t="s">
        <v>274</v>
      </c>
      <c r="AB7544" s="8"/>
      <c r="AC7544" s="27">
        <v>9785905554858</v>
      </c>
    </row>
    <row r="7545" spans="1:29" s="4" customFormat="1" ht="51.9" customHeight="1" x14ac:dyDescent="0.2">
      <c r="A7545" s="5">
        <v>0</v>
      </c>
      <c r="B7545" s="6" t="s">
        <v>42615</v>
      </c>
      <c r="C7545" s="13">
        <v>965.9</v>
      </c>
      <c r="D7545" s="8" t="s">
        <v>42616</v>
      </c>
      <c r="E7545" s="8" t="s">
        <v>42617</v>
      </c>
      <c r="F7545" s="8" t="s">
        <v>42618</v>
      </c>
      <c r="G7545" s="6" t="s">
        <v>60</v>
      </c>
      <c r="H7545" s="6" t="s">
        <v>134</v>
      </c>
      <c r="I7545" s="8"/>
      <c r="J7545" s="9">
        <v>1</v>
      </c>
      <c r="K7545" s="9">
        <v>192</v>
      </c>
      <c r="L7545" s="9">
        <v>2022</v>
      </c>
      <c r="M7545" s="8" t="s">
        <v>42619</v>
      </c>
      <c r="N7545" s="8" t="s">
        <v>37</v>
      </c>
      <c r="O7545" s="8" t="s">
        <v>499</v>
      </c>
      <c r="P7545" s="6" t="s">
        <v>306</v>
      </c>
      <c r="Q7545" s="8" t="s">
        <v>52</v>
      </c>
      <c r="R7545" s="10" t="s">
        <v>42620</v>
      </c>
      <c r="S7545" s="11" t="s">
        <v>42621</v>
      </c>
      <c r="T7545" s="6"/>
      <c r="U7545" s="15" t="str">
        <f>HYPERLINK("https://media.infra-m.ru/1876/1876499/cover/1876499.jpg", "Обложка")</f>
        <v>Обложка</v>
      </c>
      <c r="V7545" s="8" t="s">
        <v>657</v>
      </c>
      <c r="W7545" s="6"/>
      <c r="X7545" s="6"/>
      <c r="Y7545" s="6"/>
      <c r="Z7545" s="6"/>
      <c r="AA7545" s="6" t="s">
        <v>248</v>
      </c>
      <c r="AB7545" s="8"/>
      <c r="AC7545" s="27">
        <v>9785917684772</v>
      </c>
    </row>
    <row r="7546" spans="1:29" s="4" customFormat="1" ht="51.9" customHeight="1" x14ac:dyDescent="0.2">
      <c r="A7546" s="5">
        <v>0</v>
      </c>
      <c r="B7546" s="6" t="s">
        <v>42622</v>
      </c>
      <c r="C7546" s="7">
        <v>2296.8000000000002</v>
      </c>
      <c r="D7546" s="8" t="s">
        <v>42623</v>
      </c>
      <c r="E7546" s="8" t="s">
        <v>42624</v>
      </c>
      <c r="F7546" s="8" t="s">
        <v>42618</v>
      </c>
      <c r="G7546" s="6" t="s">
        <v>60</v>
      </c>
      <c r="H7546" s="6" t="s">
        <v>134</v>
      </c>
      <c r="I7546" s="8"/>
      <c r="J7546" s="9">
        <v>1</v>
      </c>
      <c r="K7546" s="9">
        <v>368</v>
      </c>
      <c r="L7546" s="9">
        <v>2025</v>
      </c>
      <c r="M7546" s="8" t="s">
        <v>42625</v>
      </c>
      <c r="N7546" s="8" t="s">
        <v>37</v>
      </c>
      <c r="O7546" s="8" t="s">
        <v>499</v>
      </c>
      <c r="P7546" s="6" t="s">
        <v>306</v>
      </c>
      <c r="Q7546" s="8" t="s">
        <v>52</v>
      </c>
      <c r="R7546" s="10" t="s">
        <v>42626</v>
      </c>
      <c r="S7546" s="11" t="s">
        <v>42621</v>
      </c>
      <c r="T7546" s="6"/>
      <c r="U7546" s="15" t="str">
        <f>HYPERLINK("https://media.infra-m.ru/2192/2192439/cover/2192439.jpg", "Обложка")</f>
        <v>Обложка</v>
      </c>
      <c r="V7546" s="8" t="s">
        <v>657</v>
      </c>
      <c r="W7546" s="6"/>
      <c r="X7546" s="6"/>
      <c r="Y7546" s="6"/>
      <c r="Z7546" s="6"/>
      <c r="AA7546" s="6" t="s">
        <v>248</v>
      </c>
      <c r="AB7546" s="8"/>
      <c r="AC7546" s="27">
        <v>9785917684765</v>
      </c>
    </row>
    <row r="7547" spans="1:29" s="4" customFormat="1" ht="51.9" customHeight="1" x14ac:dyDescent="0.2">
      <c r="A7547" s="5">
        <v>0</v>
      </c>
      <c r="B7547" s="6" t="s">
        <v>42627</v>
      </c>
      <c r="C7547" s="13">
        <v>827.9</v>
      </c>
      <c r="D7547" s="8" t="s">
        <v>42628</v>
      </c>
      <c r="E7547" s="8" t="s">
        <v>42629</v>
      </c>
      <c r="F7547" s="8" t="s">
        <v>42630</v>
      </c>
      <c r="G7547" s="6" t="s">
        <v>7062</v>
      </c>
      <c r="H7547" s="6" t="s">
        <v>134</v>
      </c>
      <c r="I7547" s="8"/>
      <c r="J7547" s="9">
        <v>10</v>
      </c>
      <c r="K7547" s="9">
        <v>448</v>
      </c>
      <c r="L7547" s="9">
        <v>2015</v>
      </c>
      <c r="M7547" s="8" t="s">
        <v>42631</v>
      </c>
      <c r="N7547" s="8" t="s">
        <v>37</v>
      </c>
      <c r="O7547" s="8" t="s">
        <v>499</v>
      </c>
      <c r="P7547" s="6" t="s">
        <v>306</v>
      </c>
      <c r="Q7547" s="8" t="s">
        <v>52</v>
      </c>
      <c r="R7547" s="10" t="s">
        <v>15215</v>
      </c>
      <c r="S7547" s="11" t="s">
        <v>42632</v>
      </c>
      <c r="T7547" s="6"/>
      <c r="U7547" s="12"/>
      <c r="V7547" s="8" t="s">
        <v>657</v>
      </c>
      <c r="W7547" s="6"/>
      <c r="X7547" s="6"/>
      <c r="Y7547" s="6"/>
      <c r="Z7547" s="6"/>
      <c r="AA7547" s="6" t="s">
        <v>949</v>
      </c>
      <c r="AB7547" s="8"/>
      <c r="AC7547" s="27">
        <v>9785917684260</v>
      </c>
    </row>
    <row r="7548" spans="1:29" s="4" customFormat="1" ht="51.9" customHeight="1" x14ac:dyDescent="0.2">
      <c r="A7548" s="5">
        <v>0</v>
      </c>
      <c r="B7548" s="6" t="s">
        <v>42633</v>
      </c>
      <c r="C7548" s="7">
        <v>2344.8000000000002</v>
      </c>
      <c r="D7548" s="8" t="s">
        <v>42634</v>
      </c>
      <c r="E7548" s="8" t="s">
        <v>42635</v>
      </c>
      <c r="F7548" s="8" t="s">
        <v>42630</v>
      </c>
      <c r="G7548" s="6" t="s">
        <v>118</v>
      </c>
      <c r="H7548" s="6" t="s">
        <v>134</v>
      </c>
      <c r="I7548" s="8"/>
      <c r="J7548" s="9">
        <v>1</v>
      </c>
      <c r="K7548" s="9">
        <v>424</v>
      </c>
      <c r="L7548" s="9">
        <v>2024</v>
      </c>
      <c r="M7548" s="8" t="s">
        <v>42636</v>
      </c>
      <c r="N7548" s="8" t="s">
        <v>37</v>
      </c>
      <c r="O7548" s="8" t="s">
        <v>499</v>
      </c>
      <c r="P7548" s="6" t="s">
        <v>306</v>
      </c>
      <c r="Q7548" s="8" t="s">
        <v>52</v>
      </c>
      <c r="R7548" s="10" t="s">
        <v>15215</v>
      </c>
      <c r="S7548" s="11" t="s">
        <v>42632</v>
      </c>
      <c r="T7548" s="6"/>
      <c r="U7548" s="15" t="str">
        <f>HYPERLINK("https://media.infra-m.ru/2093/2093935/cover/2093935.jpg", "Обложка")</f>
        <v>Обложка</v>
      </c>
      <c r="V7548" s="8" t="s">
        <v>657</v>
      </c>
      <c r="W7548" s="6"/>
      <c r="X7548" s="6"/>
      <c r="Y7548" s="6"/>
      <c r="Z7548" s="6"/>
      <c r="AA7548" s="6" t="s">
        <v>896</v>
      </c>
      <c r="AB7548" s="8"/>
      <c r="AC7548" s="27">
        <v>9785001561866</v>
      </c>
    </row>
    <row r="7549" spans="1:29" s="4" customFormat="1" ht="51.9" customHeight="1" x14ac:dyDescent="0.2">
      <c r="A7549" s="5">
        <v>0</v>
      </c>
      <c r="B7549" s="6" t="s">
        <v>42637</v>
      </c>
      <c r="C7549" s="7">
        <v>1284</v>
      </c>
      <c r="D7549" s="8" t="s">
        <v>42638</v>
      </c>
      <c r="E7549" s="8" t="s">
        <v>42629</v>
      </c>
      <c r="F7549" s="8" t="s">
        <v>27064</v>
      </c>
      <c r="G7549" s="6" t="s">
        <v>60</v>
      </c>
      <c r="H7549" s="6" t="s">
        <v>34</v>
      </c>
      <c r="I7549" s="8" t="s">
        <v>263</v>
      </c>
      <c r="J7549" s="9">
        <v>1</v>
      </c>
      <c r="K7549" s="9">
        <v>213</v>
      </c>
      <c r="L7549" s="9">
        <v>2025</v>
      </c>
      <c r="M7549" s="8" t="s">
        <v>42639</v>
      </c>
      <c r="N7549" s="8" t="s">
        <v>37</v>
      </c>
      <c r="O7549" s="8" t="s">
        <v>499</v>
      </c>
      <c r="P7549" s="6" t="s">
        <v>306</v>
      </c>
      <c r="Q7549" s="8" t="s">
        <v>265</v>
      </c>
      <c r="R7549" s="10" t="s">
        <v>42640</v>
      </c>
      <c r="S7549" s="11"/>
      <c r="T7549" s="6"/>
      <c r="U7549" s="15" t="str">
        <f>HYPERLINK("https://media.infra-m.ru/1876/1876527/cover/1876527.jpg", "Обложка")</f>
        <v>Обложка</v>
      </c>
      <c r="V7549" s="8" t="s">
        <v>15178</v>
      </c>
      <c r="W7549" s="6"/>
      <c r="X7549" s="6"/>
      <c r="Y7549" s="6"/>
      <c r="Z7549" s="6"/>
      <c r="AA7549" s="6" t="s">
        <v>68</v>
      </c>
      <c r="AB7549" s="8"/>
      <c r="AC7549" s="27">
        <v>9785160177960</v>
      </c>
    </row>
    <row r="7550" spans="1:29" s="4" customFormat="1" ht="51.9" customHeight="1" x14ac:dyDescent="0.2">
      <c r="A7550" s="5">
        <v>0</v>
      </c>
      <c r="B7550" s="6" t="s">
        <v>42641</v>
      </c>
      <c r="C7550" s="7">
        <v>1080</v>
      </c>
      <c r="D7550" s="8" t="s">
        <v>42642</v>
      </c>
      <c r="E7550" s="8" t="s">
        <v>42643</v>
      </c>
      <c r="F7550" s="8" t="s">
        <v>42644</v>
      </c>
      <c r="G7550" s="6" t="s">
        <v>60</v>
      </c>
      <c r="H7550" s="6" t="s">
        <v>34</v>
      </c>
      <c r="I7550" s="8" t="s">
        <v>7198</v>
      </c>
      <c r="J7550" s="9">
        <v>1</v>
      </c>
      <c r="K7550" s="9">
        <v>182</v>
      </c>
      <c r="L7550" s="9">
        <v>2023</v>
      </c>
      <c r="M7550" s="8" t="s">
        <v>42645</v>
      </c>
      <c r="N7550" s="8" t="s">
        <v>243</v>
      </c>
      <c r="O7550" s="8" t="s">
        <v>758</v>
      </c>
      <c r="P7550" s="6" t="s">
        <v>51</v>
      </c>
      <c r="Q7550" s="8" t="s">
        <v>52</v>
      </c>
      <c r="R7550" s="10" t="s">
        <v>42646</v>
      </c>
      <c r="S7550" s="11" t="s">
        <v>42647</v>
      </c>
      <c r="T7550" s="6"/>
      <c r="U7550" s="15" t="str">
        <f>HYPERLINK("https://media.infra-m.ru/1910/1910856/cover/1910856.jpg", "Обложка")</f>
        <v>Обложка</v>
      </c>
      <c r="V7550" s="8"/>
      <c r="W7550" s="6"/>
      <c r="X7550" s="6"/>
      <c r="Y7550" s="6"/>
      <c r="Z7550" s="6"/>
      <c r="AA7550" s="6" t="s">
        <v>157</v>
      </c>
      <c r="AB7550" s="8"/>
      <c r="AC7550" s="27">
        <v>9785160180854</v>
      </c>
    </row>
    <row r="7551" spans="1:29" s="4" customFormat="1" ht="51.9" customHeight="1" x14ac:dyDescent="0.2">
      <c r="A7551" s="5">
        <v>0</v>
      </c>
      <c r="B7551" s="6" t="s">
        <v>42648</v>
      </c>
      <c r="C7551" s="7">
        <v>2100</v>
      </c>
      <c r="D7551" s="8" t="s">
        <v>42649</v>
      </c>
      <c r="E7551" s="8" t="s">
        <v>42650</v>
      </c>
      <c r="F7551" s="8" t="s">
        <v>36525</v>
      </c>
      <c r="G7551" s="6" t="s">
        <v>118</v>
      </c>
      <c r="H7551" s="6" t="s">
        <v>34</v>
      </c>
      <c r="I7551" s="8" t="s">
        <v>263</v>
      </c>
      <c r="J7551" s="9">
        <v>1</v>
      </c>
      <c r="K7551" s="9">
        <v>317</v>
      </c>
      <c r="L7551" s="9">
        <v>2026</v>
      </c>
      <c r="M7551" s="8" t="s">
        <v>42651</v>
      </c>
      <c r="N7551" s="8" t="s">
        <v>243</v>
      </c>
      <c r="O7551" s="8" t="s">
        <v>758</v>
      </c>
      <c r="P7551" s="6" t="s">
        <v>306</v>
      </c>
      <c r="Q7551" s="8" t="s">
        <v>265</v>
      </c>
      <c r="R7551" s="10" t="s">
        <v>42652</v>
      </c>
      <c r="S7551" s="11" t="s">
        <v>42653</v>
      </c>
      <c r="T7551" s="6"/>
      <c r="U7551" s="15" t="str">
        <f>HYPERLINK("https://media.infra-m.ru/2223/2223155/cover/2223155.jpg", "Обложка")</f>
        <v>Обложка</v>
      </c>
      <c r="V7551" s="8" t="s">
        <v>10014</v>
      </c>
      <c r="W7551" s="6"/>
      <c r="X7551" s="6" t="s">
        <v>24</v>
      </c>
      <c r="Y7551" s="6"/>
      <c r="Z7551" s="6"/>
      <c r="AA7551" s="6" t="s">
        <v>13424</v>
      </c>
      <c r="AB7551" s="8"/>
      <c r="AC7551" s="27">
        <v>9785160213712</v>
      </c>
    </row>
    <row r="7552" spans="1:29" s="4" customFormat="1" ht="51.9" customHeight="1" x14ac:dyDescent="0.2">
      <c r="A7552" s="5">
        <v>0</v>
      </c>
      <c r="B7552" s="6" t="s">
        <v>42654</v>
      </c>
      <c r="C7552" s="7">
        <v>1334.4</v>
      </c>
      <c r="D7552" s="8" t="s">
        <v>42655</v>
      </c>
      <c r="E7552" s="8" t="s">
        <v>42656</v>
      </c>
      <c r="F7552" s="8" t="s">
        <v>42657</v>
      </c>
      <c r="G7552" s="6" t="s">
        <v>33</v>
      </c>
      <c r="H7552" s="6" t="s">
        <v>34</v>
      </c>
      <c r="I7552" s="8" t="s">
        <v>253</v>
      </c>
      <c r="J7552" s="9">
        <v>1</v>
      </c>
      <c r="K7552" s="9">
        <v>164</v>
      </c>
      <c r="L7552" s="9">
        <v>2026</v>
      </c>
      <c r="M7552" s="8" t="s">
        <v>42658</v>
      </c>
      <c r="N7552" s="8" t="s">
        <v>243</v>
      </c>
      <c r="O7552" s="8" t="s">
        <v>758</v>
      </c>
      <c r="P7552" s="6" t="s">
        <v>51</v>
      </c>
      <c r="Q7552" s="8" t="s">
        <v>52</v>
      </c>
      <c r="R7552" s="10" t="s">
        <v>42659</v>
      </c>
      <c r="S7552" s="11" t="s">
        <v>42660</v>
      </c>
      <c r="T7552" s="6"/>
      <c r="U7552" s="15" t="str">
        <f>HYPERLINK("https://media.infra-m.ru/2217/2217147/cover/2217147.jpg", "Обложка")</f>
        <v>Обложка</v>
      </c>
      <c r="V7552" s="8" t="s">
        <v>1157</v>
      </c>
      <c r="W7552" s="6"/>
      <c r="X7552" s="6"/>
      <c r="Y7552" s="6"/>
      <c r="Z7552" s="6"/>
      <c r="AA7552" s="6" t="s">
        <v>779</v>
      </c>
      <c r="AB7552" s="8"/>
      <c r="AC7552" s="27">
        <v>9785160212203</v>
      </c>
    </row>
    <row r="7553" spans="1:29" s="4" customFormat="1" ht="51.9" customHeight="1" x14ac:dyDescent="0.2">
      <c r="A7553" s="5">
        <v>0</v>
      </c>
      <c r="B7553" s="6" t="s">
        <v>42661</v>
      </c>
      <c r="C7553" s="13">
        <v>864</v>
      </c>
      <c r="D7553" s="8" t="s">
        <v>42662</v>
      </c>
      <c r="E7553" s="8" t="s">
        <v>42663</v>
      </c>
      <c r="F7553" s="8" t="s">
        <v>2541</v>
      </c>
      <c r="G7553" s="6" t="s">
        <v>118</v>
      </c>
      <c r="H7553" s="6" t="s">
        <v>34</v>
      </c>
      <c r="I7553" s="8" t="s">
        <v>253</v>
      </c>
      <c r="J7553" s="9">
        <v>1</v>
      </c>
      <c r="K7553" s="9">
        <v>146</v>
      </c>
      <c r="L7553" s="9">
        <v>2024</v>
      </c>
      <c r="M7553" s="8" t="s">
        <v>42664</v>
      </c>
      <c r="N7553" s="8" t="s">
        <v>63</v>
      </c>
      <c r="O7553" s="8" t="s">
        <v>64</v>
      </c>
      <c r="P7553" s="6" t="s">
        <v>306</v>
      </c>
      <c r="Q7553" s="8" t="s">
        <v>52</v>
      </c>
      <c r="R7553" s="10" t="s">
        <v>42665</v>
      </c>
      <c r="S7553" s="11" t="s">
        <v>42666</v>
      </c>
      <c r="T7553" s="6"/>
      <c r="U7553" s="15" t="str">
        <f>HYPERLINK("https://media.infra-m.ru/2141/2141038/cover/2141038.jpg", "Обложка")</f>
        <v>Обложка</v>
      </c>
      <c r="V7553" s="8" t="s">
        <v>2544</v>
      </c>
      <c r="W7553" s="6"/>
      <c r="X7553" s="6"/>
      <c r="Y7553" s="6"/>
      <c r="Z7553" s="6"/>
      <c r="AA7553" s="6" t="s">
        <v>148</v>
      </c>
      <c r="AB7553" s="8"/>
      <c r="AC7553" s="27">
        <v>9785160198668</v>
      </c>
    </row>
    <row r="7554" spans="1:29" s="4" customFormat="1" ht="42" customHeight="1" x14ac:dyDescent="0.2">
      <c r="A7554" s="5">
        <v>0</v>
      </c>
      <c r="B7554" s="6" t="s">
        <v>42667</v>
      </c>
      <c r="C7554" s="7">
        <v>1164</v>
      </c>
      <c r="D7554" s="8" t="s">
        <v>42668</v>
      </c>
      <c r="E7554" s="8" t="s">
        <v>42669</v>
      </c>
      <c r="F7554" s="8" t="s">
        <v>42670</v>
      </c>
      <c r="G7554" s="6" t="s">
        <v>33</v>
      </c>
      <c r="H7554" s="6" t="s">
        <v>34</v>
      </c>
      <c r="I7554" s="8" t="s">
        <v>35</v>
      </c>
      <c r="J7554" s="9">
        <v>1</v>
      </c>
      <c r="K7554" s="9">
        <v>179</v>
      </c>
      <c r="L7554" s="9">
        <v>2025</v>
      </c>
      <c r="M7554" s="8" t="s">
        <v>42671</v>
      </c>
      <c r="N7554" s="8" t="s">
        <v>243</v>
      </c>
      <c r="O7554" s="8" t="s">
        <v>758</v>
      </c>
      <c r="P7554" s="6" t="s">
        <v>39</v>
      </c>
      <c r="Q7554" s="8" t="s">
        <v>40</v>
      </c>
      <c r="R7554" s="10" t="s">
        <v>42672</v>
      </c>
      <c r="S7554" s="11"/>
      <c r="T7554" s="6"/>
      <c r="U7554" s="15" t="str">
        <f>HYPERLINK("https://media.infra-m.ru/2157/2157609/cover/2157609.jpg", "Обложка")</f>
        <v>Обложка</v>
      </c>
      <c r="V7554" s="8" t="s">
        <v>19024</v>
      </c>
      <c r="W7554" s="6"/>
      <c r="X7554" s="6"/>
      <c r="Y7554" s="6"/>
      <c r="Z7554" s="6"/>
      <c r="AA7554" s="6" t="s">
        <v>917</v>
      </c>
      <c r="AB7554" s="8"/>
      <c r="AC7554" s="27">
        <v>9785160200859</v>
      </c>
    </row>
    <row r="7555" spans="1:29" s="4" customFormat="1" ht="42" customHeight="1" x14ac:dyDescent="0.2">
      <c r="A7555" s="5">
        <v>0</v>
      </c>
      <c r="B7555" s="6" t="s">
        <v>42673</v>
      </c>
      <c r="C7555" s="13">
        <v>972</v>
      </c>
      <c r="D7555" s="8" t="s">
        <v>42674</v>
      </c>
      <c r="E7555" s="8" t="s">
        <v>42675</v>
      </c>
      <c r="F7555" s="8" t="s">
        <v>42676</v>
      </c>
      <c r="G7555" s="6" t="s">
        <v>33</v>
      </c>
      <c r="H7555" s="6" t="s">
        <v>34</v>
      </c>
      <c r="I7555" s="8" t="s">
        <v>35</v>
      </c>
      <c r="J7555" s="9">
        <v>1</v>
      </c>
      <c r="K7555" s="9">
        <v>163</v>
      </c>
      <c r="L7555" s="9">
        <v>2024</v>
      </c>
      <c r="M7555" s="8" t="s">
        <v>42677</v>
      </c>
      <c r="N7555" s="8" t="s">
        <v>243</v>
      </c>
      <c r="O7555" s="8" t="s">
        <v>758</v>
      </c>
      <c r="P7555" s="6" t="s">
        <v>39</v>
      </c>
      <c r="Q7555" s="8" t="s">
        <v>40</v>
      </c>
      <c r="R7555" s="10" t="s">
        <v>42672</v>
      </c>
      <c r="S7555" s="11"/>
      <c r="T7555" s="6"/>
      <c r="U7555" s="15" t="str">
        <f>HYPERLINK("https://media.infra-m.ru/2127/2127836/cover/2127836.jpg", "Обложка")</f>
        <v>Обложка</v>
      </c>
      <c r="V7555" s="8" t="s">
        <v>19024</v>
      </c>
      <c r="W7555" s="6"/>
      <c r="X7555" s="6"/>
      <c r="Y7555" s="6"/>
      <c r="Z7555" s="6"/>
      <c r="AA7555" s="6" t="s">
        <v>99</v>
      </c>
      <c r="AB7555" s="8"/>
      <c r="AC7555" s="27">
        <v>9785160117072</v>
      </c>
    </row>
    <row r="7556" spans="1:29" s="4" customFormat="1" ht="51.9" customHeight="1" x14ac:dyDescent="0.2">
      <c r="A7556" s="5">
        <v>0</v>
      </c>
      <c r="B7556" s="6" t="s">
        <v>42678</v>
      </c>
      <c r="C7556" s="7">
        <v>2760</v>
      </c>
      <c r="D7556" s="8" t="s">
        <v>42679</v>
      </c>
      <c r="E7556" s="8" t="s">
        <v>42680</v>
      </c>
      <c r="F7556" s="8" t="s">
        <v>9328</v>
      </c>
      <c r="G7556" s="6" t="s">
        <v>60</v>
      </c>
      <c r="H7556" s="6" t="s">
        <v>34</v>
      </c>
      <c r="I7556" s="8" t="s">
        <v>253</v>
      </c>
      <c r="J7556" s="9">
        <v>1</v>
      </c>
      <c r="K7556" s="9">
        <v>443</v>
      </c>
      <c r="L7556" s="9">
        <v>2025</v>
      </c>
      <c r="M7556" s="8" t="s">
        <v>42681</v>
      </c>
      <c r="N7556" s="8" t="s">
        <v>93</v>
      </c>
      <c r="O7556" s="8" t="s">
        <v>94</v>
      </c>
      <c r="P7556" s="6" t="s">
        <v>306</v>
      </c>
      <c r="Q7556" s="8" t="s">
        <v>52</v>
      </c>
      <c r="R7556" s="10" t="s">
        <v>42682</v>
      </c>
      <c r="S7556" s="11"/>
      <c r="T7556" s="6"/>
      <c r="U7556" s="15" t="str">
        <f>HYPERLINK("https://media.infra-m.ru/2157/2157180/cover/2157180.jpg", "Обложка")</f>
        <v>Обложка</v>
      </c>
      <c r="V7556" s="8" t="s">
        <v>2222</v>
      </c>
      <c r="W7556" s="6"/>
      <c r="X7556" s="6"/>
      <c r="Y7556" s="6"/>
      <c r="Z7556" s="6"/>
      <c r="AA7556" s="6" t="s">
        <v>68</v>
      </c>
      <c r="AB7556" s="8" t="s">
        <v>42683</v>
      </c>
      <c r="AC7556" s="27">
        <v>9785160200729</v>
      </c>
    </row>
    <row r="7557" spans="1:29" s="4" customFormat="1" ht="51.9" customHeight="1" x14ac:dyDescent="0.2">
      <c r="A7557" s="5">
        <v>0</v>
      </c>
      <c r="B7557" s="6" t="s">
        <v>42684</v>
      </c>
      <c r="C7557" s="7">
        <v>2068.8000000000002</v>
      </c>
      <c r="D7557" s="8" t="s">
        <v>42685</v>
      </c>
      <c r="E7557" s="8" t="s">
        <v>42686</v>
      </c>
      <c r="F7557" s="8" t="s">
        <v>42687</v>
      </c>
      <c r="G7557" s="6" t="s">
        <v>118</v>
      </c>
      <c r="H7557" s="6" t="s">
        <v>34</v>
      </c>
      <c r="I7557" s="8" t="s">
        <v>271</v>
      </c>
      <c r="J7557" s="9">
        <v>1</v>
      </c>
      <c r="K7557" s="9">
        <v>314</v>
      </c>
      <c r="L7557" s="9">
        <v>2026</v>
      </c>
      <c r="M7557" s="8" t="s">
        <v>42688</v>
      </c>
      <c r="N7557" s="8" t="s">
        <v>243</v>
      </c>
      <c r="O7557" s="8" t="s">
        <v>933</v>
      </c>
      <c r="P7557" s="6" t="s">
        <v>306</v>
      </c>
      <c r="Q7557" s="8" t="s">
        <v>65</v>
      </c>
      <c r="R7557" s="10" t="s">
        <v>42689</v>
      </c>
      <c r="S7557" s="11" t="s">
        <v>42690</v>
      </c>
      <c r="T7557" s="6"/>
      <c r="U7557" s="15" t="str">
        <f>HYPERLINK("https://media.infra-m.ru/2254/2254186/cover/2254186.jpg", "Обложка")</f>
        <v>Обложка</v>
      </c>
      <c r="V7557" s="8" t="s">
        <v>4943</v>
      </c>
      <c r="W7557" s="6"/>
      <c r="X7557" s="6"/>
      <c r="Y7557" s="6"/>
      <c r="Z7557" s="6"/>
      <c r="AA7557" s="6" t="s">
        <v>430</v>
      </c>
      <c r="AB7557" s="8"/>
      <c r="AC7557" s="27">
        <v>9785160150222</v>
      </c>
    </row>
    <row r="7558" spans="1:29" s="4" customFormat="1" ht="51.9" customHeight="1" x14ac:dyDescent="0.2">
      <c r="A7558" s="5">
        <v>0</v>
      </c>
      <c r="B7558" s="6" t="s">
        <v>42691</v>
      </c>
      <c r="C7558" s="7">
        <v>2692.8</v>
      </c>
      <c r="D7558" s="8" t="s">
        <v>42692</v>
      </c>
      <c r="E7558" s="8" t="s">
        <v>42693</v>
      </c>
      <c r="F7558" s="8" t="s">
        <v>42694</v>
      </c>
      <c r="G7558" s="6" t="s">
        <v>118</v>
      </c>
      <c r="H7558" s="6" t="s">
        <v>34</v>
      </c>
      <c r="I7558" s="8" t="s">
        <v>271</v>
      </c>
      <c r="J7558" s="9">
        <v>1</v>
      </c>
      <c r="K7558" s="9">
        <v>448</v>
      </c>
      <c r="L7558" s="9">
        <v>2025</v>
      </c>
      <c r="M7558" s="8" t="s">
        <v>42695</v>
      </c>
      <c r="N7558" s="8" t="s">
        <v>243</v>
      </c>
      <c r="O7558" s="8" t="s">
        <v>964</v>
      </c>
      <c r="P7558" s="6" t="s">
        <v>51</v>
      </c>
      <c r="Q7558" s="8" t="s">
        <v>52</v>
      </c>
      <c r="R7558" s="10" t="s">
        <v>42696</v>
      </c>
      <c r="S7558" s="11"/>
      <c r="T7558" s="6"/>
      <c r="U7558" s="15" t="str">
        <f>HYPERLINK("https://media.infra-m.ru/2186/2186864/cover/2186864.jpg", "Обложка")</f>
        <v>Обложка</v>
      </c>
      <c r="V7558" s="8" t="s">
        <v>7887</v>
      </c>
      <c r="W7558" s="6"/>
      <c r="X7558" s="6"/>
      <c r="Y7558" s="6"/>
      <c r="Z7558" s="6"/>
      <c r="AA7558" s="6" t="s">
        <v>718</v>
      </c>
      <c r="AB7558" s="8"/>
      <c r="AC7558" s="27">
        <v>9785160062105</v>
      </c>
    </row>
    <row r="7559" spans="1:29" s="4" customFormat="1" ht="51.9" customHeight="1" x14ac:dyDescent="0.2">
      <c r="A7559" s="5">
        <v>0</v>
      </c>
      <c r="B7559" s="6" t="s">
        <v>42697</v>
      </c>
      <c r="C7559" s="7">
        <v>1984.8</v>
      </c>
      <c r="D7559" s="8" t="s">
        <v>42698</v>
      </c>
      <c r="E7559" s="8" t="s">
        <v>42699</v>
      </c>
      <c r="F7559" s="8" t="s">
        <v>42700</v>
      </c>
      <c r="G7559" s="6" t="s">
        <v>60</v>
      </c>
      <c r="H7559" s="6" t="s">
        <v>5605</v>
      </c>
      <c r="I7559" s="8" t="s">
        <v>253</v>
      </c>
      <c r="J7559" s="9">
        <v>1</v>
      </c>
      <c r="K7559" s="9">
        <v>318</v>
      </c>
      <c r="L7559" s="9">
        <v>2026</v>
      </c>
      <c r="M7559" s="8" t="s">
        <v>42701</v>
      </c>
      <c r="N7559" s="8" t="s">
        <v>585</v>
      </c>
      <c r="O7559" s="8" t="s">
        <v>667</v>
      </c>
      <c r="P7559" s="6" t="s">
        <v>51</v>
      </c>
      <c r="Q7559" s="8" t="s">
        <v>52</v>
      </c>
      <c r="R7559" s="10" t="s">
        <v>42702</v>
      </c>
      <c r="S7559" s="11" t="s">
        <v>42703</v>
      </c>
      <c r="T7559" s="6"/>
      <c r="U7559" s="15" t="str">
        <f>HYPERLINK("https://media.infra-m.ru/2211/2211869/cover/2211869.jpg", "Обложка")</f>
        <v>Обложка</v>
      </c>
      <c r="V7559" s="8" t="s">
        <v>6135</v>
      </c>
      <c r="W7559" s="6"/>
      <c r="X7559" s="6"/>
      <c r="Y7559" s="6"/>
      <c r="Z7559" s="6"/>
      <c r="AA7559" s="6" t="s">
        <v>43</v>
      </c>
      <c r="AB7559" s="8"/>
      <c r="AC7559" s="27">
        <v>9785160052052</v>
      </c>
    </row>
    <row r="7560" spans="1:29" s="4" customFormat="1" ht="51.9" customHeight="1" x14ac:dyDescent="0.2">
      <c r="A7560" s="5">
        <v>0</v>
      </c>
      <c r="B7560" s="6" t="s">
        <v>42704</v>
      </c>
      <c r="C7560" s="7">
        <v>1572</v>
      </c>
      <c r="D7560" s="8" t="s">
        <v>42705</v>
      </c>
      <c r="E7560" s="8" t="s">
        <v>42706</v>
      </c>
      <c r="F7560" s="8" t="s">
        <v>42707</v>
      </c>
      <c r="G7560" s="6" t="s">
        <v>118</v>
      </c>
      <c r="H7560" s="6" t="s">
        <v>34</v>
      </c>
      <c r="I7560" s="8" t="s">
        <v>35</v>
      </c>
      <c r="J7560" s="9">
        <v>1</v>
      </c>
      <c r="K7560" s="9">
        <v>238</v>
      </c>
      <c r="L7560" s="9">
        <v>2026</v>
      </c>
      <c r="M7560" s="8" t="s">
        <v>42708</v>
      </c>
      <c r="N7560" s="8" t="s">
        <v>37</v>
      </c>
      <c r="O7560" s="8" t="s">
        <v>280</v>
      </c>
      <c r="P7560" s="6" t="s">
        <v>39</v>
      </c>
      <c r="Q7560" s="8" t="s">
        <v>40</v>
      </c>
      <c r="R7560" s="10" t="s">
        <v>26374</v>
      </c>
      <c r="S7560" s="11"/>
      <c r="T7560" s="6"/>
      <c r="U7560" s="15" t="str">
        <f>HYPERLINK("https://media.infra-m.ru/2227/2227491/cover/2227491.jpg", "Обложка")</f>
        <v>Обложка</v>
      </c>
      <c r="V7560" s="8" t="s">
        <v>396</v>
      </c>
      <c r="W7560" s="6"/>
      <c r="X7560" s="6"/>
      <c r="Y7560" s="6"/>
      <c r="Z7560" s="6"/>
      <c r="AA7560" s="6" t="s">
        <v>99</v>
      </c>
      <c r="AB7560" s="8"/>
      <c r="AC7560" s="27">
        <v>9785160124230</v>
      </c>
    </row>
    <row r="7561" spans="1:29" s="4" customFormat="1" ht="51.9" customHeight="1" x14ac:dyDescent="0.2">
      <c r="A7561" s="5">
        <v>0</v>
      </c>
      <c r="B7561" s="6" t="s">
        <v>42709</v>
      </c>
      <c r="C7561" s="7">
        <v>1984.8</v>
      </c>
      <c r="D7561" s="8" t="s">
        <v>42710</v>
      </c>
      <c r="E7561" s="8" t="s">
        <v>42711</v>
      </c>
      <c r="F7561" s="8" t="s">
        <v>42712</v>
      </c>
      <c r="G7561" s="6" t="s">
        <v>60</v>
      </c>
      <c r="H7561" s="6" t="s">
        <v>1042</v>
      </c>
      <c r="I7561" s="8" t="s">
        <v>401</v>
      </c>
      <c r="J7561" s="9">
        <v>1</v>
      </c>
      <c r="K7561" s="9">
        <v>352</v>
      </c>
      <c r="L7561" s="9">
        <v>2024</v>
      </c>
      <c r="M7561" s="8" t="s">
        <v>42713</v>
      </c>
      <c r="N7561" s="8" t="s">
        <v>37</v>
      </c>
      <c r="O7561" s="8" t="s">
        <v>233</v>
      </c>
      <c r="P7561" s="6" t="s">
        <v>51</v>
      </c>
      <c r="Q7561" s="8" t="s">
        <v>265</v>
      </c>
      <c r="R7561" s="10" t="s">
        <v>30910</v>
      </c>
      <c r="S7561" s="11" t="s">
        <v>42714</v>
      </c>
      <c r="T7561" s="6"/>
      <c r="U7561" s="15" t="str">
        <f>HYPERLINK("https://media.infra-m.ru/2145/2145081/cover/2145081.jpg", "Обложка")</f>
        <v>Обложка</v>
      </c>
      <c r="V7561" s="8" t="s">
        <v>227</v>
      </c>
      <c r="W7561" s="6"/>
      <c r="X7561" s="6"/>
      <c r="Y7561" s="6"/>
      <c r="Z7561" s="6"/>
      <c r="AA7561" s="6" t="s">
        <v>949</v>
      </c>
      <c r="AB7561" s="8"/>
      <c r="AC7561" s="27">
        <v>9785819902295</v>
      </c>
    </row>
    <row r="7562" spans="1:29" s="4" customFormat="1" ht="51.9" customHeight="1" x14ac:dyDescent="0.2">
      <c r="A7562" s="5">
        <v>0</v>
      </c>
      <c r="B7562" s="6" t="s">
        <v>42715</v>
      </c>
      <c r="C7562" s="7">
        <v>2032.8</v>
      </c>
      <c r="D7562" s="8" t="s">
        <v>42716</v>
      </c>
      <c r="E7562" s="8" t="s">
        <v>42717</v>
      </c>
      <c r="F7562" s="8" t="s">
        <v>42718</v>
      </c>
      <c r="G7562" s="6" t="s">
        <v>60</v>
      </c>
      <c r="H7562" s="6" t="s">
        <v>34</v>
      </c>
      <c r="I7562" s="8" t="s">
        <v>271</v>
      </c>
      <c r="J7562" s="9">
        <v>1</v>
      </c>
      <c r="K7562" s="9">
        <v>326</v>
      </c>
      <c r="L7562" s="9">
        <v>2025</v>
      </c>
      <c r="M7562" s="8" t="s">
        <v>42719</v>
      </c>
      <c r="N7562" s="8" t="s">
        <v>37</v>
      </c>
      <c r="O7562" s="8" t="s">
        <v>233</v>
      </c>
      <c r="P7562" s="6" t="s">
        <v>51</v>
      </c>
      <c r="Q7562" s="8" t="s">
        <v>52</v>
      </c>
      <c r="R7562" s="10" t="s">
        <v>2068</v>
      </c>
      <c r="S7562" s="11" t="s">
        <v>5261</v>
      </c>
      <c r="T7562" s="6"/>
      <c r="U7562" s="15" t="str">
        <f>HYPERLINK("https://media.infra-m.ru/2194/2194334/cover/2194334.jpg", "Обложка")</f>
        <v>Обложка</v>
      </c>
      <c r="V7562" s="8" t="s">
        <v>1994</v>
      </c>
      <c r="W7562" s="6"/>
      <c r="X7562" s="6"/>
      <c r="Y7562" s="6"/>
      <c r="Z7562" s="6"/>
      <c r="AA7562" s="6" t="s">
        <v>1037</v>
      </c>
      <c r="AB7562" s="8"/>
      <c r="AC7562" s="27">
        <v>9785160091433</v>
      </c>
    </row>
    <row r="7563" spans="1:29" s="4" customFormat="1" ht="51.9" customHeight="1" x14ac:dyDescent="0.2">
      <c r="A7563" s="5">
        <v>0</v>
      </c>
      <c r="B7563" s="6" t="s">
        <v>42720</v>
      </c>
      <c r="C7563" s="7">
        <v>2536.8000000000002</v>
      </c>
      <c r="D7563" s="8" t="s">
        <v>42721</v>
      </c>
      <c r="E7563" s="8" t="s">
        <v>42722</v>
      </c>
      <c r="F7563" s="8" t="s">
        <v>42723</v>
      </c>
      <c r="G7563" s="6" t="s">
        <v>60</v>
      </c>
      <c r="H7563" s="6" t="s">
        <v>1644</v>
      </c>
      <c r="I7563" s="8" t="s">
        <v>263</v>
      </c>
      <c r="J7563" s="9">
        <v>1</v>
      </c>
      <c r="K7563" s="9">
        <v>384</v>
      </c>
      <c r="L7563" s="9">
        <v>2026</v>
      </c>
      <c r="M7563" s="8" t="s">
        <v>42724</v>
      </c>
      <c r="N7563" s="8" t="s">
        <v>37</v>
      </c>
      <c r="O7563" s="8" t="s">
        <v>233</v>
      </c>
      <c r="P7563" s="6" t="s">
        <v>306</v>
      </c>
      <c r="Q7563" s="8" t="s">
        <v>265</v>
      </c>
      <c r="R7563" s="10" t="s">
        <v>5111</v>
      </c>
      <c r="S7563" s="11" t="s">
        <v>42725</v>
      </c>
      <c r="T7563" s="6"/>
      <c r="U7563" s="15" t="str">
        <f>HYPERLINK("https://media.infra-m.ru/2238/2238274/cover/2238274.jpg", "Обложка")</f>
        <v>Обложка</v>
      </c>
      <c r="V7563" s="8" t="s">
        <v>5117</v>
      </c>
      <c r="W7563" s="6"/>
      <c r="X7563" s="6"/>
      <c r="Y7563" s="6"/>
      <c r="Z7563" s="6"/>
      <c r="AA7563" s="6" t="s">
        <v>1056</v>
      </c>
      <c r="AB7563" s="8"/>
      <c r="AC7563" s="27">
        <v>9785977600880</v>
      </c>
    </row>
    <row r="7564" spans="1:29" s="4" customFormat="1" ht="51.9" customHeight="1" x14ac:dyDescent="0.2">
      <c r="A7564" s="5">
        <v>0</v>
      </c>
      <c r="B7564" s="6" t="s">
        <v>42726</v>
      </c>
      <c r="C7564" s="13">
        <v>728.4</v>
      </c>
      <c r="D7564" s="8" t="s">
        <v>42727</v>
      </c>
      <c r="E7564" s="8" t="s">
        <v>42728</v>
      </c>
      <c r="F7564" s="8" t="s">
        <v>42729</v>
      </c>
      <c r="G7564" s="6" t="s">
        <v>33</v>
      </c>
      <c r="H7564" s="6" t="s">
        <v>313</v>
      </c>
      <c r="I7564" s="8" t="s">
        <v>4700</v>
      </c>
      <c r="J7564" s="9">
        <v>1</v>
      </c>
      <c r="K7564" s="9">
        <v>186</v>
      </c>
      <c r="L7564" s="9">
        <v>2025</v>
      </c>
      <c r="M7564" s="8" t="s">
        <v>42730</v>
      </c>
      <c r="N7564" s="8" t="s">
        <v>585</v>
      </c>
      <c r="O7564" s="8" t="s">
        <v>667</v>
      </c>
      <c r="P7564" s="6" t="s">
        <v>51</v>
      </c>
      <c r="Q7564" s="8" t="s">
        <v>52</v>
      </c>
      <c r="R7564" s="10" t="s">
        <v>42731</v>
      </c>
      <c r="S7564" s="11"/>
      <c r="T7564" s="6"/>
      <c r="U7564" s="15" t="str">
        <f>HYPERLINK("https://media.infra-m.ru/2184/2184908/cover/2184908.jpg", "Обложка")</f>
        <v>Обложка</v>
      </c>
      <c r="V7564" s="8" t="s">
        <v>3588</v>
      </c>
      <c r="W7564" s="6"/>
      <c r="X7564" s="6"/>
      <c r="Y7564" s="6"/>
      <c r="Z7564" s="6"/>
      <c r="AA7564" s="6" t="s">
        <v>949</v>
      </c>
      <c r="AB7564" s="8"/>
      <c r="AC7564" s="27">
        <v>9785369006795</v>
      </c>
    </row>
    <row r="7565" spans="1:29" s="4" customFormat="1" ht="51.9" customHeight="1" x14ac:dyDescent="0.2">
      <c r="A7565" s="5">
        <v>0</v>
      </c>
      <c r="B7565" s="6" t="s">
        <v>42732</v>
      </c>
      <c r="C7565" s="7">
        <v>2476.8000000000002</v>
      </c>
      <c r="D7565" s="8" t="s">
        <v>42733</v>
      </c>
      <c r="E7565" s="8" t="s">
        <v>42734</v>
      </c>
      <c r="F7565" s="8" t="s">
        <v>2011</v>
      </c>
      <c r="G7565" s="6" t="s">
        <v>60</v>
      </c>
      <c r="H7565" s="6" t="s">
        <v>34</v>
      </c>
      <c r="I7565" s="8" t="s">
        <v>304</v>
      </c>
      <c r="J7565" s="9">
        <v>1</v>
      </c>
      <c r="K7565" s="9">
        <v>412</v>
      </c>
      <c r="L7565" s="9">
        <v>2025</v>
      </c>
      <c r="M7565" s="8" t="s">
        <v>42735</v>
      </c>
      <c r="N7565" s="8" t="s">
        <v>585</v>
      </c>
      <c r="O7565" s="8" t="s">
        <v>667</v>
      </c>
      <c r="P7565" s="6" t="s">
        <v>306</v>
      </c>
      <c r="Q7565" s="8" t="s">
        <v>52</v>
      </c>
      <c r="R7565" s="10" t="s">
        <v>5391</v>
      </c>
      <c r="S7565" s="11"/>
      <c r="T7565" s="6" t="s">
        <v>97</v>
      </c>
      <c r="U7565" s="15" t="str">
        <f>HYPERLINK("https://media.infra-m.ru/2188/2188264/cover/2188264.jpg", "Обложка")</f>
        <v>Обложка</v>
      </c>
      <c r="V7565" s="8" t="s">
        <v>247</v>
      </c>
      <c r="W7565" s="6"/>
      <c r="X7565" s="6"/>
      <c r="Y7565" s="6"/>
      <c r="Z7565" s="6"/>
      <c r="AA7565" s="6" t="s">
        <v>157</v>
      </c>
      <c r="AB7565" s="8"/>
      <c r="AC7565" s="27">
        <v>9785160179414</v>
      </c>
    </row>
    <row r="7566" spans="1:29" s="4" customFormat="1" ht="51.9" customHeight="1" x14ac:dyDescent="0.2">
      <c r="A7566" s="5">
        <v>0</v>
      </c>
      <c r="B7566" s="6" t="s">
        <v>42736</v>
      </c>
      <c r="C7566" s="7">
        <v>1660.8</v>
      </c>
      <c r="D7566" s="8" t="s">
        <v>42737</v>
      </c>
      <c r="E7566" s="8" t="s">
        <v>42728</v>
      </c>
      <c r="F7566" s="8" t="s">
        <v>42738</v>
      </c>
      <c r="G7566" s="6" t="s">
        <v>118</v>
      </c>
      <c r="H7566" s="6" t="s">
        <v>34</v>
      </c>
      <c r="I7566" s="8" t="s">
        <v>271</v>
      </c>
      <c r="J7566" s="9">
        <v>1</v>
      </c>
      <c r="K7566" s="9">
        <v>250</v>
      </c>
      <c r="L7566" s="9">
        <v>2026</v>
      </c>
      <c r="M7566" s="8" t="s">
        <v>42739</v>
      </c>
      <c r="N7566" s="8" t="s">
        <v>585</v>
      </c>
      <c r="O7566" s="8" t="s">
        <v>667</v>
      </c>
      <c r="P7566" s="6" t="s">
        <v>306</v>
      </c>
      <c r="Q7566" s="8" t="s">
        <v>52</v>
      </c>
      <c r="R7566" s="10" t="s">
        <v>42740</v>
      </c>
      <c r="S7566" s="11" t="s">
        <v>42741</v>
      </c>
      <c r="T7566" s="6"/>
      <c r="U7566" s="15" t="str">
        <f>HYPERLINK("https://media.infra-m.ru/2239/2239100/cover/2239100.jpg", "Обложка")</f>
        <v>Обложка</v>
      </c>
      <c r="V7566" s="8" t="s">
        <v>831</v>
      </c>
      <c r="W7566" s="6"/>
      <c r="X7566" s="6"/>
      <c r="Y7566" s="6"/>
      <c r="Z7566" s="6"/>
      <c r="AA7566" s="6" t="s">
        <v>115</v>
      </c>
      <c r="AB7566" s="8"/>
      <c r="AC7566" s="27">
        <v>9785160142357</v>
      </c>
    </row>
    <row r="7567" spans="1:29" s="4" customFormat="1" ht="51.9" customHeight="1" x14ac:dyDescent="0.2">
      <c r="A7567" s="5">
        <v>0</v>
      </c>
      <c r="B7567" s="6" t="s">
        <v>42742</v>
      </c>
      <c r="C7567" s="7">
        <v>1392</v>
      </c>
      <c r="D7567" s="8" t="s">
        <v>42743</v>
      </c>
      <c r="E7567" s="8" t="s">
        <v>42728</v>
      </c>
      <c r="F7567" s="8" t="s">
        <v>42738</v>
      </c>
      <c r="G7567" s="6" t="s">
        <v>118</v>
      </c>
      <c r="H7567" s="6" t="s">
        <v>34</v>
      </c>
      <c r="I7567" s="8" t="s">
        <v>263</v>
      </c>
      <c r="J7567" s="9">
        <v>1</v>
      </c>
      <c r="K7567" s="9">
        <v>250</v>
      </c>
      <c r="L7567" s="9">
        <v>2024</v>
      </c>
      <c r="M7567" s="8" t="s">
        <v>42744</v>
      </c>
      <c r="N7567" s="8" t="s">
        <v>585</v>
      </c>
      <c r="O7567" s="8" t="s">
        <v>667</v>
      </c>
      <c r="P7567" s="6" t="s">
        <v>306</v>
      </c>
      <c r="Q7567" s="8" t="s">
        <v>265</v>
      </c>
      <c r="R7567" s="10" t="s">
        <v>42745</v>
      </c>
      <c r="S7567" s="11" t="s">
        <v>42746</v>
      </c>
      <c r="T7567" s="6"/>
      <c r="U7567" s="15" t="str">
        <f>HYPERLINK("https://media.infra-m.ru/2078/2078388/cover/2078388.jpg", "Обложка")</f>
        <v>Обложка</v>
      </c>
      <c r="V7567" s="8" t="s">
        <v>831</v>
      </c>
      <c r="W7567" s="6"/>
      <c r="X7567" s="6"/>
      <c r="Y7567" s="6"/>
      <c r="Z7567" s="6" t="s">
        <v>267</v>
      </c>
      <c r="AA7567" s="6" t="s">
        <v>1256</v>
      </c>
      <c r="AB7567" s="8"/>
      <c r="AC7567" s="27">
        <v>9785160156491</v>
      </c>
    </row>
    <row r="7568" spans="1:29" s="4" customFormat="1" ht="51.9" customHeight="1" x14ac:dyDescent="0.2">
      <c r="A7568" s="5">
        <v>0</v>
      </c>
      <c r="B7568" s="6" t="s">
        <v>42747</v>
      </c>
      <c r="C7568" s="7">
        <v>1452</v>
      </c>
      <c r="D7568" s="8" t="s">
        <v>42748</v>
      </c>
      <c r="E7568" s="8" t="s">
        <v>42749</v>
      </c>
      <c r="F7568" s="8" t="s">
        <v>42750</v>
      </c>
      <c r="G7568" s="6" t="s">
        <v>118</v>
      </c>
      <c r="H7568" s="6" t="s">
        <v>34</v>
      </c>
      <c r="I7568" s="8" t="s">
        <v>271</v>
      </c>
      <c r="J7568" s="9">
        <v>1</v>
      </c>
      <c r="K7568" s="9">
        <v>334</v>
      </c>
      <c r="L7568" s="9">
        <v>2021</v>
      </c>
      <c r="M7568" s="8" t="s">
        <v>42751</v>
      </c>
      <c r="N7568" s="8" t="s">
        <v>585</v>
      </c>
      <c r="O7568" s="8" t="s">
        <v>667</v>
      </c>
      <c r="P7568" s="6" t="s">
        <v>51</v>
      </c>
      <c r="Q7568" s="8" t="s">
        <v>52</v>
      </c>
      <c r="R7568" s="10" t="s">
        <v>42752</v>
      </c>
      <c r="S7568" s="11" t="s">
        <v>42753</v>
      </c>
      <c r="T7568" s="6"/>
      <c r="U7568" s="15" t="str">
        <f>HYPERLINK("https://media.infra-m.ru/1065/1065828/cover/1065828.jpg", "Обложка")</f>
        <v>Обложка</v>
      </c>
      <c r="V7568" s="8" t="s">
        <v>42754</v>
      </c>
      <c r="W7568" s="6"/>
      <c r="X7568" s="6"/>
      <c r="Y7568" s="6"/>
      <c r="Z7568" s="6"/>
      <c r="AA7568" s="6" t="s">
        <v>258</v>
      </c>
      <c r="AB7568" s="8"/>
      <c r="AC7568" s="27">
        <v>9785160158921</v>
      </c>
    </row>
    <row r="7569" spans="1:29" s="4" customFormat="1" ht="51.9" customHeight="1" x14ac:dyDescent="0.2">
      <c r="A7569" s="5">
        <v>0</v>
      </c>
      <c r="B7569" s="6" t="s">
        <v>42755</v>
      </c>
      <c r="C7569" s="7">
        <v>2812.8</v>
      </c>
      <c r="D7569" s="8" t="s">
        <v>42756</v>
      </c>
      <c r="E7569" s="8" t="s">
        <v>42757</v>
      </c>
      <c r="F7569" s="8" t="s">
        <v>42750</v>
      </c>
      <c r="G7569" s="6" t="s">
        <v>118</v>
      </c>
      <c r="H7569" s="6" t="s">
        <v>34</v>
      </c>
      <c r="I7569" s="8" t="s">
        <v>271</v>
      </c>
      <c r="J7569" s="9">
        <v>1</v>
      </c>
      <c r="K7569" s="9">
        <v>426</v>
      </c>
      <c r="L7569" s="9">
        <v>2026</v>
      </c>
      <c r="M7569" s="8" t="s">
        <v>42758</v>
      </c>
      <c r="N7569" s="8" t="s">
        <v>585</v>
      </c>
      <c r="O7569" s="8" t="s">
        <v>667</v>
      </c>
      <c r="P7569" s="6" t="s">
        <v>51</v>
      </c>
      <c r="Q7569" s="8" t="s">
        <v>52</v>
      </c>
      <c r="R7569" s="10" t="s">
        <v>42752</v>
      </c>
      <c r="S7569" s="11" t="s">
        <v>42759</v>
      </c>
      <c r="T7569" s="6"/>
      <c r="U7569" s="15" t="str">
        <f>HYPERLINK("https://media.infra-m.ru/2250/2250855/cover/2250855.jpg", "Обложка")</f>
        <v>Обложка</v>
      </c>
      <c r="V7569" s="8" t="s">
        <v>42754</v>
      </c>
      <c r="W7569" s="6"/>
      <c r="X7569" s="6"/>
      <c r="Y7569" s="6"/>
      <c r="Z7569" s="6"/>
      <c r="AA7569" s="6" t="s">
        <v>3189</v>
      </c>
      <c r="AB7569" s="8"/>
      <c r="AC7569" s="27">
        <v>9785160175058</v>
      </c>
    </row>
    <row r="7570" spans="1:29" s="4" customFormat="1" ht="51.9" customHeight="1" x14ac:dyDescent="0.2">
      <c r="A7570" s="5">
        <v>0</v>
      </c>
      <c r="B7570" s="6" t="s">
        <v>42760</v>
      </c>
      <c r="C7570" s="7">
        <v>2008.8</v>
      </c>
      <c r="D7570" s="8" t="s">
        <v>42761</v>
      </c>
      <c r="E7570" s="8" t="s">
        <v>42749</v>
      </c>
      <c r="F7570" s="8" t="s">
        <v>42762</v>
      </c>
      <c r="G7570" s="6" t="s">
        <v>118</v>
      </c>
      <c r="H7570" s="6" t="s">
        <v>34</v>
      </c>
      <c r="I7570" s="8" t="s">
        <v>253</v>
      </c>
      <c r="J7570" s="9">
        <v>1</v>
      </c>
      <c r="K7570" s="9">
        <v>289</v>
      </c>
      <c r="L7570" s="9">
        <v>2027</v>
      </c>
      <c r="M7570" s="8" t="s">
        <v>42763</v>
      </c>
      <c r="N7570" s="8" t="s">
        <v>585</v>
      </c>
      <c r="O7570" s="8" t="s">
        <v>667</v>
      </c>
      <c r="P7570" s="6" t="s">
        <v>51</v>
      </c>
      <c r="Q7570" s="8" t="s">
        <v>52</v>
      </c>
      <c r="R7570" s="10" t="s">
        <v>42764</v>
      </c>
      <c r="S7570" s="11" t="s">
        <v>42765</v>
      </c>
      <c r="T7570" s="6"/>
      <c r="U7570" s="15" t="str">
        <f>HYPERLINK("https://media.infra-m.ru/2262/2262601/cover/2262601.jpg", "Обложка")</f>
        <v>Обложка</v>
      </c>
      <c r="V7570" s="8" t="s">
        <v>396</v>
      </c>
      <c r="W7570" s="6"/>
      <c r="X7570" s="6"/>
      <c r="Y7570" s="6"/>
      <c r="Z7570" s="6"/>
      <c r="AA7570" s="6" t="s">
        <v>623</v>
      </c>
      <c r="AB7570" s="8"/>
      <c r="AC7570" s="27">
        <v>9785160187518</v>
      </c>
    </row>
    <row r="7571" spans="1:29" s="4" customFormat="1" ht="51.9" customHeight="1" x14ac:dyDescent="0.2">
      <c r="A7571" s="5">
        <v>0</v>
      </c>
      <c r="B7571" s="6" t="s">
        <v>42766</v>
      </c>
      <c r="C7571" s="7">
        <v>2008.8</v>
      </c>
      <c r="D7571" s="8" t="s">
        <v>42767</v>
      </c>
      <c r="E7571" s="8" t="s">
        <v>42749</v>
      </c>
      <c r="F7571" s="8" t="s">
        <v>42762</v>
      </c>
      <c r="G7571" s="6" t="s">
        <v>60</v>
      </c>
      <c r="H7571" s="6" t="s">
        <v>34</v>
      </c>
      <c r="I7571" s="8" t="s">
        <v>263</v>
      </c>
      <c r="J7571" s="9">
        <v>1</v>
      </c>
      <c r="K7571" s="9">
        <v>289</v>
      </c>
      <c r="L7571" s="9">
        <v>2027</v>
      </c>
      <c r="M7571" s="8" t="s">
        <v>42768</v>
      </c>
      <c r="N7571" s="8" t="s">
        <v>585</v>
      </c>
      <c r="O7571" s="8" t="s">
        <v>667</v>
      </c>
      <c r="P7571" s="6" t="s">
        <v>51</v>
      </c>
      <c r="Q7571" s="8" t="s">
        <v>265</v>
      </c>
      <c r="R7571" s="10" t="s">
        <v>42769</v>
      </c>
      <c r="S7571" s="11" t="s">
        <v>23411</v>
      </c>
      <c r="T7571" s="6"/>
      <c r="U7571" s="15" t="str">
        <f>HYPERLINK("https://media.infra-m.ru/2262/2262599/cover/2262599.jpg", "Обложка")</f>
        <v>Обложка</v>
      </c>
      <c r="V7571" s="8" t="s">
        <v>396</v>
      </c>
      <c r="W7571" s="6"/>
      <c r="X7571" s="6"/>
      <c r="Y7571" s="6"/>
      <c r="Z7571" s="6" t="s">
        <v>267</v>
      </c>
      <c r="AA7571" s="6" t="s">
        <v>218</v>
      </c>
      <c r="AB7571" s="8"/>
      <c r="AC7571" s="27">
        <v>9785160157122</v>
      </c>
    </row>
    <row r="7572" spans="1:29" s="4" customFormat="1" ht="42" customHeight="1" x14ac:dyDescent="0.2">
      <c r="A7572" s="5">
        <v>0</v>
      </c>
      <c r="B7572" s="6" t="s">
        <v>42770</v>
      </c>
      <c r="C7572" s="7">
        <v>2172</v>
      </c>
      <c r="D7572" s="8" t="s">
        <v>42771</v>
      </c>
      <c r="E7572" s="8" t="s">
        <v>42772</v>
      </c>
      <c r="F7572" s="8" t="s">
        <v>22712</v>
      </c>
      <c r="G7572" s="6" t="s">
        <v>60</v>
      </c>
      <c r="H7572" s="6" t="s">
        <v>34</v>
      </c>
      <c r="I7572" s="8" t="s">
        <v>253</v>
      </c>
      <c r="J7572" s="9">
        <v>1</v>
      </c>
      <c r="K7572" s="9">
        <v>385</v>
      </c>
      <c r="L7572" s="9">
        <v>2023</v>
      </c>
      <c r="M7572" s="8" t="s">
        <v>42773</v>
      </c>
      <c r="N7572" s="8" t="s">
        <v>585</v>
      </c>
      <c r="O7572" s="8" t="s">
        <v>667</v>
      </c>
      <c r="P7572" s="6" t="s">
        <v>51</v>
      </c>
      <c r="Q7572" s="8" t="s">
        <v>52</v>
      </c>
      <c r="R7572" s="10" t="s">
        <v>42774</v>
      </c>
      <c r="S7572" s="11"/>
      <c r="T7572" s="6"/>
      <c r="U7572" s="15" t="str">
        <f>HYPERLINK("https://media.infra-m.ru/1842/1842523/cover/1842523.jpg", "Обложка")</f>
        <v>Обложка</v>
      </c>
      <c r="V7572" s="8" t="s">
        <v>414</v>
      </c>
      <c r="W7572" s="6"/>
      <c r="X7572" s="6"/>
      <c r="Y7572" s="6"/>
      <c r="Z7572" s="6"/>
      <c r="AA7572" s="6" t="s">
        <v>157</v>
      </c>
      <c r="AB7572" s="8"/>
      <c r="AC7572" s="27">
        <v>9785160173146</v>
      </c>
    </row>
    <row r="7573" spans="1:29" s="4" customFormat="1" ht="51.9" customHeight="1" x14ac:dyDescent="0.2">
      <c r="A7573" s="5">
        <v>0</v>
      </c>
      <c r="B7573" s="6" t="s">
        <v>42775</v>
      </c>
      <c r="C7573" s="7">
        <v>2392.8000000000002</v>
      </c>
      <c r="D7573" s="8" t="s">
        <v>42776</v>
      </c>
      <c r="E7573" s="8" t="s">
        <v>42777</v>
      </c>
      <c r="F7573" s="8" t="s">
        <v>42778</v>
      </c>
      <c r="G7573" s="6" t="s">
        <v>60</v>
      </c>
      <c r="H7573" s="6" t="s">
        <v>820</v>
      </c>
      <c r="I7573" s="8" t="s">
        <v>42779</v>
      </c>
      <c r="J7573" s="9">
        <v>1</v>
      </c>
      <c r="K7573" s="9">
        <v>496</v>
      </c>
      <c r="L7573" s="9">
        <v>2023</v>
      </c>
      <c r="M7573" s="8" t="s">
        <v>42780</v>
      </c>
      <c r="N7573" s="8" t="s">
        <v>585</v>
      </c>
      <c r="O7573" s="8" t="s">
        <v>667</v>
      </c>
      <c r="P7573" s="6" t="s">
        <v>51</v>
      </c>
      <c r="Q7573" s="8" t="s">
        <v>65</v>
      </c>
      <c r="R7573" s="10" t="s">
        <v>42781</v>
      </c>
      <c r="S7573" s="11" t="s">
        <v>42782</v>
      </c>
      <c r="T7573" s="6"/>
      <c r="U7573" s="15" t="str">
        <f>HYPERLINK("https://media.infra-m.ru/1976/1976202/cover/1976202.jpg", "Обложка")</f>
        <v>Обложка</v>
      </c>
      <c r="V7573" s="8" t="s">
        <v>1956</v>
      </c>
      <c r="W7573" s="6"/>
      <c r="X7573" s="6"/>
      <c r="Y7573" s="6"/>
      <c r="Z7573" s="6"/>
      <c r="AA7573" s="6" t="s">
        <v>779</v>
      </c>
      <c r="AB7573" s="8"/>
      <c r="AC7573" s="27">
        <v>9785906818478</v>
      </c>
    </row>
    <row r="7574" spans="1:29" s="4" customFormat="1" ht="51.9" customHeight="1" x14ac:dyDescent="0.2">
      <c r="A7574" s="5">
        <v>0</v>
      </c>
      <c r="B7574" s="6" t="s">
        <v>42783</v>
      </c>
      <c r="C7574" s="7">
        <v>1800</v>
      </c>
      <c r="D7574" s="8" t="s">
        <v>42784</v>
      </c>
      <c r="E7574" s="8" t="s">
        <v>42785</v>
      </c>
      <c r="F7574" s="8" t="s">
        <v>42786</v>
      </c>
      <c r="G7574" s="6" t="s">
        <v>118</v>
      </c>
      <c r="H7574" s="6" t="s">
        <v>34</v>
      </c>
      <c r="I7574" s="8" t="s">
        <v>253</v>
      </c>
      <c r="J7574" s="9">
        <v>1</v>
      </c>
      <c r="K7574" s="9">
        <v>299</v>
      </c>
      <c r="L7574" s="9">
        <v>2025</v>
      </c>
      <c r="M7574" s="8" t="s">
        <v>42787</v>
      </c>
      <c r="N7574" s="8" t="s">
        <v>585</v>
      </c>
      <c r="O7574" s="8" t="s">
        <v>667</v>
      </c>
      <c r="P7574" s="6" t="s">
        <v>51</v>
      </c>
      <c r="Q7574" s="8" t="s">
        <v>52</v>
      </c>
      <c r="R7574" s="10" t="s">
        <v>42788</v>
      </c>
      <c r="S7574" s="11" t="s">
        <v>7280</v>
      </c>
      <c r="T7574" s="6"/>
      <c r="U7574" s="15" t="str">
        <f>HYPERLINK("https://media.infra-m.ru/2171/2171400/cover/2171400.jpg", "Обложка")</f>
        <v>Обложка</v>
      </c>
      <c r="V7574" s="8" t="s">
        <v>904</v>
      </c>
      <c r="W7574" s="6"/>
      <c r="X7574" s="6"/>
      <c r="Y7574" s="6"/>
      <c r="Z7574" s="6"/>
      <c r="AA7574" s="6" t="s">
        <v>779</v>
      </c>
      <c r="AB7574" s="8"/>
      <c r="AC7574" s="27">
        <v>9785160203973</v>
      </c>
    </row>
    <row r="7575" spans="1:29" s="4" customFormat="1" ht="51.9" customHeight="1" x14ac:dyDescent="0.2">
      <c r="A7575" s="5">
        <v>0</v>
      </c>
      <c r="B7575" s="6" t="s">
        <v>42789</v>
      </c>
      <c r="C7575" s="7">
        <v>2208</v>
      </c>
      <c r="D7575" s="8" t="s">
        <v>42790</v>
      </c>
      <c r="E7575" s="8" t="s">
        <v>42791</v>
      </c>
      <c r="F7575" s="8" t="s">
        <v>19149</v>
      </c>
      <c r="G7575" s="6" t="s">
        <v>118</v>
      </c>
      <c r="H7575" s="6" t="s">
        <v>34</v>
      </c>
      <c r="I7575" s="8" t="s">
        <v>304</v>
      </c>
      <c r="J7575" s="9">
        <v>1</v>
      </c>
      <c r="K7575" s="9">
        <v>385</v>
      </c>
      <c r="L7575" s="9">
        <v>2024</v>
      </c>
      <c r="M7575" s="8" t="s">
        <v>42792</v>
      </c>
      <c r="N7575" s="8" t="s">
        <v>585</v>
      </c>
      <c r="O7575" s="8" t="s">
        <v>667</v>
      </c>
      <c r="P7575" s="6" t="s">
        <v>51</v>
      </c>
      <c r="Q7575" s="8" t="s">
        <v>65</v>
      </c>
      <c r="R7575" s="10" t="s">
        <v>42793</v>
      </c>
      <c r="S7575" s="11"/>
      <c r="T7575" s="6"/>
      <c r="U7575" s="15" t="str">
        <f>HYPERLINK("https://media.infra-m.ru/2141/2141608/cover/2141608.jpg", "Обложка")</f>
        <v>Обложка</v>
      </c>
      <c r="V7575" s="8" t="s">
        <v>247</v>
      </c>
      <c r="W7575" s="6"/>
      <c r="X7575" s="6"/>
      <c r="Y7575" s="6"/>
      <c r="Z7575" s="6"/>
      <c r="AA7575" s="6" t="s">
        <v>76</v>
      </c>
      <c r="AB7575" s="8"/>
      <c r="AC7575" s="27">
        <v>9785160179629</v>
      </c>
    </row>
    <row r="7576" spans="1:29" s="4" customFormat="1" ht="42" customHeight="1" x14ac:dyDescent="0.2">
      <c r="A7576" s="5">
        <v>0</v>
      </c>
      <c r="B7576" s="6" t="s">
        <v>42794</v>
      </c>
      <c r="C7576" s="7">
        <v>1096.8</v>
      </c>
      <c r="D7576" s="8" t="s">
        <v>42795</v>
      </c>
      <c r="E7576" s="8" t="s">
        <v>42796</v>
      </c>
      <c r="F7576" s="8" t="s">
        <v>42797</v>
      </c>
      <c r="G7576" s="6" t="s">
        <v>33</v>
      </c>
      <c r="H7576" s="6" t="s">
        <v>34</v>
      </c>
      <c r="I7576" s="8" t="s">
        <v>271</v>
      </c>
      <c r="J7576" s="9">
        <v>1</v>
      </c>
      <c r="K7576" s="9">
        <v>175</v>
      </c>
      <c r="L7576" s="9">
        <v>2025</v>
      </c>
      <c r="M7576" s="8" t="s">
        <v>42798</v>
      </c>
      <c r="N7576" s="8" t="s">
        <v>585</v>
      </c>
      <c r="O7576" s="8" t="s">
        <v>667</v>
      </c>
      <c r="P7576" s="6" t="s">
        <v>306</v>
      </c>
      <c r="Q7576" s="8" t="s">
        <v>52</v>
      </c>
      <c r="R7576" s="10" t="s">
        <v>19267</v>
      </c>
      <c r="S7576" s="11"/>
      <c r="T7576" s="6"/>
      <c r="U7576" s="15" t="str">
        <f>HYPERLINK("https://media.infra-m.ru/2192/2192259/cover/2192259.jpg", "Обложка")</f>
        <v>Обложка</v>
      </c>
      <c r="V7576" s="8" t="s">
        <v>2427</v>
      </c>
      <c r="W7576" s="6"/>
      <c r="X7576" s="6"/>
      <c r="Y7576" s="6"/>
      <c r="Z7576" s="6"/>
      <c r="AA7576" s="6" t="s">
        <v>55</v>
      </c>
      <c r="AB7576" s="8"/>
      <c r="AC7576" s="27">
        <v>9785160053127</v>
      </c>
    </row>
    <row r="7577" spans="1:29" s="4" customFormat="1" ht="51.9" customHeight="1" x14ac:dyDescent="0.2">
      <c r="A7577" s="5">
        <v>0</v>
      </c>
      <c r="B7577" s="6" t="s">
        <v>42799</v>
      </c>
      <c r="C7577" s="7">
        <v>1286.4000000000001</v>
      </c>
      <c r="D7577" s="8" t="s">
        <v>42800</v>
      </c>
      <c r="E7577" s="8" t="s">
        <v>42796</v>
      </c>
      <c r="F7577" s="8" t="s">
        <v>42801</v>
      </c>
      <c r="G7577" s="6" t="s">
        <v>60</v>
      </c>
      <c r="H7577" s="6" t="s">
        <v>34</v>
      </c>
      <c r="I7577" s="8" t="s">
        <v>253</v>
      </c>
      <c r="J7577" s="9">
        <v>1</v>
      </c>
      <c r="K7577" s="9">
        <v>133</v>
      </c>
      <c r="L7577" s="9">
        <v>2027</v>
      </c>
      <c r="M7577" s="8" t="s">
        <v>42802</v>
      </c>
      <c r="N7577" s="8" t="s">
        <v>585</v>
      </c>
      <c r="O7577" s="8" t="s">
        <v>667</v>
      </c>
      <c r="P7577" s="6" t="s">
        <v>51</v>
      </c>
      <c r="Q7577" s="8" t="s">
        <v>52</v>
      </c>
      <c r="R7577" s="10" t="s">
        <v>42803</v>
      </c>
      <c r="S7577" s="11" t="s">
        <v>42804</v>
      </c>
      <c r="T7577" s="6"/>
      <c r="U7577" s="15" t="str">
        <f>HYPERLINK("https://media.infra-m.ru/2256/2256838/cover/2256838.jpg", "Обложка")</f>
        <v>Обложка</v>
      </c>
      <c r="V7577" s="8" t="s">
        <v>2382</v>
      </c>
      <c r="W7577" s="6" t="s">
        <v>2115</v>
      </c>
      <c r="X7577" s="6"/>
      <c r="Y7577" s="6"/>
      <c r="Z7577" s="6"/>
      <c r="AA7577" s="6" t="s">
        <v>420</v>
      </c>
      <c r="AB7577" s="8"/>
      <c r="AC7577" s="27">
        <v>9785160221786</v>
      </c>
    </row>
    <row r="7578" spans="1:29" s="4" customFormat="1" ht="44.1" customHeight="1" x14ac:dyDescent="0.2">
      <c r="A7578" s="5">
        <v>0</v>
      </c>
      <c r="B7578" s="6" t="s">
        <v>42805</v>
      </c>
      <c r="C7578" s="13">
        <v>905.9</v>
      </c>
      <c r="D7578" s="8" t="s">
        <v>42806</v>
      </c>
      <c r="E7578" s="8" t="s">
        <v>42796</v>
      </c>
      <c r="F7578" s="8" t="s">
        <v>42807</v>
      </c>
      <c r="G7578" s="6" t="s">
        <v>60</v>
      </c>
      <c r="H7578" s="6" t="s">
        <v>5605</v>
      </c>
      <c r="I7578" s="8" t="s">
        <v>253</v>
      </c>
      <c r="J7578" s="9">
        <v>1</v>
      </c>
      <c r="K7578" s="9">
        <v>236</v>
      </c>
      <c r="L7578" s="9">
        <v>2019</v>
      </c>
      <c r="M7578" s="8" t="s">
        <v>42808</v>
      </c>
      <c r="N7578" s="8" t="s">
        <v>585</v>
      </c>
      <c r="O7578" s="8" t="s">
        <v>667</v>
      </c>
      <c r="P7578" s="6" t="s">
        <v>51</v>
      </c>
      <c r="Q7578" s="8" t="s">
        <v>52</v>
      </c>
      <c r="R7578" s="10" t="s">
        <v>42752</v>
      </c>
      <c r="S7578" s="11"/>
      <c r="T7578" s="6" t="s">
        <v>97</v>
      </c>
      <c r="U7578" s="15" t="str">
        <f>HYPERLINK("https://media.infra-m.ru/1002/1002617/cover/1002617.jpg", "Обложка")</f>
        <v>Обложка</v>
      </c>
      <c r="V7578" s="8" t="s">
        <v>42754</v>
      </c>
      <c r="W7578" s="6"/>
      <c r="X7578" s="6"/>
      <c r="Y7578" s="6"/>
      <c r="Z7578" s="6"/>
      <c r="AA7578" s="6" t="s">
        <v>43</v>
      </c>
      <c r="AB7578" s="8"/>
      <c r="AC7578" s="27">
        <v>9785160049403</v>
      </c>
    </row>
    <row r="7579" spans="1:29" s="4" customFormat="1" ht="42" customHeight="1" x14ac:dyDescent="0.2">
      <c r="A7579" s="5">
        <v>0</v>
      </c>
      <c r="B7579" s="6" t="s">
        <v>42809</v>
      </c>
      <c r="C7579" s="13">
        <v>840</v>
      </c>
      <c r="D7579" s="8" t="s">
        <v>42810</v>
      </c>
      <c r="E7579" s="8" t="s">
        <v>42811</v>
      </c>
      <c r="F7579" s="8" t="s">
        <v>1960</v>
      </c>
      <c r="G7579" s="6" t="s">
        <v>33</v>
      </c>
      <c r="H7579" s="6" t="s">
        <v>34</v>
      </c>
      <c r="I7579" s="8" t="s">
        <v>35</v>
      </c>
      <c r="J7579" s="9">
        <v>1</v>
      </c>
      <c r="K7579" s="9">
        <v>180</v>
      </c>
      <c r="L7579" s="9">
        <v>2021</v>
      </c>
      <c r="M7579" s="8" t="s">
        <v>42812</v>
      </c>
      <c r="N7579" s="8" t="s">
        <v>63</v>
      </c>
      <c r="O7579" s="8" t="s">
        <v>126</v>
      </c>
      <c r="P7579" s="6" t="s">
        <v>39</v>
      </c>
      <c r="Q7579" s="8" t="s">
        <v>40</v>
      </c>
      <c r="R7579" s="10" t="s">
        <v>465</v>
      </c>
      <c r="S7579" s="11"/>
      <c r="T7579" s="6"/>
      <c r="U7579" s="15" t="str">
        <f>HYPERLINK("https://media.infra-m.ru/1074/1074108/cover/1074108.jpg", "Обложка")</f>
        <v>Обложка</v>
      </c>
      <c r="V7579" s="8" t="s">
        <v>227</v>
      </c>
      <c r="W7579" s="6"/>
      <c r="X7579" s="6"/>
      <c r="Y7579" s="6"/>
      <c r="Z7579" s="6"/>
      <c r="AA7579" s="6" t="s">
        <v>430</v>
      </c>
      <c r="AB7579" s="8"/>
      <c r="AC7579" s="27">
        <v>9785160159928</v>
      </c>
    </row>
    <row r="7580" spans="1:29" s="4" customFormat="1" ht="51.9" customHeight="1" x14ac:dyDescent="0.2">
      <c r="A7580" s="5">
        <v>0</v>
      </c>
      <c r="B7580" s="6" t="s">
        <v>42813</v>
      </c>
      <c r="C7580" s="7">
        <v>1301.9000000000001</v>
      </c>
      <c r="D7580" s="8" t="s">
        <v>42814</v>
      </c>
      <c r="E7580" s="8" t="s">
        <v>42815</v>
      </c>
      <c r="F7580" s="8" t="s">
        <v>42816</v>
      </c>
      <c r="G7580" s="6" t="s">
        <v>33</v>
      </c>
      <c r="H7580" s="6" t="s">
        <v>241</v>
      </c>
      <c r="I7580" s="8" t="s">
        <v>3496</v>
      </c>
      <c r="J7580" s="9">
        <v>1</v>
      </c>
      <c r="K7580" s="9">
        <v>278</v>
      </c>
      <c r="L7580" s="9">
        <v>2022</v>
      </c>
      <c r="M7580" s="8" t="s">
        <v>42817</v>
      </c>
      <c r="N7580" s="8" t="s">
        <v>243</v>
      </c>
      <c r="O7580" s="8" t="s">
        <v>244</v>
      </c>
      <c r="P7580" s="6" t="s">
        <v>39</v>
      </c>
      <c r="Q7580" s="8" t="s">
        <v>40</v>
      </c>
      <c r="R7580" s="10" t="s">
        <v>42818</v>
      </c>
      <c r="S7580" s="11"/>
      <c r="T7580" s="6"/>
      <c r="U7580" s="15" t="str">
        <f>HYPERLINK("https://media.infra-m.ru/1817/1817314/cover/1817314.jpg", "Обложка")</f>
        <v>Обложка</v>
      </c>
      <c r="V7580" s="8" t="s">
        <v>1030</v>
      </c>
      <c r="W7580" s="6"/>
      <c r="X7580" s="6"/>
      <c r="Y7580" s="6"/>
      <c r="Z7580" s="6"/>
      <c r="AA7580" s="6" t="s">
        <v>248</v>
      </c>
      <c r="AB7580" s="8"/>
      <c r="AC7580" s="27">
        <v>9785955803098</v>
      </c>
    </row>
    <row r="7581" spans="1:29" s="4" customFormat="1" ht="51.9" customHeight="1" x14ac:dyDescent="0.2">
      <c r="A7581" s="5">
        <v>0</v>
      </c>
      <c r="B7581" s="6" t="s">
        <v>42819</v>
      </c>
      <c r="C7581" s="7">
        <v>2520</v>
      </c>
      <c r="D7581" s="8" t="s">
        <v>42820</v>
      </c>
      <c r="E7581" s="8" t="s">
        <v>42821</v>
      </c>
      <c r="F7581" s="8" t="s">
        <v>42822</v>
      </c>
      <c r="G7581" s="6" t="s">
        <v>118</v>
      </c>
      <c r="H7581" s="6" t="s">
        <v>34</v>
      </c>
      <c r="I7581" s="8" t="s">
        <v>253</v>
      </c>
      <c r="J7581" s="9">
        <v>1</v>
      </c>
      <c r="K7581" s="9">
        <v>403</v>
      </c>
      <c r="L7581" s="9">
        <v>2025</v>
      </c>
      <c r="M7581" s="8" t="s">
        <v>42823</v>
      </c>
      <c r="N7581" s="8" t="s">
        <v>585</v>
      </c>
      <c r="O7581" s="8" t="s">
        <v>1518</v>
      </c>
      <c r="P7581" s="6" t="s">
        <v>51</v>
      </c>
      <c r="Q7581" s="8" t="s">
        <v>65</v>
      </c>
      <c r="R7581" s="10" t="s">
        <v>29422</v>
      </c>
      <c r="S7581" s="11" t="s">
        <v>42824</v>
      </c>
      <c r="T7581" s="6"/>
      <c r="U7581" s="15" t="str">
        <f>HYPERLINK("https://media.infra-m.ru/2132/2132241/cover/2132241.jpg", "Обложка")</f>
        <v>Обложка</v>
      </c>
      <c r="V7581" s="8" t="s">
        <v>761</v>
      </c>
      <c r="W7581" s="6"/>
      <c r="X7581" s="6"/>
      <c r="Y7581" s="6"/>
      <c r="Z7581" s="6"/>
      <c r="AA7581" s="6" t="s">
        <v>1295</v>
      </c>
      <c r="AB7581" s="8"/>
      <c r="AC7581" s="27">
        <v>9785160196510</v>
      </c>
    </row>
    <row r="7582" spans="1:29" s="4" customFormat="1" ht="51.9" customHeight="1" x14ac:dyDescent="0.2">
      <c r="A7582" s="5">
        <v>0</v>
      </c>
      <c r="B7582" s="6" t="s">
        <v>42825</v>
      </c>
      <c r="C7582" s="7">
        <v>2116.8000000000002</v>
      </c>
      <c r="D7582" s="8" t="s">
        <v>42826</v>
      </c>
      <c r="E7582" s="8" t="s">
        <v>42827</v>
      </c>
      <c r="F7582" s="8" t="s">
        <v>42822</v>
      </c>
      <c r="G7582" s="6" t="s">
        <v>60</v>
      </c>
      <c r="H7582" s="6" t="s">
        <v>48</v>
      </c>
      <c r="I7582" s="8" t="s">
        <v>253</v>
      </c>
      <c r="J7582" s="9">
        <v>1</v>
      </c>
      <c r="K7582" s="9">
        <v>384</v>
      </c>
      <c r="L7582" s="9">
        <v>2024</v>
      </c>
      <c r="M7582" s="8" t="s">
        <v>42828</v>
      </c>
      <c r="N7582" s="8" t="s">
        <v>585</v>
      </c>
      <c r="O7582" s="8" t="s">
        <v>1518</v>
      </c>
      <c r="P7582" s="6" t="s">
        <v>51</v>
      </c>
      <c r="Q7582" s="8" t="s">
        <v>52</v>
      </c>
      <c r="R7582" s="10" t="s">
        <v>29422</v>
      </c>
      <c r="S7582" s="11" t="s">
        <v>42829</v>
      </c>
      <c r="T7582" s="6"/>
      <c r="U7582" s="15" t="str">
        <f>HYPERLINK("https://media.infra-m.ru/2119/2119932/cover/2119932.jpg", "Обложка")</f>
        <v>Обложка</v>
      </c>
      <c r="V7582" s="8" t="s">
        <v>761</v>
      </c>
      <c r="W7582" s="6"/>
      <c r="X7582" s="6"/>
      <c r="Y7582" s="6"/>
      <c r="Z7582" s="6"/>
      <c r="AA7582" s="6" t="s">
        <v>874</v>
      </c>
      <c r="AB7582" s="8"/>
      <c r="AC7582" s="27">
        <v>9785000910061</v>
      </c>
    </row>
    <row r="7583" spans="1:29" s="4" customFormat="1" ht="51.9" customHeight="1" x14ac:dyDescent="0.2">
      <c r="A7583" s="5">
        <v>0</v>
      </c>
      <c r="B7583" s="6" t="s">
        <v>42830</v>
      </c>
      <c r="C7583" s="7">
        <v>1828.8</v>
      </c>
      <c r="D7583" s="8" t="s">
        <v>42831</v>
      </c>
      <c r="E7583" s="8" t="s">
        <v>42832</v>
      </c>
      <c r="F7583" s="8" t="s">
        <v>42833</v>
      </c>
      <c r="G7583" s="6" t="s">
        <v>118</v>
      </c>
      <c r="H7583" s="6" t="s">
        <v>34</v>
      </c>
      <c r="I7583" s="8" t="s">
        <v>271</v>
      </c>
      <c r="J7583" s="9">
        <v>1</v>
      </c>
      <c r="K7583" s="9">
        <v>262</v>
      </c>
      <c r="L7583" s="9">
        <v>2027</v>
      </c>
      <c r="M7583" s="8" t="s">
        <v>42834</v>
      </c>
      <c r="N7583" s="8" t="s">
        <v>585</v>
      </c>
      <c r="O7583" s="8" t="s">
        <v>775</v>
      </c>
      <c r="P7583" s="6" t="s">
        <v>306</v>
      </c>
      <c r="Q7583" s="8" t="s">
        <v>52</v>
      </c>
      <c r="R7583" s="10" t="s">
        <v>42835</v>
      </c>
      <c r="S7583" s="11" t="s">
        <v>42836</v>
      </c>
      <c r="T7583" s="6"/>
      <c r="U7583" s="15" t="str">
        <f>HYPERLINK("https://media.infra-m.ru/2251/2251359/cover/2251359.jpg", "Обложка")</f>
        <v>Обложка</v>
      </c>
      <c r="V7583" s="8" t="s">
        <v>761</v>
      </c>
      <c r="W7583" s="6"/>
      <c r="X7583" s="6"/>
      <c r="Y7583" s="6"/>
      <c r="Z7583" s="6"/>
      <c r="AA7583" s="6" t="s">
        <v>274</v>
      </c>
      <c r="AB7583" s="8"/>
      <c r="AC7583" s="27">
        <v>9785160104775</v>
      </c>
    </row>
    <row r="7584" spans="1:29" s="4" customFormat="1" ht="51.9" customHeight="1" x14ac:dyDescent="0.2">
      <c r="A7584" s="5">
        <v>0</v>
      </c>
      <c r="B7584" s="6" t="s">
        <v>42837</v>
      </c>
      <c r="C7584" s="7">
        <v>1764</v>
      </c>
      <c r="D7584" s="8" t="s">
        <v>42838</v>
      </c>
      <c r="E7584" s="8" t="s">
        <v>42832</v>
      </c>
      <c r="F7584" s="8" t="s">
        <v>4334</v>
      </c>
      <c r="G7584" s="6" t="s">
        <v>60</v>
      </c>
      <c r="H7584" s="6" t="s">
        <v>34</v>
      </c>
      <c r="I7584" s="8" t="s">
        <v>1128</v>
      </c>
      <c r="J7584" s="9">
        <v>1</v>
      </c>
      <c r="K7584" s="9">
        <v>318</v>
      </c>
      <c r="L7584" s="9">
        <v>2024</v>
      </c>
      <c r="M7584" s="8" t="s">
        <v>42839</v>
      </c>
      <c r="N7584" s="8" t="s">
        <v>585</v>
      </c>
      <c r="O7584" s="8" t="s">
        <v>1518</v>
      </c>
      <c r="P7584" s="6" t="s">
        <v>51</v>
      </c>
      <c r="Q7584" s="8" t="s">
        <v>65</v>
      </c>
      <c r="R7584" s="10" t="s">
        <v>42840</v>
      </c>
      <c r="S7584" s="11" t="s">
        <v>42841</v>
      </c>
      <c r="T7584" s="6"/>
      <c r="U7584" s="15" t="str">
        <f>HYPERLINK("https://media.infra-m.ru/2091/2091439/cover/2091439.jpg", "Обложка")</f>
        <v>Обложка</v>
      </c>
      <c r="V7584" s="8" t="s">
        <v>1132</v>
      </c>
      <c r="W7584" s="6"/>
      <c r="X7584" s="6"/>
      <c r="Y7584" s="6"/>
      <c r="Z7584" s="6"/>
      <c r="AA7584" s="6" t="s">
        <v>76</v>
      </c>
      <c r="AB7584" s="8"/>
      <c r="AC7584" s="27">
        <v>9785160191416</v>
      </c>
    </row>
    <row r="7585" spans="1:29" s="4" customFormat="1" ht="51.9" customHeight="1" x14ac:dyDescent="0.2">
      <c r="A7585" s="5">
        <v>0</v>
      </c>
      <c r="B7585" s="6" t="s">
        <v>42842</v>
      </c>
      <c r="C7585" s="7">
        <v>1344</v>
      </c>
      <c r="D7585" s="8" t="s">
        <v>42843</v>
      </c>
      <c r="E7585" s="8" t="s">
        <v>42844</v>
      </c>
      <c r="F7585" s="8" t="s">
        <v>42845</v>
      </c>
      <c r="G7585" s="6" t="s">
        <v>118</v>
      </c>
      <c r="H7585" s="6" t="s">
        <v>313</v>
      </c>
      <c r="I7585" s="8"/>
      <c r="J7585" s="9">
        <v>1</v>
      </c>
      <c r="K7585" s="9">
        <v>242</v>
      </c>
      <c r="L7585" s="9">
        <v>2023</v>
      </c>
      <c r="M7585" s="8" t="s">
        <v>42846</v>
      </c>
      <c r="N7585" s="8" t="s">
        <v>37</v>
      </c>
      <c r="O7585" s="8" t="s">
        <v>136</v>
      </c>
      <c r="P7585" s="6" t="s">
        <v>51</v>
      </c>
      <c r="Q7585" s="8" t="s">
        <v>52</v>
      </c>
      <c r="R7585" s="10" t="s">
        <v>42847</v>
      </c>
      <c r="S7585" s="11" t="s">
        <v>42848</v>
      </c>
      <c r="T7585" s="6" t="s">
        <v>97</v>
      </c>
      <c r="U7585" s="15" t="str">
        <f>HYPERLINK("https://media.infra-m.ru/2129/2129599/cover/2129599.jpg", "Обложка")</f>
        <v>Обложка</v>
      </c>
      <c r="V7585" s="8" t="s">
        <v>1425</v>
      </c>
      <c r="W7585" s="6"/>
      <c r="X7585" s="6"/>
      <c r="Y7585" s="6"/>
      <c r="Z7585" s="6"/>
      <c r="AA7585" s="6" t="s">
        <v>1123</v>
      </c>
      <c r="AB7585" s="8"/>
      <c r="AC7585" s="27">
        <v>9785369014370</v>
      </c>
    </row>
    <row r="7586" spans="1:29" s="4" customFormat="1" ht="51.9" customHeight="1" x14ac:dyDescent="0.2">
      <c r="A7586" s="5">
        <v>0</v>
      </c>
      <c r="B7586" s="6" t="s">
        <v>42849</v>
      </c>
      <c r="C7586" s="7">
        <v>2016</v>
      </c>
      <c r="D7586" s="8" t="s">
        <v>42850</v>
      </c>
      <c r="E7586" s="8" t="s">
        <v>42851</v>
      </c>
      <c r="F7586" s="8" t="s">
        <v>14452</v>
      </c>
      <c r="G7586" s="6" t="s">
        <v>118</v>
      </c>
      <c r="H7586" s="6" t="s">
        <v>1779</v>
      </c>
      <c r="I7586" s="8"/>
      <c r="J7586" s="9">
        <v>1</v>
      </c>
      <c r="K7586" s="9">
        <v>304</v>
      </c>
      <c r="L7586" s="9">
        <v>2026</v>
      </c>
      <c r="M7586" s="8" t="s">
        <v>42852</v>
      </c>
      <c r="N7586" s="8" t="s">
        <v>37</v>
      </c>
      <c r="O7586" s="8" t="s">
        <v>136</v>
      </c>
      <c r="P7586" s="6" t="s">
        <v>51</v>
      </c>
      <c r="Q7586" s="8" t="s">
        <v>65</v>
      </c>
      <c r="R7586" s="10" t="s">
        <v>42853</v>
      </c>
      <c r="S7586" s="11"/>
      <c r="T7586" s="6"/>
      <c r="U7586" s="15" t="str">
        <f>HYPERLINK("https://media.infra-m.ru/2237/2237716/cover/2237716.jpg", "Обложка")</f>
        <v>Обложка</v>
      </c>
      <c r="V7586" s="8" t="s">
        <v>2466</v>
      </c>
      <c r="W7586" s="6"/>
      <c r="X7586" s="6"/>
      <c r="Y7586" s="6"/>
      <c r="Z7586" s="6"/>
      <c r="AA7586" s="6" t="s">
        <v>3800</v>
      </c>
      <c r="AB7586" s="8"/>
      <c r="AC7586" s="27">
        <v>9785917686967</v>
      </c>
    </row>
    <row r="7587" spans="1:29" s="4" customFormat="1" ht="51.9" customHeight="1" x14ac:dyDescent="0.2">
      <c r="A7587" s="5">
        <v>0</v>
      </c>
      <c r="B7587" s="6" t="s">
        <v>42854</v>
      </c>
      <c r="C7587" s="7">
        <v>3232.8</v>
      </c>
      <c r="D7587" s="8" t="s">
        <v>42855</v>
      </c>
      <c r="E7587" s="8" t="s">
        <v>42856</v>
      </c>
      <c r="F7587" s="8" t="s">
        <v>42857</v>
      </c>
      <c r="G7587" s="6" t="s">
        <v>118</v>
      </c>
      <c r="H7587" s="6" t="s">
        <v>134</v>
      </c>
      <c r="I7587" s="8"/>
      <c r="J7587" s="9">
        <v>1</v>
      </c>
      <c r="K7587" s="9">
        <v>640</v>
      </c>
      <c r="L7587" s="9">
        <v>2026</v>
      </c>
      <c r="M7587" s="8" t="s">
        <v>42858</v>
      </c>
      <c r="N7587" s="8" t="s">
        <v>37</v>
      </c>
      <c r="O7587" s="8" t="s">
        <v>136</v>
      </c>
      <c r="P7587" s="6" t="s">
        <v>1293</v>
      </c>
      <c r="Q7587" s="8" t="s">
        <v>52</v>
      </c>
      <c r="R7587" s="10" t="s">
        <v>42847</v>
      </c>
      <c r="S7587" s="11" t="s">
        <v>42859</v>
      </c>
      <c r="T7587" s="6"/>
      <c r="U7587" s="15" t="str">
        <f>HYPERLINK("https://media.infra-m.ru/2247/2247969/cover/2247969.jpg", "Обложка")</f>
        <v>Обложка</v>
      </c>
      <c r="V7587" s="8" t="s">
        <v>1339</v>
      </c>
      <c r="W7587" s="6"/>
      <c r="X7587" s="6"/>
      <c r="Y7587" s="6"/>
      <c r="Z7587" s="6"/>
      <c r="AA7587" s="6" t="s">
        <v>7324</v>
      </c>
      <c r="AB7587" s="8"/>
      <c r="AC7587" s="27">
        <v>9785917682716</v>
      </c>
    </row>
    <row r="7588" spans="1:29" s="4" customFormat="1" ht="51.9" customHeight="1" x14ac:dyDescent="0.2">
      <c r="A7588" s="5">
        <v>0</v>
      </c>
      <c r="B7588" s="6" t="s">
        <v>42860</v>
      </c>
      <c r="C7588" s="7">
        <v>1312.8</v>
      </c>
      <c r="D7588" s="8" t="s">
        <v>42861</v>
      </c>
      <c r="E7588" s="8" t="s">
        <v>42856</v>
      </c>
      <c r="F7588" s="8" t="s">
        <v>42862</v>
      </c>
      <c r="G7588" s="6" t="s">
        <v>60</v>
      </c>
      <c r="H7588" s="6" t="s">
        <v>313</v>
      </c>
      <c r="I7588" s="8" t="s">
        <v>253</v>
      </c>
      <c r="J7588" s="9">
        <v>1</v>
      </c>
      <c r="K7588" s="9">
        <v>213</v>
      </c>
      <c r="L7588" s="9">
        <v>2025</v>
      </c>
      <c r="M7588" s="8" t="s">
        <v>42863</v>
      </c>
      <c r="N7588" s="8" t="s">
        <v>37</v>
      </c>
      <c r="O7588" s="8" t="s">
        <v>136</v>
      </c>
      <c r="P7588" s="6" t="s">
        <v>51</v>
      </c>
      <c r="Q7588" s="8" t="s">
        <v>52</v>
      </c>
      <c r="R7588" s="10" t="s">
        <v>42864</v>
      </c>
      <c r="S7588" s="11" t="s">
        <v>42865</v>
      </c>
      <c r="T7588" s="6"/>
      <c r="U7588" s="15" t="str">
        <f>HYPERLINK("https://media.infra-m.ru/2166/2166660/cover/2166660.jpg", "Обложка")</f>
        <v>Обложка</v>
      </c>
      <c r="V7588" s="8" t="s">
        <v>1069</v>
      </c>
      <c r="W7588" s="6"/>
      <c r="X7588" s="6"/>
      <c r="Y7588" s="6"/>
      <c r="Z7588" s="6"/>
      <c r="AA7588" s="6" t="s">
        <v>1037</v>
      </c>
      <c r="AB7588" s="8"/>
      <c r="AC7588" s="27">
        <v>9785369013663</v>
      </c>
    </row>
    <row r="7589" spans="1:29" s="4" customFormat="1" ht="51.9" customHeight="1" x14ac:dyDescent="0.2">
      <c r="A7589" s="5">
        <v>0</v>
      </c>
      <c r="B7589" s="6" t="s">
        <v>42866</v>
      </c>
      <c r="C7589" s="7">
        <v>1360.8</v>
      </c>
      <c r="D7589" s="8" t="s">
        <v>42867</v>
      </c>
      <c r="E7589" s="8" t="s">
        <v>42868</v>
      </c>
      <c r="F7589" s="8" t="s">
        <v>42869</v>
      </c>
      <c r="G7589" s="6" t="s">
        <v>118</v>
      </c>
      <c r="H7589" s="6" t="s">
        <v>313</v>
      </c>
      <c r="I7589" s="8" t="s">
        <v>253</v>
      </c>
      <c r="J7589" s="9">
        <v>1</v>
      </c>
      <c r="K7589" s="9">
        <v>195</v>
      </c>
      <c r="L7589" s="9">
        <v>2026</v>
      </c>
      <c r="M7589" s="8" t="s">
        <v>42870</v>
      </c>
      <c r="N7589" s="8" t="s">
        <v>37</v>
      </c>
      <c r="O7589" s="8" t="s">
        <v>136</v>
      </c>
      <c r="P7589" s="6" t="s">
        <v>51</v>
      </c>
      <c r="Q7589" s="8" t="s">
        <v>52</v>
      </c>
      <c r="R7589" s="10" t="s">
        <v>19923</v>
      </c>
      <c r="S7589" s="11" t="s">
        <v>42871</v>
      </c>
      <c r="T7589" s="6"/>
      <c r="U7589" s="15" t="str">
        <f>HYPERLINK("https://media.infra-m.ru/2260/2260898/cover/2260898.jpg", "Обложка")</f>
        <v>Обложка</v>
      </c>
      <c r="V7589" s="8" t="s">
        <v>156</v>
      </c>
      <c r="W7589" s="6"/>
      <c r="X7589" s="6"/>
      <c r="Y7589" s="6"/>
      <c r="Z7589" s="6"/>
      <c r="AA7589" s="6" t="s">
        <v>779</v>
      </c>
      <c r="AB7589" s="8"/>
      <c r="AC7589" s="27">
        <v>9785369014462</v>
      </c>
    </row>
    <row r="7590" spans="1:29" s="4" customFormat="1" ht="51.9" customHeight="1" x14ac:dyDescent="0.2">
      <c r="A7590" s="5">
        <v>0</v>
      </c>
      <c r="B7590" s="6" t="s">
        <v>42872</v>
      </c>
      <c r="C7590" s="7">
        <v>4012.8</v>
      </c>
      <c r="D7590" s="8" t="s">
        <v>42873</v>
      </c>
      <c r="E7590" s="8" t="s">
        <v>42874</v>
      </c>
      <c r="F7590" s="8" t="s">
        <v>13584</v>
      </c>
      <c r="G7590" s="6" t="s">
        <v>60</v>
      </c>
      <c r="H7590" s="6" t="s">
        <v>313</v>
      </c>
      <c r="I7590" s="8" t="s">
        <v>253</v>
      </c>
      <c r="J7590" s="9">
        <v>1</v>
      </c>
      <c r="K7590" s="9">
        <v>577</v>
      </c>
      <c r="L7590" s="9">
        <v>2027</v>
      </c>
      <c r="M7590" s="8" t="s">
        <v>42875</v>
      </c>
      <c r="N7590" s="8" t="s">
        <v>37</v>
      </c>
      <c r="O7590" s="8" t="s">
        <v>136</v>
      </c>
      <c r="P7590" s="6" t="s">
        <v>306</v>
      </c>
      <c r="Q7590" s="8" t="s">
        <v>52</v>
      </c>
      <c r="R7590" s="10" t="s">
        <v>42864</v>
      </c>
      <c r="S7590" s="11"/>
      <c r="T7590" s="6"/>
      <c r="U7590" s="15" t="str">
        <f>HYPERLINK("https://media.infra-m.ru/2267/2267083/cover/2267083.jpg", "Обложка")</f>
        <v>Обложка</v>
      </c>
      <c r="V7590" s="8" t="s">
        <v>1994</v>
      </c>
      <c r="W7590" s="6"/>
      <c r="X7590" s="6"/>
      <c r="Y7590" s="6"/>
      <c r="Z7590" s="6"/>
      <c r="AA7590" s="6" t="s">
        <v>258</v>
      </c>
      <c r="AB7590" s="8"/>
      <c r="AC7590" s="27">
        <v>9785369019153</v>
      </c>
    </row>
    <row r="7591" spans="1:29" s="4" customFormat="1" ht="51.9" customHeight="1" x14ac:dyDescent="0.2">
      <c r="A7591" s="5">
        <v>0</v>
      </c>
      <c r="B7591" s="6" t="s">
        <v>42876</v>
      </c>
      <c r="C7591" s="7">
        <v>2273.9</v>
      </c>
      <c r="D7591" s="8" t="s">
        <v>42877</v>
      </c>
      <c r="E7591" s="8" t="s">
        <v>42878</v>
      </c>
      <c r="F7591" s="8" t="s">
        <v>13584</v>
      </c>
      <c r="G7591" s="6" t="s">
        <v>60</v>
      </c>
      <c r="H7591" s="6" t="s">
        <v>42879</v>
      </c>
      <c r="I7591" s="8"/>
      <c r="J7591" s="9">
        <v>1</v>
      </c>
      <c r="K7591" s="9">
        <v>560</v>
      </c>
      <c r="L7591" s="9">
        <v>2021</v>
      </c>
      <c r="M7591" s="8" t="s">
        <v>42880</v>
      </c>
      <c r="N7591" s="8" t="s">
        <v>37</v>
      </c>
      <c r="O7591" s="8" t="s">
        <v>136</v>
      </c>
      <c r="P7591" s="6" t="s">
        <v>306</v>
      </c>
      <c r="Q7591" s="8" t="s">
        <v>52</v>
      </c>
      <c r="R7591" s="10" t="s">
        <v>42864</v>
      </c>
      <c r="S7591" s="11"/>
      <c r="T7591" s="6"/>
      <c r="U7591" s="15" t="str">
        <f>HYPERLINK("https://media.infra-m.ru/1852/1852244/cover/1852244.jpg", "Обложка")</f>
        <v>Обложка</v>
      </c>
      <c r="V7591" s="8" t="s">
        <v>1994</v>
      </c>
      <c r="W7591" s="6"/>
      <c r="X7591" s="6"/>
      <c r="Y7591" s="6"/>
      <c r="Z7591" s="6"/>
      <c r="AA7591" s="6" t="s">
        <v>274</v>
      </c>
      <c r="AB7591" s="8"/>
      <c r="AC7591" s="27">
        <v>9785369013694</v>
      </c>
    </row>
    <row r="7592" spans="1:29" s="4" customFormat="1" ht="51.9" customHeight="1" x14ac:dyDescent="0.2">
      <c r="A7592" s="5">
        <v>0</v>
      </c>
      <c r="B7592" s="6" t="s">
        <v>42881</v>
      </c>
      <c r="C7592" s="7">
        <v>3592.8</v>
      </c>
      <c r="D7592" s="8" t="s">
        <v>42882</v>
      </c>
      <c r="E7592" s="8" t="s">
        <v>42883</v>
      </c>
      <c r="F7592" s="8" t="s">
        <v>8184</v>
      </c>
      <c r="G7592" s="6" t="s">
        <v>60</v>
      </c>
      <c r="H7592" s="6" t="s">
        <v>134</v>
      </c>
      <c r="I7592" s="8"/>
      <c r="J7592" s="9">
        <v>1</v>
      </c>
      <c r="K7592" s="9">
        <v>544</v>
      </c>
      <c r="L7592" s="9">
        <v>2026</v>
      </c>
      <c r="M7592" s="8" t="s">
        <v>42884</v>
      </c>
      <c r="N7592" s="8" t="s">
        <v>37</v>
      </c>
      <c r="O7592" s="8" t="s">
        <v>136</v>
      </c>
      <c r="P7592" s="6" t="s">
        <v>51</v>
      </c>
      <c r="Q7592" s="8" t="s">
        <v>52</v>
      </c>
      <c r="R7592" s="10" t="s">
        <v>42885</v>
      </c>
      <c r="S7592" s="11"/>
      <c r="T7592" s="6"/>
      <c r="U7592" s="15" t="str">
        <f>HYPERLINK("https://media.infra-m.ru/2237/2237711/cover/2237711.jpg", "Обложка")</f>
        <v>Обложка</v>
      </c>
      <c r="V7592" s="8" t="s">
        <v>644</v>
      </c>
      <c r="W7592" s="6"/>
      <c r="X7592" s="6"/>
      <c r="Y7592" s="6"/>
      <c r="Z7592" s="6"/>
      <c r="AA7592" s="6" t="s">
        <v>1256</v>
      </c>
      <c r="AB7592" s="8"/>
      <c r="AC7592" s="27">
        <v>9785001560326</v>
      </c>
    </row>
    <row r="7593" spans="1:29" s="4" customFormat="1" ht="51.9" customHeight="1" x14ac:dyDescent="0.2">
      <c r="A7593" s="5">
        <v>0</v>
      </c>
      <c r="B7593" s="6" t="s">
        <v>42886</v>
      </c>
      <c r="C7593" s="7">
        <v>3220.8</v>
      </c>
      <c r="D7593" s="8" t="s">
        <v>42887</v>
      </c>
      <c r="E7593" s="8" t="s">
        <v>42888</v>
      </c>
      <c r="F7593" s="8" t="s">
        <v>8184</v>
      </c>
      <c r="G7593" s="6" t="s">
        <v>60</v>
      </c>
      <c r="H7593" s="6" t="s">
        <v>134</v>
      </c>
      <c r="I7593" s="8"/>
      <c r="J7593" s="9">
        <v>1</v>
      </c>
      <c r="K7593" s="9">
        <v>488</v>
      </c>
      <c r="L7593" s="9">
        <v>2026</v>
      </c>
      <c r="M7593" s="8" t="s">
        <v>42889</v>
      </c>
      <c r="N7593" s="8" t="s">
        <v>37</v>
      </c>
      <c r="O7593" s="8" t="s">
        <v>136</v>
      </c>
      <c r="P7593" s="6" t="s">
        <v>394</v>
      </c>
      <c r="Q7593" s="8" t="s">
        <v>65</v>
      </c>
      <c r="R7593" s="10" t="s">
        <v>1068</v>
      </c>
      <c r="S7593" s="11"/>
      <c r="T7593" s="6"/>
      <c r="U7593" s="15" t="str">
        <f>HYPERLINK("https://media.infra-m.ru/2244/2244268/cover/2244268.jpg", "Обложка")</f>
        <v>Обложка</v>
      </c>
      <c r="V7593" s="8" t="s">
        <v>644</v>
      </c>
      <c r="W7593" s="6"/>
      <c r="X7593" s="6"/>
      <c r="Y7593" s="6"/>
      <c r="Z7593" s="6"/>
      <c r="AA7593" s="6" t="s">
        <v>1256</v>
      </c>
      <c r="AB7593" s="8"/>
      <c r="AC7593" s="27">
        <v>9785001560432</v>
      </c>
    </row>
    <row r="7594" spans="1:29" s="4" customFormat="1" ht="51.9" customHeight="1" x14ac:dyDescent="0.2">
      <c r="A7594" s="5">
        <v>0</v>
      </c>
      <c r="B7594" s="6" t="s">
        <v>42890</v>
      </c>
      <c r="C7594" s="7">
        <v>1156.8</v>
      </c>
      <c r="D7594" s="8" t="s">
        <v>42891</v>
      </c>
      <c r="E7594" s="8" t="s">
        <v>42892</v>
      </c>
      <c r="F7594" s="8" t="s">
        <v>8184</v>
      </c>
      <c r="G7594" s="6" t="s">
        <v>60</v>
      </c>
      <c r="H7594" s="6" t="s">
        <v>134</v>
      </c>
      <c r="I7594" s="8"/>
      <c r="J7594" s="9">
        <v>1</v>
      </c>
      <c r="K7594" s="9">
        <v>176</v>
      </c>
      <c r="L7594" s="9">
        <v>2026</v>
      </c>
      <c r="M7594" s="8" t="s">
        <v>42893</v>
      </c>
      <c r="N7594" s="8" t="s">
        <v>37</v>
      </c>
      <c r="O7594" s="8" t="s">
        <v>136</v>
      </c>
      <c r="P7594" s="6" t="s">
        <v>51</v>
      </c>
      <c r="Q7594" s="8" t="s">
        <v>52</v>
      </c>
      <c r="R7594" s="10" t="s">
        <v>42885</v>
      </c>
      <c r="S7594" s="11"/>
      <c r="T7594" s="6"/>
      <c r="U7594" s="15" t="str">
        <f>HYPERLINK("https://media.infra-m.ru/2236/2236547/cover/2236547.jpg", "Обложка")</f>
        <v>Обложка</v>
      </c>
      <c r="V7594" s="8" t="s">
        <v>644</v>
      </c>
      <c r="W7594" s="6"/>
      <c r="X7594" s="6"/>
      <c r="Y7594" s="6"/>
      <c r="Z7594" s="6"/>
      <c r="AA7594" s="6" t="s">
        <v>1256</v>
      </c>
      <c r="AB7594" s="8"/>
      <c r="AC7594" s="27">
        <v>9785001560371</v>
      </c>
    </row>
    <row r="7595" spans="1:29" s="4" customFormat="1" ht="42" customHeight="1" x14ac:dyDescent="0.2">
      <c r="A7595" s="5">
        <v>0</v>
      </c>
      <c r="B7595" s="6" t="s">
        <v>42894</v>
      </c>
      <c r="C7595" s="7">
        <v>3804</v>
      </c>
      <c r="D7595" s="8" t="s">
        <v>42895</v>
      </c>
      <c r="E7595" s="8" t="s">
        <v>42888</v>
      </c>
      <c r="F7595" s="8" t="s">
        <v>42896</v>
      </c>
      <c r="G7595" s="6" t="s">
        <v>118</v>
      </c>
      <c r="H7595" s="6" t="s">
        <v>134</v>
      </c>
      <c r="I7595" s="8" t="s">
        <v>8746</v>
      </c>
      <c r="J7595" s="9">
        <v>1</v>
      </c>
      <c r="K7595" s="9">
        <v>432</v>
      </c>
      <c r="L7595" s="9">
        <v>2026</v>
      </c>
      <c r="M7595" s="8" t="s">
        <v>42897</v>
      </c>
      <c r="N7595" s="8" t="s">
        <v>37</v>
      </c>
      <c r="O7595" s="8" t="s">
        <v>136</v>
      </c>
      <c r="P7595" s="6" t="s">
        <v>306</v>
      </c>
      <c r="Q7595" s="8" t="s">
        <v>265</v>
      </c>
      <c r="R7595" s="10" t="s">
        <v>479</v>
      </c>
      <c r="S7595" s="11"/>
      <c r="T7595" s="6"/>
      <c r="U7595" s="15" t="str">
        <f>HYPERLINK("https://media.infra-m.ru/2225/2225235/cover/2225235.jpg", "Обложка")</f>
        <v>Обложка</v>
      </c>
      <c r="V7595" s="8" t="s">
        <v>1069</v>
      </c>
      <c r="W7595" s="6"/>
      <c r="X7595" s="6" t="s">
        <v>24</v>
      </c>
      <c r="Y7595" s="6"/>
      <c r="Z7595" s="6"/>
      <c r="AA7595" s="6" t="s">
        <v>561</v>
      </c>
      <c r="AB7595" s="8"/>
      <c r="AC7595" s="27">
        <v>9785917684253</v>
      </c>
    </row>
    <row r="7596" spans="1:29" s="4" customFormat="1" ht="51.9" customHeight="1" x14ac:dyDescent="0.2">
      <c r="A7596" s="5">
        <v>0</v>
      </c>
      <c r="B7596" s="6" t="s">
        <v>42898</v>
      </c>
      <c r="C7596" s="7">
        <v>3600</v>
      </c>
      <c r="D7596" s="8" t="s">
        <v>42899</v>
      </c>
      <c r="E7596" s="8" t="s">
        <v>42888</v>
      </c>
      <c r="F7596" s="8" t="s">
        <v>42900</v>
      </c>
      <c r="G7596" s="6" t="s">
        <v>60</v>
      </c>
      <c r="H7596" s="6" t="s">
        <v>134</v>
      </c>
      <c r="I7596" s="8"/>
      <c r="J7596" s="9">
        <v>1</v>
      </c>
      <c r="K7596" s="9">
        <v>656</v>
      </c>
      <c r="L7596" s="9">
        <v>2026</v>
      </c>
      <c r="M7596" s="8" t="s">
        <v>42901</v>
      </c>
      <c r="N7596" s="8" t="s">
        <v>37</v>
      </c>
      <c r="O7596" s="8" t="s">
        <v>136</v>
      </c>
      <c r="P7596" s="6" t="s">
        <v>306</v>
      </c>
      <c r="Q7596" s="8" t="s">
        <v>52</v>
      </c>
      <c r="R7596" s="10" t="s">
        <v>42885</v>
      </c>
      <c r="S7596" s="11"/>
      <c r="T7596" s="6"/>
      <c r="U7596" s="15" t="str">
        <f>HYPERLINK("https://media.infra-m.ru/2220/2220995/cover/2220995.jpg", "Обложка")</f>
        <v>Обложка</v>
      </c>
      <c r="V7596" s="8" t="s">
        <v>644</v>
      </c>
      <c r="W7596" s="6"/>
      <c r="X7596" s="6"/>
      <c r="Y7596" s="6"/>
      <c r="Z7596" s="6"/>
      <c r="AA7596" s="6" t="s">
        <v>1256</v>
      </c>
      <c r="AB7596" s="8"/>
      <c r="AC7596" s="27">
        <v>9785001560364</v>
      </c>
    </row>
    <row r="7597" spans="1:29" s="4" customFormat="1" ht="51.9" customHeight="1" x14ac:dyDescent="0.2">
      <c r="A7597" s="5">
        <v>0</v>
      </c>
      <c r="B7597" s="6" t="s">
        <v>42902</v>
      </c>
      <c r="C7597" s="7">
        <v>3648</v>
      </c>
      <c r="D7597" s="8" t="s">
        <v>42903</v>
      </c>
      <c r="E7597" s="8" t="s">
        <v>42904</v>
      </c>
      <c r="F7597" s="8" t="s">
        <v>42905</v>
      </c>
      <c r="G7597" s="6" t="s">
        <v>60</v>
      </c>
      <c r="H7597" s="6" t="s">
        <v>134</v>
      </c>
      <c r="I7597" s="8"/>
      <c r="J7597" s="9">
        <v>1</v>
      </c>
      <c r="K7597" s="9">
        <v>552</v>
      </c>
      <c r="L7597" s="9">
        <v>2026</v>
      </c>
      <c r="M7597" s="8" t="s">
        <v>42906</v>
      </c>
      <c r="N7597" s="8" t="s">
        <v>37</v>
      </c>
      <c r="O7597" s="8" t="s">
        <v>136</v>
      </c>
      <c r="P7597" s="6" t="s">
        <v>306</v>
      </c>
      <c r="Q7597" s="8" t="s">
        <v>52</v>
      </c>
      <c r="R7597" s="10" t="s">
        <v>42847</v>
      </c>
      <c r="S7597" s="11" t="s">
        <v>7158</v>
      </c>
      <c r="T7597" s="6"/>
      <c r="U7597" s="15" t="str">
        <f>HYPERLINK("https://media.infra-m.ru/2231/2231097/cover/2231097.jpg", "Обложка")</f>
        <v>Обложка</v>
      </c>
      <c r="V7597" s="8" t="s">
        <v>1277</v>
      </c>
      <c r="W7597" s="6"/>
      <c r="X7597" s="6"/>
      <c r="Y7597" s="6"/>
      <c r="Z7597" s="6"/>
      <c r="AA7597" s="6" t="s">
        <v>10095</v>
      </c>
      <c r="AB7597" s="8"/>
      <c r="AC7597" s="27">
        <v>9785001561491</v>
      </c>
    </row>
    <row r="7598" spans="1:29" s="4" customFormat="1" ht="51.9" customHeight="1" x14ac:dyDescent="0.2">
      <c r="A7598" s="5">
        <v>0</v>
      </c>
      <c r="B7598" s="6" t="s">
        <v>42907</v>
      </c>
      <c r="C7598" s="7">
        <v>2536.8000000000002</v>
      </c>
      <c r="D7598" s="8" t="s">
        <v>42908</v>
      </c>
      <c r="E7598" s="8" t="s">
        <v>42888</v>
      </c>
      <c r="F7598" s="8" t="s">
        <v>42909</v>
      </c>
      <c r="G7598" s="6" t="s">
        <v>60</v>
      </c>
      <c r="H7598" s="6" t="s">
        <v>134</v>
      </c>
      <c r="I7598" s="8"/>
      <c r="J7598" s="9">
        <v>1</v>
      </c>
      <c r="K7598" s="9">
        <v>384</v>
      </c>
      <c r="L7598" s="9">
        <v>2026</v>
      </c>
      <c r="M7598" s="8" t="s">
        <v>42910</v>
      </c>
      <c r="N7598" s="8" t="s">
        <v>37</v>
      </c>
      <c r="O7598" s="8" t="s">
        <v>136</v>
      </c>
      <c r="P7598" s="6" t="s">
        <v>306</v>
      </c>
      <c r="Q7598" s="8" t="s">
        <v>65</v>
      </c>
      <c r="R7598" s="10" t="s">
        <v>42853</v>
      </c>
      <c r="S7598" s="11" t="s">
        <v>15730</v>
      </c>
      <c r="T7598" s="6"/>
      <c r="U7598" s="15" t="str">
        <f>HYPERLINK("https://media.infra-m.ru/2221/2221175/cover/2221175.jpg", "Обложка")</f>
        <v>Обложка</v>
      </c>
      <c r="V7598" s="8" t="s">
        <v>1339</v>
      </c>
      <c r="W7598" s="6"/>
      <c r="X7598" s="6"/>
      <c r="Y7598" s="6"/>
      <c r="Z7598" s="6"/>
      <c r="AA7598" s="6" t="s">
        <v>1047</v>
      </c>
      <c r="AB7598" s="8"/>
      <c r="AC7598" s="27">
        <v>9785917681924</v>
      </c>
    </row>
    <row r="7599" spans="1:29" s="4" customFormat="1" ht="51.9" customHeight="1" x14ac:dyDescent="0.2">
      <c r="A7599" s="5">
        <v>0</v>
      </c>
      <c r="B7599" s="6" t="s">
        <v>42911</v>
      </c>
      <c r="C7599" s="7">
        <v>3364.8</v>
      </c>
      <c r="D7599" s="8" t="s">
        <v>42912</v>
      </c>
      <c r="E7599" s="8" t="s">
        <v>42888</v>
      </c>
      <c r="F7599" s="8" t="s">
        <v>7414</v>
      </c>
      <c r="G7599" s="6" t="s">
        <v>60</v>
      </c>
      <c r="H7599" s="6" t="s">
        <v>313</v>
      </c>
      <c r="I7599" s="8" t="s">
        <v>253</v>
      </c>
      <c r="J7599" s="9">
        <v>1</v>
      </c>
      <c r="K7599" s="9">
        <v>540</v>
      </c>
      <c r="L7599" s="9">
        <v>2025</v>
      </c>
      <c r="M7599" s="8" t="s">
        <v>42913</v>
      </c>
      <c r="N7599" s="8" t="s">
        <v>37</v>
      </c>
      <c r="O7599" s="8" t="s">
        <v>136</v>
      </c>
      <c r="P7599" s="6" t="s">
        <v>306</v>
      </c>
      <c r="Q7599" s="8" t="s">
        <v>65</v>
      </c>
      <c r="R7599" s="10" t="s">
        <v>42914</v>
      </c>
      <c r="S7599" s="11"/>
      <c r="T7599" s="6"/>
      <c r="U7599" s="15" t="str">
        <f>HYPERLINK("https://media.infra-m.ru/2197/2197809/cover/2197809.jpg", "Обложка")</f>
        <v>Обложка</v>
      </c>
      <c r="V7599" s="8" t="s">
        <v>3595</v>
      </c>
      <c r="W7599" s="6"/>
      <c r="X7599" s="6"/>
      <c r="Y7599" s="6"/>
      <c r="Z7599" s="6"/>
      <c r="AA7599" s="6" t="s">
        <v>148</v>
      </c>
      <c r="AB7599" s="8"/>
      <c r="AC7599" s="27">
        <v>9785369018996</v>
      </c>
    </row>
    <row r="7600" spans="1:29" s="4" customFormat="1" ht="51.9" customHeight="1" x14ac:dyDescent="0.2">
      <c r="A7600" s="5">
        <v>0</v>
      </c>
      <c r="B7600" s="6" t="s">
        <v>42915</v>
      </c>
      <c r="C7600" s="7">
        <v>1452</v>
      </c>
      <c r="D7600" s="8" t="s">
        <v>42916</v>
      </c>
      <c r="E7600" s="8" t="s">
        <v>42888</v>
      </c>
      <c r="F7600" s="8" t="s">
        <v>34070</v>
      </c>
      <c r="G7600" s="6" t="s">
        <v>118</v>
      </c>
      <c r="H7600" s="6" t="s">
        <v>134</v>
      </c>
      <c r="I7600" s="8"/>
      <c r="J7600" s="9">
        <v>1</v>
      </c>
      <c r="K7600" s="9">
        <v>232</v>
      </c>
      <c r="L7600" s="9">
        <v>2026</v>
      </c>
      <c r="M7600" s="8" t="s">
        <v>42917</v>
      </c>
      <c r="N7600" s="8" t="s">
        <v>37</v>
      </c>
      <c r="O7600" s="8" t="s">
        <v>136</v>
      </c>
      <c r="P7600" s="6" t="s">
        <v>306</v>
      </c>
      <c r="Q7600" s="8" t="s">
        <v>52</v>
      </c>
      <c r="R7600" s="10" t="s">
        <v>42885</v>
      </c>
      <c r="S7600" s="11"/>
      <c r="T7600" s="6"/>
      <c r="U7600" s="15" t="str">
        <f>HYPERLINK("https://media.infra-m.ru/2216/2216041/cover/2216041.jpg", "Обложка")</f>
        <v>Обложка</v>
      </c>
      <c r="V7600" s="8" t="s">
        <v>657</v>
      </c>
      <c r="W7600" s="6"/>
      <c r="X7600" s="6"/>
      <c r="Y7600" s="6"/>
      <c r="Z7600" s="6"/>
      <c r="AA7600" s="6" t="s">
        <v>1256</v>
      </c>
      <c r="AB7600" s="8"/>
      <c r="AC7600" s="27">
        <v>9785001560531</v>
      </c>
    </row>
    <row r="7601" spans="1:29" s="4" customFormat="1" ht="51.9" customHeight="1" x14ac:dyDescent="0.2">
      <c r="A7601" s="5">
        <v>0</v>
      </c>
      <c r="B7601" s="6" t="s">
        <v>42918</v>
      </c>
      <c r="C7601" s="7">
        <v>1140</v>
      </c>
      <c r="D7601" s="8" t="s">
        <v>42919</v>
      </c>
      <c r="E7601" s="8" t="s">
        <v>42888</v>
      </c>
      <c r="F7601" s="8" t="s">
        <v>13578</v>
      </c>
      <c r="G7601" s="6" t="s">
        <v>60</v>
      </c>
      <c r="H7601" s="6" t="s">
        <v>34</v>
      </c>
      <c r="I7601" s="8" t="s">
        <v>263</v>
      </c>
      <c r="J7601" s="9">
        <v>1</v>
      </c>
      <c r="K7601" s="9">
        <v>165</v>
      </c>
      <c r="L7601" s="9">
        <v>2025</v>
      </c>
      <c r="M7601" s="8" t="s">
        <v>42920</v>
      </c>
      <c r="N7601" s="8" t="s">
        <v>37</v>
      </c>
      <c r="O7601" s="8" t="s">
        <v>136</v>
      </c>
      <c r="P7601" s="6" t="s">
        <v>306</v>
      </c>
      <c r="Q7601" s="8" t="s">
        <v>265</v>
      </c>
      <c r="R7601" s="10" t="s">
        <v>479</v>
      </c>
      <c r="S7601" s="11" t="s">
        <v>42921</v>
      </c>
      <c r="T7601" s="6"/>
      <c r="U7601" s="15" t="str">
        <f>HYPERLINK("https://media.infra-m.ru/2174/2174904/cover/2174904.jpg", "Обложка")</f>
        <v>Обложка</v>
      </c>
      <c r="V7601" s="8" t="s">
        <v>13581</v>
      </c>
      <c r="W7601" s="6"/>
      <c r="X7601" s="6"/>
      <c r="Y7601" s="6"/>
      <c r="Z7601" s="6"/>
      <c r="AA7601" s="6" t="s">
        <v>68</v>
      </c>
      <c r="AB7601" s="8" t="s">
        <v>437</v>
      </c>
      <c r="AC7601" s="27">
        <v>9785160205755</v>
      </c>
    </row>
    <row r="7602" spans="1:29" s="4" customFormat="1" ht="51.9" customHeight="1" x14ac:dyDescent="0.2">
      <c r="A7602" s="5">
        <v>0</v>
      </c>
      <c r="B7602" s="6" t="s">
        <v>42922</v>
      </c>
      <c r="C7602" s="7">
        <v>1500</v>
      </c>
      <c r="D7602" s="8" t="s">
        <v>42923</v>
      </c>
      <c r="E7602" s="8" t="s">
        <v>42888</v>
      </c>
      <c r="F7602" s="8" t="s">
        <v>13578</v>
      </c>
      <c r="G7602" s="6" t="s">
        <v>118</v>
      </c>
      <c r="H7602" s="6" t="s">
        <v>34</v>
      </c>
      <c r="I7602" s="8" t="s">
        <v>253</v>
      </c>
      <c r="J7602" s="9">
        <v>1</v>
      </c>
      <c r="K7602" s="9">
        <v>233</v>
      </c>
      <c r="L7602" s="9">
        <v>2026</v>
      </c>
      <c r="M7602" s="8" t="s">
        <v>42924</v>
      </c>
      <c r="N7602" s="8" t="s">
        <v>37</v>
      </c>
      <c r="O7602" s="8" t="s">
        <v>136</v>
      </c>
      <c r="P7602" s="6" t="s">
        <v>306</v>
      </c>
      <c r="Q7602" s="8" t="s">
        <v>65</v>
      </c>
      <c r="R7602" s="10" t="s">
        <v>42847</v>
      </c>
      <c r="S7602" s="11" t="s">
        <v>42921</v>
      </c>
      <c r="T7602" s="6"/>
      <c r="U7602" s="15" t="str">
        <f>HYPERLINK("https://media.infra-m.ru/2217/2217010/cover/2217010.jpg", "Обложка")</f>
        <v>Обложка</v>
      </c>
      <c r="V7602" s="8" t="s">
        <v>13581</v>
      </c>
      <c r="W7602" s="6"/>
      <c r="X7602" s="6"/>
      <c r="Y7602" s="6"/>
      <c r="Z7602" s="6"/>
      <c r="AA7602" s="6" t="s">
        <v>86</v>
      </c>
      <c r="AB7602" s="8"/>
      <c r="AC7602" s="27">
        <v>9785160184258</v>
      </c>
    </row>
    <row r="7603" spans="1:29" s="4" customFormat="1" ht="51.9" customHeight="1" x14ac:dyDescent="0.2">
      <c r="A7603" s="5">
        <v>0</v>
      </c>
      <c r="B7603" s="6" t="s">
        <v>42925</v>
      </c>
      <c r="C7603" s="7">
        <v>3588</v>
      </c>
      <c r="D7603" s="8" t="s">
        <v>42926</v>
      </c>
      <c r="E7603" s="8" t="s">
        <v>42904</v>
      </c>
      <c r="F7603" s="8" t="s">
        <v>42927</v>
      </c>
      <c r="G7603" s="6" t="s">
        <v>60</v>
      </c>
      <c r="H7603" s="6" t="s">
        <v>34</v>
      </c>
      <c r="I7603" s="8" t="s">
        <v>253</v>
      </c>
      <c r="J7603" s="9">
        <v>1</v>
      </c>
      <c r="K7603" s="9">
        <v>623</v>
      </c>
      <c r="L7603" s="9">
        <v>2025</v>
      </c>
      <c r="M7603" s="8" t="s">
        <v>42928</v>
      </c>
      <c r="N7603" s="8" t="s">
        <v>37</v>
      </c>
      <c r="O7603" s="8" t="s">
        <v>136</v>
      </c>
      <c r="P7603" s="6" t="s">
        <v>306</v>
      </c>
      <c r="Q7603" s="8" t="s">
        <v>65</v>
      </c>
      <c r="R7603" s="10" t="s">
        <v>10936</v>
      </c>
      <c r="S7603" s="11"/>
      <c r="T7603" s="6"/>
      <c r="U7603" s="15" t="str">
        <f>HYPERLINK("https://media.infra-m.ru/1844/1844531/cover/1844531.jpg", "Обложка")</f>
        <v>Обложка</v>
      </c>
      <c r="V7603" s="8" t="s">
        <v>3087</v>
      </c>
      <c r="W7603" s="6"/>
      <c r="X7603" s="6"/>
      <c r="Y7603" s="6"/>
      <c r="Z7603" s="6"/>
      <c r="AA7603" s="6" t="s">
        <v>5423</v>
      </c>
      <c r="AB7603" s="8"/>
      <c r="AC7603" s="27">
        <v>9785160173429</v>
      </c>
    </row>
    <row r="7604" spans="1:29" s="4" customFormat="1" ht="42" customHeight="1" x14ac:dyDescent="0.2">
      <c r="A7604" s="5">
        <v>0</v>
      </c>
      <c r="B7604" s="6" t="s">
        <v>42929</v>
      </c>
      <c r="C7604" s="7">
        <v>3744</v>
      </c>
      <c r="D7604" s="8" t="s">
        <v>42930</v>
      </c>
      <c r="E7604" s="8" t="s">
        <v>42904</v>
      </c>
      <c r="F7604" s="8" t="s">
        <v>42927</v>
      </c>
      <c r="G7604" s="6" t="s">
        <v>60</v>
      </c>
      <c r="H7604" s="6" t="s">
        <v>34</v>
      </c>
      <c r="I7604" s="8" t="s">
        <v>263</v>
      </c>
      <c r="J7604" s="9">
        <v>1</v>
      </c>
      <c r="K7604" s="9">
        <v>623</v>
      </c>
      <c r="L7604" s="9">
        <v>2025</v>
      </c>
      <c r="M7604" s="8" t="s">
        <v>42931</v>
      </c>
      <c r="N7604" s="8" t="s">
        <v>37</v>
      </c>
      <c r="O7604" s="8" t="s">
        <v>136</v>
      </c>
      <c r="P7604" s="6" t="s">
        <v>306</v>
      </c>
      <c r="Q7604" s="8" t="s">
        <v>265</v>
      </c>
      <c r="R7604" s="10" t="s">
        <v>479</v>
      </c>
      <c r="S7604" s="11"/>
      <c r="T7604" s="6"/>
      <c r="U7604" s="15" t="str">
        <f>HYPERLINK("https://media.infra-m.ru/2165/2165083/cover/2165083.jpg", "Обложка")</f>
        <v>Обложка</v>
      </c>
      <c r="V7604" s="8" t="s">
        <v>3087</v>
      </c>
      <c r="W7604" s="6"/>
      <c r="X7604" s="6"/>
      <c r="Y7604" s="6"/>
      <c r="Z7604" s="6" t="s">
        <v>882</v>
      </c>
      <c r="AA7604" s="6" t="s">
        <v>5423</v>
      </c>
      <c r="AB7604" s="8"/>
      <c r="AC7604" s="27">
        <v>9785160202488</v>
      </c>
    </row>
    <row r="7605" spans="1:29" s="4" customFormat="1" ht="51.9" customHeight="1" x14ac:dyDescent="0.2">
      <c r="A7605" s="5">
        <v>0</v>
      </c>
      <c r="B7605" s="6" t="s">
        <v>42932</v>
      </c>
      <c r="C7605" s="7">
        <v>3240</v>
      </c>
      <c r="D7605" s="8" t="s">
        <v>42933</v>
      </c>
      <c r="E7605" s="8" t="s">
        <v>42934</v>
      </c>
      <c r="F7605" s="8" t="s">
        <v>42935</v>
      </c>
      <c r="G7605" s="6" t="s">
        <v>60</v>
      </c>
      <c r="H7605" s="6" t="s">
        <v>134</v>
      </c>
      <c r="I7605" s="8"/>
      <c r="J7605" s="9">
        <v>1</v>
      </c>
      <c r="K7605" s="9">
        <v>464</v>
      </c>
      <c r="L7605" s="9">
        <v>2027</v>
      </c>
      <c r="M7605" s="8" t="s">
        <v>42936</v>
      </c>
      <c r="N7605" s="8" t="s">
        <v>37</v>
      </c>
      <c r="O7605" s="8" t="s">
        <v>136</v>
      </c>
      <c r="P7605" s="6" t="s">
        <v>306</v>
      </c>
      <c r="Q7605" s="8" t="s">
        <v>52</v>
      </c>
      <c r="R7605" s="10" t="s">
        <v>42847</v>
      </c>
      <c r="S7605" s="11"/>
      <c r="T7605" s="6"/>
      <c r="U7605" s="15" t="str">
        <f>HYPERLINK("https://media.infra-m.ru/2270/2270420/cover/2270420.jpg", "Обложка")</f>
        <v>Обложка</v>
      </c>
      <c r="V7605" s="8" t="s">
        <v>6114</v>
      </c>
      <c r="W7605" s="6"/>
      <c r="X7605" s="6"/>
      <c r="Y7605" s="6"/>
      <c r="Z7605" s="6"/>
      <c r="AA7605" s="6" t="s">
        <v>7875</v>
      </c>
      <c r="AB7605" s="8"/>
      <c r="AC7605" s="27">
        <v>9785917688442</v>
      </c>
    </row>
    <row r="7606" spans="1:29" s="4" customFormat="1" ht="51.9" customHeight="1" x14ac:dyDescent="0.2">
      <c r="A7606" s="5">
        <v>0</v>
      </c>
      <c r="B7606" s="6" t="s">
        <v>42937</v>
      </c>
      <c r="C7606" s="7">
        <v>1900.8</v>
      </c>
      <c r="D7606" s="8" t="s">
        <v>42938</v>
      </c>
      <c r="E7606" s="8" t="s">
        <v>42888</v>
      </c>
      <c r="F7606" s="8" t="s">
        <v>32333</v>
      </c>
      <c r="G7606" s="6" t="s">
        <v>60</v>
      </c>
      <c r="H7606" s="6" t="s">
        <v>34</v>
      </c>
      <c r="I7606" s="8" t="s">
        <v>271</v>
      </c>
      <c r="J7606" s="9">
        <v>1</v>
      </c>
      <c r="K7606" s="9">
        <v>272</v>
      </c>
      <c r="L7606" s="9">
        <v>2027</v>
      </c>
      <c r="M7606" s="8" t="s">
        <v>42939</v>
      </c>
      <c r="N7606" s="8" t="s">
        <v>37</v>
      </c>
      <c r="O7606" s="8" t="s">
        <v>136</v>
      </c>
      <c r="P7606" s="6" t="s">
        <v>306</v>
      </c>
      <c r="Q7606" s="8" t="s">
        <v>52</v>
      </c>
      <c r="R7606" s="10" t="s">
        <v>484</v>
      </c>
      <c r="S7606" s="11" t="s">
        <v>42940</v>
      </c>
      <c r="T7606" s="6"/>
      <c r="U7606" s="15" t="str">
        <f>HYPERLINK("https://media.infra-m.ru/2251/2251092/cover/2251092.jpg", "Обложка")</f>
        <v>Обложка</v>
      </c>
      <c r="V7606" s="8" t="s">
        <v>2095</v>
      </c>
      <c r="W7606" s="6"/>
      <c r="X7606" s="6"/>
      <c r="Y7606" s="6"/>
      <c r="Z7606" s="6"/>
      <c r="AA7606" s="6" t="s">
        <v>55</v>
      </c>
      <c r="AB7606" s="8"/>
      <c r="AC7606" s="27">
        <v>9785160065083</v>
      </c>
    </row>
    <row r="7607" spans="1:29" s="4" customFormat="1" ht="51.9" customHeight="1" x14ac:dyDescent="0.2">
      <c r="A7607" s="5">
        <v>0</v>
      </c>
      <c r="B7607" s="6" t="s">
        <v>42941</v>
      </c>
      <c r="C7607" s="7">
        <v>1476</v>
      </c>
      <c r="D7607" s="8" t="s">
        <v>42942</v>
      </c>
      <c r="E7607" s="8" t="s">
        <v>42888</v>
      </c>
      <c r="F7607" s="8" t="s">
        <v>15087</v>
      </c>
      <c r="G7607" s="6" t="s">
        <v>118</v>
      </c>
      <c r="H7607" s="6" t="s">
        <v>34</v>
      </c>
      <c r="I7607" s="8" t="s">
        <v>263</v>
      </c>
      <c r="J7607" s="9">
        <v>1</v>
      </c>
      <c r="K7607" s="9">
        <v>272</v>
      </c>
      <c r="L7607" s="9">
        <v>2023</v>
      </c>
      <c r="M7607" s="8" t="s">
        <v>42943</v>
      </c>
      <c r="N7607" s="8" t="s">
        <v>37</v>
      </c>
      <c r="O7607" s="8" t="s">
        <v>136</v>
      </c>
      <c r="P7607" s="6" t="s">
        <v>306</v>
      </c>
      <c r="Q7607" s="8" t="s">
        <v>265</v>
      </c>
      <c r="R7607" s="10" t="s">
        <v>479</v>
      </c>
      <c r="S7607" s="11" t="s">
        <v>37702</v>
      </c>
      <c r="T7607" s="6"/>
      <c r="U7607" s="15" t="str">
        <f>HYPERLINK("https://media.infra-m.ru/1932/1932342/cover/1932342.jpg", "Обложка")</f>
        <v>Обложка</v>
      </c>
      <c r="V7607" s="8" t="s">
        <v>2095</v>
      </c>
      <c r="W7607" s="6"/>
      <c r="X7607" s="6" t="s">
        <v>24</v>
      </c>
      <c r="Y7607" s="6"/>
      <c r="Z7607" s="6" t="s">
        <v>267</v>
      </c>
      <c r="AA7607" s="6" t="s">
        <v>86</v>
      </c>
      <c r="AB7607" s="8"/>
      <c r="AC7607" s="27">
        <v>9785160140063</v>
      </c>
    </row>
    <row r="7608" spans="1:29" s="4" customFormat="1" ht="51.9" customHeight="1" x14ac:dyDescent="0.2">
      <c r="A7608" s="5">
        <v>0</v>
      </c>
      <c r="B7608" s="6" t="s">
        <v>42944</v>
      </c>
      <c r="C7608" s="7">
        <v>2824.8</v>
      </c>
      <c r="D7608" s="8" t="s">
        <v>42945</v>
      </c>
      <c r="E7608" s="8" t="s">
        <v>42946</v>
      </c>
      <c r="F7608" s="8" t="s">
        <v>42927</v>
      </c>
      <c r="G7608" s="6" t="s">
        <v>60</v>
      </c>
      <c r="H7608" s="6" t="s">
        <v>1042</v>
      </c>
      <c r="I7608" s="8" t="s">
        <v>253</v>
      </c>
      <c r="J7608" s="9">
        <v>1</v>
      </c>
      <c r="K7608" s="9">
        <v>512</v>
      </c>
      <c r="L7608" s="9">
        <v>2022</v>
      </c>
      <c r="M7608" s="8" t="s">
        <v>42947</v>
      </c>
      <c r="N7608" s="8" t="s">
        <v>37</v>
      </c>
      <c r="O7608" s="8" t="s">
        <v>136</v>
      </c>
      <c r="P7608" s="6" t="s">
        <v>306</v>
      </c>
      <c r="Q7608" s="8" t="s">
        <v>52</v>
      </c>
      <c r="R7608" s="10" t="s">
        <v>10936</v>
      </c>
      <c r="S7608" s="11" t="s">
        <v>15775</v>
      </c>
      <c r="T7608" s="6"/>
      <c r="U7608" s="15" t="str">
        <f>HYPERLINK("https://media.infra-m.ru/1832/1832415/cover/1832415.jpg", "Обложка")</f>
        <v>Обложка</v>
      </c>
      <c r="V7608" s="8" t="s">
        <v>2466</v>
      </c>
      <c r="W7608" s="6"/>
      <c r="X7608" s="6"/>
      <c r="Y7608" s="6"/>
      <c r="Z7608" s="6"/>
      <c r="AA7608" s="6" t="s">
        <v>446</v>
      </c>
      <c r="AB7608" s="8"/>
      <c r="AC7608" s="27">
        <v>9785819905623</v>
      </c>
    </row>
    <row r="7609" spans="1:29" s="4" customFormat="1" ht="51.9" customHeight="1" x14ac:dyDescent="0.2">
      <c r="A7609" s="5">
        <v>0</v>
      </c>
      <c r="B7609" s="6" t="s">
        <v>42948</v>
      </c>
      <c r="C7609" s="7">
        <v>3120</v>
      </c>
      <c r="D7609" s="8" t="s">
        <v>42949</v>
      </c>
      <c r="E7609" s="8" t="s">
        <v>42950</v>
      </c>
      <c r="F7609" s="8" t="s">
        <v>42951</v>
      </c>
      <c r="G7609" s="6" t="s">
        <v>60</v>
      </c>
      <c r="H7609" s="6" t="s">
        <v>313</v>
      </c>
      <c r="I7609" s="8" t="s">
        <v>253</v>
      </c>
      <c r="J7609" s="9">
        <v>1</v>
      </c>
      <c r="K7609" s="9">
        <v>488</v>
      </c>
      <c r="L7609" s="9">
        <v>2026</v>
      </c>
      <c r="M7609" s="8" t="s">
        <v>42952</v>
      </c>
      <c r="N7609" s="8" t="s">
        <v>37</v>
      </c>
      <c r="O7609" s="8" t="s">
        <v>136</v>
      </c>
      <c r="P7609" s="6" t="s">
        <v>306</v>
      </c>
      <c r="Q7609" s="8" t="s">
        <v>52</v>
      </c>
      <c r="R7609" s="10" t="s">
        <v>10936</v>
      </c>
      <c r="S7609" s="11" t="s">
        <v>17066</v>
      </c>
      <c r="T7609" s="6"/>
      <c r="U7609" s="15" t="str">
        <f>HYPERLINK("https://media.infra-m.ru/2223/2223087/cover/2223087.jpg", "Обложка")</f>
        <v>Обложка</v>
      </c>
      <c r="V7609" s="8" t="s">
        <v>1994</v>
      </c>
      <c r="W7609" s="6"/>
      <c r="X7609" s="6"/>
      <c r="Y7609" s="6"/>
      <c r="Z7609" s="6"/>
      <c r="AA7609" s="6" t="s">
        <v>42953</v>
      </c>
      <c r="AB7609" s="8"/>
      <c r="AC7609" s="27">
        <v>9785369019146</v>
      </c>
    </row>
    <row r="7610" spans="1:29" s="4" customFormat="1" ht="42" customHeight="1" x14ac:dyDescent="0.2">
      <c r="A7610" s="5">
        <v>0</v>
      </c>
      <c r="B7610" s="6" t="s">
        <v>42954</v>
      </c>
      <c r="C7610" s="7">
        <v>1932</v>
      </c>
      <c r="D7610" s="8" t="s">
        <v>42955</v>
      </c>
      <c r="E7610" s="8" t="s">
        <v>42888</v>
      </c>
      <c r="F7610" s="8" t="s">
        <v>42956</v>
      </c>
      <c r="G7610" s="6" t="s">
        <v>60</v>
      </c>
      <c r="H7610" s="6" t="s">
        <v>313</v>
      </c>
      <c r="I7610" s="8"/>
      <c r="J7610" s="9">
        <v>1</v>
      </c>
      <c r="K7610" s="9">
        <v>303</v>
      </c>
      <c r="L7610" s="9">
        <v>2025</v>
      </c>
      <c r="M7610" s="8" t="s">
        <v>42957</v>
      </c>
      <c r="N7610" s="8" t="s">
        <v>37</v>
      </c>
      <c r="O7610" s="8" t="s">
        <v>136</v>
      </c>
      <c r="P7610" s="6" t="s">
        <v>306</v>
      </c>
      <c r="Q7610" s="8" t="s">
        <v>265</v>
      </c>
      <c r="R7610" s="10" t="s">
        <v>479</v>
      </c>
      <c r="S7610" s="11"/>
      <c r="T7610" s="6"/>
      <c r="U7610" s="15" t="str">
        <f>HYPERLINK("https://media.infra-m.ru/2208/2208882/cover/2208882.jpg", "Обложка")</f>
        <v>Обложка</v>
      </c>
      <c r="V7610" s="8" t="s">
        <v>1994</v>
      </c>
      <c r="W7610" s="6"/>
      <c r="X7610" s="6"/>
      <c r="Y7610" s="6"/>
      <c r="Z7610" s="6"/>
      <c r="AA7610" s="6" t="s">
        <v>68</v>
      </c>
      <c r="AB7610" s="8"/>
      <c r="AC7610" s="27">
        <v>9785369019924</v>
      </c>
    </row>
    <row r="7611" spans="1:29" s="4" customFormat="1" ht="51.9" customHeight="1" x14ac:dyDescent="0.2">
      <c r="A7611" s="5">
        <v>0</v>
      </c>
      <c r="B7611" s="6" t="s">
        <v>42958</v>
      </c>
      <c r="C7611" s="7">
        <v>1553.9</v>
      </c>
      <c r="D7611" s="8" t="s">
        <v>42959</v>
      </c>
      <c r="E7611" s="8" t="s">
        <v>42960</v>
      </c>
      <c r="F7611" s="8" t="s">
        <v>13584</v>
      </c>
      <c r="G7611" s="6" t="s">
        <v>60</v>
      </c>
      <c r="H7611" s="6" t="s">
        <v>313</v>
      </c>
      <c r="I7611" s="8" t="s">
        <v>253</v>
      </c>
      <c r="J7611" s="9">
        <v>1</v>
      </c>
      <c r="K7611" s="9">
        <v>475</v>
      </c>
      <c r="L7611" s="9">
        <v>2020</v>
      </c>
      <c r="M7611" s="8" t="s">
        <v>42961</v>
      </c>
      <c r="N7611" s="8" t="s">
        <v>37</v>
      </c>
      <c r="O7611" s="8" t="s">
        <v>136</v>
      </c>
      <c r="P7611" s="6" t="s">
        <v>306</v>
      </c>
      <c r="Q7611" s="8" t="s">
        <v>52</v>
      </c>
      <c r="R7611" s="10" t="s">
        <v>10936</v>
      </c>
      <c r="S7611" s="11" t="s">
        <v>17066</v>
      </c>
      <c r="T7611" s="6"/>
      <c r="U7611" s="15" t="str">
        <f>HYPERLINK("https://media.infra-m.ru/1042/1042681/cover/1042681.jpg", "Обложка")</f>
        <v>Обложка</v>
      </c>
      <c r="V7611" s="8" t="s">
        <v>1994</v>
      </c>
      <c r="W7611" s="6"/>
      <c r="X7611" s="6"/>
      <c r="Y7611" s="6"/>
      <c r="Z7611" s="6"/>
      <c r="AA7611" s="6" t="s">
        <v>8675</v>
      </c>
      <c r="AB7611" s="8"/>
      <c r="AC7611" s="27">
        <v>9785369014943</v>
      </c>
    </row>
    <row r="7612" spans="1:29" s="4" customFormat="1" ht="51.9" customHeight="1" x14ac:dyDescent="0.2">
      <c r="A7612" s="5">
        <v>0</v>
      </c>
      <c r="B7612" s="6" t="s">
        <v>42962</v>
      </c>
      <c r="C7612" s="7">
        <v>1740</v>
      </c>
      <c r="D7612" s="8" t="s">
        <v>42963</v>
      </c>
      <c r="E7612" s="8" t="s">
        <v>42964</v>
      </c>
      <c r="F7612" s="8" t="s">
        <v>13859</v>
      </c>
      <c r="G7612" s="6" t="s">
        <v>118</v>
      </c>
      <c r="H7612" s="6" t="s">
        <v>34</v>
      </c>
      <c r="I7612" s="8" t="s">
        <v>253</v>
      </c>
      <c r="J7612" s="9">
        <v>1</v>
      </c>
      <c r="K7612" s="9">
        <v>322</v>
      </c>
      <c r="L7612" s="9">
        <v>2023</v>
      </c>
      <c r="M7612" s="8" t="s">
        <v>42965</v>
      </c>
      <c r="N7612" s="8" t="s">
        <v>37</v>
      </c>
      <c r="O7612" s="8" t="s">
        <v>136</v>
      </c>
      <c r="P7612" s="6" t="s">
        <v>51</v>
      </c>
      <c r="Q7612" s="8" t="s">
        <v>52</v>
      </c>
      <c r="R7612" s="10" t="s">
        <v>42847</v>
      </c>
      <c r="S7612" s="11" t="s">
        <v>42966</v>
      </c>
      <c r="T7612" s="6" t="s">
        <v>97</v>
      </c>
      <c r="U7612" s="15" t="str">
        <f>HYPERLINK("https://media.infra-m.ru/2002/2002647/cover/2002647.jpg", "Обложка")</f>
        <v>Обложка</v>
      </c>
      <c r="V7612" s="8" t="s">
        <v>657</v>
      </c>
      <c r="W7612" s="6"/>
      <c r="X7612" s="6"/>
      <c r="Y7612" s="6"/>
      <c r="Z7612" s="6"/>
      <c r="AA7612" s="6" t="s">
        <v>623</v>
      </c>
      <c r="AB7612" s="8"/>
      <c r="AC7612" s="27">
        <v>9785160184494</v>
      </c>
    </row>
    <row r="7613" spans="1:29" s="4" customFormat="1" ht="51.9" customHeight="1" x14ac:dyDescent="0.2">
      <c r="A7613" s="5">
        <v>0</v>
      </c>
      <c r="B7613" s="6" t="s">
        <v>42967</v>
      </c>
      <c r="C7613" s="7">
        <v>1500</v>
      </c>
      <c r="D7613" s="8" t="s">
        <v>42968</v>
      </c>
      <c r="E7613" s="8" t="s">
        <v>42946</v>
      </c>
      <c r="F7613" s="8" t="s">
        <v>28585</v>
      </c>
      <c r="G7613" s="6" t="s">
        <v>118</v>
      </c>
      <c r="H7613" s="6" t="s">
        <v>313</v>
      </c>
      <c r="I7613" s="8" t="s">
        <v>253</v>
      </c>
      <c r="J7613" s="9">
        <v>1</v>
      </c>
      <c r="K7613" s="9">
        <v>217</v>
      </c>
      <c r="L7613" s="9">
        <v>2026</v>
      </c>
      <c r="M7613" s="8" t="s">
        <v>42969</v>
      </c>
      <c r="N7613" s="8" t="s">
        <v>37</v>
      </c>
      <c r="O7613" s="8" t="s">
        <v>136</v>
      </c>
      <c r="P7613" s="6" t="s">
        <v>51</v>
      </c>
      <c r="Q7613" s="8" t="s">
        <v>52</v>
      </c>
      <c r="R7613" s="10" t="s">
        <v>42864</v>
      </c>
      <c r="S7613" s="11" t="s">
        <v>42865</v>
      </c>
      <c r="T7613" s="6"/>
      <c r="U7613" s="15" t="str">
        <f>HYPERLINK("https://media.infra-m.ru/2249/2249491/cover/2249491.jpg", "Обложка")</f>
        <v>Обложка</v>
      </c>
      <c r="V7613" s="8" t="s">
        <v>1069</v>
      </c>
      <c r="W7613" s="6"/>
      <c r="X7613" s="6"/>
      <c r="Y7613" s="6"/>
      <c r="Z7613" s="6"/>
      <c r="AA7613" s="6" t="s">
        <v>2182</v>
      </c>
      <c r="AB7613" s="8"/>
      <c r="AC7613" s="27">
        <v>9785369019931</v>
      </c>
    </row>
    <row r="7614" spans="1:29" s="4" customFormat="1" ht="51.9" customHeight="1" x14ac:dyDescent="0.2">
      <c r="A7614" s="5">
        <v>0</v>
      </c>
      <c r="B7614" s="6" t="s">
        <v>42970</v>
      </c>
      <c r="C7614" s="7">
        <v>2212.8000000000002</v>
      </c>
      <c r="D7614" s="8" t="s">
        <v>42971</v>
      </c>
      <c r="E7614" s="8" t="s">
        <v>42888</v>
      </c>
      <c r="F7614" s="8" t="s">
        <v>42972</v>
      </c>
      <c r="G7614" s="6" t="s">
        <v>118</v>
      </c>
      <c r="H7614" s="6" t="s">
        <v>34</v>
      </c>
      <c r="I7614" s="8" t="s">
        <v>2025</v>
      </c>
      <c r="J7614" s="9">
        <v>1</v>
      </c>
      <c r="K7614" s="9">
        <v>365</v>
      </c>
      <c r="L7614" s="9">
        <v>2025</v>
      </c>
      <c r="M7614" s="8" t="s">
        <v>42973</v>
      </c>
      <c r="N7614" s="8" t="s">
        <v>37</v>
      </c>
      <c r="O7614" s="8" t="s">
        <v>136</v>
      </c>
      <c r="P7614" s="6" t="s">
        <v>51</v>
      </c>
      <c r="Q7614" s="8" t="s">
        <v>52</v>
      </c>
      <c r="R7614" s="10" t="s">
        <v>19923</v>
      </c>
      <c r="S7614" s="11"/>
      <c r="T7614" s="6"/>
      <c r="U7614" s="15" t="str">
        <f>HYPERLINK("https://media.infra-m.ru/2177/2177793/cover/2177793.jpg", "Обложка")</f>
        <v>Обложка</v>
      </c>
      <c r="V7614" s="8" t="s">
        <v>247</v>
      </c>
      <c r="W7614" s="6"/>
      <c r="X7614" s="6"/>
      <c r="Y7614" s="6"/>
      <c r="Z7614" s="6"/>
      <c r="AA7614" s="6" t="s">
        <v>115</v>
      </c>
      <c r="AB7614" s="8"/>
      <c r="AC7614" s="27">
        <v>9785160140698</v>
      </c>
    </row>
    <row r="7615" spans="1:29" s="4" customFormat="1" ht="42" customHeight="1" x14ac:dyDescent="0.2">
      <c r="A7615" s="5">
        <v>0</v>
      </c>
      <c r="B7615" s="6" t="s">
        <v>42974</v>
      </c>
      <c r="C7615" s="7">
        <v>2208</v>
      </c>
      <c r="D7615" s="8" t="s">
        <v>42975</v>
      </c>
      <c r="E7615" s="8" t="s">
        <v>42888</v>
      </c>
      <c r="F7615" s="8" t="s">
        <v>42972</v>
      </c>
      <c r="G7615" s="6" t="s">
        <v>60</v>
      </c>
      <c r="H7615" s="6" t="s">
        <v>34</v>
      </c>
      <c r="I7615" s="8" t="s">
        <v>263</v>
      </c>
      <c r="J7615" s="9">
        <v>1</v>
      </c>
      <c r="K7615" s="9">
        <v>365</v>
      </c>
      <c r="L7615" s="9">
        <v>2025</v>
      </c>
      <c r="M7615" s="8" t="s">
        <v>42976</v>
      </c>
      <c r="N7615" s="8" t="s">
        <v>37</v>
      </c>
      <c r="O7615" s="8" t="s">
        <v>136</v>
      </c>
      <c r="P7615" s="6" t="s">
        <v>51</v>
      </c>
      <c r="Q7615" s="8" t="s">
        <v>265</v>
      </c>
      <c r="R7615" s="10" t="s">
        <v>479</v>
      </c>
      <c r="S7615" s="11"/>
      <c r="T7615" s="6"/>
      <c r="U7615" s="15" t="str">
        <f>HYPERLINK("https://media.infra-m.ru/2175/2175116/cover/2175116.jpg", "Обложка")</f>
        <v>Обложка</v>
      </c>
      <c r="V7615" s="8" t="s">
        <v>247</v>
      </c>
      <c r="W7615" s="6"/>
      <c r="X7615" s="6"/>
      <c r="Y7615" s="6"/>
      <c r="Z7615" s="6" t="s">
        <v>267</v>
      </c>
      <c r="AA7615" s="6" t="s">
        <v>68</v>
      </c>
      <c r="AB7615" s="8"/>
      <c r="AC7615" s="27">
        <v>9785160204673</v>
      </c>
    </row>
    <row r="7616" spans="1:29" s="4" customFormat="1" ht="42" customHeight="1" x14ac:dyDescent="0.2">
      <c r="A7616" s="5">
        <v>0</v>
      </c>
      <c r="B7616" s="6" t="s">
        <v>42977</v>
      </c>
      <c r="C7616" s="7">
        <v>2028</v>
      </c>
      <c r="D7616" s="8" t="s">
        <v>42978</v>
      </c>
      <c r="E7616" s="8" t="s">
        <v>42888</v>
      </c>
      <c r="F7616" s="8" t="s">
        <v>42979</v>
      </c>
      <c r="G7616" s="6" t="s">
        <v>60</v>
      </c>
      <c r="H7616" s="6" t="s">
        <v>34</v>
      </c>
      <c r="I7616" s="8" t="s">
        <v>263</v>
      </c>
      <c r="J7616" s="9">
        <v>1</v>
      </c>
      <c r="K7616" s="9">
        <v>343</v>
      </c>
      <c r="L7616" s="9">
        <v>2024</v>
      </c>
      <c r="M7616" s="8" t="s">
        <v>42980</v>
      </c>
      <c r="N7616" s="8" t="s">
        <v>37</v>
      </c>
      <c r="O7616" s="8" t="s">
        <v>136</v>
      </c>
      <c r="P7616" s="6" t="s">
        <v>51</v>
      </c>
      <c r="Q7616" s="8" t="s">
        <v>265</v>
      </c>
      <c r="R7616" s="10" t="s">
        <v>479</v>
      </c>
      <c r="S7616" s="11"/>
      <c r="T7616" s="6"/>
      <c r="U7616" s="15" t="str">
        <f>HYPERLINK("https://media.infra-m.ru/1865/1865712/cover/1865712.jpg", "Обложка")</f>
        <v>Обложка</v>
      </c>
      <c r="V7616" s="8" t="s">
        <v>1192</v>
      </c>
      <c r="W7616" s="6"/>
      <c r="X7616" s="6"/>
      <c r="Y7616" s="6"/>
      <c r="Z7616" s="6"/>
      <c r="AA7616" s="6" t="s">
        <v>76</v>
      </c>
      <c r="AB7616" s="8"/>
      <c r="AC7616" s="27">
        <v>9785160176659</v>
      </c>
    </row>
    <row r="7617" spans="1:29" s="4" customFormat="1" ht="51.9" customHeight="1" x14ac:dyDescent="0.2">
      <c r="A7617" s="5">
        <v>0</v>
      </c>
      <c r="B7617" s="6" t="s">
        <v>42981</v>
      </c>
      <c r="C7617" s="7">
        <v>2992.8</v>
      </c>
      <c r="D7617" s="8" t="s">
        <v>42982</v>
      </c>
      <c r="E7617" s="8" t="s">
        <v>42856</v>
      </c>
      <c r="F7617" s="8" t="s">
        <v>15020</v>
      </c>
      <c r="G7617" s="6" t="s">
        <v>118</v>
      </c>
      <c r="H7617" s="6" t="s">
        <v>134</v>
      </c>
      <c r="I7617" s="8"/>
      <c r="J7617" s="9">
        <v>1</v>
      </c>
      <c r="K7617" s="9">
        <v>480</v>
      </c>
      <c r="L7617" s="9">
        <v>2026</v>
      </c>
      <c r="M7617" s="8" t="s">
        <v>42983</v>
      </c>
      <c r="N7617" s="8" t="s">
        <v>37</v>
      </c>
      <c r="O7617" s="8" t="s">
        <v>136</v>
      </c>
      <c r="P7617" s="6" t="s">
        <v>51</v>
      </c>
      <c r="Q7617" s="8" t="s">
        <v>52</v>
      </c>
      <c r="R7617" s="10" t="s">
        <v>42847</v>
      </c>
      <c r="S7617" s="11"/>
      <c r="T7617" s="6"/>
      <c r="U7617" s="15" t="str">
        <f>HYPERLINK("https://media.infra-m.ru/2220/2220733/cover/2220733.jpg", "Обложка")</f>
        <v>Обложка</v>
      </c>
      <c r="V7617" s="8" t="s">
        <v>546</v>
      </c>
      <c r="W7617" s="6"/>
      <c r="X7617" s="6"/>
      <c r="Y7617" s="6"/>
      <c r="Z7617" s="6"/>
      <c r="AA7617" s="6" t="s">
        <v>1031</v>
      </c>
      <c r="AB7617" s="8"/>
      <c r="AC7617" s="27">
        <v>9785917688695</v>
      </c>
    </row>
    <row r="7618" spans="1:29" s="4" customFormat="1" ht="51.9" customHeight="1" x14ac:dyDescent="0.2">
      <c r="A7618" s="5">
        <v>0</v>
      </c>
      <c r="B7618" s="6" t="s">
        <v>42984</v>
      </c>
      <c r="C7618" s="7">
        <v>3172.8</v>
      </c>
      <c r="D7618" s="8" t="s">
        <v>42985</v>
      </c>
      <c r="E7618" s="8" t="s">
        <v>42856</v>
      </c>
      <c r="F7618" s="8" t="s">
        <v>42986</v>
      </c>
      <c r="G7618" s="6" t="s">
        <v>118</v>
      </c>
      <c r="H7618" s="6" t="s">
        <v>134</v>
      </c>
      <c r="I7618" s="8"/>
      <c r="J7618" s="9">
        <v>1</v>
      </c>
      <c r="K7618" s="9">
        <v>560</v>
      </c>
      <c r="L7618" s="9">
        <v>2025</v>
      </c>
      <c r="M7618" s="8" t="s">
        <v>42987</v>
      </c>
      <c r="N7618" s="8" t="s">
        <v>37</v>
      </c>
      <c r="O7618" s="8" t="s">
        <v>136</v>
      </c>
      <c r="P7618" s="6" t="s">
        <v>306</v>
      </c>
      <c r="Q7618" s="8" t="s">
        <v>52</v>
      </c>
      <c r="R7618" s="10" t="s">
        <v>4109</v>
      </c>
      <c r="S7618" s="11"/>
      <c r="T7618" s="6"/>
      <c r="U7618" s="15" t="str">
        <f>HYPERLINK("https://media.infra-m.ru/2170/2170382/cover/2170382.jpg", "Обложка")</f>
        <v>Обложка</v>
      </c>
      <c r="V7618" s="8" t="s">
        <v>1647</v>
      </c>
      <c r="W7618" s="6"/>
      <c r="X7618" s="6"/>
      <c r="Y7618" s="6"/>
      <c r="Z7618" s="6"/>
      <c r="AA7618" s="6" t="s">
        <v>1031</v>
      </c>
      <c r="AB7618" s="8"/>
      <c r="AC7618" s="27">
        <v>9785917689456</v>
      </c>
    </row>
    <row r="7619" spans="1:29" s="4" customFormat="1" ht="51.9" customHeight="1" x14ac:dyDescent="0.2">
      <c r="A7619" s="5">
        <v>0</v>
      </c>
      <c r="B7619" s="6" t="s">
        <v>42988</v>
      </c>
      <c r="C7619" s="7">
        <v>1800</v>
      </c>
      <c r="D7619" s="8" t="s">
        <v>42989</v>
      </c>
      <c r="E7619" s="8" t="s">
        <v>42964</v>
      </c>
      <c r="F7619" s="8" t="s">
        <v>42986</v>
      </c>
      <c r="G7619" s="6" t="s">
        <v>118</v>
      </c>
      <c r="H7619" s="6" t="s">
        <v>134</v>
      </c>
      <c r="I7619" s="8"/>
      <c r="J7619" s="9">
        <v>1</v>
      </c>
      <c r="K7619" s="9">
        <v>576</v>
      </c>
      <c r="L7619" s="9">
        <v>2017</v>
      </c>
      <c r="M7619" s="8" t="s">
        <v>42990</v>
      </c>
      <c r="N7619" s="8" t="s">
        <v>37</v>
      </c>
      <c r="O7619" s="8" t="s">
        <v>136</v>
      </c>
      <c r="P7619" s="6" t="s">
        <v>51</v>
      </c>
      <c r="Q7619" s="8" t="s">
        <v>52</v>
      </c>
      <c r="R7619" s="10" t="s">
        <v>4109</v>
      </c>
      <c r="S7619" s="11"/>
      <c r="T7619" s="6"/>
      <c r="U7619" s="15" t="str">
        <f>HYPERLINK("https://media.infra-m.ru/0953/0953234/cover/953234.jpg", "Обложка")</f>
        <v>Обложка</v>
      </c>
      <c r="V7619" s="8" t="s">
        <v>1647</v>
      </c>
      <c r="W7619" s="6"/>
      <c r="X7619" s="6"/>
      <c r="Y7619" s="6"/>
      <c r="Z7619" s="6"/>
      <c r="AA7619" s="6" t="s">
        <v>6033</v>
      </c>
      <c r="AB7619" s="8"/>
      <c r="AC7619" s="27">
        <v>9785917689067</v>
      </c>
    </row>
    <row r="7620" spans="1:29" s="4" customFormat="1" ht="51.9" customHeight="1" x14ac:dyDescent="0.2">
      <c r="A7620" s="5">
        <v>0</v>
      </c>
      <c r="B7620" s="6" t="s">
        <v>42991</v>
      </c>
      <c r="C7620" s="13">
        <v>645.6</v>
      </c>
      <c r="D7620" s="8" t="s">
        <v>42992</v>
      </c>
      <c r="E7620" s="8" t="s">
        <v>42856</v>
      </c>
      <c r="F7620" s="8" t="s">
        <v>42993</v>
      </c>
      <c r="G7620" s="6" t="s">
        <v>33</v>
      </c>
      <c r="H7620" s="6" t="s">
        <v>313</v>
      </c>
      <c r="I7620" s="8" t="s">
        <v>253</v>
      </c>
      <c r="J7620" s="9">
        <v>1</v>
      </c>
      <c r="K7620" s="9">
        <v>126</v>
      </c>
      <c r="L7620" s="9">
        <v>2026</v>
      </c>
      <c r="M7620" s="8" t="s">
        <v>42994</v>
      </c>
      <c r="N7620" s="8" t="s">
        <v>37</v>
      </c>
      <c r="O7620" s="8" t="s">
        <v>136</v>
      </c>
      <c r="P7620" s="6" t="s">
        <v>51</v>
      </c>
      <c r="Q7620" s="8" t="s">
        <v>52</v>
      </c>
      <c r="R7620" s="10" t="s">
        <v>10936</v>
      </c>
      <c r="S7620" s="11"/>
      <c r="T7620" s="6"/>
      <c r="U7620" s="15" t="str">
        <f>HYPERLINK("https://media.infra-m.ru/2249/2249103/cover/2249103.jpg", "Обложка")</f>
        <v>Обложка</v>
      </c>
      <c r="V7620" s="8" t="s">
        <v>1184</v>
      </c>
      <c r="W7620" s="6"/>
      <c r="X7620" s="6"/>
      <c r="Y7620" s="6"/>
      <c r="Z7620" s="6"/>
      <c r="AA7620" s="6" t="s">
        <v>2311</v>
      </c>
      <c r="AB7620" s="8"/>
      <c r="AC7620" s="27">
        <v>9785369016640</v>
      </c>
    </row>
    <row r="7621" spans="1:29" s="4" customFormat="1" ht="51.9" customHeight="1" x14ac:dyDescent="0.2">
      <c r="A7621" s="5">
        <v>0</v>
      </c>
      <c r="B7621" s="6" t="s">
        <v>42995</v>
      </c>
      <c r="C7621" s="7">
        <v>2872.8</v>
      </c>
      <c r="D7621" s="8" t="s">
        <v>42996</v>
      </c>
      <c r="E7621" s="8" t="s">
        <v>42856</v>
      </c>
      <c r="F7621" s="8" t="s">
        <v>42845</v>
      </c>
      <c r="G7621" s="6" t="s">
        <v>60</v>
      </c>
      <c r="H7621" s="6" t="s">
        <v>313</v>
      </c>
      <c r="I7621" s="8" t="s">
        <v>253</v>
      </c>
      <c r="J7621" s="9">
        <v>1</v>
      </c>
      <c r="K7621" s="9">
        <v>526</v>
      </c>
      <c r="L7621" s="9">
        <v>2024</v>
      </c>
      <c r="M7621" s="8" t="s">
        <v>42997</v>
      </c>
      <c r="N7621" s="8" t="s">
        <v>37</v>
      </c>
      <c r="O7621" s="8" t="s">
        <v>136</v>
      </c>
      <c r="P7621" s="6" t="s">
        <v>51</v>
      </c>
      <c r="Q7621" s="8" t="s">
        <v>52</v>
      </c>
      <c r="R7621" s="10" t="s">
        <v>1068</v>
      </c>
      <c r="S7621" s="11"/>
      <c r="T7621" s="6"/>
      <c r="U7621" s="15" t="str">
        <f>HYPERLINK("https://media.infra-m.ru/2132/2132590/cover/2132590.jpg", "Обложка")</f>
        <v>Обложка</v>
      </c>
      <c r="V7621" s="8" t="s">
        <v>1425</v>
      </c>
      <c r="W7621" s="6"/>
      <c r="X7621" s="6"/>
      <c r="Y7621" s="6"/>
      <c r="Z7621" s="6"/>
      <c r="AA7621" s="6" t="s">
        <v>1123</v>
      </c>
      <c r="AB7621" s="8"/>
      <c r="AC7621" s="27">
        <v>9785369014189</v>
      </c>
    </row>
    <row r="7622" spans="1:29" s="4" customFormat="1" ht="51.9" customHeight="1" x14ac:dyDescent="0.2">
      <c r="A7622" s="5">
        <v>0</v>
      </c>
      <c r="B7622" s="6" t="s">
        <v>42998</v>
      </c>
      <c r="C7622" s="7">
        <v>2856</v>
      </c>
      <c r="D7622" s="8" t="s">
        <v>42999</v>
      </c>
      <c r="E7622" s="8" t="s">
        <v>43000</v>
      </c>
      <c r="F7622" s="8" t="s">
        <v>654</v>
      </c>
      <c r="G7622" s="6" t="s">
        <v>60</v>
      </c>
      <c r="H7622" s="6" t="s">
        <v>34</v>
      </c>
      <c r="I7622" s="8" t="s">
        <v>504</v>
      </c>
      <c r="J7622" s="9">
        <v>1</v>
      </c>
      <c r="K7622" s="9">
        <v>529</v>
      </c>
      <c r="L7622" s="9">
        <v>2023</v>
      </c>
      <c r="M7622" s="8" t="s">
        <v>43001</v>
      </c>
      <c r="N7622" s="8" t="s">
        <v>37</v>
      </c>
      <c r="O7622" s="8" t="s">
        <v>280</v>
      </c>
      <c r="P7622" s="6" t="s">
        <v>306</v>
      </c>
      <c r="Q7622" s="8" t="s">
        <v>500</v>
      </c>
      <c r="R7622" s="10" t="s">
        <v>43002</v>
      </c>
      <c r="S7622" s="11" t="s">
        <v>43003</v>
      </c>
      <c r="T7622" s="6"/>
      <c r="U7622" s="15" t="str">
        <f>HYPERLINK("https://media.infra-m.ru/1904/1904577/cover/1904577.jpg", "Обложка")</f>
        <v>Обложка</v>
      </c>
      <c r="V7622" s="8" t="s">
        <v>657</v>
      </c>
      <c r="W7622" s="6"/>
      <c r="X7622" s="6"/>
      <c r="Y7622" s="6"/>
      <c r="Z7622" s="6"/>
      <c r="AA7622" s="6" t="s">
        <v>115</v>
      </c>
      <c r="AB7622" s="8"/>
      <c r="AC7622" s="27">
        <v>9785160145921</v>
      </c>
    </row>
    <row r="7623" spans="1:29" s="4" customFormat="1" ht="51.9" customHeight="1" x14ac:dyDescent="0.2">
      <c r="A7623" s="5">
        <v>0</v>
      </c>
      <c r="B7623" s="6" t="s">
        <v>43004</v>
      </c>
      <c r="C7623" s="7">
        <v>3936</v>
      </c>
      <c r="D7623" s="8" t="s">
        <v>43005</v>
      </c>
      <c r="E7623" s="8" t="s">
        <v>43006</v>
      </c>
      <c r="F7623" s="8" t="s">
        <v>654</v>
      </c>
      <c r="G7623" s="6" t="s">
        <v>60</v>
      </c>
      <c r="H7623" s="6" t="s">
        <v>34</v>
      </c>
      <c r="I7623" s="8" t="s">
        <v>253</v>
      </c>
      <c r="J7623" s="9">
        <v>1</v>
      </c>
      <c r="K7623" s="9">
        <v>566</v>
      </c>
      <c r="L7623" s="9">
        <v>2026</v>
      </c>
      <c r="M7623" s="8" t="s">
        <v>43007</v>
      </c>
      <c r="N7623" s="8" t="s">
        <v>37</v>
      </c>
      <c r="O7623" s="8" t="s">
        <v>280</v>
      </c>
      <c r="P7623" s="6" t="s">
        <v>306</v>
      </c>
      <c r="Q7623" s="8" t="s">
        <v>500</v>
      </c>
      <c r="R7623" s="10" t="s">
        <v>43002</v>
      </c>
      <c r="S7623" s="11" t="s">
        <v>8917</v>
      </c>
      <c r="T7623" s="6"/>
      <c r="U7623" s="15" t="str">
        <f>HYPERLINK("https://media.infra-m.ru/2260/2260399/cover/2260399.jpg", "Обложка")</f>
        <v>Обложка</v>
      </c>
      <c r="V7623" s="8" t="s">
        <v>657</v>
      </c>
      <c r="W7623" s="6"/>
      <c r="X7623" s="6"/>
      <c r="Y7623" s="6"/>
      <c r="Z7623" s="6"/>
      <c r="AA7623" s="6" t="s">
        <v>106</v>
      </c>
      <c r="AB7623" s="8"/>
      <c r="AC7623" s="27">
        <v>9785160222806</v>
      </c>
    </row>
    <row r="7624" spans="1:29" s="4" customFormat="1" ht="51.9" customHeight="1" x14ac:dyDescent="0.2">
      <c r="A7624" s="5">
        <v>0</v>
      </c>
      <c r="B7624" s="6" t="s">
        <v>43008</v>
      </c>
      <c r="C7624" s="7">
        <v>1404</v>
      </c>
      <c r="D7624" s="8" t="s">
        <v>43009</v>
      </c>
      <c r="E7624" s="8" t="s">
        <v>43010</v>
      </c>
      <c r="F7624" s="8" t="s">
        <v>43011</v>
      </c>
      <c r="G7624" s="6" t="s">
        <v>118</v>
      </c>
      <c r="H7624" s="6" t="s">
        <v>34</v>
      </c>
      <c r="I7624" s="8" t="s">
        <v>5350</v>
      </c>
      <c r="J7624" s="9">
        <v>1</v>
      </c>
      <c r="K7624" s="9">
        <v>253</v>
      </c>
      <c r="L7624" s="9">
        <v>2024</v>
      </c>
      <c r="M7624" s="8" t="s">
        <v>43012</v>
      </c>
      <c r="N7624" s="8" t="s">
        <v>243</v>
      </c>
      <c r="O7624" s="8" t="s">
        <v>758</v>
      </c>
      <c r="P7624" s="6" t="s">
        <v>306</v>
      </c>
      <c r="Q7624" s="8" t="s">
        <v>377</v>
      </c>
      <c r="R7624" s="10" t="s">
        <v>43013</v>
      </c>
      <c r="S7624" s="11" t="s">
        <v>43014</v>
      </c>
      <c r="T7624" s="6"/>
      <c r="U7624" s="15" t="str">
        <f>HYPERLINK("https://media.infra-m.ru/2099/2099041/cover/2099041.jpg", "Обложка")</f>
        <v>Обложка</v>
      </c>
      <c r="V7624" s="8" t="s">
        <v>18339</v>
      </c>
      <c r="W7624" s="6"/>
      <c r="X7624" s="6"/>
      <c r="Y7624" s="6"/>
      <c r="Z7624" s="6"/>
      <c r="AA7624" s="6" t="s">
        <v>1256</v>
      </c>
      <c r="AB7624" s="8"/>
      <c r="AC7624" s="27">
        <v>9785160158105</v>
      </c>
    </row>
    <row r="7625" spans="1:29" s="4" customFormat="1" ht="44.1" customHeight="1" x14ac:dyDescent="0.2">
      <c r="A7625" s="5">
        <v>0</v>
      </c>
      <c r="B7625" s="6" t="s">
        <v>43015</v>
      </c>
      <c r="C7625" s="13">
        <v>804</v>
      </c>
      <c r="D7625" s="8" t="s">
        <v>43016</v>
      </c>
      <c r="E7625" s="8" t="s">
        <v>43017</v>
      </c>
      <c r="F7625" s="8" t="s">
        <v>43018</v>
      </c>
      <c r="G7625" s="6" t="s">
        <v>60</v>
      </c>
      <c r="H7625" s="6" t="s">
        <v>34</v>
      </c>
      <c r="I7625" s="8" t="s">
        <v>1248</v>
      </c>
      <c r="J7625" s="9">
        <v>1</v>
      </c>
      <c r="K7625" s="9">
        <v>132</v>
      </c>
      <c r="L7625" s="9">
        <v>2024</v>
      </c>
      <c r="M7625" s="8" t="s">
        <v>43019</v>
      </c>
      <c r="N7625" s="8" t="s">
        <v>243</v>
      </c>
      <c r="O7625" s="8" t="s">
        <v>758</v>
      </c>
      <c r="P7625" s="6" t="s">
        <v>51</v>
      </c>
      <c r="Q7625" s="8" t="s">
        <v>65</v>
      </c>
      <c r="R7625" s="10" t="s">
        <v>43020</v>
      </c>
      <c r="S7625" s="11"/>
      <c r="T7625" s="6"/>
      <c r="U7625" s="15" t="str">
        <f>HYPERLINK("https://media.infra-m.ru/2130/2130480/cover/2130480.jpg", "Обложка")</f>
        <v>Обложка</v>
      </c>
      <c r="V7625" s="8" t="s">
        <v>1083</v>
      </c>
      <c r="W7625" s="6"/>
      <c r="X7625" s="6"/>
      <c r="Y7625" s="6"/>
      <c r="Z7625" s="6"/>
      <c r="AA7625" s="6" t="s">
        <v>76</v>
      </c>
      <c r="AB7625" s="8"/>
      <c r="AC7625" s="27">
        <v>9785160195919</v>
      </c>
    </row>
    <row r="7626" spans="1:29" s="4" customFormat="1" ht="44.1" customHeight="1" x14ac:dyDescent="0.2">
      <c r="A7626" s="5">
        <v>0</v>
      </c>
      <c r="B7626" s="6" t="s">
        <v>43021</v>
      </c>
      <c r="C7626" s="7">
        <v>1324.8</v>
      </c>
      <c r="D7626" s="8" t="s">
        <v>43022</v>
      </c>
      <c r="E7626" s="8" t="s">
        <v>43023</v>
      </c>
      <c r="F7626" s="8" t="s">
        <v>43024</v>
      </c>
      <c r="G7626" s="6" t="s">
        <v>118</v>
      </c>
      <c r="H7626" s="6" t="s">
        <v>34</v>
      </c>
      <c r="I7626" s="8" t="s">
        <v>954</v>
      </c>
      <c r="J7626" s="9">
        <v>1</v>
      </c>
      <c r="K7626" s="9">
        <v>211</v>
      </c>
      <c r="L7626" s="9">
        <v>2026</v>
      </c>
      <c r="M7626" s="8" t="s">
        <v>43025</v>
      </c>
      <c r="N7626" s="8" t="s">
        <v>37</v>
      </c>
      <c r="O7626" s="8" t="s">
        <v>290</v>
      </c>
      <c r="P7626" s="6" t="s">
        <v>51</v>
      </c>
      <c r="Q7626" s="8" t="s">
        <v>65</v>
      </c>
      <c r="R7626" s="10" t="s">
        <v>43026</v>
      </c>
      <c r="S7626" s="11"/>
      <c r="T7626" s="6"/>
      <c r="U7626" s="15" t="str">
        <f>HYPERLINK("https://media.infra-m.ru/2222/2222230/cover/2222230.jpg", "Обложка")</f>
        <v>Обложка</v>
      </c>
      <c r="V7626" s="8" t="s">
        <v>958</v>
      </c>
      <c r="W7626" s="6"/>
      <c r="X7626" s="6"/>
      <c r="Y7626" s="6"/>
      <c r="Z7626" s="6"/>
      <c r="AA7626" s="6" t="s">
        <v>115</v>
      </c>
      <c r="AB7626" s="8"/>
      <c r="AC7626" s="27">
        <v>9785160148229</v>
      </c>
    </row>
    <row r="7627" spans="1:29" s="4" customFormat="1" ht="51.9" customHeight="1" x14ac:dyDescent="0.2">
      <c r="A7627" s="5">
        <v>0</v>
      </c>
      <c r="B7627" s="6" t="s">
        <v>43027</v>
      </c>
      <c r="C7627" s="13">
        <v>996</v>
      </c>
      <c r="D7627" s="8" t="s">
        <v>43028</v>
      </c>
      <c r="E7627" s="8" t="s">
        <v>43029</v>
      </c>
      <c r="F7627" s="8" t="s">
        <v>43030</v>
      </c>
      <c r="G7627" s="6" t="s">
        <v>33</v>
      </c>
      <c r="H7627" s="6" t="s">
        <v>34</v>
      </c>
      <c r="I7627" s="8" t="s">
        <v>253</v>
      </c>
      <c r="J7627" s="9">
        <v>1</v>
      </c>
      <c r="K7627" s="9">
        <v>146</v>
      </c>
      <c r="L7627" s="9">
        <v>2026</v>
      </c>
      <c r="M7627" s="8" t="s">
        <v>43031</v>
      </c>
      <c r="N7627" s="8" t="s">
        <v>93</v>
      </c>
      <c r="O7627" s="8" t="s">
        <v>94</v>
      </c>
      <c r="P7627" s="6" t="s">
        <v>306</v>
      </c>
      <c r="Q7627" s="8" t="s">
        <v>52</v>
      </c>
      <c r="R7627" s="10" t="s">
        <v>2486</v>
      </c>
      <c r="S7627" s="11" t="s">
        <v>2487</v>
      </c>
      <c r="T7627" s="6"/>
      <c r="U7627" s="15" t="str">
        <f>HYPERLINK("https://media.infra-m.ru/2217/2217974/cover/2217974.jpg", "Обложка")</f>
        <v>Обложка</v>
      </c>
      <c r="V7627" s="8" t="s">
        <v>1599</v>
      </c>
      <c r="W7627" s="6"/>
      <c r="X7627" s="6"/>
      <c r="Y7627" s="6"/>
      <c r="Z7627" s="6"/>
      <c r="AA7627" s="6" t="s">
        <v>779</v>
      </c>
      <c r="AB7627" s="8"/>
      <c r="AC7627" s="27">
        <v>9785160199443</v>
      </c>
    </row>
    <row r="7628" spans="1:29" s="4" customFormat="1" ht="42" customHeight="1" x14ac:dyDescent="0.2">
      <c r="A7628" s="5">
        <v>0</v>
      </c>
      <c r="B7628" s="6" t="s">
        <v>43032</v>
      </c>
      <c r="C7628" s="13">
        <v>996</v>
      </c>
      <c r="D7628" s="8" t="s">
        <v>43033</v>
      </c>
      <c r="E7628" s="8" t="s">
        <v>43029</v>
      </c>
      <c r="F7628" s="8" t="s">
        <v>43030</v>
      </c>
      <c r="G7628" s="6" t="s">
        <v>33</v>
      </c>
      <c r="H7628" s="6" t="s">
        <v>34</v>
      </c>
      <c r="I7628" s="8" t="s">
        <v>263</v>
      </c>
      <c r="J7628" s="9">
        <v>1</v>
      </c>
      <c r="K7628" s="9">
        <v>146</v>
      </c>
      <c r="L7628" s="9">
        <v>2026</v>
      </c>
      <c r="M7628" s="8" t="s">
        <v>43034</v>
      </c>
      <c r="N7628" s="8" t="s">
        <v>93</v>
      </c>
      <c r="O7628" s="8" t="s">
        <v>94</v>
      </c>
      <c r="P7628" s="6" t="s">
        <v>306</v>
      </c>
      <c r="Q7628" s="8" t="s">
        <v>265</v>
      </c>
      <c r="R7628" s="10" t="s">
        <v>25269</v>
      </c>
      <c r="S7628" s="11"/>
      <c r="T7628" s="6"/>
      <c r="U7628" s="15" t="str">
        <f>HYPERLINK("https://media.infra-m.ru/2214/2214763/cover/2214763.jpg", "Обложка")</f>
        <v>Обложка</v>
      </c>
      <c r="V7628" s="8" t="s">
        <v>1599</v>
      </c>
      <c r="W7628" s="6"/>
      <c r="X7628" s="6"/>
      <c r="Y7628" s="6"/>
      <c r="Z7628" s="6" t="s">
        <v>267</v>
      </c>
      <c r="AA7628" s="6" t="s">
        <v>68</v>
      </c>
      <c r="AB7628" s="8"/>
      <c r="AC7628" s="27">
        <v>9785160202969</v>
      </c>
    </row>
    <row r="7629" spans="1:29" s="4" customFormat="1" ht="51.9" customHeight="1" x14ac:dyDescent="0.2">
      <c r="A7629" s="5">
        <v>0</v>
      </c>
      <c r="B7629" s="6" t="s">
        <v>43035</v>
      </c>
      <c r="C7629" s="7">
        <v>1480.8</v>
      </c>
      <c r="D7629" s="8" t="s">
        <v>43036</v>
      </c>
      <c r="E7629" s="8" t="s">
        <v>43037</v>
      </c>
      <c r="F7629" s="8" t="s">
        <v>43038</v>
      </c>
      <c r="G7629" s="6" t="s">
        <v>118</v>
      </c>
      <c r="H7629" s="6" t="s">
        <v>34</v>
      </c>
      <c r="I7629" s="8" t="s">
        <v>271</v>
      </c>
      <c r="J7629" s="9">
        <v>1</v>
      </c>
      <c r="K7629" s="9">
        <v>237</v>
      </c>
      <c r="L7629" s="9">
        <v>2026</v>
      </c>
      <c r="M7629" s="8" t="s">
        <v>43039</v>
      </c>
      <c r="N7629" s="8" t="s">
        <v>93</v>
      </c>
      <c r="O7629" s="8" t="s">
        <v>94</v>
      </c>
      <c r="P7629" s="6" t="s">
        <v>306</v>
      </c>
      <c r="Q7629" s="8" t="s">
        <v>52</v>
      </c>
      <c r="R7629" s="10" t="s">
        <v>9352</v>
      </c>
      <c r="S7629" s="11" t="s">
        <v>43040</v>
      </c>
      <c r="T7629" s="6" t="s">
        <v>97</v>
      </c>
      <c r="U7629" s="15" t="str">
        <f>HYPERLINK("https://media.infra-m.ru/2221/2221569/cover/2221569.jpg", "Обложка")</f>
        <v>Обложка</v>
      </c>
      <c r="V7629" s="8" t="s">
        <v>1599</v>
      </c>
      <c r="W7629" s="6"/>
      <c r="X7629" s="6"/>
      <c r="Y7629" s="6"/>
      <c r="Z7629" s="6"/>
      <c r="AA7629" s="6" t="s">
        <v>115</v>
      </c>
      <c r="AB7629" s="8"/>
      <c r="AC7629" s="27">
        <v>9785160140681</v>
      </c>
    </row>
    <row r="7630" spans="1:29" s="4" customFormat="1" ht="51.9" customHeight="1" x14ac:dyDescent="0.2">
      <c r="A7630" s="5">
        <v>0</v>
      </c>
      <c r="B7630" s="6" t="s">
        <v>43041</v>
      </c>
      <c r="C7630" s="7">
        <v>1552.8</v>
      </c>
      <c r="D7630" s="8" t="s">
        <v>43042</v>
      </c>
      <c r="E7630" s="8" t="s">
        <v>43037</v>
      </c>
      <c r="F7630" s="8" t="s">
        <v>43038</v>
      </c>
      <c r="G7630" s="6" t="s">
        <v>118</v>
      </c>
      <c r="H7630" s="6" t="s">
        <v>34</v>
      </c>
      <c r="I7630" s="8" t="s">
        <v>263</v>
      </c>
      <c r="J7630" s="9">
        <v>1</v>
      </c>
      <c r="K7630" s="9">
        <v>236</v>
      </c>
      <c r="L7630" s="9">
        <v>2026</v>
      </c>
      <c r="M7630" s="8" t="s">
        <v>43043</v>
      </c>
      <c r="N7630" s="8" t="s">
        <v>93</v>
      </c>
      <c r="O7630" s="8" t="s">
        <v>94</v>
      </c>
      <c r="P7630" s="6" t="s">
        <v>306</v>
      </c>
      <c r="Q7630" s="8" t="s">
        <v>265</v>
      </c>
      <c r="R7630" s="10" t="s">
        <v>17001</v>
      </c>
      <c r="S7630" s="11" t="s">
        <v>43044</v>
      </c>
      <c r="T7630" s="6"/>
      <c r="U7630" s="15" t="str">
        <f>HYPERLINK("https://media.infra-m.ru/2233/2233654/cover/2233654.jpg", "Обложка")</f>
        <v>Обложка</v>
      </c>
      <c r="V7630" s="8" t="s">
        <v>1599</v>
      </c>
      <c r="W7630" s="6"/>
      <c r="X7630" s="6"/>
      <c r="Y7630" s="6"/>
      <c r="Z7630" s="6" t="s">
        <v>267</v>
      </c>
      <c r="AA7630" s="6" t="s">
        <v>1256</v>
      </c>
      <c r="AB7630" s="8"/>
      <c r="AC7630" s="27">
        <v>9785160161532</v>
      </c>
    </row>
    <row r="7631" spans="1:29" s="4" customFormat="1" ht="51.9" customHeight="1" x14ac:dyDescent="0.2">
      <c r="A7631" s="5">
        <v>0</v>
      </c>
      <c r="B7631" s="6" t="s">
        <v>43045</v>
      </c>
      <c r="C7631" s="7">
        <v>2752.8</v>
      </c>
      <c r="D7631" s="8" t="s">
        <v>43046</v>
      </c>
      <c r="E7631" s="8" t="s">
        <v>43047</v>
      </c>
      <c r="F7631" s="8" t="s">
        <v>43048</v>
      </c>
      <c r="G7631" s="6" t="s">
        <v>60</v>
      </c>
      <c r="H7631" s="6" t="s">
        <v>34</v>
      </c>
      <c r="I7631" s="8" t="s">
        <v>253</v>
      </c>
      <c r="J7631" s="9">
        <v>1</v>
      </c>
      <c r="K7631" s="9">
        <v>483</v>
      </c>
      <c r="L7631" s="9">
        <v>2025</v>
      </c>
      <c r="M7631" s="8" t="s">
        <v>43049</v>
      </c>
      <c r="N7631" s="8" t="s">
        <v>93</v>
      </c>
      <c r="O7631" s="8" t="s">
        <v>94</v>
      </c>
      <c r="P7631" s="6" t="s">
        <v>306</v>
      </c>
      <c r="Q7631" s="8" t="s">
        <v>65</v>
      </c>
      <c r="R7631" s="10" t="s">
        <v>5962</v>
      </c>
      <c r="S7631" s="11" t="s">
        <v>43050</v>
      </c>
      <c r="T7631" s="6"/>
      <c r="U7631" s="15" t="str">
        <f>HYPERLINK("https://media.infra-m.ru/2168/2168924/cover/2168924.jpg", "Обложка")</f>
        <v>Обложка</v>
      </c>
      <c r="V7631" s="8" t="s">
        <v>54</v>
      </c>
      <c r="W7631" s="6"/>
      <c r="X7631" s="6"/>
      <c r="Y7631" s="6"/>
      <c r="Z7631" s="6"/>
      <c r="AA7631" s="6" t="s">
        <v>1256</v>
      </c>
      <c r="AB7631" s="8"/>
      <c r="AC7631" s="27">
        <v>9785160186573</v>
      </c>
    </row>
    <row r="7632" spans="1:29" s="4" customFormat="1" ht="42" customHeight="1" x14ac:dyDescent="0.2">
      <c r="A7632" s="5">
        <v>0</v>
      </c>
      <c r="B7632" s="6" t="s">
        <v>43051</v>
      </c>
      <c r="C7632" s="7">
        <v>1692</v>
      </c>
      <c r="D7632" s="8" t="s">
        <v>43052</v>
      </c>
      <c r="E7632" s="8" t="s">
        <v>43053</v>
      </c>
      <c r="F7632" s="8" t="s">
        <v>43054</v>
      </c>
      <c r="G7632" s="6" t="s">
        <v>118</v>
      </c>
      <c r="H7632" s="6" t="s">
        <v>34</v>
      </c>
      <c r="I7632" s="8" t="s">
        <v>263</v>
      </c>
      <c r="J7632" s="9">
        <v>1</v>
      </c>
      <c r="K7632" s="9">
        <v>242</v>
      </c>
      <c r="L7632" s="9">
        <v>2027</v>
      </c>
      <c r="M7632" s="8" t="s">
        <v>43055</v>
      </c>
      <c r="N7632" s="8" t="s">
        <v>93</v>
      </c>
      <c r="O7632" s="8" t="s">
        <v>94</v>
      </c>
      <c r="P7632" s="6" t="s">
        <v>51</v>
      </c>
      <c r="Q7632" s="8" t="s">
        <v>265</v>
      </c>
      <c r="R7632" s="10" t="s">
        <v>25269</v>
      </c>
      <c r="S7632" s="11"/>
      <c r="T7632" s="6"/>
      <c r="U7632" s="15" t="str">
        <f>HYPERLINK("https://media.infra-m.ru/2268/2268363/cover/2268363.jpg", "Обложка")</f>
        <v>Обложка</v>
      </c>
      <c r="V7632" s="8" t="s">
        <v>36042</v>
      </c>
      <c r="W7632" s="6"/>
      <c r="X7632" s="6"/>
      <c r="Y7632" s="6"/>
      <c r="Z7632" s="6"/>
      <c r="AA7632" s="6" t="s">
        <v>76</v>
      </c>
      <c r="AB7632" s="8"/>
      <c r="AC7632" s="27">
        <v>9785160179025</v>
      </c>
    </row>
    <row r="7633" spans="1:29" s="4" customFormat="1" ht="44.1" customHeight="1" x14ac:dyDescent="0.2">
      <c r="A7633" s="5">
        <v>0</v>
      </c>
      <c r="B7633" s="6" t="s">
        <v>43056</v>
      </c>
      <c r="C7633" s="7">
        <v>2248.8000000000002</v>
      </c>
      <c r="D7633" s="8" t="s">
        <v>43057</v>
      </c>
      <c r="E7633" s="8" t="s">
        <v>43058</v>
      </c>
      <c r="F7633" s="8" t="s">
        <v>3083</v>
      </c>
      <c r="G7633" s="6" t="s">
        <v>60</v>
      </c>
      <c r="H7633" s="6" t="s">
        <v>34</v>
      </c>
      <c r="I7633" s="8" t="s">
        <v>35</v>
      </c>
      <c r="J7633" s="9">
        <v>1</v>
      </c>
      <c r="K7633" s="9">
        <v>323</v>
      </c>
      <c r="L7633" s="9">
        <v>2026</v>
      </c>
      <c r="M7633" s="8" t="s">
        <v>43059</v>
      </c>
      <c r="N7633" s="8" t="s">
        <v>63</v>
      </c>
      <c r="O7633" s="8" t="s">
        <v>64</v>
      </c>
      <c r="P7633" s="6" t="s">
        <v>39</v>
      </c>
      <c r="Q7633" s="8" t="s">
        <v>40</v>
      </c>
      <c r="R7633" s="10" t="s">
        <v>43060</v>
      </c>
      <c r="S7633" s="11"/>
      <c r="T7633" s="6"/>
      <c r="U7633" s="15" t="str">
        <f>HYPERLINK("https://media.infra-m.ru/2262/2262798/cover/2262798.jpg", "Обложка")</f>
        <v>Обложка</v>
      </c>
      <c r="V7633" s="8" t="s">
        <v>3087</v>
      </c>
      <c r="W7633" s="6"/>
      <c r="X7633" s="6"/>
      <c r="Y7633" s="6"/>
      <c r="Z7633" s="6"/>
      <c r="AA7633" s="6" t="s">
        <v>187</v>
      </c>
      <c r="AB7633" s="8" t="s">
        <v>308</v>
      </c>
      <c r="AC7633" s="27">
        <v>9785160208688</v>
      </c>
    </row>
    <row r="7634" spans="1:29" s="4" customFormat="1" ht="42" customHeight="1" x14ac:dyDescent="0.2">
      <c r="A7634" s="5">
        <v>0</v>
      </c>
      <c r="B7634" s="6" t="s">
        <v>43061</v>
      </c>
      <c r="C7634" s="7">
        <v>1036.8</v>
      </c>
      <c r="D7634" s="8" t="s">
        <v>43062</v>
      </c>
      <c r="E7634" s="8" t="s">
        <v>43063</v>
      </c>
      <c r="F7634" s="8" t="s">
        <v>43064</v>
      </c>
      <c r="G7634" s="6" t="s">
        <v>118</v>
      </c>
      <c r="H7634" s="6" t="s">
        <v>313</v>
      </c>
      <c r="I7634" s="8" t="s">
        <v>253</v>
      </c>
      <c r="J7634" s="9">
        <v>1</v>
      </c>
      <c r="K7634" s="9">
        <v>166</v>
      </c>
      <c r="L7634" s="9">
        <v>2025</v>
      </c>
      <c r="M7634" s="8" t="s">
        <v>43065</v>
      </c>
      <c r="N7634" s="8" t="s">
        <v>93</v>
      </c>
      <c r="O7634" s="8" t="s">
        <v>94</v>
      </c>
      <c r="P7634" s="6" t="s">
        <v>51</v>
      </c>
      <c r="Q7634" s="8" t="s">
        <v>65</v>
      </c>
      <c r="R7634" s="10" t="s">
        <v>10318</v>
      </c>
      <c r="S7634" s="11"/>
      <c r="T7634" s="6"/>
      <c r="U7634" s="15" t="str">
        <f>HYPERLINK("https://media.infra-m.ru/2218/2218150/cover/2218150.jpg", "Обложка")</f>
        <v>Обложка</v>
      </c>
      <c r="V7634" s="8" t="s">
        <v>1987</v>
      </c>
      <c r="W7634" s="6"/>
      <c r="X7634" s="6"/>
      <c r="Y7634" s="6"/>
      <c r="Z7634" s="6"/>
      <c r="AA7634" s="6" t="s">
        <v>76</v>
      </c>
      <c r="AB7634" s="8"/>
      <c r="AC7634" s="27">
        <v>9785369019313</v>
      </c>
    </row>
    <row r="7635" spans="1:29" s="4" customFormat="1" ht="51.9" customHeight="1" x14ac:dyDescent="0.2">
      <c r="A7635" s="5">
        <v>0</v>
      </c>
      <c r="B7635" s="6" t="s">
        <v>43066</v>
      </c>
      <c r="C7635" s="7">
        <v>2260.8000000000002</v>
      </c>
      <c r="D7635" s="8" t="s">
        <v>43067</v>
      </c>
      <c r="E7635" s="8" t="s">
        <v>43068</v>
      </c>
      <c r="F7635" s="8" t="s">
        <v>43069</v>
      </c>
      <c r="G7635" s="6" t="s">
        <v>118</v>
      </c>
      <c r="H7635" s="6" t="s">
        <v>134</v>
      </c>
      <c r="I7635" s="8"/>
      <c r="J7635" s="9">
        <v>1</v>
      </c>
      <c r="K7635" s="9">
        <v>320</v>
      </c>
      <c r="L7635" s="9">
        <v>2026</v>
      </c>
      <c r="M7635" s="8" t="s">
        <v>43070</v>
      </c>
      <c r="N7635" s="8" t="s">
        <v>37</v>
      </c>
      <c r="O7635" s="8" t="s">
        <v>136</v>
      </c>
      <c r="P7635" s="6" t="s">
        <v>306</v>
      </c>
      <c r="Q7635" s="8" t="s">
        <v>500</v>
      </c>
      <c r="R7635" s="10" t="s">
        <v>1653</v>
      </c>
      <c r="S7635" s="11"/>
      <c r="T7635" s="6"/>
      <c r="U7635" s="15" t="str">
        <f>HYPERLINK("https://media.infra-m.ru/2247/2247965/cover/2247965.jpg", "Обложка")</f>
        <v>Обложка</v>
      </c>
      <c r="V7635" s="8" t="s">
        <v>2466</v>
      </c>
      <c r="W7635" s="6"/>
      <c r="X7635" s="6"/>
      <c r="Y7635" s="6"/>
      <c r="Z7635" s="6"/>
      <c r="AA7635" s="6" t="s">
        <v>115</v>
      </c>
      <c r="AB7635" s="8"/>
      <c r="AC7635" s="27">
        <v>9785917685618</v>
      </c>
    </row>
    <row r="7636" spans="1:29" s="4" customFormat="1" ht="51.9" customHeight="1" x14ac:dyDescent="0.2">
      <c r="A7636" s="5">
        <v>0</v>
      </c>
      <c r="B7636" s="6" t="s">
        <v>43071</v>
      </c>
      <c r="C7636" s="7">
        <v>1780.8</v>
      </c>
      <c r="D7636" s="8" t="s">
        <v>43072</v>
      </c>
      <c r="E7636" s="8" t="s">
        <v>43073</v>
      </c>
      <c r="F7636" s="8" t="s">
        <v>43074</v>
      </c>
      <c r="G7636" s="6" t="s">
        <v>118</v>
      </c>
      <c r="H7636" s="6" t="s">
        <v>34</v>
      </c>
      <c r="I7636" s="8" t="s">
        <v>35</v>
      </c>
      <c r="J7636" s="9">
        <v>1</v>
      </c>
      <c r="K7636" s="9">
        <v>317</v>
      </c>
      <c r="L7636" s="9">
        <v>2025</v>
      </c>
      <c r="M7636" s="8" t="s">
        <v>43075</v>
      </c>
      <c r="N7636" s="8" t="s">
        <v>37</v>
      </c>
      <c r="O7636" s="8" t="s">
        <v>280</v>
      </c>
      <c r="P7636" s="6" t="s">
        <v>39</v>
      </c>
      <c r="Q7636" s="8" t="s">
        <v>40</v>
      </c>
      <c r="R7636" s="10" t="s">
        <v>43076</v>
      </c>
      <c r="S7636" s="11"/>
      <c r="T7636" s="6"/>
      <c r="U7636" s="15" t="str">
        <f>HYPERLINK("https://media.infra-m.ru/2157/2157820/cover/2157820.jpg", "Обложка")</f>
        <v>Обложка</v>
      </c>
      <c r="V7636" s="8" t="s">
        <v>9565</v>
      </c>
      <c r="W7636" s="6"/>
      <c r="X7636" s="6"/>
      <c r="Y7636" s="6"/>
      <c r="Z7636" s="6"/>
      <c r="AA7636" s="6" t="s">
        <v>99</v>
      </c>
      <c r="AB7636" s="8"/>
      <c r="AC7636" s="27">
        <v>9785160129655</v>
      </c>
    </row>
    <row r="7637" spans="1:29" s="4" customFormat="1" ht="42" customHeight="1" x14ac:dyDescent="0.2">
      <c r="A7637" s="5">
        <v>0</v>
      </c>
      <c r="B7637" s="6" t="s">
        <v>43077</v>
      </c>
      <c r="C7637" s="7">
        <v>1228.8</v>
      </c>
      <c r="D7637" s="8" t="s">
        <v>43078</v>
      </c>
      <c r="E7637" s="8" t="s">
        <v>43079</v>
      </c>
      <c r="F7637" s="8" t="s">
        <v>43080</v>
      </c>
      <c r="G7637" s="6" t="s">
        <v>118</v>
      </c>
      <c r="H7637" s="6" t="s">
        <v>42879</v>
      </c>
      <c r="I7637" s="8"/>
      <c r="J7637" s="9">
        <v>1</v>
      </c>
      <c r="K7637" s="9">
        <v>198</v>
      </c>
      <c r="L7637" s="9">
        <v>2025</v>
      </c>
      <c r="M7637" s="8" t="s">
        <v>43081</v>
      </c>
      <c r="N7637" s="8" t="s">
        <v>93</v>
      </c>
      <c r="O7637" s="8" t="s">
        <v>94</v>
      </c>
      <c r="P7637" s="6" t="s">
        <v>51</v>
      </c>
      <c r="Q7637" s="8" t="s">
        <v>52</v>
      </c>
      <c r="R7637" s="10" t="s">
        <v>4408</v>
      </c>
      <c r="S7637" s="11"/>
      <c r="T7637" s="6"/>
      <c r="U7637" s="15" t="str">
        <f>HYPERLINK("https://media.infra-m.ru/2192/2192155/cover/2192155.jpg", "Обложка")</f>
        <v>Обложка</v>
      </c>
      <c r="V7637" s="8" t="s">
        <v>16903</v>
      </c>
      <c r="W7637" s="6"/>
      <c r="X7637" s="6"/>
      <c r="Y7637" s="6"/>
      <c r="Z7637" s="6"/>
      <c r="AA7637" s="6" t="s">
        <v>874</v>
      </c>
      <c r="AB7637" s="8"/>
      <c r="AC7637" s="27">
        <v>9785369013519</v>
      </c>
    </row>
    <row r="7638" spans="1:29" s="4" customFormat="1" ht="44.1" customHeight="1" x14ac:dyDescent="0.2">
      <c r="A7638" s="5">
        <v>0</v>
      </c>
      <c r="B7638" s="6" t="s">
        <v>43082</v>
      </c>
      <c r="C7638" s="13">
        <v>977.9</v>
      </c>
      <c r="D7638" s="8" t="s">
        <v>43083</v>
      </c>
      <c r="E7638" s="8" t="s">
        <v>43084</v>
      </c>
      <c r="F7638" s="8" t="s">
        <v>43085</v>
      </c>
      <c r="G7638" s="6" t="s">
        <v>33</v>
      </c>
      <c r="H7638" s="6" t="s">
        <v>34</v>
      </c>
      <c r="I7638" s="8" t="s">
        <v>35</v>
      </c>
      <c r="J7638" s="9">
        <v>1</v>
      </c>
      <c r="K7638" s="9">
        <v>208</v>
      </c>
      <c r="L7638" s="9">
        <v>2022</v>
      </c>
      <c r="M7638" s="8" t="s">
        <v>43086</v>
      </c>
      <c r="N7638" s="8" t="s">
        <v>37</v>
      </c>
      <c r="O7638" s="8" t="s">
        <v>280</v>
      </c>
      <c r="P7638" s="6" t="s">
        <v>39</v>
      </c>
      <c r="Q7638" s="8" t="s">
        <v>40</v>
      </c>
      <c r="R7638" s="10" t="s">
        <v>43087</v>
      </c>
      <c r="S7638" s="11"/>
      <c r="T7638" s="6"/>
      <c r="U7638" s="15" t="str">
        <f>HYPERLINK("https://media.infra-m.ru/1853/1853826/cover/1853826.jpg", "Обложка")</f>
        <v>Обложка</v>
      </c>
      <c r="V7638" s="8" t="s">
        <v>396</v>
      </c>
      <c r="W7638" s="6"/>
      <c r="X7638" s="6"/>
      <c r="Y7638" s="6"/>
      <c r="Z7638" s="6"/>
      <c r="AA7638" s="6" t="s">
        <v>248</v>
      </c>
      <c r="AB7638" s="8"/>
      <c r="AC7638" s="27">
        <v>9785160100982</v>
      </c>
    </row>
    <row r="7639" spans="1:29" s="4" customFormat="1" ht="51.9" customHeight="1" x14ac:dyDescent="0.2">
      <c r="A7639" s="5">
        <v>0</v>
      </c>
      <c r="B7639" s="6" t="s">
        <v>43088</v>
      </c>
      <c r="C7639" s="7">
        <v>1781.9</v>
      </c>
      <c r="D7639" s="8" t="s">
        <v>43089</v>
      </c>
      <c r="E7639" s="8" t="s">
        <v>43090</v>
      </c>
      <c r="F7639" s="8" t="s">
        <v>43091</v>
      </c>
      <c r="G7639" s="6" t="s">
        <v>33</v>
      </c>
      <c r="H7639" s="6" t="s">
        <v>34</v>
      </c>
      <c r="I7639" s="8" t="s">
        <v>35</v>
      </c>
      <c r="J7639" s="9">
        <v>1</v>
      </c>
      <c r="K7639" s="9">
        <v>329</v>
      </c>
      <c r="L7639" s="9">
        <v>2023</v>
      </c>
      <c r="M7639" s="8" t="s">
        <v>43092</v>
      </c>
      <c r="N7639" s="8" t="s">
        <v>37</v>
      </c>
      <c r="O7639" s="8" t="s">
        <v>280</v>
      </c>
      <c r="P7639" s="6" t="s">
        <v>39</v>
      </c>
      <c r="Q7639" s="8" t="s">
        <v>40</v>
      </c>
      <c r="R7639" s="10" t="s">
        <v>2134</v>
      </c>
      <c r="S7639" s="11"/>
      <c r="T7639" s="6" t="s">
        <v>97</v>
      </c>
      <c r="U7639" s="15" t="str">
        <f>HYPERLINK("https://media.infra-m.ru/1981/1981655/cover/1981655.jpg", "Обложка")</f>
        <v>Обложка</v>
      </c>
      <c r="V7639" s="8" t="s">
        <v>3196</v>
      </c>
      <c r="W7639" s="6"/>
      <c r="X7639" s="6"/>
      <c r="Y7639" s="6"/>
      <c r="Z7639" s="6"/>
      <c r="AA7639" s="6" t="s">
        <v>55</v>
      </c>
      <c r="AB7639" s="8"/>
      <c r="AC7639" s="27">
        <v>9785160092119</v>
      </c>
    </row>
    <row r="7640" spans="1:29" s="4" customFormat="1" ht="51.9" customHeight="1" x14ac:dyDescent="0.2">
      <c r="A7640" s="5">
        <v>0</v>
      </c>
      <c r="B7640" s="6" t="s">
        <v>43093</v>
      </c>
      <c r="C7640" s="7">
        <v>1680</v>
      </c>
      <c r="D7640" s="8" t="s">
        <v>43094</v>
      </c>
      <c r="E7640" s="8" t="s">
        <v>43095</v>
      </c>
      <c r="F7640" s="8" t="s">
        <v>43096</v>
      </c>
      <c r="G7640" s="6" t="s">
        <v>118</v>
      </c>
      <c r="H7640" s="6" t="s">
        <v>34</v>
      </c>
      <c r="I7640" s="8" t="s">
        <v>35</v>
      </c>
      <c r="J7640" s="9">
        <v>1</v>
      </c>
      <c r="K7640" s="9">
        <v>360</v>
      </c>
      <c r="L7640" s="9">
        <v>2022</v>
      </c>
      <c r="M7640" s="8" t="s">
        <v>43097</v>
      </c>
      <c r="N7640" s="8" t="s">
        <v>37</v>
      </c>
      <c r="O7640" s="8" t="s">
        <v>280</v>
      </c>
      <c r="P7640" s="6" t="s">
        <v>39</v>
      </c>
      <c r="Q7640" s="8" t="s">
        <v>40</v>
      </c>
      <c r="R7640" s="10" t="s">
        <v>43098</v>
      </c>
      <c r="S7640" s="11"/>
      <c r="T7640" s="6"/>
      <c r="U7640" s="15" t="str">
        <f>HYPERLINK("https://media.infra-m.ru/1870/1870637/cover/1870637.jpg", "Обложка")</f>
        <v>Обложка</v>
      </c>
      <c r="V7640" s="8" t="s">
        <v>396</v>
      </c>
      <c r="W7640" s="6"/>
      <c r="X7640" s="6"/>
      <c r="Y7640" s="6"/>
      <c r="Z7640" s="6"/>
      <c r="AA7640" s="6" t="s">
        <v>779</v>
      </c>
      <c r="AB7640" s="8"/>
      <c r="AC7640" s="27">
        <v>9785160121123</v>
      </c>
    </row>
    <row r="7641" spans="1:29" s="4" customFormat="1" ht="51.9" customHeight="1" x14ac:dyDescent="0.2">
      <c r="A7641" s="5">
        <v>0</v>
      </c>
      <c r="B7641" s="6" t="s">
        <v>43099</v>
      </c>
      <c r="C7641" s="7">
        <v>2476.8000000000002</v>
      </c>
      <c r="D7641" s="8" t="s">
        <v>43100</v>
      </c>
      <c r="E7641" s="8" t="s">
        <v>43101</v>
      </c>
      <c r="F7641" s="8" t="s">
        <v>43069</v>
      </c>
      <c r="G7641" s="6" t="s">
        <v>60</v>
      </c>
      <c r="H7641" s="6" t="s">
        <v>134</v>
      </c>
      <c r="I7641" s="8"/>
      <c r="J7641" s="9">
        <v>1</v>
      </c>
      <c r="K7641" s="9">
        <v>288</v>
      </c>
      <c r="L7641" s="9">
        <v>2026</v>
      </c>
      <c r="M7641" s="8" t="s">
        <v>43102</v>
      </c>
      <c r="N7641" s="8" t="s">
        <v>37</v>
      </c>
      <c r="O7641" s="8" t="s">
        <v>136</v>
      </c>
      <c r="P7641" s="6" t="s">
        <v>306</v>
      </c>
      <c r="Q7641" s="8" t="s">
        <v>500</v>
      </c>
      <c r="R7641" s="10" t="s">
        <v>1275</v>
      </c>
      <c r="S7641" s="11"/>
      <c r="T7641" s="6"/>
      <c r="U7641" s="15" t="str">
        <f>HYPERLINK("https://media.infra-m.ru/2247/2247966/cover/2247966.jpg", "Обложка")</f>
        <v>Обложка</v>
      </c>
      <c r="V7641" s="8" t="s">
        <v>2466</v>
      </c>
      <c r="W7641" s="6"/>
      <c r="X7641" s="6"/>
      <c r="Y7641" s="6"/>
      <c r="Z7641" s="6"/>
      <c r="AA7641" s="6" t="s">
        <v>115</v>
      </c>
      <c r="AB7641" s="8"/>
      <c r="AC7641" s="27">
        <v>9785917686387</v>
      </c>
    </row>
    <row r="7642" spans="1:29" s="4" customFormat="1" ht="51.9" customHeight="1" x14ac:dyDescent="0.2">
      <c r="A7642" s="5">
        <v>0</v>
      </c>
      <c r="B7642" s="6" t="s">
        <v>43103</v>
      </c>
      <c r="C7642" s="7">
        <v>1156.8</v>
      </c>
      <c r="D7642" s="8" t="s">
        <v>43104</v>
      </c>
      <c r="E7642" s="8" t="s">
        <v>43105</v>
      </c>
      <c r="F7642" s="8" t="s">
        <v>43106</v>
      </c>
      <c r="G7642" s="6" t="s">
        <v>33</v>
      </c>
      <c r="H7642" s="6" t="s">
        <v>48</v>
      </c>
      <c r="I7642" s="8" t="s">
        <v>271</v>
      </c>
      <c r="J7642" s="9">
        <v>1</v>
      </c>
      <c r="K7642" s="9">
        <v>176</v>
      </c>
      <c r="L7642" s="9">
        <v>2026</v>
      </c>
      <c r="M7642" s="8" t="s">
        <v>43107</v>
      </c>
      <c r="N7642" s="8" t="s">
        <v>243</v>
      </c>
      <c r="O7642" s="8" t="s">
        <v>798</v>
      </c>
      <c r="P7642" s="6" t="s">
        <v>51</v>
      </c>
      <c r="Q7642" s="8" t="s">
        <v>52</v>
      </c>
      <c r="R7642" s="10" t="s">
        <v>4374</v>
      </c>
      <c r="S7642" s="11" t="s">
        <v>43108</v>
      </c>
      <c r="T7642" s="6"/>
      <c r="U7642" s="15" t="str">
        <f>HYPERLINK("https://media.infra-m.ru/2225/2225629/cover/2225629.jpg", "Обложка")</f>
        <v>Обложка</v>
      </c>
      <c r="V7642" s="8" t="s">
        <v>26895</v>
      </c>
      <c r="W7642" s="6"/>
      <c r="X7642" s="6"/>
      <c r="Y7642" s="6"/>
      <c r="Z7642" s="6"/>
      <c r="AA7642" s="6" t="s">
        <v>274</v>
      </c>
      <c r="AB7642" s="8"/>
      <c r="AC7642" s="27">
        <v>9785000910887</v>
      </c>
    </row>
    <row r="7643" spans="1:29" s="4" customFormat="1" ht="51.9" customHeight="1" x14ac:dyDescent="0.2">
      <c r="A7643" s="5">
        <v>0</v>
      </c>
      <c r="B7643" s="6" t="s">
        <v>43109</v>
      </c>
      <c r="C7643" s="7">
        <v>2580</v>
      </c>
      <c r="D7643" s="8" t="s">
        <v>43110</v>
      </c>
      <c r="E7643" s="8" t="s">
        <v>43111</v>
      </c>
      <c r="F7643" s="8" t="s">
        <v>43112</v>
      </c>
      <c r="G7643" s="6" t="s">
        <v>118</v>
      </c>
      <c r="H7643" s="6" t="s">
        <v>34</v>
      </c>
      <c r="I7643" s="8" t="s">
        <v>253</v>
      </c>
      <c r="J7643" s="9">
        <v>1</v>
      </c>
      <c r="K7643" s="9">
        <v>390</v>
      </c>
      <c r="L7643" s="9">
        <v>2026</v>
      </c>
      <c r="M7643" s="8" t="s">
        <v>43113</v>
      </c>
      <c r="N7643" s="8" t="s">
        <v>37</v>
      </c>
      <c r="O7643" s="8" t="s">
        <v>233</v>
      </c>
      <c r="P7643" s="6" t="s">
        <v>51</v>
      </c>
      <c r="Q7643" s="8" t="s">
        <v>500</v>
      </c>
      <c r="R7643" s="10" t="s">
        <v>2053</v>
      </c>
      <c r="S7643" s="11" t="s">
        <v>43114</v>
      </c>
      <c r="T7643" s="6"/>
      <c r="U7643" s="15" t="str">
        <f>HYPERLINK("https://media.infra-m.ru/2224/2224094/cover/2224094.jpg", "Обложка")</f>
        <v>Обложка</v>
      </c>
      <c r="V7643" s="8" t="s">
        <v>12056</v>
      </c>
      <c r="W7643" s="6"/>
      <c r="X7643" s="6"/>
      <c r="Y7643" s="6"/>
      <c r="Z7643" s="6"/>
      <c r="AA7643" s="6" t="s">
        <v>148</v>
      </c>
      <c r="AB7643" s="8"/>
      <c r="AC7643" s="27">
        <v>9785160214405</v>
      </c>
    </row>
    <row r="7644" spans="1:29" s="4" customFormat="1" ht="51.9" customHeight="1" x14ac:dyDescent="0.2">
      <c r="A7644" s="5">
        <v>0</v>
      </c>
      <c r="B7644" s="6" t="s">
        <v>43115</v>
      </c>
      <c r="C7644" s="7">
        <v>1908</v>
      </c>
      <c r="D7644" s="8" t="s">
        <v>43116</v>
      </c>
      <c r="E7644" s="8" t="s">
        <v>43117</v>
      </c>
      <c r="F7644" s="8" t="s">
        <v>43118</v>
      </c>
      <c r="G7644" s="6" t="s">
        <v>118</v>
      </c>
      <c r="H7644" s="6" t="s">
        <v>34</v>
      </c>
      <c r="I7644" s="8" t="s">
        <v>253</v>
      </c>
      <c r="J7644" s="9">
        <v>1</v>
      </c>
      <c r="K7644" s="9">
        <v>288</v>
      </c>
      <c r="L7644" s="9">
        <v>2026</v>
      </c>
      <c r="M7644" s="8" t="s">
        <v>43119</v>
      </c>
      <c r="N7644" s="8" t="s">
        <v>37</v>
      </c>
      <c r="O7644" s="8" t="s">
        <v>280</v>
      </c>
      <c r="P7644" s="6" t="s">
        <v>51</v>
      </c>
      <c r="Q7644" s="8" t="s">
        <v>500</v>
      </c>
      <c r="R7644" s="10" t="s">
        <v>8386</v>
      </c>
      <c r="S7644" s="11" t="s">
        <v>43120</v>
      </c>
      <c r="T7644" s="6"/>
      <c r="U7644" s="15" t="str">
        <f>HYPERLINK("https://media.infra-m.ru/2244/2244454/cover/2244454.jpg", "Обложка")</f>
        <v>Обложка</v>
      </c>
      <c r="V7644" s="8" t="s">
        <v>43121</v>
      </c>
      <c r="W7644" s="6"/>
      <c r="X7644" s="6"/>
      <c r="Y7644" s="6"/>
      <c r="Z7644" s="6"/>
      <c r="AA7644" s="6" t="s">
        <v>248</v>
      </c>
      <c r="AB7644" s="8"/>
      <c r="AC7644" s="27">
        <v>9785160206554</v>
      </c>
    </row>
    <row r="7645" spans="1:29" s="4" customFormat="1" ht="51.9" customHeight="1" x14ac:dyDescent="0.2">
      <c r="A7645" s="5">
        <v>0</v>
      </c>
      <c r="B7645" s="6" t="s">
        <v>43122</v>
      </c>
      <c r="C7645" s="7">
        <v>1668</v>
      </c>
      <c r="D7645" s="8" t="s">
        <v>43123</v>
      </c>
      <c r="E7645" s="8" t="s">
        <v>43124</v>
      </c>
      <c r="F7645" s="8" t="s">
        <v>38551</v>
      </c>
      <c r="G7645" s="6" t="s">
        <v>118</v>
      </c>
      <c r="H7645" s="6" t="s">
        <v>34</v>
      </c>
      <c r="I7645" s="8" t="s">
        <v>35</v>
      </c>
      <c r="J7645" s="9">
        <v>1</v>
      </c>
      <c r="K7645" s="9">
        <v>308</v>
      </c>
      <c r="L7645" s="9">
        <v>2022</v>
      </c>
      <c r="M7645" s="8" t="s">
        <v>43125</v>
      </c>
      <c r="N7645" s="8" t="s">
        <v>37</v>
      </c>
      <c r="O7645" s="8" t="s">
        <v>233</v>
      </c>
      <c r="P7645" s="6" t="s">
        <v>39</v>
      </c>
      <c r="Q7645" s="8" t="s">
        <v>40</v>
      </c>
      <c r="R7645" s="10" t="s">
        <v>43126</v>
      </c>
      <c r="S7645" s="11"/>
      <c r="T7645" s="6" t="s">
        <v>97</v>
      </c>
      <c r="U7645" s="15" t="str">
        <f>HYPERLINK("https://media.infra-m.ru/1856/1856005/cover/1856005.jpg", "Обложка")</f>
        <v>Обложка</v>
      </c>
      <c r="V7645" s="8" t="s">
        <v>1184</v>
      </c>
      <c r="W7645" s="6"/>
      <c r="X7645" s="6"/>
      <c r="Y7645" s="6"/>
      <c r="Z7645" s="6"/>
      <c r="AA7645" s="6" t="s">
        <v>779</v>
      </c>
      <c r="AB7645" s="8"/>
      <c r="AC7645" s="27">
        <v>9785160115528</v>
      </c>
    </row>
    <row r="7646" spans="1:29" s="4" customFormat="1" ht="51.9" customHeight="1" x14ac:dyDescent="0.2">
      <c r="A7646" s="5">
        <v>0</v>
      </c>
      <c r="B7646" s="6" t="s">
        <v>43127</v>
      </c>
      <c r="C7646" s="7">
        <v>1284</v>
      </c>
      <c r="D7646" s="8" t="s">
        <v>43128</v>
      </c>
      <c r="E7646" s="8" t="s">
        <v>43129</v>
      </c>
      <c r="F7646" s="8" t="s">
        <v>10732</v>
      </c>
      <c r="G7646" s="6" t="s">
        <v>118</v>
      </c>
      <c r="H7646" s="6" t="s">
        <v>34</v>
      </c>
      <c r="I7646" s="8" t="s">
        <v>504</v>
      </c>
      <c r="J7646" s="9">
        <v>1</v>
      </c>
      <c r="K7646" s="9">
        <v>219</v>
      </c>
      <c r="L7646" s="9">
        <v>2024</v>
      </c>
      <c r="M7646" s="8" t="s">
        <v>43130</v>
      </c>
      <c r="N7646" s="8" t="s">
        <v>37</v>
      </c>
      <c r="O7646" s="8" t="s">
        <v>83</v>
      </c>
      <c r="P7646" s="6" t="s">
        <v>51</v>
      </c>
      <c r="Q7646" s="8" t="s">
        <v>500</v>
      </c>
      <c r="R7646" s="10" t="s">
        <v>43131</v>
      </c>
      <c r="S7646" s="11" t="s">
        <v>43132</v>
      </c>
      <c r="T7646" s="6" t="s">
        <v>97</v>
      </c>
      <c r="U7646" s="15" t="str">
        <f>HYPERLINK("https://media.infra-m.ru/2087/2087301/cover/2087301.jpg", "Обложка")</f>
        <v>Обложка</v>
      </c>
      <c r="V7646" s="8" t="s">
        <v>4892</v>
      </c>
      <c r="W7646" s="6"/>
      <c r="X7646" s="6"/>
      <c r="Y7646" s="6"/>
      <c r="Z7646" s="6"/>
      <c r="AA7646" s="6" t="s">
        <v>86</v>
      </c>
      <c r="AB7646" s="8"/>
      <c r="AC7646" s="27">
        <v>9785160131832</v>
      </c>
    </row>
    <row r="7647" spans="1:29" s="4" customFormat="1" ht="51.9" customHeight="1" x14ac:dyDescent="0.2">
      <c r="A7647" s="5">
        <v>0</v>
      </c>
      <c r="B7647" s="6" t="s">
        <v>43133</v>
      </c>
      <c r="C7647" s="7">
        <v>2836.8</v>
      </c>
      <c r="D7647" s="8" t="s">
        <v>43134</v>
      </c>
      <c r="E7647" s="8" t="s">
        <v>43135</v>
      </c>
      <c r="F7647" s="8" t="s">
        <v>43136</v>
      </c>
      <c r="G7647" s="6" t="s">
        <v>118</v>
      </c>
      <c r="H7647" s="6" t="s">
        <v>1042</v>
      </c>
      <c r="I7647" s="8" t="s">
        <v>271</v>
      </c>
      <c r="J7647" s="9">
        <v>1</v>
      </c>
      <c r="K7647" s="9">
        <v>430</v>
      </c>
      <c r="L7647" s="9">
        <v>2027</v>
      </c>
      <c r="M7647" s="8" t="s">
        <v>43137</v>
      </c>
      <c r="N7647" s="8" t="s">
        <v>37</v>
      </c>
      <c r="O7647" s="8" t="s">
        <v>233</v>
      </c>
      <c r="P7647" s="6" t="s">
        <v>51</v>
      </c>
      <c r="Q7647" s="8" t="s">
        <v>65</v>
      </c>
      <c r="R7647" s="10" t="s">
        <v>1993</v>
      </c>
      <c r="S7647" s="11" t="s">
        <v>43138</v>
      </c>
      <c r="T7647" s="6"/>
      <c r="U7647" s="15" t="str">
        <f>HYPERLINK("https://media.infra-m.ru/2256/2256590/cover/2256590.jpg", "Обложка")</f>
        <v>Обложка</v>
      </c>
      <c r="V7647" s="8" t="s">
        <v>717</v>
      </c>
      <c r="W7647" s="6"/>
      <c r="X7647" s="6"/>
      <c r="Y7647" s="6"/>
      <c r="Z7647" s="6"/>
      <c r="AA7647" s="6" t="s">
        <v>896</v>
      </c>
      <c r="AB7647" s="8"/>
      <c r="AC7647" s="27">
        <v>9785819908921</v>
      </c>
    </row>
    <row r="7648" spans="1:29" s="4" customFormat="1" ht="51.9" customHeight="1" x14ac:dyDescent="0.2">
      <c r="A7648" s="5">
        <v>0</v>
      </c>
      <c r="B7648" s="6" t="s">
        <v>43139</v>
      </c>
      <c r="C7648" s="7">
        <v>1800</v>
      </c>
      <c r="D7648" s="8" t="s">
        <v>43140</v>
      </c>
      <c r="E7648" s="8" t="s">
        <v>43141</v>
      </c>
      <c r="F7648" s="8" t="s">
        <v>16603</v>
      </c>
      <c r="G7648" s="6" t="s">
        <v>118</v>
      </c>
      <c r="H7648" s="6" t="s">
        <v>134</v>
      </c>
      <c r="I7648" s="8"/>
      <c r="J7648" s="9">
        <v>1</v>
      </c>
      <c r="K7648" s="9">
        <v>288</v>
      </c>
      <c r="L7648" s="9">
        <v>2026</v>
      </c>
      <c r="M7648" s="8" t="s">
        <v>43142</v>
      </c>
      <c r="N7648" s="8" t="s">
        <v>37</v>
      </c>
      <c r="O7648" s="8" t="s">
        <v>136</v>
      </c>
      <c r="P7648" s="6" t="s">
        <v>51</v>
      </c>
      <c r="Q7648" s="8" t="s">
        <v>500</v>
      </c>
      <c r="R7648" s="10" t="s">
        <v>36753</v>
      </c>
      <c r="S7648" s="11"/>
      <c r="T7648" s="6"/>
      <c r="U7648" s="15" t="str">
        <f>HYPERLINK("https://media.infra-m.ru/2215/2215895/cover/2215895.jpg", "Обложка")</f>
        <v>Обложка</v>
      </c>
      <c r="V7648" s="8" t="s">
        <v>1184</v>
      </c>
      <c r="W7648" s="6"/>
      <c r="X7648" s="6"/>
      <c r="Y7648" s="6"/>
      <c r="Z7648" s="6"/>
      <c r="AA7648" s="6" t="s">
        <v>148</v>
      </c>
      <c r="AB7648" s="8"/>
      <c r="AC7648" s="27">
        <v>9785001562276</v>
      </c>
    </row>
    <row r="7649" spans="1:29" s="4" customFormat="1" ht="44.1" customHeight="1" x14ac:dyDescent="0.2">
      <c r="A7649" s="5">
        <v>0</v>
      </c>
      <c r="B7649" s="6" t="s">
        <v>43143</v>
      </c>
      <c r="C7649" s="7">
        <v>1996.8</v>
      </c>
      <c r="D7649" s="8" t="s">
        <v>43144</v>
      </c>
      <c r="E7649" s="8" t="s">
        <v>43145</v>
      </c>
      <c r="F7649" s="8" t="s">
        <v>43146</v>
      </c>
      <c r="G7649" s="6" t="s">
        <v>33</v>
      </c>
      <c r="H7649" s="6" t="s">
        <v>34</v>
      </c>
      <c r="I7649" s="8" t="s">
        <v>35</v>
      </c>
      <c r="J7649" s="9">
        <v>1</v>
      </c>
      <c r="K7649" s="9">
        <v>287</v>
      </c>
      <c r="L7649" s="9">
        <v>2026</v>
      </c>
      <c r="M7649" s="8" t="s">
        <v>43147</v>
      </c>
      <c r="N7649" s="8" t="s">
        <v>37</v>
      </c>
      <c r="O7649" s="8" t="s">
        <v>233</v>
      </c>
      <c r="P7649" s="6" t="s">
        <v>39</v>
      </c>
      <c r="Q7649" s="8" t="s">
        <v>40</v>
      </c>
      <c r="R7649" s="10" t="s">
        <v>2053</v>
      </c>
      <c r="S7649" s="11"/>
      <c r="T7649" s="6"/>
      <c r="U7649" s="15" t="str">
        <f>HYPERLINK("https://media.infra-m.ru/2253/2253915/cover/2253915.jpg", "Обложка")</f>
        <v>Обложка</v>
      </c>
      <c r="V7649" s="8" t="s">
        <v>43148</v>
      </c>
      <c r="W7649" s="6"/>
      <c r="X7649" s="6"/>
      <c r="Y7649" s="6"/>
      <c r="Z7649" s="6"/>
      <c r="AA7649" s="6" t="s">
        <v>1015</v>
      </c>
      <c r="AB7649" s="8"/>
      <c r="AC7649" s="27">
        <v>9785160098388</v>
      </c>
    </row>
    <row r="7650" spans="1:29" s="4" customFormat="1" ht="51.9" customHeight="1" x14ac:dyDescent="0.2">
      <c r="A7650" s="5">
        <v>0</v>
      </c>
      <c r="B7650" s="6" t="s">
        <v>43149</v>
      </c>
      <c r="C7650" s="7">
        <v>4140</v>
      </c>
      <c r="D7650" s="8" t="s">
        <v>43150</v>
      </c>
      <c r="E7650" s="8" t="s">
        <v>43151</v>
      </c>
      <c r="F7650" s="8" t="s">
        <v>43152</v>
      </c>
      <c r="G7650" s="6" t="s">
        <v>60</v>
      </c>
      <c r="H7650" s="6" t="s">
        <v>134</v>
      </c>
      <c r="I7650" s="8"/>
      <c r="J7650" s="9">
        <v>1</v>
      </c>
      <c r="K7650" s="9">
        <v>912</v>
      </c>
      <c r="L7650" s="9">
        <v>2026</v>
      </c>
      <c r="M7650" s="8" t="s">
        <v>43153</v>
      </c>
      <c r="N7650" s="8" t="s">
        <v>37</v>
      </c>
      <c r="O7650" s="8" t="s">
        <v>136</v>
      </c>
      <c r="P7650" s="6" t="s">
        <v>306</v>
      </c>
      <c r="Q7650" s="8" t="s">
        <v>65</v>
      </c>
      <c r="R7650" s="10" t="s">
        <v>43154</v>
      </c>
      <c r="S7650" s="11"/>
      <c r="T7650" s="6"/>
      <c r="U7650" s="15" t="str">
        <f>HYPERLINK("https://media.infra-m.ru/2257/2257237/cover/2257237.jpg", "Обложка")</f>
        <v>Обложка</v>
      </c>
      <c r="V7650" s="8" t="s">
        <v>1647</v>
      </c>
      <c r="W7650" s="6"/>
      <c r="X7650" s="6"/>
      <c r="Y7650" s="6"/>
      <c r="Z7650" s="6"/>
      <c r="AA7650" s="6" t="s">
        <v>187</v>
      </c>
      <c r="AB7650" s="8"/>
      <c r="AC7650" s="27">
        <v>9785001564683</v>
      </c>
    </row>
    <row r="7651" spans="1:29" s="4" customFormat="1" ht="51.9" customHeight="1" x14ac:dyDescent="0.2">
      <c r="A7651" s="5">
        <v>0</v>
      </c>
      <c r="B7651" s="6" t="s">
        <v>43155</v>
      </c>
      <c r="C7651" s="7">
        <v>3360</v>
      </c>
      <c r="D7651" s="8" t="s">
        <v>43156</v>
      </c>
      <c r="E7651" s="8" t="s">
        <v>43157</v>
      </c>
      <c r="F7651" s="8" t="s">
        <v>43152</v>
      </c>
      <c r="G7651" s="6" t="s">
        <v>60</v>
      </c>
      <c r="H7651" s="6" t="s">
        <v>134</v>
      </c>
      <c r="I7651" s="8"/>
      <c r="J7651" s="9">
        <v>1</v>
      </c>
      <c r="K7651" s="9">
        <v>604</v>
      </c>
      <c r="L7651" s="9">
        <v>2027</v>
      </c>
      <c r="M7651" s="8" t="s">
        <v>43158</v>
      </c>
      <c r="N7651" s="8" t="s">
        <v>37</v>
      </c>
      <c r="O7651" s="8" t="s">
        <v>136</v>
      </c>
      <c r="P7651" s="6" t="s">
        <v>306</v>
      </c>
      <c r="Q7651" s="8" t="s">
        <v>52</v>
      </c>
      <c r="R7651" s="10" t="s">
        <v>43159</v>
      </c>
      <c r="S7651" s="11"/>
      <c r="T7651" s="6"/>
      <c r="U7651" s="15" t="str">
        <f>HYPERLINK("https://media.infra-m.ru/2256/2256525/cover/2256525.jpg", "Обложка")</f>
        <v>Обложка</v>
      </c>
      <c r="V7651" s="8" t="s">
        <v>1647</v>
      </c>
      <c r="W7651" s="6" t="s">
        <v>2115</v>
      </c>
      <c r="X7651" s="6"/>
      <c r="Y7651" s="6"/>
      <c r="Z7651" s="6"/>
      <c r="AA7651" s="6" t="s">
        <v>420</v>
      </c>
      <c r="AB7651" s="8"/>
      <c r="AC7651" s="27">
        <v>9785001564898</v>
      </c>
    </row>
    <row r="7652" spans="1:29" s="4" customFormat="1" ht="51.9" customHeight="1" x14ac:dyDescent="0.2">
      <c r="A7652" s="5">
        <v>0</v>
      </c>
      <c r="B7652" s="6" t="s">
        <v>43160</v>
      </c>
      <c r="C7652" s="7">
        <v>1864.8</v>
      </c>
      <c r="D7652" s="8" t="s">
        <v>43161</v>
      </c>
      <c r="E7652" s="8" t="s">
        <v>43162</v>
      </c>
      <c r="F7652" s="8" t="s">
        <v>43163</v>
      </c>
      <c r="G7652" s="6" t="s">
        <v>60</v>
      </c>
      <c r="H7652" s="6" t="s">
        <v>34</v>
      </c>
      <c r="I7652" s="8" t="s">
        <v>35</v>
      </c>
      <c r="J7652" s="9">
        <v>1</v>
      </c>
      <c r="K7652" s="9">
        <v>339</v>
      </c>
      <c r="L7652" s="9">
        <v>2024</v>
      </c>
      <c r="M7652" s="8" t="s">
        <v>43164</v>
      </c>
      <c r="N7652" s="8" t="s">
        <v>37</v>
      </c>
      <c r="O7652" s="8" t="s">
        <v>233</v>
      </c>
      <c r="P7652" s="6" t="s">
        <v>39</v>
      </c>
      <c r="Q7652" s="8" t="s">
        <v>40</v>
      </c>
      <c r="R7652" s="10" t="s">
        <v>43165</v>
      </c>
      <c r="S7652" s="11"/>
      <c r="T7652" s="6"/>
      <c r="U7652" s="15" t="str">
        <f>HYPERLINK("https://media.infra-m.ru/2102/2102710/cover/2102710.jpg", "Обложка")</f>
        <v>Обложка</v>
      </c>
      <c r="V7652" s="8" t="s">
        <v>1505</v>
      </c>
      <c r="W7652" s="6"/>
      <c r="X7652" s="6"/>
      <c r="Y7652" s="6"/>
      <c r="Z7652" s="6"/>
      <c r="AA7652" s="6" t="s">
        <v>779</v>
      </c>
      <c r="AB7652" s="8"/>
      <c r="AC7652" s="27">
        <v>9785160112985</v>
      </c>
    </row>
    <row r="7653" spans="1:29" s="4" customFormat="1" ht="44.1" customHeight="1" x14ac:dyDescent="0.2">
      <c r="A7653" s="5">
        <v>0</v>
      </c>
      <c r="B7653" s="6" t="s">
        <v>43166</v>
      </c>
      <c r="C7653" s="13">
        <v>940.8</v>
      </c>
      <c r="D7653" s="8" t="s">
        <v>43167</v>
      </c>
      <c r="E7653" s="8" t="s">
        <v>43168</v>
      </c>
      <c r="F7653" s="8" t="s">
        <v>43169</v>
      </c>
      <c r="G7653" s="6" t="s">
        <v>33</v>
      </c>
      <c r="H7653" s="6" t="s">
        <v>241</v>
      </c>
      <c r="I7653" s="8" t="s">
        <v>3496</v>
      </c>
      <c r="J7653" s="9">
        <v>1</v>
      </c>
      <c r="K7653" s="9">
        <v>142</v>
      </c>
      <c r="L7653" s="9">
        <v>2026</v>
      </c>
      <c r="M7653" s="8" t="s">
        <v>43170</v>
      </c>
      <c r="N7653" s="8" t="s">
        <v>243</v>
      </c>
      <c r="O7653" s="8" t="s">
        <v>758</v>
      </c>
      <c r="P7653" s="6" t="s">
        <v>39</v>
      </c>
      <c r="Q7653" s="8" t="s">
        <v>40</v>
      </c>
      <c r="R7653" s="10" t="s">
        <v>43171</v>
      </c>
      <c r="S7653" s="11"/>
      <c r="T7653" s="6"/>
      <c r="U7653" s="15" t="str">
        <f>HYPERLINK("https://media.infra-m.ru/2233/2233529/cover/2233529.jpg", "Обложка")</f>
        <v>Обложка</v>
      </c>
      <c r="V7653" s="8" t="s">
        <v>217</v>
      </c>
      <c r="W7653" s="6"/>
      <c r="X7653" s="6"/>
      <c r="Y7653" s="6"/>
      <c r="Z7653" s="6"/>
      <c r="AA7653" s="6" t="s">
        <v>86</v>
      </c>
      <c r="AB7653" s="8"/>
      <c r="AC7653" s="27">
        <v>9785955805993</v>
      </c>
    </row>
    <row r="7654" spans="1:29" s="4" customFormat="1" ht="51.9" customHeight="1" x14ac:dyDescent="0.2">
      <c r="A7654" s="5">
        <v>0</v>
      </c>
      <c r="B7654" s="6" t="s">
        <v>43172</v>
      </c>
      <c r="C7654" s="7">
        <v>1517.9</v>
      </c>
      <c r="D7654" s="8" t="s">
        <v>43173</v>
      </c>
      <c r="E7654" s="8" t="s">
        <v>43174</v>
      </c>
      <c r="F7654" s="8" t="s">
        <v>43175</v>
      </c>
      <c r="G7654" s="6" t="s">
        <v>60</v>
      </c>
      <c r="H7654" s="6" t="s">
        <v>1042</v>
      </c>
      <c r="I7654" s="8" t="s">
        <v>253</v>
      </c>
      <c r="J7654" s="9">
        <v>1</v>
      </c>
      <c r="K7654" s="9">
        <v>432</v>
      </c>
      <c r="L7654" s="9">
        <v>2018</v>
      </c>
      <c r="M7654" s="8" t="s">
        <v>43176</v>
      </c>
      <c r="N7654" s="8" t="s">
        <v>37</v>
      </c>
      <c r="O7654" s="8" t="s">
        <v>233</v>
      </c>
      <c r="P7654" s="6" t="s">
        <v>51</v>
      </c>
      <c r="Q7654" s="8" t="s">
        <v>52</v>
      </c>
      <c r="R7654" s="10" t="s">
        <v>1993</v>
      </c>
      <c r="S7654" s="11" t="s">
        <v>43177</v>
      </c>
      <c r="T7654" s="6"/>
      <c r="U7654" s="15" t="str">
        <f>HYPERLINK("https://media.infra-m.ru/0966/0966744/cover/966744.jpg", "Обложка")</f>
        <v>Обложка</v>
      </c>
      <c r="V7654" s="8" t="s">
        <v>717</v>
      </c>
      <c r="W7654" s="6"/>
      <c r="X7654" s="6"/>
      <c r="Y7654" s="6"/>
      <c r="Z7654" s="6"/>
      <c r="AA7654" s="6" t="s">
        <v>1015</v>
      </c>
      <c r="AB7654" s="8"/>
      <c r="AC7654" s="27">
        <v>9785819904237</v>
      </c>
    </row>
    <row r="7655" spans="1:29" s="4" customFormat="1" ht="51.9" customHeight="1" x14ac:dyDescent="0.2">
      <c r="A7655" s="5">
        <v>0</v>
      </c>
      <c r="B7655" s="6" t="s">
        <v>43178</v>
      </c>
      <c r="C7655" s="7">
        <v>1480.8</v>
      </c>
      <c r="D7655" s="8" t="s">
        <v>43179</v>
      </c>
      <c r="E7655" s="8" t="s">
        <v>43180</v>
      </c>
      <c r="F7655" s="8" t="s">
        <v>43181</v>
      </c>
      <c r="G7655" s="6" t="s">
        <v>118</v>
      </c>
      <c r="H7655" s="6" t="s">
        <v>1042</v>
      </c>
      <c r="I7655" s="8" t="s">
        <v>271</v>
      </c>
      <c r="J7655" s="9">
        <v>1</v>
      </c>
      <c r="K7655" s="9">
        <v>224</v>
      </c>
      <c r="L7655" s="9">
        <v>2026</v>
      </c>
      <c r="M7655" s="8" t="s">
        <v>43182</v>
      </c>
      <c r="N7655" s="8" t="s">
        <v>63</v>
      </c>
      <c r="O7655" s="8" t="s">
        <v>126</v>
      </c>
      <c r="P7655" s="6" t="s">
        <v>51</v>
      </c>
      <c r="Q7655" s="8" t="s">
        <v>52</v>
      </c>
      <c r="R7655" s="10" t="s">
        <v>43183</v>
      </c>
      <c r="S7655" s="11" t="s">
        <v>43184</v>
      </c>
      <c r="T7655" s="6"/>
      <c r="U7655" s="15" t="str">
        <f>HYPERLINK("https://media.infra-m.ru/2235/2235152/cover/2235152.jpg", "Обложка")</f>
        <v>Обложка</v>
      </c>
      <c r="V7655" s="8" t="s">
        <v>16500</v>
      </c>
      <c r="W7655" s="6"/>
      <c r="X7655" s="6"/>
      <c r="Y7655" s="6"/>
      <c r="Z7655" s="6"/>
      <c r="AA7655" s="6" t="s">
        <v>1506</v>
      </c>
      <c r="AB7655" s="8"/>
      <c r="AC7655" s="27">
        <v>9785819909263</v>
      </c>
    </row>
    <row r="7656" spans="1:29" s="4" customFormat="1" ht="51.9" customHeight="1" x14ac:dyDescent="0.2">
      <c r="A7656" s="5">
        <v>0</v>
      </c>
      <c r="B7656" s="6" t="s">
        <v>43185</v>
      </c>
      <c r="C7656" s="7">
        <v>1696.8</v>
      </c>
      <c r="D7656" s="8" t="s">
        <v>43186</v>
      </c>
      <c r="E7656" s="8" t="s">
        <v>43180</v>
      </c>
      <c r="F7656" s="8" t="s">
        <v>43187</v>
      </c>
      <c r="G7656" s="6" t="s">
        <v>118</v>
      </c>
      <c r="H7656" s="6" t="s">
        <v>134</v>
      </c>
      <c r="I7656" s="8"/>
      <c r="J7656" s="9">
        <v>1</v>
      </c>
      <c r="K7656" s="9">
        <v>272</v>
      </c>
      <c r="L7656" s="9">
        <v>2026</v>
      </c>
      <c r="M7656" s="8" t="s">
        <v>43188</v>
      </c>
      <c r="N7656" s="8" t="s">
        <v>63</v>
      </c>
      <c r="O7656" s="8" t="s">
        <v>126</v>
      </c>
      <c r="P7656" s="6" t="s">
        <v>51</v>
      </c>
      <c r="Q7656" s="8" t="s">
        <v>52</v>
      </c>
      <c r="R7656" s="10" t="s">
        <v>43189</v>
      </c>
      <c r="S7656" s="11"/>
      <c r="T7656" s="6"/>
      <c r="U7656" s="15" t="str">
        <f>HYPERLINK("https://media.infra-m.ru/2219/2219621/cover/2219621.jpg", "Обложка")</f>
        <v>Обложка</v>
      </c>
      <c r="V7656" s="8" t="s">
        <v>1184</v>
      </c>
      <c r="W7656" s="6"/>
      <c r="X7656" s="6"/>
      <c r="Y7656" s="6"/>
      <c r="Z7656" s="6"/>
      <c r="AA7656" s="6" t="s">
        <v>248</v>
      </c>
      <c r="AB7656" s="8"/>
      <c r="AC7656" s="27">
        <v>9785917685298</v>
      </c>
    </row>
    <row r="7657" spans="1:29" s="4" customFormat="1" ht="44.1" customHeight="1" x14ac:dyDescent="0.2">
      <c r="A7657" s="5">
        <v>0</v>
      </c>
      <c r="B7657" s="6" t="s">
        <v>43190</v>
      </c>
      <c r="C7657" s="7">
        <v>1320</v>
      </c>
      <c r="D7657" s="8" t="s">
        <v>43191</v>
      </c>
      <c r="E7657" s="8" t="s">
        <v>43192</v>
      </c>
      <c r="F7657" s="8" t="s">
        <v>43193</v>
      </c>
      <c r="G7657" s="6" t="s">
        <v>33</v>
      </c>
      <c r="H7657" s="6" t="s">
        <v>34</v>
      </c>
      <c r="I7657" s="8" t="s">
        <v>35</v>
      </c>
      <c r="J7657" s="9">
        <v>1</v>
      </c>
      <c r="K7657" s="9">
        <v>301</v>
      </c>
      <c r="L7657" s="9">
        <v>2021</v>
      </c>
      <c r="M7657" s="8" t="s">
        <v>43194</v>
      </c>
      <c r="N7657" s="8" t="s">
        <v>243</v>
      </c>
      <c r="O7657" s="8" t="s">
        <v>798</v>
      </c>
      <c r="P7657" s="6" t="s">
        <v>39</v>
      </c>
      <c r="Q7657" s="8" t="s">
        <v>40</v>
      </c>
      <c r="R7657" s="10" t="s">
        <v>33987</v>
      </c>
      <c r="S7657" s="11"/>
      <c r="T7657" s="6"/>
      <c r="U7657" s="15" t="str">
        <f>HYPERLINK("https://media.infra-m.ru/1146/1146805/cover/1146805.jpg", "Обложка")</f>
        <v>Обложка</v>
      </c>
      <c r="V7657" s="8" t="s">
        <v>21528</v>
      </c>
      <c r="W7657" s="6"/>
      <c r="X7657" s="6"/>
      <c r="Y7657" s="6"/>
      <c r="Z7657" s="6"/>
      <c r="AA7657" s="6" t="s">
        <v>430</v>
      </c>
      <c r="AB7657" s="8"/>
      <c r="AC7657" s="27">
        <v>9785160164410</v>
      </c>
    </row>
    <row r="7658" spans="1:29" s="4" customFormat="1" ht="42" customHeight="1" x14ac:dyDescent="0.2">
      <c r="A7658" s="5">
        <v>0</v>
      </c>
      <c r="B7658" s="6" t="s">
        <v>43195</v>
      </c>
      <c r="C7658" s="7">
        <v>1608</v>
      </c>
      <c r="D7658" s="8" t="s">
        <v>43196</v>
      </c>
      <c r="E7658" s="8" t="s">
        <v>43197</v>
      </c>
      <c r="F7658" s="8" t="s">
        <v>43198</v>
      </c>
      <c r="G7658" s="6" t="s">
        <v>60</v>
      </c>
      <c r="H7658" s="6" t="s">
        <v>34</v>
      </c>
      <c r="I7658" s="8" t="s">
        <v>253</v>
      </c>
      <c r="J7658" s="9">
        <v>1</v>
      </c>
      <c r="K7658" s="9">
        <v>271</v>
      </c>
      <c r="L7658" s="9">
        <v>2024</v>
      </c>
      <c r="M7658" s="8" t="s">
        <v>43199</v>
      </c>
      <c r="N7658" s="8" t="s">
        <v>37</v>
      </c>
      <c r="O7658" s="8" t="s">
        <v>280</v>
      </c>
      <c r="P7658" s="6" t="s">
        <v>306</v>
      </c>
      <c r="Q7658" s="8" t="s">
        <v>52</v>
      </c>
      <c r="R7658" s="10" t="s">
        <v>357</v>
      </c>
      <c r="S7658" s="11"/>
      <c r="T7658" s="6"/>
      <c r="U7658" s="15" t="str">
        <f>HYPERLINK("https://media.infra-m.ru/1921/1921381/cover/1921381.jpg", "Обложка")</f>
        <v>Обложка</v>
      </c>
      <c r="V7658" s="8" t="s">
        <v>5250</v>
      </c>
      <c r="W7658" s="6"/>
      <c r="X7658" s="6"/>
      <c r="Y7658" s="6"/>
      <c r="Z7658" s="6"/>
      <c r="AA7658" s="6" t="s">
        <v>76</v>
      </c>
      <c r="AB7658" s="8"/>
      <c r="AC7658" s="27">
        <v>9785160182018</v>
      </c>
    </row>
    <row r="7659" spans="1:29" s="4" customFormat="1" ht="42" customHeight="1" x14ac:dyDescent="0.2">
      <c r="A7659" s="5">
        <v>0</v>
      </c>
      <c r="B7659" s="6" t="s">
        <v>43200</v>
      </c>
      <c r="C7659" s="7">
        <v>1408.8</v>
      </c>
      <c r="D7659" s="8" t="s">
        <v>43201</v>
      </c>
      <c r="E7659" s="8" t="s">
        <v>43202</v>
      </c>
      <c r="F7659" s="8" t="s">
        <v>43203</v>
      </c>
      <c r="G7659" s="6" t="s">
        <v>118</v>
      </c>
      <c r="H7659" s="6" t="s">
        <v>34</v>
      </c>
      <c r="I7659" s="8" t="s">
        <v>35</v>
      </c>
      <c r="J7659" s="9">
        <v>1</v>
      </c>
      <c r="K7659" s="9">
        <v>258</v>
      </c>
      <c r="L7659" s="9">
        <v>2023</v>
      </c>
      <c r="M7659" s="8" t="s">
        <v>43204</v>
      </c>
      <c r="N7659" s="8" t="s">
        <v>243</v>
      </c>
      <c r="O7659" s="8" t="s">
        <v>758</v>
      </c>
      <c r="P7659" s="6" t="s">
        <v>39</v>
      </c>
      <c r="Q7659" s="8" t="s">
        <v>40</v>
      </c>
      <c r="R7659" s="10" t="s">
        <v>7200</v>
      </c>
      <c r="S7659" s="11"/>
      <c r="T7659" s="6"/>
      <c r="U7659" s="15" t="str">
        <f>HYPERLINK("https://media.infra-m.ru/2006/2006931/cover/2006931.jpg", "Обложка")</f>
        <v>Обложка</v>
      </c>
      <c r="V7659" s="8" t="s">
        <v>4473</v>
      </c>
      <c r="W7659" s="6"/>
      <c r="X7659" s="6"/>
      <c r="Y7659" s="6"/>
      <c r="Z7659" s="6"/>
      <c r="AA7659" s="6" t="s">
        <v>86</v>
      </c>
      <c r="AB7659" s="8"/>
      <c r="AC7659" s="27">
        <v>9785160136844</v>
      </c>
    </row>
    <row r="7660" spans="1:29" s="4" customFormat="1" ht="51.9" customHeight="1" x14ac:dyDescent="0.2">
      <c r="A7660" s="5">
        <v>0</v>
      </c>
      <c r="B7660" s="6" t="s">
        <v>43205</v>
      </c>
      <c r="C7660" s="13">
        <v>820.8</v>
      </c>
      <c r="D7660" s="8" t="s">
        <v>43206</v>
      </c>
      <c r="E7660" s="8" t="s">
        <v>43207</v>
      </c>
      <c r="F7660" s="8" t="s">
        <v>43208</v>
      </c>
      <c r="G7660" s="6" t="s">
        <v>33</v>
      </c>
      <c r="H7660" s="6" t="s">
        <v>134</v>
      </c>
      <c r="I7660" s="8"/>
      <c r="J7660" s="9">
        <v>1</v>
      </c>
      <c r="K7660" s="9">
        <v>112</v>
      </c>
      <c r="L7660" s="9">
        <v>2026</v>
      </c>
      <c r="M7660" s="8" t="s">
        <v>43209</v>
      </c>
      <c r="N7660" s="8" t="s">
        <v>37</v>
      </c>
      <c r="O7660" s="8" t="s">
        <v>136</v>
      </c>
      <c r="P7660" s="6" t="s">
        <v>51</v>
      </c>
      <c r="Q7660" s="8" t="s">
        <v>500</v>
      </c>
      <c r="R7660" s="10" t="s">
        <v>1275</v>
      </c>
      <c r="S7660" s="11"/>
      <c r="T7660" s="6"/>
      <c r="U7660" s="15" t="str">
        <f>HYPERLINK("https://media.infra-m.ru/2247/2247962/cover/2247962.jpg", "Обложка")</f>
        <v>Обложка</v>
      </c>
      <c r="V7660" s="8" t="s">
        <v>1184</v>
      </c>
      <c r="W7660" s="6"/>
      <c r="X7660" s="6"/>
      <c r="Y7660" s="6"/>
      <c r="Z7660" s="6"/>
      <c r="AA7660" s="6" t="s">
        <v>779</v>
      </c>
      <c r="AB7660" s="8"/>
      <c r="AC7660" s="27">
        <v>9785917687803</v>
      </c>
    </row>
    <row r="7661" spans="1:29" s="4" customFormat="1" ht="51.9" customHeight="1" x14ac:dyDescent="0.2">
      <c r="A7661" s="5">
        <v>0</v>
      </c>
      <c r="B7661" s="6" t="s">
        <v>43210</v>
      </c>
      <c r="C7661" s="7">
        <v>2596.8000000000002</v>
      </c>
      <c r="D7661" s="8" t="s">
        <v>43211</v>
      </c>
      <c r="E7661" s="8" t="s">
        <v>43212</v>
      </c>
      <c r="F7661" s="8" t="s">
        <v>43213</v>
      </c>
      <c r="G7661" s="6" t="s">
        <v>118</v>
      </c>
      <c r="H7661" s="6" t="s">
        <v>34</v>
      </c>
      <c r="I7661" s="8" t="s">
        <v>1248</v>
      </c>
      <c r="J7661" s="9">
        <v>1</v>
      </c>
      <c r="K7661" s="9">
        <v>372</v>
      </c>
      <c r="L7661" s="9">
        <v>2027</v>
      </c>
      <c r="M7661" s="8" t="s">
        <v>43214</v>
      </c>
      <c r="N7661" s="8" t="s">
        <v>37</v>
      </c>
      <c r="O7661" s="8" t="s">
        <v>499</v>
      </c>
      <c r="P7661" s="6" t="s">
        <v>51</v>
      </c>
      <c r="Q7661" s="8" t="s">
        <v>52</v>
      </c>
      <c r="R7661" s="10" t="s">
        <v>36353</v>
      </c>
      <c r="S7661" s="11" t="s">
        <v>43215</v>
      </c>
      <c r="T7661" s="6"/>
      <c r="U7661" s="15" t="str">
        <f>HYPERLINK("https://media.infra-m.ru/2266/2266525/cover/2266525.jpg", "Обложка")</f>
        <v>Обложка</v>
      </c>
      <c r="V7661" s="8" t="s">
        <v>1083</v>
      </c>
      <c r="W7661" s="6"/>
      <c r="X7661" s="6"/>
      <c r="Y7661" s="6"/>
      <c r="Z7661" s="6"/>
      <c r="AA7661" s="6" t="s">
        <v>86</v>
      </c>
      <c r="AB7661" s="8"/>
      <c r="AC7661" s="27">
        <v>9785160191317</v>
      </c>
    </row>
    <row r="7662" spans="1:29" s="4" customFormat="1" ht="51.9" customHeight="1" x14ac:dyDescent="0.2">
      <c r="A7662" s="5">
        <v>0</v>
      </c>
      <c r="B7662" s="6" t="s">
        <v>43216</v>
      </c>
      <c r="C7662" s="7">
        <v>1672.8</v>
      </c>
      <c r="D7662" s="8" t="s">
        <v>43217</v>
      </c>
      <c r="E7662" s="8" t="s">
        <v>43218</v>
      </c>
      <c r="F7662" s="8" t="s">
        <v>43219</v>
      </c>
      <c r="G7662" s="6" t="s">
        <v>60</v>
      </c>
      <c r="H7662" s="6" t="s">
        <v>34</v>
      </c>
      <c r="I7662" s="8" t="s">
        <v>271</v>
      </c>
      <c r="J7662" s="9">
        <v>1</v>
      </c>
      <c r="K7662" s="9">
        <v>252</v>
      </c>
      <c r="L7662" s="9">
        <v>2026</v>
      </c>
      <c r="M7662" s="8" t="s">
        <v>43220</v>
      </c>
      <c r="N7662" s="8" t="s">
        <v>37</v>
      </c>
      <c r="O7662" s="8" t="s">
        <v>499</v>
      </c>
      <c r="P7662" s="6" t="s">
        <v>306</v>
      </c>
      <c r="Q7662" s="8" t="s">
        <v>52</v>
      </c>
      <c r="R7662" s="10" t="s">
        <v>43221</v>
      </c>
      <c r="S7662" s="11" t="s">
        <v>43222</v>
      </c>
      <c r="T7662" s="6"/>
      <c r="U7662" s="15" t="str">
        <f>HYPERLINK("https://media.infra-m.ru/2224/2224138/cover/2224138.jpg", "Обложка")</f>
        <v>Обложка</v>
      </c>
      <c r="V7662" s="8" t="s">
        <v>1768</v>
      </c>
      <c r="W7662" s="6"/>
      <c r="X7662" s="6"/>
      <c r="Y7662" s="6"/>
      <c r="Z7662" s="6"/>
      <c r="AA7662" s="6" t="s">
        <v>248</v>
      </c>
      <c r="AB7662" s="8"/>
      <c r="AC7662" s="27">
        <v>9785160065052</v>
      </c>
    </row>
    <row r="7663" spans="1:29" s="4" customFormat="1" ht="42" customHeight="1" x14ac:dyDescent="0.2">
      <c r="A7663" s="5">
        <v>0</v>
      </c>
      <c r="B7663" s="6" t="s">
        <v>43223</v>
      </c>
      <c r="C7663" s="7">
        <v>1476</v>
      </c>
      <c r="D7663" s="8" t="s">
        <v>43224</v>
      </c>
      <c r="E7663" s="8" t="s">
        <v>43225</v>
      </c>
      <c r="F7663" s="8" t="s">
        <v>43226</v>
      </c>
      <c r="G7663" s="6" t="s">
        <v>33</v>
      </c>
      <c r="H7663" s="6" t="s">
        <v>34</v>
      </c>
      <c r="I7663" s="8" t="s">
        <v>35</v>
      </c>
      <c r="J7663" s="9">
        <v>1</v>
      </c>
      <c r="K7663" s="9">
        <v>273</v>
      </c>
      <c r="L7663" s="9">
        <v>2021</v>
      </c>
      <c r="M7663" s="8" t="s">
        <v>43227</v>
      </c>
      <c r="N7663" s="8" t="s">
        <v>93</v>
      </c>
      <c r="O7663" s="8" t="s">
        <v>94</v>
      </c>
      <c r="P7663" s="6" t="s">
        <v>39</v>
      </c>
      <c r="Q7663" s="8" t="s">
        <v>40</v>
      </c>
      <c r="R7663" s="10" t="s">
        <v>1563</v>
      </c>
      <c r="S7663" s="11"/>
      <c r="T7663" s="6"/>
      <c r="U7663" s="15" t="str">
        <f>HYPERLINK("https://media.infra-m.ru/1947/1947401/cover/1947401.jpg", "Обложка")</f>
        <v>Обложка</v>
      </c>
      <c r="V7663" s="8" t="s">
        <v>7920</v>
      </c>
      <c r="W7663" s="6"/>
      <c r="X7663" s="6"/>
      <c r="Y7663" s="6"/>
      <c r="Z7663" s="6"/>
      <c r="AA7663" s="6" t="s">
        <v>430</v>
      </c>
      <c r="AB7663" s="8"/>
      <c r="AC7663" s="27">
        <v>9785160163314</v>
      </c>
    </row>
    <row r="7664" spans="1:29" s="4" customFormat="1" ht="51.9" customHeight="1" x14ac:dyDescent="0.2">
      <c r="A7664" s="5">
        <v>0</v>
      </c>
      <c r="B7664" s="6" t="s">
        <v>43228</v>
      </c>
      <c r="C7664" s="7">
        <v>1980</v>
      </c>
      <c r="D7664" s="8" t="s">
        <v>43229</v>
      </c>
      <c r="E7664" s="8" t="s">
        <v>43230</v>
      </c>
      <c r="F7664" s="8" t="s">
        <v>3350</v>
      </c>
      <c r="G7664" s="6" t="s">
        <v>118</v>
      </c>
      <c r="H7664" s="6" t="s">
        <v>34</v>
      </c>
      <c r="I7664" s="8" t="s">
        <v>253</v>
      </c>
      <c r="J7664" s="9">
        <v>1</v>
      </c>
      <c r="K7664" s="9">
        <v>300</v>
      </c>
      <c r="L7664" s="9">
        <v>2026</v>
      </c>
      <c r="M7664" s="8" t="s">
        <v>43231</v>
      </c>
      <c r="N7664" s="8" t="s">
        <v>63</v>
      </c>
      <c r="O7664" s="8" t="s">
        <v>154</v>
      </c>
      <c r="P7664" s="6" t="s">
        <v>51</v>
      </c>
      <c r="Q7664" s="8" t="s">
        <v>52</v>
      </c>
      <c r="R7664" s="10" t="s">
        <v>35678</v>
      </c>
      <c r="S7664" s="11"/>
      <c r="T7664" s="6"/>
      <c r="U7664" s="15" t="str">
        <f>HYPERLINK("https://media.infra-m.ru/2252/2252532/cover/2252532.jpg", "Обложка")</f>
        <v>Обложка</v>
      </c>
      <c r="V7664" s="8" t="s">
        <v>2389</v>
      </c>
      <c r="W7664" s="6"/>
      <c r="X7664" s="6"/>
      <c r="Y7664" s="6"/>
      <c r="Z7664" s="6"/>
      <c r="AA7664" s="6" t="s">
        <v>76</v>
      </c>
      <c r="AB7664" s="8"/>
      <c r="AC7664" s="27">
        <v>9785160180762</v>
      </c>
    </row>
    <row r="7665" spans="1:29" s="4" customFormat="1" ht="42" customHeight="1" x14ac:dyDescent="0.2">
      <c r="A7665" s="5">
        <v>0</v>
      </c>
      <c r="B7665" s="6" t="s">
        <v>43232</v>
      </c>
      <c r="C7665" s="7">
        <v>1936.8</v>
      </c>
      <c r="D7665" s="8" t="s">
        <v>43233</v>
      </c>
      <c r="E7665" s="8" t="s">
        <v>43234</v>
      </c>
      <c r="F7665" s="8" t="s">
        <v>43235</v>
      </c>
      <c r="G7665" s="6" t="s">
        <v>60</v>
      </c>
      <c r="H7665" s="6" t="s">
        <v>48</v>
      </c>
      <c r="I7665" s="8" t="s">
        <v>271</v>
      </c>
      <c r="J7665" s="9">
        <v>1</v>
      </c>
      <c r="K7665" s="9">
        <v>352</v>
      </c>
      <c r="L7665" s="9">
        <v>2024</v>
      </c>
      <c r="M7665" s="8" t="s">
        <v>43236</v>
      </c>
      <c r="N7665" s="8" t="s">
        <v>37</v>
      </c>
      <c r="O7665" s="8" t="s">
        <v>83</v>
      </c>
      <c r="P7665" s="6" t="s">
        <v>51</v>
      </c>
      <c r="Q7665" s="8" t="s">
        <v>52</v>
      </c>
      <c r="R7665" s="10" t="s">
        <v>35075</v>
      </c>
      <c r="S7665" s="11"/>
      <c r="T7665" s="6"/>
      <c r="U7665" s="15" t="str">
        <f>HYPERLINK("https://media.infra-m.ru/2104/2104873/cover/2104873.jpg", "Обложка")</f>
        <v>Обложка</v>
      </c>
      <c r="V7665" s="8" t="s">
        <v>7502</v>
      </c>
      <c r="W7665" s="6"/>
      <c r="X7665" s="6"/>
      <c r="Y7665" s="6"/>
      <c r="Z7665" s="6"/>
      <c r="AA7665" s="6" t="s">
        <v>55</v>
      </c>
      <c r="AB7665" s="8"/>
      <c r="AC7665" s="27">
        <v>9785911347222</v>
      </c>
    </row>
    <row r="7666" spans="1:29" s="4" customFormat="1" ht="44.1" customHeight="1" x14ac:dyDescent="0.2">
      <c r="A7666" s="5">
        <v>0</v>
      </c>
      <c r="B7666" s="6" t="s">
        <v>43237</v>
      </c>
      <c r="C7666" s="13">
        <v>796.8</v>
      </c>
      <c r="D7666" s="8" t="s">
        <v>43238</v>
      </c>
      <c r="E7666" s="8" t="s">
        <v>43239</v>
      </c>
      <c r="F7666" s="8" t="s">
        <v>10982</v>
      </c>
      <c r="G7666" s="6" t="s">
        <v>33</v>
      </c>
      <c r="H7666" s="6" t="s">
        <v>34</v>
      </c>
      <c r="I7666" s="8" t="s">
        <v>35</v>
      </c>
      <c r="J7666" s="9">
        <v>1</v>
      </c>
      <c r="K7666" s="9">
        <v>145</v>
      </c>
      <c r="L7666" s="9">
        <v>2023</v>
      </c>
      <c r="M7666" s="8" t="s">
        <v>43240</v>
      </c>
      <c r="N7666" s="8" t="s">
        <v>93</v>
      </c>
      <c r="O7666" s="8" t="s">
        <v>94</v>
      </c>
      <c r="P7666" s="6" t="s">
        <v>39</v>
      </c>
      <c r="Q7666" s="8" t="s">
        <v>40</v>
      </c>
      <c r="R7666" s="10" t="s">
        <v>43241</v>
      </c>
      <c r="S7666" s="11"/>
      <c r="T7666" s="6"/>
      <c r="U7666" s="15" t="str">
        <f>HYPERLINK("https://media.infra-m.ru/2080/2080758/cover/2080758.jpg", "Обложка")</f>
        <v>Обложка</v>
      </c>
      <c r="V7666" s="8" t="s">
        <v>10985</v>
      </c>
      <c r="W7666" s="6"/>
      <c r="X7666" s="6"/>
      <c r="Y7666" s="6"/>
      <c r="Z7666" s="6"/>
      <c r="AA7666" s="6" t="s">
        <v>360</v>
      </c>
      <c r="AB7666" s="8"/>
      <c r="AC7666" s="27">
        <v>9785160119779</v>
      </c>
    </row>
    <row r="7667" spans="1:29" s="4" customFormat="1" ht="51.9" customHeight="1" x14ac:dyDescent="0.2">
      <c r="A7667" s="5">
        <v>0</v>
      </c>
      <c r="B7667" s="6" t="s">
        <v>43242</v>
      </c>
      <c r="C7667" s="7">
        <v>1900.8</v>
      </c>
      <c r="D7667" s="8" t="s">
        <v>43243</v>
      </c>
      <c r="E7667" s="8" t="s">
        <v>43244</v>
      </c>
      <c r="F7667" s="8" t="s">
        <v>43245</v>
      </c>
      <c r="G7667" s="6" t="s">
        <v>33</v>
      </c>
      <c r="H7667" s="6" t="s">
        <v>34</v>
      </c>
      <c r="I7667" s="8"/>
      <c r="J7667" s="9">
        <v>1</v>
      </c>
      <c r="K7667" s="9">
        <v>299</v>
      </c>
      <c r="L7667" s="9">
        <v>2026</v>
      </c>
      <c r="M7667" s="8" t="s">
        <v>43246</v>
      </c>
      <c r="N7667" s="8" t="s">
        <v>37</v>
      </c>
      <c r="O7667" s="8" t="s">
        <v>499</v>
      </c>
      <c r="P7667" s="6" t="s">
        <v>51</v>
      </c>
      <c r="Q7667" s="8" t="s">
        <v>52</v>
      </c>
      <c r="R7667" s="10" t="s">
        <v>43247</v>
      </c>
      <c r="S7667" s="11"/>
      <c r="T7667" s="6"/>
      <c r="U7667" s="15" t="str">
        <f>HYPERLINK("https://media.infra-m.ru/2218/2218881/cover/2218881.jpg", "Обложка")</f>
        <v>Обложка</v>
      </c>
      <c r="V7667" s="8" t="s">
        <v>3595</v>
      </c>
      <c r="W7667" s="6"/>
      <c r="X7667" s="6"/>
      <c r="Y7667" s="6"/>
      <c r="Z7667" s="6"/>
      <c r="AA7667" s="6" t="s">
        <v>274</v>
      </c>
      <c r="AB7667" s="8"/>
      <c r="AC7667" s="27">
        <v>9785160047942</v>
      </c>
    </row>
    <row r="7668" spans="1:29" s="4" customFormat="1" ht="51.9" customHeight="1" x14ac:dyDescent="0.2">
      <c r="A7668" s="5">
        <v>0</v>
      </c>
      <c r="B7668" s="6" t="s">
        <v>43248</v>
      </c>
      <c r="C7668" s="7">
        <v>2120.4</v>
      </c>
      <c r="D7668" s="8" t="s">
        <v>43249</v>
      </c>
      <c r="E7668" s="8" t="s">
        <v>43250</v>
      </c>
      <c r="F7668" s="8" t="s">
        <v>43251</v>
      </c>
      <c r="G7668" s="6" t="s">
        <v>60</v>
      </c>
      <c r="H7668" s="6" t="s">
        <v>48</v>
      </c>
      <c r="I7668" s="8" t="s">
        <v>253</v>
      </c>
      <c r="J7668" s="9">
        <v>1</v>
      </c>
      <c r="K7668" s="9">
        <v>384</v>
      </c>
      <c r="L7668" s="9">
        <v>2024</v>
      </c>
      <c r="M7668" s="8" t="s">
        <v>43252</v>
      </c>
      <c r="N7668" s="8" t="s">
        <v>243</v>
      </c>
      <c r="O7668" s="8" t="s">
        <v>758</v>
      </c>
      <c r="P7668" s="6" t="s">
        <v>51</v>
      </c>
      <c r="Q7668" s="8" t="s">
        <v>52</v>
      </c>
      <c r="R7668" s="10" t="s">
        <v>43253</v>
      </c>
      <c r="S7668" s="11" t="s">
        <v>43254</v>
      </c>
      <c r="T7668" s="6"/>
      <c r="U7668" s="15" t="str">
        <f>HYPERLINK("https://media.infra-m.ru/2056/2056656/cover/2056656.jpg", "Обложка")</f>
        <v>Обложка</v>
      </c>
      <c r="V7668" s="8" t="s">
        <v>2398</v>
      </c>
      <c r="W7668" s="6"/>
      <c r="X7668" s="6"/>
      <c r="Y7668" s="6"/>
      <c r="Z7668" s="6"/>
      <c r="AA7668" s="6" t="s">
        <v>3721</v>
      </c>
      <c r="AB7668" s="8"/>
      <c r="AC7668" s="27">
        <v>9785911347505</v>
      </c>
    </row>
    <row r="7669" spans="1:29" s="4" customFormat="1" ht="51.9" customHeight="1" x14ac:dyDescent="0.2">
      <c r="A7669" s="5">
        <v>0</v>
      </c>
      <c r="B7669" s="6" t="s">
        <v>43255</v>
      </c>
      <c r="C7669" s="7">
        <v>1416</v>
      </c>
      <c r="D7669" s="8" t="s">
        <v>43256</v>
      </c>
      <c r="E7669" s="8" t="s">
        <v>43257</v>
      </c>
      <c r="F7669" s="8" t="s">
        <v>43258</v>
      </c>
      <c r="G7669" s="6" t="s">
        <v>60</v>
      </c>
      <c r="H7669" s="6" t="s">
        <v>34</v>
      </c>
      <c r="I7669" s="8" t="s">
        <v>35</v>
      </c>
      <c r="J7669" s="9">
        <v>1</v>
      </c>
      <c r="K7669" s="9">
        <v>197</v>
      </c>
      <c r="L7669" s="9">
        <v>2026</v>
      </c>
      <c r="M7669" s="8" t="s">
        <v>43259</v>
      </c>
      <c r="N7669" s="8" t="s">
        <v>37</v>
      </c>
      <c r="O7669" s="8" t="s">
        <v>136</v>
      </c>
      <c r="P7669" s="6" t="s">
        <v>39</v>
      </c>
      <c r="Q7669" s="8" t="s">
        <v>40</v>
      </c>
      <c r="R7669" s="10" t="s">
        <v>43260</v>
      </c>
      <c r="S7669" s="11"/>
      <c r="T7669" s="6"/>
      <c r="U7669" s="15" t="str">
        <f>HYPERLINK("https://media.infra-m.ru/2221/2221787/cover/2221787.jpg", "Обложка")</f>
        <v>Обложка</v>
      </c>
      <c r="V7669" s="8" t="s">
        <v>1231</v>
      </c>
      <c r="W7669" s="6" t="s">
        <v>528</v>
      </c>
      <c r="X7669" s="6"/>
      <c r="Y7669" s="6"/>
      <c r="Z7669" s="6"/>
      <c r="AA7669" s="6" t="s">
        <v>187</v>
      </c>
      <c r="AB7669" s="8" t="s">
        <v>308</v>
      </c>
      <c r="AC7669" s="27">
        <v>9785160213132</v>
      </c>
    </row>
    <row r="7670" spans="1:29" s="4" customFormat="1" ht="42" customHeight="1" x14ac:dyDescent="0.2">
      <c r="A7670" s="5">
        <v>0</v>
      </c>
      <c r="B7670" s="6" t="s">
        <v>43261</v>
      </c>
      <c r="C7670" s="7">
        <v>1272</v>
      </c>
      <c r="D7670" s="8" t="s">
        <v>43262</v>
      </c>
      <c r="E7670" s="8" t="s">
        <v>43263</v>
      </c>
      <c r="F7670" s="8" t="s">
        <v>41929</v>
      </c>
      <c r="G7670" s="6" t="s">
        <v>60</v>
      </c>
      <c r="H7670" s="6" t="s">
        <v>34</v>
      </c>
      <c r="I7670" s="8" t="s">
        <v>35</v>
      </c>
      <c r="J7670" s="9">
        <v>1</v>
      </c>
      <c r="K7670" s="9">
        <v>209</v>
      </c>
      <c r="L7670" s="9">
        <v>2024</v>
      </c>
      <c r="M7670" s="8" t="s">
        <v>43264</v>
      </c>
      <c r="N7670" s="8" t="s">
        <v>37</v>
      </c>
      <c r="O7670" s="8" t="s">
        <v>136</v>
      </c>
      <c r="P7670" s="6" t="s">
        <v>39</v>
      </c>
      <c r="Q7670" s="8" t="s">
        <v>40</v>
      </c>
      <c r="R7670" s="10" t="s">
        <v>43265</v>
      </c>
      <c r="S7670" s="11"/>
      <c r="T7670" s="6"/>
      <c r="U7670" s="15" t="str">
        <f>HYPERLINK("https://media.infra-m.ru/2048/2048106/cover/2048106.jpg", "Обложка")</f>
        <v>Обложка</v>
      </c>
      <c r="V7670" s="8" t="s">
        <v>5117</v>
      </c>
      <c r="W7670" s="6"/>
      <c r="X7670" s="6"/>
      <c r="Y7670" s="6"/>
      <c r="Z7670" s="6"/>
      <c r="AA7670" s="6" t="s">
        <v>76</v>
      </c>
      <c r="AB7670" s="8"/>
      <c r="AC7670" s="27">
        <v>9785160186993</v>
      </c>
    </row>
    <row r="7671" spans="1:29" s="4" customFormat="1" ht="42" customHeight="1" x14ac:dyDescent="0.2">
      <c r="A7671" s="5">
        <v>0</v>
      </c>
      <c r="B7671" s="6" t="s">
        <v>43266</v>
      </c>
      <c r="C7671" s="7">
        <v>1948.8</v>
      </c>
      <c r="D7671" s="8" t="s">
        <v>43267</v>
      </c>
      <c r="E7671" s="8" t="s">
        <v>43268</v>
      </c>
      <c r="F7671" s="8" t="s">
        <v>43269</v>
      </c>
      <c r="G7671" s="6" t="s">
        <v>118</v>
      </c>
      <c r="H7671" s="6" t="s">
        <v>34</v>
      </c>
      <c r="I7671" s="8" t="s">
        <v>35</v>
      </c>
      <c r="J7671" s="9">
        <v>1</v>
      </c>
      <c r="K7671" s="9">
        <v>281</v>
      </c>
      <c r="L7671" s="9">
        <v>2026</v>
      </c>
      <c r="M7671" s="8" t="s">
        <v>43270</v>
      </c>
      <c r="N7671" s="8" t="s">
        <v>585</v>
      </c>
      <c r="O7671" s="8" t="s">
        <v>586</v>
      </c>
      <c r="P7671" s="6" t="s">
        <v>39</v>
      </c>
      <c r="Q7671" s="8" t="s">
        <v>40</v>
      </c>
      <c r="R7671" s="10" t="s">
        <v>14616</v>
      </c>
      <c r="S7671" s="11"/>
      <c r="T7671" s="6"/>
      <c r="U7671" s="15" t="str">
        <f>HYPERLINK("https://media.infra-m.ru/2259/2259612/cover/2259612.jpg", "Обложка")</f>
        <v>Обложка</v>
      </c>
      <c r="V7671" s="8" t="s">
        <v>43271</v>
      </c>
      <c r="W7671" s="6"/>
      <c r="X7671" s="6"/>
      <c r="Y7671" s="6"/>
      <c r="Z7671" s="6"/>
      <c r="AA7671" s="6" t="s">
        <v>115</v>
      </c>
      <c r="AB7671" s="8"/>
      <c r="AC7671" s="27">
        <v>9785160150536</v>
      </c>
    </row>
    <row r="7672" spans="1:29" s="4" customFormat="1" ht="42" customHeight="1" x14ac:dyDescent="0.2">
      <c r="A7672" s="5">
        <v>0</v>
      </c>
      <c r="B7672" s="6" t="s">
        <v>43272</v>
      </c>
      <c r="C7672" s="7">
        <v>3848.4</v>
      </c>
      <c r="D7672" s="8" t="s">
        <v>43273</v>
      </c>
      <c r="E7672" s="8" t="s">
        <v>43274</v>
      </c>
      <c r="F7672" s="8" t="s">
        <v>43275</v>
      </c>
      <c r="G7672" s="6" t="s">
        <v>60</v>
      </c>
      <c r="H7672" s="6" t="s">
        <v>48</v>
      </c>
      <c r="I7672" s="8" t="s">
        <v>253</v>
      </c>
      <c r="J7672" s="9">
        <v>1</v>
      </c>
      <c r="K7672" s="9">
        <v>448</v>
      </c>
      <c r="L7672" s="9">
        <v>2026</v>
      </c>
      <c r="M7672" s="8" t="s">
        <v>43276</v>
      </c>
      <c r="N7672" s="8" t="s">
        <v>243</v>
      </c>
      <c r="O7672" s="8" t="s">
        <v>758</v>
      </c>
      <c r="P7672" s="6" t="s">
        <v>306</v>
      </c>
      <c r="Q7672" s="8" t="s">
        <v>65</v>
      </c>
      <c r="R7672" s="10" t="s">
        <v>36521</v>
      </c>
      <c r="S7672" s="11"/>
      <c r="T7672" s="6"/>
      <c r="U7672" s="15" t="str">
        <f>HYPERLINK("https://media.infra-m.ru/2241/2241344/cover/2241344.jpg", "Обложка")</f>
        <v>Обложка</v>
      </c>
      <c r="V7672" s="8" t="s">
        <v>831</v>
      </c>
      <c r="W7672" s="6"/>
      <c r="X7672" s="6"/>
      <c r="Y7672" s="6"/>
      <c r="Z7672" s="6"/>
      <c r="AA7672" s="6" t="s">
        <v>43</v>
      </c>
      <c r="AB7672" s="8"/>
      <c r="AC7672" s="27">
        <v>9785911346737</v>
      </c>
    </row>
    <row r="7673" spans="1:29" s="4" customFormat="1" ht="51.9" customHeight="1" x14ac:dyDescent="0.2">
      <c r="A7673" s="5">
        <v>0</v>
      </c>
      <c r="B7673" s="6" t="s">
        <v>43277</v>
      </c>
      <c r="C7673" s="7">
        <v>1697.9</v>
      </c>
      <c r="D7673" s="8" t="s">
        <v>43278</v>
      </c>
      <c r="E7673" s="8" t="s">
        <v>43279</v>
      </c>
      <c r="F7673" s="8" t="s">
        <v>43280</v>
      </c>
      <c r="G7673" s="6" t="s">
        <v>118</v>
      </c>
      <c r="H7673" s="6" t="s">
        <v>34</v>
      </c>
      <c r="I7673" s="8" t="s">
        <v>253</v>
      </c>
      <c r="J7673" s="9">
        <v>1</v>
      </c>
      <c r="K7673" s="9">
        <v>384</v>
      </c>
      <c r="L7673" s="9">
        <v>2022</v>
      </c>
      <c r="M7673" s="8" t="s">
        <v>43281</v>
      </c>
      <c r="N7673" s="8" t="s">
        <v>243</v>
      </c>
      <c r="O7673" s="8" t="s">
        <v>758</v>
      </c>
      <c r="P7673" s="6" t="s">
        <v>306</v>
      </c>
      <c r="Q7673" s="8" t="s">
        <v>52</v>
      </c>
      <c r="R7673" s="10" t="s">
        <v>43282</v>
      </c>
      <c r="S7673" s="11" t="s">
        <v>43283</v>
      </c>
      <c r="T7673" s="6"/>
      <c r="U7673" s="15" t="str">
        <f>HYPERLINK("https://media.infra-m.ru/1836/1836735/cover/1836735.jpg", "Обложка")</f>
        <v>Обложка</v>
      </c>
      <c r="V7673" s="8" t="s">
        <v>7509</v>
      </c>
      <c r="W7673" s="6"/>
      <c r="X7673" s="6"/>
      <c r="Y7673" s="6"/>
      <c r="Z7673" s="6"/>
      <c r="AA7673" s="6" t="s">
        <v>129</v>
      </c>
      <c r="AB7673" s="8"/>
      <c r="AC7673" s="27">
        <v>9785160047621</v>
      </c>
    </row>
    <row r="7674" spans="1:29" s="4" customFormat="1" ht="51.9" customHeight="1" x14ac:dyDescent="0.2">
      <c r="A7674" s="5">
        <v>0</v>
      </c>
      <c r="B7674" s="6" t="s">
        <v>43284</v>
      </c>
      <c r="C7674" s="7">
        <v>1776</v>
      </c>
      <c r="D7674" s="8" t="s">
        <v>43285</v>
      </c>
      <c r="E7674" s="8" t="s">
        <v>43286</v>
      </c>
      <c r="F7674" s="8" t="s">
        <v>43280</v>
      </c>
      <c r="G7674" s="6" t="s">
        <v>118</v>
      </c>
      <c r="H7674" s="6" t="s">
        <v>34</v>
      </c>
      <c r="I7674" s="8" t="s">
        <v>253</v>
      </c>
      <c r="J7674" s="9">
        <v>1</v>
      </c>
      <c r="K7674" s="9">
        <v>406</v>
      </c>
      <c r="L7674" s="9">
        <v>2022</v>
      </c>
      <c r="M7674" s="8" t="s">
        <v>43287</v>
      </c>
      <c r="N7674" s="8" t="s">
        <v>243</v>
      </c>
      <c r="O7674" s="8" t="s">
        <v>758</v>
      </c>
      <c r="P7674" s="6" t="s">
        <v>306</v>
      </c>
      <c r="Q7674" s="8" t="s">
        <v>52</v>
      </c>
      <c r="R7674" s="10" t="s">
        <v>43288</v>
      </c>
      <c r="S7674" s="11" t="s">
        <v>43289</v>
      </c>
      <c r="T7674" s="6"/>
      <c r="U7674" s="15" t="str">
        <f>HYPERLINK("https://media.infra-m.ru/1222/1222937/cover/1222937.jpg", "Обложка")</f>
        <v>Обложка</v>
      </c>
      <c r="V7674" s="8" t="s">
        <v>7509</v>
      </c>
      <c r="W7674" s="6"/>
      <c r="X7674" s="6"/>
      <c r="Y7674" s="6"/>
      <c r="Z7674" s="6"/>
      <c r="AA7674" s="6" t="s">
        <v>129</v>
      </c>
      <c r="AB7674" s="8"/>
      <c r="AC7674" s="27">
        <v>9785160047874</v>
      </c>
    </row>
    <row r="7675" spans="1:29" s="4" customFormat="1" ht="51.9" customHeight="1" x14ac:dyDescent="0.2">
      <c r="A7675" s="5">
        <v>0</v>
      </c>
      <c r="B7675" s="6" t="s">
        <v>43290</v>
      </c>
      <c r="C7675" s="7">
        <v>1444.8</v>
      </c>
      <c r="D7675" s="8" t="s">
        <v>43291</v>
      </c>
      <c r="E7675" s="8" t="s">
        <v>43292</v>
      </c>
      <c r="F7675" s="8" t="s">
        <v>43054</v>
      </c>
      <c r="G7675" s="6" t="s">
        <v>60</v>
      </c>
      <c r="H7675" s="6" t="s">
        <v>34</v>
      </c>
      <c r="I7675" s="8" t="s">
        <v>271</v>
      </c>
      <c r="J7675" s="9">
        <v>1</v>
      </c>
      <c r="K7675" s="9">
        <v>240</v>
      </c>
      <c r="L7675" s="9">
        <v>2025</v>
      </c>
      <c r="M7675" s="8" t="s">
        <v>43293</v>
      </c>
      <c r="N7675" s="8" t="s">
        <v>93</v>
      </c>
      <c r="O7675" s="8" t="s">
        <v>94</v>
      </c>
      <c r="P7675" s="6" t="s">
        <v>51</v>
      </c>
      <c r="Q7675" s="8" t="s">
        <v>52</v>
      </c>
      <c r="R7675" s="10" t="s">
        <v>9352</v>
      </c>
      <c r="S7675" s="11" t="s">
        <v>43294</v>
      </c>
      <c r="T7675" s="6"/>
      <c r="U7675" s="15" t="str">
        <f>HYPERLINK("https://media.infra-m.ru/2164/2164301/cover/2164301.jpg", "Обложка")</f>
        <v>Обложка</v>
      </c>
      <c r="V7675" s="8" t="s">
        <v>36042</v>
      </c>
      <c r="W7675" s="6"/>
      <c r="X7675" s="6"/>
      <c r="Y7675" s="6"/>
      <c r="Z7675" s="6"/>
      <c r="AA7675" s="6" t="s">
        <v>148</v>
      </c>
      <c r="AB7675" s="8" t="s">
        <v>1743</v>
      </c>
      <c r="AC7675" s="27">
        <v>9785160169767</v>
      </c>
    </row>
    <row r="7676" spans="1:29" s="4" customFormat="1" ht="51.9" customHeight="1" x14ac:dyDescent="0.2">
      <c r="A7676" s="5">
        <v>0</v>
      </c>
      <c r="B7676" s="6" t="s">
        <v>43295</v>
      </c>
      <c r="C7676" s="7">
        <v>1276.8</v>
      </c>
      <c r="D7676" s="8" t="s">
        <v>43296</v>
      </c>
      <c r="E7676" s="8" t="s">
        <v>43297</v>
      </c>
      <c r="F7676" s="8" t="s">
        <v>43298</v>
      </c>
      <c r="G7676" s="6" t="s">
        <v>60</v>
      </c>
      <c r="H7676" s="6" t="s">
        <v>34</v>
      </c>
      <c r="I7676" s="8" t="s">
        <v>271</v>
      </c>
      <c r="J7676" s="9">
        <v>1</v>
      </c>
      <c r="K7676" s="9">
        <v>192</v>
      </c>
      <c r="L7676" s="9">
        <v>2026</v>
      </c>
      <c r="M7676" s="8" t="s">
        <v>43299</v>
      </c>
      <c r="N7676" s="8" t="s">
        <v>63</v>
      </c>
      <c r="O7676" s="8" t="s">
        <v>154</v>
      </c>
      <c r="P7676" s="6" t="s">
        <v>51</v>
      </c>
      <c r="Q7676" s="8" t="s">
        <v>52</v>
      </c>
      <c r="R7676" s="10" t="s">
        <v>43300</v>
      </c>
      <c r="S7676" s="11" t="s">
        <v>43301</v>
      </c>
      <c r="T7676" s="6"/>
      <c r="U7676" s="15" t="str">
        <f>HYPERLINK("https://media.infra-m.ru/2246/2246642/cover/2246642.jpg", "Обложка")</f>
        <v>Обложка</v>
      </c>
      <c r="V7676" s="8" t="s">
        <v>156</v>
      </c>
      <c r="W7676" s="6"/>
      <c r="X7676" s="6"/>
      <c r="Y7676" s="6"/>
      <c r="Z7676" s="6"/>
      <c r="AA7676" s="6" t="s">
        <v>248</v>
      </c>
      <c r="AB7676" s="8"/>
      <c r="AC7676" s="27">
        <v>9785160063638</v>
      </c>
    </row>
    <row r="7677" spans="1:29" s="4" customFormat="1" ht="51.9" customHeight="1" x14ac:dyDescent="0.2">
      <c r="A7677" s="5">
        <v>0</v>
      </c>
      <c r="B7677" s="6" t="s">
        <v>43302</v>
      </c>
      <c r="C7677" s="7">
        <v>1680</v>
      </c>
      <c r="D7677" s="8" t="s">
        <v>43303</v>
      </c>
      <c r="E7677" s="8" t="s">
        <v>43304</v>
      </c>
      <c r="F7677" s="8" t="s">
        <v>43305</v>
      </c>
      <c r="G7677" s="6" t="s">
        <v>118</v>
      </c>
      <c r="H7677" s="6" t="s">
        <v>34</v>
      </c>
      <c r="I7677" s="8" t="s">
        <v>253</v>
      </c>
      <c r="J7677" s="9">
        <v>1</v>
      </c>
      <c r="K7677" s="9">
        <v>299</v>
      </c>
      <c r="L7677" s="9">
        <v>2024</v>
      </c>
      <c r="M7677" s="8" t="s">
        <v>43306</v>
      </c>
      <c r="N7677" s="8" t="s">
        <v>93</v>
      </c>
      <c r="O7677" s="8" t="s">
        <v>94</v>
      </c>
      <c r="P7677" s="6" t="s">
        <v>306</v>
      </c>
      <c r="Q7677" s="8" t="s">
        <v>52</v>
      </c>
      <c r="R7677" s="10" t="s">
        <v>30689</v>
      </c>
      <c r="S7677" s="11" t="s">
        <v>2487</v>
      </c>
      <c r="T7677" s="6" t="s">
        <v>97</v>
      </c>
      <c r="U7677" s="15" t="str">
        <f>HYPERLINK("https://media.infra-m.ru/2116/2116863/cover/2116863.jpg", "Обложка")</f>
        <v>Обложка</v>
      </c>
      <c r="V7677" s="8" t="s">
        <v>1599</v>
      </c>
      <c r="W7677" s="6"/>
      <c r="X7677" s="6"/>
      <c r="Y7677" s="6"/>
      <c r="Z7677" s="6"/>
      <c r="AA7677" s="6" t="s">
        <v>779</v>
      </c>
      <c r="AB7677" s="8"/>
      <c r="AC7677" s="27">
        <v>9785160194400</v>
      </c>
    </row>
    <row r="7678" spans="1:29" s="4" customFormat="1" ht="51.9" customHeight="1" x14ac:dyDescent="0.2">
      <c r="A7678" s="5">
        <v>0</v>
      </c>
      <c r="B7678" s="6" t="s">
        <v>43307</v>
      </c>
      <c r="C7678" s="7">
        <v>1548</v>
      </c>
      <c r="D7678" s="8" t="s">
        <v>43308</v>
      </c>
      <c r="E7678" s="8" t="s">
        <v>43309</v>
      </c>
      <c r="F7678" s="8" t="s">
        <v>5924</v>
      </c>
      <c r="G7678" s="6" t="s">
        <v>60</v>
      </c>
      <c r="H7678" s="6" t="s">
        <v>34</v>
      </c>
      <c r="I7678" s="8" t="s">
        <v>253</v>
      </c>
      <c r="J7678" s="9">
        <v>1</v>
      </c>
      <c r="K7678" s="9">
        <v>217</v>
      </c>
      <c r="L7678" s="9">
        <v>2026</v>
      </c>
      <c r="M7678" s="8" t="s">
        <v>43310</v>
      </c>
      <c r="N7678" s="8" t="s">
        <v>585</v>
      </c>
      <c r="O7678" s="8" t="s">
        <v>586</v>
      </c>
      <c r="P7678" s="6" t="s">
        <v>51</v>
      </c>
      <c r="Q7678" s="8" t="s">
        <v>52</v>
      </c>
      <c r="R7678" s="10" t="s">
        <v>15367</v>
      </c>
      <c r="S7678" s="11"/>
      <c r="T7678" s="6"/>
      <c r="U7678" s="15" t="str">
        <f>HYPERLINK("https://media.infra-m.ru/2198/2198473/cover/2198473.jpg", "Обложка")</f>
        <v>Обложка</v>
      </c>
      <c r="V7678" s="8" t="s">
        <v>396</v>
      </c>
      <c r="W7678" s="6" t="s">
        <v>1382</v>
      </c>
      <c r="X7678" s="6"/>
      <c r="Y7678" s="6"/>
      <c r="Z7678" s="6"/>
      <c r="AA7678" s="6" t="s">
        <v>187</v>
      </c>
      <c r="AB7678" s="8" t="s">
        <v>308</v>
      </c>
      <c r="AC7678" s="27">
        <v>9785160208343</v>
      </c>
    </row>
    <row r="7679" spans="1:29" s="4" customFormat="1" ht="51.9" customHeight="1" x14ac:dyDescent="0.2">
      <c r="A7679" s="5">
        <v>0</v>
      </c>
      <c r="B7679" s="6" t="s">
        <v>43311</v>
      </c>
      <c r="C7679" s="7">
        <v>2316</v>
      </c>
      <c r="D7679" s="8" t="s">
        <v>43312</v>
      </c>
      <c r="E7679" s="8" t="s">
        <v>43313</v>
      </c>
      <c r="F7679" s="8" t="s">
        <v>22712</v>
      </c>
      <c r="G7679" s="6" t="s">
        <v>60</v>
      </c>
      <c r="H7679" s="6" t="s">
        <v>34</v>
      </c>
      <c r="I7679" s="8" t="s">
        <v>14000</v>
      </c>
      <c r="J7679" s="9">
        <v>1</v>
      </c>
      <c r="K7679" s="9">
        <v>418</v>
      </c>
      <c r="L7679" s="9">
        <v>2024</v>
      </c>
      <c r="M7679" s="8" t="s">
        <v>43314</v>
      </c>
      <c r="N7679" s="8" t="s">
        <v>585</v>
      </c>
      <c r="O7679" s="8" t="s">
        <v>667</v>
      </c>
      <c r="P7679" s="6" t="s">
        <v>51</v>
      </c>
      <c r="Q7679" s="8" t="s">
        <v>52</v>
      </c>
      <c r="R7679" s="10" t="s">
        <v>43315</v>
      </c>
      <c r="S7679" s="11" t="s">
        <v>43316</v>
      </c>
      <c r="T7679" s="6"/>
      <c r="U7679" s="15" t="str">
        <f>HYPERLINK("https://media.infra-m.ru/2083/2083691/cover/2083691.jpg", "Обложка")</f>
        <v>Обложка</v>
      </c>
      <c r="V7679" s="8" t="s">
        <v>414</v>
      </c>
      <c r="W7679" s="6"/>
      <c r="X7679" s="6"/>
      <c r="Y7679" s="6"/>
      <c r="Z7679" s="6"/>
      <c r="AA7679" s="6" t="s">
        <v>115</v>
      </c>
      <c r="AB7679" s="8"/>
      <c r="AC7679" s="27">
        <v>9785160190358</v>
      </c>
    </row>
    <row r="7680" spans="1:29" s="4" customFormat="1" ht="51.9" customHeight="1" x14ac:dyDescent="0.2">
      <c r="A7680" s="5">
        <v>0</v>
      </c>
      <c r="B7680" s="6" t="s">
        <v>43317</v>
      </c>
      <c r="C7680" s="13">
        <v>964.8</v>
      </c>
      <c r="D7680" s="8" t="s">
        <v>43318</v>
      </c>
      <c r="E7680" s="8" t="s">
        <v>43319</v>
      </c>
      <c r="F7680" s="8" t="s">
        <v>43320</v>
      </c>
      <c r="G7680" s="6" t="s">
        <v>33</v>
      </c>
      <c r="H7680" s="6" t="s">
        <v>48</v>
      </c>
      <c r="I7680" s="8" t="s">
        <v>43321</v>
      </c>
      <c r="J7680" s="9">
        <v>1</v>
      </c>
      <c r="K7680" s="9">
        <v>128</v>
      </c>
      <c r="L7680" s="9">
        <v>2026</v>
      </c>
      <c r="M7680" s="8" t="s">
        <v>43322</v>
      </c>
      <c r="N7680" s="8" t="s">
        <v>585</v>
      </c>
      <c r="O7680" s="8" t="s">
        <v>667</v>
      </c>
      <c r="P7680" s="6" t="s">
        <v>51</v>
      </c>
      <c r="Q7680" s="8" t="s">
        <v>52</v>
      </c>
      <c r="R7680" s="10" t="s">
        <v>43323</v>
      </c>
      <c r="S7680" s="11" t="s">
        <v>43324</v>
      </c>
      <c r="T7680" s="6"/>
      <c r="U7680" s="15" t="str">
        <f>HYPERLINK("https://media.infra-m.ru/2254/2254470/cover/2254470.jpg", "Обложка")</f>
        <v>Обложка</v>
      </c>
      <c r="V7680" s="8" t="s">
        <v>247</v>
      </c>
      <c r="W7680" s="6"/>
      <c r="X7680" s="6"/>
      <c r="Y7680" s="6"/>
      <c r="Z7680" s="6"/>
      <c r="AA7680" s="6" t="s">
        <v>43</v>
      </c>
      <c r="AB7680" s="8"/>
      <c r="AC7680" s="27">
        <v>9785000915639</v>
      </c>
    </row>
    <row r="7681" spans="1:29" s="4" customFormat="1" ht="51.9" customHeight="1" x14ac:dyDescent="0.2">
      <c r="A7681" s="5">
        <v>0</v>
      </c>
      <c r="B7681" s="6" t="s">
        <v>43325</v>
      </c>
      <c r="C7681" s="7">
        <v>1416</v>
      </c>
      <c r="D7681" s="8" t="s">
        <v>43326</v>
      </c>
      <c r="E7681" s="8" t="s">
        <v>43327</v>
      </c>
      <c r="F7681" s="8" t="s">
        <v>22792</v>
      </c>
      <c r="G7681" s="6" t="s">
        <v>118</v>
      </c>
      <c r="H7681" s="6" t="s">
        <v>34</v>
      </c>
      <c r="I7681" s="8" t="s">
        <v>38410</v>
      </c>
      <c r="J7681" s="9">
        <v>1</v>
      </c>
      <c r="K7681" s="9">
        <v>236</v>
      </c>
      <c r="L7681" s="9">
        <v>2025</v>
      </c>
      <c r="M7681" s="8" t="s">
        <v>43328</v>
      </c>
      <c r="N7681" s="8" t="s">
        <v>585</v>
      </c>
      <c r="O7681" s="8" t="s">
        <v>1518</v>
      </c>
      <c r="P7681" s="6" t="s">
        <v>51</v>
      </c>
      <c r="Q7681" s="8" t="s">
        <v>52</v>
      </c>
      <c r="R7681" s="10" t="s">
        <v>43329</v>
      </c>
      <c r="S7681" s="11" t="s">
        <v>43330</v>
      </c>
      <c r="T7681" s="6"/>
      <c r="U7681" s="15" t="str">
        <f>HYPERLINK("https://media.infra-m.ru/2172/2172581/cover/2172581.jpg", "Обложка")</f>
        <v>Обложка</v>
      </c>
      <c r="V7681" s="8" t="s">
        <v>217</v>
      </c>
      <c r="W7681" s="6"/>
      <c r="X7681" s="6"/>
      <c r="Y7681" s="6"/>
      <c r="Z7681" s="6"/>
      <c r="AA7681" s="6" t="s">
        <v>148</v>
      </c>
      <c r="AB7681" s="8"/>
      <c r="AC7681" s="27">
        <v>9785160204161</v>
      </c>
    </row>
    <row r="7682" spans="1:29" s="4" customFormat="1" ht="51.9" customHeight="1" x14ac:dyDescent="0.2">
      <c r="A7682" s="5">
        <v>0</v>
      </c>
      <c r="B7682" s="6" t="s">
        <v>43331</v>
      </c>
      <c r="C7682" s="7">
        <v>1668</v>
      </c>
      <c r="D7682" s="8" t="s">
        <v>43332</v>
      </c>
      <c r="E7682" s="8" t="s">
        <v>43333</v>
      </c>
      <c r="F7682" s="8" t="s">
        <v>43334</v>
      </c>
      <c r="G7682" s="6" t="s">
        <v>60</v>
      </c>
      <c r="H7682" s="6" t="s">
        <v>34</v>
      </c>
      <c r="I7682" s="8" t="s">
        <v>253</v>
      </c>
      <c r="J7682" s="9">
        <v>1</v>
      </c>
      <c r="K7682" s="9">
        <v>259</v>
      </c>
      <c r="L7682" s="9">
        <v>2025</v>
      </c>
      <c r="M7682" s="8" t="s">
        <v>43335</v>
      </c>
      <c r="N7682" s="8" t="s">
        <v>585</v>
      </c>
      <c r="O7682" s="8" t="s">
        <v>586</v>
      </c>
      <c r="P7682" s="6" t="s">
        <v>51</v>
      </c>
      <c r="Q7682" s="8" t="s">
        <v>65</v>
      </c>
      <c r="R7682" s="10" t="s">
        <v>43336</v>
      </c>
      <c r="S7682" s="11"/>
      <c r="T7682" s="6"/>
      <c r="U7682" s="15" t="str">
        <f>HYPERLINK("https://media.infra-m.ru/2143/2143074/cover/2143074.jpg", "Обложка")</f>
        <v>Обложка</v>
      </c>
      <c r="V7682" s="8" t="s">
        <v>227</v>
      </c>
      <c r="W7682" s="6"/>
      <c r="X7682" s="6"/>
      <c r="Y7682" s="6"/>
      <c r="Z7682" s="6"/>
      <c r="AA7682" s="6" t="s">
        <v>68</v>
      </c>
      <c r="AB7682" s="8"/>
      <c r="AC7682" s="27">
        <v>9785160198941</v>
      </c>
    </row>
    <row r="7683" spans="1:29" s="4" customFormat="1" ht="42" customHeight="1" x14ac:dyDescent="0.2">
      <c r="A7683" s="5">
        <v>0</v>
      </c>
      <c r="B7683" s="6" t="s">
        <v>43337</v>
      </c>
      <c r="C7683" s="7">
        <v>3188.4</v>
      </c>
      <c r="D7683" s="8" t="s">
        <v>43338</v>
      </c>
      <c r="E7683" s="8" t="s">
        <v>43339</v>
      </c>
      <c r="F7683" s="8" t="s">
        <v>43340</v>
      </c>
      <c r="G7683" s="6" t="s">
        <v>118</v>
      </c>
      <c r="H7683" s="6" t="s">
        <v>34</v>
      </c>
      <c r="I7683" s="8" t="s">
        <v>2171</v>
      </c>
      <c r="J7683" s="9">
        <v>1</v>
      </c>
      <c r="K7683" s="9">
        <v>372</v>
      </c>
      <c r="L7683" s="9">
        <v>2026</v>
      </c>
      <c r="M7683" s="8" t="s">
        <v>43341</v>
      </c>
      <c r="N7683" s="8" t="s">
        <v>243</v>
      </c>
      <c r="O7683" s="8" t="s">
        <v>964</v>
      </c>
      <c r="P7683" s="6" t="s">
        <v>306</v>
      </c>
      <c r="Q7683" s="8" t="s">
        <v>65</v>
      </c>
      <c r="R7683" s="10" t="s">
        <v>43342</v>
      </c>
      <c r="S7683" s="11"/>
      <c r="T7683" s="6"/>
      <c r="U7683" s="15" t="str">
        <f>HYPERLINK("https://media.infra-m.ru/2243/2243251/cover/2243251.jpg", "Обложка")</f>
        <v>Обложка</v>
      </c>
      <c r="V7683" s="8"/>
      <c r="W7683" s="6"/>
      <c r="X7683" s="6"/>
      <c r="Y7683" s="6"/>
      <c r="Z7683" s="6"/>
      <c r="AA7683" s="6" t="s">
        <v>157</v>
      </c>
      <c r="AB7683" s="8"/>
      <c r="AC7683" s="27">
        <v>9785160179834</v>
      </c>
    </row>
    <row r="7684" spans="1:29" s="4" customFormat="1" ht="51.9" customHeight="1" x14ac:dyDescent="0.2">
      <c r="A7684" s="5">
        <v>0</v>
      </c>
      <c r="B7684" s="6" t="s">
        <v>43343</v>
      </c>
      <c r="C7684" s="7">
        <v>1008</v>
      </c>
      <c r="D7684" s="8" t="s">
        <v>43344</v>
      </c>
      <c r="E7684" s="8" t="s">
        <v>43345</v>
      </c>
      <c r="F7684" s="8" t="s">
        <v>43346</v>
      </c>
      <c r="G7684" s="6" t="s">
        <v>118</v>
      </c>
      <c r="H7684" s="6" t="s">
        <v>34</v>
      </c>
      <c r="I7684" s="8" t="s">
        <v>1248</v>
      </c>
      <c r="J7684" s="9">
        <v>1</v>
      </c>
      <c r="K7684" s="9">
        <v>150</v>
      </c>
      <c r="L7684" s="9">
        <v>2026</v>
      </c>
      <c r="M7684" s="8" t="s">
        <v>43347</v>
      </c>
      <c r="N7684" s="8" t="s">
        <v>37</v>
      </c>
      <c r="O7684" s="8" t="s">
        <v>50</v>
      </c>
      <c r="P7684" s="6" t="s">
        <v>51</v>
      </c>
      <c r="Q7684" s="8" t="s">
        <v>52</v>
      </c>
      <c r="R7684" s="10" t="s">
        <v>43348</v>
      </c>
      <c r="S7684" s="11" t="s">
        <v>43349</v>
      </c>
      <c r="T7684" s="6"/>
      <c r="U7684" s="15" t="str">
        <f>HYPERLINK("https://media.infra-m.ru/2221/2221508/cover/2221508.jpg", "Обложка")</f>
        <v>Обложка</v>
      </c>
      <c r="V7684" s="8" t="s">
        <v>1083</v>
      </c>
      <c r="W7684" s="6"/>
      <c r="X7684" s="6"/>
      <c r="Y7684" s="6"/>
      <c r="Z7684" s="6"/>
      <c r="AA7684" s="6" t="s">
        <v>86</v>
      </c>
      <c r="AB7684" s="8"/>
      <c r="AC7684" s="27">
        <v>9785160200965</v>
      </c>
    </row>
    <row r="7685" spans="1:29" s="4" customFormat="1" ht="51.9" customHeight="1" x14ac:dyDescent="0.2">
      <c r="A7685" s="5">
        <v>0</v>
      </c>
      <c r="B7685" s="6" t="s">
        <v>43350</v>
      </c>
      <c r="C7685" s="7">
        <v>1780.8</v>
      </c>
      <c r="D7685" s="8" t="s">
        <v>43351</v>
      </c>
      <c r="E7685" s="8" t="s">
        <v>43352</v>
      </c>
      <c r="F7685" s="8" t="s">
        <v>37894</v>
      </c>
      <c r="G7685" s="6" t="s">
        <v>60</v>
      </c>
      <c r="H7685" s="6" t="s">
        <v>34</v>
      </c>
      <c r="I7685" s="8" t="s">
        <v>1128</v>
      </c>
      <c r="J7685" s="9">
        <v>1</v>
      </c>
      <c r="K7685" s="9">
        <v>270</v>
      </c>
      <c r="L7685" s="9">
        <v>2026</v>
      </c>
      <c r="M7685" s="8" t="s">
        <v>43353</v>
      </c>
      <c r="N7685" s="8" t="s">
        <v>63</v>
      </c>
      <c r="O7685" s="8" t="s">
        <v>181</v>
      </c>
      <c r="P7685" s="6" t="s">
        <v>51</v>
      </c>
      <c r="Q7685" s="8" t="s">
        <v>65</v>
      </c>
      <c r="R7685" s="10" t="s">
        <v>17653</v>
      </c>
      <c r="S7685" s="11" t="s">
        <v>43354</v>
      </c>
      <c r="T7685" s="6"/>
      <c r="U7685" s="15" t="str">
        <f>HYPERLINK("https://media.infra-m.ru/2223/2223212/cover/2223212.jpg", "Обложка")</f>
        <v>Обложка</v>
      </c>
      <c r="V7685" s="8" t="s">
        <v>1132</v>
      </c>
      <c r="W7685" s="6"/>
      <c r="X7685" s="6"/>
      <c r="Y7685" s="6"/>
      <c r="Z7685" s="6"/>
      <c r="AA7685" s="6" t="s">
        <v>76</v>
      </c>
      <c r="AB7685" s="8"/>
      <c r="AC7685" s="27">
        <v>9785160194899</v>
      </c>
    </row>
    <row r="7686" spans="1:29" s="4" customFormat="1" ht="51.9" customHeight="1" x14ac:dyDescent="0.2">
      <c r="A7686" s="5">
        <v>0</v>
      </c>
      <c r="B7686" s="6" t="s">
        <v>43355</v>
      </c>
      <c r="C7686" s="7">
        <v>1020</v>
      </c>
      <c r="D7686" s="8" t="s">
        <v>43356</v>
      </c>
      <c r="E7686" s="8" t="s">
        <v>43357</v>
      </c>
      <c r="F7686" s="8" t="s">
        <v>43358</v>
      </c>
      <c r="G7686" s="6" t="s">
        <v>118</v>
      </c>
      <c r="H7686" s="6" t="s">
        <v>34</v>
      </c>
      <c r="I7686" s="8" t="s">
        <v>35</v>
      </c>
      <c r="J7686" s="9">
        <v>1</v>
      </c>
      <c r="K7686" s="9">
        <v>188</v>
      </c>
      <c r="L7686" s="9">
        <v>2018</v>
      </c>
      <c r="M7686" s="8" t="s">
        <v>43359</v>
      </c>
      <c r="N7686" s="8" t="s">
        <v>37</v>
      </c>
      <c r="O7686" s="8" t="s">
        <v>83</v>
      </c>
      <c r="P7686" s="6" t="s">
        <v>39</v>
      </c>
      <c r="Q7686" s="8" t="s">
        <v>40</v>
      </c>
      <c r="R7686" s="10" t="s">
        <v>43360</v>
      </c>
      <c r="S7686" s="11"/>
      <c r="T7686" s="6"/>
      <c r="U7686" s="15" t="str">
        <f>HYPERLINK("https://media.infra-m.ru/1953/1953611/cover/1953611.jpg", "Обложка")</f>
        <v>Обложка</v>
      </c>
      <c r="V7686" s="8" t="s">
        <v>2215</v>
      </c>
      <c r="W7686" s="6"/>
      <c r="X7686" s="6"/>
      <c r="Y7686" s="6"/>
      <c r="Z7686" s="6"/>
      <c r="AA7686" s="6" t="s">
        <v>718</v>
      </c>
      <c r="AB7686" s="8"/>
      <c r="AC7686" s="27">
        <v>9785160117904</v>
      </c>
    </row>
    <row r="7687" spans="1:29" s="4" customFormat="1" ht="51.9" customHeight="1" x14ac:dyDescent="0.2">
      <c r="A7687" s="5">
        <v>0</v>
      </c>
      <c r="B7687" s="6" t="s">
        <v>43361</v>
      </c>
      <c r="C7687" s="7">
        <v>1469.9</v>
      </c>
      <c r="D7687" s="8" t="s">
        <v>43362</v>
      </c>
      <c r="E7687" s="8" t="s">
        <v>43363</v>
      </c>
      <c r="F7687" s="8" t="s">
        <v>43364</v>
      </c>
      <c r="G7687" s="6" t="s">
        <v>60</v>
      </c>
      <c r="H7687" s="6" t="s">
        <v>34</v>
      </c>
      <c r="I7687" s="8" t="s">
        <v>271</v>
      </c>
      <c r="J7687" s="9">
        <v>1</v>
      </c>
      <c r="K7687" s="9">
        <v>272</v>
      </c>
      <c r="L7687" s="9">
        <v>2023</v>
      </c>
      <c r="M7687" s="8" t="s">
        <v>43365</v>
      </c>
      <c r="N7687" s="8" t="s">
        <v>37</v>
      </c>
      <c r="O7687" s="8" t="s">
        <v>280</v>
      </c>
      <c r="P7687" s="6" t="s">
        <v>51</v>
      </c>
      <c r="Q7687" s="8" t="s">
        <v>52</v>
      </c>
      <c r="R7687" s="10" t="s">
        <v>43366</v>
      </c>
      <c r="S7687" s="11" t="s">
        <v>43367</v>
      </c>
      <c r="T7687" s="6"/>
      <c r="U7687" s="15" t="str">
        <f>HYPERLINK("https://media.infra-m.ru/1872/1872733/cover/1872733.jpg", "Обложка")</f>
        <v>Обложка</v>
      </c>
      <c r="V7687" s="8" t="s">
        <v>43368</v>
      </c>
      <c r="W7687" s="6"/>
      <c r="X7687" s="6"/>
      <c r="Y7687" s="6"/>
      <c r="Z7687" s="6"/>
      <c r="AA7687" s="6" t="s">
        <v>248</v>
      </c>
      <c r="AB7687" s="8"/>
      <c r="AC7687" s="27">
        <v>9785160090733</v>
      </c>
    </row>
    <row r="7688" spans="1:29" s="4" customFormat="1" ht="51.9" customHeight="1" x14ac:dyDescent="0.2">
      <c r="A7688" s="5">
        <v>0</v>
      </c>
      <c r="B7688" s="6" t="s">
        <v>43369</v>
      </c>
      <c r="C7688" s="7">
        <v>2069.9</v>
      </c>
      <c r="D7688" s="8" t="s">
        <v>43370</v>
      </c>
      <c r="E7688" s="8" t="s">
        <v>43371</v>
      </c>
      <c r="F7688" s="8" t="s">
        <v>26321</v>
      </c>
      <c r="G7688" s="6" t="s">
        <v>60</v>
      </c>
      <c r="H7688" s="6" t="s">
        <v>1644</v>
      </c>
      <c r="I7688" s="8" t="s">
        <v>1904</v>
      </c>
      <c r="J7688" s="9">
        <v>1</v>
      </c>
      <c r="K7688" s="9">
        <v>384</v>
      </c>
      <c r="L7688" s="9">
        <v>2023</v>
      </c>
      <c r="M7688" s="8" t="s">
        <v>43372</v>
      </c>
      <c r="N7688" s="8" t="s">
        <v>37</v>
      </c>
      <c r="O7688" s="8" t="s">
        <v>280</v>
      </c>
      <c r="P7688" s="6" t="s">
        <v>306</v>
      </c>
      <c r="Q7688" s="8" t="s">
        <v>52</v>
      </c>
      <c r="R7688" s="10" t="s">
        <v>39503</v>
      </c>
      <c r="S7688" s="11" t="s">
        <v>43373</v>
      </c>
      <c r="T7688" s="6"/>
      <c r="U7688" s="15" t="str">
        <f>HYPERLINK("https://media.infra-m.ru/1903/1903243/cover/1903243.jpg", "Обложка")</f>
        <v>Обложка</v>
      </c>
      <c r="V7688" s="8" t="s">
        <v>3787</v>
      </c>
      <c r="W7688" s="6"/>
      <c r="X7688" s="6"/>
      <c r="Y7688" s="6"/>
      <c r="Z7688" s="6"/>
      <c r="AA7688" s="6" t="s">
        <v>55</v>
      </c>
      <c r="AB7688" s="8"/>
      <c r="AC7688" s="27">
        <v>9785977602686</v>
      </c>
    </row>
    <row r="7689" spans="1:29" s="4" customFormat="1" ht="51.9" customHeight="1" x14ac:dyDescent="0.2">
      <c r="A7689" s="5">
        <v>0</v>
      </c>
      <c r="B7689" s="6" t="s">
        <v>43374</v>
      </c>
      <c r="C7689" s="7">
        <v>1768.8</v>
      </c>
      <c r="D7689" s="8" t="s">
        <v>43375</v>
      </c>
      <c r="E7689" s="8" t="s">
        <v>43376</v>
      </c>
      <c r="F7689" s="8" t="s">
        <v>43377</v>
      </c>
      <c r="G7689" s="6" t="s">
        <v>60</v>
      </c>
      <c r="H7689" s="6" t="s">
        <v>34</v>
      </c>
      <c r="I7689" s="8" t="s">
        <v>271</v>
      </c>
      <c r="J7689" s="9">
        <v>1</v>
      </c>
      <c r="K7689" s="9">
        <v>320</v>
      </c>
      <c r="L7689" s="9">
        <v>2024</v>
      </c>
      <c r="M7689" s="8" t="s">
        <v>43378</v>
      </c>
      <c r="N7689" s="8" t="s">
        <v>37</v>
      </c>
      <c r="O7689" s="8" t="s">
        <v>280</v>
      </c>
      <c r="P7689" s="6" t="s">
        <v>51</v>
      </c>
      <c r="Q7689" s="8" t="s">
        <v>52</v>
      </c>
      <c r="R7689" s="10" t="s">
        <v>1503</v>
      </c>
      <c r="S7689" s="11" t="s">
        <v>43379</v>
      </c>
      <c r="T7689" s="6"/>
      <c r="U7689" s="15" t="str">
        <f>HYPERLINK("https://media.infra-m.ru/2084/2084445/cover/2084445.jpg", "Обложка")</f>
        <v>Обложка</v>
      </c>
      <c r="V7689" s="8" t="s">
        <v>396</v>
      </c>
      <c r="W7689" s="6"/>
      <c r="X7689" s="6"/>
      <c r="Y7689" s="6"/>
      <c r="Z7689" s="6"/>
      <c r="AA7689" s="6" t="s">
        <v>248</v>
      </c>
      <c r="AB7689" s="8"/>
      <c r="AC7689" s="27">
        <v>9785160094496</v>
      </c>
    </row>
    <row r="7690" spans="1:29" s="4" customFormat="1" ht="51.9" customHeight="1" x14ac:dyDescent="0.2">
      <c r="A7690" s="5">
        <v>0</v>
      </c>
      <c r="B7690" s="6" t="s">
        <v>43380</v>
      </c>
      <c r="C7690" s="7">
        <v>1888.8</v>
      </c>
      <c r="D7690" s="8" t="s">
        <v>43381</v>
      </c>
      <c r="E7690" s="8" t="s">
        <v>43382</v>
      </c>
      <c r="F7690" s="8" t="s">
        <v>43383</v>
      </c>
      <c r="G7690" s="6" t="s">
        <v>60</v>
      </c>
      <c r="H7690" s="6" t="s">
        <v>1795</v>
      </c>
      <c r="I7690" s="8" t="s">
        <v>1904</v>
      </c>
      <c r="J7690" s="9">
        <v>1</v>
      </c>
      <c r="K7690" s="9">
        <v>272</v>
      </c>
      <c r="L7690" s="9">
        <v>2026</v>
      </c>
      <c r="M7690" s="8" t="s">
        <v>43384</v>
      </c>
      <c r="N7690" s="8" t="s">
        <v>37</v>
      </c>
      <c r="O7690" s="8" t="s">
        <v>280</v>
      </c>
      <c r="P7690" s="6" t="s">
        <v>306</v>
      </c>
      <c r="Q7690" s="8" t="s">
        <v>52</v>
      </c>
      <c r="R7690" s="10" t="s">
        <v>39503</v>
      </c>
      <c r="S7690" s="11" t="s">
        <v>43385</v>
      </c>
      <c r="T7690" s="6"/>
      <c r="U7690" s="15" t="str">
        <f>HYPERLINK("https://media.infra-m.ru/2254/2254634/cover/2254634.jpg", "Обложка")</f>
        <v>Обложка</v>
      </c>
      <c r="V7690" s="8" t="s">
        <v>2398</v>
      </c>
      <c r="W7690" s="6"/>
      <c r="X7690" s="6"/>
      <c r="Y7690" s="6"/>
      <c r="Z7690" s="6"/>
      <c r="AA7690" s="6" t="s">
        <v>55</v>
      </c>
      <c r="AB7690" s="8"/>
      <c r="AC7690" s="27">
        <v>9785982813527</v>
      </c>
    </row>
    <row r="7691" spans="1:29" s="4" customFormat="1" ht="51.9" customHeight="1" x14ac:dyDescent="0.2">
      <c r="A7691" s="5">
        <v>0</v>
      </c>
      <c r="B7691" s="6" t="s">
        <v>43386</v>
      </c>
      <c r="C7691" s="7">
        <v>1144.8</v>
      </c>
      <c r="D7691" s="8" t="s">
        <v>43387</v>
      </c>
      <c r="E7691" s="8" t="s">
        <v>43382</v>
      </c>
      <c r="F7691" s="8" t="s">
        <v>4558</v>
      </c>
      <c r="G7691" s="6" t="s">
        <v>60</v>
      </c>
      <c r="H7691" s="6" t="s">
        <v>34</v>
      </c>
      <c r="I7691" s="8" t="s">
        <v>271</v>
      </c>
      <c r="J7691" s="9">
        <v>1</v>
      </c>
      <c r="K7691" s="9">
        <v>207</v>
      </c>
      <c r="L7691" s="9">
        <v>2024</v>
      </c>
      <c r="M7691" s="8" t="s">
        <v>43388</v>
      </c>
      <c r="N7691" s="8" t="s">
        <v>37</v>
      </c>
      <c r="O7691" s="8" t="s">
        <v>280</v>
      </c>
      <c r="P7691" s="6" t="s">
        <v>306</v>
      </c>
      <c r="Q7691" s="8" t="s">
        <v>52</v>
      </c>
      <c r="R7691" s="10" t="s">
        <v>36764</v>
      </c>
      <c r="S7691" s="11" t="s">
        <v>43389</v>
      </c>
      <c r="T7691" s="6"/>
      <c r="U7691" s="15" t="str">
        <f>HYPERLINK("https://media.infra-m.ru/2085/2085055/cover/2085055.jpg", "Обложка")</f>
        <v>Обложка</v>
      </c>
      <c r="V7691" s="8" t="s">
        <v>396</v>
      </c>
      <c r="W7691" s="6"/>
      <c r="X7691" s="6"/>
      <c r="Y7691" s="6"/>
      <c r="Z7691" s="6"/>
      <c r="AA7691" s="6" t="s">
        <v>248</v>
      </c>
      <c r="AB7691" s="8"/>
      <c r="AC7691" s="27">
        <v>9785160060095</v>
      </c>
    </row>
    <row r="7692" spans="1:29" s="4" customFormat="1" ht="51.9" customHeight="1" x14ac:dyDescent="0.2">
      <c r="A7692" s="5">
        <v>0</v>
      </c>
      <c r="B7692" s="6" t="s">
        <v>43390</v>
      </c>
      <c r="C7692" s="7">
        <v>1444.8</v>
      </c>
      <c r="D7692" s="8" t="s">
        <v>43391</v>
      </c>
      <c r="E7692" s="8" t="s">
        <v>43382</v>
      </c>
      <c r="F7692" s="8" t="s">
        <v>36884</v>
      </c>
      <c r="G7692" s="6" t="s">
        <v>60</v>
      </c>
      <c r="H7692" s="6" t="s">
        <v>34</v>
      </c>
      <c r="I7692" s="8" t="s">
        <v>271</v>
      </c>
      <c r="J7692" s="9">
        <v>1</v>
      </c>
      <c r="K7692" s="9">
        <v>263</v>
      </c>
      <c r="L7692" s="9">
        <v>2024</v>
      </c>
      <c r="M7692" s="8" t="s">
        <v>43392</v>
      </c>
      <c r="N7692" s="8" t="s">
        <v>37</v>
      </c>
      <c r="O7692" s="8" t="s">
        <v>280</v>
      </c>
      <c r="P7692" s="6" t="s">
        <v>306</v>
      </c>
      <c r="Q7692" s="8" t="s">
        <v>52</v>
      </c>
      <c r="R7692" s="10" t="s">
        <v>43393</v>
      </c>
      <c r="S7692" s="11" t="s">
        <v>43394</v>
      </c>
      <c r="T7692" s="6"/>
      <c r="U7692" s="15" t="str">
        <f>HYPERLINK("https://media.infra-m.ru/2091/2091934/cover/2091934.jpg", "Обложка")</f>
        <v>Обложка</v>
      </c>
      <c r="V7692" s="8" t="s">
        <v>396</v>
      </c>
      <c r="W7692" s="6"/>
      <c r="X7692" s="6"/>
      <c r="Y7692" s="6"/>
      <c r="Z7692" s="6"/>
      <c r="AA7692" s="6" t="s">
        <v>55</v>
      </c>
      <c r="AB7692" s="8"/>
      <c r="AC7692" s="27">
        <v>9785160055268</v>
      </c>
    </row>
    <row r="7693" spans="1:29" s="4" customFormat="1" ht="51.9" customHeight="1" x14ac:dyDescent="0.2">
      <c r="A7693" s="5">
        <v>0</v>
      </c>
      <c r="B7693" s="6" t="s">
        <v>43395</v>
      </c>
      <c r="C7693" s="7">
        <v>2320.8000000000002</v>
      </c>
      <c r="D7693" s="8" t="s">
        <v>43396</v>
      </c>
      <c r="E7693" s="8" t="s">
        <v>43382</v>
      </c>
      <c r="F7693" s="8" t="s">
        <v>28143</v>
      </c>
      <c r="G7693" s="6" t="s">
        <v>60</v>
      </c>
      <c r="H7693" s="6" t="s">
        <v>241</v>
      </c>
      <c r="I7693" s="8"/>
      <c r="J7693" s="9">
        <v>1</v>
      </c>
      <c r="K7693" s="9">
        <v>352</v>
      </c>
      <c r="L7693" s="9">
        <v>2026</v>
      </c>
      <c r="M7693" s="8" t="s">
        <v>43397</v>
      </c>
      <c r="N7693" s="8" t="s">
        <v>37</v>
      </c>
      <c r="O7693" s="8" t="s">
        <v>280</v>
      </c>
      <c r="P7693" s="6" t="s">
        <v>51</v>
      </c>
      <c r="Q7693" s="8" t="s">
        <v>52</v>
      </c>
      <c r="R7693" s="10" t="s">
        <v>11945</v>
      </c>
      <c r="S7693" s="11" t="s">
        <v>41330</v>
      </c>
      <c r="T7693" s="6"/>
      <c r="U7693" s="15" t="str">
        <f>HYPERLINK("https://media.infra-m.ru/2254/2254561/cover/2254561.jpg", "Обложка")</f>
        <v>Обложка</v>
      </c>
      <c r="V7693" s="8" t="s">
        <v>1527</v>
      </c>
      <c r="W7693" s="6"/>
      <c r="X7693" s="6"/>
      <c r="Y7693" s="6"/>
      <c r="Z7693" s="6"/>
      <c r="AA7693" s="6" t="s">
        <v>248</v>
      </c>
      <c r="AB7693" s="8"/>
      <c r="AC7693" s="27">
        <v>9785955803074</v>
      </c>
    </row>
    <row r="7694" spans="1:29" s="4" customFormat="1" ht="51.9" customHeight="1" x14ac:dyDescent="0.2">
      <c r="A7694" s="5">
        <v>0</v>
      </c>
      <c r="B7694" s="6" t="s">
        <v>43398</v>
      </c>
      <c r="C7694" s="7">
        <v>2224.8000000000002</v>
      </c>
      <c r="D7694" s="8" t="s">
        <v>43399</v>
      </c>
      <c r="E7694" s="8" t="s">
        <v>43382</v>
      </c>
      <c r="F7694" s="8" t="s">
        <v>43400</v>
      </c>
      <c r="G7694" s="6" t="s">
        <v>60</v>
      </c>
      <c r="H7694" s="6" t="s">
        <v>34</v>
      </c>
      <c r="I7694" s="8" t="s">
        <v>271</v>
      </c>
      <c r="J7694" s="9">
        <v>1</v>
      </c>
      <c r="K7694" s="9">
        <v>357</v>
      </c>
      <c r="L7694" s="9">
        <v>2025</v>
      </c>
      <c r="M7694" s="8" t="s">
        <v>43401</v>
      </c>
      <c r="N7694" s="8" t="s">
        <v>37</v>
      </c>
      <c r="O7694" s="8" t="s">
        <v>280</v>
      </c>
      <c r="P7694" s="6" t="s">
        <v>51</v>
      </c>
      <c r="Q7694" s="8" t="s">
        <v>52</v>
      </c>
      <c r="R7694" s="10" t="s">
        <v>36764</v>
      </c>
      <c r="S7694" s="11" t="s">
        <v>41330</v>
      </c>
      <c r="T7694" s="6"/>
      <c r="U7694" s="15" t="str">
        <f>HYPERLINK("https://media.infra-m.ru/2194/2194335/cover/2194335.jpg", "Обложка")</f>
        <v>Обложка</v>
      </c>
      <c r="V7694" s="8" t="s">
        <v>1798</v>
      </c>
      <c r="W7694" s="6"/>
      <c r="X7694" s="6"/>
      <c r="Y7694" s="6"/>
      <c r="Z7694" s="6"/>
      <c r="AA7694" s="6" t="s">
        <v>248</v>
      </c>
      <c r="AB7694" s="8"/>
      <c r="AC7694" s="27">
        <v>9785160091938</v>
      </c>
    </row>
    <row r="7695" spans="1:29" s="4" customFormat="1" ht="51.9" customHeight="1" x14ac:dyDescent="0.2">
      <c r="A7695" s="5">
        <v>0</v>
      </c>
      <c r="B7695" s="6" t="s">
        <v>43402</v>
      </c>
      <c r="C7695" s="7">
        <v>1457.9</v>
      </c>
      <c r="D7695" s="8" t="s">
        <v>43403</v>
      </c>
      <c r="E7695" s="8" t="s">
        <v>43382</v>
      </c>
      <c r="F7695" s="8" t="s">
        <v>43404</v>
      </c>
      <c r="G7695" s="6" t="s">
        <v>60</v>
      </c>
      <c r="H7695" s="6" t="s">
        <v>313</v>
      </c>
      <c r="I7695" s="8" t="s">
        <v>253</v>
      </c>
      <c r="J7695" s="9">
        <v>1</v>
      </c>
      <c r="K7695" s="9">
        <v>268</v>
      </c>
      <c r="L7695" s="9">
        <v>2023</v>
      </c>
      <c r="M7695" s="8" t="s">
        <v>43405</v>
      </c>
      <c r="N7695" s="8" t="s">
        <v>37</v>
      </c>
      <c r="O7695" s="8" t="s">
        <v>280</v>
      </c>
      <c r="P7695" s="6" t="s">
        <v>51</v>
      </c>
      <c r="Q7695" s="8" t="s">
        <v>52</v>
      </c>
      <c r="R7695" s="10" t="s">
        <v>3013</v>
      </c>
      <c r="S7695" s="11" t="s">
        <v>43406</v>
      </c>
      <c r="T7695" s="6"/>
      <c r="U7695" s="15" t="str">
        <f>HYPERLINK("https://media.infra-m.ru/1894/1894487/cover/1894487.jpg", "Обложка")</f>
        <v>Обложка</v>
      </c>
      <c r="V7695" s="8" t="s">
        <v>27723</v>
      </c>
      <c r="W7695" s="6"/>
      <c r="X7695" s="6"/>
      <c r="Y7695" s="6"/>
      <c r="Z7695" s="6"/>
      <c r="AA7695" s="6" t="s">
        <v>779</v>
      </c>
      <c r="AB7695" s="8"/>
      <c r="AC7695" s="27">
        <v>9785369014806</v>
      </c>
    </row>
    <row r="7696" spans="1:29" s="4" customFormat="1" ht="51.9" customHeight="1" x14ac:dyDescent="0.2">
      <c r="A7696" s="5">
        <v>0</v>
      </c>
      <c r="B7696" s="6" t="s">
        <v>43407</v>
      </c>
      <c r="C7696" s="7">
        <v>3120</v>
      </c>
      <c r="D7696" s="8" t="s">
        <v>43408</v>
      </c>
      <c r="E7696" s="8" t="s">
        <v>43409</v>
      </c>
      <c r="F7696" s="8" t="s">
        <v>42452</v>
      </c>
      <c r="G7696" s="6" t="s">
        <v>60</v>
      </c>
      <c r="H7696" s="6" t="s">
        <v>241</v>
      </c>
      <c r="I7696" s="8" t="s">
        <v>253</v>
      </c>
      <c r="J7696" s="9">
        <v>1</v>
      </c>
      <c r="K7696" s="9">
        <v>553</v>
      </c>
      <c r="L7696" s="9">
        <v>2024</v>
      </c>
      <c r="M7696" s="8" t="s">
        <v>43410</v>
      </c>
      <c r="N7696" s="8" t="s">
        <v>243</v>
      </c>
      <c r="O7696" s="8" t="s">
        <v>758</v>
      </c>
      <c r="P7696" s="6" t="s">
        <v>306</v>
      </c>
      <c r="Q7696" s="8" t="s">
        <v>52</v>
      </c>
      <c r="R7696" s="10" t="s">
        <v>43411</v>
      </c>
      <c r="S7696" s="11" t="s">
        <v>43412</v>
      </c>
      <c r="T7696" s="6"/>
      <c r="U7696" s="15" t="str">
        <f>HYPERLINK("https://media.infra-m.ru/2151/2151394/cover/2151394.jpg", "Обложка")</f>
        <v>Обложка</v>
      </c>
      <c r="V7696" s="8" t="s">
        <v>36576</v>
      </c>
      <c r="W7696" s="6"/>
      <c r="X7696" s="6"/>
      <c r="Y7696" s="6"/>
      <c r="Z7696" s="6"/>
      <c r="AA7696" s="6" t="s">
        <v>86</v>
      </c>
      <c r="AB7696" s="8"/>
      <c r="AC7696" s="27">
        <v>9785955805405</v>
      </c>
    </row>
    <row r="7697" spans="1:29" s="4" customFormat="1" ht="51.9" customHeight="1" x14ac:dyDescent="0.2">
      <c r="A7697" s="5">
        <v>0</v>
      </c>
      <c r="B7697" s="6" t="s">
        <v>43413</v>
      </c>
      <c r="C7697" s="7">
        <v>1572</v>
      </c>
      <c r="D7697" s="8" t="s">
        <v>43414</v>
      </c>
      <c r="E7697" s="8" t="s">
        <v>43415</v>
      </c>
      <c r="F7697" s="8" t="s">
        <v>43416</v>
      </c>
      <c r="G7697" s="6" t="s">
        <v>118</v>
      </c>
      <c r="H7697" s="6" t="s">
        <v>820</v>
      </c>
      <c r="I7697" s="8"/>
      <c r="J7697" s="9">
        <v>1</v>
      </c>
      <c r="K7697" s="9">
        <v>256</v>
      </c>
      <c r="L7697" s="9">
        <v>2025</v>
      </c>
      <c r="M7697" s="8" t="s">
        <v>43417</v>
      </c>
      <c r="N7697" s="8" t="s">
        <v>243</v>
      </c>
      <c r="O7697" s="8" t="s">
        <v>758</v>
      </c>
      <c r="P7697" s="6" t="s">
        <v>306</v>
      </c>
      <c r="Q7697" s="8" t="s">
        <v>52</v>
      </c>
      <c r="R7697" s="10" t="s">
        <v>43418</v>
      </c>
      <c r="S7697" s="11" t="s">
        <v>43419</v>
      </c>
      <c r="T7697" s="6"/>
      <c r="U7697" s="15" t="str">
        <f>HYPERLINK("https://media.infra-m.ru/2163/2163960/cover/2163960.jpg", "Обложка")</f>
        <v>Обложка</v>
      </c>
      <c r="V7697" s="8" t="s">
        <v>33577</v>
      </c>
      <c r="W7697" s="6"/>
      <c r="X7697" s="6"/>
      <c r="Y7697" s="6"/>
      <c r="Z7697" s="6"/>
      <c r="AA7697" s="6" t="s">
        <v>779</v>
      </c>
      <c r="AB7697" s="8"/>
      <c r="AC7697" s="27">
        <v>9785906818447</v>
      </c>
    </row>
    <row r="7698" spans="1:29" s="4" customFormat="1" ht="51.9" customHeight="1" x14ac:dyDescent="0.2">
      <c r="A7698" s="5">
        <v>0</v>
      </c>
      <c r="B7698" s="6" t="s">
        <v>43420</v>
      </c>
      <c r="C7698" s="7">
        <v>1576.8</v>
      </c>
      <c r="D7698" s="8" t="s">
        <v>43421</v>
      </c>
      <c r="E7698" s="8" t="s">
        <v>43422</v>
      </c>
      <c r="F7698" s="8" t="s">
        <v>41799</v>
      </c>
      <c r="G7698" s="6" t="s">
        <v>118</v>
      </c>
      <c r="H7698" s="6" t="s">
        <v>34</v>
      </c>
      <c r="I7698" s="8" t="s">
        <v>271</v>
      </c>
      <c r="J7698" s="9">
        <v>1</v>
      </c>
      <c r="K7698" s="9">
        <v>263</v>
      </c>
      <c r="L7698" s="9">
        <v>2025</v>
      </c>
      <c r="M7698" s="8" t="s">
        <v>43423</v>
      </c>
      <c r="N7698" s="8" t="s">
        <v>243</v>
      </c>
      <c r="O7698" s="8" t="s">
        <v>758</v>
      </c>
      <c r="P7698" s="6" t="s">
        <v>51</v>
      </c>
      <c r="Q7698" s="8" t="s">
        <v>52</v>
      </c>
      <c r="R7698" s="10" t="s">
        <v>330</v>
      </c>
      <c r="S7698" s="11" t="s">
        <v>43424</v>
      </c>
      <c r="T7698" s="6"/>
      <c r="U7698" s="15" t="str">
        <f>HYPERLINK("https://media.infra-m.ru/2184/2184958/cover/2184958.jpg", "Обложка")</f>
        <v>Обложка</v>
      </c>
      <c r="V7698" s="8" t="s">
        <v>18741</v>
      </c>
      <c r="W7698" s="6"/>
      <c r="X7698" s="6"/>
      <c r="Y7698" s="6"/>
      <c r="Z7698" s="6"/>
      <c r="AA7698" s="6" t="s">
        <v>13424</v>
      </c>
      <c r="AB7698" s="8"/>
      <c r="AC7698" s="27">
        <v>9785160092379</v>
      </c>
    </row>
    <row r="7699" spans="1:29" s="4" customFormat="1" ht="51.9" customHeight="1" x14ac:dyDescent="0.2">
      <c r="A7699" s="5">
        <v>0</v>
      </c>
      <c r="B7699" s="6" t="s">
        <v>43425</v>
      </c>
      <c r="C7699" s="7">
        <v>2040</v>
      </c>
      <c r="D7699" s="8" t="s">
        <v>43426</v>
      </c>
      <c r="E7699" s="8" t="s">
        <v>43427</v>
      </c>
      <c r="F7699" s="8" t="s">
        <v>42452</v>
      </c>
      <c r="G7699" s="6" t="s">
        <v>118</v>
      </c>
      <c r="H7699" s="6" t="s">
        <v>34</v>
      </c>
      <c r="I7699" s="8" t="s">
        <v>253</v>
      </c>
      <c r="J7699" s="9">
        <v>1</v>
      </c>
      <c r="K7699" s="9">
        <v>327</v>
      </c>
      <c r="L7699" s="9">
        <v>2025</v>
      </c>
      <c r="M7699" s="8" t="s">
        <v>43428</v>
      </c>
      <c r="N7699" s="8" t="s">
        <v>243</v>
      </c>
      <c r="O7699" s="8" t="s">
        <v>758</v>
      </c>
      <c r="P7699" s="6" t="s">
        <v>394</v>
      </c>
      <c r="Q7699" s="8" t="s">
        <v>52</v>
      </c>
      <c r="R7699" s="10" t="s">
        <v>43429</v>
      </c>
      <c r="S7699" s="11" t="s">
        <v>43412</v>
      </c>
      <c r="T7699" s="6"/>
      <c r="U7699" s="15" t="str">
        <f>HYPERLINK("https://media.infra-m.ru/2149/2149589/cover/2149589.jpg", "Обложка")</f>
        <v>Обложка</v>
      </c>
      <c r="V7699" s="8" t="s">
        <v>36576</v>
      </c>
      <c r="W7699" s="6"/>
      <c r="X7699" s="6"/>
      <c r="Y7699" s="6"/>
      <c r="Z7699" s="6"/>
      <c r="AA7699" s="6" t="s">
        <v>86</v>
      </c>
      <c r="AB7699" s="8"/>
      <c r="AC7699" s="27">
        <v>9785160211534</v>
      </c>
    </row>
    <row r="7700" spans="1:29" s="4" customFormat="1" ht="44.1" customHeight="1" x14ac:dyDescent="0.2">
      <c r="A7700" s="5">
        <v>0</v>
      </c>
      <c r="B7700" s="6" t="s">
        <v>43430</v>
      </c>
      <c r="C7700" s="7">
        <v>1780.8</v>
      </c>
      <c r="D7700" s="8" t="s">
        <v>43431</v>
      </c>
      <c r="E7700" s="8" t="s">
        <v>43432</v>
      </c>
      <c r="F7700" s="8" t="s">
        <v>43433</v>
      </c>
      <c r="G7700" s="6" t="s">
        <v>60</v>
      </c>
      <c r="H7700" s="6" t="s">
        <v>313</v>
      </c>
      <c r="I7700" s="8"/>
      <c r="J7700" s="9">
        <v>1</v>
      </c>
      <c r="K7700" s="9">
        <v>322</v>
      </c>
      <c r="L7700" s="9">
        <v>2023</v>
      </c>
      <c r="M7700" s="8" t="s">
        <v>43434</v>
      </c>
      <c r="N7700" s="8" t="s">
        <v>243</v>
      </c>
      <c r="O7700" s="8" t="s">
        <v>758</v>
      </c>
      <c r="P7700" s="6" t="s">
        <v>51</v>
      </c>
      <c r="Q7700" s="8" t="s">
        <v>52</v>
      </c>
      <c r="R7700" s="10" t="s">
        <v>43435</v>
      </c>
      <c r="S7700" s="11"/>
      <c r="T7700" s="6"/>
      <c r="U7700" s="15" t="str">
        <f>HYPERLINK("https://media.infra-m.ru/2006/2006917/cover/2006917.jpg", "Обложка")</f>
        <v>Обложка</v>
      </c>
      <c r="V7700" s="8" t="s">
        <v>1030</v>
      </c>
      <c r="W7700" s="6"/>
      <c r="X7700" s="6"/>
      <c r="Y7700" s="6"/>
      <c r="Z7700" s="6"/>
      <c r="AA7700" s="6" t="s">
        <v>404</v>
      </c>
      <c r="AB7700" s="8"/>
      <c r="AC7700" s="27">
        <v>9785369017425</v>
      </c>
    </row>
    <row r="7701" spans="1:29" s="4" customFormat="1" ht="51.9" customHeight="1" x14ac:dyDescent="0.2">
      <c r="A7701" s="5">
        <v>0</v>
      </c>
      <c r="B7701" s="6" t="s">
        <v>43436</v>
      </c>
      <c r="C7701" s="7">
        <v>1296</v>
      </c>
      <c r="D7701" s="8" t="s">
        <v>43437</v>
      </c>
      <c r="E7701" s="8" t="s">
        <v>43427</v>
      </c>
      <c r="F7701" s="8" t="s">
        <v>43438</v>
      </c>
      <c r="G7701" s="6" t="s">
        <v>60</v>
      </c>
      <c r="H7701" s="6" t="s">
        <v>34</v>
      </c>
      <c r="I7701" s="8" t="s">
        <v>7198</v>
      </c>
      <c r="J7701" s="9">
        <v>1</v>
      </c>
      <c r="K7701" s="9">
        <v>229</v>
      </c>
      <c r="L7701" s="9">
        <v>2023</v>
      </c>
      <c r="M7701" s="8" t="s">
        <v>43439</v>
      </c>
      <c r="N7701" s="8" t="s">
        <v>243</v>
      </c>
      <c r="O7701" s="8" t="s">
        <v>758</v>
      </c>
      <c r="P7701" s="6" t="s">
        <v>51</v>
      </c>
      <c r="Q7701" s="8" t="s">
        <v>52</v>
      </c>
      <c r="R7701" s="10" t="s">
        <v>43440</v>
      </c>
      <c r="S7701" s="11" t="s">
        <v>38102</v>
      </c>
      <c r="T7701" s="6"/>
      <c r="U7701" s="15" t="str">
        <f>HYPERLINK("https://media.infra-m.ru/1910/1910857/cover/1910857.jpg", "Обложка")</f>
        <v>Обложка</v>
      </c>
      <c r="V7701" s="8" t="s">
        <v>1083</v>
      </c>
      <c r="W7701" s="6"/>
      <c r="X7701" s="6"/>
      <c r="Y7701" s="6"/>
      <c r="Z7701" s="6"/>
      <c r="AA7701" s="6" t="s">
        <v>157</v>
      </c>
      <c r="AB7701" s="8"/>
      <c r="AC7701" s="27">
        <v>9785160180861</v>
      </c>
    </row>
    <row r="7702" spans="1:29" s="4" customFormat="1" ht="51.9" customHeight="1" x14ac:dyDescent="0.2">
      <c r="A7702" s="5">
        <v>0</v>
      </c>
      <c r="B7702" s="6" t="s">
        <v>43441</v>
      </c>
      <c r="C7702" s="7">
        <v>1788</v>
      </c>
      <c r="D7702" s="8" t="s">
        <v>43442</v>
      </c>
      <c r="E7702" s="8" t="s">
        <v>43443</v>
      </c>
      <c r="F7702" s="8" t="s">
        <v>43444</v>
      </c>
      <c r="G7702" s="6" t="s">
        <v>118</v>
      </c>
      <c r="H7702" s="6" t="s">
        <v>34</v>
      </c>
      <c r="I7702" s="8" t="s">
        <v>253</v>
      </c>
      <c r="J7702" s="9">
        <v>1</v>
      </c>
      <c r="K7702" s="9">
        <v>285</v>
      </c>
      <c r="L7702" s="9">
        <v>2026</v>
      </c>
      <c r="M7702" s="8" t="s">
        <v>43445</v>
      </c>
      <c r="N7702" s="8" t="s">
        <v>243</v>
      </c>
      <c r="O7702" s="8" t="s">
        <v>758</v>
      </c>
      <c r="P7702" s="6" t="s">
        <v>51</v>
      </c>
      <c r="Q7702" s="8" t="s">
        <v>52</v>
      </c>
      <c r="R7702" s="10" t="s">
        <v>43446</v>
      </c>
      <c r="S7702" s="11"/>
      <c r="T7702" s="6"/>
      <c r="U7702" s="15" t="str">
        <f>HYPERLINK("https://media.infra-m.ru/2214/2214941/cover/2214941.jpg", "Обложка")</f>
        <v>Обложка</v>
      </c>
      <c r="V7702" s="8" t="s">
        <v>7887</v>
      </c>
      <c r="W7702" s="6"/>
      <c r="X7702" s="6"/>
      <c r="Y7702" s="6"/>
      <c r="Z7702" s="6"/>
      <c r="AA7702" s="6" t="s">
        <v>129</v>
      </c>
      <c r="AB7702" s="8"/>
      <c r="AC7702" s="27">
        <v>9785160046907</v>
      </c>
    </row>
    <row r="7703" spans="1:29" s="4" customFormat="1" ht="51.9" customHeight="1" x14ac:dyDescent="0.2">
      <c r="A7703" s="5">
        <v>0</v>
      </c>
      <c r="B7703" s="6" t="s">
        <v>43447</v>
      </c>
      <c r="C7703" s="7">
        <v>2544</v>
      </c>
      <c r="D7703" s="8" t="s">
        <v>43448</v>
      </c>
      <c r="E7703" s="8" t="s">
        <v>43449</v>
      </c>
      <c r="F7703" s="8" t="s">
        <v>43450</v>
      </c>
      <c r="G7703" s="6" t="s">
        <v>60</v>
      </c>
      <c r="H7703" s="6" t="s">
        <v>34</v>
      </c>
      <c r="I7703" s="8" t="s">
        <v>271</v>
      </c>
      <c r="J7703" s="9">
        <v>1</v>
      </c>
      <c r="K7703" s="9">
        <v>576</v>
      </c>
      <c r="L7703" s="9">
        <v>2022</v>
      </c>
      <c r="M7703" s="8" t="s">
        <v>43451</v>
      </c>
      <c r="N7703" s="8" t="s">
        <v>243</v>
      </c>
      <c r="O7703" s="8" t="s">
        <v>244</v>
      </c>
      <c r="P7703" s="6" t="s">
        <v>51</v>
      </c>
      <c r="Q7703" s="8" t="s">
        <v>52</v>
      </c>
      <c r="R7703" s="10" t="s">
        <v>43452</v>
      </c>
      <c r="S7703" s="11" t="s">
        <v>43453</v>
      </c>
      <c r="T7703" s="6" t="s">
        <v>97</v>
      </c>
      <c r="U7703" s="15" t="str">
        <f>HYPERLINK("https://media.infra-m.ru/1869/1869674/cover/1869674.jpg", "Обложка")</f>
        <v>Обложка</v>
      </c>
      <c r="V7703" s="8" t="s">
        <v>3297</v>
      </c>
      <c r="W7703" s="6"/>
      <c r="X7703" s="6"/>
      <c r="Y7703" s="6"/>
      <c r="Z7703" s="6"/>
      <c r="AA7703" s="6" t="s">
        <v>274</v>
      </c>
      <c r="AB7703" s="8"/>
      <c r="AC7703" s="27">
        <v>9785160102641</v>
      </c>
    </row>
    <row r="7704" spans="1:29" s="4" customFormat="1" ht="51.9" customHeight="1" x14ac:dyDescent="0.2">
      <c r="A7704" s="5">
        <v>0</v>
      </c>
      <c r="B7704" s="6" t="s">
        <v>43454</v>
      </c>
      <c r="C7704" s="13">
        <v>912</v>
      </c>
      <c r="D7704" s="8" t="s">
        <v>43455</v>
      </c>
      <c r="E7704" s="8" t="s">
        <v>43456</v>
      </c>
      <c r="F7704" s="8" t="s">
        <v>5968</v>
      </c>
      <c r="G7704" s="6" t="s">
        <v>60</v>
      </c>
      <c r="H7704" s="6" t="s">
        <v>34</v>
      </c>
      <c r="I7704" s="8" t="s">
        <v>271</v>
      </c>
      <c r="J7704" s="9">
        <v>1</v>
      </c>
      <c r="K7704" s="9">
        <v>195</v>
      </c>
      <c r="L7704" s="9">
        <v>2022</v>
      </c>
      <c r="M7704" s="8" t="s">
        <v>43457</v>
      </c>
      <c r="N7704" s="8" t="s">
        <v>93</v>
      </c>
      <c r="O7704" s="8" t="s">
        <v>94</v>
      </c>
      <c r="P7704" s="6" t="s">
        <v>51</v>
      </c>
      <c r="Q7704" s="8" t="s">
        <v>52</v>
      </c>
      <c r="R7704" s="10" t="s">
        <v>13759</v>
      </c>
      <c r="S7704" s="11" t="s">
        <v>43458</v>
      </c>
      <c r="T7704" s="6"/>
      <c r="U7704" s="15" t="str">
        <f>HYPERLINK("https://media.infra-m.ru/1077/1077726/cover/1077726.jpg", "Обложка")</f>
        <v>Обложка</v>
      </c>
      <c r="V7704" s="8" t="s">
        <v>5964</v>
      </c>
      <c r="W7704" s="6"/>
      <c r="X7704" s="6"/>
      <c r="Y7704" s="6"/>
      <c r="Z7704" s="6"/>
      <c r="AA7704" s="6" t="s">
        <v>148</v>
      </c>
      <c r="AB7704" s="8"/>
      <c r="AC7704" s="27">
        <v>9785160160146</v>
      </c>
    </row>
    <row r="7705" spans="1:29" s="4" customFormat="1" ht="51.9" customHeight="1" x14ac:dyDescent="0.2">
      <c r="A7705" s="5">
        <v>0</v>
      </c>
      <c r="B7705" s="6" t="s">
        <v>43459</v>
      </c>
      <c r="C7705" s="7">
        <v>2116.8000000000002</v>
      </c>
      <c r="D7705" s="8" t="s">
        <v>43460</v>
      </c>
      <c r="E7705" s="8" t="s">
        <v>43461</v>
      </c>
      <c r="F7705" s="8" t="s">
        <v>43462</v>
      </c>
      <c r="G7705" s="6" t="s">
        <v>33</v>
      </c>
      <c r="H7705" s="6" t="s">
        <v>134</v>
      </c>
      <c r="I7705" s="8" t="s">
        <v>8663</v>
      </c>
      <c r="J7705" s="9">
        <v>1</v>
      </c>
      <c r="K7705" s="9">
        <v>352</v>
      </c>
      <c r="L7705" s="9">
        <v>2024</v>
      </c>
      <c r="M7705" s="8" t="s">
        <v>43463</v>
      </c>
      <c r="N7705" s="8" t="s">
        <v>37</v>
      </c>
      <c r="O7705" s="8" t="s">
        <v>136</v>
      </c>
      <c r="P7705" s="6" t="s">
        <v>3310</v>
      </c>
      <c r="Q7705" s="8" t="s">
        <v>52</v>
      </c>
      <c r="R7705" s="10" t="s">
        <v>1275</v>
      </c>
      <c r="S7705" s="11"/>
      <c r="T7705" s="6"/>
      <c r="U7705" s="15" t="str">
        <f>HYPERLINK("https://media.infra-m.ru/2170/2170389/cover/2170389.jpg", "Обложка")</f>
        <v>Обложка</v>
      </c>
      <c r="V7705" s="8" t="s">
        <v>9937</v>
      </c>
      <c r="W7705" s="6"/>
      <c r="X7705" s="6"/>
      <c r="Y7705" s="6"/>
      <c r="Z7705" s="6"/>
      <c r="AA7705" s="6" t="s">
        <v>10095</v>
      </c>
      <c r="AB7705" s="8"/>
      <c r="AC7705" s="27">
        <v>9785001561835</v>
      </c>
    </row>
    <row r="7706" spans="1:29" s="4" customFormat="1" ht="51.9" customHeight="1" x14ac:dyDescent="0.2">
      <c r="A7706" s="5">
        <v>0</v>
      </c>
      <c r="B7706" s="6" t="s">
        <v>43464</v>
      </c>
      <c r="C7706" s="7">
        <v>1320</v>
      </c>
      <c r="D7706" s="8" t="s">
        <v>43465</v>
      </c>
      <c r="E7706" s="8" t="s">
        <v>43466</v>
      </c>
      <c r="F7706" s="8" t="s">
        <v>43467</v>
      </c>
      <c r="G7706" s="6" t="s">
        <v>33</v>
      </c>
      <c r="H7706" s="6" t="s">
        <v>134</v>
      </c>
      <c r="I7706" s="8" t="s">
        <v>8663</v>
      </c>
      <c r="J7706" s="9">
        <v>1</v>
      </c>
      <c r="K7706" s="9">
        <v>384</v>
      </c>
      <c r="L7706" s="9">
        <v>2020</v>
      </c>
      <c r="M7706" s="8" t="s">
        <v>43468</v>
      </c>
      <c r="N7706" s="8" t="s">
        <v>37</v>
      </c>
      <c r="O7706" s="8" t="s">
        <v>136</v>
      </c>
      <c r="P7706" s="6" t="s">
        <v>3310</v>
      </c>
      <c r="Q7706" s="8" t="s">
        <v>52</v>
      </c>
      <c r="R7706" s="10" t="s">
        <v>1275</v>
      </c>
      <c r="S7706" s="11"/>
      <c r="T7706" s="6"/>
      <c r="U7706" s="15" t="str">
        <f>HYPERLINK("https://media.infra-m.ru/1059/1059302/cover/1059302.jpg", "Обложка")</f>
        <v>Обложка</v>
      </c>
      <c r="V7706" s="8" t="s">
        <v>6535</v>
      </c>
      <c r="W7706" s="6"/>
      <c r="X7706" s="6"/>
      <c r="Y7706" s="6"/>
      <c r="Z7706" s="6"/>
      <c r="AA7706" s="6" t="s">
        <v>8545</v>
      </c>
      <c r="AB7706" s="8"/>
      <c r="AC7706" s="27">
        <v>9785917688091</v>
      </c>
    </row>
    <row r="7707" spans="1:29" s="4" customFormat="1" ht="51.9" customHeight="1" x14ac:dyDescent="0.2">
      <c r="A7707" s="5">
        <v>0</v>
      </c>
      <c r="B7707" s="6" t="s">
        <v>43469</v>
      </c>
      <c r="C7707" s="7">
        <v>4032</v>
      </c>
      <c r="D7707" s="8" t="s">
        <v>43470</v>
      </c>
      <c r="E7707" s="8" t="s">
        <v>43461</v>
      </c>
      <c r="F7707" s="8" t="s">
        <v>43471</v>
      </c>
      <c r="G7707" s="6" t="s">
        <v>60</v>
      </c>
      <c r="H7707" s="6" t="s">
        <v>34</v>
      </c>
      <c r="I7707" s="8" t="s">
        <v>253</v>
      </c>
      <c r="J7707" s="9">
        <v>1</v>
      </c>
      <c r="K7707" s="9">
        <v>795</v>
      </c>
      <c r="L7707" s="9">
        <v>2026</v>
      </c>
      <c r="M7707" s="8" t="s">
        <v>43472</v>
      </c>
      <c r="N7707" s="8" t="s">
        <v>37</v>
      </c>
      <c r="O7707" s="8" t="s">
        <v>136</v>
      </c>
      <c r="P7707" s="6" t="s">
        <v>306</v>
      </c>
      <c r="Q7707" s="8" t="s">
        <v>52</v>
      </c>
      <c r="R7707" s="10" t="s">
        <v>1275</v>
      </c>
      <c r="S7707" s="11"/>
      <c r="T7707" s="6"/>
      <c r="U7707" s="15" t="str">
        <f>HYPERLINK("https://media.infra-m.ru/2260/2260420/cover/2260420.jpg", "Обложка")</f>
        <v>Обложка</v>
      </c>
      <c r="V7707" s="8" t="s">
        <v>677</v>
      </c>
      <c r="W7707" s="6"/>
      <c r="X7707" s="6"/>
      <c r="Y7707" s="6"/>
      <c r="Z7707" s="6"/>
      <c r="AA7707" s="6" t="s">
        <v>10095</v>
      </c>
      <c r="AB7707" s="8"/>
      <c r="AC7707" s="27">
        <v>9785160196183</v>
      </c>
    </row>
    <row r="7708" spans="1:29" s="4" customFormat="1" ht="51.9" customHeight="1" x14ac:dyDescent="0.2">
      <c r="A7708" s="5">
        <v>0</v>
      </c>
      <c r="B7708" s="6" t="s">
        <v>43473</v>
      </c>
      <c r="C7708" s="7">
        <v>1648.8</v>
      </c>
      <c r="D7708" s="8" t="s">
        <v>43474</v>
      </c>
      <c r="E7708" s="8" t="s">
        <v>43475</v>
      </c>
      <c r="F7708" s="8" t="s">
        <v>28143</v>
      </c>
      <c r="G7708" s="6" t="s">
        <v>60</v>
      </c>
      <c r="H7708" s="6" t="s">
        <v>241</v>
      </c>
      <c r="I7708" s="8"/>
      <c r="J7708" s="9">
        <v>1</v>
      </c>
      <c r="K7708" s="9">
        <v>299</v>
      </c>
      <c r="L7708" s="9">
        <v>2024</v>
      </c>
      <c r="M7708" s="8" t="s">
        <v>43476</v>
      </c>
      <c r="N7708" s="8" t="s">
        <v>37</v>
      </c>
      <c r="O7708" s="8" t="s">
        <v>280</v>
      </c>
      <c r="P7708" s="6" t="s">
        <v>51</v>
      </c>
      <c r="Q7708" s="8" t="s">
        <v>500</v>
      </c>
      <c r="R7708" s="10" t="s">
        <v>43477</v>
      </c>
      <c r="S7708" s="11" t="s">
        <v>43478</v>
      </c>
      <c r="T7708" s="6"/>
      <c r="U7708" s="15" t="str">
        <f>HYPERLINK("https://media.infra-m.ru/2110/2110044/cover/2110044.jpg", "Обложка")</f>
        <v>Обложка</v>
      </c>
      <c r="V7708" s="8" t="s">
        <v>1527</v>
      </c>
      <c r="W7708" s="6"/>
      <c r="X7708" s="6"/>
      <c r="Y7708" s="6"/>
      <c r="Z7708" s="6"/>
      <c r="AA7708" s="6" t="s">
        <v>248</v>
      </c>
      <c r="AB7708" s="8"/>
      <c r="AC7708" s="27">
        <v>9785955803432</v>
      </c>
    </row>
    <row r="7709" spans="1:29" s="4" customFormat="1" ht="51.9" customHeight="1" x14ac:dyDescent="0.2">
      <c r="A7709" s="5">
        <v>0</v>
      </c>
      <c r="B7709" s="6" t="s">
        <v>43479</v>
      </c>
      <c r="C7709" s="7">
        <v>1296</v>
      </c>
      <c r="D7709" s="8" t="s">
        <v>43480</v>
      </c>
      <c r="E7709" s="8" t="s">
        <v>43481</v>
      </c>
      <c r="F7709" s="8" t="s">
        <v>43482</v>
      </c>
      <c r="G7709" s="6" t="s">
        <v>118</v>
      </c>
      <c r="H7709" s="6" t="s">
        <v>34</v>
      </c>
      <c r="I7709" s="8" t="s">
        <v>1835</v>
      </c>
      <c r="J7709" s="9">
        <v>1</v>
      </c>
      <c r="K7709" s="9">
        <v>240</v>
      </c>
      <c r="L7709" s="9">
        <v>2023</v>
      </c>
      <c r="M7709" s="8" t="s">
        <v>43483</v>
      </c>
      <c r="N7709" s="8" t="s">
        <v>37</v>
      </c>
      <c r="O7709" s="8" t="s">
        <v>280</v>
      </c>
      <c r="P7709" s="6" t="s">
        <v>1837</v>
      </c>
      <c r="Q7709" s="8" t="s">
        <v>40</v>
      </c>
      <c r="R7709" s="10" t="s">
        <v>43484</v>
      </c>
      <c r="S7709" s="11"/>
      <c r="T7709" s="6"/>
      <c r="U7709" s="15" t="str">
        <f>HYPERLINK("https://media.infra-m.ru/1920/1920496/cover/1920496.jpg", "Обложка")</f>
        <v>Обложка</v>
      </c>
      <c r="V7709" s="8" t="s">
        <v>396</v>
      </c>
      <c r="W7709" s="6"/>
      <c r="X7709" s="6"/>
      <c r="Y7709" s="6"/>
      <c r="Z7709" s="6"/>
      <c r="AA7709" s="6" t="s">
        <v>623</v>
      </c>
      <c r="AB7709" s="8"/>
      <c r="AC7709" s="27">
        <v>9785160126258</v>
      </c>
    </row>
    <row r="7710" spans="1:29" s="4" customFormat="1" ht="51.9" customHeight="1" x14ac:dyDescent="0.2">
      <c r="A7710" s="5">
        <v>0</v>
      </c>
      <c r="B7710" s="6" t="s">
        <v>43485</v>
      </c>
      <c r="C7710" s="7">
        <v>2380.8000000000002</v>
      </c>
      <c r="D7710" s="8" t="s">
        <v>43486</v>
      </c>
      <c r="E7710" s="8" t="s">
        <v>43487</v>
      </c>
      <c r="F7710" s="8" t="s">
        <v>43488</v>
      </c>
      <c r="G7710" s="6" t="s">
        <v>118</v>
      </c>
      <c r="H7710" s="6" t="s">
        <v>34</v>
      </c>
      <c r="I7710" s="8" t="s">
        <v>504</v>
      </c>
      <c r="J7710" s="9">
        <v>1</v>
      </c>
      <c r="K7710" s="9">
        <v>360</v>
      </c>
      <c r="L7710" s="9">
        <v>2026</v>
      </c>
      <c r="M7710" s="8" t="s">
        <v>43489</v>
      </c>
      <c r="N7710" s="8" t="s">
        <v>37</v>
      </c>
      <c r="O7710" s="8" t="s">
        <v>280</v>
      </c>
      <c r="P7710" s="6" t="s">
        <v>51</v>
      </c>
      <c r="Q7710" s="8" t="s">
        <v>500</v>
      </c>
      <c r="R7710" s="10" t="s">
        <v>43490</v>
      </c>
      <c r="S7710" s="11" t="s">
        <v>43491</v>
      </c>
      <c r="T7710" s="6"/>
      <c r="U7710" s="15" t="str">
        <f>HYPERLINK("https://media.infra-m.ru/2250/2250841/cover/2250841.jpg", "Обложка")</f>
        <v>Обложка</v>
      </c>
      <c r="V7710" s="8" t="s">
        <v>12203</v>
      </c>
      <c r="W7710" s="6"/>
      <c r="X7710" s="6"/>
      <c r="Y7710" s="6"/>
      <c r="Z7710" s="6"/>
      <c r="AA7710" s="6" t="s">
        <v>623</v>
      </c>
      <c r="AB7710" s="8"/>
      <c r="AC7710" s="27">
        <v>9785160125596</v>
      </c>
    </row>
    <row r="7711" spans="1:29" s="4" customFormat="1" ht="51.9" customHeight="1" x14ac:dyDescent="0.2">
      <c r="A7711" s="5">
        <v>0</v>
      </c>
      <c r="B7711" s="6" t="s">
        <v>43492</v>
      </c>
      <c r="C7711" s="7">
        <v>1164</v>
      </c>
      <c r="D7711" s="8" t="s">
        <v>43493</v>
      </c>
      <c r="E7711" s="8" t="s">
        <v>43475</v>
      </c>
      <c r="F7711" s="8" t="s">
        <v>43488</v>
      </c>
      <c r="G7711" s="6" t="s">
        <v>60</v>
      </c>
      <c r="H7711" s="6" t="s">
        <v>34</v>
      </c>
      <c r="I7711" s="8" t="s">
        <v>504</v>
      </c>
      <c r="J7711" s="9">
        <v>1</v>
      </c>
      <c r="K7711" s="9">
        <v>329</v>
      </c>
      <c r="L7711" s="9">
        <v>2017</v>
      </c>
      <c r="M7711" s="8" t="s">
        <v>43494</v>
      </c>
      <c r="N7711" s="8" t="s">
        <v>37</v>
      </c>
      <c r="O7711" s="8" t="s">
        <v>280</v>
      </c>
      <c r="P7711" s="6" t="s">
        <v>51</v>
      </c>
      <c r="Q7711" s="8" t="s">
        <v>500</v>
      </c>
      <c r="R7711" s="10" t="s">
        <v>43490</v>
      </c>
      <c r="S7711" s="11" t="s">
        <v>43495</v>
      </c>
      <c r="T7711" s="6"/>
      <c r="U7711" s="15" t="str">
        <f>HYPERLINK("https://media.infra-m.ru/0615/0615081/cover/615081.jpg", "Обложка")</f>
        <v>Обложка</v>
      </c>
      <c r="V7711" s="8" t="s">
        <v>12203</v>
      </c>
      <c r="W7711" s="6"/>
      <c r="X7711" s="6"/>
      <c r="Y7711" s="6"/>
      <c r="Z7711" s="6"/>
      <c r="AA7711" s="6" t="s">
        <v>129</v>
      </c>
      <c r="AB7711" s="8"/>
      <c r="AC7711" s="27">
        <v>9785160044958</v>
      </c>
    </row>
    <row r="7712" spans="1:29" s="4" customFormat="1" ht="51.9" customHeight="1" x14ac:dyDescent="0.2">
      <c r="A7712" s="5">
        <v>0</v>
      </c>
      <c r="B7712" s="6" t="s">
        <v>43496</v>
      </c>
      <c r="C7712" s="13">
        <v>648</v>
      </c>
      <c r="D7712" s="8" t="s">
        <v>43497</v>
      </c>
      <c r="E7712" s="8" t="s">
        <v>43498</v>
      </c>
      <c r="F7712" s="8" t="s">
        <v>43377</v>
      </c>
      <c r="G7712" s="6" t="s">
        <v>33</v>
      </c>
      <c r="H7712" s="6" t="s">
        <v>34</v>
      </c>
      <c r="I7712" s="8" t="s">
        <v>16974</v>
      </c>
      <c r="J7712" s="9">
        <v>1</v>
      </c>
      <c r="K7712" s="9">
        <v>116</v>
      </c>
      <c r="L7712" s="9">
        <v>2024</v>
      </c>
      <c r="M7712" s="8" t="s">
        <v>43499</v>
      </c>
      <c r="N7712" s="8" t="s">
        <v>37</v>
      </c>
      <c r="O7712" s="8" t="s">
        <v>280</v>
      </c>
      <c r="P7712" s="6" t="s">
        <v>1837</v>
      </c>
      <c r="Q7712" s="8" t="s">
        <v>40</v>
      </c>
      <c r="R7712" s="10" t="s">
        <v>43500</v>
      </c>
      <c r="S7712" s="11"/>
      <c r="T7712" s="6"/>
      <c r="U7712" s="15" t="str">
        <f>HYPERLINK("https://media.infra-m.ru/2083/2083908/cover/2083908.jpg", "Обложка")</f>
        <v>Обложка</v>
      </c>
      <c r="V7712" s="8" t="s">
        <v>396</v>
      </c>
      <c r="W7712" s="6"/>
      <c r="X7712" s="6"/>
      <c r="Y7712" s="6"/>
      <c r="Z7712" s="6"/>
      <c r="AA7712" s="6" t="s">
        <v>43</v>
      </c>
      <c r="AB7712" s="8"/>
      <c r="AC7712" s="27">
        <v>9785160052427</v>
      </c>
    </row>
    <row r="7713" spans="1:29" s="4" customFormat="1" ht="51.9" customHeight="1" x14ac:dyDescent="0.2">
      <c r="A7713" s="5">
        <v>0</v>
      </c>
      <c r="B7713" s="6" t="s">
        <v>43501</v>
      </c>
      <c r="C7713" s="7">
        <v>2584.8000000000002</v>
      </c>
      <c r="D7713" s="8" t="s">
        <v>43502</v>
      </c>
      <c r="E7713" s="8" t="s">
        <v>43503</v>
      </c>
      <c r="F7713" s="8" t="s">
        <v>43504</v>
      </c>
      <c r="G7713" s="6" t="s">
        <v>60</v>
      </c>
      <c r="H7713" s="6" t="s">
        <v>34</v>
      </c>
      <c r="I7713" s="8" t="s">
        <v>3119</v>
      </c>
      <c r="J7713" s="9">
        <v>1</v>
      </c>
      <c r="K7713" s="9">
        <v>848</v>
      </c>
      <c r="L7713" s="9">
        <v>2026</v>
      </c>
      <c r="M7713" s="8" t="s">
        <v>43505</v>
      </c>
      <c r="N7713" s="8" t="s">
        <v>37</v>
      </c>
      <c r="O7713" s="8" t="s">
        <v>280</v>
      </c>
      <c r="P7713" s="6" t="s">
        <v>306</v>
      </c>
      <c r="Q7713" s="8" t="s">
        <v>52</v>
      </c>
      <c r="R7713" s="10" t="s">
        <v>20438</v>
      </c>
      <c r="S7713" s="11" t="s">
        <v>43506</v>
      </c>
      <c r="T7713" s="6"/>
      <c r="U7713" s="15" t="str">
        <f>HYPERLINK("https://media.infra-m.ru/2244/2244181/cover/2244181.jpg", "Обложка")</f>
        <v>Обложка</v>
      </c>
      <c r="V7713" s="8" t="s">
        <v>396</v>
      </c>
      <c r="W7713" s="6"/>
      <c r="X7713" s="6"/>
      <c r="Y7713" s="6"/>
      <c r="Z7713" s="6"/>
      <c r="AA7713" s="6" t="s">
        <v>43507</v>
      </c>
      <c r="AB7713" s="8"/>
      <c r="AC7713" s="27">
        <v>9785160047003</v>
      </c>
    </row>
    <row r="7714" spans="1:29" s="4" customFormat="1" ht="51.9" customHeight="1" x14ac:dyDescent="0.2">
      <c r="A7714" s="5">
        <v>0</v>
      </c>
      <c r="B7714" s="6" t="s">
        <v>43508</v>
      </c>
      <c r="C7714" s="7">
        <v>1144.8</v>
      </c>
      <c r="D7714" s="8" t="s">
        <v>43509</v>
      </c>
      <c r="E7714" s="8" t="s">
        <v>43498</v>
      </c>
      <c r="F7714" s="8" t="s">
        <v>28143</v>
      </c>
      <c r="G7714" s="6" t="s">
        <v>60</v>
      </c>
      <c r="H7714" s="6" t="s">
        <v>241</v>
      </c>
      <c r="I7714" s="8"/>
      <c r="J7714" s="9">
        <v>1</v>
      </c>
      <c r="K7714" s="9">
        <v>208</v>
      </c>
      <c r="L7714" s="9">
        <v>2024</v>
      </c>
      <c r="M7714" s="8" t="s">
        <v>43510</v>
      </c>
      <c r="N7714" s="8" t="s">
        <v>37</v>
      </c>
      <c r="O7714" s="8" t="s">
        <v>280</v>
      </c>
      <c r="P7714" s="6" t="s">
        <v>51</v>
      </c>
      <c r="Q7714" s="8" t="s">
        <v>52</v>
      </c>
      <c r="R7714" s="10" t="s">
        <v>43490</v>
      </c>
      <c r="S7714" s="11" t="s">
        <v>43511</v>
      </c>
      <c r="T7714" s="6"/>
      <c r="U7714" s="15" t="str">
        <f>HYPERLINK("https://media.infra-m.ru/1873/1873253/cover/1873253.jpg", "Обложка")</f>
        <v>Обложка</v>
      </c>
      <c r="V7714" s="8" t="s">
        <v>1527</v>
      </c>
      <c r="W7714" s="6"/>
      <c r="X7714" s="6"/>
      <c r="Y7714" s="6"/>
      <c r="Z7714" s="6"/>
      <c r="AA7714" s="6" t="s">
        <v>55</v>
      </c>
      <c r="AB7714" s="8"/>
      <c r="AC7714" s="27">
        <v>9785955802886</v>
      </c>
    </row>
    <row r="7715" spans="1:29" s="4" customFormat="1" ht="51.9" customHeight="1" x14ac:dyDescent="0.2">
      <c r="A7715" s="5">
        <v>0</v>
      </c>
      <c r="B7715" s="6" t="s">
        <v>43512</v>
      </c>
      <c r="C7715" s="7">
        <v>1948.8</v>
      </c>
      <c r="D7715" s="8" t="s">
        <v>43513</v>
      </c>
      <c r="E7715" s="8" t="s">
        <v>43514</v>
      </c>
      <c r="F7715" s="8" t="s">
        <v>43515</v>
      </c>
      <c r="G7715" s="6" t="s">
        <v>60</v>
      </c>
      <c r="H7715" s="6" t="s">
        <v>34</v>
      </c>
      <c r="I7715" s="8" t="s">
        <v>271</v>
      </c>
      <c r="J7715" s="9">
        <v>1</v>
      </c>
      <c r="K7715" s="9">
        <v>345</v>
      </c>
      <c r="L7715" s="9">
        <v>2024</v>
      </c>
      <c r="M7715" s="8" t="s">
        <v>43516</v>
      </c>
      <c r="N7715" s="8" t="s">
        <v>37</v>
      </c>
      <c r="O7715" s="8" t="s">
        <v>280</v>
      </c>
      <c r="P7715" s="6" t="s">
        <v>51</v>
      </c>
      <c r="Q7715" s="8" t="s">
        <v>52</v>
      </c>
      <c r="R7715" s="10" t="s">
        <v>43517</v>
      </c>
      <c r="S7715" s="11" t="s">
        <v>43518</v>
      </c>
      <c r="T7715" s="6"/>
      <c r="U7715" s="15" t="str">
        <f>HYPERLINK("https://media.infra-m.ru/2125/2125417/cover/2125417.jpg", "Обложка")</f>
        <v>Обложка</v>
      </c>
      <c r="V7715" s="8" t="s">
        <v>20440</v>
      </c>
      <c r="W7715" s="6"/>
      <c r="X7715" s="6"/>
      <c r="Y7715" s="6"/>
      <c r="Z7715" s="6"/>
      <c r="AA7715" s="6" t="s">
        <v>15057</v>
      </c>
      <c r="AB7715" s="8"/>
      <c r="AC7715" s="27">
        <v>9785160060132</v>
      </c>
    </row>
    <row r="7716" spans="1:29" s="4" customFormat="1" ht="51.9" customHeight="1" x14ac:dyDescent="0.2">
      <c r="A7716" s="5">
        <v>0</v>
      </c>
      <c r="B7716" s="6" t="s">
        <v>43519</v>
      </c>
      <c r="C7716" s="7">
        <v>1948.8</v>
      </c>
      <c r="D7716" s="8" t="s">
        <v>43520</v>
      </c>
      <c r="E7716" s="8" t="s">
        <v>43521</v>
      </c>
      <c r="F7716" s="8" t="s">
        <v>43488</v>
      </c>
      <c r="G7716" s="6" t="s">
        <v>60</v>
      </c>
      <c r="H7716" s="6" t="s">
        <v>34</v>
      </c>
      <c r="I7716" s="8" t="s">
        <v>271</v>
      </c>
      <c r="J7716" s="9">
        <v>1</v>
      </c>
      <c r="K7716" s="9">
        <v>324</v>
      </c>
      <c r="L7716" s="9">
        <v>2025</v>
      </c>
      <c r="M7716" s="8" t="s">
        <v>43522</v>
      </c>
      <c r="N7716" s="8" t="s">
        <v>37</v>
      </c>
      <c r="O7716" s="8" t="s">
        <v>280</v>
      </c>
      <c r="P7716" s="6" t="s">
        <v>51</v>
      </c>
      <c r="Q7716" s="8" t="s">
        <v>52</v>
      </c>
      <c r="R7716" s="10" t="s">
        <v>41375</v>
      </c>
      <c r="S7716" s="11" t="s">
        <v>43523</v>
      </c>
      <c r="T7716" s="6"/>
      <c r="U7716" s="15" t="str">
        <f>HYPERLINK("https://media.infra-m.ru/2185/2185918/cover/2185918.jpg", "Обложка")</f>
        <v>Обложка</v>
      </c>
      <c r="V7716" s="8" t="s">
        <v>12203</v>
      </c>
      <c r="W7716" s="6"/>
      <c r="X7716" s="6"/>
      <c r="Y7716" s="6"/>
      <c r="Z7716" s="6"/>
      <c r="AA7716" s="6" t="s">
        <v>623</v>
      </c>
      <c r="AB7716" s="8"/>
      <c r="AC7716" s="27">
        <v>9785160122960</v>
      </c>
    </row>
    <row r="7717" spans="1:29" s="4" customFormat="1" ht="51.9" customHeight="1" x14ac:dyDescent="0.2">
      <c r="A7717" s="5">
        <v>0</v>
      </c>
      <c r="B7717" s="6" t="s">
        <v>43524</v>
      </c>
      <c r="C7717" s="7">
        <v>6178.8</v>
      </c>
      <c r="D7717" s="8" t="s">
        <v>43525</v>
      </c>
      <c r="E7717" s="8" t="s">
        <v>43526</v>
      </c>
      <c r="F7717" s="8" t="s">
        <v>43527</v>
      </c>
      <c r="G7717" s="6" t="s">
        <v>118</v>
      </c>
      <c r="H7717" s="6" t="s">
        <v>34</v>
      </c>
      <c r="I7717" s="8" t="s">
        <v>35</v>
      </c>
      <c r="J7717" s="9">
        <v>1</v>
      </c>
      <c r="K7717" s="9">
        <v>370</v>
      </c>
      <c r="L7717" s="9">
        <v>2027</v>
      </c>
      <c r="M7717" s="8" t="s">
        <v>43528</v>
      </c>
      <c r="N7717" s="8" t="s">
        <v>585</v>
      </c>
      <c r="O7717" s="8" t="s">
        <v>667</v>
      </c>
      <c r="P7717" s="6" t="s">
        <v>39</v>
      </c>
      <c r="Q7717" s="8" t="s">
        <v>40</v>
      </c>
      <c r="R7717" s="10" t="s">
        <v>43529</v>
      </c>
      <c r="S7717" s="11"/>
      <c r="T7717" s="6"/>
      <c r="U7717" s="15" t="str">
        <f>HYPERLINK("https://media.infra-m.ru/2264/2264746/cover/2264746.jpg", "Обложка")</f>
        <v>Обложка</v>
      </c>
      <c r="V7717" s="8" t="s">
        <v>12106</v>
      </c>
      <c r="W7717" s="6"/>
      <c r="X7717" s="6"/>
      <c r="Y7717" s="6"/>
      <c r="Z7717" s="6"/>
      <c r="AA7717" s="6" t="s">
        <v>76</v>
      </c>
      <c r="AB7717" s="8" t="s">
        <v>43530</v>
      </c>
      <c r="AC7717" s="27">
        <v>9785160205724</v>
      </c>
    </row>
    <row r="7718" spans="1:29" s="4" customFormat="1" ht="51.9" customHeight="1" x14ac:dyDescent="0.2">
      <c r="A7718" s="5">
        <v>0</v>
      </c>
      <c r="B7718" s="6" t="s">
        <v>43531</v>
      </c>
      <c r="C7718" s="7">
        <v>1372.8</v>
      </c>
      <c r="D7718" s="8" t="s">
        <v>43532</v>
      </c>
      <c r="E7718" s="8" t="s">
        <v>43533</v>
      </c>
      <c r="F7718" s="8" t="s">
        <v>43534</v>
      </c>
      <c r="G7718" s="6" t="s">
        <v>118</v>
      </c>
      <c r="H7718" s="6" t="s">
        <v>134</v>
      </c>
      <c r="I7718" s="8"/>
      <c r="J7718" s="9">
        <v>1</v>
      </c>
      <c r="K7718" s="9">
        <v>208</v>
      </c>
      <c r="L7718" s="9">
        <v>2026</v>
      </c>
      <c r="M7718" s="8" t="s">
        <v>43535</v>
      </c>
      <c r="N7718" s="8" t="s">
        <v>37</v>
      </c>
      <c r="O7718" s="8" t="s">
        <v>136</v>
      </c>
      <c r="P7718" s="6" t="s">
        <v>51</v>
      </c>
      <c r="Q7718" s="8" t="s">
        <v>52</v>
      </c>
      <c r="R7718" s="10" t="s">
        <v>4109</v>
      </c>
      <c r="S7718" s="11" t="s">
        <v>10937</v>
      </c>
      <c r="T7718" s="6"/>
      <c r="U7718" s="15" t="str">
        <f>HYPERLINK("https://media.infra-m.ru/2221/2221343/cover/2221343.jpg", "Обложка")</f>
        <v>Обложка</v>
      </c>
      <c r="V7718" s="8" t="s">
        <v>657</v>
      </c>
      <c r="W7718" s="6"/>
      <c r="X7718" s="6"/>
      <c r="Y7718" s="6"/>
      <c r="Z7718" s="6"/>
      <c r="AA7718" s="6" t="s">
        <v>129</v>
      </c>
      <c r="AB7718" s="8"/>
      <c r="AC7718" s="27">
        <v>9785917681634</v>
      </c>
    </row>
    <row r="7719" spans="1:29" s="4" customFormat="1" ht="51.9" customHeight="1" x14ac:dyDescent="0.2">
      <c r="A7719" s="5">
        <v>0</v>
      </c>
      <c r="B7719" s="6" t="s">
        <v>43536</v>
      </c>
      <c r="C7719" s="13">
        <v>720</v>
      </c>
      <c r="D7719" s="8" t="s">
        <v>43537</v>
      </c>
      <c r="E7719" s="8" t="s">
        <v>43533</v>
      </c>
      <c r="F7719" s="8" t="s">
        <v>43534</v>
      </c>
      <c r="G7719" s="6" t="s">
        <v>33</v>
      </c>
      <c r="H7719" s="6" t="s">
        <v>134</v>
      </c>
      <c r="I7719" s="8"/>
      <c r="J7719" s="9">
        <v>1</v>
      </c>
      <c r="K7719" s="9">
        <v>208</v>
      </c>
      <c r="L7719" s="9">
        <v>2018</v>
      </c>
      <c r="M7719" s="8" t="s">
        <v>43535</v>
      </c>
      <c r="N7719" s="8" t="s">
        <v>37</v>
      </c>
      <c r="O7719" s="8" t="s">
        <v>136</v>
      </c>
      <c r="P7719" s="6" t="s">
        <v>51</v>
      </c>
      <c r="Q7719" s="8" t="s">
        <v>52</v>
      </c>
      <c r="R7719" s="10" t="s">
        <v>4109</v>
      </c>
      <c r="S7719" s="11" t="s">
        <v>10937</v>
      </c>
      <c r="T7719" s="6"/>
      <c r="U7719" s="12"/>
      <c r="V7719" s="8" t="s">
        <v>657</v>
      </c>
      <c r="W7719" s="6"/>
      <c r="X7719" s="6"/>
      <c r="Y7719" s="6"/>
      <c r="Z7719" s="6"/>
      <c r="AA7719" s="6" t="s">
        <v>129</v>
      </c>
      <c r="AB7719" s="8"/>
      <c r="AC7719" s="27">
        <v>9785917681634</v>
      </c>
    </row>
    <row r="7720" spans="1:29" s="4" customFormat="1" ht="51.9" customHeight="1" x14ac:dyDescent="0.2">
      <c r="A7720" s="5">
        <v>0</v>
      </c>
      <c r="B7720" s="6" t="s">
        <v>43538</v>
      </c>
      <c r="C7720" s="7">
        <v>1800</v>
      </c>
      <c r="D7720" s="8" t="s">
        <v>43539</v>
      </c>
      <c r="E7720" s="8" t="s">
        <v>43540</v>
      </c>
      <c r="F7720" s="8" t="s">
        <v>13835</v>
      </c>
      <c r="G7720" s="6" t="s">
        <v>33</v>
      </c>
      <c r="H7720" s="6" t="s">
        <v>1779</v>
      </c>
      <c r="I7720" s="8" t="s">
        <v>8663</v>
      </c>
      <c r="J7720" s="9">
        <v>1</v>
      </c>
      <c r="K7720" s="9">
        <v>272</v>
      </c>
      <c r="L7720" s="9">
        <v>2026</v>
      </c>
      <c r="M7720" s="8" t="s">
        <v>43541</v>
      </c>
      <c r="N7720" s="8" t="s">
        <v>37</v>
      </c>
      <c r="O7720" s="8" t="s">
        <v>136</v>
      </c>
      <c r="P7720" s="6" t="s">
        <v>3310</v>
      </c>
      <c r="Q7720" s="8" t="s">
        <v>65</v>
      </c>
      <c r="R7720" s="10" t="s">
        <v>42853</v>
      </c>
      <c r="S7720" s="11"/>
      <c r="T7720" s="6"/>
      <c r="U7720" s="15" t="str">
        <f>HYPERLINK("https://media.infra-m.ru/2226/2226759/cover/2226759.jpg", "Обложка")</f>
        <v>Обложка</v>
      </c>
      <c r="V7720" s="8" t="s">
        <v>1069</v>
      </c>
      <c r="W7720" s="6"/>
      <c r="X7720" s="6"/>
      <c r="Y7720" s="6"/>
      <c r="Z7720" s="6"/>
      <c r="AA7720" s="6" t="s">
        <v>23864</v>
      </c>
      <c r="AB7720" s="8"/>
      <c r="AC7720" s="27">
        <v>9785891234895</v>
      </c>
    </row>
    <row r="7721" spans="1:29" s="4" customFormat="1" ht="44.1" customHeight="1" x14ac:dyDescent="0.2">
      <c r="A7721" s="5">
        <v>0</v>
      </c>
      <c r="B7721" s="6" t="s">
        <v>43542</v>
      </c>
      <c r="C7721" s="13">
        <v>660</v>
      </c>
      <c r="D7721" s="8" t="s">
        <v>43543</v>
      </c>
      <c r="E7721" s="8" t="s">
        <v>43544</v>
      </c>
      <c r="F7721" s="8" t="s">
        <v>43545</v>
      </c>
      <c r="G7721" s="6" t="s">
        <v>33</v>
      </c>
      <c r="H7721" s="6" t="s">
        <v>34</v>
      </c>
      <c r="I7721" s="8" t="s">
        <v>35</v>
      </c>
      <c r="J7721" s="9">
        <v>1</v>
      </c>
      <c r="K7721" s="9">
        <v>118</v>
      </c>
      <c r="L7721" s="9">
        <v>2024</v>
      </c>
      <c r="M7721" s="8" t="s">
        <v>43546</v>
      </c>
      <c r="N7721" s="8" t="s">
        <v>37</v>
      </c>
      <c r="O7721" s="8" t="s">
        <v>280</v>
      </c>
      <c r="P7721" s="6" t="s">
        <v>39</v>
      </c>
      <c r="Q7721" s="8" t="s">
        <v>40</v>
      </c>
      <c r="R7721" s="10" t="s">
        <v>43547</v>
      </c>
      <c r="S7721" s="11"/>
      <c r="T7721" s="6"/>
      <c r="U7721" s="15" t="str">
        <f>HYPERLINK("https://media.infra-m.ru/1830/1830703/cover/1830703.jpg", "Обложка")</f>
        <v>Обложка</v>
      </c>
      <c r="V7721" s="8" t="s">
        <v>396</v>
      </c>
      <c r="W7721" s="6"/>
      <c r="X7721" s="6"/>
      <c r="Y7721" s="6"/>
      <c r="Z7721" s="6"/>
      <c r="AA7721" s="6" t="s">
        <v>55</v>
      </c>
      <c r="AB7721" s="8"/>
      <c r="AC7721" s="27">
        <v>9785160064000</v>
      </c>
    </row>
    <row r="7722" spans="1:29" s="4" customFormat="1" ht="44.1" customHeight="1" x14ac:dyDescent="0.2">
      <c r="A7722" s="5">
        <v>0</v>
      </c>
      <c r="B7722" s="6" t="s">
        <v>43548</v>
      </c>
      <c r="C7722" s="7">
        <v>1216.8</v>
      </c>
      <c r="D7722" s="8" t="s">
        <v>43549</v>
      </c>
      <c r="E7722" s="8" t="s">
        <v>43550</v>
      </c>
      <c r="F7722" s="8" t="s">
        <v>18516</v>
      </c>
      <c r="G7722" s="6" t="s">
        <v>60</v>
      </c>
      <c r="H7722" s="6" t="s">
        <v>313</v>
      </c>
      <c r="I7722" s="8" t="s">
        <v>504</v>
      </c>
      <c r="J7722" s="9">
        <v>1</v>
      </c>
      <c r="K7722" s="9">
        <v>195</v>
      </c>
      <c r="L7722" s="9">
        <v>2025</v>
      </c>
      <c r="M7722" s="8" t="s">
        <v>43551</v>
      </c>
      <c r="N7722" s="8" t="s">
        <v>37</v>
      </c>
      <c r="O7722" s="8" t="s">
        <v>233</v>
      </c>
      <c r="P7722" s="6" t="s">
        <v>51</v>
      </c>
      <c r="Q7722" s="8" t="s">
        <v>500</v>
      </c>
      <c r="R7722" s="10" t="s">
        <v>43552</v>
      </c>
      <c r="S7722" s="11"/>
      <c r="T7722" s="6" t="s">
        <v>97</v>
      </c>
      <c r="U7722" s="15" t="str">
        <f>HYPERLINK("https://media.infra-m.ru/2216/2216199/cover/2216199.jpg", "Обложка")</f>
        <v>Обложка</v>
      </c>
      <c r="V7722" s="8" t="s">
        <v>2446</v>
      </c>
      <c r="W7722" s="6"/>
      <c r="X7722" s="6"/>
      <c r="Y7722" s="6"/>
      <c r="Z7722" s="6"/>
      <c r="AA7722" s="6" t="s">
        <v>779</v>
      </c>
      <c r="AB7722" s="8"/>
      <c r="AC7722" s="27">
        <v>9785369014226</v>
      </c>
    </row>
    <row r="7723" spans="1:29" s="4" customFormat="1" ht="42" customHeight="1" x14ac:dyDescent="0.2">
      <c r="A7723" s="5">
        <v>0</v>
      </c>
      <c r="B7723" s="6" t="s">
        <v>43553</v>
      </c>
      <c r="C7723" s="13">
        <v>708</v>
      </c>
      <c r="D7723" s="8" t="s">
        <v>43554</v>
      </c>
      <c r="E7723" s="8" t="s">
        <v>43555</v>
      </c>
      <c r="F7723" s="8" t="s">
        <v>43556</v>
      </c>
      <c r="G7723" s="6" t="s">
        <v>33</v>
      </c>
      <c r="H7723" s="6" t="s">
        <v>34</v>
      </c>
      <c r="I7723" s="8" t="s">
        <v>35</v>
      </c>
      <c r="J7723" s="9">
        <v>1</v>
      </c>
      <c r="K7723" s="9">
        <v>150</v>
      </c>
      <c r="L7723" s="9">
        <v>2022</v>
      </c>
      <c r="M7723" s="8" t="s">
        <v>43557</v>
      </c>
      <c r="N7723" s="8" t="s">
        <v>37</v>
      </c>
      <c r="O7723" s="8" t="s">
        <v>233</v>
      </c>
      <c r="P7723" s="6" t="s">
        <v>39</v>
      </c>
      <c r="Q7723" s="8" t="s">
        <v>40</v>
      </c>
      <c r="R7723" s="10" t="s">
        <v>41486</v>
      </c>
      <c r="S7723" s="11"/>
      <c r="T7723" s="6"/>
      <c r="U7723" s="15" t="str">
        <f>HYPERLINK("https://media.infra-m.ru/1854/1854954/cover/1854954.jpg", "Обложка")</f>
        <v>Обложка</v>
      </c>
      <c r="V7723" s="8" t="s">
        <v>445</v>
      </c>
      <c r="W7723" s="6"/>
      <c r="X7723" s="6"/>
      <c r="Y7723" s="6"/>
      <c r="Z7723" s="6"/>
      <c r="AA7723" s="6" t="s">
        <v>43</v>
      </c>
      <c r="AB7723" s="8"/>
      <c r="AC7723" s="27">
        <v>9785160057576</v>
      </c>
    </row>
    <row r="7724" spans="1:29" s="4" customFormat="1" ht="42" customHeight="1" x14ac:dyDescent="0.2">
      <c r="A7724" s="5">
        <v>0</v>
      </c>
      <c r="B7724" s="6" t="s">
        <v>43558</v>
      </c>
      <c r="C7724" s="7">
        <v>1044</v>
      </c>
      <c r="D7724" s="8" t="s">
        <v>43559</v>
      </c>
      <c r="E7724" s="8" t="s">
        <v>43560</v>
      </c>
      <c r="F7724" s="8" t="s">
        <v>1960</v>
      </c>
      <c r="G7724" s="6" t="s">
        <v>33</v>
      </c>
      <c r="H7724" s="6" t="s">
        <v>34</v>
      </c>
      <c r="I7724" s="8" t="s">
        <v>35</v>
      </c>
      <c r="J7724" s="9">
        <v>1</v>
      </c>
      <c r="K7724" s="9">
        <v>228</v>
      </c>
      <c r="L7724" s="9">
        <v>2021</v>
      </c>
      <c r="M7724" s="8" t="s">
        <v>43561</v>
      </c>
      <c r="N7724" s="8" t="s">
        <v>63</v>
      </c>
      <c r="O7724" s="8" t="s">
        <v>126</v>
      </c>
      <c r="P7724" s="6" t="s">
        <v>39</v>
      </c>
      <c r="Q7724" s="8" t="s">
        <v>40</v>
      </c>
      <c r="R7724" s="10" t="s">
        <v>465</v>
      </c>
      <c r="S7724" s="11"/>
      <c r="T7724" s="6"/>
      <c r="U7724" s="15" t="str">
        <f>HYPERLINK("https://media.infra-m.ru/1088/1088340/cover/1088340.jpg", "Обложка")</f>
        <v>Обложка</v>
      </c>
      <c r="V7724" s="8" t="s">
        <v>227</v>
      </c>
      <c r="W7724" s="6"/>
      <c r="X7724" s="6"/>
      <c r="Y7724" s="6"/>
      <c r="Z7724" s="6"/>
      <c r="AA7724" s="6" t="s">
        <v>430</v>
      </c>
      <c r="AB7724" s="8"/>
      <c r="AC7724" s="27">
        <v>9785160162324</v>
      </c>
    </row>
    <row r="7725" spans="1:29" s="4" customFormat="1" ht="51.9" customHeight="1" x14ac:dyDescent="0.2">
      <c r="A7725" s="5">
        <v>0</v>
      </c>
      <c r="B7725" s="6" t="s">
        <v>43562</v>
      </c>
      <c r="C7725" s="7">
        <v>1968</v>
      </c>
      <c r="D7725" s="8" t="s">
        <v>43563</v>
      </c>
      <c r="E7725" s="8" t="s">
        <v>43564</v>
      </c>
      <c r="F7725" s="8" t="s">
        <v>43565</v>
      </c>
      <c r="G7725" s="6" t="s">
        <v>33</v>
      </c>
      <c r="H7725" s="6" t="s">
        <v>313</v>
      </c>
      <c r="I7725" s="8" t="s">
        <v>35</v>
      </c>
      <c r="J7725" s="9">
        <v>1</v>
      </c>
      <c r="K7725" s="9">
        <v>283</v>
      </c>
      <c r="L7725" s="9">
        <v>2026</v>
      </c>
      <c r="M7725" s="8" t="s">
        <v>43566</v>
      </c>
      <c r="N7725" s="8" t="s">
        <v>585</v>
      </c>
      <c r="O7725" s="8" t="s">
        <v>667</v>
      </c>
      <c r="P7725" s="6" t="s">
        <v>39</v>
      </c>
      <c r="Q7725" s="8" t="s">
        <v>40</v>
      </c>
      <c r="R7725" s="10" t="s">
        <v>43567</v>
      </c>
      <c r="S7725" s="11"/>
      <c r="T7725" s="6"/>
      <c r="U7725" s="15" t="str">
        <f>HYPERLINK("https://media.infra-m.ru/2252/2252330/cover/2252330.jpg", "Обложка")</f>
        <v>Обложка</v>
      </c>
      <c r="V7725" s="8" t="s">
        <v>43568</v>
      </c>
      <c r="W7725" s="6"/>
      <c r="X7725" s="6"/>
      <c r="Y7725" s="6"/>
      <c r="Z7725" s="6"/>
      <c r="AA7725" s="6" t="s">
        <v>99</v>
      </c>
      <c r="AB7725" s="8"/>
      <c r="AC7725" s="27">
        <v>9785369016459</v>
      </c>
    </row>
    <row r="7726" spans="1:29" s="4" customFormat="1" ht="51.9" customHeight="1" x14ac:dyDescent="0.2">
      <c r="A7726" s="5">
        <v>0</v>
      </c>
      <c r="B7726" s="6" t="s">
        <v>43569</v>
      </c>
      <c r="C7726" s="7">
        <v>1408.8</v>
      </c>
      <c r="D7726" s="8" t="s">
        <v>43570</v>
      </c>
      <c r="E7726" s="8" t="s">
        <v>43571</v>
      </c>
      <c r="F7726" s="8" t="s">
        <v>43572</v>
      </c>
      <c r="G7726" s="6" t="s">
        <v>60</v>
      </c>
      <c r="H7726" s="6" t="s">
        <v>34</v>
      </c>
      <c r="I7726" s="8" t="s">
        <v>271</v>
      </c>
      <c r="J7726" s="9">
        <v>1</v>
      </c>
      <c r="K7726" s="9">
        <v>214</v>
      </c>
      <c r="L7726" s="9">
        <v>2026</v>
      </c>
      <c r="M7726" s="8" t="s">
        <v>43573</v>
      </c>
      <c r="N7726" s="8" t="s">
        <v>243</v>
      </c>
      <c r="O7726" s="8" t="s">
        <v>385</v>
      </c>
      <c r="P7726" s="6" t="s">
        <v>306</v>
      </c>
      <c r="Q7726" s="8" t="s">
        <v>52</v>
      </c>
      <c r="R7726" s="10" t="s">
        <v>43574</v>
      </c>
      <c r="S7726" s="11" t="s">
        <v>43575</v>
      </c>
      <c r="T7726" s="6"/>
      <c r="U7726" s="15" t="str">
        <f>HYPERLINK("https://media.infra-m.ru/2244/2244274/cover/2244274.jpg", "Обложка")</f>
        <v>Обложка</v>
      </c>
      <c r="V7726" s="8" t="s">
        <v>8054</v>
      </c>
      <c r="W7726" s="6"/>
      <c r="X7726" s="6"/>
      <c r="Y7726" s="6"/>
      <c r="Z7726" s="6"/>
      <c r="AA7726" s="6" t="s">
        <v>874</v>
      </c>
      <c r="AB7726" s="8"/>
      <c r="AC7726" s="27">
        <v>9785160095790</v>
      </c>
    </row>
    <row r="7727" spans="1:29" s="4" customFormat="1" ht="51.9" customHeight="1" x14ac:dyDescent="0.2">
      <c r="A7727" s="5">
        <v>0</v>
      </c>
      <c r="B7727" s="6" t="s">
        <v>43576</v>
      </c>
      <c r="C7727" s="7">
        <v>1356</v>
      </c>
      <c r="D7727" s="8" t="s">
        <v>43577</v>
      </c>
      <c r="E7727" s="8" t="s">
        <v>43571</v>
      </c>
      <c r="F7727" s="8" t="s">
        <v>43578</v>
      </c>
      <c r="G7727" s="6" t="s">
        <v>118</v>
      </c>
      <c r="H7727" s="6" t="s">
        <v>34</v>
      </c>
      <c r="I7727" s="8" t="s">
        <v>263</v>
      </c>
      <c r="J7727" s="9">
        <v>1</v>
      </c>
      <c r="K7727" s="9">
        <v>214</v>
      </c>
      <c r="L7727" s="9">
        <v>2025</v>
      </c>
      <c r="M7727" s="8" t="s">
        <v>43579</v>
      </c>
      <c r="N7727" s="8" t="s">
        <v>243</v>
      </c>
      <c r="O7727" s="8" t="s">
        <v>385</v>
      </c>
      <c r="P7727" s="6" t="s">
        <v>306</v>
      </c>
      <c r="Q7727" s="8" t="s">
        <v>265</v>
      </c>
      <c r="R7727" s="10" t="s">
        <v>43580</v>
      </c>
      <c r="S7727" s="11" t="s">
        <v>43581</v>
      </c>
      <c r="T7727" s="6" t="s">
        <v>97</v>
      </c>
      <c r="U7727" s="15" t="str">
        <f>HYPERLINK("https://media.infra-m.ru/2208/2208031/cover/2208031.jpg", "Обложка")</f>
        <v>Обложка</v>
      </c>
      <c r="V7727" s="8" t="s">
        <v>8054</v>
      </c>
      <c r="W7727" s="6"/>
      <c r="X7727" s="6"/>
      <c r="Y7727" s="6"/>
      <c r="Z7727" s="6" t="s">
        <v>267</v>
      </c>
      <c r="AA7727" s="6" t="s">
        <v>2240</v>
      </c>
      <c r="AB7727" s="8" t="s">
        <v>3581</v>
      </c>
      <c r="AC7727" s="27">
        <v>9785160150345</v>
      </c>
    </row>
    <row r="7728" spans="1:29" s="4" customFormat="1" ht="51.9" customHeight="1" x14ac:dyDescent="0.2">
      <c r="A7728" s="5">
        <v>0</v>
      </c>
      <c r="B7728" s="6" t="s">
        <v>43582</v>
      </c>
      <c r="C7728" s="7">
        <v>1900.8</v>
      </c>
      <c r="D7728" s="8" t="s">
        <v>43583</v>
      </c>
      <c r="E7728" s="8" t="s">
        <v>43584</v>
      </c>
      <c r="F7728" s="8" t="s">
        <v>43585</v>
      </c>
      <c r="G7728" s="6" t="s">
        <v>118</v>
      </c>
      <c r="H7728" s="6" t="s">
        <v>34</v>
      </c>
      <c r="I7728" s="8" t="s">
        <v>271</v>
      </c>
      <c r="J7728" s="9">
        <v>1</v>
      </c>
      <c r="K7728" s="9">
        <v>288</v>
      </c>
      <c r="L7728" s="9">
        <v>2026</v>
      </c>
      <c r="M7728" s="8" t="s">
        <v>43586</v>
      </c>
      <c r="N7728" s="8" t="s">
        <v>585</v>
      </c>
      <c r="O7728" s="8" t="s">
        <v>586</v>
      </c>
      <c r="P7728" s="6" t="s">
        <v>51</v>
      </c>
      <c r="Q7728" s="8" t="s">
        <v>52</v>
      </c>
      <c r="R7728" s="10" t="s">
        <v>43587</v>
      </c>
      <c r="S7728" s="11" t="s">
        <v>43588</v>
      </c>
      <c r="T7728" s="6"/>
      <c r="U7728" s="15" t="str">
        <f>HYPERLINK("https://media.infra-m.ru/2224/2224127/cover/2224127.jpg", "Обложка")</f>
        <v>Обложка</v>
      </c>
      <c r="V7728" s="8" t="s">
        <v>21746</v>
      </c>
      <c r="W7728" s="6"/>
      <c r="X7728" s="6"/>
      <c r="Y7728" s="6"/>
      <c r="Z7728" s="6"/>
      <c r="AA7728" s="6" t="s">
        <v>248</v>
      </c>
      <c r="AB7728" s="8"/>
      <c r="AC7728" s="27">
        <v>9785160057705</v>
      </c>
    </row>
    <row r="7729" spans="1:29" s="4" customFormat="1" ht="51.9" customHeight="1" x14ac:dyDescent="0.2">
      <c r="A7729" s="5">
        <v>0</v>
      </c>
      <c r="B7729" s="6" t="s">
        <v>43589</v>
      </c>
      <c r="C7729" s="7">
        <v>2346</v>
      </c>
      <c r="D7729" s="8" t="s">
        <v>43590</v>
      </c>
      <c r="E7729" s="8" t="s">
        <v>43591</v>
      </c>
      <c r="F7729" s="8" t="s">
        <v>43592</v>
      </c>
      <c r="G7729" s="6" t="s">
        <v>60</v>
      </c>
      <c r="H7729" s="6" t="s">
        <v>34</v>
      </c>
      <c r="I7729" s="8"/>
      <c r="J7729" s="9">
        <v>1</v>
      </c>
      <c r="K7729" s="9">
        <v>609</v>
      </c>
      <c r="L7729" s="9">
        <v>2023</v>
      </c>
      <c r="M7729" s="8" t="s">
        <v>43593</v>
      </c>
      <c r="N7729" s="8" t="s">
        <v>37</v>
      </c>
      <c r="O7729" s="8" t="s">
        <v>83</v>
      </c>
      <c r="P7729" s="6" t="s">
        <v>39</v>
      </c>
      <c r="Q7729" s="8" t="s">
        <v>40</v>
      </c>
      <c r="R7729" s="10" t="s">
        <v>43594</v>
      </c>
      <c r="S7729" s="11"/>
      <c r="T7729" s="6"/>
      <c r="U7729" s="15" t="str">
        <f>HYPERLINK("https://media.infra-m.ru/1922/1922246/cover/1922246.jpg", "Обложка")</f>
        <v>Обложка</v>
      </c>
      <c r="V7729" s="8" t="s">
        <v>657</v>
      </c>
      <c r="W7729" s="6"/>
      <c r="X7729" s="6"/>
      <c r="Y7729" s="6"/>
      <c r="Z7729" s="6"/>
      <c r="AA7729" s="6" t="s">
        <v>86</v>
      </c>
      <c r="AB7729" s="8"/>
      <c r="AC7729" s="27">
        <v>9785160143491</v>
      </c>
    </row>
    <row r="7730" spans="1:29" s="4" customFormat="1" ht="44.1" customHeight="1" x14ac:dyDescent="0.2">
      <c r="A7730" s="5">
        <v>0</v>
      </c>
      <c r="B7730" s="6" t="s">
        <v>43595</v>
      </c>
      <c r="C7730" s="13">
        <v>581.9</v>
      </c>
      <c r="D7730" s="8" t="s">
        <v>43596</v>
      </c>
      <c r="E7730" s="8" t="s">
        <v>43597</v>
      </c>
      <c r="F7730" s="8" t="s">
        <v>6714</v>
      </c>
      <c r="G7730" s="6" t="s">
        <v>33</v>
      </c>
      <c r="H7730" s="6" t="s">
        <v>34</v>
      </c>
      <c r="I7730" s="8" t="s">
        <v>35</v>
      </c>
      <c r="J7730" s="9">
        <v>1</v>
      </c>
      <c r="K7730" s="9">
        <v>91</v>
      </c>
      <c r="L7730" s="9">
        <v>2018</v>
      </c>
      <c r="M7730" s="8" t="s">
        <v>43598</v>
      </c>
      <c r="N7730" s="8" t="s">
        <v>37</v>
      </c>
      <c r="O7730" s="8" t="s">
        <v>83</v>
      </c>
      <c r="P7730" s="6" t="s">
        <v>39</v>
      </c>
      <c r="Q7730" s="8" t="s">
        <v>40</v>
      </c>
      <c r="R7730" s="10" t="s">
        <v>43599</v>
      </c>
      <c r="S7730" s="11"/>
      <c r="T7730" s="6"/>
      <c r="U7730" s="15" t="str">
        <f>HYPERLINK("https://media.infra-m.ru/0937/0937973/cover/937973.jpg", "Обложка")</f>
        <v>Обложка</v>
      </c>
      <c r="V7730" s="8" t="s">
        <v>5820</v>
      </c>
      <c r="W7730" s="6"/>
      <c r="X7730" s="6"/>
      <c r="Y7730" s="6"/>
      <c r="Z7730" s="6"/>
      <c r="AA7730" s="6" t="s">
        <v>274</v>
      </c>
      <c r="AB7730" s="8"/>
      <c r="AC7730" s="27">
        <v>9785160106090</v>
      </c>
    </row>
    <row r="7731" spans="1:29" s="4" customFormat="1" ht="42" customHeight="1" x14ac:dyDescent="0.2">
      <c r="A7731" s="5">
        <v>0</v>
      </c>
      <c r="B7731" s="6" t="s">
        <v>43600</v>
      </c>
      <c r="C7731" s="7">
        <v>1680</v>
      </c>
      <c r="D7731" s="8" t="s">
        <v>43601</v>
      </c>
      <c r="E7731" s="8" t="s">
        <v>43602</v>
      </c>
      <c r="F7731" s="8" t="s">
        <v>43603</v>
      </c>
      <c r="G7731" s="6" t="s">
        <v>118</v>
      </c>
      <c r="H7731" s="6" t="s">
        <v>34</v>
      </c>
      <c r="I7731" s="8" t="s">
        <v>35</v>
      </c>
      <c r="J7731" s="9">
        <v>1</v>
      </c>
      <c r="K7731" s="9">
        <v>241</v>
      </c>
      <c r="L7731" s="9">
        <v>2026</v>
      </c>
      <c r="M7731" s="8" t="s">
        <v>43604</v>
      </c>
      <c r="N7731" s="8" t="s">
        <v>37</v>
      </c>
      <c r="O7731" s="8" t="s">
        <v>83</v>
      </c>
      <c r="P7731" s="6" t="s">
        <v>39</v>
      </c>
      <c r="Q7731" s="8" t="s">
        <v>40</v>
      </c>
      <c r="R7731" s="10" t="s">
        <v>37315</v>
      </c>
      <c r="S7731" s="11"/>
      <c r="T7731" s="6"/>
      <c r="U7731" s="15" t="str">
        <f>HYPERLINK("https://media.infra-m.ru/2262/2262632/cover/2262632.jpg", "Обложка")</f>
        <v>Обложка</v>
      </c>
      <c r="V7731" s="8" t="s">
        <v>1192</v>
      </c>
      <c r="W7731" s="6"/>
      <c r="X7731" s="6"/>
      <c r="Y7731" s="6"/>
      <c r="Z7731" s="6"/>
      <c r="AA7731" s="6" t="s">
        <v>76</v>
      </c>
      <c r="AB7731" s="8"/>
      <c r="AC7731" s="27">
        <v>9785160194479</v>
      </c>
    </row>
    <row r="7732" spans="1:29" s="4" customFormat="1" ht="51.9" customHeight="1" x14ac:dyDescent="0.2">
      <c r="A7732" s="5">
        <v>0</v>
      </c>
      <c r="B7732" s="6" t="s">
        <v>43605</v>
      </c>
      <c r="C7732" s="7">
        <v>1524</v>
      </c>
      <c r="D7732" s="8" t="s">
        <v>43606</v>
      </c>
      <c r="E7732" s="8" t="s">
        <v>43607</v>
      </c>
      <c r="F7732" s="8" t="s">
        <v>43608</v>
      </c>
      <c r="G7732" s="6" t="s">
        <v>118</v>
      </c>
      <c r="H7732" s="6" t="s">
        <v>34</v>
      </c>
      <c r="I7732" s="8" t="s">
        <v>253</v>
      </c>
      <c r="J7732" s="9">
        <v>1</v>
      </c>
      <c r="K7732" s="9">
        <v>238</v>
      </c>
      <c r="L7732" s="9">
        <v>2025</v>
      </c>
      <c r="M7732" s="8" t="s">
        <v>43609</v>
      </c>
      <c r="N7732" s="8" t="s">
        <v>37</v>
      </c>
      <c r="O7732" s="8" t="s">
        <v>207</v>
      </c>
      <c r="P7732" s="6" t="s">
        <v>394</v>
      </c>
      <c r="Q7732" s="8" t="s">
        <v>65</v>
      </c>
      <c r="R7732" s="10" t="s">
        <v>43610</v>
      </c>
      <c r="S7732" s="11" t="s">
        <v>43611</v>
      </c>
      <c r="T7732" s="6"/>
      <c r="U7732" s="15" t="str">
        <f>HYPERLINK("https://media.infra-m.ru/2211/2211620/cover/2211620.jpg", "Обложка")</f>
        <v>Обложка</v>
      </c>
      <c r="V7732" s="8" t="s">
        <v>2055</v>
      </c>
      <c r="W7732" s="6"/>
      <c r="X7732" s="6"/>
      <c r="Y7732" s="6"/>
      <c r="Z7732" s="6"/>
      <c r="AA7732" s="6" t="s">
        <v>3414</v>
      </c>
      <c r="AB7732" s="8"/>
      <c r="AC7732" s="27">
        <v>9785160190754</v>
      </c>
    </row>
    <row r="7733" spans="1:29" s="4" customFormat="1" ht="51.9" customHeight="1" x14ac:dyDescent="0.2">
      <c r="A7733" s="5">
        <v>0</v>
      </c>
      <c r="B7733" s="6" t="s">
        <v>43612</v>
      </c>
      <c r="C7733" s="7">
        <v>1632</v>
      </c>
      <c r="D7733" s="8" t="s">
        <v>43613</v>
      </c>
      <c r="E7733" s="8" t="s">
        <v>43614</v>
      </c>
      <c r="F7733" s="8" t="s">
        <v>43615</v>
      </c>
      <c r="G7733" s="6" t="s">
        <v>60</v>
      </c>
      <c r="H7733" s="6" t="s">
        <v>34</v>
      </c>
      <c r="I7733" s="8" t="s">
        <v>271</v>
      </c>
      <c r="J7733" s="9">
        <v>1</v>
      </c>
      <c r="K7733" s="9">
        <v>476</v>
      </c>
      <c r="L7733" s="9">
        <v>2018</v>
      </c>
      <c r="M7733" s="8" t="s">
        <v>43616</v>
      </c>
      <c r="N7733" s="8" t="s">
        <v>37</v>
      </c>
      <c r="O7733" s="8" t="s">
        <v>207</v>
      </c>
      <c r="P7733" s="6" t="s">
        <v>306</v>
      </c>
      <c r="Q7733" s="8" t="s">
        <v>52</v>
      </c>
      <c r="R7733" s="10" t="s">
        <v>43617</v>
      </c>
      <c r="S7733" s="11" t="s">
        <v>2094</v>
      </c>
      <c r="T7733" s="6"/>
      <c r="U7733" s="15" t="str">
        <f>HYPERLINK("https://media.infra-m.ru/0952/0952150/cover/952150.jpg", "Обложка")</f>
        <v>Обложка</v>
      </c>
      <c r="V7733" s="8" t="s">
        <v>2055</v>
      </c>
      <c r="W7733" s="6"/>
      <c r="X7733" s="6"/>
      <c r="Y7733" s="6"/>
      <c r="Z7733" s="6"/>
      <c r="AA7733" s="6" t="s">
        <v>7324</v>
      </c>
      <c r="AB7733" s="8"/>
      <c r="AC7733" s="27">
        <v>9785160048574</v>
      </c>
    </row>
    <row r="7734" spans="1:29" s="4" customFormat="1" ht="51.9" customHeight="1" x14ac:dyDescent="0.2">
      <c r="A7734" s="5">
        <v>0</v>
      </c>
      <c r="B7734" s="6" t="s">
        <v>43618</v>
      </c>
      <c r="C7734" s="7">
        <v>3064.8</v>
      </c>
      <c r="D7734" s="8" t="s">
        <v>43619</v>
      </c>
      <c r="E7734" s="8" t="s">
        <v>43620</v>
      </c>
      <c r="F7734" s="8" t="s">
        <v>43621</v>
      </c>
      <c r="G7734" s="6" t="s">
        <v>60</v>
      </c>
      <c r="H7734" s="6" t="s">
        <v>34</v>
      </c>
      <c r="I7734" s="8" t="s">
        <v>253</v>
      </c>
      <c r="J7734" s="9">
        <v>1</v>
      </c>
      <c r="K7734" s="9">
        <v>465</v>
      </c>
      <c r="L7734" s="9">
        <v>2026</v>
      </c>
      <c r="M7734" s="8" t="s">
        <v>43622</v>
      </c>
      <c r="N7734" s="8" t="s">
        <v>37</v>
      </c>
      <c r="O7734" s="8" t="s">
        <v>207</v>
      </c>
      <c r="P7734" s="6" t="s">
        <v>306</v>
      </c>
      <c r="Q7734" s="8" t="s">
        <v>52</v>
      </c>
      <c r="R7734" s="10" t="s">
        <v>43617</v>
      </c>
      <c r="S7734" s="11" t="s">
        <v>43623</v>
      </c>
      <c r="T7734" s="6"/>
      <c r="U7734" s="15" t="str">
        <f>HYPERLINK("https://media.infra-m.ru/2249/2249335/cover/2249335.jpg", "Обложка")</f>
        <v>Обложка</v>
      </c>
      <c r="V7734" s="8" t="s">
        <v>2055</v>
      </c>
      <c r="W7734" s="6"/>
      <c r="X7734" s="6"/>
      <c r="Y7734" s="6"/>
      <c r="Z7734" s="6"/>
      <c r="AA7734" s="6" t="s">
        <v>2259</v>
      </c>
      <c r="AB7734" s="8"/>
      <c r="AC7734" s="27">
        <v>9785160190846</v>
      </c>
    </row>
    <row r="7735" spans="1:29" s="4" customFormat="1" ht="51.9" customHeight="1" x14ac:dyDescent="0.2">
      <c r="A7735" s="5">
        <v>0</v>
      </c>
      <c r="B7735" s="6" t="s">
        <v>43624</v>
      </c>
      <c r="C7735" s="7">
        <v>1740</v>
      </c>
      <c r="D7735" s="8" t="s">
        <v>43625</v>
      </c>
      <c r="E7735" s="8" t="s">
        <v>43626</v>
      </c>
      <c r="F7735" s="8" t="s">
        <v>43627</v>
      </c>
      <c r="G7735" s="6" t="s">
        <v>60</v>
      </c>
      <c r="H7735" s="6" t="s">
        <v>34</v>
      </c>
      <c r="I7735" s="8" t="s">
        <v>35</v>
      </c>
      <c r="J7735" s="9">
        <v>1</v>
      </c>
      <c r="K7735" s="9">
        <v>245</v>
      </c>
      <c r="L7735" s="9">
        <v>2027</v>
      </c>
      <c r="M7735" s="8" t="s">
        <v>43628</v>
      </c>
      <c r="N7735" s="8" t="s">
        <v>37</v>
      </c>
      <c r="O7735" s="8" t="s">
        <v>136</v>
      </c>
      <c r="P7735" s="6" t="s">
        <v>39</v>
      </c>
      <c r="Q7735" s="8" t="s">
        <v>40</v>
      </c>
      <c r="R7735" s="10" t="s">
        <v>1512</v>
      </c>
      <c r="S7735" s="11"/>
      <c r="T7735" s="6"/>
      <c r="U7735" s="15" t="str">
        <f>HYPERLINK("https://media.infra-m.ru/2246/2246452/cover/2246452.jpg", "Обложка")</f>
        <v>Обложка</v>
      </c>
      <c r="V7735" s="8" t="s">
        <v>43629</v>
      </c>
      <c r="W7735" s="6" t="s">
        <v>2115</v>
      </c>
      <c r="X7735" s="6"/>
      <c r="Y7735" s="6"/>
      <c r="Z7735" s="6"/>
      <c r="AA7735" s="6" t="s">
        <v>420</v>
      </c>
      <c r="AB7735" s="8"/>
      <c r="AC7735" s="27">
        <v>9785160220116</v>
      </c>
    </row>
    <row r="7736" spans="1:29" s="4" customFormat="1" ht="51.9" customHeight="1" x14ac:dyDescent="0.2">
      <c r="A7736" s="5">
        <v>0</v>
      </c>
      <c r="B7736" s="6" t="s">
        <v>43630</v>
      </c>
      <c r="C7736" s="7">
        <v>2424</v>
      </c>
      <c r="D7736" s="8" t="s">
        <v>43631</v>
      </c>
      <c r="E7736" s="8" t="s">
        <v>43632</v>
      </c>
      <c r="F7736" s="8" t="s">
        <v>43633</v>
      </c>
      <c r="G7736" s="6" t="s">
        <v>118</v>
      </c>
      <c r="H7736" s="6" t="s">
        <v>134</v>
      </c>
      <c r="I7736" s="8"/>
      <c r="J7736" s="9">
        <v>1</v>
      </c>
      <c r="K7736" s="9">
        <v>368</v>
      </c>
      <c r="L7736" s="9">
        <v>2026</v>
      </c>
      <c r="M7736" s="8" t="s">
        <v>43634</v>
      </c>
      <c r="N7736" s="8" t="s">
        <v>37</v>
      </c>
      <c r="O7736" s="8" t="s">
        <v>136</v>
      </c>
      <c r="P7736" s="6" t="s">
        <v>306</v>
      </c>
      <c r="Q7736" s="8" t="s">
        <v>52</v>
      </c>
      <c r="R7736" s="10" t="s">
        <v>1275</v>
      </c>
      <c r="S7736" s="11" t="s">
        <v>43635</v>
      </c>
      <c r="T7736" s="6"/>
      <c r="U7736" s="15" t="str">
        <f>HYPERLINK("https://media.infra-m.ru/2233/2233637/cover/2233637.jpg", "Обложка")</f>
        <v>Обложка</v>
      </c>
      <c r="V7736" s="8" t="s">
        <v>1184</v>
      </c>
      <c r="W7736" s="6"/>
      <c r="X7736" s="6"/>
      <c r="Y7736" s="6"/>
      <c r="Z7736" s="6"/>
      <c r="AA7736" s="6" t="s">
        <v>360</v>
      </c>
      <c r="AB7736" s="8"/>
      <c r="AC7736" s="27">
        <v>9785917687162</v>
      </c>
    </row>
    <row r="7737" spans="1:29" s="4" customFormat="1" ht="51.9" customHeight="1" x14ac:dyDescent="0.2">
      <c r="A7737" s="5">
        <v>0</v>
      </c>
      <c r="B7737" s="6" t="s">
        <v>43636</v>
      </c>
      <c r="C7737" s="7">
        <v>1728</v>
      </c>
      <c r="D7737" s="8" t="s">
        <v>43637</v>
      </c>
      <c r="E7737" s="8" t="s">
        <v>43638</v>
      </c>
      <c r="F7737" s="8" t="s">
        <v>43639</v>
      </c>
      <c r="G7737" s="6" t="s">
        <v>118</v>
      </c>
      <c r="H7737" s="6" t="s">
        <v>34</v>
      </c>
      <c r="I7737" s="8" t="s">
        <v>253</v>
      </c>
      <c r="J7737" s="9">
        <v>1</v>
      </c>
      <c r="K7737" s="9">
        <v>312</v>
      </c>
      <c r="L7737" s="9">
        <v>2024</v>
      </c>
      <c r="M7737" s="8" t="s">
        <v>43640</v>
      </c>
      <c r="N7737" s="8" t="s">
        <v>37</v>
      </c>
      <c r="O7737" s="8" t="s">
        <v>136</v>
      </c>
      <c r="P7737" s="6" t="s">
        <v>306</v>
      </c>
      <c r="Q7737" s="8" t="s">
        <v>52</v>
      </c>
      <c r="R7737" s="10" t="s">
        <v>8773</v>
      </c>
      <c r="S7737" s="11" t="s">
        <v>5619</v>
      </c>
      <c r="T7737" s="6"/>
      <c r="U7737" s="15" t="str">
        <f>HYPERLINK("https://media.infra-m.ru/2131/2131879/cover/2131879.jpg", "Обложка")</f>
        <v>Обложка</v>
      </c>
      <c r="V7737" s="8" t="s">
        <v>546</v>
      </c>
      <c r="W7737" s="6"/>
      <c r="X7737" s="6"/>
      <c r="Y7737" s="6"/>
      <c r="Z7737" s="6"/>
      <c r="AA7737" s="6" t="s">
        <v>99</v>
      </c>
      <c r="AB7737" s="8"/>
      <c r="AC7737" s="27">
        <v>9785160127378</v>
      </c>
    </row>
    <row r="7738" spans="1:29" s="4" customFormat="1" ht="42" customHeight="1" x14ac:dyDescent="0.2">
      <c r="A7738" s="5">
        <v>0</v>
      </c>
      <c r="B7738" s="6" t="s">
        <v>43641</v>
      </c>
      <c r="C7738" s="7">
        <v>2280</v>
      </c>
      <c r="D7738" s="8" t="s">
        <v>43642</v>
      </c>
      <c r="E7738" s="8" t="s">
        <v>43643</v>
      </c>
      <c r="F7738" s="8" t="s">
        <v>38588</v>
      </c>
      <c r="G7738" s="6" t="s">
        <v>60</v>
      </c>
      <c r="H7738" s="6" t="s">
        <v>34</v>
      </c>
      <c r="I7738" s="8" t="s">
        <v>253</v>
      </c>
      <c r="J7738" s="9">
        <v>1</v>
      </c>
      <c r="K7738" s="9">
        <v>378</v>
      </c>
      <c r="L7738" s="9">
        <v>2025</v>
      </c>
      <c r="M7738" s="8" t="s">
        <v>43644</v>
      </c>
      <c r="N7738" s="8" t="s">
        <v>63</v>
      </c>
      <c r="O7738" s="8" t="s">
        <v>64</v>
      </c>
      <c r="P7738" s="6" t="s">
        <v>51</v>
      </c>
      <c r="Q7738" s="8" t="s">
        <v>65</v>
      </c>
      <c r="R7738" s="10" t="s">
        <v>43645</v>
      </c>
      <c r="S7738" s="11"/>
      <c r="T7738" s="6"/>
      <c r="U7738" s="15" t="str">
        <f>HYPERLINK("https://media.infra-m.ru/1171/1171926/cover/1171926.jpg", "Обложка")</f>
        <v>Обложка</v>
      </c>
      <c r="V7738" s="8" t="s">
        <v>19004</v>
      </c>
      <c r="W7738" s="6"/>
      <c r="X7738" s="6"/>
      <c r="Y7738" s="6"/>
      <c r="Z7738" s="6"/>
      <c r="AA7738" s="6" t="s">
        <v>68</v>
      </c>
      <c r="AB7738" s="8"/>
      <c r="AC7738" s="27">
        <v>9785160165042</v>
      </c>
    </row>
    <row r="7739" spans="1:29" s="4" customFormat="1" ht="51.9" customHeight="1" x14ac:dyDescent="0.2">
      <c r="A7739" s="5">
        <v>0</v>
      </c>
      <c r="B7739" s="6" t="s">
        <v>43646</v>
      </c>
      <c r="C7739" s="7">
        <v>1236</v>
      </c>
      <c r="D7739" s="8" t="s">
        <v>43647</v>
      </c>
      <c r="E7739" s="8" t="s">
        <v>43648</v>
      </c>
      <c r="F7739" s="8" t="s">
        <v>43649</v>
      </c>
      <c r="G7739" s="6" t="s">
        <v>60</v>
      </c>
      <c r="H7739" s="6" t="s">
        <v>34</v>
      </c>
      <c r="I7739" s="8" t="s">
        <v>5350</v>
      </c>
      <c r="J7739" s="9">
        <v>1</v>
      </c>
      <c r="K7739" s="9">
        <v>320</v>
      </c>
      <c r="L7739" s="9">
        <v>2019</v>
      </c>
      <c r="M7739" s="8" t="s">
        <v>43650</v>
      </c>
      <c r="N7739" s="8" t="s">
        <v>243</v>
      </c>
      <c r="O7739" s="8" t="s">
        <v>758</v>
      </c>
      <c r="P7739" s="6" t="s">
        <v>306</v>
      </c>
      <c r="Q7739" s="8" t="s">
        <v>377</v>
      </c>
      <c r="R7739" s="10"/>
      <c r="S7739" s="11" t="s">
        <v>43651</v>
      </c>
      <c r="T7739" s="6"/>
      <c r="U7739" s="15" t="str">
        <f>HYPERLINK("https://media.infra-m.ru/0959/0959267/cover/959267.jpg", "Обложка")</f>
        <v>Обложка</v>
      </c>
      <c r="V7739" s="8" t="s">
        <v>1030</v>
      </c>
      <c r="W7739" s="6"/>
      <c r="X7739" s="6"/>
      <c r="Y7739" s="6"/>
      <c r="Z7739" s="6"/>
      <c r="AA7739" s="6" t="s">
        <v>1117</v>
      </c>
      <c r="AB7739" s="8"/>
      <c r="AC7739" s="27">
        <v>9785160138442</v>
      </c>
    </row>
    <row r="7740" spans="1:29" s="4" customFormat="1" ht="42" customHeight="1" x14ac:dyDescent="0.2">
      <c r="A7740" s="5">
        <v>0</v>
      </c>
      <c r="B7740" s="6" t="s">
        <v>43652</v>
      </c>
      <c r="C7740" s="7">
        <v>6000</v>
      </c>
      <c r="D7740" s="8" t="s">
        <v>43653</v>
      </c>
      <c r="E7740" s="8" t="s">
        <v>43654</v>
      </c>
      <c r="F7740" s="8" t="s">
        <v>43655</v>
      </c>
      <c r="G7740" s="6" t="s">
        <v>118</v>
      </c>
      <c r="H7740" s="6" t="s">
        <v>34</v>
      </c>
      <c r="I7740" s="8" t="s">
        <v>35</v>
      </c>
      <c r="J7740" s="9">
        <v>1</v>
      </c>
      <c r="K7740" s="9">
        <v>1063</v>
      </c>
      <c r="L7740" s="9">
        <v>2025</v>
      </c>
      <c r="M7740" s="8" t="s">
        <v>43656</v>
      </c>
      <c r="N7740" s="8" t="s">
        <v>63</v>
      </c>
      <c r="O7740" s="8" t="s">
        <v>64</v>
      </c>
      <c r="P7740" s="6" t="s">
        <v>39</v>
      </c>
      <c r="Q7740" s="8" t="s">
        <v>40</v>
      </c>
      <c r="R7740" s="10" t="s">
        <v>4929</v>
      </c>
      <c r="S7740" s="11"/>
      <c r="T7740" s="6"/>
      <c r="U7740" s="15" t="str">
        <f>HYPERLINK("https://media.infra-m.ru/2198/2198970/cover/2198970.jpg", "Обложка")</f>
        <v>Обложка</v>
      </c>
      <c r="V7740" s="8" t="s">
        <v>3693</v>
      </c>
      <c r="W7740" s="6"/>
      <c r="X7740" s="6"/>
      <c r="Y7740" s="6"/>
      <c r="Z7740" s="6"/>
      <c r="AA7740" s="6" t="s">
        <v>68</v>
      </c>
      <c r="AB7740" s="8" t="s">
        <v>308</v>
      </c>
      <c r="AC7740" s="27">
        <v>9785160208473</v>
      </c>
    </row>
    <row r="7741" spans="1:29" s="4" customFormat="1" ht="51.9" customHeight="1" x14ac:dyDescent="0.2">
      <c r="A7741" s="5">
        <v>0</v>
      </c>
      <c r="B7741" s="6" t="s">
        <v>43657</v>
      </c>
      <c r="C7741" s="7">
        <v>2388</v>
      </c>
      <c r="D7741" s="8" t="s">
        <v>43658</v>
      </c>
      <c r="E7741" s="8" t="s">
        <v>43659</v>
      </c>
      <c r="F7741" s="8" t="s">
        <v>43660</v>
      </c>
      <c r="G7741" s="6" t="s">
        <v>118</v>
      </c>
      <c r="H7741" s="6" t="s">
        <v>34</v>
      </c>
      <c r="I7741" s="8" t="s">
        <v>271</v>
      </c>
      <c r="J7741" s="9">
        <v>1</v>
      </c>
      <c r="K7741" s="9">
        <v>584</v>
      </c>
      <c r="L7741" s="9">
        <v>2020</v>
      </c>
      <c r="M7741" s="8" t="s">
        <v>43661</v>
      </c>
      <c r="N7741" s="8" t="s">
        <v>585</v>
      </c>
      <c r="O7741" s="8" t="s">
        <v>667</v>
      </c>
      <c r="P7741" s="6" t="s">
        <v>51</v>
      </c>
      <c r="Q7741" s="8" t="s">
        <v>52</v>
      </c>
      <c r="R7741" s="10" t="s">
        <v>20801</v>
      </c>
      <c r="S7741" s="11" t="s">
        <v>2397</v>
      </c>
      <c r="T7741" s="6"/>
      <c r="U7741" s="15" t="str">
        <f>HYPERLINK("https://media.infra-m.ru/1081/1081618/cover/1081618.jpg", "Обложка")</f>
        <v>Обложка</v>
      </c>
      <c r="V7741" s="8" t="s">
        <v>2398</v>
      </c>
      <c r="W7741" s="6"/>
      <c r="X7741" s="6"/>
      <c r="Y7741" s="6"/>
      <c r="Z7741" s="6"/>
      <c r="AA7741" s="6" t="s">
        <v>360</v>
      </c>
      <c r="AB7741" s="8"/>
      <c r="AC7741" s="27">
        <v>9785160118628</v>
      </c>
    </row>
    <row r="7742" spans="1:29" s="4" customFormat="1" ht="51.9" customHeight="1" x14ac:dyDescent="0.2">
      <c r="A7742" s="5">
        <v>0</v>
      </c>
      <c r="B7742" s="6" t="s">
        <v>43662</v>
      </c>
      <c r="C7742" s="7">
        <v>1368</v>
      </c>
      <c r="D7742" s="8" t="s">
        <v>43663</v>
      </c>
      <c r="E7742" s="8" t="s">
        <v>43664</v>
      </c>
      <c r="F7742" s="8" t="s">
        <v>43665</v>
      </c>
      <c r="G7742" s="6" t="s">
        <v>118</v>
      </c>
      <c r="H7742" s="6" t="s">
        <v>34</v>
      </c>
      <c r="I7742" s="8" t="s">
        <v>271</v>
      </c>
      <c r="J7742" s="9">
        <v>1</v>
      </c>
      <c r="K7742" s="9">
        <v>252</v>
      </c>
      <c r="L7742" s="9">
        <v>2023</v>
      </c>
      <c r="M7742" s="8" t="s">
        <v>43666</v>
      </c>
      <c r="N7742" s="8" t="s">
        <v>37</v>
      </c>
      <c r="O7742" s="8" t="s">
        <v>280</v>
      </c>
      <c r="P7742" s="6" t="s">
        <v>306</v>
      </c>
      <c r="Q7742" s="8" t="s">
        <v>52</v>
      </c>
      <c r="R7742" s="10" t="s">
        <v>43667</v>
      </c>
      <c r="S7742" s="11" t="s">
        <v>43668</v>
      </c>
      <c r="T7742" s="6"/>
      <c r="U7742" s="15" t="str">
        <f>HYPERLINK("https://media.infra-m.ru/1905/1905237/cover/1905237.jpg", "Обложка")</f>
        <v>Обложка</v>
      </c>
      <c r="V7742" s="8" t="s">
        <v>12210</v>
      </c>
      <c r="W7742" s="6"/>
      <c r="X7742" s="6"/>
      <c r="Y7742" s="6"/>
      <c r="Z7742" s="6"/>
      <c r="AA7742" s="6" t="s">
        <v>99</v>
      </c>
      <c r="AB7742" s="8"/>
      <c r="AC7742" s="27">
        <v>9785160126296</v>
      </c>
    </row>
    <row r="7743" spans="1:29" s="4" customFormat="1" ht="51.9" customHeight="1" x14ac:dyDescent="0.2">
      <c r="A7743" s="5">
        <v>0</v>
      </c>
      <c r="B7743" s="6" t="s">
        <v>43669</v>
      </c>
      <c r="C7743" s="7">
        <v>1264.8</v>
      </c>
      <c r="D7743" s="8" t="s">
        <v>43670</v>
      </c>
      <c r="E7743" s="8" t="s">
        <v>43664</v>
      </c>
      <c r="F7743" s="8" t="s">
        <v>13227</v>
      </c>
      <c r="G7743" s="6" t="s">
        <v>118</v>
      </c>
      <c r="H7743" s="6" t="s">
        <v>34</v>
      </c>
      <c r="I7743" s="8" t="s">
        <v>271</v>
      </c>
      <c r="J7743" s="9">
        <v>1</v>
      </c>
      <c r="K7743" s="9">
        <v>202</v>
      </c>
      <c r="L7743" s="9">
        <v>2025</v>
      </c>
      <c r="M7743" s="8" t="s">
        <v>43671</v>
      </c>
      <c r="N7743" s="8" t="s">
        <v>37</v>
      </c>
      <c r="O7743" s="8" t="s">
        <v>280</v>
      </c>
      <c r="P7743" s="6" t="s">
        <v>51</v>
      </c>
      <c r="Q7743" s="8" t="s">
        <v>52</v>
      </c>
      <c r="R7743" s="10" t="s">
        <v>43672</v>
      </c>
      <c r="S7743" s="11" t="s">
        <v>43673</v>
      </c>
      <c r="T7743" s="6"/>
      <c r="U7743" s="15" t="str">
        <f>HYPERLINK("https://media.infra-m.ru/2202/2202162/cover/2202162.jpg", "Обложка")</f>
        <v>Обложка</v>
      </c>
      <c r="V7743" s="8" t="s">
        <v>657</v>
      </c>
      <c r="W7743" s="6"/>
      <c r="X7743" s="6"/>
      <c r="Y7743" s="6"/>
      <c r="Z7743" s="6" t="s">
        <v>43674</v>
      </c>
      <c r="AA7743" s="6" t="s">
        <v>115</v>
      </c>
      <c r="AB7743" s="8"/>
      <c r="AC7743" s="27">
        <v>9785160142203</v>
      </c>
    </row>
    <row r="7744" spans="1:29" s="4" customFormat="1" ht="51.9" customHeight="1" x14ac:dyDescent="0.2">
      <c r="A7744" s="5">
        <v>0</v>
      </c>
      <c r="B7744" s="6" t="s">
        <v>43675</v>
      </c>
      <c r="C7744" s="13">
        <v>892.8</v>
      </c>
      <c r="D7744" s="8" t="s">
        <v>43676</v>
      </c>
      <c r="E7744" s="8" t="s">
        <v>43677</v>
      </c>
      <c r="F7744" s="8" t="s">
        <v>43678</v>
      </c>
      <c r="G7744" s="6" t="s">
        <v>33</v>
      </c>
      <c r="H7744" s="6" t="s">
        <v>34</v>
      </c>
      <c r="I7744" s="8" t="s">
        <v>271</v>
      </c>
      <c r="J7744" s="9">
        <v>1</v>
      </c>
      <c r="K7744" s="9">
        <v>160</v>
      </c>
      <c r="L7744" s="9">
        <v>2024</v>
      </c>
      <c r="M7744" s="8" t="s">
        <v>43679</v>
      </c>
      <c r="N7744" s="8" t="s">
        <v>37</v>
      </c>
      <c r="O7744" s="8" t="s">
        <v>280</v>
      </c>
      <c r="P7744" s="6" t="s">
        <v>51</v>
      </c>
      <c r="Q7744" s="8" t="s">
        <v>52</v>
      </c>
      <c r="R7744" s="10" t="s">
        <v>43680</v>
      </c>
      <c r="S7744" s="11" t="s">
        <v>43681</v>
      </c>
      <c r="T7744" s="6"/>
      <c r="U7744" s="15" t="str">
        <f>HYPERLINK("https://media.infra-m.ru/2053/2053986/cover/2053986.jpg", "Обложка")</f>
        <v>Обложка</v>
      </c>
      <c r="V7744" s="8" t="s">
        <v>2427</v>
      </c>
      <c r="W7744" s="6"/>
      <c r="X7744" s="6"/>
      <c r="Y7744" s="6"/>
      <c r="Z7744" s="6"/>
      <c r="AA7744" s="6" t="s">
        <v>7324</v>
      </c>
      <c r="AB7744" s="8"/>
      <c r="AC7744" s="27">
        <v>9785160055763</v>
      </c>
    </row>
    <row r="7745" spans="1:29" s="4" customFormat="1" ht="51.9" customHeight="1" x14ac:dyDescent="0.2">
      <c r="A7745" s="5">
        <v>0</v>
      </c>
      <c r="B7745" s="6" t="s">
        <v>43682</v>
      </c>
      <c r="C7745" s="7">
        <v>1668</v>
      </c>
      <c r="D7745" s="8" t="s">
        <v>43683</v>
      </c>
      <c r="E7745" s="8" t="s">
        <v>43684</v>
      </c>
      <c r="F7745" s="8" t="s">
        <v>43685</v>
      </c>
      <c r="G7745" s="6" t="s">
        <v>118</v>
      </c>
      <c r="H7745" s="6" t="s">
        <v>34</v>
      </c>
      <c r="I7745" s="8" t="s">
        <v>253</v>
      </c>
      <c r="J7745" s="9">
        <v>1</v>
      </c>
      <c r="K7745" s="9">
        <v>253</v>
      </c>
      <c r="L7745" s="9">
        <v>2026</v>
      </c>
      <c r="M7745" s="8" t="s">
        <v>43686</v>
      </c>
      <c r="N7745" s="8" t="s">
        <v>585</v>
      </c>
      <c r="O7745" s="8" t="s">
        <v>667</v>
      </c>
      <c r="P7745" s="6" t="s">
        <v>306</v>
      </c>
      <c r="Q7745" s="8" t="s">
        <v>52</v>
      </c>
      <c r="R7745" s="10" t="s">
        <v>43687</v>
      </c>
      <c r="S7745" s="11" t="s">
        <v>43688</v>
      </c>
      <c r="T7745" s="6"/>
      <c r="U7745" s="15" t="str">
        <f>HYPERLINK("https://media.infra-m.ru/2233/2233094/cover/2233094.jpg", "Обложка")</f>
        <v>Обложка</v>
      </c>
      <c r="V7745" s="8" t="s">
        <v>19637</v>
      </c>
      <c r="W7745" s="6"/>
      <c r="X7745" s="6"/>
      <c r="Y7745" s="6"/>
      <c r="Z7745" s="6"/>
      <c r="AA7745" s="6" t="s">
        <v>896</v>
      </c>
      <c r="AB7745" s="8"/>
      <c r="AC7745" s="27">
        <v>9785160216294</v>
      </c>
    </row>
    <row r="7746" spans="1:29" s="4" customFormat="1" ht="51.9" customHeight="1" x14ac:dyDescent="0.2">
      <c r="A7746" s="5">
        <v>0</v>
      </c>
      <c r="B7746" s="6" t="s">
        <v>43689</v>
      </c>
      <c r="C7746" s="7">
        <v>1157.9000000000001</v>
      </c>
      <c r="D7746" s="8" t="s">
        <v>43690</v>
      </c>
      <c r="E7746" s="8" t="s">
        <v>43691</v>
      </c>
      <c r="F7746" s="8" t="s">
        <v>43685</v>
      </c>
      <c r="G7746" s="6" t="s">
        <v>60</v>
      </c>
      <c r="H7746" s="6" t="s">
        <v>34</v>
      </c>
      <c r="I7746" s="8" t="s">
        <v>271</v>
      </c>
      <c r="J7746" s="9">
        <v>1</v>
      </c>
      <c r="K7746" s="9">
        <v>254</v>
      </c>
      <c r="L7746" s="9">
        <v>2022</v>
      </c>
      <c r="M7746" s="8" t="s">
        <v>43692</v>
      </c>
      <c r="N7746" s="8" t="s">
        <v>585</v>
      </c>
      <c r="O7746" s="8" t="s">
        <v>667</v>
      </c>
      <c r="P7746" s="6" t="s">
        <v>306</v>
      </c>
      <c r="Q7746" s="8" t="s">
        <v>52</v>
      </c>
      <c r="R7746" s="10" t="s">
        <v>43687</v>
      </c>
      <c r="S7746" s="11" t="s">
        <v>43688</v>
      </c>
      <c r="T7746" s="6"/>
      <c r="U7746" s="15" t="str">
        <f>HYPERLINK("https://media.infra-m.ru/1842/1842926/cover/1842926.jpg", "Обложка")</f>
        <v>Обложка</v>
      </c>
      <c r="V7746" s="8" t="s">
        <v>19637</v>
      </c>
      <c r="W7746" s="6"/>
      <c r="X7746" s="6"/>
      <c r="Y7746" s="6"/>
      <c r="Z7746" s="6"/>
      <c r="AA7746" s="6" t="s">
        <v>274</v>
      </c>
      <c r="AB7746" s="8"/>
      <c r="AC7746" s="27">
        <v>9785160136080</v>
      </c>
    </row>
    <row r="7747" spans="1:29" s="4" customFormat="1" ht="51.9" customHeight="1" x14ac:dyDescent="0.2">
      <c r="A7747" s="5">
        <v>0</v>
      </c>
      <c r="B7747" s="6" t="s">
        <v>43693</v>
      </c>
      <c r="C7747" s="13">
        <v>852</v>
      </c>
      <c r="D7747" s="8" t="s">
        <v>43694</v>
      </c>
      <c r="E7747" s="8" t="s">
        <v>43695</v>
      </c>
      <c r="F7747" s="8" t="s">
        <v>43696</v>
      </c>
      <c r="G7747" s="6" t="s">
        <v>60</v>
      </c>
      <c r="H7747" s="6" t="s">
        <v>34</v>
      </c>
      <c r="I7747" s="8" t="s">
        <v>271</v>
      </c>
      <c r="J7747" s="9">
        <v>1</v>
      </c>
      <c r="K7747" s="9">
        <v>180</v>
      </c>
      <c r="L7747" s="9">
        <v>2020</v>
      </c>
      <c r="M7747" s="8" t="s">
        <v>43697</v>
      </c>
      <c r="N7747" s="8" t="s">
        <v>585</v>
      </c>
      <c r="O7747" s="8" t="s">
        <v>667</v>
      </c>
      <c r="P7747" s="6" t="s">
        <v>51</v>
      </c>
      <c r="Q7747" s="8" t="s">
        <v>52</v>
      </c>
      <c r="R7747" s="10" t="s">
        <v>43698</v>
      </c>
      <c r="S7747" s="11" t="s">
        <v>43699</v>
      </c>
      <c r="T7747" s="6"/>
      <c r="U7747" s="15" t="str">
        <f>HYPERLINK("https://media.infra-m.ru/1058/1058889/cover/1058889.jpg", "Обложка")</f>
        <v>Обложка</v>
      </c>
      <c r="V7747" s="8" t="s">
        <v>831</v>
      </c>
      <c r="W7747" s="6"/>
      <c r="X7747" s="6"/>
      <c r="Y7747" s="6"/>
      <c r="Z7747" s="6"/>
      <c r="AA7747" s="6" t="s">
        <v>1256</v>
      </c>
      <c r="AB7747" s="8"/>
      <c r="AC7747" s="27">
        <v>9785160158167</v>
      </c>
    </row>
    <row r="7748" spans="1:29" s="4" customFormat="1" ht="51.9" customHeight="1" x14ac:dyDescent="0.2">
      <c r="A7748" s="5">
        <v>0</v>
      </c>
      <c r="B7748" s="6" t="s">
        <v>43700</v>
      </c>
      <c r="C7748" s="7">
        <v>2116.8000000000002</v>
      </c>
      <c r="D7748" s="8" t="s">
        <v>43701</v>
      </c>
      <c r="E7748" s="8" t="s">
        <v>43702</v>
      </c>
      <c r="F7748" s="8" t="s">
        <v>43703</v>
      </c>
      <c r="G7748" s="6" t="s">
        <v>118</v>
      </c>
      <c r="H7748" s="6" t="s">
        <v>1042</v>
      </c>
      <c r="I7748" s="8"/>
      <c r="J7748" s="9">
        <v>1</v>
      </c>
      <c r="K7748" s="9">
        <v>304</v>
      </c>
      <c r="L7748" s="9">
        <v>2027</v>
      </c>
      <c r="M7748" s="8" t="s">
        <v>43704</v>
      </c>
      <c r="N7748" s="8" t="s">
        <v>243</v>
      </c>
      <c r="O7748" s="8" t="s">
        <v>244</v>
      </c>
      <c r="P7748" s="6" t="s">
        <v>51</v>
      </c>
      <c r="Q7748" s="8" t="s">
        <v>52</v>
      </c>
      <c r="R7748" s="10" t="s">
        <v>43705</v>
      </c>
      <c r="S7748" s="11" t="s">
        <v>43706</v>
      </c>
      <c r="T7748" s="6"/>
      <c r="U7748" s="15" t="str">
        <f>HYPERLINK("https://media.infra-m.ru/2264/2264646/cover/2264646.jpg", "Обложка")</f>
        <v>Обложка</v>
      </c>
      <c r="V7748" s="8" t="s">
        <v>4943</v>
      </c>
      <c r="W7748" s="6"/>
      <c r="X7748" s="6"/>
      <c r="Y7748" s="6"/>
      <c r="Z7748" s="6"/>
      <c r="AA7748" s="6" t="s">
        <v>86</v>
      </c>
      <c r="AB7748" s="8"/>
      <c r="AC7748" s="27">
        <v>9785819907740</v>
      </c>
    </row>
    <row r="7749" spans="1:29" s="4" customFormat="1" ht="51.9" customHeight="1" x14ac:dyDescent="0.2">
      <c r="A7749" s="5">
        <v>0</v>
      </c>
      <c r="B7749" s="6" t="s">
        <v>43707</v>
      </c>
      <c r="C7749" s="7">
        <v>2152.8000000000002</v>
      </c>
      <c r="D7749" s="8" t="s">
        <v>43708</v>
      </c>
      <c r="E7749" s="8" t="s">
        <v>43709</v>
      </c>
      <c r="F7749" s="8" t="s">
        <v>43710</v>
      </c>
      <c r="G7749" s="6" t="s">
        <v>118</v>
      </c>
      <c r="H7749" s="6" t="s">
        <v>34</v>
      </c>
      <c r="I7749" s="8" t="s">
        <v>271</v>
      </c>
      <c r="J7749" s="9">
        <v>1</v>
      </c>
      <c r="K7749" s="9">
        <v>389</v>
      </c>
      <c r="L7749" s="9">
        <v>2024</v>
      </c>
      <c r="M7749" s="8" t="s">
        <v>43711</v>
      </c>
      <c r="N7749" s="8" t="s">
        <v>37</v>
      </c>
      <c r="O7749" s="8" t="s">
        <v>233</v>
      </c>
      <c r="P7749" s="6" t="s">
        <v>306</v>
      </c>
      <c r="Q7749" s="8" t="s">
        <v>52</v>
      </c>
      <c r="R7749" s="10" t="s">
        <v>3008</v>
      </c>
      <c r="S7749" s="11" t="s">
        <v>43712</v>
      </c>
      <c r="T7749" s="6"/>
      <c r="U7749" s="15" t="str">
        <f>HYPERLINK("https://media.infra-m.ru/2053/2053241/cover/2053241.jpg", "Обложка")</f>
        <v>Обложка</v>
      </c>
      <c r="V7749" s="8" t="s">
        <v>2055</v>
      </c>
      <c r="W7749" s="6"/>
      <c r="X7749" s="6"/>
      <c r="Y7749" s="6"/>
      <c r="Z7749" s="6"/>
      <c r="AA7749" s="6" t="s">
        <v>2259</v>
      </c>
      <c r="AB7749" s="8"/>
      <c r="AC7749" s="27">
        <v>9785160146263</v>
      </c>
    </row>
    <row r="7750" spans="1:29" s="4" customFormat="1" ht="51.9" customHeight="1" x14ac:dyDescent="0.2">
      <c r="A7750" s="5">
        <v>0</v>
      </c>
      <c r="B7750" s="6" t="s">
        <v>43713</v>
      </c>
      <c r="C7750" s="7">
        <v>2105.9</v>
      </c>
      <c r="D7750" s="8" t="s">
        <v>43714</v>
      </c>
      <c r="E7750" s="8" t="s">
        <v>43709</v>
      </c>
      <c r="F7750" s="8" t="s">
        <v>43715</v>
      </c>
      <c r="G7750" s="6" t="s">
        <v>60</v>
      </c>
      <c r="H7750" s="6" t="s">
        <v>34</v>
      </c>
      <c r="I7750" s="8" t="s">
        <v>271</v>
      </c>
      <c r="J7750" s="9">
        <v>1</v>
      </c>
      <c r="K7750" s="9">
        <v>462</v>
      </c>
      <c r="L7750" s="9">
        <v>2022</v>
      </c>
      <c r="M7750" s="8" t="s">
        <v>43716</v>
      </c>
      <c r="N7750" s="8" t="s">
        <v>37</v>
      </c>
      <c r="O7750" s="8" t="s">
        <v>233</v>
      </c>
      <c r="P7750" s="6" t="s">
        <v>306</v>
      </c>
      <c r="Q7750" s="8" t="s">
        <v>52</v>
      </c>
      <c r="R7750" s="10" t="s">
        <v>1646</v>
      </c>
      <c r="S7750" s="11" t="s">
        <v>43717</v>
      </c>
      <c r="T7750" s="6"/>
      <c r="U7750" s="15" t="str">
        <f>HYPERLINK("https://media.infra-m.ru/1846/1846184/cover/1846184.jpg", "Обложка")</f>
        <v>Обложка</v>
      </c>
      <c r="V7750" s="8" t="s">
        <v>831</v>
      </c>
      <c r="W7750" s="6"/>
      <c r="X7750" s="6"/>
      <c r="Y7750" s="6"/>
      <c r="Z7750" s="6"/>
      <c r="AA7750" s="6" t="s">
        <v>6898</v>
      </c>
      <c r="AB7750" s="8"/>
      <c r="AC7750" s="27">
        <v>9785160157559</v>
      </c>
    </row>
    <row r="7751" spans="1:29" s="4" customFormat="1" ht="51.9" customHeight="1" x14ac:dyDescent="0.2">
      <c r="A7751" s="5">
        <v>0</v>
      </c>
      <c r="B7751" s="6" t="s">
        <v>43718</v>
      </c>
      <c r="C7751" s="7">
        <v>3136.8</v>
      </c>
      <c r="D7751" s="8" t="s">
        <v>43719</v>
      </c>
      <c r="E7751" s="8" t="s">
        <v>43720</v>
      </c>
      <c r="F7751" s="8" t="s">
        <v>43715</v>
      </c>
      <c r="G7751" s="6" t="s">
        <v>118</v>
      </c>
      <c r="H7751" s="6" t="s">
        <v>34</v>
      </c>
      <c r="I7751" s="8" t="s">
        <v>271</v>
      </c>
      <c r="J7751" s="9">
        <v>1</v>
      </c>
      <c r="K7751" s="9">
        <v>503</v>
      </c>
      <c r="L7751" s="9">
        <v>2025</v>
      </c>
      <c r="M7751" s="8" t="s">
        <v>43721</v>
      </c>
      <c r="N7751" s="8" t="s">
        <v>37</v>
      </c>
      <c r="O7751" s="8" t="s">
        <v>233</v>
      </c>
      <c r="P7751" s="6" t="s">
        <v>306</v>
      </c>
      <c r="Q7751" s="8" t="s">
        <v>52</v>
      </c>
      <c r="R7751" s="10" t="s">
        <v>1646</v>
      </c>
      <c r="S7751" s="11" t="s">
        <v>43717</v>
      </c>
      <c r="T7751" s="6"/>
      <c r="U7751" s="15" t="str">
        <f>HYPERLINK("https://media.infra-m.ru/2196/2196084/cover/2196084.jpg", "Обложка")</f>
        <v>Обложка</v>
      </c>
      <c r="V7751" s="8" t="s">
        <v>831</v>
      </c>
      <c r="W7751" s="6"/>
      <c r="X7751" s="6"/>
      <c r="Y7751" s="6"/>
      <c r="Z7751" s="6"/>
      <c r="AA7751" s="6" t="s">
        <v>15763</v>
      </c>
      <c r="AB7751" s="8"/>
      <c r="AC7751" s="27">
        <v>9785160174044</v>
      </c>
    </row>
    <row r="7752" spans="1:29" s="4" customFormat="1" ht="51.9" customHeight="1" x14ac:dyDescent="0.2">
      <c r="A7752" s="5">
        <v>0</v>
      </c>
      <c r="B7752" s="6" t="s">
        <v>43722</v>
      </c>
      <c r="C7752" s="7">
        <v>1572</v>
      </c>
      <c r="D7752" s="8" t="s">
        <v>43723</v>
      </c>
      <c r="E7752" s="8" t="s">
        <v>43724</v>
      </c>
      <c r="F7752" s="8" t="s">
        <v>43715</v>
      </c>
      <c r="G7752" s="6" t="s">
        <v>60</v>
      </c>
      <c r="H7752" s="6" t="s">
        <v>34</v>
      </c>
      <c r="I7752" s="8" t="s">
        <v>271</v>
      </c>
      <c r="J7752" s="9">
        <v>1</v>
      </c>
      <c r="K7752" s="9">
        <v>449</v>
      </c>
      <c r="L7752" s="9">
        <v>2018</v>
      </c>
      <c r="M7752" s="8" t="s">
        <v>43725</v>
      </c>
      <c r="N7752" s="8" t="s">
        <v>37</v>
      </c>
      <c r="O7752" s="8" t="s">
        <v>233</v>
      </c>
      <c r="P7752" s="6" t="s">
        <v>306</v>
      </c>
      <c r="Q7752" s="8" t="s">
        <v>52</v>
      </c>
      <c r="R7752" s="10" t="s">
        <v>1646</v>
      </c>
      <c r="S7752" s="11" t="s">
        <v>43726</v>
      </c>
      <c r="T7752" s="6"/>
      <c r="U7752" s="15" t="str">
        <f>HYPERLINK("https://media.infra-m.ru/0940/0940560/cover/940560.jpg", "Обложка")</f>
        <v>Обложка</v>
      </c>
      <c r="V7752" s="8" t="s">
        <v>831</v>
      </c>
      <c r="W7752" s="6"/>
      <c r="X7752" s="6"/>
      <c r="Y7752" s="6"/>
      <c r="Z7752" s="6"/>
      <c r="AA7752" s="6" t="s">
        <v>1031</v>
      </c>
      <c r="AB7752" s="8"/>
      <c r="AC7752" s="27">
        <v>9785160135120</v>
      </c>
    </row>
    <row r="7753" spans="1:29" s="4" customFormat="1" ht="51.9" customHeight="1" x14ac:dyDescent="0.2">
      <c r="A7753" s="5">
        <v>0</v>
      </c>
      <c r="B7753" s="6" t="s">
        <v>43727</v>
      </c>
      <c r="C7753" s="7">
        <v>1193.9000000000001</v>
      </c>
      <c r="D7753" s="8" t="s">
        <v>43728</v>
      </c>
      <c r="E7753" s="8" t="s">
        <v>43729</v>
      </c>
      <c r="F7753" s="8" t="s">
        <v>13556</v>
      </c>
      <c r="G7753" s="6" t="s">
        <v>33</v>
      </c>
      <c r="H7753" s="6" t="s">
        <v>34</v>
      </c>
      <c r="I7753" s="8" t="s">
        <v>271</v>
      </c>
      <c r="J7753" s="9">
        <v>1</v>
      </c>
      <c r="K7753" s="9">
        <v>222</v>
      </c>
      <c r="L7753" s="9">
        <v>2024</v>
      </c>
      <c r="M7753" s="8" t="s">
        <v>43730</v>
      </c>
      <c r="N7753" s="8" t="s">
        <v>37</v>
      </c>
      <c r="O7753" s="8" t="s">
        <v>233</v>
      </c>
      <c r="P7753" s="6" t="s">
        <v>51</v>
      </c>
      <c r="Q7753" s="8" t="s">
        <v>52</v>
      </c>
      <c r="R7753" s="10" t="s">
        <v>43731</v>
      </c>
      <c r="S7753" s="11" t="s">
        <v>12055</v>
      </c>
      <c r="T7753" s="6"/>
      <c r="U7753" s="15" t="str">
        <f>HYPERLINK("https://media.infra-m.ru/1891/1891975/cover/1891975.jpg", "Обложка")</f>
        <v>Обложка</v>
      </c>
      <c r="V7753" s="8" t="s">
        <v>5964</v>
      </c>
      <c r="W7753" s="6"/>
      <c r="X7753" s="6"/>
      <c r="Y7753" s="6"/>
      <c r="Z7753" s="6"/>
      <c r="AA7753" s="6" t="s">
        <v>23864</v>
      </c>
      <c r="AB7753" s="8"/>
      <c r="AC7753" s="27">
        <v>9785160002934</v>
      </c>
    </row>
    <row r="7754" spans="1:29" s="4" customFormat="1" ht="51.9" customHeight="1" x14ac:dyDescent="0.2">
      <c r="A7754" s="5">
        <v>0</v>
      </c>
      <c r="B7754" s="6" t="s">
        <v>43732</v>
      </c>
      <c r="C7754" s="7">
        <v>1564.8</v>
      </c>
      <c r="D7754" s="8" t="s">
        <v>43733</v>
      </c>
      <c r="E7754" s="8" t="s">
        <v>43729</v>
      </c>
      <c r="F7754" s="8" t="s">
        <v>43734</v>
      </c>
      <c r="G7754" s="6" t="s">
        <v>33</v>
      </c>
      <c r="H7754" s="6" t="s">
        <v>34</v>
      </c>
      <c r="I7754" s="8" t="s">
        <v>253</v>
      </c>
      <c r="J7754" s="9">
        <v>1</v>
      </c>
      <c r="K7754" s="9">
        <v>238</v>
      </c>
      <c r="L7754" s="9">
        <v>2026</v>
      </c>
      <c r="M7754" s="8" t="s">
        <v>43735</v>
      </c>
      <c r="N7754" s="8" t="s">
        <v>37</v>
      </c>
      <c r="O7754" s="8" t="s">
        <v>233</v>
      </c>
      <c r="P7754" s="6" t="s">
        <v>51</v>
      </c>
      <c r="Q7754" s="8" t="s">
        <v>52</v>
      </c>
      <c r="R7754" s="10" t="s">
        <v>1646</v>
      </c>
      <c r="S7754" s="11" t="s">
        <v>43736</v>
      </c>
      <c r="T7754" s="6"/>
      <c r="U7754" s="15" t="str">
        <f>HYPERLINK("https://media.infra-m.ru/2243/2243643/cover/2243643.jpg", "Обложка")</f>
        <v>Обложка</v>
      </c>
      <c r="V7754" s="8" t="s">
        <v>3428</v>
      </c>
      <c r="W7754" s="6"/>
      <c r="X7754" s="6"/>
      <c r="Y7754" s="6"/>
      <c r="Z7754" s="6"/>
      <c r="AA7754" s="6" t="s">
        <v>4554</v>
      </c>
      <c r="AB7754" s="8"/>
      <c r="AC7754" s="27">
        <v>9785160038384</v>
      </c>
    </row>
    <row r="7755" spans="1:29" s="4" customFormat="1" ht="51.9" customHeight="1" x14ac:dyDescent="0.2">
      <c r="A7755" s="5">
        <v>0</v>
      </c>
      <c r="B7755" s="6" t="s">
        <v>43737</v>
      </c>
      <c r="C7755" s="7">
        <v>1600.8</v>
      </c>
      <c r="D7755" s="8" t="s">
        <v>43738</v>
      </c>
      <c r="E7755" s="8" t="s">
        <v>43739</v>
      </c>
      <c r="F7755" s="8" t="s">
        <v>1060</v>
      </c>
      <c r="G7755" s="6" t="s">
        <v>118</v>
      </c>
      <c r="H7755" s="6" t="s">
        <v>48</v>
      </c>
      <c r="I7755" s="8" t="s">
        <v>271</v>
      </c>
      <c r="J7755" s="9">
        <v>1</v>
      </c>
      <c r="K7755" s="9">
        <v>256</v>
      </c>
      <c r="L7755" s="9">
        <v>2025</v>
      </c>
      <c r="M7755" s="8" t="s">
        <v>43740</v>
      </c>
      <c r="N7755" s="8" t="s">
        <v>243</v>
      </c>
      <c r="O7755" s="8" t="s">
        <v>964</v>
      </c>
      <c r="P7755" s="6" t="s">
        <v>51</v>
      </c>
      <c r="Q7755" s="8" t="s">
        <v>52</v>
      </c>
      <c r="R7755" s="10" t="s">
        <v>43741</v>
      </c>
      <c r="S7755" s="11"/>
      <c r="T7755" s="6"/>
      <c r="U7755" s="15" t="str">
        <f>HYPERLINK("https://media.infra-m.ru/2196/2196914/cover/2196914.jpg", "Обложка")</f>
        <v>Обложка</v>
      </c>
      <c r="V7755" s="8" t="s">
        <v>867</v>
      </c>
      <c r="W7755" s="6"/>
      <c r="X7755" s="6"/>
      <c r="Y7755" s="6"/>
      <c r="Z7755" s="6"/>
      <c r="AA7755" s="6" t="s">
        <v>55</v>
      </c>
      <c r="AB7755" s="8"/>
      <c r="AC7755" s="27">
        <v>9785911346874</v>
      </c>
    </row>
    <row r="7756" spans="1:29" s="4" customFormat="1" ht="51.9" customHeight="1" x14ac:dyDescent="0.2">
      <c r="A7756" s="5">
        <v>0</v>
      </c>
      <c r="B7756" s="6" t="s">
        <v>43742</v>
      </c>
      <c r="C7756" s="7">
        <v>1264.8</v>
      </c>
      <c r="D7756" s="8" t="s">
        <v>43743</v>
      </c>
      <c r="E7756" s="8" t="s">
        <v>43744</v>
      </c>
      <c r="F7756" s="8" t="s">
        <v>11322</v>
      </c>
      <c r="G7756" s="6" t="s">
        <v>60</v>
      </c>
      <c r="H7756" s="6" t="s">
        <v>34</v>
      </c>
      <c r="I7756" s="8" t="s">
        <v>253</v>
      </c>
      <c r="J7756" s="9">
        <v>1</v>
      </c>
      <c r="K7756" s="9">
        <v>181</v>
      </c>
      <c r="L7756" s="9">
        <v>2027</v>
      </c>
      <c r="M7756" s="8" t="s">
        <v>43745</v>
      </c>
      <c r="N7756" s="8" t="s">
        <v>585</v>
      </c>
      <c r="O7756" s="8" t="s">
        <v>667</v>
      </c>
      <c r="P7756" s="6" t="s">
        <v>51</v>
      </c>
      <c r="Q7756" s="8" t="s">
        <v>52</v>
      </c>
      <c r="R7756" s="10" t="s">
        <v>43746</v>
      </c>
      <c r="S7756" s="11"/>
      <c r="T7756" s="6"/>
      <c r="U7756" s="15" t="str">
        <f>HYPERLINK("https://media.infra-m.ru/2271/2271604/cover/2271604.jpg", "Обложка")</f>
        <v>Обложка</v>
      </c>
      <c r="V7756" s="8" t="s">
        <v>11325</v>
      </c>
      <c r="W7756" s="6"/>
      <c r="X7756" s="6"/>
      <c r="Y7756" s="6"/>
      <c r="Z7756" s="6"/>
      <c r="AA7756" s="6" t="s">
        <v>157</v>
      </c>
      <c r="AB7756" s="8"/>
      <c r="AC7756" s="27">
        <v>9785160177748</v>
      </c>
    </row>
    <row r="7757" spans="1:29" s="4" customFormat="1" ht="51.9" customHeight="1" x14ac:dyDescent="0.2">
      <c r="A7757" s="5">
        <v>0</v>
      </c>
      <c r="B7757" s="6" t="s">
        <v>43747</v>
      </c>
      <c r="C7757" s="7">
        <v>1252.8</v>
      </c>
      <c r="D7757" s="8" t="s">
        <v>43748</v>
      </c>
      <c r="E7757" s="8" t="s">
        <v>43744</v>
      </c>
      <c r="F7757" s="8" t="s">
        <v>11322</v>
      </c>
      <c r="G7757" s="6" t="s">
        <v>60</v>
      </c>
      <c r="H7757" s="6" t="s">
        <v>34</v>
      </c>
      <c r="I7757" s="8" t="s">
        <v>263</v>
      </c>
      <c r="J7757" s="9">
        <v>1</v>
      </c>
      <c r="K7757" s="9">
        <v>181</v>
      </c>
      <c r="L7757" s="9">
        <v>2027</v>
      </c>
      <c r="M7757" s="8" t="s">
        <v>43749</v>
      </c>
      <c r="N7757" s="8" t="s">
        <v>585</v>
      </c>
      <c r="O7757" s="8" t="s">
        <v>667</v>
      </c>
      <c r="P7757" s="6" t="s">
        <v>51</v>
      </c>
      <c r="Q7757" s="8" t="s">
        <v>265</v>
      </c>
      <c r="R7757" s="10" t="s">
        <v>43750</v>
      </c>
      <c r="S7757" s="11"/>
      <c r="T7757" s="6"/>
      <c r="U7757" s="15" t="str">
        <f>HYPERLINK("https://media.infra-m.ru/2272/2272238/cover/2272238.jpg", "Обложка")</f>
        <v>Обложка</v>
      </c>
      <c r="V7757" s="8" t="s">
        <v>11325</v>
      </c>
      <c r="W7757" s="6"/>
      <c r="X7757" s="6"/>
      <c r="Y7757" s="6"/>
      <c r="Z7757" s="6" t="s">
        <v>267</v>
      </c>
      <c r="AA7757" s="6" t="s">
        <v>76</v>
      </c>
      <c r="AB7757" s="8"/>
      <c r="AC7757" s="27">
        <v>9785160189727</v>
      </c>
    </row>
    <row r="7758" spans="1:29" s="4" customFormat="1" ht="51.9" customHeight="1" x14ac:dyDescent="0.2">
      <c r="A7758" s="5">
        <v>0</v>
      </c>
      <c r="B7758" s="6" t="s">
        <v>43751</v>
      </c>
      <c r="C7758" s="7">
        <v>1492.8</v>
      </c>
      <c r="D7758" s="8" t="s">
        <v>43752</v>
      </c>
      <c r="E7758" s="8" t="s">
        <v>43753</v>
      </c>
      <c r="F7758" s="8" t="s">
        <v>43754</v>
      </c>
      <c r="G7758" s="6" t="s">
        <v>60</v>
      </c>
      <c r="H7758" s="6" t="s">
        <v>313</v>
      </c>
      <c r="I7758" s="8" t="s">
        <v>253</v>
      </c>
      <c r="J7758" s="9">
        <v>1</v>
      </c>
      <c r="K7758" s="9">
        <v>240</v>
      </c>
      <c r="L7758" s="9">
        <v>2025</v>
      </c>
      <c r="M7758" s="8" t="s">
        <v>43755</v>
      </c>
      <c r="N7758" s="8" t="s">
        <v>243</v>
      </c>
      <c r="O7758" s="8" t="s">
        <v>933</v>
      </c>
      <c r="P7758" s="6" t="s">
        <v>51</v>
      </c>
      <c r="Q7758" s="8" t="s">
        <v>52</v>
      </c>
      <c r="R7758" s="10" t="s">
        <v>43756</v>
      </c>
      <c r="S7758" s="11" t="s">
        <v>43757</v>
      </c>
      <c r="T7758" s="6"/>
      <c r="U7758" s="15" t="str">
        <f>HYPERLINK("https://media.infra-m.ru/2202/2202824/cover/2202824.jpg", "Обложка")</f>
        <v>Обложка</v>
      </c>
      <c r="V7758" s="8" t="s">
        <v>227</v>
      </c>
      <c r="W7758" s="6"/>
      <c r="X7758" s="6"/>
      <c r="Y7758" s="6"/>
      <c r="Z7758" s="6"/>
      <c r="AA7758" s="6" t="s">
        <v>55</v>
      </c>
      <c r="AB7758" s="8"/>
      <c r="AC7758" s="27">
        <v>9785369011799</v>
      </c>
    </row>
    <row r="7759" spans="1:29" s="4" customFormat="1" ht="51.9" customHeight="1" x14ac:dyDescent="0.2">
      <c r="A7759" s="5">
        <v>0</v>
      </c>
      <c r="B7759" s="6" t="s">
        <v>43758</v>
      </c>
      <c r="C7759" s="7">
        <v>2688</v>
      </c>
      <c r="D7759" s="8" t="s">
        <v>43759</v>
      </c>
      <c r="E7759" s="8" t="s">
        <v>43760</v>
      </c>
      <c r="F7759" s="8" t="s">
        <v>43761</v>
      </c>
      <c r="G7759" s="6" t="s">
        <v>60</v>
      </c>
      <c r="H7759" s="6" t="s">
        <v>34</v>
      </c>
      <c r="I7759" s="8" t="s">
        <v>253</v>
      </c>
      <c r="J7759" s="9">
        <v>1</v>
      </c>
      <c r="K7759" s="9">
        <v>447</v>
      </c>
      <c r="L7759" s="9">
        <v>2025</v>
      </c>
      <c r="M7759" s="8" t="s">
        <v>43762</v>
      </c>
      <c r="N7759" s="8" t="s">
        <v>243</v>
      </c>
      <c r="O7759" s="8" t="s">
        <v>933</v>
      </c>
      <c r="P7759" s="6" t="s">
        <v>306</v>
      </c>
      <c r="Q7759" s="8" t="s">
        <v>52</v>
      </c>
      <c r="R7759" s="10" t="s">
        <v>43763</v>
      </c>
      <c r="S7759" s="11" t="s">
        <v>43764</v>
      </c>
      <c r="T7759" s="6"/>
      <c r="U7759" s="15" t="str">
        <f>HYPERLINK("https://media.infra-m.ru/2178/2178287/cover/2178287.jpg", "Обложка")</f>
        <v>Обложка</v>
      </c>
      <c r="V7759" s="8" t="s">
        <v>20426</v>
      </c>
      <c r="W7759" s="6"/>
      <c r="X7759" s="6"/>
      <c r="Y7759" s="6"/>
      <c r="Z7759" s="6"/>
      <c r="AA7759" s="6" t="s">
        <v>779</v>
      </c>
      <c r="AB7759" s="8"/>
      <c r="AC7759" s="27">
        <v>9785160114477</v>
      </c>
    </row>
    <row r="7760" spans="1:29" s="4" customFormat="1" ht="42" customHeight="1" x14ac:dyDescent="0.2">
      <c r="A7760" s="5">
        <v>0</v>
      </c>
      <c r="B7760" s="6" t="s">
        <v>43765</v>
      </c>
      <c r="C7760" s="7">
        <v>1936.8</v>
      </c>
      <c r="D7760" s="8" t="s">
        <v>43766</v>
      </c>
      <c r="E7760" s="8" t="s">
        <v>43767</v>
      </c>
      <c r="F7760" s="8" t="s">
        <v>43768</v>
      </c>
      <c r="G7760" s="6" t="s">
        <v>118</v>
      </c>
      <c r="H7760" s="6" t="s">
        <v>34</v>
      </c>
      <c r="I7760" s="8" t="s">
        <v>271</v>
      </c>
      <c r="J7760" s="9">
        <v>1</v>
      </c>
      <c r="K7760" s="9">
        <v>294</v>
      </c>
      <c r="L7760" s="9">
        <v>2026</v>
      </c>
      <c r="M7760" s="8" t="s">
        <v>43769</v>
      </c>
      <c r="N7760" s="8" t="s">
        <v>243</v>
      </c>
      <c r="O7760" s="8" t="s">
        <v>758</v>
      </c>
      <c r="P7760" s="6" t="s">
        <v>306</v>
      </c>
      <c r="Q7760" s="8" t="s">
        <v>52</v>
      </c>
      <c r="R7760" s="10" t="s">
        <v>9434</v>
      </c>
      <c r="S7760" s="11"/>
      <c r="T7760" s="6"/>
      <c r="U7760" s="15" t="str">
        <f>HYPERLINK("https://media.infra-m.ru/2237/2237732/cover/2237732.jpg", "Обложка")</f>
        <v>Обложка</v>
      </c>
      <c r="V7760" s="8" t="s">
        <v>831</v>
      </c>
      <c r="W7760" s="6"/>
      <c r="X7760" s="6"/>
      <c r="Y7760" s="6"/>
      <c r="Z7760" s="6"/>
      <c r="AA7760" s="6" t="s">
        <v>274</v>
      </c>
      <c r="AB7760" s="8"/>
      <c r="AC7760" s="27">
        <v>9785160096742</v>
      </c>
    </row>
    <row r="7761" spans="1:29" s="4" customFormat="1" ht="44.1" customHeight="1" x14ac:dyDescent="0.2">
      <c r="A7761" s="5">
        <v>0</v>
      </c>
      <c r="B7761" s="6" t="s">
        <v>43770</v>
      </c>
      <c r="C7761" s="7">
        <v>2032.8</v>
      </c>
      <c r="D7761" s="8" t="s">
        <v>43771</v>
      </c>
      <c r="E7761" s="8" t="s">
        <v>43772</v>
      </c>
      <c r="F7761" s="8" t="s">
        <v>43773</v>
      </c>
      <c r="G7761" s="6" t="s">
        <v>33</v>
      </c>
      <c r="H7761" s="6" t="s">
        <v>820</v>
      </c>
      <c r="I7761" s="8" t="s">
        <v>38536</v>
      </c>
      <c r="J7761" s="9">
        <v>1</v>
      </c>
      <c r="K7761" s="9">
        <v>368</v>
      </c>
      <c r="L7761" s="9">
        <v>2024</v>
      </c>
      <c r="M7761" s="8" t="s">
        <v>43774</v>
      </c>
      <c r="N7761" s="8" t="s">
        <v>37</v>
      </c>
      <c r="O7761" s="8" t="s">
        <v>233</v>
      </c>
      <c r="P7761" s="6" t="s">
        <v>39</v>
      </c>
      <c r="Q7761" s="8" t="s">
        <v>52</v>
      </c>
      <c r="R7761" s="10" t="s">
        <v>2053</v>
      </c>
      <c r="S7761" s="11"/>
      <c r="T7761" s="6"/>
      <c r="U7761" s="15" t="str">
        <f>HYPERLINK("https://media.infra-m.ru/2120/2120783/cover/2120783.jpg", "Обложка")</f>
        <v>Обложка</v>
      </c>
      <c r="V7761" s="8" t="s">
        <v>4892</v>
      </c>
      <c r="W7761" s="6"/>
      <c r="X7761" s="6"/>
      <c r="Y7761" s="6"/>
      <c r="Z7761" s="6"/>
      <c r="AA7761" s="6" t="s">
        <v>859</v>
      </c>
      <c r="AB7761" s="8"/>
      <c r="AC7761" s="27">
        <v>9785905554582</v>
      </c>
    </row>
    <row r="7762" spans="1:29" s="4" customFormat="1" ht="42" customHeight="1" x14ac:dyDescent="0.2">
      <c r="A7762" s="5">
        <v>0</v>
      </c>
      <c r="B7762" s="6" t="s">
        <v>43775</v>
      </c>
      <c r="C7762" s="13">
        <v>744</v>
      </c>
      <c r="D7762" s="8" t="s">
        <v>43776</v>
      </c>
      <c r="E7762" s="8" t="s">
        <v>43777</v>
      </c>
      <c r="F7762" s="8" t="s">
        <v>43778</v>
      </c>
      <c r="G7762" s="6" t="s">
        <v>33</v>
      </c>
      <c r="H7762" s="6" t="s">
        <v>34</v>
      </c>
      <c r="I7762" s="8" t="s">
        <v>35</v>
      </c>
      <c r="J7762" s="9">
        <v>1</v>
      </c>
      <c r="K7762" s="9">
        <v>122</v>
      </c>
      <c r="L7762" s="9">
        <v>2022</v>
      </c>
      <c r="M7762" s="8" t="s">
        <v>43779</v>
      </c>
      <c r="N7762" s="8" t="s">
        <v>37</v>
      </c>
      <c r="O7762" s="8" t="s">
        <v>233</v>
      </c>
      <c r="P7762" s="6" t="s">
        <v>39</v>
      </c>
      <c r="Q7762" s="8" t="s">
        <v>40</v>
      </c>
      <c r="R7762" s="10" t="s">
        <v>5320</v>
      </c>
      <c r="S7762" s="11"/>
      <c r="T7762" s="6"/>
      <c r="U7762" s="15" t="str">
        <f>HYPERLINK("https://media.infra-m.ru/1738/1738755/cover/1738755.jpg", "Обложка")</f>
        <v>Обложка</v>
      </c>
      <c r="V7762" s="8" t="s">
        <v>1083</v>
      </c>
      <c r="W7762" s="6"/>
      <c r="X7762" s="6"/>
      <c r="Y7762" s="6"/>
      <c r="Z7762" s="6"/>
      <c r="AA7762" s="6" t="s">
        <v>148</v>
      </c>
      <c r="AB7762" s="8"/>
      <c r="AC7762" s="27">
        <v>9785160171012</v>
      </c>
    </row>
    <row r="7763" spans="1:29" s="4" customFormat="1" ht="42" customHeight="1" x14ac:dyDescent="0.2">
      <c r="A7763" s="5">
        <v>0</v>
      </c>
      <c r="B7763" s="6" t="s">
        <v>43780</v>
      </c>
      <c r="C7763" s="7">
        <v>2572.8000000000002</v>
      </c>
      <c r="D7763" s="8" t="s">
        <v>43781</v>
      </c>
      <c r="E7763" s="8" t="s">
        <v>43782</v>
      </c>
      <c r="F7763" s="8" t="s">
        <v>43783</v>
      </c>
      <c r="G7763" s="6" t="s">
        <v>33</v>
      </c>
      <c r="H7763" s="6" t="s">
        <v>34</v>
      </c>
      <c r="I7763" s="8" t="s">
        <v>35</v>
      </c>
      <c r="J7763" s="9">
        <v>1</v>
      </c>
      <c r="K7763" s="9">
        <v>370</v>
      </c>
      <c r="L7763" s="9">
        <v>2027</v>
      </c>
      <c r="M7763" s="8" t="s">
        <v>43784</v>
      </c>
      <c r="N7763" s="8" t="s">
        <v>243</v>
      </c>
      <c r="O7763" s="8" t="s">
        <v>933</v>
      </c>
      <c r="P7763" s="6" t="s">
        <v>39</v>
      </c>
      <c r="Q7763" s="8" t="s">
        <v>40</v>
      </c>
      <c r="R7763" s="10" t="s">
        <v>43785</v>
      </c>
      <c r="S7763" s="11"/>
      <c r="T7763" s="6"/>
      <c r="U7763" s="15" t="str">
        <f>HYPERLINK("https://media.infra-m.ru/2265/2265343/cover/2265343.jpg", "Обложка")</f>
        <v>Обложка</v>
      </c>
      <c r="V7763" s="8" t="s">
        <v>14780</v>
      </c>
      <c r="W7763" s="6"/>
      <c r="X7763" s="6"/>
      <c r="Y7763" s="6"/>
      <c r="Z7763" s="6"/>
      <c r="AA7763" s="6" t="s">
        <v>1256</v>
      </c>
      <c r="AB7763" s="8"/>
      <c r="AC7763" s="27">
        <v>9785160155609</v>
      </c>
    </row>
    <row r="7764" spans="1:29" s="4" customFormat="1" ht="44.1" customHeight="1" x14ac:dyDescent="0.2">
      <c r="A7764" s="5">
        <v>0</v>
      </c>
      <c r="B7764" s="6" t="s">
        <v>43786</v>
      </c>
      <c r="C7764" s="7">
        <v>1070.3</v>
      </c>
      <c r="D7764" s="8" t="s">
        <v>43787</v>
      </c>
      <c r="E7764" s="8" t="s">
        <v>43788</v>
      </c>
      <c r="F7764" s="8" t="s">
        <v>43789</v>
      </c>
      <c r="G7764" s="6" t="s">
        <v>60</v>
      </c>
      <c r="H7764" s="6" t="s">
        <v>34</v>
      </c>
      <c r="I7764" s="8"/>
      <c r="J7764" s="9">
        <v>1</v>
      </c>
      <c r="K7764" s="9">
        <v>150</v>
      </c>
      <c r="L7764" s="9">
        <v>2020</v>
      </c>
      <c r="M7764" s="8" t="s">
        <v>43790</v>
      </c>
      <c r="N7764" s="8" t="s">
        <v>243</v>
      </c>
      <c r="O7764" s="8" t="s">
        <v>385</v>
      </c>
      <c r="P7764" s="6" t="s">
        <v>43791</v>
      </c>
      <c r="Q7764" s="8" t="s">
        <v>377</v>
      </c>
      <c r="R7764" s="10" t="s">
        <v>43792</v>
      </c>
      <c r="S7764" s="11"/>
      <c r="T7764" s="6"/>
      <c r="U7764" s="15" t="str">
        <f>HYPERLINK("https://media.infra-m.ru/1208/1208559/cover/1208559.jpg", "Обложка")</f>
        <v>Обложка</v>
      </c>
      <c r="V7764" s="8" t="s">
        <v>23665</v>
      </c>
      <c r="W7764" s="6"/>
      <c r="X7764" s="6"/>
      <c r="Y7764" s="6"/>
      <c r="Z7764" s="6"/>
      <c r="AA7764" s="6" t="s">
        <v>1256</v>
      </c>
      <c r="AB7764" s="8"/>
      <c r="AC7764" s="27">
        <v>9785160164915</v>
      </c>
    </row>
    <row r="7765" spans="1:29" s="4" customFormat="1" ht="51.9" customHeight="1" x14ac:dyDescent="0.2">
      <c r="A7765" s="5">
        <v>0</v>
      </c>
      <c r="B7765" s="6" t="s">
        <v>43793</v>
      </c>
      <c r="C7765" s="7">
        <v>1046.3</v>
      </c>
      <c r="D7765" s="8" t="s">
        <v>43794</v>
      </c>
      <c r="E7765" s="8" t="s">
        <v>43795</v>
      </c>
      <c r="F7765" s="8" t="s">
        <v>43796</v>
      </c>
      <c r="G7765" s="6" t="s">
        <v>60</v>
      </c>
      <c r="H7765" s="6" t="s">
        <v>34</v>
      </c>
      <c r="I7765" s="8"/>
      <c r="J7765" s="9">
        <v>1</v>
      </c>
      <c r="K7765" s="9">
        <v>91</v>
      </c>
      <c r="L7765" s="9">
        <v>2020</v>
      </c>
      <c r="M7765" s="8" t="s">
        <v>43797</v>
      </c>
      <c r="N7765" s="8" t="s">
        <v>243</v>
      </c>
      <c r="O7765" s="8" t="s">
        <v>385</v>
      </c>
      <c r="P7765" s="6" t="s">
        <v>43791</v>
      </c>
      <c r="Q7765" s="8" t="s">
        <v>65</v>
      </c>
      <c r="R7765" s="10" t="s">
        <v>43798</v>
      </c>
      <c r="S7765" s="11"/>
      <c r="T7765" s="6"/>
      <c r="U7765" s="15" t="str">
        <f>HYPERLINK("https://media.infra-m.ru/1208/1208558/cover/1208558.jpg", "Обложка")</f>
        <v>Обложка</v>
      </c>
      <c r="V7765" s="8" t="s">
        <v>23665</v>
      </c>
      <c r="W7765" s="6"/>
      <c r="X7765" s="6"/>
      <c r="Y7765" s="6"/>
      <c r="Z7765" s="6"/>
      <c r="AA7765" s="6" t="s">
        <v>1256</v>
      </c>
      <c r="AB7765" s="8"/>
      <c r="AC7765" s="27">
        <v>9785160164922</v>
      </c>
    </row>
    <row r="7766" spans="1:29" s="4" customFormat="1" ht="51.9" customHeight="1" x14ac:dyDescent="0.2">
      <c r="A7766" s="5">
        <v>0</v>
      </c>
      <c r="B7766" s="6" t="s">
        <v>43799</v>
      </c>
      <c r="C7766" s="7">
        <v>1022.3</v>
      </c>
      <c r="D7766" s="8" t="s">
        <v>43800</v>
      </c>
      <c r="E7766" s="8" t="s">
        <v>43801</v>
      </c>
      <c r="F7766" s="8" t="s">
        <v>43802</v>
      </c>
      <c r="G7766" s="6" t="s">
        <v>60</v>
      </c>
      <c r="H7766" s="6" t="s">
        <v>34</v>
      </c>
      <c r="I7766" s="8"/>
      <c r="J7766" s="9">
        <v>1</v>
      </c>
      <c r="K7766" s="9">
        <v>51</v>
      </c>
      <c r="L7766" s="9">
        <v>2020</v>
      </c>
      <c r="M7766" s="8" t="s">
        <v>43803</v>
      </c>
      <c r="N7766" s="8" t="s">
        <v>243</v>
      </c>
      <c r="O7766" s="8" t="s">
        <v>385</v>
      </c>
      <c r="P7766" s="6" t="s">
        <v>43791</v>
      </c>
      <c r="Q7766" s="8" t="s">
        <v>377</v>
      </c>
      <c r="R7766" s="10" t="s">
        <v>43804</v>
      </c>
      <c r="S7766" s="11"/>
      <c r="T7766" s="6"/>
      <c r="U7766" s="15" t="str">
        <f>HYPERLINK("https://media.infra-m.ru/1208/1208557/cover/1208557.jpg", "Обложка")</f>
        <v>Обложка</v>
      </c>
      <c r="V7766" s="8" t="s">
        <v>23665</v>
      </c>
      <c r="W7766" s="6"/>
      <c r="X7766" s="6"/>
      <c r="Y7766" s="6"/>
      <c r="Z7766" s="6"/>
      <c r="AA7766" s="6" t="s">
        <v>1256</v>
      </c>
      <c r="AB7766" s="8"/>
      <c r="AC7766" s="27">
        <v>9785160164908</v>
      </c>
    </row>
    <row r="7767" spans="1:29" s="4" customFormat="1" ht="51.9" customHeight="1" x14ac:dyDescent="0.2">
      <c r="A7767" s="5">
        <v>0</v>
      </c>
      <c r="B7767" s="6" t="s">
        <v>43805</v>
      </c>
      <c r="C7767" s="7">
        <v>2148</v>
      </c>
      <c r="D7767" s="8" t="s">
        <v>43806</v>
      </c>
      <c r="E7767" s="8" t="s">
        <v>43807</v>
      </c>
      <c r="F7767" s="8" t="s">
        <v>7932</v>
      </c>
      <c r="G7767" s="6" t="s">
        <v>118</v>
      </c>
      <c r="H7767" s="6" t="s">
        <v>34</v>
      </c>
      <c r="I7767" s="8" t="s">
        <v>253</v>
      </c>
      <c r="J7767" s="9">
        <v>1</v>
      </c>
      <c r="K7767" s="9">
        <v>325</v>
      </c>
      <c r="L7767" s="9">
        <v>2026</v>
      </c>
      <c r="M7767" s="8" t="s">
        <v>43808</v>
      </c>
      <c r="N7767" s="8" t="s">
        <v>243</v>
      </c>
      <c r="O7767" s="8" t="s">
        <v>758</v>
      </c>
      <c r="P7767" s="6" t="s">
        <v>51</v>
      </c>
      <c r="Q7767" s="8" t="s">
        <v>52</v>
      </c>
      <c r="R7767" s="10" t="s">
        <v>43809</v>
      </c>
      <c r="S7767" s="11" t="s">
        <v>43810</v>
      </c>
      <c r="T7767" s="6"/>
      <c r="U7767" s="15" t="str">
        <f>HYPERLINK("https://media.infra-m.ru/2241/2241345/cover/2241345.jpg", "Обложка")</f>
        <v>Обложка</v>
      </c>
      <c r="V7767" s="8" t="s">
        <v>2446</v>
      </c>
      <c r="W7767" s="6"/>
      <c r="X7767" s="6" t="s">
        <v>24</v>
      </c>
      <c r="Y7767" s="6"/>
      <c r="Z7767" s="6"/>
      <c r="AA7767" s="6" t="s">
        <v>43</v>
      </c>
      <c r="AB7767" s="8"/>
      <c r="AC7767" s="27">
        <v>9785160195216</v>
      </c>
    </row>
    <row r="7768" spans="1:29" s="4" customFormat="1" ht="51.9" customHeight="1" x14ac:dyDescent="0.2">
      <c r="A7768" s="5">
        <v>0</v>
      </c>
      <c r="B7768" s="6" t="s">
        <v>43811</v>
      </c>
      <c r="C7768" s="7">
        <v>1756.8</v>
      </c>
      <c r="D7768" s="8" t="s">
        <v>43812</v>
      </c>
      <c r="E7768" s="8" t="s">
        <v>43813</v>
      </c>
      <c r="F7768" s="8" t="s">
        <v>43814</v>
      </c>
      <c r="G7768" s="6" t="s">
        <v>118</v>
      </c>
      <c r="H7768" s="6" t="s">
        <v>5605</v>
      </c>
      <c r="I7768" s="8" t="s">
        <v>263</v>
      </c>
      <c r="J7768" s="9">
        <v>1</v>
      </c>
      <c r="K7768" s="9">
        <v>266</v>
      </c>
      <c r="L7768" s="9">
        <v>2026</v>
      </c>
      <c r="M7768" s="8" t="s">
        <v>43815</v>
      </c>
      <c r="N7768" s="8" t="s">
        <v>243</v>
      </c>
      <c r="O7768" s="8" t="s">
        <v>798</v>
      </c>
      <c r="P7768" s="6" t="s">
        <v>306</v>
      </c>
      <c r="Q7768" s="8" t="s">
        <v>265</v>
      </c>
      <c r="R7768" s="10" t="s">
        <v>43816</v>
      </c>
      <c r="S7768" s="11" t="s">
        <v>43817</v>
      </c>
      <c r="T7768" s="6"/>
      <c r="U7768" s="15" t="str">
        <f>HYPERLINK("https://media.infra-m.ru/2247/2247577/cover/2247577.jpg", "Обложка")</f>
        <v>Обложка</v>
      </c>
      <c r="V7768" s="8" t="s">
        <v>809</v>
      </c>
      <c r="W7768" s="6"/>
      <c r="X7768" s="6"/>
      <c r="Y7768" s="6"/>
      <c r="Z7768" s="6"/>
      <c r="AA7768" s="6" t="s">
        <v>3391</v>
      </c>
      <c r="AB7768" s="8"/>
      <c r="AC7768" s="27">
        <v>9785160040899</v>
      </c>
    </row>
    <row r="7769" spans="1:29" s="4" customFormat="1" ht="42" customHeight="1" x14ac:dyDescent="0.2">
      <c r="A7769" s="5">
        <v>0</v>
      </c>
      <c r="B7769" s="6" t="s">
        <v>43818</v>
      </c>
      <c r="C7769" s="7">
        <v>1900.8</v>
      </c>
      <c r="D7769" s="8" t="s">
        <v>43819</v>
      </c>
      <c r="E7769" s="8" t="s">
        <v>43820</v>
      </c>
      <c r="F7769" s="8" t="s">
        <v>14638</v>
      </c>
      <c r="G7769" s="6" t="s">
        <v>60</v>
      </c>
      <c r="H7769" s="6" t="s">
        <v>34</v>
      </c>
      <c r="I7769" s="8" t="s">
        <v>271</v>
      </c>
      <c r="J7769" s="9">
        <v>1</v>
      </c>
      <c r="K7769" s="9">
        <v>272</v>
      </c>
      <c r="L7769" s="9">
        <v>2026</v>
      </c>
      <c r="M7769" s="8" t="s">
        <v>43821</v>
      </c>
      <c r="N7769" s="8" t="s">
        <v>243</v>
      </c>
      <c r="O7769" s="8" t="s">
        <v>798</v>
      </c>
      <c r="P7769" s="6" t="s">
        <v>51</v>
      </c>
      <c r="Q7769" s="8" t="s">
        <v>52</v>
      </c>
      <c r="R7769" s="10" t="s">
        <v>7812</v>
      </c>
      <c r="S7769" s="11"/>
      <c r="T7769" s="6"/>
      <c r="U7769" s="15" t="str">
        <f>HYPERLINK("https://media.infra-m.ru/2255/2255442/cover/2255442.jpg", "Обложка")</f>
        <v>Обложка</v>
      </c>
      <c r="V7769" s="8" t="s">
        <v>14640</v>
      </c>
      <c r="W7769" s="6"/>
      <c r="X7769" s="6"/>
      <c r="Y7769" s="6"/>
      <c r="Z7769" s="6"/>
      <c r="AA7769" s="6" t="s">
        <v>274</v>
      </c>
      <c r="AB7769" s="8"/>
      <c r="AC7769" s="27">
        <v>9785160103037</v>
      </c>
    </row>
    <row r="7770" spans="1:29" s="4" customFormat="1" ht="51.9" customHeight="1" x14ac:dyDescent="0.2">
      <c r="A7770" s="5">
        <v>0</v>
      </c>
      <c r="B7770" s="6" t="s">
        <v>43822</v>
      </c>
      <c r="C7770" s="7">
        <v>2788.8</v>
      </c>
      <c r="D7770" s="8" t="s">
        <v>43823</v>
      </c>
      <c r="E7770" s="8" t="s">
        <v>43824</v>
      </c>
      <c r="F7770" s="8" t="s">
        <v>43825</v>
      </c>
      <c r="G7770" s="6" t="s">
        <v>60</v>
      </c>
      <c r="H7770" s="6" t="s">
        <v>34</v>
      </c>
      <c r="I7770" s="8" t="s">
        <v>253</v>
      </c>
      <c r="J7770" s="9">
        <v>1</v>
      </c>
      <c r="K7770" s="9">
        <v>464</v>
      </c>
      <c r="L7770" s="9">
        <v>2025</v>
      </c>
      <c r="M7770" s="8" t="s">
        <v>43826</v>
      </c>
      <c r="N7770" s="8" t="s">
        <v>243</v>
      </c>
      <c r="O7770" s="8" t="s">
        <v>758</v>
      </c>
      <c r="P7770" s="6" t="s">
        <v>306</v>
      </c>
      <c r="Q7770" s="8" t="s">
        <v>52</v>
      </c>
      <c r="R7770" s="10" t="s">
        <v>43827</v>
      </c>
      <c r="S7770" s="11" t="s">
        <v>43828</v>
      </c>
      <c r="T7770" s="6"/>
      <c r="U7770" s="15" t="str">
        <f>HYPERLINK("https://media.infra-m.ru/2166/2166123/cover/2166123.jpg", "Обложка")</f>
        <v>Обложка</v>
      </c>
      <c r="V7770" s="8" t="s">
        <v>809</v>
      </c>
      <c r="W7770" s="6"/>
      <c r="X7770" s="6"/>
      <c r="Y7770" s="6"/>
      <c r="Z7770" s="6"/>
      <c r="AA7770" s="6" t="s">
        <v>43</v>
      </c>
      <c r="AB7770" s="8"/>
      <c r="AC7770" s="27">
        <v>9785160048031</v>
      </c>
    </row>
    <row r="7771" spans="1:29" s="4" customFormat="1" ht="51.9" customHeight="1" x14ac:dyDescent="0.2">
      <c r="A7771" s="5">
        <v>0</v>
      </c>
      <c r="B7771" s="6" t="s">
        <v>43829</v>
      </c>
      <c r="C7771" s="7">
        <v>1709.9</v>
      </c>
      <c r="D7771" s="8" t="s">
        <v>43830</v>
      </c>
      <c r="E7771" s="8" t="s">
        <v>43824</v>
      </c>
      <c r="F7771" s="8" t="s">
        <v>41688</v>
      </c>
      <c r="G7771" s="6" t="s">
        <v>33</v>
      </c>
      <c r="H7771" s="6" t="s">
        <v>34</v>
      </c>
      <c r="I7771" s="8" t="s">
        <v>271</v>
      </c>
      <c r="J7771" s="9">
        <v>1</v>
      </c>
      <c r="K7771" s="9">
        <v>375</v>
      </c>
      <c r="L7771" s="9">
        <v>2022</v>
      </c>
      <c r="M7771" s="8" t="s">
        <v>43831</v>
      </c>
      <c r="N7771" s="8" t="s">
        <v>243</v>
      </c>
      <c r="O7771" s="8" t="s">
        <v>758</v>
      </c>
      <c r="P7771" s="6" t="s">
        <v>51</v>
      </c>
      <c r="Q7771" s="8" t="s">
        <v>52</v>
      </c>
      <c r="R7771" s="10" t="s">
        <v>43832</v>
      </c>
      <c r="S7771" s="11" t="s">
        <v>43833</v>
      </c>
      <c r="T7771" s="6"/>
      <c r="U7771" s="15" t="str">
        <f>HYPERLINK("https://media.infra-m.ru/1842/1842529/cover/1842529.jpg", "Обложка")</f>
        <v>Обложка</v>
      </c>
      <c r="V7771" s="8" t="s">
        <v>2446</v>
      </c>
      <c r="W7771" s="6"/>
      <c r="X7771" s="6"/>
      <c r="Y7771" s="6"/>
      <c r="Z7771" s="6"/>
      <c r="AA7771" s="6" t="s">
        <v>43</v>
      </c>
      <c r="AB7771" s="8"/>
      <c r="AC7771" s="27">
        <v>9785160099651</v>
      </c>
    </row>
    <row r="7772" spans="1:29" s="4" customFormat="1" ht="51.9" customHeight="1" x14ac:dyDescent="0.2">
      <c r="A7772" s="5">
        <v>0</v>
      </c>
      <c r="B7772" s="6" t="s">
        <v>43834</v>
      </c>
      <c r="C7772" s="7">
        <v>2476.8000000000002</v>
      </c>
      <c r="D7772" s="8" t="s">
        <v>43835</v>
      </c>
      <c r="E7772" s="8" t="s">
        <v>43824</v>
      </c>
      <c r="F7772" s="8" t="s">
        <v>41688</v>
      </c>
      <c r="G7772" s="6" t="s">
        <v>60</v>
      </c>
      <c r="H7772" s="6" t="s">
        <v>34</v>
      </c>
      <c r="I7772" s="8" t="s">
        <v>271</v>
      </c>
      <c r="J7772" s="9">
        <v>1</v>
      </c>
      <c r="K7772" s="9">
        <v>375</v>
      </c>
      <c r="L7772" s="9">
        <v>2027</v>
      </c>
      <c r="M7772" s="8" t="s">
        <v>43836</v>
      </c>
      <c r="N7772" s="8" t="s">
        <v>243</v>
      </c>
      <c r="O7772" s="8" t="s">
        <v>758</v>
      </c>
      <c r="P7772" s="6" t="s">
        <v>51</v>
      </c>
      <c r="Q7772" s="8" t="s">
        <v>52</v>
      </c>
      <c r="R7772" s="10" t="s">
        <v>43832</v>
      </c>
      <c r="S7772" s="11" t="s">
        <v>43833</v>
      </c>
      <c r="T7772" s="6"/>
      <c r="U7772" s="15" t="str">
        <f>HYPERLINK("https://media.infra-m.ru/2250/2250897/cover/2250897.jpg", "Обложка")</f>
        <v>Обложка</v>
      </c>
      <c r="V7772" s="8" t="s">
        <v>2446</v>
      </c>
      <c r="W7772" s="6"/>
      <c r="X7772" s="6"/>
      <c r="Y7772" s="6"/>
      <c r="Z7772" s="6"/>
      <c r="AA7772" s="6" t="s">
        <v>43</v>
      </c>
      <c r="AB7772" s="8"/>
      <c r="AC7772" s="27">
        <v>9785160110936</v>
      </c>
    </row>
    <row r="7773" spans="1:29" s="4" customFormat="1" ht="51.9" customHeight="1" x14ac:dyDescent="0.2">
      <c r="A7773" s="5">
        <v>0</v>
      </c>
      <c r="B7773" s="6" t="s">
        <v>43837</v>
      </c>
      <c r="C7773" s="7">
        <v>1840.8</v>
      </c>
      <c r="D7773" s="8" t="s">
        <v>43838</v>
      </c>
      <c r="E7773" s="8" t="s">
        <v>43839</v>
      </c>
      <c r="F7773" s="8" t="s">
        <v>43840</v>
      </c>
      <c r="G7773" s="6" t="s">
        <v>60</v>
      </c>
      <c r="H7773" s="6" t="s">
        <v>34</v>
      </c>
      <c r="I7773" s="8" t="s">
        <v>271</v>
      </c>
      <c r="J7773" s="9">
        <v>1</v>
      </c>
      <c r="K7773" s="9">
        <v>295</v>
      </c>
      <c r="L7773" s="9">
        <v>2025</v>
      </c>
      <c r="M7773" s="8" t="s">
        <v>43841</v>
      </c>
      <c r="N7773" s="8" t="s">
        <v>243</v>
      </c>
      <c r="O7773" s="8" t="s">
        <v>758</v>
      </c>
      <c r="P7773" s="6" t="s">
        <v>51</v>
      </c>
      <c r="Q7773" s="8" t="s">
        <v>52</v>
      </c>
      <c r="R7773" s="10" t="s">
        <v>43842</v>
      </c>
      <c r="S7773" s="11" t="s">
        <v>43843</v>
      </c>
      <c r="T7773" s="6"/>
      <c r="U7773" s="15" t="str">
        <f>HYPERLINK("https://media.infra-m.ru/2196/2196095/cover/2196095.jpg", "Обложка")</f>
        <v>Обложка</v>
      </c>
      <c r="V7773" s="8" t="s">
        <v>1157</v>
      </c>
      <c r="W7773" s="6"/>
      <c r="X7773" s="6"/>
      <c r="Y7773" s="6"/>
      <c r="Z7773" s="6"/>
      <c r="AA7773" s="6" t="s">
        <v>99</v>
      </c>
      <c r="AB7773" s="8"/>
      <c r="AC7773" s="27">
        <v>9785160119533</v>
      </c>
    </row>
    <row r="7774" spans="1:29" s="4" customFormat="1" ht="51.9" customHeight="1" x14ac:dyDescent="0.2">
      <c r="A7774" s="5">
        <v>0</v>
      </c>
      <c r="B7774" s="6" t="s">
        <v>43844</v>
      </c>
      <c r="C7774" s="7">
        <v>2998.8</v>
      </c>
      <c r="D7774" s="8" t="s">
        <v>43845</v>
      </c>
      <c r="E7774" s="8" t="s">
        <v>43846</v>
      </c>
      <c r="F7774" s="8" t="s">
        <v>43847</v>
      </c>
      <c r="G7774" s="6" t="s">
        <v>118</v>
      </c>
      <c r="H7774" s="6" t="s">
        <v>34</v>
      </c>
      <c r="I7774" s="8" t="s">
        <v>38410</v>
      </c>
      <c r="J7774" s="9">
        <v>1</v>
      </c>
      <c r="K7774" s="9">
        <v>214</v>
      </c>
      <c r="L7774" s="9">
        <v>2026</v>
      </c>
      <c r="M7774" s="8" t="s">
        <v>43848</v>
      </c>
      <c r="N7774" s="8" t="s">
        <v>243</v>
      </c>
      <c r="O7774" s="8" t="s">
        <v>758</v>
      </c>
      <c r="P7774" s="6" t="s">
        <v>306</v>
      </c>
      <c r="Q7774" s="8" t="s">
        <v>65</v>
      </c>
      <c r="R7774" s="10" t="s">
        <v>43849</v>
      </c>
      <c r="S7774" s="11"/>
      <c r="T7774" s="6"/>
      <c r="U7774" s="15" t="str">
        <f>HYPERLINK("https://media.infra-m.ru/2254/2254041/cover/2254041.jpg", "Обложка")</f>
        <v>Обложка</v>
      </c>
      <c r="V7774" s="8" t="s">
        <v>217</v>
      </c>
      <c r="W7774" s="6"/>
      <c r="X7774" s="6"/>
      <c r="Y7774" s="6"/>
      <c r="Z7774" s="6"/>
      <c r="AA7774" s="6" t="s">
        <v>68</v>
      </c>
      <c r="AB7774" s="8" t="s">
        <v>3833</v>
      </c>
      <c r="AC7774" s="27">
        <v>9785160203829</v>
      </c>
    </row>
    <row r="7775" spans="1:29" s="4" customFormat="1" ht="51.9" customHeight="1" x14ac:dyDescent="0.2">
      <c r="A7775" s="5">
        <v>0</v>
      </c>
      <c r="B7775" s="6" t="s">
        <v>43850</v>
      </c>
      <c r="C7775" s="7">
        <v>1224</v>
      </c>
      <c r="D7775" s="8" t="s">
        <v>43851</v>
      </c>
      <c r="E7775" s="8" t="s">
        <v>43852</v>
      </c>
      <c r="F7775" s="8" t="s">
        <v>43853</v>
      </c>
      <c r="G7775" s="6" t="s">
        <v>33</v>
      </c>
      <c r="H7775" s="6" t="s">
        <v>34</v>
      </c>
      <c r="I7775" s="8" t="s">
        <v>253</v>
      </c>
      <c r="J7775" s="9">
        <v>1</v>
      </c>
      <c r="K7775" s="9">
        <v>221</v>
      </c>
      <c r="L7775" s="9">
        <v>2024</v>
      </c>
      <c r="M7775" s="8" t="s">
        <v>43854</v>
      </c>
      <c r="N7775" s="8" t="s">
        <v>243</v>
      </c>
      <c r="O7775" s="8" t="s">
        <v>758</v>
      </c>
      <c r="P7775" s="6" t="s">
        <v>51</v>
      </c>
      <c r="Q7775" s="8" t="s">
        <v>65</v>
      </c>
      <c r="R7775" s="10" t="s">
        <v>43855</v>
      </c>
      <c r="S7775" s="11" t="s">
        <v>43856</v>
      </c>
      <c r="T7775" s="6"/>
      <c r="U7775" s="15" t="str">
        <f>HYPERLINK("https://media.infra-m.ru/1929/1929157/cover/1929157.jpg", "Обложка")</f>
        <v>Обложка</v>
      </c>
      <c r="V7775" s="8" t="s">
        <v>4473</v>
      </c>
      <c r="W7775" s="6"/>
      <c r="X7775" s="6"/>
      <c r="Y7775" s="6"/>
      <c r="Z7775" s="6"/>
      <c r="AA7775" s="6" t="s">
        <v>115</v>
      </c>
      <c r="AB7775" s="8"/>
      <c r="AC7775" s="27">
        <v>9785160189871</v>
      </c>
    </row>
    <row r="7776" spans="1:29" s="4" customFormat="1" ht="51.9" customHeight="1" x14ac:dyDescent="0.2">
      <c r="A7776" s="5">
        <v>0</v>
      </c>
      <c r="B7776" s="6" t="s">
        <v>43857</v>
      </c>
      <c r="C7776" s="7">
        <v>2088</v>
      </c>
      <c r="D7776" s="8" t="s">
        <v>43858</v>
      </c>
      <c r="E7776" s="8" t="s">
        <v>43859</v>
      </c>
      <c r="F7776" s="8" t="s">
        <v>43853</v>
      </c>
      <c r="G7776" s="6" t="s">
        <v>118</v>
      </c>
      <c r="H7776" s="6" t="s">
        <v>34</v>
      </c>
      <c r="I7776" s="8" t="s">
        <v>253</v>
      </c>
      <c r="J7776" s="9">
        <v>1</v>
      </c>
      <c r="K7776" s="9">
        <v>348</v>
      </c>
      <c r="L7776" s="9">
        <v>2025</v>
      </c>
      <c r="M7776" s="8" t="s">
        <v>43860</v>
      </c>
      <c r="N7776" s="8" t="s">
        <v>243</v>
      </c>
      <c r="O7776" s="8" t="s">
        <v>758</v>
      </c>
      <c r="P7776" s="6" t="s">
        <v>51</v>
      </c>
      <c r="Q7776" s="8" t="s">
        <v>52</v>
      </c>
      <c r="R7776" s="10" t="s">
        <v>43861</v>
      </c>
      <c r="S7776" s="11" t="s">
        <v>43856</v>
      </c>
      <c r="T7776" s="6"/>
      <c r="U7776" s="15" t="str">
        <f>HYPERLINK("https://media.infra-m.ru/2168/2168877/cover/2168877.jpg", "Обложка")</f>
        <v>Обложка</v>
      </c>
      <c r="V7776" s="8" t="s">
        <v>4473</v>
      </c>
      <c r="W7776" s="6"/>
      <c r="X7776" s="6"/>
      <c r="Y7776" s="6"/>
      <c r="Z7776" s="6"/>
      <c r="AA7776" s="6" t="s">
        <v>115</v>
      </c>
      <c r="AB7776" s="8"/>
      <c r="AC7776" s="27">
        <v>9785160204253</v>
      </c>
    </row>
    <row r="7777" spans="1:29" s="4" customFormat="1" ht="51.9" customHeight="1" x14ac:dyDescent="0.2">
      <c r="A7777" s="5">
        <v>0</v>
      </c>
      <c r="B7777" s="6" t="s">
        <v>43862</v>
      </c>
      <c r="C7777" s="7">
        <v>2644.8</v>
      </c>
      <c r="D7777" s="8" t="s">
        <v>43863</v>
      </c>
      <c r="E7777" s="8" t="s">
        <v>43864</v>
      </c>
      <c r="F7777" s="8" t="s">
        <v>43865</v>
      </c>
      <c r="G7777" s="6" t="s">
        <v>60</v>
      </c>
      <c r="H7777" s="6" t="s">
        <v>34</v>
      </c>
      <c r="I7777" s="8" t="s">
        <v>271</v>
      </c>
      <c r="J7777" s="9">
        <v>1</v>
      </c>
      <c r="K7777" s="9">
        <v>400</v>
      </c>
      <c r="L7777" s="9">
        <v>2026</v>
      </c>
      <c r="M7777" s="8" t="s">
        <v>43866</v>
      </c>
      <c r="N7777" s="8" t="s">
        <v>585</v>
      </c>
      <c r="O7777" s="8" t="s">
        <v>667</v>
      </c>
      <c r="P7777" s="6" t="s">
        <v>306</v>
      </c>
      <c r="Q7777" s="8" t="s">
        <v>52</v>
      </c>
      <c r="R7777" s="10" t="s">
        <v>13656</v>
      </c>
      <c r="S7777" s="11" t="s">
        <v>43867</v>
      </c>
      <c r="T7777" s="6"/>
      <c r="U7777" s="15" t="str">
        <f>HYPERLINK("https://media.infra-m.ru/2253/2253921/cover/2253921.jpg", "Обложка")</f>
        <v>Обложка</v>
      </c>
      <c r="V7777" s="8" t="s">
        <v>761</v>
      </c>
      <c r="W7777" s="6"/>
      <c r="X7777" s="6"/>
      <c r="Y7777" s="6"/>
      <c r="Z7777" s="6"/>
      <c r="AA7777" s="6" t="s">
        <v>874</v>
      </c>
      <c r="AB7777" s="8"/>
      <c r="AC7777" s="27">
        <v>9785160101040</v>
      </c>
    </row>
    <row r="7778" spans="1:29" s="4" customFormat="1" ht="51.9" customHeight="1" x14ac:dyDescent="0.2">
      <c r="A7778" s="5">
        <v>0</v>
      </c>
      <c r="B7778" s="6" t="s">
        <v>43868</v>
      </c>
      <c r="C7778" s="7">
        <v>2800.8</v>
      </c>
      <c r="D7778" s="8" t="s">
        <v>43869</v>
      </c>
      <c r="E7778" s="8" t="s">
        <v>43870</v>
      </c>
      <c r="F7778" s="8" t="s">
        <v>43871</v>
      </c>
      <c r="G7778" s="6" t="s">
        <v>60</v>
      </c>
      <c r="H7778" s="6" t="s">
        <v>820</v>
      </c>
      <c r="I7778" s="8" t="s">
        <v>253</v>
      </c>
      <c r="J7778" s="9">
        <v>1</v>
      </c>
      <c r="K7778" s="9">
        <v>424</v>
      </c>
      <c r="L7778" s="9">
        <v>2026</v>
      </c>
      <c r="M7778" s="8" t="s">
        <v>43872</v>
      </c>
      <c r="N7778" s="8" t="s">
        <v>243</v>
      </c>
      <c r="O7778" s="8" t="s">
        <v>758</v>
      </c>
      <c r="P7778" s="6" t="s">
        <v>51</v>
      </c>
      <c r="Q7778" s="8" t="s">
        <v>52</v>
      </c>
      <c r="R7778" s="10" t="s">
        <v>43873</v>
      </c>
      <c r="S7778" s="11"/>
      <c r="T7778" s="6"/>
      <c r="U7778" s="15" t="str">
        <f>HYPERLINK("https://media.infra-m.ru/2223/2223617/cover/2223617.jpg", "Обложка")</f>
        <v>Обложка</v>
      </c>
      <c r="V7778" s="8" t="s">
        <v>2446</v>
      </c>
      <c r="W7778" s="6"/>
      <c r="X7778" s="6"/>
      <c r="Y7778" s="6"/>
      <c r="Z7778" s="6"/>
      <c r="AA7778" s="6" t="s">
        <v>274</v>
      </c>
      <c r="AB7778" s="8"/>
      <c r="AC7778" s="27">
        <v>9785905554803</v>
      </c>
    </row>
    <row r="7779" spans="1:29" s="4" customFormat="1" ht="42" customHeight="1" x14ac:dyDescent="0.2">
      <c r="A7779" s="5">
        <v>0</v>
      </c>
      <c r="B7779" s="6" t="s">
        <v>43874</v>
      </c>
      <c r="C7779" s="13">
        <v>839.9</v>
      </c>
      <c r="D7779" s="8" t="s">
        <v>43875</v>
      </c>
      <c r="E7779" s="8" t="s">
        <v>43876</v>
      </c>
      <c r="F7779" s="8" t="s">
        <v>43877</v>
      </c>
      <c r="G7779" s="6"/>
      <c r="H7779" s="6" t="s">
        <v>34</v>
      </c>
      <c r="I7779" s="8" t="s">
        <v>271</v>
      </c>
      <c r="J7779" s="9">
        <v>14</v>
      </c>
      <c r="K7779" s="9">
        <v>303</v>
      </c>
      <c r="L7779" s="9">
        <v>2015</v>
      </c>
      <c r="M7779" s="8" t="s">
        <v>43878</v>
      </c>
      <c r="N7779" s="8" t="s">
        <v>243</v>
      </c>
      <c r="O7779" s="8" t="s">
        <v>798</v>
      </c>
      <c r="P7779" s="6" t="s">
        <v>51</v>
      </c>
      <c r="Q7779" s="8" t="s">
        <v>52</v>
      </c>
      <c r="R7779" s="10" t="s">
        <v>6735</v>
      </c>
      <c r="S7779" s="11"/>
      <c r="T7779" s="6"/>
      <c r="U7779" s="15" t="str">
        <f>HYPERLINK("https://media.infra-m.ru/0483/0483092/cover/483092.jpg", "Обложка")</f>
        <v>Обложка</v>
      </c>
      <c r="V7779" s="8" t="s">
        <v>7509</v>
      </c>
      <c r="W7779" s="6"/>
      <c r="X7779" s="6"/>
      <c r="Y7779" s="6"/>
      <c r="Z7779" s="6"/>
      <c r="AA7779" s="6" t="s">
        <v>274</v>
      </c>
      <c r="AB7779" s="8"/>
      <c r="AC7779" s="27">
        <v>9785160102931</v>
      </c>
    </row>
    <row r="7780" spans="1:29" s="4" customFormat="1" ht="51.9" customHeight="1" x14ac:dyDescent="0.2">
      <c r="A7780" s="5">
        <v>0</v>
      </c>
      <c r="B7780" s="6" t="s">
        <v>43879</v>
      </c>
      <c r="C7780" s="7">
        <v>1140</v>
      </c>
      <c r="D7780" s="8" t="s">
        <v>43880</v>
      </c>
      <c r="E7780" s="8" t="s">
        <v>43881</v>
      </c>
      <c r="F7780" s="8" t="s">
        <v>30476</v>
      </c>
      <c r="G7780" s="6" t="s">
        <v>118</v>
      </c>
      <c r="H7780" s="6" t="s">
        <v>34</v>
      </c>
      <c r="I7780" s="8" t="s">
        <v>1835</v>
      </c>
      <c r="J7780" s="9">
        <v>1</v>
      </c>
      <c r="K7780" s="9">
        <v>172</v>
      </c>
      <c r="L7780" s="9">
        <v>2026</v>
      </c>
      <c r="M7780" s="8" t="s">
        <v>43882</v>
      </c>
      <c r="N7780" s="8" t="s">
        <v>585</v>
      </c>
      <c r="O7780" s="8" t="s">
        <v>2472</v>
      </c>
      <c r="P7780" s="6" t="s">
        <v>4401</v>
      </c>
      <c r="Q7780" s="8" t="s">
        <v>40</v>
      </c>
      <c r="R7780" s="10" t="s">
        <v>43883</v>
      </c>
      <c r="S7780" s="11"/>
      <c r="T7780" s="6"/>
      <c r="U7780" s="15" t="str">
        <f>HYPERLINK("https://media.infra-m.ru/2249/2249163/cover/2249163.jpg", "Обложка")</f>
        <v>Обложка</v>
      </c>
      <c r="V7780" s="8" t="s">
        <v>7429</v>
      </c>
      <c r="W7780" s="6"/>
      <c r="X7780" s="6"/>
      <c r="Y7780" s="6"/>
      <c r="Z7780" s="6"/>
      <c r="AA7780" s="6" t="s">
        <v>859</v>
      </c>
      <c r="AB7780" s="8"/>
      <c r="AC7780" s="27">
        <v>9785160066448</v>
      </c>
    </row>
    <row r="7781" spans="1:29" s="4" customFormat="1" ht="51.9" customHeight="1" x14ac:dyDescent="0.2">
      <c r="A7781" s="5">
        <v>0</v>
      </c>
      <c r="B7781" s="6" t="s">
        <v>43884</v>
      </c>
      <c r="C7781" s="13">
        <v>796.8</v>
      </c>
      <c r="D7781" s="8" t="s">
        <v>43885</v>
      </c>
      <c r="E7781" s="8" t="s">
        <v>43886</v>
      </c>
      <c r="F7781" s="8" t="s">
        <v>43887</v>
      </c>
      <c r="G7781" s="6" t="s">
        <v>33</v>
      </c>
      <c r="H7781" s="6" t="s">
        <v>34</v>
      </c>
      <c r="I7781" s="8" t="s">
        <v>35</v>
      </c>
      <c r="J7781" s="9">
        <v>1</v>
      </c>
      <c r="K7781" s="9">
        <v>126</v>
      </c>
      <c r="L7781" s="9">
        <v>2025</v>
      </c>
      <c r="M7781" s="8" t="s">
        <v>43888</v>
      </c>
      <c r="N7781" s="8" t="s">
        <v>63</v>
      </c>
      <c r="O7781" s="8" t="s">
        <v>64</v>
      </c>
      <c r="P7781" s="6" t="s">
        <v>39</v>
      </c>
      <c r="Q7781" s="8" t="s">
        <v>40</v>
      </c>
      <c r="R7781" s="10" t="s">
        <v>43889</v>
      </c>
      <c r="S7781" s="11"/>
      <c r="T7781" s="6"/>
      <c r="U7781" s="15" t="str">
        <f>HYPERLINK("https://media.infra-m.ru/2196/2196122/cover/2196122.jpg", "Обложка")</f>
        <v>Обложка</v>
      </c>
      <c r="V7781" s="8" t="s">
        <v>546</v>
      </c>
      <c r="W7781" s="6"/>
      <c r="X7781" s="6"/>
      <c r="Y7781" s="6"/>
      <c r="Z7781" s="6"/>
      <c r="AA7781" s="6" t="s">
        <v>99</v>
      </c>
      <c r="AB7781" s="8"/>
      <c r="AC7781" s="27">
        <v>9785160122021</v>
      </c>
    </row>
    <row r="7782" spans="1:29" s="4" customFormat="1" ht="51.9" customHeight="1" x14ac:dyDescent="0.2">
      <c r="A7782" s="5">
        <v>0</v>
      </c>
      <c r="B7782" s="6" t="s">
        <v>43890</v>
      </c>
      <c r="C7782" s="13">
        <v>976.8</v>
      </c>
      <c r="D7782" s="8" t="s">
        <v>43891</v>
      </c>
      <c r="E7782" s="8" t="s">
        <v>43892</v>
      </c>
      <c r="F7782" s="8" t="s">
        <v>43893</v>
      </c>
      <c r="G7782" s="6" t="s">
        <v>33</v>
      </c>
      <c r="H7782" s="6" t="s">
        <v>34</v>
      </c>
      <c r="I7782" s="8" t="s">
        <v>271</v>
      </c>
      <c r="J7782" s="9">
        <v>1</v>
      </c>
      <c r="K7782" s="9">
        <v>156</v>
      </c>
      <c r="L7782" s="9">
        <v>2025</v>
      </c>
      <c r="M7782" s="8" t="s">
        <v>43894</v>
      </c>
      <c r="N7782" s="8" t="s">
        <v>37</v>
      </c>
      <c r="O7782" s="8" t="s">
        <v>280</v>
      </c>
      <c r="P7782" s="6" t="s">
        <v>51</v>
      </c>
      <c r="Q7782" s="8" t="s">
        <v>52</v>
      </c>
      <c r="R7782" s="10" t="s">
        <v>26351</v>
      </c>
      <c r="S7782" s="11" t="s">
        <v>43895</v>
      </c>
      <c r="T7782" s="6"/>
      <c r="U7782" s="15" t="str">
        <f>HYPERLINK("https://media.infra-m.ru/2192/2192254/cover/2192254.jpg", "Обложка")</f>
        <v>Обложка</v>
      </c>
      <c r="V7782" s="8" t="s">
        <v>761</v>
      </c>
      <c r="W7782" s="6"/>
      <c r="X7782" s="6"/>
      <c r="Y7782" s="6"/>
      <c r="Z7782" s="6"/>
      <c r="AA7782" s="6" t="s">
        <v>248</v>
      </c>
      <c r="AB7782" s="8"/>
      <c r="AC7782" s="27">
        <v>9785160068633</v>
      </c>
    </row>
    <row r="7783" spans="1:29" s="4" customFormat="1" ht="42" customHeight="1" x14ac:dyDescent="0.2">
      <c r="A7783" s="5">
        <v>0</v>
      </c>
      <c r="B7783" s="6" t="s">
        <v>43896</v>
      </c>
      <c r="C7783" s="13">
        <v>588</v>
      </c>
      <c r="D7783" s="8" t="s">
        <v>43897</v>
      </c>
      <c r="E7783" s="8" t="s">
        <v>43898</v>
      </c>
      <c r="F7783" s="8" t="s">
        <v>43899</v>
      </c>
      <c r="G7783" s="6" t="s">
        <v>33</v>
      </c>
      <c r="H7783" s="6" t="s">
        <v>34</v>
      </c>
      <c r="I7783" s="8" t="s">
        <v>35</v>
      </c>
      <c r="J7783" s="9">
        <v>1</v>
      </c>
      <c r="K7783" s="9">
        <v>144</v>
      </c>
      <c r="L7783" s="9">
        <v>2020</v>
      </c>
      <c r="M7783" s="8" t="s">
        <v>43900</v>
      </c>
      <c r="N7783" s="8" t="s">
        <v>63</v>
      </c>
      <c r="O7783" s="8" t="s">
        <v>64</v>
      </c>
      <c r="P7783" s="6" t="s">
        <v>39</v>
      </c>
      <c r="Q7783" s="8" t="s">
        <v>40</v>
      </c>
      <c r="R7783" s="10" t="s">
        <v>21661</v>
      </c>
      <c r="S7783" s="11"/>
      <c r="T7783" s="6"/>
      <c r="U7783" s="15" t="str">
        <f>HYPERLINK("https://media.infra-m.ru/1036/1036520/cover/1036520.jpg", "Обложка")</f>
        <v>Обложка</v>
      </c>
      <c r="V7783" s="8" t="s">
        <v>322</v>
      </c>
      <c r="W7783" s="6"/>
      <c r="X7783" s="6"/>
      <c r="Y7783" s="6"/>
      <c r="Z7783" s="6"/>
      <c r="AA7783" s="6" t="s">
        <v>43</v>
      </c>
      <c r="AB7783" s="8"/>
      <c r="AC7783" s="27">
        <v>9785160097626</v>
      </c>
    </row>
    <row r="7784" spans="1:29" s="4" customFormat="1" ht="44.1" customHeight="1" x14ac:dyDescent="0.2">
      <c r="A7784" s="5">
        <v>0</v>
      </c>
      <c r="B7784" s="6" t="s">
        <v>43901</v>
      </c>
      <c r="C7784" s="13">
        <v>677.9</v>
      </c>
      <c r="D7784" s="8" t="s">
        <v>43902</v>
      </c>
      <c r="E7784" s="8" t="s">
        <v>43903</v>
      </c>
      <c r="F7784" s="8" t="s">
        <v>43904</v>
      </c>
      <c r="G7784" s="6" t="s">
        <v>33</v>
      </c>
      <c r="H7784" s="6" t="s">
        <v>241</v>
      </c>
      <c r="I7784" s="8" t="s">
        <v>3496</v>
      </c>
      <c r="J7784" s="9">
        <v>1</v>
      </c>
      <c r="K7784" s="9">
        <v>166</v>
      </c>
      <c r="L7784" s="9">
        <v>2019</v>
      </c>
      <c r="M7784" s="8" t="s">
        <v>43905</v>
      </c>
      <c r="N7784" s="8" t="s">
        <v>585</v>
      </c>
      <c r="O7784" s="8" t="s">
        <v>2472</v>
      </c>
      <c r="P7784" s="6" t="s">
        <v>39</v>
      </c>
      <c r="Q7784" s="8" t="s">
        <v>40</v>
      </c>
      <c r="R7784" s="10" t="s">
        <v>43906</v>
      </c>
      <c r="S7784" s="11"/>
      <c r="T7784" s="6"/>
      <c r="U7784" s="15" t="str">
        <f>HYPERLINK("https://media.infra-m.ru/1010/1010018/cover/1010018.jpg", "Обложка")</f>
        <v>Обложка</v>
      </c>
      <c r="V7784" s="8" t="s">
        <v>43907</v>
      </c>
      <c r="W7784" s="6"/>
      <c r="X7784" s="6"/>
      <c r="Y7784" s="6"/>
      <c r="Z7784" s="6"/>
      <c r="AA7784" s="6" t="s">
        <v>274</v>
      </c>
      <c r="AB7784" s="8"/>
      <c r="AC7784" s="27">
        <v>9785955804170</v>
      </c>
    </row>
    <row r="7785" spans="1:29" s="4" customFormat="1" ht="44.1" customHeight="1" x14ac:dyDescent="0.2">
      <c r="A7785" s="5">
        <v>0</v>
      </c>
      <c r="B7785" s="6" t="s">
        <v>43908</v>
      </c>
      <c r="C7785" s="13">
        <v>936</v>
      </c>
      <c r="D7785" s="8" t="s">
        <v>43909</v>
      </c>
      <c r="E7785" s="8" t="s">
        <v>43910</v>
      </c>
      <c r="F7785" s="8" t="s">
        <v>43911</v>
      </c>
      <c r="G7785" s="6" t="s">
        <v>33</v>
      </c>
      <c r="H7785" s="6" t="s">
        <v>34</v>
      </c>
      <c r="I7785" s="8" t="s">
        <v>1081</v>
      </c>
      <c r="J7785" s="9">
        <v>1</v>
      </c>
      <c r="K7785" s="9">
        <v>150</v>
      </c>
      <c r="L7785" s="9">
        <v>2026</v>
      </c>
      <c r="M7785" s="8" t="s">
        <v>43912</v>
      </c>
      <c r="N7785" s="8" t="s">
        <v>243</v>
      </c>
      <c r="O7785" s="8" t="s">
        <v>964</v>
      </c>
      <c r="P7785" s="6" t="s">
        <v>39</v>
      </c>
      <c r="Q7785" s="8" t="s">
        <v>40</v>
      </c>
      <c r="R7785" s="10" t="s">
        <v>43913</v>
      </c>
      <c r="S7785" s="11"/>
      <c r="T7785" s="6"/>
      <c r="U7785" s="15" t="str">
        <f>HYPERLINK("https://media.infra-m.ru/2222/2222975/cover/2222975.jpg", "Обложка")</f>
        <v>Обложка</v>
      </c>
      <c r="V7785" s="8" t="s">
        <v>1083</v>
      </c>
      <c r="W7785" s="6"/>
      <c r="X7785" s="6"/>
      <c r="Y7785" s="6"/>
      <c r="Z7785" s="6"/>
      <c r="AA7785" s="6" t="s">
        <v>86</v>
      </c>
      <c r="AB7785" s="8"/>
      <c r="AC7785" s="27">
        <v>9785160213736</v>
      </c>
    </row>
    <row r="7786" spans="1:29" s="4" customFormat="1" ht="44.1" customHeight="1" x14ac:dyDescent="0.2">
      <c r="A7786" s="5">
        <v>0</v>
      </c>
      <c r="B7786" s="6" t="s">
        <v>43914</v>
      </c>
      <c r="C7786" s="13">
        <v>892.8</v>
      </c>
      <c r="D7786" s="8" t="s">
        <v>43915</v>
      </c>
      <c r="E7786" s="8" t="s">
        <v>43910</v>
      </c>
      <c r="F7786" s="8" t="s">
        <v>43911</v>
      </c>
      <c r="G7786" s="6" t="s">
        <v>60</v>
      </c>
      <c r="H7786" s="6" t="s">
        <v>34</v>
      </c>
      <c r="I7786" s="8" t="s">
        <v>1081</v>
      </c>
      <c r="J7786" s="9">
        <v>1</v>
      </c>
      <c r="K7786" s="9">
        <v>150</v>
      </c>
      <c r="L7786" s="9">
        <v>2025</v>
      </c>
      <c r="M7786" s="8" t="s">
        <v>43916</v>
      </c>
      <c r="N7786" s="8" t="s">
        <v>243</v>
      </c>
      <c r="O7786" s="8" t="s">
        <v>964</v>
      </c>
      <c r="P7786" s="6" t="s">
        <v>39</v>
      </c>
      <c r="Q7786" s="8" t="s">
        <v>40</v>
      </c>
      <c r="R7786" s="10" t="s">
        <v>43913</v>
      </c>
      <c r="S7786" s="11"/>
      <c r="T7786" s="6"/>
      <c r="U7786" s="15" t="str">
        <f>HYPERLINK("https://media.infra-m.ru/2163/2163203/cover/2163203.jpg", "Обложка")</f>
        <v>Обложка</v>
      </c>
      <c r="V7786" s="8" t="s">
        <v>1083</v>
      </c>
      <c r="W7786" s="6"/>
      <c r="X7786" s="6"/>
      <c r="Y7786" s="6"/>
      <c r="Z7786" s="6"/>
      <c r="AA7786" s="6" t="s">
        <v>86</v>
      </c>
      <c r="AB7786" s="8"/>
      <c r="AC7786" s="27">
        <v>9785160134147</v>
      </c>
    </row>
    <row r="7787" spans="1:29" s="4" customFormat="1" ht="51.9" customHeight="1" x14ac:dyDescent="0.2">
      <c r="A7787" s="5">
        <v>0</v>
      </c>
      <c r="B7787" s="6" t="s">
        <v>43917</v>
      </c>
      <c r="C7787" s="7">
        <v>2500.8000000000002</v>
      </c>
      <c r="D7787" s="8" t="s">
        <v>43918</v>
      </c>
      <c r="E7787" s="8" t="s">
        <v>43919</v>
      </c>
      <c r="F7787" s="8" t="s">
        <v>43920</v>
      </c>
      <c r="G7787" s="6" t="s">
        <v>60</v>
      </c>
      <c r="H7787" s="6" t="s">
        <v>134</v>
      </c>
      <c r="I7787" s="8"/>
      <c r="J7787" s="9">
        <v>1</v>
      </c>
      <c r="K7787" s="9">
        <v>400</v>
      </c>
      <c r="L7787" s="9">
        <v>2026</v>
      </c>
      <c r="M7787" s="8" t="s">
        <v>43921</v>
      </c>
      <c r="N7787" s="8" t="s">
        <v>37</v>
      </c>
      <c r="O7787" s="8" t="s">
        <v>136</v>
      </c>
      <c r="P7787" s="6" t="s">
        <v>306</v>
      </c>
      <c r="Q7787" s="8" t="s">
        <v>52</v>
      </c>
      <c r="R7787" s="10" t="s">
        <v>43922</v>
      </c>
      <c r="S7787" s="11"/>
      <c r="T7787" s="6"/>
      <c r="U7787" s="15" t="str">
        <f>HYPERLINK("https://media.infra-m.ru/2219/2219426/cover/2219426.jpg", "Обложка")</f>
        <v>Обложка</v>
      </c>
      <c r="V7787" s="8" t="s">
        <v>1184</v>
      </c>
      <c r="W7787" s="6"/>
      <c r="X7787" s="6"/>
      <c r="Y7787" s="6"/>
      <c r="Z7787" s="6"/>
      <c r="AA7787" s="6" t="s">
        <v>106</v>
      </c>
      <c r="AB7787" s="8"/>
      <c r="AC7787" s="27">
        <v>9785001563365</v>
      </c>
    </row>
    <row r="7788" spans="1:29" s="4" customFormat="1" ht="51.9" customHeight="1" x14ac:dyDescent="0.2">
      <c r="A7788" s="5">
        <v>0</v>
      </c>
      <c r="B7788" s="6" t="s">
        <v>43923</v>
      </c>
      <c r="C7788" s="7">
        <v>1781.9</v>
      </c>
      <c r="D7788" s="8" t="s">
        <v>43924</v>
      </c>
      <c r="E7788" s="8" t="s">
        <v>43925</v>
      </c>
      <c r="F7788" s="8" t="s">
        <v>43926</v>
      </c>
      <c r="G7788" s="6" t="s">
        <v>60</v>
      </c>
      <c r="H7788" s="6" t="s">
        <v>134</v>
      </c>
      <c r="I7788" s="8"/>
      <c r="J7788" s="9">
        <v>1</v>
      </c>
      <c r="K7788" s="9">
        <v>360</v>
      </c>
      <c r="L7788" s="9">
        <v>2021</v>
      </c>
      <c r="M7788" s="8" t="s">
        <v>43927</v>
      </c>
      <c r="N7788" s="8" t="s">
        <v>37</v>
      </c>
      <c r="O7788" s="8" t="s">
        <v>136</v>
      </c>
      <c r="P7788" s="6" t="s">
        <v>39</v>
      </c>
      <c r="Q7788" s="8"/>
      <c r="R7788" s="10" t="s">
        <v>43928</v>
      </c>
      <c r="S7788" s="11"/>
      <c r="T7788" s="6"/>
      <c r="U7788" s="15" t="str">
        <f>HYPERLINK("https://media.infra-m.ru/1720/1720087/cover/1720087.jpg", "Обложка")</f>
        <v>Обложка</v>
      </c>
      <c r="V7788" s="8" t="s">
        <v>10951</v>
      </c>
      <c r="W7788" s="6"/>
      <c r="X7788" s="6"/>
      <c r="Y7788" s="6"/>
      <c r="Z7788" s="6"/>
      <c r="AA7788" s="6" t="s">
        <v>430</v>
      </c>
      <c r="AB7788" s="8"/>
      <c r="AC7788" s="27">
        <v>9785001561569</v>
      </c>
    </row>
    <row r="7789" spans="1:29" s="4" customFormat="1" ht="51.9" customHeight="1" x14ac:dyDescent="0.2">
      <c r="A7789" s="5">
        <v>0</v>
      </c>
      <c r="B7789" s="6" t="s">
        <v>43929</v>
      </c>
      <c r="C7789" s="7">
        <v>1476</v>
      </c>
      <c r="D7789" s="8" t="s">
        <v>43930</v>
      </c>
      <c r="E7789" s="8" t="s">
        <v>43931</v>
      </c>
      <c r="F7789" s="8" t="s">
        <v>43920</v>
      </c>
      <c r="G7789" s="6" t="s">
        <v>118</v>
      </c>
      <c r="H7789" s="6" t="s">
        <v>134</v>
      </c>
      <c r="I7789" s="8"/>
      <c r="J7789" s="9">
        <v>1</v>
      </c>
      <c r="K7789" s="9">
        <v>272</v>
      </c>
      <c r="L7789" s="9">
        <v>2019</v>
      </c>
      <c r="M7789" s="8" t="s">
        <v>43932</v>
      </c>
      <c r="N7789" s="8" t="s">
        <v>37</v>
      </c>
      <c r="O7789" s="8" t="s">
        <v>136</v>
      </c>
      <c r="P7789" s="6" t="s">
        <v>306</v>
      </c>
      <c r="Q7789" s="8" t="s">
        <v>52</v>
      </c>
      <c r="R7789" s="10" t="s">
        <v>43922</v>
      </c>
      <c r="S7789" s="11"/>
      <c r="T7789" s="6"/>
      <c r="U7789" s="15" t="str">
        <f>HYPERLINK("https://media.infra-m.ru/1012/1012773/cover/1012773.jpg", "Обложка")</f>
        <v>Обложка</v>
      </c>
      <c r="V7789" s="8" t="s">
        <v>1184</v>
      </c>
      <c r="W7789" s="6"/>
      <c r="X7789" s="6"/>
      <c r="Y7789" s="6"/>
      <c r="Z7789" s="6"/>
      <c r="AA7789" s="6" t="s">
        <v>99</v>
      </c>
      <c r="AB7789" s="8"/>
      <c r="AC7789" s="27">
        <v>9785917687841</v>
      </c>
    </row>
    <row r="7790" spans="1:29" s="4" customFormat="1" ht="44.1" customHeight="1" x14ac:dyDescent="0.2">
      <c r="A7790" s="5">
        <v>0</v>
      </c>
      <c r="B7790" s="6" t="s">
        <v>43933</v>
      </c>
      <c r="C7790" s="7">
        <v>1176</v>
      </c>
      <c r="D7790" s="8" t="s">
        <v>43934</v>
      </c>
      <c r="E7790" s="8" t="s">
        <v>43935</v>
      </c>
      <c r="F7790" s="8" t="s">
        <v>43936</v>
      </c>
      <c r="G7790" s="6" t="s">
        <v>33</v>
      </c>
      <c r="H7790" s="6" t="s">
        <v>34</v>
      </c>
      <c r="I7790" s="8" t="s">
        <v>1081</v>
      </c>
      <c r="J7790" s="9">
        <v>1</v>
      </c>
      <c r="K7790" s="9">
        <v>168</v>
      </c>
      <c r="L7790" s="9">
        <v>2026</v>
      </c>
      <c r="M7790" s="8" t="s">
        <v>43937</v>
      </c>
      <c r="N7790" s="8" t="s">
        <v>37</v>
      </c>
      <c r="O7790" s="8" t="s">
        <v>280</v>
      </c>
      <c r="P7790" s="6" t="s">
        <v>39</v>
      </c>
      <c r="Q7790" s="8" t="s">
        <v>40</v>
      </c>
      <c r="R7790" s="10" t="s">
        <v>9992</v>
      </c>
      <c r="S7790" s="11"/>
      <c r="T7790" s="6"/>
      <c r="U7790" s="15" t="str">
        <f>HYPERLINK("https://media.infra-m.ru/2256/2256969/cover/2256969.jpg", "Обложка")</f>
        <v>Обложка</v>
      </c>
      <c r="V7790" s="8" t="s">
        <v>1083</v>
      </c>
      <c r="W7790" s="6"/>
      <c r="X7790" s="6"/>
      <c r="Y7790" s="6"/>
      <c r="Z7790" s="6"/>
      <c r="AA7790" s="6" t="s">
        <v>86</v>
      </c>
      <c r="AB7790" s="8"/>
      <c r="AC7790" s="27">
        <v>9785160172736</v>
      </c>
    </row>
    <row r="7791" spans="1:29" s="4" customFormat="1" ht="44.1" customHeight="1" x14ac:dyDescent="0.2">
      <c r="A7791" s="5">
        <v>0</v>
      </c>
      <c r="B7791" s="6" t="s">
        <v>43938</v>
      </c>
      <c r="C7791" s="13">
        <v>696</v>
      </c>
      <c r="D7791" s="8" t="s">
        <v>43939</v>
      </c>
      <c r="E7791" s="8" t="s">
        <v>43935</v>
      </c>
      <c r="F7791" s="8" t="s">
        <v>43936</v>
      </c>
      <c r="G7791" s="6" t="s">
        <v>118</v>
      </c>
      <c r="H7791" s="6" t="s">
        <v>34</v>
      </c>
      <c r="I7791" s="8" t="s">
        <v>1081</v>
      </c>
      <c r="J7791" s="9">
        <v>1</v>
      </c>
      <c r="K7791" s="9">
        <v>168</v>
      </c>
      <c r="L7791" s="9">
        <v>2019</v>
      </c>
      <c r="M7791" s="8" t="s">
        <v>43940</v>
      </c>
      <c r="N7791" s="8" t="s">
        <v>37</v>
      </c>
      <c r="O7791" s="8" t="s">
        <v>280</v>
      </c>
      <c r="P7791" s="6" t="s">
        <v>39</v>
      </c>
      <c r="Q7791" s="8" t="s">
        <v>40</v>
      </c>
      <c r="R7791" s="10" t="s">
        <v>9992</v>
      </c>
      <c r="S7791" s="11"/>
      <c r="T7791" s="6"/>
      <c r="U7791" s="12"/>
      <c r="V7791" s="8" t="s">
        <v>1083</v>
      </c>
      <c r="W7791" s="6"/>
      <c r="X7791" s="6"/>
      <c r="Y7791" s="6"/>
      <c r="Z7791" s="6"/>
      <c r="AA7791" s="6" t="s">
        <v>86</v>
      </c>
      <c r="AB7791" s="8"/>
      <c r="AC7791" s="27">
        <v>9785160133270</v>
      </c>
    </row>
    <row r="7792" spans="1:29" s="4" customFormat="1" ht="51.9" customHeight="1" x14ac:dyDescent="0.2">
      <c r="A7792" s="5">
        <v>0</v>
      </c>
      <c r="B7792" s="6" t="s">
        <v>43941</v>
      </c>
      <c r="C7792" s="7">
        <v>1396.8</v>
      </c>
      <c r="D7792" s="8" t="s">
        <v>43942</v>
      </c>
      <c r="E7792" s="8" t="s">
        <v>43943</v>
      </c>
      <c r="F7792" s="8" t="s">
        <v>43944</v>
      </c>
      <c r="G7792" s="6" t="s">
        <v>118</v>
      </c>
      <c r="H7792" s="6" t="s">
        <v>241</v>
      </c>
      <c r="I7792" s="8"/>
      <c r="J7792" s="9">
        <v>1</v>
      </c>
      <c r="K7792" s="9">
        <v>252</v>
      </c>
      <c r="L7792" s="9">
        <v>2024</v>
      </c>
      <c r="M7792" s="8" t="s">
        <v>43945</v>
      </c>
      <c r="N7792" s="8" t="s">
        <v>37</v>
      </c>
      <c r="O7792" s="8" t="s">
        <v>233</v>
      </c>
      <c r="P7792" s="6" t="s">
        <v>51</v>
      </c>
      <c r="Q7792" s="8" t="s">
        <v>52</v>
      </c>
      <c r="R7792" s="10" t="s">
        <v>43946</v>
      </c>
      <c r="S7792" s="11" t="s">
        <v>43947</v>
      </c>
      <c r="T7792" s="6"/>
      <c r="U7792" s="15" t="str">
        <f>HYPERLINK("https://media.infra-m.ru/2053/2053984/cover/2053984.jpg", "Обложка")</f>
        <v>Обложка</v>
      </c>
      <c r="V7792" s="8" t="s">
        <v>3087</v>
      </c>
      <c r="W7792" s="6"/>
      <c r="X7792" s="6"/>
      <c r="Y7792" s="6"/>
      <c r="Z7792" s="6"/>
      <c r="AA7792" s="6" t="s">
        <v>1056</v>
      </c>
      <c r="AB7792" s="8"/>
      <c r="AC7792" s="27">
        <v>9785955801179</v>
      </c>
    </row>
    <row r="7793" spans="1:29" s="4" customFormat="1" ht="42" customHeight="1" x14ac:dyDescent="0.2">
      <c r="A7793" s="5">
        <v>0</v>
      </c>
      <c r="B7793" s="6" t="s">
        <v>43948</v>
      </c>
      <c r="C7793" s="7">
        <v>1332</v>
      </c>
      <c r="D7793" s="8" t="s">
        <v>43949</v>
      </c>
      <c r="E7793" s="8" t="s">
        <v>43950</v>
      </c>
      <c r="F7793" s="8" t="s">
        <v>6215</v>
      </c>
      <c r="G7793" s="6" t="s">
        <v>118</v>
      </c>
      <c r="H7793" s="6" t="s">
        <v>134</v>
      </c>
      <c r="I7793" s="8"/>
      <c r="J7793" s="9">
        <v>1</v>
      </c>
      <c r="K7793" s="9">
        <v>208</v>
      </c>
      <c r="L7793" s="9">
        <v>2026</v>
      </c>
      <c r="M7793" s="8" t="s">
        <v>43951</v>
      </c>
      <c r="N7793" s="8" t="s">
        <v>37</v>
      </c>
      <c r="O7793" s="8" t="s">
        <v>136</v>
      </c>
      <c r="P7793" s="6" t="s">
        <v>39</v>
      </c>
      <c r="Q7793" s="8" t="s">
        <v>40</v>
      </c>
      <c r="R7793" s="10" t="s">
        <v>6521</v>
      </c>
      <c r="S7793" s="11"/>
      <c r="T7793" s="6"/>
      <c r="U7793" s="15" t="str">
        <f>HYPERLINK("https://media.infra-m.ru/2221/2221657/cover/2221657.jpg", "Обложка")</f>
        <v>Обложка</v>
      </c>
      <c r="V7793" s="8" t="s">
        <v>1069</v>
      </c>
      <c r="W7793" s="6"/>
      <c r="X7793" s="6"/>
      <c r="Y7793" s="6"/>
      <c r="Z7793" s="6"/>
      <c r="AA7793" s="6" t="s">
        <v>99</v>
      </c>
      <c r="AB7793" s="8"/>
      <c r="AC7793" s="27">
        <v>9785917688275</v>
      </c>
    </row>
    <row r="7794" spans="1:29" s="4" customFormat="1" ht="51.9" customHeight="1" x14ac:dyDescent="0.2">
      <c r="A7794" s="5">
        <v>0</v>
      </c>
      <c r="B7794" s="6" t="s">
        <v>43952</v>
      </c>
      <c r="C7794" s="7">
        <v>1476</v>
      </c>
      <c r="D7794" s="8" t="s">
        <v>43953</v>
      </c>
      <c r="E7794" s="8" t="s">
        <v>43954</v>
      </c>
      <c r="F7794" s="8" t="s">
        <v>43955</v>
      </c>
      <c r="G7794" s="6" t="s">
        <v>33</v>
      </c>
      <c r="H7794" s="6" t="s">
        <v>34</v>
      </c>
      <c r="I7794" s="8" t="s">
        <v>35</v>
      </c>
      <c r="J7794" s="9">
        <v>1</v>
      </c>
      <c r="K7794" s="9">
        <v>218</v>
      </c>
      <c r="L7794" s="9">
        <v>2025</v>
      </c>
      <c r="M7794" s="8" t="s">
        <v>43956</v>
      </c>
      <c r="N7794" s="8" t="s">
        <v>37</v>
      </c>
      <c r="O7794" s="8" t="s">
        <v>136</v>
      </c>
      <c r="P7794" s="6" t="s">
        <v>39</v>
      </c>
      <c r="Q7794" s="8" t="s">
        <v>40</v>
      </c>
      <c r="R7794" s="10" t="s">
        <v>1230</v>
      </c>
      <c r="S7794" s="11"/>
      <c r="T7794" s="6"/>
      <c r="U7794" s="15" t="str">
        <f>HYPERLINK("https://media.infra-m.ru/2174/2174818/cover/2174818.jpg", "Обложка")</f>
        <v>Обложка</v>
      </c>
      <c r="V7794" s="8" t="s">
        <v>37368</v>
      </c>
      <c r="W7794" s="6"/>
      <c r="X7794" s="6"/>
      <c r="Y7794" s="6"/>
      <c r="Z7794" s="6"/>
      <c r="AA7794" s="6" t="s">
        <v>68</v>
      </c>
      <c r="AB7794" s="8"/>
      <c r="AC7794" s="27">
        <v>9785160204512</v>
      </c>
    </row>
    <row r="7795" spans="1:29" s="4" customFormat="1" ht="51.9" customHeight="1" x14ac:dyDescent="0.2">
      <c r="A7795" s="5">
        <v>0</v>
      </c>
      <c r="B7795" s="6" t="s">
        <v>43957</v>
      </c>
      <c r="C7795" s="7">
        <v>2124</v>
      </c>
      <c r="D7795" s="8" t="s">
        <v>43958</v>
      </c>
      <c r="E7795" s="8" t="s">
        <v>43959</v>
      </c>
      <c r="F7795" s="8" t="s">
        <v>43960</v>
      </c>
      <c r="G7795" s="6" t="s">
        <v>118</v>
      </c>
      <c r="H7795" s="6" t="s">
        <v>34</v>
      </c>
      <c r="I7795" s="8" t="s">
        <v>35</v>
      </c>
      <c r="J7795" s="9">
        <v>1</v>
      </c>
      <c r="K7795" s="9">
        <v>465</v>
      </c>
      <c r="L7795" s="9">
        <v>2022</v>
      </c>
      <c r="M7795" s="8" t="s">
        <v>43961</v>
      </c>
      <c r="N7795" s="8" t="s">
        <v>37</v>
      </c>
      <c r="O7795" s="8" t="s">
        <v>136</v>
      </c>
      <c r="P7795" s="6" t="s">
        <v>39</v>
      </c>
      <c r="Q7795" s="8" t="s">
        <v>40</v>
      </c>
      <c r="R7795" s="10" t="s">
        <v>43962</v>
      </c>
      <c r="S7795" s="11"/>
      <c r="T7795" s="6"/>
      <c r="U7795" s="15" t="str">
        <f>HYPERLINK("https://media.infra-m.ru/1689/1689649/cover/1689649.jpg", "Обложка")</f>
        <v>Обложка</v>
      </c>
      <c r="V7795" s="8" t="s">
        <v>1425</v>
      </c>
      <c r="W7795" s="6"/>
      <c r="X7795" s="6"/>
      <c r="Y7795" s="6"/>
      <c r="Z7795" s="6"/>
      <c r="AA7795" s="6" t="s">
        <v>115</v>
      </c>
      <c r="AB7795" s="8"/>
      <c r="AC7795" s="27">
        <v>9785160142708</v>
      </c>
    </row>
    <row r="7796" spans="1:29" s="4" customFormat="1" ht="51.9" customHeight="1" x14ac:dyDescent="0.2">
      <c r="A7796" s="5">
        <v>0</v>
      </c>
      <c r="B7796" s="6" t="s">
        <v>43963</v>
      </c>
      <c r="C7796" s="7">
        <v>3700.8</v>
      </c>
      <c r="D7796" s="8" t="s">
        <v>43964</v>
      </c>
      <c r="E7796" s="8" t="s">
        <v>43965</v>
      </c>
      <c r="F7796" s="8" t="s">
        <v>43966</v>
      </c>
      <c r="G7796" s="6" t="s">
        <v>60</v>
      </c>
      <c r="H7796" s="6" t="s">
        <v>34</v>
      </c>
      <c r="I7796" s="8" t="s">
        <v>253</v>
      </c>
      <c r="J7796" s="9">
        <v>1</v>
      </c>
      <c r="K7796" s="9">
        <v>561</v>
      </c>
      <c r="L7796" s="9">
        <v>2027</v>
      </c>
      <c r="M7796" s="8" t="s">
        <v>43967</v>
      </c>
      <c r="N7796" s="8" t="s">
        <v>37</v>
      </c>
      <c r="O7796" s="8" t="s">
        <v>499</v>
      </c>
      <c r="P7796" s="6" t="s">
        <v>306</v>
      </c>
      <c r="Q7796" s="8" t="s">
        <v>65</v>
      </c>
      <c r="R7796" s="10" t="s">
        <v>43968</v>
      </c>
      <c r="S7796" s="11" t="s">
        <v>43969</v>
      </c>
      <c r="T7796" s="6"/>
      <c r="U7796" s="15" t="str">
        <f>HYPERLINK("https://media.infra-m.ru/2255/2255897/cover/2255897.jpg", "Обложка")</f>
        <v>Обложка</v>
      </c>
      <c r="V7796" s="8" t="s">
        <v>657</v>
      </c>
      <c r="W7796" s="6"/>
      <c r="X7796" s="6"/>
      <c r="Y7796" s="6"/>
      <c r="Z7796" s="6"/>
      <c r="AA7796" s="6" t="s">
        <v>106</v>
      </c>
      <c r="AB7796" s="8"/>
      <c r="AC7796" s="27">
        <v>9785160188041</v>
      </c>
    </row>
    <row r="7797" spans="1:29" s="4" customFormat="1" ht="51.9" customHeight="1" x14ac:dyDescent="0.2">
      <c r="A7797" s="5">
        <v>0</v>
      </c>
      <c r="B7797" s="6" t="s">
        <v>43970</v>
      </c>
      <c r="C7797" s="7">
        <v>2393.9</v>
      </c>
      <c r="D7797" s="8" t="s">
        <v>43971</v>
      </c>
      <c r="E7797" s="8" t="s">
        <v>43972</v>
      </c>
      <c r="F7797" s="8" t="s">
        <v>43966</v>
      </c>
      <c r="G7797" s="6" t="s">
        <v>118</v>
      </c>
      <c r="H7797" s="6" t="s">
        <v>34</v>
      </c>
      <c r="I7797" s="8" t="s">
        <v>271</v>
      </c>
      <c r="J7797" s="9">
        <v>1</v>
      </c>
      <c r="K7797" s="9">
        <v>583</v>
      </c>
      <c r="L7797" s="9">
        <v>2022</v>
      </c>
      <c r="M7797" s="8" t="s">
        <v>43973</v>
      </c>
      <c r="N7797" s="8" t="s">
        <v>37</v>
      </c>
      <c r="O7797" s="8" t="s">
        <v>499</v>
      </c>
      <c r="P7797" s="6" t="s">
        <v>306</v>
      </c>
      <c r="Q7797" s="8" t="s">
        <v>52</v>
      </c>
      <c r="R7797" s="10" t="s">
        <v>43968</v>
      </c>
      <c r="S7797" s="11" t="s">
        <v>43969</v>
      </c>
      <c r="T7797" s="6"/>
      <c r="U7797" s="15" t="str">
        <f>HYPERLINK("https://media.infra-m.ru/1817/1817933/cover/1817933.jpg", "Обложка")</f>
        <v>Обложка</v>
      </c>
      <c r="V7797" s="8" t="s">
        <v>657</v>
      </c>
      <c r="W7797" s="6"/>
      <c r="X7797" s="6"/>
      <c r="Y7797" s="6"/>
      <c r="Z7797" s="6"/>
      <c r="AA7797" s="6" t="s">
        <v>99</v>
      </c>
      <c r="AB7797" s="8"/>
      <c r="AC7797" s="27">
        <v>9785160121567</v>
      </c>
    </row>
    <row r="7798" spans="1:29" s="4" customFormat="1" ht="44.1" customHeight="1" x14ac:dyDescent="0.2">
      <c r="A7798" s="5">
        <v>0</v>
      </c>
      <c r="B7798" s="6" t="s">
        <v>43974</v>
      </c>
      <c r="C7798" s="7">
        <v>1073.9000000000001</v>
      </c>
      <c r="D7798" s="8" t="s">
        <v>43975</v>
      </c>
      <c r="E7798" s="8" t="s">
        <v>43976</v>
      </c>
      <c r="F7798" s="8" t="s">
        <v>43977</v>
      </c>
      <c r="G7798" s="6" t="s">
        <v>33</v>
      </c>
      <c r="H7798" s="6" t="s">
        <v>34</v>
      </c>
      <c r="I7798" s="8" t="s">
        <v>35</v>
      </c>
      <c r="J7798" s="9">
        <v>1</v>
      </c>
      <c r="K7798" s="9">
        <v>199</v>
      </c>
      <c r="L7798" s="9">
        <v>2023</v>
      </c>
      <c r="M7798" s="8" t="s">
        <v>43978</v>
      </c>
      <c r="N7798" s="8" t="s">
        <v>37</v>
      </c>
      <c r="O7798" s="8" t="s">
        <v>136</v>
      </c>
      <c r="P7798" s="6" t="s">
        <v>39</v>
      </c>
      <c r="Q7798" s="8" t="s">
        <v>40</v>
      </c>
      <c r="R7798" s="10" t="s">
        <v>1955</v>
      </c>
      <c r="S7798" s="11"/>
      <c r="T7798" s="6"/>
      <c r="U7798" s="15" t="str">
        <f>HYPERLINK("https://media.infra-m.ru/1902/1902917/cover/1902917.jpg", "Обложка")</f>
        <v>Обложка</v>
      </c>
      <c r="V7798" s="8" t="s">
        <v>156</v>
      </c>
      <c r="W7798" s="6"/>
      <c r="X7798" s="6"/>
      <c r="Y7798" s="6"/>
      <c r="Z7798" s="6"/>
      <c r="AA7798" s="6" t="s">
        <v>43</v>
      </c>
      <c r="AB7798" s="8"/>
      <c r="AC7798" s="27">
        <v>9785160056050</v>
      </c>
    </row>
    <row r="7799" spans="1:29" s="4" customFormat="1" ht="51.9" customHeight="1" x14ac:dyDescent="0.2">
      <c r="A7799" s="5">
        <v>0</v>
      </c>
      <c r="B7799" s="6" t="s">
        <v>43979</v>
      </c>
      <c r="C7799" s="7">
        <v>1504.8</v>
      </c>
      <c r="D7799" s="8" t="s">
        <v>43980</v>
      </c>
      <c r="E7799" s="8" t="s">
        <v>43981</v>
      </c>
      <c r="F7799" s="8" t="s">
        <v>43960</v>
      </c>
      <c r="G7799" s="6" t="s">
        <v>33</v>
      </c>
      <c r="H7799" s="6" t="s">
        <v>34</v>
      </c>
      <c r="I7799" s="8" t="s">
        <v>35</v>
      </c>
      <c r="J7799" s="9">
        <v>1</v>
      </c>
      <c r="K7799" s="9">
        <v>217</v>
      </c>
      <c r="L7799" s="9">
        <v>2025</v>
      </c>
      <c r="M7799" s="8" t="s">
        <v>43982</v>
      </c>
      <c r="N7799" s="8" t="s">
        <v>37</v>
      </c>
      <c r="O7799" s="8" t="s">
        <v>136</v>
      </c>
      <c r="P7799" s="6" t="s">
        <v>39</v>
      </c>
      <c r="Q7799" s="8" t="s">
        <v>40</v>
      </c>
      <c r="R7799" s="10" t="s">
        <v>484</v>
      </c>
      <c r="S7799" s="11"/>
      <c r="T7799" s="6"/>
      <c r="U7799" s="15" t="str">
        <f>HYPERLINK("https://media.infra-m.ru/2264/2264809/cover/2264809.jpg", "Обложка")</f>
        <v>Обложка</v>
      </c>
      <c r="V7799" s="8" t="s">
        <v>1425</v>
      </c>
      <c r="W7799" s="6"/>
      <c r="X7799" s="6"/>
      <c r="Y7799" s="6"/>
      <c r="Z7799" s="6"/>
      <c r="AA7799" s="6" t="s">
        <v>115</v>
      </c>
      <c r="AB7799" s="8"/>
      <c r="AC7799" s="27">
        <v>9785160198422</v>
      </c>
    </row>
    <row r="7800" spans="1:29" s="4" customFormat="1" ht="51.9" customHeight="1" x14ac:dyDescent="0.2">
      <c r="A7800" s="5">
        <v>0</v>
      </c>
      <c r="B7800" s="6" t="s">
        <v>43983</v>
      </c>
      <c r="C7800" s="7">
        <v>1504.8</v>
      </c>
      <c r="D7800" s="8" t="s">
        <v>43984</v>
      </c>
      <c r="E7800" s="8" t="s">
        <v>43981</v>
      </c>
      <c r="F7800" s="8" t="s">
        <v>43960</v>
      </c>
      <c r="G7800" s="6" t="s">
        <v>60</v>
      </c>
      <c r="H7800" s="6" t="s">
        <v>34</v>
      </c>
      <c r="I7800" s="8" t="s">
        <v>35</v>
      </c>
      <c r="J7800" s="9">
        <v>1</v>
      </c>
      <c r="K7800" s="9">
        <v>217</v>
      </c>
      <c r="L7800" s="9">
        <v>2025</v>
      </c>
      <c r="M7800" s="8" t="s">
        <v>43985</v>
      </c>
      <c r="N7800" s="8" t="s">
        <v>37</v>
      </c>
      <c r="O7800" s="8" t="s">
        <v>136</v>
      </c>
      <c r="P7800" s="6" t="s">
        <v>39</v>
      </c>
      <c r="Q7800" s="8" t="s">
        <v>40</v>
      </c>
      <c r="R7800" s="10" t="s">
        <v>484</v>
      </c>
      <c r="S7800" s="11"/>
      <c r="T7800" s="6"/>
      <c r="U7800" s="15" t="str">
        <f>HYPERLINK("https://media.infra-m.ru/2257/2257452/cover/2257452.jpg", "Обложка")</f>
        <v>Обложка</v>
      </c>
      <c r="V7800" s="8" t="s">
        <v>1425</v>
      </c>
      <c r="W7800" s="6"/>
      <c r="X7800" s="6"/>
      <c r="Y7800" s="6"/>
      <c r="Z7800" s="6"/>
      <c r="AA7800" s="6" t="s">
        <v>115</v>
      </c>
      <c r="AB7800" s="8"/>
      <c r="AC7800" s="27">
        <v>9785160147543</v>
      </c>
    </row>
    <row r="7801" spans="1:29" s="4" customFormat="1" ht="51.9" customHeight="1" x14ac:dyDescent="0.2">
      <c r="A7801" s="5">
        <v>0</v>
      </c>
      <c r="B7801" s="6" t="s">
        <v>43986</v>
      </c>
      <c r="C7801" s="7">
        <v>1732.8</v>
      </c>
      <c r="D7801" s="8" t="s">
        <v>43987</v>
      </c>
      <c r="E7801" s="8" t="s">
        <v>43988</v>
      </c>
      <c r="F7801" s="8" t="s">
        <v>43989</v>
      </c>
      <c r="G7801" s="6" t="s">
        <v>118</v>
      </c>
      <c r="H7801" s="6" t="s">
        <v>34</v>
      </c>
      <c r="I7801" s="8" t="s">
        <v>271</v>
      </c>
      <c r="J7801" s="9">
        <v>1</v>
      </c>
      <c r="K7801" s="9">
        <v>262</v>
      </c>
      <c r="L7801" s="9">
        <v>2026</v>
      </c>
      <c r="M7801" s="8" t="s">
        <v>43990</v>
      </c>
      <c r="N7801" s="8" t="s">
        <v>243</v>
      </c>
      <c r="O7801" s="8" t="s">
        <v>758</v>
      </c>
      <c r="P7801" s="6" t="s">
        <v>306</v>
      </c>
      <c r="Q7801" s="8" t="s">
        <v>52</v>
      </c>
      <c r="R7801" s="10" t="s">
        <v>9434</v>
      </c>
      <c r="S7801" s="11" t="s">
        <v>43991</v>
      </c>
      <c r="T7801" s="6"/>
      <c r="U7801" s="15" t="str">
        <f>HYPERLINK("https://media.infra-m.ru/2227/2227158/cover/2227158.jpg", "Обложка")</f>
        <v>Обложка</v>
      </c>
      <c r="V7801" s="8" t="s">
        <v>7175</v>
      </c>
      <c r="W7801" s="6"/>
      <c r="X7801" s="6"/>
      <c r="Y7801" s="6"/>
      <c r="Z7801" s="6"/>
      <c r="AA7801" s="6" t="s">
        <v>779</v>
      </c>
      <c r="AB7801" s="8"/>
      <c r="AC7801" s="27">
        <v>9785160105659</v>
      </c>
    </row>
    <row r="7802" spans="1:29" s="4" customFormat="1" ht="51.9" customHeight="1" x14ac:dyDescent="0.2">
      <c r="A7802" s="5">
        <v>0</v>
      </c>
      <c r="B7802" s="6" t="s">
        <v>43992</v>
      </c>
      <c r="C7802" s="7">
        <v>2052</v>
      </c>
      <c r="D7802" s="8" t="s">
        <v>43993</v>
      </c>
      <c r="E7802" s="8" t="s">
        <v>43994</v>
      </c>
      <c r="F7802" s="8" t="s">
        <v>43995</v>
      </c>
      <c r="G7802" s="6" t="s">
        <v>118</v>
      </c>
      <c r="H7802" s="6" t="s">
        <v>34</v>
      </c>
      <c r="I7802" s="8" t="s">
        <v>263</v>
      </c>
      <c r="J7802" s="9">
        <v>1</v>
      </c>
      <c r="K7802" s="9">
        <v>295</v>
      </c>
      <c r="L7802" s="9">
        <v>2026</v>
      </c>
      <c r="M7802" s="8" t="s">
        <v>43996</v>
      </c>
      <c r="N7802" s="8" t="s">
        <v>63</v>
      </c>
      <c r="O7802" s="8" t="s">
        <v>181</v>
      </c>
      <c r="P7802" s="6" t="s">
        <v>51</v>
      </c>
      <c r="Q7802" s="8" t="s">
        <v>265</v>
      </c>
      <c r="R7802" s="10" t="s">
        <v>43997</v>
      </c>
      <c r="S7802" s="11" t="s">
        <v>43998</v>
      </c>
      <c r="T7802" s="6" t="s">
        <v>97</v>
      </c>
      <c r="U7802" s="15" t="str">
        <f>HYPERLINK("https://media.infra-m.ru/2226/2226764/cover/2226764.jpg", "Обложка")</f>
        <v>Обложка</v>
      </c>
      <c r="V7802" s="8" t="s">
        <v>227</v>
      </c>
      <c r="W7802" s="6"/>
      <c r="X7802" s="6"/>
      <c r="Y7802" s="6"/>
      <c r="Z7802" s="6"/>
      <c r="AA7802" s="6" t="s">
        <v>2240</v>
      </c>
      <c r="AB7802" s="8"/>
      <c r="AC7802" s="27">
        <v>9785160137902</v>
      </c>
    </row>
    <row r="7803" spans="1:29" s="4" customFormat="1" ht="44.1" customHeight="1" x14ac:dyDescent="0.2">
      <c r="A7803" s="5">
        <v>0</v>
      </c>
      <c r="B7803" s="6" t="s">
        <v>43999</v>
      </c>
      <c r="C7803" s="7">
        <v>1668</v>
      </c>
      <c r="D7803" s="8" t="s">
        <v>44000</v>
      </c>
      <c r="E7803" s="8" t="s">
        <v>44001</v>
      </c>
      <c r="F7803" s="8" t="s">
        <v>44002</v>
      </c>
      <c r="G7803" s="6" t="s">
        <v>33</v>
      </c>
      <c r="H7803" s="6" t="s">
        <v>34</v>
      </c>
      <c r="I7803" s="8" t="s">
        <v>35</v>
      </c>
      <c r="J7803" s="9">
        <v>1</v>
      </c>
      <c r="K7803" s="9">
        <v>297</v>
      </c>
      <c r="L7803" s="9">
        <v>2023</v>
      </c>
      <c r="M7803" s="8" t="s">
        <v>44003</v>
      </c>
      <c r="N7803" s="8" t="s">
        <v>243</v>
      </c>
      <c r="O7803" s="8" t="s">
        <v>329</v>
      </c>
      <c r="P7803" s="6" t="s">
        <v>39</v>
      </c>
      <c r="Q7803" s="8" t="s">
        <v>40</v>
      </c>
      <c r="R7803" s="10" t="s">
        <v>44004</v>
      </c>
      <c r="S7803" s="11"/>
      <c r="T7803" s="6"/>
      <c r="U7803" s="15" t="str">
        <f>HYPERLINK("https://media.infra-m.ru/1873/1873862/cover/1873862.jpg", "Обложка")</f>
        <v>Обложка</v>
      </c>
      <c r="V7803" s="8" t="s">
        <v>227</v>
      </c>
      <c r="W7803" s="6"/>
      <c r="X7803" s="6"/>
      <c r="Y7803" s="6"/>
      <c r="Z7803" s="6"/>
      <c r="AA7803" s="6" t="s">
        <v>157</v>
      </c>
      <c r="AB7803" s="8" t="s">
        <v>6422</v>
      </c>
      <c r="AC7803" s="27">
        <v>9785160177670</v>
      </c>
    </row>
    <row r="7804" spans="1:29" s="4" customFormat="1" ht="51.9" customHeight="1" x14ac:dyDescent="0.2">
      <c r="A7804" s="5">
        <v>0</v>
      </c>
      <c r="B7804" s="6" t="s">
        <v>44005</v>
      </c>
      <c r="C7804" s="7">
        <v>2076</v>
      </c>
      <c r="D7804" s="8" t="s">
        <v>44006</v>
      </c>
      <c r="E7804" s="8" t="s">
        <v>44007</v>
      </c>
      <c r="F7804" s="8" t="s">
        <v>44008</v>
      </c>
      <c r="G7804" s="6" t="s">
        <v>118</v>
      </c>
      <c r="H7804" s="6" t="s">
        <v>34</v>
      </c>
      <c r="I7804" s="8" t="s">
        <v>271</v>
      </c>
      <c r="J7804" s="9">
        <v>1</v>
      </c>
      <c r="K7804" s="9">
        <v>456</v>
      </c>
      <c r="L7804" s="9">
        <v>2022</v>
      </c>
      <c r="M7804" s="8" t="s">
        <v>44009</v>
      </c>
      <c r="N7804" s="8" t="s">
        <v>585</v>
      </c>
      <c r="O7804" s="8" t="s">
        <v>775</v>
      </c>
      <c r="P7804" s="6" t="s">
        <v>51</v>
      </c>
      <c r="Q7804" s="8" t="s">
        <v>52</v>
      </c>
      <c r="R7804" s="10" t="s">
        <v>19712</v>
      </c>
      <c r="S7804" s="11" t="s">
        <v>44010</v>
      </c>
      <c r="T7804" s="6"/>
      <c r="U7804" s="15" t="str">
        <f>HYPERLINK("https://media.infra-m.ru/1850/1850392/cover/1850392.jpg", "Обложка")</f>
        <v>Обложка</v>
      </c>
      <c r="V7804" s="8" t="s">
        <v>831</v>
      </c>
      <c r="W7804" s="6"/>
      <c r="X7804" s="6"/>
      <c r="Y7804" s="6"/>
      <c r="Z7804" s="6"/>
      <c r="AA7804" s="6" t="s">
        <v>1256</v>
      </c>
      <c r="AB7804" s="8"/>
      <c r="AC7804" s="27">
        <v>9785160146669</v>
      </c>
    </row>
    <row r="7805" spans="1:29" s="4" customFormat="1" ht="44.1" customHeight="1" x14ac:dyDescent="0.2">
      <c r="A7805" s="5">
        <v>0</v>
      </c>
      <c r="B7805" s="6" t="s">
        <v>44011</v>
      </c>
      <c r="C7805" s="7">
        <v>2652</v>
      </c>
      <c r="D7805" s="8" t="s">
        <v>44012</v>
      </c>
      <c r="E7805" s="8" t="s">
        <v>44013</v>
      </c>
      <c r="F7805" s="8" t="s">
        <v>41934</v>
      </c>
      <c r="G7805" s="6" t="s">
        <v>118</v>
      </c>
      <c r="H7805" s="6" t="s">
        <v>134</v>
      </c>
      <c r="I7805" s="8"/>
      <c r="J7805" s="9">
        <v>1</v>
      </c>
      <c r="K7805" s="9">
        <v>400</v>
      </c>
      <c r="L7805" s="9">
        <v>2026</v>
      </c>
      <c r="M7805" s="8" t="s">
        <v>44014</v>
      </c>
      <c r="N7805" s="8" t="s">
        <v>37</v>
      </c>
      <c r="O7805" s="8" t="s">
        <v>136</v>
      </c>
      <c r="P7805" s="6" t="s">
        <v>51</v>
      </c>
      <c r="Q7805" s="8" t="s">
        <v>377</v>
      </c>
      <c r="R7805" s="10" t="s">
        <v>426</v>
      </c>
      <c r="S7805" s="11"/>
      <c r="T7805" s="6"/>
      <c r="U7805" s="15" t="str">
        <f>HYPERLINK("https://media.infra-m.ru/2248/2248283/cover/2248283.jpg", "Обложка")</f>
        <v>Обложка</v>
      </c>
      <c r="V7805" s="8" t="s">
        <v>1184</v>
      </c>
      <c r="W7805" s="6"/>
      <c r="X7805" s="6"/>
      <c r="Y7805" s="6"/>
      <c r="Z7805" s="6"/>
      <c r="AA7805" s="6" t="s">
        <v>86</v>
      </c>
      <c r="AB7805" s="8" t="s">
        <v>1317</v>
      </c>
      <c r="AC7805" s="27">
        <v>9785917688930</v>
      </c>
    </row>
    <row r="7806" spans="1:29" s="4" customFormat="1" ht="51.9" customHeight="1" x14ac:dyDescent="0.2">
      <c r="A7806" s="5">
        <v>0</v>
      </c>
      <c r="B7806" s="6" t="s">
        <v>44015</v>
      </c>
      <c r="C7806" s="13">
        <v>616.79999999999995</v>
      </c>
      <c r="D7806" s="8" t="s">
        <v>44016</v>
      </c>
      <c r="E7806" s="8" t="s">
        <v>44017</v>
      </c>
      <c r="F7806" s="8" t="s">
        <v>44018</v>
      </c>
      <c r="G7806" s="6" t="s">
        <v>33</v>
      </c>
      <c r="H7806" s="6" t="s">
        <v>48</v>
      </c>
      <c r="I7806" s="8" t="s">
        <v>271</v>
      </c>
      <c r="J7806" s="9">
        <v>1</v>
      </c>
      <c r="K7806" s="9">
        <v>96</v>
      </c>
      <c r="L7806" s="9">
        <v>2024</v>
      </c>
      <c r="M7806" s="8" t="s">
        <v>44019</v>
      </c>
      <c r="N7806" s="8" t="s">
        <v>243</v>
      </c>
      <c r="O7806" s="8" t="s">
        <v>758</v>
      </c>
      <c r="P7806" s="6" t="s">
        <v>51</v>
      </c>
      <c r="Q7806" s="8" t="s">
        <v>52</v>
      </c>
      <c r="R7806" s="10" t="s">
        <v>13198</v>
      </c>
      <c r="S7806" s="11" t="s">
        <v>44020</v>
      </c>
      <c r="T7806" s="6"/>
      <c r="U7806" s="15" t="str">
        <f>HYPERLINK("https://media.infra-m.ru/2087/2087282/cover/2087282.jpg", "Обложка")</f>
        <v>Обложка</v>
      </c>
      <c r="V7806" s="8" t="s">
        <v>13400</v>
      </c>
      <c r="W7806" s="6"/>
      <c r="X7806" s="6"/>
      <c r="Y7806" s="6"/>
      <c r="Z7806" s="6"/>
      <c r="AA7806" s="6" t="s">
        <v>274</v>
      </c>
      <c r="AB7806" s="8"/>
      <c r="AC7806" s="27">
        <v>9785000916537</v>
      </c>
    </row>
    <row r="7807" spans="1:29" s="4" customFormat="1" ht="51.9" customHeight="1" x14ac:dyDescent="0.2">
      <c r="A7807" s="5">
        <v>0</v>
      </c>
      <c r="B7807" s="6" t="s">
        <v>44021</v>
      </c>
      <c r="C7807" s="13">
        <v>636</v>
      </c>
      <c r="D7807" s="8" t="s">
        <v>44022</v>
      </c>
      <c r="E7807" s="8" t="s">
        <v>44017</v>
      </c>
      <c r="F7807" s="8" t="s">
        <v>44023</v>
      </c>
      <c r="G7807" s="6" t="s">
        <v>33</v>
      </c>
      <c r="H7807" s="6" t="s">
        <v>48</v>
      </c>
      <c r="I7807" s="8" t="s">
        <v>263</v>
      </c>
      <c r="J7807" s="9">
        <v>1</v>
      </c>
      <c r="K7807" s="9">
        <v>96</v>
      </c>
      <c r="L7807" s="9">
        <v>2023</v>
      </c>
      <c r="M7807" s="8" t="s">
        <v>44024</v>
      </c>
      <c r="N7807" s="8" t="s">
        <v>243</v>
      </c>
      <c r="O7807" s="8" t="s">
        <v>758</v>
      </c>
      <c r="P7807" s="6" t="s">
        <v>51</v>
      </c>
      <c r="Q7807" s="8" t="s">
        <v>265</v>
      </c>
      <c r="R7807" s="10" t="s">
        <v>44025</v>
      </c>
      <c r="S7807" s="11" t="s">
        <v>44026</v>
      </c>
      <c r="T7807" s="6"/>
      <c r="U7807" s="15" t="str">
        <f>HYPERLINK("https://media.infra-m.ru/0999/0999930/cover/999930.jpg", "Обложка")</f>
        <v>Обложка</v>
      </c>
      <c r="V7807" s="8" t="s">
        <v>13400</v>
      </c>
      <c r="W7807" s="6"/>
      <c r="X7807" s="6"/>
      <c r="Y7807" s="6"/>
      <c r="Z7807" s="6" t="s">
        <v>267</v>
      </c>
      <c r="AA7807" s="6" t="s">
        <v>157</v>
      </c>
      <c r="AB7807" s="8"/>
      <c r="AC7807" s="27">
        <v>9785000916476</v>
      </c>
    </row>
    <row r="7808" spans="1:29" s="4" customFormat="1" ht="51.9" customHeight="1" x14ac:dyDescent="0.2">
      <c r="A7808" s="5">
        <v>0</v>
      </c>
      <c r="B7808" s="6" t="s">
        <v>44027</v>
      </c>
      <c r="C7808" s="7">
        <v>2208</v>
      </c>
      <c r="D7808" s="8" t="s">
        <v>44028</v>
      </c>
      <c r="E7808" s="8" t="s">
        <v>44029</v>
      </c>
      <c r="F7808" s="8" t="s">
        <v>44030</v>
      </c>
      <c r="G7808" s="6" t="s">
        <v>118</v>
      </c>
      <c r="H7808" s="6" t="s">
        <v>34</v>
      </c>
      <c r="I7808" s="8" t="s">
        <v>263</v>
      </c>
      <c r="J7808" s="9">
        <v>1</v>
      </c>
      <c r="K7808" s="9">
        <v>334</v>
      </c>
      <c r="L7808" s="9">
        <v>2026</v>
      </c>
      <c r="M7808" s="8" t="s">
        <v>44031</v>
      </c>
      <c r="N7808" s="8" t="s">
        <v>243</v>
      </c>
      <c r="O7808" s="8" t="s">
        <v>329</v>
      </c>
      <c r="P7808" s="6" t="s">
        <v>306</v>
      </c>
      <c r="Q7808" s="8" t="s">
        <v>265</v>
      </c>
      <c r="R7808" s="10" t="s">
        <v>44032</v>
      </c>
      <c r="S7808" s="11" t="s">
        <v>44033</v>
      </c>
      <c r="T7808" s="6"/>
      <c r="U7808" s="15" t="str">
        <f>HYPERLINK("https://media.infra-m.ru/2224/2224067/cover/2224067.jpg", "Обложка")</f>
        <v>Обложка</v>
      </c>
      <c r="V7808" s="8" t="s">
        <v>2537</v>
      </c>
      <c r="W7808" s="6"/>
      <c r="X7808" s="6" t="s">
        <v>24</v>
      </c>
      <c r="Y7808" s="6"/>
      <c r="Z7808" s="6"/>
      <c r="AA7808" s="6" t="s">
        <v>896</v>
      </c>
      <c r="AB7808" s="8"/>
      <c r="AC7808" s="27">
        <v>9785160157245</v>
      </c>
    </row>
    <row r="7809" spans="1:29" s="4" customFormat="1" ht="51.9" customHeight="1" x14ac:dyDescent="0.2">
      <c r="A7809" s="5">
        <v>0</v>
      </c>
      <c r="B7809" s="6" t="s">
        <v>44034</v>
      </c>
      <c r="C7809" s="7">
        <v>1109.9000000000001</v>
      </c>
      <c r="D7809" s="8" t="s">
        <v>44035</v>
      </c>
      <c r="E7809" s="8" t="s">
        <v>44036</v>
      </c>
      <c r="F7809" s="8" t="s">
        <v>38010</v>
      </c>
      <c r="G7809" s="6" t="s">
        <v>60</v>
      </c>
      <c r="H7809" s="6" t="s">
        <v>34</v>
      </c>
      <c r="I7809" s="8" t="s">
        <v>263</v>
      </c>
      <c r="J7809" s="9">
        <v>1</v>
      </c>
      <c r="K7809" s="9">
        <v>271</v>
      </c>
      <c r="L7809" s="9">
        <v>2019</v>
      </c>
      <c r="M7809" s="8" t="s">
        <v>44037</v>
      </c>
      <c r="N7809" s="8" t="s">
        <v>243</v>
      </c>
      <c r="O7809" s="8" t="s">
        <v>329</v>
      </c>
      <c r="P7809" s="6" t="s">
        <v>306</v>
      </c>
      <c r="Q7809" s="8" t="s">
        <v>265</v>
      </c>
      <c r="R7809" s="10" t="s">
        <v>44032</v>
      </c>
      <c r="S7809" s="11"/>
      <c r="T7809" s="6"/>
      <c r="U7809" s="15" t="str">
        <f>HYPERLINK("https://media.infra-m.ru/0994/0994459/cover/994459.jpg", "Обложка")</f>
        <v>Обложка</v>
      </c>
      <c r="V7809" s="8" t="s">
        <v>2537</v>
      </c>
      <c r="W7809" s="6"/>
      <c r="X7809" s="6" t="s">
        <v>24</v>
      </c>
      <c r="Y7809" s="6"/>
      <c r="Z7809" s="6"/>
      <c r="AA7809" s="6" t="s">
        <v>274</v>
      </c>
      <c r="AB7809" s="8"/>
      <c r="AC7809" s="27">
        <v>9785160051451</v>
      </c>
    </row>
    <row r="7810" spans="1:29" s="4" customFormat="1" ht="42" customHeight="1" x14ac:dyDescent="0.2">
      <c r="A7810" s="5">
        <v>0</v>
      </c>
      <c r="B7810" s="6" t="s">
        <v>44038</v>
      </c>
      <c r="C7810" s="7">
        <v>1524</v>
      </c>
      <c r="D7810" s="8" t="s">
        <v>44039</v>
      </c>
      <c r="E7810" s="8" t="s">
        <v>44040</v>
      </c>
      <c r="F7810" s="8" t="s">
        <v>44041</v>
      </c>
      <c r="G7810" s="6" t="s">
        <v>118</v>
      </c>
      <c r="H7810" s="6" t="s">
        <v>34</v>
      </c>
      <c r="I7810" s="8" t="s">
        <v>253</v>
      </c>
      <c r="J7810" s="9">
        <v>1</v>
      </c>
      <c r="K7810" s="9">
        <v>254</v>
      </c>
      <c r="L7810" s="9">
        <v>2025</v>
      </c>
      <c r="M7810" s="8" t="s">
        <v>44042</v>
      </c>
      <c r="N7810" s="8" t="s">
        <v>243</v>
      </c>
      <c r="O7810" s="8" t="s">
        <v>758</v>
      </c>
      <c r="P7810" s="6" t="s">
        <v>306</v>
      </c>
      <c r="Q7810" s="8" t="s">
        <v>52</v>
      </c>
      <c r="R7810" s="10" t="s">
        <v>9434</v>
      </c>
      <c r="S7810" s="11"/>
      <c r="T7810" s="6"/>
      <c r="U7810" s="15" t="str">
        <f>HYPERLINK("https://media.infra-m.ru/2163/2163772/cover/2163772.jpg", "Обложка")</f>
        <v>Обложка</v>
      </c>
      <c r="V7810" s="8" t="s">
        <v>22920</v>
      </c>
      <c r="W7810" s="6"/>
      <c r="X7810" s="6"/>
      <c r="Y7810" s="6"/>
      <c r="Z7810" s="6"/>
      <c r="AA7810" s="6" t="s">
        <v>76</v>
      </c>
      <c r="AB7810" s="8"/>
      <c r="AC7810" s="27">
        <v>9785160178363</v>
      </c>
    </row>
    <row r="7811" spans="1:29" s="4" customFormat="1" ht="51.9" customHeight="1" x14ac:dyDescent="0.2">
      <c r="A7811" s="5">
        <v>0</v>
      </c>
      <c r="B7811" s="6" t="s">
        <v>44043</v>
      </c>
      <c r="C7811" s="13">
        <v>816</v>
      </c>
      <c r="D7811" s="8" t="s">
        <v>44044</v>
      </c>
      <c r="E7811" s="8" t="s">
        <v>44045</v>
      </c>
      <c r="F7811" s="8" t="s">
        <v>44046</v>
      </c>
      <c r="G7811" s="6" t="s">
        <v>118</v>
      </c>
      <c r="H7811" s="6" t="s">
        <v>34</v>
      </c>
      <c r="I7811" s="8" t="s">
        <v>271</v>
      </c>
      <c r="J7811" s="9">
        <v>1</v>
      </c>
      <c r="K7811" s="9">
        <v>170</v>
      </c>
      <c r="L7811" s="9">
        <v>2022</v>
      </c>
      <c r="M7811" s="8" t="s">
        <v>44047</v>
      </c>
      <c r="N7811" s="8" t="s">
        <v>37</v>
      </c>
      <c r="O7811" s="8" t="s">
        <v>136</v>
      </c>
      <c r="P7811" s="6" t="s">
        <v>51</v>
      </c>
      <c r="Q7811" s="8" t="s">
        <v>52</v>
      </c>
      <c r="R7811" s="10" t="s">
        <v>44048</v>
      </c>
      <c r="S7811" s="11" t="s">
        <v>27914</v>
      </c>
      <c r="T7811" s="6" t="s">
        <v>97</v>
      </c>
      <c r="U7811" s="15" t="str">
        <f>HYPERLINK("https://media.infra-m.ru/1863/1863279/cover/1863279.jpg", "Обложка")</f>
        <v>Обложка</v>
      </c>
      <c r="V7811" s="8" t="s">
        <v>4754</v>
      </c>
      <c r="W7811" s="6"/>
      <c r="X7811" s="6"/>
      <c r="Y7811" s="6"/>
      <c r="Z7811" s="6"/>
      <c r="AA7811" s="6" t="s">
        <v>86</v>
      </c>
      <c r="AB7811" s="8"/>
      <c r="AC7811" s="27">
        <v>9785160136950</v>
      </c>
    </row>
    <row r="7812" spans="1:29" s="4" customFormat="1" ht="51.9" customHeight="1" x14ac:dyDescent="0.2">
      <c r="A7812" s="5">
        <v>0</v>
      </c>
      <c r="B7812" s="6" t="s">
        <v>44049</v>
      </c>
      <c r="C7812" s="7">
        <v>1476</v>
      </c>
      <c r="D7812" s="8" t="s">
        <v>44050</v>
      </c>
      <c r="E7812" s="8" t="s">
        <v>44051</v>
      </c>
      <c r="F7812" s="8" t="s">
        <v>44052</v>
      </c>
      <c r="G7812" s="6" t="s">
        <v>118</v>
      </c>
      <c r="H7812" s="6" t="s">
        <v>34</v>
      </c>
      <c r="I7812" s="8" t="s">
        <v>263</v>
      </c>
      <c r="J7812" s="9">
        <v>1</v>
      </c>
      <c r="K7812" s="9">
        <v>236</v>
      </c>
      <c r="L7812" s="9">
        <v>2026</v>
      </c>
      <c r="M7812" s="8" t="s">
        <v>44053</v>
      </c>
      <c r="N7812" s="8" t="s">
        <v>243</v>
      </c>
      <c r="O7812" s="8" t="s">
        <v>329</v>
      </c>
      <c r="P7812" s="6" t="s">
        <v>51</v>
      </c>
      <c r="Q7812" s="8" t="s">
        <v>265</v>
      </c>
      <c r="R7812" s="10" t="s">
        <v>44054</v>
      </c>
      <c r="S7812" s="11" t="s">
        <v>44055</v>
      </c>
      <c r="T7812" s="6"/>
      <c r="U7812" s="15" t="str">
        <f>HYPERLINK("https://media.infra-m.ru/2213/2213297/cover/2213297.jpg", "Обложка")</f>
        <v>Обложка</v>
      </c>
      <c r="V7812" s="8" t="s">
        <v>7894</v>
      </c>
      <c r="W7812" s="6"/>
      <c r="X7812" s="6" t="s">
        <v>24</v>
      </c>
      <c r="Y7812" s="6"/>
      <c r="Z7812" s="6"/>
      <c r="AA7812" s="6" t="s">
        <v>218</v>
      </c>
      <c r="AB7812" s="8"/>
      <c r="AC7812" s="27">
        <v>9785160156583</v>
      </c>
    </row>
    <row r="7813" spans="1:29" s="4" customFormat="1" ht="51.9" customHeight="1" x14ac:dyDescent="0.2">
      <c r="A7813" s="5">
        <v>0</v>
      </c>
      <c r="B7813" s="6" t="s">
        <v>44056</v>
      </c>
      <c r="C7813" s="7">
        <v>1932</v>
      </c>
      <c r="D7813" s="8" t="s">
        <v>44057</v>
      </c>
      <c r="E7813" s="8" t="s">
        <v>44058</v>
      </c>
      <c r="F7813" s="8" t="s">
        <v>44059</v>
      </c>
      <c r="G7813" s="6" t="s">
        <v>118</v>
      </c>
      <c r="H7813" s="6" t="s">
        <v>34</v>
      </c>
      <c r="I7813" s="8" t="s">
        <v>504</v>
      </c>
      <c r="J7813" s="9">
        <v>1</v>
      </c>
      <c r="K7813" s="9">
        <v>350</v>
      </c>
      <c r="L7813" s="9">
        <v>2023</v>
      </c>
      <c r="M7813" s="8" t="s">
        <v>44060</v>
      </c>
      <c r="N7813" s="8" t="s">
        <v>243</v>
      </c>
      <c r="O7813" s="8" t="s">
        <v>329</v>
      </c>
      <c r="P7813" s="6" t="s">
        <v>51</v>
      </c>
      <c r="Q7813" s="8" t="s">
        <v>500</v>
      </c>
      <c r="R7813" s="10" t="s">
        <v>44061</v>
      </c>
      <c r="S7813" s="11" t="s">
        <v>44062</v>
      </c>
      <c r="T7813" s="6"/>
      <c r="U7813" s="15" t="str">
        <f>HYPERLINK("https://media.infra-m.ru/1960/1960098/cover/1960098.jpg", "Обложка")</f>
        <v>Обложка</v>
      </c>
      <c r="V7813" s="8" t="s">
        <v>10082</v>
      </c>
      <c r="W7813" s="6"/>
      <c r="X7813" s="6"/>
      <c r="Y7813" s="6"/>
      <c r="Z7813" s="6"/>
      <c r="AA7813" s="6" t="s">
        <v>115</v>
      </c>
      <c r="AB7813" s="8"/>
      <c r="AC7813" s="27">
        <v>9785160152578</v>
      </c>
    </row>
    <row r="7814" spans="1:29" s="4" customFormat="1" ht="51.9" customHeight="1" x14ac:dyDescent="0.2">
      <c r="A7814" s="5">
        <v>0</v>
      </c>
      <c r="B7814" s="6" t="s">
        <v>44063</v>
      </c>
      <c r="C7814" s="7">
        <v>1720.8</v>
      </c>
      <c r="D7814" s="8" t="s">
        <v>44064</v>
      </c>
      <c r="E7814" s="8" t="s">
        <v>44065</v>
      </c>
      <c r="F7814" s="8" t="s">
        <v>9280</v>
      </c>
      <c r="G7814" s="6" t="s">
        <v>33</v>
      </c>
      <c r="H7814" s="6" t="s">
        <v>34</v>
      </c>
      <c r="I7814" s="8" t="s">
        <v>263</v>
      </c>
      <c r="J7814" s="9">
        <v>1</v>
      </c>
      <c r="K7814" s="9">
        <v>132</v>
      </c>
      <c r="L7814" s="9">
        <v>2026</v>
      </c>
      <c r="M7814" s="8" t="s">
        <v>44066</v>
      </c>
      <c r="N7814" s="8" t="s">
        <v>243</v>
      </c>
      <c r="O7814" s="8" t="s">
        <v>329</v>
      </c>
      <c r="P7814" s="6" t="s">
        <v>51</v>
      </c>
      <c r="Q7814" s="8" t="s">
        <v>265</v>
      </c>
      <c r="R7814" s="10" t="s">
        <v>44067</v>
      </c>
      <c r="S7814" s="11" t="s">
        <v>44068</v>
      </c>
      <c r="T7814" s="6"/>
      <c r="U7814" s="15" t="str">
        <f>HYPERLINK("https://media.infra-m.ru/2219/2219450/cover/2219450.jpg", "Обложка")</f>
        <v>Обложка</v>
      </c>
      <c r="V7814" s="8" t="s">
        <v>9276</v>
      </c>
      <c r="W7814" s="6"/>
      <c r="X7814" s="6" t="s">
        <v>24</v>
      </c>
      <c r="Y7814" s="6"/>
      <c r="Z7814" s="6"/>
      <c r="AA7814" s="6" t="s">
        <v>2338</v>
      </c>
      <c r="AB7814" s="8"/>
      <c r="AC7814" s="27">
        <v>9785160167534</v>
      </c>
    </row>
    <row r="7815" spans="1:29" s="4" customFormat="1" ht="51.9" customHeight="1" x14ac:dyDescent="0.2">
      <c r="A7815" s="5">
        <v>0</v>
      </c>
      <c r="B7815" s="6" t="s">
        <v>44069</v>
      </c>
      <c r="C7815" s="7">
        <v>2344.8000000000002</v>
      </c>
      <c r="D7815" s="8" t="s">
        <v>44070</v>
      </c>
      <c r="E7815" s="8" t="s">
        <v>44071</v>
      </c>
      <c r="F7815" s="8" t="s">
        <v>32971</v>
      </c>
      <c r="G7815" s="6" t="s">
        <v>60</v>
      </c>
      <c r="H7815" s="6" t="s">
        <v>34</v>
      </c>
      <c r="I7815" s="8" t="s">
        <v>271</v>
      </c>
      <c r="J7815" s="9">
        <v>1</v>
      </c>
      <c r="K7815" s="9">
        <v>375</v>
      </c>
      <c r="L7815" s="9">
        <v>2025</v>
      </c>
      <c r="M7815" s="8" t="s">
        <v>44072</v>
      </c>
      <c r="N7815" s="8" t="s">
        <v>243</v>
      </c>
      <c r="O7815" s="8" t="s">
        <v>798</v>
      </c>
      <c r="P7815" s="6" t="s">
        <v>306</v>
      </c>
      <c r="Q7815" s="8" t="s">
        <v>52</v>
      </c>
      <c r="R7815" s="10" t="s">
        <v>7812</v>
      </c>
      <c r="S7815" s="11" t="s">
        <v>7565</v>
      </c>
      <c r="T7815" s="6"/>
      <c r="U7815" s="15" t="str">
        <f>HYPERLINK("https://media.infra-m.ru/2192/2192420/cover/2192420.jpg", "Обложка")</f>
        <v>Обложка</v>
      </c>
      <c r="V7815" s="8" t="s">
        <v>21052</v>
      </c>
      <c r="W7815" s="6"/>
      <c r="X7815" s="6"/>
      <c r="Y7815" s="6"/>
      <c r="Z7815" s="6"/>
      <c r="AA7815" s="6" t="s">
        <v>99</v>
      </c>
      <c r="AB7815" s="8"/>
      <c r="AC7815" s="27">
        <v>9785160120300</v>
      </c>
    </row>
    <row r="7816" spans="1:29" s="4" customFormat="1" ht="51.9" customHeight="1" x14ac:dyDescent="0.2">
      <c r="A7816" s="5">
        <v>0</v>
      </c>
      <c r="B7816" s="6" t="s">
        <v>44073</v>
      </c>
      <c r="C7816" s="7">
        <v>1996.8</v>
      </c>
      <c r="D7816" s="8" t="s">
        <v>44074</v>
      </c>
      <c r="E7816" s="8" t="s">
        <v>44071</v>
      </c>
      <c r="F7816" s="8" t="s">
        <v>44075</v>
      </c>
      <c r="G7816" s="6" t="s">
        <v>118</v>
      </c>
      <c r="H7816" s="6" t="s">
        <v>34</v>
      </c>
      <c r="I7816" s="8" t="s">
        <v>263</v>
      </c>
      <c r="J7816" s="9">
        <v>1</v>
      </c>
      <c r="K7816" s="9">
        <v>320</v>
      </c>
      <c r="L7816" s="9">
        <v>2026</v>
      </c>
      <c r="M7816" s="8" t="s">
        <v>44076</v>
      </c>
      <c r="N7816" s="8" t="s">
        <v>243</v>
      </c>
      <c r="O7816" s="8" t="s">
        <v>329</v>
      </c>
      <c r="P7816" s="6" t="s">
        <v>306</v>
      </c>
      <c r="Q7816" s="8" t="s">
        <v>265</v>
      </c>
      <c r="R7816" s="10" t="s">
        <v>44077</v>
      </c>
      <c r="S7816" s="11" t="s">
        <v>44078</v>
      </c>
      <c r="T7816" s="6"/>
      <c r="U7816" s="15" t="str">
        <f>HYPERLINK("https://media.infra-m.ru/2217/2217542/cover/2217542.jpg", "Обложка")</f>
        <v>Обложка</v>
      </c>
      <c r="V7816" s="8" t="s">
        <v>761</v>
      </c>
      <c r="W7816" s="6"/>
      <c r="X7816" s="6" t="s">
        <v>24</v>
      </c>
      <c r="Y7816" s="6"/>
      <c r="Z7816" s="6"/>
      <c r="AA7816" s="6" t="s">
        <v>561</v>
      </c>
      <c r="AB7816" s="8"/>
      <c r="AC7816" s="27">
        <v>9785160129167</v>
      </c>
    </row>
    <row r="7817" spans="1:29" s="4" customFormat="1" ht="51.9" customHeight="1" x14ac:dyDescent="0.2">
      <c r="A7817" s="5">
        <v>0</v>
      </c>
      <c r="B7817" s="6" t="s">
        <v>44079</v>
      </c>
      <c r="C7817" s="7">
        <v>3376.8</v>
      </c>
      <c r="D7817" s="8" t="s">
        <v>44080</v>
      </c>
      <c r="E7817" s="8" t="s">
        <v>44071</v>
      </c>
      <c r="F7817" s="8" t="s">
        <v>44081</v>
      </c>
      <c r="G7817" s="6" t="s">
        <v>60</v>
      </c>
      <c r="H7817" s="6" t="s">
        <v>34</v>
      </c>
      <c r="I7817" s="8" t="s">
        <v>5350</v>
      </c>
      <c r="J7817" s="9">
        <v>1</v>
      </c>
      <c r="K7817" s="9">
        <v>486</v>
      </c>
      <c r="L7817" s="9">
        <v>2027</v>
      </c>
      <c r="M7817" s="8" t="s">
        <v>44082</v>
      </c>
      <c r="N7817" s="8" t="s">
        <v>243</v>
      </c>
      <c r="O7817" s="8" t="s">
        <v>329</v>
      </c>
      <c r="P7817" s="6" t="s">
        <v>306</v>
      </c>
      <c r="Q7817" s="8" t="s">
        <v>377</v>
      </c>
      <c r="R7817" s="10" t="s">
        <v>12127</v>
      </c>
      <c r="S7817" s="11" t="s">
        <v>44083</v>
      </c>
      <c r="T7817" s="6"/>
      <c r="U7817" s="15" t="str">
        <f>HYPERLINK("https://media.infra-m.ru/2264/2264651/cover/2264651.jpg", "Обложка")</f>
        <v>Обложка</v>
      </c>
      <c r="V7817" s="8" t="s">
        <v>4943</v>
      </c>
      <c r="W7817" s="6"/>
      <c r="X7817" s="6"/>
      <c r="Y7817" s="6"/>
      <c r="Z7817" s="6"/>
      <c r="AA7817" s="6" t="s">
        <v>148</v>
      </c>
      <c r="AB7817" s="8"/>
      <c r="AC7817" s="27">
        <v>9785160160276</v>
      </c>
    </row>
    <row r="7818" spans="1:29" s="4" customFormat="1" ht="51.9" customHeight="1" x14ac:dyDescent="0.2">
      <c r="A7818" s="5">
        <v>0</v>
      </c>
      <c r="B7818" s="6" t="s">
        <v>44084</v>
      </c>
      <c r="C7818" s="7">
        <v>2069.9</v>
      </c>
      <c r="D7818" s="8" t="s">
        <v>44085</v>
      </c>
      <c r="E7818" s="8" t="s">
        <v>44071</v>
      </c>
      <c r="F7818" s="8" t="s">
        <v>21908</v>
      </c>
      <c r="G7818" s="6" t="s">
        <v>60</v>
      </c>
      <c r="H7818" s="6" t="s">
        <v>313</v>
      </c>
      <c r="I7818" s="8" t="s">
        <v>253</v>
      </c>
      <c r="J7818" s="9">
        <v>1</v>
      </c>
      <c r="K7818" s="9">
        <v>384</v>
      </c>
      <c r="L7818" s="9">
        <v>2023</v>
      </c>
      <c r="M7818" s="8" t="s">
        <v>44086</v>
      </c>
      <c r="N7818" s="8" t="s">
        <v>243</v>
      </c>
      <c r="O7818" s="8" t="s">
        <v>329</v>
      </c>
      <c r="P7818" s="6" t="s">
        <v>51</v>
      </c>
      <c r="Q7818" s="8" t="s">
        <v>52</v>
      </c>
      <c r="R7818" s="10" t="s">
        <v>11716</v>
      </c>
      <c r="S7818" s="11" t="s">
        <v>21911</v>
      </c>
      <c r="T7818" s="6"/>
      <c r="U7818" s="15" t="str">
        <f>HYPERLINK("https://media.infra-m.ru/1841/1841427/cover/1841427.jpg", "Обложка")</f>
        <v>Обложка</v>
      </c>
      <c r="V7818" s="8" t="s">
        <v>801</v>
      </c>
      <c r="W7818" s="6"/>
      <c r="X7818" s="6"/>
      <c r="Y7818" s="6"/>
      <c r="Z7818" s="6"/>
      <c r="AA7818" s="6" t="s">
        <v>129</v>
      </c>
      <c r="AB7818" s="8"/>
      <c r="AC7818" s="27">
        <v>9785369007594</v>
      </c>
    </row>
    <row r="7819" spans="1:29" s="4" customFormat="1" ht="51.9" customHeight="1" x14ac:dyDescent="0.2">
      <c r="A7819" s="5">
        <v>0</v>
      </c>
      <c r="B7819" s="6" t="s">
        <v>44087</v>
      </c>
      <c r="C7819" s="7">
        <v>2616</v>
      </c>
      <c r="D7819" s="8" t="s">
        <v>44088</v>
      </c>
      <c r="E7819" s="8" t="s">
        <v>44071</v>
      </c>
      <c r="F7819" s="8" t="s">
        <v>44059</v>
      </c>
      <c r="G7819" s="6" t="s">
        <v>118</v>
      </c>
      <c r="H7819" s="6" t="s">
        <v>34</v>
      </c>
      <c r="I7819" s="8" t="s">
        <v>263</v>
      </c>
      <c r="J7819" s="9">
        <v>1</v>
      </c>
      <c r="K7819" s="9">
        <v>376</v>
      </c>
      <c r="L7819" s="9">
        <v>2027</v>
      </c>
      <c r="M7819" s="8" t="s">
        <v>44089</v>
      </c>
      <c r="N7819" s="8" t="s">
        <v>243</v>
      </c>
      <c r="O7819" s="8" t="s">
        <v>329</v>
      </c>
      <c r="P7819" s="6" t="s">
        <v>51</v>
      </c>
      <c r="Q7819" s="8" t="s">
        <v>265</v>
      </c>
      <c r="R7819" s="10" t="s">
        <v>44090</v>
      </c>
      <c r="S7819" s="11" t="s">
        <v>21782</v>
      </c>
      <c r="T7819" s="6"/>
      <c r="U7819" s="15" t="str">
        <f>HYPERLINK("https://media.infra-m.ru/2266/2266402/cover/2266402.jpg", "Обложка")</f>
        <v>Обложка</v>
      </c>
      <c r="V7819" s="8" t="s">
        <v>10082</v>
      </c>
      <c r="W7819" s="6"/>
      <c r="X7819" s="6" t="s">
        <v>24</v>
      </c>
      <c r="Y7819" s="6"/>
      <c r="Z7819" s="6"/>
      <c r="AA7819" s="6" t="s">
        <v>115</v>
      </c>
      <c r="AB7819" s="8"/>
      <c r="AC7819" s="27">
        <v>9785160152561</v>
      </c>
    </row>
    <row r="7820" spans="1:29" s="4" customFormat="1" ht="51.9" customHeight="1" x14ac:dyDescent="0.2">
      <c r="A7820" s="5">
        <v>0</v>
      </c>
      <c r="B7820" s="6" t="s">
        <v>44091</v>
      </c>
      <c r="C7820" s="7">
        <v>1404</v>
      </c>
      <c r="D7820" s="8" t="s">
        <v>44092</v>
      </c>
      <c r="E7820" s="8" t="s">
        <v>44093</v>
      </c>
      <c r="F7820" s="8" t="s">
        <v>38843</v>
      </c>
      <c r="G7820" s="6" t="s">
        <v>118</v>
      </c>
      <c r="H7820" s="6" t="s">
        <v>34</v>
      </c>
      <c r="I7820" s="8" t="s">
        <v>263</v>
      </c>
      <c r="J7820" s="9">
        <v>1</v>
      </c>
      <c r="K7820" s="9">
        <v>224</v>
      </c>
      <c r="L7820" s="9">
        <v>2026</v>
      </c>
      <c r="M7820" s="8" t="s">
        <v>44094</v>
      </c>
      <c r="N7820" s="8" t="s">
        <v>243</v>
      </c>
      <c r="O7820" s="8" t="s">
        <v>1100</v>
      </c>
      <c r="P7820" s="6" t="s">
        <v>51</v>
      </c>
      <c r="Q7820" s="8" t="s">
        <v>265</v>
      </c>
      <c r="R7820" s="10" t="s">
        <v>44095</v>
      </c>
      <c r="S7820" s="11" t="s">
        <v>44096</v>
      </c>
      <c r="T7820" s="6"/>
      <c r="U7820" s="15" t="str">
        <f>HYPERLINK("https://media.infra-m.ru/2139/2139940/cover/2139940.jpg", "Обложка")</f>
        <v>Обложка</v>
      </c>
      <c r="V7820" s="8" t="s">
        <v>1030</v>
      </c>
      <c r="W7820" s="6"/>
      <c r="X7820" s="6"/>
      <c r="Y7820" s="6"/>
      <c r="Z7820" s="6" t="s">
        <v>267</v>
      </c>
      <c r="AA7820" s="6" t="s">
        <v>258</v>
      </c>
      <c r="AB7820" s="8"/>
      <c r="AC7820" s="27">
        <v>9785160169446</v>
      </c>
    </row>
    <row r="7821" spans="1:29" s="4" customFormat="1" ht="51.9" customHeight="1" x14ac:dyDescent="0.2">
      <c r="A7821" s="5">
        <v>0</v>
      </c>
      <c r="B7821" s="6" t="s">
        <v>44097</v>
      </c>
      <c r="C7821" s="7">
        <v>1552.8</v>
      </c>
      <c r="D7821" s="8" t="s">
        <v>44098</v>
      </c>
      <c r="E7821" s="8" t="s">
        <v>44093</v>
      </c>
      <c r="F7821" s="8" t="s">
        <v>38843</v>
      </c>
      <c r="G7821" s="6" t="s">
        <v>118</v>
      </c>
      <c r="H7821" s="6" t="s">
        <v>34</v>
      </c>
      <c r="I7821" s="8" t="s">
        <v>271</v>
      </c>
      <c r="J7821" s="9">
        <v>1</v>
      </c>
      <c r="K7821" s="9">
        <v>224</v>
      </c>
      <c r="L7821" s="9">
        <v>2027</v>
      </c>
      <c r="M7821" s="8" t="s">
        <v>44099</v>
      </c>
      <c r="N7821" s="8" t="s">
        <v>243</v>
      </c>
      <c r="O7821" s="8" t="s">
        <v>1100</v>
      </c>
      <c r="P7821" s="6" t="s">
        <v>51</v>
      </c>
      <c r="Q7821" s="8" t="s">
        <v>52</v>
      </c>
      <c r="R7821" s="10" t="s">
        <v>44100</v>
      </c>
      <c r="S7821" s="11" t="s">
        <v>44101</v>
      </c>
      <c r="T7821" s="6"/>
      <c r="U7821" s="15" t="str">
        <f>HYPERLINK("https://media.infra-m.ru/2269/2269983/cover/2269983.jpg", "Обложка")</f>
        <v>Обложка</v>
      </c>
      <c r="V7821" s="8" t="s">
        <v>1030</v>
      </c>
      <c r="W7821" s="6"/>
      <c r="X7821" s="6"/>
      <c r="Y7821" s="6"/>
      <c r="Z7821" s="6"/>
      <c r="AA7821" s="6" t="s">
        <v>258</v>
      </c>
      <c r="AB7821" s="8"/>
      <c r="AC7821" s="27">
        <v>9785160159522</v>
      </c>
    </row>
    <row r="7822" spans="1:29" s="4" customFormat="1" ht="51.9" customHeight="1" x14ac:dyDescent="0.2">
      <c r="A7822" s="5">
        <v>0</v>
      </c>
      <c r="B7822" s="6" t="s">
        <v>44102</v>
      </c>
      <c r="C7822" s="7">
        <v>2992.8</v>
      </c>
      <c r="D7822" s="8" t="s">
        <v>44103</v>
      </c>
      <c r="E7822" s="8" t="s">
        <v>44104</v>
      </c>
      <c r="F7822" s="8" t="s">
        <v>29198</v>
      </c>
      <c r="G7822" s="6" t="s">
        <v>60</v>
      </c>
      <c r="H7822" s="6" t="s">
        <v>34</v>
      </c>
      <c r="I7822" s="8" t="s">
        <v>253</v>
      </c>
      <c r="J7822" s="9">
        <v>1</v>
      </c>
      <c r="K7822" s="9">
        <v>434</v>
      </c>
      <c r="L7822" s="9">
        <v>2025</v>
      </c>
      <c r="M7822" s="8" t="s">
        <v>44105</v>
      </c>
      <c r="N7822" s="8" t="s">
        <v>585</v>
      </c>
      <c r="O7822" s="8" t="s">
        <v>667</v>
      </c>
      <c r="P7822" s="6" t="s">
        <v>51</v>
      </c>
      <c r="Q7822" s="8" t="s">
        <v>65</v>
      </c>
      <c r="R7822" s="10" t="s">
        <v>44106</v>
      </c>
      <c r="S7822" s="11"/>
      <c r="T7822" s="6"/>
      <c r="U7822" s="15" t="str">
        <f>HYPERLINK("https://media.infra-m.ru/2226/2226305/cover/2226305.jpg", "Обложка")</f>
        <v>Обложка</v>
      </c>
      <c r="V7822" s="8" t="s">
        <v>29201</v>
      </c>
      <c r="W7822" s="6"/>
      <c r="X7822" s="6"/>
      <c r="Y7822" s="6"/>
      <c r="Z7822" s="6"/>
      <c r="AA7822" s="6" t="s">
        <v>68</v>
      </c>
      <c r="AB7822" s="8" t="s">
        <v>308</v>
      </c>
      <c r="AC7822" s="27">
        <v>9785160208923</v>
      </c>
    </row>
    <row r="7823" spans="1:29" s="4" customFormat="1" ht="44.1" customHeight="1" x14ac:dyDescent="0.2">
      <c r="A7823" s="5">
        <v>0</v>
      </c>
      <c r="B7823" s="6" t="s">
        <v>44107</v>
      </c>
      <c r="C7823" s="7">
        <v>2232</v>
      </c>
      <c r="D7823" s="8" t="s">
        <v>44108</v>
      </c>
      <c r="E7823" s="8" t="s">
        <v>44109</v>
      </c>
      <c r="F7823" s="8" t="s">
        <v>44110</v>
      </c>
      <c r="G7823" s="6" t="s">
        <v>33</v>
      </c>
      <c r="H7823" s="6" t="s">
        <v>34</v>
      </c>
      <c r="I7823" s="8" t="s">
        <v>35</v>
      </c>
      <c r="J7823" s="9">
        <v>1</v>
      </c>
      <c r="K7823" s="9">
        <v>358</v>
      </c>
      <c r="L7823" s="9">
        <v>2026</v>
      </c>
      <c r="M7823" s="8" t="s">
        <v>44111</v>
      </c>
      <c r="N7823" s="8" t="s">
        <v>243</v>
      </c>
      <c r="O7823" s="8" t="s">
        <v>964</v>
      </c>
      <c r="P7823" s="6" t="s">
        <v>39</v>
      </c>
      <c r="Q7823" s="8" t="s">
        <v>40</v>
      </c>
      <c r="R7823" s="10" t="s">
        <v>44112</v>
      </c>
      <c r="S7823" s="11"/>
      <c r="T7823" s="6"/>
      <c r="U7823" s="15" t="str">
        <f>HYPERLINK("https://media.infra-m.ru/2221/2221951/cover/2221951.jpg", "Обложка")</f>
        <v>Обложка</v>
      </c>
      <c r="V7823" s="8" t="s">
        <v>2382</v>
      </c>
      <c r="W7823" s="6"/>
      <c r="X7823" s="6"/>
      <c r="Y7823" s="6"/>
      <c r="Z7823" s="6"/>
      <c r="AA7823" s="6" t="s">
        <v>218</v>
      </c>
      <c r="AB7823" s="8"/>
      <c r="AC7823" s="27">
        <v>9785160157221</v>
      </c>
    </row>
    <row r="7824" spans="1:29" s="4" customFormat="1" ht="51.9" customHeight="1" x14ac:dyDescent="0.2">
      <c r="A7824" s="5">
        <v>0</v>
      </c>
      <c r="B7824" s="6" t="s">
        <v>44113</v>
      </c>
      <c r="C7824" s="7">
        <v>2308.8000000000002</v>
      </c>
      <c r="D7824" s="8" t="s">
        <v>44114</v>
      </c>
      <c r="E7824" s="8" t="s">
        <v>44115</v>
      </c>
      <c r="F7824" s="8" t="s">
        <v>44116</v>
      </c>
      <c r="G7824" s="6" t="s">
        <v>60</v>
      </c>
      <c r="H7824" s="6" t="s">
        <v>48</v>
      </c>
      <c r="I7824" s="8" t="s">
        <v>271</v>
      </c>
      <c r="J7824" s="9">
        <v>1</v>
      </c>
      <c r="K7824" s="9">
        <v>384</v>
      </c>
      <c r="L7824" s="9">
        <v>2025</v>
      </c>
      <c r="M7824" s="8" t="s">
        <v>44117</v>
      </c>
      <c r="N7824" s="8" t="s">
        <v>243</v>
      </c>
      <c r="O7824" s="8" t="s">
        <v>758</v>
      </c>
      <c r="P7824" s="6" t="s">
        <v>51</v>
      </c>
      <c r="Q7824" s="8" t="s">
        <v>52</v>
      </c>
      <c r="R7824" s="10" t="s">
        <v>44118</v>
      </c>
      <c r="S7824" s="11" t="s">
        <v>44119</v>
      </c>
      <c r="T7824" s="6"/>
      <c r="U7824" s="15" t="str">
        <f>HYPERLINK("https://media.infra-m.ru/2184/2184914/cover/2184914.jpg", "Обложка")</f>
        <v>Обложка</v>
      </c>
      <c r="V7824" s="8" t="s">
        <v>1157</v>
      </c>
      <c r="W7824" s="6"/>
      <c r="X7824" s="6"/>
      <c r="Y7824" s="6"/>
      <c r="Z7824" s="6"/>
      <c r="AA7824" s="6" t="s">
        <v>248</v>
      </c>
      <c r="AB7824" s="8"/>
      <c r="AC7824" s="27">
        <v>9785911348274</v>
      </c>
    </row>
    <row r="7825" spans="1:29" s="4" customFormat="1" ht="51.9" customHeight="1" x14ac:dyDescent="0.2">
      <c r="A7825" s="5">
        <v>0</v>
      </c>
      <c r="B7825" s="6" t="s">
        <v>44120</v>
      </c>
      <c r="C7825" s="7">
        <v>2232</v>
      </c>
      <c r="D7825" s="8" t="s">
        <v>44121</v>
      </c>
      <c r="E7825" s="8" t="s">
        <v>44122</v>
      </c>
      <c r="F7825" s="8" t="s">
        <v>44123</v>
      </c>
      <c r="G7825" s="6" t="s">
        <v>118</v>
      </c>
      <c r="H7825" s="6" t="s">
        <v>34</v>
      </c>
      <c r="I7825" s="8" t="s">
        <v>263</v>
      </c>
      <c r="J7825" s="9">
        <v>1</v>
      </c>
      <c r="K7825" s="9">
        <v>338</v>
      </c>
      <c r="L7825" s="9">
        <v>2026</v>
      </c>
      <c r="M7825" s="8" t="s">
        <v>44124</v>
      </c>
      <c r="N7825" s="8" t="s">
        <v>243</v>
      </c>
      <c r="O7825" s="8" t="s">
        <v>798</v>
      </c>
      <c r="P7825" s="6" t="s">
        <v>306</v>
      </c>
      <c r="Q7825" s="8" t="s">
        <v>265</v>
      </c>
      <c r="R7825" s="10" t="s">
        <v>44125</v>
      </c>
      <c r="S7825" s="11" t="s">
        <v>25176</v>
      </c>
      <c r="T7825" s="6"/>
      <c r="U7825" s="15" t="str">
        <f>HYPERLINK("https://media.infra-m.ru/2226/2226835/cover/2226835.jpg", "Обложка")</f>
        <v>Обложка</v>
      </c>
      <c r="V7825" s="8"/>
      <c r="W7825" s="6"/>
      <c r="X7825" s="6" t="s">
        <v>24</v>
      </c>
      <c r="Y7825" s="6"/>
      <c r="Z7825" s="6"/>
      <c r="AA7825" s="6" t="s">
        <v>623</v>
      </c>
      <c r="AB7825" s="8"/>
      <c r="AC7825" s="27">
        <v>9785160123615</v>
      </c>
    </row>
    <row r="7826" spans="1:29" s="4" customFormat="1" ht="51.9" customHeight="1" x14ac:dyDescent="0.2">
      <c r="A7826" s="5">
        <v>0</v>
      </c>
      <c r="B7826" s="6" t="s">
        <v>44126</v>
      </c>
      <c r="C7826" s="7">
        <v>2376</v>
      </c>
      <c r="D7826" s="8" t="s">
        <v>44127</v>
      </c>
      <c r="E7826" s="8" t="s">
        <v>44128</v>
      </c>
      <c r="F7826" s="8" t="s">
        <v>36919</v>
      </c>
      <c r="G7826" s="6" t="s">
        <v>118</v>
      </c>
      <c r="H7826" s="6" t="s">
        <v>34</v>
      </c>
      <c r="I7826" s="8" t="s">
        <v>263</v>
      </c>
      <c r="J7826" s="9">
        <v>1</v>
      </c>
      <c r="K7826" s="9">
        <v>359</v>
      </c>
      <c r="L7826" s="9">
        <v>2026</v>
      </c>
      <c r="M7826" s="8" t="s">
        <v>44129</v>
      </c>
      <c r="N7826" s="8" t="s">
        <v>243</v>
      </c>
      <c r="O7826" s="8" t="s">
        <v>798</v>
      </c>
      <c r="P7826" s="6" t="s">
        <v>51</v>
      </c>
      <c r="Q7826" s="8" t="s">
        <v>265</v>
      </c>
      <c r="R7826" s="10" t="s">
        <v>44130</v>
      </c>
      <c r="S7826" s="11" t="s">
        <v>44131</v>
      </c>
      <c r="T7826" s="6"/>
      <c r="U7826" s="15" t="str">
        <f>HYPERLINK("https://media.infra-m.ru/2236/2236170/cover/2236170.jpg", "Обложка")</f>
        <v>Обложка</v>
      </c>
      <c r="V7826" s="8" t="s">
        <v>843</v>
      </c>
      <c r="W7826" s="6"/>
      <c r="X7826" s="6"/>
      <c r="Y7826" s="6"/>
      <c r="Z7826" s="6" t="s">
        <v>267</v>
      </c>
      <c r="AA7826" s="6" t="s">
        <v>1256</v>
      </c>
      <c r="AB7826" s="8"/>
      <c r="AC7826" s="27">
        <v>9785160154572</v>
      </c>
    </row>
    <row r="7827" spans="1:29" s="4" customFormat="1" ht="51.9" customHeight="1" x14ac:dyDescent="0.2">
      <c r="A7827" s="5">
        <v>0</v>
      </c>
      <c r="B7827" s="6" t="s">
        <v>44132</v>
      </c>
      <c r="C7827" s="7">
        <v>2376</v>
      </c>
      <c r="D7827" s="8" t="s">
        <v>44133</v>
      </c>
      <c r="E7827" s="8" t="s">
        <v>44128</v>
      </c>
      <c r="F7827" s="8" t="s">
        <v>36919</v>
      </c>
      <c r="G7827" s="6" t="s">
        <v>118</v>
      </c>
      <c r="H7827" s="6" t="s">
        <v>34</v>
      </c>
      <c r="I7827" s="8" t="s">
        <v>253</v>
      </c>
      <c r="J7827" s="9">
        <v>1</v>
      </c>
      <c r="K7827" s="9">
        <v>360</v>
      </c>
      <c r="L7827" s="9">
        <v>2026</v>
      </c>
      <c r="M7827" s="8" t="s">
        <v>44134</v>
      </c>
      <c r="N7827" s="8" t="s">
        <v>243</v>
      </c>
      <c r="O7827" s="8" t="s">
        <v>798</v>
      </c>
      <c r="P7827" s="6" t="s">
        <v>51</v>
      </c>
      <c r="Q7827" s="8" t="s">
        <v>52</v>
      </c>
      <c r="R7827" s="10" t="s">
        <v>44135</v>
      </c>
      <c r="S7827" s="11" t="s">
        <v>44136</v>
      </c>
      <c r="T7827" s="6" t="s">
        <v>97</v>
      </c>
      <c r="U7827" s="15" t="str">
        <f>HYPERLINK("https://media.infra-m.ru/2239/2239091/cover/2239091.jpg", "Обложка")</f>
        <v>Обложка</v>
      </c>
      <c r="V7827" s="8" t="s">
        <v>843</v>
      </c>
      <c r="W7827" s="6"/>
      <c r="X7827" s="6" t="s">
        <v>24</v>
      </c>
      <c r="Y7827" s="6"/>
      <c r="Z7827" s="6"/>
      <c r="AA7827" s="6" t="s">
        <v>115</v>
      </c>
      <c r="AB7827" s="8"/>
      <c r="AC7827" s="27">
        <v>9785160184937</v>
      </c>
    </row>
    <row r="7828" spans="1:29" s="4" customFormat="1" ht="51.9" customHeight="1" x14ac:dyDescent="0.2">
      <c r="A7828" s="5">
        <v>0</v>
      </c>
      <c r="B7828" s="6" t="s">
        <v>44137</v>
      </c>
      <c r="C7828" s="7">
        <v>3518.4</v>
      </c>
      <c r="D7828" s="8" t="s">
        <v>44138</v>
      </c>
      <c r="E7828" s="8" t="s">
        <v>44139</v>
      </c>
      <c r="F7828" s="8" t="s">
        <v>44140</v>
      </c>
      <c r="G7828" s="6" t="s">
        <v>60</v>
      </c>
      <c r="H7828" s="6" t="s">
        <v>313</v>
      </c>
      <c r="I7828" s="8" t="s">
        <v>253</v>
      </c>
      <c r="J7828" s="9">
        <v>1</v>
      </c>
      <c r="K7828" s="9">
        <v>448</v>
      </c>
      <c r="L7828" s="9">
        <v>2025</v>
      </c>
      <c r="M7828" s="8" t="s">
        <v>44141</v>
      </c>
      <c r="N7828" s="8" t="s">
        <v>243</v>
      </c>
      <c r="O7828" s="8" t="s">
        <v>758</v>
      </c>
      <c r="P7828" s="6" t="s">
        <v>306</v>
      </c>
      <c r="Q7828" s="8" t="s">
        <v>377</v>
      </c>
      <c r="R7828" s="10" t="s">
        <v>44142</v>
      </c>
      <c r="S7828" s="11"/>
      <c r="T7828" s="6" t="s">
        <v>97</v>
      </c>
      <c r="U7828" s="15" t="str">
        <f>HYPERLINK("https://media.infra-m.ru/2170/2170395/cover/2170395.jpg", "Обложка")</f>
        <v>Обложка</v>
      </c>
      <c r="V7828" s="8" t="s">
        <v>4368</v>
      </c>
      <c r="W7828" s="6"/>
      <c r="X7828" s="6"/>
      <c r="Y7828" s="6"/>
      <c r="Z7828" s="6"/>
      <c r="AA7828" s="6" t="s">
        <v>430</v>
      </c>
      <c r="AB7828" s="8"/>
      <c r="AC7828" s="27">
        <v>9785369018613</v>
      </c>
    </row>
    <row r="7829" spans="1:29" s="4" customFormat="1" ht="51.9" customHeight="1" x14ac:dyDescent="0.2">
      <c r="A7829" s="5">
        <v>0</v>
      </c>
      <c r="B7829" s="6" t="s">
        <v>44143</v>
      </c>
      <c r="C7829" s="7">
        <v>4142.3999999999996</v>
      </c>
      <c r="D7829" s="8" t="s">
        <v>44144</v>
      </c>
      <c r="E7829" s="8" t="s">
        <v>44145</v>
      </c>
      <c r="F7829" s="8" t="s">
        <v>44146</v>
      </c>
      <c r="G7829" s="6" t="s">
        <v>60</v>
      </c>
      <c r="H7829" s="6" t="s">
        <v>313</v>
      </c>
      <c r="I7829" s="8" t="s">
        <v>253</v>
      </c>
      <c r="J7829" s="9">
        <v>1</v>
      </c>
      <c r="K7829" s="9">
        <v>456</v>
      </c>
      <c r="L7829" s="9">
        <v>2027</v>
      </c>
      <c r="M7829" s="8" t="s">
        <v>44147</v>
      </c>
      <c r="N7829" s="8" t="s">
        <v>243</v>
      </c>
      <c r="O7829" s="8" t="s">
        <v>758</v>
      </c>
      <c r="P7829" s="6" t="s">
        <v>306</v>
      </c>
      <c r="Q7829" s="8"/>
      <c r="R7829" s="10" t="s">
        <v>44142</v>
      </c>
      <c r="S7829" s="11"/>
      <c r="T7829" s="6" t="s">
        <v>97</v>
      </c>
      <c r="U7829" s="15" t="str">
        <f>HYPERLINK("https://media.infra-m.ru/2271/2271475/cover/2271475.jpg", "Обложка")</f>
        <v>Обложка</v>
      </c>
      <c r="V7829" s="8"/>
      <c r="W7829" s="6"/>
      <c r="X7829" s="6"/>
      <c r="Y7829" s="6"/>
      <c r="Z7829" s="6"/>
      <c r="AA7829" s="6" t="s">
        <v>917</v>
      </c>
      <c r="AB7829" s="8"/>
      <c r="AC7829" s="27">
        <v>9785369019733</v>
      </c>
    </row>
    <row r="7830" spans="1:29" s="4" customFormat="1" ht="51.9" customHeight="1" x14ac:dyDescent="0.2">
      <c r="A7830" s="5">
        <v>0</v>
      </c>
      <c r="B7830" s="6" t="s">
        <v>44148</v>
      </c>
      <c r="C7830" s="7">
        <v>2476.8000000000002</v>
      </c>
      <c r="D7830" s="8" t="s">
        <v>44149</v>
      </c>
      <c r="E7830" s="8" t="s">
        <v>44150</v>
      </c>
      <c r="F7830" s="8" t="s">
        <v>34242</v>
      </c>
      <c r="G7830" s="6" t="s">
        <v>118</v>
      </c>
      <c r="H7830" s="6" t="s">
        <v>34</v>
      </c>
      <c r="I7830" s="8" t="s">
        <v>263</v>
      </c>
      <c r="J7830" s="9">
        <v>1</v>
      </c>
      <c r="K7830" s="9">
        <v>396</v>
      </c>
      <c r="L7830" s="9">
        <v>2026</v>
      </c>
      <c r="M7830" s="8" t="s">
        <v>44151</v>
      </c>
      <c r="N7830" s="8" t="s">
        <v>243</v>
      </c>
      <c r="O7830" s="8" t="s">
        <v>244</v>
      </c>
      <c r="P7830" s="6" t="s">
        <v>51</v>
      </c>
      <c r="Q7830" s="8" t="s">
        <v>265</v>
      </c>
      <c r="R7830" s="10" t="s">
        <v>44152</v>
      </c>
      <c r="S7830" s="11" t="s">
        <v>44153</v>
      </c>
      <c r="T7830" s="6" t="s">
        <v>97</v>
      </c>
      <c r="U7830" s="15" t="str">
        <f>HYPERLINK("https://media.infra-m.ru/2215/2215726/cover/2215726.jpg", "Обложка")</f>
        <v>Обложка</v>
      </c>
      <c r="V7830" s="8" t="s">
        <v>3693</v>
      </c>
      <c r="W7830" s="6"/>
      <c r="X7830" s="6"/>
      <c r="Y7830" s="6"/>
      <c r="Z7830" s="6" t="s">
        <v>267</v>
      </c>
      <c r="AA7830" s="6" t="s">
        <v>115</v>
      </c>
      <c r="AB7830" s="8"/>
      <c r="AC7830" s="27">
        <v>9785160152837</v>
      </c>
    </row>
    <row r="7831" spans="1:29" s="4" customFormat="1" ht="51.9" customHeight="1" x14ac:dyDescent="0.2">
      <c r="A7831" s="5">
        <v>0</v>
      </c>
      <c r="B7831" s="6" t="s">
        <v>44154</v>
      </c>
      <c r="C7831" s="7">
        <v>2608.8000000000002</v>
      </c>
      <c r="D7831" s="8" t="s">
        <v>44155</v>
      </c>
      <c r="E7831" s="8" t="s">
        <v>44150</v>
      </c>
      <c r="F7831" s="8" t="s">
        <v>34242</v>
      </c>
      <c r="G7831" s="6" t="s">
        <v>118</v>
      </c>
      <c r="H7831" s="6" t="s">
        <v>34</v>
      </c>
      <c r="I7831" s="8" t="s">
        <v>253</v>
      </c>
      <c r="J7831" s="9">
        <v>1</v>
      </c>
      <c r="K7831" s="9">
        <v>396</v>
      </c>
      <c r="L7831" s="9">
        <v>2027</v>
      </c>
      <c r="M7831" s="8" t="s">
        <v>44156</v>
      </c>
      <c r="N7831" s="8" t="s">
        <v>243</v>
      </c>
      <c r="O7831" s="8" t="s">
        <v>244</v>
      </c>
      <c r="P7831" s="6" t="s">
        <v>51</v>
      </c>
      <c r="Q7831" s="8" t="s">
        <v>52</v>
      </c>
      <c r="R7831" s="10" t="s">
        <v>44157</v>
      </c>
      <c r="S7831" s="11" t="s">
        <v>11604</v>
      </c>
      <c r="T7831" s="6" t="s">
        <v>97</v>
      </c>
      <c r="U7831" s="15" t="str">
        <f>HYPERLINK("https://media.infra-m.ru/2250/2250690/cover/2250690.jpg", "Обложка")</f>
        <v>Обложка</v>
      </c>
      <c r="V7831" s="8" t="s">
        <v>3693</v>
      </c>
      <c r="W7831" s="6"/>
      <c r="X7831" s="6"/>
      <c r="Y7831" s="6"/>
      <c r="Z7831" s="6"/>
      <c r="AA7831" s="6" t="s">
        <v>43</v>
      </c>
      <c r="AB7831" s="8"/>
      <c r="AC7831" s="27">
        <v>9785160199702</v>
      </c>
    </row>
    <row r="7832" spans="1:29" s="4" customFormat="1" ht="51.9" customHeight="1" x14ac:dyDescent="0.2">
      <c r="A7832" s="5">
        <v>0</v>
      </c>
      <c r="B7832" s="6" t="s">
        <v>44158</v>
      </c>
      <c r="C7832" s="7">
        <v>2012.4</v>
      </c>
      <c r="D7832" s="8" t="s">
        <v>44159</v>
      </c>
      <c r="E7832" s="8" t="s">
        <v>44160</v>
      </c>
      <c r="F7832" s="8" t="s">
        <v>22669</v>
      </c>
      <c r="G7832" s="6" t="s">
        <v>33</v>
      </c>
      <c r="H7832" s="6" t="s">
        <v>313</v>
      </c>
      <c r="I7832" s="8" t="s">
        <v>253</v>
      </c>
      <c r="J7832" s="9">
        <v>1</v>
      </c>
      <c r="K7832" s="9">
        <v>152</v>
      </c>
      <c r="L7832" s="9">
        <v>2026</v>
      </c>
      <c r="M7832" s="8" t="s">
        <v>44161</v>
      </c>
      <c r="N7832" s="8" t="s">
        <v>243</v>
      </c>
      <c r="O7832" s="8" t="s">
        <v>933</v>
      </c>
      <c r="P7832" s="6" t="s">
        <v>51</v>
      </c>
      <c r="Q7832" s="8" t="s">
        <v>65</v>
      </c>
      <c r="R7832" s="10" t="s">
        <v>44162</v>
      </c>
      <c r="S7832" s="11" t="s">
        <v>44163</v>
      </c>
      <c r="T7832" s="6"/>
      <c r="U7832" s="15" t="str">
        <f>HYPERLINK("https://media.infra-m.ru/2239/2239166/cover/2239166.jpg", "Обложка")</f>
        <v>Обложка</v>
      </c>
      <c r="V7832" s="8" t="s">
        <v>12649</v>
      </c>
      <c r="W7832" s="6"/>
      <c r="X7832" s="6"/>
      <c r="Y7832" s="6"/>
      <c r="Z7832" s="6"/>
      <c r="AA7832" s="6" t="s">
        <v>874</v>
      </c>
      <c r="AB7832" s="8"/>
      <c r="AC7832" s="27">
        <v>9785369011980</v>
      </c>
    </row>
    <row r="7833" spans="1:29" s="4" customFormat="1" ht="51.9" customHeight="1" x14ac:dyDescent="0.2">
      <c r="A7833" s="5">
        <v>0</v>
      </c>
      <c r="B7833" s="6" t="s">
        <v>44164</v>
      </c>
      <c r="C7833" s="7">
        <v>1792.8</v>
      </c>
      <c r="D7833" s="8" t="s">
        <v>44165</v>
      </c>
      <c r="E7833" s="8" t="s">
        <v>44166</v>
      </c>
      <c r="F7833" s="8" t="s">
        <v>26600</v>
      </c>
      <c r="G7833" s="6" t="s">
        <v>60</v>
      </c>
      <c r="H7833" s="6" t="s">
        <v>820</v>
      </c>
      <c r="I7833" s="8" t="s">
        <v>263</v>
      </c>
      <c r="J7833" s="9">
        <v>1</v>
      </c>
      <c r="K7833" s="9">
        <v>256</v>
      </c>
      <c r="L7833" s="9">
        <v>2027</v>
      </c>
      <c r="M7833" s="8" t="s">
        <v>44167</v>
      </c>
      <c r="N7833" s="8" t="s">
        <v>243</v>
      </c>
      <c r="O7833" s="8" t="s">
        <v>244</v>
      </c>
      <c r="P7833" s="6" t="s">
        <v>306</v>
      </c>
      <c r="Q7833" s="8" t="s">
        <v>265</v>
      </c>
      <c r="R7833" s="10" t="s">
        <v>44168</v>
      </c>
      <c r="S7833" s="11"/>
      <c r="T7833" s="6"/>
      <c r="U7833" s="15" t="str">
        <f>HYPERLINK("https://media.infra-m.ru/2271/2271611/cover/2271611.jpg", "Обложка")</f>
        <v>Обложка</v>
      </c>
      <c r="V7833" s="8" t="s">
        <v>54</v>
      </c>
      <c r="W7833" s="6"/>
      <c r="X7833" s="6"/>
      <c r="Y7833" s="6"/>
      <c r="Z7833" s="6"/>
      <c r="AA7833" s="6" t="s">
        <v>99</v>
      </c>
      <c r="AB7833" s="8"/>
      <c r="AC7833" s="27">
        <v>9785906818881</v>
      </c>
    </row>
    <row r="7834" spans="1:29" s="4" customFormat="1" ht="51.9" customHeight="1" x14ac:dyDescent="0.2">
      <c r="A7834" s="5">
        <v>0</v>
      </c>
      <c r="B7834" s="6" t="s">
        <v>44169</v>
      </c>
      <c r="C7834" s="7">
        <v>1368</v>
      </c>
      <c r="D7834" s="8" t="s">
        <v>44170</v>
      </c>
      <c r="E7834" s="8" t="s">
        <v>44166</v>
      </c>
      <c r="F7834" s="8" t="s">
        <v>26600</v>
      </c>
      <c r="G7834" s="6" t="s">
        <v>118</v>
      </c>
      <c r="H7834" s="6" t="s">
        <v>820</v>
      </c>
      <c r="I7834" s="8" t="s">
        <v>263</v>
      </c>
      <c r="J7834" s="9">
        <v>1</v>
      </c>
      <c r="K7834" s="9">
        <v>242</v>
      </c>
      <c r="L7834" s="9">
        <v>2024</v>
      </c>
      <c r="M7834" s="8" t="s">
        <v>44171</v>
      </c>
      <c r="N7834" s="8" t="s">
        <v>243</v>
      </c>
      <c r="O7834" s="8" t="s">
        <v>244</v>
      </c>
      <c r="P7834" s="6" t="s">
        <v>306</v>
      </c>
      <c r="Q7834" s="8" t="s">
        <v>265</v>
      </c>
      <c r="R7834" s="10" t="s">
        <v>44172</v>
      </c>
      <c r="S7834" s="11"/>
      <c r="T7834" s="6"/>
      <c r="U7834" s="15" t="str">
        <f>HYPERLINK("https://media.infra-m.ru/2112/2112889/cover/2112889.jpg", "Обложка")</f>
        <v>Обложка</v>
      </c>
      <c r="V7834" s="8" t="s">
        <v>54</v>
      </c>
      <c r="W7834" s="6"/>
      <c r="X7834" s="6" t="s">
        <v>24</v>
      </c>
      <c r="Y7834" s="6"/>
      <c r="Z7834" s="6"/>
      <c r="AA7834" s="6" t="s">
        <v>99</v>
      </c>
      <c r="AB7834" s="8"/>
      <c r="AC7834" s="27">
        <v>9785906818546</v>
      </c>
    </row>
    <row r="7835" spans="1:29" s="4" customFormat="1" ht="51.9" customHeight="1" x14ac:dyDescent="0.2">
      <c r="A7835" s="5">
        <v>0</v>
      </c>
      <c r="B7835" s="6" t="s">
        <v>44173</v>
      </c>
      <c r="C7835" s="7">
        <v>2632.8</v>
      </c>
      <c r="D7835" s="8" t="s">
        <v>44174</v>
      </c>
      <c r="E7835" s="8" t="s">
        <v>44175</v>
      </c>
      <c r="F7835" s="8" t="s">
        <v>44176</v>
      </c>
      <c r="G7835" s="6" t="s">
        <v>60</v>
      </c>
      <c r="H7835" s="6" t="s">
        <v>48</v>
      </c>
      <c r="I7835" s="8" t="s">
        <v>401</v>
      </c>
      <c r="J7835" s="9">
        <v>1</v>
      </c>
      <c r="K7835" s="9">
        <v>608</v>
      </c>
      <c r="L7835" s="9">
        <v>2026</v>
      </c>
      <c r="M7835" s="8" t="s">
        <v>44177</v>
      </c>
      <c r="N7835" s="8" t="s">
        <v>243</v>
      </c>
      <c r="O7835" s="8" t="s">
        <v>244</v>
      </c>
      <c r="P7835" s="6" t="s">
        <v>306</v>
      </c>
      <c r="Q7835" s="8" t="s">
        <v>265</v>
      </c>
      <c r="R7835" s="10" t="s">
        <v>44178</v>
      </c>
      <c r="S7835" s="11" t="s">
        <v>44179</v>
      </c>
      <c r="T7835" s="6"/>
      <c r="U7835" s="15" t="str">
        <f>HYPERLINK("https://media.infra-m.ru/2236/2236070/cover/2236070.jpg", "Обложка")</f>
        <v>Обложка</v>
      </c>
      <c r="V7835" s="8" t="s">
        <v>3413</v>
      </c>
      <c r="W7835" s="6"/>
      <c r="X7835" s="6"/>
      <c r="Y7835" s="6"/>
      <c r="Z7835" s="6"/>
      <c r="AA7835" s="6" t="s">
        <v>15057</v>
      </c>
      <c r="AB7835" s="8"/>
      <c r="AC7835" s="27">
        <v>9785911347635</v>
      </c>
    </row>
    <row r="7836" spans="1:29" s="4" customFormat="1" ht="51.9" customHeight="1" x14ac:dyDescent="0.2">
      <c r="A7836" s="5">
        <v>0</v>
      </c>
      <c r="B7836" s="6" t="s">
        <v>44180</v>
      </c>
      <c r="C7836" s="7">
        <v>1668</v>
      </c>
      <c r="D7836" s="8" t="s">
        <v>44181</v>
      </c>
      <c r="E7836" s="8" t="s">
        <v>44182</v>
      </c>
      <c r="F7836" s="8" t="s">
        <v>44183</v>
      </c>
      <c r="G7836" s="6" t="s">
        <v>118</v>
      </c>
      <c r="H7836" s="6" t="s">
        <v>34</v>
      </c>
      <c r="I7836" s="8" t="s">
        <v>263</v>
      </c>
      <c r="J7836" s="9">
        <v>1</v>
      </c>
      <c r="K7836" s="9">
        <v>260</v>
      </c>
      <c r="L7836" s="9">
        <v>2026</v>
      </c>
      <c r="M7836" s="8" t="s">
        <v>44184</v>
      </c>
      <c r="N7836" s="8" t="s">
        <v>243</v>
      </c>
      <c r="O7836" s="8" t="s">
        <v>244</v>
      </c>
      <c r="P7836" s="6" t="s">
        <v>51</v>
      </c>
      <c r="Q7836" s="8" t="s">
        <v>265</v>
      </c>
      <c r="R7836" s="10" t="s">
        <v>44185</v>
      </c>
      <c r="S7836" s="11" t="s">
        <v>44186</v>
      </c>
      <c r="T7836" s="6"/>
      <c r="U7836" s="15" t="str">
        <f>HYPERLINK("https://media.infra-m.ru/2216/2216887/cover/2216887.jpg", "Обложка")</f>
        <v>Обложка</v>
      </c>
      <c r="V7836" s="8" t="s">
        <v>3428</v>
      </c>
      <c r="W7836" s="6"/>
      <c r="X7836" s="6" t="s">
        <v>24</v>
      </c>
      <c r="Y7836" s="6"/>
      <c r="Z7836" s="6"/>
      <c r="AA7836" s="6" t="s">
        <v>258</v>
      </c>
      <c r="AB7836" s="8"/>
      <c r="AC7836" s="27">
        <v>9785160161402</v>
      </c>
    </row>
    <row r="7837" spans="1:29" s="4" customFormat="1" ht="51.9" customHeight="1" x14ac:dyDescent="0.2">
      <c r="A7837" s="5">
        <v>0</v>
      </c>
      <c r="B7837" s="6" t="s">
        <v>44187</v>
      </c>
      <c r="C7837" s="13">
        <v>984</v>
      </c>
      <c r="D7837" s="8" t="s">
        <v>44188</v>
      </c>
      <c r="E7837" s="8" t="s">
        <v>44166</v>
      </c>
      <c r="F7837" s="8" t="s">
        <v>44189</v>
      </c>
      <c r="G7837" s="6" t="s">
        <v>118</v>
      </c>
      <c r="H7837" s="6" t="s">
        <v>1042</v>
      </c>
      <c r="I7837" s="8" t="s">
        <v>263</v>
      </c>
      <c r="J7837" s="9">
        <v>1</v>
      </c>
      <c r="K7837" s="9">
        <v>256</v>
      </c>
      <c r="L7837" s="9">
        <v>2019</v>
      </c>
      <c r="M7837" s="8" t="s">
        <v>44190</v>
      </c>
      <c r="N7837" s="8" t="s">
        <v>243</v>
      </c>
      <c r="O7837" s="8" t="s">
        <v>244</v>
      </c>
      <c r="P7837" s="6" t="s">
        <v>51</v>
      </c>
      <c r="Q7837" s="8" t="s">
        <v>265</v>
      </c>
      <c r="R7837" s="10" t="s">
        <v>44185</v>
      </c>
      <c r="S7837" s="11" t="s">
        <v>44191</v>
      </c>
      <c r="T7837" s="6"/>
      <c r="U7837" s="15" t="str">
        <f>HYPERLINK("https://media.infra-m.ru/1021/1021128/cover/1021128.jpg", "Обложка")</f>
        <v>Обложка</v>
      </c>
      <c r="V7837" s="8" t="s">
        <v>3428</v>
      </c>
      <c r="W7837" s="6"/>
      <c r="X7837" s="6" t="s">
        <v>24</v>
      </c>
      <c r="Y7837" s="6"/>
      <c r="Z7837" s="6"/>
      <c r="AA7837" s="6" t="s">
        <v>1015</v>
      </c>
      <c r="AB7837" s="8"/>
      <c r="AC7837" s="27">
        <v>9785819907344</v>
      </c>
    </row>
    <row r="7838" spans="1:29" s="4" customFormat="1" ht="51.9" customHeight="1" x14ac:dyDescent="0.2">
      <c r="A7838" s="5">
        <v>0</v>
      </c>
      <c r="B7838" s="6" t="s">
        <v>44192</v>
      </c>
      <c r="C7838" s="13">
        <v>664.8</v>
      </c>
      <c r="D7838" s="8" t="s">
        <v>44193</v>
      </c>
      <c r="E7838" s="8" t="s">
        <v>44194</v>
      </c>
      <c r="F7838" s="8" t="s">
        <v>44195</v>
      </c>
      <c r="G7838" s="6" t="s">
        <v>33</v>
      </c>
      <c r="H7838" s="6" t="s">
        <v>34</v>
      </c>
      <c r="I7838" s="8" t="s">
        <v>2171</v>
      </c>
      <c r="J7838" s="9">
        <v>1</v>
      </c>
      <c r="K7838" s="9">
        <v>51</v>
      </c>
      <c r="L7838" s="9">
        <v>2026</v>
      </c>
      <c r="M7838" s="8" t="s">
        <v>44196</v>
      </c>
      <c r="N7838" s="8" t="s">
        <v>243</v>
      </c>
      <c r="O7838" s="8" t="s">
        <v>964</v>
      </c>
      <c r="P7838" s="6" t="s">
        <v>105</v>
      </c>
      <c r="Q7838" s="8" t="s">
        <v>65</v>
      </c>
      <c r="R7838" s="10" t="s">
        <v>44197</v>
      </c>
      <c r="S7838" s="11"/>
      <c r="T7838" s="6"/>
      <c r="U7838" s="15" t="str">
        <f>HYPERLINK("https://media.infra-m.ru/2239/2239918/cover/2239918.jpg", "Обложка")</f>
        <v>Обложка</v>
      </c>
      <c r="V7838" s="8" t="s">
        <v>2175</v>
      </c>
      <c r="W7838" s="6"/>
      <c r="X7838" s="6"/>
      <c r="Y7838" s="6"/>
      <c r="Z7838" s="6"/>
      <c r="AA7838" s="6" t="s">
        <v>115</v>
      </c>
      <c r="AB7838" s="8"/>
      <c r="AC7838" s="27">
        <v>9785160154220</v>
      </c>
    </row>
    <row r="7839" spans="1:29" s="4" customFormat="1" ht="51.9" customHeight="1" x14ac:dyDescent="0.2">
      <c r="A7839" s="5">
        <v>0</v>
      </c>
      <c r="B7839" s="6" t="s">
        <v>44198</v>
      </c>
      <c r="C7839" s="13">
        <v>504</v>
      </c>
      <c r="D7839" s="8" t="s">
        <v>44199</v>
      </c>
      <c r="E7839" s="8" t="s">
        <v>44200</v>
      </c>
      <c r="F7839" s="8" t="s">
        <v>44201</v>
      </c>
      <c r="G7839" s="6" t="s">
        <v>33</v>
      </c>
      <c r="H7839" s="6" t="s">
        <v>34</v>
      </c>
      <c r="I7839" s="8" t="s">
        <v>2171</v>
      </c>
      <c r="J7839" s="9">
        <v>1</v>
      </c>
      <c r="K7839" s="9">
        <v>50</v>
      </c>
      <c r="L7839" s="9">
        <v>2023</v>
      </c>
      <c r="M7839" s="8" t="s">
        <v>44202</v>
      </c>
      <c r="N7839" s="8" t="s">
        <v>243</v>
      </c>
      <c r="O7839" s="8" t="s">
        <v>964</v>
      </c>
      <c r="P7839" s="6" t="s">
        <v>105</v>
      </c>
      <c r="Q7839" s="8" t="s">
        <v>65</v>
      </c>
      <c r="R7839" s="10" t="s">
        <v>44203</v>
      </c>
      <c r="S7839" s="11"/>
      <c r="T7839" s="6"/>
      <c r="U7839" s="15" t="str">
        <f>HYPERLINK("https://media.infra-m.ru/1976/1976132/cover/1976132.jpg", "Обложка")</f>
        <v>Обложка</v>
      </c>
      <c r="V7839" s="8" t="s">
        <v>2175</v>
      </c>
      <c r="W7839" s="6"/>
      <c r="X7839" s="6"/>
      <c r="Y7839" s="6"/>
      <c r="Z7839" s="6"/>
      <c r="AA7839" s="6" t="s">
        <v>115</v>
      </c>
      <c r="AB7839" s="8"/>
      <c r="AC7839" s="27">
        <v>9785160154732</v>
      </c>
    </row>
    <row r="7840" spans="1:29" s="4" customFormat="1" ht="51.9" customHeight="1" x14ac:dyDescent="0.2">
      <c r="A7840" s="5">
        <v>0</v>
      </c>
      <c r="B7840" s="6" t="s">
        <v>44204</v>
      </c>
      <c r="C7840" s="7">
        <v>1252.8</v>
      </c>
      <c r="D7840" s="8" t="s">
        <v>44205</v>
      </c>
      <c r="E7840" s="8" t="s">
        <v>44206</v>
      </c>
      <c r="F7840" s="8" t="s">
        <v>44207</v>
      </c>
      <c r="G7840" s="6" t="s">
        <v>60</v>
      </c>
      <c r="H7840" s="6" t="s">
        <v>5605</v>
      </c>
      <c r="I7840" s="8" t="s">
        <v>253</v>
      </c>
      <c r="J7840" s="9">
        <v>1</v>
      </c>
      <c r="K7840" s="9">
        <v>200</v>
      </c>
      <c r="L7840" s="9">
        <v>2025</v>
      </c>
      <c r="M7840" s="8" t="s">
        <v>44208</v>
      </c>
      <c r="N7840" s="8" t="s">
        <v>37</v>
      </c>
      <c r="O7840" s="8" t="s">
        <v>280</v>
      </c>
      <c r="P7840" s="6" t="s">
        <v>306</v>
      </c>
      <c r="Q7840" s="8" t="s">
        <v>52</v>
      </c>
      <c r="R7840" s="10" t="s">
        <v>44209</v>
      </c>
      <c r="S7840" s="11" t="s">
        <v>44210</v>
      </c>
      <c r="T7840" s="6"/>
      <c r="U7840" s="15" t="str">
        <f>HYPERLINK("https://media.infra-m.ru/2193/2193168/cover/2193168.jpg", "Обложка")</f>
        <v>Обложка</v>
      </c>
      <c r="V7840" s="8" t="s">
        <v>1505</v>
      </c>
      <c r="W7840" s="6"/>
      <c r="X7840" s="6" t="s">
        <v>24</v>
      </c>
      <c r="Y7840" s="6"/>
      <c r="Z7840" s="6"/>
      <c r="AA7840" s="6" t="s">
        <v>1015</v>
      </c>
      <c r="AB7840" s="8"/>
      <c r="AC7840" s="27">
        <v>9785160036205</v>
      </c>
    </row>
    <row r="7841" spans="1:29" s="4" customFormat="1" ht="42" customHeight="1" x14ac:dyDescent="0.2">
      <c r="A7841" s="5">
        <v>0</v>
      </c>
      <c r="B7841" s="6" t="s">
        <v>44211</v>
      </c>
      <c r="C7841" s="13">
        <v>840</v>
      </c>
      <c r="D7841" s="8" t="s">
        <v>44212</v>
      </c>
      <c r="E7841" s="8" t="s">
        <v>44213</v>
      </c>
      <c r="F7841" s="8" t="s">
        <v>37841</v>
      </c>
      <c r="G7841" s="6" t="s">
        <v>33</v>
      </c>
      <c r="H7841" s="6" t="s">
        <v>34</v>
      </c>
      <c r="I7841" s="8" t="s">
        <v>253</v>
      </c>
      <c r="J7841" s="9">
        <v>1</v>
      </c>
      <c r="K7841" s="9">
        <v>101</v>
      </c>
      <c r="L7841" s="9">
        <v>2026</v>
      </c>
      <c r="M7841" s="8" t="s">
        <v>44214</v>
      </c>
      <c r="N7841" s="8" t="s">
        <v>37</v>
      </c>
      <c r="O7841" s="8" t="s">
        <v>233</v>
      </c>
      <c r="P7841" s="6" t="s">
        <v>51</v>
      </c>
      <c r="Q7841" s="8" t="s">
        <v>500</v>
      </c>
      <c r="R7841" s="10" t="s">
        <v>2228</v>
      </c>
      <c r="S7841" s="11"/>
      <c r="T7841" s="6"/>
      <c r="U7841" s="15" t="str">
        <f>HYPERLINK("https://media.infra-m.ru/2213/2213665/cover/2213665.jpg", "Обложка")</f>
        <v>Обложка</v>
      </c>
      <c r="V7841" s="8" t="s">
        <v>247</v>
      </c>
      <c r="W7841" s="6"/>
      <c r="X7841" s="6"/>
      <c r="Y7841" s="6"/>
      <c r="Z7841" s="6"/>
      <c r="AA7841" s="6" t="s">
        <v>86</v>
      </c>
      <c r="AB7841" s="8"/>
      <c r="AC7841" s="27">
        <v>9785160211169</v>
      </c>
    </row>
    <row r="7842" spans="1:29" s="4" customFormat="1" ht="51.9" customHeight="1" x14ac:dyDescent="0.2">
      <c r="A7842" s="5">
        <v>0</v>
      </c>
      <c r="B7842" s="6" t="s">
        <v>44215</v>
      </c>
      <c r="C7842" s="7">
        <v>1756.8</v>
      </c>
      <c r="D7842" s="8" t="s">
        <v>44216</v>
      </c>
      <c r="E7842" s="8" t="s">
        <v>44217</v>
      </c>
      <c r="F7842" s="8" t="s">
        <v>44218</v>
      </c>
      <c r="G7842" s="6" t="s">
        <v>33</v>
      </c>
      <c r="H7842" s="6" t="s">
        <v>34</v>
      </c>
      <c r="I7842" s="8" t="s">
        <v>271</v>
      </c>
      <c r="J7842" s="9">
        <v>1</v>
      </c>
      <c r="K7842" s="9">
        <v>282</v>
      </c>
      <c r="L7842" s="9">
        <v>2025</v>
      </c>
      <c r="M7842" s="8" t="s">
        <v>44219</v>
      </c>
      <c r="N7842" s="8" t="s">
        <v>243</v>
      </c>
      <c r="O7842" s="8" t="s">
        <v>964</v>
      </c>
      <c r="P7842" s="6" t="s">
        <v>51</v>
      </c>
      <c r="Q7842" s="8" t="s">
        <v>52</v>
      </c>
      <c r="R7842" s="10" t="s">
        <v>12387</v>
      </c>
      <c r="S7842" s="11" t="s">
        <v>44220</v>
      </c>
      <c r="T7842" s="6"/>
      <c r="U7842" s="15" t="str">
        <f>HYPERLINK("https://media.infra-m.ru/2196/2196864/cover/2196864.jpg", "Обложка")</f>
        <v>Обложка</v>
      </c>
      <c r="V7842" s="8" t="s">
        <v>4368</v>
      </c>
      <c r="W7842" s="6"/>
      <c r="X7842" s="6"/>
      <c r="Y7842" s="6"/>
      <c r="Z7842" s="6"/>
      <c r="AA7842" s="6" t="s">
        <v>1047</v>
      </c>
      <c r="AB7842" s="8"/>
      <c r="AC7842" s="27">
        <v>9785160111353</v>
      </c>
    </row>
    <row r="7843" spans="1:29" s="4" customFormat="1" ht="51.9" customHeight="1" x14ac:dyDescent="0.2">
      <c r="A7843" s="5">
        <v>0</v>
      </c>
      <c r="B7843" s="6" t="s">
        <v>44221</v>
      </c>
      <c r="C7843" s="7">
        <v>1600.8</v>
      </c>
      <c r="D7843" s="8" t="s">
        <v>44222</v>
      </c>
      <c r="E7843" s="8" t="s">
        <v>44217</v>
      </c>
      <c r="F7843" s="8" t="s">
        <v>44218</v>
      </c>
      <c r="G7843" s="6" t="s">
        <v>60</v>
      </c>
      <c r="H7843" s="6" t="s">
        <v>34</v>
      </c>
      <c r="I7843" s="8" t="s">
        <v>263</v>
      </c>
      <c r="J7843" s="9">
        <v>1</v>
      </c>
      <c r="K7843" s="9">
        <v>282</v>
      </c>
      <c r="L7843" s="9">
        <v>2024</v>
      </c>
      <c r="M7843" s="8" t="s">
        <v>44223</v>
      </c>
      <c r="N7843" s="8" t="s">
        <v>243</v>
      </c>
      <c r="O7843" s="8" t="s">
        <v>964</v>
      </c>
      <c r="P7843" s="6" t="s">
        <v>51</v>
      </c>
      <c r="Q7843" s="8" t="s">
        <v>265</v>
      </c>
      <c r="R7843" s="10" t="s">
        <v>44224</v>
      </c>
      <c r="S7843" s="11" t="s">
        <v>44225</v>
      </c>
      <c r="T7843" s="6"/>
      <c r="U7843" s="15" t="str">
        <f>HYPERLINK("https://media.infra-m.ru/2152/2152112/cover/2152112.jpg", "Обложка")</f>
        <v>Обложка</v>
      </c>
      <c r="V7843" s="8" t="s">
        <v>4368</v>
      </c>
      <c r="W7843" s="6"/>
      <c r="X7843" s="6"/>
      <c r="Y7843" s="6"/>
      <c r="Z7843" s="6" t="s">
        <v>267</v>
      </c>
      <c r="AA7843" s="6" t="s">
        <v>115</v>
      </c>
      <c r="AB7843" s="8"/>
      <c r="AC7843" s="27">
        <v>9785160149196</v>
      </c>
    </row>
    <row r="7844" spans="1:29" s="4" customFormat="1" ht="51.9" customHeight="1" x14ac:dyDescent="0.2">
      <c r="A7844" s="5">
        <v>0</v>
      </c>
      <c r="B7844" s="6" t="s">
        <v>44226</v>
      </c>
      <c r="C7844" s="7">
        <v>2632.8</v>
      </c>
      <c r="D7844" s="8" t="s">
        <v>44227</v>
      </c>
      <c r="E7844" s="8" t="s">
        <v>44228</v>
      </c>
      <c r="F7844" s="8" t="s">
        <v>44229</v>
      </c>
      <c r="G7844" s="6" t="s">
        <v>118</v>
      </c>
      <c r="H7844" s="6" t="s">
        <v>34</v>
      </c>
      <c r="I7844" s="8" t="s">
        <v>263</v>
      </c>
      <c r="J7844" s="9">
        <v>1</v>
      </c>
      <c r="K7844" s="9">
        <v>400</v>
      </c>
      <c r="L7844" s="9">
        <v>2026</v>
      </c>
      <c r="M7844" s="8" t="s">
        <v>44230</v>
      </c>
      <c r="N7844" s="8" t="s">
        <v>243</v>
      </c>
      <c r="O7844" s="8" t="s">
        <v>798</v>
      </c>
      <c r="P7844" s="6" t="s">
        <v>306</v>
      </c>
      <c r="Q7844" s="8" t="s">
        <v>265</v>
      </c>
      <c r="R7844" s="10" t="s">
        <v>44231</v>
      </c>
      <c r="S7844" s="11" t="s">
        <v>44078</v>
      </c>
      <c r="T7844" s="6"/>
      <c r="U7844" s="15" t="str">
        <f>HYPERLINK("https://media.infra-m.ru/2232/2232346/cover/2232346.jpg", "Обложка")</f>
        <v>Обложка</v>
      </c>
      <c r="V7844" s="8" t="s">
        <v>227</v>
      </c>
      <c r="W7844" s="6"/>
      <c r="X7844" s="6"/>
      <c r="Y7844" s="6"/>
      <c r="Z7844" s="6"/>
      <c r="AA7844" s="6" t="s">
        <v>561</v>
      </c>
      <c r="AB7844" s="8"/>
      <c r="AC7844" s="27">
        <v>9785160034348</v>
      </c>
    </row>
    <row r="7845" spans="1:29" s="4" customFormat="1" ht="51.9" customHeight="1" x14ac:dyDescent="0.2">
      <c r="A7845" s="5">
        <v>0</v>
      </c>
      <c r="B7845" s="6" t="s">
        <v>44232</v>
      </c>
      <c r="C7845" s="7">
        <v>1372.8</v>
      </c>
      <c r="D7845" s="8" t="s">
        <v>44233</v>
      </c>
      <c r="E7845" s="8" t="s">
        <v>44234</v>
      </c>
      <c r="F7845" s="8" t="s">
        <v>30190</v>
      </c>
      <c r="G7845" s="6" t="s">
        <v>118</v>
      </c>
      <c r="H7845" s="6" t="s">
        <v>1042</v>
      </c>
      <c r="I7845" s="8" t="s">
        <v>263</v>
      </c>
      <c r="J7845" s="9">
        <v>1</v>
      </c>
      <c r="K7845" s="9">
        <v>208</v>
      </c>
      <c r="L7845" s="9">
        <v>2026</v>
      </c>
      <c r="M7845" s="8" t="s">
        <v>44235</v>
      </c>
      <c r="N7845" s="8" t="s">
        <v>243</v>
      </c>
      <c r="O7845" s="8" t="s">
        <v>964</v>
      </c>
      <c r="P7845" s="6" t="s">
        <v>51</v>
      </c>
      <c r="Q7845" s="8" t="s">
        <v>265</v>
      </c>
      <c r="R7845" s="10" t="s">
        <v>9637</v>
      </c>
      <c r="S7845" s="11" t="s">
        <v>44236</v>
      </c>
      <c r="T7845" s="6"/>
      <c r="U7845" s="15" t="str">
        <f>HYPERLINK("https://media.infra-m.ru/2215/2215740/cover/2215740.jpg", "Обложка")</f>
        <v>Обложка</v>
      </c>
      <c r="V7845" s="8" t="s">
        <v>1046</v>
      </c>
      <c r="W7845" s="6"/>
      <c r="X7845" s="6"/>
      <c r="Y7845" s="6"/>
      <c r="Z7845" s="6"/>
      <c r="AA7845" s="6" t="s">
        <v>1506</v>
      </c>
      <c r="AB7845" s="8"/>
      <c r="AC7845" s="27">
        <v>9785819907580</v>
      </c>
    </row>
    <row r="7846" spans="1:29" s="4" customFormat="1" ht="51.9" customHeight="1" x14ac:dyDescent="0.2">
      <c r="A7846" s="5">
        <v>0</v>
      </c>
      <c r="B7846" s="6" t="s">
        <v>44237</v>
      </c>
      <c r="C7846" s="7">
        <v>1692</v>
      </c>
      <c r="D7846" s="8" t="s">
        <v>44238</v>
      </c>
      <c r="E7846" s="8" t="s">
        <v>44239</v>
      </c>
      <c r="F7846" s="8" t="s">
        <v>30190</v>
      </c>
      <c r="G7846" s="6" t="s">
        <v>118</v>
      </c>
      <c r="H7846" s="6" t="s">
        <v>34</v>
      </c>
      <c r="I7846" s="8" t="s">
        <v>263</v>
      </c>
      <c r="J7846" s="9">
        <v>1</v>
      </c>
      <c r="K7846" s="9">
        <v>256</v>
      </c>
      <c r="L7846" s="9">
        <v>2026</v>
      </c>
      <c r="M7846" s="8" t="s">
        <v>44240</v>
      </c>
      <c r="N7846" s="8" t="s">
        <v>243</v>
      </c>
      <c r="O7846" s="8" t="s">
        <v>964</v>
      </c>
      <c r="P7846" s="6" t="s">
        <v>51</v>
      </c>
      <c r="Q7846" s="8" t="s">
        <v>265</v>
      </c>
      <c r="R7846" s="10" t="s">
        <v>44241</v>
      </c>
      <c r="S7846" s="11" t="s">
        <v>44236</v>
      </c>
      <c r="T7846" s="6"/>
      <c r="U7846" s="15" t="str">
        <f>HYPERLINK("https://media.infra-m.ru/2216/2216892/cover/2216892.jpg", "Обложка")</f>
        <v>Обложка</v>
      </c>
      <c r="V7846" s="8" t="s">
        <v>1046</v>
      </c>
      <c r="W7846" s="6"/>
      <c r="X7846" s="6"/>
      <c r="Y7846" s="6"/>
      <c r="Z7846" s="6"/>
      <c r="AA7846" s="6" t="s">
        <v>4554</v>
      </c>
      <c r="AB7846" s="8"/>
      <c r="AC7846" s="27">
        <v>9785160211978</v>
      </c>
    </row>
    <row r="7847" spans="1:29" s="4" customFormat="1" ht="51.9" customHeight="1" x14ac:dyDescent="0.2">
      <c r="A7847" s="5">
        <v>0</v>
      </c>
      <c r="B7847" s="6" t="s">
        <v>44242</v>
      </c>
      <c r="C7847" s="7">
        <v>1236</v>
      </c>
      <c r="D7847" s="8" t="s">
        <v>44243</v>
      </c>
      <c r="E7847" s="8" t="s">
        <v>44244</v>
      </c>
      <c r="F7847" s="8" t="s">
        <v>1041</v>
      </c>
      <c r="G7847" s="6" t="s">
        <v>118</v>
      </c>
      <c r="H7847" s="6" t="s">
        <v>34</v>
      </c>
      <c r="I7847" s="8" t="s">
        <v>263</v>
      </c>
      <c r="J7847" s="9">
        <v>1</v>
      </c>
      <c r="K7847" s="9">
        <v>192</v>
      </c>
      <c r="L7847" s="9">
        <v>2026</v>
      </c>
      <c r="M7847" s="8" t="s">
        <v>44245</v>
      </c>
      <c r="N7847" s="8" t="s">
        <v>243</v>
      </c>
      <c r="O7847" s="8" t="s">
        <v>964</v>
      </c>
      <c r="P7847" s="6" t="s">
        <v>51</v>
      </c>
      <c r="Q7847" s="8" t="s">
        <v>265</v>
      </c>
      <c r="R7847" s="10" t="s">
        <v>9644</v>
      </c>
      <c r="S7847" s="11" t="s">
        <v>9638</v>
      </c>
      <c r="T7847" s="6"/>
      <c r="U7847" s="15" t="str">
        <f>HYPERLINK("https://media.infra-m.ru/2187/2187650/cover/2187650.jpg", "Обложка")</f>
        <v>Обложка</v>
      </c>
      <c r="V7847" s="8" t="s">
        <v>1046</v>
      </c>
      <c r="W7847" s="6"/>
      <c r="X7847" s="6" t="s">
        <v>24</v>
      </c>
      <c r="Y7847" s="6"/>
      <c r="Z7847" s="6"/>
      <c r="AA7847" s="6" t="s">
        <v>949</v>
      </c>
      <c r="AB7847" s="8"/>
      <c r="AC7847" s="27">
        <v>9785160211671</v>
      </c>
    </row>
    <row r="7848" spans="1:29" s="4" customFormat="1" ht="51.9" customHeight="1" x14ac:dyDescent="0.2">
      <c r="A7848" s="5">
        <v>0</v>
      </c>
      <c r="B7848" s="6" t="s">
        <v>44246</v>
      </c>
      <c r="C7848" s="7">
        <v>4392</v>
      </c>
      <c r="D7848" s="8" t="s">
        <v>44247</v>
      </c>
      <c r="E7848" s="8" t="s">
        <v>44248</v>
      </c>
      <c r="F7848" s="8" t="s">
        <v>44249</v>
      </c>
      <c r="G7848" s="6" t="s">
        <v>33</v>
      </c>
      <c r="H7848" s="6" t="s">
        <v>34</v>
      </c>
      <c r="I7848" s="8" t="s">
        <v>263</v>
      </c>
      <c r="J7848" s="9">
        <v>1</v>
      </c>
      <c r="K7848" s="9">
        <v>349</v>
      </c>
      <c r="L7848" s="9">
        <v>2026</v>
      </c>
      <c r="M7848" s="8" t="s">
        <v>44250</v>
      </c>
      <c r="N7848" s="8" t="s">
        <v>243</v>
      </c>
      <c r="O7848" s="8" t="s">
        <v>964</v>
      </c>
      <c r="P7848" s="6" t="s">
        <v>51</v>
      </c>
      <c r="Q7848" s="8" t="s">
        <v>265</v>
      </c>
      <c r="R7848" s="10" t="s">
        <v>44251</v>
      </c>
      <c r="S7848" s="11" t="s">
        <v>9638</v>
      </c>
      <c r="T7848" s="6"/>
      <c r="U7848" s="15" t="str">
        <f>HYPERLINK("https://media.infra-m.ru/2212/2212382/cover/2212382.jpg", "Обложка")</f>
        <v>Обложка</v>
      </c>
      <c r="V7848" s="8" t="s">
        <v>4368</v>
      </c>
      <c r="W7848" s="6"/>
      <c r="X7848" s="6" t="s">
        <v>24</v>
      </c>
      <c r="Y7848" s="6"/>
      <c r="Z7848" s="6"/>
      <c r="AA7848" s="6" t="s">
        <v>1056</v>
      </c>
      <c r="AB7848" s="8"/>
      <c r="AC7848" s="27">
        <v>9785160211985</v>
      </c>
    </row>
    <row r="7849" spans="1:29" s="4" customFormat="1" ht="44.1" customHeight="1" x14ac:dyDescent="0.2">
      <c r="A7849" s="5">
        <v>0</v>
      </c>
      <c r="B7849" s="6" t="s">
        <v>44252</v>
      </c>
      <c r="C7849" s="7">
        <v>1156.8</v>
      </c>
      <c r="D7849" s="8" t="s">
        <v>44253</v>
      </c>
      <c r="E7849" s="8" t="s">
        <v>44254</v>
      </c>
      <c r="F7849" s="8" t="s">
        <v>44255</v>
      </c>
      <c r="G7849" s="6" t="s">
        <v>60</v>
      </c>
      <c r="H7849" s="6" t="s">
        <v>5605</v>
      </c>
      <c r="I7849" s="8" t="s">
        <v>44256</v>
      </c>
      <c r="J7849" s="9">
        <v>1</v>
      </c>
      <c r="K7849" s="9">
        <v>128</v>
      </c>
      <c r="L7849" s="9">
        <v>2027</v>
      </c>
      <c r="M7849" s="8" t="s">
        <v>44257</v>
      </c>
      <c r="N7849" s="8" t="s">
        <v>37</v>
      </c>
      <c r="O7849" s="8" t="s">
        <v>280</v>
      </c>
      <c r="P7849" s="6" t="s">
        <v>51</v>
      </c>
      <c r="Q7849" s="8" t="s">
        <v>65</v>
      </c>
      <c r="R7849" s="10" t="s">
        <v>44258</v>
      </c>
      <c r="S7849" s="11"/>
      <c r="T7849" s="6"/>
      <c r="U7849" s="15" t="str">
        <f>HYPERLINK("https://media.infra-m.ru/2268/2268349/cover/2268349.jpg", "Обложка")</f>
        <v>Обложка</v>
      </c>
      <c r="V7849" s="8" t="s">
        <v>19637</v>
      </c>
      <c r="W7849" s="6"/>
      <c r="X7849" s="6"/>
      <c r="Y7849" s="6"/>
      <c r="Z7849" s="6"/>
      <c r="AA7849" s="6" t="s">
        <v>1015</v>
      </c>
      <c r="AB7849" s="8"/>
      <c r="AC7849" s="27">
        <v>9785160040394</v>
      </c>
    </row>
    <row r="7850" spans="1:29" s="4" customFormat="1" ht="51.9" customHeight="1" x14ac:dyDescent="0.2">
      <c r="A7850" s="5">
        <v>0</v>
      </c>
      <c r="B7850" s="6" t="s">
        <v>44259</v>
      </c>
      <c r="C7850" s="7">
        <v>2860.8</v>
      </c>
      <c r="D7850" s="8" t="s">
        <v>44260</v>
      </c>
      <c r="E7850" s="8" t="s">
        <v>44239</v>
      </c>
      <c r="F7850" s="8" t="s">
        <v>30190</v>
      </c>
      <c r="G7850" s="6" t="s">
        <v>118</v>
      </c>
      <c r="H7850" s="6" t="s">
        <v>1042</v>
      </c>
      <c r="I7850" s="8" t="s">
        <v>263</v>
      </c>
      <c r="J7850" s="9">
        <v>1</v>
      </c>
      <c r="K7850" s="9">
        <v>432</v>
      </c>
      <c r="L7850" s="9">
        <v>2026</v>
      </c>
      <c r="M7850" s="8" t="s">
        <v>44261</v>
      </c>
      <c r="N7850" s="8" t="s">
        <v>243</v>
      </c>
      <c r="O7850" s="8" t="s">
        <v>964</v>
      </c>
      <c r="P7850" s="6" t="s">
        <v>51</v>
      </c>
      <c r="Q7850" s="8" t="s">
        <v>265</v>
      </c>
      <c r="R7850" s="10" t="s">
        <v>44262</v>
      </c>
      <c r="S7850" s="11" t="s">
        <v>44263</v>
      </c>
      <c r="T7850" s="6"/>
      <c r="U7850" s="15" t="str">
        <f>HYPERLINK("https://media.infra-m.ru/2216/2216895/cover/2216895.jpg", "Обложка")</f>
        <v>Обложка</v>
      </c>
      <c r="V7850" s="8" t="s">
        <v>1046</v>
      </c>
      <c r="W7850" s="6"/>
      <c r="X7850" s="6"/>
      <c r="Y7850" s="6"/>
      <c r="Z7850" s="6"/>
      <c r="AA7850" s="6" t="s">
        <v>4554</v>
      </c>
      <c r="AB7850" s="8"/>
      <c r="AC7850" s="27">
        <v>9785819906903</v>
      </c>
    </row>
    <row r="7851" spans="1:29" s="4" customFormat="1" ht="51.9" customHeight="1" x14ac:dyDescent="0.2">
      <c r="A7851" s="5">
        <v>0</v>
      </c>
      <c r="B7851" s="6" t="s">
        <v>44264</v>
      </c>
      <c r="C7851" s="7">
        <v>1464</v>
      </c>
      <c r="D7851" s="8" t="s">
        <v>44265</v>
      </c>
      <c r="E7851" s="8" t="s">
        <v>44266</v>
      </c>
      <c r="F7851" s="8" t="s">
        <v>44267</v>
      </c>
      <c r="G7851" s="6" t="s">
        <v>60</v>
      </c>
      <c r="H7851" s="6" t="s">
        <v>34</v>
      </c>
      <c r="I7851" s="8" t="s">
        <v>35</v>
      </c>
      <c r="J7851" s="9">
        <v>1</v>
      </c>
      <c r="K7851" s="9">
        <v>211</v>
      </c>
      <c r="L7851" s="9">
        <v>2026</v>
      </c>
      <c r="M7851" s="8" t="s">
        <v>44268</v>
      </c>
      <c r="N7851" s="8" t="s">
        <v>37</v>
      </c>
      <c r="O7851" s="8" t="s">
        <v>136</v>
      </c>
      <c r="P7851" s="6" t="s">
        <v>39</v>
      </c>
      <c r="Q7851" s="8" t="s">
        <v>40</v>
      </c>
      <c r="R7851" s="10" t="s">
        <v>44269</v>
      </c>
      <c r="S7851" s="11"/>
      <c r="T7851" s="6"/>
      <c r="U7851" s="15" t="str">
        <f>HYPERLINK("https://media.infra-m.ru/2227/2227078/cover/2227078.jpg", "Обложка")</f>
        <v>Обложка</v>
      </c>
      <c r="V7851" s="8" t="s">
        <v>657</v>
      </c>
      <c r="W7851" s="6" t="s">
        <v>351</v>
      </c>
      <c r="X7851" s="6"/>
      <c r="Y7851" s="6"/>
      <c r="Z7851" s="6"/>
      <c r="AA7851" s="6" t="s">
        <v>187</v>
      </c>
      <c r="AB7851" s="8" t="s">
        <v>308</v>
      </c>
      <c r="AC7851" s="27">
        <v>9785160214894</v>
      </c>
    </row>
    <row r="7852" spans="1:29" s="4" customFormat="1" ht="42" customHeight="1" x14ac:dyDescent="0.2">
      <c r="A7852" s="5">
        <v>0</v>
      </c>
      <c r="B7852" s="6" t="s">
        <v>44270</v>
      </c>
      <c r="C7852" s="7">
        <v>1416</v>
      </c>
      <c r="D7852" s="8" t="s">
        <v>44271</v>
      </c>
      <c r="E7852" s="8" t="s">
        <v>44272</v>
      </c>
      <c r="F7852" s="8" t="s">
        <v>44273</v>
      </c>
      <c r="G7852" s="6" t="s">
        <v>118</v>
      </c>
      <c r="H7852" s="6" t="s">
        <v>134</v>
      </c>
      <c r="I7852" s="8"/>
      <c r="J7852" s="9">
        <v>1</v>
      </c>
      <c r="K7852" s="9">
        <v>216</v>
      </c>
      <c r="L7852" s="9">
        <v>2025</v>
      </c>
      <c r="M7852" s="8" t="s">
        <v>44274</v>
      </c>
      <c r="N7852" s="8" t="s">
        <v>37</v>
      </c>
      <c r="O7852" s="8" t="s">
        <v>280</v>
      </c>
      <c r="P7852" s="6" t="s">
        <v>3141</v>
      </c>
      <c r="Q7852" s="8" t="s">
        <v>40</v>
      </c>
      <c r="R7852" s="10" t="s">
        <v>44275</v>
      </c>
      <c r="S7852" s="11"/>
      <c r="T7852" s="6"/>
      <c r="U7852" s="15" t="str">
        <f>HYPERLINK("https://media.infra-m.ru/2170/2170052/cover/2170052.jpg", "Обложка")</f>
        <v>Обложка</v>
      </c>
      <c r="V7852" s="8"/>
      <c r="W7852" s="6"/>
      <c r="X7852" s="6"/>
      <c r="Y7852" s="6"/>
      <c r="Z7852" s="6"/>
      <c r="AA7852" s="6" t="s">
        <v>157</v>
      </c>
      <c r="AB7852" s="8"/>
      <c r="AC7852" s="27">
        <v>9785001562320</v>
      </c>
    </row>
    <row r="7853" spans="1:29" s="4" customFormat="1" ht="51.9" customHeight="1" x14ac:dyDescent="0.2">
      <c r="A7853" s="5">
        <v>0</v>
      </c>
      <c r="B7853" s="6" t="s">
        <v>44276</v>
      </c>
      <c r="C7853" s="7">
        <v>1152</v>
      </c>
      <c r="D7853" s="8" t="s">
        <v>44277</v>
      </c>
      <c r="E7853" s="8" t="s">
        <v>44278</v>
      </c>
      <c r="F7853" s="8" t="s">
        <v>44279</v>
      </c>
      <c r="G7853" s="6" t="s">
        <v>118</v>
      </c>
      <c r="H7853" s="6" t="s">
        <v>34</v>
      </c>
      <c r="I7853" s="8" t="s">
        <v>253</v>
      </c>
      <c r="J7853" s="9">
        <v>1</v>
      </c>
      <c r="K7853" s="9">
        <v>198</v>
      </c>
      <c r="L7853" s="9">
        <v>2024</v>
      </c>
      <c r="M7853" s="8" t="s">
        <v>44280</v>
      </c>
      <c r="N7853" s="8" t="s">
        <v>585</v>
      </c>
      <c r="O7853" s="8" t="s">
        <v>775</v>
      </c>
      <c r="P7853" s="6" t="s">
        <v>51</v>
      </c>
      <c r="Q7853" s="8" t="s">
        <v>65</v>
      </c>
      <c r="R7853" s="10" t="s">
        <v>22475</v>
      </c>
      <c r="S7853" s="11" t="s">
        <v>44281</v>
      </c>
      <c r="T7853" s="6"/>
      <c r="U7853" s="15" t="str">
        <f>HYPERLINK("https://media.infra-m.ru/2048/2048059/cover/2048059.jpg", "Обложка")</f>
        <v>Обложка</v>
      </c>
      <c r="V7853" s="8" t="s">
        <v>6224</v>
      </c>
      <c r="W7853" s="6"/>
      <c r="X7853" s="6"/>
      <c r="Y7853" s="6"/>
      <c r="Z7853" s="6"/>
      <c r="AA7853" s="6" t="s">
        <v>874</v>
      </c>
      <c r="AB7853" s="8"/>
      <c r="AC7853" s="27">
        <v>9785160190648</v>
      </c>
    </row>
    <row r="7854" spans="1:29" s="4" customFormat="1" ht="42" customHeight="1" x14ac:dyDescent="0.2">
      <c r="A7854" s="5">
        <v>0</v>
      </c>
      <c r="B7854" s="6" t="s">
        <v>44282</v>
      </c>
      <c r="C7854" s="7">
        <v>2117.9</v>
      </c>
      <c r="D7854" s="8" t="s">
        <v>44283</v>
      </c>
      <c r="E7854" s="8" t="s">
        <v>44284</v>
      </c>
      <c r="F7854" s="8" t="s">
        <v>44285</v>
      </c>
      <c r="G7854" s="6" t="s">
        <v>60</v>
      </c>
      <c r="H7854" s="6" t="s">
        <v>34</v>
      </c>
      <c r="I7854" s="8" t="s">
        <v>271</v>
      </c>
      <c r="J7854" s="9">
        <v>1</v>
      </c>
      <c r="K7854" s="9">
        <v>378</v>
      </c>
      <c r="L7854" s="9">
        <v>2022</v>
      </c>
      <c r="M7854" s="8" t="s">
        <v>44286</v>
      </c>
      <c r="N7854" s="8" t="s">
        <v>37</v>
      </c>
      <c r="O7854" s="8" t="s">
        <v>83</v>
      </c>
      <c r="P7854" s="6" t="s">
        <v>306</v>
      </c>
      <c r="Q7854" s="8" t="s">
        <v>52</v>
      </c>
      <c r="R7854" s="10" t="s">
        <v>6011</v>
      </c>
      <c r="S7854" s="11"/>
      <c r="T7854" s="6"/>
      <c r="U7854" s="15" t="str">
        <f>HYPERLINK("https://media.infra-m.ru/1911/1911511/cover/1911511.jpg", "Обложка")</f>
        <v>Обложка</v>
      </c>
      <c r="V7854" s="8" t="s">
        <v>7990</v>
      </c>
      <c r="W7854" s="6"/>
      <c r="X7854" s="6"/>
      <c r="Y7854" s="6"/>
      <c r="Z7854" s="6"/>
      <c r="AA7854" s="6" t="s">
        <v>148</v>
      </c>
      <c r="AB7854" s="8"/>
      <c r="AC7854" s="27">
        <v>9785160172941</v>
      </c>
    </row>
    <row r="7855" spans="1:29" s="4" customFormat="1" ht="51.9" customHeight="1" x14ac:dyDescent="0.2">
      <c r="A7855" s="5">
        <v>0</v>
      </c>
      <c r="B7855" s="6" t="s">
        <v>44287</v>
      </c>
      <c r="C7855" s="13">
        <v>532.79999999999995</v>
      </c>
      <c r="D7855" s="8" t="s">
        <v>44288</v>
      </c>
      <c r="E7855" s="8" t="s">
        <v>44289</v>
      </c>
      <c r="F7855" s="8" t="s">
        <v>44290</v>
      </c>
      <c r="G7855" s="6" t="s">
        <v>33</v>
      </c>
      <c r="H7855" s="6" t="s">
        <v>241</v>
      </c>
      <c r="I7855" s="8"/>
      <c r="J7855" s="9">
        <v>1</v>
      </c>
      <c r="K7855" s="9">
        <v>96</v>
      </c>
      <c r="L7855" s="9">
        <v>2024</v>
      </c>
      <c r="M7855" s="8" t="s">
        <v>44291</v>
      </c>
      <c r="N7855" s="8" t="s">
        <v>243</v>
      </c>
      <c r="O7855" s="8" t="s">
        <v>385</v>
      </c>
      <c r="P7855" s="6" t="s">
        <v>51</v>
      </c>
      <c r="Q7855" s="8" t="s">
        <v>52</v>
      </c>
      <c r="R7855" s="10" t="s">
        <v>44292</v>
      </c>
      <c r="S7855" s="11" t="s">
        <v>44293</v>
      </c>
      <c r="T7855" s="6"/>
      <c r="U7855" s="15" t="str">
        <f>HYPERLINK("https://media.infra-m.ru/2078/2078407/cover/2078407.jpg", "Обложка")</f>
        <v>Обложка</v>
      </c>
      <c r="V7855" s="8" t="s">
        <v>8054</v>
      </c>
      <c r="W7855" s="6"/>
      <c r="X7855" s="6"/>
      <c r="Y7855" s="6"/>
      <c r="Z7855" s="6"/>
      <c r="AA7855" s="6" t="s">
        <v>3391</v>
      </c>
      <c r="AB7855" s="8"/>
      <c r="AC7855" s="27">
        <v>9785955801629</v>
      </c>
    </row>
    <row r="7856" spans="1:29" s="4" customFormat="1" ht="42" customHeight="1" x14ac:dyDescent="0.2">
      <c r="A7856" s="5">
        <v>0</v>
      </c>
      <c r="B7856" s="6" t="s">
        <v>44294</v>
      </c>
      <c r="C7856" s="7">
        <v>2148</v>
      </c>
      <c r="D7856" s="8" t="s">
        <v>44295</v>
      </c>
      <c r="E7856" s="8" t="s">
        <v>44296</v>
      </c>
      <c r="F7856" s="8" t="s">
        <v>44297</v>
      </c>
      <c r="G7856" s="6" t="s">
        <v>118</v>
      </c>
      <c r="H7856" s="6" t="s">
        <v>34</v>
      </c>
      <c r="I7856" s="8" t="s">
        <v>253</v>
      </c>
      <c r="J7856" s="9">
        <v>1</v>
      </c>
      <c r="K7856" s="9">
        <v>308</v>
      </c>
      <c r="L7856" s="9">
        <v>2026</v>
      </c>
      <c r="M7856" s="8" t="s">
        <v>44298</v>
      </c>
      <c r="N7856" s="8" t="s">
        <v>224</v>
      </c>
      <c r="O7856" s="8" t="s">
        <v>225</v>
      </c>
      <c r="P7856" s="6" t="s">
        <v>51</v>
      </c>
      <c r="Q7856" s="8" t="s">
        <v>52</v>
      </c>
      <c r="R7856" s="10" t="s">
        <v>44299</v>
      </c>
      <c r="S7856" s="11"/>
      <c r="T7856" s="6"/>
      <c r="U7856" s="15" t="str">
        <f>HYPERLINK("https://media.infra-m.ru/2254/2254316/cover/2254316.jpg", "Обложка")</f>
        <v>Обложка</v>
      </c>
      <c r="V7856" s="8" t="s">
        <v>4038</v>
      </c>
      <c r="W7856" s="6"/>
      <c r="X7856" s="6"/>
      <c r="Y7856" s="6"/>
      <c r="Z7856" s="6"/>
      <c r="AA7856" s="6" t="s">
        <v>76</v>
      </c>
      <c r="AB7856" s="8"/>
      <c r="AC7856" s="27">
        <v>9785160182438</v>
      </c>
    </row>
    <row r="7857" spans="1:29" s="4" customFormat="1" ht="42" customHeight="1" x14ac:dyDescent="0.2">
      <c r="A7857" s="5">
        <v>0</v>
      </c>
      <c r="B7857" s="6" t="s">
        <v>44300</v>
      </c>
      <c r="C7857" s="7">
        <v>2040</v>
      </c>
      <c r="D7857" s="8" t="s">
        <v>44301</v>
      </c>
      <c r="E7857" s="8" t="s">
        <v>44296</v>
      </c>
      <c r="F7857" s="8" t="s">
        <v>44297</v>
      </c>
      <c r="G7857" s="6" t="s">
        <v>118</v>
      </c>
      <c r="H7857" s="6" t="s">
        <v>34</v>
      </c>
      <c r="I7857" s="8" t="s">
        <v>263</v>
      </c>
      <c r="J7857" s="9">
        <v>1</v>
      </c>
      <c r="K7857" s="9">
        <v>308</v>
      </c>
      <c r="L7857" s="9">
        <v>2026</v>
      </c>
      <c r="M7857" s="8" t="s">
        <v>44302</v>
      </c>
      <c r="N7857" s="8" t="s">
        <v>224</v>
      </c>
      <c r="O7857" s="8" t="s">
        <v>225</v>
      </c>
      <c r="P7857" s="6" t="s">
        <v>51</v>
      </c>
      <c r="Q7857" s="8" t="s">
        <v>265</v>
      </c>
      <c r="R7857" s="10" t="s">
        <v>44303</v>
      </c>
      <c r="S7857" s="11"/>
      <c r="T7857" s="6"/>
      <c r="U7857" s="15" t="str">
        <f>HYPERLINK("https://media.infra-m.ru/2232/2232488/cover/2232488.jpg", "Обложка")</f>
        <v>Обложка</v>
      </c>
      <c r="V7857" s="8" t="s">
        <v>4038</v>
      </c>
      <c r="W7857" s="6"/>
      <c r="X7857" s="6"/>
      <c r="Y7857" s="6"/>
      <c r="Z7857" s="6" t="s">
        <v>267</v>
      </c>
      <c r="AA7857" s="6" t="s">
        <v>68</v>
      </c>
      <c r="AB7857" s="8"/>
      <c r="AC7857" s="27">
        <v>9785160203157</v>
      </c>
    </row>
    <row r="7858" spans="1:29" s="4" customFormat="1" ht="51.9" customHeight="1" x14ac:dyDescent="0.2">
      <c r="A7858" s="5">
        <v>0</v>
      </c>
      <c r="B7858" s="6" t="s">
        <v>44304</v>
      </c>
      <c r="C7858" s="7">
        <v>1204.8</v>
      </c>
      <c r="D7858" s="8" t="s">
        <v>44305</v>
      </c>
      <c r="E7858" s="8" t="s">
        <v>44306</v>
      </c>
      <c r="F7858" s="8" t="s">
        <v>44307</v>
      </c>
      <c r="G7858" s="6" t="s">
        <v>60</v>
      </c>
      <c r="H7858" s="6" t="s">
        <v>34</v>
      </c>
      <c r="I7858" s="8" t="s">
        <v>1128</v>
      </c>
      <c r="J7858" s="9">
        <v>1</v>
      </c>
      <c r="K7858" s="9">
        <v>173</v>
      </c>
      <c r="L7858" s="9">
        <v>2027</v>
      </c>
      <c r="M7858" s="8" t="s">
        <v>44308</v>
      </c>
      <c r="N7858" s="8" t="s">
        <v>243</v>
      </c>
      <c r="O7858" s="8" t="s">
        <v>1100</v>
      </c>
      <c r="P7858" s="6" t="s">
        <v>51</v>
      </c>
      <c r="Q7858" s="8" t="s">
        <v>65</v>
      </c>
      <c r="R7858" s="10" t="s">
        <v>44309</v>
      </c>
      <c r="S7858" s="11" t="s">
        <v>44310</v>
      </c>
      <c r="T7858" s="6"/>
      <c r="U7858" s="15" t="str">
        <f>HYPERLINK("https://media.infra-m.ru/2255/2255036/cover/2255036.jpg", "Обложка")</f>
        <v>Обложка</v>
      </c>
      <c r="V7858" s="8" t="s">
        <v>1132</v>
      </c>
      <c r="W7858" s="6"/>
      <c r="X7858" s="6"/>
      <c r="Y7858" s="6"/>
      <c r="Z7858" s="6"/>
      <c r="AA7858" s="6" t="s">
        <v>76</v>
      </c>
      <c r="AB7858" s="8"/>
      <c r="AC7858" s="27">
        <v>9785160192987</v>
      </c>
    </row>
    <row r="7859" spans="1:29" s="4" customFormat="1" ht="42" customHeight="1" x14ac:dyDescent="0.2">
      <c r="A7859" s="5">
        <v>0</v>
      </c>
      <c r="B7859" s="6" t="s">
        <v>44311</v>
      </c>
      <c r="C7859" s="7">
        <v>1392</v>
      </c>
      <c r="D7859" s="8" t="s">
        <v>44312</v>
      </c>
      <c r="E7859" s="8" t="s">
        <v>44313</v>
      </c>
      <c r="F7859" s="8" t="s">
        <v>4643</v>
      </c>
      <c r="G7859" s="6" t="s">
        <v>60</v>
      </c>
      <c r="H7859" s="6" t="s">
        <v>34</v>
      </c>
      <c r="I7859" s="8" t="s">
        <v>35</v>
      </c>
      <c r="J7859" s="9">
        <v>1</v>
      </c>
      <c r="K7859" s="9">
        <v>239</v>
      </c>
      <c r="L7859" s="9">
        <v>2024</v>
      </c>
      <c r="M7859" s="8" t="s">
        <v>44314</v>
      </c>
      <c r="N7859" s="8" t="s">
        <v>243</v>
      </c>
      <c r="O7859" s="8" t="s">
        <v>798</v>
      </c>
      <c r="P7859" s="6" t="s">
        <v>39</v>
      </c>
      <c r="Q7859" s="8" t="s">
        <v>40</v>
      </c>
      <c r="R7859" s="10" t="s">
        <v>44315</v>
      </c>
      <c r="S7859" s="11"/>
      <c r="T7859" s="6"/>
      <c r="U7859" s="15" t="str">
        <f>HYPERLINK("https://media.infra-m.ru/2048/2048107/cover/2048107.jpg", "Обложка")</f>
        <v>Обложка</v>
      </c>
      <c r="V7859" s="8" t="s">
        <v>761</v>
      </c>
      <c r="W7859" s="6"/>
      <c r="X7859" s="6"/>
      <c r="Y7859" s="6"/>
      <c r="Z7859" s="6"/>
      <c r="AA7859" s="6" t="s">
        <v>76</v>
      </c>
      <c r="AB7859" s="8"/>
      <c r="AC7859" s="27">
        <v>9785160187006</v>
      </c>
    </row>
    <row r="7860" spans="1:29" s="4" customFormat="1" ht="51.9" customHeight="1" x14ac:dyDescent="0.2">
      <c r="A7860" s="5">
        <v>0</v>
      </c>
      <c r="B7860" s="6" t="s">
        <v>44316</v>
      </c>
      <c r="C7860" s="7">
        <v>1152</v>
      </c>
      <c r="D7860" s="8" t="s">
        <v>44317</v>
      </c>
      <c r="E7860" s="8" t="s">
        <v>44318</v>
      </c>
      <c r="F7860" s="8" t="s">
        <v>44319</v>
      </c>
      <c r="G7860" s="6" t="s">
        <v>118</v>
      </c>
      <c r="H7860" s="6" t="s">
        <v>34</v>
      </c>
      <c r="I7860" s="8" t="s">
        <v>304</v>
      </c>
      <c r="J7860" s="9">
        <v>1</v>
      </c>
      <c r="K7860" s="9">
        <v>203</v>
      </c>
      <c r="L7860" s="9">
        <v>2024</v>
      </c>
      <c r="M7860" s="8" t="s">
        <v>44320</v>
      </c>
      <c r="N7860" s="8" t="s">
        <v>37</v>
      </c>
      <c r="O7860" s="8" t="s">
        <v>83</v>
      </c>
      <c r="P7860" s="6" t="s">
        <v>51</v>
      </c>
      <c r="Q7860" s="8" t="s">
        <v>52</v>
      </c>
      <c r="R7860" s="10" t="s">
        <v>44321</v>
      </c>
      <c r="S7860" s="11" t="s">
        <v>44322</v>
      </c>
      <c r="T7860" s="6"/>
      <c r="U7860" s="15" t="str">
        <f>HYPERLINK("https://media.infra-m.ru/2139/2139320/cover/2139320.jpg", "Обложка")</f>
        <v>Обложка</v>
      </c>
      <c r="V7860" s="8"/>
      <c r="W7860" s="6"/>
      <c r="X7860" s="6"/>
      <c r="Y7860" s="6"/>
      <c r="Z7860" s="6"/>
      <c r="AA7860" s="6" t="s">
        <v>148</v>
      </c>
      <c r="AB7860" s="8"/>
      <c r="AC7860" s="27">
        <v>9785160198286</v>
      </c>
    </row>
    <row r="7861" spans="1:29" s="4" customFormat="1" ht="42" customHeight="1" x14ac:dyDescent="0.2">
      <c r="A7861" s="5">
        <v>0</v>
      </c>
      <c r="B7861" s="6" t="s">
        <v>44323</v>
      </c>
      <c r="C7861" s="7">
        <v>2884.8</v>
      </c>
      <c r="D7861" s="8" t="s">
        <v>44324</v>
      </c>
      <c r="E7861" s="8" t="s">
        <v>44325</v>
      </c>
      <c r="F7861" s="8" t="s">
        <v>44319</v>
      </c>
      <c r="G7861" s="6" t="s">
        <v>60</v>
      </c>
      <c r="H7861" s="6" t="s">
        <v>34</v>
      </c>
      <c r="I7861" s="8" t="s">
        <v>304</v>
      </c>
      <c r="J7861" s="9">
        <v>1</v>
      </c>
      <c r="K7861" s="9">
        <v>397</v>
      </c>
      <c r="L7861" s="9">
        <v>2026</v>
      </c>
      <c r="M7861" s="8" t="s">
        <v>44326</v>
      </c>
      <c r="N7861" s="8" t="s">
        <v>93</v>
      </c>
      <c r="O7861" s="8" t="s">
        <v>94</v>
      </c>
      <c r="P7861" s="6" t="s">
        <v>51</v>
      </c>
      <c r="Q7861" s="8" t="s">
        <v>52</v>
      </c>
      <c r="R7861" s="10" t="s">
        <v>44321</v>
      </c>
      <c r="S7861" s="11"/>
      <c r="T7861" s="6"/>
      <c r="U7861" s="15" t="str">
        <f>HYPERLINK("https://media.infra-m.ru/2267/2267075/cover/2267075.jpg", "Обложка")</f>
        <v>Обложка</v>
      </c>
      <c r="V7861" s="8" t="s">
        <v>247</v>
      </c>
      <c r="W7861" s="6"/>
      <c r="X7861" s="6"/>
      <c r="Y7861" s="6"/>
      <c r="Z7861" s="6"/>
      <c r="AA7861" s="6" t="s">
        <v>650</v>
      </c>
      <c r="AB7861" s="8"/>
      <c r="AC7861" s="27">
        <v>9785160217826</v>
      </c>
    </row>
    <row r="7862" spans="1:29" s="4" customFormat="1" ht="42" customHeight="1" x14ac:dyDescent="0.2">
      <c r="A7862" s="5">
        <v>0</v>
      </c>
      <c r="B7862" s="6" t="s">
        <v>44327</v>
      </c>
      <c r="C7862" s="7">
        <v>1240.8</v>
      </c>
      <c r="D7862" s="8" t="s">
        <v>44328</v>
      </c>
      <c r="E7862" s="8" t="s">
        <v>44329</v>
      </c>
      <c r="F7862" s="8" t="s">
        <v>44330</v>
      </c>
      <c r="G7862" s="6" t="s">
        <v>33</v>
      </c>
      <c r="H7862" s="6" t="s">
        <v>34</v>
      </c>
      <c r="I7862" s="8"/>
      <c r="J7862" s="9">
        <v>1</v>
      </c>
      <c r="K7862" s="9">
        <v>224</v>
      </c>
      <c r="L7862" s="9">
        <v>2024</v>
      </c>
      <c r="M7862" s="8" t="s">
        <v>44331</v>
      </c>
      <c r="N7862" s="8" t="s">
        <v>37</v>
      </c>
      <c r="O7862" s="8" t="s">
        <v>280</v>
      </c>
      <c r="P7862" s="6" t="s">
        <v>39</v>
      </c>
      <c r="Q7862" s="8" t="s">
        <v>40</v>
      </c>
      <c r="R7862" s="10" t="s">
        <v>1503</v>
      </c>
      <c r="S7862" s="11"/>
      <c r="T7862" s="6"/>
      <c r="U7862" s="15" t="str">
        <f>HYPERLINK("https://media.infra-m.ru/2117/2117133/cover/2117133.jpg", "Обложка")</f>
        <v>Обложка</v>
      </c>
      <c r="V7862" s="8" t="s">
        <v>3196</v>
      </c>
      <c r="W7862" s="6"/>
      <c r="X7862" s="6"/>
      <c r="Y7862" s="6"/>
      <c r="Z7862" s="6"/>
      <c r="AA7862" s="6" t="s">
        <v>274</v>
      </c>
      <c r="AB7862" s="8"/>
      <c r="AC7862" s="27">
        <v>9785160100616</v>
      </c>
    </row>
    <row r="7863" spans="1:29" s="4" customFormat="1" ht="42" customHeight="1" x14ac:dyDescent="0.2">
      <c r="A7863" s="5">
        <v>0</v>
      </c>
      <c r="B7863" s="6" t="s">
        <v>44332</v>
      </c>
      <c r="C7863" s="7">
        <v>1752</v>
      </c>
      <c r="D7863" s="8" t="s">
        <v>44333</v>
      </c>
      <c r="E7863" s="8" t="s">
        <v>44334</v>
      </c>
      <c r="F7863" s="8" t="s">
        <v>44335</v>
      </c>
      <c r="G7863" s="6" t="s">
        <v>118</v>
      </c>
      <c r="H7863" s="6" t="s">
        <v>34</v>
      </c>
      <c r="I7863" s="8" t="s">
        <v>1753</v>
      </c>
      <c r="J7863" s="9">
        <v>1</v>
      </c>
      <c r="K7863" s="9">
        <v>266</v>
      </c>
      <c r="L7863" s="9">
        <v>2026</v>
      </c>
      <c r="M7863" s="8" t="s">
        <v>44336</v>
      </c>
      <c r="N7863" s="8" t="s">
        <v>37</v>
      </c>
      <c r="O7863" s="8" t="s">
        <v>233</v>
      </c>
      <c r="P7863" s="6" t="s">
        <v>306</v>
      </c>
      <c r="Q7863" s="8" t="s">
        <v>500</v>
      </c>
      <c r="R7863" s="10" t="s">
        <v>3669</v>
      </c>
      <c r="S7863" s="11"/>
      <c r="T7863" s="6"/>
      <c r="U7863" s="15" t="str">
        <f>HYPERLINK("https://media.infra-m.ru/2250/2250667/cover/2250667.jpg", "Обложка")</f>
        <v>Обложка</v>
      </c>
      <c r="V7863" s="8" t="s">
        <v>247</v>
      </c>
      <c r="W7863" s="6"/>
      <c r="X7863" s="6"/>
      <c r="Y7863" s="6"/>
      <c r="Z7863" s="6"/>
      <c r="AA7863" s="6" t="s">
        <v>76</v>
      </c>
      <c r="AB7863" s="8"/>
      <c r="AC7863" s="27">
        <v>9785160221106</v>
      </c>
    </row>
    <row r="7864" spans="1:29" s="4" customFormat="1" ht="51.9" customHeight="1" x14ac:dyDescent="0.2">
      <c r="A7864" s="5">
        <v>0</v>
      </c>
      <c r="B7864" s="6" t="s">
        <v>44337</v>
      </c>
      <c r="C7864" s="7">
        <v>2656.8</v>
      </c>
      <c r="D7864" s="8" t="s">
        <v>44338</v>
      </c>
      <c r="E7864" s="8" t="s">
        <v>44339</v>
      </c>
      <c r="F7864" s="8" t="s">
        <v>14562</v>
      </c>
      <c r="G7864" s="6" t="s">
        <v>118</v>
      </c>
      <c r="H7864" s="6" t="s">
        <v>34</v>
      </c>
      <c r="I7864" s="8" t="s">
        <v>271</v>
      </c>
      <c r="J7864" s="9">
        <v>1</v>
      </c>
      <c r="K7864" s="9">
        <v>492</v>
      </c>
      <c r="L7864" s="9">
        <v>2023</v>
      </c>
      <c r="M7864" s="8" t="s">
        <v>44340</v>
      </c>
      <c r="N7864" s="8" t="s">
        <v>37</v>
      </c>
      <c r="O7864" s="8" t="s">
        <v>280</v>
      </c>
      <c r="P7864" s="6" t="s">
        <v>306</v>
      </c>
      <c r="Q7864" s="8" t="s">
        <v>52</v>
      </c>
      <c r="R7864" s="10" t="s">
        <v>20445</v>
      </c>
      <c r="S7864" s="11" t="s">
        <v>44341</v>
      </c>
      <c r="T7864" s="6"/>
      <c r="U7864" s="15" t="str">
        <f>HYPERLINK("https://media.infra-m.ru/2021/2021403/cover/2021403.jpg", "Обложка")</f>
        <v>Обложка</v>
      </c>
      <c r="V7864" s="8" t="s">
        <v>13059</v>
      </c>
      <c r="W7864" s="6"/>
      <c r="X7864" s="6"/>
      <c r="Y7864" s="6"/>
      <c r="Z7864" s="6"/>
      <c r="AA7864" s="6" t="s">
        <v>115</v>
      </c>
      <c r="AB7864" s="8"/>
      <c r="AC7864" s="27">
        <v>9785160140544</v>
      </c>
    </row>
    <row r="7865" spans="1:29" s="4" customFormat="1" ht="42" customHeight="1" x14ac:dyDescent="0.2">
      <c r="A7865" s="5">
        <v>0</v>
      </c>
      <c r="B7865" s="6" t="s">
        <v>44342</v>
      </c>
      <c r="C7865" s="7">
        <v>1812</v>
      </c>
      <c r="D7865" s="8" t="s">
        <v>44343</v>
      </c>
      <c r="E7865" s="8" t="s">
        <v>44344</v>
      </c>
      <c r="F7865" s="8" t="s">
        <v>44345</v>
      </c>
      <c r="G7865" s="6" t="s">
        <v>33</v>
      </c>
      <c r="H7865" s="6" t="s">
        <v>34</v>
      </c>
      <c r="I7865" s="8" t="s">
        <v>457</v>
      </c>
      <c r="J7865" s="9">
        <v>1</v>
      </c>
      <c r="K7865" s="9">
        <v>328</v>
      </c>
      <c r="L7865" s="9">
        <v>2023</v>
      </c>
      <c r="M7865" s="8" t="s">
        <v>44346</v>
      </c>
      <c r="N7865" s="8" t="s">
        <v>37</v>
      </c>
      <c r="O7865" s="8" t="s">
        <v>233</v>
      </c>
      <c r="P7865" s="6" t="s">
        <v>39</v>
      </c>
      <c r="Q7865" s="8" t="s">
        <v>40</v>
      </c>
      <c r="R7865" s="10" t="s">
        <v>2257</v>
      </c>
      <c r="S7865" s="11"/>
      <c r="T7865" s="6"/>
      <c r="U7865" s="15" t="str">
        <f>HYPERLINK("https://media.infra-m.ru/2029/2029823/cover/2029823.jpg", "Обложка")</f>
        <v>Обложка</v>
      </c>
      <c r="V7865" s="8" t="s">
        <v>247</v>
      </c>
      <c r="W7865" s="6"/>
      <c r="X7865" s="6"/>
      <c r="Y7865" s="6"/>
      <c r="Z7865" s="6"/>
      <c r="AA7865" s="6" t="s">
        <v>157</v>
      </c>
      <c r="AB7865" s="8"/>
      <c r="AC7865" s="27">
        <v>9785160185675</v>
      </c>
    </row>
    <row r="7866" spans="1:29" s="4" customFormat="1" ht="42" customHeight="1" x14ac:dyDescent="0.2">
      <c r="A7866" s="5">
        <v>0</v>
      </c>
      <c r="B7866" s="6" t="s">
        <v>44347</v>
      </c>
      <c r="C7866" s="7">
        <v>2336.4</v>
      </c>
      <c r="D7866" s="8" t="s">
        <v>44348</v>
      </c>
      <c r="E7866" s="8" t="s">
        <v>44349</v>
      </c>
      <c r="F7866" s="8" t="s">
        <v>44350</v>
      </c>
      <c r="G7866" s="6" t="s">
        <v>60</v>
      </c>
      <c r="H7866" s="6" t="s">
        <v>48</v>
      </c>
      <c r="I7866" s="8" t="s">
        <v>271</v>
      </c>
      <c r="J7866" s="9">
        <v>1</v>
      </c>
      <c r="K7866" s="9">
        <v>288</v>
      </c>
      <c r="L7866" s="9">
        <v>2026</v>
      </c>
      <c r="M7866" s="8" t="s">
        <v>44351</v>
      </c>
      <c r="N7866" s="8" t="s">
        <v>243</v>
      </c>
      <c r="O7866" s="8" t="s">
        <v>758</v>
      </c>
      <c r="P7866" s="6" t="s">
        <v>51</v>
      </c>
      <c r="Q7866" s="8" t="s">
        <v>52</v>
      </c>
      <c r="R7866" s="10" t="s">
        <v>29370</v>
      </c>
      <c r="S7866" s="11"/>
      <c r="T7866" s="6"/>
      <c r="U7866" s="15" t="str">
        <f>HYPERLINK("https://media.infra-m.ru/2214/2214703/cover/2214703.jpg", "Обложка")</f>
        <v>Обложка</v>
      </c>
      <c r="V7866" s="8" t="s">
        <v>44352</v>
      </c>
      <c r="W7866" s="6"/>
      <c r="X7866" s="6"/>
      <c r="Y7866" s="6"/>
      <c r="Z7866" s="6"/>
      <c r="AA7866" s="6" t="s">
        <v>779</v>
      </c>
      <c r="AB7866" s="8"/>
      <c r="AC7866" s="27">
        <v>9785000911051</v>
      </c>
    </row>
    <row r="7867" spans="1:29" s="4" customFormat="1" ht="44.1" customHeight="1" x14ac:dyDescent="0.2">
      <c r="A7867" s="5">
        <v>0</v>
      </c>
      <c r="B7867" s="6" t="s">
        <v>44353</v>
      </c>
      <c r="C7867" s="7">
        <v>1168.8</v>
      </c>
      <c r="D7867" s="8" t="s">
        <v>44354</v>
      </c>
      <c r="E7867" s="8" t="s">
        <v>44355</v>
      </c>
      <c r="F7867" s="8" t="s">
        <v>44356</v>
      </c>
      <c r="G7867" s="6" t="s">
        <v>33</v>
      </c>
      <c r="H7867" s="6" t="s">
        <v>34</v>
      </c>
      <c r="I7867" s="8" t="s">
        <v>517</v>
      </c>
      <c r="J7867" s="9">
        <v>1</v>
      </c>
      <c r="K7867" s="9">
        <v>206</v>
      </c>
      <c r="L7867" s="9">
        <v>2024</v>
      </c>
      <c r="M7867" s="8" t="s">
        <v>44357</v>
      </c>
      <c r="N7867" s="8" t="s">
        <v>243</v>
      </c>
      <c r="O7867" s="8" t="s">
        <v>933</v>
      </c>
      <c r="P7867" s="6" t="s">
        <v>182</v>
      </c>
      <c r="Q7867" s="8" t="s">
        <v>40</v>
      </c>
      <c r="R7867" s="10" t="s">
        <v>44358</v>
      </c>
      <c r="S7867" s="11"/>
      <c r="T7867" s="6"/>
      <c r="U7867" s="15" t="str">
        <f>HYPERLINK("https://media.infra-m.ru/2152/2152063/cover/2152063.jpg", "Обложка")</f>
        <v>Обложка</v>
      </c>
      <c r="V7867" s="8" t="s">
        <v>4376</v>
      </c>
      <c r="W7867" s="6"/>
      <c r="X7867" s="6"/>
      <c r="Y7867" s="6"/>
      <c r="Z7867" s="6"/>
      <c r="AA7867" s="6" t="s">
        <v>43</v>
      </c>
      <c r="AB7867" s="8"/>
      <c r="AC7867" s="27">
        <v>9785160048895</v>
      </c>
    </row>
    <row r="7868" spans="1:29" s="4" customFormat="1" ht="51.9" customHeight="1" x14ac:dyDescent="0.2">
      <c r="A7868" s="5">
        <v>0</v>
      </c>
      <c r="B7868" s="6" t="s">
        <v>44359</v>
      </c>
      <c r="C7868" s="7">
        <v>1428</v>
      </c>
      <c r="D7868" s="8" t="s">
        <v>44360</v>
      </c>
      <c r="E7868" s="8" t="s">
        <v>44361</v>
      </c>
      <c r="F7868" s="8" t="s">
        <v>44362</v>
      </c>
      <c r="G7868" s="6" t="s">
        <v>60</v>
      </c>
      <c r="H7868" s="6" t="s">
        <v>34</v>
      </c>
      <c r="I7868" s="8" t="s">
        <v>263</v>
      </c>
      <c r="J7868" s="9">
        <v>1</v>
      </c>
      <c r="K7868" s="9">
        <v>231</v>
      </c>
      <c r="L7868" s="9">
        <v>2025</v>
      </c>
      <c r="M7868" s="8" t="s">
        <v>44363</v>
      </c>
      <c r="N7868" s="8" t="s">
        <v>93</v>
      </c>
      <c r="O7868" s="8" t="s">
        <v>94</v>
      </c>
      <c r="P7868" s="6" t="s">
        <v>51</v>
      </c>
      <c r="Q7868" s="8" t="s">
        <v>265</v>
      </c>
      <c r="R7868" s="10" t="s">
        <v>44364</v>
      </c>
      <c r="S7868" s="11"/>
      <c r="T7868" s="6"/>
      <c r="U7868" s="15" t="str">
        <f>HYPERLINK("https://media.infra-m.ru/2169/2169086/cover/2169086.jpg", "Обложка")</f>
        <v>Обложка</v>
      </c>
      <c r="V7868" s="8" t="s">
        <v>2095</v>
      </c>
      <c r="W7868" s="6"/>
      <c r="X7868" s="6"/>
      <c r="Y7868" s="6"/>
      <c r="Z7868" s="6" t="s">
        <v>267</v>
      </c>
      <c r="AA7868" s="6" t="s">
        <v>68</v>
      </c>
      <c r="AB7868" s="8" t="s">
        <v>4718</v>
      </c>
      <c r="AC7868" s="27">
        <v>9785160203010</v>
      </c>
    </row>
    <row r="7869" spans="1:29" s="4" customFormat="1" ht="51.9" customHeight="1" x14ac:dyDescent="0.2">
      <c r="A7869" s="5">
        <v>0</v>
      </c>
      <c r="B7869" s="6" t="s">
        <v>44365</v>
      </c>
      <c r="C7869" s="7">
        <v>1528.8</v>
      </c>
      <c r="D7869" s="8" t="s">
        <v>44366</v>
      </c>
      <c r="E7869" s="8" t="s">
        <v>44361</v>
      </c>
      <c r="F7869" s="8" t="s">
        <v>44362</v>
      </c>
      <c r="G7869" s="6" t="s">
        <v>60</v>
      </c>
      <c r="H7869" s="6" t="s">
        <v>34</v>
      </c>
      <c r="I7869" s="8" t="s">
        <v>271</v>
      </c>
      <c r="J7869" s="9">
        <v>1</v>
      </c>
      <c r="K7869" s="9">
        <v>231</v>
      </c>
      <c r="L7869" s="9">
        <v>2026</v>
      </c>
      <c r="M7869" s="8" t="s">
        <v>44367</v>
      </c>
      <c r="N7869" s="8" t="s">
        <v>93</v>
      </c>
      <c r="O7869" s="8" t="s">
        <v>94</v>
      </c>
      <c r="P7869" s="6" t="s">
        <v>51</v>
      </c>
      <c r="Q7869" s="8" t="s">
        <v>52</v>
      </c>
      <c r="R7869" s="10" t="s">
        <v>2486</v>
      </c>
      <c r="S7869" s="11" t="s">
        <v>44368</v>
      </c>
      <c r="T7869" s="6"/>
      <c r="U7869" s="15" t="str">
        <f>HYPERLINK("https://media.infra-m.ru/2187/2187443/cover/2187443.jpg", "Обложка")</f>
        <v>Обложка</v>
      </c>
      <c r="V7869" s="8" t="s">
        <v>2095</v>
      </c>
      <c r="W7869" s="6"/>
      <c r="X7869" s="6"/>
      <c r="Y7869" s="6"/>
      <c r="Z7869" s="6"/>
      <c r="AA7869" s="6" t="s">
        <v>157</v>
      </c>
      <c r="AB7869" s="8"/>
      <c r="AC7869" s="27">
        <v>9785160165134</v>
      </c>
    </row>
    <row r="7870" spans="1:29" s="4" customFormat="1" ht="51.9" customHeight="1" x14ac:dyDescent="0.2">
      <c r="A7870" s="5">
        <v>0</v>
      </c>
      <c r="B7870" s="6" t="s">
        <v>44369</v>
      </c>
      <c r="C7870" s="7">
        <v>1896</v>
      </c>
      <c r="D7870" s="8" t="s">
        <v>44370</v>
      </c>
      <c r="E7870" s="8" t="s">
        <v>44371</v>
      </c>
      <c r="F7870" s="8" t="s">
        <v>44372</v>
      </c>
      <c r="G7870" s="6" t="s">
        <v>118</v>
      </c>
      <c r="H7870" s="6" t="s">
        <v>34</v>
      </c>
      <c r="I7870" s="8" t="s">
        <v>304</v>
      </c>
      <c r="J7870" s="9">
        <v>1</v>
      </c>
      <c r="K7870" s="9">
        <v>273</v>
      </c>
      <c r="L7870" s="9">
        <v>2027</v>
      </c>
      <c r="M7870" s="8" t="s">
        <v>44373</v>
      </c>
      <c r="N7870" s="8" t="s">
        <v>37</v>
      </c>
      <c r="O7870" s="8" t="s">
        <v>280</v>
      </c>
      <c r="P7870" s="6" t="s">
        <v>306</v>
      </c>
      <c r="Q7870" s="8" t="s">
        <v>52</v>
      </c>
      <c r="R7870" s="10" t="s">
        <v>44374</v>
      </c>
      <c r="S7870" s="11" t="s">
        <v>44375</v>
      </c>
      <c r="T7870" s="6" t="s">
        <v>97</v>
      </c>
      <c r="U7870" s="15" t="str">
        <f>HYPERLINK("https://media.infra-m.ru/2267/2267803/cover/2267803.jpg", "Обложка")</f>
        <v>Обложка</v>
      </c>
      <c r="V7870" s="8" t="s">
        <v>247</v>
      </c>
      <c r="W7870" s="6"/>
      <c r="X7870" s="6"/>
      <c r="Y7870" s="6"/>
      <c r="Z7870" s="6"/>
      <c r="AA7870" s="6" t="s">
        <v>896</v>
      </c>
      <c r="AB7870" s="8"/>
      <c r="AC7870" s="27">
        <v>9785160190235</v>
      </c>
    </row>
    <row r="7871" spans="1:29" s="4" customFormat="1" ht="44.1" customHeight="1" x14ac:dyDescent="0.2">
      <c r="A7871" s="5">
        <v>0</v>
      </c>
      <c r="B7871" s="6" t="s">
        <v>44376</v>
      </c>
      <c r="C7871" s="7">
        <v>1056</v>
      </c>
      <c r="D7871" s="8" t="s">
        <v>44377</v>
      </c>
      <c r="E7871" s="8" t="s">
        <v>44378</v>
      </c>
      <c r="F7871" s="8" t="s">
        <v>44379</v>
      </c>
      <c r="G7871" s="6" t="s">
        <v>118</v>
      </c>
      <c r="H7871" s="6" t="s">
        <v>241</v>
      </c>
      <c r="I7871" s="8"/>
      <c r="J7871" s="9">
        <v>1</v>
      </c>
      <c r="K7871" s="9">
        <v>256</v>
      </c>
      <c r="L7871" s="9">
        <v>2020</v>
      </c>
      <c r="M7871" s="8" t="s">
        <v>44380</v>
      </c>
      <c r="N7871" s="8" t="s">
        <v>37</v>
      </c>
      <c r="O7871" s="8" t="s">
        <v>280</v>
      </c>
      <c r="P7871" s="6" t="s">
        <v>306</v>
      </c>
      <c r="Q7871" s="8" t="s">
        <v>52</v>
      </c>
      <c r="R7871" s="10" t="s">
        <v>44374</v>
      </c>
      <c r="S7871" s="11"/>
      <c r="T7871" s="6" t="s">
        <v>97</v>
      </c>
      <c r="U7871" s="15" t="str">
        <f>HYPERLINK("https://media.infra-m.ru/0937/0937514/cover/937514.jpg", "Обложка")</f>
        <v>Обложка</v>
      </c>
      <c r="V7871" s="8" t="s">
        <v>247</v>
      </c>
      <c r="W7871" s="6"/>
      <c r="X7871" s="6"/>
      <c r="Y7871" s="6"/>
      <c r="Z7871" s="6"/>
      <c r="AA7871" s="6" t="s">
        <v>779</v>
      </c>
      <c r="AB7871" s="8"/>
      <c r="AC7871" s="27">
        <v>9785955805283</v>
      </c>
    </row>
    <row r="7872" spans="1:29" s="4" customFormat="1" ht="42" customHeight="1" x14ac:dyDescent="0.2">
      <c r="A7872" s="5">
        <v>0</v>
      </c>
      <c r="B7872" s="6" t="s">
        <v>44381</v>
      </c>
      <c r="C7872" s="7">
        <v>1056</v>
      </c>
      <c r="D7872" s="8" t="s">
        <v>44382</v>
      </c>
      <c r="E7872" s="8" t="s">
        <v>44383</v>
      </c>
      <c r="F7872" s="8" t="s">
        <v>10982</v>
      </c>
      <c r="G7872" s="6" t="s">
        <v>33</v>
      </c>
      <c r="H7872" s="6" t="s">
        <v>34</v>
      </c>
      <c r="I7872" s="8" t="s">
        <v>91</v>
      </c>
      <c r="J7872" s="9">
        <v>1</v>
      </c>
      <c r="K7872" s="9">
        <v>176</v>
      </c>
      <c r="L7872" s="9">
        <v>2025</v>
      </c>
      <c r="M7872" s="8" t="s">
        <v>44384</v>
      </c>
      <c r="N7872" s="8" t="s">
        <v>93</v>
      </c>
      <c r="O7872" s="8" t="s">
        <v>94</v>
      </c>
      <c r="P7872" s="6" t="s">
        <v>234</v>
      </c>
      <c r="Q7872" s="8" t="s">
        <v>40</v>
      </c>
      <c r="R7872" s="10" t="s">
        <v>44385</v>
      </c>
      <c r="S7872" s="11"/>
      <c r="T7872" s="6"/>
      <c r="U7872" s="15" t="str">
        <f>HYPERLINK("https://media.infra-m.ru/2182/2182615/cover/2182615.jpg", "Обложка")</f>
        <v>Обложка</v>
      </c>
      <c r="V7872" s="8" t="s">
        <v>10985</v>
      </c>
      <c r="W7872" s="6"/>
      <c r="X7872" s="6"/>
      <c r="Y7872" s="6"/>
      <c r="Z7872" s="6"/>
      <c r="AA7872" s="6" t="s">
        <v>623</v>
      </c>
      <c r="AB7872" s="8"/>
      <c r="AC7872" s="27">
        <v>9785160121277</v>
      </c>
    </row>
    <row r="7873" spans="1:29" s="4" customFormat="1" ht="51.9" customHeight="1" x14ac:dyDescent="0.2">
      <c r="A7873" s="5">
        <v>0</v>
      </c>
      <c r="B7873" s="6" t="s">
        <v>44386</v>
      </c>
      <c r="C7873" s="7">
        <v>1432.8</v>
      </c>
      <c r="D7873" s="8" t="s">
        <v>44387</v>
      </c>
      <c r="E7873" s="8" t="s">
        <v>44388</v>
      </c>
      <c r="F7873" s="8" t="s">
        <v>44389</v>
      </c>
      <c r="G7873" s="6" t="s">
        <v>118</v>
      </c>
      <c r="H7873" s="6" t="s">
        <v>1042</v>
      </c>
      <c r="I7873" s="8" t="s">
        <v>263</v>
      </c>
      <c r="J7873" s="9">
        <v>1</v>
      </c>
      <c r="K7873" s="9">
        <v>206</v>
      </c>
      <c r="L7873" s="9">
        <v>2027</v>
      </c>
      <c r="M7873" s="8" t="s">
        <v>44390</v>
      </c>
      <c r="N7873" s="8" t="s">
        <v>243</v>
      </c>
      <c r="O7873" s="8" t="s">
        <v>244</v>
      </c>
      <c r="P7873" s="6" t="s">
        <v>51</v>
      </c>
      <c r="Q7873" s="8" t="s">
        <v>265</v>
      </c>
      <c r="R7873" s="10" t="s">
        <v>34237</v>
      </c>
      <c r="S7873" s="11" t="s">
        <v>3985</v>
      </c>
      <c r="T7873" s="6"/>
      <c r="U7873" s="15" t="str">
        <f>HYPERLINK("https://media.infra-m.ru/2265/2265590/cover/2265590.jpg", "Обложка")</f>
        <v>Обложка</v>
      </c>
      <c r="V7873" s="8" t="s">
        <v>3428</v>
      </c>
      <c r="W7873" s="6"/>
      <c r="X7873" s="6"/>
      <c r="Y7873" s="6"/>
      <c r="Z7873" s="6" t="s">
        <v>882</v>
      </c>
      <c r="AA7873" s="6" t="s">
        <v>115</v>
      </c>
      <c r="AB7873" s="8"/>
      <c r="AC7873" s="27">
        <v>9785819908532</v>
      </c>
    </row>
    <row r="7874" spans="1:29" s="4" customFormat="1" ht="51.9" customHeight="1" x14ac:dyDescent="0.2">
      <c r="A7874" s="5">
        <v>0</v>
      </c>
      <c r="B7874" s="6" t="s">
        <v>44391</v>
      </c>
      <c r="C7874" s="7">
        <v>1132.8</v>
      </c>
      <c r="D7874" s="8" t="s">
        <v>44392</v>
      </c>
      <c r="E7874" s="8" t="s">
        <v>44388</v>
      </c>
      <c r="F7874" s="8" t="s">
        <v>44393</v>
      </c>
      <c r="G7874" s="6" t="s">
        <v>60</v>
      </c>
      <c r="H7874" s="6" t="s">
        <v>1042</v>
      </c>
      <c r="I7874" s="8" t="s">
        <v>253</v>
      </c>
      <c r="J7874" s="9">
        <v>1</v>
      </c>
      <c r="K7874" s="9">
        <v>206</v>
      </c>
      <c r="L7874" s="9">
        <v>2024</v>
      </c>
      <c r="M7874" s="8" t="s">
        <v>44394</v>
      </c>
      <c r="N7874" s="8" t="s">
        <v>243</v>
      </c>
      <c r="O7874" s="8" t="s">
        <v>244</v>
      </c>
      <c r="P7874" s="6" t="s">
        <v>51</v>
      </c>
      <c r="Q7874" s="8" t="s">
        <v>65</v>
      </c>
      <c r="R7874" s="10" t="s">
        <v>44395</v>
      </c>
      <c r="S7874" s="11" t="s">
        <v>44396</v>
      </c>
      <c r="T7874" s="6"/>
      <c r="U7874" s="15" t="str">
        <f>HYPERLINK("https://media.infra-m.ru/1927/1927333/cover/1927333.jpg", "Обложка")</f>
        <v>Обложка</v>
      </c>
      <c r="V7874" s="8" t="s">
        <v>3428</v>
      </c>
      <c r="W7874" s="6"/>
      <c r="X7874" s="6"/>
      <c r="Y7874" s="6"/>
      <c r="Z7874" s="6"/>
      <c r="AA7874" s="6" t="s">
        <v>1047</v>
      </c>
      <c r="AB7874" s="8"/>
      <c r="AC7874" s="27">
        <v>9785819903360</v>
      </c>
    </row>
    <row r="7875" spans="1:29" s="4" customFormat="1" ht="51.9" customHeight="1" x14ac:dyDescent="0.2">
      <c r="A7875" s="5">
        <v>0</v>
      </c>
      <c r="B7875" s="6" t="s">
        <v>44397</v>
      </c>
      <c r="C7875" s="7">
        <v>1888.8</v>
      </c>
      <c r="D7875" s="8" t="s">
        <v>44398</v>
      </c>
      <c r="E7875" s="8" t="s">
        <v>44399</v>
      </c>
      <c r="F7875" s="8" t="s">
        <v>44400</v>
      </c>
      <c r="G7875" s="6" t="s">
        <v>60</v>
      </c>
      <c r="H7875" s="6" t="s">
        <v>241</v>
      </c>
      <c r="I7875" s="8"/>
      <c r="J7875" s="9">
        <v>1</v>
      </c>
      <c r="K7875" s="9">
        <v>272</v>
      </c>
      <c r="L7875" s="9">
        <v>2027</v>
      </c>
      <c r="M7875" s="8" t="s">
        <v>44401</v>
      </c>
      <c r="N7875" s="8" t="s">
        <v>37</v>
      </c>
      <c r="O7875" s="8" t="s">
        <v>499</v>
      </c>
      <c r="P7875" s="6" t="s">
        <v>51</v>
      </c>
      <c r="Q7875" s="8" t="s">
        <v>52</v>
      </c>
      <c r="R7875" s="10" t="s">
        <v>36353</v>
      </c>
      <c r="S7875" s="11" t="s">
        <v>20351</v>
      </c>
      <c r="T7875" s="6"/>
      <c r="U7875" s="15" t="str">
        <f>HYPERLINK("https://media.infra-m.ru/2270/2270489/cover/2270489.jpg", "Обложка")</f>
        <v>Обложка</v>
      </c>
      <c r="V7875" s="8" t="s">
        <v>396</v>
      </c>
      <c r="W7875" s="6"/>
      <c r="X7875" s="6"/>
      <c r="Y7875" s="6"/>
      <c r="Z7875" s="6"/>
      <c r="AA7875" s="6" t="s">
        <v>1015</v>
      </c>
      <c r="AB7875" s="8"/>
      <c r="AC7875" s="27">
        <v>9785955801551</v>
      </c>
    </row>
    <row r="7876" spans="1:29" s="4" customFormat="1" ht="51.9" customHeight="1" x14ac:dyDescent="0.2">
      <c r="A7876" s="5">
        <v>0</v>
      </c>
      <c r="B7876" s="6" t="s">
        <v>44402</v>
      </c>
      <c r="C7876" s="7">
        <v>1956</v>
      </c>
      <c r="D7876" s="8" t="s">
        <v>44403</v>
      </c>
      <c r="E7876" s="8" t="s">
        <v>44404</v>
      </c>
      <c r="F7876" s="8" t="s">
        <v>44405</v>
      </c>
      <c r="G7876" s="6" t="s">
        <v>118</v>
      </c>
      <c r="H7876" s="6" t="s">
        <v>34</v>
      </c>
      <c r="I7876" s="8" t="s">
        <v>253</v>
      </c>
      <c r="J7876" s="9">
        <v>1</v>
      </c>
      <c r="K7876" s="9">
        <v>281</v>
      </c>
      <c r="L7876" s="9">
        <v>2026</v>
      </c>
      <c r="M7876" s="8" t="s">
        <v>44406</v>
      </c>
      <c r="N7876" s="8" t="s">
        <v>93</v>
      </c>
      <c r="O7876" s="8" t="s">
        <v>94</v>
      </c>
      <c r="P7876" s="6" t="s">
        <v>306</v>
      </c>
      <c r="Q7876" s="8" t="s">
        <v>52</v>
      </c>
      <c r="R7876" s="10" t="s">
        <v>44407</v>
      </c>
      <c r="S7876" s="11" t="s">
        <v>44408</v>
      </c>
      <c r="T7876" s="6"/>
      <c r="U7876" s="15" t="str">
        <f>HYPERLINK("https://media.infra-m.ru/2261/2261220/cover/2261220.jpg", "Обложка")</f>
        <v>Обложка</v>
      </c>
      <c r="V7876" s="8" t="s">
        <v>54</v>
      </c>
      <c r="W7876" s="6"/>
      <c r="X7876" s="6"/>
      <c r="Y7876" s="6"/>
      <c r="Z7876" s="6"/>
      <c r="AA7876" s="6" t="s">
        <v>623</v>
      </c>
      <c r="AB7876" s="8"/>
      <c r="AC7876" s="27">
        <v>9785160222912</v>
      </c>
    </row>
    <row r="7877" spans="1:29" s="4" customFormat="1" ht="51.9" customHeight="1" x14ac:dyDescent="0.2">
      <c r="A7877" s="5">
        <v>0</v>
      </c>
      <c r="B7877" s="6" t="s">
        <v>44409</v>
      </c>
      <c r="C7877" s="7">
        <v>1852.8</v>
      </c>
      <c r="D7877" s="8" t="s">
        <v>44410</v>
      </c>
      <c r="E7877" s="8" t="s">
        <v>44404</v>
      </c>
      <c r="F7877" s="8" t="s">
        <v>44405</v>
      </c>
      <c r="G7877" s="6" t="s">
        <v>118</v>
      </c>
      <c r="H7877" s="6" t="s">
        <v>34</v>
      </c>
      <c r="I7877" s="8" t="s">
        <v>263</v>
      </c>
      <c r="J7877" s="9">
        <v>1</v>
      </c>
      <c r="K7877" s="9">
        <v>281</v>
      </c>
      <c r="L7877" s="9">
        <v>2026</v>
      </c>
      <c r="M7877" s="8" t="s">
        <v>44411</v>
      </c>
      <c r="N7877" s="8" t="s">
        <v>93</v>
      </c>
      <c r="O7877" s="8" t="s">
        <v>94</v>
      </c>
      <c r="P7877" s="6" t="s">
        <v>306</v>
      </c>
      <c r="Q7877" s="8" t="s">
        <v>265</v>
      </c>
      <c r="R7877" s="10" t="s">
        <v>11034</v>
      </c>
      <c r="S7877" s="11" t="s">
        <v>44412</v>
      </c>
      <c r="T7877" s="6"/>
      <c r="U7877" s="15" t="str">
        <f>HYPERLINK("https://media.infra-m.ru/2188/2188263/cover/2188263.jpg", "Обложка")</f>
        <v>Обложка</v>
      </c>
      <c r="V7877" s="8" t="s">
        <v>54</v>
      </c>
      <c r="W7877" s="6"/>
      <c r="X7877" s="6"/>
      <c r="Y7877" s="6"/>
      <c r="Z7877" s="6" t="s">
        <v>267</v>
      </c>
      <c r="AA7877" s="6" t="s">
        <v>1303</v>
      </c>
      <c r="AB7877" s="8"/>
      <c r="AC7877" s="27">
        <v>9785160151236</v>
      </c>
    </row>
    <row r="7878" spans="1:29" s="4" customFormat="1" ht="42" customHeight="1" x14ac:dyDescent="0.2">
      <c r="A7878" s="5">
        <v>0</v>
      </c>
      <c r="B7878" s="6" t="s">
        <v>44413</v>
      </c>
      <c r="C7878" s="7">
        <v>2148</v>
      </c>
      <c r="D7878" s="8" t="s">
        <v>44414</v>
      </c>
      <c r="E7878" s="8" t="s">
        <v>44415</v>
      </c>
      <c r="F7878" s="8" t="s">
        <v>44416</v>
      </c>
      <c r="G7878" s="6" t="s">
        <v>60</v>
      </c>
      <c r="H7878" s="6" t="s">
        <v>34</v>
      </c>
      <c r="I7878" s="8" t="s">
        <v>35</v>
      </c>
      <c r="J7878" s="9">
        <v>1</v>
      </c>
      <c r="K7878" s="9">
        <v>358</v>
      </c>
      <c r="L7878" s="9">
        <v>2025</v>
      </c>
      <c r="M7878" s="8" t="s">
        <v>44417</v>
      </c>
      <c r="N7878" s="8" t="s">
        <v>243</v>
      </c>
      <c r="O7878" s="8" t="s">
        <v>758</v>
      </c>
      <c r="P7878" s="6" t="s">
        <v>39</v>
      </c>
      <c r="Q7878" s="8" t="s">
        <v>40</v>
      </c>
      <c r="R7878" s="10" t="s">
        <v>44418</v>
      </c>
      <c r="S7878" s="11"/>
      <c r="T7878" s="6"/>
      <c r="U7878" s="15" t="str">
        <f>HYPERLINK("https://media.infra-m.ru/2098/2098998/cover/2098998.jpg", "Обложка")</f>
        <v>Обложка</v>
      </c>
      <c r="V7878" s="8" t="s">
        <v>29364</v>
      </c>
      <c r="W7878" s="6"/>
      <c r="X7878" s="6"/>
      <c r="Y7878" s="6"/>
      <c r="Z7878" s="6"/>
      <c r="AA7878" s="6" t="s">
        <v>68</v>
      </c>
      <c r="AB7878" s="8"/>
      <c r="AC7878" s="27">
        <v>9785160192321</v>
      </c>
    </row>
    <row r="7879" spans="1:29" s="4" customFormat="1" ht="51.9" customHeight="1" x14ac:dyDescent="0.2">
      <c r="A7879" s="5">
        <v>0</v>
      </c>
      <c r="B7879" s="6" t="s">
        <v>44419</v>
      </c>
      <c r="C7879" s="7">
        <v>1504.8</v>
      </c>
      <c r="D7879" s="8" t="s">
        <v>44420</v>
      </c>
      <c r="E7879" s="8" t="s">
        <v>44421</v>
      </c>
      <c r="F7879" s="8" t="s">
        <v>44422</v>
      </c>
      <c r="G7879" s="6" t="s">
        <v>118</v>
      </c>
      <c r="H7879" s="6" t="s">
        <v>34</v>
      </c>
      <c r="I7879" s="8" t="s">
        <v>271</v>
      </c>
      <c r="J7879" s="9">
        <v>1</v>
      </c>
      <c r="K7879" s="9">
        <v>272</v>
      </c>
      <c r="L7879" s="9">
        <v>2023</v>
      </c>
      <c r="M7879" s="8" t="s">
        <v>44423</v>
      </c>
      <c r="N7879" s="8" t="s">
        <v>37</v>
      </c>
      <c r="O7879" s="8" t="s">
        <v>83</v>
      </c>
      <c r="P7879" s="6" t="s">
        <v>51</v>
      </c>
      <c r="Q7879" s="8" t="s">
        <v>52</v>
      </c>
      <c r="R7879" s="10" t="s">
        <v>35075</v>
      </c>
      <c r="S7879" s="11" t="s">
        <v>44424</v>
      </c>
      <c r="T7879" s="6"/>
      <c r="U7879" s="15" t="str">
        <f>HYPERLINK("https://media.infra-m.ru/2127/2127095/cover/2127095.jpg", "Обложка")</f>
        <v>Обложка</v>
      </c>
      <c r="V7879" s="8" t="s">
        <v>4409</v>
      </c>
      <c r="W7879" s="6"/>
      <c r="X7879" s="6"/>
      <c r="Y7879" s="6"/>
      <c r="Z7879" s="6"/>
      <c r="AA7879" s="6" t="s">
        <v>561</v>
      </c>
      <c r="AB7879" s="8"/>
      <c r="AC7879" s="27">
        <v>9785160032924</v>
      </c>
    </row>
    <row r="7880" spans="1:29" s="4" customFormat="1" ht="51.9" customHeight="1" x14ac:dyDescent="0.2">
      <c r="A7880" s="5">
        <v>0</v>
      </c>
      <c r="B7880" s="6" t="s">
        <v>44425</v>
      </c>
      <c r="C7880" s="7">
        <v>1536</v>
      </c>
      <c r="D7880" s="8" t="s">
        <v>44426</v>
      </c>
      <c r="E7880" s="8" t="s">
        <v>44427</v>
      </c>
      <c r="F7880" s="8" t="s">
        <v>25250</v>
      </c>
      <c r="G7880" s="6" t="s">
        <v>118</v>
      </c>
      <c r="H7880" s="6" t="s">
        <v>34</v>
      </c>
      <c r="I7880" s="8" t="s">
        <v>253</v>
      </c>
      <c r="J7880" s="9">
        <v>1</v>
      </c>
      <c r="K7880" s="9">
        <v>232</v>
      </c>
      <c r="L7880" s="9">
        <v>2026</v>
      </c>
      <c r="M7880" s="8" t="s">
        <v>44428</v>
      </c>
      <c r="N7880" s="8" t="s">
        <v>37</v>
      </c>
      <c r="O7880" s="8" t="s">
        <v>233</v>
      </c>
      <c r="P7880" s="6" t="s">
        <v>306</v>
      </c>
      <c r="Q7880" s="8" t="s">
        <v>52</v>
      </c>
      <c r="R7880" s="10" t="s">
        <v>2786</v>
      </c>
      <c r="S7880" s="11" t="s">
        <v>44429</v>
      </c>
      <c r="T7880" s="6"/>
      <c r="U7880" s="15" t="str">
        <f>HYPERLINK("https://media.infra-m.ru/2252/2252534/cover/2252534.jpg", "Обложка")</f>
        <v>Обложка</v>
      </c>
      <c r="V7880" s="8" t="s">
        <v>25252</v>
      </c>
      <c r="W7880" s="6"/>
      <c r="X7880" s="6"/>
      <c r="Y7880" s="6"/>
      <c r="Z7880" s="6"/>
      <c r="AA7880" s="6" t="s">
        <v>1256</v>
      </c>
      <c r="AB7880" s="8"/>
      <c r="AC7880" s="27">
        <v>9785160193847</v>
      </c>
    </row>
    <row r="7881" spans="1:29" s="4" customFormat="1" ht="51.9" customHeight="1" x14ac:dyDescent="0.2">
      <c r="A7881" s="5">
        <v>0</v>
      </c>
      <c r="B7881" s="6" t="s">
        <v>44430</v>
      </c>
      <c r="C7881" s="7">
        <v>1560</v>
      </c>
      <c r="D7881" s="8" t="s">
        <v>44431</v>
      </c>
      <c r="E7881" s="8" t="s">
        <v>44432</v>
      </c>
      <c r="F7881" s="8" t="s">
        <v>9040</v>
      </c>
      <c r="G7881" s="6" t="s">
        <v>118</v>
      </c>
      <c r="H7881" s="6" t="s">
        <v>34</v>
      </c>
      <c r="I7881" s="8" t="s">
        <v>263</v>
      </c>
      <c r="J7881" s="9">
        <v>1</v>
      </c>
      <c r="K7881" s="9">
        <v>238</v>
      </c>
      <c r="L7881" s="9">
        <v>2026</v>
      </c>
      <c r="M7881" s="8" t="s">
        <v>44433</v>
      </c>
      <c r="N7881" s="8" t="s">
        <v>37</v>
      </c>
      <c r="O7881" s="8" t="s">
        <v>499</v>
      </c>
      <c r="P7881" s="6" t="s">
        <v>51</v>
      </c>
      <c r="Q7881" s="8" t="s">
        <v>265</v>
      </c>
      <c r="R7881" s="10" t="s">
        <v>44434</v>
      </c>
      <c r="S7881" s="11" t="s">
        <v>44435</v>
      </c>
      <c r="T7881" s="6"/>
      <c r="U7881" s="15" t="str">
        <f>HYPERLINK("https://media.infra-m.ru/2225/2225685/cover/2225685.jpg", "Обложка")</f>
        <v>Обложка</v>
      </c>
      <c r="V7881" s="8" t="s">
        <v>227</v>
      </c>
      <c r="W7881" s="6"/>
      <c r="X7881" s="6"/>
      <c r="Y7881" s="6"/>
      <c r="Z7881" s="6"/>
      <c r="AA7881" s="6" t="s">
        <v>1256</v>
      </c>
      <c r="AB7881" s="8" t="s">
        <v>3596</v>
      </c>
      <c r="AC7881" s="27">
        <v>9785160152943</v>
      </c>
    </row>
    <row r="7882" spans="1:29" s="4" customFormat="1" ht="42" customHeight="1" x14ac:dyDescent="0.2">
      <c r="A7882" s="5">
        <v>0</v>
      </c>
      <c r="B7882" s="6" t="s">
        <v>44436</v>
      </c>
      <c r="C7882" s="7">
        <v>1444.8</v>
      </c>
      <c r="D7882" s="8" t="s">
        <v>44437</v>
      </c>
      <c r="E7882" s="8" t="s">
        <v>44438</v>
      </c>
      <c r="F7882" s="8" t="s">
        <v>44439</v>
      </c>
      <c r="G7882" s="6" t="s">
        <v>118</v>
      </c>
      <c r="H7882" s="6" t="s">
        <v>820</v>
      </c>
      <c r="I7882" s="8"/>
      <c r="J7882" s="9">
        <v>1</v>
      </c>
      <c r="K7882" s="9">
        <v>218</v>
      </c>
      <c r="L7882" s="9">
        <v>2026</v>
      </c>
      <c r="M7882" s="8" t="s">
        <v>44440</v>
      </c>
      <c r="N7882" s="8" t="s">
        <v>243</v>
      </c>
      <c r="O7882" s="8" t="s">
        <v>244</v>
      </c>
      <c r="P7882" s="6" t="s">
        <v>306</v>
      </c>
      <c r="Q7882" s="8" t="s">
        <v>265</v>
      </c>
      <c r="R7882" s="10" t="s">
        <v>44441</v>
      </c>
      <c r="S7882" s="11"/>
      <c r="T7882" s="6"/>
      <c r="U7882" s="15" t="str">
        <f>HYPERLINK("https://media.infra-m.ru/2246/2246842/cover/2246842.jpg", "Обложка")</f>
        <v>Обложка</v>
      </c>
      <c r="V7882" s="8" t="s">
        <v>1908</v>
      </c>
      <c r="W7882" s="6"/>
      <c r="X7882" s="6" t="s">
        <v>24</v>
      </c>
      <c r="Y7882" s="6"/>
      <c r="Z7882" s="6"/>
      <c r="AA7882" s="6" t="s">
        <v>99</v>
      </c>
      <c r="AB7882" s="8"/>
      <c r="AC7882" s="27">
        <v>9785906818379</v>
      </c>
    </row>
    <row r="7883" spans="1:29" s="4" customFormat="1" ht="51.9" customHeight="1" x14ac:dyDescent="0.2">
      <c r="A7883" s="5">
        <v>0</v>
      </c>
      <c r="B7883" s="6" t="s">
        <v>44442</v>
      </c>
      <c r="C7883" s="7">
        <v>1104</v>
      </c>
      <c r="D7883" s="8" t="s">
        <v>44443</v>
      </c>
      <c r="E7883" s="8" t="s">
        <v>44444</v>
      </c>
      <c r="F7883" s="8" t="s">
        <v>44445</v>
      </c>
      <c r="G7883" s="6" t="s">
        <v>118</v>
      </c>
      <c r="H7883" s="6" t="s">
        <v>34</v>
      </c>
      <c r="I7883" s="8" t="s">
        <v>253</v>
      </c>
      <c r="J7883" s="9">
        <v>1</v>
      </c>
      <c r="K7883" s="9">
        <v>160</v>
      </c>
      <c r="L7883" s="9">
        <v>2026</v>
      </c>
      <c r="M7883" s="8" t="s">
        <v>44446</v>
      </c>
      <c r="N7883" s="8" t="s">
        <v>93</v>
      </c>
      <c r="O7883" s="8" t="s">
        <v>94</v>
      </c>
      <c r="P7883" s="6" t="s">
        <v>51</v>
      </c>
      <c r="Q7883" s="8" t="s">
        <v>52</v>
      </c>
      <c r="R7883" s="10" t="s">
        <v>9415</v>
      </c>
      <c r="S7883" s="11"/>
      <c r="T7883" s="6"/>
      <c r="U7883" s="15" t="str">
        <f>HYPERLINK("https://media.infra-m.ru/2221/2221543/cover/2221543.jpg", "Обложка")</f>
        <v>Обложка</v>
      </c>
      <c r="V7883" s="8" t="s">
        <v>1599</v>
      </c>
      <c r="W7883" s="6"/>
      <c r="X7883" s="6"/>
      <c r="Y7883" s="6"/>
      <c r="Z7883" s="6"/>
      <c r="AA7883" s="6" t="s">
        <v>157</v>
      </c>
      <c r="AB7883" s="8" t="s">
        <v>44447</v>
      </c>
      <c r="AC7883" s="27">
        <v>9785160179674</v>
      </c>
    </row>
    <row r="7884" spans="1:29" s="4" customFormat="1" ht="51.9" customHeight="1" x14ac:dyDescent="0.2">
      <c r="A7884" s="5">
        <v>0</v>
      </c>
      <c r="B7884" s="6" t="s">
        <v>44448</v>
      </c>
      <c r="C7884" s="13">
        <v>828</v>
      </c>
      <c r="D7884" s="8" t="s">
        <v>44449</v>
      </c>
      <c r="E7884" s="8" t="s">
        <v>44450</v>
      </c>
      <c r="F7884" s="8" t="s">
        <v>44451</v>
      </c>
      <c r="G7884" s="6" t="s">
        <v>33</v>
      </c>
      <c r="H7884" s="6" t="s">
        <v>313</v>
      </c>
      <c r="I7884" s="8" t="s">
        <v>35</v>
      </c>
      <c r="J7884" s="9">
        <v>1</v>
      </c>
      <c r="K7884" s="9">
        <v>126</v>
      </c>
      <c r="L7884" s="9">
        <v>2026</v>
      </c>
      <c r="M7884" s="8" t="s">
        <v>44452</v>
      </c>
      <c r="N7884" s="8" t="s">
        <v>37</v>
      </c>
      <c r="O7884" s="8" t="s">
        <v>83</v>
      </c>
      <c r="P7884" s="6" t="s">
        <v>39</v>
      </c>
      <c r="Q7884" s="8" t="s">
        <v>40</v>
      </c>
      <c r="R7884" s="10" t="s">
        <v>44453</v>
      </c>
      <c r="S7884" s="11"/>
      <c r="T7884" s="6"/>
      <c r="U7884" s="15" t="str">
        <f>HYPERLINK("https://media.infra-m.ru/2224/2224065/cover/2224065.jpg", "Обложка")</f>
        <v>Обложка</v>
      </c>
      <c r="V7884" s="8" t="s">
        <v>2088</v>
      </c>
      <c r="W7884" s="6"/>
      <c r="X7884" s="6"/>
      <c r="Y7884" s="6"/>
      <c r="Z7884" s="6"/>
      <c r="AA7884" s="6" t="s">
        <v>859</v>
      </c>
      <c r="AB7884" s="8"/>
      <c r="AC7884" s="27">
        <v>9785369013540</v>
      </c>
    </row>
    <row r="7885" spans="1:29" s="4" customFormat="1" ht="51.9" customHeight="1" x14ac:dyDescent="0.2">
      <c r="A7885" s="5">
        <v>0</v>
      </c>
      <c r="B7885" s="6" t="s">
        <v>44454</v>
      </c>
      <c r="C7885" s="7">
        <v>1948.8</v>
      </c>
      <c r="D7885" s="8" t="s">
        <v>44455</v>
      </c>
      <c r="E7885" s="8" t="s">
        <v>44456</v>
      </c>
      <c r="F7885" s="8" t="s">
        <v>44457</v>
      </c>
      <c r="G7885" s="6" t="s">
        <v>60</v>
      </c>
      <c r="H7885" s="6" t="s">
        <v>34</v>
      </c>
      <c r="I7885" s="8" t="s">
        <v>271</v>
      </c>
      <c r="J7885" s="9">
        <v>1</v>
      </c>
      <c r="K7885" s="9">
        <v>345</v>
      </c>
      <c r="L7885" s="9">
        <v>2024</v>
      </c>
      <c r="M7885" s="8" t="s">
        <v>44458</v>
      </c>
      <c r="N7885" s="8" t="s">
        <v>243</v>
      </c>
      <c r="O7885" s="8" t="s">
        <v>758</v>
      </c>
      <c r="P7885" s="6" t="s">
        <v>51</v>
      </c>
      <c r="Q7885" s="8" t="s">
        <v>52</v>
      </c>
      <c r="R7885" s="10" t="s">
        <v>20964</v>
      </c>
      <c r="S7885" s="11" t="s">
        <v>44459</v>
      </c>
      <c r="T7885" s="6"/>
      <c r="U7885" s="15" t="str">
        <f>HYPERLINK("https://media.infra-m.ru/2142/2142592/cover/2142592.jpg", "Обложка")</f>
        <v>Обложка</v>
      </c>
      <c r="V7885" s="8" t="s">
        <v>831</v>
      </c>
      <c r="W7885" s="6"/>
      <c r="X7885" s="6"/>
      <c r="Y7885" s="6"/>
      <c r="Z7885" s="6"/>
      <c r="AA7885" s="6" t="s">
        <v>99</v>
      </c>
      <c r="AB7885" s="8"/>
      <c r="AC7885" s="27">
        <v>9785160125183</v>
      </c>
    </row>
    <row r="7886" spans="1:29" s="4" customFormat="1" ht="51.9" customHeight="1" x14ac:dyDescent="0.2">
      <c r="A7886" s="5">
        <v>0</v>
      </c>
      <c r="B7886" s="6" t="s">
        <v>44460</v>
      </c>
      <c r="C7886" s="7">
        <v>1792.8</v>
      </c>
      <c r="D7886" s="8" t="s">
        <v>44461</v>
      </c>
      <c r="E7886" s="8" t="s">
        <v>44462</v>
      </c>
      <c r="F7886" s="8" t="s">
        <v>44463</v>
      </c>
      <c r="G7886" s="6" t="s">
        <v>118</v>
      </c>
      <c r="H7886" s="6" t="s">
        <v>34</v>
      </c>
      <c r="I7886" s="8" t="s">
        <v>263</v>
      </c>
      <c r="J7886" s="9">
        <v>1</v>
      </c>
      <c r="K7886" s="9">
        <v>271</v>
      </c>
      <c r="L7886" s="9">
        <v>2026</v>
      </c>
      <c r="M7886" s="8" t="s">
        <v>44464</v>
      </c>
      <c r="N7886" s="8" t="s">
        <v>243</v>
      </c>
      <c r="O7886" s="8" t="s">
        <v>758</v>
      </c>
      <c r="P7886" s="6" t="s">
        <v>51</v>
      </c>
      <c r="Q7886" s="8" t="s">
        <v>265</v>
      </c>
      <c r="R7886" s="10" t="s">
        <v>44465</v>
      </c>
      <c r="S7886" s="11" t="s">
        <v>44466</v>
      </c>
      <c r="T7886" s="6"/>
      <c r="U7886" s="15" t="str">
        <f>HYPERLINK("https://media.infra-m.ru/2230/2230641/cover/2230641.jpg", "Обложка")</f>
        <v>Обложка</v>
      </c>
      <c r="V7886" s="8" t="s">
        <v>3595</v>
      </c>
      <c r="W7886" s="6"/>
      <c r="X7886" s="6"/>
      <c r="Y7886" s="6"/>
      <c r="Z7886" s="6"/>
      <c r="AA7886" s="6" t="s">
        <v>148</v>
      </c>
      <c r="AB7886" s="8" t="s">
        <v>3581</v>
      </c>
      <c r="AC7886" s="27">
        <v>9785160154855</v>
      </c>
    </row>
    <row r="7887" spans="1:29" s="4" customFormat="1" ht="51.9" customHeight="1" x14ac:dyDescent="0.2">
      <c r="A7887" s="5">
        <v>0</v>
      </c>
      <c r="B7887" s="6" t="s">
        <v>44467</v>
      </c>
      <c r="C7887" s="7">
        <v>1116</v>
      </c>
      <c r="D7887" s="8" t="s">
        <v>44468</v>
      </c>
      <c r="E7887" s="8" t="s">
        <v>44469</v>
      </c>
      <c r="F7887" s="8" t="s">
        <v>44470</v>
      </c>
      <c r="G7887" s="6" t="s">
        <v>118</v>
      </c>
      <c r="H7887" s="6" t="s">
        <v>34</v>
      </c>
      <c r="I7887" s="8" t="s">
        <v>271</v>
      </c>
      <c r="J7887" s="9">
        <v>1</v>
      </c>
      <c r="K7887" s="9">
        <v>244</v>
      </c>
      <c r="L7887" s="9">
        <v>2022</v>
      </c>
      <c r="M7887" s="8" t="s">
        <v>44471</v>
      </c>
      <c r="N7887" s="8" t="s">
        <v>243</v>
      </c>
      <c r="O7887" s="8" t="s">
        <v>1100</v>
      </c>
      <c r="P7887" s="6" t="s">
        <v>51</v>
      </c>
      <c r="Q7887" s="8" t="s">
        <v>52</v>
      </c>
      <c r="R7887" s="10" t="s">
        <v>2820</v>
      </c>
      <c r="S7887" s="11" t="s">
        <v>44472</v>
      </c>
      <c r="T7887" s="6"/>
      <c r="U7887" s="15" t="str">
        <f>HYPERLINK("https://media.infra-m.ru/1864/1864199/cover/1864199.jpg", "Обложка")</f>
        <v>Обложка</v>
      </c>
      <c r="V7887" s="8" t="s">
        <v>1030</v>
      </c>
      <c r="W7887" s="6"/>
      <c r="X7887" s="6"/>
      <c r="Y7887" s="6"/>
      <c r="Z7887" s="6"/>
      <c r="AA7887" s="6" t="s">
        <v>115</v>
      </c>
      <c r="AB7887" s="8"/>
      <c r="AC7887" s="27">
        <v>9785160138176</v>
      </c>
    </row>
    <row r="7888" spans="1:29" s="4" customFormat="1" ht="42" customHeight="1" x14ac:dyDescent="0.2">
      <c r="A7888" s="5">
        <v>0</v>
      </c>
      <c r="B7888" s="6" t="s">
        <v>44473</v>
      </c>
      <c r="C7888" s="7">
        <v>1164</v>
      </c>
      <c r="D7888" s="8" t="s">
        <v>44474</v>
      </c>
      <c r="E7888" s="8" t="s">
        <v>44475</v>
      </c>
      <c r="F7888" s="8" t="s">
        <v>44476</v>
      </c>
      <c r="G7888" s="6" t="s">
        <v>33</v>
      </c>
      <c r="H7888" s="6" t="s">
        <v>34</v>
      </c>
      <c r="I7888" s="8" t="s">
        <v>35</v>
      </c>
      <c r="J7888" s="9">
        <v>1</v>
      </c>
      <c r="K7888" s="9">
        <v>187</v>
      </c>
      <c r="L7888" s="9">
        <v>2024</v>
      </c>
      <c r="M7888" s="8" t="s">
        <v>44477</v>
      </c>
      <c r="N7888" s="8" t="s">
        <v>37</v>
      </c>
      <c r="O7888" s="8" t="s">
        <v>499</v>
      </c>
      <c r="P7888" s="6" t="s">
        <v>39</v>
      </c>
      <c r="Q7888" s="8" t="s">
        <v>40</v>
      </c>
      <c r="R7888" s="10" t="s">
        <v>5331</v>
      </c>
      <c r="S7888" s="11"/>
      <c r="T7888" s="6"/>
      <c r="U7888" s="15" t="str">
        <f>HYPERLINK("https://media.infra-m.ru/2133/2133676/cover/2133676.jpg", "Обложка")</f>
        <v>Обложка</v>
      </c>
      <c r="V7888" s="8" t="s">
        <v>1505</v>
      </c>
      <c r="W7888" s="6"/>
      <c r="X7888" s="6"/>
      <c r="Y7888" s="6"/>
      <c r="Z7888" s="6"/>
      <c r="AA7888" s="6" t="s">
        <v>76</v>
      </c>
      <c r="AB7888" s="8"/>
      <c r="AC7888" s="27">
        <v>9785160196794</v>
      </c>
    </row>
    <row r="7889" spans="1:29" s="4" customFormat="1" ht="51.9" customHeight="1" x14ac:dyDescent="0.2">
      <c r="A7889" s="5">
        <v>0</v>
      </c>
      <c r="B7889" s="6" t="s">
        <v>44478</v>
      </c>
      <c r="C7889" s="7">
        <v>1824</v>
      </c>
      <c r="D7889" s="8" t="s">
        <v>44479</v>
      </c>
      <c r="E7889" s="8" t="s">
        <v>44480</v>
      </c>
      <c r="F7889" s="8" t="s">
        <v>44481</v>
      </c>
      <c r="G7889" s="6" t="s">
        <v>60</v>
      </c>
      <c r="H7889" s="6" t="s">
        <v>34</v>
      </c>
      <c r="I7889" s="8" t="s">
        <v>1128</v>
      </c>
      <c r="J7889" s="9">
        <v>1</v>
      </c>
      <c r="K7889" s="9">
        <v>302</v>
      </c>
      <c r="L7889" s="9">
        <v>2025</v>
      </c>
      <c r="M7889" s="8" t="s">
        <v>44482</v>
      </c>
      <c r="N7889" s="8" t="s">
        <v>243</v>
      </c>
      <c r="O7889" s="8" t="s">
        <v>758</v>
      </c>
      <c r="P7889" s="6" t="s">
        <v>51</v>
      </c>
      <c r="Q7889" s="8" t="s">
        <v>65</v>
      </c>
      <c r="R7889" s="10" t="s">
        <v>30933</v>
      </c>
      <c r="S7889" s="11" t="s">
        <v>44483</v>
      </c>
      <c r="T7889" s="6"/>
      <c r="U7889" s="15" t="str">
        <f>HYPERLINK("https://media.infra-m.ru/2169/2169741/cover/2169741.jpg", "Обложка")</f>
        <v>Обложка</v>
      </c>
      <c r="V7889" s="8" t="s">
        <v>1132</v>
      </c>
      <c r="W7889" s="6"/>
      <c r="X7889" s="6"/>
      <c r="Y7889" s="6"/>
      <c r="Z7889" s="6"/>
      <c r="AA7889" s="6" t="s">
        <v>68</v>
      </c>
      <c r="AB7889" s="8"/>
      <c r="AC7889" s="27">
        <v>9785160203348</v>
      </c>
    </row>
    <row r="7890" spans="1:29" s="4" customFormat="1" ht="42" customHeight="1" x14ac:dyDescent="0.2">
      <c r="A7890" s="5">
        <v>0</v>
      </c>
      <c r="B7890" s="6" t="s">
        <v>44484</v>
      </c>
      <c r="C7890" s="13">
        <v>708</v>
      </c>
      <c r="D7890" s="8" t="s">
        <v>44485</v>
      </c>
      <c r="E7890" s="8" t="s">
        <v>44486</v>
      </c>
      <c r="F7890" s="8" t="s">
        <v>44487</v>
      </c>
      <c r="G7890" s="6" t="s">
        <v>33</v>
      </c>
      <c r="H7890" s="6" t="s">
        <v>34</v>
      </c>
      <c r="I7890" s="8" t="s">
        <v>35</v>
      </c>
      <c r="J7890" s="9">
        <v>1</v>
      </c>
      <c r="K7890" s="9">
        <v>151</v>
      </c>
      <c r="L7890" s="9">
        <v>2022</v>
      </c>
      <c r="M7890" s="8" t="s">
        <v>44488</v>
      </c>
      <c r="N7890" s="8" t="s">
        <v>37</v>
      </c>
      <c r="O7890" s="8" t="s">
        <v>280</v>
      </c>
      <c r="P7890" s="6" t="s">
        <v>39</v>
      </c>
      <c r="Q7890" s="8" t="s">
        <v>40</v>
      </c>
      <c r="R7890" s="10" t="s">
        <v>44489</v>
      </c>
      <c r="S7890" s="11"/>
      <c r="T7890" s="6"/>
      <c r="U7890" s="15" t="str">
        <f>HYPERLINK("https://media.infra-m.ru/1851/1851805/cover/1851805.jpg", "Обложка")</f>
        <v>Обложка</v>
      </c>
      <c r="V7890" s="8" t="s">
        <v>644</v>
      </c>
      <c r="W7890" s="6"/>
      <c r="X7890" s="6"/>
      <c r="Y7890" s="6"/>
      <c r="Z7890" s="6"/>
      <c r="AA7890" s="6" t="s">
        <v>115</v>
      </c>
      <c r="AB7890" s="8"/>
      <c r="AC7890" s="27">
        <v>9785160142685</v>
      </c>
    </row>
    <row r="7891" spans="1:29" s="4" customFormat="1" ht="51.9" customHeight="1" x14ac:dyDescent="0.2">
      <c r="A7891" s="5">
        <v>0</v>
      </c>
      <c r="B7891" s="6" t="s">
        <v>44490</v>
      </c>
      <c r="C7891" s="7">
        <v>2736</v>
      </c>
      <c r="D7891" s="8" t="s">
        <v>44491</v>
      </c>
      <c r="E7891" s="8" t="s">
        <v>44492</v>
      </c>
      <c r="F7891" s="8" t="s">
        <v>44493</v>
      </c>
      <c r="G7891" s="6" t="s">
        <v>60</v>
      </c>
      <c r="H7891" s="6" t="s">
        <v>34</v>
      </c>
      <c r="I7891" s="8" t="s">
        <v>253</v>
      </c>
      <c r="J7891" s="9">
        <v>1</v>
      </c>
      <c r="K7891" s="9">
        <v>457</v>
      </c>
      <c r="L7891" s="9">
        <v>2025</v>
      </c>
      <c r="M7891" s="8" t="s">
        <v>44494</v>
      </c>
      <c r="N7891" s="8" t="s">
        <v>243</v>
      </c>
      <c r="O7891" s="8" t="s">
        <v>758</v>
      </c>
      <c r="P7891" s="6" t="s">
        <v>306</v>
      </c>
      <c r="Q7891" s="8" t="s">
        <v>52</v>
      </c>
      <c r="R7891" s="10" t="s">
        <v>44495</v>
      </c>
      <c r="S7891" s="11" t="s">
        <v>44496</v>
      </c>
      <c r="T7891" s="6"/>
      <c r="U7891" s="15" t="str">
        <f>HYPERLINK("https://media.infra-m.ru/2159/2159172/cover/2159172.jpg", "Обложка")</f>
        <v>Обложка</v>
      </c>
      <c r="V7891" s="8" t="s">
        <v>1505</v>
      </c>
      <c r="W7891" s="6"/>
      <c r="X7891" s="6"/>
      <c r="Y7891" s="6"/>
      <c r="Z7891" s="6"/>
      <c r="AA7891" s="6" t="s">
        <v>1256</v>
      </c>
      <c r="AB7891" s="8"/>
      <c r="AC7891" s="27">
        <v>9785160201863</v>
      </c>
    </row>
    <row r="7892" spans="1:29" s="4" customFormat="1" ht="51.9" customHeight="1" x14ac:dyDescent="0.2">
      <c r="A7892" s="5">
        <v>0</v>
      </c>
      <c r="B7892" s="6" t="s">
        <v>44497</v>
      </c>
      <c r="C7892" s="7">
        <v>1108.8</v>
      </c>
      <c r="D7892" s="8" t="s">
        <v>44498</v>
      </c>
      <c r="E7892" s="8" t="s">
        <v>44499</v>
      </c>
      <c r="F7892" s="8" t="s">
        <v>44500</v>
      </c>
      <c r="G7892" s="6" t="s">
        <v>118</v>
      </c>
      <c r="H7892" s="6" t="s">
        <v>48</v>
      </c>
      <c r="I7892" s="8" t="s">
        <v>263</v>
      </c>
      <c r="J7892" s="9">
        <v>1</v>
      </c>
      <c r="K7892" s="9">
        <v>176</v>
      </c>
      <c r="L7892" s="9">
        <v>2025</v>
      </c>
      <c r="M7892" s="8" t="s">
        <v>44501</v>
      </c>
      <c r="N7892" s="8" t="s">
        <v>243</v>
      </c>
      <c r="O7892" s="8" t="s">
        <v>1100</v>
      </c>
      <c r="P7892" s="6" t="s">
        <v>51</v>
      </c>
      <c r="Q7892" s="8" t="s">
        <v>265</v>
      </c>
      <c r="R7892" s="10" t="s">
        <v>44502</v>
      </c>
      <c r="S7892" s="11" t="s">
        <v>44503</v>
      </c>
      <c r="T7892" s="6"/>
      <c r="U7892" s="15" t="str">
        <f>HYPERLINK("https://media.infra-m.ru/2187/2187651/cover/2187651.jpg", "Обложка")</f>
        <v>Обложка</v>
      </c>
      <c r="V7892" s="8" t="s">
        <v>1853</v>
      </c>
      <c r="W7892" s="6"/>
      <c r="X7892" s="6"/>
      <c r="Y7892" s="6"/>
      <c r="Z7892" s="6" t="s">
        <v>267</v>
      </c>
      <c r="AA7892" s="6" t="s">
        <v>1256</v>
      </c>
      <c r="AB7892" s="8"/>
      <c r="AC7892" s="27">
        <v>9785000917176</v>
      </c>
    </row>
    <row r="7893" spans="1:29" s="4" customFormat="1" ht="51.9" customHeight="1" x14ac:dyDescent="0.2">
      <c r="A7893" s="5">
        <v>0</v>
      </c>
      <c r="B7893" s="6" t="s">
        <v>44504</v>
      </c>
      <c r="C7893" s="7">
        <v>1060.8</v>
      </c>
      <c r="D7893" s="8" t="s">
        <v>44505</v>
      </c>
      <c r="E7893" s="8" t="s">
        <v>44499</v>
      </c>
      <c r="F7893" s="8" t="s">
        <v>44500</v>
      </c>
      <c r="G7893" s="6" t="s">
        <v>33</v>
      </c>
      <c r="H7893" s="6" t="s">
        <v>48</v>
      </c>
      <c r="I7893" s="8" t="s">
        <v>253</v>
      </c>
      <c r="J7893" s="9">
        <v>1</v>
      </c>
      <c r="K7893" s="9">
        <v>176</v>
      </c>
      <c r="L7893" s="9">
        <v>2025</v>
      </c>
      <c r="M7893" s="8" t="s">
        <v>44506</v>
      </c>
      <c r="N7893" s="8" t="s">
        <v>243</v>
      </c>
      <c r="O7893" s="8" t="s">
        <v>1100</v>
      </c>
      <c r="P7893" s="6" t="s">
        <v>51</v>
      </c>
      <c r="Q7893" s="8" t="s">
        <v>52</v>
      </c>
      <c r="R7893" s="10" t="s">
        <v>44507</v>
      </c>
      <c r="S7893" s="11" t="s">
        <v>44508</v>
      </c>
      <c r="T7893" s="6"/>
      <c r="U7893" s="15" t="str">
        <f>HYPERLINK("https://media.infra-m.ru/2188/2188204/cover/2188204.jpg", "Обложка")</f>
        <v>Обложка</v>
      </c>
      <c r="V7893" s="8" t="s">
        <v>1853</v>
      </c>
      <c r="W7893" s="6"/>
      <c r="X7893" s="6"/>
      <c r="Y7893" s="6"/>
      <c r="Z7893" s="6"/>
      <c r="AA7893" s="6" t="s">
        <v>1506</v>
      </c>
      <c r="AB7893" s="8"/>
      <c r="AC7893" s="27">
        <v>9785911341732</v>
      </c>
    </row>
    <row r="7894" spans="1:29" s="4" customFormat="1" ht="51.9" customHeight="1" x14ac:dyDescent="0.2">
      <c r="A7894" s="5">
        <v>0</v>
      </c>
      <c r="B7894" s="6" t="s">
        <v>44509</v>
      </c>
      <c r="C7894" s="7">
        <v>1632</v>
      </c>
      <c r="D7894" s="8" t="s">
        <v>44510</v>
      </c>
      <c r="E7894" s="8" t="s">
        <v>44511</v>
      </c>
      <c r="F7894" s="8" t="s">
        <v>44512</v>
      </c>
      <c r="G7894" s="6" t="s">
        <v>118</v>
      </c>
      <c r="H7894" s="6" t="s">
        <v>820</v>
      </c>
      <c r="I7894" s="8" t="s">
        <v>1904</v>
      </c>
      <c r="J7894" s="9">
        <v>20</v>
      </c>
      <c r="K7894" s="9">
        <v>272</v>
      </c>
      <c r="L7894" s="9">
        <v>2025</v>
      </c>
      <c r="M7894" s="8" t="s">
        <v>44513</v>
      </c>
      <c r="N7894" s="8" t="s">
        <v>243</v>
      </c>
      <c r="O7894" s="8" t="s">
        <v>758</v>
      </c>
      <c r="P7894" s="6" t="s">
        <v>306</v>
      </c>
      <c r="Q7894" s="8" t="s">
        <v>52</v>
      </c>
      <c r="R7894" s="10" t="s">
        <v>22671</v>
      </c>
      <c r="S7894" s="11" t="s">
        <v>44514</v>
      </c>
      <c r="T7894" s="6"/>
      <c r="U7894" s="15" t="str">
        <f>HYPERLINK("https://media.infra-m.ru/2157/2157863/cover/2157863.jpg", "Обложка")</f>
        <v>Обложка</v>
      </c>
      <c r="V7894" s="8" t="s">
        <v>831</v>
      </c>
      <c r="W7894" s="6"/>
      <c r="X7894" s="6"/>
      <c r="Y7894" s="6"/>
      <c r="Z7894" s="6"/>
      <c r="AA7894" s="6" t="s">
        <v>99</v>
      </c>
      <c r="AB7894" s="8"/>
      <c r="AC7894" s="27">
        <v>9785906818690</v>
      </c>
    </row>
    <row r="7895" spans="1:29" s="4" customFormat="1" ht="51.9" customHeight="1" x14ac:dyDescent="0.2">
      <c r="A7895" s="5">
        <v>0</v>
      </c>
      <c r="B7895" s="6" t="s">
        <v>44515</v>
      </c>
      <c r="C7895" s="7">
        <v>2116.8000000000002</v>
      </c>
      <c r="D7895" s="8" t="s">
        <v>44516</v>
      </c>
      <c r="E7895" s="8" t="s">
        <v>44517</v>
      </c>
      <c r="F7895" s="8" t="s">
        <v>44518</v>
      </c>
      <c r="G7895" s="6" t="s">
        <v>60</v>
      </c>
      <c r="H7895" s="6" t="s">
        <v>1042</v>
      </c>
      <c r="I7895" s="8" t="s">
        <v>253</v>
      </c>
      <c r="J7895" s="9">
        <v>1</v>
      </c>
      <c r="K7895" s="9">
        <v>304</v>
      </c>
      <c r="L7895" s="9">
        <v>2027</v>
      </c>
      <c r="M7895" s="8" t="s">
        <v>44519</v>
      </c>
      <c r="N7895" s="8" t="s">
        <v>243</v>
      </c>
      <c r="O7895" s="8" t="s">
        <v>758</v>
      </c>
      <c r="P7895" s="6" t="s">
        <v>51</v>
      </c>
      <c r="Q7895" s="8" t="s">
        <v>52</v>
      </c>
      <c r="R7895" s="10" t="s">
        <v>16424</v>
      </c>
      <c r="S7895" s="11" t="s">
        <v>44520</v>
      </c>
      <c r="T7895" s="6"/>
      <c r="U7895" s="15" t="str">
        <f>HYPERLINK("https://media.infra-m.ru/2265/2265852/cover/2265852.jpg", "Обложка")</f>
        <v>Обложка</v>
      </c>
      <c r="V7895" s="8" t="s">
        <v>4409</v>
      </c>
      <c r="W7895" s="6"/>
      <c r="X7895" s="6"/>
      <c r="Y7895" s="6"/>
      <c r="Z7895" s="6"/>
      <c r="AA7895" s="6" t="s">
        <v>129</v>
      </c>
      <c r="AB7895" s="8"/>
      <c r="AC7895" s="27">
        <v>9785819904244</v>
      </c>
    </row>
    <row r="7896" spans="1:29" s="4" customFormat="1" ht="51.9" customHeight="1" x14ac:dyDescent="0.2">
      <c r="A7896" s="5">
        <v>0</v>
      </c>
      <c r="B7896" s="6" t="s">
        <v>44521</v>
      </c>
      <c r="C7896" s="7">
        <v>1324.8</v>
      </c>
      <c r="D7896" s="8" t="s">
        <v>44522</v>
      </c>
      <c r="E7896" s="8" t="s">
        <v>44523</v>
      </c>
      <c r="F7896" s="8" t="s">
        <v>44524</v>
      </c>
      <c r="G7896" s="6" t="s">
        <v>60</v>
      </c>
      <c r="H7896" s="6" t="s">
        <v>48</v>
      </c>
      <c r="I7896" s="8" t="s">
        <v>253</v>
      </c>
      <c r="J7896" s="9">
        <v>1</v>
      </c>
      <c r="K7896" s="9">
        <v>240</v>
      </c>
      <c r="L7896" s="9">
        <v>2024</v>
      </c>
      <c r="M7896" s="8" t="s">
        <v>44525</v>
      </c>
      <c r="N7896" s="8" t="s">
        <v>37</v>
      </c>
      <c r="O7896" s="8" t="s">
        <v>499</v>
      </c>
      <c r="P7896" s="6" t="s">
        <v>51</v>
      </c>
      <c r="Q7896" s="8" t="s">
        <v>52</v>
      </c>
      <c r="R7896" s="10" t="s">
        <v>26554</v>
      </c>
      <c r="S7896" s="11" t="s">
        <v>44526</v>
      </c>
      <c r="T7896" s="6"/>
      <c r="U7896" s="15" t="str">
        <f>HYPERLINK("https://media.infra-m.ru/2056/2056628/cover/2056628.jpg", "Обложка")</f>
        <v>Обложка</v>
      </c>
      <c r="V7896" s="8" t="s">
        <v>44527</v>
      </c>
      <c r="W7896" s="6"/>
      <c r="X7896" s="6"/>
      <c r="Y7896" s="6"/>
      <c r="Z7896" s="6"/>
      <c r="AA7896" s="6" t="s">
        <v>1506</v>
      </c>
      <c r="AB7896" s="8"/>
      <c r="AC7896" s="27">
        <v>9785911341374</v>
      </c>
    </row>
    <row r="7897" spans="1:29" s="4" customFormat="1" ht="51.9" customHeight="1" x14ac:dyDescent="0.2">
      <c r="A7897" s="5">
        <v>0</v>
      </c>
      <c r="B7897" s="6" t="s">
        <v>44528</v>
      </c>
      <c r="C7897" s="7">
        <v>2080.8000000000002</v>
      </c>
      <c r="D7897" s="8" t="s">
        <v>44529</v>
      </c>
      <c r="E7897" s="8" t="s">
        <v>44530</v>
      </c>
      <c r="F7897" s="8" t="s">
        <v>44531</v>
      </c>
      <c r="G7897" s="6" t="s">
        <v>60</v>
      </c>
      <c r="H7897" s="6" t="s">
        <v>34</v>
      </c>
      <c r="I7897" s="8" t="s">
        <v>263</v>
      </c>
      <c r="J7897" s="9">
        <v>1</v>
      </c>
      <c r="K7897" s="9">
        <v>346</v>
      </c>
      <c r="L7897" s="9">
        <v>2025</v>
      </c>
      <c r="M7897" s="8" t="s">
        <v>44532</v>
      </c>
      <c r="N7897" s="8" t="s">
        <v>243</v>
      </c>
      <c r="O7897" s="8" t="s">
        <v>758</v>
      </c>
      <c r="P7897" s="6" t="s">
        <v>51</v>
      </c>
      <c r="Q7897" s="8" t="s">
        <v>265</v>
      </c>
      <c r="R7897" s="10" t="s">
        <v>44533</v>
      </c>
      <c r="S7897" s="11" t="s">
        <v>44534</v>
      </c>
      <c r="T7897" s="6" t="s">
        <v>97</v>
      </c>
      <c r="U7897" s="15" t="str">
        <f>HYPERLINK("https://media.infra-m.ru/2156/2156923/cover/2156923.jpg", "Обложка")</f>
        <v>Обложка</v>
      </c>
      <c r="V7897" s="8" t="s">
        <v>1030</v>
      </c>
      <c r="W7897" s="6"/>
      <c r="X7897" s="6"/>
      <c r="Y7897" s="6"/>
      <c r="Z7897" s="6" t="s">
        <v>267</v>
      </c>
      <c r="AA7897" s="6" t="s">
        <v>1256</v>
      </c>
      <c r="AB7897" s="8"/>
      <c r="AC7897" s="27">
        <v>9785160156255</v>
      </c>
    </row>
    <row r="7898" spans="1:29" s="4" customFormat="1" ht="51.9" customHeight="1" x14ac:dyDescent="0.2">
      <c r="A7898" s="5">
        <v>0</v>
      </c>
      <c r="B7898" s="6" t="s">
        <v>44535</v>
      </c>
      <c r="C7898" s="7">
        <v>2416.8000000000002</v>
      </c>
      <c r="D7898" s="8" t="s">
        <v>44536</v>
      </c>
      <c r="E7898" s="8" t="s">
        <v>44530</v>
      </c>
      <c r="F7898" s="8" t="s">
        <v>44531</v>
      </c>
      <c r="G7898" s="6" t="s">
        <v>118</v>
      </c>
      <c r="H7898" s="6" t="s">
        <v>34</v>
      </c>
      <c r="I7898" s="8" t="s">
        <v>271</v>
      </c>
      <c r="J7898" s="9">
        <v>1</v>
      </c>
      <c r="K7898" s="9">
        <v>346</v>
      </c>
      <c r="L7898" s="9">
        <v>2027</v>
      </c>
      <c r="M7898" s="8" t="s">
        <v>44537</v>
      </c>
      <c r="N7898" s="8" t="s">
        <v>243</v>
      </c>
      <c r="O7898" s="8" t="s">
        <v>758</v>
      </c>
      <c r="P7898" s="6" t="s">
        <v>51</v>
      </c>
      <c r="Q7898" s="8" t="s">
        <v>52</v>
      </c>
      <c r="R7898" s="10" t="s">
        <v>21807</v>
      </c>
      <c r="S7898" s="11" t="s">
        <v>44538</v>
      </c>
      <c r="T7898" s="6" t="s">
        <v>97</v>
      </c>
      <c r="U7898" s="15" t="str">
        <f>HYPERLINK("https://media.infra-m.ru/2256/2256896/cover/2256896.jpg", "Обложка")</f>
        <v>Обложка</v>
      </c>
      <c r="V7898" s="8" t="s">
        <v>1030</v>
      </c>
      <c r="W7898" s="6"/>
      <c r="X7898" s="6"/>
      <c r="Y7898" s="6"/>
      <c r="Z7898" s="6"/>
      <c r="AA7898" s="6" t="s">
        <v>99</v>
      </c>
      <c r="AB7898" s="8"/>
      <c r="AC7898" s="27">
        <v>9785160126289</v>
      </c>
    </row>
    <row r="7899" spans="1:29" s="4" customFormat="1" ht="44.1" customHeight="1" x14ac:dyDescent="0.2">
      <c r="A7899" s="5">
        <v>0</v>
      </c>
      <c r="B7899" s="6" t="s">
        <v>44539</v>
      </c>
      <c r="C7899" s="7">
        <v>3168</v>
      </c>
      <c r="D7899" s="8" t="s">
        <v>44540</v>
      </c>
      <c r="E7899" s="8" t="s">
        <v>44541</v>
      </c>
      <c r="F7899" s="8" t="s">
        <v>44542</v>
      </c>
      <c r="G7899" s="6" t="s">
        <v>60</v>
      </c>
      <c r="H7899" s="6" t="s">
        <v>48</v>
      </c>
      <c r="I7899" s="8" t="s">
        <v>253</v>
      </c>
      <c r="J7899" s="9">
        <v>1</v>
      </c>
      <c r="K7899" s="9">
        <v>559</v>
      </c>
      <c r="L7899" s="9">
        <v>2024</v>
      </c>
      <c r="M7899" s="8" t="s">
        <v>44543</v>
      </c>
      <c r="N7899" s="8" t="s">
        <v>243</v>
      </c>
      <c r="O7899" s="8" t="s">
        <v>758</v>
      </c>
      <c r="P7899" s="6" t="s">
        <v>51</v>
      </c>
      <c r="Q7899" s="8" t="s">
        <v>52</v>
      </c>
      <c r="R7899" s="10" t="s">
        <v>11590</v>
      </c>
      <c r="S7899" s="11"/>
      <c r="T7899" s="6"/>
      <c r="U7899" s="15" t="str">
        <f>HYPERLINK("https://media.infra-m.ru/1026/1026334/cover/1026334.jpg", "Обложка")</f>
        <v>Обложка</v>
      </c>
      <c r="V7899" s="8" t="s">
        <v>831</v>
      </c>
      <c r="W7899" s="6"/>
      <c r="X7899" s="6"/>
      <c r="Y7899" s="6"/>
      <c r="Z7899" s="6"/>
      <c r="AA7899" s="6" t="s">
        <v>106</v>
      </c>
      <c r="AB7899" s="8"/>
      <c r="AC7899" s="27">
        <v>9785000917046</v>
      </c>
    </row>
    <row r="7900" spans="1:29" s="4" customFormat="1" ht="51.9" customHeight="1" x14ac:dyDescent="0.2">
      <c r="A7900" s="5">
        <v>0</v>
      </c>
      <c r="B7900" s="6" t="s">
        <v>44544</v>
      </c>
      <c r="C7900" s="7">
        <v>2033.9</v>
      </c>
      <c r="D7900" s="8" t="s">
        <v>44545</v>
      </c>
      <c r="E7900" s="8" t="s">
        <v>44546</v>
      </c>
      <c r="F7900" s="8" t="s">
        <v>44547</v>
      </c>
      <c r="G7900" s="6" t="s">
        <v>60</v>
      </c>
      <c r="H7900" s="6" t="s">
        <v>48</v>
      </c>
      <c r="I7900" s="8" t="s">
        <v>253</v>
      </c>
      <c r="J7900" s="9">
        <v>1</v>
      </c>
      <c r="K7900" s="9">
        <v>528</v>
      </c>
      <c r="L7900" s="9">
        <v>2019</v>
      </c>
      <c r="M7900" s="8" t="s">
        <v>44548</v>
      </c>
      <c r="N7900" s="8" t="s">
        <v>243</v>
      </c>
      <c r="O7900" s="8" t="s">
        <v>758</v>
      </c>
      <c r="P7900" s="6" t="s">
        <v>51</v>
      </c>
      <c r="Q7900" s="8" t="s">
        <v>52</v>
      </c>
      <c r="R7900" s="10" t="s">
        <v>11590</v>
      </c>
      <c r="S7900" s="11" t="s">
        <v>44549</v>
      </c>
      <c r="T7900" s="6"/>
      <c r="U7900" s="15" t="str">
        <f>HYPERLINK("https://media.infra-m.ru/0987/0987218/cover/987218.jpg", "Обложка")</f>
        <v>Обложка</v>
      </c>
      <c r="V7900" s="8" t="s">
        <v>1206</v>
      </c>
      <c r="W7900" s="6"/>
      <c r="X7900" s="6"/>
      <c r="Y7900" s="6"/>
      <c r="Z7900" s="6"/>
      <c r="AA7900" s="6" t="s">
        <v>1015</v>
      </c>
      <c r="AB7900" s="8"/>
      <c r="AC7900" s="27">
        <v>9785911344191</v>
      </c>
    </row>
    <row r="7901" spans="1:29" s="4" customFormat="1" ht="51.9" customHeight="1" x14ac:dyDescent="0.2">
      <c r="A7901" s="5">
        <v>0</v>
      </c>
      <c r="B7901" s="6" t="s">
        <v>44550</v>
      </c>
      <c r="C7901" s="7">
        <v>1528.8</v>
      </c>
      <c r="D7901" s="8" t="s">
        <v>44551</v>
      </c>
      <c r="E7901" s="8" t="s">
        <v>44546</v>
      </c>
      <c r="F7901" s="8" t="s">
        <v>44552</v>
      </c>
      <c r="G7901" s="6" t="s">
        <v>60</v>
      </c>
      <c r="H7901" s="6" t="s">
        <v>34</v>
      </c>
      <c r="I7901" s="8" t="s">
        <v>271</v>
      </c>
      <c r="J7901" s="9">
        <v>1</v>
      </c>
      <c r="K7901" s="9">
        <v>218</v>
      </c>
      <c r="L7901" s="9">
        <v>2027</v>
      </c>
      <c r="M7901" s="8" t="s">
        <v>44553</v>
      </c>
      <c r="N7901" s="8" t="s">
        <v>243</v>
      </c>
      <c r="O7901" s="8" t="s">
        <v>758</v>
      </c>
      <c r="P7901" s="6" t="s">
        <v>306</v>
      </c>
      <c r="Q7901" s="8" t="s">
        <v>52</v>
      </c>
      <c r="R7901" s="10" t="s">
        <v>44554</v>
      </c>
      <c r="S7901" s="11"/>
      <c r="T7901" s="6"/>
      <c r="U7901" s="15" t="str">
        <f>HYPERLINK("https://media.infra-m.ru/2271/2271619/cover/2271619.jpg", "Обложка")</f>
        <v>Обложка</v>
      </c>
      <c r="V7901" s="8" t="s">
        <v>19024</v>
      </c>
      <c r="W7901" s="6"/>
      <c r="X7901" s="6"/>
      <c r="Y7901" s="6"/>
      <c r="Z7901" s="6"/>
      <c r="AA7901" s="6" t="s">
        <v>248</v>
      </c>
      <c r="AB7901" s="8"/>
      <c r="AC7901" s="27">
        <v>9785160092577</v>
      </c>
    </row>
    <row r="7902" spans="1:29" s="4" customFormat="1" ht="51.9" customHeight="1" x14ac:dyDescent="0.2">
      <c r="A7902" s="5">
        <v>0</v>
      </c>
      <c r="B7902" s="6" t="s">
        <v>44555</v>
      </c>
      <c r="C7902" s="7">
        <v>2280</v>
      </c>
      <c r="D7902" s="8" t="s">
        <v>44556</v>
      </c>
      <c r="E7902" s="8" t="s">
        <v>44557</v>
      </c>
      <c r="F7902" s="8" t="s">
        <v>4643</v>
      </c>
      <c r="G7902" s="6" t="s">
        <v>60</v>
      </c>
      <c r="H7902" s="6" t="s">
        <v>34</v>
      </c>
      <c r="I7902" s="8" t="s">
        <v>35</v>
      </c>
      <c r="J7902" s="9">
        <v>1</v>
      </c>
      <c r="K7902" s="9">
        <v>362</v>
      </c>
      <c r="L7902" s="9">
        <v>2024</v>
      </c>
      <c r="M7902" s="8" t="s">
        <v>44558</v>
      </c>
      <c r="N7902" s="8" t="s">
        <v>243</v>
      </c>
      <c r="O7902" s="8" t="s">
        <v>798</v>
      </c>
      <c r="P7902" s="6" t="s">
        <v>39</v>
      </c>
      <c r="Q7902" s="8" t="s">
        <v>40</v>
      </c>
      <c r="R7902" s="10" t="s">
        <v>44559</v>
      </c>
      <c r="S7902" s="11"/>
      <c r="T7902" s="6"/>
      <c r="U7902" s="15" t="str">
        <f>HYPERLINK("https://media.infra-m.ru/2137/2137625/cover/2137625.jpg", "Обложка")</f>
        <v>Обложка</v>
      </c>
      <c r="V7902" s="8" t="s">
        <v>761</v>
      </c>
      <c r="W7902" s="6"/>
      <c r="X7902" s="6"/>
      <c r="Y7902" s="6"/>
      <c r="Z7902" s="6"/>
      <c r="AA7902" s="6" t="s">
        <v>76</v>
      </c>
      <c r="AB7902" s="8"/>
      <c r="AC7902" s="27">
        <v>9785160197937</v>
      </c>
    </row>
    <row r="7903" spans="1:29" s="4" customFormat="1" ht="44.1" customHeight="1" x14ac:dyDescent="0.2">
      <c r="A7903" s="5">
        <v>0</v>
      </c>
      <c r="B7903" s="6" t="s">
        <v>44560</v>
      </c>
      <c r="C7903" s="7">
        <v>1584</v>
      </c>
      <c r="D7903" s="8" t="s">
        <v>44561</v>
      </c>
      <c r="E7903" s="8" t="s">
        <v>44562</v>
      </c>
      <c r="F7903" s="8" t="s">
        <v>44563</v>
      </c>
      <c r="G7903" s="6" t="s">
        <v>118</v>
      </c>
      <c r="H7903" s="6" t="s">
        <v>34</v>
      </c>
      <c r="I7903" s="8" t="s">
        <v>253</v>
      </c>
      <c r="J7903" s="9">
        <v>1</v>
      </c>
      <c r="K7903" s="9">
        <v>221</v>
      </c>
      <c r="L7903" s="9">
        <v>2026</v>
      </c>
      <c r="M7903" s="8" t="s">
        <v>44564</v>
      </c>
      <c r="N7903" s="8" t="s">
        <v>243</v>
      </c>
      <c r="O7903" s="8" t="s">
        <v>758</v>
      </c>
      <c r="P7903" s="6" t="s">
        <v>51</v>
      </c>
      <c r="Q7903" s="8" t="s">
        <v>500</v>
      </c>
      <c r="R7903" s="10" t="s">
        <v>44565</v>
      </c>
      <c r="S7903" s="11"/>
      <c r="T7903" s="6"/>
      <c r="U7903" s="15" t="str">
        <f>HYPERLINK("https://media.infra-m.ru/2236/2236523/cover/2236523.jpg", "Обложка")</f>
        <v>Обложка</v>
      </c>
      <c r="V7903" s="8" t="s">
        <v>3595</v>
      </c>
      <c r="W7903" s="6"/>
      <c r="X7903" s="6"/>
      <c r="Y7903" s="6"/>
      <c r="Z7903" s="6"/>
      <c r="AA7903" s="6" t="s">
        <v>76</v>
      </c>
      <c r="AB7903" s="8"/>
      <c r="AC7903" s="27">
        <v>9785160179667</v>
      </c>
    </row>
    <row r="7904" spans="1:29" s="4" customFormat="1" ht="44.1" customHeight="1" x14ac:dyDescent="0.2">
      <c r="A7904" s="5">
        <v>0</v>
      </c>
      <c r="B7904" s="6" t="s">
        <v>44566</v>
      </c>
      <c r="C7904" s="7">
        <v>1260</v>
      </c>
      <c r="D7904" s="8" t="s">
        <v>44567</v>
      </c>
      <c r="E7904" s="8" t="s">
        <v>44568</v>
      </c>
      <c r="F7904" s="8" t="s">
        <v>44569</v>
      </c>
      <c r="G7904" s="6" t="s">
        <v>60</v>
      </c>
      <c r="H7904" s="6" t="s">
        <v>34</v>
      </c>
      <c r="I7904" s="8" t="s">
        <v>1248</v>
      </c>
      <c r="J7904" s="9">
        <v>1</v>
      </c>
      <c r="K7904" s="9">
        <v>180</v>
      </c>
      <c r="L7904" s="9">
        <v>2026</v>
      </c>
      <c r="M7904" s="8" t="s">
        <v>44570</v>
      </c>
      <c r="N7904" s="8" t="s">
        <v>243</v>
      </c>
      <c r="O7904" s="8" t="s">
        <v>758</v>
      </c>
      <c r="P7904" s="6" t="s">
        <v>51</v>
      </c>
      <c r="Q7904" s="8" t="s">
        <v>65</v>
      </c>
      <c r="R7904" s="10" t="s">
        <v>44571</v>
      </c>
      <c r="S7904" s="11"/>
      <c r="T7904" s="6"/>
      <c r="U7904" s="15" t="str">
        <f>HYPERLINK("https://media.infra-m.ru/2223/2223538/cover/2223538.jpg", "Обложка")</f>
        <v>Обложка</v>
      </c>
      <c r="V7904" s="8" t="s">
        <v>1083</v>
      </c>
      <c r="W7904" s="6" t="s">
        <v>186</v>
      </c>
      <c r="X7904" s="6"/>
      <c r="Y7904" s="6"/>
      <c r="Z7904" s="6"/>
      <c r="AA7904" s="6" t="s">
        <v>187</v>
      </c>
      <c r="AB7904" s="8"/>
      <c r="AC7904" s="27">
        <v>9785160213897</v>
      </c>
    </row>
    <row r="7905" spans="1:29" s="4" customFormat="1" ht="51.9" customHeight="1" x14ac:dyDescent="0.2">
      <c r="A7905" s="5">
        <v>0</v>
      </c>
      <c r="B7905" s="6" t="s">
        <v>44572</v>
      </c>
      <c r="C7905" s="7">
        <v>1008</v>
      </c>
      <c r="D7905" s="8" t="s">
        <v>44573</v>
      </c>
      <c r="E7905" s="8" t="s">
        <v>44574</v>
      </c>
      <c r="F7905" s="8" t="s">
        <v>44575</v>
      </c>
      <c r="G7905" s="6" t="s">
        <v>118</v>
      </c>
      <c r="H7905" s="6" t="s">
        <v>34</v>
      </c>
      <c r="I7905" s="8" t="s">
        <v>10637</v>
      </c>
      <c r="J7905" s="9">
        <v>1</v>
      </c>
      <c r="K7905" s="9">
        <v>171</v>
      </c>
      <c r="L7905" s="9">
        <v>2024</v>
      </c>
      <c r="M7905" s="8" t="s">
        <v>44576</v>
      </c>
      <c r="N7905" s="8" t="s">
        <v>243</v>
      </c>
      <c r="O7905" s="8" t="s">
        <v>964</v>
      </c>
      <c r="P7905" s="6" t="s">
        <v>51</v>
      </c>
      <c r="Q7905" s="8" t="s">
        <v>265</v>
      </c>
      <c r="R7905" s="10" t="s">
        <v>44577</v>
      </c>
      <c r="S7905" s="11" t="s">
        <v>44578</v>
      </c>
      <c r="T7905" s="6"/>
      <c r="U7905" s="15" t="str">
        <f>HYPERLINK("https://media.infra-m.ru/2141/2141853/cover/2141853.jpg", "Обложка")</f>
        <v>Обложка</v>
      </c>
      <c r="V7905" s="8" t="s">
        <v>1083</v>
      </c>
      <c r="W7905" s="6"/>
      <c r="X7905" s="6"/>
      <c r="Y7905" s="6"/>
      <c r="Z7905" s="6" t="s">
        <v>267</v>
      </c>
      <c r="AA7905" s="6" t="s">
        <v>115</v>
      </c>
      <c r="AB7905" s="8"/>
      <c r="AC7905" s="27">
        <v>9785160170787</v>
      </c>
    </row>
    <row r="7906" spans="1:29" s="4" customFormat="1" ht="51.9" customHeight="1" x14ac:dyDescent="0.2">
      <c r="A7906" s="5">
        <v>0</v>
      </c>
      <c r="B7906" s="6" t="s">
        <v>44579</v>
      </c>
      <c r="C7906" s="7">
        <v>1012.8</v>
      </c>
      <c r="D7906" s="8" t="s">
        <v>44580</v>
      </c>
      <c r="E7906" s="8" t="s">
        <v>44581</v>
      </c>
      <c r="F7906" s="8" t="s">
        <v>44575</v>
      </c>
      <c r="G7906" s="6" t="s">
        <v>118</v>
      </c>
      <c r="H7906" s="6" t="s">
        <v>34</v>
      </c>
      <c r="I7906" s="8" t="s">
        <v>10637</v>
      </c>
      <c r="J7906" s="9">
        <v>1</v>
      </c>
      <c r="K7906" s="9">
        <v>168</v>
      </c>
      <c r="L7906" s="9">
        <v>2025</v>
      </c>
      <c r="M7906" s="8" t="s">
        <v>44582</v>
      </c>
      <c r="N7906" s="8" t="s">
        <v>243</v>
      </c>
      <c r="O7906" s="8" t="s">
        <v>964</v>
      </c>
      <c r="P7906" s="6" t="s">
        <v>51</v>
      </c>
      <c r="Q7906" s="8" t="s">
        <v>265</v>
      </c>
      <c r="R7906" s="10" t="s">
        <v>44577</v>
      </c>
      <c r="S7906" s="11" t="s">
        <v>44578</v>
      </c>
      <c r="T7906" s="6"/>
      <c r="U7906" s="15" t="str">
        <f>HYPERLINK("https://media.infra-m.ru/2187/2187051/cover/2187051.jpg", "Обложка")</f>
        <v>Обложка</v>
      </c>
      <c r="V7906" s="8" t="s">
        <v>1083</v>
      </c>
      <c r="W7906" s="6"/>
      <c r="X7906" s="6"/>
      <c r="Y7906" s="6"/>
      <c r="Z7906" s="6" t="s">
        <v>267</v>
      </c>
      <c r="AA7906" s="6" t="s">
        <v>115</v>
      </c>
      <c r="AB7906" s="8"/>
      <c r="AC7906" s="27">
        <v>9785160171166</v>
      </c>
    </row>
    <row r="7907" spans="1:29" s="4" customFormat="1" ht="51.9" customHeight="1" x14ac:dyDescent="0.2">
      <c r="A7907" s="5">
        <v>0</v>
      </c>
      <c r="B7907" s="6" t="s">
        <v>44583</v>
      </c>
      <c r="C7907" s="13">
        <v>952.8</v>
      </c>
      <c r="D7907" s="8" t="s">
        <v>44584</v>
      </c>
      <c r="E7907" s="8" t="s">
        <v>44581</v>
      </c>
      <c r="F7907" s="8" t="s">
        <v>44575</v>
      </c>
      <c r="G7907" s="6" t="s">
        <v>118</v>
      </c>
      <c r="H7907" s="6" t="s">
        <v>34</v>
      </c>
      <c r="I7907" s="8"/>
      <c r="J7907" s="9">
        <v>1</v>
      </c>
      <c r="K7907" s="9">
        <v>168</v>
      </c>
      <c r="L7907" s="9">
        <v>2024</v>
      </c>
      <c r="M7907" s="8" t="s">
        <v>44585</v>
      </c>
      <c r="N7907" s="8" t="s">
        <v>243</v>
      </c>
      <c r="O7907" s="8" t="s">
        <v>964</v>
      </c>
      <c r="P7907" s="6" t="s">
        <v>51</v>
      </c>
      <c r="Q7907" s="8" t="s">
        <v>52</v>
      </c>
      <c r="R7907" s="10" t="s">
        <v>7846</v>
      </c>
      <c r="S7907" s="11" t="s">
        <v>44586</v>
      </c>
      <c r="T7907" s="6"/>
      <c r="U7907" s="15" t="str">
        <f>HYPERLINK("https://media.infra-m.ru/2006/2006849/cover/2006849.jpg", "Обложка")</f>
        <v>Обложка</v>
      </c>
      <c r="V7907" s="8" t="s">
        <v>1083</v>
      </c>
      <c r="W7907" s="6"/>
      <c r="X7907" s="6"/>
      <c r="Y7907" s="6"/>
      <c r="Z7907" s="6"/>
      <c r="AA7907" s="6" t="s">
        <v>86</v>
      </c>
      <c r="AB7907" s="8"/>
      <c r="AC7907" s="27">
        <v>9785160131399</v>
      </c>
    </row>
    <row r="7908" spans="1:29" s="4" customFormat="1" ht="51.9" customHeight="1" x14ac:dyDescent="0.2">
      <c r="A7908" s="5">
        <v>0</v>
      </c>
      <c r="B7908" s="6" t="s">
        <v>44587</v>
      </c>
      <c r="C7908" s="13">
        <v>660</v>
      </c>
      <c r="D7908" s="8" t="s">
        <v>44588</v>
      </c>
      <c r="E7908" s="8" t="s">
        <v>44589</v>
      </c>
      <c r="F7908" s="8" t="s">
        <v>44575</v>
      </c>
      <c r="G7908" s="6" t="s">
        <v>118</v>
      </c>
      <c r="H7908" s="6" t="s">
        <v>34</v>
      </c>
      <c r="I7908" s="8" t="s">
        <v>7198</v>
      </c>
      <c r="J7908" s="9">
        <v>1</v>
      </c>
      <c r="K7908" s="9">
        <v>171</v>
      </c>
      <c r="L7908" s="9">
        <v>2019</v>
      </c>
      <c r="M7908" s="8" t="s">
        <v>44590</v>
      </c>
      <c r="N7908" s="8" t="s">
        <v>243</v>
      </c>
      <c r="O7908" s="8" t="s">
        <v>964</v>
      </c>
      <c r="P7908" s="6" t="s">
        <v>51</v>
      </c>
      <c r="Q7908" s="8" t="s">
        <v>52</v>
      </c>
      <c r="R7908" s="10"/>
      <c r="S7908" s="11" t="s">
        <v>44586</v>
      </c>
      <c r="T7908" s="6"/>
      <c r="U7908" s="15" t="str">
        <f>HYPERLINK("https://media.infra-m.ru/1008/1008368/cover/1008368.jpg", "Обложка")</f>
        <v>Обложка</v>
      </c>
      <c r="V7908" s="8" t="s">
        <v>1083</v>
      </c>
      <c r="W7908" s="6"/>
      <c r="X7908" s="6"/>
      <c r="Y7908" s="6"/>
      <c r="Z7908" s="6"/>
      <c r="AA7908" s="6" t="s">
        <v>86</v>
      </c>
      <c r="AB7908" s="8"/>
      <c r="AC7908" s="27">
        <v>9785160132358</v>
      </c>
    </row>
    <row r="7909" spans="1:29" s="4" customFormat="1" ht="51.9" customHeight="1" x14ac:dyDescent="0.2">
      <c r="A7909" s="5">
        <v>0</v>
      </c>
      <c r="B7909" s="6" t="s">
        <v>44591</v>
      </c>
      <c r="C7909" s="7">
        <v>1680</v>
      </c>
      <c r="D7909" s="8" t="s">
        <v>44592</v>
      </c>
      <c r="E7909" s="8" t="s">
        <v>44593</v>
      </c>
      <c r="F7909" s="8" t="s">
        <v>44594</v>
      </c>
      <c r="G7909" s="6" t="s">
        <v>60</v>
      </c>
      <c r="H7909" s="6" t="s">
        <v>34</v>
      </c>
      <c r="I7909" s="8" t="s">
        <v>1128</v>
      </c>
      <c r="J7909" s="9">
        <v>1</v>
      </c>
      <c r="K7909" s="9">
        <v>280</v>
      </c>
      <c r="L7909" s="9">
        <v>2025</v>
      </c>
      <c r="M7909" s="8" t="s">
        <v>44595</v>
      </c>
      <c r="N7909" s="8" t="s">
        <v>243</v>
      </c>
      <c r="O7909" s="8" t="s">
        <v>1100</v>
      </c>
      <c r="P7909" s="6" t="s">
        <v>51</v>
      </c>
      <c r="Q7909" s="8" t="s">
        <v>65</v>
      </c>
      <c r="R7909" s="10" t="s">
        <v>1858</v>
      </c>
      <c r="S7909" s="11" t="s">
        <v>44596</v>
      </c>
      <c r="T7909" s="6"/>
      <c r="U7909" s="15" t="str">
        <f>HYPERLINK("https://media.infra-m.ru/2169/2169739/cover/2169739.jpg", "Обложка")</f>
        <v>Обложка</v>
      </c>
      <c r="V7909" s="8" t="s">
        <v>1132</v>
      </c>
      <c r="W7909" s="6"/>
      <c r="X7909" s="6"/>
      <c r="Y7909" s="6"/>
      <c r="Z7909" s="6"/>
      <c r="AA7909" s="6" t="s">
        <v>68</v>
      </c>
      <c r="AB7909" s="8" t="s">
        <v>30611</v>
      </c>
      <c r="AC7909" s="27">
        <v>9785160203324</v>
      </c>
    </row>
    <row r="7910" spans="1:29" s="4" customFormat="1" ht="51.9" customHeight="1" x14ac:dyDescent="0.2">
      <c r="A7910" s="5">
        <v>0</v>
      </c>
      <c r="B7910" s="6" t="s">
        <v>44597</v>
      </c>
      <c r="C7910" s="7">
        <v>3364.8</v>
      </c>
      <c r="D7910" s="8" t="s">
        <v>44598</v>
      </c>
      <c r="E7910" s="8" t="s">
        <v>44599</v>
      </c>
      <c r="F7910" s="8" t="s">
        <v>40783</v>
      </c>
      <c r="G7910" s="6" t="s">
        <v>60</v>
      </c>
      <c r="H7910" s="6" t="s">
        <v>34</v>
      </c>
      <c r="I7910" s="8" t="s">
        <v>263</v>
      </c>
      <c r="J7910" s="9">
        <v>1</v>
      </c>
      <c r="K7910" s="9">
        <v>512</v>
      </c>
      <c r="L7910" s="9">
        <v>2026</v>
      </c>
      <c r="M7910" s="8" t="s">
        <v>44600</v>
      </c>
      <c r="N7910" s="8" t="s">
        <v>243</v>
      </c>
      <c r="O7910" s="8" t="s">
        <v>758</v>
      </c>
      <c r="P7910" s="6" t="s">
        <v>306</v>
      </c>
      <c r="Q7910" s="8" t="s">
        <v>265</v>
      </c>
      <c r="R7910" s="10" t="s">
        <v>44601</v>
      </c>
      <c r="S7910" s="11" t="s">
        <v>44602</v>
      </c>
      <c r="T7910" s="6"/>
      <c r="U7910" s="15" t="str">
        <f>HYPERLINK("https://media.infra-m.ru/2253/2253950/cover/2253950.jpg", "Обложка")</f>
        <v>Обложка</v>
      </c>
      <c r="V7910" s="8" t="s">
        <v>227</v>
      </c>
      <c r="W7910" s="6"/>
      <c r="X7910" s="6"/>
      <c r="Y7910" s="6"/>
      <c r="Z7910" s="6"/>
      <c r="AA7910" s="6" t="s">
        <v>4023</v>
      </c>
      <c r="AB7910" s="8"/>
      <c r="AC7910" s="27">
        <v>9785160158457</v>
      </c>
    </row>
    <row r="7911" spans="1:29" s="4" customFormat="1" ht="51.9" customHeight="1" x14ac:dyDescent="0.2">
      <c r="A7911" s="5">
        <v>0</v>
      </c>
      <c r="B7911" s="6" t="s">
        <v>44603</v>
      </c>
      <c r="C7911" s="7">
        <v>2812.8</v>
      </c>
      <c r="D7911" s="8" t="s">
        <v>44604</v>
      </c>
      <c r="E7911" s="8" t="s">
        <v>44605</v>
      </c>
      <c r="F7911" s="8" t="s">
        <v>44606</v>
      </c>
      <c r="G7911" s="6" t="s">
        <v>60</v>
      </c>
      <c r="H7911" s="6" t="s">
        <v>34</v>
      </c>
      <c r="I7911" s="8" t="s">
        <v>263</v>
      </c>
      <c r="J7911" s="9">
        <v>1</v>
      </c>
      <c r="K7911" s="9">
        <v>469</v>
      </c>
      <c r="L7911" s="9">
        <v>2024</v>
      </c>
      <c r="M7911" s="8" t="s">
        <v>44607</v>
      </c>
      <c r="N7911" s="8" t="s">
        <v>243</v>
      </c>
      <c r="O7911" s="8" t="s">
        <v>758</v>
      </c>
      <c r="P7911" s="6" t="s">
        <v>306</v>
      </c>
      <c r="Q7911" s="8" t="s">
        <v>265</v>
      </c>
      <c r="R7911" s="10" t="s">
        <v>44608</v>
      </c>
      <c r="S7911" s="11" t="s">
        <v>44609</v>
      </c>
      <c r="T7911" s="6"/>
      <c r="U7911" s="15" t="str">
        <f>HYPERLINK("https://media.infra-m.ru/2187/2187249/cover/2187249.jpg", "Обложка")</f>
        <v>Обложка</v>
      </c>
      <c r="V7911" s="8"/>
      <c r="W7911" s="6"/>
      <c r="X7911" s="6"/>
      <c r="Y7911" s="6"/>
      <c r="Z7911" s="6"/>
      <c r="AA7911" s="6" t="s">
        <v>3189</v>
      </c>
      <c r="AB7911" s="8"/>
      <c r="AC7911" s="27">
        <v>9785160173160</v>
      </c>
    </row>
    <row r="7912" spans="1:29" s="4" customFormat="1" ht="51.9" customHeight="1" x14ac:dyDescent="0.2">
      <c r="A7912" s="5">
        <v>0</v>
      </c>
      <c r="B7912" s="6" t="s">
        <v>44610</v>
      </c>
      <c r="C7912" s="13">
        <v>736.8</v>
      </c>
      <c r="D7912" s="8" t="s">
        <v>44611</v>
      </c>
      <c r="E7912" s="8" t="s">
        <v>44612</v>
      </c>
      <c r="F7912" s="8" t="s">
        <v>30173</v>
      </c>
      <c r="G7912" s="6" t="s">
        <v>33</v>
      </c>
      <c r="H7912" s="6" t="s">
        <v>1042</v>
      </c>
      <c r="I7912" s="8" t="s">
        <v>263</v>
      </c>
      <c r="J7912" s="9">
        <v>1</v>
      </c>
      <c r="K7912" s="9">
        <v>104</v>
      </c>
      <c r="L7912" s="9">
        <v>2026</v>
      </c>
      <c r="M7912" s="8" t="s">
        <v>44613</v>
      </c>
      <c r="N7912" s="8" t="s">
        <v>243</v>
      </c>
      <c r="O7912" s="8" t="s">
        <v>758</v>
      </c>
      <c r="P7912" s="6" t="s">
        <v>394</v>
      </c>
      <c r="Q7912" s="8" t="s">
        <v>265</v>
      </c>
      <c r="R7912" s="10" t="s">
        <v>44614</v>
      </c>
      <c r="S7912" s="11" t="s">
        <v>44615</v>
      </c>
      <c r="T7912" s="6"/>
      <c r="U7912" s="15" t="str">
        <f>HYPERLINK("https://media.infra-m.ru/2226/2226638/cover/2226638.jpg", "Обложка")</f>
        <v>Обложка</v>
      </c>
      <c r="V7912" s="8" t="s">
        <v>227</v>
      </c>
      <c r="W7912" s="6"/>
      <c r="X7912" s="6"/>
      <c r="Y7912" s="6"/>
      <c r="Z7912" s="6"/>
      <c r="AA7912" s="6" t="s">
        <v>248</v>
      </c>
      <c r="AB7912" s="8"/>
      <c r="AC7912" s="27">
        <v>9785819906927</v>
      </c>
    </row>
    <row r="7913" spans="1:29" s="4" customFormat="1" ht="51.9" customHeight="1" x14ac:dyDescent="0.2">
      <c r="A7913" s="5">
        <v>0</v>
      </c>
      <c r="B7913" s="6" t="s">
        <v>44616</v>
      </c>
      <c r="C7913" s="7">
        <v>3136.8</v>
      </c>
      <c r="D7913" s="8" t="s">
        <v>44617</v>
      </c>
      <c r="E7913" s="8" t="s">
        <v>44618</v>
      </c>
      <c r="F7913" s="8" t="s">
        <v>30173</v>
      </c>
      <c r="G7913" s="6" t="s">
        <v>60</v>
      </c>
      <c r="H7913" s="6" t="s">
        <v>34</v>
      </c>
      <c r="I7913" s="8" t="s">
        <v>263</v>
      </c>
      <c r="J7913" s="9">
        <v>1</v>
      </c>
      <c r="K7913" s="9">
        <v>475</v>
      </c>
      <c r="L7913" s="9">
        <v>2026</v>
      </c>
      <c r="M7913" s="8" t="s">
        <v>44619</v>
      </c>
      <c r="N7913" s="8" t="s">
        <v>243</v>
      </c>
      <c r="O7913" s="8" t="s">
        <v>758</v>
      </c>
      <c r="P7913" s="6" t="s">
        <v>306</v>
      </c>
      <c r="Q7913" s="8" t="s">
        <v>265</v>
      </c>
      <c r="R7913" s="10" t="s">
        <v>44608</v>
      </c>
      <c r="S7913" s="11"/>
      <c r="T7913" s="6"/>
      <c r="U7913" s="15" t="str">
        <f>HYPERLINK("https://media.infra-m.ru/2239/2239889/cover/2239889.jpg", "Обложка")</f>
        <v>Обложка</v>
      </c>
      <c r="V7913" s="8" t="s">
        <v>227</v>
      </c>
      <c r="W7913" s="6"/>
      <c r="X7913" s="6"/>
      <c r="Y7913" s="6"/>
      <c r="Z7913" s="6"/>
      <c r="AA7913" s="6" t="s">
        <v>2182</v>
      </c>
      <c r="AB7913" s="8"/>
      <c r="AC7913" s="27">
        <v>9785160199672</v>
      </c>
    </row>
    <row r="7914" spans="1:29" s="4" customFormat="1" ht="51.9" customHeight="1" x14ac:dyDescent="0.2">
      <c r="A7914" s="5">
        <v>0</v>
      </c>
      <c r="B7914" s="6" t="s">
        <v>44620</v>
      </c>
      <c r="C7914" s="7">
        <v>1985.9</v>
      </c>
      <c r="D7914" s="8" t="s">
        <v>44621</v>
      </c>
      <c r="E7914" s="8" t="s">
        <v>44622</v>
      </c>
      <c r="F7914" s="8" t="s">
        <v>40783</v>
      </c>
      <c r="G7914" s="6" t="s">
        <v>60</v>
      </c>
      <c r="H7914" s="6" t="s">
        <v>48</v>
      </c>
      <c r="I7914" s="8" t="s">
        <v>401</v>
      </c>
      <c r="J7914" s="9">
        <v>1</v>
      </c>
      <c r="K7914" s="9">
        <v>448</v>
      </c>
      <c r="L7914" s="9">
        <v>2021</v>
      </c>
      <c r="M7914" s="8" t="s">
        <v>44623</v>
      </c>
      <c r="N7914" s="8" t="s">
        <v>243</v>
      </c>
      <c r="O7914" s="8" t="s">
        <v>758</v>
      </c>
      <c r="P7914" s="6" t="s">
        <v>306</v>
      </c>
      <c r="Q7914" s="8" t="s">
        <v>265</v>
      </c>
      <c r="R7914" s="10" t="s">
        <v>44601</v>
      </c>
      <c r="S7914" s="11" t="s">
        <v>44602</v>
      </c>
      <c r="T7914" s="6"/>
      <c r="U7914" s="15" t="str">
        <f>HYPERLINK("https://media.infra-m.ru/1288/1288990/cover/1288990.jpg", "Обложка")</f>
        <v>Обложка</v>
      </c>
      <c r="V7914" s="8" t="s">
        <v>227</v>
      </c>
      <c r="W7914" s="6"/>
      <c r="X7914" s="6"/>
      <c r="Y7914" s="6"/>
      <c r="Z7914" s="6"/>
      <c r="AA7914" s="6" t="s">
        <v>769</v>
      </c>
      <c r="AB7914" s="8"/>
      <c r="AC7914" s="27">
        <v>9785000917008</v>
      </c>
    </row>
    <row r="7915" spans="1:29" s="4" customFormat="1" ht="51.9" customHeight="1" x14ac:dyDescent="0.2">
      <c r="A7915" s="5">
        <v>0</v>
      </c>
      <c r="B7915" s="6" t="s">
        <v>44624</v>
      </c>
      <c r="C7915" s="7">
        <v>2392.8000000000002</v>
      </c>
      <c r="D7915" s="8" t="s">
        <v>44625</v>
      </c>
      <c r="E7915" s="8" t="s">
        <v>44626</v>
      </c>
      <c r="F7915" s="8" t="s">
        <v>44627</v>
      </c>
      <c r="G7915" s="6" t="s">
        <v>60</v>
      </c>
      <c r="H7915" s="6" t="s">
        <v>34</v>
      </c>
      <c r="I7915" s="8" t="s">
        <v>271</v>
      </c>
      <c r="J7915" s="9">
        <v>1</v>
      </c>
      <c r="K7915" s="9">
        <v>496</v>
      </c>
      <c r="L7915" s="9">
        <v>2024</v>
      </c>
      <c r="M7915" s="8" t="s">
        <v>44628</v>
      </c>
      <c r="N7915" s="8" t="s">
        <v>243</v>
      </c>
      <c r="O7915" s="8" t="s">
        <v>758</v>
      </c>
      <c r="P7915" s="6" t="s">
        <v>306</v>
      </c>
      <c r="Q7915" s="8" t="s">
        <v>52</v>
      </c>
      <c r="R7915" s="10" t="s">
        <v>25006</v>
      </c>
      <c r="S7915" s="11" t="s">
        <v>44629</v>
      </c>
      <c r="T7915" s="6"/>
      <c r="U7915" s="15" t="str">
        <f>HYPERLINK("https://media.infra-m.ru/2084/2084563/cover/2084563.jpg", "Обложка")</f>
        <v>Обложка</v>
      </c>
      <c r="V7915" s="8" t="s">
        <v>2475</v>
      </c>
      <c r="W7915" s="6"/>
      <c r="X7915" s="6"/>
      <c r="Y7915" s="6"/>
      <c r="Z7915" s="6"/>
      <c r="AA7915" s="6" t="s">
        <v>14106</v>
      </c>
      <c r="AB7915" s="8"/>
      <c r="AC7915" s="27">
        <v>9785160056746</v>
      </c>
    </row>
    <row r="7916" spans="1:29" s="4" customFormat="1" ht="51.9" customHeight="1" x14ac:dyDescent="0.2">
      <c r="A7916" s="5">
        <v>0</v>
      </c>
      <c r="B7916" s="6" t="s">
        <v>44630</v>
      </c>
      <c r="C7916" s="7">
        <v>1968</v>
      </c>
      <c r="D7916" s="8" t="s">
        <v>44631</v>
      </c>
      <c r="E7916" s="8" t="s">
        <v>44632</v>
      </c>
      <c r="F7916" s="8" t="s">
        <v>44606</v>
      </c>
      <c r="G7916" s="6" t="s">
        <v>118</v>
      </c>
      <c r="H7916" s="6" t="s">
        <v>1042</v>
      </c>
      <c r="I7916" s="8" t="s">
        <v>263</v>
      </c>
      <c r="J7916" s="9">
        <v>1</v>
      </c>
      <c r="K7916" s="9">
        <v>480</v>
      </c>
      <c r="L7916" s="9">
        <v>2019</v>
      </c>
      <c r="M7916" s="8" t="s">
        <v>44633</v>
      </c>
      <c r="N7916" s="8" t="s">
        <v>243</v>
      </c>
      <c r="O7916" s="8" t="s">
        <v>758</v>
      </c>
      <c r="P7916" s="6" t="s">
        <v>306</v>
      </c>
      <c r="Q7916" s="8" t="s">
        <v>265</v>
      </c>
      <c r="R7916" s="10" t="s">
        <v>44608</v>
      </c>
      <c r="S7916" s="11" t="s">
        <v>44609</v>
      </c>
      <c r="T7916" s="6"/>
      <c r="U7916" s="15" t="str">
        <f>HYPERLINK("https://media.infra-m.ru/1003/1003603/cover/1003603.jpg", "Обложка")</f>
        <v>Обложка</v>
      </c>
      <c r="V7916" s="8"/>
      <c r="W7916" s="6"/>
      <c r="X7916" s="6"/>
      <c r="Y7916" s="6"/>
      <c r="Z7916" s="6"/>
      <c r="AA7916" s="6" t="s">
        <v>769</v>
      </c>
      <c r="AB7916" s="8"/>
      <c r="AC7916" s="27">
        <v>9785819907764</v>
      </c>
    </row>
    <row r="7917" spans="1:29" s="4" customFormat="1" ht="51.9" customHeight="1" x14ac:dyDescent="0.2">
      <c r="A7917" s="5">
        <v>0</v>
      </c>
      <c r="B7917" s="6" t="s">
        <v>44634</v>
      </c>
      <c r="C7917" s="7">
        <v>2212.8000000000002</v>
      </c>
      <c r="D7917" s="8" t="s">
        <v>44635</v>
      </c>
      <c r="E7917" s="8" t="s">
        <v>44636</v>
      </c>
      <c r="F7917" s="8" t="s">
        <v>44637</v>
      </c>
      <c r="G7917" s="6" t="s">
        <v>60</v>
      </c>
      <c r="H7917" s="6" t="s">
        <v>34</v>
      </c>
      <c r="I7917" s="8" t="s">
        <v>271</v>
      </c>
      <c r="J7917" s="9">
        <v>1</v>
      </c>
      <c r="K7917" s="9">
        <v>353</v>
      </c>
      <c r="L7917" s="9">
        <v>2026</v>
      </c>
      <c r="M7917" s="8" t="s">
        <v>44638</v>
      </c>
      <c r="N7917" s="8" t="s">
        <v>243</v>
      </c>
      <c r="O7917" s="8" t="s">
        <v>758</v>
      </c>
      <c r="P7917" s="6" t="s">
        <v>306</v>
      </c>
      <c r="Q7917" s="8" t="s">
        <v>52</v>
      </c>
      <c r="R7917" s="10" t="s">
        <v>34531</v>
      </c>
      <c r="S7917" s="11" t="s">
        <v>44639</v>
      </c>
      <c r="T7917" s="6"/>
      <c r="U7917" s="15" t="str">
        <f>HYPERLINK("https://media.infra-m.ru/2219/2219040/cover/2219040.jpg", "Обложка")</f>
        <v>Обложка</v>
      </c>
      <c r="V7917" s="8" t="s">
        <v>19024</v>
      </c>
      <c r="W7917" s="6"/>
      <c r="X7917" s="6"/>
      <c r="Y7917" s="6"/>
      <c r="Z7917" s="6"/>
      <c r="AA7917" s="6" t="s">
        <v>148</v>
      </c>
      <c r="AB7917" s="8"/>
      <c r="AC7917" s="27">
        <v>9785160172316</v>
      </c>
    </row>
    <row r="7918" spans="1:29" s="4" customFormat="1" ht="51.9" customHeight="1" x14ac:dyDescent="0.2">
      <c r="A7918" s="5">
        <v>0</v>
      </c>
      <c r="B7918" s="6" t="s">
        <v>44640</v>
      </c>
      <c r="C7918" s="7">
        <v>1636.8</v>
      </c>
      <c r="D7918" s="8" t="s">
        <v>44641</v>
      </c>
      <c r="E7918" s="8" t="s">
        <v>44642</v>
      </c>
      <c r="F7918" s="8" t="s">
        <v>44643</v>
      </c>
      <c r="G7918" s="6" t="s">
        <v>118</v>
      </c>
      <c r="H7918" s="6" t="s">
        <v>5605</v>
      </c>
      <c r="I7918" s="8" t="s">
        <v>44644</v>
      </c>
      <c r="J7918" s="9">
        <v>1</v>
      </c>
      <c r="K7918" s="9">
        <v>262</v>
      </c>
      <c r="L7918" s="9">
        <v>2025</v>
      </c>
      <c r="M7918" s="8" t="s">
        <v>44645</v>
      </c>
      <c r="N7918" s="8" t="s">
        <v>243</v>
      </c>
      <c r="O7918" s="8" t="s">
        <v>758</v>
      </c>
      <c r="P7918" s="6" t="s">
        <v>51</v>
      </c>
      <c r="Q7918" s="8" t="s">
        <v>52</v>
      </c>
      <c r="R7918" s="10" t="s">
        <v>44646</v>
      </c>
      <c r="S7918" s="11" t="s">
        <v>44647</v>
      </c>
      <c r="T7918" s="6"/>
      <c r="U7918" s="15" t="str">
        <f>HYPERLINK("https://media.infra-m.ru/2188/2188736/cover/2188736.jpg", "Обложка")</f>
        <v>Обложка</v>
      </c>
      <c r="V7918" s="8" t="s">
        <v>1871</v>
      </c>
      <c r="W7918" s="6"/>
      <c r="X7918" s="6"/>
      <c r="Y7918" s="6"/>
      <c r="Z7918" s="6"/>
      <c r="AA7918" s="6" t="s">
        <v>129</v>
      </c>
      <c r="AB7918" s="8"/>
      <c r="AC7918" s="27">
        <v>9785160044064</v>
      </c>
    </row>
    <row r="7919" spans="1:29" s="4" customFormat="1" ht="51.9" customHeight="1" x14ac:dyDescent="0.2">
      <c r="A7919" s="5">
        <v>0</v>
      </c>
      <c r="B7919" s="6" t="s">
        <v>44648</v>
      </c>
      <c r="C7919" s="7">
        <v>1344</v>
      </c>
      <c r="D7919" s="8" t="s">
        <v>44649</v>
      </c>
      <c r="E7919" s="8" t="s">
        <v>44650</v>
      </c>
      <c r="F7919" s="8" t="s">
        <v>44651</v>
      </c>
      <c r="G7919" s="6" t="s">
        <v>118</v>
      </c>
      <c r="H7919" s="6" t="s">
        <v>34</v>
      </c>
      <c r="I7919" s="8" t="s">
        <v>263</v>
      </c>
      <c r="J7919" s="9">
        <v>1</v>
      </c>
      <c r="K7919" s="9">
        <v>238</v>
      </c>
      <c r="L7919" s="9">
        <v>2024</v>
      </c>
      <c r="M7919" s="8" t="s">
        <v>44652</v>
      </c>
      <c r="N7919" s="8" t="s">
        <v>243</v>
      </c>
      <c r="O7919" s="8" t="s">
        <v>758</v>
      </c>
      <c r="P7919" s="6" t="s">
        <v>51</v>
      </c>
      <c r="Q7919" s="8" t="s">
        <v>265</v>
      </c>
      <c r="R7919" s="10" t="s">
        <v>44653</v>
      </c>
      <c r="S7919" s="11" t="s">
        <v>4567</v>
      </c>
      <c r="T7919" s="6"/>
      <c r="U7919" s="15" t="str">
        <f>HYPERLINK("https://media.infra-m.ru/2131/2131730/cover/2131730.jpg", "Обложка")</f>
        <v>Обложка</v>
      </c>
      <c r="V7919" s="8" t="s">
        <v>831</v>
      </c>
      <c r="W7919" s="6"/>
      <c r="X7919" s="6"/>
      <c r="Y7919" s="6"/>
      <c r="Z7919" s="6"/>
      <c r="AA7919" s="6" t="s">
        <v>1506</v>
      </c>
      <c r="AB7919" s="8"/>
      <c r="AC7919" s="27">
        <v>9785160196404</v>
      </c>
    </row>
    <row r="7920" spans="1:29" s="4" customFormat="1" ht="51.9" customHeight="1" x14ac:dyDescent="0.2">
      <c r="A7920" s="5">
        <v>0</v>
      </c>
      <c r="B7920" s="6" t="s">
        <v>44654</v>
      </c>
      <c r="C7920" s="7">
        <v>1968</v>
      </c>
      <c r="D7920" s="8" t="s">
        <v>44655</v>
      </c>
      <c r="E7920" s="8" t="s">
        <v>44656</v>
      </c>
      <c r="F7920" s="8" t="s">
        <v>44657</v>
      </c>
      <c r="G7920" s="6" t="s">
        <v>118</v>
      </c>
      <c r="H7920" s="6" t="s">
        <v>34</v>
      </c>
      <c r="I7920" s="8" t="s">
        <v>253</v>
      </c>
      <c r="J7920" s="9">
        <v>1</v>
      </c>
      <c r="K7920" s="9">
        <v>316</v>
      </c>
      <c r="L7920" s="9">
        <v>2025</v>
      </c>
      <c r="M7920" s="8" t="s">
        <v>44658</v>
      </c>
      <c r="N7920" s="8" t="s">
        <v>37</v>
      </c>
      <c r="O7920" s="8" t="s">
        <v>499</v>
      </c>
      <c r="P7920" s="6" t="s">
        <v>51</v>
      </c>
      <c r="Q7920" s="8" t="s">
        <v>52</v>
      </c>
      <c r="R7920" s="10" t="s">
        <v>44659</v>
      </c>
      <c r="S7920" s="11" t="s">
        <v>44660</v>
      </c>
      <c r="T7920" s="6"/>
      <c r="U7920" s="15" t="str">
        <f>HYPERLINK("https://media.infra-m.ru/2174/2174465/cover/2174465.jpg", "Обложка")</f>
        <v>Обложка</v>
      </c>
      <c r="V7920" s="8" t="s">
        <v>12917</v>
      </c>
      <c r="W7920" s="6"/>
      <c r="X7920" s="6"/>
      <c r="Y7920" s="6"/>
      <c r="Z7920" s="6"/>
      <c r="AA7920" s="6" t="s">
        <v>148</v>
      </c>
      <c r="AB7920" s="8"/>
      <c r="AC7920" s="27">
        <v>9785160204529</v>
      </c>
    </row>
    <row r="7921" spans="1:29" s="4" customFormat="1" ht="51.9" customHeight="1" x14ac:dyDescent="0.2">
      <c r="A7921" s="5">
        <v>0</v>
      </c>
      <c r="B7921" s="6" t="s">
        <v>44661</v>
      </c>
      <c r="C7921" s="13">
        <v>768</v>
      </c>
      <c r="D7921" s="8" t="s">
        <v>44662</v>
      </c>
      <c r="E7921" s="8" t="s">
        <v>44663</v>
      </c>
      <c r="F7921" s="8" t="s">
        <v>25930</v>
      </c>
      <c r="G7921" s="6" t="s">
        <v>33</v>
      </c>
      <c r="H7921" s="6" t="s">
        <v>34</v>
      </c>
      <c r="I7921" s="8" t="s">
        <v>91</v>
      </c>
      <c r="J7921" s="9">
        <v>1</v>
      </c>
      <c r="K7921" s="9">
        <v>103</v>
      </c>
      <c r="L7921" s="9">
        <v>2026</v>
      </c>
      <c r="M7921" s="8" t="s">
        <v>44664</v>
      </c>
      <c r="N7921" s="8" t="s">
        <v>93</v>
      </c>
      <c r="O7921" s="8" t="s">
        <v>94</v>
      </c>
      <c r="P7921" s="6" t="s">
        <v>95</v>
      </c>
      <c r="Q7921" s="8" t="s">
        <v>52</v>
      </c>
      <c r="R7921" s="10" t="s">
        <v>44665</v>
      </c>
      <c r="S7921" s="11" t="s">
        <v>44666</v>
      </c>
      <c r="T7921" s="6" t="s">
        <v>97</v>
      </c>
      <c r="U7921" s="15" t="str">
        <f>HYPERLINK("https://media.infra-m.ru/2219/2219690/cover/2219690.jpg", "Обложка")</f>
        <v>Обложка</v>
      </c>
      <c r="V7921" s="8" t="s">
        <v>54</v>
      </c>
      <c r="W7921" s="6"/>
      <c r="X7921" s="6"/>
      <c r="Y7921" s="6"/>
      <c r="Z7921" s="6"/>
      <c r="AA7921" s="6" t="s">
        <v>99</v>
      </c>
      <c r="AB7921" s="8"/>
      <c r="AC7921" s="27">
        <v>9785160126272</v>
      </c>
    </row>
    <row r="7922" spans="1:29" s="4" customFormat="1" ht="51.9" customHeight="1" x14ac:dyDescent="0.2">
      <c r="A7922" s="5">
        <v>0</v>
      </c>
      <c r="B7922" s="6" t="s">
        <v>44667</v>
      </c>
      <c r="C7922" s="7">
        <v>3108</v>
      </c>
      <c r="D7922" s="8" t="s">
        <v>44668</v>
      </c>
      <c r="E7922" s="8" t="s">
        <v>44669</v>
      </c>
      <c r="F7922" s="8" t="s">
        <v>9223</v>
      </c>
      <c r="G7922" s="6" t="s">
        <v>60</v>
      </c>
      <c r="H7922" s="6" t="s">
        <v>34</v>
      </c>
      <c r="I7922" s="8" t="s">
        <v>263</v>
      </c>
      <c r="J7922" s="9">
        <v>1</v>
      </c>
      <c r="K7922" s="9">
        <v>427</v>
      </c>
      <c r="L7922" s="9">
        <v>2027</v>
      </c>
      <c r="M7922" s="8" t="s">
        <v>44670</v>
      </c>
      <c r="N7922" s="8" t="s">
        <v>243</v>
      </c>
      <c r="O7922" s="8" t="s">
        <v>758</v>
      </c>
      <c r="P7922" s="6" t="s">
        <v>51</v>
      </c>
      <c r="Q7922" s="8" t="s">
        <v>265</v>
      </c>
      <c r="R7922" s="10" t="s">
        <v>44671</v>
      </c>
      <c r="S7922" s="11"/>
      <c r="T7922" s="6"/>
      <c r="U7922" s="15" t="str">
        <f>HYPERLINK("https://media.infra-m.ru/2236/2236088/cover/2236088.jpg", "Обложка")</f>
        <v>Обложка</v>
      </c>
      <c r="V7922" s="8" t="s">
        <v>9227</v>
      </c>
      <c r="W7922" s="6" t="s">
        <v>2115</v>
      </c>
      <c r="X7922" s="6"/>
      <c r="Y7922" s="6"/>
      <c r="Z7922" s="6"/>
      <c r="AA7922" s="6" t="s">
        <v>420</v>
      </c>
      <c r="AB7922" s="8" t="s">
        <v>343</v>
      </c>
      <c r="AC7922" s="27">
        <v>9785160217000</v>
      </c>
    </row>
    <row r="7923" spans="1:29" s="4" customFormat="1" ht="51.9" customHeight="1" x14ac:dyDescent="0.2">
      <c r="A7923" s="5">
        <v>0</v>
      </c>
      <c r="B7923" s="6" t="s">
        <v>44672</v>
      </c>
      <c r="C7923" s="7">
        <v>1324.8</v>
      </c>
      <c r="D7923" s="8" t="s">
        <v>44673</v>
      </c>
      <c r="E7923" s="8" t="s">
        <v>44674</v>
      </c>
      <c r="F7923" s="8" t="s">
        <v>44675</v>
      </c>
      <c r="G7923" s="6" t="s">
        <v>33</v>
      </c>
      <c r="H7923" s="6" t="s">
        <v>48</v>
      </c>
      <c r="I7923" s="8" t="s">
        <v>253</v>
      </c>
      <c r="J7923" s="9">
        <v>1</v>
      </c>
      <c r="K7923" s="9">
        <v>240</v>
      </c>
      <c r="L7923" s="9">
        <v>2023</v>
      </c>
      <c r="M7923" s="8" t="s">
        <v>44676</v>
      </c>
      <c r="N7923" s="8" t="s">
        <v>243</v>
      </c>
      <c r="O7923" s="8" t="s">
        <v>798</v>
      </c>
      <c r="P7923" s="6" t="s">
        <v>105</v>
      </c>
      <c r="Q7923" s="8" t="s">
        <v>52</v>
      </c>
      <c r="R7923" s="10" t="s">
        <v>6735</v>
      </c>
      <c r="S7923" s="11" t="s">
        <v>44677</v>
      </c>
      <c r="T7923" s="6"/>
      <c r="U7923" s="15" t="str">
        <f>HYPERLINK("https://media.infra-m.ru/1893/1893804/cover/1893804.jpg", "Обложка")</f>
        <v>Обложка</v>
      </c>
      <c r="V7923" s="8" t="s">
        <v>2446</v>
      </c>
      <c r="W7923" s="6"/>
      <c r="X7923" s="6"/>
      <c r="Y7923" s="6"/>
      <c r="Z7923" s="6"/>
      <c r="AA7923" s="6" t="s">
        <v>274</v>
      </c>
      <c r="AB7923" s="8"/>
      <c r="AC7923" s="27">
        <v>9785000910573</v>
      </c>
    </row>
    <row r="7924" spans="1:29" s="4" customFormat="1" ht="51.9" customHeight="1" x14ac:dyDescent="0.2">
      <c r="A7924" s="5">
        <v>0</v>
      </c>
      <c r="B7924" s="6" t="s">
        <v>44678</v>
      </c>
      <c r="C7924" s="7">
        <v>2032.8</v>
      </c>
      <c r="D7924" s="8" t="s">
        <v>44679</v>
      </c>
      <c r="E7924" s="8" t="s">
        <v>44680</v>
      </c>
      <c r="F7924" s="8" t="s">
        <v>5084</v>
      </c>
      <c r="G7924" s="6" t="s">
        <v>118</v>
      </c>
      <c r="H7924" s="6" t="s">
        <v>34</v>
      </c>
      <c r="I7924" s="8" t="s">
        <v>263</v>
      </c>
      <c r="J7924" s="9">
        <v>1</v>
      </c>
      <c r="K7924" s="9">
        <v>307</v>
      </c>
      <c r="L7924" s="9">
        <v>2026</v>
      </c>
      <c r="M7924" s="8" t="s">
        <v>44681</v>
      </c>
      <c r="N7924" s="8" t="s">
        <v>37</v>
      </c>
      <c r="O7924" s="8" t="s">
        <v>499</v>
      </c>
      <c r="P7924" s="6" t="s">
        <v>51</v>
      </c>
      <c r="Q7924" s="8" t="s">
        <v>265</v>
      </c>
      <c r="R7924" s="10" t="s">
        <v>44682</v>
      </c>
      <c r="S7924" s="11" t="s">
        <v>44683</v>
      </c>
      <c r="T7924" s="6"/>
      <c r="U7924" s="15" t="str">
        <f>HYPERLINK("https://media.infra-m.ru/2236/2236171/cover/2236171.jpg", "Обложка")</f>
        <v>Обложка</v>
      </c>
      <c r="V7924" s="8" t="s">
        <v>5087</v>
      </c>
      <c r="W7924" s="6"/>
      <c r="X7924" s="6"/>
      <c r="Y7924" s="6"/>
      <c r="Z7924" s="6"/>
      <c r="AA7924" s="6" t="s">
        <v>2240</v>
      </c>
      <c r="AB7924" s="8"/>
      <c r="AC7924" s="27">
        <v>9785160150987</v>
      </c>
    </row>
    <row r="7925" spans="1:29" s="4" customFormat="1" ht="44.1" customHeight="1" x14ac:dyDescent="0.2">
      <c r="A7925" s="5">
        <v>0</v>
      </c>
      <c r="B7925" s="6" t="s">
        <v>44684</v>
      </c>
      <c r="C7925" s="7">
        <v>1296</v>
      </c>
      <c r="D7925" s="8" t="s">
        <v>44685</v>
      </c>
      <c r="E7925" s="8" t="s">
        <v>44686</v>
      </c>
      <c r="F7925" s="8" t="s">
        <v>44687</v>
      </c>
      <c r="G7925" s="6" t="s">
        <v>60</v>
      </c>
      <c r="H7925" s="6" t="s">
        <v>34</v>
      </c>
      <c r="I7925" s="8" t="s">
        <v>1081</v>
      </c>
      <c r="J7925" s="9">
        <v>1</v>
      </c>
      <c r="K7925" s="9">
        <v>194</v>
      </c>
      <c r="L7925" s="9">
        <v>2026</v>
      </c>
      <c r="M7925" s="8" t="s">
        <v>44688</v>
      </c>
      <c r="N7925" s="8" t="s">
        <v>243</v>
      </c>
      <c r="O7925" s="8" t="s">
        <v>933</v>
      </c>
      <c r="P7925" s="6" t="s">
        <v>39</v>
      </c>
      <c r="Q7925" s="8" t="s">
        <v>40</v>
      </c>
      <c r="R7925" s="10" t="s">
        <v>44689</v>
      </c>
      <c r="S7925" s="11"/>
      <c r="T7925" s="6"/>
      <c r="U7925" s="15" t="str">
        <f>HYPERLINK("https://media.infra-m.ru/2222/2222622/cover/2222622.jpg", "Обложка")</f>
        <v>Обложка</v>
      </c>
      <c r="V7925" s="8" t="s">
        <v>1083</v>
      </c>
      <c r="W7925" s="6" t="s">
        <v>342</v>
      </c>
      <c r="X7925" s="6"/>
      <c r="Y7925" s="6"/>
      <c r="Z7925" s="6"/>
      <c r="AA7925" s="6" t="s">
        <v>187</v>
      </c>
      <c r="AB7925" s="8"/>
      <c r="AC7925" s="27">
        <v>9785160213477</v>
      </c>
    </row>
    <row r="7926" spans="1:29" s="4" customFormat="1" ht="51.9" customHeight="1" x14ac:dyDescent="0.2">
      <c r="A7926" s="5">
        <v>0</v>
      </c>
      <c r="B7926" s="6" t="s">
        <v>44690</v>
      </c>
      <c r="C7926" s="7">
        <v>1996.8</v>
      </c>
      <c r="D7926" s="8" t="s">
        <v>44691</v>
      </c>
      <c r="E7926" s="8" t="s">
        <v>44692</v>
      </c>
      <c r="F7926" s="8" t="s">
        <v>44693</v>
      </c>
      <c r="G7926" s="6" t="s">
        <v>60</v>
      </c>
      <c r="H7926" s="6" t="s">
        <v>34</v>
      </c>
      <c r="I7926" s="8" t="s">
        <v>271</v>
      </c>
      <c r="J7926" s="9">
        <v>1</v>
      </c>
      <c r="K7926" s="9">
        <v>362</v>
      </c>
      <c r="L7926" s="9">
        <v>2024</v>
      </c>
      <c r="M7926" s="8" t="s">
        <v>44694</v>
      </c>
      <c r="N7926" s="8" t="s">
        <v>585</v>
      </c>
      <c r="O7926" s="8" t="s">
        <v>775</v>
      </c>
      <c r="P7926" s="6" t="s">
        <v>51</v>
      </c>
      <c r="Q7926" s="8" t="s">
        <v>52</v>
      </c>
      <c r="R7926" s="10" t="s">
        <v>44695</v>
      </c>
      <c r="S7926" s="11"/>
      <c r="T7926" s="6"/>
      <c r="U7926" s="15" t="str">
        <f>HYPERLINK("https://media.infra-m.ru/2126/2126313/cover/2126313.jpg", "Обложка")</f>
        <v>Обложка</v>
      </c>
      <c r="V7926" s="8" t="s">
        <v>6224</v>
      </c>
      <c r="W7926" s="6"/>
      <c r="X7926" s="6"/>
      <c r="Y7926" s="6"/>
      <c r="Z7926" s="6"/>
      <c r="AA7926" s="6" t="s">
        <v>274</v>
      </c>
      <c r="AB7926" s="8"/>
      <c r="AC7926" s="27">
        <v>9785160092591</v>
      </c>
    </row>
    <row r="7927" spans="1:29" s="4" customFormat="1" ht="42" customHeight="1" x14ac:dyDescent="0.2">
      <c r="A7927" s="5">
        <v>0</v>
      </c>
      <c r="B7927" s="6" t="s">
        <v>44696</v>
      </c>
      <c r="C7927" s="7">
        <v>1308</v>
      </c>
      <c r="D7927" s="8" t="s">
        <v>44697</v>
      </c>
      <c r="E7927" s="8" t="s">
        <v>44698</v>
      </c>
      <c r="F7927" s="8" t="s">
        <v>44699</v>
      </c>
      <c r="G7927" s="6" t="s">
        <v>60</v>
      </c>
      <c r="H7927" s="6" t="s">
        <v>34</v>
      </c>
      <c r="I7927" s="8" t="s">
        <v>7625</v>
      </c>
      <c r="J7927" s="9">
        <v>1</v>
      </c>
      <c r="K7927" s="9">
        <v>213</v>
      </c>
      <c r="L7927" s="9">
        <v>2024</v>
      </c>
      <c r="M7927" s="8" t="s">
        <v>44700</v>
      </c>
      <c r="N7927" s="8" t="s">
        <v>243</v>
      </c>
      <c r="O7927" s="8" t="s">
        <v>758</v>
      </c>
      <c r="P7927" s="6" t="s">
        <v>51</v>
      </c>
      <c r="Q7927" s="8" t="s">
        <v>65</v>
      </c>
      <c r="R7927" s="10" t="s">
        <v>26209</v>
      </c>
      <c r="S7927" s="11"/>
      <c r="T7927" s="6"/>
      <c r="U7927" s="15" t="str">
        <f>HYPERLINK("https://media.infra-m.ru/2133/2133996/cover/2133996.jpg", "Обложка")</f>
        <v>Обложка</v>
      </c>
      <c r="V7927" s="8" t="s">
        <v>1083</v>
      </c>
      <c r="W7927" s="6"/>
      <c r="X7927" s="6"/>
      <c r="Y7927" s="6"/>
      <c r="Z7927" s="6"/>
      <c r="AA7927" s="6" t="s">
        <v>76</v>
      </c>
      <c r="AB7927" s="8"/>
      <c r="AC7927" s="27">
        <v>9785160196947</v>
      </c>
    </row>
    <row r="7928" spans="1:29" s="4" customFormat="1" ht="51.9" customHeight="1" x14ac:dyDescent="0.2">
      <c r="A7928" s="5">
        <v>0</v>
      </c>
      <c r="B7928" s="6" t="s">
        <v>44701</v>
      </c>
      <c r="C7928" s="7">
        <v>2176.8000000000002</v>
      </c>
      <c r="D7928" s="8" t="s">
        <v>44702</v>
      </c>
      <c r="E7928" s="8" t="s">
        <v>44703</v>
      </c>
      <c r="F7928" s="8" t="s">
        <v>36919</v>
      </c>
      <c r="G7928" s="6" t="s">
        <v>118</v>
      </c>
      <c r="H7928" s="6" t="s">
        <v>34</v>
      </c>
      <c r="I7928" s="8" t="s">
        <v>271</v>
      </c>
      <c r="J7928" s="9">
        <v>1</v>
      </c>
      <c r="K7928" s="9">
        <v>330</v>
      </c>
      <c r="L7928" s="9">
        <v>2026</v>
      </c>
      <c r="M7928" s="8" t="s">
        <v>44704</v>
      </c>
      <c r="N7928" s="8" t="s">
        <v>243</v>
      </c>
      <c r="O7928" s="8" t="s">
        <v>798</v>
      </c>
      <c r="P7928" s="6" t="s">
        <v>51</v>
      </c>
      <c r="Q7928" s="8" t="s">
        <v>52</v>
      </c>
      <c r="R7928" s="10" t="s">
        <v>44705</v>
      </c>
      <c r="S7928" s="11" t="s">
        <v>27427</v>
      </c>
      <c r="T7928" s="6"/>
      <c r="U7928" s="15" t="str">
        <f>HYPERLINK("https://media.infra-m.ru/2225/2225616/cover/2225616.jpg", "Обложка")</f>
        <v>Обложка</v>
      </c>
      <c r="V7928" s="8" t="s">
        <v>843</v>
      </c>
      <c r="W7928" s="6"/>
      <c r="X7928" s="6"/>
      <c r="Y7928" s="6"/>
      <c r="Z7928" s="6"/>
      <c r="AA7928" s="6" t="s">
        <v>115</v>
      </c>
      <c r="AB7928" s="8"/>
      <c r="AC7928" s="27">
        <v>9785160135649</v>
      </c>
    </row>
    <row r="7929" spans="1:29" s="4" customFormat="1" ht="51.9" customHeight="1" x14ac:dyDescent="0.2">
      <c r="A7929" s="5">
        <v>0</v>
      </c>
      <c r="B7929" s="6" t="s">
        <v>44706</v>
      </c>
      <c r="C7929" s="7">
        <v>1792.8</v>
      </c>
      <c r="D7929" s="8" t="s">
        <v>44707</v>
      </c>
      <c r="E7929" s="8" t="s">
        <v>44703</v>
      </c>
      <c r="F7929" s="8" t="s">
        <v>36919</v>
      </c>
      <c r="G7929" s="6" t="s">
        <v>60</v>
      </c>
      <c r="H7929" s="6" t="s">
        <v>34</v>
      </c>
      <c r="I7929" s="8" t="s">
        <v>263</v>
      </c>
      <c r="J7929" s="9">
        <v>1</v>
      </c>
      <c r="K7929" s="9">
        <v>329</v>
      </c>
      <c r="L7929" s="9">
        <v>2023</v>
      </c>
      <c r="M7929" s="8" t="s">
        <v>44708</v>
      </c>
      <c r="N7929" s="8" t="s">
        <v>243</v>
      </c>
      <c r="O7929" s="8" t="s">
        <v>798</v>
      </c>
      <c r="P7929" s="6" t="s">
        <v>51</v>
      </c>
      <c r="Q7929" s="8" t="s">
        <v>265</v>
      </c>
      <c r="R7929" s="10" t="s">
        <v>44709</v>
      </c>
      <c r="S7929" s="11" t="s">
        <v>44710</v>
      </c>
      <c r="T7929" s="6"/>
      <c r="U7929" s="15" t="str">
        <f>HYPERLINK("https://media.infra-m.ru/2045/2045840/cover/2045840.jpg", "Обложка")</f>
        <v>Обложка</v>
      </c>
      <c r="V7929" s="8" t="s">
        <v>843</v>
      </c>
      <c r="W7929" s="6"/>
      <c r="X7929" s="6"/>
      <c r="Y7929" s="6"/>
      <c r="Z7929" s="6" t="s">
        <v>267</v>
      </c>
      <c r="AA7929" s="6" t="s">
        <v>115</v>
      </c>
      <c r="AB7929" s="8" t="s">
        <v>493</v>
      </c>
      <c r="AC7929" s="27">
        <v>9785160154046</v>
      </c>
    </row>
    <row r="7930" spans="1:29" s="4" customFormat="1" ht="51.9" customHeight="1" x14ac:dyDescent="0.2">
      <c r="A7930" s="5">
        <v>0</v>
      </c>
      <c r="B7930" s="6" t="s">
        <v>44711</v>
      </c>
      <c r="C7930" s="7">
        <v>1780.8</v>
      </c>
      <c r="D7930" s="8" t="s">
        <v>44712</v>
      </c>
      <c r="E7930" s="8" t="s">
        <v>44713</v>
      </c>
      <c r="F7930" s="8" t="s">
        <v>44714</v>
      </c>
      <c r="G7930" s="6" t="s">
        <v>118</v>
      </c>
      <c r="H7930" s="6" t="s">
        <v>34</v>
      </c>
      <c r="I7930" s="8" t="s">
        <v>263</v>
      </c>
      <c r="J7930" s="9">
        <v>1</v>
      </c>
      <c r="K7930" s="9">
        <v>316</v>
      </c>
      <c r="L7930" s="9">
        <v>2024</v>
      </c>
      <c r="M7930" s="8" t="s">
        <v>44715</v>
      </c>
      <c r="N7930" s="8" t="s">
        <v>243</v>
      </c>
      <c r="O7930" s="8" t="s">
        <v>758</v>
      </c>
      <c r="P7930" s="6" t="s">
        <v>51</v>
      </c>
      <c r="Q7930" s="8" t="s">
        <v>265</v>
      </c>
      <c r="R7930" s="10" t="s">
        <v>44716</v>
      </c>
      <c r="S7930" s="11" t="s">
        <v>44717</v>
      </c>
      <c r="T7930" s="6"/>
      <c r="U7930" s="15" t="str">
        <f>HYPERLINK("https://media.infra-m.ru/2137/2137644/cover/2137644.jpg", "Обложка")</f>
        <v>Обложка</v>
      </c>
      <c r="V7930" s="8" t="s">
        <v>8139</v>
      </c>
      <c r="W7930" s="6"/>
      <c r="X7930" s="6"/>
      <c r="Y7930" s="6"/>
      <c r="Z7930" s="6" t="s">
        <v>267</v>
      </c>
      <c r="AA7930" s="6" t="s">
        <v>2230</v>
      </c>
      <c r="AB7930" s="8"/>
      <c r="AC7930" s="27">
        <v>9785160167244</v>
      </c>
    </row>
    <row r="7931" spans="1:29" s="4" customFormat="1" ht="51.9" customHeight="1" x14ac:dyDescent="0.2">
      <c r="A7931" s="5">
        <v>0</v>
      </c>
      <c r="B7931" s="6" t="s">
        <v>44718</v>
      </c>
      <c r="C7931" s="7">
        <v>1792.8</v>
      </c>
      <c r="D7931" s="8" t="s">
        <v>44719</v>
      </c>
      <c r="E7931" s="8" t="s">
        <v>44713</v>
      </c>
      <c r="F7931" s="8" t="s">
        <v>44714</v>
      </c>
      <c r="G7931" s="6" t="s">
        <v>60</v>
      </c>
      <c r="H7931" s="6" t="s">
        <v>34</v>
      </c>
      <c r="I7931" s="8" t="s">
        <v>271</v>
      </c>
      <c r="J7931" s="9">
        <v>1</v>
      </c>
      <c r="K7931" s="9">
        <v>316</v>
      </c>
      <c r="L7931" s="9">
        <v>2024</v>
      </c>
      <c r="M7931" s="8" t="s">
        <v>44720</v>
      </c>
      <c r="N7931" s="8" t="s">
        <v>243</v>
      </c>
      <c r="O7931" s="8" t="s">
        <v>758</v>
      </c>
      <c r="P7931" s="6" t="s">
        <v>51</v>
      </c>
      <c r="Q7931" s="8" t="s">
        <v>52</v>
      </c>
      <c r="R7931" s="10" t="s">
        <v>16192</v>
      </c>
      <c r="S7931" s="11" t="s">
        <v>44721</v>
      </c>
      <c r="T7931" s="6"/>
      <c r="U7931" s="15" t="str">
        <f>HYPERLINK("https://media.infra-m.ru/2137/2137648/cover/2137648.jpg", "Обложка")</f>
        <v>Обложка</v>
      </c>
      <c r="V7931" s="8" t="s">
        <v>8139</v>
      </c>
      <c r="W7931" s="6"/>
      <c r="X7931" s="6"/>
      <c r="Y7931" s="6"/>
      <c r="Z7931" s="6"/>
      <c r="AA7931" s="6" t="s">
        <v>2230</v>
      </c>
      <c r="AB7931" s="8"/>
      <c r="AC7931" s="27">
        <v>9785160163413</v>
      </c>
    </row>
    <row r="7932" spans="1:29" s="4" customFormat="1" ht="51.9" customHeight="1" x14ac:dyDescent="0.2">
      <c r="A7932" s="5">
        <v>0</v>
      </c>
      <c r="B7932" s="6" t="s">
        <v>44722</v>
      </c>
      <c r="C7932" s="7">
        <v>2004</v>
      </c>
      <c r="D7932" s="8" t="s">
        <v>44723</v>
      </c>
      <c r="E7932" s="8" t="s">
        <v>44724</v>
      </c>
      <c r="F7932" s="8" t="s">
        <v>9223</v>
      </c>
      <c r="G7932" s="6" t="s">
        <v>60</v>
      </c>
      <c r="H7932" s="6" t="s">
        <v>34</v>
      </c>
      <c r="I7932" s="8" t="s">
        <v>263</v>
      </c>
      <c r="J7932" s="9">
        <v>1</v>
      </c>
      <c r="K7932" s="9">
        <v>327</v>
      </c>
      <c r="L7932" s="9">
        <v>2025</v>
      </c>
      <c r="M7932" s="8" t="s">
        <v>44725</v>
      </c>
      <c r="N7932" s="8" t="s">
        <v>243</v>
      </c>
      <c r="O7932" s="8" t="s">
        <v>758</v>
      </c>
      <c r="P7932" s="6" t="s">
        <v>51</v>
      </c>
      <c r="Q7932" s="8" t="s">
        <v>265</v>
      </c>
      <c r="R7932" s="10" t="s">
        <v>44726</v>
      </c>
      <c r="S7932" s="11"/>
      <c r="T7932" s="6"/>
      <c r="U7932" s="15" t="str">
        <f>HYPERLINK("https://media.infra-m.ru/2163/2163857/cover/2163857.jpg", "Обложка")</f>
        <v>Обложка</v>
      </c>
      <c r="V7932" s="8" t="s">
        <v>9227</v>
      </c>
      <c r="W7932" s="6"/>
      <c r="X7932" s="6"/>
      <c r="Y7932" s="6"/>
      <c r="Z7932" s="6" t="s">
        <v>267</v>
      </c>
      <c r="AA7932" s="6" t="s">
        <v>68</v>
      </c>
      <c r="AB7932" s="8" t="s">
        <v>3024</v>
      </c>
      <c r="AC7932" s="27">
        <v>9785160202327</v>
      </c>
    </row>
    <row r="7933" spans="1:29" s="4" customFormat="1" ht="51.9" customHeight="1" x14ac:dyDescent="0.2">
      <c r="A7933" s="5">
        <v>0</v>
      </c>
      <c r="B7933" s="6" t="s">
        <v>44727</v>
      </c>
      <c r="C7933" s="7">
        <v>1313.9</v>
      </c>
      <c r="D7933" s="8" t="s">
        <v>44728</v>
      </c>
      <c r="E7933" s="8" t="s">
        <v>44729</v>
      </c>
      <c r="F7933" s="8" t="s">
        <v>44730</v>
      </c>
      <c r="G7933" s="6" t="s">
        <v>60</v>
      </c>
      <c r="H7933" s="6" t="s">
        <v>34</v>
      </c>
      <c r="I7933" s="8" t="s">
        <v>253</v>
      </c>
      <c r="J7933" s="9">
        <v>1</v>
      </c>
      <c r="K7933" s="9">
        <v>288</v>
      </c>
      <c r="L7933" s="9">
        <v>2022</v>
      </c>
      <c r="M7933" s="8" t="s">
        <v>44731</v>
      </c>
      <c r="N7933" s="8" t="s">
        <v>243</v>
      </c>
      <c r="O7933" s="8" t="s">
        <v>758</v>
      </c>
      <c r="P7933" s="6" t="s">
        <v>51</v>
      </c>
      <c r="Q7933" s="8" t="s">
        <v>52</v>
      </c>
      <c r="R7933" s="10" t="s">
        <v>910</v>
      </c>
      <c r="S7933" s="11" t="s">
        <v>44732</v>
      </c>
      <c r="T7933" s="6"/>
      <c r="U7933" s="15" t="str">
        <f>HYPERLINK("https://media.infra-m.ru/1853/1853552/cover/1853552.jpg", "Обложка")</f>
        <v>Обложка</v>
      </c>
      <c r="V7933" s="8" t="s">
        <v>1157</v>
      </c>
      <c r="W7933" s="6"/>
      <c r="X7933" s="6"/>
      <c r="Y7933" s="6"/>
      <c r="Z7933" s="6"/>
      <c r="AA7933" s="6" t="s">
        <v>274</v>
      </c>
      <c r="AB7933" s="8"/>
      <c r="AC7933" s="27">
        <v>9785160104287</v>
      </c>
    </row>
    <row r="7934" spans="1:29" s="4" customFormat="1" ht="42" customHeight="1" x14ac:dyDescent="0.2">
      <c r="A7934" s="5">
        <v>0</v>
      </c>
      <c r="B7934" s="6" t="s">
        <v>44733</v>
      </c>
      <c r="C7934" s="7">
        <v>2028</v>
      </c>
      <c r="D7934" s="8" t="s">
        <v>44734</v>
      </c>
      <c r="E7934" s="8" t="s">
        <v>44724</v>
      </c>
      <c r="F7934" s="8" t="s">
        <v>9223</v>
      </c>
      <c r="G7934" s="6" t="s">
        <v>60</v>
      </c>
      <c r="H7934" s="6" t="s">
        <v>34</v>
      </c>
      <c r="I7934" s="8" t="s">
        <v>253</v>
      </c>
      <c r="J7934" s="9">
        <v>1</v>
      </c>
      <c r="K7934" s="9">
        <v>327</v>
      </c>
      <c r="L7934" s="9">
        <v>2025</v>
      </c>
      <c r="M7934" s="8" t="s">
        <v>44735</v>
      </c>
      <c r="N7934" s="8" t="s">
        <v>243</v>
      </c>
      <c r="O7934" s="8" t="s">
        <v>758</v>
      </c>
      <c r="P7934" s="6" t="s">
        <v>51</v>
      </c>
      <c r="Q7934" s="8" t="s">
        <v>52</v>
      </c>
      <c r="R7934" s="10" t="s">
        <v>13656</v>
      </c>
      <c r="S7934" s="11"/>
      <c r="T7934" s="6"/>
      <c r="U7934" s="15" t="str">
        <f>HYPERLINK("https://media.infra-m.ru/1874/1874284/cover/1874284.jpg", "Обложка")</f>
        <v>Обложка</v>
      </c>
      <c r="V7934" s="8" t="s">
        <v>9227</v>
      </c>
      <c r="W7934" s="6"/>
      <c r="X7934" s="6"/>
      <c r="Y7934" s="6"/>
      <c r="Z7934" s="6"/>
      <c r="AA7934" s="6" t="s">
        <v>68</v>
      </c>
      <c r="AB7934" s="8"/>
      <c r="AC7934" s="27">
        <v>9785160177786</v>
      </c>
    </row>
    <row r="7935" spans="1:29" s="4" customFormat="1" ht="51.9" customHeight="1" x14ac:dyDescent="0.2">
      <c r="A7935" s="5">
        <v>0</v>
      </c>
      <c r="B7935" s="6" t="s">
        <v>44736</v>
      </c>
      <c r="C7935" s="7">
        <v>1156.8</v>
      </c>
      <c r="D7935" s="8" t="s">
        <v>44737</v>
      </c>
      <c r="E7935" s="8" t="s">
        <v>44738</v>
      </c>
      <c r="F7935" s="8" t="s">
        <v>44739</v>
      </c>
      <c r="G7935" s="6" t="s">
        <v>60</v>
      </c>
      <c r="H7935" s="6" t="s">
        <v>34</v>
      </c>
      <c r="I7935" s="8" t="s">
        <v>263</v>
      </c>
      <c r="J7935" s="9">
        <v>1</v>
      </c>
      <c r="K7935" s="9">
        <v>176</v>
      </c>
      <c r="L7935" s="9">
        <v>2026</v>
      </c>
      <c r="M7935" s="8" t="s">
        <v>44740</v>
      </c>
      <c r="N7935" s="8" t="s">
        <v>37</v>
      </c>
      <c r="O7935" s="8" t="s">
        <v>233</v>
      </c>
      <c r="P7935" s="6" t="s">
        <v>306</v>
      </c>
      <c r="Q7935" s="8" t="s">
        <v>265</v>
      </c>
      <c r="R7935" s="10" t="s">
        <v>4160</v>
      </c>
      <c r="S7935" s="11" t="s">
        <v>44741</v>
      </c>
      <c r="T7935" s="6"/>
      <c r="U7935" s="15" t="str">
        <f>HYPERLINK("https://media.infra-m.ru/2218/2218702/cover/2218702.jpg", "Обложка")</f>
        <v>Обложка</v>
      </c>
      <c r="V7935" s="8" t="s">
        <v>1768</v>
      </c>
      <c r="W7935" s="6"/>
      <c r="X7935" s="6"/>
      <c r="Y7935" s="6"/>
      <c r="Z7935" s="6" t="s">
        <v>267</v>
      </c>
      <c r="AA7935" s="6" t="s">
        <v>430</v>
      </c>
      <c r="AB7935" s="8"/>
      <c r="AC7935" s="27">
        <v>9785160169682</v>
      </c>
    </row>
    <row r="7936" spans="1:29" s="4" customFormat="1" ht="51.9" customHeight="1" x14ac:dyDescent="0.2">
      <c r="A7936" s="5">
        <v>0</v>
      </c>
      <c r="B7936" s="6" t="s">
        <v>44742</v>
      </c>
      <c r="C7936" s="7">
        <v>1396.8</v>
      </c>
      <c r="D7936" s="8" t="s">
        <v>44743</v>
      </c>
      <c r="E7936" s="8" t="s">
        <v>44744</v>
      </c>
      <c r="F7936" s="8" t="s">
        <v>36919</v>
      </c>
      <c r="G7936" s="6" t="s">
        <v>118</v>
      </c>
      <c r="H7936" s="6" t="s">
        <v>34</v>
      </c>
      <c r="I7936" s="8" t="s">
        <v>263</v>
      </c>
      <c r="J7936" s="9">
        <v>1</v>
      </c>
      <c r="K7936" s="9">
        <v>200</v>
      </c>
      <c r="L7936" s="9">
        <v>2027</v>
      </c>
      <c r="M7936" s="8" t="s">
        <v>44745</v>
      </c>
      <c r="N7936" s="8" t="s">
        <v>243</v>
      </c>
      <c r="O7936" s="8" t="s">
        <v>798</v>
      </c>
      <c r="P7936" s="6" t="s">
        <v>51</v>
      </c>
      <c r="Q7936" s="8" t="s">
        <v>265</v>
      </c>
      <c r="R7936" s="10" t="s">
        <v>25186</v>
      </c>
      <c r="S7936" s="11" t="s">
        <v>44746</v>
      </c>
      <c r="T7936" s="6"/>
      <c r="U7936" s="15" t="str">
        <f>HYPERLINK("https://media.infra-m.ru/2270/2270094/cover/2270094.jpg", "Обложка")</f>
        <v>Обложка</v>
      </c>
      <c r="V7936" s="8" t="s">
        <v>843</v>
      </c>
      <c r="W7936" s="6"/>
      <c r="X7936" s="6"/>
      <c r="Y7936" s="6"/>
      <c r="Z7936" s="6" t="s">
        <v>267</v>
      </c>
      <c r="AA7936" s="6" t="s">
        <v>1256</v>
      </c>
      <c r="AB7936" s="8"/>
      <c r="AC7936" s="27">
        <v>9785160154053</v>
      </c>
    </row>
    <row r="7937" spans="1:29" s="4" customFormat="1" ht="51.9" customHeight="1" x14ac:dyDescent="0.2">
      <c r="A7937" s="5">
        <v>0</v>
      </c>
      <c r="B7937" s="6" t="s">
        <v>44747</v>
      </c>
      <c r="C7937" s="7">
        <v>3024</v>
      </c>
      <c r="D7937" s="8" t="s">
        <v>44748</v>
      </c>
      <c r="E7937" s="8" t="s">
        <v>44749</v>
      </c>
      <c r="F7937" s="8" t="s">
        <v>26476</v>
      </c>
      <c r="G7937" s="6" t="s">
        <v>60</v>
      </c>
      <c r="H7937" s="6" t="s">
        <v>34</v>
      </c>
      <c r="I7937" s="8" t="s">
        <v>263</v>
      </c>
      <c r="J7937" s="9">
        <v>1</v>
      </c>
      <c r="K7937" s="9">
        <v>536</v>
      </c>
      <c r="L7937" s="9">
        <v>2024</v>
      </c>
      <c r="M7937" s="8" t="s">
        <v>44750</v>
      </c>
      <c r="N7937" s="8" t="s">
        <v>37</v>
      </c>
      <c r="O7937" s="8" t="s">
        <v>499</v>
      </c>
      <c r="P7937" s="6" t="s">
        <v>306</v>
      </c>
      <c r="Q7937" s="8" t="s">
        <v>265</v>
      </c>
      <c r="R7937" s="10" t="s">
        <v>44751</v>
      </c>
      <c r="S7937" s="11" t="s">
        <v>44752</v>
      </c>
      <c r="T7937" s="6"/>
      <c r="U7937" s="15" t="str">
        <f>HYPERLINK("https://media.infra-m.ru/2149/2149693/cover/2149693.jpg", "Обложка")</f>
        <v>Обложка</v>
      </c>
      <c r="V7937" s="8" t="s">
        <v>588</v>
      </c>
      <c r="W7937" s="6"/>
      <c r="X7937" s="6"/>
      <c r="Y7937" s="6"/>
      <c r="Z7937" s="6" t="s">
        <v>267</v>
      </c>
      <c r="AA7937" s="6" t="s">
        <v>430</v>
      </c>
      <c r="AB7937" s="8"/>
      <c r="AC7937" s="27">
        <v>9785160169453</v>
      </c>
    </row>
    <row r="7938" spans="1:29" s="4" customFormat="1" ht="42" customHeight="1" x14ac:dyDescent="0.2">
      <c r="A7938" s="5">
        <v>0</v>
      </c>
      <c r="B7938" s="6" t="s">
        <v>44753</v>
      </c>
      <c r="C7938" s="7">
        <v>1344</v>
      </c>
      <c r="D7938" s="8" t="s">
        <v>44754</v>
      </c>
      <c r="E7938" s="8" t="s">
        <v>44755</v>
      </c>
      <c r="F7938" s="8" t="s">
        <v>36919</v>
      </c>
      <c r="G7938" s="6" t="s">
        <v>118</v>
      </c>
      <c r="H7938" s="6" t="s">
        <v>34</v>
      </c>
      <c r="I7938" s="8" t="s">
        <v>253</v>
      </c>
      <c r="J7938" s="9">
        <v>1</v>
      </c>
      <c r="K7938" s="9">
        <v>193</v>
      </c>
      <c r="L7938" s="9">
        <v>2027</v>
      </c>
      <c r="M7938" s="8" t="s">
        <v>44756</v>
      </c>
      <c r="N7938" s="8" t="s">
        <v>243</v>
      </c>
      <c r="O7938" s="8" t="s">
        <v>798</v>
      </c>
      <c r="P7938" s="6" t="s">
        <v>51</v>
      </c>
      <c r="Q7938" s="8" t="s">
        <v>52</v>
      </c>
      <c r="R7938" s="10" t="s">
        <v>7812</v>
      </c>
      <c r="S7938" s="11"/>
      <c r="T7938" s="6" t="s">
        <v>97</v>
      </c>
      <c r="U7938" s="15" t="str">
        <f>HYPERLINK("https://media.infra-m.ru/2266/2266145/cover/2266145.jpg", "Обложка")</f>
        <v>Обложка</v>
      </c>
      <c r="V7938" s="8" t="s">
        <v>843</v>
      </c>
      <c r="W7938" s="6"/>
      <c r="X7938" s="6"/>
      <c r="Y7938" s="6"/>
      <c r="Z7938" s="6"/>
      <c r="AA7938" s="6" t="s">
        <v>76</v>
      </c>
      <c r="AB7938" s="8"/>
      <c r="AC7938" s="27">
        <v>9785160135588</v>
      </c>
    </row>
    <row r="7939" spans="1:29" s="4" customFormat="1" ht="51.9" customHeight="1" x14ac:dyDescent="0.2">
      <c r="A7939" s="5">
        <v>0</v>
      </c>
      <c r="B7939" s="6" t="s">
        <v>44757</v>
      </c>
      <c r="C7939" s="7">
        <v>1864.8</v>
      </c>
      <c r="D7939" s="8" t="s">
        <v>44758</v>
      </c>
      <c r="E7939" s="8" t="s">
        <v>44759</v>
      </c>
      <c r="F7939" s="8" t="s">
        <v>36919</v>
      </c>
      <c r="G7939" s="6" t="s">
        <v>118</v>
      </c>
      <c r="H7939" s="6" t="s">
        <v>34</v>
      </c>
      <c r="I7939" s="8" t="s">
        <v>263</v>
      </c>
      <c r="J7939" s="9">
        <v>1</v>
      </c>
      <c r="K7939" s="9">
        <v>282</v>
      </c>
      <c r="L7939" s="9">
        <v>2026</v>
      </c>
      <c r="M7939" s="8" t="s">
        <v>44760</v>
      </c>
      <c r="N7939" s="8" t="s">
        <v>243</v>
      </c>
      <c r="O7939" s="8" t="s">
        <v>798</v>
      </c>
      <c r="P7939" s="6" t="s">
        <v>51</v>
      </c>
      <c r="Q7939" s="8" t="s">
        <v>265</v>
      </c>
      <c r="R7939" s="10" t="s">
        <v>44761</v>
      </c>
      <c r="S7939" s="11"/>
      <c r="T7939" s="6"/>
      <c r="U7939" s="15" t="str">
        <f>HYPERLINK("https://media.infra-m.ru/2218/2218826/cover/2218826.jpg", "Обложка")</f>
        <v>Обложка</v>
      </c>
      <c r="V7939" s="8" t="s">
        <v>843</v>
      </c>
      <c r="W7939" s="6"/>
      <c r="X7939" s="6"/>
      <c r="Y7939" s="6"/>
      <c r="Z7939" s="6"/>
      <c r="AA7939" s="6" t="s">
        <v>76</v>
      </c>
      <c r="AB7939" s="8"/>
      <c r="AC7939" s="27">
        <v>9785160156682</v>
      </c>
    </row>
    <row r="7940" spans="1:29" s="4" customFormat="1" ht="51.9" customHeight="1" x14ac:dyDescent="0.2">
      <c r="A7940" s="5">
        <v>0</v>
      </c>
      <c r="B7940" s="6" t="s">
        <v>44762</v>
      </c>
      <c r="C7940" s="7">
        <v>3712.8</v>
      </c>
      <c r="D7940" s="8" t="s">
        <v>44763</v>
      </c>
      <c r="E7940" s="8" t="s">
        <v>44749</v>
      </c>
      <c r="F7940" s="8" t="s">
        <v>26476</v>
      </c>
      <c r="G7940" s="6" t="s">
        <v>60</v>
      </c>
      <c r="H7940" s="6" t="s">
        <v>34</v>
      </c>
      <c r="I7940" s="8" t="s">
        <v>271</v>
      </c>
      <c r="J7940" s="9">
        <v>1</v>
      </c>
      <c r="K7940" s="9">
        <v>536</v>
      </c>
      <c r="L7940" s="9">
        <v>2026</v>
      </c>
      <c r="M7940" s="8" t="s">
        <v>44764</v>
      </c>
      <c r="N7940" s="8" t="s">
        <v>37</v>
      </c>
      <c r="O7940" s="8" t="s">
        <v>499</v>
      </c>
      <c r="P7940" s="6" t="s">
        <v>306</v>
      </c>
      <c r="Q7940" s="8" t="s">
        <v>52</v>
      </c>
      <c r="R7940" s="10" t="s">
        <v>44765</v>
      </c>
      <c r="S7940" s="11" t="s">
        <v>44766</v>
      </c>
      <c r="T7940" s="6"/>
      <c r="U7940" s="15" t="str">
        <f>HYPERLINK("https://media.infra-m.ru/2270/2270919/cover/2270919.jpg", "Обложка")</f>
        <v>Обложка</v>
      </c>
      <c r="V7940" s="8" t="s">
        <v>588</v>
      </c>
      <c r="W7940" s="6"/>
      <c r="X7940" s="6"/>
      <c r="Y7940" s="6"/>
      <c r="Z7940" s="6"/>
      <c r="AA7940" s="6" t="s">
        <v>99</v>
      </c>
      <c r="AB7940" s="8"/>
      <c r="AC7940" s="27">
        <v>9785160128122</v>
      </c>
    </row>
    <row r="7941" spans="1:29" s="4" customFormat="1" ht="51.9" customHeight="1" x14ac:dyDescent="0.2">
      <c r="A7941" s="5">
        <v>0</v>
      </c>
      <c r="B7941" s="6" t="s">
        <v>44767</v>
      </c>
      <c r="C7941" s="7">
        <v>1192.8</v>
      </c>
      <c r="D7941" s="8" t="s">
        <v>44768</v>
      </c>
      <c r="E7941" s="8" t="s">
        <v>44744</v>
      </c>
      <c r="F7941" s="8" t="s">
        <v>36919</v>
      </c>
      <c r="G7941" s="6" t="s">
        <v>118</v>
      </c>
      <c r="H7941" s="6" t="s">
        <v>34</v>
      </c>
      <c r="I7941" s="8" t="s">
        <v>271</v>
      </c>
      <c r="J7941" s="9">
        <v>1</v>
      </c>
      <c r="K7941" s="9">
        <v>215</v>
      </c>
      <c r="L7941" s="9">
        <v>2024</v>
      </c>
      <c r="M7941" s="8" t="s">
        <v>44769</v>
      </c>
      <c r="N7941" s="8" t="s">
        <v>243</v>
      </c>
      <c r="O7941" s="8" t="s">
        <v>798</v>
      </c>
      <c r="P7941" s="6" t="s">
        <v>51</v>
      </c>
      <c r="Q7941" s="8" t="s">
        <v>52</v>
      </c>
      <c r="R7941" s="10" t="s">
        <v>6735</v>
      </c>
      <c r="S7941" s="11" t="s">
        <v>44770</v>
      </c>
      <c r="T7941" s="6" t="s">
        <v>97</v>
      </c>
      <c r="U7941" s="15" t="str">
        <f>HYPERLINK("https://media.infra-m.ru/2084/2084329/cover/2084329.jpg", "Обложка")</f>
        <v>Обложка</v>
      </c>
      <c r="V7941" s="8" t="s">
        <v>843</v>
      </c>
      <c r="W7941" s="6"/>
      <c r="X7941" s="6"/>
      <c r="Y7941" s="6"/>
      <c r="Z7941" s="6"/>
      <c r="AA7941" s="6" t="s">
        <v>115</v>
      </c>
      <c r="AB7941" s="8"/>
      <c r="AC7941" s="27">
        <v>9785160135625</v>
      </c>
    </row>
    <row r="7942" spans="1:29" s="4" customFormat="1" ht="51.9" customHeight="1" x14ac:dyDescent="0.2">
      <c r="A7942" s="5">
        <v>0</v>
      </c>
      <c r="B7942" s="6" t="s">
        <v>44771</v>
      </c>
      <c r="C7942" s="7">
        <v>1776</v>
      </c>
      <c r="D7942" s="8" t="s">
        <v>44772</v>
      </c>
      <c r="E7942" s="8" t="s">
        <v>44773</v>
      </c>
      <c r="F7942" s="8" t="s">
        <v>44774</v>
      </c>
      <c r="G7942" s="6" t="s">
        <v>118</v>
      </c>
      <c r="H7942" s="6" t="s">
        <v>34</v>
      </c>
      <c r="I7942" s="8" t="s">
        <v>253</v>
      </c>
      <c r="J7942" s="9">
        <v>1</v>
      </c>
      <c r="K7942" s="9">
        <v>320</v>
      </c>
      <c r="L7942" s="9">
        <v>2024</v>
      </c>
      <c r="M7942" s="8" t="s">
        <v>44775</v>
      </c>
      <c r="N7942" s="8" t="s">
        <v>37</v>
      </c>
      <c r="O7942" s="8" t="s">
        <v>499</v>
      </c>
      <c r="P7942" s="6" t="s">
        <v>51</v>
      </c>
      <c r="Q7942" s="8" t="s">
        <v>52</v>
      </c>
      <c r="R7942" s="10" t="s">
        <v>44776</v>
      </c>
      <c r="S7942" s="11" t="s">
        <v>44777</v>
      </c>
      <c r="T7942" s="6" t="s">
        <v>97</v>
      </c>
      <c r="U7942" s="15" t="str">
        <f>HYPERLINK("https://media.infra-m.ru/2127/2127009/cover/2127009.jpg", "Обложка")</f>
        <v>Обложка</v>
      </c>
      <c r="V7942" s="8" t="s">
        <v>6224</v>
      </c>
      <c r="W7942" s="6"/>
      <c r="X7942" s="6"/>
      <c r="Y7942" s="6"/>
      <c r="Z7942" s="6"/>
      <c r="AA7942" s="6" t="s">
        <v>779</v>
      </c>
      <c r="AB7942" s="8"/>
      <c r="AC7942" s="27">
        <v>9785160195551</v>
      </c>
    </row>
    <row r="7943" spans="1:29" s="4" customFormat="1" ht="51.9" customHeight="1" x14ac:dyDescent="0.2">
      <c r="A7943" s="5">
        <v>0</v>
      </c>
      <c r="B7943" s="6" t="s">
        <v>44778</v>
      </c>
      <c r="C7943" s="7">
        <v>1164</v>
      </c>
      <c r="D7943" s="8" t="s">
        <v>44779</v>
      </c>
      <c r="E7943" s="8" t="s">
        <v>44738</v>
      </c>
      <c r="F7943" s="8" t="s">
        <v>44739</v>
      </c>
      <c r="G7943" s="6" t="s">
        <v>118</v>
      </c>
      <c r="H7943" s="6" t="s">
        <v>34</v>
      </c>
      <c r="I7943" s="8" t="s">
        <v>253</v>
      </c>
      <c r="J7943" s="9">
        <v>1</v>
      </c>
      <c r="K7943" s="9">
        <v>176</v>
      </c>
      <c r="L7943" s="9">
        <v>2026</v>
      </c>
      <c r="M7943" s="8" t="s">
        <v>44780</v>
      </c>
      <c r="N7943" s="8" t="s">
        <v>37</v>
      </c>
      <c r="O7943" s="8" t="s">
        <v>233</v>
      </c>
      <c r="P7943" s="6" t="s">
        <v>306</v>
      </c>
      <c r="Q7943" s="8" t="s">
        <v>52</v>
      </c>
      <c r="R7943" s="10" t="s">
        <v>23596</v>
      </c>
      <c r="S7943" s="11" t="s">
        <v>44781</v>
      </c>
      <c r="T7943" s="6"/>
      <c r="U7943" s="15" t="str">
        <f>HYPERLINK("https://media.infra-m.ru/2244/2244090/cover/2244090.jpg", "Обложка")</f>
        <v>Обложка</v>
      </c>
      <c r="V7943" s="8" t="s">
        <v>1768</v>
      </c>
      <c r="W7943" s="6"/>
      <c r="X7943" s="6"/>
      <c r="Y7943" s="6"/>
      <c r="Z7943" s="6"/>
      <c r="AA7943" s="6" t="s">
        <v>55</v>
      </c>
      <c r="AB7943" s="8"/>
      <c r="AC7943" s="27">
        <v>9785160219929</v>
      </c>
    </row>
    <row r="7944" spans="1:29" s="4" customFormat="1" ht="42" customHeight="1" x14ac:dyDescent="0.2">
      <c r="A7944" s="5">
        <v>0</v>
      </c>
      <c r="B7944" s="6" t="s">
        <v>44782</v>
      </c>
      <c r="C7944" s="7">
        <v>1500</v>
      </c>
      <c r="D7944" s="8" t="s">
        <v>44783</v>
      </c>
      <c r="E7944" s="8" t="s">
        <v>44784</v>
      </c>
      <c r="F7944" s="8" t="s">
        <v>27113</v>
      </c>
      <c r="G7944" s="6" t="s">
        <v>60</v>
      </c>
      <c r="H7944" s="6" t="s">
        <v>34</v>
      </c>
      <c r="I7944" s="8" t="s">
        <v>253</v>
      </c>
      <c r="J7944" s="9">
        <v>1</v>
      </c>
      <c r="K7944" s="9">
        <v>219</v>
      </c>
      <c r="L7944" s="9">
        <v>2025</v>
      </c>
      <c r="M7944" s="8" t="s">
        <v>44785</v>
      </c>
      <c r="N7944" s="8" t="s">
        <v>37</v>
      </c>
      <c r="O7944" s="8" t="s">
        <v>499</v>
      </c>
      <c r="P7944" s="6" t="s">
        <v>306</v>
      </c>
      <c r="Q7944" s="8" t="s">
        <v>65</v>
      </c>
      <c r="R7944" s="10" t="s">
        <v>37956</v>
      </c>
      <c r="S7944" s="11"/>
      <c r="T7944" s="6"/>
      <c r="U7944" s="15" t="str">
        <f>HYPERLINK("https://media.infra-m.ru/2136/2136705/cover/2136705.jpg", "Обложка")</f>
        <v>Обложка</v>
      </c>
      <c r="V7944" s="8" t="s">
        <v>2047</v>
      </c>
      <c r="W7944" s="6"/>
      <c r="X7944" s="6"/>
      <c r="Y7944" s="6"/>
      <c r="Z7944" s="6"/>
      <c r="AA7944" s="6" t="s">
        <v>68</v>
      </c>
      <c r="AB7944" s="8"/>
      <c r="AC7944" s="27">
        <v>9785160197739</v>
      </c>
    </row>
    <row r="7945" spans="1:29" s="4" customFormat="1" ht="42" customHeight="1" x14ac:dyDescent="0.2">
      <c r="A7945" s="5">
        <v>0</v>
      </c>
      <c r="B7945" s="6" t="s">
        <v>44786</v>
      </c>
      <c r="C7945" s="7">
        <v>2388</v>
      </c>
      <c r="D7945" s="8" t="s">
        <v>44787</v>
      </c>
      <c r="E7945" s="8" t="s">
        <v>44788</v>
      </c>
      <c r="F7945" s="8" t="s">
        <v>36919</v>
      </c>
      <c r="G7945" s="6" t="s">
        <v>60</v>
      </c>
      <c r="H7945" s="6" t="s">
        <v>34</v>
      </c>
      <c r="I7945" s="8" t="s">
        <v>253</v>
      </c>
      <c r="J7945" s="9">
        <v>1</v>
      </c>
      <c r="K7945" s="9">
        <v>389</v>
      </c>
      <c r="L7945" s="9">
        <v>2025</v>
      </c>
      <c r="M7945" s="8" t="s">
        <v>44789</v>
      </c>
      <c r="N7945" s="8" t="s">
        <v>243</v>
      </c>
      <c r="O7945" s="8" t="s">
        <v>798</v>
      </c>
      <c r="P7945" s="6" t="s">
        <v>51</v>
      </c>
      <c r="Q7945" s="8" t="s">
        <v>52</v>
      </c>
      <c r="R7945" s="10" t="s">
        <v>7812</v>
      </c>
      <c r="S7945" s="11"/>
      <c r="T7945" s="6"/>
      <c r="U7945" s="15" t="str">
        <f>HYPERLINK("https://media.infra-m.ru/1911/1911053/cover/1911053.jpg", "Обложка")</f>
        <v>Обложка</v>
      </c>
      <c r="V7945" s="8" t="s">
        <v>843</v>
      </c>
      <c r="W7945" s="6"/>
      <c r="X7945" s="6"/>
      <c r="Y7945" s="6"/>
      <c r="Z7945" s="6"/>
      <c r="AA7945" s="6" t="s">
        <v>68</v>
      </c>
      <c r="AB7945" s="8"/>
      <c r="AC7945" s="27">
        <v>9785160181059</v>
      </c>
    </row>
    <row r="7946" spans="1:29" s="4" customFormat="1" ht="51.9" customHeight="1" x14ac:dyDescent="0.2">
      <c r="A7946" s="5">
        <v>0</v>
      </c>
      <c r="B7946" s="6" t="s">
        <v>44790</v>
      </c>
      <c r="C7946" s="7">
        <v>1336.8</v>
      </c>
      <c r="D7946" s="8" t="s">
        <v>44791</v>
      </c>
      <c r="E7946" s="8" t="s">
        <v>44792</v>
      </c>
      <c r="F7946" s="8" t="s">
        <v>44793</v>
      </c>
      <c r="G7946" s="6" t="s">
        <v>118</v>
      </c>
      <c r="H7946" s="6" t="s">
        <v>34</v>
      </c>
      <c r="I7946" s="8" t="s">
        <v>7198</v>
      </c>
      <c r="J7946" s="9">
        <v>1</v>
      </c>
      <c r="K7946" s="9">
        <v>202</v>
      </c>
      <c r="L7946" s="9">
        <v>2026</v>
      </c>
      <c r="M7946" s="8" t="s">
        <v>44794</v>
      </c>
      <c r="N7946" s="8" t="s">
        <v>243</v>
      </c>
      <c r="O7946" s="8" t="s">
        <v>798</v>
      </c>
      <c r="P7946" s="6" t="s">
        <v>51</v>
      </c>
      <c r="Q7946" s="8" t="s">
        <v>52</v>
      </c>
      <c r="R7946" s="10" t="s">
        <v>2870</v>
      </c>
      <c r="S7946" s="11" t="s">
        <v>31208</v>
      </c>
      <c r="T7946" s="6"/>
      <c r="U7946" s="15" t="str">
        <f>HYPERLINK("https://media.infra-m.ru/2239/2239129/cover/2239129.jpg", "Обложка")</f>
        <v>Обложка</v>
      </c>
      <c r="V7946" s="8" t="s">
        <v>1083</v>
      </c>
      <c r="W7946" s="6"/>
      <c r="X7946" s="6"/>
      <c r="Y7946" s="6"/>
      <c r="Z7946" s="6"/>
      <c r="AA7946" s="6" t="s">
        <v>86</v>
      </c>
      <c r="AB7946" s="8"/>
      <c r="AC7946" s="27">
        <v>9785160165301</v>
      </c>
    </row>
    <row r="7947" spans="1:29" s="4" customFormat="1" ht="42" customHeight="1" x14ac:dyDescent="0.2">
      <c r="A7947" s="5">
        <v>0</v>
      </c>
      <c r="B7947" s="6" t="s">
        <v>44795</v>
      </c>
      <c r="C7947" s="7">
        <v>1660.8</v>
      </c>
      <c r="D7947" s="8" t="s">
        <v>44796</v>
      </c>
      <c r="E7947" s="8" t="s">
        <v>44797</v>
      </c>
      <c r="F7947" s="8" t="s">
        <v>44798</v>
      </c>
      <c r="G7947" s="6" t="s">
        <v>33</v>
      </c>
      <c r="H7947" s="6" t="s">
        <v>34</v>
      </c>
      <c r="I7947" s="8" t="s">
        <v>35</v>
      </c>
      <c r="J7947" s="9">
        <v>1</v>
      </c>
      <c r="K7947" s="9">
        <v>194</v>
      </c>
      <c r="L7947" s="9">
        <v>2026</v>
      </c>
      <c r="M7947" s="8" t="s">
        <v>44799</v>
      </c>
      <c r="N7947" s="8" t="s">
        <v>243</v>
      </c>
      <c r="O7947" s="8" t="s">
        <v>798</v>
      </c>
      <c r="P7947" s="6" t="s">
        <v>39</v>
      </c>
      <c r="Q7947" s="8" t="s">
        <v>40</v>
      </c>
      <c r="R7947" s="10" t="s">
        <v>31226</v>
      </c>
      <c r="S7947" s="11"/>
      <c r="T7947" s="6"/>
      <c r="U7947" s="15" t="str">
        <f>HYPERLINK("https://media.infra-m.ru/2255/2255187/cover/2255187.jpg", "Обложка")</f>
        <v>Обложка</v>
      </c>
      <c r="V7947" s="8" t="s">
        <v>7509</v>
      </c>
      <c r="W7947" s="6"/>
      <c r="X7947" s="6"/>
      <c r="Y7947" s="6"/>
      <c r="Z7947" s="6"/>
      <c r="AA7947" s="6" t="s">
        <v>76</v>
      </c>
      <c r="AB7947" s="8"/>
      <c r="AC7947" s="27">
        <v>9785160190716</v>
      </c>
    </row>
    <row r="7948" spans="1:29" s="4" customFormat="1" ht="33" customHeight="1" x14ac:dyDescent="0.2">
      <c r="A7948" s="5">
        <v>0</v>
      </c>
      <c r="B7948" s="6" t="s">
        <v>44800</v>
      </c>
      <c r="C7948" s="7">
        <v>2483.8000000000002</v>
      </c>
      <c r="D7948" s="8" t="s">
        <v>44801</v>
      </c>
      <c r="E7948" s="8" t="s">
        <v>44802</v>
      </c>
      <c r="F7948" s="8" t="s">
        <v>44803</v>
      </c>
      <c r="G7948" s="6" t="s">
        <v>60</v>
      </c>
      <c r="H7948" s="6" t="s">
        <v>34</v>
      </c>
      <c r="I7948" s="8"/>
      <c r="J7948" s="9">
        <v>1</v>
      </c>
      <c r="K7948" s="9">
        <v>850</v>
      </c>
      <c r="L7948" s="9">
        <v>2019</v>
      </c>
      <c r="M7948" s="8"/>
      <c r="N7948" s="8" t="s">
        <v>585</v>
      </c>
      <c r="O7948" s="8" t="s">
        <v>775</v>
      </c>
      <c r="P7948" s="6" t="s">
        <v>44804</v>
      </c>
      <c r="Q7948" s="8" t="s">
        <v>52</v>
      </c>
      <c r="R7948" s="10"/>
      <c r="S7948" s="11"/>
      <c r="T7948" s="6"/>
      <c r="U7948" s="12"/>
      <c r="V7948" s="8" t="s">
        <v>227</v>
      </c>
      <c r="W7948" s="6"/>
      <c r="X7948" s="6"/>
      <c r="Y7948" s="6"/>
      <c r="Z7948" s="6"/>
      <c r="AA7948" s="6" t="s">
        <v>115</v>
      </c>
      <c r="AB7948" s="8"/>
      <c r="AC7948" s="27"/>
    </row>
    <row r="7949" spans="1:29" s="4" customFormat="1" ht="51.9" customHeight="1" x14ac:dyDescent="0.2">
      <c r="A7949" s="5">
        <v>0</v>
      </c>
      <c r="B7949" s="6" t="s">
        <v>44805</v>
      </c>
      <c r="C7949" s="7">
        <v>1488</v>
      </c>
      <c r="D7949" s="8" t="s">
        <v>44806</v>
      </c>
      <c r="E7949" s="8" t="s">
        <v>44802</v>
      </c>
      <c r="F7949" s="8" t="s">
        <v>44803</v>
      </c>
      <c r="G7949" s="6" t="s">
        <v>118</v>
      </c>
      <c r="H7949" s="6" t="s">
        <v>34</v>
      </c>
      <c r="I7949" s="8" t="s">
        <v>253</v>
      </c>
      <c r="J7949" s="9">
        <v>1</v>
      </c>
      <c r="K7949" s="9">
        <v>237</v>
      </c>
      <c r="L7949" s="9">
        <v>2026</v>
      </c>
      <c r="M7949" s="8" t="s">
        <v>44807</v>
      </c>
      <c r="N7949" s="8" t="s">
        <v>585</v>
      </c>
      <c r="O7949" s="8" t="s">
        <v>775</v>
      </c>
      <c r="P7949" s="6" t="s">
        <v>51</v>
      </c>
      <c r="Q7949" s="8" t="s">
        <v>52</v>
      </c>
      <c r="R7949" s="10" t="s">
        <v>44808</v>
      </c>
      <c r="S7949" s="11"/>
      <c r="T7949" s="6"/>
      <c r="U7949" s="15" t="str">
        <f>HYPERLINK("https://media.infra-m.ru/2212/2212144/cover/2212144.jpg", "Обложка")</f>
        <v>Обложка</v>
      </c>
      <c r="V7949" s="8" t="s">
        <v>227</v>
      </c>
      <c r="W7949" s="6"/>
      <c r="X7949" s="6" t="s">
        <v>24</v>
      </c>
      <c r="Y7949" s="6"/>
      <c r="Z7949" s="6"/>
      <c r="AA7949" s="6" t="s">
        <v>55</v>
      </c>
      <c r="AB7949" s="8"/>
      <c r="AC7949" s="27">
        <v>9785160212197</v>
      </c>
    </row>
    <row r="7950" spans="1:29" s="4" customFormat="1" ht="51.9" customHeight="1" x14ac:dyDescent="0.2">
      <c r="A7950" s="5">
        <v>0</v>
      </c>
      <c r="B7950" s="6" t="s">
        <v>44809</v>
      </c>
      <c r="C7950" s="7">
        <v>4056</v>
      </c>
      <c r="D7950" s="8" t="s">
        <v>44810</v>
      </c>
      <c r="E7950" s="8" t="s">
        <v>44811</v>
      </c>
      <c r="F7950" s="8" t="s">
        <v>44803</v>
      </c>
      <c r="G7950" s="6" t="s">
        <v>60</v>
      </c>
      <c r="H7950" s="6" t="s">
        <v>34</v>
      </c>
      <c r="I7950" s="8" t="s">
        <v>253</v>
      </c>
      <c r="J7950" s="9">
        <v>1</v>
      </c>
      <c r="K7950" s="9">
        <v>613</v>
      </c>
      <c r="L7950" s="9">
        <v>2026</v>
      </c>
      <c r="M7950" s="8" t="s">
        <v>44812</v>
      </c>
      <c r="N7950" s="8" t="s">
        <v>585</v>
      </c>
      <c r="O7950" s="8" t="s">
        <v>775</v>
      </c>
      <c r="P7950" s="6" t="s">
        <v>51</v>
      </c>
      <c r="Q7950" s="8" t="s">
        <v>52</v>
      </c>
      <c r="R7950" s="10" t="s">
        <v>44813</v>
      </c>
      <c r="S7950" s="11" t="s">
        <v>44814</v>
      </c>
      <c r="T7950" s="6"/>
      <c r="U7950" s="15" t="str">
        <f>HYPERLINK("https://media.infra-m.ru/2250/2250383/cover/2250383.jpg", "Обложка")</f>
        <v>Обложка</v>
      </c>
      <c r="V7950" s="8" t="s">
        <v>227</v>
      </c>
      <c r="W7950" s="6"/>
      <c r="X7950" s="6" t="s">
        <v>24</v>
      </c>
      <c r="Y7950" s="6"/>
      <c r="Z7950" s="6"/>
      <c r="AA7950" s="6" t="s">
        <v>55</v>
      </c>
      <c r="AB7950" s="8"/>
      <c r="AC7950" s="27">
        <v>9785160192499</v>
      </c>
    </row>
    <row r="7951" spans="1:29" s="4" customFormat="1" ht="51.9" customHeight="1" x14ac:dyDescent="0.2">
      <c r="A7951" s="5">
        <v>0</v>
      </c>
      <c r="B7951" s="6" t="s">
        <v>44815</v>
      </c>
      <c r="C7951" s="7">
        <v>2448</v>
      </c>
      <c r="D7951" s="8" t="s">
        <v>44816</v>
      </c>
      <c r="E7951" s="8" t="s">
        <v>44817</v>
      </c>
      <c r="F7951" s="8" t="s">
        <v>44818</v>
      </c>
      <c r="G7951" s="6" t="s">
        <v>60</v>
      </c>
      <c r="H7951" s="6" t="s">
        <v>34</v>
      </c>
      <c r="I7951" s="8" t="s">
        <v>271</v>
      </c>
      <c r="J7951" s="9">
        <v>1</v>
      </c>
      <c r="K7951" s="9">
        <v>443</v>
      </c>
      <c r="L7951" s="9">
        <v>2024</v>
      </c>
      <c r="M7951" s="8" t="s">
        <v>44819</v>
      </c>
      <c r="N7951" s="8" t="s">
        <v>243</v>
      </c>
      <c r="O7951" s="8" t="s">
        <v>758</v>
      </c>
      <c r="P7951" s="6" t="s">
        <v>51</v>
      </c>
      <c r="Q7951" s="8" t="s">
        <v>52</v>
      </c>
      <c r="R7951" s="10" t="s">
        <v>44820</v>
      </c>
      <c r="S7951" s="11" t="s">
        <v>44821</v>
      </c>
      <c r="T7951" s="6" t="s">
        <v>97</v>
      </c>
      <c r="U7951" s="15" t="str">
        <f>HYPERLINK("https://media.infra-m.ru/2083/2083884/cover/2083884.jpg", "Обложка")</f>
        <v>Обложка</v>
      </c>
      <c r="V7951" s="8" t="s">
        <v>1030</v>
      </c>
      <c r="W7951" s="6"/>
      <c r="X7951" s="6"/>
      <c r="Y7951" s="6"/>
      <c r="Z7951" s="6"/>
      <c r="AA7951" s="6" t="s">
        <v>360</v>
      </c>
      <c r="AB7951" s="8"/>
      <c r="AC7951" s="27">
        <v>9785160100517</v>
      </c>
    </row>
    <row r="7952" spans="1:29" s="4" customFormat="1" ht="51.9" customHeight="1" x14ac:dyDescent="0.2">
      <c r="A7952" s="5">
        <v>0</v>
      </c>
      <c r="B7952" s="6" t="s">
        <v>44822</v>
      </c>
      <c r="C7952" s="7">
        <v>2920.8</v>
      </c>
      <c r="D7952" s="8" t="s">
        <v>44823</v>
      </c>
      <c r="E7952" s="8" t="s">
        <v>44817</v>
      </c>
      <c r="F7952" s="8" t="s">
        <v>44818</v>
      </c>
      <c r="G7952" s="6" t="s">
        <v>118</v>
      </c>
      <c r="H7952" s="6" t="s">
        <v>34</v>
      </c>
      <c r="I7952" s="8" t="s">
        <v>263</v>
      </c>
      <c r="J7952" s="9">
        <v>1</v>
      </c>
      <c r="K7952" s="9">
        <v>443</v>
      </c>
      <c r="L7952" s="9">
        <v>2026</v>
      </c>
      <c r="M7952" s="8" t="s">
        <v>44824</v>
      </c>
      <c r="N7952" s="8" t="s">
        <v>243</v>
      </c>
      <c r="O7952" s="8" t="s">
        <v>758</v>
      </c>
      <c r="P7952" s="6" t="s">
        <v>51</v>
      </c>
      <c r="Q7952" s="8" t="s">
        <v>265</v>
      </c>
      <c r="R7952" s="10" t="s">
        <v>44825</v>
      </c>
      <c r="S7952" s="11" t="s">
        <v>44826</v>
      </c>
      <c r="T7952" s="6" t="s">
        <v>97</v>
      </c>
      <c r="U7952" s="15" t="str">
        <f>HYPERLINK("https://media.infra-m.ru/2253/2253663/cover/2253663.jpg", "Обложка")</f>
        <v>Обложка</v>
      </c>
      <c r="V7952" s="8" t="s">
        <v>1030</v>
      </c>
      <c r="W7952" s="6"/>
      <c r="X7952" s="6"/>
      <c r="Y7952" s="6"/>
      <c r="Z7952" s="6" t="s">
        <v>267</v>
      </c>
      <c r="AA7952" s="6" t="s">
        <v>258</v>
      </c>
      <c r="AB7952" s="8"/>
      <c r="AC7952" s="27">
        <v>9785160169576</v>
      </c>
    </row>
    <row r="7953" spans="1:29" s="4" customFormat="1" ht="51.9" customHeight="1" x14ac:dyDescent="0.2">
      <c r="A7953" s="5">
        <v>0</v>
      </c>
      <c r="B7953" s="6" t="s">
        <v>44827</v>
      </c>
      <c r="C7953" s="7">
        <v>1936.8</v>
      </c>
      <c r="D7953" s="8" t="s">
        <v>44828</v>
      </c>
      <c r="E7953" s="8" t="s">
        <v>44829</v>
      </c>
      <c r="F7953" s="8" t="s">
        <v>29388</v>
      </c>
      <c r="G7953" s="6" t="s">
        <v>60</v>
      </c>
      <c r="H7953" s="6" t="s">
        <v>34</v>
      </c>
      <c r="I7953" s="8" t="s">
        <v>271</v>
      </c>
      <c r="J7953" s="9">
        <v>1</v>
      </c>
      <c r="K7953" s="9">
        <v>358</v>
      </c>
      <c r="L7953" s="9">
        <v>2023</v>
      </c>
      <c r="M7953" s="8" t="s">
        <v>44830</v>
      </c>
      <c r="N7953" s="8" t="s">
        <v>243</v>
      </c>
      <c r="O7953" s="8" t="s">
        <v>758</v>
      </c>
      <c r="P7953" s="6" t="s">
        <v>51</v>
      </c>
      <c r="Q7953" s="8" t="s">
        <v>52</v>
      </c>
      <c r="R7953" s="10" t="s">
        <v>43418</v>
      </c>
      <c r="S7953" s="11" t="s">
        <v>44831</v>
      </c>
      <c r="T7953" s="6"/>
      <c r="U7953" s="15" t="str">
        <f>HYPERLINK("https://media.infra-m.ru/2006/2006867/cover/2006867.jpg", "Обложка")</f>
        <v>Обложка</v>
      </c>
      <c r="V7953" s="8" t="s">
        <v>843</v>
      </c>
      <c r="W7953" s="6"/>
      <c r="X7953" s="6"/>
      <c r="Y7953" s="6"/>
      <c r="Z7953" s="6"/>
      <c r="AA7953" s="6" t="s">
        <v>86</v>
      </c>
      <c r="AB7953" s="8"/>
      <c r="AC7953" s="27">
        <v>9785160133911</v>
      </c>
    </row>
    <row r="7954" spans="1:29" s="4" customFormat="1" ht="51.9" customHeight="1" x14ac:dyDescent="0.2">
      <c r="A7954" s="5">
        <v>0</v>
      </c>
      <c r="B7954" s="6" t="s">
        <v>44832</v>
      </c>
      <c r="C7954" s="7">
        <v>1300.8</v>
      </c>
      <c r="D7954" s="8" t="s">
        <v>44833</v>
      </c>
      <c r="E7954" s="8" t="s">
        <v>44834</v>
      </c>
      <c r="F7954" s="8" t="s">
        <v>20707</v>
      </c>
      <c r="G7954" s="6" t="s">
        <v>118</v>
      </c>
      <c r="H7954" s="6" t="s">
        <v>1042</v>
      </c>
      <c r="I7954" s="8" t="s">
        <v>263</v>
      </c>
      <c r="J7954" s="9">
        <v>1</v>
      </c>
      <c r="K7954" s="9">
        <v>208</v>
      </c>
      <c r="L7954" s="9">
        <v>2026</v>
      </c>
      <c r="M7954" s="8" t="s">
        <v>44835</v>
      </c>
      <c r="N7954" s="8" t="s">
        <v>243</v>
      </c>
      <c r="O7954" s="8" t="s">
        <v>758</v>
      </c>
      <c r="P7954" s="6" t="s">
        <v>306</v>
      </c>
      <c r="Q7954" s="8" t="s">
        <v>265</v>
      </c>
      <c r="R7954" s="10" t="s">
        <v>44836</v>
      </c>
      <c r="S7954" s="11" t="s">
        <v>21923</v>
      </c>
      <c r="T7954" s="6"/>
      <c r="U7954" s="15" t="str">
        <f>HYPERLINK("https://media.infra-m.ru/2222/2222179/cover/2222179.jpg", "Обложка")</f>
        <v>Обложка</v>
      </c>
      <c r="V7954" s="8" t="s">
        <v>831</v>
      </c>
      <c r="W7954" s="6"/>
      <c r="X7954" s="6"/>
      <c r="Y7954" s="6"/>
      <c r="Z7954" s="6"/>
      <c r="AA7954" s="6" t="s">
        <v>274</v>
      </c>
      <c r="AB7954" s="8"/>
      <c r="AC7954" s="27">
        <v>9785819908839</v>
      </c>
    </row>
    <row r="7955" spans="1:29" s="4" customFormat="1" ht="51.9" customHeight="1" x14ac:dyDescent="0.2">
      <c r="A7955" s="5">
        <v>0</v>
      </c>
      <c r="B7955" s="6" t="s">
        <v>44837</v>
      </c>
      <c r="C7955" s="7">
        <v>2488.8000000000002</v>
      </c>
      <c r="D7955" s="8" t="s">
        <v>44838</v>
      </c>
      <c r="E7955" s="8" t="s">
        <v>44829</v>
      </c>
      <c r="F7955" s="8" t="s">
        <v>29388</v>
      </c>
      <c r="G7955" s="6" t="s">
        <v>118</v>
      </c>
      <c r="H7955" s="6" t="s">
        <v>34</v>
      </c>
      <c r="I7955" s="8" t="s">
        <v>263</v>
      </c>
      <c r="J7955" s="9">
        <v>1</v>
      </c>
      <c r="K7955" s="9">
        <v>358</v>
      </c>
      <c r="L7955" s="9">
        <v>2027</v>
      </c>
      <c r="M7955" s="8" t="s">
        <v>44839</v>
      </c>
      <c r="N7955" s="8" t="s">
        <v>243</v>
      </c>
      <c r="O7955" s="8" t="s">
        <v>758</v>
      </c>
      <c r="P7955" s="6" t="s">
        <v>51</v>
      </c>
      <c r="Q7955" s="8" t="s">
        <v>265</v>
      </c>
      <c r="R7955" s="10" t="s">
        <v>44840</v>
      </c>
      <c r="S7955" s="11" t="s">
        <v>29394</v>
      </c>
      <c r="T7955" s="6"/>
      <c r="U7955" s="15" t="str">
        <f>HYPERLINK("https://media.infra-m.ru/2262/2262914/cover/2262914.jpg", "Обложка")</f>
        <v>Обложка</v>
      </c>
      <c r="V7955" s="8" t="s">
        <v>843</v>
      </c>
      <c r="W7955" s="6"/>
      <c r="X7955" s="6"/>
      <c r="Y7955" s="6"/>
      <c r="Z7955" s="6" t="s">
        <v>267</v>
      </c>
      <c r="AA7955" s="6" t="s">
        <v>115</v>
      </c>
      <c r="AB7955" s="8"/>
      <c r="AC7955" s="27">
        <v>9785160148687</v>
      </c>
    </row>
    <row r="7956" spans="1:29" s="4" customFormat="1" ht="51.9" customHeight="1" x14ac:dyDescent="0.2">
      <c r="A7956" s="5">
        <v>0</v>
      </c>
      <c r="B7956" s="6" t="s">
        <v>44841</v>
      </c>
      <c r="C7956" s="7">
        <v>2884.8</v>
      </c>
      <c r="D7956" s="8" t="s">
        <v>44842</v>
      </c>
      <c r="E7956" s="8" t="s">
        <v>44843</v>
      </c>
      <c r="F7956" s="8" t="s">
        <v>44844</v>
      </c>
      <c r="G7956" s="6" t="s">
        <v>118</v>
      </c>
      <c r="H7956" s="6" t="s">
        <v>34</v>
      </c>
      <c r="I7956" s="8" t="s">
        <v>271</v>
      </c>
      <c r="J7956" s="9">
        <v>1</v>
      </c>
      <c r="K7956" s="9">
        <v>437</v>
      </c>
      <c r="L7956" s="9">
        <v>2026</v>
      </c>
      <c r="M7956" s="8" t="s">
        <v>44845</v>
      </c>
      <c r="N7956" s="8" t="s">
        <v>243</v>
      </c>
      <c r="O7956" s="8" t="s">
        <v>758</v>
      </c>
      <c r="P7956" s="6" t="s">
        <v>51</v>
      </c>
      <c r="Q7956" s="8" t="s">
        <v>52</v>
      </c>
      <c r="R7956" s="10" t="s">
        <v>44846</v>
      </c>
      <c r="S7956" s="11" t="s">
        <v>44847</v>
      </c>
      <c r="T7956" s="6"/>
      <c r="U7956" s="15" t="str">
        <f>HYPERLINK("https://media.infra-m.ru/2238/2238423/cover/2238423.jpg", "Обложка")</f>
        <v>Обложка</v>
      </c>
      <c r="V7956" s="8" t="s">
        <v>13658</v>
      </c>
      <c r="W7956" s="6"/>
      <c r="X7956" s="6"/>
      <c r="Y7956" s="6"/>
      <c r="Z7956" s="6"/>
      <c r="AA7956" s="6" t="s">
        <v>218</v>
      </c>
      <c r="AB7956" s="8"/>
      <c r="AC7956" s="27">
        <v>9785160153544</v>
      </c>
    </row>
    <row r="7957" spans="1:29" s="4" customFormat="1" ht="42" customHeight="1" x14ac:dyDescent="0.2">
      <c r="A7957" s="5">
        <v>0</v>
      </c>
      <c r="B7957" s="6" t="s">
        <v>44848</v>
      </c>
      <c r="C7957" s="7">
        <v>3096</v>
      </c>
      <c r="D7957" s="8" t="s">
        <v>44849</v>
      </c>
      <c r="E7957" s="8" t="s">
        <v>44850</v>
      </c>
      <c r="F7957" s="8" t="s">
        <v>44851</v>
      </c>
      <c r="G7957" s="6" t="s">
        <v>60</v>
      </c>
      <c r="H7957" s="6" t="s">
        <v>34</v>
      </c>
      <c r="I7957" s="8" t="s">
        <v>253</v>
      </c>
      <c r="J7957" s="9">
        <v>1</v>
      </c>
      <c r="K7957" s="9">
        <v>495</v>
      </c>
      <c r="L7957" s="9">
        <v>2025</v>
      </c>
      <c r="M7957" s="8" t="s">
        <v>44852</v>
      </c>
      <c r="N7957" s="8" t="s">
        <v>243</v>
      </c>
      <c r="O7957" s="8" t="s">
        <v>798</v>
      </c>
      <c r="P7957" s="6" t="s">
        <v>51</v>
      </c>
      <c r="Q7957" s="8" t="s">
        <v>52</v>
      </c>
      <c r="R7957" s="10" t="s">
        <v>3870</v>
      </c>
      <c r="S7957" s="11"/>
      <c r="T7957" s="6"/>
      <c r="U7957" s="15" t="str">
        <f>HYPERLINK("https://media.infra-m.ru/2141/2141115/cover/2141115.jpg", "Обложка")</f>
        <v>Обложка</v>
      </c>
      <c r="V7957" s="8" t="s">
        <v>7553</v>
      </c>
      <c r="W7957" s="6"/>
      <c r="X7957" s="6"/>
      <c r="Y7957" s="6"/>
      <c r="Z7957" s="6"/>
      <c r="AA7957" s="6" t="s">
        <v>917</v>
      </c>
      <c r="AB7957" s="8"/>
      <c r="AC7957" s="27">
        <v>9785160198613</v>
      </c>
    </row>
    <row r="7958" spans="1:29" s="4" customFormat="1" ht="51.9" customHeight="1" x14ac:dyDescent="0.2">
      <c r="A7958" s="5">
        <v>0</v>
      </c>
      <c r="B7958" s="6" t="s">
        <v>44853</v>
      </c>
      <c r="C7958" s="7">
        <v>2608.8000000000002</v>
      </c>
      <c r="D7958" s="8" t="s">
        <v>44854</v>
      </c>
      <c r="E7958" s="8" t="s">
        <v>44855</v>
      </c>
      <c r="F7958" s="8" t="s">
        <v>44856</v>
      </c>
      <c r="G7958" s="6" t="s">
        <v>118</v>
      </c>
      <c r="H7958" s="6" t="s">
        <v>34</v>
      </c>
      <c r="I7958" s="8" t="s">
        <v>271</v>
      </c>
      <c r="J7958" s="9">
        <v>1</v>
      </c>
      <c r="K7958" s="9">
        <v>472</v>
      </c>
      <c r="L7958" s="9">
        <v>2024</v>
      </c>
      <c r="M7958" s="8" t="s">
        <v>44857</v>
      </c>
      <c r="N7958" s="8" t="s">
        <v>243</v>
      </c>
      <c r="O7958" s="8" t="s">
        <v>798</v>
      </c>
      <c r="P7958" s="6" t="s">
        <v>51</v>
      </c>
      <c r="Q7958" s="8" t="s">
        <v>52</v>
      </c>
      <c r="R7958" s="10" t="s">
        <v>3870</v>
      </c>
      <c r="S7958" s="11" t="s">
        <v>44858</v>
      </c>
      <c r="T7958" s="6"/>
      <c r="U7958" s="15" t="str">
        <f>HYPERLINK("https://media.infra-m.ru/2104/2104859/cover/2104859.jpg", "Обложка")</f>
        <v>Обложка</v>
      </c>
      <c r="V7958" s="8" t="s">
        <v>7553</v>
      </c>
      <c r="W7958" s="6"/>
      <c r="X7958" s="6"/>
      <c r="Y7958" s="6"/>
      <c r="Z7958" s="6"/>
      <c r="AA7958" s="6" t="s">
        <v>99</v>
      </c>
      <c r="AB7958" s="8"/>
      <c r="AC7958" s="27">
        <v>9785160121031</v>
      </c>
    </row>
    <row r="7959" spans="1:29" s="4" customFormat="1" ht="51.9" customHeight="1" x14ac:dyDescent="0.2">
      <c r="A7959" s="5">
        <v>0</v>
      </c>
      <c r="B7959" s="6" t="s">
        <v>44859</v>
      </c>
      <c r="C7959" s="7">
        <v>3108</v>
      </c>
      <c r="D7959" s="8" t="s">
        <v>44860</v>
      </c>
      <c r="E7959" s="8" t="s">
        <v>44861</v>
      </c>
      <c r="F7959" s="8" t="s">
        <v>44862</v>
      </c>
      <c r="G7959" s="6" t="s">
        <v>60</v>
      </c>
      <c r="H7959" s="6" t="s">
        <v>34</v>
      </c>
      <c r="I7959" s="8" t="s">
        <v>263</v>
      </c>
      <c r="J7959" s="9">
        <v>1</v>
      </c>
      <c r="K7959" s="9">
        <v>445</v>
      </c>
      <c r="L7959" s="9">
        <v>2027</v>
      </c>
      <c r="M7959" s="8" t="s">
        <v>44863</v>
      </c>
      <c r="N7959" s="8" t="s">
        <v>243</v>
      </c>
      <c r="O7959" s="8" t="s">
        <v>758</v>
      </c>
      <c r="P7959" s="6" t="s">
        <v>306</v>
      </c>
      <c r="Q7959" s="8" t="s">
        <v>265</v>
      </c>
      <c r="R7959" s="10" t="s">
        <v>44864</v>
      </c>
      <c r="S7959" s="11" t="s">
        <v>44865</v>
      </c>
      <c r="T7959" s="6"/>
      <c r="U7959" s="15" t="str">
        <f>HYPERLINK("https://media.infra-m.ru/2263/2263011/cover/2263011.jpg", "Обложка")</f>
        <v>Обложка</v>
      </c>
      <c r="V7959" s="8" t="s">
        <v>1157</v>
      </c>
      <c r="W7959" s="6"/>
      <c r="X7959" s="6"/>
      <c r="Y7959" s="6"/>
      <c r="Z7959" s="6" t="s">
        <v>267</v>
      </c>
      <c r="AA7959" s="6" t="s">
        <v>430</v>
      </c>
      <c r="AB7959" s="8" t="s">
        <v>3581</v>
      </c>
      <c r="AC7959" s="27">
        <v>9785160159454</v>
      </c>
    </row>
    <row r="7960" spans="1:29" s="4" customFormat="1" ht="51.9" customHeight="1" x14ac:dyDescent="0.2">
      <c r="A7960" s="5">
        <v>0</v>
      </c>
      <c r="B7960" s="6" t="s">
        <v>44866</v>
      </c>
      <c r="C7960" s="7">
        <v>3076.8</v>
      </c>
      <c r="D7960" s="8" t="s">
        <v>44867</v>
      </c>
      <c r="E7960" s="8" t="s">
        <v>44861</v>
      </c>
      <c r="F7960" s="8" t="s">
        <v>44868</v>
      </c>
      <c r="G7960" s="6" t="s">
        <v>118</v>
      </c>
      <c r="H7960" s="6" t="s">
        <v>34</v>
      </c>
      <c r="I7960" s="8" t="s">
        <v>271</v>
      </c>
      <c r="J7960" s="9">
        <v>1</v>
      </c>
      <c r="K7960" s="9">
        <v>443</v>
      </c>
      <c r="L7960" s="9">
        <v>2027</v>
      </c>
      <c r="M7960" s="8" t="s">
        <v>44869</v>
      </c>
      <c r="N7960" s="8" t="s">
        <v>243</v>
      </c>
      <c r="O7960" s="8" t="s">
        <v>758</v>
      </c>
      <c r="P7960" s="6" t="s">
        <v>306</v>
      </c>
      <c r="Q7960" s="8" t="s">
        <v>52</v>
      </c>
      <c r="R7960" s="10" t="s">
        <v>2452</v>
      </c>
      <c r="S7960" s="11" t="s">
        <v>44870</v>
      </c>
      <c r="T7960" s="6"/>
      <c r="U7960" s="15" t="str">
        <f>HYPERLINK("https://media.infra-m.ru/2230/2230915/cover/2230915.jpg", "Обложка")</f>
        <v>Обложка</v>
      </c>
      <c r="V7960" s="8" t="s">
        <v>1157</v>
      </c>
      <c r="W7960" s="6"/>
      <c r="X7960" s="6"/>
      <c r="Y7960" s="6"/>
      <c r="Z7960" s="6"/>
      <c r="AA7960" s="6" t="s">
        <v>115</v>
      </c>
      <c r="AB7960" s="8"/>
      <c r="AC7960" s="27">
        <v>9785160155784</v>
      </c>
    </row>
    <row r="7961" spans="1:29" s="4" customFormat="1" ht="51.9" customHeight="1" x14ac:dyDescent="0.2">
      <c r="A7961" s="5">
        <v>0</v>
      </c>
      <c r="B7961" s="6" t="s">
        <v>44871</v>
      </c>
      <c r="C7961" s="7">
        <v>1584</v>
      </c>
      <c r="D7961" s="8" t="s">
        <v>44872</v>
      </c>
      <c r="E7961" s="8" t="s">
        <v>44873</v>
      </c>
      <c r="F7961" s="8" t="s">
        <v>30766</v>
      </c>
      <c r="G7961" s="6" t="s">
        <v>118</v>
      </c>
      <c r="H7961" s="6" t="s">
        <v>34</v>
      </c>
      <c r="I7961" s="8" t="s">
        <v>4459</v>
      </c>
      <c r="J7961" s="9">
        <v>1</v>
      </c>
      <c r="K7961" s="9">
        <v>239</v>
      </c>
      <c r="L7961" s="9">
        <v>2026</v>
      </c>
      <c r="M7961" s="8" t="s">
        <v>44874</v>
      </c>
      <c r="N7961" s="8" t="s">
        <v>93</v>
      </c>
      <c r="O7961" s="8" t="s">
        <v>94</v>
      </c>
      <c r="P7961" s="6" t="s">
        <v>105</v>
      </c>
      <c r="Q7961" s="8" t="s">
        <v>1349</v>
      </c>
      <c r="R7961" s="10" t="s">
        <v>44875</v>
      </c>
      <c r="S7961" s="11" t="s">
        <v>44876</v>
      </c>
      <c r="T7961" s="6"/>
      <c r="U7961" s="15" t="str">
        <f>HYPERLINK("https://media.infra-m.ru/2214/2214784/cover/2214784.jpg", "Обложка")</f>
        <v>Обложка</v>
      </c>
      <c r="V7961" s="8"/>
      <c r="W7961" s="6"/>
      <c r="X7961" s="6"/>
      <c r="Y7961" s="6"/>
      <c r="Z7961" s="6"/>
      <c r="AA7961" s="6" t="s">
        <v>430</v>
      </c>
      <c r="AB7961" s="8"/>
      <c r="AC7961" s="27">
        <v>9785160154534</v>
      </c>
    </row>
    <row r="7962" spans="1:29" s="4" customFormat="1" ht="51.9" customHeight="1" x14ac:dyDescent="0.2">
      <c r="A7962" s="5">
        <v>0</v>
      </c>
      <c r="B7962" s="6" t="s">
        <v>44877</v>
      </c>
      <c r="C7962" s="7">
        <v>1128</v>
      </c>
      <c r="D7962" s="8" t="s">
        <v>44878</v>
      </c>
      <c r="E7962" s="8" t="s">
        <v>44879</v>
      </c>
      <c r="F7962" s="8" t="s">
        <v>44880</v>
      </c>
      <c r="G7962" s="6" t="s">
        <v>118</v>
      </c>
      <c r="H7962" s="6" t="s">
        <v>34</v>
      </c>
      <c r="I7962" s="8" t="s">
        <v>253</v>
      </c>
      <c r="J7962" s="9">
        <v>1</v>
      </c>
      <c r="K7962" s="9">
        <v>204</v>
      </c>
      <c r="L7962" s="9">
        <v>2024</v>
      </c>
      <c r="M7962" s="8" t="s">
        <v>44881</v>
      </c>
      <c r="N7962" s="8" t="s">
        <v>243</v>
      </c>
      <c r="O7962" s="8" t="s">
        <v>758</v>
      </c>
      <c r="P7962" s="6" t="s">
        <v>51</v>
      </c>
      <c r="Q7962" s="8" t="s">
        <v>65</v>
      </c>
      <c r="R7962" s="10" t="s">
        <v>44882</v>
      </c>
      <c r="S7962" s="11" t="s">
        <v>44883</v>
      </c>
      <c r="T7962" s="6"/>
      <c r="U7962" s="15" t="str">
        <f>HYPERLINK("https://media.infra-m.ru/2082/2082716/cover/2082716.jpg", "Обложка")</f>
        <v>Обложка</v>
      </c>
      <c r="V7962" s="8" t="s">
        <v>867</v>
      </c>
      <c r="W7962" s="6"/>
      <c r="X7962" s="6"/>
      <c r="Y7962" s="6"/>
      <c r="Z7962" s="6"/>
      <c r="AA7962" s="6" t="s">
        <v>258</v>
      </c>
      <c r="AB7962" s="8"/>
      <c r="AC7962" s="27">
        <v>9785160190105</v>
      </c>
    </row>
    <row r="7963" spans="1:29" s="4" customFormat="1" ht="51.9" customHeight="1" x14ac:dyDescent="0.2">
      <c r="A7963" s="5">
        <v>0</v>
      </c>
      <c r="B7963" s="6" t="s">
        <v>44884</v>
      </c>
      <c r="C7963" s="7">
        <v>3832.8</v>
      </c>
      <c r="D7963" s="8" t="s">
        <v>44885</v>
      </c>
      <c r="E7963" s="8" t="s">
        <v>44886</v>
      </c>
      <c r="F7963" s="8" t="s">
        <v>44887</v>
      </c>
      <c r="G7963" s="6" t="s">
        <v>60</v>
      </c>
      <c r="H7963" s="6" t="s">
        <v>34</v>
      </c>
      <c r="I7963" s="8" t="s">
        <v>271</v>
      </c>
      <c r="J7963" s="9">
        <v>1</v>
      </c>
      <c r="K7963" s="9">
        <v>551</v>
      </c>
      <c r="L7963" s="9">
        <v>2027</v>
      </c>
      <c r="M7963" s="8" t="s">
        <v>44888</v>
      </c>
      <c r="N7963" s="8" t="s">
        <v>243</v>
      </c>
      <c r="O7963" s="8" t="s">
        <v>758</v>
      </c>
      <c r="P7963" s="6" t="s">
        <v>51</v>
      </c>
      <c r="Q7963" s="8" t="s">
        <v>52</v>
      </c>
      <c r="R7963" s="10" t="s">
        <v>17217</v>
      </c>
      <c r="S7963" s="11" t="s">
        <v>44889</v>
      </c>
      <c r="T7963" s="6"/>
      <c r="U7963" s="15" t="str">
        <f>HYPERLINK("https://media.infra-m.ru/2264/2264689/cover/2264689.jpg", "Обложка")</f>
        <v>Обложка</v>
      </c>
      <c r="V7963" s="8" t="s">
        <v>1083</v>
      </c>
      <c r="W7963" s="6"/>
      <c r="X7963" s="6"/>
      <c r="Y7963" s="6"/>
      <c r="Z7963" s="6"/>
      <c r="AA7963" s="6" t="s">
        <v>248</v>
      </c>
      <c r="AB7963" s="8"/>
      <c r="AC7963" s="27">
        <v>9785160063720</v>
      </c>
    </row>
    <row r="7964" spans="1:29" s="4" customFormat="1" ht="51.9" customHeight="1" x14ac:dyDescent="0.2">
      <c r="A7964" s="5">
        <v>0</v>
      </c>
      <c r="B7964" s="6" t="s">
        <v>44890</v>
      </c>
      <c r="C7964" s="7">
        <v>1488</v>
      </c>
      <c r="D7964" s="8" t="s">
        <v>44891</v>
      </c>
      <c r="E7964" s="8" t="s">
        <v>44892</v>
      </c>
      <c r="F7964" s="8" t="s">
        <v>29289</v>
      </c>
      <c r="G7964" s="6" t="s">
        <v>118</v>
      </c>
      <c r="H7964" s="6" t="s">
        <v>34</v>
      </c>
      <c r="I7964" s="8" t="s">
        <v>1248</v>
      </c>
      <c r="J7964" s="9">
        <v>1</v>
      </c>
      <c r="K7964" s="9">
        <v>214</v>
      </c>
      <c r="L7964" s="9">
        <v>2027</v>
      </c>
      <c r="M7964" s="8" t="s">
        <v>44893</v>
      </c>
      <c r="N7964" s="8" t="s">
        <v>243</v>
      </c>
      <c r="O7964" s="8" t="s">
        <v>758</v>
      </c>
      <c r="P7964" s="6" t="s">
        <v>306</v>
      </c>
      <c r="Q7964" s="8" t="s">
        <v>500</v>
      </c>
      <c r="R7964" s="10" t="s">
        <v>44894</v>
      </c>
      <c r="S7964" s="11" t="s">
        <v>44895</v>
      </c>
      <c r="T7964" s="6"/>
      <c r="U7964" s="15" t="str">
        <f>HYPERLINK("https://media.infra-m.ru/2261/2261560/cover/2261560.jpg", "Обложка")</f>
        <v>Обложка</v>
      </c>
      <c r="V7964" s="8" t="s">
        <v>1083</v>
      </c>
      <c r="W7964" s="6"/>
      <c r="X7964" s="6"/>
      <c r="Y7964" s="6"/>
      <c r="Z7964" s="6"/>
      <c r="AA7964" s="6" t="s">
        <v>1256</v>
      </c>
      <c r="AB7964" s="8"/>
      <c r="AC7964" s="27">
        <v>9785160224060</v>
      </c>
    </row>
    <row r="7965" spans="1:29" s="4" customFormat="1" ht="51.9" customHeight="1" x14ac:dyDescent="0.2">
      <c r="A7965" s="5">
        <v>0</v>
      </c>
      <c r="B7965" s="6" t="s">
        <v>44896</v>
      </c>
      <c r="C7965" s="7">
        <v>1248</v>
      </c>
      <c r="D7965" s="8" t="s">
        <v>44897</v>
      </c>
      <c r="E7965" s="8" t="s">
        <v>44898</v>
      </c>
      <c r="F7965" s="8" t="s">
        <v>44899</v>
      </c>
      <c r="G7965" s="6" t="s">
        <v>118</v>
      </c>
      <c r="H7965" s="6" t="s">
        <v>34</v>
      </c>
      <c r="I7965" s="8" t="s">
        <v>1128</v>
      </c>
      <c r="J7965" s="9">
        <v>1</v>
      </c>
      <c r="K7965" s="9">
        <v>189</v>
      </c>
      <c r="L7965" s="9">
        <v>2027</v>
      </c>
      <c r="M7965" s="8" t="s">
        <v>44900</v>
      </c>
      <c r="N7965" s="8" t="s">
        <v>243</v>
      </c>
      <c r="O7965" s="8" t="s">
        <v>758</v>
      </c>
      <c r="P7965" s="6" t="s">
        <v>51</v>
      </c>
      <c r="Q7965" s="8" t="s">
        <v>52</v>
      </c>
      <c r="R7965" s="10" t="s">
        <v>44901</v>
      </c>
      <c r="S7965" s="11" t="s">
        <v>44902</v>
      </c>
      <c r="T7965" s="6"/>
      <c r="U7965" s="15" t="str">
        <f>HYPERLINK("https://media.infra-m.ru/2251/2251186/cover/2251186.jpg", "Обложка")</f>
        <v>Обложка</v>
      </c>
      <c r="V7965" s="8" t="s">
        <v>1132</v>
      </c>
      <c r="W7965" s="6"/>
      <c r="X7965" s="6"/>
      <c r="Y7965" s="6"/>
      <c r="Z7965" s="6"/>
      <c r="AA7965" s="6" t="s">
        <v>157</v>
      </c>
      <c r="AB7965" s="8"/>
      <c r="AC7965" s="27">
        <v>9785160182841</v>
      </c>
    </row>
    <row r="7966" spans="1:29" s="4" customFormat="1" ht="51.9" customHeight="1" x14ac:dyDescent="0.2">
      <c r="A7966" s="5">
        <v>0</v>
      </c>
      <c r="B7966" s="6" t="s">
        <v>44903</v>
      </c>
      <c r="C7966" s="7">
        <v>1576.8</v>
      </c>
      <c r="D7966" s="8" t="s">
        <v>44904</v>
      </c>
      <c r="E7966" s="8" t="s">
        <v>44905</v>
      </c>
      <c r="F7966" s="8" t="s">
        <v>44906</v>
      </c>
      <c r="G7966" s="6" t="s">
        <v>60</v>
      </c>
      <c r="H7966" s="6" t="s">
        <v>34</v>
      </c>
      <c r="I7966" s="8" t="s">
        <v>1128</v>
      </c>
      <c r="J7966" s="9">
        <v>1</v>
      </c>
      <c r="K7966" s="9">
        <v>227</v>
      </c>
      <c r="L7966" s="9">
        <v>2027</v>
      </c>
      <c r="M7966" s="8" t="s">
        <v>44907</v>
      </c>
      <c r="N7966" s="8" t="s">
        <v>243</v>
      </c>
      <c r="O7966" s="8" t="s">
        <v>758</v>
      </c>
      <c r="P7966" s="6" t="s">
        <v>51</v>
      </c>
      <c r="Q7966" s="8" t="s">
        <v>65</v>
      </c>
      <c r="R7966" s="10" t="s">
        <v>44908</v>
      </c>
      <c r="S7966" s="11" t="s">
        <v>44909</v>
      </c>
      <c r="T7966" s="6"/>
      <c r="U7966" s="15" t="str">
        <f>HYPERLINK("https://media.infra-m.ru/2270/2270921/cover/2270921.jpg", "Обложка")</f>
        <v>Обложка</v>
      </c>
      <c r="V7966" s="8" t="s">
        <v>1132</v>
      </c>
      <c r="W7966" s="6"/>
      <c r="X7966" s="6"/>
      <c r="Y7966" s="6"/>
      <c r="Z7966" s="6"/>
      <c r="AA7966" s="6" t="s">
        <v>68</v>
      </c>
      <c r="AB7966" s="8"/>
      <c r="AC7966" s="27">
        <v>9785160203355</v>
      </c>
    </row>
    <row r="7967" spans="1:29" s="4" customFormat="1" ht="51.9" customHeight="1" x14ac:dyDescent="0.2">
      <c r="A7967" s="5">
        <v>0</v>
      </c>
      <c r="B7967" s="6" t="s">
        <v>44910</v>
      </c>
      <c r="C7967" s="7">
        <v>1816.8</v>
      </c>
      <c r="D7967" s="8" t="s">
        <v>44911</v>
      </c>
      <c r="E7967" s="8" t="s">
        <v>44912</v>
      </c>
      <c r="F7967" s="8" t="s">
        <v>44906</v>
      </c>
      <c r="G7967" s="6" t="s">
        <v>60</v>
      </c>
      <c r="H7967" s="6" t="s">
        <v>34</v>
      </c>
      <c r="I7967" s="8" t="s">
        <v>1128</v>
      </c>
      <c r="J7967" s="9">
        <v>1</v>
      </c>
      <c r="K7967" s="9">
        <v>262</v>
      </c>
      <c r="L7967" s="9">
        <v>2027</v>
      </c>
      <c r="M7967" s="8" t="s">
        <v>44913</v>
      </c>
      <c r="N7967" s="8" t="s">
        <v>243</v>
      </c>
      <c r="O7967" s="8" t="s">
        <v>758</v>
      </c>
      <c r="P7967" s="6" t="s">
        <v>51</v>
      </c>
      <c r="Q7967" s="8" t="s">
        <v>65</v>
      </c>
      <c r="R7967" s="10" t="s">
        <v>44908</v>
      </c>
      <c r="S7967" s="11" t="s">
        <v>44909</v>
      </c>
      <c r="T7967" s="6"/>
      <c r="U7967" s="15" t="str">
        <f>HYPERLINK("https://media.infra-m.ru/2270/2270922/cover/2270922.jpg", "Обложка")</f>
        <v>Обложка</v>
      </c>
      <c r="V7967" s="8" t="s">
        <v>1132</v>
      </c>
      <c r="W7967" s="6"/>
      <c r="X7967" s="6"/>
      <c r="Y7967" s="6"/>
      <c r="Z7967" s="6"/>
      <c r="AA7967" s="6" t="s">
        <v>68</v>
      </c>
      <c r="AB7967" s="8"/>
      <c r="AC7967" s="27">
        <v>9785160203362</v>
      </c>
    </row>
    <row r="7968" spans="1:29" s="4" customFormat="1" ht="51.9" customHeight="1" x14ac:dyDescent="0.2">
      <c r="A7968" s="5">
        <v>0</v>
      </c>
      <c r="B7968" s="6" t="s">
        <v>44914</v>
      </c>
      <c r="C7968" s="13">
        <v>952.8</v>
      </c>
      <c r="D7968" s="8" t="s">
        <v>44915</v>
      </c>
      <c r="E7968" s="8" t="s">
        <v>44916</v>
      </c>
      <c r="F7968" s="8" t="s">
        <v>44917</v>
      </c>
      <c r="G7968" s="6" t="s">
        <v>33</v>
      </c>
      <c r="H7968" s="6" t="s">
        <v>34</v>
      </c>
      <c r="I7968" s="8" t="s">
        <v>263</v>
      </c>
      <c r="J7968" s="9">
        <v>1</v>
      </c>
      <c r="K7968" s="9">
        <v>142</v>
      </c>
      <c r="L7968" s="9">
        <v>2026</v>
      </c>
      <c r="M7968" s="8" t="s">
        <v>44918</v>
      </c>
      <c r="N7968" s="8" t="s">
        <v>243</v>
      </c>
      <c r="O7968" s="8" t="s">
        <v>758</v>
      </c>
      <c r="P7968" s="6" t="s">
        <v>51</v>
      </c>
      <c r="Q7968" s="8" t="s">
        <v>265</v>
      </c>
      <c r="R7968" s="10" t="s">
        <v>44919</v>
      </c>
      <c r="S7968" s="11" t="s">
        <v>44920</v>
      </c>
      <c r="T7968" s="6"/>
      <c r="U7968" s="15" t="str">
        <f>HYPERLINK("https://media.infra-m.ru/2216/2216309/cover/2216309.jpg", "Обложка")</f>
        <v>Обложка</v>
      </c>
      <c r="V7968" s="8" t="s">
        <v>1206</v>
      </c>
      <c r="W7968" s="6"/>
      <c r="X7968" s="6"/>
      <c r="Y7968" s="6"/>
      <c r="Z7968" s="6" t="s">
        <v>267</v>
      </c>
      <c r="AA7968" s="6" t="s">
        <v>1256</v>
      </c>
      <c r="AB7968" s="8"/>
      <c r="AC7968" s="27">
        <v>9785160152219</v>
      </c>
    </row>
    <row r="7969" spans="1:29" s="4" customFormat="1" ht="51.9" customHeight="1" x14ac:dyDescent="0.2">
      <c r="A7969" s="5">
        <v>0</v>
      </c>
      <c r="B7969" s="6" t="s">
        <v>44921</v>
      </c>
      <c r="C7969" s="7">
        <v>2332.8000000000002</v>
      </c>
      <c r="D7969" s="8" t="s">
        <v>44922</v>
      </c>
      <c r="E7969" s="8" t="s">
        <v>44923</v>
      </c>
      <c r="F7969" s="8" t="s">
        <v>44924</v>
      </c>
      <c r="G7969" s="6" t="s">
        <v>60</v>
      </c>
      <c r="H7969" s="6" t="s">
        <v>34</v>
      </c>
      <c r="I7969" s="8" t="s">
        <v>271</v>
      </c>
      <c r="J7969" s="9">
        <v>1</v>
      </c>
      <c r="K7969" s="9">
        <v>423</v>
      </c>
      <c r="L7969" s="9">
        <v>2024</v>
      </c>
      <c r="M7969" s="8" t="s">
        <v>44925</v>
      </c>
      <c r="N7969" s="8" t="s">
        <v>243</v>
      </c>
      <c r="O7969" s="8" t="s">
        <v>758</v>
      </c>
      <c r="P7969" s="6" t="s">
        <v>306</v>
      </c>
      <c r="Q7969" s="8" t="s">
        <v>52</v>
      </c>
      <c r="R7969" s="10" t="s">
        <v>33543</v>
      </c>
      <c r="S7969" s="11" t="s">
        <v>44926</v>
      </c>
      <c r="T7969" s="6"/>
      <c r="U7969" s="15" t="str">
        <f>HYPERLINK("https://media.infra-m.ru/2124/2124923/cover/2124923.jpg", "Обложка")</f>
        <v>Обложка</v>
      </c>
      <c r="V7969" s="8" t="s">
        <v>761</v>
      </c>
      <c r="W7969" s="6"/>
      <c r="X7969" s="6"/>
      <c r="Y7969" s="6"/>
      <c r="Z7969" s="6"/>
      <c r="AA7969" s="6" t="s">
        <v>55</v>
      </c>
      <c r="AB7969" s="8"/>
      <c r="AC7969" s="27">
        <v>9785160050485</v>
      </c>
    </row>
    <row r="7970" spans="1:29" s="4" customFormat="1" ht="51.9" customHeight="1" x14ac:dyDescent="0.2">
      <c r="A7970" s="5">
        <v>0</v>
      </c>
      <c r="B7970" s="6" t="s">
        <v>44927</v>
      </c>
      <c r="C7970" s="13">
        <v>940.8</v>
      </c>
      <c r="D7970" s="8" t="s">
        <v>44928</v>
      </c>
      <c r="E7970" s="8" t="s">
        <v>44916</v>
      </c>
      <c r="F7970" s="8" t="s">
        <v>44917</v>
      </c>
      <c r="G7970" s="6" t="s">
        <v>33</v>
      </c>
      <c r="H7970" s="6" t="s">
        <v>34</v>
      </c>
      <c r="I7970" s="8" t="s">
        <v>271</v>
      </c>
      <c r="J7970" s="9">
        <v>1</v>
      </c>
      <c r="K7970" s="9">
        <v>142</v>
      </c>
      <c r="L7970" s="9">
        <v>2026</v>
      </c>
      <c r="M7970" s="8" t="s">
        <v>44929</v>
      </c>
      <c r="N7970" s="8" t="s">
        <v>243</v>
      </c>
      <c r="O7970" s="8" t="s">
        <v>758</v>
      </c>
      <c r="P7970" s="6" t="s">
        <v>51</v>
      </c>
      <c r="Q7970" s="8" t="s">
        <v>52</v>
      </c>
      <c r="R7970" s="10" t="s">
        <v>44930</v>
      </c>
      <c r="S7970" s="11" t="s">
        <v>44931</v>
      </c>
      <c r="T7970" s="6"/>
      <c r="U7970" s="15" t="str">
        <f>HYPERLINK("https://media.infra-m.ru/2240/2240295/cover/2240295.jpg", "Обложка")</f>
        <v>Обложка</v>
      </c>
      <c r="V7970" s="8" t="s">
        <v>1206</v>
      </c>
      <c r="W7970" s="6"/>
      <c r="X7970" s="6"/>
      <c r="Y7970" s="6"/>
      <c r="Z7970" s="6"/>
      <c r="AA7970" s="6" t="s">
        <v>43</v>
      </c>
      <c r="AB7970" s="8"/>
      <c r="AC7970" s="27">
        <v>9785160103235</v>
      </c>
    </row>
    <row r="7971" spans="1:29" s="4" customFormat="1" ht="51.9" customHeight="1" x14ac:dyDescent="0.2">
      <c r="A7971" s="5">
        <v>0</v>
      </c>
      <c r="B7971" s="6" t="s">
        <v>44932</v>
      </c>
      <c r="C7971" s="7">
        <v>3232.8</v>
      </c>
      <c r="D7971" s="8" t="s">
        <v>44933</v>
      </c>
      <c r="E7971" s="8" t="s">
        <v>44934</v>
      </c>
      <c r="F7971" s="8" t="s">
        <v>6363</v>
      </c>
      <c r="G7971" s="6" t="s">
        <v>118</v>
      </c>
      <c r="H7971" s="6" t="s">
        <v>34</v>
      </c>
      <c r="I7971" s="8" t="s">
        <v>271</v>
      </c>
      <c r="J7971" s="9">
        <v>1</v>
      </c>
      <c r="K7971" s="9">
        <v>656</v>
      </c>
      <c r="L7971" s="9">
        <v>2023</v>
      </c>
      <c r="M7971" s="8" t="s">
        <v>44935</v>
      </c>
      <c r="N7971" s="8" t="s">
        <v>243</v>
      </c>
      <c r="O7971" s="8" t="s">
        <v>758</v>
      </c>
      <c r="P7971" s="6" t="s">
        <v>306</v>
      </c>
      <c r="Q7971" s="8" t="s">
        <v>52</v>
      </c>
      <c r="R7971" s="10" t="s">
        <v>11597</v>
      </c>
      <c r="S7971" s="11" t="s">
        <v>44936</v>
      </c>
      <c r="T7971" s="6"/>
      <c r="U7971" s="15" t="str">
        <f>HYPERLINK("https://media.infra-m.ru/2006/2006866/cover/2006866.jpg", "Обложка")</f>
        <v>Обложка</v>
      </c>
      <c r="V7971" s="8" t="s">
        <v>843</v>
      </c>
      <c r="W7971" s="6"/>
      <c r="X7971" s="6"/>
      <c r="Y7971" s="6"/>
      <c r="Z7971" s="6"/>
      <c r="AA7971" s="6" t="s">
        <v>404</v>
      </c>
      <c r="AB7971" s="8"/>
      <c r="AC7971" s="27">
        <v>9785160133997</v>
      </c>
    </row>
    <row r="7972" spans="1:29" s="4" customFormat="1" ht="51.9" customHeight="1" x14ac:dyDescent="0.2">
      <c r="A7972" s="5">
        <v>0</v>
      </c>
      <c r="B7972" s="6" t="s">
        <v>44937</v>
      </c>
      <c r="C7972" s="7">
        <v>2760</v>
      </c>
      <c r="D7972" s="8" t="s">
        <v>44938</v>
      </c>
      <c r="E7972" s="8" t="s">
        <v>44939</v>
      </c>
      <c r="F7972" s="8" t="s">
        <v>44940</v>
      </c>
      <c r="G7972" s="6" t="s">
        <v>60</v>
      </c>
      <c r="H7972" s="6" t="s">
        <v>34</v>
      </c>
      <c r="I7972" s="8" t="s">
        <v>1248</v>
      </c>
      <c r="J7972" s="9">
        <v>1</v>
      </c>
      <c r="K7972" s="9">
        <v>475</v>
      </c>
      <c r="L7972" s="9">
        <v>2024</v>
      </c>
      <c r="M7972" s="8" t="s">
        <v>44941</v>
      </c>
      <c r="N7972" s="8" t="s">
        <v>243</v>
      </c>
      <c r="O7972" s="8" t="s">
        <v>329</v>
      </c>
      <c r="P7972" s="6" t="s">
        <v>306</v>
      </c>
      <c r="Q7972" s="8" t="s">
        <v>65</v>
      </c>
      <c r="R7972" s="10" t="s">
        <v>44942</v>
      </c>
      <c r="S7972" s="11" t="s">
        <v>44943</v>
      </c>
      <c r="T7972" s="6"/>
      <c r="U7972" s="15" t="str">
        <f>HYPERLINK("https://media.infra-m.ru/2102/2102702/cover/2102702.jpg", "Обложка")</f>
        <v>Обложка</v>
      </c>
      <c r="V7972" s="8" t="s">
        <v>1083</v>
      </c>
      <c r="W7972" s="6"/>
      <c r="X7972" s="6"/>
      <c r="Y7972" s="6"/>
      <c r="Z7972" s="6"/>
      <c r="AA7972" s="6" t="s">
        <v>115</v>
      </c>
      <c r="AB7972" s="8"/>
      <c r="AC7972" s="27">
        <v>9785160185620</v>
      </c>
    </row>
    <row r="7973" spans="1:29" s="4" customFormat="1" ht="51.9" customHeight="1" x14ac:dyDescent="0.2">
      <c r="A7973" s="5">
        <v>0</v>
      </c>
      <c r="B7973" s="6" t="s">
        <v>44944</v>
      </c>
      <c r="C7973" s="7">
        <v>1740</v>
      </c>
      <c r="D7973" s="8" t="s">
        <v>44945</v>
      </c>
      <c r="E7973" s="8" t="s">
        <v>44939</v>
      </c>
      <c r="F7973" s="8" t="s">
        <v>44946</v>
      </c>
      <c r="G7973" s="6" t="s">
        <v>118</v>
      </c>
      <c r="H7973" s="6" t="s">
        <v>34</v>
      </c>
      <c r="I7973" s="8" t="s">
        <v>263</v>
      </c>
      <c r="J7973" s="9">
        <v>1</v>
      </c>
      <c r="K7973" s="9">
        <v>263</v>
      </c>
      <c r="L7973" s="9">
        <v>2026</v>
      </c>
      <c r="M7973" s="8" t="s">
        <v>44947</v>
      </c>
      <c r="N7973" s="8" t="s">
        <v>243</v>
      </c>
      <c r="O7973" s="8" t="s">
        <v>329</v>
      </c>
      <c r="P7973" s="6" t="s">
        <v>51</v>
      </c>
      <c r="Q7973" s="8" t="s">
        <v>265</v>
      </c>
      <c r="R7973" s="10" t="s">
        <v>44948</v>
      </c>
      <c r="S7973" s="11" t="s">
        <v>44949</v>
      </c>
      <c r="T7973" s="6"/>
      <c r="U7973" s="15" t="str">
        <f>HYPERLINK("https://media.infra-m.ru/2233/2233677/cover/2233677.jpg", "Обложка")</f>
        <v>Обложка</v>
      </c>
      <c r="V7973" s="8" t="s">
        <v>21815</v>
      </c>
      <c r="W7973" s="6"/>
      <c r="X7973" s="6"/>
      <c r="Y7973" s="6"/>
      <c r="Z7973" s="6" t="s">
        <v>267</v>
      </c>
      <c r="AA7973" s="6" t="s">
        <v>115</v>
      </c>
      <c r="AB7973" s="8"/>
      <c r="AC7973" s="27">
        <v>9785160152622</v>
      </c>
    </row>
    <row r="7974" spans="1:29" s="4" customFormat="1" ht="51.9" customHeight="1" x14ac:dyDescent="0.2">
      <c r="A7974" s="5">
        <v>0</v>
      </c>
      <c r="B7974" s="6" t="s">
        <v>44950</v>
      </c>
      <c r="C7974" s="7">
        <v>1828.8</v>
      </c>
      <c r="D7974" s="8" t="s">
        <v>44951</v>
      </c>
      <c r="E7974" s="8" t="s">
        <v>44939</v>
      </c>
      <c r="F7974" s="8" t="s">
        <v>44946</v>
      </c>
      <c r="G7974" s="6" t="s">
        <v>118</v>
      </c>
      <c r="H7974" s="6" t="s">
        <v>34</v>
      </c>
      <c r="I7974" s="8" t="s">
        <v>271</v>
      </c>
      <c r="J7974" s="9">
        <v>1</v>
      </c>
      <c r="K7974" s="9">
        <v>263</v>
      </c>
      <c r="L7974" s="9">
        <v>2027</v>
      </c>
      <c r="M7974" s="8" t="s">
        <v>44952</v>
      </c>
      <c r="N7974" s="8" t="s">
        <v>243</v>
      </c>
      <c r="O7974" s="8" t="s">
        <v>329</v>
      </c>
      <c r="P7974" s="6" t="s">
        <v>51</v>
      </c>
      <c r="Q7974" s="8" t="s">
        <v>52</v>
      </c>
      <c r="R7974" s="10" t="s">
        <v>29370</v>
      </c>
      <c r="S7974" s="11" t="s">
        <v>44953</v>
      </c>
      <c r="T7974" s="6"/>
      <c r="U7974" s="15" t="str">
        <f>HYPERLINK("https://media.infra-m.ru/2271/2271610/cover/2271610.jpg", "Обложка")</f>
        <v>Обложка</v>
      </c>
      <c r="V7974" s="8" t="s">
        <v>21815</v>
      </c>
      <c r="W7974" s="6"/>
      <c r="X7974" s="6"/>
      <c r="Y7974" s="6"/>
      <c r="Z7974" s="6"/>
      <c r="AA7974" s="6" t="s">
        <v>115</v>
      </c>
      <c r="AB7974" s="8"/>
      <c r="AC7974" s="27">
        <v>9785160146454</v>
      </c>
    </row>
    <row r="7975" spans="1:29" s="4" customFormat="1" ht="51.9" customHeight="1" x14ac:dyDescent="0.2">
      <c r="A7975" s="5">
        <v>0</v>
      </c>
      <c r="B7975" s="6" t="s">
        <v>44954</v>
      </c>
      <c r="C7975" s="7">
        <v>1792.8</v>
      </c>
      <c r="D7975" s="8" t="s">
        <v>44955</v>
      </c>
      <c r="E7975" s="8" t="s">
        <v>44956</v>
      </c>
      <c r="F7975" s="8" t="s">
        <v>44957</v>
      </c>
      <c r="G7975" s="6" t="s">
        <v>60</v>
      </c>
      <c r="H7975" s="6" t="s">
        <v>34</v>
      </c>
      <c r="I7975" s="8" t="s">
        <v>271</v>
      </c>
      <c r="J7975" s="9">
        <v>1</v>
      </c>
      <c r="K7975" s="9">
        <v>272</v>
      </c>
      <c r="L7975" s="9">
        <v>2026</v>
      </c>
      <c r="M7975" s="8" t="s">
        <v>44958</v>
      </c>
      <c r="N7975" s="8" t="s">
        <v>243</v>
      </c>
      <c r="O7975" s="8" t="s">
        <v>758</v>
      </c>
      <c r="P7975" s="6" t="s">
        <v>51</v>
      </c>
      <c r="Q7975" s="8" t="s">
        <v>52</v>
      </c>
      <c r="R7975" s="10" t="s">
        <v>20765</v>
      </c>
      <c r="S7975" s="11" t="s">
        <v>44959</v>
      </c>
      <c r="T7975" s="6"/>
      <c r="U7975" s="15" t="str">
        <f>HYPERLINK("https://media.infra-m.ru/2250/2250844/cover/2250844.jpg", "Обложка")</f>
        <v>Обложка</v>
      </c>
      <c r="V7975" s="8" t="s">
        <v>7848</v>
      </c>
      <c r="W7975" s="6"/>
      <c r="X7975" s="6"/>
      <c r="Y7975" s="6"/>
      <c r="Z7975" s="6"/>
      <c r="AA7975" s="6" t="s">
        <v>11623</v>
      </c>
      <c r="AB7975" s="8"/>
      <c r="AC7975" s="27">
        <v>9785160047492</v>
      </c>
    </row>
    <row r="7976" spans="1:29" s="4" customFormat="1" ht="51.9" customHeight="1" x14ac:dyDescent="0.2">
      <c r="A7976" s="5">
        <v>0</v>
      </c>
      <c r="B7976" s="6" t="s">
        <v>44960</v>
      </c>
      <c r="C7976" s="7">
        <v>1469.9</v>
      </c>
      <c r="D7976" s="8" t="s">
        <v>44961</v>
      </c>
      <c r="E7976" s="8" t="s">
        <v>44956</v>
      </c>
      <c r="F7976" s="8" t="s">
        <v>44962</v>
      </c>
      <c r="G7976" s="6" t="s">
        <v>60</v>
      </c>
      <c r="H7976" s="6" t="s">
        <v>34</v>
      </c>
      <c r="I7976" s="8" t="s">
        <v>263</v>
      </c>
      <c r="J7976" s="9">
        <v>1</v>
      </c>
      <c r="K7976" s="9">
        <v>272</v>
      </c>
      <c r="L7976" s="9">
        <v>2023</v>
      </c>
      <c r="M7976" s="8" t="s">
        <v>44963</v>
      </c>
      <c r="N7976" s="8" t="s">
        <v>243</v>
      </c>
      <c r="O7976" s="8" t="s">
        <v>758</v>
      </c>
      <c r="P7976" s="6" t="s">
        <v>51</v>
      </c>
      <c r="Q7976" s="8" t="s">
        <v>265</v>
      </c>
      <c r="R7976" s="10" t="s">
        <v>44964</v>
      </c>
      <c r="S7976" s="11" t="s">
        <v>44965</v>
      </c>
      <c r="T7976" s="6"/>
      <c r="U7976" s="15" t="str">
        <f>HYPERLINK("https://media.infra-m.ru/1976/1976173/cover/1976173.jpg", "Обложка")</f>
        <v>Обложка</v>
      </c>
      <c r="V7976" s="8" t="s">
        <v>7848</v>
      </c>
      <c r="W7976" s="6"/>
      <c r="X7976" s="6"/>
      <c r="Y7976" s="6"/>
      <c r="Z7976" s="6" t="s">
        <v>267</v>
      </c>
      <c r="AA7976" s="6" t="s">
        <v>1389</v>
      </c>
      <c r="AB7976" s="8"/>
      <c r="AC7976" s="27">
        <v>9785160152639</v>
      </c>
    </row>
    <row r="7977" spans="1:29" s="4" customFormat="1" ht="51.9" customHeight="1" x14ac:dyDescent="0.2">
      <c r="A7977" s="5">
        <v>0</v>
      </c>
      <c r="B7977" s="6" t="s">
        <v>44966</v>
      </c>
      <c r="C7977" s="13">
        <v>912</v>
      </c>
      <c r="D7977" s="8" t="s">
        <v>44967</v>
      </c>
      <c r="E7977" s="8" t="s">
        <v>44968</v>
      </c>
      <c r="F7977" s="8" t="s">
        <v>44969</v>
      </c>
      <c r="G7977" s="6" t="s">
        <v>118</v>
      </c>
      <c r="H7977" s="6" t="s">
        <v>34</v>
      </c>
      <c r="I7977" s="8" t="s">
        <v>1248</v>
      </c>
      <c r="J7977" s="9">
        <v>1</v>
      </c>
      <c r="K7977" s="9">
        <v>168</v>
      </c>
      <c r="L7977" s="9">
        <v>2023</v>
      </c>
      <c r="M7977" s="8" t="s">
        <v>44970</v>
      </c>
      <c r="N7977" s="8" t="s">
        <v>243</v>
      </c>
      <c r="O7977" s="8" t="s">
        <v>758</v>
      </c>
      <c r="P7977" s="6" t="s">
        <v>51</v>
      </c>
      <c r="Q7977" s="8" t="s">
        <v>65</v>
      </c>
      <c r="R7977" s="10" t="s">
        <v>7200</v>
      </c>
      <c r="S7977" s="11" t="s">
        <v>44889</v>
      </c>
      <c r="T7977" s="6"/>
      <c r="U7977" s="15" t="str">
        <f>HYPERLINK("https://media.infra-m.ru/2030/2030830/cover/2030830.jpg", "Обложка")</f>
        <v>Обложка</v>
      </c>
      <c r="V7977" s="8" t="s">
        <v>1083</v>
      </c>
      <c r="W7977" s="6"/>
      <c r="X7977" s="6"/>
      <c r="Y7977" s="6"/>
      <c r="Z7977" s="6"/>
      <c r="AA7977" s="6" t="s">
        <v>86</v>
      </c>
      <c r="AB7977" s="8"/>
      <c r="AC7977" s="27">
        <v>9785160185897</v>
      </c>
    </row>
    <row r="7978" spans="1:29" s="4" customFormat="1" ht="42" customHeight="1" x14ac:dyDescent="0.2">
      <c r="A7978" s="5">
        <v>0</v>
      </c>
      <c r="B7978" s="6" t="s">
        <v>44971</v>
      </c>
      <c r="C7978" s="7">
        <v>1548</v>
      </c>
      <c r="D7978" s="8" t="s">
        <v>44972</v>
      </c>
      <c r="E7978" s="8" t="s">
        <v>44973</v>
      </c>
      <c r="F7978" s="8" t="s">
        <v>44974</v>
      </c>
      <c r="G7978" s="6" t="s">
        <v>60</v>
      </c>
      <c r="H7978" s="6" t="s">
        <v>34</v>
      </c>
      <c r="I7978" s="8" t="s">
        <v>263</v>
      </c>
      <c r="J7978" s="9">
        <v>1</v>
      </c>
      <c r="K7978" s="9">
        <v>209</v>
      </c>
      <c r="L7978" s="9">
        <v>2026</v>
      </c>
      <c r="M7978" s="8" t="s">
        <v>44975</v>
      </c>
      <c r="N7978" s="8" t="s">
        <v>37</v>
      </c>
      <c r="O7978" s="8" t="s">
        <v>499</v>
      </c>
      <c r="P7978" s="6" t="s">
        <v>51</v>
      </c>
      <c r="Q7978" s="8" t="s">
        <v>265</v>
      </c>
      <c r="R7978" s="10" t="s">
        <v>44976</v>
      </c>
      <c r="S7978" s="11"/>
      <c r="T7978" s="6"/>
      <c r="U7978" s="15" t="str">
        <f>HYPERLINK("https://media.infra-m.ru/2156/2156178/cover/2156178.jpg", "Обложка")</f>
        <v>Обложка</v>
      </c>
      <c r="V7978" s="8" t="s">
        <v>9227</v>
      </c>
      <c r="W7978" s="6" t="s">
        <v>2941</v>
      </c>
      <c r="X7978" s="6"/>
      <c r="Y7978" s="6"/>
      <c r="Z7978" s="6"/>
      <c r="AA7978" s="6" t="s">
        <v>187</v>
      </c>
      <c r="AB7978" s="8" t="s">
        <v>437</v>
      </c>
      <c r="AC7978" s="27">
        <v>9785160200552</v>
      </c>
    </row>
    <row r="7979" spans="1:29" s="4" customFormat="1" ht="51.9" customHeight="1" x14ac:dyDescent="0.2">
      <c r="A7979" s="5">
        <v>0</v>
      </c>
      <c r="B7979" s="6" t="s">
        <v>44977</v>
      </c>
      <c r="C7979" s="7">
        <v>3840</v>
      </c>
      <c r="D7979" s="8" t="s">
        <v>44978</v>
      </c>
      <c r="E7979" s="8" t="s">
        <v>44979</v>
      </c>
      <c r="F7979" s="8" t="s">
        <v>44980</v>
      </c>
      <c r="G7979" s="6" t="s">
        <v>60</v>
      </c>
      <c r="H7979" s="6" t="s">
        <v>34</v>
      </c>
      <c r="I7979" s="8" t="s">
        <v>263</v>
      </c>
      <c r="J7979" s="9">
        <v>1</v>
      </c>
      <c r="K7979" s="9">
        <v>610</v>
      </c>
      <c r="L7979" s="9">
        <v>2026</v>
      </c>
      <c r="M7979" s="8" t="s">
        <v>44981</v>
      </c>
      <c r="N7979" s="8" t="s">
        <v>243</v>
      </c>
      <c r="O7979" s="8" t="s">
        <v>758</v>
      </c>
      <c r="P7979" s="6" t="s">
        <v>51</v>
      </c>
      <c r="Q7979" s="8" t="s">
        <v>265</v>
      </c>
      <c r="R7979" s="10" t="s">
        <v>44982</v>
      </c>
      <c r="S7979" s="11" t="s">
        <v>44983</v>
      </c>
      <c r="T7979" s="6"/>
      <c r="U7979" s="15" t="str">
        <f>HYPERLINK("https://media.infra-m.ru/2239/2239078/cover/2239078.jpg", "Обложка")</f>
        <v>Обложка</v>
      </c>
      <c r="V7979" s="8" t="s">
        <v>831</v>
      </c>
      <c r="W7979" s="6"/>
      <c r="X7979" s="6"/>
      <c r="Y7979" s="6"/>
      <c r="Z7979" s="6"/>
      <c r="AA7979" s="6" t="s">
        <v>129</v>
      </c>
      <c r="AB7979" s="8"/>
      <c r="AC7979" s="27">
        <v>9785160218380</v>
      </c>
    </row>
    <row r="7980" spans="1:29" s="4" customFormat="1" ht="51.9" customHeight="1" x14ac:dyDescent="0.2">
      <c r="A7980" s="5">
        <v>0</v>
      </c>
      <c r="B7980" s="6" t="s">
        <v>44984</v>
      </c>
      <c r="C7980" s="7">
        <v>2008.8</v>
      </c>
      <c r="D7980" s="8" t="s">
        <v>44985</v>
      </c>
      <c r="E7980" s="8" t="s">
        <v>44986</v>
      </c>
      <c r="F7980" s="8" t="s">
        <v>44987</v>
      </c>
      <c r="G7980" s="6" t="s">
        <v>60</v>
      </c>
      <c r="H7980" s="6" t="s">
        <v>34</v>
      </c>
      <c r="I7980" s="8" t="s">
        <v>271</v>
      </c>
      <c r="J7980" s="9">
        <v>1</v>
      </c>
      <c r="K7980" s="9">
        <v>304</v>
      </c>
      <c r="L7980" s="9">
        <v>2026</v>
      </c>
      <c r="M7980" s="8" t="s">
        <v>44988</v>
      </c>
      <c r="N7980" s="8" t="s">
        <v>243</v>
      </c>
      <c r="O7980" s="8" t="s">
        <v>758</v>
      </c>
      <c r="P7980" s="6" t="s">
        <v>51</v>
      </c>
      <c r="Q7980" s="8" t="s">
        <v>52</v>
      </c>
      <c r="R7980" s="10" t="s">
        <v>44989</v>
      </c>
      <c r="S7980" s="11" t="s">
        <v>44990</v>
      </c>
      <c r="T7980" s="6"/>
      <c r="U7980" s="15" t="str">
        <f>HYPERLINK("https://media.infra-m.ru/2219/2219609/cover/2219609.jpg", "Обложка")</f>
        <v>Обложка</v>
      </c>
      <c r="V7980" s="8" t="s">
        <v>44991</v>
      </c>
      <c r="W7980" s="6"/>
      <c r="X7980" s="6"/>
      <c r="Y7980" s="6"/>
      <c r="Z7980" s="6"/>
      <c r="AA7980" s="6" t="s">
        <v>1037</v>
      </c>
      <c r="AB7980" s="8"/>
      <c r="AC7980" s="27">
        <v>9785160092720</v>
      </c>
    </row>
    <row r="7981" spans="1:29" s="4" customFormat="1" ht="51.9" customHeight="1" x14ac:dyDescent="0.2">
      <c r="A7981" s="5">
        <v>0</v>
      </c>
      <c r="B7981" s="6" t="s">
        <v>44992</v>
      </c>
      <c r="C7981" s="13">
        <v>996</v>
      </c>
      <c r="D7981" s="8" t="s">
        <v>44993</v>
      </c>
      <c r="E7981" s="8" t="s">
        <v>44994</v>
      </c>
      <c r="F7981" s="8" t="s">
        <v>44995</v>
      </c>
      <c r="G7981" s="6" t="s">
        <v>118</v>
      </c>
      <c r="H7981" s="6" t="s">
        <v>34</v>
      </c>
      <c r="I7981" s="8" t="s">
        <v>263</v>
      </c>
      <c r="J7981" s="9">
        <v>1</v>
      </c>
      <c r="K7981" s="9">
        <v>224</v>
      </c>
      <c r="L7981" s="9">
        <v>2022</v>
      </c>
      <c r="M7981" s="8" t="s">
        <v>44996</v>
      </c>
      <c r="N7981" s="8" t="s">
        <v>243</v>
      </c>
      <c r="O7981" s="8" t="s">
        <v>758</v>
      </c>
      <c r="P7981" s="6" t="s">
        <v>51</v>
      </c>
      <c r="Q7981" s="8" t="s">
        <v>265</v>
      </c>
      <c r="R7981" s="10" t="s">
        <v>44997</v>
      </c>
      <c r="S7981" s="11" t="s">
        <v>44998</v>
      </c>
      <c r="T7981" s="6"/>
      <c r="U7981" s="15" t="str">
        <f>HYPERLINK("https://media.infra-m.ru/1723/1723512/cover/1723512.jpg", "Обложка")</f>
        <v>Обложка</v>
      </c>
      <c r="V7981" s="8" t="s">
        <v>1157</v>
      </c>
      <c r="W7981" s="6"/>
      <c r="X7981" s="6"/>
      <c r="Y7981" s="6"/>
      <c r="Z7981" s="6" t="s">
        <v>267</v>
      </c>
      <c r="AA7981" s="6" t="s">
        <v>1256</v>
      </c>
      <c r="AB7981" s="8"/>
      <c r="AC7981" s="27">
        <v>9785160156019</v>
      </c>
    </row>
    <row r="7982" spans="1:29" s="4" customFormat="1" ht="51.9" customHeight="1" x14ac:dyDescent="0.2">
      <c r="A7982" s="5">
        <v>0</v>
      </c>
      <c r="B7982" s="6" t="s">
        <v>44999</v>
      </c>
      <c r="C7982" s="7">
        <v>2140.8000000000002</v>
      </c>
      <c r="D7982" s="8" t="s">
        <v>45000</v>
      </c>
      <c r="E7982" s="8" t="s">
        <v>45001</v>
      </c>
      <c r="F7982" s="8" t="s">
        <v>45002</v>
      </c>
      <c r="G7982" s="6" t="s">
        <v>60</v>
      </c>
      <c r="H7982" s="6" t="s">
        <v>48</v>
      </c>
      <c r="I7982" s="8" t="s">
        <v>401</v>
      </c>
      <c r="J7982" s="9">
        <v>1</v>
      </c>
      <c r="K7982" s="9">
        <v>304</v>
      </c>
      <c r="L7982" s="9">
        <v>2027</v>
      </c>
      <c r="M7982" s="8" t="s">
        <v>45003</v>
      </c>
      <c r="N7982" s="8" t="s">
        <v>243</v>
      </c>
      <c r="O7982" s="8" t="s">
        <v>758</v>
      </c>
      <c r="P7982" s="6" t="s">
        <v>51</v>
      </c>
      <c r="Q7982" s="8" t="s">
        <v>265</v>
      </c>
      <c r="R7982" s="10" t="s">
        <v>45004</v>
      </c>
      <c r="S7982" s="11" t="s">
        <v>18811</v>
      </c>
      <c r="T7982" s="6"/>
      <c r="U7982" s="15" t="str">
        <f>HYPERLINK("https://media.infra-m.ru/2268/2268301/cover/2268301.jpg", "Обложка")</f>
        <v>Обложка</v>
      </c>
      <c r="V7982" s="8" t="s">
        <v>831</v>
      </c>
      <c r="W7982" s="6"/>
      <c r="X7982" s="6"/>
      <c r="Y7982" s="6"/>
      <c r="Z7982" s="6"/>
      <c r="AA7982" s="6" t="s">
        <v>1047</v>
      </c>
      <c r="AB7982" s="8"/>
      <c r="AC7982" s="27">
        <v>9785911342685</v>
      </c>
    </row>
    <row r="7983" spans="1:29" s="4" customFormat="1" ht="51.9" customHeight="1" x14ac:dyDescent="0.2">
      <c r="A7983" s="5">
        <v>0</v>
      </c>
      <c r="B7983" s="6" t="s">
        <v>45005</v>
      </c>
      <c r="C7983" s="7">
        <v>1241.9000000000001</v>
      </c>
      <c r="D7983" s="8" t="s">
        <v>45006</v>
      </c>
      <c r="E7983" s="8" t="s">
        <v>45007</v>
      </c>
      <c r="F7983" s="8" t="s">
        <v>45008</v>
      </c>
      <c r="G7983" s="6" t="s">
        <v>118</v>
      </c>
      <c r="H7983" s="6" t="s">
        <v>34</v>
      </c>
      <c r="I7983" s="8" t="s">
        <v>271</v>
      </c>
      <c r="J7983" s="9">
        <v>1</v>
      </c>
      <c r="K7983" s="9">
        <v>229</v>
      </c>
      <c r="L7983" s="9">
        <v>2023</v>
      </c>
      <c r="M7983" s="8" t="s">
        <v>45009</v>
      </c>
      <c r="N7983" s="8" t="s">
        <v>243</v>
      </c>
      <c r="O7983" s="8" t="s">
        <v>758</v>
      </c>
      <c r="P7983" s="6" t="s">
        <v>51</v>
      </c>
      <c r="Q7983" s="8" t="s">
        <v>52</v>
      </c>
      <c r="R7983" s="10" t="s">
        <v>45010</v>
      </c>
      <c r="S7983" s="11" t="s">
        <v>45011</v>
      </c>
      <c r="T7983" s="6"/>
      <c r="U7983" s="15" t="str">
        <f>HYPERLINK("https://media.infra-m.ru/1913/1913708/cover/1913708.jpg", "Обложка")</f>
        <v>Обложка</v>
      </c>
      <c r="V7983" s="8" t="s">
        <v>831</v>
      </c>
      <c r="W7983" s="6"/>
      <c r="X7983" s="6"/>
      <c r="Y7983" s="6"/>
      <c r="Z7983" s="6"/>
      <c r="AA7983" s="6" t="s">
        <v>99</v>
      </c>
      <c r="AB7983" s="8"/>
      <c r="AC7983" s="27">
        <v>9785160161099</v>
      </c>
    </row>
    <row r="7984" spans="1:29" s="4" customFormat="1" ht="51.9" customHeight="1" x14ac:dyDescent="0.2">
      <c r="A7984" s="5">
        <v>0</v>
      </c>
      <c r="B7984" s="6" t="s">
        <v>45012</v>
      </c>
      <c r="C7984" s="13">
        <v>965.9</v>
      </c>
      <c r="D7984" s="8" t="s">
        <v>45013</v>
      </c>
      <c r="E7984" s="8" t="s">
        <v>44994</v>
      </c>
      <c r="F7984" s="8" t="s">
        <v>36500</v>
      </c>
      <c r="G7984" s="6" t="s">
        <v>60</v>
      </c>
      <c r="H7984" s="6" t="s">
        <v>34</v>
      </c>
      <c r="I7984" s="8" t="s">
        <v>271</v>
      </c>
      <c r="J7984" s="9">
        <v>1</v>
      </c>
      <c r="K7984" s="9">
        <v>224</v>
      </c>
      <c r="L7984" s="9">
        <v>2021</v>
      </c>
      <c r="M7984" s="8" t="s">
        <v>45014</v>
      </c>
      <c r="N7984" s="8" t="s">
        <v>243</v>
      </c>
      <c r="O7984" s="8" t="s">
        <v>758</v>
      </c>
      <c r="P7984" s="6" t="s">
        <v>51</v>
      </c>
      <c r="Q7984" s="8" t="s">
        <v>52</v>
      </c>
      <c r="R7984" s="10" t="s">
        <v>45015</v>
      </c>
      <c r="S7984" s="11" t="s">
        <v>45016</v>
      </c>
      <c r="T7984" s="6"/>
      <c r="U7984" s="15" t="str">
        <f>HYPERLINK("https://media.infra-m.ru/1194/1194872/cover/1194872.jpg", "Обложка")</f>
        <v>Обложка</v>
      </c>
      <c r="V7984" s="8" t="s">
        <v>1157</v>
      </c>
      <c r="W7984" s="6"/>
      <c r="X7984" s="6"/>
      <c r="Y7984" s="6"/>
      <c r="Z7984" s="6"/>
      <c r="AA7984" s="6" t="s">
        <v>248</v>
      </c>
      <c r="AB7984" s="8"/>
      <c r="AC7984" s="27">
        <v>9785160053158</v>
      </c>
    </row>
    <row r="7985" spans="1:29" s="4" customFormat="1" ht="51.9" customHeight="1" x14ac:dyDescent="0.2">
      <c r="A7985" s="5">
        <v>0</v>
      </c>
      <c r="B7985" s="6" t="s">
        <v>45017</v>
      </c>
      <c r="C7985" s="7">
        <v>1277.9000000000001</v>
      </c>
      <c r="D7985" s="8" t="s">
        <v>45018</v>
      </c>
      <c r="E7985" s="8" t="s">
        <v>45019</v>
      </c>
      <c r="F7985" s="8" t="s">
        <v>45020</v>
      </c>
      <c r="G7985" s="6" t="s">
        <v>60</v>
      </c>
      <c r="H7985" s="6" t="s">
        <v>5605</v>
      </c>
      <c r="I7985" s="8" t="s">
        <v>253</v>
      </c>
      <c r="J7985" s="9">
        <v>1</v>
      </c>
      <c r="K7985" s="9">
        <v>288</v>
      </c>
      <c r="L7985" s="9">
        <v>2022</v>
      </c>
      <c r="M7985" s="8" t="s">
        <v>44988</v>
      </c>
      <c r="N7985" s="8" t="s">
        <v>243</v>
      </c>
      <c r="O7985" s="8" t="s">
        <v>758</v>
      </c>
      <c r="P7985" s="6" t="s">
        <v>51</v>
      </c>
      <c r="Q7985" s="8" t="s">
        <v>52</v>
      </c>
      <c r="R7985" s="10" t="s">
        <v>44989</v>
      </c>
      <c r="S7985" s="11" t="s">
        <v>44990</v>
      </c>
      <c r="T7985" s="6"/>
      <c r="U7985" s="15" t="str">
        <f>HYPERLINK("https://media.infra-m.ru/1815/1815592/cover/1815592.jpg", "Обложка")</f>
        <v>Обложка</v>
      </c>
      <c r="V7985" s="8" t="s">
        <v>44991</v>
      </c>
      <c r="W7985" s="6"/>
      <c r="X7985" s="6"/>
      <c r="Y7985" s="6"/>
      <c r="Z7985" s="6"/>
      <c r="AA7985" s="6" t="s">
        <v>2304</v>
      </c>
      <c r="AB7985" s="8"/>
      <c r="AC7985" s="27">
        <v>9785160092720</v>
      </c>
    </row>
    <row r="7986" spans="1:29" s="4" customFormat="1" ht="51.9" customHeight="1" x14ac:dyDescent="0.2">
      <c r="A7986" s="5">
        <v>0</v>
      </c>
      <c r="B7986" s="6" t="s">
        <v>45021</v>
      </c>
      <c r="C7986" s="7">
        <v>2116.8000000000002</v>
      </c>
      <c r="D7986" s="8" t="s">
        <v>45022</v>
      </c>
      <c r="E7986" s="8" t="s">
        <v>44986</v>
      </c>
      <c r="F7986" s="8" t="s">
        <v>44987</v>
      </c>
      <c r="G7986" s="6" t="s">
        <v>60</v>
      </c>
      <c r="H7986" s="6" t="s">
        <v>34</v>
      </c>
      <c r="I7986" s="8" t="s">
        <v>263</v>
      </c>
      <c r="J7986" s="9">
        <v>1</v>
      </c>
      <c r="K7986" s="9">
        <v>305</v>
      </c>
      <c r="L7986" s="9">
        <v>2027</v>
      </c>
      <c r="M7986" s="8" t="s">
        <v>45023</v>
      </c>
      <c r="N7986" s="8" t="s">
        <v>243</v>
      </c>
      <c r="O7986" s="8" t="s">
        <v>758</v>
      </c>
      <c r="P7986" s="6" t="s">
        <v>51</v>
      </c>
      <c r="Q7986" s="8" t="s">
        <v>265</v>
      </c>
      <c r="R7986" s="10" t="s">
        <v>45024</v>
      </c>
      <c r="S7986" s="11" t="s">
        <v>45025</v>
      </c>
      <c r="T7986" s="6"/>
      <c r="U7986" s="15" t="str">
        <f>HYPERLINK("https://media.infra-m.ru/2262/2262629/cover/2262629.jpg", "Обложка")</f>
        <v>Обложка</v>
      </c>
      <c r="V7986" s="8" t="s">
        <v>44991</v>
      </c>
      <c r="W7986" s="6"/>
      <c r="X7986" s="6"/>
      <c r="Y7986" s="6"/>
      <c r="Z7986" s="6" t="s">
        <v>267</v>
      </c>
      <c r="AA7986" s="6" t="s">
        <v>2230</v>
      </c>
      <c r="AB7986" s="8"/>
      <c r="AC7986" s="27">
        <v>9785160156026</v>
      </c>
    </row>
    <row r="7987" spans="1:29" s="4" customFormat="1" ht="51.9" customHeight="1" x14ac:dyDescent="0.2">
      <c r="A7987" s="5">
        <v>0</v>
      </c>
      <c r="B7987" s="6" t="s">
        <v>45026</v>
      </c>
      <c r="C7987" s="7">
        <v>2860.8</v>
      </c>
      <c r="D7987" s="8" t="s">
        <v>45027</v>
      </c>
      <c r="E7987" s="8" t="s">
        <v>45028</v>
      </c>
      <c r="F7987" s="8" t="s">
        <v>45029</v>
      </c>
      <c r="G7987" s="6" t="s">
        <v>118</v>
      </c>
      <c r="H7987" s="6" t="s">
        <v>34</v>
      </c>
      <c r="I7987" s="8" t="s">
        <v>271</v>
      </c>
      <c r="J7987" s="9">
        <v>1</v>
      </c>
      <c r="K7987" s="9">
        <v>530</v>
      </c>
      <c r="L7987" s="9">
        <v>2023</v>
      </c>
      <c r="M7987" s="8" t="s">
        <v>45030</v>
      </c>
      <c r="N7987" s="8" t="s">
        <v>243</v>
      </c>
      <c r="O7987" s="8" t="s">
        <v>758</v>
      </c>
      <c r="P7987" s="6" t="s">
        <v>306</v>
      </c>
      <c r="Q7987" s="8" t="s">
        <v>52</v>
      </c>
      <c r="R7987" s="10" t="s">
        <v>45031</v>
      </c>
      <c r="S7987" s="11"/>
      <c r="T7987" s="6"/>
      <c r="U7987" s="15" t="str">
        <f>HYPERLINK("https://media.infra-m.ru/2006/2006078/cover/2006078.jpg", "Обложка")</f>
        <v>Обложка</v>
      </c>
      <c r="V7987" s="8" t="s">
        <v>843</v>
      </c>
      <c r="W7987" s="6"/>
      <c r="X7987" s="6" t="s">
        <v>24</v>
      </c>
      <c r="Y7987" s="6"/>
      <c r="Z7987" s="6"/>
      <c r="AA7987" s="6" t="s">
        <v>1031</v>
      </c>
      <c r="AB7987" s="8"/>
      <c r="AC7987" s="27">
        <v>9785160136059</v>
      </c>
    </row>
    <row r="7988" spans="1:29" s="4" customFormat="1" ht="51.9" customHeight="1" x14ac:dyDescent="0.2">
      <c r="A7988" s="5">
        <v>0</v>
      </c>
      <c r="B7988" s="6" t="s">
        <v>45032</v>
      </c>
      <c r="C7988" s="7">
        <v>3696</v>
      </c>
      <c r="D7988" s="8" t="s">
        <v>45033</v>
      </c>
      <c r="E7988" s="8" t="s">
        <v>45028</v>
      </c>
      <c r="F7988" s="8" t="s">
        <v>45029</v>
      </c>
      <c r="G7988" s="6" t="s">
        <v>60</v>
      </c>
      <c r="H7988" s="6" t="s">
        <v>34</v>
      </c>
      <c r="I7988" s="8" t="s">
        <v>263</v>
      </c>
      <c r="J7988" s="9">
        <v>1</v>
      </c>
      <c r="K7988" s="9">
        <v>530</v>
      </c>
      <c r="L7988" s="9">
        <v>2026</v>
      </c>
      <c r="M7988" s="8" t="s">
        <v>45034</v>
      </c>
      <c r="N7988" s="8" t="s">
        <v>243</v>
      </c>
      <c r="O7988" s="8" t="s">
        <v>758</v>
      </c>
      <c r="P7988" s="6" t="s">
        <v>306</v>
      </c>
      <c r="Q7988" s="8" t="s">
        <v>265</v>
      </c>
      <c r="R7988" s="10" t="s">
        <v>45035</v>
      </c>
      <c r="S7988" s="11" t="s">
        <v>45036</v>
      </c>
      <c r="T7988" s="6"/>
      <c r="U7988" s="15" t="str">
        <f>HYPERLINK("https://media.infra-m.ru/2215/2215727/cover/2215727.jpg", "Обложка")</f>
        <v>Обложка</v>
      </c>
      <c r="V7988" s="8" t="s">
        <v>843</v>
      </c>
      <c r="W7988" s="6"/>
      <c r="X7988" s="6"/>
      <c r="Y7988" s="6"/>
      <c r="Z7988" s="6" t="s">
        <v>267</v>
      </c>
      <c r="AA7988" s="6" t="s">
        <v>2230</v>
      </c>
      <c r="AB7988" s="8"/>
      <c r="AC7988" s="27">
        <v>9785160146171</v>
      </c>
    </row>
    <row r="7989" spans="1:29" s="4" customFormat="1" ht="51.9" customHeight="1" x14ac:dyDescent="0.2">
      <c r="A7989" s="5">
        <v>0</v>
      </c>
      <c r="B7989" s="6" t="s">
        <v>45037</v>
      </c>
      <c r="C7989" s="7">
        <v>6588</v>
      </c>
      <c r="D7989" s="8" t="s">
        <v>45038</v>
      </c>
      <c r="E7989" s="8" t="s">
        <v>45019</v>
      </c>
      <c r="F7989" s="8" t="s">
        <v>45039</v>
      </c>
      <c r="G7989" s="6" t="s">
        <v>60</v>
      </c>
      <c r="H7989" s="6" t="s">
        <v>48</v>
      </c>
      <c r="I7989" s="8"/>
      <c r="J7989" s="9">
        <v>1</v>
      </c>
      <c r="K7989" s="9">
        <v>860</v>
      </c>
      <c r="L7989" s="9">
        <v>2025</v>
      </c>
      <c r="M7989" s="8" t="s">
        <v>45040</v>
      </c>
      <c r="N7989" s="8" t="s">
        <v>243</v>
      </c>
      <c r="O7989" s="8" t="s">
        <v>758</v>
      </c>
      <c r="P7989" s="6" t="s">
        <v>306</v>
      </c>
      <c r="Q7989" s="8" t="s">
        <v>265</v>
      </c>
      <c r="R7989" s="10" t="s">
        <v>45041</v>
      </c>
      <c r="S7989" s="11" t="s">
        <v>45042</v>
      </c>
      <c r="T7989" s="6"/>
      <c r="U7989" s="15" t="str">
        <f>HYPERLINK("https://media.infra-m.ru/2222/2222606/cover/2222606.jpg", "Обложка")</f>
        <v>Обложка</v>
      </c>
      <c r="V7989" s="8" t="s">
        <v>831</v>
      </c>
      <c r="W7989" s="6"/>
      <c r="X7989" s="6"/>
      <c r="Y7989" s="6"/>
      <c r="Z7989" s="6"/>
      <c r="AA7989" s="6" t="s">
        <v>6584</v>
      </c>
      <c r="AB7989" s="8"/>
      <c r="AC7989" s="27">
        <v>9785911342517</v>
      </c>
    </row>
    <row r="7990" spans="1:29" s="4" customFormat="1" ht="51.9" customHeight="1" x14ac:dyDescent="0.2">
      <c r="A7990" s="5">
        <v>0</v>
      </c>
      <c r="B7990" s="6" t="s">
        <v>45043</v>
      </c>
      <c r="C7990" s="7">
        <v>2136</v>
      </c>
      <c r="D7990" s="8" t="s">
        <v>45044</v>
      </c>
      <c r="E7990" s="8" t="s">
        <v>45045</v>
      </c>
      <c r="F7990" s="8" t="s">
        <v>29349</v>
      </c>
      <c r="G7990" s="6" t="s">
        <v>118</v>
      </c>
      <c r="H7990" s="6" t="s">
        <v>34</v>
      </c>
      <c r="I7990" s="8" t="s">
        <v>253</v>
      </c>
      <c r="J7990" s="9">
        <v>1</v>
      </c>
      <c r="K7990" s="9">
        <v>387</v>
      </c>
      <c r="L7990" s="9">
        <v>2024</v>
      </c>
      <c r="M7990" s="8" t="s">
        <v>45046</v>
      </c>
      <c r="N7990" s="8" t="s">
        <v>243</v>
      </c>
      <c r="O7990" s="8" t="s">
        <v>758</v>
      </c>
      <c r="P7990" s="6" t="s">
        <v>306</v>
      </c>
      <c r="Q7990" s="8" t="s">
        <v>52</v>
      </c>
      <c r="R7990" s="10" t="s">
        <v>29356</v>
      </c>
      <c r="S7990" s="11" t="s">
        <v>45047</v>
      </c>
      <c r="T7990" s="6"/>
      <c r="U7990" s="15" t="str">
        <f>HYPERLINK("https://media.infra-m.ru/2091/2091910/cover/2091910.jpg", "Обложка")</f>
        <v>Обложка</v>
      </c>
      <c r="V7990" s="8" t="s">
        <v>831</v>
      </c>
      <c r="W7990" s="6"/>
      <c r="X7990" s="6"/>
      <c r="Y7990" s="6"/>
      <c r="Z7990" s="6"/>
      <c r="AA7990" s="6" t="s">
        <v>99</v>
      </c>
      <c r="AB7990" s="8"/>
      <c r="AC7990" s="27">
        <v>9785160191553</v>
      </c>
    </row>
    <row r="7991" spans="1:29" s="4" customFormat="1" ht="51.9" customHeight="1" x14ac:dyDescent="0.2">
      <c r="A7991" s="5">
        <v>0</v>
      </c>
      <c r="B7991" s="6" t="s">
        <v>45048</v>
      </c>
      <c r="C7991" s="13">
        <v>984</v>
      </c>
      <c r="D7991" s="8" t="s">
        <v>45049</v>
      </c>
      <c r="E7991" s="8" t="s">
        <v>45019</v>
      </c>
      <c r="F7991" s="8" t="s">
        <v>44995</v>
      </c>
      <c r="G7991" s="6" t="s">
        <v>60</v>
      </c>
      <c r="H7991" s="6" t="s">
        <v>34</v>
      </c>
      <c r="I7991" s="8" t="s">
        <v>263</v>
      </c>
      <c r="J7991" s="9">
        <v>1</v>
      </c>
      <c r="K7991" s="9">
        <v>240</v>
      </c>
      <c r="L7991" s="9">
        <v>2020</v>
      </c>
      <c r="M7991" s="8" t="s">
        <v>45050</v>
      </c>
      <c r="N7991" s="8" t="s">
        <v>243</v>
      </c>
      <c r="O7991" s="8" t="s">
        <v>758</v>
      </c>
      <c r="P7991" s="6" t="s">
        <v>51</v>
      </c>
      <c r="Q7991" s="8" t="s">
        <v>265</v>
      </c>
      <c r="R7991" s="10" t="s">
        <v>45051</v>
      </c>
      <c r="S7991" s="11" t="s">
        <v>45052</v>
      </c>
      <c r="T7991" s="6"/>
      <c r="U7991" s="15" t="str">
        <f>HYPERLINK("https://media.infra-m.ru/1043/1043105/cover/1043105.jpg", "Обложка")</f>
        <v>Обложка</v>
      </c>
      <c r="V7991" s="8" t="s">
        <v>1157</v>
      </c>
      <c r="W7991" s="6"/>
      <c r="X7991" s="6"/>
      <c r="Y7991" s="6"/>
      <c r="Z7991" s="6" t="s">
        <v>267</v>
      </c>
      <c r="AA7991" s="6" t="s">
        <v>218</v>
      </c>
      <c r="AB7991" s="8"/>
      <c r="AC7991" s="27">
        <v>9785160156040</v>
      </c>
    </row>
    <row r="7992" spans="1:29" s="4" customFormat="1" ht="51.9" customHeight="1" x14ac:dyDescent="0.2">
      <c r="A7992" s="5">
        <v>0</v>
      </c>
      <c r="B7992" s="6" t="s">
        <v>45053</v>
      </c>
      <c r="C7992" s="7">
        <v>1324.8</v>
      </c>
      <c r="D7992" s="8" t="s">
        <v>45054</v>
      </c>
      <c r="E7992" s="8" t="s">
        <v>45019</v>
      </c>
      <c r="F7992" s="8" t="s">
        <v>44995</v>
      </c>
      <c r="G7992" s="6" t="s">
        <v>60</v>
      </c>
      <c r="H7992" s="6" t="s">
        <v>34</v>
      </c>
      <c r="I7992" s="8" t="s">
        <v>271</v>
      </c>
      <c r="J7992" s="9">
        <v>1</v>
      </c>
      <c r="K7992" s="9">
        <v>240</v>
      </c>
      <c r="L7992" s="9">
        <v>2024</v>
      </c>
      <c r="M7992" s="8" t="s">
        <v>45055</v>
      </c>
      <c r="N7992" s="8" t="s">
        <v>243</v>
      </c>
      <c r="O7992" s="8" t="s">
        <v>758</v>
      </c>
      <c r="P7992" s="6" t="s">
        <v>51</v>
      </c>
      <c r="Q7992" s="8" t="s">
        <v>52</v>
      </c>
      <c r="R7992" s="10" t="s">
        <v>45056</v>
      </c>
      <c r="S7992" s="11" t="s">
        <v>45057</v>
      </c>
      <c r="T7992" s="6"/>
      <c r="U7992" s="15" t="str">
        <f>HYPERLINK("https://media.infra-m.ru/2058/2058779/cover/2058779.jpg", "Обложка")</f>
        <v>Обложка</v>
      </c>
      <c r="V7992" s="8" t="s">
        <v>1157</v>
      </c>
      <c r="W7992" s="6"/>
      <c r="X7992" s="6"/>
      <c r="Y7992" s="6"/>
      <c r="Z7992" s="6"/>
      <c r="AA7992" s="6" t="s">
        <v>360</v>
      </c>
      <c r="AB7992" s="8"/>
      <c r="AC7992" s="27">
        <v>9785160109411</v>
      </c>
    </row>
    <row r="7993" spans="1:29" s="4" customFormat="1" ht="51.9" customHeight="1" x14ac:dyDescent="0.2">
      <c r="A7993" s="5">
        <v>0</v>
      </c>
      <c r="B7993" s="6" t="s">
        <v>45058</v>
      </c>
      <c r="C7993" s="7">
        <v>1480.8</v>
      </c>
      <c r="D7993" s="8" t="s">
        <v>45059</v>
      </c>
      <c r="E7993" s="8" t="s">
        <v>45060</v>
      </c>
      <c r="F7993" s="8" t="s">
        <v>45061</v>
      </c>
      <c r="G7993" s="6" t="s">
        <v>60</v>
      </c>
      <c r="H7993" s="6" t="s">
        <v>34</v>
      </c>
      <c r="I7993" s="8" t="s">
        <v>271</v>
      </c>
      <c r="J7993" s="9">
        <v>1</v>
      </c>
      <c r="K7993" s="9">
        <v>269</v>
      </c>
      <c r="L7993" s="9">
        <v>2024</v>
      </c>
      <c r="M7993" s="8" t="s">
        <v>45062</v>
      </c>
      <c r="N7993" s="8" t="s">
        <v>243</v>
      </c>
      <c r="O7993" s="8" t="s">
        <v>758</v>
      </c>
      <c r="P7993" s="6" t="s">
        <v>306</v>
      </c>
      <c r="Q7993" s="8" t="s">
        <v>52</v>
      </c>
      <c r="R7993" s="10" t="s">
        <v>29370</v>
      </c>
      <c r="S7993" s="11" t="s">
        <v>45063</v>
      </c>
      <c r="T7993" s="6"/>
      <c r="U7993" s="15" t="str">
        <f>HYPERLINK("https://media.infra-m.ru/2087/2087295/cover/2087295.jpg", "Обложка")</f>
        <v>Обложка</v>
      </c>
      <c r="V7993" s="8" t="s">
        <v>831</v>
      </c>
      <c r="W7993" s="6"/>
      <c r="X7993" s="6"/>
      <c r="Y7993" s="6"/>
      <c r="Z7993" s="6"/>
      <c r="AA7993" s="6" t="s">
        <v>274</v>
      </c>
      <c r="AB7993" s="8"/>
      <c r="AC7993" s="27">
        <v>9785160101958</v>
      </c>
    </row>
    <row r="7994" spans="1:29" s="4" customFormat="1" ht="51.9" customHeight="1" x14ac:dyDescent="0.2">
      <c r="A7994" s="5">
        <v>0</v>
      </c>
      <c r="B7994" s="6" t="s">
        <v>45064</v>
      </c>
      <c r="C7994" s="7">
        <v>1188</v>
      </c>
      <c r="D7994" s="8" t="s">
        <v>45065</v>
      </c>
      <c r="E7994" s="8" t="s">
        <v>45066</v>
      </c>
      <c r="F7994" s="8" t="s">
        <v>45067</v>
      </c>
      <c r="G7994" s="6" t="s">
        <v>118</v>
      </c>
      <c r="H7994" s="6" t="s">
        <v>34</v>
      </c>
      <c r="I7994" s="8" t="s">
        <v>253</v>
      </c>
      <c r="J7994" s="9">
        <v>1</v>
      </c>
      <c r="K7994" s="9">
        <v>180</v>
      </c>
      <c r="L7994" s="9">
        <v>2026</v>
      </c>
      <c r="M7994" s="8" t="s">
        <v>45068</v>
      </c>
      <c r="N7994" s="8" t="s">
        <v>243</v>
      </c>
      <c r="O7994" s="8" t="s">
        <v>758</v>
      </c>
      <c r="P7994" s="6" t="s">
        <v>51</v>
      </c>
      <c r="Q7994" s="8" t="s">
        <v>52</v>
      </c>
      <c r="R7994" s="10" t="s">
        <v>44901</v>
      </c>
      <c r="S7994" s="11" t="s">
        <v>45069</v>
      </c>
      <c r="T7994" s="6"/>
      <c r="U7994" s="15" t="str">
        <f>HYPERLINK("https://media.infra-m.ru/2254/2254343/cover/2254343.jpg", "Обложка")</f>
        <v>Обложка</v>
      </c>
      <c r="V7994" s="8" t="s">
        <v>1030</v>
      </c>
      <c r="W7994" s="6"/>
      <c r="X7994" s="6"/>
      <c r="Y7994" s="6"/>
      <c r="Z7994" s="6"/>
      <c r="AA7994" s="6" t="s">
        <v>779</v>
      </c>
      <c r="AB7994" s="8"/>
      <c r="AC7994" s="27">
        <v>9785160206806</v>
      </c>
    </row>
    <row r="7995" spans="1:29" s="4" customFormat="1" ht="51.9" customHeight="1" x14ac:dyDescent="0.2">
      <c r="A7995" s="5">
        <v>0</v>
      </c>
      <c r="B7995" s="6" t="s">
        <v>45070</v>
      </c>
      <c r="C7995" s="7">
        <v>1188</v>
      </c>
      <c r="D7995" s="8" t="s">
        <v>45071</v>
      </c>
      <c r="E7995" s="8" t="s">
        <v>45066</v>
      </c>
      <c r="F7995" s="8" t="s">
        <v>45067</v>
      </c>
      <c r="G7995" s="6" t="s">
        <v>118</v>
      </c>
      <c r="H7995" s="6" t="s">
        <v>34</v>
      </c>
      <c r="I7995" s="8" t="s">
        <v>263</v>
      </c>
      <c r="J7995" s="9">
        <v>1</v>
      </c>
      <c r="K7995" s="9">
        <v>180</v>
      </c>
      <c r="L7995" s="9">
        <v>2026</v>
      </c>
      <c r="M7995" s="8" t="s">
        <v>45072</v>
      </c>
      <c r="N7995" s="8" t="s">
        <v>243</v>
      </c>
      <c r="O7995" s="8" t="s">
        <v>758</v>
      </c>
      <c r="P7995" s="6" t="s">
        <v>51</v>
      </c>
      <c r="Q7995" s="8" t="s">
        <v>265</v>
      </c>
      <c r="R7995" s="10" t="s">
        <v>45073</v>
      </c>
      <c r="S7995" s="11" t="s">
        <v>45074</v>
      </c>
      <c r="T7995" s="6"/>
      <c r="U7995" s="15" t="str">
        <f>HYPERLINK("https://media.infra-m.ru/2205/2205225/cover/2205225.jpg", "Обложка")</f>
        <v>Обложка</v>
      </c>
      <c r="V7995" s="8" t="s">
        <v>1030</v>
      </c>
      <c r="W7995" s="6"/>
      <c r="X7995" s="6"/>
      <c r="Y7995" s="6"/>
      <c r="Z7995" s="6" t="s">
        <v>267</v>
      </c>
      <c r="AA7995" s="6" t="s">
        <v>115</v>
      </c>
      <c r="AB7995" s="8"/>
      <c r="AC7995" s="27">
        <v>9785160147307</v>
      </c>
    </row>
    <row r="7996" spans="1:29" s="4" customFormat="1" ht="42" customHeight="1" x14ac:dyDescent="0.2">
      <c r="A7996" s="5">
        <v>0</v>
      </c>
      <c r="B7996" s="6" t="s">
        <v>45075</v>
      </c>
      <c r="C7996" s="7">
        <v>2554.8000000000002</v>
      </c>
      <c r="D7996" s="8" t="s">
        <v>45076</v>
      </c>
      <c r="E7996" s="8" t="s">
        <v>45077</v>
      </c>
      <c r="F7996" s="8" t="s">
        <v>45078</v>
      </c>
      <c r="G7996" s="6" t="s">
        <v>118</v>
      </c>
      <c r="H7996" s="6" t="s">
        <v>34</v>
      </c>
      <c r="I7996" s="8" t="s">
        <v>2518</v>
      </c>
      <c r="J7996" s="9">
        <v>1</v>
      </c>
      <c r="K7996" s="9">
        <v>270</v>
      </c>
      <c r="L7996" s="9">
        <v>2026</v>
      </c>
      <c r="M7996" s="8" t="s">
        <v>45079</v>
      </c>
      <c r="N7996" s="8" t="s">
        <v>243</v>
      </c>
      <c r="O7996" s="8" t="s">
        <v>758</v>
      </c>
      <c r="P7996" s="6" t="s">
        <v>51</v>
      </c>
      <c r="Q7996" s="8" t="s">
        <v>265</v>
      </c>
      <c r="R7996" s="10" t="s">
        <v>45080</v>
      </c>
      <c r="S7996" s="11"/>
      <c r="T7996" s="6"/>
      <c r="U7996" s="15" t="str">
        <f>HYPERLINK("https://media.infra-m.ru/2258/2258028/cover/2258028.jpg", "Обложка")</f>
        <v>Обложка</v>
      </c>
      <c r="V7996" s="8" t="s">
        <v>1132</v>
      </c>
      <c r="W7996" s="6"/>
      <c r="X7996" s="6"/>
      <c r="Y7996" s="6"/>
      <c r="Z7996" s="6" t="s">
        <v>882</v>
      </c>
      <c r="AA7996" s="6" t="s">
        <v>68</v>
      </c>
      <c r="AB7996" s="8"/>
      <c r="AC7996" s="27">
        <v>9785160205830</v>
      </c>
    </row>
    <row r="7997" spans="1:29" s="4" customFormat="1" ht="51.9" customHeight="1" x14ac:dyDescent="0.2">
      <c r="A7997" s="5">
        <v>0</v>
      </c>
      <c r="B7997" s="6" t="s">
        <v>45081</v>
      </c>
      <c r="C7997" s="7">
        <v>2398.8000000000002</v>
      </c>
      <c r="D7997" s="8" t="s">
        <v>45082</v>
      </c>
      <c r="E7997" s="8" t="s">
        <v>45077</v>
      </c>
      <c r="F7997" s="8" t="s">
        <v>45078</v>
      </c>
      <c r="G7997" s="6" t="s">
        <v>118</v>
      </c>
      <c r="H7997" s="6" t="s">
        <v>34</v>
      </c>
      <c r="I7997" s="8" t="s">
        <v>1128</v>
      </c>
      <c r="J7997" s="9">
        <v>1</v>
      </c>
      <c r="K7997" s="9">
        <v>270</v>
      </c>
      <c r="L7997" s="9">
        <v>2026</v>
      </c>
      <c r="M7997" s="8" t="s">
        <v>45083</v>
      </c>
      <c r="N7997" s="8" t="s">
        <v>243</v>
      </c>
      <c r="O7997" s="8" t="s">
        <v>758</v>
      </c>
      <c r="P7997" s="6" t="s">
        <v>51</v>
      </c>
      <c r="Q7997" s="8" t="s">
        <v>65</v>
      </c>
      <c r="R7997" s="10" t="s">
        <v>45084</v>
      </c>
      <c r="S7997" s="11" t="s">
        <v>45085</v>
      </c>
      <c r="T7997" s="6"/>
      <c r="U7997" s="15" t="str">
        <f>HYPERLINK("https://media.infra-m.ru/2254/2254325/cover/2254325.jpg", "Обложка")</f>
        <v>Обложка</v>
      </c>
      <c r="V7997" s="8" t="s">
        <v>1132</v>
      </c>
      <c r="W7997" s="6"/>
      <c r="X7997" s="6"/>
      <c r="Y7997" s="6"/>
      <c r="Z7997" s="6"/>
      <c r="AA7997" s="6" t="s">
        <v>76</v>
      </c>
      <c r="AB7997" s="8"/>
      <c r="AC7997" s="27">
        <v>9785160190372</v>
      </c>
    </row>
    <row r="7998" spans="1:29" s="4" customFormat="1" ht="42" customHeight="1" x14ac:dyDescent="0.2">
      <c r="A7998" s="5">
        <v>0</v>
      </c>
      <c r="B7998" s="6" t="s">
        <v>45086</v>
      </c>
      <c r="C7998" s="7">
        <v>2268</v>
      </c>
      <c r="D7998" s="8" t="s">
        <v>45087</v>
      </c>
      <c r="E7998" s="8" t="s">
        <v>45088</v>
      </c>
      <c r="F7998" s="8" t="s">
        <v>44457</v>
      </c>
      <c r="G7998" s="6" t="s">
        <v>60</v>
      </c>
      <c r="H7998" s="6" t="s">
        <v>34</v>
      </c>
      <c r="I7998" s="8" t="s">
        <v>35</v>
      </c>
      <c r="J7998" s="9">
        <v>1</v>
      </c>
      <c r="K7998" s="9">
        <v>409</v>
      </c>
      <c r="L7998" s="9">
        <v>2024</v>
      </c>
      <c r="M7998" s="8" t="s">
        <v>45089</v>
      </c>
      <c r="N7998" s="8" t="s">
        <v>243</v>
      </c>
      <c r="O7998" s="8" t="s">
        <v>758</v>
      </c>
      <c r="P7998" s="6" t="s">
        <v>39</v>
      </c>
      <c r="Q7998" s="8" t="s">
        <v>40</v>
      </c>
      <c r="R7998" s="10" t="s">
        <v>45090</v>
      </c>
      <c r="S7998" s="11"/>
      <c r="T7998" s="6"/>
      <c r="U7998" s="15" t="str">
        <f>HYPERLINK("https://media.infra-m.ru/2117/2117144/cover/2117144.jpg", "Обложка")</f>
        <v>Обложка</v>
      </c>
      <c r="V7998" s="8" t="s">
        <v>831</v>
      </c>
      <c r="W7998" s="6"/>
      <c r="X7998" s="6"/>
      <c r="Y7998" s="6"/>
      <c r="Z7998" s="6"/>
      <c r="AA7998" s="6" t="s">
        <v>99</v>
      </c>
      <c r="AB7998" s="8"/>
      <c r="AC7998" s="27">
        <v>9785160124698</v>
      </c>
    </row>
    <row r="7999" spans="1:29" s="4" customFormat="1" ht="42" customHeight="1" x14ac:dyDescent="0.2">
      <c r="A7999" s="5">
        <v>0</v>
      </c>
      <c r="B7999" s="6" t="s">
        <v>45091</v>
      </c>
      <c r="C7999" s="7">
        <v>4012.8</v>
      </c>
      <c r="D7999" s="8" t="s">
        <v>45092</v>
      </c>
      <c r="E7999" s="8" t="s">
        <v>45093</v>
      </c>
      <c r="F7999" s="8" t="s">
        <v>45094</v>
      </c>
      <c r="G7999" s="6" t="s">
        <v>60</v>
      </c>
      <c r="H7999" s="6" t="s">
        <v>34</v>
      </c>
      <c r="I7999" s="8" t="s">
        <v>1248</v>
      </c>
      <c r="J7999" s="9">
        <v>1</v>
      </c>
      <c r="K7999" s="9">
        <v>315</v>
      </c>
      <c r="L7999" s="9">
        <v>2026</v>
      </c>
      <c r="M7999" s="8" t="s">
        <v>45095</v>
      </c>
      <c r="N7999" s="8" t="s">
        <v>63</v>
      </c>
      <c r="O7999" s="8" t="s">
        <v>181</v>
      </c>
      <c r="P7999" s="6" t="s">
        <v>51</v>
      </c>
      <c r="Q7999" s="8" t="s">
        <v>65</v>
      </c>
      <c r="R7999" s="10" t="s">
        <v>45096</v>
      </c>
      <c r="S7999" s="11"/>
      <c r="T7999" s="6"/>
      <c r="U7999" s="15" t="str">
        <f>HYPERLINK("https://media.infra-m.ru/2227/2227523/cover/2227523.jpg", "Обложка")</f>
        <v>Обложка</v>
      </c>
      <c r="V7999" s="8" t="s">
        <v>7509</v>
      </c>
      <c r="W7999" s="6"/>
      <c r="X7999" s="6"/>
      <c r="Y7999" s="6"/>
      <c r="Z7999" s="6"/>
      <c r="AA7999" s="6" t="s">
        <v>68</v>
      </c>
      <c r="AB7999" s="8" t="s">
        <v>2922</v>
      </c>
      <c r="AC7999" s="27">
        <v>9785160201672</v>
      </c>
    </row>
    <row r="8000" spans="1:29" s="4" customFormat="1" ht="51.9" customHeight="1" x14ac:dyDescent="0.2">
      <c r="A8000" s="5">
        <v>0</v>
      </c>
      <c r="B8000" s="6" t="s">
        <v>45097</v>
      </c>
      <c r="C8000" s="7">
        <v>1624.8</v>
      </c>
      <c r="D8000" s="8" t="s">
        <v>45098</v>
      </c>
      <c r="E8000" s="8" t="s">
        <v>45099</v>
      </c>
      <c r="F8000" s="8" t="s">
        <v>45100</v>
      </c>
      <c r="G8000" s="6" t="s">
        <v>118</v>
      </c>
      <c r="H8000" s="6" t="s">
        <v>34</v>
      </c>
      <c r="I8000" s="8" t="s">
        <v>271</v>
      </c>
      <c r="J8000" s="9">
        <v>1</v>
      </c>
      <c r="K8000" s="9">
        <v>260</v>
      </c>
      <c r="L8000" s="9">
        <v>2025</v>
      </c>
      <c r="M8000" s="8" t="s">
        <v>45101</v>
      </c>
      <c r="N8000" s="8" t="s">
        <v>243</v>
      </c>
      <c r="O8000" s="8" t="s">
        <v>964</v>
      </c>
      <c r="P8000" s="6" t="s">
        <v>51</v>
      </c>
      <c r="Q8000" s="8" t="s">
        <v>52</v>
      </c>
      <c r="R8000" s="10" t="s">
        <v>9447</v>
      </c>
      <c r="S8000" s="11" t="s">
        <v>45102</v>
      </c>
      <c r="T8000" s="6"/>
      <c r="U8000" s="15" t="str">
        <f>HYPERLINK("https://media.infra-m.ru/2194/2194317/cover/2194317.jpg", "Обложка")</f>
        <v>Обложка</v>
      </c>
      <c r="V8000" s="8" t="s">
        <v>904</v>
      </c>
      <c r="W8000" s="6"/>
      <c r="X8000" s="6"/>
      <c r="Y8000" s="6"/>
      <c r="Z8000" s="6"/>
      <c r="AA8000" s="6" t="s">
        <v>55</v>
      </c>
      <c r="AB8000" s="8"/>
      <c r="AC8000" s="27">
        <v>9785160069531</v>
      </c>
    </row>
    <row r="8001" spans="1:29" s="4" customFormat="1" ht="51.9" customHeight="1" x14ac:dyDescent="0.2">
      <c r="A8001" s="5">
        <v>0</v>
      </c>
      <c r="B8001" s="6" t="s">
        <v>45103</v>
      </c>
      <c r="C8001" s="7">
        <v>2344.8000000000002</v>
      </c>
      <c r="D8001" s="8" t="s">
        <v>45104</v>
      </c>
      <c r="E8001" s="8" t="s">
        <v>45105</v>
      </c>
      <c r="F8001" s="8" t="s">
        <v>26476</v>
      </c>
      <c r="G8001" s="6" t="s">
        <v>118</v>
      </c>
      <c r="H8001" s="6" t="s">
        <v>34</v>
      </c>
      <c r="I8001" s="8" t="s">
        <v>263</v>
      </c>
      <c r="J8001" s="9">
        <v>1</v>
      </c>
      <c r="K8001" s="9">
        <v>375</v>
      </c>
      <c r="L8001" s="9">
        <v>2026</v>
      </c>
      <c r="M8001" s="8" t="s">
        <v>45106</v>
      </c>
      <c r="N8001" s="8" t="s">
        <v>37</v>
      </c>
      <c r="O8001" s="8" t="s">
        <v>499</v>
      </c>
      <c r="P8001" s="6" t="s">
        <v>306</v>
      </c>
      <c r="Q8001" s="8" t="s">
        <v>265</v>
      </c>
      <c r="R8001" s="10" t="s">
        <v>4160</v>
      </c>
      <c r="S8001" s="11" t="s">
        <v>12773</v>
      </c>
      <c r="T8001" s="6"/>
      <c r="U8001" s="15" t="str">
        <f>HYPERLINK("https://media.infra-m.ru/2222/2222986/cover/2222986.jpg", "Обложка")</f>
        <v>Обложка</v>
      </c>
      <c r="V8001" s="8" t="s">
        <v>588</v>
      </c>
      <c r="W8001" s="6"/>
      <c r="X8001" s="6"/>
      <c r="Y8001" s="6"/>
      <c r="Z8001" s="6" t="s">
        <v>267</v>
      </c>
      <c r="AA8001" s="6" t="s">
        <v>115</v>
      </c>
      <c r="AB8001" s="8"/>
      <c r="AC8001" s="27">
        <v>9785160149172</v>
      </c>
    </row>
    <row r="8002" spans="1:29" s="4" customFormat="1" ht="51.9" customHeight="1" x14ac:dyDescent="0.2">
      <c r="A8002" s="5">
        <v>0</v>
      </c>
      <c r="B8002" s="6" t="s">
        <v>45107</v>
      </c>
      <c r="C8002" s="7">
        <v>2388</v>
      </c>
      <c r="D8002" s="8" t="s">
        <v>45108</v>
      </c>
      <c r="E8002" s="8" t="s">
        <v>45105</v>
      </c>
      <c r="F8002" s="8" t="s">
        <v>26476</v>
      </c>
      <c r="G8002" s="6" t="s">
        <v>118</v>
      </c>
      <c r="H8002" s="6" t="s">
        <v>34</v>
      </c>
      <c r="I8002" s="8" t="s">
        <v>253</v>
      </c>
      <c r="J8002" s="9">
        <v>1</v>
      </c>
      <c r="K8002" s="9">
        <v>375</v>
      </c>
      <c r="L8002" s="9">
        <v>2026</v>
      </c>
      <c r="M8002" s="8" t="s">
        <v>45109</v>
      </c>
      <c r="N8002" s="8" t="s">
        <v>37</v>
      </c>
      <c r="O8002" s="8" t="s">
        <v>499</v>
      </c>
      <c r="P8002" s="6" t="s">
        <v>306</v>
      </c>
      <c r="Q8002" s="8" t="s">
        <v>52</v>
      </c>
      <c r="R8002" s="10" t="s">
        <v>2711</v>
      </c>
      <c r="S8002" s="11" t="s">
        <v>45110</v>
      </c>
      <c r="T8002" s="6"/>
      <c r="U8002" s="15" t="str">
        <f>HYPERLINK("https://media.infra-m.ru/2218/2218733/cover/2218733.jpg", "Обложка")</f>
        <v>Обложка</v>
      </c>
      <c r="V8002" s="8" t="s">
        <v>588</v>
      </c>
      <c r="W8002" s="6"/>
      <c r="X8002" s="6"/>
      <c r="Y8002" s="6"/>
      <c r="Z8002" s="6"/>
      <c r="AA8002" s="6" t="s">
        <v>86</v>
      </c>
      <c r="AB8002" s="8"/>
      <c r="AC8002" s="27">
        <v>9785160212937</v>
      </c>
    </row>
    <row r="8003" spans="1:29" s="4" customFormat="1" ht="51.9" customHeight="1" x14ac:dyDescent="0.2">
      <c r="A8003" s="5">
        <v>0</v>
      </c>
      <c r="B8003" s="6" t="s">
        <v>45111</v>
      </c>
      <c r="C8003" s="7">
        <v>2320.8000000000002</v>
      </c>
      <c r="D8003" s="8" t="s">
        <v>45112</v>
      </c>
      <c r="E8003" s="8" t="s">
        <v>45113</v>
      </c>
      <c r="F8003" s="8" t="s">
        <v>45114</v>
      </c>
      <c r="G8003" s="6" t="s">
        <v>60</v>
      </c>
      <c r="H8003" s="6" t="s">
        <v>1795</v>
      </c>
      <c r="I8003" s="8" t="s">
        <v>45115</v>
      </c>
      <c r="J8003" s="9">
        <v>1</v>
      </c>
      <c r="K8003" s="9">
        <v>352</v>
      </c>
      <c r="L8003" s="9">
        <v>2026</v>
      </c>
      <c r="M8003" s="8" t="s">
        <v>45116</v>
      </c>
      <c r="N8003" s="8" t="s">
        <v>37</v>
      </c>
      <c r="O8003" s="8" t="s">
        <v>499</v>
      </c>
      <c r="P8003" s="6" t="s">
        <v>306</v>
      </c>
      <c r="Q8003" s="8" t="s">
        <v>52</v>
      </c>
      <c r="R8003" s="10" t="s">
        <v>11696</v>
      </c>
      <c r="S8003" s="11" t="s">
        <v>45117</v>
      </c>
      <c r="T8003" s="6"/>
      <c r="U8003" s="15" t="str">
        <f>HYPERLINK("https://media.infra-m.ru/2238/2238481/cover/2238481.jpg", "Обложка")</f>
        <v>Обложка</v>
      </c>
      <c r="V8003" s="8" t="s">
        <v>5739</v>
      </c>
      <c r="W8003" s="6"/>
      <c r="X8003" s="6"/>
      <c r="Y8003" s="6"/>
      <c r="Z8003" s="6"/>
      <c r="AA8003" s="6" t="s">
        <v>129</v>
      </c>
      <c r="AB8003" s="8"/>
      <c r="AC8003" s="27">
        <v>9785982812575</v>
      </c>
    </row>
    <row r="8004" spans="1:29" s="4" customFormat="1" ht="42" customHeight="1" x14ac:dyDescent="0.2">
      <c r="A8004" s="5">
        <v>0</v>
      </c>
      <c r="B8004" s="6" t="s">
        <v>45118</v>
      </c>
      <c r="C8004" s="7">
        <v>1588.8</v>
      </c>
      <c r="D8004" s="8" t="s">
        <v>45119</v>
      </c>
      <c r="E8004" s="8" t="s">
        <v>45120</v>
      </c>
      <c r="F8004" s="8" t="s">
        <v>27619</v>
      </c>
      <c r="G8004" s="6" t="s">
        <v>60</v>
      </c>
      <c r="H8004" s="6" t="s">
        <v>34</v>
      </c>
      <c r="I8004" s="8" t="s">
        <v>263</v>
      </c>
      <c r="J8004" s="9">
        <v>1</v>
      </c>
      <c r="K8004" s="9">
        <v>210</v>
      </c>
      <c r="L8004" s="9">
        <v>2026</v>
      </c>
      <c r="M8004" s="8" t="s">
        <v>45121</v>
      </c>
      <c r="N8004" s="8" t="s">
        <v>37</v>
      </c>
      <c r="O8004" s="8" t="s">
        <v>499</v>
      </c>
      <c r="P8004" s="6" t="s">
        <v>51</v>
      </c>
      <c r="Q8004" s="8" t="s">
        <v>265</v>
      </c>
      <c r="R8004" s="10" t="s">
        <v>26559</v>
      </c>
      <c r="S8004" s="11"/>
      <c r="T8004" s="6"/>
      <c r="U8004" s="15" t="str">
        <f>HYPERLINK("https://media.infra-m.ru/2230/2230622/cover/2230622.jpg", "Обложка")</f>
        <v>Обложка</v>
      </c>
      <c r="V8004" s="8" t="s">
        <v>227</v>
      </c>
      <c r="W8004" s="6"/>
      <c r="X8004" s="6"/>
      <c r="Y8004" s="6"/>
      <c r="Z8004" s="6"/>
      <c r="AA8004" s="6" t="s">
        <v>76</v>
      </c>
      <c r="AB8004" s="8"/>
      <c r="AC8004" s="27">
        <v>9785160188102</v>
      </c>
    </row>
    <row r="8005" spans="1:29" s="4" customFormat="1" ht="42" customHeight="1" x14ac:dyDescent="0.2">
      <c r="A8005" s="5">
        <v>0</v>
      </c>
      <c r="B8005" s="6" t="s">
        <v>45122</v>
      </c>
      <c r="C8005" s="7">
        <v>1116</v>
      </c>
      <c r="D8005" s="8" t="s">
        <v>45123</v>
      </c>
      <c r="E8005" s="8" t="s">
        <v>45124</v>
      </c>
      <c r="F8005" s="8" t="s">
        <v>45125</v>
      </c>
      <c r="G8005" s="6" t="s">
        <v>33</v>
      </c>
      <c r="H8005" s="6" t="s">
        <v>34</v>
      </c>
      <c r="I8005" s="8" t="s">
        <v>35</v>
      </c>
      <c r="J8005" s="9">
        <v>1</v>
      </c>
      <c r="K8005" s="9">
        <v>174</v>
      </c>
      <c r="L8005" s="9">
        <v>2026</v>
      </c>
      <c r="M8005" s="8" t="s">
        <v>45126</v>
      </c>
      <c r="N8005" s="8" t="s">
        <v>93</v>
      </c>
      <c r="O8005" s="8" t="s">
        <v>94</v>
      </c>
      <c r="P8005" s="6" t="s">
        <v>39</v>
      </c>
      <c r="Q8005" s="8" t="s">
        <v>40</v>
      </c>
      <c r="R8005" s="10" t="s">
        <v>21241</v>
      </c>
      <c r="S8005" s="11"/>
      <c r="T8005" s="6"/>
      <c r="U8005" s="15" t="str">
        <f>HYPERLINK("https://media.infra-m.ru/2221/2221664/cover/2221664.jpg", "Обложка")</f>
        <v>Обложка</v>
      </c>
      <c r="V8005" s="8" t="s">
        <v>6190</v>
      </c>
      <c r="W8005" s="6"/>
      <c r="X8005" s="6"/>
      <c r="Y8005" s="6"/>
      <c r="Z8005" s="6"/>
      <c r="AA8005" s="6" t="s">
        <v>430</v>
      </c>
      <c r="AB8005" s="8"/>
      <c r="AC8005" s="27">
        <v>9785160160184</v>
      </c>
    </row>
    <row r="8006" spans="1:29" s="4" customFormat="1" ht="51.9" customHeight="1" x14ac:dyDescent="0.2">
      <c r="A8006" s="5">
        <v>0</v>
      </c>
      <c r="B8006" s="6" t="s">
        <v>45127</v>
      </c>
      <c r="C8006" s="7">
        <v>1216.8</v>
      </c>
      <c r="D8006" s="8" t="s">
        <v>45128</v>
      </c>
      <c r="E8006" s="8" t="s">
        <v>45129</v>
      </c>
      <c r="F8006" s="8" t="s">
        <v>45130</v>
      </c>
      <c r="G8006" s="6" t="s">
        <v>118</v>
      </c>
      <c r="H8006" s="6" t="s">
        <v>34</v>
      </c>
      <c r="I8006" s="8" t="s">
        <v>263</v>
      </c>
      <c r="J8006" s="9">
        <v>1</v>
      </c>
      <c r="K8006" s="9">
        <v>202</v>
      </c>
      <c r="L8006" s="9">
        <v>2025</v>
      </c>
      <c r="M8006" s="8" t="s">
        <v>45131</v>
      </c>
      <c r="N8006" s="8" t="s">
        <v>243</v>
      </c>
      <c r="O8006" s="8" t="s">
        <v>758</v>
      </c>
      <c r="P8006" s="6" t="s">
        <v>51</v>
      </c>
      <c r="Q8006" s="8" t="s">
        <v>265</v>
      </c>
      <c r="R8006" s="10" t="s">
        <v>45132</v>
      </c>
      <c r="S8006" s="11" t="s">
        <v>45133</v>
      </c>
      <c r="T8006" s="6"/>
      <c r="U8006" s="15" t="str">
        <f>HYPERLINK("https://media.infra-m.ru/2187/2187053/cover/2187053.jpg", "Обложка")</f>
        <v>Обложка</v>
      </c>
      <c r="V8006" s="8" t="s">
        <v>2475</v>
      </c>
      <c r="W8006" s="6"/>
      <c r="X8006" s="6"/>
      <c r="Y8006" s="6"/>
      <c r="Z8006" s="6" t="s">
        <v>267</v>
      </c>
      <c r="AA8006" s="6" t="s">
        <v>430</v>
      </c>
      <c r="AB8006" s="8"/>
      <c r="AC8006" s="27">
        <v>9785160170459</v>
      </c>
    </row>
    <row r="8007" spans="1:29" s="4" customFormat="1" ht="51.9" customHeight="1" x14ac:dyDescent="0.2">
      <c r="A8007" s="5">
        <v>0</v>
      </c>
      <c r="B8007" s="6" t="s">
        <v>45134</v>
      </c>
      <c r="C8007" s="7">
        <v>1188</v>
      </c>
      <c r="D8007" s="8" t="s">
        <v>45135</v>
      </c>
      <c r="E8007" s="8" t="s">
        <v>45136</v>
      </c>
      <c r="F8007" s="8" t="s">
        <v>45130</v>
      </c>
      <c r="G8007" s="6" t="s">
        <v>118</v>
      </c>
      <c r="H8007" s="6" t="s">
        <v>34</v>
      </c>
      <c r="I8007" s="8" t="s">
        <v>253</v>
      </c>
      <c r="J8007" s="9">
        <v>1</v>
      </c>
      <c r="K8007" s="9">
        <v>202</v>
      </c>
      <c r="L8007" s="9">
        <v>2024</v>
      </c>
      <c r="M8007" s="8" t="s">
        <v>45137</v>
      </c>
      <c r="N8007" s="8" t="s">
        <v>243</v>
      </c>
      <c r="O8007" s="8" t="s">
        <v>758</v>
      </c>
      <c r="P8007" s="6" t="s">
        <v>51</v>
      </c>
      <c r="Q8007" s="8" t="s">
        <v>52</v>
      </c>
      <c r="R8007" s="10" t="s">
        <v>45138</v>
      </c>
      <c r="S8007" s="11" t="s">
        <v>45139</v>
      </c>
      <c r="T8007" s="6"/>
      <c r="U8007" s="15" t="str">
        <f>HYPERLINK("https://media.infra-m.ru/2126/2126468/cover/2126468.jpg", "Обложка")</f>
        <v>Обложка</v>
      </c>
      <c r="V8007" s="8" t="s">
        <v>2475</v>
      </c>
      <c r="W8007" s="6"/>
      <c r="X8007" s="6"/>
      <c r="Y8007" s="6"/>
      <c r="Z8007" s="6"/>
      <c r="AA8007" s="6" t="s">
        <v>258</v>
      </c>
      <c r="AB8007" s="8"/>
      <c r="AC8007" s="27">
        <v>9785160196633</v>
      </c>
    </row>
    <row r="8008" spans="1:29" s="4" customFormat="1" ht="51.9" customHeight="1" x14ac:dyDescent="0.2">
      <c r="A8008" s="5">
        <v>0</v>
      </c>
      <c r="B8008" s="6" t="s">
        <v>45140</v>
      </c>
      <c r="C8008" s="13">
        <v>821.9</v>
      </c>
      <c r="D8008" s="8" t="s">
        <v>45141</v>
      </c>
      <c r="E8008" s="8" t="s">
        <v>45142</v>
      </c>
      <c r="F8008" s="8" t="s">
        <v>45130</v>
      </c>
      <c r="G8008" s="6" t="s">
        <v>60</v>
      </c>
      <c r="H8008" s="6" t="s">
        <v>34</v>
      </c>
      <c r="I8008" s="8" t="s">
        <v>271</v>
      </c>
      <c r="J8008" s="9">
        <v>1</v>
      </c>
      <c r="K8008" s="9">
        <v>202</v>
      </c>
      <c r="L8008" s="9">
        <v>2020</v>
      </c>
      <c r="M8008" s="8" t="s">
        <v>45143</v>
      </c>
      <c r="N8008" s="8" t="s">
        <v>243</v>
      </c>
      <c r="O8008" s="8" t="s">
        <v>758</v>
      </c>
      <c r="P8008" s="6" t="s">
        <v>51</v>
      </c>
      <c r="Q8008" s="8" t="s">
        <v>52</v>
      </c>
      <c r="R8008" s="10" t="s">
        <v>45138</v>
      </c>
      <c r="S8008" s="11" t="s">
        <v>45144</v>
      </c>
      <c r="T8008" s="6"/>
      <c r="U8008" s="15" t="str">
        <f>HYPERLINK("https://media.infra-m.ru/1047/1047169/cover/1047169.jpg", "Обложка")</f>
        <v>Обложка</v>
      </c>
      <c r="V8008" s="8" t="s">
        <v>2475</v>
      </c>
      <c r="W8008" s="6"/>
      <c r="X8008" s="6"/>
      <c r="Y8008" s="6"/>
      <c r="Z8008" s="6"/>
      <c r="AA8008" s="6" t="s">
        <v>99</v>
      </c>
      <c r="AB8008" s="8"/>
      <c r="AC8008" s="27">
        <v>9785160124018</v>
      </c>
    </row>
    <row r="8009" spans="1:29" s="4" customFormat="1" ht="42" customHeight="1" x14ac:dyDescent="0.2">
      <c r="A8009" s="5">
        <v>0</v>
      </c>
      <c r="B8009" s="6" t="s">
        <v>45145</v>
      </c>
      <c r="C8009" s="13">
        <v>624</v>
      </c>
      <c r="D8009" s="8" t="s">
        <v>45146</v>
      </c>
      <c r="E8009" s="8" t="s">
        <v>45147</v>
      </c>
      <c r="F8009" s="8" t="s">
        <v>45148</v>
      </c>
      <c r="G8009" s="6" t="s">
        <v>33</v>
      </c>
      <c r="H8009" s="6" t="s">
        <v>34</v>
      </c>
      <c r="I8009" s="8" t="s">
        <v>1081</v>
      </c>
      <c r="J8009" s="9">
        <v>1</v>
      </c>
      <c r="K8009" s="9">
        <v>152</v>
      </c>
      <c r="L8009" s="9">
        <v>2019</v>
      </c>
      <c r="M8009" s="8" t="s">
        <v>45149</v>
      </c>
      <c r="N8009" s="8" t="s">
        <v>585</v>
      </c>
      <c r="O8009" s="8" t="s">
        <v>775</v>
      </c>
      <c r="P8009" s="6" t="s">
        <v>39</v>
      </c>
      <c r="Q8009" s="8" t="s">
        <v>40</v>
      </c>
      <c r="R8009" s="10"/>
      <c r="S8009" s="11"/>
      <c r="T8009" s="6"/>
      <c r="U8009" s="15" t="str">
        <f>HYPERLINK("https://media.infra-m.ru/0988/0988862/cover/988862.jpg", "Обложка")</f>
        <v>Обложка</v>
      </c>
      <c r="V8009" s="8" t="s">
        <v>1083</v>
      </c>
      <c r="W8009" s="6"/>
      <c r="X8009" s="6"/>
      <c r="Y8009" s="6"/>
      <c r="Z8009" s="6"/>
      <c r="AA8009" s="6" t="s">
        <v>86</v>
      </c>
      <c r="AB8009" s="8"/>
      <c r="AC8009" s="27">
        <v>9785160134369</v>
      </c>
    </row>
    <row r="8010" spans="1:29" s="4" customFormat="1" ht="51.9" customHeight="1" x14ac:dyDescent="0.2">
      <c r="A8010" s="5">
        <v>0</v>
      </c>
      <c r="B8010" s="6" t="s">
        <v>45150</v>
      </c>
      <c r="C8010" s="7">
        <v>1236</v>
      </c>
      <c r="D8010" s="8" t="s">
        <v>45151</v>
      </c>
      <c r="E8010" s="8" t="s">
        <v>45152</v>
      </c>
      <c r="F8010" s="8" t="s">
        <v>45153</v>
      </c>
      <c r="G8010" s="6" t="s">
        <v>33</v>
      </c>
      <c r="H8010" s="6" t="s">
        <v>34</v>
      </c>
      <c r="I8010" s="8" t="s">
        <v>253</v>
      </c>
      <c r="J8010" s="9">
        <v>1</v>
      </c>
      <c r="K8010" s="9">
        <v>146</v>
      </c>
      <c r="L8010" s="9">
        <v>2026</v>
      </c>
      <c r="M8010" s="8" t="s">
        <v>45154</v>
      </c>
      <c r="N8010" s="8" t="s">
        <v>63</v>
      </c>
      <c r="O8010" s="8" t="s">
        <v>64</v>
      </c>
      <c r="P8010" s="6" t="s">
        <v>51</v>
      </c>
      <c r="Q8010" s="8" t="s">
        <v>52</v>
      </c>
      <c r="R8010" s="10" t="s">
        <v>45155</v>
      </c>
      <c r="S8010" s="11" t="s">
        <v>45156</v>
      </c>
      <c r="T8010" s="6"/>
      <c r="U8010" s="15" t="str">
        <f>HYPERLINK("https://media.infra-m.ru/2223/2223183/cover/2223183.jpg", "Обложка")</f>
        <v>Обложка</v>
      </c>
      <c r="V8010" s="8" t="s">
        <v>6700</v>
      </c>
      <c r="W8010" s="6"/>
      <c r="X8010" s="6"/>
      <c r="Y8010" s="6"/>
      <c r="Z8010" s="6"/>
      <c r="AA8010" s="6" t="s">
        <v>623</v>
      </c>
      <c r="AB8010" s="8"/>
      <c r="AC8010" s="27">
        <v>9785160213750</v>
      </c>
    </row>
    <row r="8011" spans="1:29" s="4" customFormat="1" ht="51.9" customHeight="1" x14ac:dyDescent="0.2">
      <c r="A8011" s="5">
        <v>0</v>
      </c>
      <c r="B8011" s="6" t="s">
        <v>45157</v>
      </c>
      <c r="C8011" s="7">
        <v>1636.8</v>
      </c>
      <c r="D8011" s="8" t="s">
        <v>45158</v>
      </c>
      <c r="E8011" s="8" t="s">
        <v>45159</v>
      </c>
      <c r="F8011" s="8" t="s">
        <v>45160</v>
      </c>
      <c r="G8011" s="6" t="s">
        <v>60</v>
      </c>
      <c r="H8011" s="6" t="s">
        <v>34</v>
      </c>
      <c r="I8011" s="8" t="s">
        <v>10112</v>
      </c>
      <c r="J8011" s="9">
        <v>1</v>
      </c>
      <c r="K8011" s="9">
        <v>235</v>
      </c>
      <c r="L8011" s="9">
        <v>2027</v>
      </c>
      <c r="M8011" s="8" t="s">
        <v>45161</v>
      </c>
      <c r="N8011" s="8" t="s">
        <v>243</v>
      </c>
      <c r="O8011" s="8" t="s">
        <v>758</v>
      </c>
      <c r="P8011" s="6" t="s">
        <v>306</v>
      </c>
      <c r="Q8011" s="8" t="s">
        <v>500</v>
      </c>
      <c r="R8011" s="10" t="s">
        <v>45162</v>
      </c>
      <c r="S8011" s="11" t="s">
        <v>45163</v>
      </c>
      <c r="T8011" s="6"/>
      <c r="U8011" s="15" t="str">
        <f>HYPERLINK("https://media.infra-m.ru/2264/2264679/cover/2264679.jpg", "Обложка")</f>
        <v>Обложка</v>
      </c>
      <c r="V8011" s="8" t="s">
        <v>1083</v>
      </c>
      <c r="W8011" s="6"/>
      <c r="X8011" s="6"/>
      <c r="Y8011" s="6"/>
      <c r="Z8011" s="6"/>
      <c r="AA8011" s="6" t="s">
        <v>1256</v>
      </c>
      <c r="AB8011" s="8"/>
      <c r="AC8011" s="27">
        <v>9785160158426</v>
      </c>
    </row>
    <row r="8012" spans="1:29" s="4" customFormat="1" ht="42" customHeight="1" x14ac:dyDescent="0.2">
      <c r="A8012" s="5">
        <v>0</v>
      </c>
      <c r="B8012" s="6" t="s">
        <v>45164</v>
      </c>
      <c r="C8012" s="13">
        <v>936</v>
      </c>
      <c r="D8012" s="8" t="s">
        <v>45165</v>
      </c>
      <c r="E8012" s="8" t="s">
        <v>45166</v>
      </c>
      <c r="F8012" s="8" t="s">
        <v>45167</v>
      </c>
      <c r="G8012" s="6" t="s">
        <v>60</v>
      </c>
      <c r="H8012" s="6" t="s">
        <v>34</v>
      </c>
      <c r="I8012" s="8" t="s">
        <v>1128</v>
      </c>
      <c r="J8012" s="9">
        <v>1</v>
      </c>
      <c r="K8012" s="9">
        <v>134</v>
      </c>
      <c r="L8012" s="9">
        <v>2025</v>
      </c>
      <c r="M8012" s="8" t="s">
        <v>45168</v>
      </c>
      <c r="N8012" s="8" t="s">
        <v>243</v>
      </c>
      <c r="O8012" s="8" t="s">
        <v>758</v>
      </c>
      <c r="P8012" s="6" t="s">
        <v>51</v>
      </c>
      <c r="Q8012" s="8" t="s">
        <v>65</v>
      </c>
      <c r="R8012" s="10" t="s">
        <v>37956</v>
      </c>
      <c r="S8012" s="11"/>
      <c r="T8012" s="6"/>
      <c r="U8012" s="15" t="str">
        <f>HYPERLINK("https://media.infra-m.ru/2169/2169746/cover/2169746.jpg", "Обложка")</f>
        <v>Обложка</v>
      </c>
      <c r="V8012" s="8" t="s">
        <v>1083</v>
      </c>
      <c r="W8012" s="6"/>
      <c r="X8012" s="6"/>
      <c r="Y8012" s="6"/>
      <c r="Z8012" s="6"/>
      <c r="AA8012" s="6" t="s">
        <v>68</v>
      </c>
      <c r="AB8012" s="8"/>
      <c r="AC8012" s="27">
        <v>9785160203393</v>
      </c>
    </row>
    <row r="8013" spans="1:29" s="4" customFormat="1" ht="51.9" customHeight="1" x14ac:dyDescent="0.2">
      <c r="A8013" s="5">
        <v>0</v>
      </c>
      <c r="B8013" s="6" t="s">
        <v>45169</v>
      </c>
      <c r="C8013" s="7">
        <v>1416</v>
      </c>
      <c r="D8013" s="8" t="s">
        <v>45170</v>
      </c>
      <c r="E8013" s="8" t="s">
        <v>45171</v>
      </c>
      <c r="F8013" s="8" t="s">
        <v>45172</v>
      </c>
      <c r="G8013" s="6" t="s">
        <v>33</v>
      </c>
      <c r="H8013" s="6" t="s">
        <v>1644</v>
      </c>
      <c r="I8013" s="8"/>
      <c r="J8013" s="9">
        <v>1</v>
      </c>
      <c r="K8013" s="9">
        <v>256</v>
      </c>
      <c r="L8013" s="9">
        <v>2024</v>
      </c>
      <c r="M8013" s="8" t="s">
        <v>45173</v>
      </c>
      <c r="N8013" s="8" t="s">
        <v>243</v>
      </c>
      <c r="O8013" s="8" t="s">
        <v>758</v>
      </c>
      <c r="P8013" s="6" t="s">
        <v>51</v>
      </c>
      <c r="Q8013" s="8" t="s">
        <v>52</v>
      </c>
      <c r="R8013" s="10" t="s">
        <v>37956</v>
      </c>
      <c r="S8013" s="11" t="s">
        <v>45174</v>
      </c>
      <c r="T8013" s="6"/>
      <c r="U8013" s="15" t="str">
        <f>HYPERLINK("https://media.infra-m.ru/2124/2124341/cover/2124341.jpg", "Обложка")</f>
        <v>Обложка</v>
      </c>
      <c r="V8013" s="8" t="s">
        <v>18741</v>
      </c>
      <c r="W8013" s="6"/>
      <c r="X8013" s="6"/>
      <c r="Y8013" s="6"/>
      <c r="Z8013" s="6"/>
      <c r="AA8013" s="6" t="s">
        <v>43</v>
      </c>
      <c r="AB8013" s="8"/>
      <c r="AC8013" s="27">
        <v>9785977602198</v>
      </c>
    </row>
    <row r="8014" spans="1:29" s="4" customFormat="1" ht="51.9" customHeight="1" x14ac:dyDescent="0.2">
      <c r="A8014" s="5">
        <v>0</v>
      </c>
      <c r="B8014" s="6" t="s">
        <v>45175</v>
      </c>
      <c r="C8014" s="7">
        <v>2472</v>
      </c>
      <c r="D8014" s="8" t="s">
        <v>45176</v>
      </c>
      <c r="E8014" s="8" t="s">
        <v>45177</v>
      </c>
      <c r="F8014" s="8" t="s">
        <v>45178</v>
      </c>
      <c r="G8014" s="6" t="s">
        <v>118</v>
      </c>
      <c r="H8014" s="6" t="s">
        <v>48</v>
      </c>
      <c r="I8014" s="8" t="s">
        <v>263</v>
      </c>
      <c r="J8014" s="9">
        <v>1</v>
      </c>
      <c r="K8014" s="9">
        <v>395</v>
      </c>
      <c r="L8014" s="9">
        <v>2025</v>
      </c>
      <c r="M8014" s="8" t="s">
        <v>45179</v>
      </c>
      <c r="N8014" s="8" t="s">
        <v>243</v>
      </c>
      <c r="O8014" s="8" t="s">
        <v>758</v>
      </c>
      <c r="P8014" s="6" t="s">
        <v>51</v>
      </c>
      <c r="Q8014" s="8" t="s">
        <v>265</v>
      </c>
      <c r="R8014" s="10" t="s">
        <v>45180</v>
      </c>
      <c r="S8014" s="11" t="s">
        <v>4567</v>
      </c>
      <c r="T8014" s="6"/>
      <c r="U8014" s="15" t="str">
        <f>HYPERLINK("https://media.infra-m.ru/2186/2186558/cover/2186558.jpg", "Обложка")</f>
        <v>Обложка</v>
      </c>
      <c r="V8014" s="8" t="s">
        <v>227</v>
      </c>
      <c r="W8014" s="6"/>
      <c r="X8014" s="6"/>
      <c r="Y8014" s="6"/>
      <c r="Z8014" s="6"/>
      <c r="AA8014" s="6" t="s">
        <v>859</v>
      </c>
      <c r="AB8014" s="8"/>
      <c r="AC8014" s="27">
        <v>9785000914885</v>
      </c>
    </row>
    <row r="8015" spans="1:29" s="4" customFormat="1" ht="44.1" customHeight="1" x14ac:dyDescent="0.2">
      <c r="A8015" s="5">
        <v>0</v>
      </c>
      <c r="B8015" s="6" t="s">
        <v>45181</v>
      </c>
      <c r="C8015" s="7">
        <v>1788</v>
      </c>
      <c r="D8015" s="8" t="s">
        <v>45182</v>
      </c>
      <c r="E8015" s="8" t="s">
        <v>45183</v>
      </c>
      <c r="F8015" s="8" t="s">
        <v>27113</v>
      </c>
      <c r="G8015" s="6" t="s">
        <v>60</v>
      </c>
      <c r="H8015" s="6" t="s">
        <v>34</v>
      </c>
      <c r="I8015" s="8" t="s">
        <v>253</v>
      </c>
      <c r="J8015" s="9">
        <v>1</v>
      </c>
      <c r="K8015" s="9">
        <v>271</v>
      </c>
      <c r="L8015" s="9">
        <v>2026</v>
      </c>
      <c r="M8015" s="8" t="s">
        <v>45184</v>
      </c>
      <c r="N8015" s="8" t="s">
        <v>243</v>
      </c>
      <c r="O8015" s="8" t="s">
        <v>758</v>
      </c>
      <c r="P8015" s="6" t="s">
        <v>306</v>
      </c>
      <c r="Q8015" s="8" t="s">
        <v>52</v>
      </c>
      <c r="R8015" s="10" t="s">
        <v>45185</v>
      </c>
      <c r="S8015" s="11"/>
      <c r="T8015" s="6"/>
      <c r="U8015" s="15" t="str">
        <f>HYPERLINK("https://media.infra-m.ru/2170/2170264/cover/2170264.jpg", "Обложка")</f>
        <v>Обложка</v>
      </c>
      <c r="V8015" s="8" t="s">
        <v>2047</v>
      </c>
      <c r="W8015" s="6" t="s">
        <v>342</v>
      </c>
      <c r="X8015" s="6"/>
      <c r="Y8015" s="6"/>
      <c r="Z8015" s="6" t="s">
        <v>632</v>
      </c>
      <c r="AA8015" s="6" t="s">
        <v>187</v>
      </c>
      <c r="AB8015" s="8" t="s">
        <v>6493</v>
      </c>
      <c r="AC8015" s="27">
        <v>9785160212272</v>
      </c>
    </row>
    <row r="8016" spans="1:29" s="4" customFormat="1" ht="51.9" customHeight="1" x14ac:dyDescent="0.2">
      <c r="A8016" s="5">
        <v>0</v>
      </c>
      <c r="B8016" s="6" t="s">
        <v>45186</v>
      </c>
      <c r="C8016" s="7">
        <v>1704</v>
      </c>
      <c r="D8016" s="8" t="s">
        <v>45187</v>
      </c>
      <c r="E8016" s="8" t="s">
        <v>45183</v>
      </c>
      <c r="F8016" s="8" t="s">
        <v>27113</v>
      </c>
      <c r="G8016" s="6" t="s">
        <v>60</v>
      </c>
      <c r="H8016" s="6" t="s">
        <v>34</v>
      </c>
      <c r="I8016" s="8" t="s">
        <v>263</v>
      </c>
      <c r="J8016" s="9">
        <v>1</v>
      </c>
      <c r="K8016" s="9">
        <v>271</v>
      </c>
      <c r="L8016" s="9">
        <v>2025</v>
      </c>
      <c r="M8016" s="8" t="s">
        <v>45188</v>
      </c>
      <c r="N8016" s="8" t="s">
        <v>243</v>
      </c>
      <c r="O8016" s="8" t="s">
        <v>758</v>
      </c>
      <c r="P8016" s="6" t="s">
        <v>306</v>
      </c>
      <c r="Q8016" s="8" t="s">
        <v>265</v>
      </c>
      <c r="R8016" s="10" t="s">
        <v>45189</v>
      </c>
      <c r="S8016" s="11" t="s">
        <v>45190</v>
      </c>
      <c r="T8016" s="6"/>
      <c r="U8016" s="15" t="str">
        <f>HYPERLINK("https://media.infra-m.ru/1934/1934003/cover/1934003.jpg", "Обложка")</f>
        <v>Обложка</v>
      </c>
      <c r="V8016" s="8" t="s">
        <v>2047</v>
      </c>
      <c r="W8016" s="6"/>
      <c r="X8016" s="6"/>
      <c r="Y8016" s="6"/>
      <c r="Z8016" s="6"/>
      <c r="AA8016" s="6" t="s">
        <v>68</v>
      </c>
      <c r="AB8016" s="8"/>
      <c r="AC8016" s="27">
        <v>9785160182292</v>
      </c>
    </row>
    <row r="8017" spans="1:29" s="4" customFormat="1" ht="42" customHeight="1" x14ac:dyDescent="0.2">
      <c r="A8017" s="5">
        <v>0</v>
      </c>
      <c r="B8017" s="6" t="s">
        <v>45191</v>
      </c>
      <c r="C8017" s="7">
        <v>2256</v>
      </c>
      <c r="D8017" s="8" t="s">
        <v>45192</v>
      </c>
      <c r="E8017" s="8" t="s">
        <v>45193</v>
      </c>
      <c r="F8017" s="8" t="s">
        <v>45194</v>
      </c>
      <c r="G8017" s="6" t="s">
        <v>60</v>
      </c>
      <c r="H8017" s="6" t="s">
        <v>34</v>
      </c>
      <c r="I8017" s="8" t="s">
        <v>253</v>
      </c>
      <c r="J8017" s="9">
        <v>1</v>
      </c>
      <c r="K8017" s="9">
        <v>376</v>
      </c>
      <c r="L8017" s="9">
        <v>2025</v>
      </c>
      <c r="M8017" s="8" t="s">
        <v>45195</v>
      </c>
      <c r="N8017" s="8" t="s">
        <v>243</v>
      </c>
      <c r="O8017" s="8" t="s">
        <v>758</v>
      </c>
      <c r="P8017" s="6" t="s">
        <v>51</v>
      </c>
      <c r="Q8017" s="8" t="s">
        <v>52</v>
      </c>
      <c r="R8017" s="10" t="s">
        <v>37956</v>
      </c>
      <c r="S8017" s="11"/>
      <c r="T8017" s="6"/>
      <c r="U8017" s="15" t="str">
        <f>HYPERLINK("https://media.infra-m.ru/2143/2143079/cover/2143079.jpg", "Обложка")</f>
        <v>Обложка</v>
      </c>
      <c r="V8017" s="8" t="s">
        <v>396</v>
      </c>
      <c r="W8017" s="6"/>
      <c r="X8017" s="6"/>
      <c r="Y8017" s="6"/>
      <c r="Z8017" s="6"/>
      <c r="AA8017" s="6" t="s">
        <v>2182</v>
      </c>
      <c r="AB8017" s="8"/>
      <c r="AC8017" s="27">
        <v>9785160198972</v>
      </c>
    </row>
    <row r="8018" spans="1:29" s="4" customFormat="1" ht="51.9" customHeight="1" x14ac:dyDescent="0.2">
      <c r="A8018" s="5">
        <v>0</v>
      </c>
      <c r="B8018" s="6" t="s">
        <v>45196</v>
      </c>
      <c r="C8018" s="7">
        <v>1440</v>
      </c>
      <c r="D8018" s="8" t="s">
        <v>45197</v>
      </c>
      <c r="E8018" s="8" t="s">
        <v>45198</v>
      </c>
      <c r="F8018" s="8" t="s">
        <v>45199</v>
      </c>
      <c r="G8018" s="6" t="s">
        <v>118</v>
      </c>
      <c r="H8018" s="6" t="s">
        <v>48</v>
      </c>
      <c r="I8018" s="8" t="s">
        <v>253</v>
      </c>
      <c r="J8018" s="9">
        <v>1</v>
      </c>
      <c r="K8018" s="9">
        <v>376</v>
      </c>
      <c r="L8018" s="9">
        <v>2019</v>
      </c>
      <c r="M8018" s="8" t="s">
        <v>45200</v>
      </c>
      <c r="N8018" s="8" t="s">
        <v>243</v>
      </c>
      <c r="O8018" s="8" t="s">
        <v>758</v>
      </c>
      <c r="P8018" s="6" t="s">
        <v>51</v>
      </c>
      <c r="Q8018" s="8" t="s">
        <v>52</v>
      </c>
      <c r="R8018" s="10" t="s">
        <v>37956</v>
      </c>
      <c r="S8018" s="11" t="s">
        <v>45201</v>
      </c>
      <c r="T8018" s="6"/>
      <c r="U8018" s="15" t="str">
        <f>HYPERLINK("https://media.infra-m.ru/0983/0983545/cover/983545.jpg", "Обложка")</f>
        <v>Обложка</v>
      </c>
      <c r="V8018" s="8" t="s">
        <v>396</v>
      </c>
      <c r="W8018" s="6"/>
      <c r="X8018" s="6"/>
      <c r="Y8018" s="6"/>
      <c r="Z8018" s="6"/>
      <c r="AA8018" s="6" t="s">
        <v>360</v>
      </c>
      <c r="AB8018" s="8"/>
      <c r="AC8018" s="27">
        <v>9785000916155</v>
      </c>
    </row>
    <row r="8019" spans="1:29" s="4" customFormat="1" ht="51.9" customHeight="1" x14ac:dyDescent="0.2">
      <c r="A8019" s="5">
        <v>0</v>
      </c>
      <c r="B8019" s="6" t="s">
        <v>45202</v>
      </c>
      <c r="C8019" s="7">
        <v>2076</v>
      </c>
      <c r="D8019" s="8" t="s">
        <v>45203</v>
      </c>
      <c r="E8019" s="8" t="s">
        <v>45204</v>
      </c>
      <c r="F8019" s="8" t="s">
        <v>45205</v>
      </c>
      <c r="G8019" s="6" t="s">
        <v>118</v>
      </c>
      <c r="H8019" s="6" t="s">
        <v>34</v>
      </c>
      <c r="I8019" s="8" t="s">
        <v>271</v>
      </c>
      <c r="J8019" s="9">
        <v>1</v>
      </c>
      <c r="K8019" s="9">
        <v>374</v>
      </c>
      <c r="L8019" s="9">
        <v>2024</v>
      </c>
      <c r="M8019" s="8" t="s">
        <v>45206</v>
      </c>
      <c r="N8019" s="8" t="s">
        <v>243</v>
      </c>
      <c r="O8019" s="8" t="s">
        <v>758</v>
      </c>
      <c r="P8019" s="6" t="s">
        <v>51</v>
      </c>
      <c r="Q8019" s="8" t="s">
        <v>52</v>
      </c>
      <c r="R8019" s="10" t="s">
        <v>37956</v>
      </c>
      <c r="S8019" s="11" t="s">
        <v>45207</v>
      </c>
      <c r="T8019" s="6"/>
      <c r="U8019" s="15" t="str">
        <f>HYPERLINK("https://media.infra-m.ru/2122/2122964/cover/2122964.jpg", "Обложка")</f>
        <v>Обложка</v>
      </c>
      <c r="V8019" s="8" t="s">
        <v>396</v>
      </c>
      <c r="W8019" s="6"/>
      <c r="X8019" s="6"/>
      <c r="Y8019" s="6"/>
      <c r="Z8019" s="6"/>
      <c r="AA8019" s="6" t="s">
        <v>1389</v>
      </c>
      <c r="AB8019" s="8"/>
      <c r="AC8019" s="27">
        <v>9785160154596</v>
      </c>
    </row>
    <row r="8020" spans="1:29" s="4" customFormat="1" ht="51.9" customHeight="1" x14ac:dyDescent="0.2">
      <c r="A8020" s="5">
        <v>0</v>
      </c>
      <c r="B8020" s="6" t="s">
        <v>45208</v>
      </c>
      <c r="C8020" s="7">
        <v>1644</v>
      </c>
      <c r="D8020" s="8" t="s">
        <v>45209</v>
      </c>
      <c r="E8020" s="8" t="s">
        <v>45210</v>
      </c>
      <c r="F8020" s="8" t="s">
        <v>45194</v>
      </c>
      <c r="G8020" s="6" t="s">
        <v>118</v>
      </c>
      <c r="H8020" s="6" t="s">
        <v>34</v>
      </c>
      <c r="I8020" s="8" t="s">
        <v>263</v>
      </c>
      <c r="J8020" s="9">
        <v>1</v>
      </c>
      <c r="K8020" s="9">
        <v>248</v>
      </c>
      <c r="L8020" s="9">
        <v>2026</v>
      </c>
      <c r="M8020" s="8" t="s">
        <v>45211</v>
      </c>
      <c r="N8020" s="8" t="s">
        <v>243</v>
      </c>
      <c r="O8020" s="8" t="s">
        <v>758</v>
      </c>
      <c r="P8020" s="6" t="s">
        <v>51</v>
      </c>
      <c r="Q8020" s="8" t="s">
        <v>265</v>
      </c>
      <c r="R8020" s="10" t="s">
        <v>45212</v>
      </c>
      <c r="S8020" s="11"/>
      <c r="T8020" s="6"/>
      <c r="U8020" s="15" t="str">
        <f>HYPERLINK("https://media.infra-m.ru/2239/2239890/cover/2239890.jpg", "Обложка")</f>
        <v>Обложка</v>
      </c>
      <c r="V8020" s="8" t="s">
        <v>396</v>
      </c>
      <c r="W8020" s="6"/>
      <c r="X8020" s="6"/>
      <c r="Y8020" s="6"/>
      <c r="Z8020" s="6"/>
      <c r="AA8020" s="6" t="s">
        <v>68</v>
      </c>
      <c r="AB8020" s="8" t="s">
        <v>24845</v>
      </c>
      <c r="AC8020" s="27">
        <v>9785160208374</v>
      </c>
    </row>
    <row r="8021" spans="1:29" s="4" customFormat="1" ht="42" customHeight="1" x14ac:dyDescent="0.2">
      <c r="A8021" s="5">
        <v>0</v>
      </c>
      <c r="B8021" s="6" t="s">
        <v>45213</v>
      </c>
      <c r="C8021" s="7">
        <v>1968</v>
      </c>
      <c r="D8021" s="8" t="s">
        <v>45214</v>
      </c>
      <c r="E8021" s="8" t="s">
        <v>45215</v>
      </c>
      <c r="F8021" s="8" t="s">
        <v>45216</v>
      </c>
      <c r="G8021" s="6" t="s">
        <v>60</v>
      </c>
      <c r="H8021" s="6" t="s">
        <v>34</v>
      </c>
      <c r="I8021" s="8" t="s">
        <v>253</v>
      </c>
      <c r="J8021" s="9">
        <v>1</v>
      </c>
      <c r="K8021" s="9">
        <v>303</v>
      </c>
      <c r="L8021" s="9">
        <v>2026</v>
      </c>
      <c r="M8021" s="8" t="s">
        <v>45217</v>
      </c>
      <c r="N8021" s="8" t="s">
        <v>243</v>
      </c>
      <c r="O8021" s="8" t="s">
        <v>758</v>
      </c>
      <c r="P8021" s="6" t="s">
        <v>306</v>
      </c>
      <c r="Q8021" s="8" t="s">
        <v>52</v>
      </c>
      <c r="R8021" s="10" t="s">
        <v>45218</v>
      </c>
      <c r="S8021" s="11"/>
      <c r="T8021" s="6"/>
      <c r="U8021" s="15" t="str">
        <f>HYPERLINK("https://media.infra-m.ru/2193/2193750/cover/2193750.jpg", "Обложка")</f>
        <v>Обложка</v>
      </c>
      <c r="V8021" s="8" t="s">
        <v>396</v>
      </c>
      <c r="W8021" s="6"/>
      <c r="X8021" s="6"/>
      <c r="Y8021" s="6"/>
      <c r="Z8021" s="6"/>
      <c r="AA8021" s="6" t="s">
        <v>187</v>
      </c>
      <c r="AB8021" s="8"/>
      <c r="AC8021" s="27">
        <v>9785160207889</v>
      </c>
    </row>
    <row r="8022" spans="1:29" s="4" customFormat="1" ht="42" customHeight="1" x14ac:dyDescent="0.2">
      <c r="A8022" s="5">
        <v>0</v>
      </c>
      <c r="B8022" s="6" t="s">
        <v>45219</v>
      </c>
      <c r="C8022" s="7">
        <v>1632</v>
      </c>
      <c r="D8022" s="8" t="s">
        <v>45220</v>
      </c>
      <c r="E8022" s="8" t="s">
        <v>45215</v>
      </c>
      <c r="F8022" s="8" t="s">
        <v>45221</v>
      </c>
      <c r="G8022" s="6" t="s">
        <v>60</v>
      </c>
      <c r="H8022" s="6" t="s">
        <v>34</v>
      </c>
      <c r="I8022" s="8" t="s">
        <v>1248</v>
      </c>
      <c r="J8022" s="9">
        <v>1</v>
      </c>
      <c r="K8022" s="9">
        <v>272</v>
      </c>
      <c r="L8022" s="9">
        <v>2024</v>
      </c>
      <c r="M8022" s="8" t="s">
        <v>45222</v>
      </c>
      <c r="N8022" s="8" t="s">
        <v>243</v>
      </c>
      <c r="O8022" s="8" t="s">
        <v>758</v>
      </c>
      <c r="P8022" s="6" t="s">
        <v>51</v>
      </c>
      <c r="Q8022" s="8" t="s">
        <v>65</v>
      </c>
      <c r="R8022" s="10" t="s">
        <v>38845</v>
      </c>
      <c r="S8022" s="11"/>
      <c r="T8022" s="6"/>
      <c r="U8022" s="15" t="str">
        <f>HYPERLINK("https://media.infra-m.ru/2133/2133997/cover/2133997.jpg", "Обложка")</f>
        <v>Обложка</v>
      </c>
      <c r="V8022" s="8" t="s">
        <v>1083</v>
      </c>
      <c r="W8022" s="6"/>
      <c r="X8022" s="6"/>
      <c r="Y8022" s="6"/>
      <c r="Z8022" s="6"/>
      <c r="AA8022" s="6" t="s">
        <v>76</v>
      </c>
      <c r="AB8022" s="8"/>
      <c r="AC8022" s="27">
        <v>9785160196954</v>
      </c>
    </row>
    <row r="8023" spans="1:29" s="4" customFormat="1" ht="51.9" customHeight="1" x14ac:dyDescent="0.2">
      <c r="A8023" s="5">
        <v>0</v>
      </c>
      <c r="B8023" s="6" t="s">
        <v>45223</v>
      </c>
      <c r="C8023" s="7">
        <v>1452</v>
      </c>
      <c r="D8023" s="8" t="s">
        <v>45224</v>
      </c>
      <c r="E8023" s="8" t="s">
        <v>45225</v>
      </c>
      <c r="F8023" s="8" t="s">
        <v>45226</v>
      </c>
      <c r="G8023" s="6" t="s">
        <v>118</v>
      </c>
      <c r="H8023" s="6" t="s">
        <v>34</v>
      </c>
      <c r="I8023" s="8" t="s">
        <v>253</v>
      </c>
      <c r="J8023" s="9">
        <v>1</v>
      </c>
      <c r="K8023" s="9">
        <v>242</v>
      </c>
      <c r="L8023" s="9">
        <v>2025</v>
      </c>
      <c r="M8023" s="8" t="s">
        <v>45227</v>
      </c>
      <c r="N8023" s="8" t="s">
        <v>243</v>
      </c>
      <c r="O8023" s="8" t="s">
        <v>758</v>
      </c>
      <c r="P8023" s="6" t="s">
        <v>105</v>
      </c>
      <c r="Q8023" s="8" t="s">
        <v>52</v>
      </c>
      <c r="R8023" s="10" t="s">
        <v>13656</v>
      </c>
      <c r="S8023" s="11" t="s">
        <v>45228</v>
      </c>
      <c r="T8023" s="6"/>
      <c r="U8023" s="15" t="str">
        <f>HYPERLINK("https://media.infra-m.ru/2186/2186413/cover/2186413.jpg", "Обложка")</f>
        <v>Обложка</v>
      </c>
      <c r="V8023" s="8" t="s">
        <v>13658</v>
      </c>
      <c r="W8023" s="6"/>
      <c r="X8023" s="6"/>
      <c r="Y8023" s="6"/>
      <c r="Z8023" s="6"/>
      <c r="AA8023" s="6" t="s">
        <v>218</v>
      </c>
      <c r="AB8023" s="8"/>
      <c r="AC8023" s="27">
        <v>9785160196039</v>
      </c>
    </row>
    <row r="8024" spans="1:29" s="4" customFormat="1" ht="51.9" customHeight="1" x14ac:dyDescent="0.2">
      <c r="A8024" s="5">
        <v>0</v>
      </c>
      <c r="B8024" s="6" t="s">
        <v>45229</v>
      </c>
      <c r="C8024" s="7">
        <v>1080</v>
      </c>
      <c r="D8024" s="8" t="s">
        <v>45230</v>
      </c>
      <c r="E8024" s="8" t="s">
        <v>45231</v>
      </c>
      <c r="F8024" s="8" t="s">
        <v>45232</v>
      </c>
      <c r="G8024" s="6" t="s">
        <v>118</v>
      </c>
      <c r="H8024" s="6" t="s">
        <v>34</v>
      </c>
      <c r="I8024" s="8" t="s">
        <v>271</v>
      </c>
      <c r="J8024" s="9">
        <v>1</v>
      </c>
      <c r="K8024" s="9">
        <v>244</v>
      </c>
      <c r="L8024" s="9">
        <v>2022</v>
      </c>
      <c r="M8024" s="8" t="s">
        <v>45233</v>
      </c>
      <c r="N8024" s="8" t="s">
        <v>243</v>
      </c>
      <c r="O8024" s="8" t="s">
        <v>329</v>
      </c>
      <c r="P8024" s="6" t="s">
        <v>51</v>
      </c>
      <c r="Q8024" s="8" t="s">
        <v>52</v>
      </c>
      <c r="R8024" s="10" t="s">
        <v>34249</v>
      </c>
      <c r="S8024" s="11" t="s">
        <v>45234</v>
      </c>
      <c r="T8024" s="6"/>
      <c r="U8024" s="15" t="str">
        <f>HYPERLINK("https://media.infra-m.ru/1769/1769674/cover/1769674.jpg", "Обложка")</f>
        <v>Обложка</v>
      </c>
      <c r="V8024" s="8" t="s">
        <v>14780</v>
      </c>
      <c r="W8024" s="6"/>
      <c r="X8024" s="6"/>
      <c r="Y8024" s="6"/>
      <c r="Z8024" s="6"/>
      <c r="AA8024" s="6" t="s">
        <v>115</v>
      </c>
      <c r="AB8024" s="8"/>
      <c r="AC8024" s="27">
        <v>9785160138060</v>
      </c>
    </row>
    <row r="8025" spans="1:29" s="4" customFormat="1" ht="51.9" customHeight="1" x14ac:dyDescent="0.2">
      <c r="A8025" s="5">
        <v>0</v>
      </c>
      <c r="B8025" s="6" t="s">
        <v>45235</v>
      </c>
      <c r="C8025" s="7">
        <v>2272.8000000000002</v>
      </c>
      <c r="D8025" s="8" t="s">
        <v>45236</v>
      </c>
      <c r="E8025" s="8" t="s">
        <v>45237</v>
      </c>
      <c r="F8025" s="8" t="s">
        <v>45238</v>
      </c>
      <c r="G8025" s="6" t="s">
        <v>60</v>
      </c>
      <c r="H8025" s="6" t="s">
        <v>34</v>
      </c>
      <c r="I8025" s="8" t="s">
        <v>504</v>
      </c>
      <c r="J8025" s="9">
        <v>1</v>
      </c>
      <c r="K8025" s="9">
        <v>376</v>
      </c>
      <c r="L8025" s="9">
        <v>2025</v>
      </c>
      <c r="M8025" s="8" t="s">
        <v>45239</v>
      </c>
      <c r="N8025" s="8" t="s">
        <v>243</v>
      </c>
      <c r="O8025" s="8" t="s">
        <v>964</v>
      </c>
      <c r="P8025" s="6" t="s">
        <v>306</v>
      </c>
      <c r="Q8025" s="8" t="s">
        <v>500</v>
      </c>
      <c r="R8025" s="10" t="s">
        <v>45240</v>
      </c>
      <c r="S8025" s="11"/>
      <c r="T8025" s="6" t="s">
        <v>97</v>
      </c>
      <c r="U8025" s="15" t="str">
        <f>HYPERLINK("https://media.infra-m.ru/2163/2163986/cover/2163986.jpg", "Обложка")</f>
        <v>Обложка</v>
      </c>
      <c r="V8025" s="8" t="s">
        <v>4368</v>
      </c>
      <c r="W8025" s="6"/>
      <c r="X8025" s="6"/>
      <c r="Y8025" s="6"/>
      <c r="Z8025" s="6"/>
      <c r="AA8025" s="6" t="s">
        <v>274</v>
      </c>
      <c r="AB8025" s="8"/>
      <c r="AC8025" s="27">
        <v>9785160090795</v>
      </c>
    </row>
    <row r="8026" spans="1:29" s="4" customFormat="1" ht="51.9" customHeight="1" x14ac:dyDescent="0.2">
      <c r="A8026" s="5">
        <v>0</v>
      </c>
      <c r="B8026" s="6" t="s">
        <v>45241</v>
      </c>
      <c r="C8026" s="7">
        <v>2808</v>
      </c>
      <c r="D8026" s="8" t="s">
        <v>45242</v>
      </c>
      <c r="E8026" s="8" t="s">
        <v>45243</v>
      </c>
      <c r="F8026" s="8" t="s">
        <v>45244</v>
      </c>
      <c r="G8026" s="6" t="s">
        <v>60</v>
      </c>
      <c r="H8026" s="6" t="s">
        <v>34</v>
      </c>
      <c r="I8026" s="8" t="s">
        <v>263</v>
      </c>
      <c r="J8026" s="9">
        <v>1</v>
      </c>
      <c r="K8026" s="9">
        <v>442</v>
      </c>
      <c r="L8026" s="9">
        <v>2026</v>
      </c>
      <c r="M8026" s="8" t="s">
        <v>45245</v>
      </c>
      <c r="N8026" s="8" t="s">
        <v>243</v>
      </c>
      <c r="O8026" s="8" t="s">
        <v>798</v>
      </c>
      <c r="P8026" s="6" t="s">
        <v>306</v>
      </c>
      <c r="Q8026" s="8" t="s">
        <v>265</v>
      </c>
      <c r="R8026" s="10" t="s">
        <v>45246</v>
      </c>
      <c r="S8026" s="11" t="s">
        <v>45247</v>
      </c>
      <c r="T8026" s="6"/>
      <c r="U8026" s="15" t="str">
        <f>HYPERLINK("https://media.infra-m.ru/2215/2215382/cover/2215382.jpg", "Обложка")</f>
        <v>Обложка</v>
      </c>
      <c r="V8026" s="8" t="s">
        <v>809</v>
      </c>
      <c r="W8026" s="6"/>
      <c r="X8026" s="6"/>
      <c r="Y8026" s="6"/>
      <c r="Z8026" s="6"/>
      <c r="AA8026" s="6" t="s">
        <v>4554</v>
      </c>
      <c r="AB8026" s="8"/>
      <c r="AC8026" s="27">
        <v>9785160110615</v>
      </c>
    </row>
    <row r="8027" spans="1:29" s="4" customFormat="1" ht="51.9" customHeight="1" x14ac:dyDescent="0.2">
      <c r="A8027" s="5">
        <v>0</v>
      </c>
      <c r="B8027" s="6" t="s">
        <v>45248</v>
      </c>
      <c r="C8027" s="7">
        <v>1900.8</v>
      </c>
      <c r="D8027" s="8" t="s">
        <v>45249</v>
      </c>
      <c r="E8027" s="8" t="s">
        <v>45250</v>
      </c>
      <c r="F8027" s="8" t="s">
        <v>45251</v>
      </c>
      <c r="G8027" s="6" t="s">
        <v>60</v>
      </c>
      <c r="H8027" s="6" t="s">
        <v>48</v>
      </c>
      <c r="I8027" s="8" t="s">
        <v>401</v>
      </c>
      <c r="J8027" s="9">
        <v>1</v>
      </c>
      <c r="K8027" s="9">
        <v>288</v>
      </c>
      <c r="L8027" s="9">
        <v>2026</v>
      </c>
      <c r="M8027" s="8" t="s">
        <v>45252</v>
      </c>
      <c r="N8027" s="8" t="s">
        <v>243</v>
      </c>
      <c r="O8027" s="8" t="s">
        <v>758</v>
      </c>
      <c r="P8027" s="6" t="s">
        <v>51</v>
      </c>
      <c r="Q8027" s="8" t="s">
        <v>265</v>
      </c>
      <c r="R8027" s="10" t="s">
        <v>45253</v>
      </c>
      <c r="S8027" s="11" t="s">
        <v>560</v>
      </c>
      <c r="T8027" s="6"/>
      <c r="U8027" s="15" t="str">
        <f>HYPERLINK("https://media.infra-m.ru/2249/2249337/cover/2249337.jpg", "Обложка")</f>
        <v>Обложка</v>
      </c>
      <c r="V8027" s="8" t="s">
        <v>831</v>
      </c>
      <c r="W8027" s="6"/>
      <c r="X8027" s="6"/>
      <c r="Y8027" s="6"/>
      <c r="Z8027" s="6"/>
      <c r="AA8027" s="6" t="s">
        <v>561</v>
      </c>
      <c r="AB8027" s="8"/>
      <c r="AC8027" s="27">
        <v>9785911343422</v>
      </c>
    </row>
    <row r="8028" spans="1:29" s="4" customFormat="1" ht="51.9" customHeight="1" x14ac:dyDescent="0.2">
      <c r="A8028" s="5">
        <v>0</v>
      </c>
      <c r="B8028" s="6" t="s">
        <v>45254</v>
      </c>
      <c r="C8028" s="7">
        <v>1348.8</v>
      </c>
      <c r="D8028" s="8" t="s">
        <v>45255</v>
      </c>
      <c r="E8028" s="8" t="s">
        <v>45231</v>
      </c>
      <c r="F8028" s="8" t="s">
        <v>45232</v>
      </c>
      <c r="G8028" s="6" t="s">
        <v>60</v>
      </c>
      <c r="H8028" s="6" t="s">
        <v>34</v>
      </c>
      <c r="I8028" s="8" t="s">
        <v>263</v>
      </c>
      <c r="J8028" s="9">
        <v>1</v>
      </c>
      <c r="K8028" s="9">
        <v>244</v>
      </c>
      <c r="L8028" s="9">
        <v>2023</v>
      </c>
      <c r="M8028" s="8" t="s">
        <v>45256</v>
      </c>
      <c r="N8028" s="8" t="s">
        <v>243</v>
      </c>
      <c r="O8028" s="8" t="s">
        <v>329</v>
      </c>
      <c r="P8028" s="6" t="s">
        <v>51</v>
      </c>
      <c r="Q8028" s="8" t="s">
        <v>265</v>
      </c>
      <c r="R8028" s="10" t="s">
        <v>45257</v>
      </c>
      <c r="S8028" s="11" t="s">
        <v>45258</v>
      </c>
      <c r="T8028" s="6"/>
      <c r="U8028" s="15" t="str">
        <f>HYPERLINK("https://media.infra-m.ru/1976/1976190/cover/1976190.jpg", "Обложка")</f>
        <v>Обложка</v>
      </c>
      <c r="V8028" s="8" t="s">
        <v>14780</v>
      </c>
      <c r="W8028" s="6"/>
      <c r="X8028" s="6"/>
      <c r="Y8028" s="6"/>
      <c r="Z8028" s="6" t="s">
        <v>267</v>
      </c>
      <c r="AA8028" s="6" t="s">
        <v>115</v>
      </c>
      <c r="AB8028" s="8"/>
      <c r="AC8028" s="27">
        <v>9785160152783</v>
      </c>
    </row>
    <row r="8029" spans="1:29" s="4" customFormat="1" ht="42" customHeight="1" x14ac:dyDescent="0.2">
      <c r="A8029" s="5">
        <v>0</v>
      </c>
      <c r="B8029" s="6" t="s">
        <v>45259</v>
      </c>
      <c r="C8029" s="7">
        <v>3132</v>
      </c>
      <c r="D8029" s="8" t="s">
        <v>45260</v>
      </c>
      <c r="E8029" s="8" t="s">
        <v>45261</v>
      </c>
      <c r="F8029" s="8" t="s">
        <v>13654</v>
      </c>
      <c r="G8029" s="6" t="s">
        <v>60</v>
      </c>
      <c r="H8029" s="6" t="s">
        <v>34</v>
      </c>
      <c r="I8029" s="8" t="s">
        <v>263</v>
      </c>
      <c r="J8029" s="9">
        <v>1</v>
      </c>
      <c r="K8029" s="9">
        <v>475</v>
      </c>
      <c r="L8029" s="9">
        <v>2026</v>
      </c>
      <c r="M8029" s="8" t="s">
        <v>45262</v>
      </c>
      <c r="N8029" s="8" t="s">
        <v>243</v>
      </c>
      <c r="O8029" s="8" t="s">
        <v>758</v>
      </c>
      <c r="P8029" s="6" t="s">
        <v>51</v>
      </c>
      <c r="Q8029" s="8" t="s">
        <v>265</v>
      </c>
      <c r="R8029" s="10" t="s">
        <v>10620</v>
      </c>
      <c r="S8029" s="11"/>
      <c r="T8029" s="6"/>
      <c r="U8029" s="15" t="str">
        <f>HYPERLINK("https://media.infra-m.ru/2211/2211111/cover/2211111.jpg", "Обложка")</f>
        <v>Обложка</v>
      </c>
      <c r="V8029" s="8" t="s">
        <v>13658</v>
      </c>
      <c r="W8029" s="6"/>
      <c r="X8029" s="6"/>
      <c r="Y8029" s="6"/>
      <c r="Z8029" s="6"/>
      <c r="AA8029" s="6" t="s">
        <v>106</v>
      </c>
      <c r="AB8029" s="8"/>
      <c r="AC8029" s="27">
        <v>9785160154138</v>
      </c>
    </row>
    <row r="8030" spans="1:29" s="4" customFormat="1" ht="51.9" customHeight="1" x14ac:dyDescent="0.2">
      <c r="A8030" s="5">
        <v>0</v>
      </c>
      <c r="B8030" s="6" t="s">
        <v>45263</v>
      </c>
      <c r="C8030" s="7">
        <v>1252.8</v>
      </c>
      <c r="D8030" s="8" t="s">
        <v>45264</v>
      </c>
      <c r="E8030" s="8" t="s">
        <v>45265</v>
      </c>
      <c r="F8030" s="8" t="s">
        <v>45266</v>
      </c>
      <c r="G8030" s="6" t="s">
        <v>118</v>
      </c>
      <c r="H8030" s="6" t="s">
        <v>34</v>
      </c>
      <c r="I8030" s="8" t="s">
        <v>10112</v>
      </c>
      <c r="J8030" s="9">
        <v>1</v>
      </c>
      <c r="K8030" s="9">
        <v>180</v>
      </c>
      <c r="L8030" s="9">
        <v>2027</v>
      </c>
      <c r="M8030" s="8" t="s">
        <v>45267</v>
      </c>
      <c r="N8030" s="8" t="s">
        <v>243</v>
      </c>
      <c r="O8030" s="8" t="s">
        <v>758</v>
      </c>
      <c r="P8030" s="6" t="s">
        <v>306</v>
      </c>
      <c r="Q8030" s="8" t="s">
        <v>500</v>
      </c>
      <c r="R8030" s="10" t="s">
        <v>45162</v>
      </c>
      <c r="S8030" s="11" t="s">
        <v>45268</v>
      </c>
      <c r="T8030" s="6"/>
      <c r="U8030" s="15" t="str">
        <f>HYPERLINK("https://media.infra-m.ru/2264/2264669/cover/2264669.jpg", "Обложка")</f>
        <v>Обложка</v>
      </c>
      <c r="V8030" s="8" t="s">
        <v>1083</v>
      </c>
      <c r="W8030" s="6"/>
      <c r="X8030" s="6"/>
      <c r="Y8030" s="6"/>
      <c r="Z8030" s="6"/>
      <c r="AA8030" s="6" t="s">
        <v>1389</v>
      </c>
      <c r="AB8030" s="8"/>
      <c r="AC8030" s="27">
        <v>9785160159027</v>
      </c>
    </row>
    <row r="8031" spans="1:29" s="4" customFormat="1" ht="42" customHeight="1" x14ac:dyDescent="0.2">
      <c r="A8031" s="5">
        <v>0</v>
      </c>
      <c r="B8031" s="6" t="s">
        <v>45269</v>
      </c>
      <c r="C8031" s="7">
        <v>1500</v>
      </c>
      <c r="D8031" s="8" t="s">
        <v>45270</v>
      </c>
      <c r="E8031" s="8" t="s">
        <v>45271</v>
      </c>
      <c r="F8031" s="8" t="s">
        <v>45272</v>
      </c>
      <c r="G8031" s="6" t="s">
        <v>60</v>
      </c>
      <c r="H8031" s="6" t="s">
        <v>34</v>
      </c>
      <c r="I8031" s="8" t="s">
        <v>504</v>
      </c>
      <c r="J8031" s="9">
        <v>1</v>
      </c>
      <c r="K8031" s="9">
        <v>250</v>
      </c>
      <c r="L8031" s="9">
        <v>2024</v>
      </c>
      <c r="M8031" s="8" t="s">
        <v>45273</v>
      </c>
      <c r="N8031" s="8" t="s">
        <v>37</v>
      </c>
      <c r="O8031" s="8" t="s">
        <v>83</v>
      </c>
      <c r="P8031" s="6" t="s">
        <v>51</v>
      </c>
      <c r="Q8031" s="8" t="s">
        <v>500</v>
      </c>
      <c r="R8031" s="10" t="s">
        <v>45274</v>
      </c>
      <c r="S8031" s="11"/>
      <c r="T8031" s="6"/>
      <c r="U8031" s="15" t="str">
        <f>HYPERLINK("https://media.infra-m.ru/1002/1002565/cover/1002565.jpg", "Обложка")</f>
        <v>Обложка</v>
      </c>
      <c r="V8031" s="8" t="s">
        <v>3329</v>
      </c>
      <c r="W8031" s="6"/>
      <c r="X8031" s="6"/>
      <c r="Y8031" s="6"/>
      <c r="Z8031" s="6"/>
      <c r="AA8031" s="6" t="s">
        <v>76</v>
      </c>
      <c r="AB8031" s="8"/>
      <c r="AC8031" s="27">
        <v>9785160147420</v>
      </c>
    </row>
    <row r="8032" spans="1:29" s="4" customFormat="1" ht="42" customHeight="1" x14ac:dyDescent="0.2">
      <c r="A8032" s="5">
        <v>0</v>
      </c>
      <c r="B8032" s="6" t="s">
        <v>45275</v>
      </c>
      <c r="C8032" s="13">
        <v>708</v>
      </c>
      <c r="D8032" s="8" t="s">
        <v>45276</v>
      </c>
      <c r="E8032" s="8" t="s">
        <v>45277</v>
      </c>
      <c r="F8032" s="8" t="s">
        <v>45278</v>
      </c>
      <c r="G8032" s="6" t="s">
        <v>33</v>
      </c>
      <c r="H8032" s="6" t="s">
        <v>34</v>
      </c>
      <c r="I8032" s="8" t="s">
        <v>1081</v>
      </c>
      <c r="J8032" s="9">
        <v>1</v>
      </c>
      <c r="K8032" s="9">
        <v>127</v>
      </c>
      <c r="L8032" s="9">
        <v>2022</v>
      </c>
      <c r="M8032" s="8" t="s">
        <v>45279</v>
      </c>
      <c r="N8032" s="8" t="s">
        <v>243</v>
      </c>
      <c r="O8032" s="8" t="s">
        <v>758</v>
      </c>
      <c r="P8032" s="6" t="s">
        <v>39</v>
      </c>
      <c r="Q8032" s="8" t="s">
        <v>40</v>
      </c>
      <c r="R8032" s="10" t="s">
        <v>45280</v>
      </c>
      <c r="S8032" s="11"/>
      <c r="T8032" s="6"/>
      <c r="U8032" s="15" t="str">
        <f>HYPERLINK("https://media.infra-m.ru/1838/1838017/cover/1838017.jpg", "Обложка")</f>
        <v>Обложка</v>
      </c>
      <c r="V8032" s="8" t="s">
        <v>1083</v>
      </c>
      <c r="W8032" s="6"/>
      <c r="X8032" s="6"/>
      <c r="Y8032" s="6"/>
      <c r="Z8032" s="6"/>
      <c r="AA8032" s="6" t="s">
        <v>148</v>
      </c>
      <c r="AB8032" s="8"/>
      <c r="AC8032" s="27">
        <v>9785160172682</v>
      </c>
    </row>
    <row r="8033" spans="1:29" s="4" customFormat="1" ht="51.9" customHeight="1" x14ac:dyDescent="0.2">
      <c r="A8033" s="5">
        <v>0</v>
      </c>
      <c r="B8033" s="6" t="s">
        <v>45281</v>
      </c>
      <c r="C8033" s="7">
        <v>2500.8000000000002</v>
      </c>
      <c r="D8033" s="8" t="s">
        <v>45282</v>
      </c>
      <c r="E8033" s="8" t="s">
        <v>45283</v>
      </c>
      <c r="F8033" s="8" t="s">
        <v>45284</v>
      </c>
      <c r="G8033" s="6" t="s">
        <v>118</v>
      </c>
      <c r="H8033" s="6" t="s">
        <v>1042</v>
      </c>
      <c r="I8033" s="8" t="s">
        <v>263</v>
      </c>
      <c r="J8033" s="9">
        <v>1</v>
      </c>
      <c r="K8033" s="9">
        <v>400</v>
      </c>
      <c r="L8033" s="9">
        <v>2026</v>
      </c>
      <c r="M8033" s="8" t="s">
        <v>45285</v>
      </c>
      <c r="N8033" s="8" t="s">
        <v>243</v>
      </c>
      <c r="O8033" s="8" t="s">
        <v>244</v>
      </c>
      <c r="P8033" s="6" t="s">
        <v>51</v>
      </c>
      <c r="Q8033" s="8" t="s">
        <v>265</v>
      </c>
      <c r="R8033" s="10" t="s">
        <v>40942</v>
      </c>
      <c r="S8033" s="11" t="s">
        <v>34405</v>
      </c>
      <c r="T8033" s="6"/>
      <c r="U8033" s="15" t="str">
        <f>HYPERLINK("https://media.infra-m.ru/2220/2220289/cover/2220289.jpg", "Обложка")</f>
        <v>Обложка</v>
      </c>
      <c r="V8033" s="8" t="s">
        <v>3428</v>
      </c>
      <c r="W8033" s="6"/>
      <c r="X8033" s="6" t="s">
        <v>24</v>
      </c>
      <c r="Y8033" s="6"/>
      <c r="Z8033" s="6" t="s">
        <v>267</v>
      </c>
      <c r="AA8033" s="6" t="s">
        <v>86</v>
      </c>
      <c r="AB8033" s="8"/>
      <c r="AC8033" s="27">
        <v>9785819908129</v>
      </c>
    </row>
    <row r="8034" spans="1:29" s="4" customFormat="1" ht="51.9" customHeight="1" x14ac:dyDescent="0.2">
      <c r="A8034" s="5">
        <v>0</v>
      </c>
      <c r="B8034" s="6" t="s">
        <v>45286</v>
      </c>
      <c r="C8034" s="7">
        <v>2392.8000000000002</v>
      </c>
      <c r="D8034" s="8" t="s">
        <v>45287</v>
      </c>
      <c r="E8034" s="8" t="s">
        <v>45283</v>
      </c>
      <c r="F8034" s="8" t="s">
        <v>45284</v>
      </c>
      <c r="G8034" s="6" t="s">
        <v>60</v>
      </c>
      <c r="H8034" s="6" t="s">
        <v>1042</v>
      </c>
      <c r="I8034" s="8" t="s">
        <v>253</v>
      </c>
      <c r="J8034" s="9">
        <v>16</v>
      </c>
      <c r="K8034" s="9">
        <v>400</v>
      </c>
      <c r="L8034" s="9">
        <v>2025</v>
      </c>
      <c r="M8034" s="8" t="s">
        <v>45288</v>
      </c>
      <c r="N8034" s="8" t="s">
        <v>243</v>
      </c>
      <c r="O8034" s="8" t="s">
        <v>244</v>
      </c>
      <c r="P8034" s="6" t="s">
        <v>51</v>
      </c>
      <c r="Q8034" s="8" t="s">
        <v>52</v>
      </c>
      <c r="R8034" s="10" t="s">
        <v>45289</v>
      </c>
      <c r="S8034" s="11" t="s">
        <v>45290</v>
      </c>
      <c r="T8034" s="6"/>
      <c r="U8034" s="15" t="str">
        <f>HYPERLINK("https://media.infra-m.ru/2186/2186217/cover/2186217.jpg", "Обложка")</f>
        <v>Обложка</v>
      </c>
      <c r="V8034" s="8" t="s">
        <v>3428</v>
      </c>
      <c r="W8034" s="6"/>
      <c r="X8034" s="6"/>
      <c r="Y8034" s="6"/>
      <c r="Z8034" s="6"/>
      <c r="AA8034" s="6" t="s">
        <v>1047</v>
      </c>
      <c r="AB8034" s="8"/>
      <c r="AC8034" s="27">
        <v>9785819903421</v>
      </c>
    </row>
    <row r="8035" spans="1:29" s="4" customFormat="1" ht="42" customHeight="1" x14ac:dyDescent="0.2">
      <c r="A8035" s="5">
        <v>0</v>
      </c>
      <c r="B8035" s="6" t="s">
        <v>45291</v>
      </c>
      <c r="C8035" s="7">
        <v>2820</v>
      </c>
      <c r="D8035" s="8" t="s">
        <v>45292</v>
      </c>
      <c r="E8035" s="8" t="s">
        <v>45293</v>
      </c>
      <c r="F8035" s="8" t="s">
        <v>45294</v>
      </c>
      <c r="G8035" s="6" t="s">
        <v>60</v>
      </c>
      <c r="H8035" s="6" t="s">
        <v>34</v>
      </c>
      <c r="I8035" s="8" t="s">
        <v>35</v>
      </c>
      <c r="J8035" s="9">
        <v>1</v>
      </c>
      <c r="K8035" s="9">
        <v>521</v>
      </c>
      <c r="L8035" s="9">
        <v>2023</v>
      </c>
      <c r="M8035" s="8" t="s">
        <v>45295</v>
      </c>
      <c r="N8035" s="8" t="s">
        <v>243</v>
      </c>
      <c r="O8035" s="8" t="s">
        <v>798</v>
      </c>
      <c r="P8035" s="6" t="s">
        <v>39</v>
      </c>
      <c r="Q8035" s="8" t="s">
        <v>40</v>
      </c>
      <c r="R8035" s="10" t="s">
        <v>6735</v>
      </c>
      <c r="S8035" s="11"/>
      <c r="T8035" s="6"/>
      <c r="U8035" s="15" t="str">
        <f>HYPERLINK("https://media.infra-m.ru/1867/1867636/cover/1867636.jpg", "Обложка")</f>
        <v>Обложка</v>
      </c>
      <c r="V8035" s="8" t="s">
        <v>7509</v>
      </c>
      <c r="W8035" s="6"/>
      <c r="X8035" s="6"/>
      <c r="Y8035" s="6"/>
      <c r="Z8035" s="6"/>
      <c r="AA8035" s="6" t="s">
        <v>157</v>
      </c>
      <c r="AB8035" s="8"/>
      <c r="AC8035" s="27">
        <v>9785160176895</v>
      </c>
    </row>
    <row r="8036" spans="1:29" s="4" customFormat="1" ht="51.9" customHeight="1" x14ac:dyDescent="0.2">
      <c r="A8036" s="5">
        <v>0</v>
      </c>
      <c r="B8036" s="6" t="s">
        <v>45296</v>
      </c>
      <c r="C8036" s="7">
        <v>1512</v>
      </c>
      <c r="D8036" s="8" t="s">
        <v>45297</v>
      </c>
      <c r="E8036" s="8" t="s">
        <v>45298</v>
      </c>
      <c r="F8036" s="8" t="s">
        <v>45299</v>
      </c>
      <c r="G8036" s="6" t="s">
        <v>118</v>
      </c>
      <c r="H8036" s="6" t="s">
        <v>34</v>
      </c>
      <c r="I8036" s="8" t="s">
        <v>263</v>
      </c>
      <c r="J8036" s="9">
        <v>1</v>
      </c>
      <c r="K8036" s="9">
        <v>250</v>
      </c>
      <c r="L8036" s="9">
        <v>2025</v>
      </c>
      <c r="M8036" s="8" t="s">
        <v>45300</v>
      </c>
      <c r="N8036" s="8" t="s">
        <v>243</v>
      </c>
      <c r="O8036" s="8" t="s">
        <v>798</v>
      </c>
      <c r="P8036" s="6" t="s">
        <v>51</v>
      </c>
      <c r="Q8036" s="8" t="s">
        <v>265</v>
      </c>
      <c r="R8036" s="10" t="s">
        <v>45301</v>
      </c>
      <c r="S8036" s="11" t="s">
        <v>45302</v>
      </c>
      <c r="T8036" s="6"/>
      <c r="U8036" s="15" t="str">
        <f>HYPERLINK("https://media.infra-m.ru/2179/2179470/cover/2179470.jpg", "Обложка")</f>
        <v>Обложка</v>
      </c>
      <c r="V8036" s="8" t="s">
        <v>45303</v>
      </c>
      <c r="W8036" s="6"/>
      <c r="X8036" s="6"/>
      <c r="Y8036" s="6"/>
      <c r="Z8036" s="6"/>
      <c r="AA8036" s="6" t="s">
        <v>13424</v>
      </c>
      <c r="AB8036" s="8"/>
      <c r="AC8036" s="27">
        <v>9785160015057</v>
      </c>
    </row>
    <row r="8037" spans="1:29" s="4" customFormat="1" ht="51.9" customHeight="1" x14ac:dyDescent="0.2">
      <c r="A8037" s="5">
        <v>0</v>
      </c>
      <c r="B8037" s="6" t="s">
        <v>45304</v>
      </c>
      <c r="C8037" s="7">
        <v>1960.8</v>
      </c>
      <c r="D8037" s="8" t="s">
        <v>45305</v>
      </c>
      <c r="E8037" s="8" t="s">
        <v>45306</v>
      </c>
      <c r="F8037" s="8" t="s">
        <v>45307</v>
      </c>
      <c r="G8037" s="6" t="s">
        <v>118</v>
      </c>
      <c r="H8037" s="6" t="s">
        <v>34</v>
      </c>
      <c r="I8037" s="8" t="s">
        <v>271</v>
      </c>
      <c r="J8037" s="9">
        <v>1</v>
      </c>
      <c r="K8037" s="9">
        <v>314</v>
      </c>
      <c r="L8037" s="9">
        <v>2026</v>
      </c>
      <c r="M8037" s="8" t="s">
        <v>45308</v>
      </c>
      <c r="N8037" s="8" t="s">
        <v>243</v>
      </c>
      <c r="O8037" s="8" t="s">
        <v>964</v>
      </c>
      <c r="P8037" s="6" t="s">
        <v>306</v>
      </c>
      <c r="Q8037" s="8" t="s">
        <v>52</v>
      </c>
      <c r="R8037" s="10" t="s">
        <v>2820</v>
      </c>
      <c r="S8037" s="11" t="s">
        <v>45309</v>
      </c>
      <c r="T8037" s="6"/>
      <c r="U8037" s="15" t="str">
        <f>HYPERLINK("https://media.infra-m.ru/2214/2214704/cover/2214704.jpg", "Обложка")</f>
        <v>Обложка</v>
      </c>
      <c r="V8037" s="8" t="s">
        <v>1030</v>
      </c>
      <c r="W8037" s="6"/>
      <c r="X8037" s="6"/>
      <c r="Y8037" s="6"/>
      <c r="Z8037" s="6"/>
      <c r="AA8037" s="6" t="s">
        <v>86</v>
      </c>
      <c r="AB8037" s="8"/>
      <c r="AC8037" s="27">
        <v>9785160130200</v>
      </c>
    </row>
    <row r="8038" spans="1:29" s="4" customFormat="1" ht="51.9" customHeight="1" x14ac:dyDescent="0.2">
      <c r="A8038" s="5">
        <v>0</v>
      </c>
      <c r="B8038" s="6" t="s">
        <v>45310</v>
      </c>
      <c r="C8038" s="7">
        <v>1368</v>
      </c>
      <c r="D8038" s="8" t="s">
        <v>45311</v>
      </c>
      <c r="E8038" s="8" t="s">
        <v>45312</v>
      </c>
      <c r="F8038" s="8" t="s">
        <v>45313</v>
      </c>
      <c r="G8038" s="6" t="s">
        <v>118</v>
      </c>
      <c r="H8038" s="6" t="s">
        <v>34</v>
      </c>
      <c r="I8038" s="8" t="s">
        <v>271</v>
      </c>
      <c r="J8038" s="9">
        <v>1</v>
      </c>
      <c r="K8038" s="9">
        <v>246</v>
      </c>
      <c r="L8038" s="9">
        <v>2023</v>
      </c>
      <c r="M8038" s="8" t="s">
        <v>45314</v>
      </c>
      <c r="N8038" s="8" t="s">
        <v>243</v>
      </c>
      <c r="O8038" s="8" t="s">
        <v>1100</v>
      </c>
      <c r="P8038" s="6" t="s">
        <v>51</v>
      </c>
      <c r="Q8038" s="8" t="s">
        <v>52</v>
      </c>
      <c r="R8038" s="10" t="s">
        <v>21807</v>
      </c>
      <c r="S8038" s="11" t="s">
        <v>45315</v>
      </c>
      <c r="T8038" s="6"/>
      <c r="U8038" s="15" t="str">
        <f>HYPERLINK("https://media.infra-m.ru/2125/2125016/cover/2125016.jpg", "Обложка")</f>
        <v>Обложка</v>
      </c>
      <c r="V8038" s="8" t="s">
        <v>7894</v>
      </c>
      <c r="W8038" s="6"/>
      <c r="X8038" s="6"/>
      <c r="Y8038" s="6"/>
      <c r="Z8038" s="6"/>
      <c r="AA8038" s="6" t="s">
        <v>258</v>
      </c>
      <c r="AB8038" s="8"/>
      <c r="AC8038" s="27">
        <v>9785160165653</v>
      </c>
    </row>
    <row r="8039" spans="1:29" s="4" customFormat="1" ht="51.9" customHeight="1" x14ac:dyDescent="0.2">
      <c r="A8039" s="5">
        <v>0</v>
      </c>
      <c r="B8039" s="6" t="s">
        <v>45316</v>
      </c>
      <c r="C8039" s="7">
        <v>1624.8</v>
      </c>
      <c r="D8039" s="8" t="s">
        <v>45317</v>
      </c>
      <c r="E8039" s="8" t="s">
        <v>45306</v>
      </c>
      <c r="F8039" s="8" t="s">
        <v>45313</v>
      </c>
      <c r="G8039" s="6" t="s">
        <v>118</v>
      </c>
      <c r="H8039" s="6" t="s">
        <v>34</v>
      </c>
      <c r="I8039" s="8" t="s">
        <v>263</v>
      </c>
      <c r="J8039" s="9">
        <v>1</v>
      </c>
      <c r="K8039" s="9">
        <v>246</v>
      </c>
      <c r="L8039" s="9">
        <v>2026</v>
      </c>
      <c r="M8039" s="8" t="s">
        <v>45318</v>
      </c>
      <c r="N8039" s="8" t="s">
        <v>243</v>
      </c>
      <c r="O8039" s="8" t="s">
        <v>1100</v>
      </c>
      <c r="P8039" s="6" t="s">
        <v>51</v>
      </c>
      <c r="Q8039" s="8" t="s">
        <v>265</v>
      </c>
      <c r="R8039" s="10" t="s">
        <v>45319</v>
      </c>
      <c r="S8039" s="11" t="s">
        <v>45320</v>
      </c>
      <c r="T8039" s="6"/>
      <c r="U8039" s="15" t="str">
        <f>HYPERLINK("https://media.infra-m.ru/2239/2239083/cover/2239083.jpg", "Обложка")</f>
        <v>Обложка</v>
      </c>
      <c r="V8039" s="8" t="s">
        <v>7894</v>
      </c>
      <c r="W8039" s="6"/>
      <c r="X8039" s="6"/>
      <c r="Y8039" s="6"/>
      <c r="Z8039" s="6" t="s">
        <v>267</v>
      </c>
      <c r="AA8039" s="6" t="s">
        <v>430</v>
      </c>
      <c r="AB8039" s="8"/>
      <c r="AC8039" s="27">
        <v>9785160169019</v>
      </c>
    </row>
    <row r="8040" spans="1:29" s="4" customFormat="1" ht="51.9" customHeight="1" x14ac:dyDescent="0.2">
      <c r="A8040" s="5">
        <v>0</v>
      </c>
      <c r="B8040" s="6" t="s">
        <v>45321</v>
      </c>
      <c r="C8040" s="13">
        <v>965.9</v>
      </c>
      <c r="D8040" s="8" t="s">
        <v>45322</v>
      </c>
      <c r="E8040" s="8" t="s">
        <v>45306</v>
      </c>
      <c r="F8040" s="8" t="s">
        <v>45313</v>
      </c>
      <c r="G8040" s="6" t="s">
        <v>60</v>
      </c>
      <c r="H8040" s="6" t="s">
        <v>34</v>
      </c>
      <c r="I8040" s="8" t="s">
        <v>271</v>
      </c>
      <c r="J8040" s="9">
        <v>1</v>
      </c>
      <c r="K8040" s="9">
        <v>222</v>
      </c>
      <c r="L8040" s="9">
        <v>2021</v>
      </c>
      <c r="M8040" s="8" t="s">
        <v>45323</v>
      </c>
      <c r="N8040" s="8" t="s">
        <v>243</v>
      </c>
      <c r="O8040" s="8" t="s">
        <v>1100</v>
      </c>
      <c r="P8040" s="6" t="s">
        <v>51</v>
      </c>
      <c r="Q8040" s="8" t="s">
        <v>52</v>
      </c>
      <c r="R8040" s="10" t="s">
        <v>21807</v>
      </c>
      <c r="S8040" s="11" t="s">
        <v>45315</v>
      </c>
      <c r="T8040" s="6"/>
      <c r="U8040" s="15" t="str">
        <f>HYPERLINK("https://media.infra-m.ru/1154/1154314/cover/1154314.jpg", "Обложка")</f>
        <v>Обложка</v>
      </c>
      <c r="V8040" s="8" t="s">
        <v>7894</v>
      </c>
      <c r="W8040" s="6"/>
      <c r="X8040" s="6"/>
      <c r="Y8040" s="6"/>
      <c r="Z8040" s="6"/>
      <c r="AA8040" s="6" t="s">
        <v>99</v>
      </c>
      <c r="AB8040" s="8"/>
      <c r="AC8040" s="27">
        <v>9785160122885</v>
      </c>
    </row>
    <row r="8041" spans="1:29" s="4" customFormat="1" ht="51.9" customHeight="1" x14ac:dyDescent="0.2">
      <c r="A8041" s="5">
        <v>0</v>
      </c>
      <c r="B8041" s="6" t="s">
        <v>45324</v>
      </c>
      <c r="C8041" s="7">
        <v>2328</v>
      </c>
      <c r="D8041" s="8" t="s">
        <v>45325</v>
      </c>
      <c r="E8041" s="8" t="s">
        <v>45326</v>
      </c>
      <c r="F8041" s="8" t="s">
        <v>44868</v>
      </c>
      <c r="G8041" s="6" t="s">
        <v>118</v>
      </c>
      <c r="H8041" s="6" t="s">
        <v>34</v>
      </c>
      <c r="I8041" s="8" t="s">
        <v>253</v>
      </c>
      <c r="J8041" s="9">
        <v>1</v>
      </c>
      <c r="K8041" s="9">
        <v>373</v>
      </c>
      <c r="L8041" s="9">
        <v>2026</v>
      </c>
      <c r="M8041" s="8" t="s">
        <v>45327</v>
      </c>
      <c r="N8041" s="8" t="s">
        <v>243</v>
      </c>
      <c r="O8041" s="8" t="s">
        <v>758</v>
      </c>
      <c r="P8041" s="6" t="s">
        <v>51</v>
      </c>
      <c r="Q8041" s="8" t="s">
        <v>52</v>
      </c>
      <c r="R8041" s="10" t="s">
        <v>2452</v>
      </c>
      <c r="S8041" s="11" t="s">
        <v>45328</v>
      </c>
      <c r="T8041" s="6"/>
      <c r="U8041" s="15" t="str">
        <f>HYPERLINK("https://media.infra-m.ru/2219/2219011/cover/2219011.jpg", "Обложка")</f>
        <v>Обложка</v>
      </c>
      <c r="V8041" s="8" t="s">
        <v>1157</v>
      </c>
      <c r="W8041" s="6"/>
      <c r="X8041" s="6"/>
      <c r="Y8041" s="6"/>
      <c r="Z8041" s="6" t="s">
        <v>632</v>
      </c>
      <c r="AA8041" s="6" t="s">
        <v>1256</v>
      </c>
      <c r="AB8041" s="8"/>
      <c r="AC8041" s="27">
        <v>9785160212456</v>
      </c>
    </row>
    <row r="8042" spans="1:29" s="4" customFormat="1" ht="51.9" customHeight="1" x14ac:dyDescent="0.2">
      <c r="A8042" s="5">
        <v>0</v>
      </c>
      <c r="B8042" s="6" t="s">
        <v>45329</v>
      </c>
      <c r="C8042" s="7">
        <v>2592</v>
      </c>
      <c r="D8042" s="8" t="s">
        <v>45330</v>
      </c>
      <c r="E8042" s="8" t="s">
        <v>45326</v>
      </c>
      <c r="F8042" s="8" t="s">
        <v>44868</v>
      </c>
      <c r="G8042" s="6" t="s">
        <v>118</v>
      </c>
      <c r="H8042" s="6" t="s">
        <v>34</v>
      </c>
      <c r="I8042" s="8" t="s">
        <v>263</v>
      </c>
      <c r="J8042" s="9">
        <v>1</v>
      </c>
      <c r="K8042" s="9">
        <v>373</v>
      </c>
      <c r="L8042" s="9">
        <v>2027</v>
      </c>
      <c r="M8042" s="8" t="s">
        <v>45331</v>
      </c>
      <c r="N8042" s="8" t="s">
        <v>243</v>
      </c>
      <c r="O8042" s="8" t="s">
        <v>758</v>
      </c>
      <c r="P8042" s="6" t="s">
        <v>51</v>
      </c>
      <c r="Q8042" s="8" t="s">
        <v>265</v>
      </c>
      <c r="R8042" s="10" t="s">
        <v>45332</v>
      </c>
      <c r="S8042" s="11" t="s">
        <v>45333</v>
      </c>
      <c r="T8042" s="6"/>
      <c r="U8042" s="15" t="str">
        <f>HYPERLINK("https://media.infra-m.ru/2268/2268357/cover/2268357.jpg", "Обложка")</f>
        <v>Обложка</v>
      </c>
      <c r="V8042" s="8" t="s">
        <v>1157</v>
      </c>
      <c r="W8042" s="6"/>
      <c r="X8042" s="6"/>
      <c r="Y8042" s="6"/>
      <c r="Z8042" s="6"/>
      <c r="AA8042" s="6" t="s">
        <v>1256</v>
      </c>
      <c r="AB8042" s="8"/>
      <c r="AC8042" s="27">
        <v>9785160155760</v>
      </c>
    </row>
    <row r="8043" spans="1:29" s="4" customFormat="1" ht="51.9" customHeight="1" x14ac:dyDescent="0.2">
      <c r="A8043" s="5">
        <v>0</v>
      </c>
      <c r="B8043" s="6" t="s">
        <v>45334</v>
      </c>
      <c r="C8043" s="7">
        <v>1188</v>
      </c>
      <c r="D8043" s="8" t="s">
        <v>45335</v>
      </c>
      <c r="E8043" s="8" t="s">
        <v>45336</v>
      </c>
      <c r="F8043" s="8" t="s">
        <v>36919</v>
      </c>
      <c r="G8043" s="6" t="s">
        <v>118</v>
      </c>
      <c r="H8043" s="6" t="s">
        <v>34</v>
      </c>
      <c r="I8043" s="8" t="s">
        <v>504</v>
      </c>
      <c r="J8043" s="9">
        <v>1</v>
      </c>
      <c r="K8043" s="9">
        <v>210</v>
      </c>
      <c r="L8043" s="9">
        <v>2024</v>
      </c>
      <c r="M8043" s="8" t="s">
        <v>45337</v>
      </c>
      <c r="N8043" s="8" t="s">
        <v>243</v>
      </c>
      <c r="O8043" s="8" t="s">
        <v>798</v>
      </c>
      <c r="P8043" s="6" t="s">
        <v>51</v>
      </c>
      <c r="Q8043" s="8" t="s">
        <v>500</v>
      </c>
      <c r="R8043" s="10" t="s">
        <v>1637</v>
      </c>
      <c r="S8043" s="11" t="s">
        <v>45338</v>
      </c>
      <c r="T8043" s="6" t="s">
        <v>97</v>
      </c>
      <c r="U8043" s="15" t="str">
        <f>HYPERLINK("https://media.infra-m.ru/2149/2149628/cover/2149628.jpg", "Обложка")</f>
        <v>Обложка</v>
      </c>
      <c r="V8043" s="8" t="s">
        <v>843</v>
      </c>
      <c r="W8043" s="6"/>
      <c r="X8043" s="6"/>
      <c r="Y8043" s="6"/>
      <c r="Z8043" s="6"/>
      <c r="AA8043" s="6" t="s">
        <v>148</v>
      </c>
      <c r="AB8043" s="8"/>
      <c r="AC8043" s="27">
        <v>9785160135632</v>
      </c>
    </row>
    <row r="8044" spans="1:29" s="4" customFormat="1" ht="42" customHeight="1" x14ac:dyDescent="0.2">
      <c r="A8044" s="5">
        <v>0</v>
      </c>
      <c r="B8044" s="6" t="s">
        <v>45339</v>
      </c>
      <c r="C8044" s="7">
        <v>1968</v>
      </c>
      <c r="D8044" s="8" t="s">
        <v>45340</v>
      </c>
      <c r="E8044" s="8" t="s">
        <v>45341</v>
      </c>
      <c r="F8044" s="8" t="s">
        <v>45342</v>
      </c>
      <c r="G8044" s="6" t="s">
        <v>60</v>
      </c>
      <c r="H8044" s="6" t="s">
        <v>34</v>
      </c>
      <c r="I8044" s="8" t="s">
        <v>1128</v>
      </c>
      <c r="J8044" s="9">
        <v>1</v>
      </c>
      <c r="K8044" s="9">
        <v>328</v>
      </c>
      <c r="L8044" s="9">
        <v>2025</v>
      </c>
      <c r="M8044" s="8" t="s">
        <v>45343</v>
      </c>
      <c r="N8044" s="8" t="s">
        <v>243</v>
      </c>
      <c r="O8044" s="8" t="s">
        <v>1100</v>
      </c>
      <c r="P8044" s="6" t="s">
        <v>51</v>
      </c>
      <c r="Q8044" s="8" t="s">
        <v>52</v>
      </c>
      <c r="R8044" s="10" t="s">
        <v>45218</v>
      </c>
      <c r="S8044" s="11"/>
      <c r="T8044" s="6"/>
      <c r="U8044" s="15" t="str">
        <f>HYPERLINK("https://media.infra-m.ru/2136/2136162/cover/2136162.jpg", "Обложка")</f>
        <v>Обложка</v>
      </c>
      <c r="V8044" s="8" t="s">
        <v>1132</v>
      </c>
      <c r="W8044" s="6"/>
      <c r="X8044" s="6"/>
      <c r="Y8044" s="6"/>
      <c r="Z8044" s="6"/>
      <c r="AA8044" s="6" t="s">
        <v>68</v>
      </c>
      <c r="AB8044" s="8"/>
      <c r="AC8044" s="27">
        <v>9785160197616</v>
      </c>
    </row>
    <row r="8045" spans="1:29" s="4" customFormat="1" ht="51.9" customHeight="1" x14ac:dyDescent="0.2">
      <c r="A8045" s="5">
        <v>0</v>
      </c>
      <c r="B8045" s="6" t="s">
        <v>45344</v>
      </c>
      <c r="C8045" s="7">
        <v>2556</v>
      </c>
      <c r="D8045" s="8" t="s">
        <v>45345</v>
      </c>
      <c r="E8045" s="8" t="s">
        <v>45346</v>
      </c>
      <c r="F8045" s="8" t="s">
        <v>45347</v>
      </c>
      <c r="G8045" s="6" t="s">
        <v>60</v>
      </c>
      <c r="H8045" s="6" t="s">
        <v>34</v>
      </c>
      <c r="I8045" s="8" t="s">
        <v>253</v>
      </c>
      <c r="J8045" s="9">
        <v>1</v>
      </c>
      <c r="K8045" s="9">
        <v>463</v>
      </c>
      <c r="L8045" s="9">
        <v>2024</v>
      </c>
      <c r="M8045" s="8" t="s">
        <v>45348</v>
      </c>
      <c r="N8045" s="8" t="s">
        <v>243</v>
      </c>
      <c r="O8045" s="8" t="s">
        <v>758</v>
      </c>
      <c r="P8045" s="6" t="s">
        <v>306</v>
      </c>
      <c r="Q8045" s="8" t="s">
        <v>52</v>
      </c>
      <c r="R8045" s="10" t="s">
        <v>45349</v>
      </c>
      <c r="S8045" s="11" t="s">
        <v>45350</v>
      </c>
      <c r="T8045" s="6"/>
      <c r="U8045" s="15" t="str">
        <f>HYPERLINK("https://media.infra-m.ru/2110/2110440/cover/2110440.jpg", "Обложка")</f>
        <v>Обложка</v>
      </c>
      <c r="V8045" s="8" t="s">
        <v>5951</v>
      </c>
      <c r="W8045" s="6"/>
      <c r="X8045" s="6"/>
      <c r="Y8045" s="6"/>
      <c r="Z8045" s="6"/>
      <c r="AA8045" s="6" t="s">
        <v>779</v>
      </c>
      <c r="AB8045" s="8"/>
      <c r="AC8045" s="27">
        <v>9785160193366</v>
      </c>
    </row>
    <row r="8046" spans="1:29" s="4" customFormat="1" ht="51.9" customHeight="1" x14ac:dyDescent="0.2">
      <c r="A8046" s="5">
        <v>0</v>
      </c>
      <c r="B8046" s="6" t="s">
        <v>45351</v>
      </c>
      <c r="C8046" s="7">
        <v>2580</v>
      </c>
      <c r="D8046" s="8" t="s">
        <v>45352</v>
      </c>
      <c r="E8046" s="8" t="s">
        <v>45353</v>
      </c>
      <c r="F8046" s="8" t="s">
        <v>45354</v>
      </c>
      <c r="G8046" s="6" t="s">
        <v>60</v>
      </c>
      <c r="H8046" s="6" t="s">
        <v>34</v>
      </c>
      <c r="I8046" s="8" t="s">
        <v>271</v>
      </c>
      <c r="J8046" s="9">
        <v>1</v>
      </c>
      <c r="K8046" s="9">
        <v>467</v>
      </c>
      <c r="L8046" s="9">
        <v>2023</v>
      </c>
      <c r="M8046" s="8" t="s">
        <v>45355</v>
      </c>
      <c r="N8046" s="8" t="s">
        <v>243</v>
      </c>
      <c r="O8046" s="8" t="s">
        <v>758</v>
      </c>
      <c r="P8046" s="6" t="s">
        <v>306</v>
      </c>
      <c r="Q8046" s="8" t="s">
        <v>65</v>
      </c>
      <c r="R8046" s="10" t="s">
        <v>2820</v>
      </c>
      <c r="S8046" s="11" t="s">
        <v>45356</v>
      </c>
      <c r="T8046" s="6"/>
      <c r="U8046" s="15" t="str">
        <f>HYPERLINK("https://media.infra-m.ru/2125/2125022/cover/2125022.jpg", "Обложка")</f>
        <v>Обложка</v>
      </c>
      <c r="V8046" s="8" t="s">
        <v>843</v>
      </c>
      <c r="W8046" s="6"/>
      <c r="X8046" s="6"/>
      <c r="Y8046" s="6"/>
      <c r="Z8046" s="6"/>
      <c r="AA8046" s="6" t="s">
        <v>404</v>
      </c>
      <c r="AB8046" s="8"/>
      <c r="AC8046" s="27">
        <v>9785160134000</v>
      </c>
    </row>
    <row r="8047" spans="1:29" s="4" customFormat="1" ht="42" customHeight="1" x14ac:dyDescent="0.2">
      <c r="A8047" s="5">
        <v>0</v>
      </c>
      <c r="B8047" s="6" t="s">
        <v>45357</v>
      </c>
      <c r="C8047" s="7">
        <v>2160</v>
      </c>
      <c r="D8047" s="8" t="s">
        <v>45358</v>
      </c>
      <c r="E8047" s="8" t="s">
        <v>45359</v>
      </c>
      <c r="F8047" s="8" t="s">
        <v>5288</v>
      </c>
      <c r="G8047" s="6" t="s">
        <v>118</v>
      </c>
      <c r="H8047" s="6" t="s">
        <v>34</v>
      </c>
      <c r="I8047" s="8" t="s">
        <v>263</v>
      </c>
      <c r="J8047" s="9">
        <v>1</v>
      </c>
      <c r="K8047" s="9">
        <v>342</v>
      </c>
      <c r="L8047" s="9">
        <v>2026</v>
      </c>
      <c r="M8047" s="8" t="s">
        <v>45360</v>
      </c>
      <c r="N8047" s="8" t="s">
        <v>37</v>
      </c>
      <c r="O8047" s="8" t="s">
        <v>233</v>
      </c>
      <c r="P8047" s="6" t="s">
        <v>306</v>
      </c>
      <c r="Q8047" s="8" t="s">
        <v>265</v>
      </c>
      <c r="R8047" s="10" t="s">
        <v>3777</v>
      </c>
      <c r="S8047" s="11"/>
      <c r="T8047" s="6"/>
      <c r="U8047" s="15" t="str">
        <f>HYPERLINK("https://media.infra-m.ru/2238/2238277/cover/2238277.jpg", "Обложка")</f>
        <v>Обложка</v>
      </c>
      <c r="V8047" s="8" t="s">
        <v>1994</v>
      </c>
      <c r="W8047" s="6"/>
      <c r="X8047" s="6"/>
      <c r="Y8047" s="6"/>
      <c r="Z8047" s="6"/>
      <c r="AA8047" s="6" t="s">
        <v>76</v>
      </c>
      <c r="AB8047" s="8" t="s">
        <v>2697</v>
      </c>
      <c r="AC8047" s="27">
        <v>9785160177267</v>
      </c>
    </row>
    <row r="8048" spans="1:29" s="4" customFormat="1" ht="42" customHeight="1" x14ac:dyDescent="0.2">
      <c r="A8048" s="5">
        <v>0</v>
      </c>
      <c r="B8048" s="6" t="s">
        <v>45361</v>
      </c>
      <c r="C8048" s="7">
        <v>1596</v>
      </c>
      <c r="D8048" s="8" t="s">
        <v>45362</v>
      </c>
      <c r="E8048" s="8" t="s">
        <v>45363</v>
      </c>
      <c r="F8048" s="8" t="s">
        <v>45364</v>
      </c>
      <c r="G8048" s="6" t="s">
        <v>60</v>
      </c>
      <c r="H8048" s="6" t="s">
        <v>34</v>
      </c>
      <c r="I8048" s="8" t="s">
        <v>434</v>
      </c>
      <c r="J8048" s="9">
        <v>1</v>
      </c>
      <c r="K8048" s="9">
        <v>224</v>
      </c>
      <c r="L8048" s="9">
        <v>2026</v>
      </c>
      <c r="M8048" s="8" t="s">
        <v>45365</v>
      </c>
      <c r="N8048" s="8" t="s">
        <v>37</v>
      </c>
      <c r="O8048" s="8" t="s">
        <v>233</v>
      </c>
      <c r="P8048" s="6" t="s">
        <v>306</v>
      </c>
      <c r="Q8048" s="8" t="s">
        <v>265</v>
      </c>
      <c r="R8048" s="10" t="s">
        <v>3777</v>
      </c>
      <c r="S8048" s="11"/>
      <c r="T8048" s="6"/>
      <c r="U8048" s="15" t="str">
        <f>HYPERLINK("https://media.infra-m.ru/2226/2226234/cover/2226234.jpg", "Обложка")</f>
        <v>Обложка</v>
      </c>
      <c r="V8048" s="8" t="s">
        <v>247</v>
      </c>
      <c r="W8048" s="6" t="s">
        <v>9380</v>
      </c>
      <c r="X8048" s="6"/>
      <c r="Y8048" s="6"/>
      <c r="Z8048" s="6"/>
      <c r="AA8048" s="6" t="s">
        <v>187</v>
      </c>
      <c r="AB8048" s="8" t="s">
        <v>343</v>
      </c>
      <c r="AC8048" s="27">
        <v>9785160214627</v>
      </c>
    </row>
    <row r="8049" spans="1:29" s="4" customFormat="1" ht="51.9" customHeight="1" x14ac:dyDescent="0.2">
      <c r="A8049" s="5">
        <v>0</v>
      </c>
      <c r="B8049" s="6" t="s">
        <v>45366</v>
      </c>
      <c r="C8049" s="7">
        <v>1408.8</v>
      </c>
      <c r="D8049" s="8" t="s">
        <v>45367</v>
      </c>
      <c r="E8049" s="8" t="s">
        <v>45368</v>
      </c>
      <c r="F8049" s="8" t="s">
        <v>45369</v>
      </c>
      <c r="G8049" s="6" t="s">
        <v>60</v>
      </c>
      <c r="H8049" s="6" t="s">
        <v>34</v>
      </c>
      <c r="I8049" s="8" t="s">
        <v>504</v>
      </c>
      <c r="J8049" s="9">
        <v>1</v>
      </c>
      <c r="K8049" s="9">
        <v>260</v>
      </c>
      <c r="L8049" s="9">
        <v>2023</v>
      </c>
      <c r="M8049" s="8" t="s">
        <v>45370</v>
      </c>
      <c r="N8049" s="8" t="s">
        <v>243</v>
      </c>
      <c r="O8049" s="8" t="s">
        <v>798</v>
      </c>
      <c r="P8049" s="6" t="s">
        <v>51</v>
      </c>
      <c r="Q8049" s="8" t="s">
        <v>500</v>
      </c>
      <c r="R8049" s="10" t="s">
        <v>1637</v>
      </c>
      <c r="S8049" s="11" t="s">
        <v>1638</v>
      </c>
      <c r="T8049" s="6"/>
      <c r="U8049" s="15" t="str">
        <f>HYPERLINK("https://media.infra-m.ru/2006/2006071/cover/2006071.jpg", "Обложка")</f>
        <v>Обложка</v>
      </c>
      <c r="V8049" s="8" t="s">
        <v>831</v>
      </c>
      <c r="W8049" s="6"/>
      <c r="X8049" s="6"/>
      <c r="Y8049" s="6"/>
      <c r="Z8049" s="6"/>
      <c r="AA8049" s="6" t="s">
        <v>1256</v>
      </c>
      <c r="AB8049" s="8"/>
      <c r="AC8049" s="27">
        <v>9785160145419</v>
      </c>
    </row>
    <row r="8050" spans="1:29" s="4" customFormat="1" ht="44.1" customHeight="1" x14ac:dyDescent="0.2">
      <c r="A8050" s="5">
        <v>0</v>
      </c>
      <c r="B8050" s="6" t="s">
        <v>45371</v>
      </c>
      <c r="C8050" s="7">
        <v>4788</v>
      </c>
      <c r="D8050" s="8" t="s">
        <v>45372</v>
      </c>
      <c r="E8050" s="8" t="s">
        <v>45373</v>
      </c>
      <c r="F8050" s="8" t="s">
        <v>45374</v>
      </c>
      <c r="G8050" s="6" t="s">
        <v>60</v>
      </c>
      <c r="H8050" s="6" t="s">
        <v>34</v>
      </c>
      <c r="I8050" s="8" t="s">
        <v>253</v>
      </c>
      <c r="J8050" s="9">
        <v>1</v>
      </c>
      <c r="K8050" s="9">
        <v>700</v>
      </c>
      <c r="L8050" s="9">
        <v>2026</v>
      </c>
      <c r="M8050" s="8" t="s">
        <v>45375</v>
      </c>
      <c r="N8050" s="8" t="s">
        <v>243</v>
      </c>
      <c r="O8050" s="8" t="s">
        <v>758</v>
      </c>
      <c r="P8050" s="6" t="s">
        <v>306</v>
      </c>
      <c r="Q8050" s="8" t="s">
        <v>52</v>
      </c>
      <c r="R8050" s="10" t="s">
        <v>45376</v>
      </c>
      <c r="S8050" s="11"/>
      <c r="T8050" s="6"/>
      <c r="U8050" s="15" t="str">
        <f>HYPERLINK("https://media.infra-m.ru/2174/2174703/cover/2174703.jpg", "Обложка")</f>
        <v>Обложка</v>
      </c>
      <c r="V8050" s="8" t="s">
        <v>45377</v>
      </c>
      <c r="W8050" s="6" t="s">
        <v>528</v>
      </c>
      <c r="X8050" s="6"/>
      <c r="Y8050" s="6"/>
      <c r="Z8050" s="6"/>
      <c r="AA8050" s="6" t="s">
        <v>187</v>
      </c>
      <c r="AB8050" s="8"/>
      <c r="AC8050" s="27">
        <v>9785160204451</v>
      </c>
    </row>
    <row r="8051" spans="1:29" s="4" customFormat="1" ht="42" customHeight="1" x14ac:dyDescent="0.2">
      <c r="A8051" s="5">
        <v>0</v>
      </c>
      <c r="B8051" s="6" t="s">
        <v>45378</v>
      </c>
      <c r="C8051" s="7">
        <v>1956</v>
      </c>
      <c r="D8051" s="8" t="s">
        <v>45379</v>
      </c>
      <c r="E8051" s="8" t="s">
        <v>45380</v>
      </c>
      <c r="F8051" s="8" t="s">
        <v>27113</v>
      </c>
      <c r="G8051" s="6" t="s">
        <v>60</v>
      </c>
      <c r="H8051" s="6" t="s">
        <v>34</v>
      </c>
      <c r="I8051" s="8" t="s">
        <v>253</v>
      </c>
      <c r="J8051" s="9">
        <v>1</v>
      </c>
      <c r="K8051" s="9">
        <v>286</v>
      </c>
      <c r="L8051" s="9">
        <v>2026</v>
      </c>
      <c r="M8051" s="8" t="s">
        <v>45381</v>
      </c>
      <c r="N8051" s="8" t="s">
        <v>243</v>
      </c>
      <c r="O8051" s="8" t="s">
        <v>758</v>
      </c>
      <c r="P8051" s="6" t="s">
        <v>306</v>
      </c>
      <c r="Q8051" s="8" t="s">
        <v>500</v>
      </c>
      <c r="R8051" s="10" t="s">
        <v>37956</v>
      </c>
      <c r="S8051" s="11"/>
      <c r="T8051" s="6"/>
      <c r="U8051" s="15" t="str">
        <f>HYPERLINK("https://media.infra-m.ru/2214/2214931/cover/2214931.jpg", "Обложка")</f>
        <v>Обложка</v>
      </c>
      <c r="V8051" s="8" t="s">
        <v>2047</v>
      </c>
      <c r="W8051" s="6" t="s">
        <v>186</v>
      </c>
      <c r="X8051" s="6"/>
      <c r="Y8051" s="6"/>
      <c r="Z8051" s="6"/>
      <c r="AA8051" s="6" t="s">
        <v>187</v>
      </c>
      <c r="AB8051" s="8" t="s">
        <v>308</v>
      </c>
      <c r="AC8051" s="27">
        <v>9785160211268</v>
      </c>
    </row>
    <row r="8052" spans="1:29" s="4" customFormat="1" ht="51.9" customHeight="1" x14ac:dyDescent="0.2">
      <c r="A8052" s="5">
        <v>0</v>
      </c>
      <c r="B8052" s="6" t="s">
        <v>45382</v>
      </c>
      <c r="C8052" s="7">
        <v>2376</v>
      </c>
      <c r="D8052" s="8" t="s">
        <v>45383</v>
      </c>
      <c r="E8052" s="8" t="s">
        <v>45384</v>
      </c>
      <c r="F8052" s="8" t="s">
        <v>45385</v>
      </c>
      <c r="G8052" s="6" t="s">
        <v>60</v>
      </c>
      <c r="H8052" s="6" t="s">
        <v>34</v>
      </c>
      <c r="I8052" s="8" t="s">
        <v>253</v>
      </c>
      <c r="J8052" s="9">
        <v>1</v>
      </c>
      <c r="K8052" s="9">
        <v>429</v>
      </c>
      <c r="L8052" s="9">
        <v>2024</v>
      </c>
      <c r="M8052" s="8" t="s">
        <v>45386</v>
      </c>
      <c r="N8052" s="8" t="s">
        <v>243</v>
      </c>
      <c r="O8052" s="8" t="s">
        <v>798</v>
      </c>
      <c r="P8052" s="6" t="s">
        <v>51</v>
      </c>
      <c r="Q8052" s="8" t="s">
        <v>52</v>
      </c>
      <c r="R8052" s="10" t="s">
        <v>6735</v>
      </c>
      <c r="S8052" s="11" t="s">
        <v>45387</v>
      </c>
      <c r="T8052" s="6"/>
      <c r="U8052" s="15" t="str">
        <f>HYPERLINK("https://media.infra-m.ru/2120/2120736/cover/2120736.jpg", "Обложка")</f>
        <v>Обложка</v>
      </c>
      <c r="V8052" s="8" t="s">
        <v>7509</v>
      </c>
      <c r="W8052" s="6"/>
      <c r="X8052" s="6"/>
      <c r="Y8052" s="6"/>
      <c r="Z8052" s="6"/>
      <c r="AA8052" s="6" t="s">
        <v>43</v>
      </c>
      <c r="AB8052" s="8"/>
      <c r="AC8052" s="27">
        <v>9785160197319</v>
      </c>
    </row>
    <row r="8053" spans="1:29" s="4" customFormat="1" ht="51.9" customHeight="1" x14ac:dyDescent="0.2">
      <c r="A8053" s="5">
        <v>0</v>
      </c>
      <c r="B8053" s="6" t="s">
        <v>45388</v>
      </c>
      <c r="C8053" s="7">
        <v>2752.8</v>
      </c>
      <c r="D8053" s="8" t="s">
        <v>45389</v>
      </c>
      <c r="E8053" s="8" t="s">
        <v>45390</v>
      </c>
      <c r="F8053" s="8" t="s">
        <v>45391</v>
      </c>
      <c r="G8053" s="6" t="s">
        <v>60</v>
      </c>
      <c r="H8053" s="6" t="s">
        <v>34</v>
      </c>
      <c r="I8053" s="8" t="s">
        <v>263</v>
      </c>
      <c r="J8053" s="9">
        <v>1</v>
      </c>
      <c r="K8053" s="9">
        <v>395</v>
      </c>
      <c r="L8053" s="9">
        <v>2027</v>
      </c>
      <c r="M8053" s="8" t="s">
        <v>45392</v>
      </c>
      <c r="N8053" s="8" t="s">
        <v>243</v>
      </c>
      <c r="O8053" s="8" t="s">
        <v>798</v>
      </c>
      <c r="P8053" s="6" t="s">
        <v>306</v>
      </c>
      <c r="Q8053" s="8" t="s">
        <v>265</v>
      </c>
      <c r="R8053" s="10" t="s">
        <v>13079</v>
      </c>
      <c r="S8053" s="11" t="s">
        <v>45393</v>
      </c>
      <c r="T8053" s="6"/>
      <c r="U8053" s="15" t="str">
        <f>HYPERLINK("https://media.infra-m.ru/2264/2264639/cover/2264639.jpg", "Обложка")</f>
        <v>Обложка</v>
      </c>
      <c r="V8053" s="8" t="s">
        <v>5739</v>
      </c>
      <c r="W8053" s="6"/>
      <c r="X8053" s="6"/>
      <c r="Y8053" s="6"/>
      <c r="Z8053" s="6" t="s">
        <v>267</v>
      </c>
      <c r="AA8053" s="6" t="s">
        <v>430</v>
      </c>
      <c r="AB8053" s="8"/>
      <c r="AC8053" s="27">
        <v>9785160169378</v>
      </c>
    </row>
    <row r="8054" spans="1:29" s="4" customFormat="1" ht="42" customHeight="1" x14ac:dyDescent="0.2">
      <c r="A8054" s="5">
        <v>0</v>
      </c>
      <c r="B8054" s="6" t="s">
        <v>45394</v>
      </c>
      <c r="C8054" s="7">
        <v>2224.8000000000002</v>
      </c>
      <c r="D8054" s="8" t="s">
        <v>45395</v>
      </c>
      <c r="E8054" s="8" t="s">
        <v>45396</v>
      </c>
      <c r="F8054" s="8" t="s">
        <v>24997</v>
      </c>
      <c r="G8054" s="6" t="s">
        <v>60</v>
      </c>
      <c r="H8054" s="6" t="s">
        <v>1042</v>
      </c>
      <c r="I8054" s="8" t="s">
        <v>401</v>
      </c>
      <c r="J8054" s="9">
        <v>1</v>
      </c>
      <c r="K8054" s="9">
        <v>320</v>
      </c>
      <c r="L8054" s="9">
        <v>2026</v>
      </c>
      <c r="M8054" s="8" t="s">
        <v>45397</v>
      </c>
      <c r="N8054" s="8" t="s">
        <v>243</v>
      </c>
      <c r="O8054" s="8" t="s">
        <v>758</v>
      </c>
      <c r="P8054" s="6" t="s">
        <v>306</v>
      </c>
      <c r="Q8054" s="8" t="s">
        <v>265</v>
      </c>
      <c r="R8054" s="10" t="s">
        <v>45398</v>
      </c>
      <c r="S8054" s="11"/>
      <c r="T8054" s="6"/>
      <c r="U8054" s="15" t="str">
        <f>HYPERLINK("https://media.infra-m.ru/2256/2256585/cover/2256585.jpg", "Обложка")</f>
        <v>Обложка</v>
      </c>
      <c r="V8054" s="8" t="s">
        <v>831</v>
      </c>
      <c r="W8054" s="6"/>
      <c r="X8054" s="6"/>
      <c r="Y8054" s="6"/>
      <c r="Z8054" s="6"/>
      <c r="AA8054" s="6" t="s">
        <v>12057</v>
      </c>
      <c r="AB8054" s="8"/>
      <c r="AC8054" s="27">
        <v>9785819905098</v>
      </c>
    </row>
    <row r="8055" spans="1:29" s="4" customFormat="1" ht="51.9" customHeight="1" x14ac:dyDescent="0.2">
      <c r="A8055" s="5">
        <v>0</v>
      </c>
      <c r="B8055" s="6" t="s">
        <v>45399</v>
      </c>
      <c r="C8055" s="7">
        <v>2112</v>
      </c>
      <c r="D8055" s="8" t="s">
        <v>45400</v>
      </c>
      <c r="E8055" s="8" t="s">
        <v>45396</v>
      </c>
      <c r="F8055" s="8" t="s">
        <v>24997</v>
      </c>
      <c r="G8055" s="6" t="s">
        <v>118</v>
      </c>
      <c r="H8055" s="6" t="s">
        <v>34</v>
      </c>
      <c r="I8055" s="8" t="s">
        <v>253</v>
      </c>
      <c r="J8055" s="9">
        <v>1</v>
      </c>
      <c r="K8055" s="9">
        <v>320</v>
      </c>
      <c r="L8055" s="9">
        <v>2027</v>
      </c>
      <c r="M8055" s="8" t="s">
        <v>45401</v>
      </c>
      <c r="N8055" s="8" t="s">
        <v>243</v>
      </c>
      <c r="O8055" s="8" t="s">
        <v>758</v>
      </c>
      <c r="P8055" s="6" t="s">
        <v>306</v>
      </c>
      <c r="Q8055" s="8" t="s">
        <v>52</v>
      </c>
      <c r="R8055" s="10" t="s">
        <v>7200</v>
      </c>
      <c r="S8055" s="11" t="s">
        <v>45402</v>
      </c>
      <c r="T8055" s="6"/>
      <c r="U8055" s="15" t="str">
        <f>HYPERLINK("https://media.infra-m.ru/2256/2256586/cover/2256586.jpg", "Обложка")</f>
        <v>Обложка</v>
      </c>
      <c r="V8055" s="8" t="s">
        <v>831</v>
      </c>
      <c r="W8055" s="6"/>
      <c r="X8055" s="6"/>
      <c r="Y8055" s="6"/>
      <c r="Z8055" s="6" t="s">
        <v>632</v>
      </c>
      <c r="AA8055" s="6" t="s">
        <v>1256</v>
      </c>
      <c r="AB8055" s="8"/>
      <c r="AC8055" s="27">
        <v>9785160221687</v>
      </c>
    </row>
    <row r="8056" spans="1:29" s="4" customFormat="1" ht="51.9" customHeight="1" x14ac:dyDescent="0.2">
      <c r="A8056" s="5">
        <v>0</v>
      </c>
      <c r="B8056" s="6" t="s">
        <v>45403</v>
      </c>
      <c r="C8056" s="7">
        <v>2280</v>
      </c>
      <c r="D8056" s="8" t="s">
        <v>45404</v>
      </c>
      <c r="E8056" s="8" t="s">
        <v>45405</v>
      </c>
      <c r="F8056" s="8" t="s">
        <v>7831</v>
      </c>
      <c r="G8056" s="6" t="s">
        <v>118</v>
      </c>
      <c r="H8056" s="6" t="s">
        <v>34</v>
      </c>
      <c r="I8056" s="8" t="s">
        <v>253</v>
      </c>
      <c r="J8056" s="9">
        <v>1</v>
      </c>
      <c r="K8056" s="9">
        <v>346</v>
      </c>
      <c r="L8056" s="9">
        <v>2026</v>
      </c>
      <c r="M8056" s="8" t="s">
        <v>45406</v>
      </c>
      <c r="N8056" s="8" t="s">
        <v>37</v>
      </c>
      <c r="O8056" s="8" t="s">
        <v>499</v>
      </c>
      <c r="P8056" s="6" t="s">
        <v>51</v>
      </c>
      <c r="Q8056" s="8" t="s">
        <v>52</v>
      </c>
      <c r="R8056" s="10" t="s">
        <v>26142</v>
      </c>
      <c r="S8056" s="11" t="s">
        <v>45407</v>
      </c>
      <c r="T8056" s="6"/>
      <c r="U8056" s="15" t="str">
        <f>HYPERLINK("https://media.infra-m.ru/2230/2230924/cover/2230924.jpg", "Обложка")</f>
        <v>Обложка</v>
      </c>
      <c r="V8056" s="8" t="s">
        <v>445</v>
      </c>
      <c r="W8056" s="6"/>
      <c r="X8056" s="6"/>
      <c r="Y8056" s="6"/>
      <c r="Z8056" s="6"/>
      <c r="AA8056" s="6" t="s">
        <v>148</v>
      </c>
      <c r="AB8056" s="8"/>
      <c r="AC8056" s="27">
        <v>9785160217611</v>
      </c>
    </row>
    <row r="8057" spans="1:29" s="4" customFormat="1" ht="51.9" customHeight="1" x14ac:dyDescent="0.2">
      <c r="A8057" s="5">
        <v>0</v>
      </c>
      <c r="B8057" s="6" t="s">
        <v>45408</v>
      </c>
      <c r="C8057" s="7">
        <v>1584</v>
      </c>
      <c r="D8057" s="8" t="s">
        <v>45409</v>
      </c>
      <c r="E8057" s="8" t="s">
        <v>45405</v>
      </c>
      <c r="F8057" s="8" t="s">
        <v>7831</v>
      </c>
      <c r="G8057" s="6" t="s">
        <v>60</v>
      </c>
      <c r="H8057" s="6" t="s">
        <v>34</v>
      </c>
      <c r="I8057" s="8" t="s">
        <v>263</v>
      </c>
      <c r="J8057" s="9">
        <v>1</v>
      </c>
      <c r="K8057" s="9">
        <v>346</v>
      </c>
      <c r="L8057" s="9">
        <v>2022</v>
      </c>
      <c r="M8057" s="8" t="s">
        <v>45410</v>
      </c>
      <c r="N8057" s="8" t="s">
        <v>37</v>
      </c>
      <c r="O8057" s="8" t="s">
        <v>499</v>
      </c>
      <c r="P8057" s="6" t="s">
        <v>51</v>
      </c>
      <c r="Q8057" s="8" t="s">
        <v>265</v>
      </c>
      <c r="R8057" s="10" t="s">
        <v>2813</v>
      </c>
      <c r="S8057" s="11" t="s">
        <v>45411</v>
      </c>
      <c r="T8057" s="6"/>
      <c r="U8057" s="15" t="str">
        <f>HYPERLINK("https://media.infra-m.ru/1850/1850731/cover/1850731.jpg", "Обложка")</f>
        <v>Обложка</v>
      </c>
      <c r="V8057" s="8" t="s">
        <v>445</v>
      </c>
      <c r="W8057" s="6"/>
      <c r="X8057" s="6"/>
      <c r="Y8057" s="6"/>
      <c r="Z8057" s="6" t="s">
        <v>267</v>
      </c>
      <c r="AA8057" s="6" t="s">
        <v>148</v>
      </c>
      <c r="AB8057" s="8"/>
      <c r="AC8057" s="27">
        <v>9785160173917</v>
      </c>
    </row>
    <row r="8058" spans="1:29" s="4" customFormat="1" ht="51.9" customHeight="1" x14ac:dyDescent="0.2">
      <c r="A8058" s="5">
        <v>0</v>
      </c>
      <c r="B8058" s="6" t="s">
        <v>45412</v>
      </c>
      <c r="C8058" s="7">
        <v>3710.4</v>
      </c>
      <c r="D8058" s="8" t="s">
        <v>45413</v>
      </c>
      <c r="E8058" s="8" t="s">
        <v>45414</v>
      </c>
      <c r="F8058" s="8" t="s">
        <v>45415</v>
      </c>
      <c r="G8058" s="6" t="s">
        <v>60</v>
      </c>
      <c r="H8058" s="6" t="s">
        <v>34</v>
      </c>
      <c r="I8058" s="8" t="s">
        <v>263</v>
      </c>
      <c r="J8058" s="9">
        <v>1</v>
      </c>
      <c r="K8058" s="9">
        <v>430</v>
      </c>
      <c r="L8058" s="9">
        <v>2026</v>
      </c>
      <c r="M8058" s="8" t="s">
        <v>45416</v>
      </c>
      <c r="N8058" s="8" t="s">
        <v>243</v>
      </c>
      <c r="O8058" s="8" t="s">
        <v>758</v>
      </c>
      <c r="P8058" s="6" t="s">
        <v>51</v>
      </c>
      <c r="Q8058" s="8" t="s">
        <v>265</v>
      </c>
      <c r="R8058" s="10" t="s">
        <v>15487</v>
      </c>
      <c r="S8058" s="11" t="s">
        <v>6429</v>
      </c>
      <c r="T8058" s="6"/>
      <c r="U8058" s="15" t="str">
        <f>HYPERLINK("https://media.infra-m.ru/2208/2208029/cover/2208029.jpg", "Обложка")</f>
        <v>Обложка</v>
      </c>
      <c r="V8058" s="8" t="s">
        <v>831</v>
      </c>
      <c r="W8058" s="6"/>
      <c r="X8058" s="6"/>
      <c r="Y8058" s="6"/>
      <c r="Z8058" s="6"/>
      <c r="AA8058" s="6" t="s">
        <v>1047</v>
      </c>
      <c r="AB8058" s="8"/>
      <c r="AC8058" s="27">
        <v>9785160217451</v>
      </c>
    </row>
    <row r="8059" spans="1:29" s="4" customFormat="1" ht="51.9" customHeight="1" x14ac:dyDescent="0.2">
      <c r="A8059" s="5">
        <v>0</v>
      </c>
      <c r="B8059" s="6" t="s">
        <v>45417</v>
      </c>
      <c r="C8059" s="7">
        <v>2016</v>
      </c>
      <c r="D8059" s="8" t="s">
        <v>45418</v>
      </c>
      <c r="E8059" s="8" t="s">
        <v>45419</v>
      </c>
      <c r="F8059" s="8" t="s">
        <v>45420</v>
      </c>
      <c r="G8059" s="6" t="s">
        <v>118</v>
      </c>
      <c r="H8059" s="6" t="s">
        <v>34</v>
      </c>
      <c r="I8059" s="8" t="s">
        <v>263</v>
      </c>
      <c r="J8059" s="9">
        <v>1</v>
      </c>
      <c r="K8059" s="9">
        <v>304</v>
      </c>
      <c r="L8059" s="9">
        <v>2026</v>
      </c>
      <c r="M8059" s="8" t="s">
        <v>45421</v>
      </c>
      <c r="N8059" s="8" t="s">
        <v>243</v>
      </c>
      <c r="O8059" s="8" t="s">
        <v>758</v>
      </c>
      <c r="P8059" s="6" t="s">
        <v>51</v>
      </c>
      <c r="Q8059" s="8" t="s">
        <v>265</v>
      </c>
      <c r="R8059" s="10" t="s">
        <v>45422</v>
      </c>
      <c r="S8059" s="11" t="s">
        <v>19561</v>
      </c>
      <c r="T8059" s="6"/>
      <c r="U8059" s="15" t="str">
        <f>HYPERLINK("https://media.infra-m.ru/2242/2242685/cover/2242685.jpg", "Обложка")</f>
        <v>Обложка</v>
      </c>
      <c r="V8059" s="8" t="s">
        <v>4409</v>
      </c>
      <c r="W8059" s="6"/>
      <c r="X8059" s="6"/>
      <c r="Y8059" s="6"/>
      <c r="Z8059" s="6" t="s">
        <v>267</v>
      </c>
      <c r="AA8059" s="6" t="s">
        <v>115</v>
      </c>
      <c r="AB8059" s="8"/>
      <c r="AC8059" s="27">
        <v>9785160219202</v>
      </c>
    </row>
    <row r="8060" spans="1:29" s="4" customFormat="1" ht="51.9" customHeight="1" x14ac:dyDescent="0.2">
      <c r="A8060" s="5">
        <v>0</v>
      </c>
      <c r="B8060" s="6" t="s">
        <v>45423</v>
      </c>
      <c r="C8060" s="7">
        <v>1740</v>
      </c>
      <c r="D8060" s="8" t="s">
        <v>45424</v>
      </c>
      <c r="E8060" s="8" t="s">
        <v>45425</v>
      </c>
      <c r="F8060" s="8" t="s">
        <v>45426</v>
      </c>
      <c r="G8060" s="6" t="s">
        <v>118</v>
      </c>
      <c r="H8060" s="6" t="s">
        <v>34</v>
      </c>
      <c r="I8060" s="8" t="s">
        <v>253</v>
      </c>
      <c r="J8060" s="9">
        <v>1</v>
      </c>
      <c r="K8060" s="9">
        <v>263</v>
      </c>
      <c r="L8060" s="9">
        <v>2026</v>
      </c>
      <c r="M8060" s="8" t="s">
        <v>45427</v>
      </c>
      <c r="N8060" s="8" t="s">
        <v>243</v>
      </c>
      <c r="O8060" s="8" t="s">
        <v>758</v>
      </c>
      <c r="P8060" s="6" t="s">
        <v>51</v>
      </c>
      <c r="Q8060" s="8" t="s">
        <v>52</v>
      </c>
      <c r="R8060" s="10" t="s">
        <v>45428</v>
      </c>
      <c r="S8060" s="11" t="s">
        <v>45429</v>
      </c>
      <c r="T8060" s="6"/>
      <c r="U8060" s="15" t="str">
        <f>HYPERLINK("https://media.infra-m.ru/2224/2224078/cover/2224078.jpg", "Обложка")</f>
        <v>Обложка</v>
      </c>
      <c r="V8060" s="8"/>
      <c r="W8060" s="6"/>
      <c r="X8060" s="6"/>
      <c r="Y8060" s="6"/>
      <c r="Z8060" s="6"/>
      <c r="AA8060" s="6" t="s">
        <v>55</v>
      </c>
      <c r="AB8060" s="8"/>
      <c r="AC8060" s="27">
        <v>9785160214320</v>
      </c>
    </row>
    <row r="8061" spans="1:29" s="4" customFormat="1" ht="51.9" customHeight="1" x14ac:dyDescent="0.2">
      <c r="A8061" s="5">
        <v>0</v>
      </c>
      <c r="B8061" s="6" t="s">
        <v>45430</v>
      </c>
      <c r="C8061" s="7">
        <v>2320.8000000000002</v>
      </c>
      <c r="D8061" s="8" t="s">
        <v>45431</v>
      </c>
      <c r="E8061" s="8" t="s">
        <v>45432</v>
      </c>
      <c r="F8061" s="8" t="s">
        <v>45433</v>
      </c>
      <c r="G8061" s="6" t="s">
        <v>118</v>
      </c>
      <c r="H8061" s="6" t="s">
        <v>34</v>
      </c>
      <c r="I8061" s="8" t="s">
        <v>263</v>
      </c>
      <c r="J8061" s="9">
        <v>1</v>
      </c>
      <c r="K8061" s="9">
        <v>352</v>
      </c>
      <c r="L8061" s="9">
        <v>2026</v>
      </c>
      <c r="M8061" s="8" t="s">
        <v>45434</v>
      </c>
      <c r="N8061" s="8" t="s">
        <v>243</v>
      </c>
      <c r="O8061" s="8" t="s">
        <v>758</v>
      </c>
      <c r="P8061" s="6" t="s">
        <v>51</v>
      </c>
      <c r="Q8061" s="8" t="s">
        <v>265</v>
      </c>
      <c r="R8061" s="10" t="s">
        <v>45435</v>
      </c>
      <c r="S8061" s="11" t="s">
        <v>45436</v>
      </c>
      <c r="T8061" s="6"/>
      <c r="U8061" s="15" t="str">
        <f>HYPERLINK("https://media.infra-m.ru/2224/2224186/cover/2224186.jpg", "Обложка")</f>
        <v>Обложка</v>
      </c>
      <c r="V8061" s="8" t="s">
        <v>227</v>
      </c>
      <c r="W8061" s="6"/>
      <c r="X8061" s="6"/>
      <c r="Y8061" s="6"/>
      <c r="Z8061" s="6"/>
      <c r="AA8061" s="6" t="s">
        <v>623</v>
      </c>
      <c r="AB8061" s="8"/>
      <c r="AC8061" s="27">
        <v>9785160125664</v>
      </c>
    </row>
    <row r="8062" spans="1:29" s="4" customFormat="1" ht="51.9" customHeight="1" x14ac:dyDescent="0.2">
      <c r="A8062" s="5">
        <v>0</v>
      </c>
      <c r="B8062" s="6" t="s">
        <v>45437</v>
      </c>
      <c r="C8062" s="7">
        <v>2328</v>
      </c>
      <c r="D8062" s="8" t="s">
        <v>45438</v>
      </c>
      <c r="E8062" s="8" t="s">
        <v>45439</v>
      </c>
      <c r="F8062" s="8" t="s">
        <v>40765</v>
      </c>
      <c r="G8062" s="6" t="s">
        <v>118</v>
      </c>
      <c r="H8062" s="6" t="s">
        <v>34</v>
      </c>
      <c r="I8062" s="8" t="s">
        <v>263</v>
      </c>
      <c r="J8062" s="9">
        <v>1</v>
      </c>
      <c r="K8062" s="9">
        <v>352</v>
      </c>
      <c r="L8062" s="9">
        <v>2026</v>
      </c>
      <c r="M8062" s="8" t="s">
        <v>45440</v>
      </c>
      <c r="N8062" s="8" t="s">
        <v>243</v>
      </c>
      <c r="O8062" s="8" t="s">
        <v>758</v>
      </c>
      <c r="P8062" s="6" t="s">
        <v>51</v>
      </c>
      <c r="Q8062" s="8" t="s">
        <v>265</v>
      </c>
      <c r="R8062" s="10" t="s">
        <v>45441</v>
      </c>
      <c r="S8062" s="11" t="s">
        <v>45442</v>
      </c>
      <c r="T8062" s="6"/>
      <c r="U8062" s="15" t="str">
        <f>HYPERLINK("https://media.infra-m.ru/2256/2256953/cover/2256953.jpg", "Обложка")</f>
        <v>Обложка</v>
      </c>
      <c r="V8062" s="8" t="s">
        <v>227</v>
      </c>
      <c r="W8062" s="6"/>
      <c r="X8062" s="6" t="s">
        <v>24</v>
      </c>
      <c r="Y8062" s="6"/>
      <c r="Z8062" s="6"/>
      <c r="AA8062" s="6" t="s">
        <v>3991</v>
      </c>
      <c r="AB8062" s="8"/>
      <c r="AC8062" s="27">
        <v>9785160221885</v>
      </c>
    </row>
    <row r="8063" spans="1:29" s="4" customFormat="1" ht="51.9" customHeight="1" x14ac:dyDescent="0.2">
      <c r="A8063" s="5">
        <v>0</v>
      </c>
      <c r="B8063" s="6" t="s">
        <v>45443</v>
      </c>
      <c r="C8063" s="7">
        <v>1097.9000000000001</v>
      </c>
      <c r="D8063" s="8" t="s">
        <v>45444</v>
      </c>
      <c r="E8063" s="8" t="s">
        <v>45445</v>
      </c>
      <c r="F8063" s="8" t="s">
        <v>1932</v>
      </c>
      <c r="G8063" s="6" t="s">
        <v>60</v>
      </c>
      <c r="H8063" s="6" t="s">
        <v>48</v>
      </c>
      <c r="I8063" s="8"/>
      <c r="J8063" s="9">
        <v>1</v>
      </c>
      <c r="K8063" s="9">
        <v>352</v>
      </c>
      <c r="L8063" s="9">
        <v>2017</v>
      </c>
      <c r="M8063" s="8" t="s">
        <v>45446</v>
      </c>
      <c r="N8063" s="8" t="s">
        <v>243</v>
      </c>
      <c r="O8063" s="8" t="s">
        <v>758</v>
      </c>
      <c r="P8063" s="6" t="s">
        <v>306</v>
      </c>
      <c r="Q8063" s="8" t="s">
        <v>265</v>
      </c>
      <c r="R8063" s="10" t="s">
        <v>45447</v>
      </c>
      <c r="S8063" s="11" t="s">
        <v>45448</v>
      </c>
      <c r="T8063" s="6"/>
      <c r="U8063" s="15" t="str">
        <f>HYPERLINK("https://media.infra-m.ru/0908/0908572/cover/908572.jpg", "Обложка")</f>
        <v>Обложка</v>
      </c>
      <c r="V8063" s="8" t="s">
        <v>227</v>
      </c>
      <c r="W8063" s="6"/>
      <c r="X8063" s="6"/>
      <c r="Y8063" s="6"/>
      <c r="Z8063" s="6"/>
      <c r="AA8063" s="6" t="s">
        <v>7324</v>
      </c>
      <c r="AB8063" s="8"/>
      <c r="AC8063" s="27">
        <v>9785911345969</v>
      </c>
    </row>
    <row r="8064" spans="1:29" s="4" customFormat="1" ht="51.9" customHeight="1" x14ac:dyDescent="0.2">
      <c r="A8064" s="5">
        <v>0</v>
      </c>
      <c r="B8064" s="6" t="s">
        <v>45449</v>
      </c>
      <c r="C8064" s="7">
        <v>2212.8000000000002</v>
      </c>
      <c r="D8064" s="8" t="s">
        <v>45450</v>
      </c>
      <c r="E8064" s="8" t="s">
        <v>45451</v>
      </c>
      <c r="F8064" s="8" t="s">
        <v>1932</v>
      </c>
      <c r="G8064" s="6" t="s">
        <v>118</v>
      </c>
      <c r="H8064" s="6" t="s">
        <v>34</v>
      </c>
      <c r="I8064" s="8" t="s">
        <v>263</v>
      </c>
      <c r="J8064" s="9">
        <v>1</v>
      </c>
      <c r="K8064" s="9">
        <v>336</v>
      </c>
      <c r="L8064" s="9">
        <v>2026</v>
      </c>
      <c r="M8064" s="8" t="s">
        <v>45452</v>
      </c>
      <c r="N8064" s="8" t="s">
        <v>243</v>
      </c>
      <c r="O8064" s="8" t="s">
        <v>758</v>
      </c>
      <c r="P8064" s="6" t="s">
        <v>306</v>
      </c>
      <c r="Q8064" s="8" t="s">
        <v>265</v>
      </c>
      <c r="R8064" s="10" t="s">
        <v>45447</v>
      </c>
      <c r="S8064" s="11" t="s">
        <v>45453</v>
      </c>
      <c r="T8064" s="6"/>
      <c r="U8064" s="15" t="str">
        <f>HYPERLINK("https://media.infra-m.ru/2236/2236175/cover/2236175.jpg", "Обложка")</f>
        <v>Обложка</v>
      </c>
      <c r="V8064" s="8" t="s">
        <v>227</v>
      </c>
      <c r="W8064" s="6"/>
      <c r="X8064" s="6"/>
      <c r="Y8064" s="6"/>
      <c r="Z8064" s="6"/>
      <c r="AA8064" s="6" t="s">
        <v>3736</v>
      </c>
      <c r="AB8064" s="8"/>
      <c r="AC8064" s="27">
        <v>9785160126661</v>
      </c>
    </row>
    <row r="8065" spans="1:29" s="4" customFormat="1" ht="51.9" customHeight="1" x14ac:dyDescent="0.2">
      <c r="A8065" s="5">
        <v>0</v>
      </c>
      <c r="B8065" s="6" t="s">
        <v>45454</v>
      </c>
      <c r="C8065" s="7">
        <v>2072.4</v>
      </c>
      <c r="D8065" s="8" t="s">
        <v>45455</v>
      </c>
      <c r="E8065" s="8" t="s">
        <v>45456</v>
      </c>
      <c r="F8065" s="8" t="s">
        <v>45457</v>
      </c>
      <c r="G8065" s="6" t="s">
        <v>118</v>
      </c>
      <c r="H8065" s="6" t="s">
        <v>34</v>
      </c>
      <c r="I8065" s="8" t="s">
        <v>271</v>
      </c>
      <c r="J8065" s="9">
        <v>1</v>
      </c>
      <c r="K8065" s="9">
        <v>289</v>
      </c>
      <c r="L8065" s="9">
        <v>2023</v>
      </c>
      <c r="M8065" s="8" t="s">
        <v>45458</v>
      </c>
      <c r="N8065" s="8" t="s">
        <v>93</v>
      </c>
      <c r="O8065" s="8" t="s">
        <v>94</v>
      </c>
      <c r="P8065" s="6" t="s">
        <v>51</v>
      </c>
      <c r="Q8065" s="8" t="s">
        <v>52</v>
      </c>
      <c r="R8065" s="10" t="s">
        <v>45459</v>
      </c>
      <c r="S8065" s="11" t="s">
        <v>45460</v>
      </c>
      <c r="T8065" s="6" t="s">
        <v>97</v>
      </c>
      <c r="U8065" s="15" t="str">
        <f>HYPERLINK("https://media.infra-m.ru/2045/2045898/cover/2045898.jpg", "Обложка")</f>
        <v>Обложка</v>
      </c>
      <c r="V8065" s="8" t="s">
        <v>54</v>
      </c>
      <c r="W8065" s="6"/>
      <c r="X8065" s="6"/>
      <c r="Y8065" s="6"/>
      <c r="Z8065" s="6"/>
      <c r="AA8065" s="6" t="s">
        <v>3189</v>
      </c>
      <c r="AB8065" s="8"/>
      <c r="AC8065" s="27">
        <v>9785160170596</v>
      </c>
    </row>
    <row r="8066" spans="1:29" s="4" customFormat="1" ht="51.9" customHeight="1" x14ac:dyDescent="0.2">
      <c r="A8066" s="5">
        <v>0</v>
      </c>
      <c r="B8066" s="6" t="s">
        <v>45461</v>
      </c>
      <c r="C8066" s="7">
        <v>1421.9</v>
      </c>
      <c r="D8066" s="8" t="s">
        <v>45462</v>
      </c>
      <c r="E8066" s="8" t="s">
        <v>45463</v>
      </c>
      <c r="F8066" s="8" t="s">
        <v>45457</v>
      </c>
      <c r="G8066" s="6" t="s">
        <v>60</v>
      </c>
      <c r="H8066" s="6" t="s">
        <v>34</v>
      </c>
      <c r="I8066" s="8" t="s">
        <v>271</v>
      </c>
      <c r="J8066" s="9">
        <v>1</v>
      </c>
      <c r="K8066" s="9">
        <v>257</v>
      </c>
      <c r="L8066" s="9">
        <v>2021</v>
      </c>
      <c r="M8066" s="8" t="s">
        <v>45464</v>
      </c>
      <c r="N8066" s="8" t="s">
        <v>93</v>
      </c>
      <c r="O8066" s="8" t="s">
        <v>94</v>
      </c>
      <c r="P8066" s="6" t="s">
        <v>51</v>
      </c>
      <c r="Q8066" s="8" t="s">
        <v>52</v>
      </c>
      <c r="R8066" s="10" t="s">
        <v>45459</v>
      </c>
      <c r="S8066" s="11" t="s">
        <v>45465</v>
      </c>
      <c r="T8066" s="6" t="s">
        <v>97</v>
      </c>
      <c r="U8066" s="15" t="str">
        <f>HYPERLINK("https://media.infra-m.ru/1635/1635343/cover/1635343.jpg", "Обложка")</f>
        <v>Обложка</v>
      </c>
      <c r="V8066" s="8" t="s">
        <v>54</v>
      </c>
      <c r="W8066" s="6"/>
      <c r="X8066" s="6"/>
      <c r="Y8066" s="6"/>
      <c r="Z8066" s="6"/>
      <c r="AA8066" s="6" t="s">
        <v>218</v>
      </c>
      <c r="AB8066" s="8"/>
      <c r="AC8066" s="27">
        <v>9785160155029</v>
      </c>
    </row>
    <row r="8067" spans="1:29" s="4" customFormat="1" ht="42" customHeight="1" x14ac:dyDescent="0.2">
      <c r="A8067" s="5">
        <v>0</v>
      </c>
      <c r="B8067" s="6" t="s">
        <v>45466</v>
      </c>
      <c r="C8067" s="7">
        <v>1152</v>
      </c>
      <c r="D8067" s="8" t="s">
        <v>45467</v>
      </c>
      <c r="E8067" s="8" t="s">
        <v>45468</v>
      </c>
      <c r="F8067" s="8" t="s">
        <v>45469</v>
      </c>
      <c r="G8067" s="6" t="s">
        <v>33</v>
      </c>
      <c r="H8067" s="6" t="s">
        <v>34</v>
      </c>
      <c r="I8067" s="8" t="s">
        <v>1074</v>
      </c>
      <c r="J8067" s="9">
        <v>1</v>
      </c>
      <c r="K8067" s="9">
        <v>245</v>
      </c>
      <c r="L8067" s="9">
        <v>2022</v>
      </c>
      <c r="M8067" s="8" t="s">
        <v>45470</v>
      </c>
      <c r="N8067" s="8" t="s">
        <v>37</v>
      </c>
      <c r="O8067" s="8" t="s">
        <v>136</v>
      </c>
      <c r="P8067" s="6" t="s">
        <v>39</v>
      </c>
      <c r="Q8067" s="8" t="s">
        <v>40</v>
      </c>
      <c r="R8067" s="10" t="s">
        <v>1625</v>
      </c>
      <c r="S8067" s="11"/>
      <c r="T8067" s="6"/>
      <c r="U8067" s="15" t="str">
        <f>HYPERLINK("https://media.infra-m.ru/1851/1851138/cover/1851138.jpg", "Обложка")</f>
        <v>Обложка</v>
      </c>
      <c r="V8067" s="8" t="s">
        <v>138</v>
      </c>
      <c r="W8067" s="6"/>
      <c r="X8067" s="6"/>
      <c r="Y8067" s="6"/>
      <c r="Z8067" s="6"/>
      <c r="AA8067" s="6" t="s">
        <v>248</v>
      </c>
      <c r="AB8067" s="8"/>
      <c r="AC8067" s="27">
        <v>9785160107905</v>
      </c>
    </row>
    <row r="8068" spans="1:29" s="4" customFormat="1" ht="51.9" customHeight="1" x14ac:dyDescent="0.2">
      <c r="A8068" s="5">
        <v>0</v>
      </c>
      <c r="B8068" s="6" t="s">
        <v>45471</v>
      </c>
      <c r="C8068" s="13">
        <v>784.8</v>
      </c>
      <c r="D8068" s="8" t="s">
        <v>45472</v>
      </c>
      <c r="E8068" s="8" t="s">
        <v>45473</v>
      </c>
      <c r="F8068" s="8" t="s">
        <v>45474</v>
      </c>
      <c r="G8068" s="6" t="s">
        <v>33</v>
      </c>
      <c r="H8068" s="6" t="s">
        <v>34</v>
      </c>
      <c r="I8068" s="8" t="s">
        <v>3620</v>
      </c>
      <c r="J8068" s="9">
        <v>1</v>
      </c>
      <c r="K8068" s="9">
        <v>134</v>
      </c>
      <c r="L8068" s="9">
        <v>2023</v>
      </c>
      <c r="M8068" s="8" t="s">
        <v>45475</v>
      </c>
      <c r="N8068" s="8" t="s">
        <v>585</v>
      </c>
      <c r="O8068" s="8" t="s">
        <v>775</v>
      </c>
      <c r="P8068" s="6" t="s">
        <v>51</v>
      </c>
      <c r="Q8068" s="8" t="s">
        <v>52</v>
      </c>
      <c r="R8068" s="10" t="s">
        <v>19712</v>
      </c>
      <c r="S8068" s="11" t="s">
        <v>45476</v>
      </c>
      <c r="T8068" s="6"/>
      <c r="U8068" s="15" t="str">
        <f>HYPERLINK("https://media.infra-m.ru/2111/2111389/cover/2111389.jpg", "Обложка")</f>
        <v>Обложка</v>
      </c>
      <c r="V8068" s="8"/>
      <c r="W8068" s="6"/>
      <c r="X8068" s="6"/>
      <c r="Y8068" s="6"/>
      <c r="Z8068" s="6"/>
      <c r="AA8068" s="6" t="s">
        <v>779</v>
      </c>
      <c r="AB8068" s="8"/>
      <c r="AC8068" s="27">
        <v>9785160108490</v>
      </c>
    </row>
    <row r="8069" spans="1:29" s="4" customFormat="1" ht="51.9" customHeight="1" x14ac:dyDescent="0.2">
      <c r="A8069" s="5">
        <v>0</v>
      </c>
      <c r="B8069" s="6" t="s">
        <v>45477</v>
      </c>
      <c r="C8069" s="7">
        <v>1020</v>
      </c>
      <c r="D8069" s="8" t="s">
        <v>45478</v>
      </c>
      <c r="E8069" s="8" t="s">
        <v>45479</v>
      </c>
      <c r="F8069" s="8" t="s">
        <v>45480</v>
      </c>
      <c r="G8069" s="6" t="s">
        <v>33</v>
      </c>
      <c r="H8069" s="6" t="s">
        <v>34</v>
      </c>
      <c r="I8069" s="8" t="s">
        <v>253</v>
      </c>
      <c r="J8069" s="9">
        <v>1</v>
      </c>
      <c r="K8069" s="9">
        <v>185</v>
      </c>
      <c r="L8069" s="9">
        <v>2023</v>
      </c>
      <c r="M8069" s="8" t="s">
        <v>45481</v>
      </c>
      <c r="N8069" s="8" t="s">
        <v>585</v>
      </c>
      <c r="O8069" s="8" t="s">
        <v>775</v>
      </c>
      <c r="P8069" s="6" t="s">
        <v>51</v>
      </c>
      <c r="Q8069" s="8" t="s">
        <v>65</v>
      </c>
      <c r="R8069" s="10" t="s">
        <v>19712</v>
      </c>
      <c r="S8069" s="11" t="s">
        <v>45482</v>
      </c>
      <c r="T8069" s="6"/>
      <c r="U8069" s="15" t="str">
        <f>HYPERLINK("https://media.infra-m.ru/2053/2053224/cover/2053224.jpg", "Обложка")</f>
        <v>Обложка</v>
      </c>
      <c r="V8069" s="8" t="s">
        <v>1425</v>
      </c>
      <c r="W8069" s="6"/>
      <c r="X8069" s="6"/>
      <c r="Y8069" s="6"/>
      <c r="Z8069" s="6"/>
      <c r="AA8069" s="6" t="s">
        <v>274</v>
      </c>
      <c r="AB8069" s="8"/>
      <c r="AC8069" s="27">
        <v>9785160187471</v>
      </c>
    </row>
    <row r="8070" spans="1:29" s="4" customFormat="1" ht="51.9" customHeight="1" x14ac:dyDescent="0.2">
      <c r="A8070" s="5">
        <v>0</v>
      </c>
      <c r="B8070" s="6" t="s">
        <v>45483</v>
      </c>
      <c r="C8070" s="7">
        <v>1248</v>
      </c>
      <c r="D8070" s="8" t="s">
        <v>45484</v>
      </c>
      <c r="E8070" s="8" t="s">
        <v>45485</v>
      </c>
      <c r="F8070" s="8" t="s">
        <v>3356</v>
      </c>
      <c r="G8070" s="6" t="s">
        <v>33</v>
      </c>
      <c r="H8070" s="6" t="s">
        <v>34</v>
      </c>
      <c r="I8070" s="8" t="s">
        <v>35</v>
      </c>
      <c r="J8070" s="9">
        <v>1</v>
      </c>
      <c r="K8070" s="9">
        <v>184</v>
      </c>
      <c r="L8070" s="9">
        <v>2026</v>
      </c>
      <c r="M8070" s="8" t="s">
        <v>45486</v>
      </c>
      <c r="N8070" s="8" t="s">
        <v>63</v>
      </c>
      <c r="O8070" s="8" t="s">
        <v>64</v>
      </c>
      <c r="P8070" s="6" t="s">
        <v>39</v>
      </c>
      <c r="Q8070" s="8" t="s">
        <v>40</v>
      </c>
      <c r="R8070" s="10" t="s">
        <v>17733</v>
      </c>
      <c r="S8070" s="11"/>
      <c r="T8070" s="6"/>
      <c r="U8070" s="15" t="str">
        <f>HYPERLINK("https://media.infra-m.ru/2232/2232499/cover/2232499.jpg", "Обложка")</f>
        <v>Обложка</v>
      </c>
      <c r="V8070" s="8" t="s">
        <v>3087</v>
      </c>
      <c r="W8070" s="6"/>
      <c r="X8070" s="6"/>
      <c r="Y8070" s="6"/>
      <c r="Z8070" s="6"/>
      <c r="AA8070" s="6" t="s">
        <v>55</v>
      </c>
      <c r="AB8070" s="8"/>
      <c r="AC8070" s="27">
        <v>9785160065960</v>
      </c>
    </row>
    <row r="8071" spans="1:29" s="4" customFormat="1" ht="51.9" customHeight="1" x14ac:dyDescent="0.2">
      <c r="A8071" s="5">
        <v>0</v>
      </c>
      <c r="B8071" s="6" t="s">
        <v>45487</v>
      </c>
      <c r="C8071" s="7">
        <v>1504.8</v>
      </c>
      <c r="D8071" s="8" t="s">
        <v>45488</v>
      </c>
      <c r="E8071" s="8" t="s">
        <v>45489</v>
      </c>
      <c r="F8071" s="8" t="s">
        <v>995</v>
      </c>
      <c r="G8071" s="6" t="s">
        <v>60</v>
      </c>
      <c r="H8071" s="6" t="s">
        <v>48</v>
      </c>
      <c r="I8071" s="8" t="s">
        <v>401</v>
      </c>
      <c r="J8071" s="9">
        <v>1</v>
      </c>
      <c r="K8071" s="9">
        <v>272</v>
      </c>
      <c r="L8071" s="9">
        <v>2024</v>
      </c>
      <c r="M8071" s="8" t="s">
        <v>45490</v>
      </c>
      <c r="N8071" s="8" t="s">
        <v>243</v>
      </c>
      <c r="O8071" s="8" t="s">
        <v>329</v>
      </c>
      <c r="P8071" s="6" t="s">
        <v>51</v>
      </c>
      <c r="Q8071" s="8" t="s">
        <v>265</v>
      </c>
      <c r="R8071" s="10" t="s">
        <v>45491</v>
      </c>
      <c r="S8071" s="11" t="s">
        <v>45492</v>
      </c>
      <c r="T8071" s="6"/>
      <c r="U8071" s="15" t="str">
        <f>HYPERLINK("https://media.infra-m.ru/2066/2066472/cover/2066472.jpg", "Обложка")</f>
        <v>Обложка</v>
      </c>
      <c r="V8071" s="8" t="s">
        <v>998</v>
      </c>
      <c r="W8071" s="6"/>
      <c r="X8071" s="6"/>
      <c r="Y8071" s="6"/>
      <c r="Z8071" s="6"/>
      <c r="AA8071" s="6" t="s">
        <v>1047</v>
      </c>
      <c r="AB8071" s="8"/>
      <c r="AC8071" s="27">
        <v>9785911342289</v>
      </c>
    </row>
    <row r="8072" spans="1:29" s="4" customFormat="1" ht="51.9" customHeight="1" x14ac:dyDescent="0.2">
      <c r="A8072" s="5">
        <v>0</v>
      </c>
      <c r="B8072" s="6" t="s">
        <v>45493</v>
      </c>
      <c r="C8072" s="7">
        <v>1672.8</v>
      </c>
      <c r="D8072" s="8" t="s">
        <v>45494</v>
      </c>
      <c r="E8072" s="8" t="s">
        <v>45495</v>
      </c>
      <c r="F8072" s="8" t="s">
        <v>45496</v>
      </c>
      <c r="G8072" s="6" t="s">
        <v>33</v>
      </c>
      <c r="H8072" s="6" t="s">
        <v>134</v>
      </c>
      <c r="I8072" s="8"/>
      <c r="J8072" s="9">
        <v>1</v>
      </c>
      <c r="K8072" s="9">
        <v>256</v>
      </c>
      <c r="L8072" s="9">
        <v>2026</v>
      </c>
      <c r="M8072" s="8" t="s">
        <v>45497</v>
      </c>
      <c r="N8072" s="8" t="s">
        <v>37</v>
      </c>
      <c r="O8072" s="8" t="s">
        <v>499</v>
      </c>
      <c r="P8072" s="6" t="s">
        <v>306</v>
      </c>
      <c r="Q8072" s="8" t="s">
        <v>52</v>
      </c>
      <c r="R8072" s="10" t="s">
        <v>4320</v>
      </c>
      <c r="S8072" s="11" t="s">
        <v>45498</v>
      </c>
      <c r="T8072" s="6"/>
      <c r="U8072" s="15" t="str">
        <f>HYPERLINK("https://media.infra-m.ru/2221/2221349/cover/2221349.jpg", "Обложка")</f>
        <v>Обложка</v>
      </c>
      <c r="V8072" s="8" t="s">
        <v>657</v>
      </c>
      <c r="W8072" s="6"/>
      <c r="X8072" s="6"/>
      <c r="Y8072" s="6"/>
      <c r="Z8072" s="6"/>
      <c r="AA8072" s="6" t="s">
        <v>779</v>
      </c>
      <c r="AB8072" s="8"/>
      <c r="AC8072" s="27">
        <v>9785917686509</v>
      </c>
    </row>
    <row r="8073" spans="1:29" s="4" customFormat="1" ht="42" customHeight="1" x14ac:dyDescent="0.2">
      <c r="A8073" s="5">
        <v>0</v>
      </c>
      <c r="B8073" s="6" t="s">
        <v>45499</v>
      </c>
      <c r="C8073" s="7">
        <v>1996.8</v>
      </c>
      <c r="D8073" s="8" t="s">
        <v>45500</v>
      </c>
      <c r="E8073" s="8" t="s">
        <v>45501</v>
      </c>
      <c r="F8073" s="8" t="s">
        <v>45502</v>
      </c>
      <c r="G8073" s="6" t="s">
        <v>60</v>
      </c>
      <c r="H8073" s="6" t="s">
        <v>34</v>
      </c>
      <c r="I8073" s="8" t="s">
        <v>271</v>
      </c>
      <c r="J8073" s="9">
        <v>1</v>
      </c>
      <c r="K8073" s="9">
        <v>287</v>
      </c>
      <c r="L8073" s="9">
        <v>2027</v>
      </c>
      <c r="M8073" s="8" t="s">
        <v>45503</v>
      </c>
      <c r="N8073" s="8" t="s">
        <v>37</v>
      </c>
      <c r="O8073" s="8" t="s">
        <v>499</v>
      </c>
      <c r="P8073" s="6" t="s">
        <v>51</v>
      </c>
      <c r="Q8073" s="8" t="s">
        <v>52</v>
      </c>
      <c r="R8073" s="10" t="s">
        <v>45504</v>
      </c>
      <c r="S8073" s="11"/>
      <c r="T8073" s="6"/>
      <c r="U8073" s="15" t="str">
        <f>HYPERLINK("https://media.infra-m.ru/2263/2263940/cover/2263940.jpg", "Обложка")</f>
        <v>Обложка</v>
      </c>
      <c r="V8073" s="8" t="s">
        <v>1157</v>
      </c>
      <c r="W8073" s="6"/>
      <c r="X8073" s="6"/>
      <c r="Y8073" s="6"/>
      <c r="Z8073" s="6"/>
      <c r="AA8073" s="6" t="s">
        <v>274</v>
      </c>
      <c r="AB8073" s="8"/>
      <c r="AC8073" s="27">
        <v>9785160101965</v>
      </c>
    </row>
    <row r="8074" spans="1:29" s="4" customFormat="1" ht="51.9" customHeight="1" x14ac:dyDescent="0.2">
      <c r="A8074" s="5">
        <v>0</v>
      </c>
      <c r="B8074" s="6" t="s">
        <v>45505</v>
      </c>
      <c r="C8074" s="7">
        <v>1416</v>
      </c>
      <c r="D8074" s="8" t="s">
        <v>45506</v>
      </c>
      <c r="E8074" s="8" t="s">
        <v>45507</v>
      </c>
      <c r="F8074" s="8" t="s">
        <v>45508</v>
      </c>
      <c r="G8074" s="6" t="s">
        <v>33</v>
      </c>
      <c r="H8074" s="6" t="s">
        <v>134</v>
      </c>
      <c r="I8074" s="8"/>
      <c r="J8074" s="9">
        <v>1</v>
      </c>
      <c r="K8074" s="9">
        <v>256</v>
      </c>
      <c r="L8074" s="9">
        <v>2024</v>
      </c>
      <c r="M8074" s="8" t="s">
        <v>45509</v>
      </c>
      <c r="N8074" s="8" t="s">
        <v>37</v>
      </c>
      <c r="O8074" s="8" t="s">
        <v>499</v>
      </c>
      <c r="P8074" s="6" t="s">
        <v>306</v>
      </c>
      <c r="Q8074" s="8" t="s">
        <v>52</v>
      </c>
      <c r="R8074" s="10" t="s">
        <v>45510</v>
      </c>
      <c r="S8074" s="11"/>
      <c r="T8074" s="6"/>
      <c r="U8074" s="15" t="str">
        <f>HYPERLINK("https://media.infra-m.ru/2084/2084243/cover/2084243.jpg", "Обложка")</f>
        <v>Обложка</v>
      </c>
      <c r="V8074" s="8" t="s">
        <v>657</v>
      </c>
      <c r="W8074" s="6"/>
      <c r="X8074" s="6"/>
      <c r="Y8074" s="6"/>
      <c r="Z8074" s="6"/>
      <c r="AA8074" s="6" t="s">
        <v>274</v>
      </c>
      <c r="AB8074" s="8"/>
      <c r="AC8074" s="27">
        <v>9785917686158</v>
      </c>
    </row>
    <row r="8075" spans="1:29" s="4" customFormat="1" ht="42" customHeight="1" x14ac:dyDescent="0.2">
      <c r="A8075" s="5">
        <v>0</v>
      </c>
      <c r="B8075" s="6" t="s">
        <v>45511</v>
      </c>
      <c r="C8075" s="7">
        <v>1240.8</v>
      </c>
      <c r="D8075" s="8" t="s">
        <v>45512</v>
      </c>
      <c r="E8075" s="8" t="s">
        <v>45513</v>
      </c>
      <c r="F8075" s="8" t="s">
        <v>45514</v>
      </c>
      <c r="G8075" s="6" t="s">
        <v>33</v>
      </c>
      <c r="H8075" s="6" t="s">
        <v>134</v>
      </c>
      <c r="I8075" s="8"/>
      <c r="J8075" s="9">
        <v>1</v>
      </c>
      <c r="K8075" s="9">
        <v>224</v>
      </c>
      <c r="L8075" s="9">
        <v>2024</v>
      </c>
      <c r="M8075" s="8" t="s">
        <v>45515</v>
      </c>
      <c r="N8075" s="8" t="s">
        <v>37</v>
      </c>
      <c r="O8075" s="8" t="s">
        <v>499</v>
      </c>
      <c r="P8075" s="6" t="s">
        <v>51</v>
      </c>
      <c r="Q8075" s="8" t="s">
        <v>52</v>
      </c>
      <c r="R8075" s="10" t="s">
        <v>3565</v>
      </c>
      <c r="S8075" s="11"/>
      <c r="T8075" s="6"/>
      <c r="U8075" s="15" t="str">
        <f>HYPERLINK("https://media.infra-m.ru/2120/2120768/cover/2120768.jpg", "Обложка")</f>
        <v>Обложка</v>
      </c>
      <c r="V8075" s="8" t="s">
        <v>6457</v>
      </c>
      <c r="W8075" s="6"/>
      <c r="X8075" s="6"/>
      <c r="Y8075" s="6"/>
      <c r="Z8075" s="6"/>
      <c r="AA8075" s="6" t="s">
        <v>779</v>
      </c>
      <c r="AB8075" s="8"/>
      <c r="AC8075" s="27">
        <v>9785917686745</v>
      </c>
    </row>
    <row r="8076" spans="1:29" s="4" customFormat="1" ht="51.9" customHeight="1" x14ac:dyDescent="0.2">
      <c r="A8076" s="5">
        <v>0</v>
      </c>
      <c r="B8076" s="6" t="s">
        <v>45516</v>
      </c>
      <c r="C8076" s="7">
        <v>1396.8</v>
      </c>
      <c r="D8076" s="8" t="s">
        <v>45517</v>
      </c>
      <c r="E8076" s="8" t="s">
        <v>45518</v>
      </c>
      <c r="F8076" s="8" t="s">
        <v>45519</v>
      </c>
      <c r="G8076" s="6" t="s">
        <v>60</v>
      </c>
      <c r="H8076" s="6" t="s">
        <v>1042</v>
      </c>
      <c r="I8076" s="8" t="s">
        <v>253</v>
      </c>
      <c r="J8076" s="9">
        <v>1</v>
      </c>
      <c r="K8076" s="9">
        <v>224</v>
      </c>
      <c r="L8076" s="9">
        <v>2025</v>
      </c>
      <c r="M8076" s="8" t="s">
        <v>45520</v>
      </c>
      <c r="N8076" s="8" t="s">
        <v>37</v>
      </c>
      <c r="O8076" s="8" t="s">
        <v>280</v>
      </c>
      <c r="P8076" s="6" t="s">
        <v>51</v>
      </c>
      <c r="Q8076" s="8" t="s">
        <v>52</v>
      </c>
      <c r="R8076" s="10" t="s">
        <v>45521</v>
      </c>
      <c r="S8076" s="11" t="s">
        <v>45522</v>
      </c>
      <c r="T8076" s="6"/>
      <c r="U8076" s="15" t="str">
        <f>HYPERLINK("https://media.infra-m.ru/2194/2194383/cover/2194383.jpg", "Обложка")</f>
        <v>Обложка</v>
      </c>
      <c r="V8076" s="8" t="s">
        <v>2001</v>
      </c>
      <c r="W8076" s="6"/>
      <c r="X8076" s="6"/>
      <c r="Y8076" s="6"/>
      <c r="Z8076" s="6"/>
      <c r="AA8076" s="6" t="s">
        <v>248</v>
      </c>
      <c r="AB8076" s="8"/>
      <c r="AC8076" s="27">
        <v>9785819905968</v>
      </c>
    </row>
    <row r="8077" spans="1:29" s="4" customFormat="1" ht="51.9" customHeight="1" x14ac:dyDescent="0.2">
      <c r="A8077" s="5">
        <v>0</v>
      </c>
      <c r="B8077" s="6" t="s">
        <v>45523</v>
      </c>
      <c r="C8077" s="7">
        <v>1288.8</v>
      </c>
      <c r="D8077" s="8" t="s">
        <v>45524</v>
      </c>
      <c r="E8077" s="8" t="s">
        <v>45525</v>
      </c>
      <c r="F8077" s="8" t="s">
        <v>45526</v>
      </c>
      <c r="G8077" s="6" t="s">
        <v>60</v>
      </c>
      <c r="H8077" s="6" t="s">
        <v>34</v>
      </c>
      <c r="I8077" s="8" t="s">
        <v>271</v>
      </c>
      <c r="J8077" s="9">
        <v>1</v>
      </c>
      <c r="K8077" s="9">
        <v>234</v>
      </c>
      <c r="L8077" s="9">
        <v>2024</v>
      </c>
      <c r="M8077" s="8" t="s">
        <v>45527</v>
      </c>
      <c r="N8077" s="8" t="s">
        <v>37</v>
      </c>
      <c r="O8077" s="8" t="s">
        <v>280</v>
      </c>
      <c r="P8077" s="6" t="s">
        <v>51</v>
      </c>
      <c r="Q8077" s="8" t="s">
        <v>52</v>
      </c>
      <c r="R8077" s="10" t="s">
        <v>4320</v>
      </c>
      <c r="S8077" s="11" t="s">
        <v>45528</v>
      </c>
      <c r="T8077" s="6"/>
      <c r="U8077" s="15" t="str">
        <f>HYPERLINK("https://media.infra-m.ru/2103/2103136/cover/2103136.jpg", "Обложка")</f>
        <v>Обложка</v>
      </c>
      <c r="V8077" s="8" t="s">
        <v>45529</v>
      </c>
      <c r="W8077" s="6"/>
      <c r="X8077" s="6"/>
      <c r="Y8077" s="6"/>
      <c r="Z8077" s="6"/>
      <c r="AA8077" s="6" t="s">
        <v>55</v>
      </c>
      <c r="AB8077" s="8"/>
      <c r="AC8077" s="27">
        <v>9785160069081</v>
      </c>
    </row>
    <row r="8078" spans="1:29" s="4" customFormat="1" ht="51.9" customHeight="1" x14ac:dyDescent="0.2">
      <c r="A8078" s="5">
        <v>0</v>
      </c>
      <c r="B8078" s="6" t="s">
        <v>45530</v>
      </c>
      <c r="C8078" s="7">
        <v>1188</v>
      </c>
      <c r="D8078" s="8" t="s">
        <v>45531</v>
      </c>
      <c r="E8078" s="8" t="s">
        <v>45532</v>
      </c>
      <c r="F8078" s="8" t="s">
        <v>41072</v>
      </c>
      <c r="G8078" s="6" t="s">
        <v>118</v>
      </c>
      <c r="H8078" s="6" t="s">
        <v>34</v>
      </c>
      <c r="I8078" s="8" t="s">
        <v>5350</v>
      </c>
      <c r="J8078" s="9">
        <v>1</v>
      </c>
      <c r="K8078" s="9">
        <v>214</v>
      </c>
      <c r="L8078" s="9">
        <v>2024</v>
      </c>
      <c r="M8078" s="8" t="s">
        <v>45533</v>
      </c>
      <c r="N8078" s="8" t="s">
        <v>37</v>
      </c>
      <c r="O8078" s="8" t="s">
        <v>233</v>
      </c>
      <c r="P8078" s="6" t="s">
        <v>51</v>
      </c>
      <c r="Q8078" s="8" t="s">
        <v>377</v>
      </c>
      <c r="R8078" s="10" t="s">
        <v>2750</v>
      </c>
      <c r="S8078" s="11" t="s">
        <v>45534</v>
      </c>
      <c r="T8078" s="6"/>
      <c r="U8078" s="15" t="str">
        <f>HYPERLINK("https://media.infra-m.ru/2102/2102666/cover/2102666.jpg", "Обложка")</f>
        <v>Обложка</v>
      </c>
      <c r="V8078" s="8" t="s">
        <v>9565</v>
      </c>
      <c r="W8078" s="6"/>
      <c r="X8078" s="6"/>
      <c r="Y8078" s="6"/>
      <c r="Z8078" s="6"/>
      <c r="AA8078" s="6" t="s">
        <v>1256</v>
      </c>
      <c r="AB8078" s="8"/>
      <c r="AC8078" s="27">
        <v>9785160163963</v>
      </c>
    </row>
    <row r="8079" spans="1:29" s="4" customFormat="1" ht="51.9" customHeight="1" x14ac:dyDescent="0.2">
      <c r="A8079" s="5">
        <v>0</v>
      </c>
      <c r="B8079" s="6" t="s">
        <v>45535</v>
      </c>
      <c r="C8079" s="13">
        <v>953.9</v>
      </c>
      <c r="D8079" s="8" t="s">
        <v>45536</v>
      </c>
      <c r="E8079" s="8" t="s">
        <v>45537</v>
      </c>
      <c r="F8079" s="8" t="s">
        <v>45538</v>
      </c>
      <c r="G8079" s="6" t="s">
        <v>60</v>
      </c>
      <c r="H8079" s="6" t="s">
        <v>34</v>
      </c>
      <c r="I8079" s="8" t="s">
        <v>263</v>
      </c>
      <c r="J8079" s="9">
        <v>1</v>
      </c>
      <c r="K8079" s="9">
        <v>176</v>
      </c>
      <c r="L8079" s="9">
        <v>2023</v>
      </c>
      <c r="M8079" s="8" t="s">
        <v>45539</v>
      </c>
      <c r="N8079" s="8" t="s">
        <v>37</v>
      </c>
      <c r="O8079" s="8" t="s">
        <v>499</v>
      </c>
      <c r="P8079" s="6" t="s">
        <v>51</v>
      </c>
      <c r="Q8079" s="8" t="s">
        <v>265</v>
      </c>
      <c r="R8079" s="10" t="s">
        <v>45540</v>
      </c>
      <c r="S8079" s="11" t="s">
        <v>45541</v>
      </c>
      <c r="T8079" s="6"/>
      <c r="U8079" s="15" t="str">
        <f>HYPERLINK("https://media.infra-m.ru/1896/1896431/cover/1896431.jpg", "Обложка")</f>
        <v>Обложка</v>
      </c>
      <c r="V8079" s="8" t="s">
        <v>2475</v>
      </c>
      <c r="W8079" s="6"/>
      <c r="X8079" s="6"/>
      <c r="Y8079" s="6"/>
      <c r="Z8079" s="6" t="s">
        <v>267</v>
      </c>
      <c r="AA8079" s="6" t="s">
        <v>2240</v>
      </c>
      <c r="AB8079" s="8"/>
      <c r="AC8079" s="27">
        <v>9785160146041</v>
      </c>
    </row>
    <row r="8080" spans="1:29" s="4" customFormat="1" ht="51.9" customHeight="1" x14ac:dyDescent="0.2">
      <c r="A8080" s="5">
        <v>0</v>
      </c>
      <c r="B8080" s="6" t="s">
        <v>45542</v>
      </c>
      <c r="C8080" s="7">
        <v>1301.9000000000001</v>
      </c>
      <c r="D8080" s="8" t="s">
        <v>45543</v>
      </c>
      <c r="E8080" s="8" t="s">
        <v>45544</v>
      </c>
      <c r="F8080" s="8" t="s">
        <v>45545</v>
      </c>
      <c r="G8080" s="6" t="s">
        <v>60</v>
      </c>
      <c r="H8080" s="6" t="s">
        <v>34</v>
      </c>
      <c r="I8080" s="8" t="s">
        <v>263</v>
      </c>
      <c r="J8080" s="9">
        <v>1</v>
      </c>
      <c r="K8080" s="9">
        <v>240</v>
      </c>
      <c r="L8080" s="9">
        <v>2023</v>
      </c>
      <c r="M8080" s="8" t="s">
        <v>45546</v>
      </c>
      <c r="N8080" s="8" t="s">
        <v>37</v>
      </c>
      <c r="O8080" s="8" t="s">
        <v>499</v>
      </c>
      <c r="P8080" s="6" t="s">
        <v>51</v>
      </c>
      <c r="Q8080" s="8" t="s">
        <v>265</v>
      </c>
      <c r="R8080" s="10" t="s">
        <v>45547</v>
      </c>
      <c r="S8080" s="11" t="s">
        <v>45548</v>
      </c>
      <c r="T8080" s="6"/>
      <c r="U8080" s="15" t="str">
        <f>HYPERLINK("https://media.infra-m.ru/2049/2049720/cover/2049720.jpg", "Обложка")</f>
        <v>Обложка</v>
      </c>
      <c r="V8080" s="8" t="s">
        <v>45529</v>
      </c>
      <c r="W8080" s="6"/>
      <c r="X8080" s="6"/>
      <c r="Y8080" s="6"/>
      <c r="Z8080" s="6" t="s">
        <v>267</v>
      </c>
      <c r="AA8080" s="6" t="s">
        <v>430</v>
      </c>
      <c r="AB8080" s="8"/>
      <c r="AC8080" s="27">
        <v>9785160156989</v>
      </c>
    </row>
    <row r="8081" spans="1:29" s="4" customFormat="1" ht="51.9" customHeight="1" x14ac:dyDescent="0.2">
      <c r="A8081" s="5">
        <v>0</v>
      </c>
      <c r="B8081" s="6" t="s">
        <v>45549</v>
      </c>
      <c r="C8081" s="7">
        <v>2956.8</v>
      </c>
      <c r="D8081" s="8" t="s">
        <v>45550</v>
      </c>
      <c r="E8081" s="8" t="s">
        <v>45551</v>
      </c>
      <c r="F8081" s="8" t="s">
        <v>45552</v>
      </c>
      <c r="G8081" s="6" t="s">
        <v>60</v>
      </c>
      <c r="H8081" s="6" t="s">
        <v>34</v>
      </c>
      <c r="I8081" s="8" t="s">
        <v>271</v>
      </c>
      <c r="J8081" s="9">
        <v>1</v>
      </c>
      <c r="K8081" s="9">
        <v>448</v>
      </c>
      <c r="L8081" s="9">
        <v>2026</v>
      </c>
      <c r="M8081" s="8" t="s">
        <v>45553</v>
      </c>
      <c r="N8081" s="8" t="s">
        <v>37</v>
      </c>
      <c r="O8081" s="8" t="s">
        <v>499</v>
      </c>
      <c r="P8081" s="6" t="s">
        <v>306</v>
      </c>
      <c r="Q8081" s="8" t="s">
        <v>52</v>
      </c>
      <c r="R8081" s="10" t="s">
        <v>45554</v>
      </c>
      <c r="S8081" s="11" t="s">
        <v>45555</v>
      </c>
      <c r="T8081" s="6"/>
      <c r="U8081" s="15" t="str">
        <f>HYPERLINK("https://media.infra-m.ru/2243/2243598/cover/2243598.jpg", "Обложка")</f>
        <v>Обложка</v>
      </c>
      <c r="V8081" s="8" t="s">
        <v>12821</v>
      </c>
      <c r="W8081" s="6"/>
      <c r="X8081" s="6"/>
      <c r="Y8081" s="6"/>
      <c r="Z8081" s="6"/>
      <c r="AA8081" s="6" t="s">
        <v>2338</v>
      </c>
      <c r="AB8081" s="8"/>
      <c r="AC8081" s="27">
        <v>9785160044408</v>
      </c>
    </row>
    <row r="8082" spans="1:29" s="4" customFormat="1" ht="42" customHeight="1" x14ac:dyDescent="0.2">
      <c r="A8082" s="5">
        <v>0</v>
      </c>
      <c r="B8082" s="6" t="s">
        <v>45556</v>
      </c>
      <c r="C8082" s="7">
        <v>1296</v>
      </c>
      <c r="D8082" s="8" t="s">
        <v>45557</v>
      </c>
      <c r="E8082" s="8" t="s">
        <v>45558</v>
      </c>
      <c r="F8082" s="8" t="s">
        <v>3569</v>
      </c>
      <c r="G8082" s="6" t="s">
        <v>60</v>
      </c>
      <c r="H8082" s="6" t="s">
        <v>34</v>
      </c>
      <c r="I8082" s="8" t="s">
        <v>253</v>
      </c>
      <c r="J8082" s="9">
        <v>1</v>
      </c>
      <c r="K8082" s="9">
        <v>216</v>
      </c>
      <c r="L8082" s="9">
        <v>2025</v>
      </c>
      <c r="M8082" s="8" t="s">
        <v>45559</v>
      </c>
      <c r="N8082" s="8" t="s">
        <v>37</v>
      </c>
      <c r="O8082" s="8" t="s">
        <v>499</v>
      </c>
      <c r="P8082" s="6" t="s">
        <v>51</v>
      </c>
      <c r="Q8082" s="8" t="s">
        <v>65</v>
      </c>
      <c r="R8082" s="10" t="s">
        <v>4320</v>
      </c>
      <c r="S8082" s="11"/>
      <c r="T8082" s="6"/>
      <c r="U8082" s="15" t="str">
        <f>HYPERLINK("https://media.infra-m.ru/1013/1013013/cover/1013013.jpg", "Обложка")</f>
        <v>Обложка</v>
      </c>
      <c r="V8082" s="8" t="s">
        <v>227</v>
      </c>
      <c r="W8082" s="6"/>
      <c r="X8082" s="6"/>
      <c r="Y8082" s="6"/>
      <c r="Z8082" s="6"/>
      <c r="AA8082" s="6" t="s">
        <v>68</v>
      </c>
      <c r="AB8082" s="8"/>
      <c r="AC8082" s="27">
        <v>9785160149530</v>
      </c>
    </row>
    <row r="8083" spans="1:29" s="4" customFormat="1" ht="51.9" customHeight="1" x14ac:dyDescent="0.2">
      <c r="A8083" s="5">
        <v>0</v>
      </c>
      <c r="B8083" s="6" t="s">
        <v>45560</v>
      </c>
      <c r="C8083" s="7">
        <v>3592.8</v>
      </c>
      <c r="D8083" s="8" t="s">
        <v>45561</v>
      </c>
      <c r="E8083" s="8" t="s">
        <v>45544</v>
      </c>
      <c r="F8083" s="8" t="s">
        <v>45562</v>
      </c>
      <c r="G8083" s="6" t="s">
        <v>60</v>
      </c>
      <c r="H8083" s="6" t="s">
        <v>34</v>
      </c>
      <c r="I8083" s="8" t="s">
        <v>271</v>
      </c>
      <c r="J8083" s="9">
        <v>1</v>
      </c>
      <c r="K8083" s="9">
        <v>576</v>
      </c>
      <c r="L8083" s="9">
        <v>2025</v>
      </c>
      <c r="M8083" s="8" t="s">
        <v>45563</v>
      </c>
      <c r="N8083" s="8" t="s">
        <v>37</v>
      </c>
      <c r="O8083" s="8" t="s">
        <v>499</v>
      </c>
      <c r="P8083" s="6" t="s">
        <v>306</v>
      </c>
      <c r="Q8083" s="8" t="s">
        <v>52</v>
      </c>
      <c r="R8083" s="10" t="s">
        <v>45554</v>
      </c>
      <c r="S8083" s="11" t="s">
        <v>45564</v>
      </c>
      <c r="T8083" s="6"/>
      <c r="U8083" s="15" t="str">
        <f>HYPERLINK("https://media.infra-m.ru/2196/2196853/cover/2196853.jpg", "Обложка")</f>
        <v>Обложка</v>
      </c>
      <c r="V8083" s="8" t="s">
        <v>45565</v>
      </c>
      <c r="W8083" s="6"/>
      <c r="X8083" s="6"/>
      <c r="Y8083" s="6"/>
      <c r="Z8083" s="6"/>
      <c r="AA8083" s="6" t="s">
        <v>43</v>
      </c>
      <c r="AB8083" s="8"/>
      <c r="AC8083" s="27">
        <v>9785160046334</v>
      </c>
    </row>
    <row r="8084" spans="1:29" s="4" customFormat="1" ht="51.9" customHeight="1" x14ac:dyDescent="0.2">
      <c r="A8084" s="5">
        <v>0</v>
      </c>
      <c r="B8084" s="6" t="s">
        <v>45566</v>
      </c>
      <c r="C8084" s="7">
        <v>2572.8000000000002</v>
      </c>
      <c r="D8084" s="8" t="s">
        <v>45567</v>
      </c>
      <c r="E8084" s="8" t="s">
        <v>45544</v>
      </c>
      <c r="F8084" s="8" t="s">
        <v>45568</v>
      </c>
      <c r="G8084" s="6" t="s">
        <v>60</v>
      </c>
      <c r="H8084" s="6" t="s">
        <v>34</v>
      </c>
      <c r="I8084" s="8" t="s">
        <v>263</v>
      </c>
      <c r="J8084" s="9">
        <v>1</v>
      </c>
      <c r="K8084" s="9">
        <v>576</v>
      </c>
      <c r="L8084" s="9">
        <v>2023</v>
      </c>
      <c r="M8084" s="8" t="s">
        <v>45569</v>
      </c>
      <c r="N8084" s="8" t="s">
        <v>37</v>
      </c>
      <c r="O8084" s="8" t="s">
        <v>499</v>
      </c>
      <c r="P8084" s="6" t="s">
        <v>306</v>
      </c>
      <c r="Q8084" s="8" t="s">
        <v>265</v>
      </c>
      <c r="R8084" s="10" t="s">
        <v>45570</v>
      </c>
      <c r="S8084" s="11" t="s">
        <v>45571</v>
      </c>
      <c r="T8084" s="6"/>
      <c r="U8084" s="15" t="str">
        <f>HYPERLINK("https://media.infra-m.ru/2021/2021444/cover/2021444.jpg", "Обложка")</f>
        <v>Обложка</v>
      </c>
      <c r="V8084" s="8" t="s">
        <v>45565</v>
      </c>
      <c r="W8084" s="6"/>
      <c r="X8084" s="6"/>
      <c r="Y8084" s="6"/>
      <c r="Z8084" s="6" t="s">
        <v>267</v>
      </c>
      <c r="AA8084" s="6" t="s">
        <v>1256</v>
      </c>
      <c r="AB8084" s="8"/>
      <c r="AC8084" s="27">
        <v>9785160140070</v>
      </c>
    </row>
    <row r="8085" spans="1:29" s="4" customFormat="1" ht="42" customHeight="1" x14ac:dyDescent="0.2">
      <c r="A8085" s="5">
        <v>0</v>
      </c>
      <c r="B8085" s="6" t="s">
        <v>45572</v>
      </c>
      <c r="C8085" s="7">
        <v>1301.9000000000001</v>
      </c>
      <c r="D8085" s="8" t="s">
        <v>45573</v>
      </c>
      <c r="E8085" s="8" t="s">
        <v>45544</v>
      </c>
      <c r="F8085" s="8" t="s">
        <v>45574</v>
      </c>
      <c r="G8085" s="6" t="s">
        <v>60</v>
      </c>
      <c r="H8085" s="6" t="s">
        <v>34</v>
      </c>
      <c r="I8085" s="8" t="s">
        <v>271</v>
      </c>
      <c r="J8085" s="9">
        <v>1</v>
      </c>
      <c r="K8085" s="9">
        <v>240</v>
      </c>
      <c r="L8085" s="9">
        <v>2023</v>
      </c>
      <c r="M8085" s="8" t="s">
        <v>45575</v>
      </c>
      <c r="N8085" s="8" t="s">
        <v>37</v>
      </c>
      <c r="O8085" s="8" t="s">
        <v>499</v>
      </c>
      <c r="P8085" s="6" t="s">
        <v>51</v>
      </c>
      <c r="Q8085" s="8" t="s">
        <v>52</v>
      </c>
      <c r="R8085" s="10" t="s">
        <v>3565</v>
      </c>
      <c r="S8085" s="11"/>
      <c r="T8085" s="6"/>
      <c r="U8085" s="15" t="str">
        <f>HYPERLINK("https://media.infra-m.ru/1981/1981613/cover/1981613.jpg", "Обложка")</f>
        <v>Обложка</v>
      </c>
      <c r="V8085" s="8" t="s">
        <v>45529</v>
      </c>
      <c r="W8085" s="6"/>
      <c r="X8085" s="6"/>
      <c r="Y8085" s="6"/>
      <c r="Z8085" s="6"/>
      <c r="AA8085" s="6" t="s">
        <v>274</v>
      </c>
      <c r="AB8085" s="8"/>
      <c r="AC8085" s="27">
        <v>9785160099743</v>
      </c>
    </row>
    <row r="8086" spans="1:29" s="4" customFormat="1" ht="51.9" customHeight="1" x14ac:dyDescent="0.2">
      <c r="A8086" s="5">
        <v>0</v>
      </c>
      <c r="B8086" s="6" t="s">
        <v>45576</v>
      </c>
      <c r="C8086" s="13">
        <v>708</v>
      </c>
      <c r="D8086" s="8" t="s">
        <v>45577</v>
      </c>
      <c r="E8086" s="8" t="s">
        <v>45578</v>
      </c>
      <c r="F8086" s="8" t="s">
        <v>45579</v>
      </c>
      <c r="G8086" s="6" t="s">
        <v>118</v>
      </c>
      <c r="H8086" s="6" t="s">
        <v>34</v>
      </c>
      <c r="I8086" s="8" t="s">
        <v>263</v>
      </c>
      <c r="J8086" s="9">
        <v>1</v>
      </c>
      <c r="K8086" s="9">
        <v>136</v>
      </c>
      <c r="L8086" s="9">
        <v>2022</v>
      </c>
      <c r="M8086" s="8" t="s">
        <v>45580</v>
      </c>
      <c r="N8086" s="8" t="s">
        <v>37</v>
      </c>
      <c r="O8086" s="8" t="s">
        <v>499</v>
      </c>
      <c r="P8086" s="6" t="s">
        <v>51</v>
      </c>
      <c r="Q8086" s="8" t="s">
        <v>265</v>
      </c>
      <c r="R8086" s="10" t="s">
        <v>45540</v>
      </c>
      <c r="S8086" s="11" t="s">
        <v>45581</v>
      </c>
      <c r="T8086" s="6"/>
      <c r="U8086" s="15" t="str">
        <f>HYPERLINK("https://media.infra-m.ru/1865/1865779/cover/1865779.jpg", "Обложка")</f>
        <v>Обложка</v>
      </c>
      <c r="V8086" s="8" t="s">
        <v>2522</v>
      </c>
      <c r="W8086" s="6"/>
      <c r="X8086" s="6"/>
      <c r="Y8086" s="6"/>
      <c r="Z8086" s="6" t="s">
        <v>267</v>
      </c>
      <c r="AA8086" s="6" t="s">
        <v>430</v>
      </c>
      <c r="AB8086" s="8"/>
      <c r="AC8086" s="27">
        <v>9785160169804</v>
      </c>
    </row>
    <row r="8087" spans="1:29" s="4" customFormat="1" ht="51.9" customHeight="1" x14ac:dyDescent="0.2">
      <c r="A8087" s="5">
        <v>0</v>
      </c>
      <c r="B8087" s="6" t="s">
        <v>45582</v>
      </c>
      <c r="C8087" s="13">
        <v>737.9</v>
      </c>
      <c r="D8087" s="8" t="s">
        <v>45583</v>
      </c>
      <c r="E8087" s="8" t="s">
        <v>45578</v>
      </c>
      <c r="F8087" s="8" t="s">
        <v>45584</v>
      </c>
      <c r="G8087" s="6" t="s">
        <v>33</v>
      </c>
      <c r="H8087" s="6" t="s">
        <v>34</v>
      </c>
      <c r="I8087" s="8" t="s">
        <v>271</v>
      </c>
      <c r="J8087" s="9">
        <v>1</v>
      </c>
      <c r="K8087" s="9">
        <v>136</v>
      </c>
      <c r="L8087" s="9">
        <v>2023</v>
      </c>
      <c r="M8087" s="8" t="s">
        <v>45585</v>
      </c>
      <c r="N8087" s="8" t="s">
        <v>37</v>
      </c>
      <c r="O8087" s="8" t="s">
        <v>499</v>
      </c>
      <c r="P8087" s="6" t="s">
        <v>51</v>
      </c>
      <c r="Q8087" s="8" t="s">
        <v>52</v>
      </c>
      <c r="R8087" s="10" t="s">
        <v>4314</v>
      </c>
      <c r="S8087" s="11" t="s">
        <v>45586</v>
      </c>
      <c r="T8087" s="6"/>
      <c r="U8087" s="15" t="str">
        <f>HYPERLINK("https://media.infra-m.ru/2045/2045802/cover/2045802.jpg", "Обложка")</f>
        <v>Обложка</v>
      </c>
      <c r="V8087" s="8" t="s">
        <v>2522</v>
      </c>
      <c r="W8087" s="6"/>
      <c r="X8087" s="6"/>
      <c r="Y8087" s="6"/>
      <c r="Z8087" s="6"/>
      <c r="AA8087" s="6" t="s">
        <v>248</v>
      </c>
      <c r="AB8087" s="8"/>
      <c r="AC8087" s="27">
        <v>9785160061733</v>
      </c>
    </row>
    <row r="8088" spans="1:29" s="4" customFormat="1" ht="51.9" customHeight="1" x14ac:dyDescent="0.2">
      <c r="A8088" s="5">
        <v>0</v>
      </c>
      <c r="B8088" s="6" t="s">
        <v>45587</v>
      </c>
      <c r="C8088" s="7">
        <v>2512.8000000000002</v>
      </c>
      <c r="D8088" s="8" t="s">
        <v>45588</v>
      </c>
      <c r="E8088" s="8" t="s">
        <v>45551</v>
      </c>
      <c r="F8088" s="8" t="s">
        <v>45589</v>
      </c>
      <c r="G8088" s="6" t="s">
        <v>60</v>
      </c>
      <c r="H8088" s="6" t="s">
        <v>34</v>
      </c>
      <c r="I8088" s="8" t="s">
        <v>263</v>
      </c>
      <c r="J8088" s="9">
        <v>1</v>
      </c>
      <c r="K8088" s="9">
        <v>448</v>
      </c>
      <c r="L8088" s="9">
        <v>2024</v>
      </c>
      <c r="M8088" s="8" t="s">
        <v>45590</v>
      </c>
      <c r="N8088" s="8" t="s">
        <v>37</v>
      </c>
      <c r="O8088" s="8" t="s">
        <v>499</v>
      </c>
      <c r="P8088" s="6" t="s">
        <v>306</v>
      </c>
      <c r="Q8088" s="8" t="s">
        <v>265</v>
      </c>
      <c r="R8088" s="10" t="s">
        <v>45547</v>
      </c>
      <c r="S8088" s="11" t="s">
        <v>45591</v>
      </c>
      <c r="T8088" s="6"/>
      <c r="U8088" s="15" t="str">
        <f>HYPERLINK("https://media.infra-m.ru/2152/2152110/cover/2152110.jpg", "Обложка")</f>
        <v>Обложка</v>
      </c>
      <c r="V8088" s="8" t="s">
        <v>12821</v>
      </c>
      <c r="W8088" s="6"/>
      <c r="X8088" s="6"/>
      <c r="Y8088" s="6"/>
      <c r="Z8088" s="6" t="s">
        <v>267</v>
      </c>
      <c r="AA8088" s="6" t="s">
        <v>218</v>
      </c>
      <c r="AB8088" s="8"/>
      <c r="AC8088" s="27">
        <v>9785160157016</v>
      </c>
    </row>
    <row r="8089" spans="1:29" s="4" customFormat="1" ht="51.9" customHeight="1" x14ac:dyDescent="0.2">
      <c r="A8089" s="5">
        <v>0</v>
      </c>
      <c r="B8089" s="6" t="s">
        <v>45592</v>
      </c>
      <c r="C8089" s="13">
        <v>564</v>
      </c>
      <c r="D8089" s="8" t="s">
        <v>45593</v>
      </c>
      <c r="E8089" s="8" t="s">
        <v>45594</v>
      </c>
      <c r="F8089" s="8" t="s">
        <v>45538</v>
      </c>
      <c r="G8089" s="6" t="s">
        <v>33</v>
      </c>
      <c r="H8089" s="6" t="s">
        <v>34</v>
      </c>
      <c r="I8089" s="8" t="s">
        <v>271</v>
      </c>
      <c r="J8089" s="9">
        <v>10</v>
      </c>
      <c r="K8089" s="9">
        <v>174</v>
      </c>
      <c r="L8089" s="9">
        <v>2017</v>
      </c>
      <c r="M8089" s="8" t="s">
        <v>45595</v>
      </c>
      <c r="N8089" s="8" t="s">
        <v>37</v>
      </c>
      <c r="O8089" s="8" t="s">
        <v>499</v>
      </c>
      <c r="P8089" s="6" t="s">
        <v>51</v>
      </c>
      <c r="Q8089" s="8" t="s">
        <v>52</v>
      </c>
      <c r="R8089" s="10" t="s">
        <v>45554</v>
      </c>
      <c r="S8089" s="11" t="s">
        <v>45596</v>
      </c>
      <c r="T8089" s="6"/>
      <c r="U8089" s="15" t="str">
        <f>HYPERLINK("https://media.infra-m.ru/0558/0558381/cover/558381.jpg", "Обложка")</f>
        <v>Обложка</v>
      </c>
      <c r="V8089" s="8" t="s">
        <v>2475</v>
      </c>
      <c r="W8089" s="6"/>
      <c r="X8089" s="6"/>
      <c r="Y8089" s="6"/>
      <c r="Z8089" s="6"/>
      <c r="AA8089" s="6" t="s">
        <v>129</v>
      </c>
      <c r="AB8089" s="8"/>
      <c r="AC8089" s="27">
        <v>9785160105635</v>
      </c>
    </row>
    <row r="8090" spans="1:29" s="4" customFormat="1" ht="51.9" customHeight="1" x14ac:dyDescent="0.2">
      <c r="A8090" s="5">
        <v>0</v>
      </c>
      <c r="B8090" s="6" t="s">
        <v>45597</v>
      </c>
      <c r="C8090" s="7">
        <v>1092</v>
      </c>
      <c r="D8090" s="8" t="s">
        <v>45598</v>
      </c>
      <c r="E8090" s="8" t="s">
        <v>45537</v>
      </c>
      <c r="F8090" s="8" t="s">
        <v>45538</v>
      </c>
      <c r="G8090" s="6" t="s">
        <v>118</v>
      </c>
      <c r="H8090" s="6" t="s">
        <v>34</v>
      </c>
      <c r="I8090" s="8" t="s">
        <v>253</v>
      </c>
      <c r="J8090" s="9">
        <v>1</v>
      </c>
      <c r="K8090" s="9">
        <v>176</v>
      </c>
      <c r="L8090" s="9">
        <v>2025</v>
      </c>
      <c r="M8090" s="8" t="s">
        <v>45599</v>
      </c>
      <c r="N8090" s="8" t="s">
        <v>37</v>
      </c>
      <c r="O8090" s="8" t="s">
        <v>499</v>
      </c>
      <c r="P8090" s="6" t="s">
        <v>51</v>
      </c>
      <c r="Q8090" s="8" t="s">
        <v>52</v>
      </c>
      <c r="R8090" s="10" t="s">
        <v>45554</v>
      </c>
      <c r="S8090" s="11" t="s">
        <v>45600</v>
      </c>
      <c r="T8090" s="6"/>
      <c r="U8090" s="15" t="str">
        <f>HYPERLINK("https://media.infra-m.ru/2188/2188734/cover/2188734.jpg", "Обложка")</f>
        <v>Обложка</v>
      </c>
      <c r="V8090" s="8" t="s">
        <v>2475</v>
      </c>
      <c r="W8090" s="6"/>
      <c r="X8090" s="6"/>
      <c r="Y8090" s="6"/>
      <c r="Z8090" s="6"/>
      <c r="AA8090" s="6" t="s">
        <v>404</v>
      </c>
      <c r="AB8090" s="8"/>
      <c r="AC8090" s="27">
        <v>9785160207322</v>
      </c>
    </row>
    <row r="8091" spans="1:29" s="4" customFormat="1" ht="51.9" customHeight="1" x14ac:dyDescent="0.2">
      <c r="A8091" s="5">
        <v>0</v>
      </c>
      <c r="B8091" s="6" t="s">
        <v>45601</v>
      </c>
      <c r="C8091" s="7">
        <v>1456.8</v>
      </c>
      <c r="D8091" s="8" t="s">
        <v>45602</v>
      </c>
      <c r="E8091" s="8" t="s">
        <v>45603</v>
      </c>
      <c r="F8091" s="8" t="s">
        <v>45604</v>
      </c>
      <c r="G8091" s="6" t="s">
        <v>60</v>
      </c>
      <c r="H8091" s="6" t="s">
        <v>34</v>
      </c>
      <c r="I8091" s="8" t="s">
        <v>271</v>
      </c>
      <c r="J8091" s="9">
        <v>1</v>
      </c>
      <c r="K8091" s="9">
        <v>265</v>
      </c>
      <c r="L8091" s="9">
        <v>2024</v>
      </c>
      <c r="M8091" s="8" t="s">
        <v>45605</v>
      </c>
      <c r="N8091" s="8" t="s">
        <v>37</v>
      </c>
      <c r="O8091" s="8" t="s">
        <v>499</v>
      </c>
      <c r="P8091" s="6" t="s">
        <v>306</v>
      </c>
      <c r="Q8091" s="8" t="s">
        <v>52</v>
      </c>
      <c r="R8091" s="10" t="s">
        <v>3565</v>
      </c>
      <c r="S8091" s="11" t="s">
        <v>45606</v>
      </c>
      <c r="T8091" s="6"/>
      <c r="U8091" s="15" t="str">
        <f>HYPERLINK("https://media.infra-m.ru/2084/2084535/cover/2084535.jpg", "Обложка")</f>
        <v>Обложка</v>
      </c>
      <c r="V8091" s="8" t="s">
        <v>45529</v>
      </c>
      <c r="W8091" s="6"/>
      <c r="X8091" s="6"/>
      <c r="Y8091" s="6"/>
      <c r="Z8091" s="6"/>
      <c r="AA8091" s="6" t="s">
        <v>859</v>
      </c>
      <c r="AB8091" s="8"/>
      <c r="AC8091" s="27">
        <v>9785160069166</v>
      </c>
    </row>
    <row r="8092" spans="1:29" s="4" customFormat="1" ht="51.9" customHeight="1" x14ac:dyDescent="0.2">
      <c r="A8092" s="5">
        <v>0</v>
      </c>
      <c r="B8092" s="6" t="s">
        <v>45607</v>
      </c>
      <c r="C8092" s="7">
        <v>1588.8</v>
      </c>
      <c r="D8092" s="8" t="s">
        <v>45608</v>
      </c>
      <c r="E8092" s="8" t="s">
        <v>45603</v>
      </c>
      <c r="F8092" s="8" t="s">
        <v>45609</v>
      </c>
      <c r="G8092" s="6" t="s">
        <v>60</v>
      </c>
      <c r="H8092" s="6" t="s">
        <v>34</v>
      </c>
      <c r="I8092" s="8" t="s">
        <v>263</v>
      </c>
      <c r="J8092" s="9">
        <v>1</v>
      </c>
      <c r="K8092" s="9">
        <v>265</v>
      </c>
      <c r="L8092" s="9">
        <v>2025</v>
      </c>
      <c r="M8092" s="8" t="s">
        <v>45610</v>
      </c>
      <c r="N8092" s="8" t="s">
        <v>37</v>
      </c>
      <c r="O8092" s="8" t="s">
        <v>499</v>
      </c>
      <c r="P8092" s="6" t="s">
        <v>306</v>
      </c>
      <c r="Q8092" s="8" t="s">
        <v>265</v>
      </c>
      <c r="R8092" s="10" t="s">
        <v>45611</v>
      </c>
      <c r="S8092" s="11" t="s">
        <v>45591</v>
      </c>
      <c r="T8092" s="6" t="s">
        <v>97</v>
      </c>
      <c r="U8092" s="15" t="str">
        <f>HYPERLINK("https://media.infra-m.ru/2164/2164001/cover/2164001.jpg", "Обложка")</f>
        <v>Обложка</v>
      </c>
      <c r="V8092" s="8" t="s">
        <v>45529</v>
      </c>
      <c r="W8092" s="6"/>
      <c r="X8092" s="6"/>
      <c r="Y8092" s="6"/>
      <c r="Z8092" s="6" t="s">
        <v>267</v>
      </c>
      <c r="AA8092" s="6" t="s">
        <v>218</v>
      </c>
      <c r="AB8092" s="8"/>
      <c r="AC8092" s="27">
        <v>9785160157009</v>
      </c>
    </row>
    <row r="8093" spans="1:29" s="4" customFormat="1" ht="42" customHeight="1" x14ac:dyDescent="0.2">
      <c r="A8093" s="5">
        <v>0</v>
      </c>
      <c r="B8093" s="6" t="s">
        <v>45612</v>
      </c>
      <c r="C8093" s="7">
        <v>1416</v>
      </c>
      <c r="D8093" s="8" t="s">
        <v>45613</v>
      </c>
      <c r="E8093" s="8" t="s">
        <v>45558</v>
      </c>
      <c r="F8093" s="8" t="s">
        <v>3569</v>
      </c>
      <c r="G8093" s="6" t="s">
        <v>60</v>
      </c>
      <c r="H8093" s="6" t="s">
        <v>34</v>
      </c>
      <c r="I8093" s="8" t="s">
        <v>263</v>
      </c>
      <c r="J8093" s="9">
        <v>1</v>
      </c>
      <c r="K8093" s="9">
        <v>216</v>
      </c>
      <c r="L8093" s="9">
        <v>2026</v>
      </c>
      <c r="M8093" s="8" t="s">
        <v>45614</v>
      </c>
      <c r="N8093" s="8" t="s">
        <v>37</v>
      </c>
      <c r="O8093" s="8" t="s">
        <v>499</v>
      </c>
      <c r="P8093" s="6" t="s">
        <v>51</v>
      </c>
      <c r="Q8093" s="8" t="s">
        <v>265</v>
      </c>
      <c r="R8093" s="10" t="s">
        <v>45615</v>
      </c>
      <c r="S8093" s="11"/>
      <c r="T8093" s="6"/>
      <c r="U8093" s="15" t="str">
        <f>HYPERLINK("https://media.infra-m.ru/2168/2168876/cover/2168876.jpg", "Обложка")</f>
        <v>Обложка</v>
      </c>
      <c r="V8093" s="8" t="s">
        <v>227</v>
      </c>
      <c r="W8093" s="6"/>
      <c r="X8093" s="6"/>
      <c r="Y8093" s="6"/>
      <c r="Z8093" s="6" t="s">
        <v>882</v>
      </c>
      <c r="AA8093" s="6" t="s">
        <v>187</v>
      </c>
      <c r="AB8093" s="8"/>
      <c r="AC8093" s="27">
        <v>9785160202945</v>
      </c>
    </row>
    <row r="8094" spans="1:29" s="4" customFormat="1" ht="51.9" customHeight="1" x14ac:dyDescent="0.2">
      <c r="A8094" s="5">
        <v>0</v>
      </c>
      <c r="B8094" s="6" t="s">
        <v>45616</v>
      </c>
      <c r="C8094" s="13">
        <v>615.6</v>
      </c>
      <c r="D8094" s="8" t="s">
        <v>45617</v>
      </c>
      <c r="E8094" s="8" t="s">
        <v>45618</v>
      </c>
      <c r="F8094" s="8" t="s">
        <v>45619</v>
      </c>
      <c r="G8094" s="6" t="s">
        <v>33</v>
      </c>
      <c r="H8094" s="6" t="s">
        <v>313</v>
      </c>
      <c r="I8094" s="8" t="s">
        <v>401</v>
      </c>
      <c r="J8094" s="9">
        <v>1</v>
      </c>
      <c r="K8094" s="9">
        <v>156</v>
      </c>
      <c r="L8094" s="9">
        <v>2025</v>
      </c>
      <c r="M8094" s="8" t="s">
        <v>45620</v>
      </c>
      <c r="N8094" s="8" t="s">
        <v>37</v>
      </c>
      <c r="O8094" s="8" t="s">
        <v>499</v>
      </c>
      <c r="P8094" s="6" t="s">
        <v>51</v>
      </c>
      <c r="Q8094" s="8" t="s">
        <v>265</v>
      </c>
      <c r="R8094" s="10" t="s">
        <v>45621</v>
      </c>
      <c r="S8094" s="11"/>
      <c r="T8094" s="6"/>
      <c r="U8094" s="15" t="str">
        <f>HYPERLINK("https://media.infra-m.ru/2183/2183396/cover/2183396.jpg", "Обложка")</f>
        <v>Обложка</v>
      </c>
      <c r="V8094" s="8" t="s">
        <v>657</v>
      </c>
      <c r="W8094" s="6"/>
      <c r="X8094" s="6"/>
      <c r="Y8094" s="6"/>
      <c r="Z8094" s="6"/>
      <c r="AA8094" s="6" t="s">
        <v>4554</v>
      </c>
      <c r="AB8094" s="8"/>
      <c r="AC8094" s="27">
        <v>9785955702698</v>
      </c>
    </row>
    <row r="8095" spans="1:29" s="4" customFormat="1" ht="42" customHeight="1" x14ac:dyDescent="0.2">
      <c r="A8095" s="5">
        <v>0</v>
      </c>
      <c r="B8095" s="6" t="s">
        <v>45622</v>
      </c>
      <c r="C8095" s="7">
        <v>2856</v>
      </c>
      <c r="D8095" s="8" t="s">
        <v>45623</v>
      </c>
      <c r="E8095" s="8" t="s">
        <v>45624</v>
      </c>
      <c r="F8095" s="8" t="s">
        <v>9040</v>
      </c>
      <c r="G8095" s="6" t="s">
        <v>60</v>
      </c>
      <c r="H8095" s="6" t="s">
        <v>34</v>
      </c>
      <c r="I8095" s="8" t="s">
        <v>263</v>
      </c>
      <c r="J8095" s="9">
        <v>1</v>
      </c>
      <c r="K8095" s="9">
        <v>429</v>
      </c>
      <c r="L8095" s="9">
        <v>2026</v>
      </c>
      <c r="M8095" s="8" t="s">
        <v>45625</v>
      </c>
      <c r="N8095" s="8" t="s">
        <v>37</v>
      </c>
      <c r="O8095" s="8" t="s">
        <v>499</v>
      </c>
      <c r="P8095" s="6" t="s">
        <v>51</v>
      </c>
      <c r="Q8095" s="8" t="s">
        <v>265</v>
      </c>
      <c r="R8095" s="10" t="s">
        <v>3571</v>
      </c>
      <c r="S8095" s="11"/>
      <c r="T8095" s="6"/>
      <c r="U8095" s="15" t="str">
        <f>HYPERLINK("https://media.infra-m.ru/2188/2188101/cover/2188101.jpg", "Обложка")</f>
        <v>Обложка</v>
      </c>
      <c r="V8095" s="8" t="s">
        <v>227</v>
      </c>
      <c r="W8095" s="6" t="s">
        <v>342</v>
      </c>
      <c r="X8095" s="6"/>
      <c r="Y8095" s="6"/>
      <c r="Z8095" s="6"/>
      <c r="AA8095" s="6" t="s">
        <v>187</v>
      </c>
      <c r="AB8095" s="8" t="s">
        <v>45626</v>
      </c>
      <c r="AC8095" s="27">
        <v>9785160206776</v>
      </c>
    </row>
    <row r="8096" spans="1:29" s="4" customFormat="1" ht="51.9" customHeight="1" x14ac:dyDescent="0.2">
      <c r="A8096" s="5">
        <v>0</v>
      </c>
      <c r="B8096" s="6" t="s">
        <v>45627</v>
      </c>
      <c r="C8096" s="7">
        <v>2136</v>
      </c>
      <c r="D8096" s="8" t="s">
        <v>45628</v>
      </c>
      <c r="E8096" s="8" t="s">
        <v>45629</v>
      </c>
      <c r="F8096" s="8" t="s">
        <v>45630</v>
      </c>
      <c r="G8096" s="6" t="s">
        <v>118</v>
      </c>
      <c r="H8096" s="6" t="s">
        <v>34</v>
      </c>
      <c r="I8096" s="8" t="s">
        <v>271</v>
      </c>
      <c r="J8096" s="9">
        <v>1</v>
      </c>
      <c r="K8096" s="9">
        <v>394</v>
      </c>
      <c r="L8096" s="9">
        <v>2023</v>
      </c>
      <c r="M8096" s="8" t="s">
        <v>45631</v>
      </c>
      <c r="N8096" s="8" t="s">
        <v>37</v>
      </c>
      <c r="O8096" s="8" t="s">
        <v>499</v>
      </c>
      <c r="P8096" s="6" t="s">
        <v>51</v>
      </c>
      <c r="Q8096" s="8" t="s">
        <v>52</v>
      </c>
      <c r="R8096" s="10" t="s">
        <v>3565</v>
      </c>
      <c r="S8096" s="11" t="s">
        <v>45632</v>
      </c>
      <c r="T8096" s="6"/>
      <c r="U8096" s="15" t="str">
        <f>HYPERLINK("https://media.infra-m.ru/1855/1855799/cover/1855799.jpg", "Обложка")</f>
        <v>Обложка</v>
      </c>
      <c r="V8096" s="8" t="s">
        <v>45529</v>
      </c>
      <c r="W8096" s="6"/>
      <c r="X8096" s="6"/>
      <c r="Y8096" s="6"/>
      <c r="Z8096" s="6"/>
      <c r="AA8096" s="6" t="s">
        <v>779</v>
      </c>
      <c r="AB8096" s="8"/>
      <c r="AC8096" s="27">
        <v>9785160110288</v>
      </c>
    </row>
    <row r="8097" spans="1:29" s="4" customFormat="1" ht="51.9" customHeight="1" x14ac:dyDescent="0.2">
      <c r="A8097" s="5">
        <v>0</v>
      </c>
      <c r="B8097" s="6" t="s">
        <v>45633</v>
      </c>
      <c r="C8097" s="7">
        <v>2596.8000000000002</v>
      </c>
      <c r="D8097" s="8" t="s">
        <v>45634</v>
      </c>
      <c r="E8097" s="8" t="s">
        <v>45635</v>
      </c>
      <c r="F8097" s="8" t="s">
        <v>45636</v>
      </c>
      <c r="G8097" s="6" t="s">
        <v>60</v>
      </c>
      <c r="H8097" s="6" t="s">
        <v>1795</v>
      </c>
      <c r="I8097" s="8" t="s">
        <v>2911</v>
      </c>
      <c r="J8097" s="9">
        <v>1</v>
      </c>
      <c r="K8097" s="9">
        <v>416</v>
      </c>
      <c r="L8097" s="9">
        <v>2025</v>
      </c>
      <c r="M8097" s="8" t="s">
        <v>45637</v>
      </c>
      <c r="N8097" s="8" t="s">
        <v>37</v>
      </c>
      <c r="O8097" s="8" t="s">
        <v>499</v>
      </c>
      <c r="P8097" s="6" t="s">
        <v>51</v>
      </c>
      <c r="Q8097" s="8" t="s">
        <v>52</v>
      </c>
      <c r="R8097" s="10" t="s">
        <v>18659</v>
      </c>
      <c r="S8097" s="11" t="s">
        <v>45638</v>
      </c>
      <c r="T8097" s="6"/>
      <c r="U8097" s="15" t="str">
        <f>HYPERLINK("https://media.infra-m.ru/2201/2201254/cover/2201254.jpg", "Обложка")</f>
        <v>Обложка</v>
      </c>
      <c r="V8097" s="8" t="s">
        <v>4754</v>
      </c>
      <c r="W8097" s="6"/>
      <c r="X8097" s="6"/>
      <c r="Y8097" s="6"/>
      <c r="Z8097" s="6"/>
      <c r="AA8097" s="6" t="s">
        <v>1506</v>
      </c>
      <c r="AB8097" s="8"/>
      <c r="AC8097" s="27">
        <v>9785982811080</v>
      </c>
    </row>
    <row r="8098" spans="1:29" s="4" customFormat="1" ht="51.9" customHeight="1" x14ac:dyDescent="0.2">
      <c r="A8098" s="5">
        <v>0</v>
      </c>
      <c r="B8098" s="6" t="s">
        <v>45639</v>
      </c>
      <c r="C8098" s="7">
        <v>1144.8</v>
      </c>
      <c r="D8098" s="8" t="s">
        <v>45640</v>
      </c>
      <c r="E8098" s="8" t="s">
        <v>45641</v>
      </c>
      <c r="F8098" s="8" t="s">
        <v>45519</v>
      </c>
      <c r="G8098" s="6" t="s">
        <v>60</v>
      </c>
      <c r="H8098" s="6" t="s">
        <v>1042</v>
      </c>
      <c r="I8098" s="8" t="s">
        <v>253</v>
      </c>
      <c r="J8098" s="9">
        <v>1</v>
      </c>
      <c r="K8098" s="9">
        <v>208</v>
      </c>
      <c r="L8098" s="9">
        <v>2024</v>
      </c>
      <c r="M8098" s="8" t="s">
        <v>45642</v>
      </c>
      <c r="N8098" s="8" t="s">
        <v>37</v>
      </c>
      <c r="O8098" s="8" t="s">
        <v>499</v>
      </c>
      <c r="P8098" s="6" t="s">
        <v>51</v>
      </c>
      <c r="Q8098" s="8" t="s">
        <v>52</v>
      </c>
      <c r="R8098" s="10" t="s">
        <v>14285</v>
      </c>
      <c r="S8098" s="11" t="s">
        <v>45643</v>
      </c>
      <c r="T8098" s="6"/>
      <c r="U8098" s="15" t="str">
        <f>HYPERLINK("https://media.infra-m.ru/2079/2079168/cover/2079168.jpg", "Обложка")</f>
        <v>Обложка</v>
      </c>
      <c r="V8098" s="8" t="s">
        <v>2001</v>
      </c>
      <c r="W8098" s="6"/>
      <c r="X8098" s="6"/>
      <c r="Y8098" s="6"/>
      <c r="Z8098" s="6"/>
      <c r="AA8098" s="6" t="s">
        <v>129</v>
      </c>
      <c r="AB8098" s="8"/>
      <c r="AC8098" s="27">
        <v>9785819904640</v>
      </c>
    </row>
    <row r="8099" spans="1:29" s="4" customFormat="1" ht="51.9" customHeight="1" x14ac:dyDescent="0.2">
      <c r="A8099" s="5">
        <v>0</v>
      </c>
      <c r="B8099" s="6" t="s">
        <v>45644</v>
      </c>
      <c r="C8099" s="7">
        <v>1241.9000000000001</v>
      </c>
      <c r="D8099" s="8" t="s">
        <v>45645</v>
      </c>
      <c r="E8099" s="8" t="s">
        <v>45646</v>
      </c>
      <c r="F8099" s="8" t="s">
        <v>45647</v>
      </c>
      <c r="G8099" s="6" t="s">
        <v>60</v>
      </c>
      <c r="H8099" s="6" t="s">
        <v>34</v>
      </c>
      <c r="I8099" s="8" t="s">
        <v>271</v>
      </c>
      <c r="J8099" s="9">
        <v>1</v>
      </c>
      <c r="K8099" s="9">
        <v>304</v>
      </c>
      <c r="L8099" s="9">
        <v>2020</v>
      </c>
      <c r="M8099" s="8" t="s">
        <v>45648</v>
      </c>
      <c r="N8099" s="8" t="s">
        <v>37</v>
      </c>
      <c r="O8099" s="8" t="s">
        <v>499</v>
      </c>
      <c r="P8099" s="6" t="s">
        <v>51</v>
      </c>
      <c r="Q8099" s="8" t="s">
        <v>52</v>
      </c>
      <c r="R8099" s="10" t="s">
        <v>29284</v>
      </c>
      <c r="S8099" s="11" t="s">
        <v>29285</v>
      </c>
      <c r="T8099" s="6"/>
      <c r="U8099" s="15" t="str">
        <f>HYPERLINK("https://media.infra-m.ru/1046/1046393/cover/1046393.jpg", "Обложка")</f>
        <v>Обложка</v>
      </c>
      <c r="V8099" s="8" t="s">
        <v>2522</v>
      </c>
      <c r="W8099" s="6"/>
      <c r="X8099" s="6"/>
      <c r="Y8099" s="6"/>
      <c r="Z8099" s="6"/>
      <c r="AA8099" s="6" t="s">
        <v>248</v>
      </c>
      <c r="AB8099" s="8"/>
      <c r="AC8099" s="27">
        <v>9785160060811</v>
      </c>
    </row>
    <row r="8100" spans="1:29" s="4" customFormat="1" ht="51.9" customHeight="1" x14ac:dyDescent="0.2">
      <c r="A8100" s="5">
        <v>0</v>
      </c>
      <c r="B8100" s="6" t="s">
        <v>45649</v>
      </c>
      <c r="C8100" s="7">
        <v>1433.9</v>
      </c>
      <c r="D8100" s="8" t="s">
        <v>45650</v>
      </c>
      <c r="E8100" s="8" t="s">
        <v>45651</v>
      </c>
      <c r="F8100" s="8" t="s">
        <v>45652</v>
      </c>
      <c r="G8100" s="6" t="s">
        <v>60</v>
      </c>
      <c r="H8100" s="6" t="s">
        <v>34</v>
      </c>
      <c r="I8100" s="8" t="s">
        <v>271</v>
      </c>
      <c r="J8100" s="9">
        <v>1</v>
      </c>
      <c r="K8100" s="9">
        <v>265</v>
      </c>
      <c r="L8100" s="9">
        <v>2023</v>
      </c>
      <c r="M8100" s="8" t="s">
        <v>45653</v>
      </c>
      <c r="N8100" s="8" t="s">
        <v>37</v>
      </c>
      <c r="O8100" s="8" t="s">
        <v>499</v>
      </c>
      <c r="P8100" s="6" t="s">
        <v>51</v>
      </c>
      <c r="Q8100" s="8" t="s">
        <v>52</v>
      </c>
      <c r="R8100" s="10" t="s">
        <v>14285</v>
      </c>
      <c r="S8100" s="11" t="s">
        <v>45654</v>
      </c>
      <c r="T8100" s="6"/>
      <c r="U8100" s="15" t="str">
        <f>HYPERLINK("https://media.infra-m.ru/1906/1906714/cover/1906714.jpg", "Обложка")</f>
        <v>Обложка</v>
      </c>
      <c r="V8100" s="8" t="s">
        <v>12235</v>
      </c>
      <c r="W8100" s="6"/>
      <c r="X8100" s="6"/>
      <c r="Y8100" s="6"/>
      <c r="Z8100" s="6"/>
      <c r="AA8100" s="6" t="s">
        <v>248</v>
      </c>
      <c r="AB8100" s="8"/>
      <c r="AC8100" s="27">
        <v>9785160057644</v>
      </c>
    </row>
    <row r="8101" spans="1:29" s="4" customFormat="1" ht="51.9" customHeight="1" x14ac:dyDescent="0.2">
      <c r="A8101" s="5">
        <v>0</v>
      </c>
      <c r="B8101" s="6" t="s">
        <v>45655</v>
      </c>
      <c r="C8101" s="7">
        <v>1984.8</v>
      </c>
      <c r="D8101" s="8" t="s">
        <v>45656</v>
      </c>
      <c r="E8101" s="8" t="s">
        <v>45651</v>
      </c>
      <c r="F8101" s="8" t="s">
        <v>12232</v>
      </c>
      <c r="G8101" s="6" t="s">
        <v>118</v>
      </c>
      <c r="H8101" s="6" t="s">
        <v>34</v>
      </c>
      <c r="I8101" s="8" t="s">
        <v>263</v>
      </c>
      <c r="J8101" s="9">
        <v>1</v>
      </c>
      <c r="K8101" s="9">
        <v>265</v>
      </c>
      <c r="L8101" s="9">
        <v>2026</v>
      </c>
      <c r="M8101" s="8" t="s">
        <v>45657</v>
      </c>
      <c r="N8101" s="8" t="s">
        <v>37</v>
      </c>
      <c r="O8101" s="8" t="s">
        <v>499</v>
      </c>
      <c r="P8101" s="6" t="s">
        <v>51</v>
      </c>
      <c r="Q8101" s="8" t="s">
        <v>265</v>
      </c>
      <c r="R8101" s="10" t="s">
        <v>45611</v>
      </c>
      <c r="S8101" s="11" t="s">
        <v>45658</v>
      </c>
      <c r="T8101" s="6"/>
      <c r="U8101" s="15" t="str">
        <f>HYPERLINK("https://media.infra-m.ru/2216/2216896/cover/2216896.jpg", "Обложка")</f>
        <v>Обложка</v>
      </c>
      <c r="V8101" s="8" t="s">
        <v>12235</v>
      </c>
      <c r="W8101" s="6"/>
      <c r="X8101" s="6"/>
      <c r="Y8101" s="6"/>
      <c r="Z8101" s="6" t="s">
        <v>267</v>
      </c>
      <c r="AA8101" s="6" t="s">
        <v>115</v>
      </c>
      <c r="AB8101" s="8"/>
      <c r="AC8101" s="27">
        <v>9785160140087</v>
      </c>
    </row>
    <row r="8102" spans="1:29" s="4" customFormat="1" ht="51.9" customHeight="1" x14ac:dyDescent="0.2">
      <c r="A8102" s="5">
        <v>0</v>
      </c>
      <c r="B8102" s="6" t="s">
        <v>45659</v>
      </c>
      <c r="C8102" s="7">
        <v>2956.8</v>
      </c>
      <c r="D8102" s="8" t="s">
        <v>45660</v>
      </c>
      <c r="E8102" s="8" t="s">
        <v>45661</v>
      </c>
      <c r="F8102" s="8" t="s">
        <v>45662</v>
      </c>
      <c r="G8102" s="6" t="s">
        <v>60</v>
      </c>
      <c r="H8102" s="6" t="s">
        <v>48</v>
      </c>
      <c r="I8102" s="8"/>
      <c r="J8102" s="9">
        <v>1</v>
      </c>
      <c r="K8102" s="9">
        <v>448</v>
      </c>
      <c r="L8102" s="9">
        <v>2026</v>
      </c>
      <c r="M8102" s="8" t="s">
        <v>45663</v>
      </c>
      <c r="N8102" s="8" t="s">
        <v>243</v>
      </c>
      <c r="O8102" s="8" t="s">
        <v>964</v>
      </c>
      <c r="P8102" s="6" t="s">
        <v>306</v>
      </c>
      <c r="Q8102" s="8" t="s">
        <v>52</v>
      </c>
      <c r="R8102" s="10" t="s">
        <v>7846</v>
      </c>
      <c r="S8102" s="11" t="s">
        <v>45664</v>
      </c>
      <c r="T8102" s="6"/>
      <c r="U8102" s="15" t="str">
        <f>HYPERLINK("https://media.infra-m.ru/2239/2239165/cover/2239165.jpg", "Обложка")</f>
        <v>Обложка</v>
      </c>
      <c r="V8102" s="8" t="s">
        <v>831</v>
      </c>
      <c r="W8102" s="6"/>
      <c r="X8102" s="6"/>
      <c r="Y8102" s="6"/>
      <c r="Z8102" s="6"/>
      <c r="AA8102" s="6" t="s">
        <v>55</v>
      </c>
      <c r="AB8102" s="8"/>
      <c r="AC8102" s="27">
        <v>9785911348014</v>
      </c>
    </row>
    <row r="8103" spans="1:29" s="4" customFormat="1" ht="42" customHeight="1" x14ac:dyDescent="0.2">
      <c r="A8103" s="5">
        <v>0</v>
      </c>
      <c r="B8103" s="6" t="s">
        <v>45665</v>
      </c>
      <c r="C8103" s="13">
        <v>732</v>
      </c>
      <c r="D8103" s="8" t="s">
        <v>45666</v>
      </c>
      <c r="E8103" s="8" t="s">
        <v>45667</v>
      </c>
      <c r="F8103" s="8" t="s">
        <v>45668</v>
      </c>
      <c r="G8103" s="6" t="s">
        <v>33</v>
      </c>
      <c r="H8103" s="6" t="s">
        <v>34</v>
      </c>
      <c r="I8103" s="8" t="s">
        <v>35</v>
      </c>
      <c r="J8103" s="9">
        <v>1</v>
      </c>
      <c r="K8103" s="9">
        <v>136</v>
      </c>
      <c r="L8103" s="9">
        <v>2022</v>
      </c>
      <c r="M8103" s="8" t="s">
        <v>45669</v>
      </c>
      <c r="N8103" s="8" t="s">
        <v>37</v>
      </c>
      <c r="O8103" s="8" t="s">
        <v>136</v>
      </c>
      <c r="P8103" s="6" t="s">
        <v>39</v>
      </c>
      <c r="Q8103" s="8" t="s">
        <v>40</v>
      </c>
      <c r="R8103" s="10" t="s">
        <v>1631</v>
      </c>
      <c r="S8103" s="11"/>
      <c r="T8103" s="6"/>
      <c r="U8103" s="15" t="str">
        <f>HYPERLINK("https://media.infra-m.ru/1891/1891262/cover/1891262.jpg", "Обложка")</f>
        <v>Обложка</v>
      </c>
      <c r="V8103" s="8" t="s">
        <v>4448</v>
      </c>
      <c r="W8103" s="6"/>
      <c r="X8103" s="6"/>
      <c r="Y8103" s="6"/>
      <c r="Z8103" s="6"/>
      <c r="AA8103" s="6" t="s">
        <v>55</v>
      </c>
      <c r="AB8103" s="8"/>
      <c r="AC8103" s="27">
        <v>9785160068275</v>
      </c>
    </row>
    <row r="8104" spans="1:29" s="4" customFormat="1" ht="42" customHeight="1" x14ac:dyDescent="0.2">
      <c r="A8104" s="5">
        <v>0</v>
      </c>
      <c r="B8104" s="6" t="s">
        <v>45670</v>
      </c>
      <c r="C8104" s="13">
        <v>684</v>
      </c>
      <c r="D8104" s="8" t="s">
        <v>45671</v>
      </c>
      <c r="E8104" s="8" t="s">
        <v>45672</v>
      </c>
      <c r="F8104" s="8" t="s">
        <v>45673</v>
      </c>
      <c r="G8104" s="6" t="s">
        <v>33</v>
      </c>
      <c r="H8104" s="6" t="s">
        <v>34</v>
      </c>
      <c r="I8104" s="8" t="s">
        <v>35</v>
      </c>
      <c r="J8104" s="9">
        <v>1</v>
      </c>
      <c r="K8104" s="9">
        <v>111</v>
      </c>
      <c r="L8104" s="9">
        <v>2024</v>
      </c>
      <c r="M8104" s="8" t="s">
        <v>45674</v>
      </c>
      <c r="N8104" s="8" t="s">
        <v>243</v>
      </c>
      <c r="O8104" s="8" t="s">
        <v>758</v>
      </c>
      <c r="P8104" s="6" t="s">
        <v>39</v>
      </c>
      <c r="Q8104" s="8" t="s">
        <v>40</v>
      </c>
      <c r="R8104" s="10" t="s">
        <v>45675</v>
      </c>
      <c r="S8104" s="11"/>
      <c r="T8104" s="6"/>
      <c r="U8104" s="15" t="str">
        <f>HYPERLINK("https://media.infra-m.ru/2136/2136032/cover/2136032.jpg", "Обложка")</f>
        <v>Обложка</v>
      </c>
      <c r="V8104" s="8" t="s">
        <v>3686</v>
      </c>
      <c r="W8104" s="6"/>
      <c r="X8104" s="6"/>
      <c r="Y8104" s="6"/>
      <c r="Z8104" s="6"/>
      <c r="AA8104" s="6" t="s">
        <v>86</v>
      </c>
      <c r="AB8104" s="8"/>
      <c r="AC8104" s="27">
        <v>9785160139395</v>
      </c>
    </row>
    <row r="8105" spans="1:29" s="4" customFormat="1" ht="51.9" customHeight="1" x14ac:dyDescent="0.2">
      <c r="A8105" s="5">
        <v>0</v>
      </c>
      <c r="B8105" s="6" t="s">
        <v>45676</v>
      </c>
      <c r="C8105" s="7">
        <v>2520</v>
      </c>
      <c r="D8105" s="8" t="s">
        <v>45677</v>
      </c>
      <c r="E8105" s="8" t="s">
        <v>45678</v>
      </c>
      <c r="F8105" s="8" t="s">
        <v>45679</v>
      </c>
      <c r="G8105" s="6" t="s">
        <v>60</v>
      </c>
      <c r="H8105" s="6" t="s">
        <v>34</v>
      </c>
      <c r="I8105" s="8" t="s">
        <v>35</v>
      </c>
      <c r="J8105" s="9">
        <v>1</v>
      </c>
      <c r="K8105" s="9">
        <v>421</v>
      </c>
      <c r="L8105" s="9">
        <v>2025</v>
      </c>
      <c r="M8105" s="8" t="s">
        <v>45680</v>
      </c>
      <c r="N8105" s="8" t="s">
        <v>37</v>
      </c>
      <c r="O8105" s="8" t="s">
        <v>233</v>
      </c>
      <c r="P8105" s="6" t="s">
        <v>39</v>
      </c>
      <c r="Q8105" s="8" t="s">
        <v>40</v>
      </c>
      <c r="R8105" s="10" t="s">
        <v>45681</v>
      </c>
      <c r="S8105" s="11"/>
      <c r="T8105" s="6"/>
      <c r="U8105" s="15" t="str">
        <f>HYPERLINK("https://media.infra-m.ru/2172/2172567/cover/2172567.jpg", "Обложка")</f>
        <v>Обложка</v>
      </c>
      <c r="V8105" s="8" t="s">
        <v>4448</v>
      </c>
      <c r="W8105" s="6"/>
      <c r="X8105" s="6"/>
      <c r="Y8105" s="6"/>
      <c r="Z8105" s="6"/>
      <c r="AA8105" s="6" t="s">
        <v>76</v>
      </c>
      <c r="AB8105" s="8"/>
      <c r="AC8105" s="27">
        <v>9785160193083</v>
      </c>
    </row>
    <row r="8106" spans="1:29" s="4" customFormat="1" ht="44.1" customHeight="1" x14ac:dyDescent="0.2">
      <c r="A8106" s="5">
        <v>0</v>
      </c>
      <c r="B8106" s="6" t="s">
        <v>45682</v>
      </c>
      <c r="C8106" s="7">
        <v>1900.8</v>
      </c>
      <c r="D8106" s="8" t="s">
        <v>45683</v>
      </c>
      <c r="E8106" s="8" t="s">
        <v>45684</v>
      </c>
      <c r="F8106" s="8" t="s">
        <v>45685</v>
      </c>
      <c r="G8106" s="6" t="s">
        <v>33</v>
      </c>
      <c r="H8106" s="6" t="s">
        <v>34</v>
      </c>
      <c r="I8106" s="8" t="s">
        <v>35</v>
      </c>
      <c r="J8106" s="9">
        <v>1</v>
      </c>
      <c r="K8106" s="9">
        <v>289</v>
      </c>
      <c r="L8106" s="9">
        <v>2026</v>
      </c>
      <c r="M8106" s="8" t="s">
        <v>45686</v>
      </c>
      <c r="N8106" s="8" t="s">
        <v>37</v>
      </c>
      <c r="O8106" s="8" t="s">
        <v>233</v>
      </c>
      <c r="P8106" s="6" t="s">
        <v>39</v>
      </c>
      <c r="Q8106" s="8" t="s">
        <v>40</v>
      </c>
      <c r="R8106" s="10" t="s">
        <v>45687</v>
      </c>
      <c r="S8106" s="11"/>
      <c r="T8106" s="6"/>
      <c r="U8106" s="15" t="str">
        <f>HYPERLINK("https://media.infra-m.ru/2248/2248650/cover/2248650.jpg", "Обложка")</f>
        <v>Обложка</v>
      </c>
      <c r="V8106" s="8" t="s">
        <v>1094</v>
      </c>
      <c r="W8106" s="6"/>
      <c r="X8106" s="6"/>
      <c r="Y8106" s="6"/>
      <c r="Z8106" s="6"/>
      <c r="AA8106" s="6" t="s">
        <v>76</v>
      </c>
      <c r="AB8106" s="8"/>
      <c r="AC8106" s="27">
        <v>9785160183237</v>
      </c>
    </row>
    <row r="8107" spans="1:29" s="4" customFormat="1" ht="51.9" customHeight="1" x14ac:dyDescent="0.2">
      <c r="A8107" s="5">
        <v>0</v>
      </c>
      <c r="B8107" s="6" t="s">
        <v>45688</v>
      </c>
      <c r="C8107" s="7">
        <v>2928</v>
      </c>
      <c r="D8107" s="8" t="s">
        <v>45689</v>
      </c>
      <c r="E8107" s="8" t="s">
        <v>45690</v>
      </c>
      <c r="F8107" s="8" t="s">
        <v>45691</v>
      </c>
      <c r="G8107" s="6" t="s">
        <v>60</v>
      </c>
      <c r="H8107" s="6" t="s">
        <v>34</v>
      </c>
      <c r="I8107" s="8" t="s">
        <v>253</v>
      </c>
      <c r="J8107" s="9">
        <v>1</v>
      </c>
      <c r="K8107" s="9">
        <v>421</v>
      </c>
      <c r="L8107" s="9">
        <v>2027</v>
      </c>
      <c r="M8107" s="8" t="s">
        <v>45692</v>
      </c>
      <c r="N8107" s="8" t="s">
        <v>243</v>
      </c>
      <c r="O8107" s="8" t="s">
        <v>964</v>
      </c>
      <c r="P8107" s="6" t="s">
        <v>51</v>
      </c>
      <c r="Q8107" s="8" t="s">
        <v>52</v>
      </c>
      <c r="R8107" s="10" t="s">
        <v>45693</v>
      </c>
      <c r="S8107" s="11" t="s">
        <v>45694</v>
      </c>
      <c r="T8107" s="6"/>
      <c r="U8107" s="15" t="str">
        <f>HYPERLINK("https://media.infra-m.ru/2261/2261998/cover/2261998.jpg", "Обложка")</f>
        <v>Обложка</v>
      </c>
      <c r="V8107" s="8" t="s">
        <v>9482</v>
      </c>
      <c r="W8107" s="6"/>
      <c r="X8107" s="6"/>
      <c r="Y8107" s="6"/>
      <c r="Z8107" s="6"/>
      <c r="AA8107" s="6" t="s">
        <v>274</v>
      </c>
      <c r="AB8107" s="8"/>
      <c r="AC8107" s="27">
        <v>9785160208817</v>
      </c>
    </row>
    <row r="8108" spans="1:29" s="4" customFormat="1" ht="42" customHeight="1" x14ac:dyDescent="0.2">
      <c r="A8108" s="5">
        <v>0</v>
      </c>
      <c r="B8108" s="6" t="s">
        <v>45695</v>
      </c>
      <c r="C8108" s="7">
        <v>1246.8</v>
      </c>
      <c r="D8108" s="8" t="s">
        <v>45696</v>
      </c>
      <c r="E8108" s="8" t="s">
        <v>45697</v>
      </c>
      <c r="F8108" s="8" t="s">
        <v>45698</v>
      </c>
      <c r="G8108" s="6" t="s">
        <v>60</v>
      </c>
      <c r="H8108" s="6" t="s">
        <v>34</v>
      </c>
      <c r="I8108" s="8" t="s">
        <v>375</v>
      </c>
      <c r="J8108" s="9">
        <v>1</v>
      </c>
      <c r="K8108" s="9">
        <v>112</v>
      </c>
      <c r="L8108" s="9">
        <v>2026</v>
      </c>
      <c r="M8108" s="8" t="s">
        <v>45699</v>
      </c>
      <c r="N8108" s="8" t="s">
        <v>243</v>
      </c>
      <c r="O8108" s="8" t="s">
        <v>385</v>
      </c>
      <c r="P8108" s="6" t="s">
        <v>105</v>
      </c>
      <c r="Q8108" s="8" t="s">
        <v>65</v>
      </c>
      <c r="R8108" s="10" t="s">
        <v>45700</v>
      </c>
      <c r="S8108" s="11"/>
      <c r="T8108" s="6"/>
      <c r="U8108" s="15" t="str">
        <f>HYPERLINK("https://media.infra-m.ru/2221/2221296/cover/2221296.jpg", "Обложка")</f>
        <v>Обложка</v>
      </c>
      <c r="V8108" s="8" t="s">
        <v>379</v>
      </c>
      <c r="W8108" s="6" t="s">
        <v>1382</v>
      </c>
      <c r="X8108" s="6"/>
      <c r="Y8108" s="6"/>
      <c r="Z8108" s="6"/>
      <c r="AA8108" s="6" t="s">
        <v>187</v>
      </c>
      <c r="AB8108" s="8"/>
      <c r="AC8108" s="27">
        <v>9785160212982</v>
      </c>
    </row>
    <row r="8109" spans="1:29" s="4" customFormat="1" ht="51.9" customHeight="1" x14ac:dyDescent="0.2">
      <c r="A8109" s="5">
        <v>0</v>
      </c>
      <c r="B8109" s="6" t="s">
        <v>45701</v>
      </c>
      <c r="C8109" s="7">
        <v>1632</v>
      </c>
      <c r="D8109" s="8" t="s">
        <v>45702</v>
      </c>
      <c r="E8109" s="8" t="s">
        <v>45703</v>
      </c>
      <c r="F8109" s="8" t="s">
        <v>45704</v>
      </c>
      <c r="G8109" s="6" t="s">
        <v>118</v>
      </c>
      <c r="H8109" s="6" t="s">
        <v>34</v>
      </c>
      <c r="I8109" s="8" t="s">
        <v>1128</v>
      </c>
      <c r="J8109" s="9">
        <v>1</v>
      </c>
      <c r="K8109" s="9">
        <v>247</v>
      </c>
      <c r="L8109" s="9">
        <v>2027</v>
      </c>
      <c r="M8109" s="8" t="s">
        <v>45705</v>
      </c>
      <c r="N8109" s="8" t="s">
        <v>585</v>
      </c>
      <c r="O8109" s="8" t="s">
        <v>775</v>
      </c>
      <c r="P8109" s="6" t="s">
        <v>51</v>
      </c>
      <c r="Q8109" s="8" t="s">
        <v>65</v>
      </c>
      <c r="R8109" s="10" t="s">
        <v>6804</v>
      </c>
      <c r="S8109" s="11" t="s">
        <v>45706</v>
      </c>
      <c r="T8109" s="6"/>
      <c r="U8109" s="15" t="str">
        <f>HYPERLINK("https://media.infra-m.ru/2254/2254510/cover/2254510.jpg", "Обложка")</f>
        <v>Обложка</v>
      </c>
      <c r="V8109" s="8" t="s">
        <v>1132</v>
      </c>
      <c r="W8109" s="6"/>
      <c r="X8109" s="6"/>
      <c r="Y8109" s="6"/>
      <c r="Z8109" s="6"/>
      <c r="AA8109" s="6" t="s">
        <v>157</v>
      </c>
      <c r="AB8109" s="8"/>
      <c r="AC8109" s="27">
        <v>9785160223377</v>
      </c>
    </row>
    <row r="8110" spans="1:29" s="4" customFormat="1" ht="42" customHeight="1" x14ac:dyDescent="0.2">
      <c r="A8110" s="5">
        <v>0</v>
      </c>
      <c r="B8110" s="6" t="s">
        <v>45707</v>
      </c>
      <c r="C8110" s="7">
        <v>1560</v>
      </c>
      <c r="D8110" s="8" t="s">
        <v>45708</v>
      </c>
      <c r="E8110" s="8" t="s">
        <v>45709</v>
      </c>
      <c r="F8110" s="8" t="s">
        <v>4972</v>
      </c>
      <c r="G8110" s="6" t="s">
        <v>118</v>
      </c>
      <c r="H8110" s="6" t="s">
        <v>34</v>
      </c>
      <c r="I8110" s="8" t="s">
        <v>253</v>
      </c>
      <c r="J8110" s="9">
        <v>1</v>
      </c>
      <c r="K8110" s="9">
        <v>219</v>
      </c>
      <c r="L8110" s="9">
        <v>2026</v>
      </c>
      <c r="M8110" s="8" t="s">
        <v>45710</v>
      </c>
      <c r="N8110" s="8" t="s">
        <v>585</v>
      </c>
      <c r="O8110" s="8" t="s">
        <v>775</v>
      </c>
      <c r="P8110" s="6" t="s">
        <v>51</v>
      </c>
      <c r="Q8110" s="8" t="s">
        <v>52</v>
      </c>
      <c r="R8110" s="10" t="s">
        <v>45711</v>
      </c>
      <c r="S8110" s="11"/>
      <c r="T8110" s="6"/>
      <c r="U8110" s="15" t="str">
        <f>HYPERLINK("https://media.infra-m.ru/2198/2198151/cover/2198151.jpg", "Обложка")</f>
        <v>Обложка</v>
      </c>
      <c r="V8110" s="8" t="s">
        <v>4976</v>
      </c>
      <c r="W8110" s="6"/>
      <c r="X8110" s="6"/>
      <c r="Y8110" s="6"/>
      <c r="Z8110" s="6"/>
      <c r="AA8110" s="6" t="s">
        <v>76</v>
      </c>
      <c r="AB8110" s="8" t="s">
        <v>4423</v>
      </c>
      <c r="AC8110" s="27">
        <v>9785160175225</v>
      </c>
    </row>
    <row r="8111" spans="1:29" s="4" customFormat="1" ht="51.9" customHeight="1" x14ac:dyDescent="0.2">
      <c r="A8111" s="5">
        <v>0</v>
      </c>
      <c r="B8111" s="6" t="s">
        <v>45712</v>
      </c>
      <c r="C8111" s="7">
        <v>1204.8</v>
      </c>
      <c r="D8111" s="8" t="s">
        <v>45713</v>
      </c>
      <c r="E8111" s="8" t="s">
        <v>45714</v>
      </c>
      <c r="F8111" s="8" t="s">
        <v>45715</v>
      </c>
      <c r="G8111" s="6" t="s">
        <v>33</v>
      </c>
      <c r="H8111" s="6" t="s">
        <v>34</v>
      </c>
      <c r="I8111" s="8" t="s">
        <v>253</v>
      </c>
      <c r="J8111" s="9">
        <v>1</v>
      </c>
      <c r="K8111" s="9">
        <v>182</v>
      </c>
      <c r="L8111" s="9">
        <v>2026</v>
      </c>
      <c r="M8111" s="8" t="s">
        <v>45716</v>
      </c>
      <c r="N8111" s="8" t="s">
        <v>585</v>
      </c>
      <c r="O8111" s="8" t="s">
        <v>775</v>
      </c>
      <c r="P8111" s="6" t="s">
        <v>306</v>
      </c>
      <c r="Q8111" s="8" t="s">
        <v>52</v>
      </c>
      <c r="R8111" s="10" t="s">
        <v>45717</v>
      </c>
      <c r="S8111" s="11" t="s">
        <v>45718</v>
      </c>
      <c r="T8111" s="6"/>
      <c r="U8111" s="15" t="str">
        <f>HYPERLINK("https://media.infra-m.ru/2249/2249290/cover/2249290.jpg", "Обложка")</f>
        <v>Обложка</v>
      </c>
      <c r="V8111" s="8" t="s">
        <v>588</v>
      </c>
      <c r="W8111" s="6"/>
      <c r="X8111" s="6"/>
      <c r="Y8111" s="6"/>
      <c r="Z8111" s="6"/>
      <c r="AA8111" s="6" t="s">
        <v>3800</v>
      </c>
      <c r="AB8111" s="8"/>
      <c r="AC8111" s="27">
        <v>9785160206844</v>
      </c>
    </row>
    <row r="8112" spans="1:29" s="4" customFormat="1" ht="51.9" customHeight="1" x14ac:dyDescent="0.2">
      <c r="A8112" s="5">
        <v>0</v>
      </c>
      <c r="B8112" s="6" t="s">
        <v>45719</v>
      </c>
      <c r="C8112" s="7">
        <v>1637.9</v>
      </c>
      <c r="D8112" s="8" t="s">
        <v>45720</v>
      </c>
      <c r="E8112" s="8" t="s">
        <v>45721</v>
      </c>
      <c r="F8112" s="8" t="s">
        <v>45722</v>
      </c>
      <c r="G8112" s="6" t="s">
        <v>60</v>
      </c>
      <c r="H8112" s="6" t="s">
        <v>1644</v>
      </c>
      <c r="I8112" s="8"/>
      <c r="J8112" s="9">
        <v>1</v>
      </c>
      <c r="K8112" s="9">
        <v>304</v>
      </c>
      <c r="L8112" s="9">
        <v>2023</v>
      </c>
      <c r="M8112" s="8" t="s">
        <v>45723</v>
      </c>
      <c r="N8112" s="8" t="s">
        <v>37</v>
      </c>
      <c r="O8112" s="8" t="s">
        <v>233</v>
      </c>
      <c r="P8112" s="6" t="s">
        <v>51</v>
      </c>
      <c r="Q8112" s="8" t="s">
        <v>52</v>
      </c>
      <c r="R8112" s="10" t="s">
        <v>45724</v>
      </c>
      <c r="S8112" s="11"/>
      <c r="T8112" s="6"/>
      <c r="U8112" s="15" t="str">
        <f>HYPERLINK("https://media.infra-m.ru/1911/1911804/cover/1911804.jpg", "Обложка")</f>
        <v>Обложка</v>
      </c>
      <c r="V8112" s="8" t="s">
        <v>396</v>
      </c>
      <c r="W8112" s="6"/>
      <c r="X8112" s="6"/>
      <c r="Y8112" s="6"/>
      <c r="Z8112" s="6"/>
      <c r="AA8112" s="6" t="s">
        <v>274</v>
      </c>
      <c r="AB8112" s="8"/>
      <c r="AC8112" s="27">
        <v>9785977603515</v>
      </c>
    </row>
    <row r="8113" spans="1:29" s="4" customFormat="1" ht="51.9" customHeight="1" x14ac:dyDescent="0.2">
      <c r="A8113" s="5">
        <v>0</v>
      </c>
      <c r="B8113" s="6" t="s">
        <v>45725</v>
      </c>
      <c r="C8113" s="7">
        <v>2388</v>
      </c>
      <c r="D8113" s="8" t="s">
        <v>45726</v>
      </c>
      <c r="E8113" s="8" t="s">
        <v>45727</v>
      </c>
      <c r="F8113" s="8" t="s">
        <v>11966</v>
      </c>
      <c r="G8113" s="6" t="s">
        <v>60</v>
      </c>
      <c r="H8113" s="6" t="s">
        <v>34</v>
      </c>
      <c r="I8113" s="8" t="s">
        <v>253</v>
      </c>
      <c r="J8113" s="9">
        <v>1</v>
      </c>
      <c r="K8113" s="9">
        <v>358</v>
      </c>
      <c r="L8113" s="9">
        <v>2026</v>
      </c>
      <c r="M8113" s="8" t="s">
        <v>45728</v>
      </c>
      <c r="N8113" s="8" t="s">
        <v>37</v>
      </c>
      <c r="O8113" s="8" t="s">
        <v>499</v>
      </c>
      <c r="P8113" s="6" t="s">
        <v>306</v>
      </c>
      <c r="Q8113" s="8" t="s">
        <v>500</v>
      </c>
      <c r="R8113" s="10" t="s">
        <v>45729</v>
      </c>
      <c r="S8113" s="11"/>
      <c r="T8113" s="6"/>
      <c r="U8113" s="15" t="str">
        <f>HYPERLINK("https://media.infra-m.ru/2210/2210804/cover/2210804.jpg", "Обложка")</f>
        <v>Обложка</v>
      </c>
      <c r="V8113" s="8" t="s">
        <v>396</v>
      </c>
      <c r="W8113" s="6" t="s">
        <v>186</v>
      </c>
      <c r="X8113" s="6"/>
      <c r="Y8113" s="6"/>
      <c r="Z8113" s="6"/>
      <c r="AA8113" s="6" t="s">
        <v>43</v>
      </c>
      <c r="AB8113" s="8"/>
      <c r="AC8113" s="27">
        <v>9785160210100</v>
      </c>
    </row>
    <row r="8114" spans="1:29" s="4" customFormat="1" ht="51.9" customHeight="1" x14ac:dyDescent="0.2">
      <c r="A8114" s="5">
        <v>0</v>
      </c>
      <c r="B8114" s="6" t="s">
        <v>45730</v>
      </c>
      <c r="C8114" s="7">
        <v>2760</v>
      </c>
      <c r="D8114" s="8" t="s">
        <v>45731</v>
      </c>
      <c r="E8114" s="8" t="s">
        <v>45732</v>
      </c>
      <c r="F8114" s="8" t="s">
        <v>45733</v>
      </c>
      <c r="G8114" s="6" t="s">
        <v>118</v>
      </c>
      <c r="H8114" s="6" t="s">
        <v>34</v>
      </c>
      <c r="I8114" s="8" t="s">
        <v>263</v>
      </c>
      <c r="J8114" s="9">
        <v>1</v>
      </c>
      <c r="K8114" s="9">
        <v>398</v>
      </c>
      <c r="L8114" s="9">
        <v>2026</v>
      </c>
      <c r="M8114" s="8" t="s">
        <v>45734</v>
      </c>
      <c r="N8114" s="8" t="s">
        <v>37</v>
      </c>
      <c r="O8114" s="8" t="s">
        <v>499</v>
      </c>
      <c r="P8114" s="6" t="s">
        <v>51</v>
      </c>
      <c r="Q8114" s="8" t="s">
        <v>265</v>
      </c>
      <c r="R8114" s="10" t="s">
        <v>45735</v>
      </c>
      <c r="S8114" s="11" t="s">
        <v>45736</v>
      </c>
      <c r="T8114" s="6"/>
      <c r="U8114" s="15" t="str">
        <f>HYPERLINK("https://media.infra-m.ru/2259/2259646/cover/2259646.jpg", "Обложка")</f>
        <v>Обложка</v>
      </c>
      <c r="V8114" s="8" t="s">
        <v>4754</v>
      </c>
      <c r="W8114" s="6"/>
      <c r="X8114" s="6"/>
      <c r="Y8114" s="6"/>
      <c r="Z8114" s="6"/>
      <c r="AA8114" s="6" t="s">
        <v>949</v>
      </c>
      <c r="AB8114" s="8"/>
      <c r="AC8114" s="27">
        <v>9785160153810</v>
      </c>
    </row>
    <row r="8115" spans="1:29" s="4" customFormat="1" ht="51.9" customHeight="1" x14ac:dyDescent="0.2">
      <c r="A8115" s="5">
        <v>0</v>
      </c>
      <c r="B8115" s="6" t="s">
        <v>45737</v>
      </c>
      <c r="C8115" s="7">
        <v>1728</v>
      </c>
      <c r="D8115" s="8" t="s">
        <v>45738</v>
      </c>
      <c r="E8115" s="8" t="s">
        <v>45739</v>
      </c>
      <c r="F8115" s="8" t="s">
        <v>45740</v>
      </c>
      <c r="G8115" s="6" t="s">
        <v>33</v>
      </c>
      <c r="H8115" s="6" t="s">
        <v>34</v>
      </c>
      <c r="I8115" s="8" t="s">
        <v>35</v>
      </c>
      <c r="J8115" s="9">
        <v>1</v>
      </c>
      <c r="K8115" s="9">
        <v>248</v>
      </c>
      <c r="L8115" s="9">
        <v>2026</v>
      </c>
      <c r="M8115" s="8" t="s">
        <v>45741</v>
      </c>
      <c r="N8115" s="8" t="s">
        <v>243</v>
      </c>
      <c r="O8115" s="8" t="s">
        <v>933</v>
      </c>
      <c r="P8115" s="6" t="s">
        <v>39</v>
      </c>
      <c r="Q8115" s="8" t="s">
        <v>40</v>
      </c>
      <c r="R8115" s="10" t="s">
        <v>45742</v>
      </c>
      <c r="S8115" s="11"/>
      <c r="T8115" s="6"/>
      <c r="U8115" s="15" t="str">
        <f>HYPERLINK("https://media.infra-m.ru/2260/2260964/cover/2260964.jpg", "Обложка")</f>
        <v>Обложка</v>
      </c>
      <c r="V8115" s="8" t="s">
        <v>14780</v>
      </c>
      <c r="W8115" s="6"/>
      <c r="X8115" s="6"/>
      <c r="Y8115" s="6"/>
      <c r="Z8115" s="6"/>
      <c r="AA8115" s="6" t="s">
        <v>148</v>
      </c>
      <c r="AB8115" s="8"/>
      <c r="AC8115" s="27">
        <v>9785160173764</v>
      </c>
    </row>
    <row r="8116" spans="1:29" s="4" customFormat="1" ht="42" customHeight="1" x14ac:dyDescent="0.2">
      <c r="A8116" s="5">
        <v>0</v>
      </c>
      <c r="B8116" s="6" t="s">
        <v>45743</v>
      </c>
      <c r="C8116" s="7">
        <v>3484.8</v>
      </c>
      <c r="D8116" s="8" t="s">
        <v>45744</v>
      </c>
      <c r="E8116" s="8" t="s">
        <v>45745</v>
      </c>
      <c r="F8116" s="8" t="s">
        <v>45746</v>
      </c>
      <c r="G8116" s="6" t="s">
        <v>60</v>
      </c>
      <c r="H8116" s="6" t="s">
        <v>820</v>
      </c>
      <c r="I8116" s="8" t="s">
        <v>38536</v>
      </c>
      <c r="J8116" s="9">
        <v>1</v>
      </c>
      <c r="K8116" s="9">
        <v>560</v>
      </c>
      <c r="L8116" s="9">
        <v>2026</v>
      </c>
      <c r="M8116" s="8" t="s">
        <v>45747</v>
      </c>
      <c r="N8116" s="8" t="s">
        <v>243</v>
      </c>
      <c r="O8116" s="8" t="s">
        <v>1100</v>
      </c>
      <c r="P8116" s="6" t="s">
        <v>39</v>
      </c>
      <c r="Q8116" s="8" t="s">
        <v>40</v>
      </c>
      <c r="R8116" s="10" t="s">
        <v>2479</v>
      </c>
      <c r="S8116" s="11"/>
      <c r="T8116" s="6"/>
      <c r="U8116" s="15" t="str">
        <f>HYPERLINK("https://media.infra-m.ru/2234/2234821/cover/2234821.jpg", "Обложка")</f>
        <v>Обложка</v>
      </c>
      <c r="V8116" s="8" t="s">
        <v>1030</v>
      </c>
      <c r="W8116" s="6"/>
      <c r="X8116" s="6"/>
      <c r="Y8116" s="6"/>
      <c r="Z8116" s="6"/>
      <c r="AA8116" s="6" t="s">
        <v>248</v>
      </c>
      <c r="AB8116" s="8"/>
      <c r="AC8116" s="27">
        <v>9785905554742</v>
      </c>
    </row>
    <row r="8117" spans="1:29" s="4" customFormat="1" ht="51.9" customHeight="1" x14ac:dyDescent="0.2">
      <c r="A8117" s="5">
        <v>0</v>
      </c>
      <c r="B8117" s="6" t="s">
        <v>45748</v>
      </c>
      <c r="C8117" s="7">
        <v>2052</v>
      </c>
      <c r="D8117" s="8" t="s">
        <v>45749</v>
      </c>
      <c r="E8117" s="8" t="s">
        <v>45750</v>
      </c>
      <c r="F8117" s="8" t="s">
        <v>45751</v>
      </c>
      <c r="G8117" s="6" t="s">
        <v>60</v>
      </c>
      <c r="H8117" s="6" t="s">
        <v>34</v>
      </c>
      <c r="I8117" s="8" t="s">
        <v>35</v>
      </c>
      <c r="J8117" s="9">
        <v>1</v>
      </c>
      <c r="K8117" s="9">
        <v>379</v>
      </c>
      <c r="L8117" s="9">
        <v>2023</v>
      </c>
      <c r="M8117" s="8" t="s">
        <v>45752</v>
      </c>
      <c r="N8117" s="8" t="s">
        <v>63</v>
      </c>
      <c r="O8117" s="8" t="s">
        <v>64</v>
      </c>
      <c r="P8117" s="6" t="s">
        <v>39</v>
      </c>
      <c r="Q8117" s="8" t="s">
        <v>40</v>
      </c>
      <c r="R8117" s="10" t="s">
        <v>45753</v>
      </c>
      <c r="S8117" s="11"/>
      <c r="T8117" s="6"/>
      <c r="U8117" s="15" t="str">
        <f>HYPERLINK("https://media.infra-m.ru/1911/1911018/cover/1911018.jpg", "Обложка")</f>
        <v>Обложка</v>
      </c>
      <c r="V8117" s="8" t="s">
        <v>3693</v>
      </c>
      <c r="W8117" s="6"/>
      <c r="X8117" s="6"/>
      <c r="Y8117" s="6"/>
      <c r="Z8117" s="6"/>
      <c r="AA8117" s="6" t="s">
        <v>157</v>
      </c>
      <c r="AB8117" s="8"/>
      <c r="AC8117" s="27">
        <v>9785160181004</v>
      </c>
    </row>
    <row r="8118" spans="1:29" s="4" customFormat="1" ht="51.9" customHeight="1" x14ac:dyDescent="0.2">
      <c r="A8118" s="5">
        <v>0</v>
      </c>
      <c r="B8118" s="6" t="s">
        <v>45754</v>
      </c>
      <c r="C8118" s="7">
        <v>3936</v>
      </c>
      <c r="D8118" s="8" t="s">
        <v>45755</v>
      </c>
      <c r="E8118" s="8" t="s">
        <v>45756</v>
      </c>
      <c r="F8118" s="8" t="s">
        <v>45757</v>
      </c>
      <c r="G8118" s="6" t="s">
        <v>60</v>
      </c>
      <c r="H8118" s="6" t="s">
        <v>34</v>
      </c>
      <c r="I8118" s="8" t="s">
        <v>263</v>
      </c>
      <c r="J8118" s="9">
        <v>1</v>
      </c>
      <c r="K8118" s="9">
        <v>631</v>
      </c>
      <c r="L8118" s="9">
        <v>2025</v>
      </c>
      <c r="M8118" s="8" t="s">
        <v>45758</v>
      </c>
      <c r="N8118" s="8" t="s">
        <v>243</v>
      </c>
      <c r="O8118" s="8" t="s">
        <v>964</v>
      </c>
      <c r="P8118" s="6" t="s">
        <v>51</v>
      </c>
      <c r="Q8118" s="8" t="s">
        <v>265</v>
      </c>
      <c r="R8118" s="10" t="s">
        <v>45759</v>
      </c>
      <c r="S8118" s="11"/>
      <c r="T8118" s="6"/>
      <c r="U8118" s="15" t="str">
        <f>HYPERLINK("https://media.infra-m.ru/2202/2202919/cover/2202919.jpg", "Обложка")</f>
        <v>Обложка</v>
      </c>
      <c r="V8118" s="8" t="s">
        <v>1030</v>
      </c>
      <c r="W8118" s="6"/>
      <c r="X8118" s="6"/>
      <c r="Y8118" s="6"/>
      <c r="Z8118" s="6"/>
      <c r="AA8118" s="6" t="s">
        <v>76</v>
      </c>
      <c r="AB8118" s="8" t="s">
        <v>2697</v>
      </c>
      <c r="AC8118" s="27">
        <v>9785160171890</v>
      </c>
    </row>
    <row r="8119" spans="1:29" s="4" customFormat="1" ht="51.9" customHeight="1" x14ac:dyDescent="0.2">
      <c r="A8119" s="5">
        <v>0</v>
      </c>
      <c r="B8119" s="6" t="s">
        <v>45760</v>
      </c>
      <c r="C8119" s="7">
        <v>3340.8</v>
      </c>
      <c r="D8119" s="8" t="s">
        <v>45761</v>
      </c>
      <c r="E8119" s="8" t="s">
        <v>45762</v>
      </c>
      <c r="F8119" s="8" t="s">
        <v>45763</v>
      </c>
      <c r="G8119" s="6" t="s">
        <v>60</v>
      </c>
      <c r="H8119" s="6" t="s">
        <v>34</v>
      </c>
      <c r="I8119" s="8" t="s">
        <v>271</v>
      </c>
      <c r="J8119" s="9">
        <v>1</v>
      </c>
      <c r="K8119" s="9">
        <v>506</v>
      </c>
      <c r="L8119" s="9">
        <v>2026</v>
      </c>
      <c r="M8119" s="8" t="s">
        <v>45764</v>
      </c>
      <c r="N8119" s="8" t="s">
        <v>243</v>
      </c>
      <c r="O8119" s="8" t="s">
        <v>964</v>
      </c>
      <c r="P8119" s="6" t="s">
        <v>306</v>
      </c>
      <c r="Q8119" s="8" t="s">
        <v>52</v>
      </c>
      <c r="R8119" s="10" t="s">
        <v>9480</v>
      </c>
      <c r="S8119" s="11" t="s">
        <v>45765</v>
      </c>
      <c r="T8119" s="6"/>
      <c r="U8119" s="15" t="str">
        <f>HYPERLINK("https://media.infra-m.ru/2237/2237577/cover/2237577.jpg", "Обложка")</f>
        <v>Обложка</v>
      </c>
      <c r="V8119" s="8" t="s">
        <v>2398</v>
      </c>
      <c r="W8119" s="6"/>
      <c r="X8119" s="6"/>
      <c r="Y8119" s="6"/>
      <c r="Z8119" s="6"/>
      <c r="AA8119" s="6" t="s">
        <v>859</v>
      </c>
      <c r="AB8119" s="8"/>
      <c r="AC8119" s="27">
        <v>9785160060538</v>
      </c>
    </row>
    <row r="8120" spans="1:29" s="4" customFormat="1" ht="51.9" customHeight="1" x14ac:dyDescent="0.2">
      <c r="A8120" s="5">
        <v>0</v>
      </c>
      <c r="B8120" s="6" t="s">
        <v>45766</v>
      </c>
      <c r="C8120" s="7">
        <v>3448.8</v>
      </c>
      <c r="D8120" s="8" t="s">
        <v>45767</v>
      </c>
      <c r="E8120" s="8" t="s">
        <v>45768</v>
      </c>
      <c r="F8120" s="8" t="s">
        <v>45769</v>
      </c>
      <c r="G8120" s="6" t="s">
        <v>118</v>
      </c>
      <c r="H8120" s="6" t="s">
        <v>34</v>
      </c>
      <c r="I8120" s="8" t="s">
        <v>263</v>
      </c>
      <c r="J8120" s="9">
        <v>1</v>
      </c>
      <c r="K8120" s="9">
        <v>425</v>
      </c>
      <c r="L8120" s="9">
        <v>2026</v>
      </c>
      <c r="M8120" s="8" t="s">
        <v>45770</v>
      </c>
      <c r="N8120" s="8" t="s">
        <v>243</v>
      </c>
      <c r="O8120" s="8" t="s">
        <v>964</v>
      </c>
      <c r="P8120" s="6" t="s">
        <v>306</v>
      </c>
      <c r="Q8120" s="8" t="s">
        <v>265</v>
      </c>
      <c r="R8120" s="10" t="s">
        <v>45771</v>
      </c>
      <c r="S8120" s="11" t="s">
        <v>45772</v>
      </c>
      <c r="T8120" s="6"/>
      <c r="U8120" s="15" t="str">
        <f>HYPERLINK("https://media.infra-m.ru/2219/2219481/cover/2219481.jpg", "Обложка")</f>
        <v>Обложка</v>
      </c>
      <c r="V8120" s="8" t="s">
        <v>1030</v>
      </c>
      <c r="W8120" s="6"/>
      <c r="X8120" s="6" t="s">
        <v>24</v>
      </c>
      <c r="Y8120" s="6"/>
      <c r="Z8120" s="6" t="s">
        <v>267</v>
      </c>
      <c r="AA8120" s="6" t="s">
        <v>115</v>
      </c>
      <c r="AB8120" s="8" t="s">
        <v>3581</v>
      </c>
      <c r="AC8120" s="27">
        <v>9785160140094</v>
      </c>
    </row>
    <row r="8121" spans="1:29" s="4" customFormat="1" ht="51.9" customHeight="1" x14ac:dyDescent="0.2">
      <c r="A8121" s="5">
        <v>0</v>
      </c>
      <c r="B8121" s="6" t="s">
        <v>45773</v>
      </c>
      <c r="C8121" s="7">
        <v>3650.4</v>
      </c>
      <c r="D8121" s="8" t="s">
        <v>45774</v>
      </c>
      <c r="E8121" s="8" t="s">
        <v>45768</v>
      </c>
      <c r="F8121" s="8" t="s">
        <v>45769</v>
      </c>
      <c r="G8121" s="6" t="s">
        <v>60</v>
      </c>
      <c r="H8121" s="6" t="s">
        <v>34</v>
      </c>
      <c r="I8121" s="8" t="s">
        <v>253</v>
      </c>
      <c r="J8121" s="9">
        <v>1</v>
      </c>
      <c r="K8121" s="9">
        <v>425</v>
      </c>
      <c r="L8121" s="9">
        <v>2026</v>
      </c>
      <c r="M8121" s="8" t="s">
        <v>45775</v>
      </c>
      <c r="N8121" s="8" t="s">
        <v>243</v>
      </c>
      <c r="O8121" s="8" t="s">
        <v>964</v>
      </c>
      <c r="P8121" s="6" t="s">
        <v>306</v>
      </c>
      <c r="Q8121" s="8" t="s">
        <v>52</v>
      </c>
      <c r="R8121" s="10" t="s">
        <v>2820</v>
      </c>
      <c r="S8121" s="11" t="s">
        <v>45776</v>
      </c>
      <c r="T8121" s="6"/>
      <c r="U8121" s="15" t="str">
        <f>HYPERLINK("https://media.infra-m.ru/2237/2237578/cover/2237578.jpg", "Обложка")</f>
        <v>Обложка</v>
      </c>
      <c r="V8121" s="8" t="s">
        <v>1030</v>
      </c>
      <c r="W8121" s="6"/>
      <c r="X8121" s="6"/>
      <c r="Y8121" s="6"/>
      <c r="Z8121" s="6"/>
      <c r="AA8121" s="6" t="s">
        <v>274</v>
      </c>
      <c r="AB8121" s="8"/>
      <c r="AC8121" s="27">
        <v>9785160220048</v>
      </c>
    </row>
    <row r="8122" spans="1:29" s="4" customFormat="1" ht="42" customHeight="1" x14ac:dyDescent="0.2">
      <c r="A8122" s="5">
        <v>0</v>
      </c>
      <c r="B8122" s="6" t="s">
        <v>45777</v>
      </c>
      <c r="C8122" s="7">
        <v>1068</v>
      </c>
      <c r="D8122" s="8" t="s">
        <v>45778</v>
      </c>
      <c r="E8122" s="8" t="s">
        <v>45779</v>
      </c>
      <c r="F8122" s="8" t="s">
        <v>45780</v>
      </c>
      <c r="G8122" s="6" t="s">
        <v>33</v>
      </c>
      <c r="H8122" s="6" t="s">
        <v>34</v>
      </c>
      <c r="I8122" s="8" t="s">
        <v>35</v>
      </c>
      <c r="J8122" s="9">
        <v>1</v>
      </c>
      <c r="K8122" s="9">
        <v>178</v>
      </c>
      <c r="L8122" s="9">
        <v>2025</v>
      </c>
      <c r="M8122" s="8" t="s">
        <v>45781</v>
      </c>
      <c r="N8122" s="8" t="s">
        <v>37</v>
      </c>
      <c r="O8122" s="8" t="s">
        <v>280</v>
      </c>
      <c r="P8122" s="6" t="s">
        <v>39</v>
      </c>
      <c r="Q8122" s="8" t="s">
        <v>40</v>
      </c>
      <c r="R8122" s="10" t="s">
        <v>7833</v>
      </c>
      <c r="S8122" s="11"/>
      <c r="T8122" s="6"/>
      <c r="U8122" s="15" t="str">
        <f>HYPERLINK("https://media.infra-m.ru/2186/2186414/cover/2186414.jpg", "Обложка")</f>
        <v>Обложка</v>
      </c>
      <c r="V8122" s="8" t="s">
        <v>20440</v>
      </c>
      <c r="W8122" s="6"/>
      <c r="X8122" s="6"/>
      <c r="Y8122" s="6"/>
      <c r="Z8122" s="6"/>
      <c r="AA8122" s="6" t="s">
        <v>430</v>
      </c>
      <c r="AB8122" s="8"/>
      <c r="AC8122" s="27">
        <v>9785160159775</v>
      </c>
    </row>
    <row r="8123" spans="1:29" s="4" customFormat="1" ht="44.1" customHeight="1" x14ac:dyDescent="0.2">
      <c r="A8123" s="5">
        <v>0</v>
      </c>
      <c r="B8123" s="6" t="s">
        <v>45782</v>
      </c>
      <c r="C8123" s="7">
        <v>1068</v>
      </c>
      <c r="D8123" s="8" t="s">
        <v>45783</v>
      </c>
      <c r="E8123" s="8" t="s">
        <v>45784</v>
      </c>
      <c r="F8123" s="8" t="s">
        <v>45785</v>
      </c>
      <c r="G8123" s="6" t="s">
        <v>33</v>
      </c>
      <c r="H8123" s="6" t="s">
        <v>34</v>
      </c>
      <c r="I8123" s="8" t="s">
        <v>35</v>
      </c>
      <c r="J8123" s="9">
        <v>1</v>
      </c>
      <c r="K8123" s="9">
        <v>240</v>
      </c>
      <c r="L8123" s="9">
        <v>2020</v>
      </c>
      <c r="M8123" s="8" t="s">
        <v>45786</v>
      </c>
      <c r="N8123" s="8" t="s">
        <v>37</v>
      </c>
      <c r="O8123" s="8" t="s">
        <v>233</v>
      </c>
      <c r="P8123" s="6" t="s">
        <v>39</v>
      </c>
      <c r="Q8123" s="8" t="s">
        <v>40</v>
      </c>
      <c r="R8123" s="10" t="s">
        <v>459</v>
      </c>
      <c r="S8123" s="11"/>
      <c r="T8123" s="6"/>
      <c r="U8123" s="15" t="str">
        <f>HYPERLINK("https://media.infra-m.ru/1027/1027398/cover/1027398.jpg", "Обложка")</f>
        <v>Обложка</v>
      </c>
      <c r="V8123" s="8" t="s">
        <v>18346</v>
      </c>
      <c r="W8123" s="6"/>
      <c r="X8123" s="6"/>
      <c r="Y8123" s="6"/>
      <c r="Z8123" s="6"/>
      <c r="AA8123" s="6" t="s">
        <v>1256</v>
      </c>
      <c r="AB8123" s="8"/>
      <c r="AC8123" s="27">
        <v>9785160153612</v>
      </c>
    </row>
    <row r="8124" spans="1:29" s="4" customFormat="1" ht="42" customHeight="1" x14ac:dyDescent="0.2">
      <c r="A8124" s="5">
        <v>0</v>
      </c>
      <c r="B8124" s="6" t="s">
        <v>45787</v>
      </c>
      <c r="C8124" s="7">
        <v>1500</v>
      </c>
      <c r="D8124" s="8" t="s">
        <v>45788</v>
      </c>
      <c r="E8124" s="8" t="s">
        <v>45789</v>
      </c>
      <c r="F8124" s="8" t="s">
        <v>45790</v>
      </c>
      <c r="G8124" s="6" t="s">
        <v>60</v>
      </c>
      <c r="H8124" s="6" t="s">
        <v>34</v>
      </c>
      <c r="I8124" s="8" t="s">
        <v>35</v>
      </c>
      <c r="J8124" s="9">
        <v>1</v>
      </c>
      <c r="K8124" s="9">
        <v>261</v>
      </c>
      <c r="L8124" s="9">
        <v>2023</v>
      </c>
      <c r="M8124" s="8" t="s">
        <v>45791</v>
      </c>
      <c r="N8124" s="8" t="s">
        <v>37</v>
      </c>
      <c r="O8124" s="8" t="s">
        <v>233</v>
      </c>
      <c r="P8124" s="6" t="s">
        <v>39</v>
      </c>
      <c r="Q8124" s="8" t="s">
        <v>40</v>
      </c>
      <c r="R8124" s="10" t="s">
        <v>12731</v>
      </c>
      <c r="S8124" s="11"/>
      <c r="T8124" s="6"/>
      <c r="U8124" s="15" t="str">
        <f>HYPERLINK("https://media.infra-m.ru/1921/1921376/cover/1921376.jpg", "Обложка")</f>
        <v>Обложка</v>
      </c>
      <c r="V8124" s="8" t="s">
        <v>247</v>
      </c>
      <c r="W8124" s="6"/>
      <c r="X8124" s="6"/>
      <c r="Y8124" s="6"/>
      <c r="Z8124" s="6"/>
      <c r="AA8124" s="6" t="s">
        <v>157</v>
      </c>
      <c r="AB8124" s="8"/>
      <c r="AC8124" s="27">
        <v>9785160182001</v>
      </c>
    </row>
    <row r="8125" spans="1:29" s="4" customFormat="1" ht="42" customHeight="1" x14ac:dyDescent="0.2">
      <c r="A8125" s="5">
        <v>0</v>
      </c>
      <c r="B8125" s="6" t="s">
        <v>45792</v>
      </c>
      <c r="C8125" s="13">
        <v>852</v>
      </c>
      <c r="D8125" s="8" t="s">
        <v>45793</v>
      </c>
      <c r="E8125" s="8" t="s">
        <v>45794</v>
      </c>
      <c r="F8125" s="8" t="s">
        <v>45795</v>
      </c>
      <c r="G8125" s="6" t="s">
        <v>33</v>
      </c>
      <c r="H8125" s="6" t="s">
        <v>34</v>
      </c>
      <c r="I8125" s="8" t="s">
        <v>288</v>
      </c>
      <c r="J8125" s="9">
        <v>1</v>
      </c>
      <c r="K8125" s="9">
        <v>124</v>
      </c>
      <c r="L8125" s="9">
        <v>2026</v>
      </c>
      <c r="M8125" s="8" t="s">
        <v>45796</v>
      </c>
      <c r="N8125" s="8" t="s">
        <v>37</v>
      </c>
      <c r="O8125" s="8" t="s">
        <v>290</v>
      </c>
      <c r="P8125" s="6" t="s">
        <v>51</v>
      </c>
      <c r="Q8125" s="8" t="s">
        <v>52</v>
      </c>
      <c r="R8125" s="10" t="s">
        <v>45797</v>
      </c>
      <c r="S8125" s="11"/>
      <c r="T8125" s="6"/>
      <c r="U8125" s="15" t="str">
        <f>HYPERLINK("https://media.infra-m.ru/2212/2212636/cover/2212636.jpg", "Обложка")</f>
        <v>Обложка</v>
      </c>
      <c r="V8125" s="8" t="s">
        <v>3304</v>
      </c>
      <c r="W8125" s="6"/>
      <c r="X8125" s="6"/>
      <c r="Y8125" s="6"/>
      <c r="Z8125" s="6"/>
      <c r="AA8125" s="6" t="s">
        <v>115</v>
      </c>
      <c r="AB8125" s="8"/>
      <c r="AC8125" s="27">
        <v>9785160148243</v>
      </c>
    </row>
    <row r="8126" spans="1:29" s="4" customFormat="1" ht="51.9" customHeight="1" x14ac:dyDescent="0.2">
      <c r="A8126" s="5">
        <v>0</v>
      </c>
      <c r="B8126" s="6" t="s">
        <v>45798</v>
      </c>
      <c r="C8126" s="7">
        <v>2508</v>
      </c>
      <c r="D8126" s="8" t="s">
        <v>45799</v>
      </c>
      <c r="E8126" s="8" t="s">
        <v>45800</v>
      </c>
      <c r="F8126" s="8" t="s">
        <v>12385</v>
      </c>
      <c r="G8126" s="6" t="s">
        <v>60</v>
      </c>
      <c r="H8126" s="6" t="s">
        <v>34</v>
      </c>
      <c r="I8126" s="8" t="s">
        <v>253</v>
      </c>
      <c r="J8126" s="9">
        <v>1</v>
      </c>
      <c r="K8126" s="9">
        <v>401</v>
      </c>
      <c r="L8126" s="9">
        <v>2026</v>
      </c>
      <c r="M8126" s="8" t="s">
        <v>45801</v>
      </c>
      <c r="N8126" s="8" t="s">
        <v>37</v>
      </c>
      <c r="O8126" s="8" t="s">
        <v>280</v>
      </c>
      <c r="P8126" s="6" t="s">
        <v>51</v>
      </c>
      <c r="Q8126" s="8" t="s">
        <v>65</v>
      </c>
      <c r="R8126" s="10" t="s">
        <v>45802</v>
      </c>
      <c r="S8126" s="11" t="s">
        <v>45803</v>
      </c>
      <c r="T8126" s="6"/>
      <c r="U8126" s="15" t="str">
        <f>HYPERLINK("https://media.infra-m.ru/2221/2221964/cover/2221964.jpg", "Обложка")</f>
        <v>Обложка</v>
      </c>
      <c r="V8126" s="8" t="s">
        <v>12389</v>
      </c>
      <c r="W8126" s="6"/>
      <c r="X8126" s="6"/>
      <c r="Y8126" s="6"/>
      <c r="Z8126" s="6"/>
      <c r="AA8126" s="6" t="s">
        <v>3189</v>
      </c>
      <c r="AB8126" s="8"/>
      <c r="AC8126" s="27">
        <v>9785160194271</v>
      </c>
    </row>
    <row r="8127" spans="1:29" s="4" customFormat="1" ht="51.9" customHeight="1" x14ac:dyDescent="0.2">
      <c r="A8127" s="5">
        <v>0</v>
      </c>
      <c r="B8127" s="6" t="s">
        <v>45804</v>
      </c>
      <c r="C8127" s="7">
        <v>1248</v>
      </c>
      <c r="D8127" s="8" t="s">
        <v>45805</v>
      </c>
      <c r="E8127" s="8" t="s">
        <v>45806</v>
      </c>
      <c r="F8127" s="8" t="s">
        <v>45807</v>
      </c>
      <c r="G8127" s="6" t="s">
        <v>118</v>
      </c>
      <c r="H8127" s="6" t="s">
        <v>34</v>
      </c>
      <c r="I8127" s="8" t="s">
        <v>271</v>
      </c>
      <c r="J8127" s="9">
        <v>1</v>
      </c>
      <c r="K8127" s="9">
        <v>226</v>
      </c>
      <c r="L8127" s="9">
        <v>2023</v>
      </c>
      <c r="M8127" s="8" t="s">
        <v>45808</v>
      </c>
      <c r="N8127" s="8" t="s">
        <v>37</v>
      </c>
      <c r="O8127" s="8" t="s">
        <v>280</v>
      </c>
      <c r="P8127" s="6" t="s">
        <v>51</v>
      </c>
      <c r="Q8127" s="8" t="s">
        <v>52</v>
      </c>
      <c r="R8127" s="10" t="s">
        <v>18659</v>
      </c>
      <c r="S8127" s="11" t="s">
        <v>45809</v>
      </c>
      <c r="T8127" s="6"/>
      <c r="U8127" s="15" t="str">
        <f>HYPERLINK("https://media.infra-m.ru/2126/2126475/cover/2126475.jpg", "Обложка")</f>
        <v>Обложка</v>
      </c>
      <c r="V8127" s="8" t="s">
        <v>45810</v>
      </c>
      <c r="W8127" s="6"/>
      <c r="X8127" s="6"/>
      <c r="Y8127" s="6"/>
      <c r="Z8127" s="6"/>
      <c r="AA8127" s="6" t="s">
        <v>1256</v>
      </c>
      <c r="AB8127" s="8" t="s">
        <v>1317</v>
      </c>
      <c r="AC8127" s="27">
        <v>9785160150284</v>
      </c>
    </row>
    <row r="8128" spans="1:29" s="4" customFormat="1" ht="42" customHeight="1" x14ac:dyDescent="0.2">
      <c r="A8128" s="5">
        <v>0</v>
      </c>
      <c r="B8128" s="6" t="s">
        <v>45811</v>
      </c>
      <c r="C8128" s="7">
        <v>1612.8</v>
      </c>
      <c r="D8128" s="8" t="s">
        <v>45812</v>
      </c>
      <c r="E8128" s="8" t="s">
        <v>45813</v>
      </c>
      <c r="F8128" s="8" t="s">
        <v>45814</v>
      </c>
      <c r="G8128" s="6" t="s">
        <v>118</v>
      </c>
      <c r="H8128" s="6" t="s">
        <v>34</v>
      </c>
      <c r="I8128" s="8" t="s">
        <v>35</v>
      </c>
      <c r="J8128" s="9">
        <v>1</v>
      </c>
      <c r="K8128" s="9">
        <v>297</v>
      </c>
      <c r="L8128" s="9">
        <v>2023</v>
      </c>
      <c r="M8128" s="8" t="s">
        <v>45815</v>
      </c>
      <c r="N8128" s="8" t="s">
        <v>37</v>
      </c>
      <c r="O8128" s="8" t="s">
        <v>136</v>
      </c>
      <c r="P8128" s="6" t="s">
        <v>39</v>
      </c>
      <c r="Q8128" s="8" t="s">
        <v>40</v>
      </c>
      <c r="R8128" s="10" t="s">
        <v>20445</v>
      </c>
      <c r="S8128" s="11"/>
      <c r="T8128" s="6"/>
      <c r="U8128" s="15" t="str">
        <f>HYPERLINK("https://media.infra-m.ru/2006/2006093/cover/2006093.jpg", "Обложка")</f>
        <v>Обложка</v>
      </c>
      <c r="V8128" s="8" t="s">
        <v>4943</v>
      </c>
      <c r="W8128" s="6"/>
      <c r="X8128" s="6"/>
      <c r="Y8128" s="6"/>
      <c r="Z8128" s="6"/>
      <c r="AA8128" s="6" t="s">
        <v>99</v>
      </c>
      <c r="AB8128" s="8"/>
      <c r="AC8128" s="27">
        <v>9785160119908</v>
      </c>
    </row>
    <row r="8129" spans="1:29" s="4" customFormat="1" ht="51.9" customHeight="1" x14ac:dyDescent="0.2">
      <c r="A8129" s="5">
        <v>0</v>
      </c>
      <c r="B8129" s="6" t="s">
        <v>45816</v>
      </c>
      <c r="C8129" s="13">
        <v>808.8</v>
      </c>
      <c r="D8129" s="8" t="s">
        <v>45817</v>
      </c>
      <c r="E8129" s="8" t="s">
        <v>45818</v>
      </c>
      <c r="F8129" s="8" t="s">
        <v>45819</v>
      </c>
      <c r="G8129" s="6" t="s">
        <v>33</v>
      </c>
      <c r="H8129" s="6" t="s">
        <v>34</v>
      </c>
      <c r="I8129" s="8" t="s">
        <v>271</v>
      </c>
      <c r="J8129" s="9">
        <v>1</v>
      </c>
      <c r="K8129" s="9">
        <v>116</v>
      </c>
      <c r="L8129" s="9">
        <v>2027</v>
      </c>
      <c r="M8129" s="8" t="s">
        <v>45820</v>
      </c>
      <c r="N8129" s="8" t="s">
        <v>37</v>
      </c>
      <c r="O8129" s="8" t="s">
        <v>280</v>
      </c>
      <c r="P8129" s="6" t="s">
        <v>51</v>
      </c>
      <c r="Q8129" s="8" t="s">
        <v>52</v>
      </c>
      <c r="R8129" s="10" t="s">
        <v>45821</v>
      </c>
      <c r="S8129" s="11" t="s">
        <v>45822</v>
      </c>
      <c r="T8129" s="6"/>
      <c r="U8129" s="15" t="str">
        <f>HYPERLINK("https://media.infra-m.ru/2272/2272039/cover/2272039.jpg", "Обложка")</f>
        <v>Обложка</v>
      </c>
      <c r="V8129" s="8" t="s">
        <v>45823</v>
      </c>
      <c r="W8129" s="6"/>
      <c r="X8129" s="6"/>
      <c r="Y8129" s="6"/>
      <c r="Z8129" s="6"/>
      <c r="AA8129" s="6" t="s">
        <v>274</v>
      </c>
      <c r="AB8129" s="8"/>
      <c r="AC8129" s="27">
        <v>9785160100647</v>
      </c>
    </row>
    <row r="8130" spans="1:29" s="4" customFormat="1" ht="51.9" customHeight="1" x14ac:dyDescent="0.2">
      <c r="A8130" s="5">
        <v>0</v>
      </c>
      <c r="B8130" s="6" t="s">
        <v>45824</v>
      </c>
      <c r="C8130" s="7">
        <v>2388</v>
      </c>
      <c r="D8130" s="8" t="s">
        <v>45825</v>
      </c>
      <c r="E8130" s="8" t="s">
        <v>45826</v>
      </c>
      <c r="F8130" s="8" t="s">
        <v>45827</v>
      </c>
      <c r="G8130" s="6" t="s">
        <v>33</v>
      </c>
      <c r="H8130" s="6" t="s">
        <v>34</v>
      </c>
      <c r="I8130" s="8" t="s">
        <v>35</v>
      </c>
      <c r="J8130" s="9">
        <v>1</v>
      </c>
      <c r="K8130" s="9">
        <v>379</v>
      </c>
      <c r="L8130" s="9">
        <v>2025</v>
      </c>
      <c r="M8130" s="8" t="s">
        <v>45828</v>
      </c>
      <c r="N8130" s="8" t="s">
        <v>37</v>
      </c>
      <c r="O8130" s="8" t="s">
        <v>136</v>
      </c>
      <c r="P8130" s="6" t="s">
        <v>39</v>
      </c>
      <c r="Q8130" s="8" t="s">
        <v>40</v>
      </c>
      <c r="R8130" s="10" t="s">
        <v>45829</v>
      </c>
      <c r="S8130" s="11"/>
      <c r="T8130" s="6"/>
      <c r="U8130" s="15" t="str">
        <f>HYPERLINK("https://media.infra-m.ru/2171/2171113/cover/2171113.jpg", "Обложка")</f>
        <v>Обложка</v>
      </c>
      <c r="V8130" s="8" t="s">
        <v>11240</v>
      </c>
      <c r="W8130" s="6"/>
      <c r="X8130" s="6"/>
      <c r="Y8130" s="6"/>
      <c r="Z8130" s="6"/>
      <c r="AA8130" s="6" t="s">
        <v>68</v>
      </c>
      <c r="AB8130" s="8"/>
      <c r="AC8130" s="27">
        <v>9785160203942</v>
      </c>
    </row>
    <row r="8131" spans="1:29" s="4" customFormat="1" ht="44.1" customHeight="1" x14ac:dyDescent="0.2">
      <c r="A8131" s="5">
        <v>0</v>
      </c>
      <c r="B8131" s="6" t="s">
        <v>45830</v>
      </c>
      <c r="C8131" s="7">
        <v>2836.8</v>
      </c>
      <c r="D8131" s="8" t="s">
        <v>45831</v>
      </c>
      <c r="E8131" s="8" t="s">
        <v>45832</v>
      </c>
      <c r="F8131" s="8" t="s">
        <v>45833</v>
      </c>
      <c r="G8131" s="6" t="s">
        <v>60</v>
      </c>
      <c r="H8131" s="6" t="s">
        <v>820</v>
      </c>
      <c r="I8131" s="8" t="s">
        <v>38536</v>
      </c>
      <c r="J8131" s="9">
        <v>1</v>
      </c>
      <c r="K8131" s="9">
        <v>408</v>
      </c>
      <c r="L8131" s="9">
        <v>2026</v>
      </c>
      <c r="M8131" s="8" t="s">
        <v>45834</v>
      </c>
      <c r="N8131" s="8" t="s">
        <v>37</v>
      </c>
      <c r="O8131" s="8" t="s">
        <v>499</v>
      </c>
      <c r="P8131" s="6" t="s">
        <v>39</v>
      </c>
      <c r="Q8131" s="8" t="s">
        <v>40</v>
      </c>
      <c r="R8131" s="10" t="s">
        <v>45835</v>
      </c>
      <c r="S8131" s="11"/>
      <c r="T8131" s="6"/>
      <c r="U8131" s="15" t="str">
        <f>HYPERLINK("https://media.infra-m.ru/2255/2255178/cover/2255178.jpg", "Обложка")</f>
        <v>Обложка</v>
      </c>
      <c r="V8131" s="8" t="s">
        <v>3428</v>
      </c>
      <c r="W8131" s="6"/>
      <c r="X8131" s="6"/>
      <c r="Y8131" s="6"/>
      <c r="Z8131" s="6"/>
      <c r="AA8131" s="6" t="s">
        <v>274</v>
      </c>
      <c r="AB8131" s="8"/>
      <c r="AC8131" s="27">
        <v>9785905554780</v>
      </c>
    </row>
    <row r="8132" spans="1:29" s="4" customFormat="1" ht="51.9" customHeight="1" x14ac:dyDescent="0.2">
      <c r="A8132" s="5">
        <v>0</v>
      </c>
      <c r="B8132" s="6" t="s">
        <v>45836</v>
      </c>
      <c r="C8132" s="13">
        <v>924</v>
      </c>
      <c r="D8132" s="8" t="s">
        <v>45837</v>
      </c>
      <c r="E8132" s="8" t="s">
        <v>45838</v>
      </c>
      <c r="F8132" s="8" t="s">
        <v>45839</v>
      </c>
      <c r="G8132" s="6" t="s">
        <v>33</v>
      </c>
      <c r="H8132" s="6" t="s">
        <v>34</v>
      </c>
      <c r="I8132" s="8" t="s">
        <v>35</v>
      </c>
      <c r="J8132" s="9">
        <v>1</v>
      </c>
      <c r="K8132" s="9">
        <v>151</v>
      </c>
      <c r="L8132" s="9">
        <v>2022</v>
      </c>
      <c r="M8132" s="8" t="s">
        <v>45840</v>
      </c>
      <c r="N8132" s="8" t="s">
        <v>37</v>
      </c>
      <c r="O8132" s="8" t="s">
        <v>499</v>
      </c>
      <c r="P8132" s="6" t="s">
        <v>39</v>
      </c>
      <c r="Q8132" s="8" t="s">
        <v>40</v>
      </c>
      <c r="R8132" s="10" t="s">
        <v>45841</v>
      </c>
      <c r="S8132" s="11"/>
      <c r="T8132" s="6"/>
      <c r="U8132" s="15" t="str">
        <f>HYPERLINK("https://media.infra-m.ru/1863/1863099/cover/1863099.jpg", "Обложка")</f>
        <v>Обложка</v>
      </c>
      <c r="V8132" s="8" t="s">
        <v>27840</v>
      </c>
      <c r="W8132" s="6"/>
      <c r="X8132" s="6"/>
      <c r="Y8132" s="6"/>
      <c r="Z8132" s="6"/>
      <c r="AA8132" s="6" t="s">
        <v>148</v>
      </c>
      <c r="AB8132" s="8"/>
      <c r="AC8132" s="27">
        <v>9785160176109</v>
      </c>
    </row>
    <row r="8133" spans="1:29" s="4" customFormat="1" ht="42" customHeight="1" x14ac:dyDescent="0.2">
      <c r="A8133" s="5">
        <v>0</v>
      </c>
      <c r="B8133" s="6" t="s">
        <v>45842</v>
      </c>
      <c r="C8133" s="7">
        <v>1272</v>
      </c>
      <c r="D8133" s="8" t="s">
        <v>45843</v>
      </c>
      <c r="E8133" s="8" t="s">
        <v>45844</v>
      </c>
      <c r="F8133" s="8" t="s">
        <v>45845</v>
      </c>
      <c r="G8133" s="6" t="s">
        <v>60</v>
      </c>
      <c r="H8133" s="6" t="s">
        <v>34</v>
      </c>
      <c r="I8133" s="8" t="s">
        <v>253</v>
      </c>
      <c r="J8133" s="9">
        <v>1</v>
      </c>
      <c r="K8133" s="9">
        <v>197</v>
      </c>
      <c r="L8133" s="9">
        <v>2025</v>
      </c>
      <c r="M8133" s="8" t="s">
        <v>45846</v>
      </c>
      <c r="N8133" s="8" t="s">
        <v>37</v>
      </c>
      <c r="O8133" s="8" t="s">
        <v>233</v>
      </c>
      <c r="P8133" s="6" t="s">
        <v>51</v>
      </c>
      <c r="Q8133" s="8" t="s">
        <v>500</v>
      </c>
      <c r="R8133" s="10" t="s">
        <v>11987</v>
      </c>
      <c r="S8133" s="11"/>
      <c r="T8133" s="6"/>
      <c r="U8133" s="15" t="str">
        <f>HYPERLINK("https://media.infra-m.ru/2162/2162066/cover/2162066.jpg", "Обложка")</f>
        <v>Обложка</v>
      </c>
      <c r="V8133" s="8" t="s">
        <v>5117</v>
      </c>
      <c r="W8133" s="6"/>
      <c r="X8133" s="6"/>
      <c r="Y8133" s="6"/>
      <c r="Z8133" s="6"/>
      <c r="AA8133" s="6" t="s">
        <v>68</v>
      </c>
      <c r="AB8133" s="8"/>
      <c r="AC8133" s="27">
        <v>9785160201696</v>
      </c>
    </row>
    <row r="8134" spans="1:29" s="4" customFormat="1" ht="42" customHeight="1" x14ac:dyDescent="0.2">
      <c r="A8134" s="5">
        <v>0</v>
      </c>
      <c r="B8134" s="6" t="s">
        <v>45847</v>
      </c>
      <c r="C8134" s="7">
        <v>1696.8</v>
      </c>
      <c r="D8134" s="8" t="s">
        <v>45848</v>
      </c>
      <c r="E8134" s="8" t="s">
        <v>45849</v>
      </c>
      <c r="F8134" s="8" t="s">
        <v>45850</v>
      </c>
      <c r="G8134" s="6" t="s">
        <v>60</v>
      </c>
      <c r="H8134" s="6" t="s">
        <v>134</v>
      </c>
      <c r="I8134" s="8"/>
      <c r="J8134" s="9">
        <v>1</v>
      </c>
      <c r="K8134" s="9">
        <v>256</v>
      </c>
      <c r="L8134" s="9">
        <v>2026</v>
      </c>
      <c r="M8134" s="8" t="s">
        <v>45851</v>
      </c>
      <c r="N8134" s="8" t="s">
        <v>37</v>
      </c>
      <c r="O8134" s="8" t="s">
        <v>136</v>
      </c>
      <c r="P8134" s="6" t="s">
        <v>39</v>
      </c>
      <c r="Q8134" s="8" t="s">
        <v>40</v>
      </c>
      <c r="R8134" s="10" t="s">
        <v>1631</v>
      </c>
      <c r="S8134" s="11"/>
      <c r="T8134" s="6"/>
      <c r="U8134" s="15" t="str">
        <f>HYPERLINK("https://media.infra-m.ru/2224/2224172/cover/2224172.jpg", "Обложка")</f>
        <v>Обложка</v>
      </c>
      <c r="V8134" s="8" t="s">
        <v>1069</v>
      </c>
      <c r="W8134" s="6"/>
      <c r="X8134" s="6"/>
      <c r="Y8134" s="6"/>
      <c r="Z8134" s="6"/>
      <c r="AA8134" s="6" t="s">
        <v>86</v>
      </c>
      <c r="AB8134" s="8"/>
      <c r="AC8134" s="27">
        <v>9785917689333</v>
      </c>
    </row>
    <row r="8135" spans="1:29" s="4" customFormat="1" ht="51.9" customHeight="1" x14ac:dyDescent="0.2">
      <c r="A8135" s="5">
        <v>0</v>
      </c>
      <c r="B8135" s="6" t="s">
        <v>45852</v>
      </c>
      <c r="C8135" s="7">
        <v>1428</v>
      </c>
      <c r="D8135" s="8" t="s">
        <v>45853</v>
      </c>
      <c r="E8135" s="8" t="s">
        <v>45854</v>
      </c>
      <c r="F8135" s="8" t="s">
        <v>45855</v>
      </c>
      <c r="G8135" s="6" t="s">
        <v>60</v>
      </c>
      <c r="H8135" s="6" t="s">
        <v>34</v>
      </c>
      <c r="I8135" s="8" t="s">
        <v>35</v>
      </c>
      <c r="J8135" s="9">
        <v>1</v>
      </c>
      <c r="K8135" s="9">
        <v>204</v>
      </c>
      <c r="L8135" s="9">
        <v>2026</v>
      </c>
      <c r="M8135" s="8" t="s">
        <v>45856</v>
      </c>
      <c r="N8135" s="8" t="s">
        <v>37</v>
      </c>
      <c r="O8135" s="8" t="s">
        <v>233</v>
      </c>
      <c r="P8135" s="6" t="s">
        <v>39</v>
      </c>
      <c r="Q8135" s="8" t="s">
        <v>40</v>
      </c>
      <c r="R8135" s="10" t="s">
        <v>45857</v>
      </c>
      <c r="S8135" s="11"/>
      <c r="T8135" s="6"/>
      <c r="U8135" s="15" t="str">
        <f>HYPERLINK("https://media.infra-m.ru/2226/2226227/cover/2226227.jpg", "Обложка")</f>
        <v>Обложка</v>
      </c>
      <c r="V8135" s="8" t="s">
        <v>6642</v>
      </c>
      <c r="W8135" s="6" t="s">
        <v>186</v>
      </c>
      <c r="X8135" s="6"/>
      <c r="Y8135" s="6"/>
      <c r="Z8135" s="6"/>
      <c r="AA8135" s="6" t="s">
        <v>187</v>
      </c>
      <c r="AB8135" s="8" t="s">
        <v>308</v>
      </c>
      <c r="AC8135" s="27">
        <v>9785160214535</v>
      </c>
    </row>
    <row r="8136" spans="1:29" s="4" customFormat="1" ht="51.9" customHeight="1" x14ac:dyDescent="0.2">
      <c r="A8136" s="5">
        <v>0</v>
      </c>
      <c r="B8136" s="6" t="s">
        <v>45858</v>
      </c>
      <c r="C8136" s="7">
        <v>2584.8000000000002</v>
      </c>
      <c r="D8136" s="8" t="s">
        <v>45859</v>
      </c>
      <c r="E8136" s="8" t="s">
        <v>45860</v>
      </c>
      <c r="F8136" s="8" t="s">
        <v>45861</v>
      </c>
      <c r="G8136" s="6" t="s">
        <v>60</v>
      </c>
      <c r="H8136" s="6" t="s">
        <v>34</v>
      </c>
      <c r="I8136" s="8" t="s">
        <v>35</v>
      </c>
      <c r="J8136" s="9">
        <v>1</v>
      </c>
      <c r="K8136" s="9">
        <v>392</v>
      </c>
      <c r="L8136" s="9">
        <v>2026</v>
      </c>
      <c r="M8136" s="8" t="s">
        <v>45862</v>
      </c>
      <c r="N8136" s="8" t="s">
        <v>37</v>
      </c>
      <c r="O8136" s="8" t="s">
        <v>233</v>
      </c>
      <c r="P8136" s="6" t="s">
        <v>39</v>
      </c>
      <c r="Q8136" s="8" t="s">
        <v>40</v>
      </c>
      <c r="R8136" s="10" t="s">
        <v>45863</v>
      </c>
      <c r="S8136" s="11"/>
      <c r="T8136" s="6"/>
      <c r="U8136" s="15" t="str">
        <f>HYPERLINK("https://media.infra-m.ru/2243/2243262/cover/2243262.jpg", "Обложка")</f>
        <v>Обложка</v>
      </c>
      <c r="V8136" s="8" t="s">
        <v>3087</v>
      </c>
      <c r="W8136" s="6"/>
      <c r="X8136" s="6"/>
      <c r="Y8136" s="6"/>
      <c r="Z8136" s="6"/>
      <c r="AA8136" s="6" t="s">
        <v>68</v>
      </c>
      <c r="AB8136" s="8"/>
      <c r="AC8136" s="27">
        <v>9785160199504</v>
      </c>
    </row>
    <row r="8137" spans="1:29" s="4" customFormat="1" ht="44.1" customHeight="1" x14ac:dyDescent="0.2">
      <c r="A8137" s="5">
        <v>0</v>
      </c>
      <c r="B8137" s="6" t="s">
        <v>45864</v>
      </c>
      <c r="C8137" s="7">
        <v>1860</v>
      </c>
      <c r="D8137" s="8" t="s">
        <v>45865</v>
      </c>
      <c r="E8137" s="8" t="s">
        <v>45866</v>
      </c>
      <c r="F8137" s="8" t="s">
        <v>45867</v>
      </c>
      <c r="G8137" s="6" t="s">
        <v>118</v>
      </c>
      <c r="H8137" s="6" t="s">
        <v>34</v>
      </c>
      <c r="I8137" s="8" t="s">
        <v>35</v>
      </c>
      <c r="J8137" s="9">
        <v>1</v>
      </c>
      <c r="K8137" s="9">
        <v>282</v>
      </c>
      <c r="L8137" s="9">
        <v>2026</v>
      </c>
      <c r="M8137" s="8" t="s">
        <v>45868</v>
      </c>
      <c r="N8137" s="8" t="s">
        <v>37</v>
      </c>
      <c r="O8137" s="8" t="s">
        <v>83</v>
      </c>
      <c r="P8137" s="6" t="s">
        <v>39</v>
      </c>
      <c r="Q8137" s="8" t="s">
        <v>40</v>
      </c>
      <c r="R8137" s="10" t="s">
        <v>45869</v>
      </c>
      <c r="S8137" s="11"/>
      <c r="T8137" s="6"/>
      <c r="U8137" s="15" t="str">
        <f>HYPERLINK("https://media.infra-m.ru/2249/2249530/cover/2249530.jpg", "Обложка")</f>
        <v>Обложка</v>
      </c>
      <c r="V8137" s="8" t="s">
        <v>45870</v>
      </c>
      <c r="W8137" s="6"/>
      <c r="X8137" s="6"/>
      <c r="Y8137" s="6"/>
      <c r="Z8137" s="6"/>
      <c r="AA8137" s="6" t="s">
        <v>76</v>
      </c>
      <c r="AB8137" s="8" t="s">
        <v>1806</v>
      </c>
      <c r="AC8137" s="27">
        <v>9785160189000</v>
      </c>
    </row>
    <row r="8138" spans="1:29" s="4" customFormat="1" ht="51.9" customHeight="1" x14ac:dyDescent="0.2">
      <c r="A8138" s="5">
        <v>0</v>
      </c>
      <c r="B8138" s="6" t="s">
        <v>45871</v>
      </c>
      <c r="C8138" s="7">
        <v>1408.8</v>
      </c>
      <c r="D8138" s="8" t="s">
        <v>45872</v>
      </c>
      <c r="E8138" s="8" t="s">
        <v>45873</v>
      </c>
      <c r="F8138" s="8" t="s">
        <v>45874</v>
      </c>
      <c r="G8138" s="6" t="s">
        <v>118</v>
      </c>
      <c r="H8138" s="6" t="s">
        <v>34</v>
      </c>
      <c r="I8138" s="8" t="s">
        <v>271</v>
      </c>
      <c r="J8138" s="9">
        <v>1</v>
      </c>
      <c r="K8138" s="9">
        <v>256</v>
      </c>
      <c r="L8138" s="9">
        <v>2024</v>
      </c>
      <c r="M8138" s="8" t="s">
        <v>45875</v>
      </c>
      <c r="N8138" s="8" t="s">
        <v>37</v>
      </c>
      <c r="O8138" s="8" t="s">
        <v>280</v>
      </c>
      <c r="P8138" s="6" t="s">
        <v>51</v>
      </c>
      <c r="Q8138" s="8" t="s">
        <v>52</v>
      </c>
      <c r="R8138" s="10" t="s">
        <v>40437</v>
      </c>
      <c r="S8138" s="11" t="s">
        <v>45876</v>
      </c>
      <c r="T8138" s="6"/>
      <c r="U8138" s="15" t="str">
        <f>HYPERLINK("https://media.infra-m.ru/2083/2083311/cover/2083311.jpg", "Обложка")</f>
        <v>Обложка</v>
      </c>
      <c r="V8138" s="8" t="s">
        <v>227</v>
      </c>
      <c r="W8138" s="6"/>
      <c r="X8138" s="6"/>
      <c r="Y8138" s="6"/>
      <c r="Z8138" s="6"/>
      <c r="AA8138" s="6" t="s">
        <v>43</v>
      </c>
      <c r="AB8138" s="8"/>
      <c r="AC8138" s="27">
        <v>9785160056609</v>
      </c>
    </row>
    <row r="8139" spans="1:29" s="4" customFormat="1" ht="51.9" customHeight="1" x14ac:dyDescent="0.2">
      <c r="A8139" s="5">
        <v>0</v>
      </c>
      <c r="B8139" s="6" t="s">
        <v>45877</v>
      </c>
      <c r="C8139" s="7">
        <v>1188</v>
      </c>
      <c r="D8139" s="8" t="s">
        <v>45878</v>
      </c>
      <c r="E8139" s="8" t="s">
        <v>45879</v>
      </c>
      <c r="F8139" s="8" t="s">
        <v>45880</v>
      </c>
      <c r="G8139" s="6" t="s">
        <v>60</v>
      </c>
      <c r="H8139" s="6" t="s">
        <v>34</v>
      </c>
      <c r="I8139" s="8" t="s">
        <v>504</v>
      </c>
      <c r="J8139" s="9">
        <v>1</v>
      </c>
      <c r="K8139" s="9">
        <v>203</v>
      </c>
      <c r="L8139" s="9">
        <v>2023</v>
      </c>
      <c r="M8139" s="8" t="s">
        <v>45881</v>
      </c>
      <c r="N8139" s="8" t="s">
        <v>37</v>
      </c>
      <c r="O8139" s="8" t="s">
        <v>280</v>
      </c>
      <c r="P8139" s="6" t="s">
        <v>51</v>
      </c>
      <c r="Q8139" s="8" t="s">
        <v>500</v>
      </c>
      <c r="R8139" s="10" t="s">
        <v>45882</v>
      </c>
      <c r="S8139" s="11"/>
      <c r="T8139" s="6"/>
      <c r="U8139" s="15" t="str">
        <f>HYPERLINK("https://media.infra-m.ru/1861/1861078/cover/1861078.jpg", "Обложка")</f>
        <v>Обложка</v>
      </c>
      <c r="V8139" s="8" t="s">
        <v>1425</v>
      </c>
      <c r="W8139" s="6"/>
      <c r="X8139" s="6"/>
      <c r="Y8139" s="6"/>
      <c r="Z8139" s="6"/>
      <c r="AA8139" s="6" t="s">
        <v>157</v>
      </c>
      <c r="AB8139" s="8"/>
      <c r="AC8139" s="27">
        <v>9785160175591</v>
      </c>
    </row>
    <row r="8140" spans="1:29" s="4" customFormat="1" ht="51.9" customHeight="1" x14ac:dyDescent="0.2">
      <c r="A8140" s="5">
        <v>0</v>
      </c>
      <c r="B8140" s="6" t="s">
        <v>45883</v>
      </c>
      <c r="C8140" s="7">
        <v>1776</v>
      </c>
      <c r="D8140" s="8" t="s">
        <v>45884</v>
      </c>
      <c r="E8140" s="8" t="s">
        <v>45885</v>
      </c>
      <c r="F8140" s="8" t="s">
        <v>18516</v>
      </c>
      <c r="G8140" s="6" t="s">
        <v>60</v>
      </c>
      <c r="H8140" s="6" t="s">
        <v>313</v>
      </c>
      <c r="I8140" s="8"/>
      <c r="J8140" s="9">
        <v>1</v>
      </c>
      <c r="K8140" s="9">
        <v>316</v>
      </c>
      <c r="L8140" s="9">
        <v>2024</v>
      </c>
      <c r="M8140" s="8" t="s">
        <v>45886</v>
      </c>
      <c r="N8140" s="8" t="s">
        <v>37</v>
      </c>
      <c r="O8140" s="8" t="s">
        <v>233</v>
      </c>
      <c r="P8140" s="6" t="s">
        <v>39</v>
      </c>
      <c r="Q8140" s="8" t="s">
        <v>40</v>
      </c>
      <c r="R8140" s="10" t="s">
        <v>4360</v>
      </c>
      <c r="S8140" s="11"/>
      <c r="T8140" s="6"/>
      <c r="U8140" s="15" t="str">
        <f>HYPERLINK("https://media.infra-m.ru/2116/2116954/cover/2116954.jpg", "Обложка")</f>
        <v>Обложка</v>
      </c>
      <c r="V8140" s="8" t="s">
        <v>2446</v>
      </c>
      <c r="W8140" s="6"/>
      <c r="X8140" s="6"/>
      <c r="Y8140" s="6"/>
      <c r="Z8140" s="6"/>
      <c r="AA8140" s="6" t="s">
        <v>76</v>
      </c>
      <c r="AB8140" s="8"/>
      <c r="AC8140" s="27">
        <v>9785369019436</v>
      </c>
    </row>
    <row r="8141" spans="1:29" s="4" customFormat="1" ht="44.1" customHeight="1" x14ac:dyDescent="0.2">
      <c r="A8141" s="5">
        <v>0</v>
      </c>
      <c r="B8141" s="6" t="s">
        <v>45887</v>
      </c>
      <c r="C8141" s="7">
        <v>1348.8</v>
      </c>
      <c r="D8141" s="8" t="s">
        <v>45888</v>
      </c>
      <c r="E8141" s="8" t="s">
        <v>45889</v>
      </c>
      <c r="F8141" s="8" t="s">
        <v>45890</v>
      </c>
      <c r="G8141" s="6" t="s">
        <v>33</v>
      </c>
      <c r="H8141" s="6" t="s">
        <v>48</v>
      </c>
      <c r="I8141" s="8"/>
      <c r="J8141" s="9">
        <v>1</v>
      </c>
      <c r="K8141" s="9">
        <v>205</v>
      </c>
      <c r="L8141" s="9">
        <v>2026</v>
      </c>
      <c r="M8141" s="8" t="s">
        <v>45891</v>
      </c>
      <c r="N8141" s="8" t="s">
        <v>63</v>
      </c>
      <c r="O8141" s="8" t="s">
        <v>154</v>
      </c>
      <c r="P8141" s="6" t="s">
        <v>39</v>
      </c>
      <c r="Q8141" s="8" t="s">
        <v>40</v>
      </c>
      <c r="R8141" s="10" t="s">
        <v>45892</v>
      </c>
      <c r="S8141" s="11"/>
      <c r="T8141" s="6"/>
      <c r="U8141" s="15" t="str">
        <f>HYPERLINK("https://media.infra-m.ru/2234/2234454/cover/2234454.jpg", "Обложка")</f>
        <v>Обложка</v>
      </c>
      <c r="V8141" s="8" t="s">
        <v>10325</v>
      </c>
      <c r="W8141" s="6"/>
      <c r="X8141" s="6"/>
      <c r="Y8141" s="6"/>
      <c r="Z8141" s="6"/>
      <c r="AA8141" s="6" t="s">
        <v>129</v>
      </c>
      <c r="AB8141" s="8"/>
      <c r="AC8141" s="27">
        <v>9785911345471</v>
      </c>
    </row>
    <row r="8142" spans="1:29" s="4" customFormat="1" ht="44.1" customHeight="1" x14ac:dyDescent="0.2">
      <c r="A8142" s="5">
        <v>0</v>
      </c>
      <c r="B8142" s="6" t="s">
        <v>45893</v>
      </c>
      <c r="C8142" s="7">
        <v>1600.8</v>
      </c>
      <c r="D8142" s="8" t="s">
        <v>45894</v>
      </c>
      <c r="E8142" s="8" t="s">
        <v>45895</v>
      </c>
      <c r="F8142" s="8" t="s">
        <v>45896</v>
      </c>
      <c r="G8142" s="6" t="s">
        <v>118</v>
      </c>
      <c r="H8142" s="6" t="s">
        <v>34</v>
      </c>
      <c r="I8142" s="8" t="s">
        <v>1081</v>
      </c>
      <c r="J8142" s="9">
        <v>1</v>
      </c>
      <c r="K8142" s="9">
        <v>242</v>
      </c>
      <c r="L8142" s="9">
        <v>2026</v>
      </c>
      <c r="M8142" s="8" t="s">
        <v>45897</v>
      </c>
      <c r="N8142" s="8" t="s">
        <v>224</v>
      </c>
      <c r="O8142" s="8" t="s">
        <v>225</v>
      </c>
      <c r="P8142" s="6" t="s">
        <v>39</v>
      </c>
      <c r="Q8142" s="8" t="s">
        <v>40</v>
      </c>
      <c r="R8142" s="10" t="s">
        <v>45898</v>
      </c>
      <c r="S8142" s="11"/>
      <c r="T8142" s="6"/>
      <c r="U8142" s="15" t="str">
        <f>HYPERLINK("https://media.infra-m.ru/2253/2253957/cover/2253957.jpg", "Обложка")</f>
        <v>Обложка</v>
      </c>
      <c r="V8142" s="8"/>
      <c r="W8142" s="6"/>
      <c r="X8142" s="6"/>
      <c r="Y8142" s="6"/>
      <c r="Z8142" s="6"/>
      <c r="AA8142" s="6" t="s">
        <v>86</v>
      </c>
      <c r="AB8142" s="8"/>
      <c r="AC8142" s="27">
        <v>9785160131368</v>
      </c>
    </row>
    <row r="8143" spans="1:29" s="4" customFormat="1" ht="51.9" customHeight="1" x14ac:dyDescent="0.2">
      <c r="A8143" s="5">
        <v>0</v>
      </c>
      <c r="B8143" s="6" t="s">
        <v>45899</v>
      </c>
      <c r="C8143" s="7">
        <v>2632.8</v>
      </c>
      <c r="D8143" s="8" t="s">
        <v>45900</v>
      </c>
      <c r="E8143" s="8" t="s">
        <v>45901</v>
      </c>
      <c r="F8143" s="8" t="s">
        <v>29433</v>
      </c>
      <c r="G8143" s="6" t="s">
        <v>118</v>
      </c>
      <c r="H8143" s="6" t="s">
        <v>34</v>
      </c>
      <c r="I8143" s="8" t="s">
        <v>271</v>
      </c>
      <c r="J8143" s="9">
        <v>1</v>
      </c>
      <c r="K8143" s="9">
        <v>399</v>
      </c>
      <c r="L8143" s="9">
        <v>2026</v>
      </c>
      <c r="M8143" s="8" t="s">
        <v>45902</v>
      </c>
      <c r="N8143" s="8" t="s">
        <v>243</v>
      </c>
      <c r="O8143" s="8" t="s">
        <v>758</v>
      </c>
      <c r="P8143" s="6" t="s">
        <v>306</v>
      </c>
      <c r="Q8143" s="8" t="s">
        <v>52</v>
      </c>
      <c r="R8143" s="10" t="s">
        <v>29429</v>
      </c>
      <c r="S8143" s="11" t="s">
        <v>45903</v>
      </c>
      <c r="T8143" s="6"/>
      <c r="U8143" s="15" t="str">
        <f>HYPERLINK("https://media.infra-m.ru/2243/2243200/cover/2243200.jpg", "Обложка")</f>
        <v>Обложка</v>
      </c>
      <c r="V8143" s="8" t="s">
        <v>4368</v>
      </c>
      <c r="W8143" s="6"/>
      <c r="X8143" s="6"/>
      <c r="Y8143" s="6"/>
      <c r="Z8143" s="6"/>
      <c r="AA8143" s="6" t="s">
        <v>218</v>
      </c>
      <c r="AB8143" s="8"/>
      <c r="AC8143" s="27">
        <v>9785160150796</v>
      </c>
    </row>
    <row r="8144" spans="1:29" s="4" customFormat="1" ht="51.9" customHeight="1" x14ac:dyDescent="0.2">
      <c r="A8144" s="5">
        <v>0</v>
      </c>
      <c r="B8144" s="6" t="s">
        <v>45904</v>
      </c>
      <c r="C8144" s="7">
        <v>2264.4</v>
      </c>
      <c r="D8144" s="8" t="s">
        <v>45905</v>
      </c>
      <c r="E8144" s="8" t="s">
        <v>45906</v>
      </c>
      <c r="F8144" s="8" t="s">
        <v>45907</v>
      </c>
      <c r="G8144" s="6" t="s">
        <v>118</v>
      </c>
      <c r="H8144" s="6" t="s">
        <v>48</v>
      </c>
      <c r="I8144" s="8" t="s">
        <v>253</v>
      </c>
      <c r="J8144" s="9">
        <v>1</v>
      </c>
      <c r="K8144" s="9">
        <v>264</v>
      </c>
      <c r="L8144" s="9">
        <v>2026</v>
      </c>
      <c r="M8144" s="8" t="s">
        <v>45908</v>
      </c>
      <c r="N8144" s="8" t="s">
        <v>37</v>
      </c>
      <c r="O8144" s="8" t="s">
        <v>280</v>
      </c>
      <c r="P8144" s="6" t="s">
        <v>51</v>
      </c>
      <c r="Q8144" s="8" t="s">
        <v>52</v>
      </c>
      <c r="R8144" s="10" t="s">
        <v>45909</v>
      </c>
      <c r="S8144" s="11" t="s">
        <v>45910</v>
      </c>
      <c r="T8144" s="6"/>
      <c r="U8144" s="15" t="str">
        <f>HYPERLINK("https://media.infra-m.ru/2238/2238393/cover/2238393.jpg", "Обложка")</f>
        <v>Обложка</v>
      </c>
      <c r="V8144" s="8" t="s">
        <v>30097</v>
      </c>
      <c r="W8144" s="6"/>
      <c r="X8144" s="6"/>
      <c r="Y8144" s="6"/>
      <c r="Z8144" s="6"/>
      <c r="AA8144" s="6" t="s">
        <v>623</v>
      </c>
      <c r="AB8144" s="8"/>
      <c r="AC8144" s="27">
        <v>9785000917848</v>
      </c>
    </row>
    <row r="8145" spans="1:29" s="4" customFormat="1" ht="51.9" customHeight="1" x14ac:dyDescent="0.2">
      <c r="A8145" s="5">
        <v>0</v>
      </c>
      <c r="B8145" s="6" t="s">
        <v>45911</v>
      </c>
      <c r="C8145" s="7">
        <v>1788</v>
      </c>
      <c r="D8145" s="8" t="s">
        <v>45912</v>
      </c>
      <c r="E8145" s="8" t="s">
        <v>45913</v>
      </c>
      <c r="F8145" s="8" t="s">
        <v>45914</v>
      </c>
      <c r="G8145" s="6" t="s">
        <v>118</v>
      </c>
      <c r="H8145" s="6" t="s">
        <v>34</v>
      </c>
      <c r="I8145" s="8" t="s">
        <v>5350</v>
      </c>
      <c r="J8145" s="9">
        <v>1</v>
      </c>
      <c r="K8145" s="9">
        <v>317</v>
      </c>
      <c r="L8145" s="9">
        <v>2023</v>
      </c>
      <c r="M8145" s="8" t="s">
        <v>45915</v>
      </c>
      <c r="N8145" s="8" t="s">
        <v>243</v>
      </c>
      <c r="O8145" s="8" t="s">
        <v>385</v>
      </c>
      <c r="P8145" s="6" t="s">
        <v>51</v>
      </c>
      <c r="Q8145" s="8" t="s">
        <v>377</v>
      </c>
      <c r="R8145" s="10" t="s">
        <v>378</v>
      </c>
      <c r="S8145" s="11" t="s">
        <v>17897</v>
      </c>
      <c r="T8145" s="6"/>
      <c r="U8145" s="15" t="str">
        <f>HYPERLINK("https://media.infra-m.ru/1938/1938023/cover/1938023.jpg", "Обложка")</f>
        <v>Обложка</v>
      </c>
      <c r="V8145" s="8" t="s">
        <v>3329</v>
      </c>
      <c r="W8145" s="6"/>
      <c r="X8145" s="6"/>
      <c r="Y8145" s="6"/>
      <c r="Z8145" s="6"/>
      <c r="AA8145" s="6" t="s">
        <v>1303</v>
      </c>
      <c r="AB8145" s="8"/>
      <c r="AC8145" s="27">
        <v>9785160182377</v>
      </c>
    </row>
    <row r="8146" spans="1:29" s="4" customFormat="1" ht="51.9" customHeight="1" x14ac:dyDescent="0.2">
      <c r="A8146" s="5">
        <v>0</v>
      </c>
      <c r="B8146" s="6" t="s">
        <v>45916</v>
      </c>
      <c r="C8146" s="7">
        <v>1584</v>
      </c>
      <c r="D8146" s="8" t="s">
        <v>45917</v>
      </c>
      <c r="E8146" s="8" t="s">
        <v>45918</v>
      </c>
      <c r="F8146" s="8" t="s">
        <v>45914</v>
      </c>
      <c r="G8146" s="6" t="s">
        <v>118</v>
      </c>
      <c r="H8146" s="6" t="s">
        <v>34</v>
      </c>
      <c r="I8146" s="8" t="s">
        <v>5350</v>
      </c>
      <c r="J8146" s="9">
        <v>1</v>
      </c>
      <c r="K8146" s="9">
        <v>312</v>
      </c>
      <c r="L8146" s="9">
        <v>2022</v>
      </c>
      <c r="M8146" s="8" t="s">
        <v>45919</v>
      </c>
      <c r="N8146" s="8" t="s">
        <v>243</v>
      </c>
      <c r="O8146" s="8" t="s">
        <v>385</v>
      </c>
      <c r="P8146" s="6" t="s">
        <v>51</v>
      </c>
      <c r="Q8146" s="8" t="s">
        <v>377</v>
      </c>
      <c r="R8146" s="10" t="s">
        <v>378</v>
      </c>
      <c r="S8146" s="11" t="s">
        <v>17897</v>
      </c>
      <c r="T8146" s="6"/>
      <c r="U8146" s="15" t="str">
        <f>HYPERLINK("https://media.infra-m.ru/1863/1863411/cover/1863411.jpg", "Обложка")</f>
        <v>Обложка</v>
      </c>
      <c r="V8146" s="8" t="s">
        <v>3329</v>
      </c>
      <c r="W8146" s="6"/>
      <c r="X8146" s="6"/>
      <c r="Y8146" s="6"/>
      <c r="Z8146" s="6"/>
      <c r="AA8146" s="6" t="s">
        <v>86</v>
      </c>
      <c r="AB8146" s="8"/>
      <c r="AC8146" s="27">
        <v>9785160140643</v>
      </c>
    </row>
    <row r="8147" spans="1:29" s="4" customFormat="1" ht="51.9" customHeight="1" x14ac:dyDescent="0.2">
      <c r="A8147" s="5">
        <v>0</v>
      </c>
      <c r="B8147" s="6" t="s">
        <v>45920</v>
      </c>
      <c r="C8147" s="7">
        <v>1600.8</v>
      </c>
      <c r="D8147" s="8" t="s">
        <v>45921</v>
      </c>
      <c r="E8147" s="8" t="s">
        <v>45922</v>
      </c>
      <c r="F8147" s="8" t="s">
        <v>45923</v>
      </c>
      <c r="G8147" s="6" t="s">
        <v>33</v>
      </c>
      <c r="H8147" s="6" t="s">
        <v>34</v>
      </c>
      <c r="I8147" s="8" t="s">
        <v>271</v>
      </c>
      <c r="J8147" s="9">
        <v>1</v>
      </c>
      <c r="K8147" s="9">
        <v>256</v>
      </c>
      <c r="L8147" s="9">
        <v>2025</v>
      </c>
      <c r="M8147" s="8" t="s">
        <v>45924</v>
      </c>
      <c r="N8147" s="8" t="s">
        <v>585</v>
      </c>
      <c r="O8147" s="8" t="s">
        <v>586</v>
      </c>
      <c r="P8147" s="6" t="s">
        <v>51</v>
      </c>
      <c r="Q8147" s="8" t="s">
        <v>52</v>
      </c>
      <c r="R8147" s="10" t="s">
        <v>14616</v>
      </c>
      <c r="S8147" s="11" t="s">
        <v>45925</v>
      </c>
      <c r="T8147" s="6"/>
      <c r="U8147" s="15" t="str">
        <f>HYPERLINK("https://media.infra-m.ru/2194/2194370/cover/2194370.jpg", "Обложка")</f>
        <v>Обложка</v>
      </c>
      <c r="V8147" s="8" t="s">
        <v>3595</v>
      </c>
      <c r="W8147" s="6"/>
      <c r="X8147" s="6"/>
      <c r="Y8147" s="6"/>
      <c r="Z8147" s="6"/>
      <c r="AA8147" s="6" t="s">
        <v>859</v>
      </c>
      <c r="AB8147" s="8"/>
      <c r="AC8147" s="27">
        <v>9785160095943</v>
      </c>
    </row>
    <row r="8148" spans="1:29" s="4" customFormat="1" ht="42" customHeight="1" x14ac:dyDescent="0.2">
      <c r="A8148" s="5">
        <v>0</v>
      </c>
      <c r="B8148" s="6" t="s">
        <v>45926</v>
      </c>
      <c r="C8148" s="13">
        <v>688.8</v>
      </c>
      <c r="D8148" s="8" t="s">
        <v>45927</v>
      </c>
      <c r="E8148" s="8" t="s">
        <v>45928</v>
      </c>
      <c r="F8148" s="8" t="s">
        <v>45929</v>
      </c>
      <c r="G8148" s="6" t="s">
        <v>33</v>
      </c>
      <c r="H8148" s="6" t="s">
        <v>34</v>
      </c>
      <c r="I8148" s="8" t="s">
        <v>35</v>
      </c>
      <c r="J8148" s="9">
        <v>1</v>
      </c>
      <c r="K8148" s="9">
        <v>104</v>
      </c>
      <c r="L8148" s="9">
        <v>2026</v>
      </c>
      <c r="M8148" s="8" t="s">
        <v>45930</v>
      </c>
      <c r="N8148" s="8" t="s">
        <v>37</v>
      </c>
      <c r="O8148" s="8" t="s">
        <v>233</v>
      </c>
      <c r="P8148" s="6" t="s">
        <v>39</v>
      </c>
      <c r="Q8148" s="8" t="s">
        <v>40</v>
      </c>
      <c r="R8148" s="10" t="s">
        <v>14536</v>
      </c>
      <c r="S8148" s="11"/>
      <c r="T8148" s="6"/>
      <c r="U8148" s="15" t="str">
        <f>HYPERLINK("https://media.infra-m.ru/2239/2239109/cover/2239109.jpg", "Обложка")</f>
        <v>Обложка</v>
      </c>
      <c r="V8148" s="8" t="s">
        <v>396</v>
      </c>
      <c r="W8148" s="6"/>
      <c r="X8148" s="6"/>
      <c r="Y8148" s="6"/>
      <c r="Z8148" s="6"/>
      <c r="AA8148" s="6" t="s">
        <v>99</v>
      </c>
      <c r="AB8148" s="8"/>
      <c r="AC8148" s="27">
        <v>9785160127163</v>
      </c>
    </row>
    <row r="8149" spans="1:29" s="4" customFormat="1" ht="42" customHeight="1" x14ac:dyDescent="0.2">
      <c r="A8149" s="5">
        <v>0</v>
      </c>
      <c r="B8149" s="6" t="s">
        <v>45931</v>
      </c>
      <c r="C8149" s="7">
        <v>1072.8</v>
      </c>
      <c r="D8149" s="8" t="s">
        <v>45932</v>
      </c>
      <c r="E8149" s="8" t="s">
        <v>45933</v>
      </c>
      <c r="F8149" s="8" t="s">
        <v>4896</v>
      </c>
      <c r="G8149" s="6" t="s">
        <v>33</v>
      </c>
      <c r="H8149" s="6" t="s">
        <v>34</v>
      </c>
      <c r="I8149" s="8" t="s">
        <v>35</v>
      </c>
      <c r="J8149" s="9">
        <v>1</v>
      </c>
      <c r="K8149" s="9">
        <v>155</v>
      </c>
      <c r="L8149" s="9">
        <v>2027</v>
      </c>
      <c r="M8149" s="8" t="s">
        <v>45934</v>
      </c>
      <c r="N8149" s="8" t="s">
        <v>63</v>
      </c>
      <c r="O8149" s="8" t="s">
        <v>64</v>
      </c>
      <c r="P8149" s="6" t="s">
        <v>39</v>
      </c>
      <c r="Q8149" s="8" t="s">
        <v>40</v>
      </c>
      <c r="R8149" s="10" t="s">
        <v>5704</v>
      </c>
      <c r="S8149" s="11"/>
      <c r="T8149" s="6"/>
      <c r="U8149" s="15" t="str">
        <f>HYPERLINK("https://media.infra-m.ru/2244/2244531/cover/2244531.jpg", "Обложка")</f>
        <v>Обложка</v>
      </c>
      <c r="V8149" s="8" t="s">
        <v>156</v>
      </c>
      <c r="W8149" s="6"/>
      <c r="X8149" s="6"/>
      <c r="Y8149" s="6"/>
      <c r="Z8149" s="6"/>
      <c r="AA8149" s="6" t="s">
        <v>1256</v>
      </c>
      <c r="AB8149" s="8"/>
      <c r="AC8149" s="27">
        <v>9785160149387</v>
      </c>
    </row>
    <row r="8150" spans="1:29" s="4" customFormat="1" ht="42" customHeight="1" x14ac:dyDescent="0.2">
      <c r="A8150" s="5">
        <v>0</v>
      </c>
      <c r="B8150" s="6" t="s">
        <v>45935</v>
      </c>
      <c r="C8150" s="7">
        <v>1284</v>
      </c>
      <c r="D8150" s="8" t="s">
        <v>45936</v>
      </c>
      <c r="E8150" s="8" t="s">
        <v>45937</v>
      </c>
      <c r="F8150" s="8" t="s">
        <v>45938</v>
      </c>
      <c r="G8150" s="6" t="s">
        <v>33</v>
      </c>
      <c r="H8150" s="6" t="s">
        <v>34</v>
      </c>
      <c r="I8150" s="8" t="s">
        <v>35</v>
      </c>
      <c r="J8150" s="9">
        <v>1</v>
      </c>
      <c r="K8150" s="9">
        <v>231</v>
      </c>
      <c r="L8150" s="9">
        <v>2024</v>
      </c>
      <c r="M8150" s="8" t="s">
        <v>45939</v>
      </c>
      <c r="N8150" s="8" t="s">
        <v>37</v>
      </c>
      <c r="O8150" s="8" t="s">
        <v>38</v>
      </c>
      <c r="P8150" s="6" t="s">
        <v>39</v>
      </c>
      <c r="Q8150" s="8" t="s">
        <v>40</v>
      </c>
      <c r="R8150" s="10" t="s">
        <v>3832</v>
      </c>
      <c r="S8150" s="11"/>
      <c r="T8150" s="6"/>
      <c r="U8150" s="15" t="str">
        <f>HYPERLINK("https://media.infra-m.ru/2082/2082662/cover/2082662.jpg", "Обложка")</f>
        <v>Обложка</v>
      </c>
      <c r="V8150" s="8" t="s">
        <v>13825</v>
      </c>
      <c r="W8150" s="6"/>
      <c r="X8150" s="6"/>
      <c r="Y8150" s="6"/>
      <c r="Z8150" s="6"/>
      <c r="AA8150" s="6" t="s">
        <v>76</v>
      </c>
      <c r="AB8150" s="8"/>
      <c r="AC8150" s="27">
        <v>9785160190075</v>
      </c>
    </row>
    <row r="8151" spans="1:29" s="4" customFormat="1" ht="51.9" customHeight="1" x14ac:dyDescent="0.2">
      <c r="A8151" s="5">
        <v>0</v>
      </c>
      <c r="B8151" s="6" t="s">
        <v>45940</v>
      </c>
      <c r="C8151" s="7">
        <v>2428.8000000000002</v>
      </c>
      <c r="D8151" s="8" t="s">
        <v>45941</v>
      </c>
      <c r="E8151" s="8" t="s">
        <v>45942</v>
      </c>
      <c r="F8151" s="8" t="s">
        <v>45943</v>
      </c>
      <c r="G8151" s="6" t="s">
        <v>60</v>
      </c>
      <c r="H8151" s="6" t="s">
        <v>134</v>
      </c>
      <c r="I8151" s="8"/>
      <c r="J8151" s="9">
        <v>1</v>
      </c>
      <c r="K8151" s="9">
        <v>368</v>
      </c>
      <c r="L8151" s="9">
        <v>2026</v>
      </c>
      <c r="M8151" s="8" t="s">
        <v>45944</v>
      </c>
      <c r="N8151" s="8" t="s">
        <v>37</v>
      </c>
      <c r="O8151" s="8" t="s">
        <v>136</v>
      </c>
      <c r="P8151" s="6" t="s">
        <v>394</v>
      </c>
      <c r="Q8151" s="8" t="s">
        <v>65</v>
      </c>
      <c r="R8151" s="10" t="s">
        <v>45945</v>
      </c>
      <c r="S8151" s="11"/>
      <c r="T8151" s="6"/>
      <c r="U8151" s="15" t="str">
        <f>HYPERLINK("https://media.infra-m.ru/2244/2244686/cover/2244686.jpg", "Обложка")</f>
        <v>Обложка</v>
      </c>
      <c r="V8151" s="8" t="s">
        <v>1277</v>
      </c>
      <c r="W8151" s="6"/>
      <c r="X8151" s="6"/>
      <c r="Y8151" s="6"/>
      <c r="Z8151" s="6"/>
      <c r="AA8151" s="6" t="s">
        <v>76</v>
      </c>
      <c r="AB8151" s="8"/>
      <c r="AC8151" s="27">
        <v>9785001563440</v>
      </c>
    </row>
    <row r="8152" spans="1:29" s="4" customFormat="1" ht="51.9" customHeight="1" x14ac:dyDescent="0.2">
      <c r="A8152" s="5">
        <v>0</v>
      </c>
      <c r="B8152" s="6" t="s">
        <v>45946</v>
      </c>
      <c r="C8152" s="13">
        <v>893.9</v>
      </c>
      <c r="D8152" s="8" t="s">
        <v>45947</v>
      </c>
      <c r="E8152" s="8" t="s">
        <v>45942</v>
      </c>
      <c r="F8152" s="8" t="s">
        <v>45948</v>
      </c>
      <c r="G8152" s="6" t="s">
        <v>60</v>
      </c>
      <c r="H8152" s="6" t="s">
        <v>313</v>
      </c>
      <c r="I8152" s="8" t="s">
        <v>253</v>
      </c>
      <c r="J8152" s="9">
        <v>1</v>
      </c>
      <c r="K8152" s="9">
        <v>254</v>
      </c>
      <c r="L8152" s="9">
        <v>2017</v>
      </c>
      <c r="M8152" s="8" t="s">
        <v>45949</v>
      </c>
      <c r="N8152" s="8" t="s">
        <v>37</v>
      </c>
      <c r="O8152" s="8" t="s">
        <v>136</v>
      </c>
      <c r="P8152" s="6" t="s">
        <v>51</v>
      </c>
      <c r="Q8152" s="8" t="s">
        <v>52</v>
      </c>
      <c r="R8152" s="10" t="s">
        <v>45950</v>
      </c>
      <c r="S8152" s="11"/>
      <c r="T8152" s="6"/>
      <c r="U8152" s="12"/>
      <c r="V8152" s="8" t="s">
        <v>10694</v>
      </c>
      <c r="W8152" s="6"/>
      <c r="X8152" s="6"/>
      <c r="Y8152" s="6"/>
      <c r="Z8152" s="6"/>
      <c r="AA8152" s="6" t="s">
        <v>55</v>
      </c>
      <c r="AB8152" s="8"/>
      <c r="AC8152" s="27">
        <v>9785369010938</v>
      </c>
    </row>
    <row r="8153" spans="1:29" s="4" customFormat="1" ht="51.9" customHeight="1" x14ac:dyDescent="0.2">
      <c r="A8153" s="5">
        <v>0</v>
      </c>
      <c r="B8153" s="6" t="s">
        <v>45951</v>
      </c>
      <c r="C8153" s="13">
        <v>996</v>
      </c>
      <c r="D8153" s="8" t="s">
        <v>45952</v>
      </c>
      <c r="E8153" s="8" t="s">
        <v>45953</v>
      </c>
      <c r="F8153" s="8" t="s">
        <v>10691</v>
      </c>
      <c r="G8153" s="6" t="s">
        <v>60</v>
      </c>
      <c r="H8153" s="6" t="s">
        <v>313</v>
      </c>
      <c r="I8153" s="8" t="s">
        <v>253</v>
      </c>
      <c r="J8153" s="9">
        <v>1</v>
      </c>
      <c r="K8153" s="9">
        <v>251</v>
      </c>
      <c r="L8153" s="9">
        <v>2018</v>
      </c>
      <c r="M8153" s="8" t="s">
        <v>45954</v>
      </c>
      <c r="N8153" s="8" t="s">
        <v>37</v>
      </c>
      <c r="O8153" s="8" t="s">
        <v>136</v>
      </c>
      <c r="P8153" s="6" t="s">
        <v>51</v>
      </c>
      <c r="Q8153" s="8" t="s">
        <v>52</v>
      </c>
      <c r="R8153" s="10" t="s">
        <v>45950</v>
      </c>
      <c r="S8153" s="11"/>
      <c r="T8153" s="6"/>
      <c r="U8153" s="15" t="str">
        <f>HYPERLINK("https://media.infra-m.ru/0989/0989852/cover/989852.jpg", "Обложка")</f>
        <v>Обложка</v>
      </c>
      <c r="V8153" s="8" t="s">
        <v>10694</v>
      </c>
      <c r="W8153" s="6"/>
      <c r="X8153" s="6"/>
      <c r="Y8153" s="6"/>
      <c r="Z8153" s="6"/>
      <c r="AA8153" s="6" t="s">
        <v>404</v>
      </c>
      <c r="AB8153" s="8"/>
      <c r="AC8153" s="27">
        <v>9785369017043</v>
      </c>
    </row>
    <row r="8154" spans="1:29" s="4" customFormat="1" ht="51.9" customHeight="1" x14ac:dyDescent="0.2">
      <c r="A8154" s="5">
        <v>0</v>
      </c>
      <c r="B8154" s="6" t="s">
        <v>45955</v>
      </c>
      <c r="C8154" s="7">
        <v>3745.2</v>
      </c>
      <c r="D8154" s="8" t="s">
        <v>45956</v>
      </c>
      <c r="E8154" s="8" t="s">
        <v>45957</v>
      </c>
      <c r="F8154" s="8" t="s">
        <v>45958</v>
      </c>
      <c r="G8154" s="6" t="s">
        <v>60</v>
      </c>
      <c r="H8154" s="6" t="s">
        <v>134</v>
      </c>
      <c r="I8154" s="8"/>
      <c r="J8154" s="9">
        <v>1</v>
      </c>
      <c r="K8154" s="9">
        <v>568</v>
      </c>
      <c r="L8154" s="9">
        <v>2026</v>
      </c>
      <c r="M8154" s="8" t="s">
        <v>45959</v>
      </c>
      <c r="N8154" s="8" t="s">
        <v>37</v>
      </c>
      <c r="O8154" s="8" t="s">
        <v>136</v>
      </c>
      <c r="P8154" s="6" t="s">
        <v>39</v>
      </c>
      <c r="Q8154" s="8" t="s">
        <v>40</v>
      </c>
      <c r="R8154" s="10" t="s">
        <v>45960</v>
      </c>
      <c r="S8154" s="11"/>
      <c r="T8154" s="6"/>
      <c r="U8154" s="15" t="str">
        <f>HYPERLINK("https://media.infra-m.ru/2244/2244689/cover/2244689.jpg", "Обложка")</f>
        <v>Обложка</v>
      </c>
      <c r="V8154" s="8" t="s">
        <v>1277</v>
      </c>
      <c r="W8154" s="6"/>
      <c r="X8154" s="6"/>
      <c r="Y8154" s="6"/>
      <c r="Z8154" s="6"/>
      <c r="AA8154" s="6" t="s">
        <v>148</v>
      </c>
      <c r="AB8154" s="8"/>
      <c r="AC8154" s="27">
        <v>9785001562283</v>
      </c>
    </row>
    <row r="8155" spans="1:29" s="4" customFormat="1" ht="51.9" customHeight="1" x14ac:dyDescent="0.2">
      <c r="A8155" s="5">
        <v>0</v>
      </c>
      <c r="B8155" s="6" t="s">
        <v>45961</v>
      </c>
      <c r="C8155" s="7">
        <v>4012.8</v>
      </c>
      <c r="D8155" s="8" t="s">
        <v>45962</v>
      </c>
      <c r="E8155" s="8" t="s">
        <v>45963</v>
      </c>
      <c r="F8155" s="8" t="s">
        <v>45964</v>
      </c>
      <c r="G8155" s="6" t="s">
        <v>60</v>
      </c>
      <c r="H8155" s="6" t="s">
        <v>134</v>
      </c>
      <c r="I8155" s="8"/>
      <c r="J8155" s="9">
        <v>1</v>
      </c>
      <c r="K8155" s="9">
        <v>608</v>
      </c>
      <c r="L8155" s="9">
        <v>2027</v>
      </c>
      <c r="M8155" s="8" t="s">
        <v>45965</v>
      </c>
      <c r="N8155" s="8" t="s">
        <v>37</v>
      </c>
      <c r="O8155" s="8" t="s">
        <v>136</v>
      </c>
      <c r="P8155" s="6" t="s">
        <v>39</v>
      </c>
      <c r="Q8155" s="8" t="s">
        <v>40</v>
      </c>
      <c r="R8155" s="10" t="s">
        <v>37271</v>
      </c>
      <c r="S8155" s="11"/>
      <c r="T8155" s="6"/>
      <c r="U8155" s="15" t="str">
        <f>HYPERLINK("https://media.infra-m.ru/2244/2244688/cover/2244688.jpg", "Обложка")</f>
        <v>Обложка</v>
      </c>
      <c r="V8155" s="8" t="s">
        <v>1184</v>
      </c>
      <c r="W8155" s="6"/>
      <c r="X8155" s="6"/>
      <c r="Y8155" s="6"/>
      <c r="Z8155" s="6"/>
      <c r="AA8155" s="6" t="s">
        <v>148</v>
      </c>
      <c r="AB8155" s="8"/>
      <c r="AC8155" s="27">
        <v>9785001562115</v>
      </c>
    </row>
    <row r="8156" spans="1:29" s="4" customFormat="1" ht="51.9" customHeight="1" x14ac:dyDescent="0.2">
      <c r="A8156" s="5">
        <v>0</v>
      </c>
      <c r="B8156" s="6" t="s">
        <v>45966</v>
      </c>
      <c r="C8156" s="7">
        <v>4396.8</v>
      </c>
      <c r="D8156" s="8" t="s">
        <v>45967</v>
      </c>
      <c r="E8156" s="8" t="s">
        <v>45968</v>
      </c>
      <c r="F8156" s="8" t="s">
        <v>45969</v>
      </c>
      <c r="G8156" s="6" t="s">
        <v>60</v>
      </c>
      <c r="H8156" s="6" t="s">
        <v>134</v>
      </c>
      <c r="I8156" s="8"/>
      <c r="J8156" s="9">
        <v>1</v>
      </c>
      <c r="K8156" s="9">
        <v>776</v>
      </c>
      <c r="L8156" s="9">
        <v>2026</v>
      </c>
      <c r="M8156" s="8" t="s">
        <v>45970</v>
      </c>
      <c r="N8156" s="8" t="s">
        <v>37</v>
      </c>
      <c r="O8156" s="8" t="s">
        <v>136</v>
      </c>
      <c r="P8156" s="6" t="s">
        <v>306</v>
      </c>
      <c r="Q8156" s="8" t="s">
        <v>52</v>
      </c>
      <c r="R8156" s="10" t="s">
        <v>45971</v>
      </c>
      <c r="S8156" s="11"/>
      <c r="T8156" s="6"/>
      <c r="U8156" s="15" t="str">
        <f>HYPERLINK("https://media.infra-m.ru/2242/2242276/cover/2242276.jpg", "Обложка")</f>
        <v>Обложка</v>
      </c>
      <c r="V8156" s="8" t="s">
        <v>644</v>
      </c>
      <c r="W8156" s="6"/>
      <c r="X8156" s="6"/>
      <c r="Y8156" s="6"/>
      <c r="Z8156" s="6"/>
      <c r="AA8156" s="6" t="s">
        <v>157</v>
      </c>
      <c r="AB8156" s="8"/>
      <c r="AC8156" s="27">
        <v>9785001562795</v>
      </c>
    </row>
    <row r="8157" spans="1:29" s="4" customFormat="1" ht="51.9" customHeight="1" x14ac:dyDescent="0.2">
      <c r="A8157" s="5">
        <v>0</v>
      </c>
      <c r="B8157" s="6" t="s">
        <v>45972</v>
      </c>
      <c r="C8157" s="7">
        <v>1613.9</v>
      </c>
      <c r="D8157" s="8" t="s">
        <v>45973</v>
      </c>
      <c r="E8157" s="8" t="s">
        <v>45974</v>
      </c>
      <c r="F8157" s="8" t="s">
        <v>45975</v>
      </c>
      <c r="G8157" s="6" t="s">
        <v>60</v>
      </c>
      <c r="H8157" s="6" t="s">
        <v>134</v>
      </c>
      <c r="I8157" s="8"/>
      <c r="J8157" s="9">
        <v>1</v>
      </c>
      <c r="K8157" s="9">
        <v>368</v>
      </c>
      <c r="L8157" s="9">
        <v>2020</v>
      </c>
      <c r="M8157" s="8" t="s">
        <v>45976</v>
      </c>
      <c r="N8157" s="8" t="s">
        <v>37</v>
      </c>
      <c r="O8157" s="8" t="s">
        <v>136</v>
      </c>
      <c r="P8157" s="6" t="s">
        <v>306</v>
      </c>
      <c r="Q8157" s="8" t="s">
        <v>52</v>
      </c>
      <c r="R8157" s="10" t="s">
        <v>4109</v>
      </c>
      <c r="S8157" s="11" t="s">
        <v>45977</v>
      </c>
      <c r="T8157" s="6"/>
      <c r="U8157" s="15" t="str">
        <f>HYPERLINK("https://media.infra-m.ru/1093/1093285/cover/1093285.jpg", "Обложка")</f>
        <v>Обложка</v>
      </c>
      <c r="V8157" s="8" t="s">
        <v>7167</v>
      </c>
      <c r="W8157" s="6"/>
      <c r="X8157" s="6"/>
      <c r="Y8157" s="6"/>
      <c r="Z8157" s="6"/>
      <c r="AA8157" s="6" t="s">
        <v>2240</v>
      </c>
      <c r="AB8157" s="8"/>
      <c r="AC8157" s="27">
        <v>9785917689234</v>
      </c>
    </row>
    <row r="8158" spans="1:29" s="4" customFormat="1" ht="51.9" customHeight="1" x14ac:dyDescent="0.2">
      <c r="A8158" s="5">
        <v>0</v>
      </c>
      <c r="B8158" s="6" t="s">
        <v>45978</v>
      </c>
      <c r="C8158" s="7">
        <v>2488.8000000000002</v>
      </c>
      <c r="D8158" s="8" t="s">
        <v>45979</v>
      </c>
      <c r="E8158" s="8" t="s">
        <v>45980</v>
      </c>
      <c r="F8158" s="8" t="s">
        <v>45975</v>
      </c>
      <c r="G8158" s="6" t="s">
        <v>118</v>
      </c>
      <c r="H8158" s="6" t="s">
        <v>134</v>
      </c>
      <c r="I8158" s="8"/>
      <c r="J8158" s="9">
        <v>1</v>
      </c>
      <c r="K8158" s="9">
        <v>376</v>
      </c>
      <c r="L8158" s="9">
        <v>2026</v>
      </c>
      <c r="M8158" s="8" t="s">
        <v>45981</v>
      </c>
      <c r="N8158" s="8" t="s">
        <v>37</v>
      </c>
      <c r="O8158" s="8" t="s">
        <v>136</v>
      </c>
      <c r="P8158" s="6" t="s">
        <v>306</v>
      </c>
      <c r="Q8158" s="8" t="s">
        <v>52</v>
      </c>
      <c r="R8158" s="10" t="s">
        <v>4109</v>
      </c>
      <c r="S8158" s="11" t="s">
        <v>45977</v>
      </c>
      <c r="T8158" s="6"/>
      <c r="U8158" s="15" t="str">
        <f>HYPERLINK("https://media.infra-m.ru/2244/2244692/cover/2244692.jpg", "Обложка")</f>
        <v>Обложка</v>
      </c>
      <c r="V8158" s="8" t="s">
        <v>7167</v>
      </c>
      <c r="W8158" s="6"/>
      <c r="X8158" s="6"/>
      <c r="Y8158" s="6"/>
      <c r="Z8158" s="6"/>
      <c r="AA8158" s="6" t="s">
        <v>3189</v>
      </c>
      <c r="AB8158" s="8"/>
      <c r="AC8158" s="27">
        <v>9785001562221</v>
      </c>
    </row>
    <row r="8159" spans="1:29" s="4" customFormat="1" ht="51.9" customHeight="1" x14ac:dyDescent="0.2">
      <c r="A8159" s="5">
        <v>0</v>
      </c>
      <c r="B8159" s="6" t="s">
        <v>45982</v>
      </c>
      <c r="C8159" s="13">
        <v>989.9</v>
      </c>
      <c r="D8159" s="8" t="s">
        <v>45983</v>
      </c>
      <c r="E8159" s="8" t="s">
        <v>45968</v>
      </c>
      <c r="F8159" s="8" t="s">
        <v>45984</v>
      </c>
      <c r="G8159" s="6" t="s">
        <v>7062</v>
      </c>
      <c r="H8159" s="6" t="s">
        <v>134</v>
      </c>
      <c r="I8159" s="8"/>
      <c r="J8159" s="9">
        <v>10</v>
      </c>
      <c r="K8159" s="9">
        <v>464</v>
      </c>
      <c r="L8159" s="9">
        <v>2015</v>
      </c>
      <c r="M8159" s="8" t="s">
        <v>45985</v>
      </c>
      <c r="N8159" s="8" t="s">
        <v>37</v>
      </c>
      <c r="O8159" s="8" t="s">
        <v>136</v>
      </c>
      <c r="P8159" s="6" t="s">
        <v>306</v>
      </c>
      <c r="Q8159" s="8" t="s">
        <v>52</v>
      </c>
      <c r="R8159" s="10" t="s">
        <v>4109</v>
      </c>
      <c r="S8159" s="11" t="s">
        <v>45986</v>
      </c>
      <c r="T8159" s="6"/>
      <c r="U8159" s="15" t="str">
        <f>HYPERLINK("https://media.infra-m.ru/0518/0518397/cover/518397.jpg", "Обложка")</f>
        <v>Обложка</v>
      </c>
      <c r="V8159" s="8" t="s">
        <v>7167</v>
      </c>
      <c r="W8159" s="6"/>
      <c r="X8159" s="6"/>
      <c r="Y8159" s="6"/>
      <c r="Z8159" s="6"/>
      <c r="AA8159" s="6" t="s">
        <v>129</v>
      </c>
      <c r="AB8159" s="8"/>
      <c r="AC8159" s="27">
        <v>9785917682198</v>
      </c>
    </row>
    <row r="8160" spans="1:29" s="4" customFormat="1" ht="42" customHeight="1" x14ac:dyDescent="0.2">
      <c r="A8160" s="5">
        <v>0</v>
      </c>
      <c r="B8160" s="6" t="s">
        <v>45987</v>
      </c>
      <c r="C8160" s="7">
        <v>2196</v>
      </c>
      <c r="D8160" s="8" t="s">
        <v>45988</v>
      </c>
      <c r="E8160" s="8" t="s">
        <v>45968</v>
      </c>
      <c r="F8160" s="8" t="s">
        <v>45989</v>
      </c>
      <c r="G8160" s="6" t="s">
        <v>118</v>
      </c>
      <c r="H8160" s="6" t="s">
        <v>34</v>
      </c>
      <c r="I8160" s="8" t="s">
        <v>263</v>
      </c>
      <c r="J8160" s="9">
        <v>1</v>
      </c>
      <c r="K8160" s="9">
        <v>331</v>
      </c>
      <c r="L8160" s="9">
        <v>2026</v>
      </c>
      <c r="M8160" s="8" t="s">
        <v>45990</v>
      </c>
      <c r="N8160" s="8" t="s">
        <v>37</v>
      </c>
      <c r="O8160" s="8" t="s">
        <v>136</v>
      </c>
      <c r="P8160" s="6" t="s">
        <v>306</v>
      </c>
      <c r="Q8160" s="8" t="s">
        <v>265</v>
      </c>
      <c r="R8160" s="10" t="s">
        <v>45991</v>
      </c>
      <c r="S8160" s="11"/>
      <c r="T8160" s="6"/>
      <c r="U8160" s="15" t="str">
        <f>HYPERLINK("https://media.infra-m.ru/2245/2245818/cover/2245818.jpg", "Обложка")</f>
        <v>Обложка</v>
      </c>
      <c r="V8160" s="8" t="s">
        <v>28319</v>
      </c>
      <c r="W8160" s="6"/>
      <c r="X8160" s="6"/>
      <c r="Y8160" s="6"/>
      <c r="Z8160" s="6"/>
      <c r="AA8160" s="6" t="s">
        <v>157</v>
      </c>
      <c r="AB8160" s="8" t="s">
        <v>17125</v>
      </c>
      <c r="AC8160" s="27">
        <v>9785160180618</v>
      </c>
    </row>
    <row r="8161" spans="1:29" s="4" customFormat="1" ht="51.9" customHeight="1" x14ac:dyDescent="0.2">
      <c r="A8161" s="5">
        <v>0</v>
      </c>
      <c r="B8161" s="6" t="s">
        <v>45992</v>
      </c>
      <c r="C8161" s="7">
        <v>1716</v>
      </c>
      <c r="D8161" s="8" t="s">
        <v>45993</v>
      </c>
      <c r="E8161" s="8" t="s">
        <v>45968</v>
      </c>
      <c r="F8161" s="8" t="s">
        <v>32191</v>
      </c>
      <c r="G8161" s="6" t="s">
        <v>118</v>
      </c>
      <c r="H8161" s="6" t="s">
        <v>34</v>
      </c>
      <c r="I8161" s="8" t="s">
        <v>263</v>
      </c>
      <c r="J8161" s="9">
        <v>1</v>
      </c>
      <c r="K8161" s="9">
        <v>316</v>
      </c>
      <c r="L8161" s="9">
        <v>2023</v>
      </c>
      <c r="M8161" s="8" t="s">
        <v>45994</v>
      </c>
      <c r="N8161" s="8" t="s">
        <v>37</v>
      </c>
      <c r="O8161" s="8" t="s">
        <v>136</v>
      </c>
      <c r="P8161" s="6" t="s">
        <v>51</v>
      </c>
      <c r="Q8161" s="8" t="s">
        <v>265</v>
      </c>
      <c r="R8161" s="10" t="s">
        <v>479</v>
      </c>
      <c r="S8161" s="11" t="s">
        <v>45995</v>
      </c>
      <c r="T8161" s="6"/>
      <c r="U8161" s="15" t="str">
        <f>HYPERLINK("https://media.infra-m.ru/1932/1932343/cover/1932343.jpg", "Обложка")</f>
        <v>Обложка</v>
      </c>
      <c r="V8161" s="8" t="s">
        <v>1339</v>
      </c>
      <c r="W8161" s="6"/>
      <c r="X8161" s="6"/>
      <c r="Y8161" s="6"/>
      <c r="Z8161" s="6"/>
      <c r="AA8161" s="6" t="s">
        <v>1256</v>
      </c>
      <c r="AB8161" s="8"/>
      <c r="AC8161" s="27">
        <v>9785160154558</v>
      </c>
    </row>
    <row r="8162" spans="1:29" s="4" customFormat="1" ht="51.9" customHeight="1" x14ac:dyDescent="0.2">
      <c r="A8162" s="5">
        <v>0</v>
      </c>
      <c r="B8162" s="6" t="s">
        <v>45996</v>
      </c>
      <c r="C8162" s="7">
        <v>1620</v>
      </c>
      <c r="D8162" s="8" t="s">
        <v>45997</v>
      </c>
      <c r="E8162" s="8" t="s">
        <v>45968</v>
      </c>
      <c r="F8162" s="8" t="s">
        <v>45998</v>
      </c>
      <c r="G8162" s="6" t="s">
        <v>118</v>
      </c>
      <c r="H8162" s="6" t="s">
        <v>34</v>
      </c>
      <c r="I8162" s="8" t="s">
        <v>304</v>
      </c>
      <c r="J8162" s="9">
        <v>1</v>
      </c>
      <c r="K8162" s="9">
        <v>236</v>
      </c>
      <c r="L8162" s="9">
        <v>2026</v>
      </c>
      <c r="M8162" s="8" t="s">
        <v>45999</v>
      </c>
      <c r="N8162" s="8" t="s">
        <v>37</v>
      </c>
      <c r="O8162" s="8" t="s">
        <v>136</v>
      </c>
      <c r="P8162" s="6" t="s">
        <v>51</v>
      </c>
      <c r="Q8162" s="8" t="s">
        <v>52</v>
      </c>
      <c r="R8162" s="10" t="s">
        <v>45971</v>
      </c>
      <c r="S8162" s="11"/>
      <c r="T8162" s="6"/>
      <c r="U8162" s="15" t="str">
        <f>HYPERLINK("https://media.infra-m.ru/2227/2227946/cover/2227946.jpg", "Обложка")</f>
        <v>Обложка</v>
      </c>
      <c r="V8162" s="8" t="s">
        <v>247</v>
      </c>
      <c r="W8162" s="6"/>
      <c r="X8162" s="6"/>
      <c r="Y8162" s="6"/>
      <c r="Z8162" s="6"/>
      <c r="AA8162" s="6" t="s">
        <v>187</v>
      </c>
      <c r="AB8162" s="8"/>
      <c r="AC8162" s="27">
        <v>9785160203669</v>
      </c>
    </row>
    <row r="8163" spans="1:29" s="4" customFormat="1" ht="42" customHeight="1" x14ac:dyDescent="0.2">
      <c r="A8163" s="5">
        <v>0</v>
      </c>
      <c r="B8163" s="6" t="s">
        <v>46000</v>
      </c>
      <c r="C8163" s="7">
        <v>3172.8</v>
      </c>
      <c r="D8163" s="8" t="s">
        <v>46001</v>
      </c>
      <c r="E8163" s="8" t="s">
        <v>46002</v>
      </c>
      <c r="F8163" s="8" t="s">
        <v>46003</v>
      </c>
      <c r="G8163" s="6" t="s">
        <v>118</v>
      </c>
      <c r="H8163" s="6" t="s">
        <v>134</v>
      </c>
      <c r="I8163" s="8"/>
      <c r="J8163" s="9">
        <v>1</v>
      </c>
      <c r="K8163" s="9">
        <v>480</v>
      </c>
      <c r="L8163" s="9">
        <v>2026</v>
      </c>
      <c r="M8163" s="8" t="s">
        <v>46004</v>
      </c>
      <c r="N8163" s="8" t="s">
        <v>37</v>
      </c>
      <c r="O8163" s="8" t="s">
        <v>136</v>
      </c>
      <c r="P8163" s="6" t="s">
        <v>39</v>
      </c>
      <c r="Q8163" s="8" t="s">
        <v>40</v>
      </c>
      <c r="R8163" s="10" t="s">
        <v>1631</v>
      </c>
      <c r="S8163" s="11"/>
      <c r="T8163" s="6"/>
      <c r="U8163" s="15" t="str">
        <f>HYPERLINK("https://media.infra-m.ru/2244/2244693/cover/2244693.jpg", "Обложка")</f>
        <v>Обложка</v>
      </c>
      <c r="V8163" s="8" t="s">
        <v>7167</v>
      </c>
      <c r="W8163" s="6"/>
      <c r="X8163" s="6"/>
      <c r="Y8163" s="6"/>
      <c r="Z8163" s="6"/>
      <c r="AA8163" s="6" t="s">
        <v>86</v>
      </c>
      <c r="AB8163" s="8"/>
      <c r="AC8163" s="27">
        <v>9785917688671</v>
      </c>
    </row>
    <row r="8164" spans="1:29" s="4" customFormat="1" ht="51.9" customHeight="1" x14ac:dyDescent="0.2">
      <c r="A8164" s="5">
        <v>0</v>
      </c>
      <c r="B8164" s="6" t="s">
        <v>46005</v>
      </c>
      <c r="C8164" s="7">
        <v>1224</v>
      </c>
      <c r="D8164" s="8" t="s">
        <v>46006</v>
      </c>
      <c r="E8164" s="8" t="s">
        <v>46007</v>
      </c>
      <c r="F8164" s="8" t="s">
        <v>10691</v>
      </c>
      <c r="G8164" s="6" t="s">
        <v>33</v>
      </c>
      <c r="H8164" s="6" t="s">
        <v>34</v>
      </c>
      <c r="I8164" s="8" t="s">
        <v>10692</v>
      </c>
      <c r="J8164" s="9">
        <v>1</v>
      </c>
      <c r="K8164" s="9">
        <v>195</v>
      </c>
      <c r="L8164" s="9">
        <v>2026</v>
      </c>
      <c r="M8164" s="8" t="s">
        <v>46008</v>
      </c>
      <c r="N8164" s="8" t="s">
        <v>37</v>
      </c>
      <c r="O8164" s="8" t="s">
        <v>136</v>
      </c>
      <c r="P8164" s="6" t="s">
        <v>3141</v>
      </c>
      <c r="Q8164" s="8" t="s">
        <v>40</v>
      </c>
      <c r="R8164" s="10" t="s">
        <v>46009</v>
      </c>
      <c r="S8164" s="11"/>
      <c r="T8164" s="6" t="s">
        <v>97</v>
      </c>
      <c r="U8164" s="15" t="str">
        <f>HYPERLINK("https://media.infra-m.ru/2223/2223541/cover/2223541.jpg", "Обложка")</f>
        <v>Обложка</v>
      </c>
      <c r="V8164" s="8" t="s">
        <v>10694</v>
      </c>
      <c r="W8164" s="6"/>
      <c r="X8164" s="6"/>
      <c r="Y8164" s="6"/>
      <c r="Z8164" s="6"/>
      <c r="AA8164" s="6" t="s">
        <v>896</v>
      </c>
      <c r="AB8164" s="8"/>
      <c r="AC8164" s="27">
        <v>9785160173832</v>
      </c>
    </row>
    <row r="8165" spans="1:29" s="4" customFormat="1" ht="51.9" customHeight="1" x14ac:dyDescent="0.2">
      <c r="A8165" s="5">
        <v>0</v>
      </c>
      <c r="B8165" s="6" t="s">
        <v>46010</v>
      </c>
      <c r="C8165" s="13">
        <v>828</v>
      </c>
      <c r="D8165" s="8" t="s">
        <v>46011</v>
      </c>
      <c r="E8165" s="8" t="s">
        <v>46012</v>
      </c>
      <c r="F8165" s="8" t="s">
        <v>10691</v>
      </c>
      <c r="G8165" s="6" t="s">
        <v>33</v>
      </c>
      <c r="H8165" s="6" t="s">
        <v>34</v>
      </c>
      <c r="I8165" s="8" t="s">
        <v>10692</v>
      </c>
      <c r="J8165" s="9">
        <v>1</v>
      </c>
      <c r="K8165" s="9">
        <v>190</v>
      </c>
      <c r="L8165" s="9">
        <v>2021</v>
      </c>
      <c r="M8165" s="8" t="s">
        <v>46013</v>
      </c>
      <c r="N8165" s="8" t="s">
        <v>37</v>
      </c>
      <c r="O8165" s="8" t="s">
        <v>136</v>
      </c>
      <c r="P8165" s="6" t="s">
        <v>3141</v>
      </c>
      <c r="Q8165" s="8" t="s">
        <v>40</v>
      </c>
      <c r="R8165" s="10" t="s">
        <v>46009</v>
      </c>
      <c r="S8165" s="11"/>
      <c r="T8165" s="6" t="s">
        <v>97</v>
      </c>
      <c r="U8165" s="15" t="str">
        <f>HYPERLINK("https://media.infra-m.ru/1362/1362601/cover/1362601.jpg", "Обложка")</f>
        <v>Обложка</v>
      </c>
      <c r="V8165" s="8" t="s">
        <v>10694</v>
      </c>
      <c r="W8165" s="6"/>
      <c r="X8165" s="6"/>
      <c r="Y8165" s="6"/>
      <c r="Z8165" s="6"/>
      <c r="AA8165" s="6" t="s">
        <v>99</v>
      </c>
      <c r="AB8165" s="8"/>
      <c r="AC8165" s="27">
        <v>9785160127538</v>
      </c>
    </row>
    <row r="8166" spans="1:29" s="4" customFormat="1" ht="51.9" customHeight="1" x14ac:dyDescent="0.2">
      <c r="A8166" s="5">
        <v>0</v>
      </c>
      <c r="B8166" s="6" t="s">
        <v>46014</v>
      </c>
      <c r="C8166" s="7">
        <v>1956</v>
      </c>
      <c r="D8166" s="8" t="s">
        <v>46015</v>
      </c>
      <c r="E8166" s="8" t="s">
        <v>46016</v>
      </c>
      <c r="F8166" s="8" t="s">
        <v>46017</v>
      </c>
      <c r="G8166" s="6" t="s">
        <v>60</v>
      </c>
      <c r="H8166" s="6" t="s">
        <v>134</v>
      </c>
      <c r="I8166" s="8"/>
      <c r="J8166" s="9">
        <v>1</v>
      </c>
      <c r="K8166" s="9">
        <v>296</v>
      </c>
      <c r="L8166" s="9">
        <v>2026</v>
      </c>
      <c r="M8166" s="8" t="s">
        <v>46018</v>
      </c>
      <c r="N8166" s="8" t="s">
        <v>37</v>
      </c>
      <c r="O8166" s="8" t="s">
        <v>136</v>
      </c>
      <c r="P8166" s="6" t="s">
        <v>394</v>
      </c>
      <c r="Q8166" s="8" t="s">
        <v>65</v>
      </c>
      <c r="R8166" s="10" t="s">
        <v>46019</v>
      </c>
      <c r="S8166" s="11"/>
      <c r="T8166" s="6"/>
      <c r="U8166" s="15" t="str">
        <f>HYPERLINK("https://media.infra-m.ru/2223/2223605/cover/2223605.jpg", "Обложка")</f>
        <v>Обложка</v>
      </c>
      <c r="V8166" s="8" t="s">
        <v>1184</v>
      </c>
      <c r="W8166" s="6" t="s">
        <v>1382</v>
      </c>
      <c r="X8166" s="6"/>
      <c r="Y8166" s="6"/>
      <c r="Z8166" s="6"/>
      <c r="AA8166" s="6" t="s">
        <v>187</v>
      </c>
      <c r="AB8166" s="8"/>
      <c r="AC8166" s="27">
        <v>9785001564607</v>
      </c>
    </row>
    <row r="8167" spans="1:29" s="4" customFormat="1" ht="51.9" customHeight="1" x14ac:dyDescent="0.2">
      <c r="A8167" s="5">
        <v>0</v>
      </c>
      <c r="B8167" s="6" t="s">
        <v>46020</v>
      </c>
      <c r="C8167" s="7">
        <v>4614</v>
      </c>
      <c r="D8167" s="8" t="s">
        <v>46021</v>
      </c>
      <c r="E8167" s="8" t="s">
        <v>46022</v>
      </c>
      <c r="F8167" s="8" t="s">
        <v>46023</v>
      </c>
      <c r="G8167" s="6" t="s">
        <v>60</v>
      </c>
      <c r="H8167" s="6" t="s">
        <v>34</v>
      </c>
      <c r="I8167" s="8"/>
      <c r="J8167" s="9">
        <v>1</v>
      </c>
      <c r="K8167" s="9">
        <v>271</v>
      </c>
      <c r="L8167" s="9">
        <v>2025</v>
      </c>
      <c r="M8167" s="8" t="s">
        <v>46024</v>
      </c>
      <c r="N8167" s="8" t="s">
        <v>37</v>
      </c>
      <c r="O8167" s="8" t="s">
        <v>136</v>
      </c>
      <c r="P8167" s="6" t="s">
        <v>39</v>
      </c>
      <c r="Q8167" s="8" t="s">
        <v>40</v>
      </c>
      <c r="R8167" s="10" t="s">
        <v>6985</v>
      </c>
      <c r="S8167" s="11"/>
      <c r="T8167" s="6"/>
      <c r="U8167" s="15" t="str">
        <f>HYPERLINK("https://media.infra-m.ru/2231/2231250/cover/2231250.jpg", "Обложка")</f>
        <v>Обложка</v>
      </c>
      <c r="V8167" s="8" t="s">
        <v>644</v>
      </c>
      <c r="W8167" s="6" t="s">
        <v>1382</v>
      </c>
      <c r="X8167" s="6"/>
      <c r="Y8167" s="6"/>
      <c r="Z8167" s="6"/>
      <c r="AA8167" s="6" t="s">
        <v>68</v>
      </c>
      <c r="AB8167" s="8"/>
      <c r="AC8167" s="27">
        <v>9785160214214</v>
      </c>
    </row>
    <row r="8168" spans="1:29" s="4" customFormat="1" ht="42" customHeight="1" x14ac:dyDescent="0.2">
      <c r="A8168" s="5">
        <v>0</v>
      </c>
      <c r="B8168" s="6" t="s">
        <v>46025</v>
      </c>
      <c r="C8168" s="7">
        <v>1284</v>
      </c>
      <c r="D8168" s="8" t="s">
        <v>46026</v>
      </c>
      <c r="E8168" s="8" t="s">
        <v>46027</v>
      </c>
      <c r="F8168" s="8" t="s">
        <v>7692</v>
      </c>
      <c r="G8168" s="6" t="s">
        <v>33</v>
      </c>
      <c r="H8168" s="6" t="s">
        <v>34</v>
      </c>
      <c r="I8168" s="8" t="s">
        <v>35</v>
      </c>
      <c r="J8168" s="9">
        <v>1</v>
      </c>
      <c r="K8168" s="9">
        <v>273</v>
      </c>
      <c r="L8168" s="9">
        <v>2022</v>
      </c>
      <c r="M8168" s="8" t="s">
        <v>46028</v>
      </c>
      <c r="N8168" s="8" t="s">
        <v>37</v>
      </c>
      <c r="O8168" s="8" t="s">
        <v>83</v>
      </c>
      <c r="P8168" s="6" t="s">
        <v>39</v>
      </c>
      <c r="Q8168" s="8" t="s">
        <v>40</v>
      </c>
      <c r="R8168" s="10" t="s">
        <v>216</v>
      </c>
      <c r="S8168" s="11"/>
      <c r="T8168" s="6"/>
      <c r="U8168" s="15" t="str">
        <f>HYPERLINK("https://media.infra-m.ru/1840/1840175/cover/1840175.jpg", "Обложка")</f>
        <v>Обложка</v>
      </c>
      <c r="V8168" s="8" t="s">
        <v>512</v>
      </c>
      <c r="W8168" s="6"/>
      <c r="X8168" s="6"/>
      <c r="Y8168" s="6"/>
      <c r="Z8168" s="6"/>
      <c r="AA8168" s="6" t="s">
        <v>148</v>
      </c>
      <c r="AB8168" s="8"/>
      <c r="AC8168" s="27">
        <v>9785160172880</v>
      </c>
    </row>
    <row r="8169" spans="1:29" s="4" customFormat="1" ht="42" customHeight="1" x14ac:dyDescent="0.2">
      <c r="A8169" s="5">
        <v>0</v>
      </c>
      <c r="B8169" s="6" t="s">
        <v>46029</v>
      </c>
      <c r="C8169" s="7">
        <v>2112</v>
      </c>
      <c r="D8169" s="8" t="s">
        <v>46030</v>
      </c>
      <c r="E8169" s="8" t="s">
        <v>46031</v>
      </c>
      <c r="F8169" s="8" t="s">
        <v>46032</v>
      </c>
      <c r="G8169" s="6" t="s">
        <v>118</v>
      </c>
      <c r="H8169" s="6" t="s">
        <v>34</v>
      </c>
      <c r="I8169" s="8" t="s">
        <v>35</v>
      </c>
      <c r="J8169" s="9">
        <v>1</v>
      </c>
      <c r="K8169" s="9">
        <v>303</v>
      </c>
      <c r="L8169" s="9">
        <v>2027</v>
      </c>
      <c r="M8169" s="8" t="s">
        <v>46033</v>
      </c>
      <c r="N8169" s="8" t="s">
        <v>37</v>
      </c>
      <c r="O8169" s="8" t="s">
        <v>499</v>
      </c>
      <c r="P8169" s="6" t="s">
        <v>39</v>
      </c>
      <c r="Q8169" s="8" t="s">
        <v>40</v>
      </c>
      <c r="R8169" s="10" t="s">
        <v>46034</v>
      </c>
      <c r="S8169" s="11"/>
      <c r="T8169" s="6"/>
      <c r="U8169" s="15" t="str">
        <f>HYPERLINK("https://media.infra-m.ru/2263/2263639/cover/2263639.jpg", "Обложка")</f>
        <v>Обложка</v>
      </c>
      <c r="V8169" s="8" t="s">
        <v>35615</v>
      </c>
      <c r="W8169" s="6"/>
      <c r="X8169" s="6"/>
      <c r="Y8169" s="6"/>
      <c r="Z8169" s="6"/>
      <c r="AA8169" s="6" t="s">
        <v>1256</v>
      </c>
      <c r="AB8169" s="8"/>
      <c r="AC8169" s="27">
        <v>9785160153636</v>
      </c>
    </row>
    <row r="8170" spans="1:29" s="4" customFormat="1" ht="51.9" customHeight="1" x14ac:dyDescent="0.2">
      <c r="A8170" s="5">
        <v>0</v>
      </c>
      <c r="B8170" s="6" t="s">
        <v>46035</v>
      </c>
      <c r="C8170" s="7">
        <v>1704</v>
      </c>
      <c r="D8170" s="8" t="s">
        <v>46036</v>
      </c>
      <c r="E8170" s="8" t="s">
        <v>46037</v>
      </c>
      <c r="F8170" s="8" t="s">
        <v>46038</v>
      </c>
      <c r="G8170" s="6" t="s">
        <v>118</v>
      </c>
      <c r="H8170" s="6" t="s">
        <v>34</v>
      </c>
      <c r="I8170" s="8" t="s">
        <v>1835</v>
      </c>
      <c r="J8170" s="9">
        <v>1</v>
      </c>
      <c r="K8170" s="9">
        <v>300</v>
      </c>
      <c r="L8170" s="9">
        <v>2024</v>
      </c>
      <c r="M8170" s="8" t="s">
        <v>46039</v>
      </c>
      <c r="N8170" s="8" t="s">
        <v>37</v>
      </c>
      <c r="O8170" s="8" t="s">
        <v>499</v>
      </c>
      <c r="P8170" s="6" t="s">
        <v>1837</v>
      </c>
      <c r="Q8170" s="8" t="s">
        <v>65</v>
      </c>
      <c r="R8170" s="10" t="s">
        <v>46040</v>
      </c>
      <c r="S8170" s="11"/>
      <c r="T8170" s="6"/>
      <c r="U8170" s="15" t="str">
        <f>HYPERLINK("https://media.infra-m.ru/2142/2142446/cover/2142446.jpg", "Обложка")</f>
        <v>Обложка</v>
      </c>
      <c r="V8170" s="8" t="s">
        <v>396</v>
      </c>
      <c r="W8170" s="6"/>
      <c r="X8170" s="6"/>
      <c r="Y8170" s="6"/>
      <c r="Z8170" s="6"/>
      <c r="AA8170" s="6" t="s">
        <v>115</v>
      </c>
      <c r="AB8170" s="8"/>
      <c r="AC8170" s="27">
        <v>9785160144764</v>
      </c>
    </row>
    <row r="8171" spans="1:29" s="4" customFormat="1" ht="51.9" customHeight="1" x14ac:dyDescent="0.2">
      <c r="A8171" s="5">
        <v>0</v>
      </c>
      <c r="B8171" s="6" t="s">
        <v>46041</v>
      </c>
      <c r="C8171" s="7">
        <v>1948.8</v>
      </c>
      <c r="D8171" s="8" t="s">
        <v>46042</v>
      </c>
      <c r="E8171" s="8" t="s">
        <v>46043</v>
      </c>
      <c r="F8171" s="8" t="s">
        <v>46044</v>
      </c>
      <c r="G8171" s="6" t="s">
        <v>33</v>
      </c>
      <c r="H8171" s="6" t="s">
        <v>34</v>
      </c>
      <c r="I8171" s="8" t="s">
        <v>35</v>
      </c>
      <c r="J8171" s="9">
        <v>1</v>
      </c>
      <c r="K8171" s="9">
        <v>280</v>
      </c>
      <c r="L8171" s="9">
        <v>2027</v>
      </c>
      <c r="M8171" s="8" t="s">
        <v>46045</v>
      </c>
      <c r="N8171" s="8" t="s">
        <v>37</v>
      </c>
      <c r="O8171" s="8" t="s">
        <v>233</v>
      </c>
      <c r="P8171" s="6" t="s">
        <v>39</v>
      </c>
      <c r="Q8171" s="8" t="s">
        <v>40</v>
      </c>
      <c r="R8171" s="10" t="s">
        <v>46046</v>
      </c>
      <c r="S8171" s="11"/>
      <c r="T8171" s="6"/>
      <c r="U8171" s="15" t="str">
        <f>HYPERLINK("https://media.infra-m.ru/2251/2251379/cover/2251379.jpg", "Обложка")</f>
        <v>Обложка</v>
      </c>
      <c r="V8171" s="8" t="s">
        <v>5117</v>
      </c>
      <c r="W8171" s="6"/>
      <c r="X8171" s="6"/>
      <c r="Y8171" s="6"/>
      <c r="Z8171" s="6"/>
      <c r="AA8171" s="6" t="s">
        <v>561</v>
      </c>
      <c r="AB8171" s="8"/>
      <c r="AC8171" s="27">
        <v>9785160052830</v>
      </c>
    </row>
    <row r="8172" spans="1:29" s="4" customFormat="1" ht="51.9" customHeight="1" x14ac:dyDescent="0.2">
      <c r="A8172" s="5">
        <v>0</v>
      </c>
      <c r="B8172" s="6" t="s">
        <v>46047</v>
      </c>
      <c r="C8172" s="13">
        <v>748.8</v>
      </c>
      <c r="D8172" s="8" t="s">
        <v>46048</v>
      </c>
      <c r="E8172" s="8" t="s">
        <v>46049</v>
      </c>
      <c r="F8172" s="8" t="s">
        <v>46050</v>
      </c>
      <c r="G8172" s="6" t="s">
        <v>33</v>
      </c>
      <c r="H8172" s="6" t="s">
        <v>48</v>
      </c>
      <c r="I8172" s="8" t="s">
        <v>271</v>
      </c>
      <c r="J8172" s="9">
        <v>1</v>
      </c>
      <c r="K8172" s="9">
        <v>112</v>
      </c>
      <c r="L8172" s="9">
        <v>2026</v>
      </c>
      <c r="M8172" s="8" t="s">
        <v>46051</v>
      </c>
      <c r="N8172" s="8" t="s">
        <v>37</v>
      </c>
      <c r="O8172" s="8" t="s">
        <v>280</v>
      </c>
      <c r="P8172" s="6" t="s">
        <v>394</v>
      </c>
      <c r="Q8172" s="8" t="s">
        <v>52</v>
      </c>
      <c r="R8172" s="10" t="s">
        <v>2711</v>
      </c>
      <c r="S8172" s="11" t="s">
        <v>11502</v>
      </c>
      <c r="T8172" s="6"/>
      <c r="U8172" s="15" t="str">
        <f>HYPERLINK("https://media.infra-m.ru/2224/2224193/cover/2224193.jpg", "Обложка")</f>
        <v>Обложка</v>
      </c>
      <c r="V8172" s="8" t="s">
        <v>445</v>
      </c>
      <c r="W8172" s="6"/>
      <c r="X8172" s="6"/>
      <c r="Y8172" s="6"/>
      <c r="Z8172" s="6"/>
      <c r="AA8172" s="6" t="s">
        <v>99</v>
      </c>
      <c r="AB8172" s="8"/>
      <c r="AC8172" s="27">
        <v>9785000914083</v>
      </c>
    </row>
    <row r="8173" spans="1:29" s="4" customFormat="1" ht="51.9" customHeight="1" x14ac:dyDescent="0.2">
      <c r="A8173" s="5">
        <v>0</v>
      </c>
      <c r="B8173" s="6" t="s">
        <v>46052</v>
      </c>
      <c r="C8173" s="13">
        <v>708</v>
      </c>
      <c r="D8173" s="8" t="s">
        <v>46053</v>
      </c>
      <c r="E8173" s="8" t="s">
        <v>46049</v>
      </c>
      <c r="F8173" s="8" t="s">
        <v>46050</v>
      </c>
      <c r="G8173" s="6" t="s">
        <v>33</v>
      </c>
      <c r="H8173" s="6" t="s">
        <v>48</v>
      </c>
      <c r="I8173" s="8" t="s">
        <v>263</v>
      </c>
      <c r="J8173" s="9">
        <v>1</v>
      </c>
      <c r="K8173" s="9">
        <v>112</v>
      </c>
      <c r="L8173" s="9">
        <v>2025</v>
      </c>
      <c r="M8173" s="8" t="s">
        <v>46054</v>
      </c>
      <c r="N8173" s="8" t="s">
        <v>37</v>
      </c>
      <c r="O8173" s="8" t="s">
        <v>280</v>
      </c>
      <c r="P8173" s="6" t="s">
        <v>394</v>
      </c>
      <c r="Q8173" s="8" t="s">
        <v>265</v>
      </c>
      <c r="R8173" s="10" t="s">
        <v>4160</v>
      </c>
      <c r="S8173" s="11" t="s">
        <v>2814</v>
      </c>
      <c r="T8173" s="6"/>
      <c r="U8173" s="15" t="str">
        <f>HYPERLINK("https://media.infra-m.ru/2179/2179097/cover/2179097.jpg", "Обложка")</f>
        <v>Обложка</v>
      </c>
      <c r="V8173" s="8" t="s">
        <v>445</v>
      </c>
      <c r="W8173" s="6"/>
      <c r="X8173" s="6"/>
      <c r="Y8173" s="6"/>
      <c r="Z8173" s="6" t="s">
        <v>267</v>
      </c>
      <c r="AA8173" s="6" t="s">
        <v>86</v>
      </c>
      <c r="AB8173" s="8"/>
      <c r="AC8173" s="27">
        <v>9785000915608</v>
      </c>
    </row>
    <row r="8174" spans="1:29" s="4" customFormat="1" ht="51.9" customHeight="1" x14ac:dyDescent="0.2">
      <c r="A8174" s="5">
        <v>0</v>
      </c>
      <c r="B8174" s="6" t="s">
        <v>46055</v>
      </c>
      <c r="C8174" s="7">
        <v>2069.9</v>
      </c>
      <c r="D8174" s="8" t="s">
        <v>46056</v>
      </c>
      <c r="E8174" s="8" t="s">
        <v>46057</v>
      </c>
      <c r="F8174" s="8" t="s">
        <v>46058</v>
      </c>
      <c r="G8174" s="6" t="s">
        <v>60</v>
      </c>
      <c r="H8174" s="6" t="s">
        <v>48</v>
      </c>
      <c r="I8174" s="8" t="s">
        <v>271</v>
      </c>
      <c r="J8174" s="9">
        <v>1</v>
      </c>
      <c r="K8174" s="9">
        <v>384</v>
      </c>
      <c r="L8174" s="9">
        <v>2023</v>
      </c>
      <c r="M8174" s="8" t="s">
        <v>46059</v>
      </c>
      <c r="N8174" s="8" t="s">
        <v>37</v>
      </c>
      <c r="O8174" s="8" t="s">
        <v>499</v>
      </c>
      <c r="P8174" s="6" t="s">
        <v>51</v>
      </c>
      <c r="Q8174" s="8" t="s">
        <v>52</v>
      </c>
      <c r="R8174" s="10" t="s">
        <v>2711</v>
      </c>
      <c r="S8174" s="11" t="s">
        <v>46060</v>
      </c>
      <c r="T8174" s="6"/>
      <c r="U8174" s="15" t="str">
        <f>HYPERLINK("https://media.infra-m.ru/1981/1981693/cover/1981693.jpg", "Обложка")</f>
        <v>Обложка</v>
      </c>
      <c r="V8174" s="8" t="s">
        <v>3595</v>
      </c>
      <c r="W8174" s="6"/>
      <c r="X8174" s="6"/>
      <c r="Y8174" s="6"/>
      <c r="Z8174" s="6"/>
      <c r="AA8174" s="6" t="s">
        <v>55</v>
      </c>
      <c r="AB8174" s="8"/>
      <c r="AC8174" s="27">
        <v>9785911347727</v>
      </c>
    </row>
    <row r="8175" spans="1:29" s="4" customFormat="1" ht="51.9" customHeight="1" x14ac:dyDescent="0.2">
      <c r="A8175" s="5">
        <v>0</v>
      </c>
      <c r="B8175" s="6" t="s">
        <v>46061</v>
      </c>
      <c r="C8175" s="7">
        <v>1504.8</v>
      </c>
      <c r="D8175" s="8" t="s">
        <v>46062</v>
      </c>
      <c r="E8175" s="8" t="s">
        <v>46063</v>
      </c>
      <c r="F8175" s="8" t="s">
        <v>7525</v>
      </c>
      <c r="G8175" s="6" t="s">
        <v>118</v>
      </c>
      <c r="H8175" s="6" t="s">
        <v>34</v>
      </c>
      <c r="I8175" s="8" t="s">
        <v>263</v>
      </c>
      <c r="J8175" s="9">
        <v>1</v>
      </c>
      <c r="K8175" s="9">
        <v>241</v>
      </c>
      <c r="L8175" s="9">
        <v>2025</v>
      </c>
      <c r="M8175" s="8" t="s">
        <v>46064</v>
      </c>
      <c r="N8175" s="8" t="s">
        <v>37</v>
      </c>
      <c r="O8175" s="8" t="s">
        <v>499</v>
      </c>
      <c r="P8175" s="6" t="s">
        <v>51</v>
      </c>
      <c r="Q8175" s="8" t="s">
        <v>265</v>
      </c>
      <c r="R8175" s="10" t="s">
        <v>2681</v>
      </c>
      <c r="S8175" s="11" t="s">
        <v>46065</v>
      </c>
      <c r="T8175" s="6" t="s">
        <v>97</v>
      </c>
      <c r="U8175" s="15" t="str">
        <f>HYPERLINK("https://media.infra-m.ru/2198/2198345/cover/2198345.jpg", "Обложка")</f>
        <v>Обложка</v>
      </c>
      <c r="V8175" s="8" t="s">
        <v>7502</v>
      </c>
      <c r="W8175" s="6"/>
      <c r="X8175" s="6"/>
      <c r="Y8175" s="6"/>
      <c r="Z8175" s="6" t="s">
        <v>267</v>
      </c>
      <c r="AA8175" s="6" t="s">
        <v>430</v>
      </c>
      <c r="AB8175" s="8"/>
      <c r="AC8175" s="27">
        <v>9785160169231</v>
      </c>
    </row>
    <row r="8176" spans="1:29" s="4" customFormat="1" ht="51.9" customHeight="1" x14ac:dyDescent="0.2">
      <c r="A8176" s="5">
        <v>0</v>
      </c>
      <c r="B8176" s="6" t="s">
        <v>46066</v>
      </c>
      <c r="C8176" s="7">
        <v>1596</v>
      </c>
      <c r="D8176" s="8" t="s">
        <v>46067</v>
      </c>
      <c r="E8176" s="8" t="s">
        <v>46063</v>
      </c>
      <c r="F8176" s="8" t="s">
        <v>7525</v>
      </c>
      <c r="G8176" s="6" t="s">
        <v>118</v>
      </c>
      <c r="H8176" s="6" t="s">
        <v>34</v>
      </c>
      <c r="I8176" s="8" t="s">
        <v>253</v>
      </c>
      <c r="J8176" s="9">
        <v>1</v>
      </c>
      <c r="K8176" s="9">
        <v>241</v>
      </c>
      <c r="L8176" s="9">
        <v>2026</v>
      </c>
      <c r="M8176" s="8" t="s">
        <v>46068</v>
      </c>
      <c r="N8176" s="8" t="s">
        <v>37</v>
      </c>
      <c r="O8176" s="8" t="s">
        <v>499</v>
      </c>
      <c r="P8176" s="6" t="s">
        <v>51</v>
      </c>
      <c r="Q8176" s="8" t="s">
        <v>52</v>
      </c>
      <c r="R8176" s="10" t="s">
        <v>7515</v>
      </c>
      <c r="S8176" s="11" t="s">
        <v>10013</v>
      </c>
      <c r="T8176" s="6" t="s">
        <v>97</v>
      </c>
      <c r="U8176" s="15" t="str">
        <f>HYPERLINK("https://media.infra-m.ru/2230/2230917/cover/2230917.jpg", "Обложка")</f>
        <v>Обложка</v>
      </c>
      <c r="V8176" s="8" t="s">
        <v>7502</v>
      </c>
      <c r="W8176" s="6"/>
      <c r="X8176" s="6"/>
      <c r="Y8176" s="6"/>
      <c r="Z8176" s="6"/>
      <c r="AA8176" s="6" t="s">
        <v>99</v>
      </c>
      <c r="AB8176" s="8"/>
      <c r="AC8176" s="27">
        <v>9785160221144</v>
      </c>
    </row>
    <row r="8177" spans="1:29" s="4" customFormat="1" ht="44.1" customHeight="1" x14ac:dyDescent="0.2">
      <c r="A8177" s="5">
        <v>0</v>
      </c>
      <c r="B8177" s="6" t="s">
        <v>46069</v>
      </c>
      <c r="C8177" s="7">
        <v>1948.8</v>
      </c>
      <c r="D8177" s="8" t="s">
        <v>46070</v>
      </c>
      <c r="E8177" s="8" t="s">
        <v>46071</v>
      </c>
      <c r="F8177" s="8" t="s">
        <v>46072</v>
      </c>
      <c r="G8177" s="6" t="s">
        <v>33</v>
      </c>
      <c r="H8177" s="6" t="s">
        <v>820</v>
      </c>
      <c r="I8177" s="8"/>
      <c r="J8177" s="9">
        <v>1</v>
      </c>
      <c r="K8177" s="9">
        <v>352</v>
      </c>
      <c r="L8177" s="9">
        <v>2024</v>
      </c>
      <c r="M8177" s="8" t="s">
        <v>46073</v>
      </c>
      <c r="N8177" s="8" t="s">
        <v>37</v>
      </c>
      <c r="O8177" s="8" t="s">
        <v>499</v>
      </c>
      <c r="P8177" s="6" t="s">
        <v>51</v>
      </c>
      <c r="Q8177" s="8" t="s">
        <v>52</v>
      </c>
      <c r="R8177" s="10" t="s">
        <v>44776</v>
      </c>
      <c r="S8177" s="11"/>
      <c r="T8177" s="6"/>
      <c r="U8177" s="15" t="str">
        <f>HYPERLINK("https://media.infra-m.ru/2087/2087267/cover/2087267.jpg", "Обложка")</f>
        <v>Обложка</v>
      </c>
      <c r="V8177" s="8" t="s">
        <v>5271</v>
      </c>
      <c r="W8177" s="6"/>
      <c r="X8177" s="6"/>
      <c r="Y8177" s="6"/>
      <c r="Z8177" s="6"/>
      <c r="AA8177" s="6" t="s">
        <v>248</v>
      </c>
      <c r="AB8177" s="8"/>
      <c r="AC8177" s="27">
        <v>9785906818652</v>
      </c>
    </row>
    <row r="8178" spans="1:29" s="4" customFormat="1" ht="51.9" customHeight="1" x14ac:dyDescent="0.2">
      <c r="A8178" s="5">
        <v>0</v>
      </c>
      <c r="B8178" s="6" t="s">
        <v>46074</v>
      </c>
      <c r="C8178" s="7">
        <v>1264.8</v>
      </c>
      <c r="D8178" s="8" t="s">
        <v>46075</v>
      </c>
      <c r="E8178" s="8" t="s">
        <v>46076</v>
      </c>
      <c r="F8178" s="8" t="s">
        <v>46077</v>
      </c>
      <c r="G8178" s="6" t="s">
        <v>118</v>
      </c>
      <c r="H8178" s="6" t="s">
        <v>34</v>
      </c>
      <c r="I8178" s="8" t="s">
        <v>504</v>
      </c>
      <c r="J8178" s="9">
        <v>1</v>
      </c>
      <c r="K8178" s="9">
        <v>192</v>
      </c>
      <c r="L8178" s="9">
        <v>2026</v>
      </c>
      <c r="M8178" s="8" t="s">
        <v>46078</v>
      </c>
      <c r="N8178" s="8" t="s">
        <v>93</v>
      </c>
      <c r="O8178" s="8" t="s">
        <v>94</v>
      </c>
      <c r="P8178" s="6" t="s">
        <v>51</v>
      </c>
      <c r="Q8178" s="8" t="s">
        <v>500</v>
      </c>
      <c r="R8178" s="10" t="s">
        <v>11871</v>
      </c>
      <c r="S8178" s="11" t="s">
        <v>20947</v>
      </c>
      <c r="T8178" s="6"/>
      <c r="U8178" s="15" t="str">
        <f>HYPERLINK("https://media.infra-m.ru/2239/2239423/cover/2239423.jpg", "Обложка")</f>
        <v>Обложка</v>
      </c>
      <c r="V8178" s="8" t="s">
        <v>1599</v>
      </c>
      <c r="W8178" s="6"/>
      <c r="X8178" s="6"/>
      <c r="Y8178" s="6"/>
      <c r="Z8178" s="6"/>
      <c r="AA8178" s="6" t="s">
        <v>779</v>
      </c>
      <c r="AB8178" s="8"/>
      <c r="AC8178" s="27">
        <v>9785160112282</v>
      </c>
    </row>
    <row r="8179" spans="1:29" s="4" customFormat="1" ht="51.9" customHeight="1" x14ac:dyDescent="0.2">
      <c r="A8179" s="5">
        <v>0</v>
      </c>
      <c r="B8179" s="6" t="s">
        <v>46079</v>
      </c>
      <c r="C8179" s="13">
        <v>516</v>
      </c>
      <c r="D8179" s="8" t="s">
        <v>46080</v>
      </c>
      <c r="E8179" s="8" t="s">
        <v>46081</v>
      </c>
      <c r="F8179" s="8" t="s">
        <v>46082</v>
      </c>
      <c r="G8179" s="6" t="s">
        <v>33</v>
      </c>
      <c r="H8179" s="6" t="s">
        <v>34</v>
      </c>
      <c r="I8179" s="8" t="s">
        <v>35</v>
      </c>
      <c r="J8179" s="9">
        <v>1</v>
      </c>
      <c r="K8179" s="9">
        <v>72</v>
      </c>
      <c r="L8179" s="9">
        <v>2025</v>
      </c>
      <c r="M8179" s="8" t="s">
        <v>46083</v>
      </c>
      <c r="N8179" s="8" t="s">
        <v>93</v>
      </c>
      <c r="O8179" s="8" t="s">
        <v>94</v>
      </c>
      <c r="P8179" s="6" t="s">
        <v>39</v>
      </c>
      <c r="Q8179" s="8" t="s">
        <v>40</v>
      </c>
      <c r="R8179" s="10" t="s">
        <v>46084</v>
      </c>
      <c r="S8179" s="11"/>
      <c r="T8179" s="6"/>
      <c r="U8179" s="15" t="str">
        <f>HYPERLINK("https://media.infra-m.ru/2191/2191611/cover/2191611.jpg", "Обложка")</f>
        <v>Обложка</v>
      </c>
      <c r="V8179" s="8" t="s">
        <v>54</v>
      </c>
      <c r="W8179" s="6"/>
      <c r="X8179" s="6"/>
      <c r="Y8179" s="6"/>
      <c r="Z8179" s="6"/>
      <c r="AA8179" s="6" t="s">
        <v>623</v>
      </c>
      <c r="AB8179" s="8"/>
      <c r="AC8179" s="27">
        <v>9785160123561</v>
      </c>
    </row>
    <row r="8180" spans="1:29" s="4" customFormat="1" ht="51.9" customHeight="1" x14ac:dyDescent="0.2">
      <c r="A8180" s="5">
        <v>0</v>
      </c>
      <c r="B8180" s="6" t="s">
        <v>46085</v>
      </c>
      <c r="C8180" s="13">
        <v>888</v>
      </c>
      <c r="D8180" s="8" t="s">
        <v>46086</v>
      </c>
      <c r="E8180" s="8" t="s">
        <v>46087</v>
      </c>
      <c r="F8180" s="8" t="s">
        <v>1538</v>
      </c>
      <c r="G8180" s="6" t="s">
        <v>33</v>
      </c>
      <c r="H8180" s="6" t="s">
        <v>34</v>
      </c>
      <c r="I8180" s="8" t="s">
        <v>35</v>
      </c>
      <c r="J8180" s="9">
        <v>1</v>
      </c>
      <c r="K8180" s="9">
        <v>73</v>
      </c>
      <c r="L8180" s="9">
        <v>2026</v>
      </c>
      <c r="M8180" s="8" t="s">
        <v>46088</v>
      </c>
      <c r="N8180" s="8" t="s">
        <v>93</v>
      </c>
      <c r="O8180" s="8" t="s">
        <v>94</v>
      </c>
      <c r="P8180" s="6" t="s">
        <v>39</v>
      </c>
      <c r="Q8180" s="8" t="s">
        <v>40</v>
      </c>
      <c r="R8180" s="10" t="s">
        <v>46084</v>
      </c>
      <c r="S8180" s="11"/>
      <c r="T8180" s="6"/>
      <c r="U8180" s="15" t="str">
        <f>HYPERLINK("https://media.infra-m.ru/2202/2202383/cover/2202383.jpg", "Обложка")</f>
        <v>Обложка</v>
      </c>
      <c r="V8180" s="8" t="s">
        <v>54</v>
      </c>
      <c r="W8180" s="6" t="s">
        <v>528</v>
      </c>
      <c r="X8180" s="6"/>
      <c r="Y8180" s="6"/>
      <c r="Z8180" s="6"/>
      <c r="AA8180" s="6" t="s">
        <v>3772</v>
      </c>
      <c r="AB8180" s="8"/>
      <c r="AC8180" s="27">
        <v>9785160208916</v>
      </c>
    </row>
    <row r="8181" spans="1:29" s="4" customFormat="1" ht="51.9" customHeight="1" x14ac:dyDescent="0.2">
      <c r="A8181" s="5">
        <v>0</v>
      </c>
      <c r="B8181" s="6" t="s">
        <v>46089</v>
      </c>
      <c r="C8181" s="7">
        <v>2104.8000000000002</v>
      </c>
      <c r="D8181" s="8" t="s">
        <v>46090</v>
      </c>
      <c r="E8181" s="8" t="s">
        <v>46091</v>
      </c>
      <c r="F8181" s="8" t="s">
        <v>46092</v>
      </c>
      <c r="G8181" s="6" t="s">
        <v>118</v>
      </c>
      <c r="H8181" s="6" t="s">
        <v>48</v>
      </c>
      <c r="I8181" s="8" t="s">
        <v>263</v>
      </c>
      <c r="J8181" s="9">
        <v>1</v>
      </c>
      <c r="K8181" s="9">
        <v>303</v>
      </c>
      <c r="L8181" s="9">
        <v>2026</v>
      </c>
      <c r="M8181" s="8" t="s">
        <v>46093</v>
      </c>
      <c r="N8181" s="8" t="s">
        <v>243</v>
      </c>
      <c r="O8181" s="8" t="s">
        <v>964</v>
      </c>
      <c r="P8181" s="6" t="s">
        <v>306</v>
      </c>
      <c r="Q8181" s="8" t="s">
        <v>265</v>
      </c>
      <c r="R8181" s="10" t="s">
        <v>46094</v>
      </c>
      <c r="S8181" s="11" t="s">
        <v>46095</v>
      </c>
      <c r="T8181" s="6"/>
      <c r="U8181" s="15" t="str">
        <f>HYPERLINK("https://media.infra-m.ru/2073/2073440/cover/2073440.jpg", "Обложка")</f>
        <v>Обложка</v>
      </c>
      <c r="V8181" s="8" t="s">
        <v>831</v>
      </c>
      <c r="W8181" s="6"/>
      <c r="X8181" s="6"/>
      <c r="Y8181" s="6"/>
      <c r="Z8181" s="6" t="s">
        <v>267</v>
      </c>
      <c r="AA8181" s="6" t="s">
        <v>115</v>
      </c>
      <c r="AB8181" s="8"/>
      <c r="AC8181" s="27">
        <v>9785000916773</v>
      </c>
    </row>
    <row r="8182" spans="1:29" s="4" customFormat="1" ht="51.9" customHeight="1" x14ac:dyDescent="0.2">
      <c r="A8182" s="5">
        <v>0</v>
      </c>
      <c r="B8182" s="6" t="s">
        <v>46096</v>
      </c>
      <c r="C8182" s="7">
        <v>2116.8000000000002</v>
      </c>
      <c r="D8182" s="8" t="s">
        <v>46097</v>
      </c>
      <c r="E8182" s="8" t="s">
        <v>46091</v>
      </c>
      <c r="F8182" s="8" t="s">
        <v>46092</v>
      </c>
      <c r="G8182" s="6" t="s">
        <v>60</v>
      </c>
      <c r="H8182" s="6" t="s">
        <v>48</v>
      </c>
      <c r="I8182" s="8" t="s">
        <v>253</v>
      </c>
      <c r="J8182" s="9">
        <v>1</v>
      </c>
      <c r="K8182" s="9">
        <v>303</v>
      </c>
      <c r="L8182" s="9">
        <v>2026</v>
      </c>
      <c r="M8182" s="8" t="s">
        <v>46098</v>
      </c>
      <c r="N8182" s="8" t="s">
        <v>243</v>
      </c>
      <c r="O8182" s="8" t="s">
        <v>964</v>
      </c>
      <c r="P8182" s="6" t="s">
        <v>306</v>
      </c>
      <c r="Q8182" s="8" t="s">
        <v>52</v>
      </c>
      <c r="R8182" s="10" t="s">
        <v>2651</v>
      </c>
      <c r="S8182" s="11" t="s">
        <v>46099</v>
      </c>
      <c r="T8182" s="6"/>
      <c r="U8182" s="15" t="str">
        <f>HYPERLINK("https://media.infra-m.ru/2253/2253764/cover/2253764.jpg", "Обложка")</f>
        <v>Обложка</v>
      </c>
      <c r="V8182" s="8" t="s">
        <v>831</v>
      </c>
      <c r="W8182" s="6"/>
      <c r="X8182" s="6"/>
      <c r="Y8182" s="6"/>
      <c r="Z8182" s="6"/>
      <c r="AA8182" s="6" t="s">
        <v>115</v>
      </c>
      <c r="AB8182" s="8"/>
      <c r="AC8182" s="27">
        <v>9785000915271</v>
      </c>
    </row>
    <row r="8183" spans="1:29" s="4" customFormat="1" ht="51.9" customHeight="1" x14ac:dyDescent="0.2">
      <c r="A8183" s="5">
        <v>0</v>
      </c>
      <c r="B8183" s="6" t="s">
        <v>46100</v>
      </c>
      <c r="C8183" s="13">
        <v>612</v>
      </c>
      <c r="D8183" s="8" t="s">
        <v>46101</v>
      </c>
      <c r="E8183" s="8" t="s">
        <v>46102</v>
      </c>
      <c r="F8183" s="8" t="s">
        <v>15248</v>
      </c>
      <c r="G8183" s="6" t="s">
        <v>33</v>
      </c>
      <c r="H8183" s="6" t="s">
        <v>313</v>
      </c>
      <c r="I8183" s="8"/>
      <c r="J8183" s="9">
        <v>1</v>
      </c>
      <c r="K8183" s="9">
        <v>144</v>
      </c>
      <c r="L8183" s="9">
        <v>2020</v>
      </c>
      <c r="M8183" s="8" t="s">
        <v>46103</v>
      </c>
      <c r="N8183" s="8" t="s">
        <v>37</v>
      </c>
      <c r="O8183" s="8" t="s">
        <v>499</v>
      </c>
      <c r="P8183" s="6" t="s">
        <v>39</v>
      </c>
      <c r="Q8183" s="8" t="s">
        <v>40</v>
      </c>
      <c r="R8183" s="10" t="s">
        <v>46104</v>
      </c>
      <c r="S8183" s="11"/>
      <c r="T8183" s="6"/>
      <c r="U8183" s="15" t="str">
        <f>HYPERLINK("https://media.infra-m.ru/1039/1039275/cover/1039275.jpg", "Обложка")</f>
        <v>Обложка</v>
      </c>
      <c r="V8183" s="8" t="s">
        <v>28319</v>
      </c>
      <c r="W8183" s="6"/>
      <c r="X8183" s="6"/>
      <c r="Y8183" s="6"/>
      <c r="Z8183" s="6"/>
      <c r="AA8183" s="6" t="s">
        <v>404</v>
      </c>
      <c r="AB8183" s="8"/>
      <c r="AC8183" s="27">
        <v>9785369017791</v>
      </c>
    </row>
    <row r="8184" spans="1:29" s="4" customFormat="1" ht="51.9" customHeight="1" x14ac:dyDescent="0.2">
      <c r="A8184" s="5">
        <v>0</v>
      </c>
      <c r="B8184" s="6" t="s">
        <v>46105</v>
      </c>
      <c r="C8184" s="7">
        <v>1132.8</v>
      </c>
      <c r="D8184" s="8" t="s">
        <v>46106</v>
      </c>
      <c r="E8184" s="8" t="s">
        <v>46107</v>
      </c>
      <c r="F8184" s="8" t="s">
        <v>15248</v>
      </c>
      <c r="G8184" s="6" t="s">
        <v>33</v>
      </c>
      <c r="H8184" s="6" t="s">
        <v>313</v>
      </c>
      <c r="I8184" s="8" t="s">
        <v>35</v>
      </c>
      <c r="J8184" s="9">
        <v>1</v>
      </c>
      <c r="K8184" s="9">
        <v>162</v>
      </c>
      <c r="L8184" s="9">
        <v>2026</v>
      </c>
      <c r="M8184" s="8" t="s">
        <v>46108</v>
      </c>
      <c r="N8184" s="8" t="s">
        <v>37</v>
      </c>
      <c r="O8184" s="8" t="s">
        <v>499</v>
      </c>
      <c r="P8184" s="6" t="s">
        <v>39</v>
      </c>
      <c r="Q8184" s="8" t="s">
        <v>40</v>
      </c>
      <c r="R8184" s="10" t="s">
        <v>46104</v>
      </c>
      <c r="S8184" s="11"/>
      <c r="T8184" s="6"/>
      <c r="U8184" s="15" t="str">
        <f>HYPERLINK("https://media.infra-m.ru/2255/2255286/cover/2255286.jpg", "Обложка")</f>
        <v>Обложка</v>
      </c>
      <c r="V8184" s="8" t="s">
        <v>28319</v>
      </c>
      <c r="W8184" s="6"/>
      <c r="X8184" s="6"/>
      <c r="Y8184" s="6"/>
      <c r="Z8184" s="6"/>
      <c r="AA8184" s="6" t="s">
        <v>4023</v>
      </c>
      <c r="AB8184" s="8"/>
      <c r="AC8184" s="27">
        <v>9785369019078</v>
      </c>
    </row>
    <row r="8185" spans="1:29" s="4" customFormat="1" ht="42" customHeight="1" x14ac:dyDescent="0.2">
      <c r="A8185" s="5">
        <v>0</v>
      </c>
      <c r="B8185" s="6" t="s">
        <v>46109</v>
      </c>
      <c r="C8185" s="7">
        <v>1056</v>
      </c>
      <c r="D8185" s="8" t="s">
        <v>46110</v>
      </c>
      <c r="E8185" s="8" t="s">
        <v>46111</v>
      </c>
      <c r="F8185" s="8" t="s">
        <v>14756</v>
      </c>
      <c r="G8185" s="6" t="s">
        <v>33</v>
      </c>
      <c r="H8185" s="6" t="s">
        <v>34</v>
      </c>
      <c r="I8185" s="8" t="s">
        <v>35</v>
      </c>
      <c r="J8185" s="9">
        <v>1</v>
      </c>
      <c r="K8185" s="9">
        <v>250</v>
      </c>
      <c r="L8185" s="9">
        <v>2020</v>
      </c>
      <c r="M8185" s="8" t="s">
        <v>46112</v>
      </c>
      <c r="N8185" s="8" t="s">
        <v>37</v>
      </c>
      <c r="O8185" s="8" t="s">
        <v>136</v>
      </c>
      <c r="P8185" s="6" t="s">
        <v>39</v>
      </c>
      <c r="Q8185" s="8" t="s">
        <v>40</v>
      </c>
      <c r="R8185" s="10" t="s">
        <v>1631</v>
      </c>
      <c r="S8185" s="11"/>
      <c r="T8185" s="6"/>
      <c r="U8185" s="15" t="str">
        <f>HYPERLINK("https://media.infra-m.ru/1078/1078364/cover/1078364.jpg", "Обложка")</f>
        <v>Обложка</v>
      </c>
      <c r="V8185" s="8" t="s">
        <v>6114</v>
      </c>
      <c r="W8185" s="6"/>
      <c r="X8185" s="6"/>
      <c r="Y8185" s="6"/>
      <c r="Z8185" s="6"/>
      <c r="AA8185" s="6" t="s">
        <v>55</v>
      </c>
      <c r="AB8185" s="8"/>
      <c r="AC8185" s="27">
        <v>9785160090603</v>
      </c>
    </row>
    <row r="8186" spans="1:29" s="4" customFormat="1" ht="44.1" customHeight="1" x14ac:dyDescent="0.2">
      <c r="A8186" s="5">
        <v>0</v>
      </c>
      <c r="B8186" s="6" t="s">
        <v>46113</v>
      </c>
      <c r="C8186" s="7">
        <v>2396.4</v>
      </c>
      <c r="D8186" s="8" t="s">
        <v>46114</v>
      </c>
      <c r="E8186" s="8" t="s">
        <v>46115</v>
      </c>
      <c r="F8186" s="8" t="s">
        <v>46116</v>
      </c>
      <c r="G8186" s="6" t="s">
        <v>33</v>
      </c>
      <c r="H8186" s="6" t="s">
        <v>34</v>
      </c>
      <c r="I8186" s="8" t="s">
        <v>35</v>
      </c>
      <c r="J8186" s="9">
        <v>1</v>
      </c>
      <c r="K8186" s="9">
        <v>307</v>
      </c>
      <c r="L8186" s="9">
        <v>2024</v>
      </c>
      <c r="M8186" s="8" t="s">
        <v>46117</v>
      </c>
      <c r="N8186" s="8" t="s">
        <v>243</v>
      </c>
      <c r="O8186" s="8" t="s">
        <v>758</v>
      </c>
      <c r="P8186" s="6" t="s">
        <v>39</v>
      </c>
      <c r="Q8186" s="8" t="s">
        <v>40</v>
      </c>
      <c r="R8186" s="10" t="s">
        <v>21939</v>
      </c>
      <c r="S8186" s="11"/>
      <c r="T8186" s="6"/>
      <c r="U8186" s="15" t="str">
        <f>HYPERLINK("https://media.infra-m.ru/2141/2141171/cover/2141171.jpg", "Обложка")</f>
        <v>Обложка</v>
      </c>
      <c r="V8186" s="8" t="s">
        <v>227</v>
      </c>
      <c r="W8186" s="6"/>
      <c r="X8186" s="6"/>
      <c r="Y8186" s="6"/>
      <c r="Z8186" s="6"/>
      <c r="AA8186" s="6" t="s">
        <v>76</v>
      </c>
      <c r="AB8186" s="8"/>
      <c r="AC8186" s="27">
        <v>9785160194592</v>
      </c>
    </row>
    <row r="8187" spans="1:29" s="4" customFormat="1" ht="51.9" customHeight="1" x14ac:dyDescent="0.2">
      <c r="A8187" s="5">
        <v>0</v>
      </c>
      <c r="B8187" s="6" t="s">
        <v>46118</v>
      </c>
      <c r="C8187" s="13">
        <v>984</v>
      </c>
      <c r="D8187" s="8" t="s">
        <v>46119</v>
      </c>
      <c r="E8187" s="8" t="s">
        <v>46120</v>
      </c>
      <c r="F8187" s="8" t="s">
        <v>46121</v>
      </c>
      <c r="G8187" s="6" t="s">
        <v>33</v>
      </c>
      <c r="H8187" s="6" t="s">
        <v>34</v>
      </c>
      <c r="I8187" s="8" t="s">
        <v>35</v>
      </c>
      <c r="J8187" s="9">
        <v>1</v>
      </c>
      <c r="K8187" s="9">
        <v>164</v>
      </c>
      <c r="L8187" s="9">
        <v>2024</v>
      </c>
      <c r="M8187" s="8" t="s">
        <v>46122</v>
      </c>
      <c r="N8187" s="8" t="s">
        <v>37</v>
      </c>
      <c r="O8187" s="8" t="s">
        <v>136</v>
      </c>
      <c r="P8187" s="6" t="s">
        <v>39</v>
      </c>
      <c r="Q8187" s="8" t="s">
        <v>40</v>
      </c>
      <c r="R8187" s="10" t="s">
        <v>46123</v>
      </c>
      <c r="S8187" s="11"/>
      <c r="T8187" s="6"/>
      <c r="U8187" s="15" t="str">
        <f>HYPERLINK("https://media.infra-m.ru/2141/2141391/cover/2141391.jpg", "Обложка")</f>
        <v>Обложка</v>
      </c>
      <c r="V8187" s="8" t="s">
        <v>46124</v>
      </c>
      <c r="W8187" s="6"/>
      <c r="X8187" s="6"/>
      <c r="Y8187" s="6"/>
      <c r="Z8187" s="6"/>
      <c r="AA8187" s="6" t="s">
        <v>157</v>
      </c>
      <c r="AB8187" s="8"/>
      <c r="AC8187" s="27">
        <v>9785160181974</v>
      </c>
    </row>
    <row r="8188" spans="1:29" s="4" customFormat="1" ht="51.9" customHeight="1" x14ac:dyDescent="0.2">
      <c r="A8188" s="5">
        <v>0</v>
      </c>
      <c r="B8188" s="6" t="s">
        <v>46125</v>
      </c>
      <c r="C8188" s="7">
        <v>1284</v>
      </c>
      <c r="D8188" s="8" t="s">
        <v>46126</v>
      </c>
      <c r="E8188" s="8" t="s">
        <v>46127</v>
      </c>
      <c r="F8188" s="8" t="s">
        <v>46128</v>
      </c>
      <c r="G8188" s="6" t="s">
        <v>33</v>
      </c>
      <c r="H8188" s="6" t="s">
        <v>34</v>
      </c>
      <c r="I8188" s="8" t="s">
        <v>35</v>
      </c>
      <c r="J8188" s="9">
        <v>1</v>
      </c>
      <c r="K8188" s="9">
        <v>208</v>
      </c>
      <c r="L8188" s="9">
        <v>2025</v>
      </c>
      <c r="M8188" s="8" t="s">
        <v>46129</v>
      </c>
      <c r="N8188" s="8" t="s">
        <v>37</v>
      </c>
      <c r="O8188" s="8" t="s">
        <v>136</v>
      </c>
      <c r="P8188" s="6" t="s">
        <v>39</v>
      </c>
      <c r="Q8188" s="8" t="s">
        <v>40</v>
      </c>
      <c r="R8188" s="10" t="s">
        <v>33993</v>
      </c>
      <c r="S8188" s="11"/>
      <c r="T8188" s="6"/>
      <c r="U8188" s="15" t="str">
        <f>HYPERLINK("https://media.infra-m.ru/2141/2141101/cover/2141101.jpg", "Обложка")</f>
        <v>Обложка</v>
      </c>
      <c r="V8188" s="8" t="s">
        <v>46130</v>
      </c>
      <c r="W8188" s="6"/>
      <c r="X8188" s="6"/>
      <c r="Y8188" s="6"/>
      <c r="Z8188" s="6"/>
      <c r="AA8188" s="6" t="s">
        <v>68</v>
      </c>
      <c r="AB8188" s="8"/>
      <c r="AC8188" s="27">
        <v>9785160198552</v>
      </c>
    </row>
    <row r="8189" spans="1:29" s="4" customFormat="1" ht="42" customHeight="1" x14ac:dyDescent="0.2">
      <c r="A8189" s="5">
        <v>0</v>
      </c>
      <c r="B8189" s="6" t="s">
        <v>46131</v>
      </c>
      <c r="C8189" s="7">
        <v>2932.8</v>
      </c>
      <c r="D8189" s="8" t="s">
        <v>46132</v>
      </c>
      <c r="E8189" s="8" t="s">
        <v>46133</v>
      </c>
      <c r="F8189" s="8" t="s">
        <v>46134</v>
      </c>
      <c r="G8189" s="6" t="s">
        <v>60</v>
      </c>
      <c r="H8189" s="6" t="s">
        <v>5605</v>
      </c>
      <c r="I8189" s="8" t="s">
        <v>10444</v>
      </c>
      <c r="J8189" s="9">
        <v>1</v>
      </c>
      <c r="K8189" s="9">
        <v>658</v>
      </c>
      <c r="L8189" s="9">
        <v>2025</v>
      </c>
      <c r="M8189" s="8" t="s">
        <v>46135</v>
      </c>
      <c r="N8189" s="8" t="s">
        <v>37</v>
      </c>
      <c r="O8189" s="8" t="s">
        <v>136</v>
      </c>
      <c r="P8189" s="6" t="s">
        <v>39</v>
      </c>
      <c r="Q8189" s="8" t="s">
        <v>40</v>
      </c>
      <c r="R8189" s="10" t="s">
        <v>1625</v>
      </c>
      <c r="S8189" s="11"/>
      <c r="T8189" s="6"/>
      <c r="U8189" s="15" t="str">
        <f>HYPERLINK("https://media.infra-m.ru/2185/2185899/cover/2185899.jpg", "Обложка")</f>
        <v>Обложка</v>
      </c>
      <c r="V8189" s="8" t="s">
        <v>9937</v>
      </c>
      <c r="W8189" s="6"/>
      <c r="X8189" s="6"/>
      <c r="Y8189" s="6"/>
      <c r="Z8189" s="6"/>
      <c r="AA8189" s="6" t="s">
        <v>4554</v>
      </c>
      <c r="AB8189" s="8"/>
      <c r="AC8189" s="27">
        <v>5160023151</v>
      </c>
    </row>
    <row r="8190" spans="1:29" s="4" customFormat="1" ht="51.9" customHeight="1" x14ac:dyDescent="0.2">
      <c r="A8190" s="5">
        <v>0</v>
      </c>
      <c r="B8190" s="6" t="s">
        <v>46136</v>
      </c>
      <c r="C8190" s="7">
        <v>1116</v>
      </c>
      <c r="D8190" s="8" t="s">
        <v>46137</v>
      </c>
      <c r="E8190" s="8" t="s">
        <v>46138</v>
      </c>
      <c r="F8190" s="8" t="s">
        <v>46139</v>
      </c>
      <c r="G8190" s="6" t="s">
        <v>60</v>
      </c>
      <c r="H8190" s="6" t="s">
        <v>34</v>
      </c>
      <c r="I8190" s="8" t="s">
        <v>35</v>
      </c>
      <c r="J8190" s="9">
        <v>1</v>
      </c>
      <c r="K8190" s="9">
        <v>166</v>
      </c>
      <c r="L8190" s="9">
        <v>2025</v>
      </c>
      <c r="M8190" s="8" t="s">
        <v>46140</v>
      </c>
      <c r="N8190" s="8" t="s">
        <v>37</v>
      </c>
      <c r="O8190" s="8" t="s">
        <v>136</v>
      </c>
      <c r="P8190" s="6" t="s">
        <v>39</v>
      </c>
      <c r="Q8190" s="8" t="s">
        <v>40</v>
      </c>
      <c r="R8190" s="10" t="s">
        <v>4881</v>
      </c>
      <c r="S8190" s="11"/>
      <c r="T8190" s="6"/>
      <c r="U8190" s="15" t="str">
        <f>HYPERLINK("https://media.infra-m.ru/2155/2155926/cover/2155926.jpg", "Обложка")</f>
        <v>Обложка</v>
      </c>
      <c r="V8190" s="8" t="s">
        <v>6535</v>
      </c>
      <c r="W8190" s="6"/>
      <c r="X8190" s="6"/>
      <c r="Y8190" s="6"/>
      <c r="Z8190" s="6"/>
      <c r="AA8190" s="6" t="s">
        <v>68</v>
      </c>
      <c r="AB8190" s="8"/>
      <c r="AC8190" s="27">
        <v>9785160200507</v>
      </c>
    </row>
    <row r="8191" spans="1:29" s="4" customFormat="1" ht="42" customHeight="1" x14ac:dyDescent="0.2">
      <c r="A8191" s="5">
        <v>0</v>
      </c>
      <c r="B8191" s="6" t="s">
        <v>46141</v>
      </c>
      <c r="C8191" s="7">
        <v>2440.8000000000002</v>
      </c>
      <c r="D8191" s="8" t="s">
        <v>46142</v>
      </c>
      <c r="E8191" s="8" t="s">
        <v>46143</v>
      </c>
      <c r="F8191" s="8" t="s">
        <v>46144</v>
      </c>
      <c r="G8191" s="6" t="s">
        <v>118</v>
      </c>
      <c r="H8191" s="6" t="s">
        <v>34</v>
      </c>
      <c r="I8191" s="8" t="s">
        <v>35</v>
      </c>
      <c r="J8191" s="9">
        <v>1</v>
      </c>
      <c r="K8191" s="9">
        <v>351</v>
      </c>
      <c r="L8191" s="9">
        <v>2026</v>
      </c>
      <c r="M8191" s="8" t="s">
        <v>46145</v>
      </c>
      <c r="N8191" s="8" t="s">
        <v>37</v>
      </c>
      <c r="O8191" s="8" t="s">
        <v>136</v>
      </c>
      <c r="P8191" s="6" t="s">
        <v>39</v>
      </c>
      <c r="Q8191" s="8" t="s">
        <v>40</v>
      </c>
      <c r="R8191" s="10" t="s">
        <v>23283</v>
      </c>
      <c r="S8191" s="11"/>
      <c r="T8191" s="6"/>
      <c r="U8191" s="15" t="str">
        <f>HYPERLINK("https://media.infra-m.ru/2244/2244533/cover/2244533.jpg", "Обложка")</f>
        <v>Обложка</v>
      </c>
      <c r="V8191" s="8" t="s">
        <v>19630</v>
      </c>
      <c r="W8191" s="6"/>
      <c r="X8191" s="6"/>
      <c r="Y8191" s="6"/>
      <c r="Z8191" s="6"/>
      <c r="AA8191" s="6" t="s">
        <v>896</v>
      </c>
      <c r="AB8191" s="8"/>
      <c r="AC8191" s="27">
        <v>9785160172972</v>
      </c>
    </row>
    <row r="8192" spans="1:29" s="4" customFormat="1" ht="42" customHeight="1" x14ac:dyDescent="0.2">
      <c r="A8192" s="5">
        <v>0</v>
      </c>
      <c r="B8192" s="6" t="s">
        <v>46146</v>
      </c>
      <c r="C8192" s="7">
        <v>1068</v>
      </c>
      <c r="D8192" s="8" t="s">
        <v>46147</v>
      </c>
      <c r="E8192" s="8" t="s">
        <v>46148</v>
      </c>
      <c r="F8192" s="8" t="s">
        <v>46144</v>
      </c>
      <c r="G8192" s="6" t="s">
        <v>33</v>
      </c>
      <c r="H8192" s="6" t="s">
        <v>34</v>
      </c>
      <c r="I8192" s="8" t="s">
        <v>35</v>
      </c>
      <c r="J8192" s="9">
        <v>1</v>
      </c>
      <c r="K8192" s="9">
        <v>227</v>
      </c>
      <c r="L8192" s="9">
        <v>2022</v>
      </c>
      <c r="M8192" s="8" t="s">
        <v>46149</v>
      </c>
      <c r="N8192" s="8" t="s">
        <v>37</v>
      </c>
      <c r="O8192" s="8" t="s">
        <v>136</v>
      </c>
      <c r="P8192" s="6" t="s">
        <v>39</v>
      </c>
      <c r="Q8192" s="8" t="s">
        <v>40</v>
      </c>
      <c r="R8192" s="10" t="s">
        <v>23283</v>
      </c>
      <c r="S8192" s="11"/>
      <c r="T8192" s="6"/>
      <c r="U8192" s="15" t="str">
        <f>HYPERLINK("https://media.infra-m.ru/1816/1816360/cover/1816360.jpg", "Обложка")</f>
        <v>Обложка</v>
      </c>
      <c r="V8192" s="8" t="s">
        <v>19630</v>
      </c>
      <c r="W8192" s="6"/>
      <c r="X8192" s="6"/>
      <c r="Y8192" s="6"/>
      <c r="Z8192" s="6"/>
      <c r="AA8192" s="6" t="s">
        <v>115</v>
      </c>
      <c r="AB8192" s="8"/>
      <c r="AC8192" s="27">
        <v>9785160167947</v>
      </c>
    </row>
    <row r="8193" spans="1:29" s="4" customFormat="1" ht="33" customHeight="1" x14ac:dyDescent="0.2">
      <c r="A8193" s="5">
        <v>0</v>
      </c>
      <c r="B8193" s="6" t="s">
        <v>46150</v>
      </c>
      <c r="C8193" s="13">
        <v>960</v>
      </c>
      <c r="D8193" s="8" t="s">
        <v>46151</v>
      </c>
      <c r="E8193" s="8" t="s">
        <v>46148</v>
      </c>
      <c r="F8193" s="8" t="s">
        <v>46144</v>
      </c>
      <c r="G8193" s="6" t="s">
        <v>118</v>
      </c>
      <c r="H8193" s="6" t="s">
        <v>34</v>
      </c>
      <c r="I8193" s="8" t="s">
        <v>35</v>
      </c>
      <c r="J8193" s="9">
        <v>1</v>
      </c>
      <c r="K8193" s="9">
        <v>227</v>
      </c>
      <c r="L8193" s="9">
        <v>2020</v>
      </c>
      <c r="M8193" s="8" t="s">
        <v>46152</v>
      </c>
      <c r="N8193" s="8" t="s">
        <v>37</v>
      </c>
      <c r="O8193" s="8" t="s">
        <v>136</v>
      </c>
      <c r="P8193" s="6" t="s">
        <v>39</v>
      </c>
      <c r="Q8193" s="8" t="s">
        <v>40</v>
      </c>
      <c r="R8193" s="10" t="s">
        <v>23283</v>
      </c>
      <c r="S8193" s="11"/>
      <c r="T8193" s="6"/>
      <c r="U8193" s="12"/>
      <c r="V8193" s="8" t="s">
        <v>19630</v>
      </c>
      <c r="W8193" s="6"/>
      <c r="X8193" s="6"/>
      <c r="Y8193" s="6"/>
      <c r="Z8193" s="6"/>
      <c r="AA8193" s="6" t="s">
        <v>115</v>
      </c>
      <c r="AB8193" s="8"/>
      <c r="AC8193" s="27">
        <v>9785160146065</v>
      </c>
    </row>
    <row r="8194" spans="1:29" s="4" customFormat="1" ht="51.9" customHeight="1" x14ac:dyDescent="0.2">
      <c r="A8194" s="5">
        <v>0</v>
      </c>
      <c r="B8194" s="6" t="s">
        <v>46153</v>
      </c>
      <c r="C8194" s="7">
        <v>1559.9</v>
      </c>
      <c r="D8194" s="8" t="s">
        <v>46154</v>
      </c>
      <c r="E8194" s="8" t="s">
        <v>46155</v>
      </c>
      <c r="F8194" s="8" t="s">
        <v>46156</v>
      </c>
      <c r="G8194" s="6" t="s">
        <v>60</v>
      </c>
      <c r="H8194" s="6" t="s">
        <v>313</v>
      </c>
      <c r="I8194" s="8" t="s">
        <v>253</v>
      </c>
      <c r="J8194" s="9">
        <v>6</v>
      </c>
      <c r="K8194" s="9">
        <v>752</v>
      </c>
      <c r="L8194" s="9">
        <v>2017</v>
      </c>
      <c r="M8194" s="8" t="s">
        <v>46157</v>
      </c>
      <c r="N8194" s="8" t="s">
        <v>37</v>
      </c>
      <c r="O8194" s="8" t="s">
        <v>136</v>
      </c>
      <c r="P8194" s="6" t="s">
        <v>306</v>
      </c>
      <c r="Q8194" s="8" t="s">
        <v>52</v>
      </c>
      <c r="R8194" s="10" t="s">
        <v>19923</v>
      </c>
      <c r="S8194" s="11"/>
      <c r="T8194" s="6" t="s">
        <v>97</v>
      </c>
      <c r="U8194" s="15" t="str">
        <f>HYPERLINK("https://media.infra-m.ru/0612/0612279/cover/612279.jpg", "Обложка")</f>
        <v>Обложка</v>
      </c>
      <c r="V8194" s="8" t="s">
        <v>1949</v>
      </c>
      <c r="W8194" s="6"/>
      <c r="X8194" s="6"/>
      <c r="Y8194" s="6"/>
      <c r="Z8194" s="6"/>
      <c r="AA8194" s="6" t="s">
        <v>8708</v>
      </c>
      <c r="AB8194" s="8"/>
      <c r="AC8194" s="27">
        <v>9785369015841</v>
      </c>
    </row>
    <row r="8195" spans="1:29" s="4" customFormat="1" ht="51.9" customHeight="1" x14ac:dyDescent="0.2">
      <c r="A8195" s="5">
        <v>0</v>
      </c>
      <c r="B8195" s="6" t="s">
        <v>46158</v>
      </c>
      <c r="C8195" s="7">
        <v>3461.9</v>
      </c>
      <c r="D8195" s="8" t="s">
        <v>46159</v>
      </c>
      <c r="E8195" s="8" t="s">
        <v>46160</v>
      </c>
      <c r="F8195" s="8" t="s">
        <v>46161</v>
      </c>
      <c r="G8195" s="6" t="s">
        <v>60</v>
      </c>
      <c r="H8195" s="6" t="s">
        <v>313</v>
      </c>
      <c r="I8195" s="8" t="s">
        <v>10656</v>
      </c>
      <c r="J8195" s="9">
        <v>1</v>
      </c>
      <c r="K8195" s="9">
        <v>780</v>
      </c>
      <c r="L8195" s="9">
        <v>2023</v>
      </c>
      <c r="M8195" s="8" t="s">
        <v>46162</v>
      </c>
      <c r="N8195" s="8" t="s">
        <v>37</v>
      </c>
      <c r="O8195" s="8" t="s">
        <v>136</v>
      </c>
      <c r="P8195" s="6" t="s">
        <v>306</v>
      </c>
      <c r="Q8195" s="8" t="s">
        <v>65</v>
      </c>
      <c r="R8195" s="10" t="s">
        <v>19923</v>
      </c>
      <c r="S8195" s="11" t="s">
        <v>17061</v>
      </c>
      <c r="T8195" s="6" t="s">
        <v>97</v>
      </c>
      <c r="U8195" s="15" t="str">
        <f>HYPERLINK("https://media.infra-m.ru/1911/1911121/cover/1911121.jpg", "Обложка")</f>
        <v>Обложка</v>
      </c>
      <c r="V8195" s="8" t="s">
        <v>1949</v>
      </c>
      <c r="W8195" s="6"/>
      <c r="X8195" s="6"/>
      <c r="Y8195" s="6"/>
      <c r="Z8195" s="6"/>
      <c r="AA8195" s="6" t="s">
        <v>1411</v>
      </c>
      <c r="AB8195" s="8"/>
      <c r="AC8195" s="27">
        <v>9785369018071</v>
      </c>
    </row>
    <row r="8196" spans="1:29" s="4" customFormat="1" ht="51.9" customHeight="1" x14ac:dyDescent="0.2">
      <c r="A8196" s="5">
        <v>0</v>
      </c>
      <c r="B8196" s="6" t="s">
        <v>46163</v>
      </c>
      <c r="C8196" s="7">
        <v>4200</v>
      </c>
      <c r="D8196" s="8" t="s">
        <v>46164</v>
      </c>
      <c r="E8196" s="8" t="s">
        <v>46165</v>
      </c>
      <c r="F8196" s="8" t="s">
        <v>46161</v>
      </c>
      <c r="G8196" s="6" t="s">
        <v>60</v>
      </c>
      <c r="H8196" s="6" t="s">
        <v>313</v>
      </c>
      <c r="I8196" s="8" t="s">
        <v>401</v>
      </c>
      <c r="J8196" s="9">
        <v>1</v>
      </c>
      <c r="K8196" s="9">
        <v>700</v>
      </c>
      <c r="L8196" s="9">
        <v>2025</v>
      </c>
      <c r="M8196" s="8" t="s">
        <v>46166</v>
      </c>
      <c r="N8196" s="8" t="s">
        <v>37</v>
      </c>
      <c r="O8196" s="8" t="s">
        <v>136</v>
      </c>
      <c r="P8196" s="6" t="s">
        <v>306</v>
      </c>
      <c r="Q8196" s="8" t="s">
        <v>265</v>
      </c>
      <c r="R8196" s="10" t="s">
        <v>479</v>
      </c>
      <c r="S8196" s="11" t="s">
        <v>17061</v>
      </c>
      <c r="T8196" s="6"/>
      <c r="U8196" s="15" t="str">
        <f>HYPERLINK("https://media.infra-m.ru/2172/2172166/cover/2172166.jpg", "Обложка")</f>
        <v>Обложка</v>
      </c>
      <c r="V8196" s="8" t="s">
        <v>1949</v>
      </c>
      <c r="W8196" s="6"/>
      <c r="X8196" s="6"/>
      <c r="Y8196" s="6"/>
      <c r="Z8196" s="6" t="s">
        <v>882</v>
      </c>
      <c r="AA8196" s="6" t="s">
        <v>157</v>
      </c>
      <c r="AB8196" s="8"/>
      <c r="AC8196" s="27">
        <v>9785369019023</v>
      </c>
    </row>
    <row r="8197" spans="1:29" s="4" customFormat="1" ht="51.9" customHeight="1" x14ac:dyDescent="0.2">
      <c r="A8197" s="5">
        <v>0</v>
      </c>
      <c r="B8197" s="6" t="s">
        <v>46167</v>
      </c>
      <c r="C8197" s="7">
        <v>4548</v>
      </c>
      <c r="D8197" s="8" t="s">
        <v>46168</v>
      </c>
      <c r="E8197" s="8" t="s">
        <v>46169</v>
      </c>
      <c r="F8197" s="8" t="s">
        <v>46161</v>
      </c>
      <c r="G8197" s="6" t="s">
        <v>118</v>
      </c>
      <c r="H8197" s="6" t="s">
        <v>313</v>
      </c>
      <c r="I8197" s="8" t="s">
        <v>10656</v>
      </c>
      <c r="J8197" s="9">
        <v>1</v>
      </c>
      <c r="K8197" s="9">
        <v>748</v>
      </c>
      <c r="L8197" s="9">
        <v>2026</v>
      </c>
      <c r="M8197" s="8" t="s">
        <v>46170</v>
      </c>
      <c r="N8197" s="8" t="s">
        <v>37</v>
      </c>
      <c r="O8197" s="8" t="s">
        <v>136</v>
      </c>
      <c r="P8197" s="6" t="s">
        <v>306</v>
      </c>
      <c r="Q8197" s="8" t="s">
        <v>65</v>
      </c>
      <c r="R8197" s="10" t="s">
        <v>19923</v>
      </c>
      <c r="S8197" s="11" t="s">
        <v>17061</v>
      </c>
      <c r="T8197" s="6"/>
      <c r="U8197" s="15" t="str">
        <f>HYPERLINK("https://media.infra-m.ru/2194/2194414/cover/2194414.jpg", "Обложка")</f>
        <v>Обложка</v>
      </c>
      <c r="V8197" s="8" t="s">
        <v>1949</v>
      </c>
      <c r="W8197" s="6" t="s">
        <v>342</v>
      </c>
      <c r="X8197" s="6"/>
      <c r="Y8197" s="6"/>
      <c r="Z8197" s="6"/>
      <c r="AA8197" s="6" t="s">
        <v>10814</v>
      </c>
      <c r="AB8197" s="8"/>
      <c r="AC8197" s="27">
        <v>9785369019979</v>
      </c>
    </row>
    <row r="8198" spans="1:29" s="4" customFormat="1" ht="51.9" customHeight="1" x14ac:dyDescent="0.2">
      <c r="A8198" s="5">
        <v>0</v>
      </c>
      <c r="B8198" s="6" t="s">
        <v>46171</v>
      </c>
      <c r="C8198" s="7">
        <v>3588</v>
      </c>
      <c r="D8198" s="8" t="s">
        <v>46172</v>
      </c>
      <c r="E8198" s="8" t="s">
        <v>46173</v>
      </c>
      <c r="F8198" s="8" t="s">
        <v>46174</v>
      </c>
      <c r="G8198" s="6" t="s">
        <v>60</v>
      </c>
      <c r="H8198" s="6" t="s">
        <v>134</v>
      </c>
      <c r="I8198" s="8"/>
      <c r="J8198" s="9">
        <v>1</v>
      </c>
      <c r="K8198" s="9">
        <v>584</v>
      </c>
      <c r="L8198" s="9">
        <v>2026</v>
      </c>
      <c r="M8198" s="8" t="s">
        <v>46175</v>
      </c>
      <c r="N8198" s="8" t="s">
        <v>37</v>
      </c>
      <c r="O8198" s="8" t="s">
        <v>136</v>
      </c>
      <c r="P8198" s="6" t="s">
        <v>306</v>
      </c>
      <c r="Q8198" s="8" t="s">
        <v>65</v>
      </c>
      <c r="R8198" s="10" t="s">
        <v>46176</v>
      </c>
      <c r="S8198" s="11"/>
      <c r="T8198" s="6"/>
      <c r="U8198" s="15" t="str">
        <f>HYPERLINK("https://media.infra-m.ru/2256/2256528/cover/2256528.jpg", "Обложка")</f>
        <v>Обложка</v>
      </c>
      <c r="V8198" s="8" t="s">
        <v>1277</v>
      </c>
      <c r="W8198" s="6" t="s">
        <v>649</v>
      </c>
      <c r="X8198" s="6"/>
      <c r="Y8198" s="6"/>
      <c r="Z8198" s="6"/>
      <c r="AA8198" s="6" t="s">
        <v>187</v>
      </c>
      <c r="AB8198" s="8"/>
      <c r="AC8198" s="27">
        <v>9785001564904</v>
      </c>
    </row>
    <row r="8199" spans="1:29" s="4" customFormat="1" ht="51.9" customHeight="1" x14ac:dyDescent="0.2">
      <c r="A8199" s="5">
        <v>0</v>
      </c>
      <c r="B8199" s="6" t="s">
        <v>46177</v>
      </c>
      <c r="C8199" s="7">
        <v>2472</v>
      </c>
      <c r="D8199" s="8" t="s">
        <v>46178</v>
      </c>
      <c r="E8199" s="8" t="s">
        <v>46179</v>
      </c>
      <c r="F8199" s="8" t="s">
        <v>46180</v>
      </c>
      <c r="G8199" s="6" t="s">
        <v>118</v>
      </c>
      <c r="H8199" s="6" t="s">
        <v>34</v>
      </c>
      <c r="I8199" s="8" t="s">
        <v>253</v>
      </c>
      <c r="J8199" s="9">
        <v>1</v>
      </c>
      <c r="K8199" s="9">
        <v>354</v>
      </c>
      <c r="L8199" s="9">
        <v>2027</v>
      </c>
      <c r="M8199" s="8" t="s">
        <v>46181</v>
      </c>
      <c r="N8199" s="8" t="s">
        <v>37</v>
      </c>
      <c r="O8199" s="8" t="s">
        <v>136</v>
      </c>
      <c r="P8199" s="6" t="s">
        <v>306</v>
      </c>
      <c r="Q8199" s="8" t="s">
        <v>52</v>
      </c>
      <c r="R8199" s="10" t="s">
        <v>11179</v>
      </c>
      <c r="S8199" s="11" t="s">
        <v>46182</v>
      </c>
      <c r="T8199" s="6" t="s">
        <v>97</v>
      </c>
      <c r="U8199" s="15" t="str">
        <f>HYPERLINK("https://media.infra-m.ru/2263/2263951/cover/2263951.jpg", "Обложка")</f>
        <v>Обложка</v>
      </c>
      <c r="V8199" s="8" t="s">
        <v>1184</v>
      </c>
      <c r="W8199" s="6"/>
      <c r="X8199" s="6"/>
      <c r="Y8199" s="6"/>
      <c r="Z8199" s="6"/>
      <c r="AA8199" s="6" t="s">
        <v>1389</v>
      </c>
      <c r="AB8199" s="8"/>
      <c r="AC8199" s="27">
        <v>9785160205984</v>
      </c>
    </row>
    <row r="8200" spans="1:29" s="4" customFormat="1" ht="42" customHeight="1" x14ac:dyDescent="0.2">
      <c r="A8200" s="5">
        <v>0</v>
      </c>
      <c r="B8200" s="6" t="s">
        <v>46183</v>
      </c>
      <c r="C8200" s="7">
        <v>3676.8</v>
      </c>
      <c r="D8200" s="8" t="s">
        <v>46184</v>
      </c>
      <c r="E8200" s="8" t="s">
        <v>46185</v>
      </c>
      <c r="F8200" s="8" t="s">
        <v>46186</v>
      </c>
      <c r="G8200" s="6" t="s">
        <v>60</v>
      </c>
      <c r="H8200" s="6" t="s">
        <v>34</v>
      </c>
      <c r="I8200" s="8" t="s">
        <v>253</v>
      </c>
      <c r="J8200" s="9">
        <v>1</v>
      </c>
      <c r="K8200" s="9">
        <v>557</v>
      </c>
      <c r="L8200" s="9">
        <v>2026</v>
      </c>
      <c r="M8200" s="8" t="s">
        <v>46187</v>
      </c>
      <c r="N8200" s="8" t="s">
        <v>37</v>
      </c>
      <c r="O8200" s="8" t="s">
        <v>136</v>
      </c>
      <c r="P8200" s="6" t="s">
        <v>306</v>
      </c>
      <c r="Q8200" s="8" t="s">
        <v>65</v>
      </c>
      <c r="R8200" s="10" t="s">
        <v>1255</v>
      </c>
      <c r="S8200" s="11"/>
      <c r="T8200" s="6"/>
      <c r="U8200" s="15" t="str">
        <f>HYPERLINK("https://media.infra-m.ru/2238/2238618/cover/2238618.jpg", "Обложка")</f>
        <v>Обложка</v>
      </c>
      <c r="V8200" s="8" t="s">
        <v>1184</v>
      </c>
      <c r="W8200" s="6"/>
      <c r="X8200" s="6"/>
      <c r="Y8200" s="6"/>
      <c r="Z8200" s="6"/>
      <c r="AA8200" s="6" t="s">
        <v>68</v>
      </c>
      <c r="AB8200" s="8"/>
      <c r="AC8200" s="27">
        <v>9785160208480</v>
      </c>
    </row>
    <row r="8201" spans="1:29" s="4" customFormat="1" ht="51.9" customHeight="1" x14ac:dyDescent="0.2">
      <c r="A8201" s="5">
        <v>0</v>
      </c>
      <c r="B8201" s="6" t="s">
        <v>46188</v>
      </c>
      <c r="C8201" s="7">
        <v>2832</v>
      </c>
      <c r="D8201" s="8" t="s">
        <v>46189</v>
      </c>
      <c r="E8201" s="8" t="s">
        <v>46190</v>
      </c>
      <c r="F8201" s="8" t="s">
        <v>46191</v>
      </c>
      <c r="G8201" s="6" t="s">
        <v>60</v>
      </c>
      <c r="H8201" s="6" t="s">
        <v>34</v>
      </c>
      <c r="I8201" s="8" t="s">
        <v>253</v>
      </c>
      <c r="J8201" s="9">
        <v>1</v>
      </c>
      <c r="K8201" s="9">
        <v>407</v>
      </c>
      <c r="L8201" s="9">
        <v>2026</v>
      </c>
      <c r="M8201" s="8" t="s">
        <v>46192</v>
      </c>
      <c r="N8201" s="8" t="s">
        <v>37</v>
      </c>
      <c r="O8201" s="8" t="s">
        <v>136</v>
      </c>
      <c r="P8201" s="6" t="s">
        <v>306</v>
      </c>
      <c r="Q8201" s="8" t="s">
        <v>52</v>
      </c>
      <c r="R8201" s="10" t="s">
        <v>1255</v>
      </c>
      <c r="S8201" s="11" t="s">
        <v>46193</v>
      </c>
      <c r="T8201" s="6"/>
      <c r="U8201" s="15" t="str">
        <f>HYPERLINK("https://media.infra-m.ru/2217/2217012/cover/2217012.jpg", "Обложка")</f>
        <v>Обложка</v>
      </c>
      <c r="V8201" s="8" t="s">
        <v>1184</v>
      </c>
      <c r="W8201" s="6"/>
      <c r="X8201" s="6"/>
      <c r="Y8201" s="6"/>
      <c r="Z8201" s="6"/>
      <c r="AA8201" s="6" t="s">
        <v>1389</v>
      </c>
      <c r="AB8201" s="8"/>
      <c r="AC8201" s="27">
        <v>9785160205991</v>
      </c>
    </row>
    <row r="8202" spans="1:29" s="4" customFormat="1" ht="51.9" customHeight="1" x14ac:dyDescent="0.2">
      <c r="A8202" s="5">
        <v>0</v>
      </c>
      <c r="B8202" s="6" t="s">
        <v>46194</v>
      </c>
      <c r="C8202" s="7">
        <v>4456.8</v>
      </c>
      <c r="D8202" s="8" t="s">
        <v>46195</v>
      </c>
      <c r="E8202" s="8" t="s">
        <v>46196</v>
      </c>
      <c r="F8202" s="8" t="s">
        <v>46197</v>
      </c>
      <c r="G8202" s="6" t="s">
        <v>118</v>
      </c>
      <c r="H8202" s="6" t="s">
        <v>34</v>
      </c>
      <c r="I8202" s="8" t="s">
        <v>253</v>
      </c>
      <c r="J8202" s="9">
        <v>1</v>
      </c>
      <c r="K8202" s="9">
        <v>642</v>
      </c>
      <c r="L8202" s="9">
        <v>2027</v>
      </c>
      <c r="M8202" s="8" t="s">
        <v>46198</v>
      </c>
      <c r="N8202" s="8" t="s">
        <v>37</v>
      </c>
      <c r="O8202" s="8" t="s">
        <v>136</v>
      </c>
      <c r="P8202" s="6" t="s">
        <v>306</v>
      </c>
      <c r="Q8202" s="8" t="s">
        <v>65</v>
      </c>
      <c r="R8202" s="10" t="s">
        <v>1068</v>
      </c>
      <c r="S8202" s="11"/>
      <c r="T8202" s="6" t="s">
        <v>97</v>
      </c>
      <c r="U8202" s="15" t="str">
        <f>HYPERLINK("https://media.infra-m.ru/2235/2235981/cover/2235981.jpg", "Обложка")</f>
        <v>Обложка</v>
      </c>
      <c r="V8202" s="8" t="s">
        <v>46199</v>
      </c>
      <c r="W8202" s="6"/>
      <c r="X8202" s="6"/>
      <c r="Y8202" s="6"/>
      <c r="Z8202" s="6"/>
      <c r="AA8202" s="6" t="s">
        <v>76</v>
      </c>
      <c r="AB8202" s="8"/>
      <c r="AC8202" s="27">
        <v>9785160191652</v>
      </c>
    </row>
    <row r="8203" spans="1:29" s="4" customFormat="1" ht="51.9" customHeight="1" x14ac:dyDescent="0.2">
      <c r="A8203" s="5">
        <v>0</v>
      </c>
      <c r="B8203" s="6" t="s">
        <v>46200</v>
      </c>
      <c r="C8203" s="7">
        <v>2224.8000000000002</v>
      </c>
      <c r="D8203" s="8" t="s">
        <v>46201</v>
      </c>
      <c r="E8203" s="8" t="s">
        <v>46202</v>
      </c>
      <c r="F8203" s="8" t="s">
        <v>46203</v>
      </c>
      <c r="G8203" s="6" t="s">
        <v>60</v>
      </c>
      <c r="H8203" s="6" t="s">
        <v>34</v>
      </c>
      <c r="I8203" s="8" t="s">
        <v>253</v>
      </c>
      <c r="J8203" s="9">
        <v>1</v>
      </c>
      <c r="K8203" s="9">
        <v>320</v>
      </c>
      <c r="L8203" s="9">
        <v>2027</v>
      </c>
      <c r="M8203" s="8" t="s">
        <v>46204</v>
      </c>
      <c r="N8203" s="8" t="s">
        <v>37</v>
      </c>
      <c r="O8203" s="8" t="s">
        <v>136</v>
      </c>
      <c r="P8203" s="6" t="s">
        <v>306</v>
      </c>
      <c r="Q8203" s="8" t="s">
        <v>377</v>
      </c>
      <c r="R8203" s="10" t="s">
        <v>1275</v>
      </c>
      <c r="S8203" s="11"/>
      <c r="T8203" s="6"/>
      <c r="U8203" s="15" t="str">
        <f>HYPERLINK("https://media.infra-m.ru/2262/2262869/cover/2262869.jpg", "Обложка")</f>
        <v>Обложка</v>
      </c>
      <c r="V8203" s="8" t="s">
        <v>1192</v>
      </c>
      <c r="W8203" s="6"/>
      <c r="X8203" s="6"/>
      <c r="Y8203" s="6"/>
      <c r="Z8203" s="6"/>
      <c r="AA8203" s="6" t="s">
        <v>68</v>
      </c>
      <c r="AB8203" s="8"/>
      <c r="AC8203" s="27">
        <v>9785160206639</v>
      </c>
    </row>
    <row r="8204" spans="1:29" s="4" customFormat="1" ht="51.9" customHeight="1" x14ac:dyDescent="0.2">
      <c r="A8204" s="5">
        <v>0</v>
      </c>
      <c r="B8204" s="6" t="s">
        <v>46205</v>
      </c>
      <c r="C8204" s="7">
        <v>3196.8</v>
      </c>
      <c r="D8204" s="8" t="s">
        <v>46206</v>
      </c>
      <c r="E8204" s="8" t="s">
        <v>46207</v>
      </c>
      <c r="F8204" s="8" t="s">
        <v>46208</v>
      </c>
      <c r="G8204" s="6" t="s">
        <v>118</v>
      </c>
      <c r="H8204" s="6" t="s">
        <v>34</v>
      </c>
      <c r="I8204" s="8" t="s">
        <v>263</v>
      </c>
      <c r="J8204" s="9">
        <v>1</v>
      </c>
      <c r="K8204" s="9">
        <v>532</v>
      </c>
      <c r="L8204" s="9">
        <v>2025</v>
      </c>
      <c r="M8204" s="8" t="s">
        <v>46209</v>
      </c>
      <c r="N8204" s="8" t="s">
        <v>37</v>
      </c>
      <c r="O8204" s="8" t="s">
        <v>136</v>
      </c>
      <c r="P8204" s="6" t="s">
        <v>306</v>
      </c>
      <c r="Q8204" s="8" t="s">
        <v>265</v>
      </c>
      <c r="R8204" s="10" t="s">
        <v>479</v>
      </c>
      <c r="S8204" s="11" t="s">
        <v>46210</v>
      </c>
      <c r="T8204" s="6"/>
      <c r="U8204" s="15" t="str">
        <f>HYPERLINK("https://media.infra-m.ru/2145/2145076/cover/2145076.jpg", "Обложка")</f>
        <v>Обложка</v>
      </c>
      <c r="V8204" s="8" t="s">
        <v>6535</v>
      </c>
      <c r="W8204" s="6"/>
      <c r="X8204" s="6"/>
      <c r="Y8204" s="6"/>
      <c r="Z8204" s="6" t="s">
        <v>267</v>
      </c>
      <c r="AA8204" s="6" t="s">
        <v>148</v>
      </c>
      <c r="AB8204" s="8"/>
      <c r="AC8204" s="27">
        <v>9785160176222</v>
      </c>
    </row>
    <row r="8205" spans="1:29" s="4" customFormat="1" ht="51.9" customHeight="1" x14ac:dyDescent="0.2">
      <c r="A8205" s="5">
        <v>0</v>
      </c>
      <c r="B8205" s="6" t="s">
        <v>46211</v>
      </c>
      <c r="C8205" s="7">
        <v>3516</v>
      </c>
      <c r="D8205" s="8" t="s">
        <v>46212</v>
      </c>
      <c r="E8205" s="8" t="s">
        <v>46207</v>
      </c>
      <c r="F8205" s="8" t="s">
        <v>46208</v>
      </c>
      <c r="G8205" s="6" t="s">
        <v>60</v>
      </c>
      <c r="H8205" s="6" t="s">
        <v>34</v>
      </c>
      <c r="I8205" s="8" t="s">
        <v>253</v>
      </c>
      <c r="J8205" s="9">
        <v>1</v>
      </c>
      <c r="K8205" s="9">
        <v>532</v>
      </c>
      <c r="L8205" s="9">
        <v>2026</v>
      </c>
      <c r="M8205" s="8" t="s">
        <v>46213</v>
      </c>
      <c r="N8205" s="8" t="s">
        <v>37</v>
      </c>
      <c r="O8205" s="8" t="s">
        <v>136</v>
      </c>
      <c r="P8205" s="6" t="s">
        <v>306</v>
      </c>
      <c r="Q8205" s="8" t="s">
        <v>52</v>
      </c>
      <c r="R8205" s="10" t="s">
        <v>1255</v>
      </c>
      <c r="S8205" s="11" t="s">
        <v>46214</v>
      </c>
      <c r="T8205" s="6"/>
      <c r="U8205" s="15" t="str">
        <f>HYPERLINK("https://media.infra-m.ru/2236/2236145/cover/2236145.jpg", "Обложка")</f>
        <v>Обложка</v>
      </c>
      <c r="V8205" s="8" t="s">
        <v>6535</v>
      </c>
      <c r="W8205" s="6"/>
      <c r="X8205" s="6"/>
      <c r="Y8205" s="6"/>
      <c r="Z8205" s="6"/>
      <c r="AA8205" s="6" t="s">
        <v>148</v>
      </c>
      <c r="AB8205" s="8" t="s">
        <v>4423</v>
      </c>
      <c r="AC8205" s="27">
        <v>9785160206424</v>
      </c>
    </row>
    <row r="8206" spans="1:29" s="4" customFormat="1" ht="51.9" customHeight="1" x14ac:dyDescent="0.2">
      <c r="A8206" s="5">
        <v>0</v>
      </c>
      <c r="B8206" s="6" t="s">
        <v>46215</v>
      </c>
      <c r="C8206" s="7">
        <v>3852</v>
      </c>
      <c r="D8206" s="8" t="s">
        <v>46216</v>
      </c>
      <c r="E8206" s="8" t="s">
        <v>46217</v>
      </c>
      <c r="F8206" s="8" t="s">
        <v>46218</v>
      </c>
      <c r="G8206" s="6" t="s">
        <v>60</v>
      </c>
      <c r="H8206" s="6" t="s">
        <v>34</v>
      </c>
      <c r="I8206" s="8" t="s">
        <v>263</v>
      </c>
      <c r="J8206" s="9">
        <v>1</v>
      </c>
      <c r="K8206" s="9">
        <v>583</v>
      </c>
      <c r="L8206" s="9">
        <v>2026</v>
      </c>
      <c r="M8206" s="8" t="s">
        <v>46219</v>
      </c>
      <c r="N8206" s="8" t="s">
        <v>37</v>
      </c>
      <c r="O8206" s="8" t="s">
        <v>136</v>
      </c>
      <c r="P8206" s="6" t="s">
        <v>306</v>
      </c>
      <c r="Q8206" s="8" t="s">
        <v>265</v>
      </c>
      <c r="R8206" s="10" t="s">
        <v>479</v>
      </c>
      <c r="S8206" s="11" t="s">
        <v>46210</v>
      </c>
      <c r="T8206" s="6"/>
      <c r="U8206" s="15" t="str">
        <f>HYPERLINK("https://media.infra-m.ru/2225/2225208/cover/2225208.jpg", "Обложка")</f>
        <v>Обложка</v>
      </c>
      <c r="V8206" s="8" t="s">
        <v>4409</v>
      </c>
      <c r="W8206" s="6"/>
      <c r="X8206" s="6"/>
      <c r="Y8206" s="6"/>
      <c r="Z8206" s="6" t="s">
        <v>267</v>
      </c>
      <c r="AA8206" s="6" t="s">
        <v>157</v>
      </c>
      <c r="AB8206" s="8" t="s">
        <v>4423</v>
      </c>
      <c r="AC8206" s="27">
        <v>9785160184616</v>
      </c>
    </row>
    <row r="8207" spans="1:29" s="4" customFormat="1" ht="51.9" customHeight="1" x14ac:dyDescent="0.2">
      <c r="A8207" s="5">
        <v>0</v>
      </c>
      <c r="B8207" s="6" t="s">
        <v>46220</v>
      </c>
      <c r="C8207" s="7">
        <v>3844.8</v>
      </c>
      <c r="D8207" s="8" t="s">
        <v>46221</v>
      </c>
      <c r="E8207" s="8" t="s">
        <v>46217</v>
      </c>
      <c r="F8207" s="8" t="s">
        <v>46218</v>
      </c>
      <c r="G8207" s="6" t="s">
        <v>60</v>
      </c>
      <c r="H8207" s="6" t="s">
        <v>34</v>
      </c>
      <c r="I8207" s="8" t="s">
        <v>253</v>
      </c>
      <c r="J8207" s="9">
        <v>1</v>
      </c>
      <c r="K8207" s="9">
        <v>583</v>
      </c>
      <c r="L8207" s="9">
        <v>2026</v>
      </c>
      <c r="M8207" s="8" t="s">
        <v>46222</v>
      </c>
      <c r="N8207" s="8" t="s">
        <v>37</v>
      </c>
      <c r="O8207" s="8" t="s">
        <v>136</v>
      </c>
      <c r="P8207" s="6" t="s">
        <v>306</v>
      </c>
      <c r="Q8207" s="8" t="s">
        <v>52</v>
      </c>
      <c r="R8207" s="10" t="s">
        <v>1224</v>
      </c>
      <c r="S8207" s="11" t="s">
        <v>46214</v>
      </c>
      <c r="T8207" s="6"/>
      <c r="U8207" s="15" t="str">
        <f>HYPERLINK("https://media.infra-m.ru/2237/2237168/cover/2237168.jpg", "Обложка")</f>
        <v>Обложка</v>
      </c>
      <c r="V8207" s="8" t="s">
        <v>4409</v>
      </c>
      <c r="W8207" s="6"/>
      <c r="X8207" s="6"/>
      <c r="Y8207" s="6"/>
      <c r="Z8207" s="6"/>
      <c r="AA8207" s="6" t="s">
        <v>157</v>
      </c>
      <c r="AB8207" s="8"/>
      <c r="AC8207" s="27">
        <v>9785160200316</v>
      </c>
    </row>
    <row r="8208" spans="1:29" s="4" customFormat="1" ht="51.9" customHeight="1" x14ac:dyDescent="0.2">
      <c r="A8208" s="5">
        <v>0</v>
      </c>
      <c r="B8208" s="6" t="s">
        <v>46223</v>
      </c>
      <c r="C8208" s="7">
        <v>4228.8</v>
      </c>
      <c r="D8208" s="8" t="s">
        <v>46224</v>
      </c>
      <c r="E8208" s="8" t="s">
        <v>46225</v>
      </c>
      <c r="F8208" s="8" t="s">
        <v>46226</v>
      </c>
      <c r="G8208" s="6" t="s">
        <v>60</v>
      </c>
      <c r="H8208" s="6" t="s">
        <v>34</v>
      </c>
      <c r="I8208" s="8" t="s">
        <v>253</v>
      </c>
      <c r="J8208" s="9">
        <v>1</v>
      </c>
      <c r="K8208" s="9">
        <v>721</v>
      </c>
      <c r="L8208" s="9">
        <v>2026</v>
      </c>
      <c r="M8208" s="8" t="s">
        <v>46227</v>
      </c>
      <c r="N8208" s="8" t="s">
        <v>37</v>
      </c>
      <c r="O8208" s="8" t="s">
        <v>136</v>
      </c>
      <c r="P8208" s="6" t="s">
        <v>306</v>
      </c>
      <c r="Q8208" s="8" t="s">
        <v>65</v>
      </c>
      <c r="R8208" s="10" t="s">
        <v>1068</v>
      </c>
      <c r="S8208" s="11"/>
      <c r="T8208" s="6"/>
      <c r="U8208" s="15" t="str">
        <f>HYPERLINK("https://media.infra-m.ru/2219/2219613/cover/2219613.jpg", "Обложка")</f>
        <v>Обложка</v>
      </c>
      <c r="V8208" s="8" t="s">
        <v>1675</v>
      </c>
      <c r="W8208" s="6"/>
      <c r="X8208" s="6"/>
      <c r="Y8208" s="6"/>
      <c r="Z8208" s="6"/>
      <c r="AA8208" s="6" t="s">
        <v>68</v>
      </c>
      <c r="AB8208" s="8" t="s">
        <v>670</v>
      </c>
      <c r="AC8208" s="27">
        <v>9785160188096</v>
      </c>
    </row>
    <row r="8209" spans="1:29" s="4" customFormat="1" ht="51.9" customHeight="1" x14ac:dyDescent="0.2">
      <c r="A8209" s="5">
        <v>0</v>
      </c>
      <c r="B8209" s="6" t="s">
        <v>46228</v>
      </c>
      <c r="C8209" s="13">
        <v>737.9</v>
      </c>
      <c r="D8209" s="8" t="s">
        <v>46229</v>
      </c>
      <c r="E8209" s="8" t="s">
        <v>46230</v>
      </c>
      <c r="F8209" s="8" t="s">
        <v>46231</v>
      </c>
      <c r="G8209" s="6" t="s">
        <v>33</v>
      </c>
      <c r="H8209" s="6" t="s">
        <v>34</v>
      </c>
      <c r="I8209" s="8" t="s">
        <v>271</v>
      </c>
      <c r="J8209" s="9">
        <v>1</v>
      </c>
      <c r="K8209" s="9">
        <v>162</v>
      </c>
      <c r="L8209" s="9">
        <v>2022</v>
      </c>
      <c r="M8209" s="8" t="s">
        <v>46232</v>
      </c>
      <c r="N8209" s="8" t="s">
        <v>37</v>
      </c>
      <c r="O8209" s="8" t="s">
        <v>136</v>
      </c>
      <c r="P8209" s="6" t="s">
        <v>51</v>
      </c>
      <c r="Q8209" s="8" t="s">
        <v>52</v>
      </c>
      <c r="R8209" s="10" t="s">
        <v>19923</v>
      </c>
      <c r="S8209" s="11" t="s">
        <v>13412</v>
      </c>
      <c r="T8209" s="6"/>
      <c r="U8209" s="15" t="str">
        <f>HYPERLINK("https://media.infra-m.ru/1862/1862614/cover/1862614.jpg", "Обложка")</f>
        <v>Обложка</v>
      </c>
      <c r="V8209" s="8" t="s">
        <v>8451</v>
      </c>
      <c r="W8209" s="6"/>
      <c r="X8209" s="6"/>
      <c r="Y8209" s="6"/>
      <c r="Z8209" s="6"/>
      <c r="AA8209" s="6" t="s">
        <v>86</v>
      </c>
      <c r="AB8209" s="8"/>
      <c r="AC8209" s="27">
        <v>9785160126746</v>
      </c>
    </row>
    <row r="8210" spans="1:29" s="4" customFormat="1" ht="51.9" customHeight="1" x14ac:dyDescent="0.2">
      <c r="A8210" s="5">
        <v>0</v>
      </c>
      <c r="B8210" s="6" t="s">
        <v>46233</v>
      </c>
      <c r="C8210" s="7">
        <v>1096.8</v>
      </c>
      <c r="D8210" s="8" t="s">
        <v>46234</v>
      </c>
      <c r="E8210" s="8" t="s">
        <v>46235</v>
      </c>
      <c r="F8210" s="8" t="s">
        <v>46231</v>
      </c>
      <c r="G8210" s="6" t="s">
        <v>60</v>
      </c>
      <c r="H8210" s="6" t="s">
        <v>34</v>
      </c>
      <c r="I8210" s="8" t="s">
        <v>271</v>
      </c>
      <c r="J8210" s="9">
        <v>1</v>
      </c>
      <c r="K8210" s="9">
        <v>165</v>
      </c>
      <c r="L8210" s="9">
        <v>2026</v>
      </c>
      <c r="M8210" s="8" t="s">
        <v>46236</v>
      </c>
      <c r="N8210" s="8" t="s">
        <v>37</v>
      </c>
      <c r="O8210" s="8" t="s">
        <v>136</v>
      </c>
      <c r="P8210" s="6" t="s">
        <v>51</v>
      </c>
      <c r="Q8210" s="8" t="s">
        <v>52</v>
      </c>
      <c r="R8210" s="10" t="s">
        <v>19923</v>
      </c>
      <c r="S8210" s="11" t="s">
        <v>46237</v>
      </c>
      <c r="T8210" s="6"/>
      <c r="U8210" s="15" t="str">
        <f>HYPERLINK("https://media.infra-m.ru/2238/2238371/cover/2238371.jpg", "Обложка")</f>
        <v>Обложка</v>
      </c>
      <c r="V8210" s="8" t="s">
        <v>8451</v>
      </c>
      <c r="W8210" s="6"/>
      <c r="X8210" s="6"/>
      <c r="Y8210" s="6"/>
      <c r="Z8210" s="6"/>
      <c r="AA8210" s="6" t="s">
        <v>1303</v>
      </c>
      <c r="AB8210" s="8"/>
      <c r="AC8210" s="27">
        <v>9785160178493</v>
      </c>
    </row>
    <row r="8211" spans="1:29" s="4" customFormat="1" ht="42" customHeight="1" x14ac:dyDescent="0.2">
      <c r="A8211" s="5">
        <v>0</v>
      </c>
      <c r="B8211" s="6" t="s">
        <v>46238</v>
      </c>
      <c r="C8211" s="7">
        <v>1804.8</v>
      </c>
      <c r="D8211" s="8" t="s">
        <v>46239</v>
      </c>
      <c r="E8211" s="8" t="s">
        <v>46240</v>
      </c>
      <c r="F8211" s="8" t="s">
        <v>40203</v>
      </c>
      <c r="G8211" s="6" t="s">
        <v>60</v>
      </c>
      <c r="H8211" s="6" t="s">
        <v>134</v>
      </c>
      <c r="I8211" s="8"/>
      <c r="J8211" s="9">
        <v>1</v>
      </c>
      <c r="K8211" s="9">
        <v>288</v>
      </c>
      <c r="L8211" s="9">
        <v>2025</v>
      </c>
      <c r="M8211" s="8" t="s">
        <v>46241</v>
      </c>
      <c r="N8211" s="8" t="s">
        <v>37</v>
      </c>
      <c r="O8211" s="8" t="s">
        <v>136</v>
      </c>
      <c r="P8211" s="6" t="s">
        <v>39</v>
      </c>
      <c r="Q8211" s="8" t="s">
        <v>40</v>
      </c>
      <c r="R8211" s="10" t="s">
        <v>18075</v>
      </c>
      <c r="S8211" s="11"/>
      <c r="T8211" s="6"/>
      <c r="U8211" s="15" t="str">
        <f>HYPERLINK("https://media.infra-m.ru/2203/2203176/cover/2203176.jpg", "Обложка")</f>
        <v>Обложка</v>
      </c>
      <c r="V8211" s="8" t="s">
        <v>1184</v>
      </c>
      <c r="W8211" s="6"/>
      <c r="X8211" s="6"/>
      <c r="Y8211" s="6"/>
      <c r="Z8211" s="6"/>
      <c r="AA8211" s="6" t="s">
        <v>148</v>
      </c>
      <c r="AB8211" s="8"/>
      <c r="AC8211" s="27">
        <v>9785001562597</v>
      </c>
    </row>
    <row r="8212" spans="1:29" s="4" customFormat="1" ht="51.9" customHeight="1" x14ac:dyDescent="0.2">
      <c r="A8212" s="5">
        <v>0</v>
      </c>
      <c r="B8212" s="6" t="s">
        <v>46242</v>
      </c>
      <c r="C8212" s="7">
        <v>1320</v>
      </c>
      <c r="D8212" s="8" t="s">
        <v>46243</v>
      </c>
      <c r="E8212" s="8" t="s">
        <v>46244</v>
      </c>
      <c r="F8212" s="8" t="s">
        <v>46245</v>
      </c>
      <c r="G8212" s="6" t="s">
        <v>60</v>
      </c>
      <c r="H8212" s="6" t="s">
        <v>34</v>
      </c>
      <c r="I8212" s="8" t="s">
        <v>1835</v>
      </c>
      <c r="J8212" s="9">
        <v>1</v>
      </c>
      <c r="K8212" s="9">
        <v>217</v>
      </c>
      <c r="L8212" s="9">
        <v>2024</v>
      </c>
      <c r="M8212" s="8" t="s">
        <v>46246</v>
      </c>
      <c r="N8212" s="8" t="s">
        <v>37</v>
      </c>
      <c r="O8212" s="8" t="s">
        <v>136</v>
      </c>
      <c r="P8212" s="6" t="s">
        <v>1837</v>
      </c>
      <c r="Q8212" s="8" t="s">
        <v>40</v>
      </c>
      <c r="R8212" s="10" t="s">
        <v>46247</v>
      </c>
      <c r="S8212" s="11"/>
      <c r="T8212" s="6"/>
      <c r="U8212" s="15" t="str">
        <f>HYPERLINK("https://media.infra-m.ru/1946/1946243/cover/1946243.jpg", "Обложка")</f>
        <v>Обложка</v>
      </c>
      <c r="V8212" s="8" t="s">
        <v>8451</v>
      </c>
      <c r="W8212" s="6"/>
      <c r="X8212" s="6"/>
      <c r="Y8212" s="6"/>
      <c r="Z8212" s="6"/>
      <c r="AA8212" s="6" t="s">
        <v>76</v>
      </c>
      <c r="AB8212" s="8"/>
      <c r="AC8212" s="27">
        <v>9785160182650</v>
      </c>
    </row>
    <row r="8213" spans="1:29" s="4" customFormat="1" ht="42" customHeight="1" x14ac:dyDescent="0.2">
      <c r="A8213" s="5">
        <v>0</v>
      </c>
      <c r="B8213" s="6" t="s">
        <v>46248</v>
      </c>
      <c r="C8213" s="7">
        <v>1073.9000000000001</v>
      </c>
      <c r="D8213" s="8" t="s">
        <v>46249</v>
      </c>
      <c r="E8213" s="8" t="s">
        <v>46250</v>
      </c>
      <c r="F8213" s="8" t="s">
        <v>46251</v>
      </c>
      <c r="G8213" s="6" t="s">
        <v>60</v>
      </c>
      <c r="H8213" s="6" t="s">
        <v>313</v>
      </c>
      <c r="I8213" s="8" t="s">
        <v>253</v>
      </c>
      <c r="J8213" s="9">
        <v>1</v>
      </c>
      <c r="K8213" s="9">
        <v>280</v>
      </c>
      <c r="L8213" s="9">
        <v>2018</v>
      </c>
      <c r="M8213" s="8" t="s">
        <v>46252</v>
      </c>
      <c r="N8213" s="8" t="s">
        <v>37</v>
      </c>
      <c r="O8213" s="8" t="s">
        <v>136</v>
      </c>
      <c r="P8213" s="6" t="s">
        <v>51</v>
      </c>
      <c r="Q8213" s="8" t="s">
        <v>52</v>
      </c>
      <c r="R8213" s="10" t="s">
        <v>1218</v>
      </c>
      <c r="S8213" s="11"/>
      <c r="T8213" s="6"/>
      <c r="U8213" s="15" t="str">
        <f>HYPERLINK("https://media.infra-m.ru/0938/0938042/cover/938042.jpg", "Обложка")</f>
        <v>Обложка</v>
      </c>
      <c r="V8213" s="8"/>
      <c r="W8213" s="6"/>
      <c r="X8213" s="6"/>
      <c r="Y8213" s="6"/>
      <c r="Z8213" s="6"/>
      <c r="AA8213" s="6" t="s">
        <v>779</v>
      </c>
      <c r="AB8213" s="8"/>
      <c r="AC8213" s="27">
        <v>9785369014639</v>
      </c>
    </row>
    <row r="8214" spans="1:29" s="4" customFormat="1" ht="51.9" customHeight="1" x14ac:dyDescent="0.2">
      <c r="A8214" s="5">
        <v>0</v>
      </c>
      <c r="B8214" s="6" t="s">
        <v>46253</v>
      </c>
      <c r="C8214" s="7">
        <v>3072</v>
      </c>
      <c r="D8214" s="8" t="s">
        <v>46254</v>
      </c>
      <c r="E8214" s="8" t="s">
        <v>46255</v>
      </c>
      <c r="F8214" s="8" t="s">
        <v>46256</v>
      </c>
      <c r="G8214" s="6" t="s">
        <v>60</v>
      </c>
      <c r="H8214" s="6" t="s">
        <v>134</v>
      </c>
      <c r="I8214" s="8"/>
      <c r="J8214" s="9">
        <v>1</v>
      </c>
      <c r="K8214" s="9">
        <v>464</v>
      </c>
      <c r="L8214" s="9">
        <v>2026</v>
      </c>
      <c r="M8214" s="8" t="s">
        <v>46257</v>
      </c>
      <c r="N8214" s="8" t="s">
        <v>37</v>
      </c>
      <c r="O8214" s="8" t="s">
        <v>136</v>
      </c>
      <c r="P8214" s="6" t="s">
        <v>306</v>
      </c>
      <c r="Q8214" s="8" t="s">
        <v>52</v>
      </c>
      <c r="R8214" s="10" t="s">
        <v>1275</v>
      </c>
      <c r="S8214" s="11" t="s">
        <v>46258</v>
      </c>
      <c r="T8214" s="6"/>
      <c r="U8214" s="15" t="str">
        <f>HYPERLINK("https://media.infra-m.ru/2230/2230837/cover/2230837.jpg", "Обложка")</f>
        <v>Обложка</v>
      </c>
      <c r="V8214" s="8" t="s">
        <v>2466</v>
      </c>
      <c r="W8214" s="6"/>
      <c r="X8214" s="6"/>
      <c r="Y8214" s="6"/>
      <c r="Z8214" s="6"/>
      <c r="AA8214" s="6" t="s">
        <v>31689</v>
      </c>
      <c r="AB8214" s="8"/>
      <c r="AC8214" s="27">
        <v>9785001562962</v>
      </c>
    </row>
    <row r="8215" spans="1:29" s="4" customFormat="1" ht="51.9" customHeight="1" x14ac:dyDescent="0.2">
      <c r="A8215" s="5">
        <v>0</v>
      </c>
      <c r="B8215" s="6" t="s">
        <v>46259</v>
      </c>
      <c r="C8215" s="7">
        <v>2340</v>
      </c>
      <c r="D8215" s="8" t="s">
        <v>46260</v>
      </c>
      <c r="E8215" s="8" t="s">
        <v>46261</v>
      </c>
      <c r="F8215" s="8" t="s">
        <v>46256</v>
      </c>
      <c r="G8215" s="6" t="s">
        <v>118</v>
      </c>
      <c r="H8215" s="6" t="s">
        <v>134</v>
      </c>
      <c r="I8215" s="8"/>
      <c r="J8215" s="9">
        <v>1</v>
      </c>
      <c r="K8215" s="9">
        <v>432</v>
      </c>
      <c r="L8215" s="9">
        <v>2023</v>
      </c>
      <c r="M8215" s="8" t="s">
        <v>46262</v>
      </c>
      <c r="N8215" s="8" t="s">
        <v>37</v>
      </c>
      <c r="O8215" s="8" t="s">
        <v>136</v>
      </c>
      <c r="P8215" s="6" t="s">
        <v>306</v>
      </c>
      <c r="Q8215" s="8" t="s">
        <v>52</v>
      </c>
      <c r="R8215" s="10" t="s">
        <v>1275</v>
      </c>
      <c r="S8215" s="11" t="s">
        <v>46258</v>
      </c>
      <c r="T8215" s="6"/>
      <c r="U8215" s="15" t="str">
        <f>HYPERLINK("https://media.infra-m.ru/1910/1910763/cover/1910763.jpg", "Обложка")</f>
        <v>Обложка</v>
      </c>
      <c r="V8215" s="8" t="s">
        <v>2466</v>
      </c>
      <c r="W8215" s="6"/>
      <c r="X8215" s="6"/>
      <c r="Y8215" s="6"/>
      <c r="Z8215" s="6"/>
      <c r="AA8215" s="6" t="s">
        <v>15130</v>
      </c>
      <c r="AB8215" s="8"/>
      <c r="AC8215" s="27">
        <v>9785917689326</v>
      </c>
    </row>
    <row r="8216" spans="1:29" s="4" customFormat="1" ht="51.9" customHeight="1" x14ac:dyDescent="0.2">
      <c r="A8216" s="5">
        <v>0</v>
      </c>
      <c r="B8216" s="6" t="s">
        <v>46263</v>
      </c>
      <c r="C8216" s="7">
        <v>3592.8</v>
      </c>
      <c r="D8216" s="8" t="s">
        <v>46264</v>
      </c>
      <c r="E8216" s="8" t="s">
        <v>46265</v>
      </c>
      <c r="F8216" s="8" t="s">
        <v>32108</v>
      </c>
      <c r="G8216" s="6" t="s">
        <v>60</v>
      </c>
      <c r="H8216" s="6" t="s">
        <v>34</v>
      </c>
      <c r="I8216" s="8" t="s">
        <v>253</v>
      </c>
      <c r="J8216" s="9">
        <v>1</v>
      </c>
      <c r="K8216" s="9">
        <v>667</v>
      </c>
      <c r="L8216" s="9">
        <v>2027</v>
      </c>
      <c r="M8216" s="8" t="s">
        <v>46266</v>
      </c>
      <c r="N8216" s="8" t="s">
        <v>37</v>
      </c>
      <c r="O8216" s="8" t="s">
        <v>136</v>
      </c>
      <c r="P8216" s="6" t="s">
        <v>51</v>
      </c>
      <c r="Q8216" s="8" t="s">
        <v>52</v>
      </c>
      <c r="R8216" s="10" t="s">
        <v>1218</v>
      </c>
      <c r="S8216" s="11" t="s">
        <v>46267</v>
      </c>
      <c r="T8216" s="6"/>
      <c r="U8216" s="15" t="str">
        <f>HYPERLINK("https://media.infra-m.ru/2263/2263956/cover/2263956.jpg", "Обложка")</f>
        <v>Обложка</v>
      </c>
      <c r="V8216" s="8" t="s">
        <v>657</v>
      </c>
      <c r="W8216" s="6"/>
      <c r="X8216" s="6"/>
      <c r="Y8216" s="6"/>
      <c r="Z8216" s="6"/>
      <c r="AA8216" s="6" t="s">
        <v>218</v>
      </c>
      <c r="AB8216" s="8"/>
      <c r="AC8216" s="27">
        <v>9785160199436</v>
      </c>
    </row>
    <row r="8217" spans="1:29" s="4" customFormat="1" ht="51.9" customHeight="1" x14ac:dyDescent="0.2">
      <c r="A8217" s="5">
        <v>0</v>
      </c>
      <c r="B8217" s="6" t="s">
        <v>46268</v>
      </c>
      <c r="C8217" s="7">
        <v>1073.9000000000001</v>
      </c>
      <c r="D8217" s="8" t="s">
        <v>46269</v>
      </c>
      <c r="E8217" s="8" t="s">
        <v>46270</v>
      </c>
      <c r="F8217" s="8" t="s">
        <v>46271</v>
      </c>
      <c r="G8217" s="6" t="s">
        <v>7062</v>
      </c>
      <c r="H8217" s="6" t="s">
        <v>48</v>
      </c>
      <c r="I8217" s="8"/>
      <c r="J8217" s="9">
        <v>1</v>
      </c>
      <c r="K8217" s="9">
        <v>496</v>
      </c>
      <c r="L8217" s="9">
        <v>2016</v>
      </c>
      <c r="M8217" s="8" t="s">
        <v>46272</v>
      </c>
      <c r="N8217" s="8" t="s">
        <v>37</v>
      </c>
      <c r="O8217" s="8" t="s">
        <v>136</v>
      </c>
      <c r="P8217" s="6" t="s">
        <v>51</v>
      </c>
      <c r="Q8217" s="8" t="s">
        <v>52</v>
      </c>
      <c r="R8217" s="10" t="s">
        <v>1218</v>
      </c>
      <c r="S8217" s="11" t="s">
        <v>46273</v>
      </c>
      <c r="T8217" s="6"/>
      <c r="U8217" s="15" t="str">
        <f>HYPERLINK("https://media.infra-m.ru/0520/0520340/cover/520340.jpg", "Обложка")</f>
        <v>Обложка</v>
      </c>
      <c r="V8217" s="8" t="s">
        <v>657</v>
      </c>
      <c r="W8217" s="6"/>
      <c r="X8217" s="6"/>
      <c r="Y8217" s="6"/>
      <c r="Z8217" s="6"/>
      <c r="AA8217" s="6" t="s">
        <v>248</v>
      </c>
      <c r="AB8217" s="8"/>
      <c r="AC8217" s="27">
        <v>9785911348205</v>
      </c>
    </row>
    <row r="8218" spans="1:29" s="4" customFormat="1" ht="51.9" customHeight="1" x14ac:dyDescent="0.2">
      <c r="A8218" s="5">
        <v>0</v>
      </c>
      <c r="B8218" s="6" t="s">
        <v>46274</v>
      </c>
      <c r="C8218" s="7">
        <v>2992.8</v>
      </c>
      <c r="D8218" s="8" t="s">
        <v>46275</v>
      </c>
      <c r="E8218" s="8" t="s">
        <v>46276</v>
      </c>
      <c r="F8218" s="8" t="s">
        <v>46277</v>
      </c>
      <c r="G8218" s="6" t="s">
        <v>60</v>
      </c>
      <c r="H8218" s="6" t="s">
        <v>34</v>
      </c>
      <c r="I8218" s="8" t="s">
        <v>253</v>
      </c>
      <c r="J8218" s="9">
        <v>1</v>
      </c>
      <c r="K8218" s="9">
        <v>430</v>
      </c>
      <c r="L8218" s="9">
        <v>2027</v>
      </c>
      <c r="M8218" s="8" t="s">
        <v>46278</v>
      </c>
      <c r="N8218" s="8" t="s">
        <v>37</v>
      </c>
      <c r="O8218" s="8" t="s">
        <v>136</v>
      </c>
      <c r="P8218" s="6" t="s">
        <v>306</v>
      </c>
      <c r="Q8218" s="8" t="s">
        <v>65</v>
      </c>
      <c r="R8218" s="10" t="s">
        <v>1068</v>
      </c>
      <c r="S8218" s="11"/>
      <c r="T8218" s="6"/>
      <c r="U8218" s="15" t="str">
        <f>HYPERLINK("https://media.infra-m.ru/2262/2262696/cover/2262696.jpg", "Обложка")</f>
        <v>Обложка</v>
      </c>
      <c r="V8218" s="8" t="s">
        <v>6535</v>
      </c>
      <c r="W8218" s="6"/>
      <c r="X8218" s="6"/>
      <c r="Y8218" s="6"/>
      <c r="Z8218" s="6"/>
      <c r="AA8218" s="6" t="s">
        <v>917</v>
      </c>
      <c r="AB8218" s="8" t="s">
        <v>2922</v>
      </c>
      <c r="AC8218" s="27">
        <v>9785160207667</v>
      </c>
    </row>
    <row r="8219" spans="1:29" s="4" customFormat="1" ht="51.9" customHeight="1" x14ac:dyDescent="0.2">
      <c r="A8219" s="5">
        <v>0</v>
      </c>
      <c r="B8219" s="6" t="s">
        <v>46279</v>
      </c>
      <c r="C8219" s="7">
        <v>2272.8000000000002</v>
      </c>
      <c r="D8219" s="8" t="s">
        <v>46280</v>
      </c>
      <c r="E8219" s="8" t="s">
        <v>46250</v>
      </c>
      <c r="F8219" s="8" t="s">
        <v>46281</v>
      </c>
      <c r="G8219" s="6" t="s">
        <v>118</v>
      </c>
      <c r="H8219" s="6" t="s">
        <v>34</v>
      </c>
      <c r="I8219" s="8" t="s">
        <v>263</v>
      </c>
      <c r="J8219" s="9">
        <v>1</v>
      </c>
      <c r="K8219" s="9">
        <v>380</v>
      </c>
      <c r="L8219" s="9">
        <v>2024</v>
      </c>
      <c r="M8219" s="8" t="s">
        <v>46282</v>
      </c>
      <c r="N8219" s="8" t="s">
        <v>37</v>
      </c>
      <c r="O8219" s="8" t="s">
        <v>136</v>
      </c>
      <c r="P8219" s="6" t="s">
        <v>306</v>
      </c>
      <c r="Q8219" s="8" t="s">
        <v>265</v>
      </c>
      <c r="R8219" s="10" t="s">
        <v>46283</v>
      </c>
      <c r="S8219" s="11" t="s">
        <v>46284</v>
      </c>
      <c r="T8219" s="6"/>
      <c r="U8219" s="15" t="str">
        <f>HYPERLINK("https://media.infra-m.ru/2187/2187011/cover/2187011.jpg", "Обложка")</f>
        <v>Обложка</v>
      </c>
      <c r="V8219" s="8" t="s">
        <v>46285</v>
      </c>
      <c r="W8219" s="6"/>
      <c r="X8219" s="6"/>
      <c r="Y8219" s="6"/>
      <c r="Z8219" s="6" t="s">
        <v>882</v>
      </c>
      <c r="AA8219" s="6" t="s">
        <v>148</v>
      </c>
      <c r="AB8219" s="8"/>
      <c r="AC8219" s="27">
        <v>9785160176031</v>
      </c>
    </row>
    <row r="8220" spans="1:29" s="4" customFormat="1" ht="51.9" customHeight="1" x14ac:dyDescent="0.2">
      <c r="A8220" s="5">
        <v>0</v>
      </c>
      <c r="B8220" s="6" t="s">
        <v>46286</v>
      </c>
      <c r="C8220" s="7">
        <v>2272.8000000000002</v>
      </c>
      <c r="D8220" s="8" t="s">
        <v>46287</v>
      </c>
      <c r="E8220" s="8" t="s">
        <v>46250</v>
      </c>
      <c r="F8220" s="8" t="s">
        <v>46281</v>
      </c>
      <c r="G8220" s="6" t="s">
        <v>118</v>
      </c>
      <c r="H8220" s="6" t="s">
        <v>34</v>
      </c>
      <c r="I8220" s="8" t="s">
        <v>253</v>
      </c>
      <c r="J8220" s="9">
        <v>1</v>
      </c>
      <c r="K8220" s="9">
        <v>380</v>
      </c>
      <c r="L8220" s="9">
        <v>2025</v>
      </c>
      <c r="M8220" s="8" t="s">
        <v>46288</v>
      </c>
      <c r="N8220" s="8" t="s">
        <v>37</v>
      </c>
      <c r="O8220" s="8" t="s">
        <v>136</v>
      </c>
      <c r="P8220" s="6" t="s">
        <v>306</v>
      </c>
      <c r="Q8220" s="8" t="s">
        <v>65</v>
      </c>
      <c r="R8220" s="10" t="s">
        <v>1068</v>
      </c>
      <c r="S8220" s="11" t="s">
        <v>8782</v>
      </c>
      <c r="T8220" s="6"/>
      <c r="U8220" s="15" t="str">
        <f>HYPERLINK("https://media.infra-m.ru/2185/2185836/cover/2185836.jpg", "Обложка")</f>
        <v>Обложка</v>
      </c>
      <c r="V8220" s="8" t="s">
        <v>46285</v>
      </c>
      <c r="W8220" s="6"/>
      <c r="X8220" s="6"/>
      <c r="Y8220" s="6"/>
      <c r="Z8220" s="6"/>
      <c r="AA8220" s="6" t="s">
        <v>115</v>
      </c>
      <c r="AB8220" s="8" t="s">
        <v>2922</v>
      </c>
      <c r="AC8220" s="27">
        <v>9785160188003</v>
      </c>
    </row>
    <row r="8221" spans="1:29" s="4" customFormat="1" ht="51.9" customHeight="1" x14ac:dyDescent="0.2">
      <c r="A8221" s="5">
        <v>0</v>
      </c>
      <c r="B8221" s="6" t="s">
        <v>46289</v>
      </c>
      <c r="C8221" s="7">
        <v>2212.8000000000002</v>
      </c>
      <c r="D8221" s="8" t="s">
        <v>46290</v>
      </c>
      <c r="E8221" s="8" t="s">
        <v>46250</v>
      </c>
      <c r="F8221" s="8" t="s">
        <v>46291</v>
      </c>
      <c r="G8221" s="6" t="s">
        <v>118</v>
      </c>
      <c r="H8221" s="6" t="s">
        <v>134</v>
      </c>
      <c r="I8221" s="8"/>
      <c r="J8221" s="9">
        <v>1</v>
      </c>
      <c r="K8221" s="9">
        <v>336</v>
      </c>
      <c r="L8221" s="9">
        <v>2026</v>
      </c>
      <c r="M8221" s="8" t="s">
        <v>46292</v>
      </c>
      <c r="N8221" s="8" t="s">
        <v>37</v>
      </c>
      <c r="O8221" s="8" t="s">
        <v>136</v>
      </c>
      <c r="P8221" s="6" t="s">
        <v>306</v>
      </c>
      <c r="Q8221" s="8" t="s">
        <v>1349</v>
      </c>
      <c r="R8221" s="10" t="s">
        <v>46293</v>
      </c>
      <c r="S8221" s="11"/>
      <c r="T8221" s="6"/>
      <c r="U8221" s="15" t="str">
        <f>HYPERLINK("https://media.infra-m.ru/2224/2224321/cover/2224321.jpg", "Обложка")</f>
        <v>Обложка</v>
      </c>
      <c r="V8221" s="8" t="s">
        <v>1184</v>
      </c>
      <c r="W8221" s="6"/>
      <c r="X8221" s="6"/>
      <c r="Y8221" s="6"/>
      <c r="Z8221" s="6"/>
      <c r="AA8221" s="6" t="s">
        <v>99</v>
      </c>
      <c r="AB8221" s="8"/>
      <c r="AC8221" s="27">
        <v>9785917688459</v>
      </c>
    </row>
    <row r="8222" spans="1:29" s="4" customFormat="1" ht="51.9" customHeight="1" x14ac:dyDescent="0.2">
      <c r="A8222" s="5">
        <v>0</v>
      </c>
      <c r="B8222" s="6" t="s">
        <v>46294</v>
      </c>
      <c r="C8222" s="7">
        <v>1152</v>
      </c>
      <c r="D8222" s="8" t="s">
        <v>46295</v>
      </c>
      <c r="E8222" s="8" t="s">
        <v>46296</v>
      </c>
      <c r="F8222" s="8" t="s">
        <v>46297</v>
      </c>
      <c r="G8222" s="6" t="s">
        <v>33</v>
      </c>
      <c r="H8222" s="6" t="s">
        <v>34</v>
      </c>
      <c r="I8222" s="8" t="s">
        <v>35</v>
      </c>
      <c r="J8222" s="9">
        <v>1</v>
      </c>
      <c r="K8222" s="9">
        <v>164</v>
      </c>
      <c r="L8222" s="9">
        <v>2026</v>
      </c>
      <c r="M8222" s="8" t="s">
        <v>46298</v>
      </c>
      <c r="N8222" s="8" t="s">
        <v>37</v>
      </c>
      <c r="O8222" s="8" t="s">
        <v>136</v>
      </c>
      <c r="P8222" s="6" t="s">
        <v>39</v>
      </c>
      <c r="Q8222" s="8" t="s">
        <v>40</v>
      </c>
      <c r="R8222" s="10" t="s">
        <v>46299</v>
      </c>
      <c r="S8222" s="11"/>
      <c r="T8222" s="6"/>
      <c r="U8222" s="15" t="str">
        <f>HYPERLINK("https://media.infra-m.ru/2217/2217095/cover/2217095.jpg", "Обложка")</f>
        <v>Обложка</v>
      </c>
      <c r="V8222" s="8" t="s">
        <v>3735</v>
      </c>
      <c r="W8222" s="6" t="s">
        <v>528</v>
      </c>
      <c r="X8222" s="6"/>
      <c r="Y8222" s="6"/>
      <c r="Z8222" s="6"/>
      <c r="AA8222" s="6" t="s">
        <v>187</v>
      </c>
      <c r="AB8222" s="8" t="s">
        <v>308</v>
      </c>
      <c r="AC8222" s="27">
        <v>9785160212159</v>
      </c>
    </row>
    <row r="8223" spans="1:29" s="4" customFormat="1" ht="42" customHeight="1" x14ac:dyDescent="0.2">
      <c r="A8223" s="5">
        <v>0</v>
      </c>
      <c r="B8223" s="6" t="s">
        <v>46300</v>
      </c>
      <c r="C8223" s="7">
        <v>2148</v>
      </c>
      <c r="D8223" s="8" t="s">
        <v>46301</v>
      </c>
      <c r="E8223" s="8" t="s">
        <v>46302</v>
      </c>
      <c r="F8223" s="8" t="s">
        <v>33463</v>
      </c>
      <c r="G8223" s="6" t="s">
        <v>60</v>
      </c>
      <c r="H8223" s="6" t="s">
        <v>34</v>
      </c>
      <c r="I8223" s="8" t="s">
        <v>35</v>
      </c>
      <c r="J8223" s="9">
        <v>1</v>
      </c>
      <c r="K8223" s="9">
        <v>379</v>
      </c>
      <c r="L8223" s="9">
        <v>2024</v>
      </c>
      <c r="M8223" s="8" t="s">
        <v>46303</v>
      </c>
      <c r="N8223" s="8" t="s">
        <v>37</v>
      </c>
      <c r="O8223" s="8" t="s">
        <v>136</v>
      </c>
      <c r="P8223" s="6" t="s">
        <v>39</v>
      </c>
      <c r="Q8223" s="8" t="s">
        <v>40</v>
      </c>
      <c r="R8223" s="10" t="s">
        <v>8485</v>
      </c>
      <c r="S8223" s="11"/>
      <c r="T8223" s="6"/>
      <c r="U8223" s="15" t="str">
        <f>HYPERLINK("https://media.infra-m.ru/2100/2100002/cover/2100002.jpg", "Обложка")</f>
        <v>Обложка</v>
      </c>
      <c r="V8223" s="8" t="s">
        <v>1496</v>
      </c>
      <c r="W8223" s="6"/>
      <c r="X8223" s="6"/>
      <c r="Y8223" s="6"/>
      <c r="Z8223" s="6"/>
      <c r="AA8223" s="6" t="s">
        <v>76</v>
      </c>
      <c r="AB8223" s="8"/>
      <c r="AC8223" s="27">
        <v>9785160192444</v>
      </c>
    </row>
    <row r="8224" spans="1:29" s="4" customFormat="1" ht="44.1" customHeight="1" x14ac:dyDescent="0.2">
      <c r="A8224" s="5">
        <v>0</v>
      </c>
      <c r="B8224" s="6" t="s">
        <v>46304</v>
      </c>
      <c r="C8224" s="7">
        <v>1044</v>
      </c>
      <c r="D8224" s="8" t="s">
        <v>46305</v>
      </c>
      <c r="E8224" s="8" t="s">
        <v>46306</v>
      </c>
      <c r="F8224" s="8" t="s">
        <v>46307</v>
      </c>
      <c r="G8224" s="6" t="s">
        <v>33</v>
      </c>
      <c r="H8224" s="6" t="s">
        <v>34</v>
      </c>
      <c r="I8224" s="8" t="s">
        <v>35</v>
      </c>
      <c r="J8224" s="9">
        <v>1</v>
      </c>
      <c r="K8224" s="9">
        <v>175</v>
      </c>
      <c r="L8224" s="9">
        <v>2024</v>
      </c>
      <c r="M8224" s="8" t="s">
        <v>46308</v>
      </c>
      <c r="N8224" s="8" t="s">
        <v>37</v>
      </c>
      <c r="O8224" s="8" t="s">
        <v>136</v>
      </c>
      <c r="P8224" s="6" t="s">
        <v>39</v>
      </c>
      <c r="Q8224" s="8" t="s">
        <v>40</v>
      </c>
      <c r="R8224" s="10" t="s">
        <v>1955</v>
      </c>
      <c r="S8224" s="11"/>
      <c r="T8224" s="6"/>
      <c r="U8224" s="15" t="str">
        <f>HYPERLINK("https://media.infra-m.ru/2134/2134241/cover/2134241.jpg", "Обложка")</f>
        <v>Обложка</v>
      </c>
      <c r="V8224" s="8" t="s">
        <v>23103</v>
      </c>
      <c r="W8224" s="6"/>
      <c r="X8224" s="6"/>
      <c r="Y8224" s="6"/>
      <c r="Z8224" s="6"/>
      <c r="AA8224" s="6" t="s">
        <v>76</v>
      </c>
      <c r="AB8224" s="8"/>
      <c r="AC8224" s="27">
        <v>9785160197074</v>
      </c>
    </row>
    <row r="8225" spans="1:29" s="4" customFormat="1" ht="51.9" customHeight="1" x14ac:dyDescent="0.2">
      <c r="A8225" s="5">
        <v>0</v>
      </c>
      <c r="B8225" s="6" t="s">
        <v>46309</v>
      </c>
      <c r="C8225" s="7">
        <v>1068</v>
      </c>
      <c r="D8225" s="8" t="s">
        <v>46310</v>
      </c>
      <c r="E8225" s="8" t="s">
        <v>46311</v>
      </c>
      <c r="F8225" s="8" t="s">
        <v>46144</v>
      </c>
      <c r="G8225" s="6" t="s">
        <v>118</v>
      </c>
      <c r="H8225" s="6" t="s">
        <v>34</v>
      </c>
      <c r="I8225" s="8" t="s">
        <v>504</v>
      </c>
      <c r="J8225" s="9">
        <v>1</v>
      </c>
      <c r="K8225" s="9">
        <v>188</v>
      </c>
      <c r="L8225" s="9">
        <v>2024</v>
      </c>
      <c r="M8225" s="8" t="s">
        <v>46312</v>
      </c>
      <c r="N8225" s="8" t="s">
        <v>37</v>
      </c>
      <c r="O8225" s="8" t="s">
        <v>136</v>
      </c>
      <c r="P8225" s="6" t="s">
        <v>51</v>
      </c>
      <c r="Q8225" s="8" t="s">
        <v>500</v>
      </c>
      <c r="R8225" s="10" t="s">
        <v>4109</v>
      </c>
      <c r="S8225" s="11"/>
      <c r="T8225" s="6"/>
      <c r="U8225" s="15" t="str">
        <f>HYPERLINK("https://media.infra-m.ru/2140/2140771/cover/2140771.jpg", "Обложка")</f>
        <v>Обложка</v>
      </c>
      <c r="V8225" s="8" t="s">
        <v>19630</v>
      </c>
      <c r="W8225" s="6"/>
      <c r="X8225" s="6"/>
      <c r="Y8225" s="6"/>
      <c r="Z8225" s="6"/>
      <c r="AA8225" s="6" t="s">
        <v>2240</v>
      </c>
      <c r="AB8225" s="8"/>
      <c r="AC8225" s="27">
        <v>9785160143927</v>
      </c>
    </row>
    <row r="8226" spans="1:29" s="4" customFormat="1" ht="51.9" customHeight="1" x14ac:dyDescent="0.2">
      <c r="A8226" s="5">
        <v>0</v>
      </c>
      <c r="B8226" s="6" t="s">
        <v>46313</v>
      </c>
      <c r="C8226" s="13">
        <v>384</v>
      </c>
      <c r="D8226" s="8" t="s">
        <v>46314</v>
      </c>
      <c r="E8226" s="8" t="s">
        <v>46315</v>
      </c>
      <c r="F8226" s="8" t="s">
        <v>46144</v>
      </c>
      <c r="G8226" s="6" t="s">
        <v>33</v>
      </c>
      <c r="H8226" s="6" t="s">
        <v>34</v>
      </c>
      <c r="I8226" s="8" t="s">
        <v>504</v>
      </c>
      <c r="J8226" s="9">
        <v>1</v>
      </c>
      <c r="K8226" s="9">
        <v>115</v>
      </c>
      <c r="L8226" s="9">
        <v>2018</v>
      </c>
      <c r="M8226" s="8" t="s">
        <v>46316</v>
      </c>
      <c r="N8226" s="8" t="s">
        <v>37</v>
      </c>
      <c r="O8226" s="8" t="s">
        <v>136</v>
      </c>
      <c r="P8226" s="6" t="s">
        <v>51</v>
      </c>
      <c r="Q8226" s="8" t="s">
        <v>500</v>
      </c>
      <c r="R8226" s="10" t="s">
        <v>4109</v>
      </c>
      <c r="S8226" s="11" t="s">
        <v>18160</v>
      </c>
      <c r="T8226" s="6"/>
      <c r="U8226" s="15" t="str">
        <f>HYPERLINK("https://media.infra-m.ru/0951/0951294/cover/951294.jpg", "Обложка")</f>
        <v>Обложка</v>
      </c>
      <c r="V8226" s="8" t="s">
        <v>19630</v>
      </c>
      <c r="W8226" s="6"/>
      <c r="X8226" s="6"/>
      <c r="Y8226" s="6"/>
      <c r="Z8226" s="6"/>
      <c r="AA8226" s="6" t="s">
        <v>99</v>
      </c>
      <c r="AB8226" s="8"/>
      <c r="AC8226" s="27">
        <v>9785160125343</v>
      </c>
    </row>
    <row r="8227" spans="1:29" s="4" customFormat="1" ht="51.9" customHeight="1" x14ac:dyDescent="0.2">
      <c r="A8227" s="5">
        <v>0</v>
      </c>
      <c r="B8227" s="6" t="s">
        <v>46317</v>
      </c>
      <c r="C8227" s="7">
        <v>1180.8</v>
      </c>
      <c r="D8227" s="8" t="s">
        <v>46318</v>
      </c>
      <c r="E8227" s="8" t="s">
        <v>46319</v>
      </c>
      <c r="F8227" s="8" t="s">
        <v>9947</v>
      </c>
      <c r="G8227" s="6" t="s">
        <v>60</v>
      </c>
      <c r="H8227" s="6" t="s">
        <v>34</v>
      </c>
      <c r="I8227" s="8" t="s">
        <v>5350</v>
      </c>
      <c r="J8227" s="9">
        <v>1</v>
      </c>
      <c r="K8227" s="9">
        <v>169</v>
      </c>
      <c r="L8227" s="9">
        <v>2026</v>
      </c>
      <c r="M8227" s="8" t="s">
        <v>46320</v>
      </c>
      <c r="N8227" s="8" t="s">
        <v>37</v>
      </c>
      <c r="O8227" s="8" t="s">
        <v>136</v>
      </c>
      <c r="P8227" s="6" t="s">
        <v>51</v>
      </c>
      <c r="Q8227" s="8" t="s">
        <v>377</v>
      </c>
      <c r="R8227" s="10" t="s">
        <v>1444</v>
      </c>
      <c r="S8227" s="11" t="s">
        <v>46321</v>
      </c>
      <c r="T8227" s="6"/>
      <c r="U8227" s="15" t="str">
        <f>HYPERLINK("https://media.infra-m.ru/2260/2260347/cover/2260347.jpg", "Обложка")</f>
        <v>Обложка</v>
      </c>
      <c r="V8227" s="8" t="s">
        <v>227</v>
      </c>
      <c r="W8227" s="6"/>
      <c r="X8227" s="6"/>
      <c r="Y8227" s="6"/>
      <c r="Z8227" s="6"/>
      <c r="AA8227" s="6" t="s">
        <v>148</v>
      </c>
      <c r="AB8227" s="8"/>
      <c r="AC8227" s="27">
        <v>9785160153452</v>
      </c>
    </row>
    <row r="8228" spans="1:29" s="4" customFormat="1" ht="51.9" customHeight="1" x14ac:dyDescent="0.2">
      <c r="A8228" s="5">
        <v>0</v>
      </c>
      <c r="B8228" s="6" t="s">
        <v>46322</v>
      </c>
      <c r="C8228" s="7">
        <v>1732.8</v>
      </c>
      <c r="D8228" s="8" t="s">
        <v>46323</v>
      </c>
      <c r="E8228" s="8" t="s">
        <v>46324</v>
      </c>
      <c r="F8228" s="8" t="s">
        <v>46325</v>
      </c>
      <c r="G8228" s="6" t="s">
        <v>60</v>
      </c>
      <c r="H8228" s="6" t="s">
        <v>134</v>
      </c>
      <c r="I8228" s="8"/>
      <c r="J8228" s="9">
        <v>1</v>
      </c>
      <c r="K8228" s="9">
        <v>288</v>
      </c>
      <c r="L8228" s="9">
        <v>2022</v>
      </c>
      <c r="M8228" s="8" t="s">
        <v>46326</v>
      </c>
      <c r="N8228" s="8" t="s">
        <v>37</v>
      </c>
      <c r="O8228" s="8" t="s">
        <v>136</v>
      </c>
      <c r="P8228" s="6" t="s">
        <v>306</v>
      </c>
      <c r="Q8228" s="8" t="s">
        <v>500</v>
      </c>
      <c r="R8228" s="10" t="s">
        <v>1275</v>
      </c>
      <c r="S8228" s="11"/>
      <c r="T8228" s="6"/>
      <c r="U8228" s="15" t="str">
        <f>HYPERLINK("https://media.infra-m.ru/2006/2006057/cover/2006057.jpg", "Обложка")</f>
        <v>Обложка</v>
      </c>
      <c r="V8228" s="8" t="s">
        <v>3636</v>
      </c>
      <c r="W8228" s="6"/>
      <c r="X8228" s="6"/>
      <c r="Y8228" s="6"/>
      <c r="Z8228" s="6"/>
      <c r="AA8228" s="6" t="s">
        <v>99</v>
      </c>
      <c r="AB8228" s="8"/>
      <c r="AC8228" s="27">
        <v>9785917688268</v>
      </c>
    </row>
    <row r="8229" spans="1:29" s="4" customFormat="1" ht="42" customHeight="1" x14ac:dyDescent="0.2">
      <c r="A8229" s="5">
        <v>0</v>
      </c>
      <c r="B8229" s="6" t="s">
        <v>46327</v>
      </c>
      <c r="C8229" s="7">
        <v>2328</v>
      </c>
      <c r="D8229" s="8" t="s">
        <v>46328</v>
      </c>
      <c r="E8229" s="8" t="s">
        <v>46329</v>
      </c>
      <c r="F8229" s="8" t="s">
        <v>46330</v>
      </c>
      <c r="G8229" s="6" t="s">
        <v>118</v>
      </c>
      <c r="H8229" s="6" t="s">
        <v>134</v>
      </c>
      <c r="I8229" s="8" t="s">
        <v>263</v>
      </c>
      <c r="J8229" s="9">
        <v>1</v>
      </c>
      <c r="K8229" s="9">
        <v>352</v>
      </c>
      <c r="L8229" s="9">
        <v>2026</v>
      </c>
      <c r="M8229" s="8" t="s">
        <v>46331</v>
      </c>
      <c r="N8229" s="8" t="s">
        <v>37</v>
      </c>
      <c r="O8229" s="8" t="s">
        <v>136</v>
      </c>
      <c r="P8229" s="6" t="s">
        <v>394</v>
      </c>
      <c r="Q8229" s="8" t="s">
        <v>265</v>
      </c>
      <c r="R8229" s="10" t="s">
        <v>479</v>
      </c>
      <c r="S8229" s="11"/>
      <c r="T8229" s="6"/>
      <c r="U8229" s="15" t="str">
        <f>HYPERLINK("https://media.infra-m.ru/2225/2225212/cover/2225212.jpg", "Обложка")</f>
        <v>Обложка</v>
      </c>
      <c r="V8229" s="8" t="s">
        <v>1184</v>
      </c>
      <c r="W8229" s="6"/>
      <c r="X8229" s="6"/>
      <c r="Y8229" s="6"/>
      <c r="Z8229" s="6" t="s">
        <v>267</v>
      </c>
      <c r="AA8229" s="6" t="s">
        <v>68</v>
      </c>
      <c r="AB8229" s="8"/>
      <c r="AC8229" s="27">
        <v>9785001564140</v>
      </c>
    </row>
    <row r="8230" spans="1:29" s="4" customFormat="1" ht="42" customHeight="1" x14ac:dyDescent="0.2">
      <c r="A8230" s="5">
        <v>0</v>
      </c>
      <c r="B8230" s="6" t="s">
        <v>46332</v>
      </c>
      <c r="C8230" s="7">
        <v>2320.8000000000002</v>
      </c>
      <c r="D8230" s="8" t="s">
        <v>46333</v>
      </c>
      <c r="E8230" s="8" t="s">
        <v>46329</v>
      </c>
      <c r="F8230" s="8" t="s">
        <v>46334</v>
      </c>
      <c r="G8230" s="6" t="s">
        <v>118</v>
      </c>
      <c r="H8230" s="6" t="s">
        <v>134</v>
      </c>
      <c r="I8230" s="8"/>
      <c r="J8230" s="9">
        <v>1</v>
      </c>
      <c r="K8230" s="9">
        <v>352</v>
      </c>
      <c r="L8230" s="9">
        <v>2026</v>
      </c>
      <c r="M8230" s="8" t="s">
        <v>46335</v>
      </c>
      <c r="N8230" s="8" t="s">
        <v>37</v>
      </c>
      <c r="O8230" s="8" t="s">
        <v>136</v>
      </c>
      <c r="P8230" s="6" t="s">
        <v>394</v>
      </c>
      <c r="Q8230" s="8" t="s">
        <v>52</v>
      </c>
      <c r="R8230" s="10" t="s">
        <v>1262</v>
      </c>
      <c r="S8230" s="11"/>
      <c r="T8230" s="6"/>
      <c r="U8230" s="15" t="str">
        <f>HYPERLINK("https://media.infra-m.ru/2206/2206769/cover/2206769.jpg", "Обложка")</f>
        <v>Обложка</v>
      </c>
      <c r="V8230" s="8" t="s">
        <v>1184</v>
      </c>
      <c r="W8230" s="6"/>
      <c r="X8230" s="6"/>
      <c r="Y8230" s="6"/>
      <c r="Z8230" s="6"/>
      <c r="AA8230" s="6" t="s">
        <v>1256</v>
      </c>
      <c r="AB8230" s="8"/>
      <c r="AC8230" s="27">
        <v>9785001560876</v>
      </c>
    </row>
    <row r="8231" spans="1:29" s="4" customFormat="1" ht="51.9" customHeight="1" x14ac:dyDescent="0.2">
      <c r="A8231" s="5">
        <v>0</v>
      </c>
      <c r="B8231" s="6" t="s">
        <v>46336</v>
      </c>
      <c r="C8231" s="7">
        <v>3952.8</v>
      </c>
      <c r="D8231" s="8" t="s">
        <v>46337</v>
      </c>
      <c r="E8231" s="8" t="s">
        <v>46338</v>
      </c>
      <c r="F8231" s="8" t="s">
        <v>46339</v>
      </c>
      <c r="G8231" s="6" t="s">
        <v>60</v>
      </c>
      <c r="H8231" s="6" t="s">
        <v>134</v>
      </c>
      <c r="I8231" s="8"/>
      <c r="J8231" s="9">
        <v>1</v>
      </c>
      <c r="K8231" s="9">
        <v>1072</v>
      </c>
      <c r="L8231" s="9">
        <v>2026</v>
      </c>
      <c r="M8231" s="8" t="s">
        <v>46340</v>
      </c>
      <c r="N8231" s="8" t="s">
        <v>37</v>
      </c>
      <c r="O8231" s="8" t="s">
        <v>136</v>
      </c>
      <c r="P8231" s="6" t="s">
        <v>306</v>
      </c>
      <c r="Q8231" s="8" t="s">
        <v>52</v>
      </c>
      <c r="R8231" s="10" t="s">
        <v>46341</v>
      </c>
      <c r="S8231" s="11" t="s">
        <v>46342</v>
      </c>
      <c r="T8231" s="6"/>
      <c r="U8231" s="15" t="str">
        <f>HYPERLINK("https://media.infra-m.ru/2221/2221344/cover/2221344.jpg", "Обложка")</f>
        <v>Обложка</v>
      </c>
      <c r="V8231" s="8" t="s">
        <v>1184</v>
      </c>
      <c r="W8231" s="6"/>
      <c r="X8231" s="6" t="s">
        <v>24</v>
      </c>
      <c r="Y8231" s="6"/>
      <c r="Z8231" s="6"/>
      <c r="AA8231" s="6" t="s">
        <v>10805</v>
      </c>
      <c r="AB8231" s="8"/>
      <c r="AC8231" s="27">
        <v>9785001563433</v>
      </c>
    </row>
    <row r="8232" spans="1:29" s="4" customFormat="1" ht="51.9" customHeight="1" x14ac:dyDescent="0.2">
      <c r="A8232" s="5">
        <v>0</v>
      </c>
      <c r="B8232" s="6" t="s">
        <v>46343</v>
      </c>
      <c r="C8232" s="7">
        <v>1019.9</v>
      </c>
      <c r="D8232" s="8" t="s">
        <v>46344</v>
      </c>
      <c r="E8232" s="8" t="s">
        <v>46345</v>
      </c>
      <c r="F8232" s="8" t="s">
        <v>46346</v>
      </c>
      <c r="G8232" s="6" t="s">
        <v>60</v>
      </c>
      <c r="H8232" s="6" t="s">
        <v>134</v>
      </c>
      <c r="I8232" s="8"/>
      <c r="J8232" s="9">
        <v>6</v>
      </c>
      <c r="K8232" s="9">
        <v>1008</v>
      </c>
      <c r="L8232" s="9">
        <v>2013</v>
      </c>
      <c r="M8232" s="8" t="s">
        <v>46347</v>
      </c>
      <c r="N8232" s="8" t="s">
        <v>37</v>
      </c>
      <c r="O8232" s="8" t="s">
        <v>136</v>
      </c>
      <c r="P8232" s="6" t="s">
        <v>306</v>
      </c>
      <c r="Q8232" s="8" t="s">
        <v>52</v>
      </c>
      <c r="R8232" s="10" t="s">
        <v>46341</v>
      </c>
      <c r="S8232" s="11" t="s">
        <v>46342</v>
      </c>
      <c r="T8232" s="6"/>
      <c r="U8232" s="15" t="str">
        <f>HYPERLINK("https://media.infra-m.ru/0422/0422700/cover/422700.jpg", "Обложка")</f>
        <v>Обложка</v>
      </c>
      <c r="V8232" s="8" t="s">
        <v>1184</v>
      </c>
      <c r="W8232" s="6"/>
      <c r="X8232" s="6" t="s">
        <v>24</v>
      </c>
      <c r="Y8232" s="6"/>
      <c r="Z8232" s="6"/>
      <c r="AA8232" s="6" t="s">
        <v>3721</v>
      </c>
      <c r="AB8232" s="8"/>
      <c r="AC8232" s="27">
        <v>9785917684192</v>
      </c>
    </row>
    <row r="8233" spans="1:29" s="4" customFormat="1" ht="51.9" customHeight="1" x14ac:dyDescent="0.2">
      <c r="A8233" s="5">
        <v>0</v>
      </c>
      <c r="B8233" s="6" t="s">
        <v>46348</v>
      </c>
      <c r="C8233" s="7">
        <v>3588</v>
      </c>
      <c r="D8233" s="8" t="s">
        <v>46349</v>
      </c>
      <c r="E8233" s="8" t="s">
        <v>46350</v>
      </c>
      <c r="F8233" s="8" t="s">
        <v>46339</v>
      </c>
      <c r="G8233" s="6" t="s">
        <v>60</v>
      </c>
      <c r="H8233" s="6" t="s">
        <v>134</v>
      </c>
      <c r="I8233" s="8"/>
      <c r="J8233" s="9">
        <v>1</v>
      </c>
      <c r="K8233" s="9">
        <v>1008</v>
      </c>
      <c r="L8233" s="9">
        <v>2022</v>
      </c>
      <c r="M8233" s="8" t="s">
        <v>46351</v>
      </c>
      <c r="N8233" s="8" t="s">
        <v>37</v>
      </c>
      <c r="O8233" s="8" t="s">
        <v>136</v>
      </c>
      <c r="P8233" s="6" t="s">
        <v>306</v>
      </c>
      <c r="Q8233" s="8" t="s">
        <v>52</v>
      </c>
      <c r="R8233" s="10" t="s">
        <v>46341</v>
      </c>
      <c r="S8233" s="11" t="s">
        <v>46342</v>
      </c>
      <c r="T8233" s="6"/>
      <c r="U8233" s="15" t="str">
        <f>HYPERLINK("https://media.infra-m.ru/1862/1862396/cover/1862396.jpg", "Обложка")</f>
        <v>Обложка</v>
      </c>
      <c r="V8233" s="8" t="s">
        <v>1184</v>
      </c>
      <c r="W8233" s="6"/>
      <c r="X8233" s="6" t="s">
        <v>24</v>
      </c>
      <c r="Y8233" s="6"/>
      <c r="Z8233" s="6"/>
      <c r="AA8233" s="6" t="s">
        <v>3736</v>
      </c>
      <c r="AB8233" s="8"/>
      <c r="AC8233" s="27">
        <v>9785917689050</v>
      </c>
    </row>
    <row r="8234" spans="1:29" s="4" customFormat="1" ht="42" customHeight="1" x14ac:dyDescent="0.2">
      <c r="A8234" s="5">
        <v>0</v>
      </c>
      <c r="B8234" s="6" t="s">
        <v>46352</v>
      </c>
      <c r="C8234" s="7">
        <v>4152</v>
      </c>
      <c r="D8234" s="8" t="s">
        <v>46353</v>
      </c>
      <c r="E8234" s="8" t="s">
        <v>46354</v>
      </c>
      <c r="F8234" s="8" t="s">
        <v>36919</v>
      </c>
      <c r="G8234" s="6" t="s">
        <v>60</v>
      </c>
      <c r="H8234" s="6" t="s">
        <v>134</v>
      </c>
      <c r="I8234" s="8"/>
      <c r="J8234" s="9">
        <v>1</v>
      </c>
      <c r="K8234" s="9">
        <v>936</v>
      </c>
      <c r="L8234" s="9">
        <v>2026</v>
      </c>
      <c r="M8234" s="8" t="s">
        <v>46355</v>
      </c>
      <c r="N8234" s="8" t="s">
        <v>37</v>
      </c>
      <c r="O8234" s="8" t="s">
        <v>136</v>
      </c>
      <c r="P8234" s="6" t="s">
        <v>306</v>
      </c>
      <c r="Q8234" s="8" t="s">
        <v>52</v>
      </c>
      <c r="R8234" s="10" t="s">
        <v>1262</v>
      </c>
      <c r="S8234" s="11"/>
      <c r="T8234" s="6"/>
      <c r="U8234" s="15" t="str">
        <f>HYPERLINK("https://media.infra-m.ru/2244/2244698/cover/2244698.jpg", "Обложка")</f>
        <v>Обложка</v>
      </c>
      <c r="V8234" s="8" t="s">
        <v>26171</v>
      </c>
      <c r="W8234" s="6"/>
      <c r="X8234" s="6"/>
      <c r="Y8234" s="6"/>
      <c r="Z8234" s="6"/>
      <c r="AA8234" s="6" t="s">
        <v>2230</v>
      </c>
      <c r="AB8234" s="8"/>
      <c r="AC8234" s="27">
        <v>9785001560814</v>
      </c>
    </row>
    <row r="8235" spans="1:29" s="4" customFormat="1" ht="42" customHeight="1" x14ac:dyDescent="0.2">
      <c r="A8235" s="5">
        <v>0</v>
      </c>
      <c r="B8235" s="6" t="s">
        <v>46356</v>
      </c>
      <c r="C8235" s="7">
        <v>1228.8</v>
      </c>
      <c r="D8235" s="8" t="s">
        <v>46357</v>
      </c>
      <c r="E8235" s="8" t="s">
        <v>46358</v>
      </c>
      <c r="F8235" s="8" t="s">
        <v>46359</v>
      </c>
      <c r="G8235" s="6" t="s">
        <v>60</v>
      </c>
      <c r="H8235" s="6" t="s">
        <v>5605</v>
      </c>
      <c r="I8235" s="8" t="s">
        <v>10444</v>
      </c>
      <c r="J8235" s="9">
        <v>1</v>
      </c>
      <c r="K8235" s="9">
        <v>197</v>
      </c>
      <c r="L8235" s="9">
        <v>2025</v>
      </c>
      <c r="M8235" s="8" t="s">
        <v>46360</v>
      </c>
      <c r="N8235" s="8" t="s">
        <v>37</v>
      </c>
      <c r="O8235" s="8" t="s">
        <v>136</v>
      </c>
      <c r="P8235" s="6" t="s">
        <v>39</v>
      </c>
      <c r="Q8235" s="8" t="s">
        <v>40</v>
      </c>
      <c r="R8235" s="10" t="s">
        <v>1625</v>
      </c>
      <c r="S8235" s="11"/>
      <c r="T8235" s="6"/>
      <c r="U8235" s="15" t="str">
        <f>HYPERLINK("https://media.infra-m.ru/2196/2196883/cover/2196883.jpg", "Обложка")</f>
        <v>Обложка</v>
      </c>
      <c r="V8235" s="8" t="s">
        <v>9937</v>
      </c>
      <c r="W8235" s="6"/>
      <c r="X8235" s="6"/>
      <c r="Y8235" s="6"/>
      <c r="Z8235" s="6"/>
      <c r="AA8235" s="6" t="s">
        <v>561</v>
      </c>
      <c r="AB8235" s="8"/>
      <c r="AC8235" s="27">
        <v>9785160036274</v>
      </c>
    </row>
    <row r="8236" spans="1:29" s="4" customFormat="1" ht="51.9" customHeight="1" x14ac:dyDescent="0.2">
      <c r="A8236" s="5">
        <v>0</v>
      </c>
      <c r="B8236" s="6" t="s">
        <v>46361</v>
      </c>
      <c r="C8236" s="7">
        <v>2728.8</v>
      </c>
      <c r="D8236" s="8" t="s">
        <v>46362</v>
      </c>
      <c r="E8236" s="8" t="s">
        <v>46363</v>
      </c>
      <c r="F8236" s="8" t="s">
        <v>46364</v>
      </c>
      <c r="G8236" s="6" t="s">
        <v>118</v>
      </c>
      <c r="H8236" s="6" t="s">
        <v>34</v>
      </c>
      <c r="I8236" s="8" t="s">
        <v>1074</v>
      </c>
      <c r="J8236" s="9">
        <v>1</v>
      </c>
      <c r="K8236" s="9">
        <v>392</v>
      </c>
      <c r="L8236" s="9">
        <v>2027</v>
      </c>
      <c r="M8236" s="8" t="s">
        <v>46365</v>
      </c>
      <c r="N8236" s="8" t="s">
        <v>37</v>
      </c>
      <c r="O8236" s="8" t="s">
        <v>136</v>
      </c>
      <c r="P8236" s="6" t="s">
        <v>3141</v>
      </c>
      <c r="Q8236" s="8" t="s">
        <v>40</v>
      </c>
      <c r="R8236" s="10" t="s">
        <v>46366</v>
      </c>
      <c r="S8236" s="11"/>
      <c r="T8236" s="6"/>
      <c r="U8236" s="15" t="str">
        <f>HYPERLINK("https://media.infra-m.ru/2267/2267392/cover/2267392.jpg", "Обложка")</f>
        <v>Обложка</v>
      </c>
      <c r="V8236" s="8" t="s">
        <v>138</v>
      </c>
      <c r="W8236" s="6"/>
      <c r="X8236" s="6"/>
      <c r="Y8236" s="6"/>
      <c r="Z8236" s="6"/>
      <c r="AA8236" s="6" t="s">
        <v>1256</v>
      </c>
      <c r="AB8236" s="8"/>
      <c r="AC8236" s="27">
        <v>9785160164755</v>
      </c>
    </row>
    <row r="8237" spans="1:29" s="4" customFormat="1" ht="51.9" customHeight="1" x14ac:dyDescent="0.2">
      <c r="A8237" s="5">
        <v>0</v>
      </c>
      <c r="B8237" s="6" t="s">
        <v>46367</v>
      </c>
      <c r="C8237" s="13">
        <v>976.8</v>
      </c>
      <c r="D8237" s="8" t="s">
        <v>46368</v>
      </c>
      <c r="E8237" s="8" t="s">
        <v>46369</v>
      </c>
      <c r="F8237" s="8" t="s">
        <v>46370</v>
      </c>
      <c r="G8237" s="6" t="s">
        <v>60</v>
      </c>
      <c r="H8237" s="6" t="s">
        <v>34</v>
      </c>
      <c r="I8237" s="8" t="s">
        <v>253</v>
      </c>
      <c r="J8237" s="9">
        <v>1</v>
      </c>
      <c r="K8237" s="9">
        <v>149</v>
      </c>
      <c r="L8237" s="9">
        <v>2025</v>
      </c>
      <c r="M8237" s="8" t="s">
        <v>46371</v>
      </c>
      <c r="N8237" s="8" t="s">
        <v>37</v>
      </c>
      <c r="O8237" s="8" t="s">
        <v>136</v>
      </c>
      <c r="P8237" s="6" t="s">
        <v>394</v>
      </c>
      <c r="Q8237" s="8" t="s">
        <v>65</v>
      </c>
      <c r="R8237" s="10" t="s">
        <v>1275</v>
      </c>
      <c r="S8237" s="11"/>
      <c r="T8237" s="6"/>
      <c r="U8237" s="15" t="str">
        <f>HYPERLINK("https://media.infra-m.ru/2226/2226366/cover/2226366.jpg", "Обложка")</f>
        <v>Обложка</v>
      </c>
      <c r="V8237" s="8" t="s">
        <v>46372</v>
      </c>
      <c r="W8237" s="6"/>
      <c r="X8237" s="6"/>
      <c r="Y8237" s="6"/>
      <c r="Z8237" s="6"/>
      <c r="AA8237" s="6" t="s">
        <v>68</v>
      </c>
      <c r="AB8237" s="8"/>
      <c r="AC8237" s="27">
        <v>9785160208435</v>
      </c>
    </row>
    <row r="8238" spans="1:29" s="4" customFormat="1" ht="42" customHeight="1" x14ac:dyDescent="0.2">
      <c r="A8238" s="5">
        <v>0</v>
      </c>
      <c r="B8238" s="6" t="s">
        <v>46373</v>
      </c>
      <c r="C8238" s="7">
        <v>1444.8</v>
      </c>
      <c r="D8238" s="8" t="s">
        <v>46374</v>
      </c>
      <c r="E8238" s="8" t="s">
        <v>46375</v>
      </c>
      <c r="F8238" s="8" t="s">
        <v>46376</v>
      </c>
      <c r="G8238" s="6" t="s">
        <v>118</v>
      </c>
      <c r="H8238" s="6" t="s">
        <v>34</v>
      </c>
      <c r="I8238" s="8" t="s">
        <v>253</v>
      </c>
      <c r="J8238" s="9">
        <v>1</v>
      </c>
      <c r="K8238" s="9">
        <v>241</v>
      </c>
      <c r="L8238" s="9">
        <v>2025</v>
      </c>
      <c r="M8238" s="8" t="s">
        <v>46377</v>
      </c>
      <c r="N8238" s="8" t="s">
        <v>37</v>
      </c>
      <c r="O8238" s="8" t="s">
        <v>136</v>
      </c>
      <c r="P8238" s="6" t="s">
        <v>51</v>
      </c>
      <c r="Q8238" s="8" t="s">
        <v>52</v>
      </c>
      <c r="R8238" s="10" t="s">
        <v>1255</v>
      </c>
      <c r="S8238" s="11"/>
      <c r="T8238" s="6"/>
      <c r="U8238" s="15" t="str">
        <f>HYPERLINK("https://media.infra-m.ru/2179/2179171/cover/2179171.jpg", "Обложка")</f>
        <v>Обложка</v>
      </c>
      <c r="V8238" s="8"/>
      <c r="W8238" s="6"/>
      <c r="X8238" s="6"/>
      <c r="Y8238" s="6"/>
      <c r="Z8238" s="6"/>
      <c r="AA8238" s="6" t="s">
        <v>157</v>
      </c>
      <c r="AB8238" s="8"/>
      <c r="AC8238" s="27">
        <v>9785160173726</v>
      </c>
    </row>
    <row r="8239" spans="1:29" s="4" customFormat="1" ht="51.9" customHeight="1" x14ac:dyDescent="0.2">
      <c r="A8239" s="5">
        <v>0</v>
      </c>
      <c r="B8239" s="6" t="s">
        <v>46378</v>
      </c>
      <c r="C8239" s="7">
        <v>4192.8</v>
      </c>
      <c r="D8239" s="8" t="s">
        <v>46379</v>
      </c>
      <c r="E8239" s="8" t="s">
        <v>46380</v>
      </c>
      <c r="F8239" s="8" t="s">
        <v>46381</v>
      </c>
      <c r="G8239" s="6" t="s">
        <v>60</v>
      </c>
      <c r="H8239" s="6" t="s">
        <v>134</v>
      </c>
      <c r="I8239" s="8"/>
      <c r="J8239" s="9">
        <v>1</v>
      </c>
      <c r="K8239" s="9">
        <v>888</v>
      </c>
      <c r="L8239" s="9">
        <v>2026</v>
      </c>
      <c r="M8239" s="8" t="s">
        <v>46382</v>
      </c>
      <c r="N8239" s="8" t="s">
        <v>37</v>
      </c>
      <c r="O8239" s="8" t="s">
        <v>136</v>
      </c>
      <c r="P8239" s="6" t="s">
        <v>306</v>
      </c>
      <c r="Q8239" s="8" t="s">
        <v>65</v>
      </c>
      <c r="R8239" s="10" t="s">
        <v>46383</v>
      </c>
      <c r="S8239" s="11"/>
      <c r="T8239" s="6"/>
      <c r="U8239" s="15" t="str">
        <f>HYPERLINK("https://media.infra-m.ru/2238/2238613/cover/2238613.jpg", "Обложка")</f>
        <v>Обложка</v>
      </c>
      <c r="V8239" s="8" t="s">
        <v>1277</v>
      </c>
      <c r="W8239" s="6"/>
      <c r="X8239" s="6" t="s">
        <v>24</v>
      </c>
      <c r="Y8239" s="6"/>
      <c r="Z8239" s="6"/>
      <c r="AA8239" s="6" t="s">
        <v>148</v>
      </c>
      <c r="AB8239" s="8"/>
      <c r="AC8239" s="27">
        <v>9785001561903</v>
      </c>
    </row>
    <row r="8240" spans="1:29" s="4" customFormat="1" ht="51.9" customHeight="1" x14ac:dyDescent="0.2">
      <c r="A8240" s="5">
        <v>0</v>
      </c>
      <c r="B8240" s="6" t="s">
        <v>46384</v>
      </c>
      <c r="C8240" s="7">
        <v>4740</v>
      </c>
      <c r="D8240" s="8" t="s">
        <v>46385</v>
      </c>
      <c r="E8240" s="8" t="s">
        <v>46386</v>
      </c>
      <c r="F8240" s="8" t="s">
        <v>46387</v>
      </c>
      <c r="G8240" s="6" t="s">
        <v>60</v>
      </c>
      <c r="H8240" s="6" t="s">
        <v>134</v>
      </c>
      <c r="I8240" s="8"/>
      <c r="J8240" s="9">
        <v>1</v>
      </c>
      <c r="K8240" s="9">
        <v>840</v>
      </c>
      <c r="L8240" s="9">
        <v>2026</v>
      </c>
      <c r="M8240" s="8" t="s">
        <v>46388</v>
      </c>
      <c r="N8240" s="8" t="s">
        <v>37</v>
      </c>
      <c r="O8240" s="8" t="s">
        <v>136</v>
      </c>
      <c r="P8240" s="6" t="s">
        <v>306</v>
      </c>
      <c r="Q8240" s="8" t="s">
        <v>52</v>
      </c>
      <c r="R8240" s="10" t="s">
        <v>1275</v>
      </c>
      <c r="S8240" s="11" t="s">
        <v>46389</v>
      </c>
      <c r="T8240" s="6"/>
      <c r="U8240" s="15" t="str">
        <f>HYPERLINK("https://media.infra-m.ru/2220/2220825/cover/2220825.jpg", "Обложка")</f>
        <v>Обложка</v>
      </c>
      <c r="V8240" s="8" t="s">
        <v>29465</v>
      </c>
      <c r="W8240" s="6" t="s">
        <v>342</v>
      </c>
      <c r="X8240" s="6"/>
      <c r="Y8240" s="6"/>
      <c r="Z8240" s="6"/>
      <c r="AA8240" s="6" t="s">
        <v>8670</v>
      </c>
      <c r="AB8240" s="8"/>
      <c r="AC8240" s="27">
        <v>9785001564539</v>
      </c>
    </row>
    <row r="8241" spans="1:29" s="4" customFormat="1" ht="51.9" customHeight="1" x14ac:dyDescent="0.2">
      <c r="A8241" s="5">
        <v>0</v>
      </c>
      <c r="B8241" s="6" t="s">
        <v>46390</v>
      </c>
      <c r="C8241" s="7">
        <v>2339.9</v>
      </c>
      <c r="D8241" s="8" t="s">
        <v>46391</v>
      </c>
      <c r="E8241" s="8" t="s">
        <v>46392</v>
      </c>
      <c r="F8241" s="8" t="s">
        <v>46387</v>
      </c>
      <c r="G8241" s="6" t="s">
        <v>118</v>
      </c>
      <c r="H8241" s="6" t="s">
        <v>134</v>
      </c>
      <c r="I8241" s="8"/>
      <c r="J8241" s="9">
        <v>1</v>
      </c>
      <c r="K8241" s="9">
        <v>752</v>
      </c>
      <c r="L8241" s="9">
        <v>2019</v>
      </c>
      <c r="M8241" s="8" t="s">
        <v>46393</v>
      </c>
      <c r="N8241" s="8" t="s">
        <v>37</v>
      </c>
      <c r="O8241" s="8" t="s">
        <v>136</v>
      </c>
      <c r="P8241" s="6" t="s">
        <v>306</v>
      </c>
      <c r="Q8241" s="8" t="s">
        <v>52</v>
      </c>
      <c r="R8241" s="10" t="s">
        <v>1275</v>
      </c>
      <c r="S8241" s="11" t="s">
        <v>46389</v>
      </c>
      <c r="T8241" s="6"/>
      <c r="U8241" s="15" t="str">
        <f>HYPERLINK("https://media.infra-m.ru/1022/1022469/cover/1022469.jpg", "Обложка")</f>
        <v>Обложка</v>
      </c>
      <c r="V8241" s="8" t="s">
        <v>29465</v>
      </c>
      <c r="W8241" s="6"/>
      <c r="X8241" s="6"/>
      <c r="Y8241" s="6"/>
      <c r="Z8241" s="6"/>
      <c r="AA8241" s="6" t="s">
        <v>15125</v>
      </c>
      <c r="AB8241" s="8"/>
      <c r="AC8241" s="27">
        <v>9785917687940</v>
      </c>
    </row>
    <row r="8242" spans="1:29" s="4" customFormat="1" ht="51.9" customHeight="1" x14ac:dyDescent="0.2">
      <c r="A8242" s="5">
        <v>0</v>
      </c>
      <c r="B8242" s="6" t="s">
        <v>46394</v>
      </c>
      <c r="C8242" s="7">
        <v>3592.8</v>
      </c>
      <c r="D8242" s="8" t="s">
        <v>46395</v>
      </c>
      <c r="E8242" s="8" t="s">
        <v>46396</v>
      </c>
      <c r="F8242" s="8" t="s">
        <v>46387</v>
      </c>
      <c r="G8242" s="6" t="s">
        <v>60</v>
      </c>
      <c r="H8242" s="6" t="s">
        <v>134</v>
      </c>
      <c r="I8242" s="8"/>
      <c r="J8242" s="9">
        <v>1</v>
      </c>
      <c r="K8242" s="9">
        <v>784</v>
      </c>
      <c r="L8242" s="9">
        <v>2025</v>
      </c>
      <c r="M8242" s="8" t="s">
        <v>46397</v>
      </c>
      <c r="N8242" s="8" t="s">
        <v>37</v>
      </c>
      <c r="O8242" s="8" t="s">
        <v>136</v>
      </c>
      <c r="P8242" s="6" t="s">
        <v>306</v>
      </c>
      <c r="Q8242" s="8" t="s">
        <v>52</v>
      </c>
      <c r="R8242" s="10" t="s">
        <v>1275</v>
      </c>
      <c r="S8242" s="11" t="s">
        <v>46389</v>
      </c>
      <c r="T8242" s="6"/>
      <c r="U8242" s="15" t="str">
        <f>HYPERLINK("https://media.infra-m.ru/2187/2187439/cover/2187439.jpg", "Обложка")</f>
        <v>Обложка</v>
      </c>
      <c r="V8242" s="8" t="s">
        <v>29465</v>
      </c>
      <c r="W8242" s="6"/>
      <c r="X8242" s="6"/>
      <c r="Y8242" s="6"/>
      <c r="Z8242" s="6"/>
      <c r="AA8242" s="6" t="s">
        <v>8665</v>
      </c>
      <c r="AB8242" s="8"/>
      <c r="AC8242" s="27">
        <v>9785001560395</v>
      </c>
    </row>
    <row r="8243" spans="1:29" s="4" customFormat="1" ht="51.9" customHeight="1" x14ac:dyDescent="0.2">
      <c r="A8243" s="5">
        <v>0</v>
      </c>
      <c r="B8243" s="6" t="s">
        <v>46398</v>
      </c>
      <c r="C8243" s="7">
        <v>4068</v>
      </c>
      <c r="D8243" s="8" t="s">
        <v>46399</v>
      </c>
      <c r="E8243" s="8" t="s">
        <v>46380</v>
      </c>
      <c r="F8243" s="8" t="s">
        <v>46400</v>
      </c>
      <c r="G8243" s="6" t="s">
        <v>60</v>
      </c>
      <c r="H8243" s="6" t="s">
        <v>134</v>
      </c>
      <c r="I8243" s="8"/>
      <c r="J8243" s="9">
        <v>1</v>
      </c>
      <c r="K8243" s="9">
        <v>688</v>
      </c>
      <c r="L8243" s="9">
        <v>2025</v>
      </c>
      <c r="M8243" s="8" t="s">
        <v>46401</v>
      </c>
      <c r="N8243" s="8" t="s">
        <v>37</v>
      </c>
      <c r="O8243" s="8" t="s">
        <v>136</v>
      </c>
      <c r="P8243" s="6" t="s">
        <v>306</v>
      </c>
      <c r="Q8243" s="8" t="s">
        <v>65</v>
      </c>
      <c r="R8243" s="10" t="s">
        <v>27027</v>
      </c>
      <c r="S8243" s="11"/>
      <c r="T8243" s="6"/>
      <c r="U8243" s="15" t="str">
        <f>HYPERLINK("https://media.infra-m.ru/2197/2197982/cover/2197982.jpg", "Обложка")</f>
        <v>Обложка</v>
      </c>
      <c r="V8243" s="8" t="s">
        <v>3304</v>
      </c>
      <c r="W8243" s="6"/>
      <c r="X8243" s="6"/>
      <c r="Y8243" s="6"/>
      <c r="Z8243" s="6"/>
      <c r="AA8243" s="6" t="s">
        <v>68</v>
      </c>
      <c r="AB8243" s="8"/>
      <c r="AC8243" s="27">
        <v>9785001564270</v>
      </c>
    </row>
    <row r="8244" spans="1:29" s="4" customFormat="1" ht="42" customHeight="1" x14ac:dyDescent="0.2">
      <c r="A8244" s="5">
        <v>0</v>
      </c>
      <c r="B8244" s="6" t="s">
        <v>46402</v>
      </c>
      <c r="C8244" s="7">
        <v>4324.8</v>
      </c>
      <c r="D8244" s="8" t="s">
        <v>46403</v>
      </c>
      <c r="E8244" s="8" t="s">
        <v>46404</v>
      </c>
      <c r="F8244" s="8" t="s">
        <v>46405</v>
      </c>
      <c r="G8244" s="6" t="s">
        <v>60</v>
      </c>
      <c r="H8244" s="6" t="s">
        <v>134</v>
      </c>
      <c r="I8244" s="8"/>
      <c r="J8244" s="9">
        <v>1</v>
      </c>
      <c r="K8244" s="9">
        <v>888</v>
      </c>
      <c r="L8244" s="9">
        <v>2026</v>
      </c>
      <c r="M8244" s="8" t="s">
        <v>46406</v>
      </c>
      <c r="N8244" s="8" t="s">
        <v>37</v>
      </c>
      <c r="O8244" s="8" t="s">
        <v>136</v>
      </c>
      <c r="P8244" s="6" t="s">
        <v>306</v>
      </c>
      <c r="Q8244" s="8" t="s">
        <v>265</v>
      </c>
      <c r="R8244" s="10" t="s">
        <v>17055</v>
      </c>
      <c r="S8244" s="11"/>
      <c r="T8244" s="6"/>
      <c r="U8244" s="15" t="str">
        <f>HYPERLINK("https://media.infra-m.ru/2239/2239864/cover/2239864.jpg", "Обложка")</f>
        <v>Обложка</v>
      </c>
      <c r="V8244" s="8" t="s">
        <v>1277</v>
      </c>
      <c r="W8244" s="6"/>
      <c r="X8244" s="6"/>
      <c r="Y8244" s="6"/>
      <c r="Z8244" s="6"/>
      <c r="AA8244" s="6" t="s">
        <v>148</v>
      </c>
      <c r="AB8244" s="8"/>
      <c r="AC8244" s="27">
        <v>9785001562375</v>
      </c>
    </row>
    <row r="8245" spans="1:29" s="4" customFormat="1" ht="42" customHeight="1" x14ac:dyDescent="0.2">
      <c r="A8245" s="5">
        <v>0</v>
      </c>
      <c r="B8245" s="6" t="s">
        <v>46407</v>
      </c>
      <c r="C8245" s="7">
        <v>1632</v>
      </c>
      <c r="D8245" s="8" t="s">
        <v>46408</v>
      </c>
      <c r="E8245" s="8" t="s">
        <v>46409</v>
      </c>
      <c r="F8245" s="8" t="s">
        <v>46410</v>
      </c>
      <c r="G8245" s="6" t="s">
        <v>33</v>
      </c>
      <c r="H8245" s="6" t="s">
        <v>34</v>
      </c>
      <c r="I8245" s="8" t="s">
        <v>35</v>
      </c>
      <c r="J8245" s="9">
        <v>1</v>
      </c>
      <c r="K8245" s="9">
        <v>271</v>
      </c>
      <c r="L8245" s="9">
        <v>2025</v>
      </c>
      <c r="M8245" s="8" t="s">
        <v>46411</v>
      </c>
      <c r="N8245" s="8" t="s">
        <v>243</v>
      </c>
      <c r="O8245" s="8" t="s">
        <v>758</v>
      </c>
      <c r="P8245" s="6" t="s">
        <v>39</v>
      </c>
      <c r="Q8245" s="8" t="s">
        <v>40</v>
      </c>
      <c r="R8245" s="10" t="s">
        <v>4167</v>
      </c>
      <c r="S8245" s="11"/>
      <c r="T8245" s="6"/>
      <c r="U8245" s="15" t="str">
        <f>HYPERLINK("https://media.infra-m.ru/2163/2163980/cover/2163980.jpg", "Обложка")</f>
        <v>Обложка</v>
      </c>
      <c r="V8245" s="8" t="s">
        <v>1505</v>
      </c>
      <c r="W8245" s="6"/>
      <c r="X8245" s="6"/>
      <c r="Y8245" s="6"/>
      <c r="Z8245" s="6"/>
      <c r="AA8245" s="6" t="s">
        <v>248</v>
      </c>
      <c r="AB8245" s="8"/>
      <c r="AC8245" s="27">
        <v>9785160094366</v>
      </c>
    </row>
    <row r="8246" spans="1:29" s="4" customFormat="1" ht="42" customHeight="1" x14ac:dyDescent="0.2">
      <c r="A8246" s="5">
        <v>0</v>
      </c>
      <c r="B8246" s="6" t="s">
        <v>46412</v>
      </c>
      <c r="C8246" s="7">
        <v>1409.9</v>
      </c>
      <c r="D8246" s="8" t="s">
        <v>46413</v>
      </c>
      <c r="E8246" s="8" t="s">
        <v>46414</v>
      </c>
      <c r="F8246" s="8" t="s">
        <v>37742</v>
      </c>
      <c r="G8246" s="6" t="s">
        <v>33</v>
      </c>
      <c r="H8246" s="6" t="s">
        <v>34</v>
      </c>
      <c r="I8246" s="8" t="s">
        <v>35</v>
      </c>
      <c r="J8246" s="9">
        <v>1</v>
      </c>
      <c r="K8246" s="9">
        <v>262</v>
      </c>
      <c r="L8246" s="9">
        <v>2023</v>
      </c>
      <c r="M8246" s="8" t="s">
        <v>46415</v>
      </c>
      <c r="N8246" s="8" t="s">
        <v>37</v>
      </c>
      <c r="O8246" s="8" t="s">
        <v>280</v>
      </c>
      <c r="P8246" s="6" t="s">
        <v>39</v>
      </c>
      <c r="Q8246" s="8" t="s">
        <v>40</v>
      </c>
      <c r="R8246" s="10" t="s">
        <v>46416</v>
      </c>
      <c r="S8246" s="11"/>
      <c r="T8246" s="6"/>
      <c r="U8246" s="15" t="str">
        <f>HYPERLINK("https://media.infra-m.ru/2044/2044323/cover/2044323.jpg", "Обложка")</f>
        <v>Обложка</v>
      </c>
      <c r="V8246" s="8" t="s">
        <v>4473</v>
      </c>
      <c r="W8246" s="6"/>
      <c r="X8246" s="6"/>
      <c r="Y8246" s="6"/>
      <c r="Z8246" s="6"/>
      <c r="AA8246" s="6" t="s">
        <v>430</v>
      </c>
      <c r="AB8246" s="8"/>
      <c r="AC8246" s="27">
        <v>9785160158044</v>
      </c>
    </row>
    <row r="8247" spans="1:29" s="4" customFormat="1" ht="51.9" customHeight="1" x14ac:dyDescent="0.2">
      <c r="A8247" s="5">
        <v>0</v>
      </c>
      <c r="B8247" s="6" t="s">
        <v>46417</v>
      </c>
      <c r="C8247" s="7">
        <v>1560</v>
      </c>
      <c r="D8247" s="8" t="s">
        <v>46418</v>
      </c>
      <c r="E8247" s="8" t="s">
        <v>46419</v>
      </c>
      <c r="F8247" s="8" t="s">
        <v>6770</v>
      </c>
      <c r="G8247" s="6" t="s">
        <v>60</v>
      </c>
      <c r="H8247" s="6" t="s">
        <v>34</v>
      </c>
      <c r="I8247" s="8"/>
      <c r="J8247" s="9">
        <v>1</v>
      </c>
      <c r="K8247" s="9">
        <v>396</v>
      </c>
      <c r="L8247" s="9">
        <v>2025</v>
      </c>
      <c r="M8247" s="8" t="s">
        <v>46420</v>
      </c>
      <c r="N8247" s="8" t="s">
        <v>37</v>
      </c>
      <c r="O8247" s="8" t="s">
        <v>136</v>
      </c>
      <c r="P8247" s="6" t="s">
        <v>14955</v>
      </c>
      <c r="Q8247" s="8" t="s">
        <v>40</v>
      </c>
      <c r="R8247" s="10" t="s">
        <v>46421</v>
      </c>
      <c r="S8247" s="11"/>
      <c r="T8247" s="6"/>
      <c r="U8247" s="15" t="str">
        <f>HYPERLINK("https://media.infra-m.ru/2065/2065353/cover/2065353.jpg", "Обложка")</f>
        <v>Обложка</v>
      </c>
      <c r="V8247" s="8"/>
      <c r="W8247" s="6" t="s">
        <v>1382</v>
      </c>
      <c r="X8247" s="6"/>
      <c r="Y8247" s="6"/>
      <c r="Z8247" s="6"/>
      <c r="AA8247" s="6" t="s">
        <v>68</v>
      </c>
      <c r="AB8247" s="8"/>
      <c r="AC8247" s="27">
        <v>9785160188218</v>
      </c>
    </row>
    <row r="8248" spans="1:29" s="4" customFormat="1" ht="44.1" customHeight="1" x14ac:dyDescent="0.2">
      <c r="A8248" s="5">
        <v>0</v>
      </c>
      <c r="B8248" s="6" t="s">
        <v>46422</v>
      </c>
      <c r="C8248" s="7">
        <v>1716</v>
      </c>
      <c r="D8248" s="8" t="s">
        <v>46423</v>
      </c>
      <c r="E8248" s="8" t="s">
        <v>46424</v>
      </c>
      <c r="F8248" s="8" t="s">
        <v>45867</v>
      </c>
      <c r="G8248" s="6" t="s">
        <v>118</v>
      </c>
      <c r="H8248" s="6" t="s">
        <v>34</v>
      </c>
      <c r="I8248" s="8" t="s">
        <v>35</v>
      </c>
      <c r="J8248" s="9">
        <v>1</v>
      </c>
      <c r="K8248" s="9">
        <v>275</v>
      </c>
      <c r="L8248" s="9">
        <v>2026</v>
      </c>
      <c r="M8248" s="8" t="s">
        <v>46425</v>
      </c>
      <c r="N8248" s="8" t="s">
        <v>37</v>
      </c>
      <c r="O8248" s="8" t="s">
        <v>83</v>
      </c>
      <c r="P8248" s="6" t="s">
        <v>39</v>
      </c>
      <c r="Q8248" s="8" t="s">
        <v>40</v>
      </c>
      <c r="R8248" s="10" t="s">
        <v>46426</v>
      </c>
      <c r="S8248" s="11"/>
      <c r="T8248" s="6"/>
      <c r="U8248" s="15" t="str">
        <f>HYPERLINK("https://media.infra-m.ru/2212/2212473/cover/2212473.jpg", "Обложка")</f>
        <v>Обложка</v>
      </c>
      <c r="V8248" s="8" t="s">
        <v>45870</v>
      </c>
      <c r="W8248" s="6"/>
      <c r="X8248" s="6"/>
      <c r="Y8248" s="6"/>
      <c r="Z8248" s="6"/>
      <c r="AA8248" s="6" t="s">
        <v>76</v>
      </c>
      <c r="AB8248" s="8"/>
      <c r="AC8248" s="27">
        <v>9785160191430</v>
      </c>
    </row>
    <row r="8249" spans="1:29" s="4" customFormat="1" ht="44.1" customHeight="1" x14ac:dyDescent="0.2">
      <c r="A8249" s="5">
        <v>0</v>
      </c>
      <c r="B8249" s="6" t="s">
        <v>46427</v>
      </c>
      <c r="C8249" s="7">
        <v>2608.8000000000002</v>
      </c>
      <c r="D8249" s="8" t="s">
        <v>46428</v>
      </c>
      <c r="E8249" s="8" t="s">
        <v>46429</v>
      </c>
      <c r="F8249" s="8" t="s">
        <v>46430</v>
      </c>
      <c r="G8249" s="6" t="s">
        <v>60</v>
      </c>
      <c r="H8249" s="6" t="s">
        <v>34</v>
      </c>
      <c r="I8249" s="8" t="s">
        <v>35</v>
      </c>
      <c r="J8249" s="9">
        <v>1</v>
      </c>
      <c r="K8249" s="9">
        <v>395</v>
      </c>
      <c r="L8249" s="9">
        <v>2026</v>
      </c>
      <c r="M8249" s="8" t="s">
        <v>46431</v>
      </c>
      <c r="N8249" s="8" t="s">
        <v>37</v>
      </c>
      <c r="O8249" s="8" t="s">
        <v>290</v>
      </c>
      <c r="P8249" s="6" t="s">
        <v>39</v>
      </c>
      <c r="Q8249" s="8" t="s">
        <v>40</v>
      </c>
      <c r="R8249" s="10" t="s">
        <v>46432</v>
      </c>
      <c r="S8249" s="11"/>
      <c r="T8249" s="6"/>
      <c r="U8249" s="15" t="str">
        <f>HYPERLINK("https://media.infra-m.ru/2242/2242368/cover/2242368.jpg", "Обложка")</f>
        <v>Обложка</v>
      </c>
      <c r="V8249" s="8" t="s">
        <v>46433</v>
      </c>
      <c r="W8249" s="6"/>
      <c r="X8249" s="6"/>
      <c r="Y8249" s="6"/>
      <c r="Z8249" s="6"/>
      <c r="AA8249" s="6" t="s">
        <v>68</v>
      </c>
      <c r="AB8249" s="8"/>
      <c r="AC8249" s="27">
        <v>9785160199016</v>
      </c>
    </row>
    <row r="8250" spans="1:29" s="4" customFormat="1" ht="42" customHeight="1" x14ac:dyDescent="0.2">
      <c r="A8250" s="5">
        <v>0</v>
      </c>
      <c r="B8250" s="6" t="s">
        <v>46434</v>
      </c>
      <c r="C8250" s="13">
        <v>984</v>
      </c>
      <c r="D8250" s="8" t="s">
        <v>46435</v>
      </c>
      <c r="E8250" s="8" t="s">
        <v>46436</v>
      </c>
      <c r="F8250" s="8" t="s">
        <v>46437</v>
      </c>
      <c r="G8250" s="6" t="s">
        <v>33</v>
      </c>
      <c r="H8250" s="6" t="s">
        <v>34</v>
      </c>
      <c r="I8250" s="8" t="s">
        <v>35</v>
      </c>
      <c r="J8250" s="9">
        <v>1</v>
      </c>
      <c r="K8250" s="9">
        <v>156</v>
      </c>
      <c r="L8250" s="9">
        <v>2022</v>
      </c>
      <c r="M8250" s="8" t="s">
        <v>46438</v>
      </c>
      <c r="N8250" s="8" t="s">
        <v>243</v>
      </c>
      <c r="O8250" s="8" t="s">
        <v>758</v>
      </c>
      <c r="P8250" s="6" t="s">
        <v>39</v>
      </c>
      <c r="Q8250" s="8" t="s">
        <v>40</v>
      </c>
      <c r="R8250" s="10" t="s">
        <v>6292</v>
      </c>
      <c r="S8250" s="11"/>
      <c r="T8250" s="6"/>
      <c r="U8250" s="15" t="str">
        <f>HYPERLINK("https://media.infra-m.ru/1859/1859961/cover/1859961.jpg", "Обложка")</f>
        <v>Обложка</v>
      </c>
      <c r="V8250" s="8" t="s">
        <v>2382</v>
      </c>
      <c r="W8250" s="6"/>
      <c r="X8250" s="6"/>
      <c r="Y8250" s="6"/>
      <c r="Z8250" s="6"/>
      <c r="AA8250" s="6" t="s">
        <v>148</v>
      </c>
      <c r="AB8250" s="8"/>
      <c r="AC8250" s="27">
        <v>9785160175287</v>
      </c>
    </row>
    <row r="8251" spans="1:29" s="4" customFormat="1" ht="42" customHeight="1" x14ac:dyDescent="0.2">
      <c r="A8251" s="5">
        <v>0</v>
      </c>
      <c r="B8251" s="6" t="s">
        <v>46439</v>
      </c>
      <c r="C8251" s="7">
        <v>1056</v>
      </c>
      <c r="D8251" s="8" t="s">
        <v>46440</v>
      </c>
      <c r="E8251" s="8" t="s">
        <v>46441</v>
      </c>
      <c r="F8251" s="8" t="s">
        <v>1960</v>
      </c>
      <c r="G8251" s="6" t="s">
        <v>33</v>
      </c>
      <c r="H8251" s="6" t="s">
        <v>34</v>
      </c>
      <c r="I8251" s="8" t="s">
        <v>35</v>
      </c>
      <c r="J8251" s="9">
        <v>1</v>
      </c>
      <c r="K8251" s="9">
        <v>224</v>
      </c>
      <c r="L8251" s="9">
        <v>2022</v>
      </c>
      <c r="M8251" s="8" t="s">
        <v>46442</v>
      </c>
      <c r="N8251" s="8" t="s">
        <v>63</v>
      </c>
      <c r="O8251" s="8" t="s">
        <v>126</v>
      </c>
      <c r="P8251" s="6" t="s">
        <v>39</v>
      </c>
      <c r="Q8251" s="8" t="s">
        <v>40</v>
      </c>
      <c r="R8251" s="10" t="s">
        <v>10423</v>
      </c>
      <c r="S8251" s="11"/>
      <c r="T8251" s="6"/>
      <c r="U8251" s="15" t="str">
        <f>HYPERLINK("https://media.infra-m.ru/1840/1840173/cover/1840173.jpg", "Обложка")</f>
        <v>Обложка</v>
      </c>
      <c r="V8251" s="8" t="s">
        <v>227</v>
      </c>
      <c r="W8251" s="6"/>
      <c r="X8251" s="6"/>
      <c r="Y8251" s="6"/>
      <c r="Z8251" s="6"/>
      <c r="AA8251" s="6" t="s">
        <v>148</v>
      </c>
      <c r="AB8251" s="8"/>
      <c r="AC8251" s="27">
        <v>9785160172873</v>
      </c>
    </row>
    <row r="8252" spans="1:29" s="4" customFormat="1" ht="42" customHeight="1" x14ac:dyDescent="0.2">
      <c r="A8252" s="5">
        <v>0</v>
      </c>
      <c r="B8252" s="6" t="s">
        <v>46443</v>
      </c>
      <c r="C8252" s="7">
        <v>1392</v>
      </c>
      <c r="D8252" s="8" t="s">
        <v>46444</v>
      </c>
      <c r="E8252" s="8" t="s">
        <v>46445</v>
      </c>
      <c r="F8252" s="8" t="s">
        <v>3261</v>
      </c>
      <c r="G8252" s="6" t="s">
        <v>60</v>
      </c>
      <c r="H8252" s="6" t="s">
        <v>34</v>
      </c>
      <c r="I8252" s="8" t="s">
        <v>35</v>
      </c>
      <c r="J8252" s="9">
        <v>1</v>
      </c>
      <c r="K8252" s="9">
        <v>218</v>
      </c>
      <c r="L8252" s="9">
        <v>2025</v>
      </c>
      <c r="M8252" s="8" t="s">
        <v>46446</v>
      </c>
      <c r="N8252" s="8" t="s">
        <v>93</v>
      </c>
      <c r="O8252" s="8" t="s">
        <v>94</v>
      </c>
      <c r="P8252" s="6" t="s">
        <v>39</v>
      </c>
      <c r="Q8252" s="8" t="s">
        <v>40</v>
      </c>
      <c r="R8252" s="10" t="s">
        <v>46447</v>
      </c>
      <c r="S8252" s="11"/>
      <c r="T8252" s="6"/>
      <c r="U8252" s="15" t="str">
        <f>HYPERLINK("https://media.infra-m.ru/2167/2167515/cover/2167515.jpg", "Обложка")</f>
        <v>Обложка</v>
      </c>
      <c r="V8252" s="8" t="s">
        <v>3264</v>
      </c>
      <c r="W8252" s="6"/>
      <c r="X8252" s="6"/>
      <c r="Y8252" s="6"/>
      <c r="Z8252" s="6"/>
      <c r="AA8252" s="6" t="s">
        <v>68</v>
      </c>
      <c r="AB8252" s="8"/>
      <c r="AC8252" s="27">
        <v>9785160202723</v>
      </c>
    </row>
    <row r="8253" spans="1:29" s="4" customFormat="1" ht="42" customHeight="1" x14ac:dyDescent="0.2">
      <c r="A8253" s="5">
        <v>0</v>
      </c>
      <c r="B8253" s="6" t="s">
        <v>46448</v>
      </c>
      <c r="C8253" s="7">
        <v>1152</v>
      </c>
      <c r="D8253" s="8" t="s">
        <v>46449</v>
      </c>
      <c r="E8253" s="8" t="s">
        <v>46450</v>
      </c>
      <c r="F8253" s="8" t="s">
        <v>46451</v>
      </c>
      <c r="G8253" s="6" t="s">
        <v>118</v>
      </c>
      <c r="H8253" s="6" t="s">
        <v>134</v>
      </c>
      <c r="I8253" s="8"/>
      <c r="J8253" s="9">
        <v>1</v>
      </c>
      <c r="K8253" s="9">
        <v>208</v>
      </c>
      <c r="L8253" s="9">
        <v>2024</v>
      </c>
      <c r="M8253" s="8" t="s">
        <v>46452</v>
      </c>
      <c r="N8253" s="8" t="s">
        <v>37</v>
      </c>
      <c r="O8253" s="8" t="s">
        <v>136</v>
      </c>
      <c r="P8253" s="6" t="s">
        <v>39</v>
      </c>
      <c r="Q8253" s="8" t="s">
        <v>40</v>
      </c>
      <c r="R8253" s="10" t="s">
        <v>1255</v>
      </c>
      <c r="S8253" s="11"/>
      <c r="T8253" s="6"/>
      <c r="U8253" s="15" t="str">
        <f>HYPERLINK("https://media.infra-m.ru/2082/2082651/cover/2082651.jpg", "Обложка")</f>
        <v>Обложка</v>
      </c>
      <c r="V8253" s="8" t="s">
        <v>1184</v>
      </c>
      <c r="W8253" s="6"/>
      <c r="X8253" s="6"/>
      <c r="Y8253" s="6"/>
      <c r="Z8253" s="6"/>
      <c r="AA8253" s="6" t="s">
        <v>779</v>
      </c>
      <c r="AB8253" s="8"/>
      <c r="AC8253" s="27">
        <v>9785917687537</v>
      </c>
    </row>
    <row r="8254" spans="1:29" s="4" customFormat="1" ht="42" customHeight="1" x14ac:dyDescent="0.2">
      <c r="A8254" s="5">
        <v>0</v>
      </c>
      <c r="B8254" s="6" t="s">
        <v>46453</v>
      </c>
      <c r="C8254" s="7">
        <v>2056.8000000000002</v>
      </c>
      <c r="D8254" s="8" t="s">
        <v>46454</v>
      </c>
      <c r="E8254" s="8" t="s">
        <v>46455</v>
      </c>
      <c r="F8254" s="8" t="s">
        <v>28358</v>
      </c>
      <c r="G8254" s="6" t="s">
        <v>60</v>
      </c>
      <c r="H8254" s="6" t="s">
        <v>134</v>
      </c>
      <c r="I8254" s="8"/>
      <c r="J8254" s="9">
        <v>1</v>
      </c>
      <c r="K8254" s="9">
        <v>328</v>
      </c>
      <c r="L8254" s="9">
        <v>2025</v>
      </c>
      <c r="M8254" s="8" t="s">
        <v>46456</v>
      </c>
      <c r="N8254" s="8" t="s">
        <v>37</v>
      </c>
      <c r="O8254" s="8" t="s">
        <v>136</v>
      </c>
      <c r="P8254" s="6" t="s">
        <v>39</v>
      </c>
      <c r="Q8254" s="8" t="s">
        <v>40</v>
      </c>
      <c r="R8254" s="10" t="s">
        <v>8485</v>
      </c>
      <c r="S8254" s="11"/>
      <c r="T8254" s="6"/>
      <c r="U8254" s="15" t="str">
        <f>HYPERLINK("https://media.infra-m.ru/2192/2192701/cover/2192701.jpg", "Обложка")</f>
        <v>Обложка</v>
      </c>
      <c r="V8254" s="8" t="s">
        <v>1184</v>
      </c>
      <c r="W8254" s="6"/>
      <c r="X8254" s="6"/>
      <c r="Y8254" s="6"/>
      <c r="Z8254" s="6"/>
      <c r="AA8254" s="6" t="s">
        <v>430</v>
      </c>
      <c r="AB8254" s="8"/>
      <c r="AC8254" s="27">
        <v>9785001560883</v>
      </c>
    </row>
    <row r="8255" spans="1:29" s="4" customFormat="1" ht="42" customHeight="1" x14ac:dyDescent="0.2">
      <c r="A8255" s="5">
        <v>0</v>
      </c>
      <c r="B8255" s="6" t="s">
        <v>46457</v>
      </c>
      <c r="C8255" s="7">
        <v>1732.8</v>
      </c>
      <c r="D8255" s="8" t="s">
        <v>46458</v>
      </c>
      <c r="E8255" s="8" t="s">
        <v>46459</v>
      </c>
      <c r="F8255" s="8"/>
      <c r="G8255" s="6" t="s">
        <v>60</v>
      </c>
      <c r="H8255" s="6" t="s">
        <v>34</v>
      </c>
      <c r="I8255" s="8"/>
      <c r="J8255" s="9">
        <v>1</v>
      </c>
      <c r="K8255" s="9">
        <v>433</v>
      </c>
      <c r="L8255" s="9">
        <v>2026</v>
      </c>
      <c r="M8255" s="8" t="s">
        <v>46460</v>
      </c>
      <c r="N8255" s="8" t="s">
        <v>37</v>
      </c>
      <c r="O8255" s="8" t="s">
        <v>136</v>
      </c>
      <c r="P8255" s="6" t="s">
        <v>14955</v>
      </c>
      <c r="Q8255" s="8" t="s">
        <v>40</v>
      </c>
      <c r="R8255" s="10" t="s">
        <v>30896</v>
      </c>
      <c r="S8255" s="11"/>
      <c r="T8255" s="6"/>
      <c r="U8255" s="15" t="str">
        <f>HYPERLINK("https://media.infra-m.ru/2273/2273334/cover/2273334.jpg", "Обложка")</f>
        <v>Обложка</v>
      </c>
      <c r="V8255" s="8"/>
      <c r="W8255" s="6"/>
      <c r="X8255" s="6"/>
      <c r="Y8255" s="6"/>
      <c r="Z8255" s="6"/>
      <c r="AA8255" s="6" t="s">
        <v>13804</v>
      </c>
      <c r="AB8255" s="8"/>
      <c r="AC8255" s="27">
        <v>9785160220567</v>
      </c>
    </row>
    <row r="8256" spans="1:29" s="4" customFormat="1" ht="42" customHeight="1" x14ac:dyDescent="0.2">
      <c r="A8256" s="5">
        <v>0</v>
      </c>
      <c r="B8256" s="6" t="s">
        <v>46461</v>
      </c>
      <c r="C8256" s="7">
        <v>1680</v>
      </c>
      <c r="D8256" s="8" t="s">
        <v>46462</v>
      </c>
      <c r="E8256" s="8" t="s">
        <v>46463</v>
      </c>
      <c r="F8256" s="8" t="s">
        <v>6770</v>
      </c>
      <c r="G8256" s="6" t="s">
        <v>60</v>
      </c>
      <c r="H8256" s="6" t="s">
        <v>34</v>
      </c>
      <c r="I8256" s="8"/>
      <c r="J8256" s="9">
        <v>1</v>
      </c>
      <c r="K8256" s="9">
        <v>415</v>
      </c>
      <c r="L8256" s="9">
        <v>2025</v>
      </c>
      <c r="M8256" s="8" t="s">
        <v>46464</v>
      </c>
      <c r="N8256" s="8" t="s">
        <v>37</v>
      </c>
      <c r="O8256" s="8" t="s">
        <v>136</v>
      </c>
      <c r="P8256" s="6" t="s">
        <v>14955</v>
      </c>
      <c r="Q8256" s="8" t="s">
        <v>40</v>
      </c>
      <c r="R8256" s="10" t="s">
        <v>30896</v>
      </c>
      <c r="S8256" s="11"/>
      <c r="T8256" s="6"/>
      <c r="U8256" s="15" t="str">
        <f>HYPERLINK("https://media.infra-m.ru/2220/2220458/cover/2220458.jpg", "Обложка")</f>
        <v>Обложка</v>
      </c>
      <c r="V8256" s="8"/>
      <c r="W8256" s="6" t="s">
        <v>1382</v>
      </c>
      <c r="X8256" s="6"/>
      <c r="Y8256" s="6"/>
      <c r="Z8256" s="6"/>
      <c r="AA8256" s="6" t="s">
        <v>68</v>
      </c>
      <c r="AB8256" s="8"/>
      <c r="AC8256" s="27">
        <v>9785160212661</v>
      </c>
    </row>
    <row r="8257" spans="1:29" s="4" customFormat="1" ht="51.9" customHeight="1" x14ac:dyDescent="0.2">
      <c r="A8257" s="5">
        <v>0</v>
      </c>
      <c r="B8257" s="6" t="s">
        <v>46465</v>
      </c>
      <c r="C8257" s="7">
        <v>2510.4</v>
      </c>
      <c r="D8257" s="8" t="s">
        <v>46466</v>
      </c>
      <c r="E8257" s="8" t="s">
        <v>46467</v>
      </c>
      <c r="F8257" s="8" t="s">
        <v>46468</v>
      </c>
      <c r="G8257" s="6" t="s">
        <v>118</v>
      </c>
      <c r="H8257" s="6" t="s">
        <v>34</v>
      </c>
      <c r="I8257" s="8" t="s">
        <v>27134</v>
      </c>
      <c r="J8257" s="9">
        <v>1</v>
      </c>
      <c r="K8257" s="9">
        <v>358</v>
      </c>
      <c r="L8257" s="9">
        <v>2025</v>
      </c>
      <c r="M8257" s="8" t="s">
        <v>46469</v>
      </c>
      <c r="N8257" s="8" t="s">
        <v>37</v>
      </c>
      <c r="O8257" s="8" t="s">
        <v>280</v>
      </c>
      <c r="P8257" s="6" t="s">
        <v>51</v>
      </c>
      <c r="Q8257" s="8" t="s">
        <v>52</v>
      </c>
      <c r="R8257" s="10" t="s">
        <v>46470</v>
      </c>
      <c r="S8257" s="11"/>
      <c r="T8257" s="6" t="s">
        <v>97</v>
      </c>
      <c r="U8257" s="15" t="str">
        <f>HYPERLINK("https://media.infra-m.ru/2188/2188272/cover/2188272.jpg", "Обложка")</f>
        <v>Обложка</v>
      </c>
      <c r="V8257" s="8"/>
      <c r="W8257" s="6"/>
      <c r="X8257" s="6"/>
      <c r="Y8257" s="6"/>
      <c r="Z8257" s="6"/>
      <c r="AA8257" s="6" t="s">
        <v>874</v>
      </c>
      <c r="AB8257" s="8"/>
      <c r="AC8257" s="27">
        <v>9785160104010</v>
      </c>
    </row>
    <row r="8258" spans="1:29" s="4" customFormat="1" ht="51.9" customHeight="1" x14ac:dyDescent="0.2">
      <c r="A8258" s="5">
        <v>0</v>
      </c>
      <c r="B8258" s="6" t="s">
        <v>46471</v>
      </c>
      <c r="C8258" s="7">
        <v>1440</v>
      </c>
      <c r="D8258" s="8" t="s">
        <v>46472</v>
      </c>
      <c r="E8258" s="8" t="s">
        <v>46473</v>
      </c>
      <c r="F8258" s="8" t="s">
        <v>46474</v>
      </c>
      <c r="G8258" s="6" t="s">
        <v>118</v>
      </c>
      <c r="H8258" s="6" t="s">
        <v>34</v>
      </c>
      <c r="I8258" s="8" t="s">
        <v>253</v>
      </c>
      <c r="J8258" s="9">
        <v>1</v>
      </c>
      <c r="K8258" s="9">
        <v>206</v>
      </c>
      <c r="L8258" s="9">
        <v>2027</v>
      </c>
      <c r="M8258" s="8" t="s">
        <v>46475</v>
      </c>
      <c r="N8258" s="8" t="s">
        <v>37</v>
      </c>
      <c r="O8258" s="8" t="s">
        <v>280</v>
      </c>
      <c r="P8258" s="6" t="s">
        <v>51</v>
      </c>
      <c r="Q8258" s="8" t="s">
        <v>52</v>
      </c>
      <c r="R8258" s="10" t="s">
        <v>46476</v>
      </c>
      <c r="S8258" s="11" t="s">
        <v>46477</v>
      </c>
      <c r="T8258" s="6" t="s">
        <v>97</v>
      </c>
      <c r="U8258" s="15" t="str">
        <f>HYPERLINK("https://media.infra-m.ru/2266/2266086/cover/2266086.jpg", "Обложка")</f>
        <v>Обложка</v>
      </c>
      <c r="V8258" s="8" t="s">
        <v>657</v>
      </c>
      <c r="W8258" s="6"/>
      <c r="X8258" s="6"/>
      <c r="Y8258" s="6"/>
      <c r="Z8258" s="6"/>
      <c r="AA8258" s="6" t="s">
        <v>430</v>
      </c>
      <c r="AB8258" s="8"/>
      <c r="AC8258" s="27">
        <v>9785160190884</v>
      </c>
    </row>
    <row r="8259" spans="1:29" s="4" customFormat="1" ht="51.9" customHeight="1" x14ac:dyDescent="0.2">
      <c r="A8259" s="5">
        <v>0</v>
      </c>
      <c r="B8259" s="6" t="s">
        <v>46478</v>
      </c>
      <c r="C8259" s="7">
        <v>1265.9000000000001</v>
      </c>
      <c r="D8259" s="8" t="s">
        <v>46479</v>
      </c>
      <c r="E8259" s="8" t="s">
        <v>46480</v>
      </c>
      <c r="F8259" s="8" t="s">
        <v>46481</v>
      </c>
      <c r="G8259" s="6" t="s">
        <v>33</v>
      </c>
      <c r="H8259" s="6" t="s">
        <v>34</v>
      </c>
      <c r="I8259" s="8" t="s">
        <v>35</v>
      </c>
      <c r="J8259" s="9">
        <v>1</v>
      </c>
      <c r="K8259" s="9">
        <v>234</v>
      </c>
      <c r="L8259" s="9">
        <v>2023</v>
      </c>
      <c r="M8259" s="8" t="s">
        <v>46482</v>
      </c>
      <c r="N8259" s="8" t="s">
        <v>37</v>
      </c>
      <c r="O8259" s="8" t="s">
        <v>280</v>
      </c>
      <c r="P8259" s="6" t="s">
        <v>39</v>
      </c>
      <c r="Q8259" s="8" t="s">
        <v>40</v>
      </c>
      <c r="R8259" s="10" t="s">
        <v>30117</v>
      </c>
      <c r="S8259" s="11"/>
      <c r="T8259" s="6"/>
      <c r="U8259" s="15" t="str">
        <f>HYPERLINK("https://media.infra-m.ru/1981/1981630/cover/1981630.jpg", "Обложка")</f>
        <v>Обложка</v>
      </c>
      <c r="V8259" s="8" t="s">
        <v>3196</v>
      </c>
      <c r="W8259" s="6"/>
      <c r="X8259" s="6"/>
      <c r="Y8259" s="6"/>
      <c r="Z8259" s="6"/>
      <c r="AA8259" s="6" t="s">
        <v>859</v>
      </c>
      <c r="AB8259" s="8"/>
      <c r="AC8259" s="27">
        <v>9785160093864</v>
      </c>
    </row>
    <row r="8260" spans="1:29" s="4" customFormat="1" ht="44.1" customHeight="1" x14ac:dyDescent="0.2">
      <c r="A8260" s="5">
        <v>0</v>
      </c>
      <c r="B8260" s="6" t="s">
        <v>46483</v>
      </c>
      <c r="C8260" s="7">
        <v>1324.8</v>
      </c>
      <c r="D8260" s="8" t="s">
        <v>46484</v>
      </c>
      <c r="E8260" s="8" t="s">
        <v>46485</v>
      </c>
      <c r="F8260" s="8" t="s">
        <v>46486</v>
      </c>
      <c r="G8260" s="6" t="s">
        <v>118</v>
      </c>
      <c r="H8260" s="6" t="s">
        <v>34</v>
      </c>
      <c r="I8260" s="8" t="s">
        <v>504</v>
      </c>
      <c r="J8260" s="9">
        <v>1</v>
      </c>
      <c r="K8260" s="9">
        <v>200</v>
      </c>
      <c r="L8260" s="9">
        <v>2026</v>
      </c>
      <c r="M8260" s="8" t="s">
        <v>46487</v>
      </c>
      <c r="N8260" s="8" t="s">
        <v>37</v>
      </c>
      <c r="O8260" s="8" t="s">
        <v>280</v>
      </c>
      <c r="P8260" s="6" t="s">
        <v>51</v>
      </c>
      <c r="Q8260" s="8" t="s">
        <v>500</v>
      </c>
      <c r="R8260" s="10" t="s">
        <v>46488</v>
      </c>
      <c r="S8260" s="11"/>
      <c r="T8260" s="6"/>
      <c r="U8260" s="15" t="str">
        <f>HYPERLINK("https://media.infra-m.ru/2243/2243169/cover/2243169.jpg", "Обложка")</f>
        <v>Обложка</v>
      </c>
      <c r="V8260" s="8" t="s">
        <v>1505</v>
      </c>
      <c r="W8260" s="6"/>
      <c r="X8260" s="6"/>
      <c r="Y8260" s="6"/>
      <c r="Z8260" s="6"/>
      <c r="AA8260" s="6" t="s">
        <v>218</v>
      </c>
      <c r="AB8260" s="8"/>
      <c r="AC8260" s="27">
        <v>9785160155098</v>
      </c>
    </row>
    <row r="8261" spans="1:29" s="4" customFormat="1" ht="51.9" customHeight="1" x14ac:dyDescent="0.2">
      <c r="A8261" s="5">
        <v>0</v>
      </c>
      <c r="B8261" s="6" t="s">
        <v>46489</v>
      </c>
      <c r="C8261" s="7">
        <v>1888.8</v>
      </c>
      <c r="D8261" s="8" t="s">
        <v>46490</v>
      </c>
      <c r="E8261" s="8" t="s">
        <v>46491</v>
      </c>
      <c r="F8261" s="8" t="s">
        <v>46492</v>
      </c>
      <c r="G8261" s="6" t="s">
        <v>60</v>
      </c>
      <c r="H8261" s="6" t="s">
        <v>48</v>
      </c>
      <c r="I8261" s="8" t="s">
        <v>253</v>
      </c>
      <c r="J8261" s="9">
        <v>1</v>
      </c>
      <c r="K8261" s="9">
        <v>272</v>
      </c>
      <c r="L8261" s="9">
        <v>2027</v>
      </c>
      <c r="M8261" s="8" t="s">
        <v>46493</v>
      </c>
      <c r="N8261" s="8" t="s">
        <v>243</v>
      </c>
      <c r="O8261" s="8" t="s">
        <v>758</v>
      </c>
      <c r="P8261" s="6" t="s">
        <v>51</v>
      </c>
      <c r="Q8261" s="8" t="s">
        <v>52</v>
      </c>
      <c r="R8261" s="10" t="s">
        <v>22671</v>
      </c>
      <c r="S8261" s="11" t="s">
        <v>46494</v>
      </c>
      <c r="T8261" s="6"/>
      <c r="U8261" s="15" t="str">
        <f>HYPERLINK("https://media.infra-m.ru/2267/2267153/cover/2267153.jpg", "Обложка")</f>
        <v>Обложка</v>
      </c>
      <c r="V8261" s="8" t="s">
        <v>867</v>
      </c>
      <c r="W8261" s="6"/>
      <c r="X8261" s="6"/>
      <c r="Y8261" s="6"/>
      <c r="Z8261" s="6"/>
      <c r="AA8261" s="6" t="s">
        <v>43</v>
      </c>
      <c r="AB8261" s="8"/>
      <c r="AC8261" s="27">
        <v>9785911346416</v>
      </c>
    </row>
    <row r="8262" spans="1:29" s="4" customFormat="1" ht="44.1" customHeight="1" x14ac:dyDescent="0.2">
      <c r="A8262" s="5">
        <v>0</v>
      </c>
      <c r="B8262" s="6" t="s">
        <v>46495</v>
      </c>
      <c r="C8262" s="13">
        <v>852</v>
      </c>
      <c r="D8262" s="8" t="s">
        <v>46496</v>
      </c>
      <c r="E8262" s="8" t="s">
        <v>46497</v>
      </c>
      <c r="F8262" s="8" t="s">
        <v>46498</v>
      </c>
      <c r="G8262" s="6" t="s">
        <v>33</v>
      </c>
      <c r="H8262" s="6" t="s">
        <v>313</v>
      </c>
      <c r="I8262" s="8" t="s">
        <v>35</v>
      </c>
      <c r="J8262" s="9">
        <v>1</v>
      </c>
      <c r="K8262" s="9">
        <v>156</v>
      </c>
      <c r="L8262" s="9">
        <v>2019</v>
      </c>
      <c r="M8262" s="8" t="s">
        <v>46499</v>
      </c>
      <c r="N8262" s="8" t="s">
        <v>37</v>
      </c>
      <c r="O8262" s="8" t="s">
        <v>280</v>
      </c>
      <c r="P8262" s="6" t="s">
        <v>39</v>
      </c>
      <c r="Q8262" s="8" t="s">
        <v>40</v>
      </c>
      <c r="R8262" s="10" t="s">
        <v>46500</v>
      </c>
      <c r="S8262" s="11"/>
      <c r="T8262" s="6"/>
      <c r="U8262" s="15" t="str">
        <f>HYPERLINK("https://media.infra-m.ru/1949/1949120/cover/1949120.jpg", "Обложка")</f>
        <v>Обложка</v>
      </c>
      <c r="V8262" s="8" t="s">
        <v>3693</v>
      </c>
      <c r="W8262" s="6"/>
      <c r="X8262" s="6"/>
      <c r="Y8262" s="6"/>
      <c r="Z8262" s="6"/>
      <c r="AA8262" s="6" t="s">
        <v>248</v>
      </c>
      <c r="AB8262" s="8"/>
      <c r="AC8262" s="27">
        <v>9785369013595</v>
      </c>
    </row>
    <row r="8263" spans="1:29" s="4" customFormat="1" ht="42" customHeight="1" x14ac:dyDescent="0.2">
      <c r="A8263" s="5">
        <v>0</v>
      </c>
      <c r="B8263" s="6" t="s">
        <v>46501</v>
      </c>
      <c r="C8263" s="7">
        <v>2400</v>
      </c>
      <c r="D8263" s="8" t="s">
        <v>46502</v>
      </c>
      <c r="E8263" s="8" t="s">
        <v>46503</v>
      </c>
      <c r="F8263" s="8" t="s">
        <v>46504</v>
      </c>
      <c r="G8263" s="6" t="s">
        <v>118</v>
      </c>
      <c r="H8263" s="6" t="s">
        <v>34</v>
      </c>
      <c r="I8263" s="8"/>
      <c r="J8263" s="9">
        <v>1</v>
      </c>
      <c r="K8263" s="9">
        <v>368</v>
      </c>
      <c r="L8263" s="9">
        <v>2026</v>
      </c>
      <c r="M8263" s="8" t="s">
        <v>46505</v>
      </c>
      <c r="N8263" s="8" t="s">
        <v>37</v>
      </c>
      <c r="O8263" s="8" t="s">
        <v>233</v>
      </c>
      <c r="P8263" s="6" t="s">
        <v>51</v>
      </c>
      <c r="Q8263" s="8" t="s">
        <v>52</v>
      </c>
      <c r="R8263" s="10" t="s">
        <v>21079</v>
      </c>
      <c r="S8263" s="11"/>
      <c r="T8263" s="6"/>
      <c r="U8263" s="15" t="str">
        <f>HYPERLINK("https://media.infra-m.ru/2239/2239900/cover/2239900.jpg", "Обложка")</f>
        <v>Обложка</v>
      </c>
      <c r="V8263" s="8" t="s">
        <v>1647</v>
      </c>
      <c r="W8263" s="6"/>
      <c r="X8263" s="6"/>
      <c r="Y8263" s="6"/>
      <c r="Z8263" s="6"/>
      <c r="AA8263" s="6" t="s">
        <v>779</v>
      </c>
      <c r="AB8263" s="8"/>
      <c r="AC8263" s="27">
        <v>9785160218625</v>
      </c>
    </row>
    <row r="8264" spans="1:29" s="4" customFormat="1" ht="51.9" customHeight="1" x14ac:dyDescent="0.2">
      <c r="A8264" s="5">
        <v>0</v>
      </c>
      <c r="B8264" s="6" t="s">
        <v>46506</v>
      </c>
      <c r="C8264" s="7">
        <v>2452.8000000000002</v>
      </c>
      <c r="D8264" s="8" t="s">
        <v>46507</v>
      </c>
      <c r="E8264" s="8" t="s">
        <v>46508</v>
      </c>
      <c r="F8264" s="8" t="s">
        <v>46509</v>
      </c>
      <c r="G8264" s="6" t="s">
        <v>118</v>
      </c>
      <c r="H8264" s="6" t="s">
        <v>34</v>
      </c>
      <c r="I8264" s="8" t="s">
        <v>271</v>
      </c>
      <c r="J8264" s="9">
        <v>1</v>
      </c>
      <c r="K8264" s="9">
        <v>394</v>
      </c>
      <c r="L8264" s="9">
        <v>2025</v>
      </c>
      <c r="M8264" s="8" t="s">
        <v>46510</v>
      </c>
      <c r="N8264" s="8" t="s">
        <v>37</v>
      </c>
      <c r="O8264" s="8" t="s">
        <v>233</v>
      </c>
      <c r="P8264" s="6" t="s">
        <v>306</v>
      </c>
      <c r="Q8264" s="8" t="s">
        <v>52</v>
      </c>
      <c r="R8264" s="10" t="s">
        <v>357</v>
      </c>
      <c r="S8264" s="11" t="s">
        <v>46511</v>
      </c>
      <c r="T8264" s="6"/>
      <c r="U8264" s="15" t="str">
        <f>HYPERLINK("https://media.infra-m.ru/2196/2196869/cover/2196869.jpg", "Обложка")</f>
        <v>Обложка</v>
      </c>
      <c r="V8264" s="8" t="s">
        <v>1505</v>
      </c>
      <c r="W8264" s="6"/>
      <c r="X8264" s="6"/>
      <c r="Y8264" s="6"/>
      <c r="Z8264" s="6"/>
      <c r="AA8264" s="6" t="s">
        <v>1047</v>
      </c>
      <c r="AB8264" s="8"/>
      <c r="AC8264" s="27">
        <v>9785160153063</v>
      </c>
    </row>
    <row r="8265" spans="1:29" s="4" customFormat="1" ht="42" customHeight="1" x14ac:dyDescent="0.2">
      <c r="A8265" s="5">
        <v>0</v>
      </c>
      <c r="B8265" s="6" t="s">
        <v>46512</v>
      </c>
      <c r="C8265" s="13">
        <v>840</v>
      </c>
      <c r="D8265" s="8" t="s">
        <v>46513</v>
      </c>
      <c r="E8265" s="8" t="s">
        <v>46514</v>
      </c>
      <c r="F8265" s="8" t="s">
        <v>46515</v>
      </c>
      <c r="G8265" s="6" t="s">
        <v>33</v>
      </c>
      <c r="H8265" s="6" t="s">
        <v>34</v>
      </c>
      <c r="I8265" s="8" t="s">
        <v>35</v>
      </c>
      <c r="J8265" s="9">
        <v>1</v>
      </c>
      <c r="K8265" s="9">
        <v>175</v>
      </c>
      <c r="L8265" s="9">
        <v>2021</v>
      </c>
      <c r="M8265" s="8" t="s">
        <v>46516</v>
      </c>
      <c r="N8265" s="8" t="s">
        <v>37</v>
      </c>
      <c r="O8265" s="8" t="s">
        <v>233</v>
      </c>
      <c r="P8265" s="6" t="s">
        <v>39</v>
      </c>
      <c r="Q8265" s="8" t="s">
        <v>40</v>
      </c>
      <c r="R8265" s="10" t="s">
        <v>5320</v>
      </c>
      <c r="S8265" s="11"/>
      <c r="T8265" s="6"/>
      <c r="U8265" s="15" t="str">
        <f>HYPERLINK("https://media.infra-m.ru/1141/1141766/cover/1141766.jpg", "Обложка")</f>
        <v>Обложка</v>
      </c>
      <c r="V8265" s="8" t="s">
        <v>2446</v>
      </c>
      <c r="W8265" s="6"/>
      <c r="X8265" s="6"/>
      <c r="Y8265" s="6"/>
      <c r="Z8265" s="6"/>
      <c r="AA8265" s="6" t="s">
        <v>430</v>
      </c>
      <c r="AB8265" s="8"/>
      <c r="AC8265" s="27">
        <v>9785160164212</v>
      </c>
    </row>
    <row r="8266" spans="1:29" s="4" customFormat="1" ht="44.1" customHeight="1" x14ac:dyDescent="0.2">
      <c r="A8266" s="5">
        <v>0</v>
      </c>
      <c r="B8266" s="6" t="s">
        <v>46517</v>
      </c>
      <c r="C8266" s="7">
        <v>2784</v>
      </c>
      <c r="D8266" s="8" t="s">
        <v>46518</v>
      </c>
      <c r="E8266" s="8" t="s">
        <v>46519</v>
      </c>
      <c r="F8266" s="8" t="s">
        <v>46520</v>
      </c>
      <c r="G8266" s="6" t="s">
        <v>118</v>
      </c>
      <c r="H8266" s="6" t="s">
        <v>34</v>
      </c>
      <c r="I8266" s="8" t="s">
        <v>35</v>
      </c>
      <c r="J8266" s="9">
        <v>1</v>
      </c>
      <c r="K8266" s="9">
        <v>400</v>
      </c>
      <c r="L8266" s="9">
        <v>2026</v>
      </c>
      <c r="M8266" s="8" t="s">
        <v>46521</v>
      </c>
      <c r="N8266" s="8" t="s">
        <v>37</v>
      </c>
      <c r="O8266" s="8" t="s">
        <v>280</v>
      </c>
      <c r="P8266" s="6" t="s">
        <v>39</v>
      </c>
      <c r="Q8266" s="8" t="s">
        <v>749</v>
      </c>
      <c r="R8266" s="10" t="s">
        <v>46522</v>
      </c>
      <c r="S8266" s="11"/>
      <c r="T8266" s="6"/>
      <c r="U8266" s="15" t="str">
        <f>HYPERLINK("https://media.infra-m.ru/2260/2260408/cover/2260408.jpg", "Обложка")</f>
        <v>Обложка</v>
      </c>
      <c r="V8266" s="8" t="s">
        <v>12106</v>
      </c>
      <c r="W8266" s="6"/>
      <c r="X8266" s="6"/>
      <c r="Y8266" s="6"/>
      <c r="Z8266" s="6"/>
      <c r="AA8266" s="6" t="s">
        <v>274</v>
      </c>
      <c r="AB8266" s="8"/>
      <c r="AC8266" s="27">
        <v>9785160099132</v>
      </c>
    </row>
    <row r="8267" spans="1:29" s="4" customFormat="1" ht="51.9" customHeight="1" x14ac:dyDescent="0.2">
      <c r="A8267" s="5">
        <v>0</v>
      </c>
      <c r="B8267" s="6" t="s">
        <v>46523</v>
      </c>
      <c r="C8267" s="7">
        <v>2340</v>
      </c>
      <c r="D8267" s="8" t="s">
        <v>46524</v>
      </c>
      <c r="E8267" s="8" t="s">
        <v>46525</v>
      </c>
      <c r="F8267" s="8" t="s">
        <v>46526</v>
      </c>
      <c r="G8267" s="6" t="s">
        <v>60</v>
      </c>
      <c r="H8267" s="6" t="s">
        <v>34</v>
      </c>
      <c r="I8267" s="8" t="s">
        <v>5931</v>
      </c>
      <c r="J8267" s="9">
        <v>1</v>
      </c>
      <c r="K8267" s="9">
        <v>426</v>
      </c>
      <c r="L8267" s="9">
        <v>2024</v>
      </c>
      <c r="M8267" s="8" t="s">
        <v>46527</v>
      </c>
      <c r="N8267" s="8" t="s">
        <v>37</v>
      </c>
      <c r="O8267" s="8" t="s">
        <v>280</v>
      </c>
      <c r="P8267" s="6" t="s">
        <v>306</v>
      </c>
      <c r="Q8267" s="8" t="s">
        <v>40</v>
      </c>
      <c r="R8267" s="10" t="s">
        <v>1503</v>
      </c>
      <c r="S8267" s="11" t="s">
        <v>46528</v>
      </c>
      <c r="T8267" s="6" t="s">
        <v>97</v>
      </c>
      <c r="U8267" s="15" t="str">
        <f>HYPERLINK("https://media.infra-m.ru/2076/2076015/cover/2076015.jpg", "Обложка")</f>
        <v>Обложка</v>
      </c>
      <c r="V8267" s="8" t="s">
        <v>3196</v>
      </c>
      <c r="W8267" s="6"/>
      <c r="X8267" s="6"/>
      <c r="Y8267" s="6"/>
      <c r="Z8267" s="6"/>
      <c r="AA8267" s="6" t="s">
        <v>7463</v>
      </c>
      <c r="AB8267" s="8"/>
      <c r="AC8267" s="27">
        <v>9785160143989</v>
      </c>
    </row>
    <row r="8268" spans="1:29" s="4" customFormat="1" ht="51.9" customHeight="1" x14ac:dyDescent="0.2">
      <c r="A8268" s="5">
        <v>0</v>
      </c>
      <c r="B8268" s="6" t="s">
        <v>46529</v>
      </c>
      <c r="C8268" s="7">
        <v>1788</v>
      </c>
      <c r="D8268" s="8" t="s">
        <v>46530</v>
      </c>
      <c r="E8268" s="8" t="s">
        <v>46531</v>
      </c>
      <c r="F8268" s="8" t="s">
        <v>46532</v>
      </c>
      <c r="G8268" s="6" t="s">
        <v>118</v>
      </c>
      <c r="H8268" s="6" t="s">
        <v>34</v>
      </c>
      <c r="I8268" s="8" t="s">
        <v>504</v>
      </c>
      <c r="J8268" s="9">
        <v>1</v>
      </c>
      <c r="K8268" s="9">
        <v>331</v>
      </c>
      <c r="L8268" s="9">
        <v>2022</v>
      </c>
      <c r="M8268" s="8" t="s">
        <v>46533</v>
      </c>
      <c r="N8268" s="8" t="s">
        <v>37</v>
      </c>
      <c r="O8268" s="8" t="s">
        <v>136</v>
      </c>
      <c r="P8268" s="6" t="s">
        <v>51</v>
      </c>
      <c r="Q8268" s="8" t="s">
        <v>500</v>
      </c>
      <c r="R8268" s="10" t="s">
        <v>1576</v>
      </c>
      <c r="S8268" s="11" t="s">
        <v>46534</v>
      </c>
      <c r="T8268" s="6"/>
      <c r="U8268" s="15" t="str">
        <f>HYPERLINK("https://media.infra-m.ru/1862/1862859/cover/1862859.jpg", "Обложка")</f>
        <v>Обложка</v>
      </c>
      <c r="V8268" s="8" t="s">
        <v>13456</v>
      </c>
      <c r="W8268" s="6"/>
      <c r="X8268" s="6"/>
      <c r="Y8268" s="6"/>
      <c r="Z8268" s="6"/>
      <c r="AA8268" s="6" t="s">
        <v>115</v>
      </c>
      <c r="AB8268" s="8"/>
      <c r="AC8268" s="27">
        <v>9785160150949</v>
      </c>
    </row>
    <row r="8269" spans="1:29" s="4" customFormat="1" ht="51.9" customHeight="1" x14ac:dyDescent="0.2">
      <c r="A8269" s="5">
        <v>0</v>
      </c>
      <c r="B8269" s="6" t="s">
        <v>46535</v>
      </c>
      <c r="C8269" s="7">
        <v>1824</v>
      </c>
      <c r="D8269" s="8" t="s">
        <v>46536</v>
      </c>
      <c r="E8269" s="8" t="s">
        <v>46537</v>
      </c>
      <c r="F8269" s="8" t="s">
        <v>46532</v>
      </c>
      <c r="G8269" s="6" t="s">
        <v>60</v>
      </c>
      <c r="H8269" s="6" t="s">
        <v>34</v>
      </c>
      <c r="I8269" s="8" t="s">
        <v>253</v>
      </c>
      <c r="J8269" s="9">
        <v>1</v>
      </c>
      <c r="K8269" s="9">
        <v>291</v>
      </c>
      <c r="L8269" s="9">
        <v>2025</v>
      </c>
      <c r="M8269" s="8" t="s">
        <v>46538</v>
      </c>
      <c r="N8269" s="8" t="s">
        <v>37</v>
      </c>
      <c r="O8269" s="8" t="s">
        <v>233</v>
      </c>
      <c r="P8269" s="6" t="s">
        <v>51</v>
      </c>
      <c r="Q8269" s="8" t="s">
        <v>500</v>
      </c>
      <c r="R8269" s="10" t="s">
        <v>1576</v>
      </c>
      <c r="S8269" s="11" t="s">
        <v>46534</v>
      </c>
      <c r="T8269" s="6"/>
      <c r="U8269" s="15" t="str">
        <f>HYPERLINK("https://media.infra-m.ru/1865/1865107/cover/1865107.jpg", "Обложка")</f>
        <v>Обложка</v>
      </c>
      <c r="V8269" s="8" t="s">
        <v>13456</v>
      </c>
      <c r="W8269" s="6"/>
      <c r="X8269" s="6"/>
      <c r="Y8269" s="6"/>
      <c r="Z8269" s="6"/>
      <c r="AA8269" s="6" t="s">
        <v>917</v>
      </c>
      <c r="AB8269" s="8"/>
      <c r="AC8269" s="27">
        <v>9785160190150</v>
      </c>
    </row>
    <row r="8270" spans="1:29" s="4" customFormat="1" ht="51.9" customHeight="1" x14ac:dyDescent="0.2">
      <c r="A8270" s="5">
        <v>0</v>
      </c>
      <c r="B8270" s="6" t="s">
        <v>46539</v>
      </c>
      <c r="C8270" s="7">
        <v>1936.8</v>
      </c>
      <c r="D8270" s="8" t="s">
        <v>46540</v>
      </c>
      <c r="E8270" s="8" t="s">
        <v>46541</v>
      </c>
      <c r="F8270" s="8" t="s">
        <v>46542</v>
      </c>
      <c r="G8270" s="6" t="s">
        <v>60</v>
      </c>
      <c r="H8270" s="6" t="s">
        <v>1795</v>
      </c>
      <c r="I8270" s="8" t="s">
        <v>1904</v>
      </c>
      <c r="J8270" s="9">
        <v>1</v>
      </c>
      <c r="K8270" s="9">
        <v>352</v>
      </c>
      <c r="L8270" s="9">
        <v>2024</v>
      </c>
      <c r="M8270" s="8" t="s">
        <v>46543</v>
      </c>
      <c r="N8270" s="8" t="s">
        <v>37</v>
      </c>
      <c r="O8270" s="8" t="s">
        <v>280</v>
      </c>
      <c r="P8270" s="6" t="s">
        <v>306</v>
      </c>
      <c r="Q8270" s="8" t="s">
        <v>52</v>
      </c>
      <c r="R8270" s="10" t="s">
        <v>46544</v>
      </c>
      <c r="S8270" s="11" t="s">
        <v>46545</v>
      </c>
      <c r="T8270" s="6"/>
      <c r="U8270" s="15" t="str">
        <f>HYPERLINK("https://media.infra-m.ru/2086/2086857/cover/2086857.jpg", "Обложка")</f>
        <v>Обложка</v>
      </c>
      <c r="V8270" s="8" t="s">
        <v>7167</v>
      </c>
      <c r="W8270" s="6"/>
      <c r="X8270" s="6"/>
      <c r="Y8270" s="6"/>
      <c r="Z8270" s="6"/>
      <c r="AA8270" s="6" t="s">
        <v>248</v>
      </c>
      <c r="AB8270" s="8"/>
      <c r="AC8270" s="27">
        <v>9785982813763</v>
      </c>
    </row>
    <row r="8271" spans="1:29" s="4" customFormat="1" ht="51.9" customHeight="1" x14ac:dyDescent="0.2">
      <c r="A8271" s="5">
        <v>0</v>
      </c>
      <c r="B8271" s="6" t="s">
        <v>46546</v>
      </c>
      <c r="C8271" s="7">
        <v>1272</v>
      </c>
      <c r="D8271" s="8" t="s">
        <v>46547</v>
      </c>
      <c r="E8271" s="8" t="s">
        <v>46548</v>
      </c>
      <c r="F8271" s="8" t="s">
        <v>6029</v>
      </c>
      <c r="G8271" s="6" t="s">
        <v>118</v>
      </c>
      <c r="H8271" s="6" t="s">
        <v>34</v>
      </c>
      <c r="I8271" s="8" t="s">
        <v>263</v>
      </c>
      <c r="J8271" s="9">
        <v>1</v>
      </c>
      <c r="K8271" s="9">
        <v>234</v>
      </c>
      <c r="L8271" s="9">
        <v>2023</v>
      </c>
      <c r="M8271" s="8" t="s">
        <v>46549</v>
      </c>
      <c r="N8271" s="8" t="s">
        <v>243</v>
      </c>
      <c r="O8271" s="8" t="s">
        <v>244</v>
      </c>
      <c r="P8271" s="6" t="s">
        <v>51</v>
      </c>
      <c r="Q8271" s="8" t="s">
        <v>265</v>
      </c>
      <c r="R8271" s="10" t="s">
        <v>46550</v>
      </c>
      <c r="S8271" s="11" t="s">
        <v>46551</v>
      </c>
      <c r="T8271" s="6"/>
      <c r="U8271" s="15" t="str">
        <f>HYPERLINK("https://media.infra-m.ru/2012/2012571/cover/2012571.jpg", "Обложка")</f>
        <v>Обложка</v>
      </c>
      <c r="V8271" s="8"/>
      <c r="W8271" s="6"/>
      <c r="X8271" s="6"/>
      <c r="Y8271" s="6"/>
      <c r="Z8271" s="6" t="s">
        <v>267</v>
      </c>
      <c r="AA8271" s="6" t="s">
        <v>430</v>
      </c>
      <c r="AB8271" s="8"/>
      <c r="AC8271" s="27">
        <v>9785160165547</v>
      </c>
    </row>
    <row r="8272" spans="1:29" s="4" customFormat="1" ht="51.9" customHeight="1" x14ac:dyDescent="0.2">
      <c r="A8272" s="5">
        <v>0</v>
      </c>
      <c r="B8272" s="6" t="s">
        <v>46552</v>
      </c>
      <c r="C8272" s="7">
        <v>1296</v>
      </c>
      <c r="D8272" s="8" t="s">
        <v>46553</v>
      </c>
      <c r="E8272" s="8" t="s">
        <v>46548</v>
      </c>
      <c r="F8272" s="8" t="s">
        <v>6029</v>
      </c>
      <c r="G8272" s="6" t="s">
        <v>118</v>
      </c>
      <c r="H8272" s="6" t="s">
        <v>34</v>
      </c>
      <c r="I8272" s="8" t="s">
        <v>271</v>
      </c>
      <c r="J8272" s="9">
        <v>1</v>
      </c>
      <c r="K8272" s="9">
        <v>234</v>
      </c>
      <c r="L8272" s="9">
        <v>2023</v>
      </c>
      <c r="M8272" s="8" t="s">
        <v>46554</v>
      </c>
      <c r="N8272" s="8" t="s">
        <v>243</v>
      </c>
      <c r="O8272" s="8" t="s">
        <v>244</v>
      </c>
      <c r="P8272" s="6" t="s">
        <v>51</v>
      </c>
      <c r="Q8272" s="8" t="s">
        <v>52</v>
      </c>
      <c r="R8272" s="10" t="s">
        <v>46555</v>
      </c>
      <c r="S8272" s="11" t="s">
        <v>46556</v>
      </c>
      <c r="T8272" s="6"/>
      <c r="U8272" s="15" t="str">
        <f>HYPERLINK("https://media.infra-m.ru/1930/1930715/cover/1930715.jpg", "Обложка")</f>
        <v>Обложка</v>
      </c>
      <c r="V8272" s="8"/>
      <c r="W8272" s="6"/>
      <c r="X8272" s="6"/>
      <c r="Y8272" s="6"/>
      <c r="Z8272" s="6"/>
      <c r="AA8272" s="6" t="s">
        <v>1256</v>
      </c>
      <c r="AB8272" s="8"/>
      <c r="AC8272" s="27">
        <v>9785160151267</v>
      </c>
    </row>
    <row r="8273" spans="1:29" s="4" customFormat="1" ht="42" customHeight="1" x14ac:dyDescent="0.2">
      <c r="A8273" s="5">
        <v>0</v>
      </c>
      <c r="B8273" s="6" t="s">
        <v>46557</v>
      </c>
      <c r="C8273" s="7">
        <v>2165.9</v>
      </c>
      <c r="D8273" s="8" t="s">
        <v>46558</v>
      </c>
      <c r="E8273" s="8" t="s">
        <v>46559</v>
      </c>
      <c r="F8273" s="8" t="s">
        <v>46560</v>
      </c>
      <c r="G8273" s="6" t="s">
        <v>60</v>
      </c>
      <c r="H8273" s="6" t="s">
        <v>134</v>
      </c>
      <c r="I8273" s="8"/>
      <c r="J8273" s="9">
        <v>1</v>
      </c>
      <c r="K8273" s="9">
        <v>400</v>
      </c>
      <c r="L8273" s="9">
        <v>2023</v>
      </c>
      <c r="M8273" s="8" t="s">
        <v>46561</v>
      </c>
      <c r="N8273" s="8" t="s">
        <v>37</v>
      </c>
      <c r="O8273" s="8" t="s">
        <v>136</v>
      </c>
      <c r="P8273" s="6" t="s">
        <v>39</v>
      </c>
      <c r="Q8273" s="8" t="s">
        <v>40</v>
      </c>
      <c r="R8273" s="10" t="s">
        <v>8485</v>
      </c>
      <c r="S8273" s="11"/>
      <c r="T8273" s="6"/>
      <c r="U8273" s="15" t="str">
        <f>HYPERLINK("https://media.infra-m.ru/2023/2023198/cover/2023198.jpg", "Обложка")</f>
        <v>Обложка</v>
      </c>
      <c r="V8273" s="8" t="s">
        <v>46562</v>
      </c>
      <c r="W8273" s="6"/>
      <c r="X8273" s="6"/>
      <c r="Y8273" s="6"/>
      <c r="Z8273" s="6"/>
      <c r="AA8273" s="6" t="s">
        <v>86</v>
      </c>
      <c r="AB8273" s="8"/>
      <c r="AC8273" s="27">
        <v>9785917689388</v>
      </c>
    </row>
    <row r="8274" spans="1:29" s="4" customFormat="1" ht="51.9" customHeight="1" x14ac:dyDescent="0.2">
      <c r="A8274" s="5">
        <v>0</v>
      </c>
      <c r="B8274" s="6" t="s">
        <v>46563</v>
      </c>
      <c r="C8274" s="7">
        <v>1120.8</v>
      </c>
      <c r="D8274" s="8" t="s">
        <v>46564</v>
      </c>
      <c r="E8274" s="8" t="s">
        <v>46565</v>
      </c>
      <c r="F8274" s="8" t="s">
        <v>46566</v>
      </c>
      <c r="G8274" s="6" t="s">
        <v>118</v>
      </c>
      <c r="H8274" s="6" t="s">
        <v>34</v>
      </c>
      <c r="I8274" s="8" t="s">
        <v>2025</v>
      </c>
      <c r="J8274" s="9">
        <v>1</v>
      </c>
      <c r="K8274" s="9">
        <v>186</v>
      </c>
      <c r="L8274" s="9">
        <v>2024</v>
      </c>
      <c r="M8274" s="8" t="s">
        <v>46567</v>
      </c>
      <c r="N8274" s="8" t="s">
        <v>37</v>
      </c>
      <c r="O8274" s="8" t="s">
        <v>280</v>
      </c>
      <c r="P8274" s="6" t="s">
        <v>51</v>
      </c>
      <c r="Q8274" s="8" t="s">
        <v>52</v>
      </c>
      <c r="R8274" s="10" t="s">
        <v>357</v>
      </c>
      <c r="S8274" s="11" t="s">
        <v>46568</v>
      </c>
      <c r="T8274" s="6"/>
      <c r="U8274" s="15" t="str">
        <f>HYPERLINK("https://media.infra-m.ru/2157/2157045/cover/2157045.jpg", "Обложка")</f>
        <v>Обложка</v>
      </c>
      <c r="V8274" s="8" t="s">
        <v>247</v>
      </c>
      <c r="W8274" s="6"/>
      <c r="X8274" s="6"/>
      <c r="Y8274" s="6"/>
      <c r="Z8274" s="6"/>
      <c r="AA8274" s="6" t="s">
        <v>1256</v>
      </c>
      <c r="AB8274" s="8"/>
      <c r="AC8274" s="27">
        <v>9785160149721</v>
      </c>
    </row>
    <row r="8275" spans="1:29" s="4" customFormat="1" ht="51.9" customHeight="1" x14ac:dyDescent="0.2">
      <c r="A8275" s="5">
        <v>0</v>
      </c>
      <c r="B8275" s="6" t="s">
        <v>46569</v>
      </c>
      <c r="C8275" s="7">
        <v>1284</v>
      </c>
      <c r="D8275" s="8" t="s">
        <v>46570</v>
      </c>
      <c r="E8275" s="8" t="s">
        <v>46571</v>
      </c>
      <c r="F8275" s="8" t="s">
        <v>46572</v>
      </c>
      <c r="G8275" s="6" t="s">
        <v>118</v>
      </c>
      <c r="H8275" s="6" t="s">
        <v>241</v>
      </c>
      <c r="I8275" s="8" t="s">
        <v>253</v>
      </c>
      <c r="J8275" s="9">
        <v>1</v>
      </c>
      <c r="K8275" s="9">
        <v>184</v>
      </c>
      <c r="L8275" s="9">
        <v>2026</v>
      </c>
      <c r="M8275" s="8" t="s">
        <v>46573</v>
      </c>
      <c r="N8275" s="8" t="s">
        <v>37</v>
      </c>
      <c r="O8275" s="8" t="s">
        <v>233</v>
      </c>
      <c r="P8275" s="6" t="s">
        <v>306</v>
      </c>
      <c r="Q8275" s="8" t="s">
        <v>52</v>
      </c>
      <c r="R8275" s="10" t="s">
        <v>18280</v>
      </c>
      <c r="S8275" s="11" t="s">
        <v>768</v>
      </c>
      <c r="T8275" s="6"/>
      <c r="U8275" s="15" t="str">
        <f>HYPERLINK("https://media.infra-m.ru/2261/2261224/cover/2261224.jpg", "Обложка")</f>
        <v>Обложка</v>
      </c>
      <c r="V8275" s="8" t="s">
        <v>247</v>
      </c>
      <c r="W8275" s="6"/>
      <c r="X8275" s="6"/>
      <c r="Y8275" s="6"/>
      <c r="Z8275" s="6"/>
      <c r="AA8275" s="6" t="s">
        <v>779</v>
      </c>
      <c r="AB8275" s="8"/>
      <c r="AC8275" s="27">
        <v>9785955804613</v>
      </c>
    </row>
    <row r="8276" spans="1:29" s="4" customFormat="1" ht="51.9" customHeight="1" x14ac:dyDescent="0.2">
      <c r="A8276" s="5">
        <v>0</v>
      </c>
      <c r="B8276" s="6" t="s">
        <v>46574</v>
      </c>
      <c r="C8276" s="13">
        <v>720</v>
      </c>
      <c r="D8276" s="8" t="s">
        <v>46575</v>
      </c>
      <c r="E8276" s="8" t="s">
        <v>46576</v>
      </c>
      <c r="F8276" s="8" t="s">
        <v>46577</v>
      </c>
      <c r="G8276" s="6" t="s">
        <v>33</v>
      </c>
      <c r="H8276" s="6" t="s">
        <v>34</v>
      </c>
      <c r="I8276" s="8" t="s">
        <v>35</v>
      </c>
      <c r="J8276" s="9">
        <v>1</v>
      </c>
      <c r="K8276" s="9">
        <v>157</v>
      </c>
      <c r="L8276" s="9">
        <v>2022</v>
      </c>
      <c r="M8276" s="8" t="s">
        <v>46578</v>
      </c>
      <c r="N8276" s="8" t="s">
        <v>37</v>
      </c>
      <c r="O8276" s="8" t="s">
        <v>280</v>
      </c>
      <c r="P8276" s="6" t="s">
        <v>39</v>
      </c>
      <c r="Q8276" s="8" t="s">
        <v>40</v>
      </c>
      <c r="R8276" s="10" t="s">
        <v>13012</v>
      </c>
      <c r="S8276" s="11"/>
      <c r="T8276" s="6"/>
      <c r="U8276" s="15" t="str">
        <f>HYPERLINK("https://media.infra-m.ru/1850/1850123/cover/1850123.jpg", "Обложка")</f>
        <v>Обложка</v>
      </c>
      <c r="V8276" s="8" t="s">
        <v>3196</v>
      </c>
      <c r="W8276" s="6"/>
      <c r="X8276" s="6"/>
      <c r="Y8276" s="6"/>
      <c r="Z8276" s="6"/>
      <c r="AA8276" s="6" t="s">
        <v>274</v>
      </c>
      <c r="AB8276" s="8"/>
      <c r="AC8276" s="27">
        <v>9785160104058</v>
      </c>
    </row>
    <row r="8277" spans="1:29" s="4" customFormat="1" ht="51.9" customHeight="1" x14ac:dyDescent="0.2">
      <c r="A8277" s="5">
        <v>0</v>
      </c>
      <c r="B8277" s="6" t="s">
        <v>46579</v>
      </c>
      <c r="C8277" s="7">
        <v>2652</v>
      </c>
      <c r="D8277" s="8" t="s">
        <v>46580</v>
      </c>
      <c r="E8277" s="8" t="s">
        <v>46581</v>
      </c>
      <c r="F8277" s="8" t="s">
        <v>46582</v>
      </c>
      <c r="G8277" s="6" t="s">
        <v>60</v>
      </c>
      <c r="H8277" s="6" t="s">
        <v>34</v>
      </c>
      <c r="I8277" s="8" t="s">
        <v>253</v>
      </c>
      <c r="J8277" s="9">
        <v>1</v>
      </c>
      <c r="K8277" s="9">
        <v>402</v>
      </c>
      <c r="L8277" s="9">
        <v>2026</v>
      </c>
      <c r="M8277" s="8" t="s">
        <v>46583</v>
      </c>
      <c r="N8277" s="8" t="s">
        <v>37</v>
      </c>
      <c r="O8277" s="8" t="s">
        <v>280</v>
      </c>
      <c r="P8277" s="6" t="s">
        <v>306</v>
      </c>
      <c r="Q8277" s="8" t="s">
        <v>52</v>
      </c>
      <c r="R8277" s="10" t="s">
        <v>20296</v>
      </c>
      <c r="S8277" s="11" t="s">
        <v>46584</v>
      </c>
      <c r="T8277" s="6"/>
      <c r="U8277" s="15" t="str">
        <f>HYPERLINK("https://media.infra-m.ru/2238/2238698/cover/2238698.jpg", "Обложка")</f>
        <v>Обложка</v>
      </c>
      <c r="V8277" s="8" t="s">
        <v>644</v>
      </c>
      <c r="W8277" s="6"/>
      <c r="X8277" s="6"/>
      <c r="Y8277" s="6"/>
      <c r="Z8277" s="6"/>
      <c r="AA8277" s="6" t="s">
        <v>157</v>
      </c>
      <c r="AB8277" s="8"/>
      <c r="AC8277" s="27">
        <v>9785160189819</v>
      </c>
    </row>
    <row r="8278" spans="1:29" s="4" customFormat="1" ht="51.9" customHeight="1" x14ac:dyDescent="0.2">
      <c r="A8278" s="5">
        <v>0</v>
      </c>
      <c r="B8278" s="6" t="s">
        <v>46585</v>
      </c>
      <c r="C8278" s="7">
        <v>3708</v>
      </c>
      <c r="D8278" s="8" t="s">
        <v>46586</v>
      </c>
      <c r="E8278" s="8" t="s">
        <v>46587</v>
      </c>
      <c r="F8278" s="8" t="s">
        <v>46588</v>
      </c>
      <c r="G8278" s="6" t="s">
        <v>60</v>
      </c>
      <c r="H8278" s="6" t="s">
        <v>34</v>
      </c>
      <c r="I8278" s="8" t="s">
        <v>253</v>
      </c>
      <c r="J8278" s="9">
        <v>1</v>
      </c>
      <c r="K8278" s="9">
        <v>590</v>
      </c>
      <c r="L8278" s="9">
        <v>2025</v>
      </c>
      <c r="M8278" s="8" t="s">
        <v>46589</v>
      </c>
      <c r="N8278" s="8" t="s">
        <v>37</v>
      </c>
      <c r="O8278" s="8" t="s">
        <v>280</v>
      </c>
      <c r="P8278" s="6" t="s">
        <v>306</v>
      </c>
      <c r="Q8278" s="8" t="s">
        <v>52</v>
      </c>
      <c r="R8278" s="10" t="s">
        <v>46590</v>
      </c>
      <c r="S8278" s="11"/>
      <c r="T8278" s="6"/>
      <c r="U8278" s="15" t="str">
        <f>HYPERLINK("https://media.infra-m.ru/2187/2187523/cover/2187523.jpg", "Обложка")</f>
        <v>Обложка</v>
      </c>
      <c r="V8278" s="8" t="s">
        <v>396</v>
      </c>
      <c r="W8278" s="6"/>
      <c r="X8278" s="6"/>
      <c r="Y8278" s="6"/>
      <c r="Z8278" s="6"/>
      <c r="AA8278" s="6" t="s">
        <v>68</v>
      </c>
      <c r="AB8278" s="8"/>
      <c r="AC8278" s="27">
        <v>9785160206622</v>
      </c>
    </row>
    <row r="8279" spans="1:29" s="4" customFormat="1" ht="51.9" customHeight="1" x14ac:dyDescent="0.2">
      <c r="A8279" s="5">
        <v>0</v>
      </c>
      <c r="B8279" s="6" t="s">
        <v>46591</v>
      </c>
      <c r="C8279" s="7">
        <v>2832</v>
      </c>
      <c r="D8279" s="8" t="s">
        <v>46592</v>
      </c>
      <c r="E8279" s="8" t="s">
        <v>46593</v>
      </c>
      <c r="F8279" s="8" t="s">
        <v>46594</v>
      </c>
      <c r="G8279" s="6" t="s">
        <v>60</v>
      </c>
      <c r="H8279" s="6" t="s">
        <v>34</v>
      </c>
      <c r="I8279" s="8" t="s">
        <v>253</v>
      </c>
      <c r="J8279" s="9">
        <v>1</v>
      </c>
      <c r="K8279" s="9">
        <v>430</v>
      </c>
      <c r="L8279" s="9">
        <v>2026</v>
      </c>
      <c r="M8279" s="8" t="s">
        <v>46595</v>
      </c>
      <c r="N8279" s="8" t="s">
        <v>37</v>
      </c>
      <c r="O8279" s="8" t="s">
        <v>280</v>
      </c>
      <c r="P8279" s="6" t="s">
        <v>306</v>
      </c>
      <c r="Q8279" s="8" t="s">
        <v>52</v>
      </c>
      <c r="R8279" s="10" t="s">
        <v>46596</v>
      </c>
      <c r="S8279" s="11" t="s">
        <v>34635</v>
      </c>
      <c r="T8279" s="6"/>
      <c r="U8279" s="15" t="str">
        <f>HYPERLINK("https://media.infra-m.ru/2230/2230671/cover/2230671.jpg", "Обложка")</f>
        <v>Обложка</v>
      </c>
      <c r="V8279" s="8" t="s">
        <v>644</v>
      </c>
      <c r="W8279" s="6"/>
      <c r="X8279" s="6"/>
      <c r="Y8279" s="6"/>
      <c r="Z8279" s="6"/>
      <c r="AA8279" s="6" t="s">
        <v>1047</v>
      </c>
      <c r="AB8279" s="8"/>
      <c r="AC8279" s="27">
        <v>9785160204727</v>
      </c>
    </row>
    <row r="8280" spans="1:29" s="4" customFormat="1" ht="51.9" customHeight="1" x14ac:dyDescent="0.2">
      <c r="A8280" s="5">
        <v>0</v>
      </c>
      <c r="B8280" s="6" t="s">
        <v>46597</v>
      </c>
      <c r="C8280" s="7">
        <v>2472</v>
      </c>
      <c r="D8280" s="8" t="s">
        <v>46598</v>
      </c>
      <c r="E8280" s="8" t="s">
        <v>46599</v>
      </c>
      <c r="F8280" s="8" t="s">
        <v>4576</v>
      </c>
      <c r="G8280" s="6" t="s">
        <v>60</v>
      </c>
      <c r="H8280" s="6" t="s">
        <v>34</v>
      </c>
      <c r="I8280" s="8" t="s">
        <v>253</v>
      </c>
      <c r="J8280" s="9">
        <v>1</v>
      </c>
      <c r="K8280" s="9">
        <v>409</v>
      </c>
      <c r="L8280" s="9">
        <v>2025</v>
      </c>
      <c r="M8280" s="8" t="s">
        <v>46600</v>
      </c>
      <c r="N8280" s="8" t="s">
        <v>37</v>
      </c>
      <c r="O8280" s="8" t="s">
        <v>280</v>
      </c>
      <c r="P8280" s="6" t="s">
        <v>306</v>
      </c>
      <c r="Q8280" s="8" t="s">
        <v>65</v>
      </c>
      <c r="R8280" s="10" t="s">
        <v>46601</v>
      </c>
      <c r="S8280" s="11"/>
      <c r="T8280" s="6"/>
      <c r="U8280" s="15" t="str">
        <f>HYPERLINK("https://media.infra-m.ru/2080/2080065/cover/2080065.jpg", "Обложка")</f>
        <v>Обложка</v>
      </c>
      <c r="V8280" s="8" t="s">
        <v>4579</v>
      </c>
      <c r="W8280" s="6"/>
      <c r="X8280" s="6"/>
      <c r="Y8280" s="6"/>
      <c r="Z8280" s="6"/>
      <c r="AA8280" s="6" t="s">
        <v>68</v>
      </c>
      <c r="AB8280" s="8" t="s">
        <v>46602</v>
      </c>
      <c r="AC8280" s="27">
        <v>9785160189437</v>
      </c>
    </row>
    <row r="8281" spans="1:29" s="4" customFormat="1" ht="51.9" customHeight="1" x14ac:dyDescent="0.2">
      <c r="A8281" s="5">
        <v>0</v>
      </c>
      <c r="B8281" s="6" t="s">
        <v>46603</v>
      </c>
      <c r="C8281" s="7">
        <v>2236.8000000000002</v>
      </c>
      <c r="D8281" s="8" t="s">
        <v>46604</v>
      </c>
      <c r="E8281" s="8" t="s">
        <v>46605</v>
      </c>
      <c r="F8281" s="8" t="s">
        <v>46606</v>
      </c>
      <c r="G8281" s="6" t="s">
        <v>60</v>
      </c>
      <c r="H8281" s="6" t="s">
        <v>34</v>
      </c>
      <c r="I8281" s="8" t="s">
        <v>271</v>
      </c>
      <c r="J8281" s="9">
        <v>1</v>
      </c>
      <c r="K8281" s="9">
        <v>319</v>
      </c>
      <c r="L8281" s="9">
        <v>2027</v>
      </c>
      <c r="M8281" s="8" t="s">
        <v>46607</v>
      </c>
      <c r="N8281" s="8" t="s">
        <v>37</v>
      </c>
      <c r="O8281" s="8" t="s">
        <v>280</v>
      </c>
      <c r="P8281" s="6" t="s">
        <v>51</v>
      </c>
      <c r="Q8281" s="8" t="s">
        <v>52</v>
      </c>
      <c r="R8281" s="10" t="s">
        <v>357</v>
      </c>
      <c r="S8281" s="11" t="s">
        <v>46608</v>
      </c>
      <c r="T8281" s="6"/>
      <c r="U8281" s="15" t="str">
        <f>HYPERLINK("https://media.infra-m.ru/2271/2271623/cover/2271623.jpg", "Обложка")</f>
        <v>Обложка</v>
      </c>
      <c r="V8281" s="8" t="s">
        <v>1505</v>
      </c>
      <c r="W8281" s="6"/>
      <c r="X8281" s="6"/>
      <c r="Y8281" s="6"/>
      <c r="Z8281" s="6"/>
      <c r="AA8281" s="6" t="s">
        <v>1056</v>
      </c>
      <c r="AB8281" s="8"/>
      <c r="AC8281" s="27">
        <v>9785160034720</v>
      </c>
    </row>
    <row r="8282" spans="1:29" s="4" customFormat="1" ht="51.9" customHeight="1" x14ac:dyDescent="0.2">
      <c r="A8282" s="5">
        <v>0</v>
      </c>
      <c r="B8282" s="6" t="s">
        <v>46609</v>
      </c>
      <c r="C8282" s="7">
        <v>1516.8</v>
      </c>
      <c r="D8282" s="8" t="s">
        <v>46610</v>
      </c>
      <c r="E8282" s="8" t="s">
        <v>46611</v>
      </c>
      <c r="F8282" s="8" t="s">
        <v>46612</v>
      </c>
      <c r="G8282" s="6" t="s">
        <v>60</v>
      </c>
      <c r="H8282" s="6" t="s">
        <v>34</v>
      </c>
      <c r="I8282" s="8" t="s">
        <v>7198</v>
      </c>
      <c r="J8282" s="9">
        <v>1</v>
      </c>
      <c r="K8282" s="9">
        <v>230</v>
      </c>
      <c r="L8282" s="9">
        <v>2026</v>
      </c>
      <c r="M8282" s="8" t="s">
        <v>46613</v>
      </c>
      <c r="N8282" s="8" t="s">
        <v>37</v>
      </c>
      <c r="O8282" s="8" t="s">
        <v>280</v>
      </c>
      <c r="P8282" s="6" t="s">
        <v>51</v>
      </c>
      <c r="Q8282" s="8" t="s">
        <v>52</v>
      </c>
      <c r="R8282" s="10" t="s">
        <v>46614</v>
      </c>
      <c r="S8282" s="11" t="s">
        <v>46615</v>
      </c>
      <c r="T8282" s="6"/>
      <c r="U8282" s="15" t="str">
        <f>HYPERLINK("https://media.infra-m.ru/2239/2239112/cover/2239112.jpg", "Обложка")</f>
        <v>Обложка</v>
      </c>
      <c r="V8282" s="8" t="s">
        <v>1083</v>
      </c>
      <c r="W8282" s="6"/>
      <c r="X8282" s="6"/>
      <c r="Y8282" s="6"/>
      <c r="Z8282" s="6"/>
      <c r="AA8282" s="6" t="s">
        <v>86</v>
      </c>
      <c r="AB8282" s="8"/>
      <c r="AC8282" s="27">
        <v>9785160131429</v>
      </c>
    </row>
    <row r="8283" spans="1:29" s="4" customFormat="1" ht="42" customHeight="1" x14ac:dyDescent="0.2">
      <c r="A8283" s="5">
        <v>0</v>
      </c>
      <c r="B8283" s="6" t="s">
        <v>46616</v>
      </c>
      <c r="C8283" s="7">
        <v>2380.8000000000002</v>
      </c>
      <c r="D8283" s="8" t="s">
        <v>46617</v>
      </c>
      <c r="E8283" s="8" t="s">
        <v>46618</v>
      </c>
      <c r="F8283" s="8" t="s">
        <v>43198</v>
      </c>
      <c r="G8283" s="6" t="s">
        <v>60</v>
      </c>
      <c r="H8283" s="6" t="s">
        <v>34</v>
      </c>
      <c r="I8283" s="8" t="s">
        <v>253</v>
      </c>
      <c r="J8283" s="9">
        <v>1</v>
      </c>
      <c r="K8283" s="9">
        <v>349</v>
      </c>
      <c r="L8283" s="9">
        <v>2025</v>
      </c>
      <c r="M8283" s="8" t="s">
        <v>46619</v>
      </c>
      <c r="N8283" s="8" t="s">
        <v>37</v>
      </c>
      <c r="O8283" s="8" t="s">
        <v>280</v>
      </c>
      <c r="P8283" s="6" t="s">
        <v>306</v>
      </c>
      <c r="Q8283" s="8" t="s">
        <v>52</v>
      </c>
      <c r="R8283" s="10" t="s">
        <v>46620</v>
      </c>
      <c r="S8283" s="11"/>
      <c r="T8283" s="6"/>
      <c r="U8283" s="15" t="str">
        <f>HYPERLINK("https://media.infra-m.ru/2236/2236928/cover/2236928.jpg", "Обложка")</f>
        <v>Обложка</v>
      </c>
      <c r="V8283" s="8" t="s">
        <v>5250</v>
      </c>
      <c r="W8283" s="6"/>
      <c r="X8283" s="6"/>
      <c r="Y8283" s="6"/>
      <c r="Z8283" s="6"/>
      <c r="AA8283" s="6" t="s">
        <v>68</v>
      </c>
      <c r="AB8283" s="8" t="s">
        <v>308</v>
      </c>
      <c r="AC8283" s="27">
        <v>9785160213576</v>
      </c>
    </row>
    <row r="8284" spans="1:29" s="4" customFormat="1" ht="51.9" customHeight="1" x14ac:dyDescent="0.2">
      <c r="A8284" s="5">
        <v>0</v>
      </c>
      <c r="B8284" s="6" t="s">
        <v>46621</v>
      </c>
      <c r="C8284" s="7">
        <v>1061.9000000000001</v>
      </c>
      <c r="D8284" s="8" t="s">
        <v>46622</v>
      </c>
      <c r="E8284" s="8" t="s">
        <v>46623</v>
      </c>
      <c r="F8284" s="8" t="s">
        <v>46624</v>
      </c>
      <c r="G8284" s="6" t="s">
        <v>60</v>
      </c>
      <c r="H8284" s="6" t="s">
        <v>34</v>
      </c>
      <c r="I8284" s="8" t="s">
        <v>271</v>
      </c>
      <c r="J8284" s="9">
        <v>1</v>
      </c>
      <c r="K8284" s="9">
        <v>197</v>
      </c>
      <c r="L8284" s="9">
        <v>2023</v>
      </c>
      <c r="M8284" s="8" t="s">
        <v>46625</v>
      </c>
      <c r="N8284" s="8" t="s">
        <v>37</v>
      </c>
      <c r="O8284" s="8" t="s">
        <v>280</v>
      </c>
      <c r="P8284" s="6" t="s">
        <v>51</v>
      </c>
      <c r="Q8284" s="8" t="s">
        <v>52</v>
      </c>
      <c r="R8284" s="10" t="s">
        <v>2459</v>
      </c>
      <c r="S8284" s="11" t="s">
        <v>46626</v>
      </c>
      <c r="T8284" s="6"/>
      <c r="U8284" s="15" t="str">
        <f>HYPERLINK("https://media.infra-m.ru/1981/1981629/cover/1981629.jpg", "Обложка")</f>
        <v>Обложка</v>
      </c>
      <c r="V8284" s="8" t="s">
        <v>4620</v>
      </c>
      <c r="W8284" s="6"/>
      <c r="X8284" s="6"/>
      <c r="Y8284" s="6"/>
      <c r="Z8284" s="6"/>
      <c r="AA8284" s="6" t="s">
        <v>248</v>
      </c>
      <c r="AB8284" s="8"/>
      <c r="AC8284" s="27">
        <v>9785160094007</v>
      </c>
    </row>
    <row r="8285" spans="1:29" s="4" customFormat="1" ht="51.9" customHeight="1" x14ac:dyDescent="0.2">
      <c r="A8285" s="5">
        <v>0</v>
      </c>
      <c r="B8285" s="6" t="s">
        <v>46627</v>
      </c>
      <c r="C8285" s="7">
        <v>2136</v>
      </c>
      <c r="D8285" s="8" t="s">
        <v>46628</v>
      </c>
      <c r="E8285" s="8" t="s">
        <v>46629</v>
      </c>
      <c r="F8285" s="8" t="s">
        <v>46630</v>
      </c>
      <c r="G8285" s="6" t="s">
        <v>118</v>
      </c>
      <c r="H8285" s="6" t="s">
        <v>34</v>
      </c>
      <c r="I8285" s="8" t="s">
        <v>35</v>
      </c>
      <c r="J8285" s="9">
        <v>1</v>
      </c>
      <c r="K8285" s="9">
        <v>332</v>
      </c>
      <c r="L8285" s="9">
        <v>2025</v>
      </c>
      <c r="M8285" s="8" t="s">
        <v>46631</v>
      </c>
      <c r="N8285" s="8" t="s">
        <v>243</v>
      </c>
      <c r="O8285" s="8" t="s">
        <v>933</v>
      </c>
      <c r="P8285" s="6" t="s">
        <v>39</v>
      </c>
      <c r="Q8285" s="8" t="s">
        <v>40</v>
      </c>
      <c r="R8285" s="10" t="s">
        <v>46632</v>
      </c>
      <c r="S8285" s="11"/>
      <c r="T8285" s="6"/>
      <c r="U8285" s="15" t="str">
        <f>HYPERLINK("https://media.infra-m.ru/2186/2186416/cover/2186416.jpg", "Обложка")</f>
        <v>Обложка</v>
      </c>
      <c r="V8285" s="8" t="s">
        <v>46633</v>
      </c>
      <c r="W8285" s="6"/>
      <c r="X8285" s="6"/>
      <c r="Y8285" s="6"/>
      <c r="Z8285" s="6"/>
      <c r="AA8285" s="6" t="s">
        <v>157</v>
      </c>
      <c r="AB8285" s="8" t="s">
        <v>4899</v>
      </c>
      <c r="AC8285" s="27">
        <v>9785160182865</v>
      </c>
    </row>
    <row r="8286" spans="1:29" s="4" customFormat="1" ht="44.1" customHeight="1" x14ac:dyDescent="0.2">
      <c r="A8286" s="5">
        <v>0</v>
      </c>
      <c r="B8286" s="6" t="s">
        <v>46634</v>
      </c>
      <c r="C8286" s="7">
        <v>1637.9</v>
      </c>
      <c r="D8286" s="8" t="s">
        <v>46635</v>
      </c>
      <c r="E8286" s="8" t="s">
        <v>46636</v>
      </c>
      <c r="F8286" s="8" t="s">
        <v>46637</v>
      </c>
      <c r="G8286" s="6" t="s">
        <v>60</v>
      </c>
      <c r="H8286" s="6" t="s">
        <v>34</v>
      </c>
      <c r="I8286" s="8" t="s">
        <v>35</v>
      </c>
      <c r="J8286" s="9">
        <v>1</v>
      </c>
      <c r="K8286" s="9">
        <v>304</v>
      </c>
      <c r="L8286" s="9">
        <v>2023</v>
      </c>
      <c r="M8286" s="8" t="s">
        <v>46638</v>
      </c>
      <c r="N8286" s="8" t="s">
        <v>37</v>
      </c>
      <c r="O8286" s="8" t="s">
        <v>280</v>
      </c>
      <c r="P8286" s="6" t="s">
        <v>39</v>
      </c>
      <c r="Q8286" s="8" t="s">
        <v>40</v>
      </c>
      <c r="R8286" s="10" t="s">
        <v>46639</v>
      </c>
      <c r="S8286" s="11"/>
      <c r="T8286" s="6" t="s">
        <v>97</v>
      </c>
      <c r="U8286" s="15" t="str">
        <f>HYPERLINK("https://media.infra-m.ru/1976/1976192/cover/1976192.jpg", "Обложка")</f>
        <v>Обложка</v>
      </c>
      <c r="V8286" s="8" t="s">
        <v>10938</v>
      </c>
      <c r="W8286" s="6"/>
      <c r="X8286" s="6"/>
      <c r="Y8286" s="6"/>
      <c r="Z8286" s="6"/>
      <c r="AA8286" s="6" t="s">
        <v>1256</v>
      </c>
      <c r="AB8286" s="8"/>
      <c r="AC8286" s="27">
        <v>9785160155791</v>
      </c>
    </row>
    <row r="8287" spans="1:29" s="4" customFormat="1" ht="42" customHeight="1" x14ac:dyDescent="0.2">
      <c r="A8287" s="5">
        <v>0</v>
      </c>
      <c r="B8287" s="6" t="s">
        <v>46640</v>
      </c>
      <c r="C8287" s="7">
        <v>1812</v>
      </c>
      <c r="D8287" s="8" t="s">
        <v>46641</v>
      </c>
      <c r="E8287" s="8" t="s">
        <v>46642</v>
      </c>
      <c r="F8287" s="8" t="s">
        <v>46643</v>
      </c>
      <c r="G8287" s="6" t="s">
        <v>33</v>
      </c>
      <c r="H8287" s="6" t="s">
        <v>34</v>
      </c>
      <c r="I8287" s="8" t="s">
        <v>35</v>
      </c>
      <c r="J8287" s="9">
        <v>1</v>
      </c>
      <c r="K8287" s="9">
        <v>388</v>
      </c>
      <c r="L8287" s="9">
        <v>2022</v>
      </c>
      <c r="M8287" s="8" t="s">
        <v>46644</v>
      </c>
      <c r="N8287" s="8" t="s">
        <v>93</v>
      </c>
      <c r="O8287" s="8" t="s">
        <v>94</v>
      </c>
      <c r="P8287" s="6" t="s">
        <v>39</v>
      </c>
      <c r="Q8287" s="8" t="s">
        <v>40</v>
      </c>
      <c r="R8287" s="10" t="s">
        <v>46645</v>
      </c>
      <c r="S8287" s="11"/>
      <c r="T8287" s="6"/>
      <c r="U8287" s="15" t="str">
        <f>HYPERLINK("https://media.infra-m.ru/1816/1816434/cover/1816434.jpg", "Обложка")</f>
        <v>Обложка</v>
      </c>
      <c r="V8287" s="8" t="s">
        <v>3196</v>
      </c>
      <c r="W8287" s="6"/>
      <c r="X8287" s="6"/>
      <c r="Y8287" s="6"/>
      <c r="Z8287" s="6"/>
      <c r="AA8287" s="6" t="s">
        <v>86</v>
      </c>
      <c r="AB8287" s="8" t="s">
        <v>1317</v>
      </c>
      <c r="AC8287" s="27">
        <v>9785160171487</v>
      </c>
    </row>
    <row r="8288" spans="1:29" s="4" customFormat="1" ht="42" customHeight="1" x14ac:dyDescent="0.2">
      <c r="A8288" s="5">
        <v>0</v>
      </c>
      <c r="B8288" s="6" t="s">
        <v>46646</v>
      </c>
      <c r="C8288" s="7">
        <v>2140.8000000000002</v>
      </c>
      <c r="D8288" s="8" t="s">
        <v>46647</v>
      </c>
      <c r="E8288" s="8" t="s">
        <v>46642</v>
      </c>
      <c r="F8288" s="8" t="s">
        <v>46643</v>
      </c>
      <c r="G8288" s="6" t="s">
        <v>60</v>
      </c>
      <c r="H8288" s="6" t="s">
        <v>34</v>
      </c>
      <c r="I8288" s="8" t="s">
        <v>35</v>
      </c>
      <c r="J8288" s="9">
        <v>1</v>
      </c>
      <c r="K8288" s="9">
        <v>388</v>
      </c>
      <c r="L8288" s="9">
        <v>2024</v>
      </c>
      <c r="M8288" s="8" t="s">
        <v>46648</v>
      </c>
      <c r="N8288" s="8" t="s">
        <v>93</v>
      </c>
      <c r="O8288" s="8" t="s">
        <v>94</v>
      </c>
      <c r="P8288" s="6" t="s">
        <v>39</v>
      </c>
      <c r="Q8288" s="8" t="s">
        <v>40</v>
      </c>
      <c r="R8288" s="10" t="s">
        <v>46645</v>
      </c>
      <c r="S8288" s="11"/>
      <c r="T8288" s="6"/>
      <c r="U8288" s="15" t="str">
        <f>HYPERLINK("https://media.infra-m.ru/2110/2110933/cover/2110933.jpg", "Обложка")</f>
        <v>Обложка</v>
      </c>
      <c r="V8288" s="8" t="s">
        <v>3196</v>
      </c>
      <c r="W8288" s="6"/>
      <c r="X8288" s="6"/>
      <c r="Y8288" s="6"/>
      <c r="Z8288" s="6"/>
      <c r="AA8288" s="6" t="s">
        <v>86</v>
      </c>
      <c r="AB8288" s="8" t="s">
        <v>1317</v>
      </c>
      <c r="AC8288" s="27">
        <v>9785160139371</v>
      </c>
    </row>
    <row r="8289" spans="1:29" s="4" customFormat="1" ht="51.9" customHeight="1" x14ac:dyDescent="0.2">
      <c r="A8289" s="5">
        <v>0</v>
      </c>
      <c r="B8289" s="6" t="s">
        <v>46649</v>
      </c>
      <c r="C8289" s="7">
        <v>1452</v>
      </c>
      <c r="D8289" s="8" t="s">
        <v>46650</v>
      </c>
      <c r="E8289" s="8" t="s">
        <v>46651</v>
      </c>
      <c r="F8289" s="8" t="s">
        <v>46652</v>
      </c>
      <c r="G8289" s="6" t="s">
        <v>118</v>
      </c>
      <c r="H8289" s="6" t="s">
        <v>34</v>
      </c>
      <c r="I8289" s="8" t="s">
        <v>35</v>
      </c>
      <c r="J8289" s="9">
        <v>1</v>
      </c>
      <c r="K8289" s="9">
        <v>263</v>
      </c>
      <c r="L8289" s="9">
        <v>2023</v>
      </c>
      <c r="M8289" s="8" t="s">
        <v>46653</v>
      </c>
      <c r="N8289" s="8" t="s">
        <v>37</v>
      </c>
      <c r="O8289" s="8" t="s">
        <v>280</v>
      </c>
      <c r="P8289" s="6" t="s">
        <v>39</v>
      </c>
      <c r="Q8289" s="8" t="s">
        <v>40</v>
      </c>
      <c r="R8289" s="10" t="s">
        <v>46654</v>
      </c>
      <c r="S8289" s="11"/>
      <c r="T8289" s="6"/>
      <c r="U8289" s="15" t="str">
        <f>HYPERLINK("https://media.infra-m.ru/2126/2126768/cover/2126768.jpg", "Обложка")</f>
        <v>Обложка</v>
      </c>
      <c r="V8289" s="8" t="s">
        <v>3196</v>
      </c>
      <c r="W8289" s="6"/>
      <c r="X8289" s="6"/>
      <c r="Y8289" s="6"/>
      <c r="Z8289" s="6"/>
      <c r="AA8289" s="6" t="s">
        <v>86</v>
      </c>
      <c r="AB8289" s="8"/>
      <c r="AC8289" s="27">
        <v>9785160137223</v>
      </c>
    </row>
    <row r="8290" spans="1:29" s="4" customFormat="1" ht="51.9" customHeight="1" x14ac:dyDescent="0.2">
      <c r="A8290" s="5">
        <v>0</v>
      </c>
      <c r="B8290" s="6" t="s">
        <v>46655</v>
      </c>
      <c r="C8290" s="7">
        <v>1224</v>
      </c>
      <c r="D8290" s="8" t="s">
        <v>46656</v>
      </c>
      <c r="E8290" s="8" t="s">
        <v>46657</v>
      </c>
      <c r="F8290" s="8" t="s">
        <v>46658</v>
      </c>
      <c r="G8290" s="6" t="s">
        <v>33</v>
      </c>
      <c r="H8290" s="6" t="s">
        <v>34</v>
      </c>
      <c r="I8290" s="8" t="s">
        <v>253</v>
      </c>
      <c r="J8290" s="9">
        <v>1</v>
      </c>
      <c r="K8290" s="9">
        <v>210</v>
      </c>
      <c r="L8290" s="9">
        <v>2024</v>
      </c>
      <c r="M8290" s="8" t="s">
        <v>46659</v>
      </c>
      <c r="N8290" s="8" t="s">
        <v>37</v>
      </c>
      <c r="O8290" s="8" t="s">
        <v>280</v>
      </c>
      <c r="P8290" s="6" t="s">
        <v>51</v>
      </c>
      <c r="Q8290" s="8" t="s">
        <v>52</v>
      </c>
      <c r="R8290" s="10" t="s">
        <v>2134</v>
      </c>
      <c r="S8290" s="11" t="s">
        <v>46660</v>
      </c>
      <c r="T8290" s="6"/>
      <c r="U8290" s="15" t="str">
        <f>HYPERLINK("https://media.infra-m.ru/2078/2078393/cover/2078393.jpg", "Обложка")</f>
        <v>Обложка</v>
      </c>
      <c r="V8290" s="8" t="s">
        <v>3196</v>
      </c>
      <c r="W8290" s="6"/>
      <c r="X8290" s="6"/>
      <c r="Y8290" s="6"/>
      <c r="Z8290" s="6"/>
      <c r="AA8290" s="6" t="s">
        <v>1117</v>
      </c>
      <c r="AB8290" s="8"/>
      <c r="AC8290" s="27">
        <v>9785160189345</v>
      </c>
    </row>
    <row r="8291" spans="1:29" s="4" customFormat="1" ht="51.9" customHeight="1" x14ac:dyDescent="0.2">
      <c r="A8291" s="5">
        <v>0</v>
      </c>
      <c r="B8291" s="6" t="s">
        <v>46661</v>
      </c>
      <c r="C8291" s="13">
        <v>708</v>
      </c>
      <c r="D8291" s="8" t="s">
        <v>46662</v>
      </c>
      <c r="E8291" s="8" t="s">
        <v>46663</v>
      </c>
      <c r="F8291" s="8" t="s">
        <v>46658</v>
      </c>
      <c r="G8291" s="6" t="s">
        <v>33</v>
      </c>
      <c r="H8291" s="6" t="s">
        <v>34</v>
      </c>
      <c r="I8291" s="8" t="s">
        <v>271</v>
      </c>
      <c r="J8291" s="9">
        <v>1</v>
      </c>
      <c r="K8291" s="9">
        <v>210</v>
      </c>
      <c r="L8291" s="9">
        <v>2018</v>
      </c>
      <c r="M8291" s="8" t="s">
        <v>46664</v>
      </c>
      <c r="N8291" s="8" t="s">
        <v>37</v>
      </c>
      <c r="O8291" s="8" t="s">
        <v>280</v>
      </c>
      <c r="P8291" s="6" t="s">
        <v>51</v>
      </c>
      <c r="Q8291" s="8" t="s">
        <v>52</v>
      </c>
      <c r="R8291" s="10" t="s">
        <v>2134</v>
      </c>
      <c r="S8291" s="11" t="s">
        <v>46660</v>
      </c>
      <c r="T8291" s="6"/>
      <c r="U8291" s="15" t="str">
        <f>HYPERLINK("https://media.infra-m.ru/0930/0930918/cover/930918.jpg", "Обложка")</f>
        <v>Обложка</v>
      </c>
      <c r="V8291" s="8" t="s">
        <v>3196</v>
      </c>
      <c r="W8291" s="6"/>
      <c r="X8291" s="6"/>
      <c r="Y8291" s="6"/>
      <c r="Z8291" s="6"/>
      <c r="AA8291" s="6" t="s">
        <v>623</v>
      </c>
      <c r="AB8291" s="8"/>
      <c r="AC8291" s="27">
        <v>9785160117492</v>
      </c>
    </row>
    <row r="8292" spans="1:29" s="4" customFormat="1" ht="42" customHeight="1" x14ac:dyDescent="0.2">
      <c r="A8292" s="5">
        <v>0</v>
      </c>
      <c r="B8292" s="6" t="s">
        <v>46665</v>
      </c>
      <c r="C8292" s="7">
        <v>1248</v>
      </c>
      <c r="D8292" s="8" t="s">
        <v>46666</v>
      </c>
      <c r="E8292" s="8" t="s">
        <v>46667</v>
      </c>
      <c r="F8292" s="8" t="s">
        <v>41853</v>
      </c>
      <c r="G8292" s="6" t="s">
        <v>60</v>
      </c>
      <c r="H8292" s="6" t="s">
        <v>34</v>
      </c>
      <c r="I8292" s="8" t="s">
        <v>253</v>
      </c>
      <c r="J8292" s="9">
        <v>1</v>
      </c>
      <c r="K8292" s="9">
        <v>193</v>
      </c>
      <c r="L8292" s="9">
        <v>2025</v>
      </c>
      <c r="M8292" s="8" t="s">
        <v>46668</v>
      </c>
      <c r="N8292" s="8" t="s">
        <v>37</v>
      </c>
      <c r="O8292" s="8" t="s">
        <v>280</v>
      </c>
      <c r="P8292" s="6" t="s">
        <v>51</v>
      </c>
      <c r="Q8292" s="8" t="s">
        <v>52</v>
      </c>
      <c r="R8292" s="10" t="s">
        <v>2134</v>
      </c>
      <c r="S8292" s="11"/>
      <c r="T8292" s="6"/>
      <c r="U8292" s="15" t="str">
        <f>HYPERLINK("https://media.infra-m.ru/2160/2160985/cover/2160985.jpg", "Обложка")</f>
        <v>Обложка</v>
      </c>
      <c r="V8292" s="8" t="s">
        <v>3196</v>
      </c>
      <c r="W8292" s="6"/>
      <c r="X8292" s="6"/>
      <c r="Y8292" s="6"/>
      <c r="Z8292" s="6"/>
      <c r="AA8292" s="6" t="s">
        <v>2182</v>
      </c>
      <c r="AB8292" s="8"/>
      <c r="AC8292" s="27">
        <v>9785160201320</v>
      </c>
    </row>
    <row r="8293" spans="1:29" s="4" customFormat="1" ht="51.9" customHeight="1" x14ac:dyDescent="0.2">
      <c r="A8293" s="5">
        <v>0</v>
      </c>
      <c r="B8293" s="6" t="s">
        <v>46669</v>
      </c>
      <c r="C8293" s="7">
        <v>1672.8</v>
      </c>
      <c r="D8293" s="8" t="s">
        <v>46670</v>
      </c>
      <c r="E8293" s="8" t="s">
        <v>46671</v>
      </c>
      <c r="F8293" s="8" t="s">
        <v>46672</v>
      </c>
      <c r="G8293" s="6" t="s">
        <v>33</v>
      </c>
      <c r="H8293" s="6" t="s">
        <v>34</v>
      </c>
      <c r="I8293" s="8" t="s">
        <v>271</v>
      </c>
      <c r="J8293" s="9">
        <v>1</v>
      </c>
      <c r="K8293" s="9">
        <v>304</v>
      </c>
      <c r="L8293" s="9">
        <v>2024</v>
      </c>
      <c r="M8293" s="8" t="s">
        <v>46673</v>
      </c>
      <c r="N8293" s="8" t="s">
        <v>37</v>
      </c>
      <c r="O8293" s="8" t="s">
        <v>280</v>
      </c>
      <c r="P8293" s="6" t="s">
        <v>51</v>
      </c>
      <c r="Q8293" s="8" t="s">
        <v>52</v>
      </c>
      <c r="R8293" s="10" t="s">
        <v>11945</v>
      </c>
      <c r="S8293" s="11" t="s">
        <v>46674</v>
      </c>
      <c r="T8293" s="6"/>
      <c r="U8293" s="15" t="str">
        <f>HYPERLINK("https://media.infra-m.ru/2126/2126327/cover/2126327.jpg", "Обложка")</f>
        <v>Обложка</v>
      </c>
      <c r="V8293" s="8" t="s">
        <v>761</v>
      </c>
      <c r="W8293" s="6"/>
      <c r="X8293" s="6"/>
      <c r="Y8293" s="6"/>
      <c r="Z8293" s="6"/>
      <c r="AA8293" s="6" t="s">
        <v>874</v>
      </c>
      <c r="AB8293" s="8"/>
      <c r="AC8293" s="27">
        <v>9785160098135</v>
      </c>
    </row>
    <row r="8294" spans="1:29" s="4" customFormat="1" ht="51.9" customHeight="1" x14ac:dyDescent="0.2">
      <c r="A8294" s="5">
        <v>0</v>
      </c>
      <c r="B8294" s="6" t="s">
        <v>46675</v>
      </c>
      <c r="C8294" s="7">
        <v>1320</v>
      </c>
      <c r="D8294" s="8" t="s">
        <v>46676</v>
      </c>
      <c r="E8294" s="8" t="s">
        <v>46677</v>
      </c>
      <c r="F8294" s="8" t="s">
        <v>46678</v>
      </c>
      <c r="G8294" s="6" t="s">
        <v>60</v>
      </c>
      <c r="H8294" s="6" t="s">
        <v>34</v>
      </c>
      <c r="I8294" s="8" t="s">
        <v>271</v>
      </c>
      <c r="J8294" s="9">
        <v>1</v>
      </c>
      <c r="K8294" s="9">
        <v>379</v>
      </c>
      <c r="L8294" s="9">
        <v>2018</v>
      </c>
      <c r="M8294" s="8" t="s">
        <v>46679</v>
      </c>
      <c r="N8294" s="8" t="s">
        <v>37</v>
      </c>
      <c r="O8294" s="8" t="s">
        <v>280</v>
      </c>
      <c r="P8294" s="6" t="s">
        <v>306</v>
      </c>
      <c r="Q8294" s="8" t="s">
        <v>52</v>
      </c>
      <c r="R8294" s="10" t="s">
        <v>1503</v>
      </c>
      <c r="S8294" s="11" t="s">
        <v>46680</v>
      </c>
      <c r="T8294" s="6"/>
      <c r="U8294" s="15" t="str">
        <f>HYPERLINK("https://media.infra-m.ru/0937/0937628/cover/937628.jpg", "Обложка")</f>
        <v>Обложка</v>
      </c>
      <c r="V8294" s="8" t="s">
        <v>3196</v>
      </c>
      <c r="W8294" s="6"/>
      <c r="X8294" s="6"/>
      <c r="Y8294" s="6"/>
      <c r="Z8294" s="6"/>
      <c r="AA8294" s="6" t="s">
        <v>2311</v>
      </c>
      <c r="AB8294" s="8"/>
      <c r="AC8294" s="27">
        <v>9785160090764</v>
      </c>
    </row>
    <row r="8295" spans="1:29" s="4" customFormat="1" ht="51.9" customHeight="1" x14ac:dyDescent="0.2">
      <c r="A8295" s="5">
        <v>0</v>
      </c>
      <c r="B8295" s="6" t="s">
        <v>46681</v>
      </c>
      <c r="C8295" s="7">
        <v>2688</v>
      </c>
      <c r="D8295" s="8" t="s">
        <v>46682</v>
      </c>
      <c r="E8295" s="8" t="s">
        <v>46683</v>
      </c>
      <c r="F8295" s="8" t="s">
        <v>46684</v>
      </c>
      <c r="G8295" s="6" t="s">
        <v>60</v>
      </c>
      <c r="H8295" s="6" t="s">
        <v>34</v>
      </c>
      <c r="I8295" s="8" t="s">
        <v>304</v>
      </c>
      <c r="J8295" s="9">
        <v>1</v>
      </c>
      <c r="K8295" s="9">
        <v>446</v>
      </c>
      <c r="L8295" s="9">
        <v>2024</v>
      </c>
      <c r="M8295" s="8" t="s">
        <v>46685</v>
      </c>
      <c r="N8295" s="8" t="s">
        <v>37</v>
      </c>
      <c r="O8295" s="8" t="s">
        <v>280</v>
      </c>
      <c r="P8295" s="6" t="s">
        <v>306</v>
      </c>
      <c r="Q8295" s="8" t="s">
        <v>65</v>
      </c>
      <c r="R8295" s="10" t="s">
        <v>46686</v>
      </c>
      <c r="S8295" s="11"/>
      <c r="T8295" s="6"/>
      <c r="U8295" s="15" t="str">
        <f>HYPERLINK("https://media.infra-m.ru/2129/2129221/cover/2129221.jpg", "Обложка")</f>
        <v>Обложка</v>
      </c>
      <c r="V8295" s="8" t="s">
        <v>247</v>
      </c>
      <c r="W8295" s="6"/>
      <c r="X8295" s="6"/>
      <c r="Y8295" s="6"/>
      <c r="Z8295" s="6"/>
      <c r="AA8295" s="6" t="s">
        <v>76</v>
      </c>
      <c r="AB8295" s="8" t="s">
        <v>2208</v>
      </c>
      <c r="AC8295" s="27">
        <v>9785160195643</v>
      </c>
    </row>
    <row r="8296" spans="1:29" s="4" customFormat="1" ht="51.9" customHeight="1" x14ac:dyDescent="0.2">
      <c r="A8296" s="5">
        <v>0</v>
      </c>
      <c r="B8296" s="6" t="s">
        <v>46687</v>
      </c>
      <c r="C8296" s="7">
        <v>2140.8000000000002</v>
      </c>
      <c r="D8296" s="8" t="s">
        <v>46688</v>
      </c>
      <c r="E8296" s="8" t="s">
        <v>46689</v>
      </c>
      <c r="F8296" s="8" t="s">
        <v>46678</v>
      </c>
      <c r="G8296" s="6" t="s">
        <v>118</v>
      </c>
      <c r="H8296" s="6" t="s">
        <v>34</v>
      </c>
      <c r="I8296" s="8" t="s">
        <v>271</v>
      </c>
      <c r="J8296" s="9">
        <v>1</v>
      </c>
      <c r="K8296" s="9">
        <v>379</v>
      </c>
      <c r="L8296" s="9">
        <v>2024</v>
      </c>
      <c r="M8296" s="8" t="s">
        <v>46690</v>
      </c>
      <c r="N8296" s="8" t="s">
        <v>37</v>
      </c>
      <c r="O8296" s="8" t="s">
        <v>280</v>
      </c>
      <c r="P8296" s="6" t="s">
        <v>306</v>
      </c>
      <c r="Q8296" s="8" t="s">
        <v>52</v>
      </c>
      <c r="R8296" s="10" t="s">
        <v>1503</v>
      </c>
      <c r="S8296" s="11" t="s">
        <v>46680</v>
      </c>
      <c r="T8296" s="6"/>
      <c r="U8296" s="15" t="str">
        <f>HYPERLINK("https://media.infra-m.ru/2143/2143105/cover/2143105.jpg", "Обложка")</f>
        <v>Обложка</v>
      </c>
      <c r="V8296" s="8" t="s">
        <v>3196</v>
      </c>
      <c r="W8296" s="6"/>
      <c r="X8296" s="6"/>
      <c r="Y8296" s="6"/>
      <c r="Z8296" s="6"/>
      <c r="AA8296" s="6" t="s">
        <v>6898</v>
      </c>
      <c r="AB8296" s="8"/>
      <c r="AC8296" s="27">
        <v>9785160159010</v>
      </c>
    </row>
    <row r="8297" spans="1:29" s="4" customFormat="1" ht="42" customHeight="1" x14ac:dyDescent="0.2">
      <c r="A8297" s="5">
        <v>0</v>
      </c>
      <c r="B8297" s="6" t="s">
        <v>46691</v>
      </c>
      <c r="C8297" s="7">
        <v>2232</v>
      </c>
      <c r="D8297" s="8" t="s">
        <v>46692</v>
      </c>
      <c r="E8297" s="8" t="s">
        <v>46693</v>
      </c>
      <c r="F8297" s="8" t="s">
        <v>46694</v>
      </c>
      <c r="G8297" s="6" t="s">
        <v>60</v>
      </c>
      <c r="H8297" s="6" t="s">
        <v>34</v>
      </c>
      <c r="I8297" s="8" t="s">
        <v>253</v>
      </c>
      <c r="J8297" s="9">
        <v>1</v>
      </c>
      <c r="K8297" s="9">
        <v>371</v>
      </c>
      <c r="L8297" s="9">
        <v>2025</v>
      </c>
      <c r="M8297" s="8" t="s">
        <v>46695</v>
      </c>
      <c r="N8297" s="8" t="s">
        <v>37</v>
      </c>
      <c r="O8297" s="8" t="s">
        <v>280</v>
      </c>
      <c r="P8297" s="6" t="s">
        <v>306</v>
      </c>
      <c r="Q8297" s="8" t="s">
        <v>52</v>
      </c>
      <c r="R8297" s="10" t="s">
        <v>1503</v>
      </c>
      <c r="S8297" s="11"/>
      <c r="T8297" s="6"/>
      <c r="U8297" s="15" t="str">
        <f>HYPERLINK("https://media.infra-m.ru/2157/2157178/cover/2157178.jpg", "Обложка")</f>
        <v>Обложка</v>
      </c>
      <c r="V8297" s="8" t="s">
        <v>3196</v>
      </c>
      <c r="W8297" s="6"/>
      <c r="X8297" s="6"/>
      <c r="Y8297" s="6"/>
      <c r="Z8297" s="6"/>
      <c r="AA8297" s="6" t="s">
        <v>5423</v>
      </c>
      <c r="AB8297" s="8"/>
      <c r="AC8297" s="27">
        <v>9785160200705</v>
      </c>
    </row>
    <row r="8298" spans="1:29" s="4" customFormat="1" ht="51.9" customHeight="1" x14ac:dyDescent="0.2">
      <c r="A8298" s="5">
        <v>0</v>
      </c>
      <c r="B8298" s="6" t="s">
        <v>46696</v>
      </c>
      <c r="C8298" s="7">
        <v>1560</v>
      </c>
      <c r="D8298" s="8" t="s">
        <v>46697</v>
      </c>
      <c r="E8298" s="8" t="s">
        <v>46683</v>
      </c>
      <c r="F8298" s="8" t="s">
        <v>46698</v>
      </c>
      <c r="G8298" s="6" t="s">
        <v>60</v>
      </c>
      <c r="H8298" s="6" t="s">
        <v>34</v>
      </c>
      <c r="I8298" s="8" t="s">
        <v>253</v>
      </c>
      <c r="J8298" s="9">
        <v>1</v>
      </c>
      <c r="K8298" s="9">
        <v>259</v>
      </c>
      <c r="L8298" s="9">
        <v>2025</v>
      </c>
      <c r="M8298" s="8" t="s">
        <v>46699</v>
      </c>
      <c r="N8298" s="8" t="s">
        <v>37</v>
      </c>
      <c r="O8298" s="8" t="s">
        <v>280</v>
      </c>
      <c r="P8298" s="6" t="s">
        <v>51</v>
      </c>
      <c r="Q8298" s="8" t="s">
        <v>52</v>
      </c>
      <c r="R8298" s="10" t="s">
        <v>46700</v>
      </c>
      <c r="S8298" s="11"/>
      <c r="T8298" s="6"/>
      <c r="U8298" s="15" t="str">
        <f>HYPERLINK("https://media.infra-m.ru/1859/1859856/cover/1859856.jpg", "Обложка")</f>
        <v>Обложка</v>
      </c>
      <c r="V8298" s="8" t="s">
        <v>12203</v>
      </c>
      <c r="W8298" s="6"/>
      <c r="X8298" s="6"/>
      <c r="Y8298" s="6"/>
      <c r="Z8298" s="6"/>
      <c r="AA8298" s="6" t="s">
        <v>68</v>
      </c>
      <c r="AB8298" s="8"/>
      <c r="AC8298" s="27">
        <v>9785160175201</v>
      </c>
    </row>
    <row r="8299" spans="1:29" s="4" customFormat="1" ht="51.9" customHeight="1" x14ac:dyDescent="0.2">
      <c r="A8299" s="5">
        <v>0</v>
      </c>
      <c r="B8299" s="6" t="s">
        <v>46701</v>
      </c>
      <c r="C8299" s="7">
        <v>1673.9</v>
      </c>
      <c r="D8299" s="8" t="s">
        <v>46702</v>
      </c>
      <c r="E8299" s="8" t="s">
        <v>46703</v>
      </c>
      <c r="F8299" s="8" t="s">
        <v>46704</v>
      </c>
      <c r="G8299" s="6" t="s">
        <v>60</v>
      </c>
      <c r="H8299" s="6" t="s">
        <v>34</v>
      </c>
      <c r="I8299" s="8" t="s">
        <v>35</v>
      </c>
      <c r="J8299" s="9">
        <v>1</v>
      </c>
      <c r="K8299" s="9">
        <v>357</v>
      </c>
      <c r="L8299" s="9">
        <v>2022</v>
      </c>
      <c r="M8299" s="8" t="s">
        <v>46705</v>
      </c>
      <c r="N8299" s="8" t="s">
        <v>37</v>
      </c>
      <c r="O8299" s="8" t="s">
        <v>280</v>
      </c>
      <c r="P8299" s="6" t="s">
        <v>39</v>
      </c>
      <c r="Q8299" s="8" t="s">
        <v>40</v>
      </c>
      <c r="R8299" s="10" t="s">
        <v>357</v>
      </c>
      <c r="S8299" s="11"/>
      <c r="T8299" s="6"/>
      <c r="U8299" s="15" t="str">
        <f>HYPERLINK("https://media.infra-m.ru/1817/1817947/cover/1817947.jpg", "Обложка")</f>
        <v>Обложка</v>
      </c>
      <c r="V8299" s="8" t="s">
        <v>3428</v>
      </c>
      <c r="W8299" s="6"/>
      <c r="X8299" s="6"/>
      <c r="Y8299" s="6"/>
      <c r="Z8299" s="6"/>
      <c r="AA8299" s="6" t="s">
        <v>1047</v>
      </c>
      <c r="AB8299" s="8"/>
      <c r="AC8299" s="27">
        <v>9785160030753</v>
      </c>
    </row>
    <row r="8300" spans="1:29" s="4" customFormat="1" ht="51.9" customHeight="1" x14ac:dyDescent="0.2">
      <c r="A8300" s="5">
        <v>0</v>
      </c>
      <c r="B8300" s="6" t="s">
        <v>46706</v>
      </c>
      <c r="C8300" s="7">
        <v>1476</v>
      </c>
      <c r="D8300" s="8" t="s">
        <v>46707</v>
      </c>
      <c r="E8300" s="8" t="s">
        <v>46708</v>
      </c>
      <c r="F8300" s="8" t="s">
        <v>15650</v>
      </c>
      <c r="G8300" s="6" t="s">
        <v>118</v>
      </c>
      <c r="H8300" s="6" t="s">
        <v>34</v>
      </c>
      <c r="I8300" s="8" t="s">
        <v>253</v>
      </c>
      <c r="J8300" s="9">
        <v>1</v>
      </c>
      <c r="K8300" s="9">
        <v>223</v>
      </c>
      <c r="L8300" s="9">
        <v>2026</v>
      </c>
      <c r="M8300" s="8" t="s">
        <v>46709</v>
      </c>
      <c r="N8300" s="8" t="s">
        <v>37</v>
      </c>
      <c r="O8300" s="8" t="s">
        <v>233</v>
      </c>
      <c r="P8300" s="6" t="s">
        <v>306</v>
      </c>
      <c r="Q8300" s="8" t="s">
        <v>52</v>
      </c>
      <c r="R8300" s="10" t="s">
        <v>40779</v>
      </c>
      <c r="S8300" s="11" t="s">
        <v>46710</v>
      </c>
      <c r="T8300" s="6"/>
      <c r="U8300" s="15" t="str">
        <f>HYPERLINK("https://media.infra-m.ru/2236/2236184/cover/2236184.jpg", "Обложка")</f>
        <v>Обложка</v>
      </c>
      <c r="V8300" s="8" t="s">
        <v>3177</v>
      </c>
      <c r="W8300" s="6"/>
      <c r="X8300" s="6"/>
      <c r="Y8300" s="6"/>
      <c r="Z8300" s="6"/>
      <c r="AA8300" s="6" t="s">
        <v>779</v>
      </c>
      <c r="AB8300" s="8"/>
      <c r="AC8300" s="27">
        <v>9785160217123</v>
      </c>
    </row>
    <row r="8301" spans="1:29" s="4" customFormat="1" ht="51.9" customHeight="1" x14ac:dyDescent="0.2">
      <c r="A8301" s="5">
        <v>0</v>
      </c>
      <c r="B8301" s="6" t="s">
        <v>46711</v>
      </c>
      <c r="C8301" s="7">
        <v>1032</v>
      </c>
      <c r="D8301" s="8" t="s">
        <v>46712</v>
      </c>
      <c r="E8301" s="8" t="s">
        <v>46713</v>
      </c>
      <c r="F8301" s="8" t="s">
        <v>46714</v>
      </c>
      <c r="G8301" s="6" t="s">
        <v>118</v>
      </c>
      <c r="H8301" s="6" t="s">
        <v>34</v>
      </c>
      <c r="I8301" s="8" t="s">
        <v>7198</v>
      </c>
      <c r="J8301" s="9">
        <v>1</v>
      </c>
      <c r="K8301" s="9">
        <v>166</v>
      </c>
      <c r="L8301" s="9">
        <v>2023</v>
      </c>
      <c r="M8301" s="8" t="s">
        <v>46715</v>
      </c>
      <c r="N8301" s="8" t="s">
        <v>37</v>
      </c>
      <c r="O8301" s="8" t="s">
        <v>280</v>
      </c>
      <c r="P8301" s="6" t="s">
        <v>51</v>
      </c>
      <c r="Q8301" s="8" t="s">
        <v>52</v>
      </c>
      <c r="R8301" s="10" t="s">
        <v>12648</v>
      </c>
      <c r="S8301" s="11" t="s">
        <v>46716</v>
      </c>
      <c r="T8301" s="6"/>
      <c r="U8301" s="15" t="str">
        <f>HYPERLINK("https://media.infra-m.ru/1939/1939951/cover/1939951.jpg", "Обложка")</f>
        <v>Обложка</v>
      </c>
      <c r="V8301" s="8"/>
      <c r="W8301" s="6"/>
      <c r="X8301" s="6"/>
      <c r="Y8301" s="6"/>
      <c r="Z8301" s="6"/>
      <c r="AA8301" s="6" t="s">
        <v>157</v>
      </c>
      <c r="AB8301" s="8"/>
      <c r="AC8301" s="27">
        <v>9785160180878</v>
      </c>
    </row>
    <row r="8302" spans="1:29" s="4" customFormat="1" ht="51.9" customHeight="1" x14ac:dyDescent="0.2">
      <c r="A8302" s="5">
        <v>0</v>
      </c>
      <c r="B8302" s="6" t="s">
        <v>46717</v>
      </c>
      <c r="C8302" s="7">
        <v>1900.8</v>
      </c>
      <c r="D8302" s="8" t="s">
        <v>46718</v>
      </c>
      <c r="E8302" s="8" t="s">
        <v>46719</v>
      </c>
      <c r="F8302" s="8" t="s">
        <v>46720</v>
      </c>
      <c r="G8302" s="6" t="s">
        <v>60</v>
      </c>
      <c r="H8302" s="6" t="s">
        <v>34</v>
      </c>
      <c r="I8302" s="8" t="s">
        <v>271</v>
      </c>
      <c r="J8302" s="9">
        <v>1</v>
      </c>
      <c r="K8302" s="9">
        <v>336</v>
      </c>
      <c r="L8302" s="9">
        <v>2024</v>
      </c>
      <c r="M8302" s="8" t="s">
        <v>46721</v>
      </c>
      <c r="N8302" s="8" t="s">
        <v>37</v>
      </c>
      <c r="O8302" s="8" t="s">
        <v>280</v>
      </c>
      <c r="P8302" s="6" t="s">
        <v>51</v>
      </c>
      <c r="Q8302" s="8" t="s">
        <v>52</v>
      </c>
      <c r="R8302" s="10" t="s">
        <v>21135</v>
      </c>
      <c r="S8302" s="11" t="s">
        <v>16802</v>
      </c>
      <c r="T8302" s="6"/>
      <c r="U8302" s="15" t="str">
        <f>HYPERLINK("https://media.infra-m.ru/2126/2126325/cover/2126325.jpg", "Обложка")</f>
        <v>Обложка</v>
      </c>
      <c r="V8302" s="8" t="s">
        <v>18346</v>
      </c>
      <c r="W8302" s="6"/>
      <c r="X8302" s="6"/>
      <c r="Y8302" s="6"/>
      <c r="Z8302" s="6"/>
      <c r="AA8302" s="6" t="s">
        <v>561</v>
      </c>
      <c r="AB8302" s="8"/>
      <c r="AC8302" s="27">
        <v>9785160101057</v>
      </c>
    </row>
    <row r="8303" spans="1:29" s="4" customFormat="1" ht="51.9" customHeight="1" x14ac:dyDescent="0.2">
      <c r="A8303" s="5">
        <v>0</v>
      </c>
      <c r="B8303" s="6" t="s">
        <v>46722</v>
      </c>
      <c r="C8303" s="7">
        <v>1284</v>
      </c>
      <c r="D8303" s="8" t="s">
        <v>46723</v>
      </c>
      <c r="E8303" s="8" t="s">
        <v>46724</v>
      </c>
      <c r="F8303" s="8" t="s">
        <v>46725</v>
      </c>
      <c r="G8303" s="6" t="s">
        <v>60</v>
      </c>
      <c r="H8303" s="6" t="s">
        <v>34</v>
      </c>
      <c r="I8303" s="8" t="s">
        <v>35</v>
      </c>
      <c r="J8303" s="9">
        <v>1</v>
      </c>
      <c r="K8303" s="9">
        <v>226</v>
      </c>
      <c r="L8303" s="9">
        <v>2023</v>
      </c>
      <c r="M8303" s="8" t="s">
        <v>46726</v>
      </c>
      <c r="N8303" s="8" t="s">
        <v>37</v>
      </c>
      <c r="O8303" s="8" t="s">
        <v>280</v>
      </c>
      <c r="P8303" s="6" t="s">
        <v>39</v>
      </c>
      <c r="Q8303" s="8" t="s">
        <v>40</v>
      </c>
      <c r="R8303" s="10" t="s">
        <v>46727</v>
      </c>
      <c r="S8303" s="11"/>
      <c r="T8303" s="6"/>
      <c r="U8303" s="15" t="str">
        <f>HYPERLINK("https://media.infra-m.ru/2036/2036523/cover/2036523.jpg", "Обложка")</f>
        <v>Обложка</v>
      </c>
      <c r="V8303" s="8" t="s">
        <v>9943</v>
      </c>
      <c r="W8303" s="6"/>
      <c r="X8303" s="6"/>
      <c r="Y8303" s="6"/>
      <c r="Z8303" s="6"/>
      <c r="AA8303" s="6" t="s">
        <v>157</v>
      </c>
      <c r="AB8303" s="8"/>
      <c r="AC8303" s="27">
        <v>9785160186436</v>
      </c>
    </row>
    <row r="8304" spans="1:29" s="4" customFormat="1" ht="51.9" customHeight="1" x14ac:dyDescent="0.2">
      <c r="A8304" s="5">
        <v>0</v>
      </c>
      <c r="B8304" s="6" t="s">
        <v>46728</v>
      </c>
      <c r="C8304" s="7">
        <v>1780.8</v>
      </c>
      <c r="D8304" s="8" t="s">
        <v>46729</v>
      </c>
      <c r="E8304" s="8" t="s">
        <v>46730</v>
      </c>
      <c r="F8304" s="8" t="s">
        <v>46731</v>
      </c>
      <c r="G8304" s="6" t="s">
        <v>60</v>
      </c>
      <c r="H8304" s="6" t="s">
        <v>34</v>
      </c>
      <c r="I8304" s="8" t="s">
        <v>253</v>
      </c>
      <c r="J8304" s="9">
        <v>1</v>
      </c>
      <c r="K8304" s="9">
        <v>296</v>
      </c>
      <c r="L8304" s="9">
        <v>2025</v>
      </c>
      <c r="M8304" s="8" t="s">
        <v>46732</v>
      </c>
      <c r="N8304" s="8" t="s">
        <v>37</v>
      </c>
      <c r="O8304" s="8" t="s">
        <v>280</v>
      </c>
      <c r="P8304" s="6" t="s">
        <v>306</v>
      </c>
      <c r="Q8304" s="8" t="s">
        <v>500</v>
      </c>
      <c r="R8304" s="10" t="s">
        <v>46733</v>
      </c>
      <c r="S8304" s="11"/>
      <c r="T8304" s="6"/>
      <c r="U8304" s="15" t="str">
        <f>HYPERLINK("https://media.infra-m.ru/2191/2191630/cover/2191630.jpg", "Обложка")</f>
        <v>Обложка</v>
      </c>
      <c r="V8304" s="8" t="s">
        <v>546</v>
      </c>
      <c r="W8304" s="6"/>
      <c r="X8304" s="6"/>
      <c r="Y8304" s="6"/>
      <c r="Z8304" s="6"/>
      <c r="AA8304" s="6" t="s">
        <v>1303</v>
      </c>
      <c r="AB8304" s="8" t="s">
        <v>1317</v>
      </c>
      <c r="AC8304" s="27">
        <v>9785160192413</v>
      </c>
    </row>
    <row r="8305" spans="1:29" s="4" customFormat="1" ht="51.9" customHeight="1" x14ac:dyDescent="0.2">
      <c r="A8305" s="5">
        <v>0</v>
      </c>
      <c r="B8305" s="6" t="s">
        <v>46734</v>
      </c>
      <c r="C8305" s="7">
        <v>1109.9000000000001</v>
      </c>
      <c r="D8305" s="8" t="s">
        <v>46735</v>
      </c>
      <c r="E8305" s="8" t="s">
        <v>46736</v>
      </c>
      <c r="F8305" s="8" t="s">
        <v>29503</v>
      </c>
      <c r="G8305" s="6" t="s">
        <v>118</v>
      </c>
      <c r="H8305" s="6" t="s">
        <v>34</v>
      </c>
      <c r="I8305" s="8" t="s">
        <v>504</v>
      </c>
      <c r="J8305" s="9">
        <v>1</v>
      </c>
      <c r="K8305" s="9">
        <v>206</v>
      </c>
      <c r="L8305" s="9">
        <v>2023</v>
      </c>
      <c r="M8305" s="8" t="s">
        <v>46737</v>
      </c>
      <c r="N8305" s="8" t="s">
        <v>37</v>
      </c>
      <c r="O8305" s="8" t="s">
        <v>280</v>
      </c>
      <c r="P8305" s="6" t="s">
        <v>306</v>
      </c>
      <c r="Q8305" s="8" t="s">
        <v>500</v>
      </c>
      <c r="R8305" s="10" t="s">
        <v>46733</v>
      </c>
      <c r="S8305" s="11"/>
      <c r="T8305" s="6"/>
      <c r="U8305" s="15" t="str">
        <f>HYPERLINK("https://media.infra-m.ru/1971/1971823/cover/1971823.jpg", "Обложка")</f>
        <v>Обложка</v>
      </c>
      <c r="V8305" s="8" t="s">
        <v>546</v>
      </c>
      <c r="W8305" s="6"/>
      <c r="X8305" s="6"/>
      <c r="Y8305" s="6"/>
      <c r="Z8305" s="6"/>
      <c r="AA8305" s="6" t="s">
        <v>115</v>
      </c>
      <c r="AB8305" s="8" t="s">
        <v>1317</v>
      </c>
      <c r="AC8305" s="27">
        <v>9785160149653</v>
      </c>
    </row>
    <row r="8306" spans="1:29" s="4" customFormat="1" ht="42" customHeight="1" x14ac:dyDescent="0.2">
      <c r="A8306" s="5">
        <v>0</v>
      </c>
      <c r="B8306" s="6" t="s">
        <v>46738</v>
      </c>
      <c r="C8306" s="7">
        <v>1908</v>
      </c>
      <c r="D8306" s="8" t="s">
        <v>46739</v>
      </c>
      <c r="E8306" s="8" t="s">
        <v>46740</v>
      </c>
      <c r="F8306" s="8" t="s">
        <v>46741</v>
      </c>
      <c r="G8306" s="6" t="s">
        <v>60</v>
      </c>
      <c r="H8306" s="6" t="s">
        <v>34</v>
      </c>
      <c r="I8306" s="8" t="s">
        <v>253</v>
      </c>
      <c r="J8306" s="9">
        <v>1</v>
      </c>
      <c r="K8306" s="9">
        <v>331</v>
      </c>
      <c r="L8306" s="9">
        <v>2024</v>
      </c>
      <c r="M8306" s="8" t="s">
        <v>46742</v>
      </c>
      <c r="N8306" s="8" t="s">
        <v>37</v>
      </c>
      <c r="O8306" s="8" t="s">
        <v>280</v>
      </c>
      <c r="P8306" s="6" t="s">
        <v>306</v>
      </c>
      <c r="Q8306" s="8" t="s">
        <v>52</v>
      </c>
      <c r="R8306" s="10" t="s">
        <v>46743</v>
      </c>
      <c r="S8306" s="11"/>
      <c r="T8306" s="6"/>
      <c r="U8306" s="15" t="str">
        <f>HYPERLINK("https://media.infra-m.ru/1862/1862682/cover/1862682.jpg", "Обложка")</f>
        <v>Обложка</v>
      </c>
      <c r="V8306" s="8" t="s">
        <v>546</v>
      </c>
      <c r="W8306" s="6"/>
      <c r="X8306" s="6"/>
      <c r="Y8306" s="6"/>
      <c r="Z8306" s="6"/>
      <c r="AA8306" s="6" t="s">
        <v>148</v>
      </c>
      <c r="AB8306" s="8"/>
      <c r="AC8306" s="27">
        <v>9785160175669</v>
      </c>
    </row>
    <row r="8307" spans="1:29" s="4" customFormat="1" ht="51.9" customHeight="1" x14ac:dyDescent="0.2">
      <c r="A8307" s="5">
        <v>0</v>
      </c>
      <c r="B8307" s="6" t="s">
        <v>46744</v>
      </c>
      <c r="C8307" s="7">
        <v>2296.8000000000002</v>
      </c>
      <c r="D8307" s="8" t="s">
        <v>46745</v>
      </c>
      <c r="E8307" s="8" t="s">
        <v>46746</v>
      </c>
      <c r="F8307" s="8" t="s">
        <v>46747</v>
      </c>
      <c r="G8307" s="6" t="s">
        <v>118</v>
      </c>
      <c r="H8307" s="6" t="s">
        <v>1644</v>
      </c>
      <c r="I8307" s="8" t="s">
        <v>4073</v>
      </c>
      <c r="J8307" s="9">
        <v>1</v>
      </c>
      <c r="K8307" s="9">
        <v>368</v>
      </c>
      <c r="L8307" s="9">
        <v>2026</v>
      </c>
      <c r="M8307" s="8" t="s">
        <v>46748</v>
      </c>
      <c r="N8307" s="8" t="s">
        <v>37</v>
      </c>
      <c r="O8307" s="8" t="s">
        <v>280</v>
      </c>
      <c r="P8307" s="6" t="s">
        <v>51</v>
      </c>
      <c r="Q8307" s="8" t="s">
        <v>500</v>
      </c>
      <c r="R8307" s="10" t="s">
        <v>40437</v>
      </c>
      <c r="S8307" s="11"/>
      <c r="T8307" s="6"/>
      <c r="U8307" s="15" t="str">
        <f>HYPERLINK("https://media.infra-m.ru/2196/2196888/cover/2196888.jpg", "Обложка")</f>
        <v>Обложка</v>
      </c>
      <c r="V8307" s="8"/>
      <c r="W8307" s="6"/>
      <c r="X8307" s="6"/>
      <c r="Y8307" s="6"/>
      <c r="Z8307" s="6"/>
      <c r="AA8307" s="6" t="s">
        <v>248</v>
      </c>
      <c r="AB8307" s="8"/>
      <c r="AC8307" s="27">
        <v>9785977603300</v>
      </c>
    </row>
    <row r="8308" spans="1:29" s="4" customFormat="1" ht="51.9" customHeight="1" x14ac:dyDescent="0.2">
      <c r="A8308" s="5">
        <v>0</v>
      </c>
      <c r="B8308" s="6" t="s">
        <v>46749</v>
      </c>
      <c r="C8308" s="7">
        <v>1000.8</v>
      </c>
      <c r="D8308" s="8" t="s">
        <v>46750</v>
      </c>
      <c r="E8308" s="8" t="s">
        <v>46751</v>
      </c>
      <c r="F8308" s="8" t="s">
        <v>46752</v>
      </c>
      <c r="G8308" s="6" t="s">
        <v>33</v>
      </c>
      <c r="H8308" s="6" t="s">
        <v>241</v>
      </c>
      <c r="I8308" s="8" t="s">
        <v>3496</v>
      </c>
      <c r="J8308" s="9">
        <v>1</v>
      </c>
      <c r="K8308" s="9">
        <v>184</v>
      </c>
      <c r="L8308" s="9">
        <v>2023</v>
      </c>
      <c r="M8308" s="8" t="s">
        <v>46753</v>
      </c>
      <c r="N8308" s="8" t="s">
        <v>243</v>
      </c>
      <c r="O8308" s="8" t="s">
        <v>244</v>
      </c>
      <c r="P8308" s="6" t="s">
        <v>39</v>
      </c>
      <c r="Q8308" s="8" t="s">
        <v>40</v>
      </c>
      <c r="R8308" s="10" t="s">
        <v>46754</v>
      </c>
      <c r="S8308" s="11"/>
      <c r="T8308" s="6"/>
      <c r="U8308" s="15" t="str">
        <f>HYPERLINK("https://media.infra-m.ru/2006/2006035/cover/2006035.jpg", "Обложка")</f>
        <v>Обложка</v>
      </c>
      <c r="V8308" s="8" t="s">
        <v>217</v>
      </c>
      <c r="W8308" s="6"/>
      <c r="X8308" s="6"/>
      <c r="Y8308" s="6"/>
      <c r="Z8308" s="6"/>
      <c r="AA8308" s="6" t="s">
        <v>99</v>
      </c>
      <c r="AB8308" s="8"/>
      <c r="AC8308" s="27">
        <v>9785955805542</v>
      </c>
    </row>
    <row r="8309" spans="1:29" s="4" customFormat="1" ht="51.9" customHeight="1" x14ac:dyDescent="0.2">
      <c r="A8309" s="5">
        <v>0</v>
      </c>
      <c r="B8309" s="6" t="s">
        <v>46755</v>
      </c>
      <c r="C8309" s="7">
        <v>1144.8</v>
      </c>
      <c r="D8309" s="8" t="s">
        <v>46756</v>
      </c>
      <c r="E8309" s="8" t="s">
        <v>46757</v>
      </c>
      <c r="F8309" s="8" t="s">
        <v>46758</v>
      </c>
      <c r="G8309" s="6" t="s">
        <v>60</v>
      </c>
      <c r="H8309" s="6" t="s">
        <v>34</v>
      </c>
      <c r="I8309" s="8" t="s">
        <v>271</v>
      </c>
      <c r="J8309" s="9">
        <v>1</v>
      </c>
      <c r="K8309" s="9">
        <v>208</v>
      </c>
      <c r="L8309" s="9">
        <v>2024</v>
      </c>
      <c r="M8309" s="8" t="s">
        <v>46759</v>
      </c>
      <c r="N8309" s="8" t="s">
        <v>37</v>
      </c>
      <c r="O8309" s="8" t="s">
        <v>280</v>
      </c>
      <c r="P8309" s="6" t="s">
        <v>306</v>
      </c>
      <c r="Q8309" s="8" t="s">
        <v>52</v>
      </c>
      <c r="R8309" s="10" t="s">
        <v>46760</v>
      </c>
      <c r="S8309" s="11" t="s">
        <v>46761</v>
      </c>
      <c r="T8309" s="6" t="s">
        <v>97</v>
      </c>
      <c r="U8309" s="15" t="str">
        <f>HYPERLINK("https://media.infra-m.ru/1841/1841439/cover/1841439.jpg", "Обложка")</f>
        <v>Обложка</v>
      </c>
      <c r="V8309" s="8" t="s">
        <v>396</v>
      </c>
      <c r="W8309" s="6"/>
      <c r="X8309" s="6"/>
      <c r="Y8309" s="6"/>
      <c r="Z8309" s="6"/>
      <c r="AA8309" s="6" t="s">
        <v>129</v>
      </c>
      <c r="AB8309" s="8"/>
      <c r="AC8309" s="27">
        <v>9785160048420</v>
      </c>
    </row>
    <row r="8310" spans="1:29" s="4" customFormat="1" ht="51.9" customHeight="1" x14ac:dyDescent="0.2">
      <c r="A8310" s="5">
        <v>0</v>
      </c>
      <c r="B8310" s="6" t="s">
        <v>46762</v>
      </c>
      <c r="C8310" s="13">
        <v>768</v>
      </c>
      <c r="D8310" s="8" t="s">
        <v>46763</v>
      </c>
      <c r="E8310" s="8" t="s">
        <v>46764</v>
      </c>
      <c r="F8310" s="8" t="s">
        <v>231</v>
      </c>
      <c r="G8310" s="6" t="s">
        <v>33</v>
      </c>
      <c r="H8310" s="6" t="s">
        <v>34</v>
      </c>
      <c r="I8310" s="8"/>
      <c r="J8310" s="9">
        <v>1</v>
      </c>
      <c r="K8310" s="9">
        <v>135</v>
      </c>
      <c r="L8310" s="9">
        <v>2025</v>
      </c>
      <c r="M8310" s="8" t="s">
        <v>46765</v>
      </c>
      <c r="N8310" s="8" t="s">
        <v>243</v>
      </c>
      <c r="O8310" s="8" t="s">
        <v>244</v>
      </c>
      <c r="P8310" s="6" t="s">
        <v>95</v>
      </c>
      <c r="Q8310" s="8"/>
      <c r="R8310" s="10" t="s">
        <v>46766</v>
      </c>
      <c r="S8310" s="11"/>
      <c r="T8310" s="6"/>
      <c r="U8310" s="15" t="str">
        <f>HYPERLINK("https://media.infra-m.ru/2180/2180794/cover/2180794.jpg", "Обложка")</f>
        <v>Обложка</v>
      </c>
      <c r="V8310" s="8" t="s">
        <v>236</v>
      </c>
      <c r="W8310" s="6"/>
      <c r="X8310" s="6"/>
      <c r="Y8310" s="6"/>
      <c r="Z8310" s="6"/>
      <c r="AA8310" s="6" t="s">
        <v>157</v>
      </c>
      <c r="AB8310" s="8"/>
      <c r="AC8310" s="27">
        <v>9785160182988</v>
      </c>
    </row>
    <row r="8311" spans="1:29" s="4" customFormat="1" ht="51.9" customHeight="1" x14ac:dyDescent="0.2">
      <c r="A8311" s="5">
        <v>0</v>
      </c>
      <c r="B8311" s="6" t="s">
        <v>46767</v>
      </c>
      <c r="C8311" s="7">
        <v>1536</v>
      </c>
      <c r="D8311" s="8" t="s">
        <v>46768</v>
      </c>
      <c r="E8311" s="8" t="s">
        <v>46769</v>
      </c>
      <c r="F8311" s="8" t="s">
        <v>46770</v>
      </c>
      <c r="G8311" s="6" t="s">
        <v>33</v>
      </c>
      <c r="H8311" s="6" t="s">
        <v>34</v>
      </c>
      <c r="I8311" s="8" t="s">
        <v>35</v>
      </c>
      <c r="J8311" s="9">
        <v>1</v>
      </c>
      <c r="K8311" s="9">
        <v>277</v>
      </c>
      <c r="L8311" s="9">
        <v>2024</v>
      </c>
      <c r="M8311" s="8" t="s">
        <v>46771</v>
      </c>
      <c r="N8311" s="8" t="s">
        <v>37</v>
      </c>
      <c r="O8311" s="8" t="s">
        <v>280</v>
      </c>
      <c r="P8311" s="6" t="s">
        <v>39</v>
      </c>
      <c r="Q8311" s="8" t="s">
        <v>40</v>
      </c>
      <c r="R8311" s="10" t="s">
        <v>12043</v>
      </c>
      <c r="S8311" s="11"/>
      <c r="T8311" s="6"/>
      <c r="U8311" s="15" t="str">
        <f>HYPERLINK("https://media.infra-m.ru/2117/2117125/cover/2117125.jpg", "Обложка")</f>
        <v>Обложка</v>
      </c>
      <c r="V8311" s="8" t="s">
        <v>46772</v>
      </c>
      <c r="W8311" s="6"/>
      <c r="X8311" s="6"/>
      <c r="Y8311" s="6"/>
      <c r="Z8311" s="6"/>
      <c r="AA8311" s="6" t="s">
        <v>248</v>
      </c>
      <c r="AB8311" s="8"/>
      <c r="AC8311" s="27">
        <v>9785160095417</v>
      </c>
    </row>
    <row r="8312" spans="1:29" s="4" customFormat="1" ht="51.9" customHeight="1" x14ac:dyDescent="0.2">
      <c r="A8312" s="5">
        <v>0</v>
      </c>
      <c r="B8312" s="6" t="s">
        <v>46773</v>
      </c>
      <c r="C8312" s="7">
        <v>1397.9</v>
      </c>
      <c r="D8312" s="8" t="s">
        <v>46774</v>
      </c>
      <c r="E8312" s="8" t="s">
        <v>46775</v>
      </c>
      <c r="F8312" s="8" t="s">
        <v>9977</v>
      </c>
      <c r="G8312" s="6" t="s">
        <v>60</v>
      </c>
      <c r="H8312" s="6" t="s">
        <v>34</v>
      </c>
      <c r="I8312" s="8" t="s">
        <v>5931</v>
      </c>
      <c r="J8312" s="9">
        <v>1</v>
      </c>
      <c r="K8312" s="9">
        <v>400</v>
      </c>
      <c r="L8312" s="9">
        <v>2018</v>
      </c>
      <c r="M8312" s="8" t="s">
        <v>46776</v>
      </c>
      <c r="N8312" s="8" t="s">
        <v>37</v>
      </c>
      <c r="O8312" s="8" t="s">
        <v>280</v>
      </c>
      <c r="P8312" s="6" t="s">
        <v>306</v>
      </c>
      <c r="Q8312" s="8" t="s">
        <v>749</v>
      </c>
      <c r="R8312" s="10" t="s">
        <v>46777</v>
      </c>
      <c r="S8312" s="11" t="s">
        <v>46778</v>
      </c>
      <c r="T8312" s="6" t="s">
        <v>97</v>
      </c>
      <c r="U8312" s="12"/>
      <c r="V8312" s="8" t="s">
        <v>3196</v>
      </c>
      <c r="W8312" s="6"/>
      <c r="X8312" s="6"/>
      <c r="Y8312" s="6"/>
      <c r="Z8312" s="6"/>
      <c r="AA8312" s="6" t="s">
        <v>446</v>
      </c>
      <c r="AB8312" s="8"/>
      <c r="AC8312" s="27">
        <v>9785160105840</v>
      </c>
    </row>
    <row r="8313" spans="1:29" s="4" customFormat="1" ht="51.9" customHeight="1" x14ac:dyDescent="0.2">
      <c r="A8313" s="5">
        <v>0</v>
      </c>
      <c r="B8313" s="6" t="s">
        <v>46779</v>
      </c>
      <c r="C8313" s="7">
        <v>2248.8000000000002</v>
      </c>
      <c r="D8313" s="8" t="s">
        <v>46780</v>
      </c>
      <c r="E8313" s="8" t="s">
        <v>46781</v>
      </c>
      <c r="F8313" s="8" t="s">
        <v>9977</v>
      </c>
      <c r="G8313" s="6" t="s">
        <v>60</v>
      </c>
      <c r="H8313" s="6" t="s">
        <v>34</v>
      </c>
      <c r="I8313" s="8" t="s">
        <v>5931</v>
      </c>
      <c r="J8313" s="9">
        <v>1</v>
      </c>
      <c r="K8313" s="9">
        <v>409</v>
      </c>
      <c r="L8313" s="9">
        <v>2019</v>
      </c>
      <c r="M8313" s="8" t="s">
        <v>46782</v>
      </c>
      <c r="N8313" s="8" t="s">
        <v>37</v>
      </c>
      <c r="O8313" s="8" t="s">
        <v>280</v>
      </c>
      <c r="P8313" s="6" t="s">
        <v>306</v>
      </c>
      <c r="Q8313" s="8" t="s">
        <v>749</v>
      </c>
      <c r="R8313" s="10" t="s">
        <v>46777</v>
      </c>
      <c r="S8313" s="11" t="s">
        <v>46783</v>
      </c>
      <c r="T8313" s="6" t="s">
        <v>97</v>
      </c>
      <c r="U8313" s="15" t="str">
        <f>HYPERLINK("https://media.infra-m.ru/2062/2062472/cover/2062472.jpg", "Обложка")</f>
        <v>Обложка</v>
      </c>
      <c r="V8313" s="8" t="s">
        <v>3196</v>
      </c>
      <c r="W8313" s="6"/>
      <c r="X8313" s="6"/>
      <c r="Y8313" s="6"/>
      <c r="Z8313" s="6"/>
      <c r="AA8313" s="6" t="s">
        <v>7463</v>
      </c>
      <c r="AB8313" s="8"/>
      <c r="AC8313" s="27">
        <v>9785160150888</v>
      </c>
    </row>
    <row r="8314" spans="1:29" s="4" customFormat="1" ht="44.1" customHeight="1" x14ac:dyDescent="0.2">
      <c r="A8314" s="5">
        <v>0</v>
      </c>
      <c r="B8314" s="6" t="s">
        <v>46784</v>
      </c>
      <c r="C8314" s="7">
        <v>2784</v>
      </c>
      <c r="D8314" s="8" t="s">
        <v>46785</v>
      </c>
      <c r="E8314" s="8" t="s">
        <v>46786</v>
      </c>
      <c r="F8314" s="8" t="s">
        <v>661</v>
      </c>
      <c r="G8314" s="6" t="s">
        <v>60</v>
      </c>
      <c r="H8314" s="6" t="s">
        <v>34</v>
      </c>
      <c r="I8314" s="8" t="s">
        <v>5931</v>
      </c>
      <c r="J8314" s="9">
        <v>1</v>
      </c>
      <c r="K8314" s="9">
        <v>421</v>
      </c>
      <c r="L8314" s="9">
        <v>2026</v>
      </c>
      <c r="M8314" s="8" t="s">
        <v>46787</v>
      </c>
      <c r="N8314" s="8" t="s">
        <v>37</v>
      </c>
      <c r="O8314" s="8" t="s">
        <v>280</v>
      </c>
      <c r="P8314" s="6" t="s">
        <v>306</v>
      </c>
      <c r="Q8314" s="8" t="s">
        <v>749</v>
      </c>
      <c r="R8314" s="10" t="s">
        <v>46777</v>
      </c>
      <c r="S8314" s="11"/>
      <c r="T8314" s="6" t="s">
        <v>97</v>
      </c>
      <c r="U8314" s="15" t="str">
        <f>HYPERLINK("https://media.infra-m.ru/2226/2226232/cover/2226232.jpg", "Обложка")</f>
        <v>Обложка</v>
      </c>
      <c r="V8314" s="8" t="s">
        <v>3196</v>
      </c>
      <c r="W8314" s="6" t="s">
        <v>186</v>
      </c>
      <c r="X8314" s="6"/>
      <c r="Y8314" s="6"/>
      <c r="Z8314" s="6"/>
      <c r="AA8314" s="6" t="s">
        <v>46788</v>
      </c>
      <c r="AB8314" s="8"/>
      <c r="AC8314" s="27">
        <v>9785160214603</v>
      </c>
    </row>
    <row r="8315" spans="1:29" s="4" customFormat="1" ht="51.9" customHeight="1" x14ac:dyDescent="0.2">
      <c r="A8315" s="5">
        <v>0</v>
      </c>
      <c r="B8315" s="6" t="s">
        <v>46789</v>
      </c>
      <c r="C8315" s="13">
        <v>988.8</v>
      </c>
      <c r="D8315" s="8" t="s">
        <v>46790</v>
      </c>
      <c r="E8315" s="8" t="s">
        <v>46791</v>
      </c>
      <c r="F8315" s="8" t="s">
        <v>46792</v>
      </c>
      <c r="G8315" s="6" t="s">
        <v>33</v>
      </c>
      <c r="H8315" s="6" t="s">
        <v>313</v>
      </c>
      <c r="I8315" s="8" t="s">
        <v>504</v>
      </c>
      <c r="J8315" s="9">
        <v>1</v>
      </c>
      <c r="K8315" s="9">
        <v>164</v>
      </c>
      <c r="L8315" s="9">
        <v>2022</v>
      </c>
      <c r="M8315" s="8" t="s">
        <v>46793</v>
      </c>
      <c r="N8315" s="8" t="s">
        <v>37</v>
      </c>
      <c r="O8315" s="8" t="s">
        <v>280</v>
      </c>
      <c r="P8315" s="6" t="s">
        <v>51</v>
      </c>
      <c r="Q8315" s="8" t="s">
        <v>500</v>
      </c>
      <c r="R8315" s="10" t="s">
        <v>46794</v>
      </c>
      <c r="S8315" s="11" t="s">
        <v>46795</v>
      </c>
      <c r="T8315" s="6"/>
      <c r="U8315" s="15" t="str">
        <f>HYPERLINK("https://media.infra-m.ru/1255/1255784/cover/1255784.jpg", "Обложка")</f>
        <v>Обложка</v>
      </c>
      <c r="V8315" s="8" t="s">
        <v>1768</v>
      </c>
      <c r="W8315" s="6"/>
      <c r="X8315" s="6"/>
      <c r="Y8315" s="6"/>
      <c r="Z8315" s="6"/>
      <c r="AA8315" s="6" t="s">
        <v>779</v>
      </c>
      <c r="AB8315" s="8"/>
      <c r="AC8315" s="27">
        <v>9785369015018</v>
      </c>
    </row>
    <row r="8316" spans="1:29" s="4" customFormat="1" ht="51.9" customHeight="1" x14ac:dyDescent="0.2">
      <c r="A8316" s="5">
        <v>0</v>
      </c>
      <c r="B8316" s="6" t="s">
        <v>46796</v>
      </c>
      <c r="C8316" s="7">
        <v>1372.8</v>
      </c>
      <c r="D8316" s="8" t="s">
        <v>46797</v>
      </c>
      <c r="E8316" s="8" t="s">
        <v>46798</v>
      </c>
      <c r="F8316" s="8" t="s">
        <v>46799</v>
      </c>
      <c r="G8316" s="6" t="s">
        <v>118</v>
      </c>
      <c r="H8316" s="6" t="s">
        <v>34</v>
      </c>
      <c r="I8316" s="8" t="s">
        <v>271</v>
      </c>
      <c r="J8316" s="9">
        <v>1</v>
      </c>
      <c r="K8316" s="9">
        <v>248</v>
      </c>
      <c r="L8316" s="9">
        <v>2024</v>
      </c>
      <c r="M8316" s="8" t="s">
        <v>46800</v>
      </c>
      <c r="N8316" s="8" t="s">
        <v>243</v>
      </c>
      <c r="O8316" s="8" t="s">
        <v>244</v>
      </c>
      <c r="P8316" s="6" t="s">
        <v>51</v>
      </c>
      <c r="Q8316" s="8" t="s">
        <v>52</v>
      </c>
      <c r="R8316" s="10" t="s">
        <v>46801</v>
      </c>
      <c r="S8316" s="11" t="s">
        <v>46802</v>
      </c>
      <c r="T8316" s="6"/>
      <c r="U8316" s="15" t="str">
        <f>HYPERLINK("https://media.infra-m.ru/2087/2087268/cover/2087268.jpg", "Обложка")</f>
        <v>Обложка</v>
      </c>
      <c r="V8316" s="8" t="s">
        <v>445</v>
      </c>
      <c r="W8316" s="6"/>
      <c r="X8316" s="6"/>
      <c r="Y8316" s="6"/>
      <c r="Z8316" s="6"/>
      <c r="AA8316" s="6" t="s">
        <v>779</v>
      </c>
      <c r="AB8316" s="8"/>
      <c r="AC8316" s="27">
        <v>9785160117942</v>
      </c>
    </row>
    <row r="8317" spans="1:29" s="4" customFormat="1" ht="51.9" customHeight="1" x14ac:dyDescent="0.2">
      <c r="A8317" s="5">
        <v>0</v>
      </c>
      <c r="B8317" s="6" t="s">
        <v>46803</v>
      </c>
      <c r="C8317" s="7">
        <v>1348.8</v>
      </c>
      <c r="D8317" s="8" t="s">
        <v>46804</v>
      </c>
      <c r="E8317" s="8" t="s">
        <v>46798</v>
      </c>
      <c r="F8317" s="8" t="s">
        <v>46799</v>
      </c>
      <c r="G8317" s="6" t="s">
        <v>60</v>
      </c>
      <c r="H8317" s="6" t="s">
        <v>34</v>
      </c>
      <c r="I8317" s="8" t="s">
        <v>263</v>
      </c>
      <c r="J8317" s="9">
        <v>1</v>
      </c>
      <c r="K8317" s="9">
        <v>248</v>
      </c>
      <c r="L8317" s="9">
        <v>2023</v>
      </c>
      <c r="M8317" s="8" t="s">
        <v>46805</v>
      </c>
      <c r="N8317" s="8" t="s">
        <v>243</v>
      </c>
      <c r="O8317" s="8" t="s">
        <v>244</v>
      </c>
      <c r="P8317" s="6" t="s">
        <v>51</v>
      </c>
      <c r="Q8317" s="8" t="s">
        <v>265</v>
      </c>
      <c r="R8317" s="10" t="s">
        <v>46806</v>
      </c>
      <c r="S8317" s="11" t="s">
        <v>3949</v>
      </c>
      <c r="T8317" s="6"/>
      <c r="U8317" s="15" t="str">
        <f>HYPERLINK("https://media.infra-m.ru/2045/2045993/cover/2045993.jpg", "Обложка")</f>
        <v>Обложка</v>
      </c>
      <c r="V8317" s="8" t="s">
        <v>445</v>
      </c>
      <c r="W8317" s="6"/>
      <c r="X8317" s="6"/>
      <c r="Y8317" s="6"/>
      <c r="Z8317" s="6" t="s">
        <v>267</v>
      </c>
      <c r="AA8317" s="6" t="s">
        <v>1256</v>
      </c>
      <c r="AB8317" s="8"/>
      <c r="AC8317" s="27">
        <v>9785160156507</v>
      </c>
    </row>
    <row r="8318" spans="1:29" s="4" customFormat="1" ht="51.9" customHeight="1" x14ac:dyDescent="0.2">
      <c r="A8318" s="5">
        <v>0</v>
      </c>
      <c r="B8318" s="6" t="s">
        <v>46807</v>
      </c>
      <c r="C8318" s="7">
        <v>2212.8000000000002</v>
      </c>
      <c r="D8318" s="8" t="s">
        <v>46808</v>
      </c>
      <c r="E8318" s="8" t="s">
        <v>46809</v>
      </c>
      <c r="F8318" s="8" t="s">
        <v>46810</v>
      </c>
      <c r="G8318" s="6" t="s">
        <v>118</v>
      </c>
      <c r="H8318" s="6" t="s">
        <v>34</v>
      </c>
      <c r="I8318" s="8" t="s">
        <v>271</v>
      </c>
      <c r="J8318" s="9">
        <v>1</v>
      </c>
      <c r="K8318" s="9">
        <v>336</v>
      </c>
      <c r="L8318" s="9">
        <v>2026</v>
      </c>
      <c r="M8318" s="8" t="s">
        <v>46811</v>
      </c>
      <c r="N8318" s="8" t="s">
        <v>37</v>
      </c>
      <c r="O8318" s="8" t="s">
        <v>280</v>
      </c>
      <c r="P8318" s="6" t="s">
        <v>306</v>
      </c>
      <c r="Q8318" s="8" t="s">
        <v>52</v>
      </c>
      <c r="R8318" s="10" t="s">
        <v>37956</v>
      </c>
      <c r="S8318" s="11" t="s">
        <v>46812</v>
      </c>
      <c r="T8318" s="6"/>
      <c r="U8318" s="15" t="str">
        <f>HYPERLINK("https://media.infra-m.ru/2251/2251046/cover/2251046.jpg", "Обложка")</f>
        <v>Обложка</v>
      </c>
      <c r="V8318" s="8" t="s">
        <v>2475</v>
      </c>
      <c r="W8318" s="6"/>
      <c r="X8318" s="6"/>
      <c r="Y8318" s="6"/>
      <c r="Z8318" s="6"/>
      <c r="AA8318" s="6" t="s">
        <v>1037</v>
      </c>
      <c r="AB8318" s="8"/>
      <c r="AC8318" s="27">
        <v>9785160061849</v>
      </c>
    </row>
    <row r="8319" spans="1:29" s="4" customFormat="1" ht="51.9" customHeight="1" x14ac:dyDescent="0.2">
      <c r="A8319" s="5">
        <v>0</v>
      </c>
      <c r="B8319" s="6" t="s">
        <v>46813</v>
      </c>
      <c r="C8319" s="7">
        <v>1188</v>
      </c>
      <c r="D8319" s="8" t="s">
        <v>46814</v>
      </c>
      <c r="E8319" s="8" t="s">
        <v>46815</v>
      </c>
      <c r="F8319" s="8" t="s">
        <v>46816</v>
      </c>
      <c r="G8319" s="6" t="s">
        <v>33</v>
      </c>
      <c r="H8319" s="6" t="s">
        <v>34</v>
      </c>
      <c r="I8319" s="8" t="s">
        <v>35</v>
      </c>
      <c r="J8319" s="9">
        <v>1</v>
      </c>
      <c r="K8319" s="9">
        <v>173</v>
      </c>
      <c r="L8319" s="9">
        <v>2026</v>
      </c>
      <c r="M8319" s="8" t="s">
        <v>46817</v>
      </c>
      <c r="N8319" s="8" t="s">
        <v>37</v>
      </c>
      <c r="O8319" s="8" t="s">
        <v>280</v>
      </c>
      <c r="P8319" s="6" t="s">
        <v>39</v>
      </c>
      <c r="Q8319" s="8" t="s">
        <v>40</v>
      </c>
      <c r="R8319" s="10" t="s">
        <v>46818</v>
      </c>
      <c r="S8319" s="11"/>
      <c r="T8319" s="6"/>
      <c r="U8319" s="15" t="str">
        <f>HYPERLINK("https://media.infra-m.ru/2196/2196569/cover/2196569.jpg", "Обложка")</f>
        <v>Обложка</v>
      </c>
      <c r="V8319" s="8" t="s">
        <v>12235</v>
      </c>
      <c r="W8319" s="6" t="s">
        <v>342</v>
      </c>
      <c r="X8319" s="6"/>
      <c r="Y8319" s="6"/>
      <c r="Z8319" s="6"/>
      <c r="AA8319" s="6" t="s">
        <v>187</v>
      </c>
      <c r="AB8319" s="8"/>
      <c r="AC8319" s="27">
        <v>9785160208152</v>
      </c>
    </row>
    <row r="8320" spans="1:29" s="4" customFormat="1" ht="42" customHeight="1" x14ac:dyDescent="0.2">
      <c r="A8320" s="5">
        <v>0</v>
      </c>
      <c r="B8320" s="6" t="s">
        <v>46819</v>
      </c>
      <c r="C8320" s="7">
        <v>1188</v>
      </c>
      <c r="D8320" s="8" t="s">
        <v>46820</v>
      </c>
      <c r="E8320" s="8" t="s">
        <v>46821</v>
      </c>
      <c r="F8320" s="8" t="s">
        <v>46822</v>
      </c>
      <c r="G8320" s="6" t="s">
        <v>33</v>
      </c>
      <c r="H8320" s="6" t="s">
        <v>34</v>
      </c>
      <c r="I8320" s="8" t="s">
        <v>457</v>
      </c>
      <c r="J8320" s="9">
        <v>1</v>
      </c>
      <c r="K8320" s="9">
        <v>186</v>
      </c>
      <c r="L8320" s="9">
        <v>2025</v>
      </c>
      <c r="M8320" s="8" t="s">
        <v>46823</v>
      </c>
      <c r="N8320" s="8" t="s">
        <v>93</v>
      </c>
      <c r="O8320" s="8" t="s">
        <v>94</v>
      </c>
      <c r="P8320" s="6" t="s">
        <v>39</v>
      </c>
      <c r="Q8320" s="8" t="s">
        <v>40</v>
      </c>
      <c r="R8320" s="10" t="s">
        <v>11673</v>
      </c>
      <c r="S8320" s="11"/>
      <c r="T8320" s="6"/>
      <c r="U8320" s="15" t="str">
        <f>HYPERLINK("https://media.infra-m.ru/2155/2155925/cover/2155925.jpg", "Обложка")</f>
        <v>Обложка</v>
      </c>
      <c r="V8320" s="8" t="s">
        <v>26404</v>
      </c>
      <c r="W8320" s="6"/>
      <c r="X8320" s="6"/>
      <c r="Y8320" s="6"/>
      <c r="Z8320" s="6"/>
      <c r="AA8320" s="6" t="s">
        <v>68</v>
      </c>
      <c r="AB8320" s="8"/>
      <c r="AC8320" s="27">
        <v>9785160200491</v>
      </c>
    </row>
    <row r="8321" spans="1:29" s="4" customFormat="1" ht="51.9" customHeight="1" x14ac:dyDescent="0.2">
      <c r="A8321" s="5">
        <v>0</v>
      </c>
      <c r="B8321" s="6" t="s">
        <v>46824</v>
      </c>
      <c r="C8321" s="7">
        <v>1092</v>
      </c>
      <c r="D8321" s="8" t="s">
        <v>46825</v>
      </c>
      <c r="E8321" s="8" t="s">
        <v>46826</v>
      </c>
      <c r="F8321" s="8" t="s">
        <v>12982</v>
      </c>
      <c r="G8321" s="6" t="s">
        <v>118</v>
      </c>
      <c r="H8321" s="6" t="s">
        <v>1042</v>
      </c>
      <c r="I8321" s="8" t="s">
        <v>263</v>
      </c>
      <c r="J8321" s="9">
        <v>1</v>
      </c>
      <c r="K8321" s="9">
        <v>240</v>
      </c>
      <c r="L8321" s="9">
        <v>2022</v>
      </c>
      <c r="M8321" s="8" t="s">
        <v>46827</v>
      </c>
      <c r="N8321" s="8" t="s">
        <v>37</v>
      </c>
      <c r="O8321" s="8" t="s">
        <v>280</v>
      </c>
      <c r="P8321" s="6" t="s">
        <v>306</v>
      </c>
      <c r="Q8321" s="8" t="s">
        <v>265</v>
      </c>
      <c r="R8321" s="10" t="s">
        <v>12827</v>
      </c>
      <c r="S8321" s="11" t="s">
        <v>8880</v>
      </c>
      <c r="T8321" s="6"/>
      <c r="U8321" s="15" t="str">
        <f>HYPERLINK("https://media.infra-m.ru/1850/1850732/cover/1850732.jpg", "Обложка")</f>
        <v>Обложка</v>
      </c>
      <c r="V8321" s="8" t="s">
        <v>396</v>
      </c>
      <c r="W8321" s="6"/>
      <c r="X8321" s="6"/>
      <c r="Y8321" s="6"/>
      <c r="Z8321" s="6" t="s">
        <v>267</v>
      </c>
      <c r="AA8321" s="6" t="s">
        <v>1256</v>
      </c>
      <c r="AB8321" s="8"/>
      <c r="AC8321" s="27">
        <v>9785819909027</v>
      </c>
    </row>
    <row r="8322" spans="1:29" s="4" customFormat="1" ht="44.1" customHeight="1" x14ac:dyDescent="0.2">
      <c r="A8322" s="5">
        <v>0</v>
      </c>
      <c r="B8322" s="6" t="s">
        <v>46828</v>
      </c>
      <c r="C8322" s="13">
        <v>953.9</v>
      </c>
      <c r="D8322" s="8" t="s">
        <v>46829</v>
      </c>
      <c r="E8322" s="8" t="s">
        <v>46830</v>
      </c>
      <c r="F8322" s="8" t="s">
        <v>16586</v>
      </c>
      <c r="G8322" s="6" t="s">
        <v>33</v>
      </c>
      <c r="H8322" s="6" t="s">
        <v>34</v>
      </c>
      <c r="I8322" s="8" t="s">
        <v>35</v>
      </c>
      <c r="J8322" s="9">
        <v>1</v>
      </c>
      <c r="K8322" s="9">
        <v>177</v>
      </c>
      <c r="L8322" s="9">
        <v>2023</v>
      </c>
      <c r="M8322" s="8" t="s">
        <v>46831</v>
      </c>
      <c r="N8322" s="8" t="s">
        <v>37</v>
      </c>
      <c r="O8322" s="8" t="s">
        <v>280</v>
      </c>
      <c r="P8322" s="6" t="s">
        <v>39</v>
      </c>
      <c r="Q8322" s="8" t="s">
        <v>40</v>
      </c>
      <c r="R8322" s="10" t="s">
        <v>6677</v>
      </c>
      <c r="S8322" s="11"/>
      <c r="T8322" s="6"/>
      <c r="U8322" s="15" t="str">
        <f>HYPERLINK("https://media.infra-m.ru/1964/1964981/cover/1964981.jpg", "Обложка")</f>
        <v>Обложка</v>
      </c>
      <c r="V8322" s="8" t="s">
        <v>2854</v>
      </c>
      <c r="W8322" s="6"/>
      <c r="X8322" s="6"/>
      <c r="Y8322" s="6"/>
      <c r="Z8322" s="6"/>
      <c r="AA8322" s="6" t="s">
        <v>115</v>
      </c>
      <c r="AB8322" s="8"/>
      <c r="AC8322" s="27">
        <v>9785160148762</v>
      </c>
    </row>
    <row r="8323" spans="1:29" s="4" customFormat="1" ht="51.9" customHeight="1" x14ac:dyDescent="0.2">
      <c r="A8323" s="5">
        <v>0</v>
      </c>
      <c r="B8323" s="6" t="s">
        <v>46832</v>
      </c>
      <c r="C8323" s="7">
        <v>1372.8</v>
      </c>
      <c r="D8323" s="8" t="s">
        <v>46833</v>
      </c>
      <c r="E8323" s="8" t="s">
        <v>46834</v>
      </c>
      <c r="F8323" s="8" t="s">
        <v>46835</v>
      </c>
      <c r="G8323" s="6" t="s">
        <v>60</v>
      </c>
      <c r="H8323" s="6" t="s">
        <v>241</v>
      </c>
      <c r="I8323" s="8"/>
      <c r="J8323" s="9">
        <v>1</v>
      </c>
      <c r="K8323" s="9">
        <v>208</v>
      </c>
      <c r="L8323" s="9">
        <v>2026</v>
      </c>
      <c r="M8323" s="8" t="s">
        <v>46836</v>
      </c>
      <c r="N8323" s="8" t="s">
        <v>37</v>
      </c>
      <c r="O8323" s="8" t="s">
        <v>280</v>
      </c>
      <c r="P8323" s="6" t="s">
        <v>51</v>
      </c>
      <c r="Q8323" s="8" t="s">
        <v>52</v>
      </c>
      <c r="R8323" s="10" t="s">
        <v>46837</v>
      </c>
      <c r="S8323" s="11"/>
      <c r="T8323" s="6"/>
      <c r="U8323" s="15" t="str">
        <f>HYPERLINK("https://media.infra-m.ru/2226/2226544/cover/2226544.jpg", "Обложка")</f>
        <v>Обложка</v>
      </c>
      <c r="V8323" s="8" t="s">
        <v>36844</v>
      </c>
      <c r="W8323" s="6"/>
      <c r="X8323" s="6"/>
      <c r="Y8323" s="6"/>
      <c r="Z8323" s="6"/>
      <c r="AA8323" s="6" t="s">
        <v>43</v>
      </c>
      <c r="AB8323" s="8"/>
      <c r="AC8323" s="27">
        <v>9785955802282</v>
      </c>
    </row>
    <row r="8324" spans="1:29" s="4" customFormat="1" ht="51.9" customHeight="1" x14ac:dyDescent="0.2">
      <c r="A8324" s="5">
        <v>0</v>
      </c>
      <c r="B8324" s="6" t="s">
        <v>46838</v>
      </c>
      <c r="C8324" s="7">
        <v>1372.8</v>
      </c>
      <c r="D8324" s="8" t="s">
        <v>46839</v>
      </c>
      <c r="E8324" s="8" t="s">
        <v>46834</v>
      </c>
      <c r="F8324" s="8" t="s">
        <v>46840</v>
      </c>
      <c r="G8324" s="6" t="s">
        <v>60</v>
      </c>
      <c r="H8324" s="6" t="s">
        <v>241</v>
      </c>
      <c r="I8324" s="8" t="s">
        <v>263</v>
      </c>
      <c r="J8324" s="9">
        <v>1</v>
      </c>
      <c r="K8324" s="9">
        <v>208</v>
      </c>
      <c r="L8324" s="9">
        <v>2026</v>
      </c>
      <c r="M8324" s="8" t="s">
        <v>46841</v>
      </c>
      <c r="N8324" s="8" t="s">
        <v>37</v>
      </c>
      <c r="O8324" s="8" t="s">
        <v>280</v>
      </c>
      <c r="P8324" s="6" t="s">
        <v>51</v>
      </c>
      <c r="Q8324" s="8" t="s">
        <v>265</v>
      </c>
      <c r="R8324" s="10" t="s">
        <v>46842</v>
      </c>
      <c r="S8324" s="11" t="s">
        <v>23411</v>
      </c>
      <c r="T8324" s="6"/>
      <c r="U8324" s="15" t="str">
        <f>HYPERLINK("https://media.infra-m.ru/2226/2226546/cover/2226546.jpg", "Обложка")</f>
        <v>Обложка</v>
      </c>
      <c r="V8324" s="8" t="s">
        <v>36844</v>
      </c>
      <c r="W8324" s="6"/>
      <c r="X8324" s="6"/>
      <c r="Y8324" s="6"/>
      <c r="Z8324" s="6" t="s">
        <v>267</v>
      </c>
      <c r="AA8324" s="6" t="s">
        <v>1256</v>
      </c>
      <c r="AB8324" s="8"/>
      <c r="AC8324" s="27">
        <v>9785955806358</v>
      </c>
    </row>
    <row r="8325" spans="1:29" s="4" customFormat="1" ht="51.9" customHeight="1" x14ac:dyDescent="0.2">
      <c r="A8325" s="5">
        <v>0</v>
      </c>
      <c r="B8325" s="6" t="s">
        <v>46843</v>
      </c>
      <c r="C8325" s="7">
        <v>1672.8</v>
      </c>
      <c r="D8325" s="8" t="s">
        <v>46844</v>
      </c>
      <c r="E8325" s="8" t="s">
        <v>46845</v>
      </c>
      <c r="F8325" s="8" t="s">
        <v>46846</v>
      </c>
      <c r="G8325" s="6" t="s">
        <v>33</v>
      </c>
      <c r="H8325" s="6" t="s">
        <v>48</v>
      </c>
      <c r="I8325" s="8" t="s">
        <v>271</v>
      </c>
      <c r="J8325" s="9">
        <v>1</v>
      </c>
      <c r="K8325" s="9">
        <v>304</v>
      </c>
      <c r="L8325" s="9">
        <v>2024</v>
      </c>
      <c r="M8325" s="8" t="s">
        <v>46847</v>
      </c>
      <c r="N8325" s="8" t="s">
        <v>37</v>
      </c>
      <c r="O8325" s="8" t="s">
        <v>280</v>
      </c>
      <c r="P8325" s="6" t="s">
        <v>51</v>
      </c>
      <c r="Q8325" s="8" t="s">
        <v>52</v>
      </c>
      <c r="R8325" s="10" t="s">
        <v>46848</v>
      </c>
      <c r="S8325" s="11" t="s">
        <v>46849</v>
      </c>
      <c r="T8325" s="6"/>
      <c r="U8325" s="15" t="str">
        <f>HYPERLINK("https://media.infra-m.ru/2120/2120764/cover/2120764.jpg", "Обложка")</f>
        <v>Обложка</v>
      </c>
      <c r="V8325" s="8" t="s">
        <v>359</v>
      </c>
      <c r="W8325" s="6"/>
      <c r="X8325" s="6"/>
      <c r="Y8325" s="6"/>
      <c r="Z8325" s="6"/>
      <c r="AA8325" s="6" t="s">
        <v>248</v>
      </c>
      <c r="AB8325" s="8"/>
      <c r="AC8325" s="27">
        <v>9785911348175</v>
      </c>
    </row>
    <row r="8326" spans="1:29" s="4" customFormat="1" ht="51.9" customHeight="1" x14ac:dyDescent="0.2">
      <c r="A8326" s="5">
        <v>0</v>
      </c>
      <c r="B8326" s="6" t="s">
        <v>46850</v>
      </c>
      <c r="C8326" s="13">
        <v>964.8</v>
      </c>
      <c r="D8326" s="8" t="s">
        <v>46851</v>
      </c>
      <c r="E8326" s="8" t="s">
        <v>46852</v>
      </c>
      <c r="F8326" s="8" t="s">
        <v>46853</v>
      </c>
      <c r="G8326" s="6" t="s">
        <v>33</v>
      </c>
      <c r="H8326" s="6" t="s">
        <v>48</v>
      </c>
      <c r="I8326" s="8" t="s">
        <v>434</v>
      </c>
      <c r="J8326" s="9">
        <v>1</v>
      </c>
      <c r="K8326" s="9">
        <v>176</v>
      </c>
      <c r="L8326" s="9">
        <v>2024</v>
      </c>
      <c r="M8326" s="8" t="s">
        <v>46854</v>
      </c>
      <c r="N8326" s="8" t="s">
        <v>37</v>
      </c>
      <c r="O8326" s="8" t="s">
        <v>280</v>
      </c>
      <c r="P8326" s="6" t="s">
        <v>51</v>
      </c>
      <c r="Q8326" s="8" t="s">
        <v>265</v>
      </c>
      <c r="R8326" s="10" t="s">
        <v>46855</v>
      </c>
      <c r="S8326" s="11" t="s">
        <v>46849</v>
      </c>
      <c r="T8326" s="6"/>
      <c r="U8326" s="15" t="str">
        <f>HYPERLINK("https://media.infra-m.ru/2103/2103138/cover/2103138.jpg", "Обложка")</f>
        <v>Обложка</v>
      </c>
      <c r="V8326" s="8" t="s">
        <v>359</v>
      </c>
      <c r="W8326" s="6"/>
      <c r="X8326" s="6"/>
      <c r="Y8326" s="6"/>
      <c r="Z8326" s="6"/>
      <c r="AA8326" s="6" t="s">
        <v>55</v>
      </c>
      <c r="AB8326" s="8"/>
      <c r="AC8326" s="27">
        <v>9785911347802</v>
      </c>
    </row>
    <row r="8327" spans="1:29" s="4" customFormat="1" ht="51.9" customHeight="1" x14ac:dyDescent="0.2">
      <c r="A8327" s="5">
        <v>0</v>
      </c>
      <c r="B8327" s="6" t="s">
        <v>46856</v>
      </c>
      <c r="C8327" s="7">
        <v>1324.8</v>
      </c>
      <c r="D8327" s="8" t="s">
        <v>46857</v>
      </c>
      <c r="E8327" s="8" t="s">
        <v>46858</v>
      </c>
      <c r="F8327" s="8" t="s">
        <v>46853</v>
      </c>
      <c r="G8327" s="6" t="s">
        <v>33</v>
      </c>
      <c r="H8327" s="6" t="s">
        <v>48</v>
      </c>
      <c r="I8327" s="8" t="s">
        <v>253</v>
      </c>
      <c r="J8327" s="9">
        <v>1</v>
      </c>
      <c r="K8327" s="9">
        <v>240</v>
      </c>
      <c r="L8327" s="9">
        <v>2024</v>
      </c>
      <c r="M8327" s="8" t="s">
        <v>46859</v>
      </c>
      <c r="N8327" s="8" t="s">
        <v>37</v>
      </c>
      <c r="O8327" s="8" t="s">
        <v>280</v>
      </c>
      <c r="P8327" s="6" t="s">
        <v>51</v>
      </c>
      <c r="Q8327" s="8" t="s">
        <v>52</v>
      </c>
      <c r="R8327" s="10" t="s">
        <v>2670</v>
      </c>
      <c r="S8327" s="11" t="s">
        <v>46860</v>
      </c>
      <c r="T8327" s="6"/>
      <c r="U8327" s="15" t="str">
        <f>HYPERLINK("https://media.infra-m.ru/2044/2044324/cover/2044324.jpg", "Обложка")</f>
        <v>Обложка</v>
      </c>
      <c r="V8327" s="8" t="s">
        <v>359</v>
      </c>
      <c r="W8327" s="6"/>
      <c r="X8327" s="6"/>
      <c r="Y8327" s="6"/>
      <c r="Z8327" s="6"/>
      <c r="AA8327" s="6" t="s">
        <v>248</v>
      </c>
      <c r="AB8327" s="8"/>
      <c r="AC8327" s="27">
        <v>9785000916759</v>
      </c>
    </row>
    <row r="8328" spans="1:29" s="4" customFormat="1" ht="51.9" customHeight="1" x14ac:dyDescent="0.2">
      <c r="A8328" s="5">
        <v>0</v>
      </c>
      <c r="B8328" s="6" t="s">
        <v>46861</v>
      </c>
      <c r="C8328" s="13">
        <v>953.9</v>
      </c>
      <c r="D8328" s="8" t="s">
        <v>46862</v>
      </c>
      <c r="E8328" s="8" t="s">
        <v>46863</v>
      </c>
      <c r="F8328" s="8" t="s">
        <v>46864</v>
      </c>
      <c r="G8328" s="6" t="s">
        <v>33</v>
      </c>
      <c r="H8328" s="6" t="s">
        <v>48</v>
      </c>
      <c r="I8328" s="8" t="s">
        <v>46865</v>
      </c>
      <c r="J8328" s="9">
        <v>1</v>
      </c>
      <c r="K8328" s="9">
        <v>176</v>
      </c>
      <c r="L8328" s="9">
        <v>2023</v>
      </c>
      <c r="M8328" s="8" t="s">
        <v>46866</v>
      </c>
      <c r="N8328" s="8" t="s">
        <v>37</v>
      </c>
      <c r="O8328" s="8" t="s">
        <v>280</v>
      </c>
      <c r="P8328" s="6" t="s">
        <v>51</v>
      </c>
      <c r="Q8328" s="8" t="s">
        <v>265</v>
      </c>
      <c r="R8328" s="10" t="s">
        <v>46867</v>
      </c>
      <c r="S8328" s="11" t="s">
        <v>46849</v>
      </c>
      <c r="T8328" s="6"/>
      <c r="U8328" s="15" t="str">
        <f>HYPERLINK("https://media.infra-m.ru/1981/1981705/cover/1981705.jpg", "Обложка")</f>
        <v>Обложка</v>
      </c>
      <c r="V8328" s="8" t="s">
        <v>359</v>
      </c>
      <c r="W8328" s="6"/>
      <c r="X8328" s="6"/>
      <c r="Y8328" s="6"/>
      <c r="Z8328" s="6"/>
      <c r="AA8328" s="6" t="s">
        <v>55</v>
      </c>
      <c r="AB8328" s="8"/>
      <c r="AC8328" s="27">
        <v>9785911347352</v>
      </c>
    </row>
    <row r="8329" spans="1:29" s="4" customFormat="1" ht="51.9" customHeight="1" x14ac:dyDescent="0.2">
      <c r="A8329" s="5">
        <v>0</v>
      </c>
      <c r="B8329" s="6" t="s">
        <v>46868</v>
      </c>
      <c r="C8329" s="7">
        <v>1384.8</v>
      </c>
      <c r="D8329" s="8" t="s">
        <v>46869</v>
      </c>
      <c r="E8329" s="8" t="s">
        <v>46870</v>
      </c>
      <c r="F8329" s="8" t="s">
        <v>46871</v>
      </c>
      <c r="G8329" s="6" t="s">
        <v>118</v>
      </c>
      <c r="H8329" s="6" t="s">
        <v>34</v>
      </c>
      <c r="I8329" s="8" t="s">
        <v>271</v>
      </c>
      <c r="J8329" s="9">
        <v>1</v>
      </c>
      <c r="K8329" s="9">
        <v>231</v>
      </c>
      <c r="L8329" s="9">
        <v>2025</v>
      </c>
      <c r="M8329" s="8" t="s">
        <v>46872</v>
      </c>
      <c r="N8329" s="8" t="s">
        <v>37</v>
      </c>
      <c r="O8329" s="8" t="s">
        <v>280</v>
      </c>
      <c r="P8329" s="6" t="s">
        <v>306</v>
      </c>
      <c r="Q8329" s="8" t="s">
        <v>52</v>
      </c>
      <c r="R8329" s="10" t="s">
        <v>46873</v>
      </c>
      <c r="S8329" s="11" t="s">
        <v>46874</v>
      </c>
      <c r="T8329" s="6" t="s">
        <v>97</v>
      </c>
      <c r="U8329" s="15" t="str">
        <f>HYPERLINK("https://media.infra-m.ru/2186/2186908/cover/2186908.jpg", "Обложка")</f>
        <v>Обложка</v>
      </c>
      <c r="V8329" s="8" t="s">
        <v>5964</v>
      </c>
      <c r="W8329" s="6"/>
      <c r="X8329" s="6"/>
      <c r="Y8329" s="6"/>
      <c r="Z8329" s="6"/>
      <c r="AA8329" s="6" t="s">
        <v>3800</v>
      </c>
      <c r="AB8329" s="8"/>
      <c r="AC8329" s="27">
        <v>9785160118475</v>
      </c>
    </row>
    <row r="8330" spans="1:29" s="4" customFormat="1" ht="51.9" customHeight="1" x14ac:dyDescent="0.2">
      <c r="A8330" s="5">
        <v>0</v>
      </c>
      <c r="B8330" s="6" t="s">
        <v>46875</v>
      </c>
      <c r="C8330" s="7">
        <v>1612.8</v>
      </c>
      <c r="D8330" s="8" t="s">
        <v>46876</v>
      </c>
      <c r="E8330" s="8" t="s">
        <v>46870</v>
      </c>
      <c r="F8330" s="8" t="s">
        <v>46871</v>
      </c>
      <c r="G8330" s="6" t="s">
        <v>118</v>
      </c>
      <c r="H8330" s="6" t="s">
        <v>34</v>
      </c>
      <c r="I8330" s="8" t="s">
        <v>263</v>
      </c>
      <c r="J8330" s="9">
        <v>1</v>
      </c>
      <c r="K8330" s="9">
        <v>231</v>
      </c>
      <c r="L8330" s="9">
        <v>2026</v>
      </c>
      <c r="M8330" s="8" t="s">
        <v>46877</v>
      </c>
      <c r="N8330" s="8" t="s">
        <v>37</v>
      </c>
      <c r="O8330" s="8" t="s">
        <v>280</v>
      </c>
      <c r="P8330" s="6" t="s">
        <v>306</v>
      </c>
      <c r="Q8330" s="8" t="s">
        <v>265</v>
      </c>
      <c r="R8330" s="10" t="s">
        <v>46878</v>
      </c>
      <c r="S8330" s="11" t="s">
        <v>46879</v>
      </c>
      <c r="T8330" s="6"/>
      <c r="U8330" s="15" t="str">
        <f>HYPERLINK("https://media.infra-m.ru/2258/2258677/cover/2258677.jpg", "Обложка")</f>
        <v>Обложка</v>
      </c>
      <c r="V8330" s="8" t="s">
        <v>5964</v>
      </c>
      <c r="W8330" s="6"/>
      <c r="X8330" s="6"/>
      <c r="Y8330" s="6"/>
      <c r="Z8330" s="6" t="s">
        <v>267</v>
      </c>
      <c r="AA8330" s="6" t="s">
        <v>1389</v>
      </c>
      <c r="AB8330" s="8"/>
      <c r="AC8330" s="27">
        <v>9785160156071</v>
      </c>
    </row>
    <row r="8331" spans="1:29" s="4" customFormat="1" ht="51.9" customHeight="1" x14ac:dyDescent="0.2">
      <c r="A8331" s="5">
        <v>0</v>
      </c>
      <c r="B8331" s="6" t="s">
        <v>46880</v>
      </c>
      <c r="C8331" s="7">
        <v>1396.8</v>
      </c>
      <c r="D8331" s="8" t="s">
        <v>46881</v>
      </c>
      <c r="E8331" s="8" t="s">
        <v>46882</v>
      </c>
      <c r="F8331" s="8" t="s">
        <v>46883</v>
      </c>
      <c r="G8331" s="6" t="s">
        <v>118</v>
      </c>
      <c r="H8331" s="6" t="s">
        <v>34</v>
      </c>
      <c r="I8331" s="8" t="s">
        <v>271</v>
      </c>
      <c r="J8331" s="9">
        <v>1</v>
      </c>
      <c r="K8331" s="9">
        <v>224</v>
      </c>
      <c r="L8331" s="9">
        <v>2026</v>
      </c>
      <c r="M8331" s="8" t="s">
        <v>46884</v>
      </c>
      <c r="N8331" s="8" t="s">
        <v>37</v>
      </c>
      <c r="O8331" s="8" t="s">
        <v>280</v>
      </c>
      <c r="P8331" s="6" t="s">
        <v>306</v>
      </c>
      <c r="Q8331" s="8" t="s">
        <v>52</v>
      </c>
      <c r="R8331" s="10" t="s">
        <v>46885</v>
      </c>
      <c r="S8331" s="11" t="s">
        <v>46886</v>
      </c>
      <c r="T8331" s="6"/>
      <c r="U8331" s="15" t="str">
        <f>HYPERLINK("https://media.infra-m.ru/2214/2214970/cover/2214970.jpg", "Обложка")</f>
        <v>Обложка</v>
      </c>
      <c r="V8331" s="8" t="s">
        <v>1505</v>
      </c>
      <c r="W8331" s="6"/>
      <c r="X8331" s="6" t="s">
        <v>24</v>
      </c>
      <c r="Y8331" s="6"/>
      <c r="Z8331" s="6"/>
      <c r="AA8331" s="6" t="s">
        <v>718</v>
      </c>
      <c r="AB8331" s="8"/>
      <c r="AC8331" s="27">
        <v>9785160160931</v>
      </c>
    </row>
    <row r="8332" spans="1:29" s="4" customFormat="1" ht="42" customHeight="1" x14ac:dyDescent="0.2">
      <c r="A8332" s="5">
        <v>0</v>
      </c>
      <c r="B8332" s="6" t="s">
        <v>46887</v>
      </c>
      <c r="C8332" s="7">
        <v>1300.8</v>
      </c>
      <c r="D8332" s="8" t="s">
        <v>46888</v>
      </c>
      <c r="E8332" s="8" t="s">
        <v>46889</v>
      </c>
      <c r="F8332" s="8" t="s">
        <v>46890</v>
      </c>
      <c r="G8332" s="6" t="s">
        <v>60</v>
      </c>
      <c r="H8332" s="6" t="s">
        <v>5605</v>
      </c>
      <c r="I8332" s="8" t="s">
        <v>253</v>
      </c>
      <c r="J8332" s="9">
        <v>1</v>
      </c>
      <c r="K8332" s="9">
        <v>208</v>
      </c>
      <c r="L8332" s="9">
        <v>2025</v>
      </c>
      <c r="M8332" s="8" t="s">
        <v>46891</v>
      </c>
      <c r="N8332" s="8" t="s">
        <v>37</v>
      </c>
      <c r="O8332" s="8" t="s">
        <v>280</v>
      </c>
      <c r="P8332" s="6" t="s">
        <v>51</v>
      </c>
      <c r="Q8332" s="8" t="s">
        <v>52</v>
      </c>
      <c r="R8332" s="10" t="s">
        <v>2134</v>
      </c>
      <c r="S8332" s="11"/>
      <c r="T8332" s="6"/>
      <c r="U8332" s="15" t="str">
        <f>HYPERLINK("https://media.infra-m.ru/2197/2197595/cover/2197595.jpg", "Обложка")</f>
        <v>Обложка</v>
      </c>
      <c r="V8332" s="8" t="s">
        <v>227</v>
      </c>
      <c r="W8332" s="6"/>
      <c r="X8332" s="6"/>
      <c r="Y8332" s="6"/>
      <c r="Z8332" s="6"/>
      <c r="AA8332" s="6" t="s">
        <v>1015</v>
      </c>
      <c r="AB8332" s="8"/>
      <c r="AC8332" s="27">
        <v>9785160038308</v>
      </c>
    </row>
    <row r="8333" spans="1:29" s="4" customFormat="1" ht="51.9" customHeight="1" x14ac:dyDescent="0.2">
      <c r="A8333" s="5">
        <v>0</v>
      </c>
      <c r="B8333" s="6" t="s">
        <v>46892</v>
      </c>
      <c r="C8333" s="7">
        <v>1848</v>
      </c>
      <c r="D8333" s="8" t="s">
        <v>46893</v>
      </c>
      <c r="E8333" s="8" t="s">
        <v>46882</v>
      </c>
      <c r="F8333" s="8" t="s">
        <v>46894</v>
      </c>
      <c r="G8333" s="6" t="s">
        <v>118</v>
      </c>
      <c r="H8333" s="6" t="s">
        <v>34</v>
      </c>
      <c r="I8333" s="8" t="s">
        <v>253</v>
      </c>
      <c r="J8333" s="9">
        <v>1</v>
      </c>
      <c r="K8333" s="9">
        <v>334</v>
      </c>
      <c r="L8333" s="9">
        <v>2024</v>
      </c>
      <c r="M8333" s="8" t="s">
        <v>46895</v>
      </c>
      <c r="N8333" s="8" t="s">
        <v>37</v>
      </c>
      <c r="O8333" s="8" t="s">
        <v>280</v>
      </c>
      <c r="P8333" s="6" t="s">
        <v>51</v>
      </c>
      <c r="Q8333" s="8" t="s">
        <v>52</v>
      </c>
      <c r="R8333" s="10" t="s">
        <v>2237</v>
      </c>
      <c r="S8333" s="11" t="s">
        <v>46896</v>
      </c>
      <c r="T8333" s="6"/>
      <c r="U8333" s="15" t="str">
        <f>HYPERLINK("https://media.infra-m.ru/2087/2087316/cover/2087316.jpg", "Обложка")</f>
        <v>Обложка</v>
      </c>
      <c r="V8333" s="8" t="s">
        <v>1956</v>
      </c>
      <c r="W8333" s="6"/>
      <c r="X8333" s="6"/>
      <c r="Y8333" s="6"/>
      <c r="Z8333" s="6"/>
      <c r="AA8333" s="6" t="s">
        <v>874</v>
      </c>
      <c r="AB8333" s="8"/>
      <c r="AC8333" s="27">
        <v>9785160191072</v>
      </c>
    </row>
    <row r="8334" spans="1:29" s="4" customFormat="1" ht="51.9" customHeight="1" x14ac:dyDescent="0.2">
      <c r="A8334" s="5">
        <v>0</v>
      </c>
      <c r="B8334" s="6" t="s">
        <v>46897</v>
      </c>
      <c r="C8334" s="13">
        <v>761.9</v>
      </c>
      <c r="D8334" s="8" t="s">
        <v>46898</v>
      </c>
      <c r="E8334" s="8" t="s">
        <v>46889</v>
      </c>
      <c r="F8334" s="8" t="s">
        <v>46899</v>
      </c>
      <c r="G8334" s="6" t="s">
        <v>118</v>
      </c>
      <c r="H8334" s="6" t="s">
        <v>5605</v>
      </c>
      <c r="I8334" s="8" t="s">
        <v>253</v>
      </c>
      <c r="J8334" s="9">
        <v>1</v>
      </c>
      <c r="K8334" s="9">
        <v>176</v>
      </c>
      <c r="L8334" s="9">
        <v>2021</v>
      </c>
      <c r="M8334" s="8" t="s">
        <v>46900</v>
      </c>
      <c r="N8334" s="8" t="s">
        <v>37</v>
      </c>
      <c r="O8334" s="8" t="s">
        <v>280</v>
      </c>
      <c r="P8334" s="6" t="s">
        <v>51</v>
      </c>
      <c r="Q8334" s="8" t="s">
        <v>52</v>
      </c>
      <c r="R8334" s="10" t="s">
        <v>46901</v>
      </c>
      <c r="S8334" s="11" t="s">
        <v>46902</v>
      </c>
      <c r="T8334" s="6"/>
      <c r="U8334" s="15" t="str">
        <f>HYPERLINK("https://media.infra-m.ru/1138/1138842/cover/1138842.jpg", "Обложка")</f>
        <v>Обложка</v>
      </c>
      <c r="V8334" s="8" t="s">
        <v>631</v>
      </c>
      <c r="W8334" s="6"/>
      <c r="X8334" s="6"/>
      <c r="Y8334" s="6"/>
      <c r="Z8334" s="6"/>
      <c r="AA8334" s="6" t="s">
        <v>43</v>
      </c>
      <c r="AB8334" s="8"/>
      <c r="AC8334" s="27">
        <v>9785160047645</v>
      </c>
    </row>
    <row r="8335" spans="1:29" s="4" customFormat="1" ht="51.9" customHeight="1" x14ac:dyDescent="0.2">
      <c r="A8335" s="5">
        <v>0</v>
      </c>
      <c r="B8335" s="6" t="s">
        <v>46903</v>
      </c>
      <c r="C8335" s="7">
        <v>1224</v>
      </c>
      <c r="D8335" s="8" t="s">
        <v>46904</v>
      </c>
      <c r="E8335" s="8" t="s">
        <v>46889</v>
      </c>
      <c r="F8335" s="8" t="s">
        <v>46899</v>
      </c>
      <c r="G8335" s="6" t="s">
        <v>118</v>
      </c>
      <c r="H8335" s="6" t="s">
        <v>34</v>
      </c>
      <c r="I8335" s="8" t="s">
        <v>263</v>
      </c>
      <c r="J8335" s="9">
        <v>1</v>
      </c>
      <c r="K8335" s="9">
        <v>176</v>
      </c>
      <c r="L8335" s="9">
        <v>2026</v>
      </c>
      <c r="M8335" s="8" t="s">
        <v>46905</v>
      </c>
      <c r="N8335" s="8" t="s">
        <v>37</v>
      </c>
      <c r="O8335" s="8" t="s">
        <v>280</v>
      </c>
      <c r="P8335" s="6" t="s">
        <v>51</v>
      </c>
      <c r="Q8335" s="8" t="s">
        <v>265</v>
      </c>
      <c r="R8335" s="10" t="s">
        <v>46906</v>
      </c>
      <c r="S8335" s="11" t="s">
        <v>46907</v>
      </c>
      <c r="T8335" s="6"/>
      <c r="U8335" s="15" t="str">
        <f>HYPERLINK("https://media.infra-m.ru/2255/2255707/cover/2255707.jpg", "Обложка")</f>
        <v>Обложка</v>
      </c>
      <c r="V8335" s="8" t="s">
        <v>631</v>
      </c>
      <c r="W8335" s="6"/>
      <c r="X8335" s="6"/>
      <c r="Y8335" s="6"/>
      <c r="Z8335" s="6" t="s">
        <v>267</v>
      </c>
      <c r="AA8335" s="6" t="s">
        <v>1256</v>
      </c>
      <c r="AB8335" s="8"/>
      <c r="AC8335" s="27">
        <v>9785160146126</v>
      </c>
    </row>
    <row r="8336" spans="1:29" s="4" customFormat="1" ht="51.9" customHeight="1" x14ac:dyDescent="0.2">
      <c r="A8336" s="5">
        <v>0</v>
      </c>
      <c r="B8336" s="6" t="s">
        <v>46908</v>
      </c>
      <c r="C8336" s="7">
        <v>1548</v>
      </c>
      <c r="D8336" s="8" t="s">
        <v>46909</v>
      </c>
      <c r="E8336" s="8" t="s">
        <v>46910</v>
      </c>
      <c r="F8336" s="8" t="s">
        <v>46911</v>
      </c>
      <c r="G8336" s="6" t="s">
        <v>118</v>
      </c>
      <c r="H8336" s="6" t="s">
        <v>34</v>
      </c>
      <c r="I8336" s="8" t="s">
        <v>263</v>
      </c>
      <c r="J8336" s="9">
        <v>1</v>
      </c>
      <c r="K8336" s="9">
        <v>217</v>
      </c>
      <c r="L8336" s="9">
        <v>2027</v>
      </c>
      <c r="M8336" s="8" t="s">
        <v>46912</v>
      </c>
      <c r="N8336" s="8" t="s">
        <v>37</v>
      </c>
      <c r="O8336" s="8" t="s">
        <v>280</v>
      </c>
      <c r="P8336" s="6" t="s">
        <v>51</v>
      </c>
      <c r="Q8336" s="8" t="s">
        <v>265</v>
      </c>
      <c r="R8336" s="10" t="s">
        <v>46913</v>
      </c>
      <c r="S8336" s="11" t="s">
        <v>4567</v>
      </c>
      <c r="T8336" s="6" t="s">
        <v>97</v>
      </c>
      <c r="U8336" s="15" t="str">
        <f>HYPERLINK("https://media.infra-m.ru/2251/2251617/cover/2251617.jpg", "Обложка")</f>
        <v>Обложка</v>
      </c>
      <c r="V8336" s="8" t="s">
        <v>247</v>
      </c>
      <c r="W8336" s="6"/>
      <c r="X8336" s="6" t="s">
        <v>24</v>
      </c>
      <c r="Y8336" s="6"/>
      <c r="Z8336" s="6"/>
      <c r="AA8336" s="6" t="s">
        <v>8545</v>
      </c>
      <c r="AB8336" s="8"/>
      <c r="AC8336" s="27">
        <v>9785160220895</v>
      </c>
    </row>
    <row r="8337" spans="1:29" s="4" customFormat="1" ht="51.9" customHeight="1" x14ac:dyDescent="0.2">
      <c r="A8337" s="5">
        <v>0</v>
      </c>
      <c r="B8337" s="6" t="s">
        <v>46914</v>
      </c>
      <c r="C8337" s="7">
        <v>1308</v>
      </c>
      <c r="D8337" s="8" t="s">
        <v>46915</v>
      </c>
      <c r="E8337" s="8" t="s">
        <v>46916</v>
      </c>
      <c r="F8337" s="8" t="s">
        <v>14562</v>
      </c>
      <c r="G8337" s="6" t="s">
        <v>118</v>
      </c>
      <c r="H8337" s="6" t="s">
        <v>34</v>
      </c>
      <c r="I8337" s="8" t="s">
        <v>504</v>
      </c>
      <c r="J8337" s="9">
        <v>1</v>
      </c>
      <c r="K8337" s="9">
        <v>232</v>
      </c>
      <c r="L8337" s="9">
        <v>2024</v>
      </c>
      <c r="M8337" s="8" t="s">
        <v>46917</v>
      </c>
      <c r="N8337" s="8" t="s">
        <v>37</v>
      </c>
      <c r="O8337" s="8" t="s">
        <v>280</v>
      </c>
      <c r="P8337" s="6" t="s">
        <v>306</v>
      </c>
      <c r="Q8337" s="8" t="s">
        <v>500</v>
      </c>
      <c r="R8337" s="10" t="s">
        <v>46918</v>
      </c>
      <c r="S8337" s="11" t="s">
        <v>46919</v>
      </c>
      <c r="T8337" s="6"/>
      <c r="U8337" s="15" t="str">
        <f>HYPERLINK("https://media.infra-m.ru/2142/2142534/cover/2142534.jpg", "Обложка")</f>
        <v>Обложка</v>
      </c>
      <c r="V8337" s="8" t="s">
        <v>13059</v>
      </c>
      <c r="W8337" s="6"/>
      <c r="X8337" s="6"/>
      <c r="Y8337" s="6"/>
      <c r="Z8337" s="6"/>
      <c r="AA8337" s="6" t="s">
        <v>86</v>
      </c>
      <c r="AB8337" s="8"/>
      <c r="AC8337" s="27">
        <v>9785160135670</v>
      </c>
    </row>
    <row r="8338" spans="1:29" s="4" customFormat="1" ht="51.9" customHeight="1" x14ac:dyDescent="0.2">
      <c r="A8338" s="5">
        <v>0</v>
      </c>
      <c r="B8338" s="6" t="s">
        <v>46920</v>
      </c>
      <c r="C8338" s="7">
        <v>1876.8</v>
      </c>
      <c r="D8338" s="8" t="s">
        <v>46921</v>
      </c>
      <c r="E8338" s="8" t="s">
        <v>46922</v>
      </c>
      <c r="F8338" s="8" t="s">
        <v>46923</v>
      </c>
      <c r="G8338" s="6" t="s">
        <v>118</v>
      </c>
      <c r="H8338" s="6" t="s">
        <v>34</v>
      </c>
      <c r="I8338" s="8" t="s">
        <v>253</v>
      </c>
      <c r="J8338" s="9">
        <v>1</v>
      </c>
      <c r="K8338" s="9">
        <v>300</v>
      </c>
      <c r="L8338" s="9">
        <v>2025</v>
      </c>
      <c r="M8338" s="8" t="s">
        <v>46924</v>
      </c>
      <c r="N8338" s="8" t="s">
        <v>37</v>
      </c>
      <c r="O8338" s="8" t="s">
        <v>280</v>
      </c>
      <c r="P8338" s="6" t="s">
        <v>306</v>
      </c>
      <c r="Q8338" s="8" t="s">
        <v>52</v>
      </c>
      <c r="R8338" s="10" t="s">
        <v>11939</v>
      </c>
      <c r="S8338" s="11" t="s">
        <v>46925</v>
      </c>
      <c r="T8338" s="6"/>
      <c r="U8338" s="15" t="str">
        <f>HYPERLINK("https://media.infra-m.ru/2211/2211999/cover/2211999.jpg", "Обложка")</f>
        <v>Обложка</v>
      </c>
      <c r="V8338" s="8" t="s">
        <v>3177</v>
      </c>
      <c r="W8338" s="6"/>
      <c r="X8338" s="6"/>
      <c r="Y8338" s="6"/>
      <c r="Z8338" s="6"/>
      <c r="AA8338" s="6" t="s">
        <v>1303</v>
      </c>
      <c r="AB8338" s="8"/>
      <c r="AC8338" s="27">
        <v>9785160205021</v>
      </c>
    </row>
    <row r="8339" spans="1:29" s="4" customFormat="1" ht="51.9" customHeight="1" x14ac:dyDescent="0.2">
      <c r="A8339" s="5">
        <v>0</v>
      </c>
      <c r="B8339" s="6" t="s">
        <v>46926</v>
      </c>
      <c r="C8339" s="7">
        <v>1625.9</v>
      </c>
      <c r="D8339" s="8" t="s">
        <v>46927</v>
      </c>
      <c r="E8339" s="8" t="s">
        <v>46928</v>
      </c>
      <c r="F8339" s="8" t="s">
        <v>46929</v>
      </c>
      <c r="G8339" s="6" t="s">
        <v>60</v>
      </c>
      <c r="H8339" s="6" t="s">
        <v>34</v>
      </c>
      <c r="I8339" s="8" t="s">
        <v>271</v>
      </c>
      <c r="J8339" s="9">
        <v>1</v>
      </c>
      <c r="K8339" s="9">
        <v>300</v>
      </c>
      <c r="L8339" s="9">
        <v>2023</v>
      </c>
      <c r="M8339" s="8" t="s">
        <v>46930</v>
      </c>
      <c r="N8339" s="8" t="s">
        <v>37</v>
      </c>
      <c r="O8339" s="8" t="s">
        <v>280</v>
      </c>
      <c r="P8339" s="6" t="s">
        <v>306</v>
      </c>
      <c r="Q8339" s="8" t="s">
        <v>52</v>
      </c>
      <c r="R8339" s="10" t="s">
        <v>11939</v>
      </c>
      <c r="S8339" s="11" t="s">
        <v>46931</v>
      </c>
      <c r="T8339" s="6"/>
      <c r="U8339" s="15" t="str">
        <f>HYPERLINK("https://media.infra-m.ru/1910/1910656/cover/1910656.jpg", "Обложка")</f>
        <v>Обложка</v>
      </c>
      <c r="V8339" s="8" t="s">
        <v>831</v>
      </c>
      <c r="W8339" s="6"/>
      <c r="X8339" s="6"/>
      <c r="Y8339" s="6"/>
      <c r="Z8339" s="6"/>
      <c r="AA8339" s="6" t="s">
        <v>43</v>
      </c>
      <c r="AB8339" s="8"/>
      <c r="AC8339" s="27">
        <v>9785160049632</v>
      </c>
    </row>
    <row r="8340" spans="1:29" s="4" customFormat="1" ht="51.9" customHeight="1" x14ac:dyDescent="0.2">
      <c r="A8340" s="5">
        <v>0</v>
      </c>
      <c r="B8340" s="6" t="s">
        <v>46932</v>
      </c>
      <c r="C8340" s="7">
        <v>1896</v>
      </c>
      <c r="D8340" s="8" t="s">
        <v>46933</v>
      </c>
      <c r="E8340" s="8" t="s">
        <v>46934</v>
      </c>
      <c r="F8340" s="8" t="s">
        <v>16767</v>
      </c>
      <c r="G8340" s="6" t="s">
        <v>60</v>
      </c>
      <c r="H8340" s="6" t="s">
        <v>34</v>
      </c>
      <c r="I8340" s="8" t="s">
        <v>253</v>
      </c>
      <c r="J8340" s="9">
        <v>1</v>
      </c>
      <c r="K8340" s="9">
        <v>292</v>
      </c>
      <c r="L8340" s="9">
        <v>2025</v>
      </c>
      <c r="M8340" s="8" t="s">
        <v>46935</v>
      </c>
      <c r="N8340" s="8" t="s">
        <v>37</v>
      </c>
      <c r="O8340" s="8" t="s">
        <v>280</v>
      </c>
      <c r="P8340" s="6" t="s">
        <v>306</v>
      </c>
      <c r="Q8340" s="8" t="s">
        <v>500</v>
      </c>
      <c r="R8340" s="10" t="s">
        <v>46936</v>
      </c>
      <c r="S8340" s="11"/>
      <c r="T8340" s="6"/>
      <c r="U8340" s="15" t="str">
        <f>HYPERLINK("https://media.infra-m.ru/2180/2180369/cover/2180369.jpg", "Обложка")</f>
        <v>Обложка</v>
      </c>
      <c r="V8340" s="8" t="s">
        <v>546</v>
      </c>
      <c r="W8340" s="6"/>
      <c r="X8340" s="6"/>
      <c r="Y8340" s="6"/>
      <c r="Z8340" s="6"/>
      <c r="AA8340" s="6" t="s">
        <v>917</v>
      </c>
      <c r="AB8340" s="8"/>
      <c r="AC8340" s="27">
        <v>9785160205250</v>
      </c>
    </row>
    <row r="8341" spans="1:29" s="4" customFormat="1" ht="51.9" customHeight="1" x14ac:dyDescent="0.2">
      <c r="A8341" s="5">
        <v>0</v>
      </c>
      <c r="B8341" s="6" t="s">
        <v>46937</v>
      </c>
      <c r="C8341" s="7">
        <v>1212</v>
      </c>
      <c r="D8341" s="8" t="s">
        <v>46938</v>
      </c>
      <c r="E8341" s="8" t="s">
        <v>46939</v>
      </c>
      <c r="F8341" s="8" t="s">
        <v>46940</v>
      </c>
      <c r="G8341" s="6" t="s">
        <v>118</v>
      </c>
      <c r="H8341" s="6" t="s">
        <v>34</v>
      </c>
      <c r="I8341" s="8" t="s">
        <v>504</v>
      </c>
      <c r="J8341" s="9">
        <v>1</v>
      </c>
      <c r="K8341" s="9">
        <v>215</v>
      </c>
      <c r="L8341" s="9">
        <v>2022</v>
      </c>
      <c r="M8341" s="8" t="s">
        <v>46941</v>
      </c>
      <c r="N8341" s="8" t="s">
        <v>37</v>
      </c>
      <c r="O8341" s="8" t="s">
        <v>280</v>
      </c>
      <c r="P8341" s="6" t="s">
        <v>306</v>
      </c>
      <c r="Q8341" s="8" t="s">
        <v>500</v>
      </c>
      <c r="R8341" s="10" t="s">
        <v>46936</v>
      </c>
      <c r="S8341" s="11" t="s">
        <v>46942</v>
      </c>
      <c r="T8341" s="6"/>
      <c r="U8341" s="15" t="str">
        <f>HYPERLINK("https://media.infra-m.ru/1852/1852179/cover/1852179.jpg", "Обложка")</f>
        <v>Обложка</v>
      </c>
      <c r="V8341" s="8" t="s">
        <v>546</v>
      </c>
      <c r="W8341" s="6"/>
      <c r="X8341" s="6"/>
      <c r="Y8341" s="6"/>
      <c r="Z8341" s="6"/>
      <c r="AA8341" s="6" t="s">
        <v>1256</v>
      </c>
      <c r="AB8341" s="8"/>
      <c r="AC8341" s="27">
        <v>9785160161013</v>
      </c>
    </row>
    <row r="8342" spans="1:29" s="4" customFormat="1" ht="51.9" customHeight="1" x14ac:dyDescent="0.2">
      <c r="A8342" s="5">
        <v>0</v>
      </c>
      <c r="B8342" s="6" t="s">
        <v>46943</v>
      </c>
      <c r="C8342" s="7">
        <v>1312.8</v>
      </c>
      <c r="D8342" s="8" t="s">
        <v>46944</v>
      </c>
      <c r="E8342" s="8" t="s">
        <v>46945</v>
      </c>
      <c r="F8342" s="8" t="s">
        <v>46946</v>
      </c>
      <c r="G8342" s="6" t="s">
        <v>118</v>
      </c>
      <c r="H8342" s="6" t="s">
        <v>34</v>
      </c>
      <c r="I8342" s="8" t="s">
        <v>2025</v>
      </c>
      <c r="J8342" s="9">
        <v>1</v>
      </c>
      <c r="K8342" s="9">
        <v>211</v>
      </c>
      <c r="L8342" s="9">
        <v>2026</v>
      </c>
      <c r="M8342" s="8" t="s">
        <v>46947</v>
      </c>
      <c r="N8342" s="8" t="s">
        <v>243</v>
      </c>
      <c r="O8342" s="8" t="s">
        <v>244</v>
      </c>
      <c r="P8342" s="6" t="s">
        <v>51</v>
      </c>
      <c r="Q8342" s="8" t="s">
        <v>52</v>
      </c>
      <c r="R8342" s="10" t="s">
        <v>46948</v>
      </c>
      <c r="S8342" s="11" t="s">
        <v>46949</v>
      </c>
      <c r="T8342" s="6"/>
      <c r="U8342" s="15" t="str">
        <f>HYPERLINK("https://media.infra-m.ru/2212/2212388/cover/2212388.jpg", "Обложка")</f>
        <v>Обложка</v>
      </c>
      <c r="V8342" s="8" t="s">
        <v>247</v>
      </c>
      <c r="W8342" s="6"/>
      <c r="X8342" s="6"/>
      <c r="Y8342" s="6"/>
      <c r="Z8342" s="6"/>
      <c r="AA8342" s="6" t="s">
        <v>115</v>
      </c>
      <c r="AB8342" s="8"/>
      <c r="AC8342" s="27">
        <v>9785160164939</v>
      </c>
    </row>
    <row r="8343" spans="1:29" s="4" customFormat="1" ht="51.9" customHeight="1" x14ac:dyDescent="0.2">
      <c r="A8343" s="5">
        <v>0</v>
      </c>
      <c r="B8343" s="6" t="s">
        <v>46950</v>
      </c>
      <c r="C8343" s="7">
        <v>1780.8</v>
      </c>
      <c r="D8343" s="8" t="s">
        <v>46951</v>
      </c>
      <c r="E8343" s="8" t="s">
        <v>46952</v>
      </c>
      <c r="F8343" s="8" t="s">
        <v>23860</v>
      </c>
      <c r="G8343" s="6" t="s">
        <v>60</v>
      </c>
      <c r="H8343" s="6" t="s">
        <v>1042</v>
      </c>
      <c r="I8343" s="8" t="s">
        <v>253</v>
      </c>
      <c r="J8343" s="9">
        <v>1</v>
      </c>
      <c r="K8343" s="9">
        <v>255</v>
      </c>
      <c r="L8343" s="9">
        <v>2027</v>
      </c>
      <c r="M8343" s="8" t="s">
        <v>46953</v>
      </c>
      <c r="N8343" s="8" t="s">
        <v>37</v>
      </c>
      <c r="O8343" s="8" t="s">
        <v>280</v>
      </c>
      <c r="P8343" s="6" t="s">
        <v>51</v>
      </c>
      <c r="Q8343" s="8" t="s">
        <v>52</v>
      </c>
      <c r="R8343" s="10" t="s">
        <v>46954</v>
      </c>
      <c r="S8343" s="11" t="s">
        <v>8496</v>
      </c>
      <c r="T8343" s="6"/>
      <c r="U8343" s="15" t="str">
        <f>HYPERLINK("https://media.infra-m.ru/2256/2256593/cover/2256593.jpg", "Обложка")</f>
        <v>Обложка</v>
      </c>
      <c r="V8343" s="8" t="s">
        <v>4892</v>
      </c>
      <c r="W8343" s="6"/>
      <c r="X8343" s="6"/>
      <c r="Y8343" s="6"/>
      <c r="Z8343" s="6"/>
      <c r="AA8343" s="6" t="s">
        <v>43</v>
      </c>
      <c r="AB8343" s="8"/>
      <c r="AC8343" s="27">
        <v>9785819904930</v>
      </c>
    </row>
    <row r="8344" spans="1:29" s="4" customFormat="1" ht="51.9" customHeight="1" x14ac:dyDescent="0.2">
      <c r="A8344" s="5">
        <v>0</v>
      </c>
      <c r="B8344" s="6" t="s">
        <v>46955</v>
      </c>
      <c r="C8344" s="7">
        <v>1156.8</v>
      </c>
      <c r="D8344" s="8" t="s">
        <v>46956</v>
      </c>
      <c r="E8344" s="8" t="s">
        <v>46957</v>
      </c>
      <c r="F8344" s="8" t="s">
        <v>46958</v>
      </c>
      <c r="G8344" s="6" t="s">
        <v>60</v>
      </c>
      <c r="H8344" s="6" t="s">
        <v>1042</v>
      </c>
      <c r="I8344" s="8" t="s">
        <v>253</v>
      </c>
      <c r="J8344" s="9">
        <v>1</v>
      </c>
      <c r="K8344" s="9">
        <v>176</v>
      </c>
      <c r="L8344" s="9">
        <v>2026</v>
      </c>
      <c r="M8344" s="8" t="s">
        <v>46959</v>
      </c>
      <c r="N8344" s="8" t="s">
        <v>37</v>
      </c>
      <c r="O8344" s="8" t="s">
        <v>233</v>
      </c>
      <c r="P8344" s="6" t="s">
        <v>51</v>
      </c>
      <c r="Q8344" s="8" t="s">
        <v>52</v>
      </c>
      <c r="R8344" s="10" t="s">
        <v>1646</v>
      </c>
      <c r="S8344" s="11" t="s">
        <v>26681</v>
      </c>
      <c r="T8344" s="6"/>
      <c r="U8344" s="15" t="str">
        <f>HYPERLINK("https://media.infra-m.ru/2243/2243263/cover/2243263.jpg", "Обложка")</f>
        <v>Обложка</v>
      </c>
      <c r="V8344" s="8" t="s">
        <v>46960</v>
      </c>
      <c r="W8344" s="6"/>
      <c r="X8344" s="6"/>
      <c r="Y8344" s="6"/>
      <c r="Z8344" s="6"/>
      <c r="AA8344" s="6" t="s">
        <v>43</v>
      </c>
      <c r="AB8344" s="8"/>
      <c r="AC8344" s="27">
        <v>9785819905081</v>
      </c>
    </row>
    <row r="8345" spans="1:29" s="4" customFormat="1" ht="51.9" customHeight="1" x14ac:dyDescent="0.2">
      <c r="A8345" s="5">
        <v>0</v>
      </c>
      <c r="B8345" s="6" t="s">
        <v>46961</v>
      </c>
      <c r="C8345" s="7">
        <v>1540.8</v>
      </c>
      <c r="D8345" s="8" t="s">
        <v>46962</v>
      </c>
      <c r="E8345" s="8" t="s">
        <v>46963</v>
      </c>
      <c r="F8345" s="8" t="s">
        <v>46964</v>
      </c>
      <c r="G8345" s="6" t="s">
        <v>60</v>
      </c>
      <c r="H8345" s="6" t="s">
        <v>34</v>
      </c>
      <c r="I8345" s="8" t="s">
        <v>271</v>
      </c>
      <c r="J8345" s="9">
        <v>1</v>
      </c>
      <c r="K8345" s="9">
        <v>256</v>
      </c>
      <c r="L8345" s="9">
        <v>2025</v>
      </c>
      <c r="M8345" s="8" t="s">
        <v>46965</v>
      </c>
      <c r="N8345" s="8" t="s">
        <v>37</v>
      </c>
      <c r="O8345" s="8" t="s">
        <v>280</v>
      </c>
      <c r="P8345" s="6" t="s">
        <v>51</v>
      </c>
      <c r="Q8345" s="8" t="s">
        <v>52</v>
      </c>
      <c r="R8345" s="10" t="s">
        <v>46966</v>
      </c>
      <c r="S8345" s="11" t="s">
        <v>41376</v>
      </c>
      <c r="T8345" s="6"/>
      <c r="U8345" s="15" t="str">
        <f>HYPERLINK("https://media.infra-m.ru/2192/2192163/cover/2192163.jpg", "Обложка")</f>
        <v>Обложка</v>
      </c>
      <c r="V8345" s="8" t="s">
        <v>396</v>
      </c>
      <c r="W8345" s="6"/>
      <c r="X8345" s="6"/>
      <c r="Y8345" s="6"/>
      <c r="Z8345" s="6"/>
      <c r="AA8345" s="6" t="s">
        <v>43</v>
      </c>
      <c r="AB8345" s="8"/>
      <c r="AC8345" s="27">
        <v>9785160050577</v>
      </c>
    </row>
    <row r="8346" spans="1:29" s="4" customFormat="1" ht="51.9" customHeight="1" x14ac:dyDescent="0.2">
      <c r="A8346" s="5">
        <v>0</v>
      </c>
      <c r="B8346" s="6" t="s">
        <v>46967</v>
      </c>
      <c r="C8346" s="13">
        <v>941.9</v>
      </c>
      <c r="D8346" s="8" t="s">
        <v>46968</v>
      </c>
      <c r="E8346" s="8" t="s">
        <v>46969</v>
      </c>
      <c r="F8346" s="8" t="s">
        <v>46970</v>
      </c>
      <c r="G8346" s="6" t="s">
        <v>60</v>
      </c>
      <c r="H8346" s="6" t="s">
        <v>34</v>
      </c>
      <c r="I8346" s="8" t="s">
        <v>271</v>
      </c>
      <c r="J8346" s="9">
        <v>1</v>
      </c>
      <c r="K8346" s="9">
        <v>174</v>
      </c>
      <c r="L8346" s="9">
        <v>2023</v>
      </c>
      <c r="M8346" s="8" t="s">
        <v>46971</v>
      </c>
      <c r="N8346" s="8" t="s">
        <v>37</v>
      </c>
      <c r="O8346" s="8" t="s">
        <v>280</v>
      </c>
      <c r="P8346" s="6" t="s">
        <v>51</v>
      </c>
      <c r="Q8346" s="8" t="s">
        <v>52</v>
      </c>
      <c r="R8346" s="10" t="s">
        <v>1503</v>
      </c>
      <c r="S8346" s="11" t="s">
        <v>46972</v>
      </c>
      <c r="T8346" s="6" t="s">
        <v>97</v>
      </c>
      <c r="U8346" s="15" t="str">
        <f>HYPERLINK("https://media.infra-m.ru/1903/1903900/cover/1903900.jpg", "Обложка")</f>
        <v>Обложка</v>
      </c>
      <c r="V8346" s="8" t="s">
        <v>5902</v>
      </c>
      <c r="W8346" s="6"/>
      <c r="X8346" s="6"/>
      <c r="Y8346" s="6"/>
      <c r="Z8346" s="6"/>
      <c r="AA8346" s="6" t="s">
        <v>274</v>
      </c>
      <c r="AB8346" s="8"/>
      <c r="AC8346" s="27">
        <v>9785160097947</v>
      </c>
    </row>
    <row r="8347" spans="1:29" s="4" customFormat="1" ht="51.9" customHeight="1" x14ac:dyDescent="0.2">
      <c r="A8347" s="5">
        <v>0</v>
      </c>
      <c r="B8347" s="6" t="s">
        <v>46973</v>
      </c>
      <c r="C8347" s="7">
        <v>1085.9000000000001</v>
      </c>
      <c r="D8347" s="8" t="s">
        <v>46974</v>
      </c>
      <c r="E8347" s="8" t="s">
        <v>46975</v>
      </c>
      <c r="F8347" s="8" t="s">
        <v>13967</v>
      </c>
      <c r="G8347" s="6" t="s">
        <v>118</v>
      </c>
      <c r="H8347" s="6" t="s">
        <v>34</v>
      </c>
      <c r="I8347" s="8" t="s">
        <v>271</v>
      </c>
      <c r="J8347" s="9">
        <v>1</v>
      </c>
      <c r="K8347" s="9">
        <v>238</v>
      </c>
      <c r="L8347" s="9">
        <v>2022</v>
      </c>
      <c r="M8347" s="8" t="s">
        <v>46976</v>
      </c>
      <c r="N8347" s="8" t="s">
        <v>37</v>
      </c>
      <c r="O8347" s="8" t="s">
        <v>499</v>
      </c>
      <c r="P8347" s="6" t="s">
        <v>306</v>
      </c>
      <c r="Q8347" s="8" t="s">
        <v>52</v>
      </c>
      <c r="R8347" s="10" t="s">
        <v>31280</v>
      </c>
      <c r="S8347" s="11" t="s">
        <v>46977</v>
      </c>
      <c r="T8347" s="6" t="s">
        <v>97</v>
      </c>
      <c r="U8347" s="15" t="str">
        <f>HYPERLINK("https://media.infra-m.ru/1856/1856249/cover/1856249.jpg", "Обложка")</f>
        <v>Обложка</v>
      </c>
      <c r="V8347" s="8" t="s">
        <v>13970</v>
      </c>
      <c r="W8347" s="6"/>
      <c r="X8347" s="6"/>
      <c r="Y8347" s="6"/>
      <c r="Z8347" s="6"/>
      <c r="AA8347" s="6" t="s">
        <v>274</v>
      </c>
      <c r="AB8347" s="8"/>
      <c r="AC8347" s="27">
        <v>9785160104300</v>
      </c>
    </row>
    <row r="8348" spans="1:29" s="4" customFormat="1" ht="51.9" customHeight="1" x14ac:dyDescent="0.2">
      <c r="A8348" s="5">
        <v>0</v>
      </c>
      <c r="B8348" s="6" t="s">
        <v>46978</v>
      </c>
      <c r="C8348" s="13">
        <v>976.8</v>
      </c>
      <c r="D8348" s="8" t="s">
        <v>46979</v>
      </c>
      <c r="E8348" s="8" t="s">
        <v>46975</v>
      </c>
      <c r="F8348" s="8" t="s">
        <v>46980</v>
      </c>
      <c r="G8348" s="6" t="s">
        <v>33</v>
      </c>
      <c r="H8348" s="6" t="s">
        <v>48</v>
      </c>
      <c r="I8348" s="8"/>
      <c r="J8348" s="9">
        <v>1</v>
      </c>
      <c r="K8348" s="9">
        <v>176</v>
      </c>
      <c r="L8348" s="9">
        <v>2024</v>
      </c>
      <c r="M8348" s="8" t="s">
        <v>46981</v>
      </c>
      <c r="N8348" s="8" t="s">
        <v>37</v>
      </c>
      <c r="O8348" s="8" t="s">
        <v>499</v>
      </c>
      <c r="P8348" s="6" t="s">
        <v>51</v>
      </c>
      <c r="Q8348" s="8" t="s">
        <v>52</v>
      </c>
      <c r="R8348" s="10" t="s">
        <v>357</v>
      </c>
      <c r="S8348" s="11" t="s">
        <v>560</v>
      </c>
      <c r="T8348" s="6"/>
      <c r="U8348" s="15" t="str">
        <f>HYPERLINK("https://media.infra-m.ru/2061/2061194/cover/2061194.jpg", "Обложка")</f>
        <v>Обложка</v>
      </c>
      <c r="V8348" s="8" t="s">
        <v>396</v>
      </c>
      <c r="W8348" s="6"/>
      <c r="X8348" s="6"/>
      <c r="Y8348" s="6"/>
      <c r="Z8348" s="6"/>
      <c r="AA8348" s="6" t="s">
        <v>1015</v>
      </c>
      <c r="AB8348" s="8"/>
      <c r="AC8348" s="27">
        <v>9785911343880</v>
      </c>
    </row>
    <row r="8349" spans="1:29" s="4" customFormat="1" ht="51.9" customHeight="1" x14ac:dyDescent="0.2">
      <c r="A8349" s="5">
        <v>0</v>
      </c>
      <c r="B8349" s="6" t="s">
        <v>46982</v>
      </c>
      <c r="C8349" s="13">
        <v>868.8</v>
      </c>
      <c r="D8349" s="8" t="s">
        <v>46983</v>
      </c>
      <c r="E8349" s="8" t="s">
        <v>46984</v>
      </c>
      <c r="F8349" s="8" t="s">
        <v>46985</v>
      </c>
      <c r="G8349" s="6" t="s">
        <v>33</v>
      </c>
      <c r="H8349" s="6" t="s">
        <v>34</v>
      </c>
      <c r="I8349" s="8" t="s">
        <v>35</v>
      </c>
      <c r="J8349" s="9">
        <v>1</v>
      </c>
      <c r="K8349" s="9">
        <v>158</v>
      </c>
      <c r="L8349" s="9">
        <v>2023</v>
      </c>
      <c r="M8349" s="8" t="s">
        <v>46986</v>
      </c>
      <c r="N8349" s="8" t="s">
        <v>37</v>
      </c>
      <c r="O8349" s="8" t="s">
        <v>280</v>
      </c>
      <c r="P8349" s="6" t="s">
        <v>39</v>
      </c>
      <c r="Q8349" s="8" t="s">
        <v>40</v>
      </c>
      <c r="R8349" s="10" t="s">
        <v>1993</v>
      </c>
      <c r="S8349" s="11"/>
      <c r="T8349" s="6"/>
      <c r="U8349" s="15" t="str">
        <f>HYPERLINK("https://media.infra-m.ru/2023/2023204/cover/2023204.jpg", "Обложка")</f>
        <v>Обложка</v>
      </c>
      <c r="V8349" s="8" t="s">
        <v>2020</v>
      </c>
      <c r="W8349" s="6"/>
      <c r="X8349" s="6"/>
      <c r="Y8349" s="6"/>
      <c r="Z8349" s="6"/>
      <c r="AA8349" s="6" t="s">
        <v>115</v>
      </c>
      <c r="AB8349" s="8"/>
      <c r="AC8349" s="27">
        <v>9785160142807</v>
      </c>
    </row>
    <row r="8350" spans="1:29" s="4" customFormat="1" ht="42" customHeight="1" x14ac:dyDescent="0.2">
      <c r="A8350" s="5">
        <v>0</v>
      </c>
      <c r="B8350" s="6" t="s">
        <v>46987</v>
      </c>
      <c r="C8350" s="13">
        <v>924</v>
      </c>
      <c r="D8350" s="8" t="s">
        <v>46988</v>
      </c>
      <c r="E8350" s="8" t="s">
        <v>46989</v>
      </c>
      <c r="F8350" s="8" t="s">
        <v>4576</v>
      </c>
      <c r="G8350" s="6" t="s">
        <v>33</v>
      </c>
      <c r="H8350" s="6" t="s">
        <v>34</v>
      </c>
      <c r="I8350" s="8" t="s">
        <v>35</v>
      </c>
      <c r="J8350" s="9">
        <v>1</v>
      </c>
      <c r="K8350" s="9">
        <v>201</v>
      </c>
      <c r="L8350" s="9">
        <v>2021</v>
      </c>
      <c r="M8350" s="8" t="s">
        <v>46990</v>
      </c>
      <c r="N8350" s="8" t="s">
        <v>37</v>
      </c>
      <c r="O8350" s="8" t="s">
        <v>280</v>
      </c>
      <c r="P8350" s="6" t="s">
        <v>39</v>
      </c>
      <c r="Q8350" s="8" t="s">
        <v>40</v>
      </c>
      <c r="R8350" s="10" t="s">
        <v>31841</v>
      </c>
      <c r="S8350" s="11"/>
      <c r="T8350" s="6"/>
      <c r="U8350" s="15" t="str">
        <f>HYPERLINK("https://media.infra-m.ru/1509/1509723/cover/1509723.jpg", "Обложка")</f>
        <v>Обложка</v>
      </c>
      <c r="V8350" s="8" t="s">
        <v>4579</v>
      </c>
      <c r="W8350" s="6"/>
      <c r="X8350" s="6"/>
      <c r="Y8350" s="6"/>
      <c r="Z8350" s="6"/>
      <c r="AA8350" s="6" t="s">
        <v>1256</v>
      </c>
      <c r="AB8350" s="8"/>
      <c r="AC8350" s="27">
        <v>9785160158877</v>
      </c>
    </row>
    <row r="8351" spans="1:29" s="4" customFormat="1" ht="51.9" customHeight="1" x14ac:dyDescent="0.2">
      <c r="A8351" s="5">
        <v>0</v>
      </c>
      <c r="B8351" s="6" t="s">
        <v>46991</v>
      </c>
      <c r="C8351" s="7">
        <v>2824.8</v>
      </c>
      <c r="D8351" s="8" t="s">
        <v>46992</v>
      </c>
      <c r="E8351" s="8" t="s">
        <v>46993</v>
      </c>
      <c r="F8351" s="8" t="s">
        <v>4576</v>
      </c>
      <c r="G8351" s="6" t="s">
        <v>60</v>
      </c>
      <c r="H8351" s="6" t="s">
        <v>34</v>
      </c>
      <c r="I8351" s="8" t="s">
        <v>271</v>
      </c>
      <c r="J8351" s="9">
        <v>1</v>
      </c>
      <c r="K8351" s="9">
        <v>428</v>
      </c>
      <c r="L8351" s="9">
        <v>2026</v>
      </c>
      <c r="M8351" s="8" t="s">
        <v>46994</v>
      </c>
      <c r="N8351" s="8" t="s">
        <v>37</v>
      </c>
      <c r="O8351" s="8" t="s">
        <v>280</v>
      </c>
      <c r="P8351" s="6" t="s">
        <v>306</v>
      </c>
      <c r="Q8351" s="8" t="s">
        <v>65</v>
      </c>
      <c r="R8351" s="10" t="s">
        <v>3008</v>
      </c>
      <c r="S8351" s="11" t="s">
        <v>19619</v>
      </c>
      <c r="T8351" s="6"/>
      <c r="U8351" s="15" t="str">
        <f>HYPERLINK("https://media.infra-m.ru/2231/2231661/cover/2231661.jpg", "Обложка")</f>
        <v>Обложка</v>
      </c>
      <c r="V8351" s="8" t="s">
        <v>4579</v>
      </c>
      <c r="W8351" s="6"/>
      <c r="X8351" s="6"/>
      <c r="Y8351" s="6"/>
      <c r="Z8351" s="6"/>
      <c r="AA8351" s="6" t="s">
        <v>430</v>
      </c>
      <c r="AB8351" s="8"/>
      <c r="AC8351" s="27">
        <v>9785160170251</v>
      </c>
    </row>
    <row r="8352" spans="1:29" s="4" customFormat="1" ht="51.9" customHeight="1" x14ac:dyDescent="0.2">
      <c r="A8352" s="5">
        <v>0</v>
      </c>
      <c r="B8352" s="6" t="s">
        <v>46995</v>
      </c>
      <c r="C8352" s="7">
        <v>1996.8</v>
      </c>
      <c r="D8352" s="8" t="s">
        <v>46996</v>
      </c>
      <c r="E8352" s="8" t="s">
        <v>46997</v>
      </c>
      <c r="F8352" s="8" t="s">
        <v>46998</v>
      </c>
      <c r="G8352" s="6" t="s">
        <v>60</v>
      </c>
      <c r="H8352" s="6" t="s">
        <v>5605</v>
      </c>
      <c r="I8352" s="8" t="s">
        <v>44644</v>
      </c>
      <c r="J8352" s="9">
        <v>1</v>
      </c>
      <c r="K8352" s="9">
        <v>287</v>
      </c>
      <c r="L8352" s="9">
        <v>2026</v>
      </c>
      <c r="M8352" s="8" t="s">
        <v>46999</v>
      </c>
      <c r="N8352" s="8" t="s">
        <v>37</v>
      </c>
      <c r="O8352" s="8" t="s">
        <v>280</v>
      </c>
      <c r="P8352" s="6" t="s">
        <v>51</v>
      </c>
      <c r="Q8352" s="8" t="s">
        <v>52</v>
      </c>
      <c r="R8352" s="10" t="s">
        <v>14547</v>
      </c>
      <c r="S8352" s="11" t="s">
        <v>47000</v>
      </c>
      <c r="T8352" s="6"/>
      <c r="U8352" s="15" t="str">
        <f>HYPERLINK("https://media.infra-m.ru/2262/2262630/cover/2262630.jpg", "Обложка")</f>
        <v>Обложка</v>
      </c>
      <c r="V8352" s="8" t="s">
        <v>1192</v>
      </c>
      <c r="W8352" s="6"/>
      <c r="X8352" s="6"/>
      <c r="Y8352" s="6"/>
      <c r="Z8352" s="6"/>
      <c r="AA8352" s="6" t="s">
        <v>561</v>
      </c>
      <c r="AB8352" s="8"/>
      <c r="AC8352" s="27">
        <v>9785160036007</v>
      </c>
    </row>
    <row r="8353" spans="1:29" s="4" customFormat="1" ht="42" customHeight="1" x14ac:dyDescent="0.2">
      <c r="A8353" s="5">
        <v>0</v>
      </c>
      <c r="B8353" s="6" t="s">
        <v>47001</v>
      </c>
      <c r="C8353" s="13">
        <v>916.8</v>
      </c>
      <c r="D8353" s="8" t="s">
        <v>47002</v>
      </c>
      <c r="E8353" s="8" t="s">
        <v>47003</v>
      </c>
      <c r="F8353" s="8" t="s">
        <v>47004</v>
      </c>
      <c r="G8353" s="6" t="s">
        <v>33</v>
      </c>
      <c r="H8353" s="6" t="s">
        <v>34</v>
      </c>
      <c r="I8353" s="8" t="s">
        <v>35</v>
      </c>
      <c r="J8353" s="9">
        <v>1</v>
      </c>
      <c r="K8353" s="9">
        <v>167</v>
      </c>
      <c r="L8353" s="9">
        <v>2024</v>
      </c>
      <c r="M8353" s="8" t="s">
        <v>47005</v>
      </c>
      <c r="N8353" s="8" t="s">
        <v>37</v>
      </c>
      <c r="O8353" s="8" t="s">
        <v>280</v>
      </c>
      <c r="P8353" s="6" t="s">
        <v>39</v>
      </c>
      <c r="Q8353" s="8" t="s">
        <v>40</v>
      </c>
      <c r="R8353" s="10" t="s">
        <v>1646</v>
      </c>
      <c r="S8353" s="11"/>
      <c r="T8353" s="6"/>
      <c r="U8353" s="15" t="str">
        <f>HYPERLINK("https://media.infra-m.ru/2079/2079334/cover/2079334.jpg", "Обложка")</f>
        <v>Обложка</v>
      </c>
      <c r="V8353" s="8" t="s">
        <v>911</v>
      </c>
      <c r="W8353" s="6"/>
      <c r="X8353" s="6"/>
      <c r="Y8353" s="6"/>
      <c r="Z8353" s="6"/>
      <c r="AA8353" s="6" t="s">
        <v>129</v>
      </c>
      <c r="AB8353" s="8"/>
      <c r="AC8353" s="27">
        <v>9785160049045</v>
      </c>
    </row>
    <row r="8354" spans="1:29" s="4" customFormat="1" ht="42" customHeight="1" x14ac:dyDescent="0.2">
      <c r="A8354" s="5">
        <v>0</v>
      </c>
      <c r="B8354" s="6" t="s">
        <v>47006</v>
      </c>
      <c r="C8354" s="7">
        <v>1500</v>
      </c>
      <c r="D8354" s="8" t="s">
        <v>47007</v>
      </c>
      <c r="E8354" s="8" t="s">
        <v>47008</v>
      </c>
      <c r="F8354" s="8" t="s">
        <v>231</v>
      </c>
      <c r="G8354" s="6" t="s">
        <v>33</v>
      </c>
      <c r="H8354" s="6" t="s">
        <v>34</v>
      </c>
      <c r="I8354" s="8"/>
      <c r="J8354" s="9">
        <v>1</v>
      </c>
      <c r="K8354" s="9">
        <v>153</v>
      </c>
      <c r="L8354" s="9">
        <v>2025</v>
      </c>
      <c r="M8354" s="8" t="s">
        <v>47009</v>
      </c>
      <c r="N8354" s="8" t="s">
        <v>37</v>
      </c>
      <c r="O8354" s="8" t="s">
        <v>280</v>
      </c>
      <c r="P8354" s="6" t="s">
        <v>234</v>
      </c>
      <c r="Q8354" s="8" t="s">
        <v>40</v>
      </c>
      <c r="R8354" s="10" t="s">
        <v>6596</v>
      </c>
      <c r="S8354" s="11"/>
      <c r="T8354" s="6"/>
      <c r="U8354" s="15" t="str">
        <f>HYPERLINK("https://media.infra-m.ru/2175/2175039/cover/2175039.jpg", "Обложка")</f>
        <v>Обложка</v>
      </c>
      <c r="V8354" s="8" t="s">
        <v>236</v>
      </c>
      <c r="W8354" s="6"/>
      <c r="X8354" s="6"/>
      <c r="Y8354" s="6"/>
      <c r="Z8354" s="6"/>
      <c r="AA8354" s="6" t="s">
        <v>76</v>
      </c>
      <c r="AB8354" s="8"/>
      <c r="AC8354" s="27">
        <v>9785160195735</v>
      </c>
    </row>
    <row r="8355" spans="1:29" s="4" customFormat="1" ht="42" customHeight="1" x14ac:dyDescent="0.2">
      <c r="A8355" s="5">
        <v>0</v>
      </c>
      <c r="B8355" s="6" t="s">
        <v>47010</v>
      </c>
      <c r="C8355" s="7">
        <v>2020.8</v>
      </c>
      <c r="D8355" s="8" t="s">
        <v>47011</v>
      </c>
      <c r="E8355" s="8" t="s">
        <v>47012</v>
      </c>
      <c r="F8355" s="8" t="s">
        <v>47013</v>
      </c>
      <c r="G8355" s="6" t="s">
        <v>60</v>
      </c>
      <c r="H8355" s="6" t="s">
        <v>34</v>
      </c>
      <c r="I8355" s="8" t="s">
        <v>504</v>
      </c>
      <c r="J8355" s="9">
        <v>1</v>
      </c>
      <c r="K8355" s="9">
        <v>336</v>
      </c>
      <c r="L8355" s="9">
        <v>2025</v>
      </c>
      <c r="M8355" s="8" t="s">
        <v>47014</v>
      </c>
      <c r="N8355" s="8" t="s">
        <v>37</v>
      </c>
      <c r="O8355" s="8" t="s">
        <v>280</v>
      </c>
      <c r="P8355" s="6" t="s">
        <v>306</v>
      </c>
      <c r="Q8355" s="8" t="s">
        <v>500</v>
      </c>
      <c r="R8355" s="10" t="s">
        <v>1503</v>
      </c>
      <c r="S8355" s="11"/>
      <c r="T8355" s="6"/>
      <c r="U8355" s="15" t="str">
        <f>HYPERLINK("https://media.infra-m.ru/2172/2172245/cover/2172245.jpg", "Обложка")</f>
        <v>Обложка</v>
      </c>
      <c r="V8355" s="8" t="s">
        <v>3428</v>
      </c>
      <c r="W8355" s="6"/>
      <c r="X8355" s="6"/>
      <c r="Y8355" s="6"/>
      <c r="Z8355" s="6"/>
      <c r="AA8355" s="6" t="s">
        <v>55</v>
      </c>
      <c r="AB8355" s="8"/>
      <c r="AC8355" s="27">
        <v>9785160068794</v>
      </c>
    </row>
    <row r="8356" spans="1:29" s="4" customFormat="1" ht="51.9" customHeight="1" x14ac:dyDescent="0.2">
      <c r="A8356" s="5">
        <v>0</v>
      </c>
      <c r="B8356" s="6" t="s">
        <v>47015</v>
      </c>
      <c r="C8356" s="7">
        <v>2284.8000000000002</v>
      </c>
      <c r="D8356" s="8" t="s">
        <v>47016</v>
      </c>
      <c r="E8356" s="8" t="s">
        <v>47017</v>
      </c>
      <c r="F8356" s="8" t="s">
        <v>47018</v>
      </c>
      <c r="G8356" s="6" t="s">
        <v>60</v>
      </c>
      <c r="H8356" s="6" t="s">
        <v>34</v>
      </c>
      <c r="I8356" s="8" t="s">
        <v>271</v>
      </c>
      <c r="J8356" s="9">
        <v>1</v>
      </c>
      <c r="K8356" s="9">
        <v>478</v>
      </c>
      <c r="L8356" s="9">
        <v>2024</v>
      </c>
      <c r="M8356" s="8" t="s">
        <v>47019</v>
      </c>
      <c r="N8356" s="8" t="s">
        <v>37</v>
      </c>
      <c r="O8356" s="8" t="s">
        <v>280</v>
      </c>
      <c r="P8356" s="6" t="s">
        <v>306</v>
      </c>
      <c r="Q8356" s="8" t="s">
        <v>52</v>
      </c>
      <c r="R8356" s="10" t="s">
        <v>1503</v>
      </c>
      <c r="S8356" s="11" t="s">
        <v>47020</v>
      </c>
      <c r="T8356" s="6"/>
      <c r="U8356" s="15" t="str">
        <f>HYPERLINK("https://media.infra-m.ru/2091/2091933/cover/2091933.jpg", "Обложка")</f>
        <v>Обложка</v>
      </c>
      <c r="V8356" s="8" t="s">
        <v>588</v>
      </c>
      <c r="W8356" s="6"/>
      <c r="X8356" s="6"/>
      <c r="Y8356" s="6"/>
      <c r="Z8356" s="6"/>
      <c r="AA8356" s="6" t="s">
        <v>55</v>
      </c>
      <c r="AB8356" s="8"/>
      <c r="AC8356" s="27">
        <v>9785160062730</v>
      </c>
    </row>
    <row r="8357" spans="1:29" s="4" customFormat="1" ht="51.9" customHeight="1" x14ac:dyDescent="0.2">
      <c r="A8357" s="5">
        <v>0</v>
      </c>
      <c r="B8357" s="6" t="s">
        <v>47021</v>
      </c>
      <c r="C8357" s="7">
        <v>1140</v>
      </c>
      <c r="D8357" s="8" t="s">
        <v>47022</v>
      </c>
      <c r="E8357" s="8" t="s">
        <v>47023</v>
      </c>
      <c r="F8357" s="8" t="s">
        <v>47024</v>
      </c>
      <c r="G8357" s="6" t="s">
        <v>33</v>
      </c>
      <c r="H8357" s="6" t="s">
        <v>34</v>
      </c>
      <c r="I8357" s="8" t="s">
        <v>35</v>
      </c>
      <c r="J8357" s="9">
        <v>1</v>
      </c>
      <c r="K8357" s="9">
        <v>205</v>
      </c>
      <c r="L8357" s="9">
        <v>2023</v>
      </c>
      <c r="M8357" s="8" t="s">
        <v>47025</v>
      </c>
      <c r="N8357" s="8" t="s">
        <v>37</v>
      </c>
      <c r="O8357" s="8" t="s">
        <v>280</v>
      </c>
      <c r="P8357" s="6" t="s">
        <v>39</v>
      </c>
      <c r="Q8357" s="8" t="s">
        <v>40</v>
      </c>
      <c r="R8357" s="10" t="s">
        <v>47026</v>
      </c>
      <c r="S8357" s="11"/>
      <c r="T8357" s="6"/>
      <c r="U8357" s="15" t="str">
        <f>HYPERLINK("https://media.infra-m.ru/1902/1902742/cover/1902742.jpg", "Обложка")</f>
        <v>Обложка</v>
      </c>
      <c r="V8357" s="8" t="s">
        <v>546</v>
      </c>
      <c r="W8357" s="6"/>
      <c r="X8357" s="6"/>
      <c r="Y8357" s="6"/>
      <c r="Z8357" s="6"/>
      <c r="AA8357" s="6" t="s">
        <v>157</v>
      </c>
      <c r="AB8357" s="8"/>
      <c r="AC8357" s="27">
        <v>9785160179957</v>
      </c>
    </row>
    <row r="8358" spans="1:29" s="4" customFormat="1" ht="51.9" customHeight="1" x14ac:dyDescent="0.2">
      <c r="A8358" s="5">
        <v>0</v>
      </c>
      <c r="B8358" s="6" t="s">
        <v>47027</v>
      </c>
      <c r="C8358" s="13">
        <v>772.8</v>
      </c>
      <c r="D8358" s="8" t="s">
        <v>47028</v>
      </c>
      <c r="E8358" s="8" t="s">
        <v>47029</v>
      </c>
      <c r="F8358" s="8" t="s">
        <v>25161</v>
      </c>
      <c r="G8358" s="6" t="s">
        <v>33</v>
      </c>
      <c r="H8358" s="6" t="s">
        <v>48</v>
      </c>
      <c r="I8358" s="8"/>
      <c r="J8358" s="9">
        <v>1</v>
      </c>
      <c r="K8358" s="9">
        <v>107</v>
      </c>
      <c r="L8358" s="9">
        <v>2026</v>
      </c>
      <c r="M8358" s="8" t="s">
        <v>47030</v>
      </c>
      <c r="N8358" s="8" t="s">
        <v>585</v>
      </c>
      <c r="O8358" s="8" t="s">
        <v>775</v>
      </c>
      <c r="P8358" s="6" t="s">
        <v>51</v>
      </c>
      <c r="Q8358" s="8" t="s">
        <v>52</v>
      </c>
      <c r="R8358" s="10" t="s">
        <v>47031</v>
      </c>
      <c r="S8358" s="11" t="s">
        <v>25163</v>
      </c>
      <c r="T8358" s="6"/>
      <c r="U8358" s="15" t="str">
        <f>HYPERLINK("https://media.infra-m.ru/2231/2231472/cover/2231472.jpg", "Обложка")</f>
        <v>Обложка</v>
      </c>
      <c r="V8358" s="8" t="s">
        <v>831</v>
      </c>
      <c r="W8358" s="6"/>
      <c r="X8358" s="6" t="s">
        <v>24</v>
      </c>
      <c r="Y8358" s="6"/>
      <c r="Z8358" s="6"/>
      <c r="AA8358" s="6" t="s">
        <v>1117</v>
      </c>
      <c r="AB8358" s="8"/>
      <c r="AC8358" s="27">
        <v>9785000915684</v>
      </c>
    </row>
    <row r="8359" spans="1:29" s="4" customFormat="1" ht="51.9" customHeight="1" x14ac:dyDescent="0.2">
      <c r="A8359" s="5">
        <v>0</v>
      </c>
      <c r="B8359" s="6" t="s">
        <v>47032</v>
      </c>
      <c r="C8359" s="7">
        <v>1264.8</v>
      </c>
      <c r="D8359" s="8" t="s">
        <v>47033</v>
      </c>
      <c r="E8359" s="8" t="s">
        <v>47034</v>
      </c>
      <c r="F8359" s="8" t="s">
        <v>47035</v>
      </c>
      <c r="G8359" s="6" t="s">
        <v>118</v>
      </c>
      <c r="H8359" s="6" t="s">
        <v>34</v>
      </c>
      <c r="I8359" s="8"/>
      <c r="J8359" s="9">
        <v>1</v>
      </c>
      <c r="K8359" s="9">
        <v>192</v>
      </c>
      <c r="L8359" s="9">
        <v>2026</v>
      </c>
      <c r="M8359" s="8" t="s">
        <v>47036</v>
      </c>
      <c r="N8359" s="8" t="s">
        <v>37</v>
      </c>
      <c r="O8359" s="8" t="s">
        <v>50</v>
      </c>
      <c r="P8359" s="6" t="s">
        <v>3141</v>
      </c>
      <c r="Q8359" s="8" t="s">
        <v>40</v>
      </c>
      <c r="R8359" s="10" t="s">
        <v>47037</v>
      </c>
      <c r="S8359" s="11"/>
      <c r="T8359" s="6"/>
      <c r="U8359" s="15" t="str">
        <f>HYPERLINK("https://media.infra-m.ru/2212/2212248/cover/2212248.jpg", "Обложка")</f>
        <v>Обложка</v>
      </c>
      <c r="V8359" s="8" t="s">
        <v>3580</v>
      </c>
      <c r="W8359" s="6"/>
      <c r="X8359" s="6"/>
      <c r="Y8359" s="6"/>
      <c r="Z8359" s="6"/>
      <c r="AA8359" s="6" t="s">
        <v>157</v>
      </c>
      <c r="AB8359" s="8" t="s">
        <v>4899</v>
      </c>
      <c r="AC8359" s="27">
        <v>9785160182209</v>
      </c>
    </row>
    <row r="8360" spans="1:29" s="4" customFormat="1" ht="42" customHeight="1" x14ac:dyDescent="0.2">
      <c r="A8360" s="5">
        <v>0</v>
      </c>
      <c r="B8360" s="6" t="s">
        <v>47038</v>
      </c>
      <c r="C8360" s="7">
        <v>1380</v>
      </c>
      <c r="D8360" s="8" t="s">
        <v>47039</v>
      </c>
      <c r="E8360" s="8" t="s">
        <v>47040</v>
      </c>
      <c r="F8360" s="8" t="s">
        <v>47041</v>
      </c>
      <c r="G8360" s="6" t="s">
        <v>60</v>
      </c>
      <c r="H8360" s="6" t="s">
        <v>34</v>
      </c>
      <c r="I8360" s="8" t="s">
        <v>35</v>
      </c>
      <c r="J8360" s="9">
        <v>1</v>
      </c>
      <c r="K8360" s="9">
        <v>210</v>
      </c>
      <c r="L8360" s="9">
        <v>2025</v>
      </c>
      <c r="M8360" s="8" t="s">
        <v>47042</v>
      </c>
      <c r="N8360" s="8" t="s">
        <v>37</v>
      </c>
      <c r="O8360" s="8" t="s">
        <v>280</v>
      </c>
      <c r="P8360" s="6" t="s">
        <v>39</v>
      </c>
      <c r="Q8360" s="8" t="s">
        <v>40</v>
      </c>
      <c r="R8360" s="10" t="s">
        <v>7833</v>
      </c>
      <c r="S8360" s="11"/>
      <c r="T8360" s="6"/>
      <c r="U8360" s="15" t="str">
        <f>HYPERLINK("https://media.infra-m.ru/2168/2168616/cover/2168616.jpg", "Обложка")</f>
        <v>Обложка</v>
      </c>
      <c r="V8360" s="8" t="s">
        <v>18339</v>
      </c>
      <c r="W8360" s="6"/>
      <c r="X8360" s="6"/>
      <c r="Y8360" s="6"/>
      <c r="Z8360" s="6"/>
      <c r="AA8360" s="6" t="s">
        <v>68</v>
      </c>
      <c r="AB8360" s="8"/>
      <c r="AC8360" s="27">
        <v>9785160202907</v>
      </c>
    </row>
    <row r="8361" spans="1:29" s="4" customFormat="1" ht="51.9" customHeight="1" x14ac:dyDescent="0.2">
      <c r="A8361" s="5">
        <v>0</v>
      </c>
      <c r="B8361" s="6" t="s">
        <v>47043</v>
      </c>
      <c r="C8361" s="7">
        <v>2500.8000000000002</v>
      </c>
      <c r="D8361" s="8" t="s">
        <v>47044</v>
      </c>
      <c r="E8361" s="8" t="s">
        <v>47045</v>
      </c>
      <c r="F8361" s="8" t="s">
        <v>20364</v>
      </c>
      <c r="G8361" s="6" t="s">
        <v>60</v>
      </c>
      <c r="H8361" s="6" t="s">
        <v>48</v>
      </c>
      <c r="I8361" s="8" t="s">
        <v>271</v>
      </c>
      <c r="J8361" s="9">
        <v>1</v>
      </c>
      <c r="K8361" s="9">
        <v>416</v>
      </c>
      <c r="L8361" s="9">
        <v>2025</v>
      </c>
      <c r="M8361" s="8" t="s">
        <v>47046</v>
      </c>
      <c r="N8361" s="8" t="s">
        <v>37</v>
      </c>
      <c r="O8361" s="8" t="s">
        <v>499</v>
      </c>
      <c r="P8361" s="6" t="s">
        <v>51</v>
      </c>
      <c r="Q8361" s="8" t="s">
        <v>52</v>
      </c>
      <c r="R8361" s="10" t="s">
        <v>47047</v>
      </c>
      <c r="S8361" s="11" t="s">
        <v>47048</v>
      </c>
      <c r="T8361" s="6"/>
      <c r="U8361" s="15" t="str">
        <f>HYPERLINK("https://media.infra-m.ru/2173/2173978/cover/2173978.jpg", "Обложка")</f>
        <v>Обложка</v>
      </c>
      <c r="V8361" s="8" t="s">
        <v>396</v>
      </c>
      <c r="W8361" s="6"/>
      <c r="X8361" s="6"/>
      <c r="Y8361" s="6"/>
      <c r="Z8361" s="6"/>
      <c r="AA8361" s="6" t="s">
        <v>55</v>
      </c>
      <c r="AB8361" s="8"/>
      <c r="AC8361" s="27">
        <v>9785911347475</v>
      </c>
    </row>
    <row r="8362" spans="1:29" s="4" customFormat="1" ht="51.9" customHeight="1" x14ac:dyDescent="0.2">
      <c r="A8362" s="5">
        <v>0</v>
      </c>
      <c r="B8362" s="6" t="s">
        <v>47049</v>
      </c>
      <c r="C8362" s="7">
        <v>1372.8</v>
      </c>
      <c r="D8362" s="8" t="s">
        <v>47050</v>
      </c>
      <c r="E8362" s="8" t="s">
        <v>47051</v>
      </c>
      <c r="F8362" s="8" t="s">
        <v>47052</v>
      </c>
      <c r="G8362" s="6" t="s">
        <v>118</v>
      </c>
      <c r="H8362" s="6" t="s">
        <v>34</v>
      </c>
      <c r="I8362" s="8" t="s">
        <v>35</v>
      </c>
      <c r="J8362" s="9">
        <v>1</v>
      </c>
      <c r="K8362" s="9">
        <v>242</v>
      </c>
      <c r="L8362" s="9">
        <v>2024</v>
      </c>
      <c r="M8362" s="8" t="s">
        <v>47053</v>
      </c>
      <c r="N8362" s="8" t="s">
        <v>37</v>
      </c>
      <c r="O8362" s="8" t="s">
        <v>280</v>
      </c>
      <c r="P8362" s="6" t="s">
        <v>39</v>
      </c>
      <c r="Q8362" s="8" t="s">
        <v>40</v>
      </c>
      <c r="R8362" s="10" t="s">
        <v>47054</v>
      </c>
      <c r="S8362" s="11"/>
      <c r="T8362" s="6"/>
      <c r="U8362" s="15" t="str">
        <f>HYPERLINK("https://media.infra-m.ru/2152/2152114/cover/2152114.jpg", "Обложка")</f>
        <v>Обложка</v>
      </c>
      <c r="V8362" s="8" t="s">
        <v>1505</v>
      </c>
      <c r="W8362" s="6"/>
      <c r="X8362" s="6"/>
      <c r="Y8362" s="6"/>
      <c r="Z8362" s="6"/>
      <c r="AA8362" s="6" t="s">
        <v>99</v>
      </c>
      <c r="AB8362" s="8"/>
      <c r="AC8362" s="27">
        <v>9785160127620</v>
      </c>
    </row>
    <row r="8363" spans="1:29" s="4" customFormat="1" ht="51.9" customHeight="1" x14ac:dyDescent="0.2">
      <c r="A8363" s="5">
        <v>0</v>
      </c>
      <c r="B8363" s="6" t="s">
        <v>47055</v>
      </c>
      <c r="C8363" s="7">
        <v>1588.8</v>
      </c>
      <c r="D8363" s="8" t="s">
        <v>47056</v>
      </c>
      <c r="E8363" s="8" t="s">
        <v>47057</v>
      </c>
      <c r="F8363" s="8" t="s">
        <v>47058</v>
      </c>
      <c r="G8363" s="6" t="s">
        <v>118</v>
      </c>
      <c r="H8363" s="6" t="s">
        <v>34</v>
      </c>
      <c r="I8363" s="8" t="s">
        <v>35</v>
      </c>
      <c r="J8363" s="9">
        <v>1</v>
      </c>
      <c r="K8363" s="9">
        <v>281</v>
      </c>
      <c r="L8363" s="9">
        <v>2024</v>
      </c>
      <c r="M8363" s="8" t="s">
        <v>47059</v>
      </c>
      <c r="N8363" s="8" t="s">
        <v>37</v>
      </c>
      <c r="O8363" s="8" t="s">
        <v>280</v>
      </c>
      <c r="P8363" s="6" t="s">
        <v>39</v>
      </c>
      <c r="Q8363" s="8" t="s">
        <v>40</v>
      </c>
      <c r="R8363" s="10" t="s">
        <v>47060</v>
      </c>
      <c r="S8363" s="11"/>
      <c r="T8363" s="6"/>
      <c r="U8363" s="15" t="str">
        <f>HYPERLINK("https://media.infra-m.ru/2133/2133972/cover/2133972.jpg", "Обложка")</f>
        <v>Обложка</v>
      </c>
      <c r="V8363" s="8" t="s">
        <v>1357</v>
      </c>
      <c r="W8363" s="6"/>
      <c r="X8363" s="6"/>
      <c r="Y8363" s="6"/>
      <c r="Z8363" s="6"/>
      <c r="AA8363" s="6" t="s">
        <v>430</v>
      </c>
      <c r="AB8363" s="8"/>
      <c r="AC8363" s="27">
        <v>9785160170411</v>
      </c>
    </row>
    <row r="8364" spans="1:29" s="4" customFormat="1" ht="51.9" customHeight="1" x14ac:dyDescent="0.2">
      <c r="A8364" s="5">
        <v>0</v>
      </c>
      <c r="B8364" s="6" t="s">
        <v>47061</v>
      </c>
      <c r="C8364" s="7">
        <v>1500</v>
      </c>
      <c r="D8364" s="8" t="s">
        <v>47062</v>
      </c>
      <c r="E8364" s="8" t="s">
        <v>47063</v>
      </c>
      <c r="F8364" s="8" t="s">
        <v>47064</v>
      </c>
      <c r="G8364" s="6" t="s">
        <v>33</v>
      </c>
      <c r="H8364" s="6" t="s">
        <v>34</v>
      </c>
      <c r="I8364" s="8" t="s">
        <v>35</v>
      </c>
      <c r="J8364" s="9">
        <v>1</v>
      </c>
      <c r="K8364" s="9">
        <v>240</v>
      </c>
      <c r="L8364" s="9">
        <v>2025</v>
      </c>
      <c r="M8364" s="8" t="s">
        <v>47065</v>
      </c>
      <c r="N8364" s="8" t="s">
        <v>37</v>
      </c>
      <c r="O8364" s="8" t="s">
        <v>280</v>
      </c>
      <c r="P8364" s="6" t="s">
        <v>39</v>
      </c>
      <c r="Q8364" s="8" t="s">
        <v>40</v>
      </c>
      <c r="R8364" s="10" t="s">
        <v>1150</v>
      </c>
      <c r="S8364" s="11"/>
      <c r="T8364" s="6"/>
      <c r="U8364" s="15" t="str">
        <f>HYPERLINK("https://media.infra-m.ru/2208/2208463/cover/2208463.jpg", "Обложка")</f>
        <v>Обложка</v>
      </c>
      <c r="V8364" s="8" t="s">
        <v>1505</v>
      </c>
      <c r="W8364" s="6"/>
      <c r="X8364" s="6"/>
      <c r="Y8364" s="6"/>
      <c r="Z8364" s="6"/>
      <c r="AA8364" s="6" t="s">
        <v>55</v>
      </c>
      <c r="AB8364" s="8"/>
      <c r="AC8364" s="27">
        <v>9785160102269</v>
      </c>
    </row>
    <row r="8365" spans="1:29" s="4" customFormat="1" ht="42" customHeight="1" x14ac:dyDescent="0.2">
      <c r="A8365" s="5">
        <v>0</v>
      </c>
      <c r="B8365" s="6" t="s">
        <v>47066</v>
      </c>
      <c r="C8365" s="7">
        <v>1596</v>
      </c>
      <c r="D8365" s="8" t="s">
        <v>47067</v>
      </c>
      <c r="E8365" s="8" t="s">
        <v>47068</v>
      </c>
      <c r="F8365" s="8" t="s">
        <v>47069</v>
      </c>
      <c r="G8365" s="6" t="s">
        <v>60</v>
      </c>
      <c r="H8365" s="6" t="s">
        <v>34</v>
      </c>
      <c r="I8365" s="8" t="s">
        <v>35</v>
      </c>
      <c r="J8365" s="9">
        <v>1</v>
      </c>
      <c r="K8365" s="9">
        <v>248</v>
      </c>
      <c r="L8365" s="9">
        <v>2025</v>
      </c>
      <c r="M8365" s="8" t="s">
        <v>47070</v>
      </c>
      <c r="N8365" s="8" t="s">
        <v>37</v>
      </c>
      <c r="O8365" s="8" t="s">
        <v>280</v>
      </c>
      <c r="P8365" s="6" t="s">
        <v>39</v>
      </c>
      <c r="Q8365" s="8" t="s">
        <v>40</v>
      </c>
      <c r="R8365" s="10" t="s">
        <v>47071</v>
      </c>
      <c r="S8365" s="11"/>
      <c r="T8365" s="6"/>
      <c r="U8365" s="15" t="str">
        <f>HYPERLINK("https://media.infra-m.ru/2150/2150868/cover/2150868.jpg", "Обложка")</f>
        <v>Обложка</v>
      </c>
      <c r="V8365" s="8" t="s">
        <v>1357</v>
      </c>
      <c r="W8365" s="6"/>
      <c r="X8365" s="6"/>
      <c r="Y8365" s="6"/>
      <c r="Z8365" s="6"/>
      <c r="AA8365" s="6" t="s">
        <v>68</v>
      </c>
      <c r="AB8365" s="8"/>
      <c r="AC8365" s="27">
        <v>9785160199894</v>
      </c>
    </row>
    <row r="8366" spans="1:29" s="4" customFormat="1" ht="51.9" customHeight="1" x14ac:dyDescent="0.2">
      <c r="A8366" s="5">
        <v>0</v>
      </c>
      <c r="B8366" s="6" t="s">
        <v>47072</v>
      </c>
      <c r="C8366" s="7">
        <v>1812</v>
      </c>
      <c r="D8366" s="8" t="s">
        <v>47073</v>
      </c>
      <c r="E8366" s="8" t="s">
        <v>47074</v>
      </c>
      <c r="F8366" s="8" t="s">
        <v>47075</v>
      </c>
      <c r="G8366" s="6" t="s">
        <v>118</v>
      </c>
      <c r="H8366" s="6" t="s">
        <v>34</v>
      </c>
      <c r="I8366" s="8" t="s">
        <v>35</v>
      </c>
      <c r="J8366" s="9">
        <v>1</v>
      </c>
      <c r="K8366" s="9">
        <v>290</v>
      </c>
      <c r="L8366" s="9">
        <v>2025</v>
      </c>
      <c r="M8366" s="8" t="s">
        <v>47076</v>
      </c>
      <c r="N8366" s="8" t="s">
        <v>37</v>
      </c>
      <c r="O8366" s="8" t="s">
        <v>280</v>
      </c>
      <c r="P8366" s="6" t="s">
        <v>39</v>
      </c>
      <c r="Q8366" s="8" t="s">
        <v>40</v>
      </c>
      <c r="R8366" s="10" t="s">
        <v>47077</v>
      </c>
      <c r="S8366" s="11"/>
      <c r="T8366" s="6"/>
      <c r="U8366" s="15" t="str">
        <f>HYPERLINK("https://media.infra-m.ru/2200/2200129/cover/2200129.jpg", "Обложка")</f>
        <v>Обложка</v>
      </c>
      <c r="V8366" s="8" t="s">
        <v>1768</v>
      </c>
      <c r="W8366" s="6"/>
      <c r="X8366" s="6"/>
      <c r="Y8366" s="6"/>
      <c r="Z8366" s="6"/>
      <c r="AA8366" s="6" t="s">
        <v>86</v>
      </c>
      <c r="AB8366" s="8" t="s">
        <v>1317</v>
      </c>
      <c r="AC8366" s="27">
        <v>9785160136882</v>
      </c>
    </row>
    <row r="8367" spans="1:29" s="4" customFormat="1" ht="44.1" customHeight="1" x14ac:dyDescent="0.2">
      <c r="A8367" s="5">
        <v>0</v>
      </c>
      <c r="B8367" s="6" t="s">
        <v>47078</v>
      </c>
      <c r="C8367" s="7">
        <v>1680</v>
      </c>
      <c r="D8367" s="8" t="s">
        <v>47079</v>
      </c>
      <c r="E8367" s="8" t="s">
        <v>47080</v>
      </c>
      <c r="F8367" s="8" t="s">
        <v>47081</v>
      </c>
      <c r="G8367" s="6" t="s">
        <v>118</v>
      </c>
      <c r="H8367" s="6" t="s">
        <v>34</v>
      </c>
      <c r="I8367" s="8" t="s">
        <v>35</v>
      </c>
      <c r="J8367" s="9">
        <v>1</v>
      </c>
      <c r="K8367" s="9">
        <v>297</v>
      </c>
      <c r="L8367" s="9">
        <v>2024</v>
      </c>
      <c r="M8367" s="8" t="s">
        <v>47082</v>
      </c>
      <c r="N8367" s="8" t="s">
        <v>37</v>
      </c>
      <c r="O8367" s="8" t="s">
        <v>280</v>
      </c>
      <c r="P8367" s="6" t="s">
        <v>39</v>
      </c>
      <c r="Q8367" s="8" t="s">
        <v>40</v>
      </c>
      <c r="R8367" s="10" t="s">
        <v>6677</v>
      </c>
      <c r="S8367" s="11"/>
      <c r="T8367" s="6"/>
      <c r="U8367" s="15" t="str">
        <f>HYPERLINK("https://media.infra-m.ru/2133/2133969/cover/2133969.jpg", "Обложка")</f>
        <v>Обложка</v>
      </c>
      <c r="V8367" s="8" t="s">
        <v>1357</v>
      </c>
      <c r="W8367" s="6"/>
      <c r="X8367" s="6"/>
      <c r="Y8367" s="6"/>
      <c r="Z8367" s="6"/>
      <c r="AA8367" s="6" t="s">
        <v>115</v>
      </c>
      <c r="AB8367" s="8"/>
      <c r="AC8367" s="27">
        <v>9785160147529</v>
      </c>
    </row>
    <row r="8368" spans="1:29" s="4" customFormat="1" ht="51.9" customHeight="1" x14ac:dyDescent="0.2">
      <c r="A8368" s="5">
        <v>0</v>
      </c>
      <c r="B8368" s="6" t="s">
        <v>47083</v>
      </c>
      <c r="C8368" s="7">
        <v>1260</v>
      </c>
      <c r="D8368" s="8" t="s">
        <v>47084</v>
      </c>
      <c r="E8368" s="8" t="s">
        <v>47085</v>
      </c>
      <c r="F8368" s="8" t="s">
        <v>47086</v>
      </c>
      <c r="G8368" s="6" t="s">
        <v>118</v>
      </c>
      <c r="H8368" s="6" t="s">
        <v>34</v>
      </c>
      <c r="I8368" s="8" t="s">
        <v>35</v>
      </c>
      <c r="J8368" s="9">
        <v>1</v>
      </c>
      <c r="K8368" s="9">
        <v>248</v>
      </c>
      <c r="L8368" s="9">
        <v>2022</v>
      </c>
      <c r="M8368" s="8" t="s">
        <v>47087</v>
      </c>
      <c r="N8368" s="8" t="s">
        <v>37</v>
      </c>
      <c r="O8368" s="8" t="s">
        <v>280</v>
      </c>
      <c r="P8368" s="6" t="s">
        <v>39</v>
      </c>
      <c r="Q8368" s="8" t="s">
        <v>40</v>
      </c>
      <c r="R8368" s="10" t="s">
        <v>47088</v>
      </c>
      <c r="S8368" s="11"/>
      <c r="T8368" s="6"/>
      <c r="U8368" s="15" t="str">
        <f>HYPERLINK("https://media.infra-m.ru/1877/1877529/cover/1877529.jpg", "Обложка")</f>
        <v>Обложка</v>
      </c>
      <c r="V8368" s="8" t="s">
        <v>247</v>
      </c>
      <c r="W8368" s="6"/>
      <c r="X8368" s="6"/>
      <c r="Y8368" s="6"/>
      <c r="Z8368" s="6"/>
      <c r="AA8368" s="6" t="s">
        <v>1256</v>
      </c>
      <c r="AB8368" s="8"/>
      <c r="AC8368" s="27">
        <v>9785160164199</v>
      </c>
    </row>
    <row r="8369" spans="1:29" s="4" customFormat="1" ht="44.1" customHeight="1" x14ac:dyDescent="0.2">
      <c r="A8369" s="5">
        <v>0</v>
      </c>
      <c r="B8369" s="6" t="s">
        <v>47089</v>
      </c>
      <c r="C8369" s="7">
        <v>2272.8000000000002</v>
      </c>
      <c r="D8369" s="8" t="s">
        <v>47090</v>
      </c>
      <c r="E8369" s="8" t="s">
        <v>47091</v>
      </c>
      <c r="F8369" s="8" t="s">
        <v>47092</v>
      </c>
      <c r="G8369" s="6" t="s">
        <v>60</v>
      </c>
      <c r="H8369" s="6" t="s">
        <v>34</v>
      </c>
      <c r="I8369" s="8" t="s">
        <v>35</v>
      </c>
      <c r="J8369" s="9">
        <v>1</v>
      </c>
      <c r="K8369" s="9">
        <v>345</v>
      </c>
      <c r="L8369" s="9">
        <v>2026</v>
      </c>
      <c r="M8369" s="8" t="s">
        <v>47093</v>
      </c>
      <c r="N8369" s="8" t="s">
        <v>37</v>
      </c>
      <c r="O8369" s="8" t="s">
        <v>280</v>
      </c>
      <c r="P8369" s="6" t="s">
        <v>39</v>
      </c>
      <c r="Q8369" s="8" t="s">
        <v>40</v>
      </c>
      <c r="R8369" s="10" t="s">
        <v>20475</v>
      </c>
      <c r="S8369" s="11"/>
      <c r="T8369" s="6"/>
      <c r="U8369" s="15" t="str">
        <f>HYPERLINK("https://media.infra-m.ru/2243/2243697/cover/2243697.jpg", "Обложка")</f>
        <v>Обложка</v>
      </c>
      <c r="V8369" s="8" t="s">
        <v>1357</v>
      </c>
      <c r="W8369" s="6"/>
      <c r="X8369" s="6"/>
      <c r="Y8369" s="6"/>
      <c r="Z8369" s="6"/>
      <c r="AA8369" s="6" t="s">
        <v>157</v>
      </c>
      <c r="AB8369" s="8" t="s">
        <v>1785</v>
      </c>
      <c r="AC8369" s="27">
        <v>9785160177915</v>
      </c>
    </row>
    <row r="8370" spans="1:29" s="4" customFormat="1" ht="51.9" customHeight="1" x14ac:dyDescent="0.2">
      <c r="A8370" s="5">
        <v>0</v>
      </c>
      <c r="B8370" s="6" t="s">
        <v>47094</v>
      </c>
      <c r="C8370" s="7">
        <v>1884</v>
      </c>
      <c r="D8370" s="8" t="s">
        <v>47095</v>
      </c>
      <c r="E8370" s="8" t="s">
        <v>47096</v>
      </c>
      <c r="F8370" s="8" t="s">
        <v>47097</v>
      </c>
      <c r="G8370" s="6" t="s">
        <v>60</v>
      </c>
      <c r="H8370" s="6" t="s">
        <v>34</v>
      </c>
      <c r="I8370" s="8" t="s">
        <v>35</v>
      </c>
      <c r="J8370" s="9">
        <v>1</v>
      </c>
      <c r="K8370" s="9">
        <v>279</v>
      </c>
      <c r="L8370" s="9">
        <v>2026</v>
      </c>
      <c r="M8370" s="8" t="s">
        <v>47098</v>
      </c>
      <c r="N8370" s="8" t="s">
        <v>37</v>
      </c>
      <c r="O8370" s="8" t="s">
        <v>280</v>
      </c>
      <c r="P8370" s="6" t="s">
        <v>39</v>
      </c>
      <c r="Q8370" s="8" t="s">
        <v>40</v>
      </c>
      <c r="R8370" s="10" t="s">
        <v>47099</v>
      </c>
      <c r="S8370" s="11"/>
      <c r="T8370" s="6"/>
      <c r="U8370" s="15" t="str">
        <f>HYPERLINK("https://media.infra-m.ru/2217/2217041/cover/2217041.jpg", "Обложка")</f>
        <v>Обложка</v>
      </c>
      <c r="V8370" s="8" t="s">
        <v>1357</v>
      </c>
      <c r="W8370" s="6" t="s">
        <v>351</v>
      </c>
      <c r="X8370" s="6"/>
      <c r="Y8370" s="6"/>
      <c r="Z8370" s="6"/>
      <c r="AA8370" s="6" t="s">
        <v>187</v>
      </c>
      <c r="AB8370" s="8" t="s">
        <v>11878</v>
      </c>
      <c r="AC8370" s="27">
        <v>9785160212081</v>
      </c>
    </row>
    <row r="8371" spans="1:29" s="4" customFormat="1" ht="42" customHeight="1" x14ac:dyDescent="0.2">
      <c r="A8371" s="5">
        <v>0</v>
      </c>
      <c r="B8371" s="6" t="s">
        <v>47100</v>
      </c>
      <c r="C8371" s="7">
        <v>1768.8</v>
      </c>
      <c r="D8371" s="8" t="s">
        <v>47101</v>
      </c>
      <c r="E8371" s="8" t="s">
        <v>47102</v>
      </c>
      <c r="F8371" s="8" t="s">
        <v>47103</v>
      </c>
      <c r="G8371" s="6" t="s">
        <v>60</v>
      </c>
      <c r="H8371" s="6" t="s">
        <v>34</v>
      </c>
      <c r="I8371" s="8" t="s">
        <v>35</v>
      </c>
      <c r="J8371" s="9">
        <v>1</v>
      </c>
      <c r="K8371" s="9">
        <v>254</v>
      </c>
      <c r="L8371" s="9">
        <v>2026</v>
      </c>
      <c r="M8371" s="8" t="s">
        <v>47104</v>
      </c>
      <c r="N8371" s="8" t="s">
        <v>37</v>
      </c>
      <c r="O8371" s="8" t="s">
        <v>280</v>
      </c>
      <c r="P8371" s="6" t="s">
        <v>39</v>
      </c>
      <c r="Q8371" s="8" t="s">
        <v>40</v>
      </c>
      <c r="R8371" s="10" t="s">
        <v>4875</v>
      </c>
      <c r="S8371" s="11"/>
      <c r="T8371" s="6"/>
      <c r="U8371" s="15" t="str">
        <f>HYPERLINK("https://media.infra-m.ru/2253/2253937/cover/2253937.jpg", "Обложка")</f>
        <v>Обложка</v>
      </c>
      <c r="V8371" s="8" t="s">
        <v>2055</v>
      </c>
      <c r="W8371" s="6"/>
      <c r="X8371" s="6"/>
      <c r="Y8371" s="6"/>
      <c r="Z8371" s="6"/>
      <c r="AA8371" s="6" t="s">
        <v>1256</v>
      </c>
      <c r="AB8371" s="8"/>
      <c r="AC8371" s="27">
        <v>9785160158402</v>
      </c>
    </row>
    <row r="8372" spans="1:29" s="4" customFormat="1" ht="51.9" customHeight="1" x14ac:dyDescent="0.2">
      <c r="A8372" s="5">
        <v>0</v>
      </c>
      <c r="B8372" s="6" t="s">
        <v>47105</v>
      </c>
      <c r="C8372" s="13">
        <v>984</v>
      </c>
      <c r="D8372" s="8" t="s">
        <v>47106</v>
      </c>
      <c r="E8372" s="8" t="s">
        <v>47107</v>
      </c>
      <c r="F8372" s="8" t="s">
        <v>47108</v>
      </c>
      <c r="G8372" s="6" t="s">
        <v>118</v>
      </c>
      <c r="H8372" s="6" t="s">
        <v>34</v>
      </c>
      <c r="I8372" s="8" t="s">
        <v>35</v>
      </c>
      <c r="J8372" s="9">
        <v>1</v>
      </c>
      <c r="K8372" s="9">
        <v>174</v>
      </c>
      <c r="L8372" s="9">
        <v>2024</v>
      </c>
      <c r="M8372" s="8" t="s">
        <v>47109</v>
      </c>
      <c r="N8372" s="8" t="s">
        <v>37</v>
      </c>
      <c r="O8372" s="8" t="s">
        <v>280</v>
      </c>
      <c r="P8372" s="6" t="s">
        <v>39</v>
      </c>
      <c r="Q8372" s="8" t="s">
        <v>40</v>
      </c>
      <c r="R8372" s="10" t="s">
        <v>47110</v>
      </c>
      <c r="S8372" s="11"/>
      <c r="T8372" s="6"/>
      <c r="U8372" s="15" t="str">
        <f>HYPERLINK("https://media.infra-m.ru/2133/2133977/cover/2133977.jpg", "Обложка")</f>
        <v>Обложка</v>
      </c>
      <c r="V8372" s="8" t="s">
        <v>1505</v>
      </c>
      <c r="W8372" s="6"/>
      <c r="X8372" s="6"/>
      <c r="Y8372" s="6"/>
      <c r="Z8372" s="6"/>
      <c r="AA8372" s="6" t="s">
        <v>779</v>
      </c>
      <c r="AB8372" s="8"/>
      <c r="AC8372" s="27">
        <v>9785160112800</v>
      </c>
    </row>
    <row r="8373" spans="1:29" s="4" customFormat="1" ht="51.9" customHeight="1" x14ac:dyDescent="0.2">
      <c r="A8373" s="5">
        <v>0</v>
      </c>
      <c r="B8373" s="6" t="s">
        <v>47111</v>
      </c>
      <c r="C8373" s="7">
        <v>1912.8</v>
      </c>
      <c r="D8373" s="8" t="s">
        <v>47112</v>
      </c>
      <c r="E8373" s="8" t="s">
        <v>47113</v>
      </c>
      <c r="F8373" s="8" t="s">
        <v>47114</v>
      </c>
      <c r="G8373" s="6" t="s">
        <v>60</v>
      </c>
      <c r="H8373" s="6" t="s">
        <v>34</v>
      </c>
      <c r="I8373" s="8" t="s">
        <v>35</v>
      </c>
      <c r="J8373" s="9">
        <v>1</v>
      </c>
      <c r="K8373" s="9">
        <v>343</v>
      </c>
      <c r="L8373" s="9">
        <v>2024</v>
      </c>
      <c r="M8373" s="8" t="s">
        <v>47115</v>
      </c>
      <c r="N8373" s="8" t="s">
        <v>37</v>
      </c>
      <c r="O8373" s="8" t="s">
        <v>280</v>
      </c>
      <c r="P8373" s="6" t="s">
        <v>39</v>
      </c>
      <c r="Q8373" s="8" t="s">
        <v>40</v>
      </c>
      <c r="R8373" s="10" t="s">
        <v>47088</v>
      </c>
      <c r="S8373" s="11"/>
      <c r="T8373" s="6"/>
      <c r="U8373" s="15" t="str">
        <f>HYPERLINK("https://media.infra-m.ru/2106/2106204/cover/2106204.jpg", "Обложка")</f>
        <v>Обложка</v>
      </c>
      <c r="V8373" s="8" t="s">
        <v>1357</v>
      </c>
      <c r="W8373" s="6"/>
      <c r="X8373" s="6"/>
      <c r="Y8373" s="6"/>
      <c r="Z8373" s="6"/>
      <c r="AA8373" s="6" t="s">
        <v>157</v>
      </c>
      <c r="AB8373" s="8"/>
      <c r="AC8373" s="27">
        <v>9785160186269</v>
      </c>
    </row>
    <row r="8374" spans="1:29" s="4" customFormat="1" ht="51.9" customHeight="1" x14ac:dyDescent="0.2">
      <c r="A8374" s="5">
        <v>0</v>
      </c>
      <c r="B8374" s="6" t="s">
        <v>47116</v>
      </c>
      <c r="C8374" s="7">
        <v>1708.8</v>
      </c>
      <c r="D8374" s="8" t="s">
        <v>47117</v>
      </c>
      <c r="E8374" s="8" t="s">
        <v>47118</v>
      </c>
      <c r="F8374" s="8" t="s">
        <v>47119</v>
      </c>
      <c r="G8374" s="6" t="s">
        <v>33</v>
      </c>
      <c r="H8374" s="6" t="s">
        <v>34</v>
      </c>
      <c r="I8374" s="8" t="s">
        <v>35</v>
      </c>
      <c r="J8374" s="9">
        <v>1</v>
      </c>
      <c r="K8374" s="9">
        <v>283</v>
      </c>
      <c r="L8374" s="9">
        <v>2025</v>
      </c>
      <c r="M8374" s="8" t="s">
        <v>47120</v>
      </c>
      <c r="N8374" s="8" t="s">
        <v>37</v>
      </c>
      <c r="O8374" s="8" t="s">
        <v>280</v>
      </c>
      <c r="P8374" s="6" t="s">
        <v>39</v>
      </c>
      <c r="Q8374" s="8" t="s">
        <v>40</v>
      </c>
      <c r="R8374" s="10" t="s">
        <v>1150</v>
      </c>
      <c r="S8374" s="11"/>
      <c r="T8374" s="6"/>
      <c r="U8374" s="15" t="str">
        <f>HYPERLINK("https://media.infra-m.ru/2163/2163982/cover/2163982.jpg", "Обложка")</f>
        <v>Обложка</v>
      </c>
      <c r="V8374" s="8" t="s">
        <v>1505</v>
      </c>
      <c r="W8374" s="6"/>
      <c r="X8374" s="6"/>
      <c r="Y8374" s="6"/>
      <c r="Z8374" s="6"/>
      <c r="AA8374" s="6" t="s">
        <v>248</v>
      </c>
      <c r="AB8374" s="8"/>
      <c r="AC8374" s="27">
        <v>9785160098104</v>
      </c>
    </row>
    <row r="8375" spans="1:29" s="4" customFormat="1" ht="44.1" customHeight="1" x14ac:dyDescent="0.2">
      <c r="A8375" s="5">
        <v>0</v>
      </c>
      <c r="B8375" s="6" t="s">
        <v>47121</v>
      </c>
      <c r="C8375" s="7">
        <v>1300.8</v>
      </c>
      <c r="D8375" s="8" t="s">
        <v>47122</v>
      </c>
      <c r="E8375" s="8" t="s">
        <v>47123</v>
      </c>
      <c r="F8375" s="8" t="s">
        <v>7831</v>
      </c>
      <c r="G8375" s="6" t="s">
        <v>33</v>
      </c>
      <c r="H8375" s="6" t="s">
        <v>34</v>
      </c>
      <c r="I8375" s="8" t="s">
        <v>2159</v>
      </c>
      <c r="J8375" s="9">
        <v>1</v>
      </c>
      <c r="K8375" s="9">
        <v>187</v>
      </c>
      <c r="L8375" s="9">
        <v>2027</v>
      </c>
      <c r="M8375" s="8" t="s">
        <v>47124</v>
      </c>
      <c r="N8375" s="8" t="s">
        <v>37</v>
      </c>
      <c r="O8375" s="8" t="s">
        <v>280</v>
      </c>
      <c r="P8375" s="6" t="s">
        <v>39</v>
      </c>
      <c r="Q8375" s="8" t="s">
        <v>40</v>
      </c>
      <c r="R8375" s="10" t="s">
        <v>47125</v>
      </c>
      <c r="S8375" s="11"/>
      <c r="T8375" s="6"/>
      <c r="U8375" s="15" t="str">
        <f>HYPERLINK("https://media.infra-m.ru/2262/2262610/cover/2262610.jpg", "Обложка")</f>
        <v>Обложка</v>
      </c>
      <c r="V8375" s="8" t="s">
        <v>445</v>
      </c>
      <c r="W8375" s="6"/>
      <c r="X8375" s="6"/>
      <c r="Y8375" s="6"/>
      <c r="Z8375" s="6"/>
      <c r="AA8375" s="6" t="s">
        <v>106</v>
      </c>
      <c r="AB8375" s="8"/>
      <c r="AC8375" s="27">
        <v>9785160194264</v>
      </c>
    </row>
    <row r="8376" spans="1:29" s="4" customFormat="1" ht="51.9" customHeight="1" x14ac:dyDescent="0.2">
      <c r="A8376" s="5">
        <v>0</v>
      </c>
      <c r="B8376" s="6" t="s">
        <v>47126</v>
      </c>
      <c r="C8376" s="7">
        <v>2692.8</v>
      </c>
      <c r="D8376" s="8" t="s">
        <v>47127</v>
      </c>
      <c r="E8376" s="8" t="s">
        <v>47128</v>
      </c>
      <c r="F8376" s="8" t="s">
        <v>7831</v>
      </c>
      <c r="G8376" s="6" t="s">
        <v>118</v>
      </c>
      <c r="H8376" s="6" t="s">
        <v>34</v>
      </c>
      <c r="I8376" s="8" t="s">
        <v>271</v>
      </c>
      <c r="J8376" s="9">
        <v>1</v>
      </c>
      <c r="K8376" s="9">
        <v>386</v>
      </c>
      <c r="L8376" s="9">
        <v>2027</v>
      </c>
      <c r="M8376" s="8" t="s">
        <v>47129</v>
      </c>
      <c r="N8376" s="8" t="s">
        <v>37</v>
      </c>
      <c r="O8376" s="8" t="s">
        <v>499</v>
      </c>
      <c r="P8376" s="6" t="s">
        <v>51</v>
      </c>
      <c r="Q8376" s="8" t="s">
        <v>52</v>
      </c>
      <c r="R8376" s="10" t="s">
        <v>26142</v>
      </c>
      <c r="S8376" s="11" t="s">
        <v>47130</v>
      </c>
      <c r="T8376" s="6"/>
      <c r="U8376" s="15" t="str">
        <f>HYPERLINK("https://media.infra-m.ru/2262/2262607/cover/2262607.jpg", "Обложка")</f>
        <v>Обложка</v>
      </c>
      <c r="V8376" s="8" t="s">
        <v>445</v>
      </c>
      <c r="W8376" s="6"/>
      <c r="X8376" s="6"/>
      <c r="Y8376" s="6"/>
      <c r="Z8376" s="6"/>
      <c r="AA8376" s="6" t="s">
        <v>430</v>
      </c>
      <c r="AB8376" s="8"/>
      <c r="AC8376" s="27">
        <v>9785160160108</v>
      </c>
    </row>
    <row r="8377" spans="1:29" s="4" customFormat="1" ht="51.9" customHeight="1" x14ac:dyDescent="0.2">
      <c r="A8377" s="5">
        <v>0</v>
      </c>
      <c r="B8377" s="6" t="s">
        <v>47131</v>
      </c>
      <c r="C8377" s="7">
        <v>2692.8</v>
      </c>
      <c r="D8377" s="8" t="s">
        <v>47132</v>
      </c>
      <c r="E8377" s="8" t="s">
        <v>47128</v>
      </c>
      <c r="F8377" s="8" t="s">
        <v>7831</v>
      </c>
      <c r="G8377" s="6" t="s">
        <v>60</v>
      </c>
      <c r="H8377" s="6" t="s">
        <v>34</v>
      </c>
      <c r="I8377" s="8" t="s">
        <v>263</v>
      </c>
      <c r="J8377" s="9">
        <v>1</v>
      </c>
      <c r="K8377" s="9">
        <v>386</v>
      </c>
      <c r="L8377" s="9">
        <v>2027</v>
      </c>
      <c r="M8377" s="8" t="s">
        <v>47133</v>
      </c>
      <c r="N8377" s="8" t="s">
        <v>37</v>
      </c>
      <c r="O8377" s="8" t="s">
        <v>499</v>
      </c>
      <c r="P8377" s="6" t="s">
        <v>51</v>
      </c>
      <c r="Q8377" s="8" t="s">
        <v>265</v>
      </c>
      <c r="R8377" s="10" t="s">
        <v>2813</v>
      </c>
      <c r="S8377" s="11" t="s">
        <v>47134</v>
      </c>
      <c r="T8377" s="6"/>
      <c r="U8377" s="15" t="str">
        <f>HYPERLINK("https://media.infra-m.ru/2262/2262609/cover/2262609.jpg", "Обложка")</f>
        <v>Обложка</v>
      </c>
      <c r="V8377" s="8" t="s">
        <v>445</v>
      </c>
      <c r="W8377" s="6"/>
      <c r="X8377" s="6"/>
      <c r="Y8377" s="6"/>
      <c r="Z8377" s="6" t="s">
        <v>267</v>
      </c>
      <c r="AA8377" s="6" t="s">
        <v>430</v>
      </c>
      <c r="AB8377" s="8"/>
      <c r="AC8377" s="27">
        <v>9785160169989</v>
      </c>
    </row>
    <row r="8378" spans="1:29" s="4" customFormat="1" ht="51.9" customHeight="1" x14ac:dyDescent="0.2">
      <c r="A8378" s="5">
        <v>0</v>
      </c>
      <c r="B8378" s="6" t="s">
        <v>47135</v>
      </c>
      <c r="C8378" s="13">
        <v>744</v>
      </c>
      <c r="D8378" s="8" t="s">
        <v>47136</v>
      </c>
      <c r="E8378" s="8" t="s">
        <v>47137</v>
      </c>
      <c r="F8378" s="8" t="s">
        <v>14562</v>
      </c>
      <c r="G8378" s="6" t="s">
        <v>33</v>
      </c>
      <c r="H8378" s="6" t="s">
        <v>34</v>
      </c>
      <c r="I8378" s="8" t="s">
        <v>35</v>
      </c>
      <c r="J8378" s="9">
        <v>1</v>
      </c>
      <c r="K8378" s="9">
        <v>122</v>
      </c>
      <c r="L8378" s="9">
        <v>2024</v>
      </c>
      <c r="M8378" s="8" t="s">
        <v>47138</v>
      </c>
      <c r="N8378" s="8" t="s">
        <v>37</v>
      </c>
      <c r="O8378" s="8" t="s">
        <v>280</v>
      </c>
      <c r="P8378" s="6" t="s">
        <v>39</v>
      </c>
      <c r="Q8378" s="8" t="s">
        <v>40</v>
      </c>
      <c r="R8378" s="10" t="s">
        <v>39408</v>
      </c>
      <c r="S8378" s="11"/>
      <c r="T8378" s="6" t="s">
        <v>97</v>
      </c>
      <c r="U8378" s="15" t="str">
        <f>HYPERLINK("https://media.infra-m.ru/2134/2134479/cover/2134479.jpg", "Обложка")</f>
        <v>Обложка</v>
      </c>
      <c r="V8378" s="8" t="s">
        <v>13059</v>
      </c>
      <c r="W8378" s="6"/>
      <c r="X8378" s="6"/>
      <c r="Y8378" s="6"/>
      <c r="Z8378" s="6"/>
      <c r="AA8378" s="6" t="s">
        <v>248</v>
      </c>
      <c r="AB8378" s="8"/>
      <c r="AC8378" s="27">
        <v>9785160098081</v>
      </c>
    </row>
    <row r="8379" spans="1:29" s="4" customFormat="1" ht="51.9" customHeight="1" x14ac:dyDescent="0.2">
      <c r="A8379" s="5">
        <v>0</v>
      </c>
      <c r="B8379" s="6" t="s">
        <v>47139</v>
      </c>
      <c r="C8379" s="7">
        <v>1192.8</v>
      </c>
      <c r="D8379" s="8" t="s">
        <v>47140</v>
      </c>
      <c r="E8379" s="8" t="s">
        <v>47141</v>
      </c>
      <c r="F8379" s="8" t="s">
        <v>47142</v>
      </c>
      <c r="G8379" s="6" t="s">
        <v>60</v>
      </c>
      <c r="H8379" s="6" t="s">
        <v>34</v>
      </c>
      <c r="I8379" s="8" t="s">
        <v>504</v>
      </c>
      <c r="J8379" s="9">
        <v>1</v>
      </c>
      <c r="K8379" s="9">
        <v>180</v>
      </c>
      <c r="L8379" s="9">
        <v>2026</v>
      </c>
      <c r="M8379" s="8" t="s">
        <v>47143</v>
      </c>
      <c r="N8379" s="8" t="s">
        <v>37</v>
      </c>
      <c r="O8379" s="8" t="s">
        <v>280</v>
      </c>
      <c r="P8379" s="6" t="s">
        <v>306</v>
      </c>
      <c r="Q8379" s="8" t="s">
        <v>52</v>
      </c>
      <c r="R8379" s="10" t="s">
        <v>47144</v>
      </c>
      <c r="S8379" s="11"/>
      <c r="T8379" s="6"/>
      <c r="U8379" s="15" t="str">
        <f>HYPERLINK("https://media.infra-m.ru/2239/2239922/cover/2239922.jpg", "Обложка")</f>
        <v>Обложка</v>
      </c>
      <c r="V8379" s="8" t="s">
        <v>1768</v>
      </c>
      <c r="W8379" s="6"/>
      <c r="X8379" s="6"/>
      <c r="Y8379" s="6"/>
      <c r="Z8379" s="6"/>
      <c r="AA8379" s="6" t="s">
        <v>55</v>
      </c>
      <c r="AB8379" s="8"/>
      <c r="AC8379" s="27">
        <v>9785160062952</v>
      </c>
    </row>
    <row r="8380" spans="1:29" s="4" customFormat="1" ht="51.9" customHeight="1" x14ac:dyDescent="0.2">
      <c r="A8380" s="5">
        <v>0</v>
      </c>
      <c r="B8380" s="6" t="s">
        <v>47145</v>
      </c>
      <c r="C8380" s="7">
        <v>2064</v>
      </c>
      <c r="D8380" s="8" t="s">
        <v>47146</v>
      </c>
      <c r="E8380" s="8" t="s">
        <v>47147</v>
      </c>
      <c r="F8380" s="8" t="s">
        <v>29479</v>
      </c>
      <c r="G8380" s="6" t="s">
        <v>118</v>
      </c>
      <c r="H8380" s="6" t="s">
        <v>34</v>
      </c>
      <c r="I8380" s="8" t="s">
        <v>253</v>
      </c>
      <c r="J8380" s="9">
        <v>1</v>
      </c>
      <c r="K8380" s="9">
        <v>365</v>
      </c>
      <c r="L8380" s="9">
        <v>2024</v>
      </c>
      <c r="M8380" s="8" t="s">
        <v>47148</v>
      </c>
      <c r="N8380" s="8" t="s">
        <v>37</v>
      </c>
      <c r="O8380" s="8" t="s">
        <v>280</v>
      </c>
      <c r="P8380" s="6" t="s">
        <v>51</v>
      </c>
      <c r="Q8380" s="8" t="s">
        <v>52</v>
      </c>
      <c r="R8380" s="10" t="s">
        <v>47149</v>
      </c>
      <c r="S8380" s="11" t="s">
        <v>47150</v>
      </c>
      <c r="T8380" s="6"/>
      <c r="U8380" s="15" t="str">
        <f>HYPERLINK("https://media.infra-m.ru/2136/2136702/cover/2136702.jpg", "Обложка")</f>
        <v>Обложка</v>
      </c>
      <c r="V8380" s="8" t="s">
        <v>1505</v>
      </c>
      <c r="W8380" s="6"/>
      <c r="X8380" s="6"/>
      <c r="Y8380" s="6"/>
      <c r="Z8380" s="6"/>
      <c r="AA8380" s="6" t="s">
        <v>14351</v>
      </c>
      <c r="AB8380" s="8"/>
      <c r="AC8380" s="27">
        <v>9785160197715</v>
      </c>
    </row>
    <row r="8381" spans="1:29" s="4" customFormat="1" ht="51.9" customHeight="1" x14ac:dyDescent="0.2">
      <c r="A8381" s="5">
        <v>0</v>
      </c>
      <c r="B8381" s="6" t="s">
        <v>47151</v>
      </c>
      <c r="C8381" s="7">
        <v>2760</v>
      </c>
      <c r="D8381" s="8" t="s">
        <v>47152</v>
      </c>
      <c r="E8381" s="8" t="s">
        <v>47153</v>
      </c>
      <c r="F8381" s="8" t="s">
        <v>47154</v>
      </c>
      <c r="G8381" s="6" t="s">
        <v>60</v>
      </c>
      <c r="H8381" s="6" t="s">
        <v>34</v>
      </c>
      <c r="I8381" s="8" t="s">
        <v>271</v>
      </c>
      <c r="J8381" s="9">
        <v>1</v>
      </c>
      <c r="K8381" s="9">
        <v>513</v>
      </c>
      <c r="L8381" s="9">
        <v>2023</v>
      </c>
      <c r="M8381" s="8" t="s">
        <v>47155</v>
      </c>
      <c r="N8381" s="8" t="s">
        <v>37</v>
      </c>
      <c r="O8381" s="8" t="s">
        <v>280</v>
      </c>
      <c r="P8381" s="6" t="s">
        <v>306</v>
      </c>
      <c r="Q8381" s="8" t="s">
        <v>52</v>
      </c>
      <c r="R8381" s="10" t="s">
        <v>11902</v>
      </c>
      <c r="S8381" s="11" t="s">
        <v>47156</v>
      </c>
      <c r="T8381" s="6"/>
      <c r="U8381" s="15" t="str">
        <f>HYPERLINK("https://media.infra-m.ru/2126/2126946/cover/2126946.jpg", "Обложка")</f>
        <v>Обложка</v>
      </c>
      <c r="V8381" s="8" t="s">
        <v>2854</v>
      </c>
      <c r="W8381" s="6"/>
      <c r="X8381" s="6"/>
      <c r="Y8381" s="6"/>
      <c r="Z8381" s="6"/>
      <c r="AA8381" s="6" t="s">
        <v>2240</v>
      </c>
      <c r="AB8381" s="8"/>
      <c r="AC8381" s="27">
        <v>9785160141176</v>
      </c>
    </row>
    <row r="8382" spans="1:29" s="4" customFormat="1" ht="51.9" customHeight="1" x14ac:dyDescent="0.2">
      <c r="A8382" s="5">
        <v>0</v>
      </c>
      <c r="B8382" s="6" t="s">
        <v>47157</v>
      </c>
      <c r="C8382" s="7">
        <v>3840</v>
      </c>
      <c r="D8382" s="8" t="s">
        <v>47158</v>
      </c>
      <c r="E8382" s="8" t="s">
        <v>47159</v>
      </c>
      <c r="F8382" s="8" t="s">
        <v>47160</v>
      </c>
      <c r="G8382" s="6" t="s">
        <v>60</v>
      </c>
      <c r="H8382" s="6" t="s">
        <v>34</v>
      </c>
      <c r="I8382" s="8" t="s">
        <v>253</v>
      </c>
      <c r="J8382" s="9">
        <v>1</v>
      </c>
      <c r="K8382" s="9">
        <v>695</v>
      </c>
      <c r="L8382" s="9">
        <v>2026</v>
      </c>
      <c r="M8382" s="8" t="s">
        <v>47161</v>
      </c>
      <c r="N8382" s="8" t="s">
        <v>37</v>
      </c>
      <c r="O8382" s="8" t="s">
        <v>280</v>
      </c>
      <c r="P8382" s="6" t="s">
        <v>306</v>
      </c>
      <c r="Q8382" s="8" t="s">
        <v>52</v>
      </c>
      <c r="R8382" s="10" t="s">
        <v>47162</v>
      </c>
      <c r="S8382" s="11" t="s">
        <v>47163</v>
      </c>
      <c r="T8382" s="6"/>
      <c r="U8382" s="15" t="str">
        <f>HYPERLINK("https://media.infra-m.ru/2243/2243233/cover/2243233.jpg", "Обложка")</f>
        <v>Обложка</v>
      </c>
      <c r="V8382" s="8" t="s">
        <v>1505</v>
      </c>
      <c r="W8382" s="6"/>
      <c r="X8382" s="6"/>
      <c r="Y8382" s="6"/>
      <c r="Z8382" s="6"/>
      <c r="AA8382" s="6" t="s">
        <v>16395</v>
      </c>
      <c r="AB8382" s="8"/>
      <c r="AC8382" s="27">
        <v>9785160197708</v>
      </c>
    </row>
    <row r="8383" spans="1:29" s="4" customFormat="1" ht="51.9" customHeight="1" x14ac:dyDescent="0.2">
      <c r="A8383" s="5">
        <v>0</v>
      </c>
      <c r="B8383" s="6" t="s">
        <v>47164</v>
      </c>
      <c r="C8383" s="7">
        <v>1620</v>
      </c>
      <c r="D8383" s="8" t="s">
        <v>47165</v>
      </c>
      <c r="E8383" s="8" t="s">
        <v>47166</v>
      </c>
      <c r="F8383" s="8" t="s">
        <v>47167</v>
      </c>
      <c r="G8383" s="6" t="s">
        <v>118</v>
      </c>
      <c r="H8383" s="6" t="s">
        <v>34</v>
      </c>
      <c r="I8383" s="8" t="s">
        <v>504</v>
      </c>
      <c r="J8383" s="9">
        <v>1</v>
      </c>
      <c r="K8383" s="9">
        <v>301</v>
      </c>
      <c r="L8383" s="9">
        <v>2024</v>
      </c>
      <c r="M8383" s="8" t="s">
        <v>47168</v>
      </c>
      <c r="N8383" s="8" t="s">
        <v>37</v>
      </c>
      <c r="O8383" s="8" t="s">
        <v>280</v>
      </c>
      <c r="P8383" s="6" t="s">
        <v>51</v>
      </c>
      <c r="Q8383" s="8" t="s">
        <v>500</v>
      </c>
      <c r="R8383" s="10" t="s">
        <v>1150</v>
      </c>
      <c r="S8383" s="11" t="s">
        <v>47169</v>
      </c>
      <c r="T8383" s="6"/>
      <c r="U8383" s="15" t="str">
        <f>HYPERLINK("https://media.infra-m.ru/2054/2054180/cover/2054180.jpg", "Обложка")</f>
        <v>Обложка</v>
      </c>
      <c r="V8383" s="8" t="s">
        <v>1505</v>
      </c>
      <c r="W8383" s="6"/>
      <c r="X8383" s="6"/>
      <c r="Y8383" s="6"/>
      <c r="Z8383" s="6"/>
      <c r="AA8383" s="6" t="s">
        <v>4554</v>
      </c>
      <c r="AB8383" s="8"/>
      <c r="AC8383" s="27">
        <v>9785160066493</v>
      </c>
    </row>
    <row r="8384" spans="1:29" s="4" customFormat="1" ht="51.9" customHeight="1" x14ac:dyDescent="0.2">
      <c r="A8384" s="5">
        <v>0</v>
      </c>
      <c r="B8384" s="6" t="s">
        <v>47170</v>
      </c>
      <c r="C8384" s="13">
        <v>996</v>
      </c>
      <c r="D8384" s="8" t="s">
        <v>47171</v>
      </c>
      <c r="E8384" s="8" t="s">
        <v>47172</v>
      </c>
      <c r="F8384" s="8" t="s">
        <v>47173</v>
      </c>
      <c r="G8384" s="6" t="s">
        <v>33</v>
      </c>
      <c r="H8384" s="6" t="s">
        <v>34</v>
      </c>
      <c r="I8384" s="8" t="s">
        <v>253</v>
      </c>
      <c r="J8384" s="9">
        <v>1</v>
      </c>
      <c r="K8384" s="9">
        <v>160</v>
      </c>
      <c r="L8384" s="9">
        <v>2025</v>
      </c>
      <c r="M8384" s="8" t="s">
        <v>47174</v>
      </c>
      <c r="N8384" s="8" t="s">
        <v>37</v>
      </c>
      <c r="O8384" s="8" t="s">
        <v>280</v>
      </c>
      <c r="P8384" s="6" t="s">
        <v>306</v>
      </c>
      <c r="Q8384" s="8" t="s">
        <v>52</v>
      </c>
      <c r="R8384" s="10" t="s">
        <v>20445</v>
      </c>
      <c r="S8384" s="11" t="s">
        <v>47175</v>
      </c>
      <c r="T8384" s="6"/>
      <c r="U8384" s="15" t="str">
        <f>HYPERLINK("https://media.infra-m.ru/2187/2187021/cover/2187021.jpg", "Обложка")</f>
        <v>Обложка</v>
      </c>
      <c r="V8384" s="8" t="s">
        <v>3109</v>
      </c>
      <c r="W8384" s="6"/>
      <c r="X8384" s="6"/>
      <c r="Y8384" s="6"/>
      <c r="Z8384" s="6"/>
      <c r="AA8384" s="6" t="s">
        <v>779</v>
      </c>
      <c r="AB8384" s="8"/>
      <c r="AC8384" s="27">
        <v>9785160206578</v>
      </c>
    </row>
    <row r="8385" spans="1:29" s="4" customFormat="1" ht="42" customHeight="1" x14ac:dyDescent="0.2">
      <c r="A8385" s="5">
        <v>0</v>
      </c>
      <c r="B8385" s="6" t="s">
        <v>47176</v>
      </c>
      <c r="C8385" s="13">
        <v>840</v>
      </c>
      <c r="D8385" s="8" t="s">
        <v>47177</v>
      </c>
      <c r="E8385" s="8" t="s">
        <v>47178</v>
      </c>
      <c r="F8385" s="8" t="s">
        <v>47179</v>
      </c>
      <c r="G8385" s="6" t="s">
        <v>33</v>
      </c>
      <c r="H8385" s="6" t="s">
        <v>313</v>
      </c>
      <c r="I8385" s="8" t="s">
        <v>253</v>
      </c>
      <c r="J8385" s="9">
        <v>1</v>
      </c>
      <c r="K8385" s="9">
        <v>154</v>
      </c>
      <c r="L8385" s="9">
        <v>2020</v>
      </c>
      <c r="M8385" s="8" t="s">
        <v>47180</v>
      </c>
      <c r="N8385" s="8" t="s">
        <v>37</v>
      </c>
      <c r="O8385" s="8" t="s">
        <v>280</v>
      </c>
      <c r="P8385" s="6" t="s">
        <v>51</v>
      </c>
      <c r="Q8385" s="8" t="s">
        <v>52</v>
      </c>
      <c r="R8385" s="10" t="s">
        <v>47181</v>
      </c>
      <c r="S8385" s="11"/>
      <c r="T8385" s="6"/>
      <c r="U8385" s="15" t="str">
        <f>HYPERLINK("https://media.infra-m.ru/1946/1946508/cover/1946508.jpg", "Обложка")</f>
        <v>Обложка</v>
      </c>
      <c r="V8385" s="8" t="s">
        <v>47182</v>
      </c>
      <c r="W8385" s="6"/>
      <c r="X8385" s="6"/>
      <c r="Y8385" s="6"/>
      <c r="Z8385" s="6"/>
      <c r="AA8385" s="6" t="s">
        <v>779</v>
      </c>
      <c r="AB8385" s="8"/>
      <c r="AC8385" s="27">
        <v>9785369015643</v>
      </c>
    </row>
    <row r="8386" spans="1:29" s="4" customFormat="1" ht="51.9" customHeight="1" x14ac:dyDescent="0.2">
      <c r="A8386" s="5">
        <v>0</v>
      </c>
      <c r="B8386" s="6" t="s">
        <v>47183</v>
      </c>
      <c r="C8386" s="7">
        <v>1384.8</v>
      </c>
      <c r="D8386" s="8" t="s">
        <v>47184</v>
      </c>
      <c r="E8386" s="8" t="s">
        <v>47185</v>
      </c>
      <c r="F8386" s="8" t="s">
        <v>47186</v>
      </c>
      <c r="G8386" s="6" t="s">
        <v>60</v>
      </c>
      <c r="H8386" s="6" t="s">
        <v>313</v>
      </c>
      <c r="I8386" s="8" t="s">
        <v>253</v>
      </c>
      <c r="J8386" s="9">
        <v>1</v>
      </c>
      <c r="K8386" s="9">
        <v>255</v>
      </c>
      <c r="L8386" s="9">
        <v>2023</v>
      </c>
      <c r="M8386" s="8" t="s">
        <v>47187</v>
      </c>
      <c r="N8386" s="8" t="s">
        <v>37</v>
      </c>
      <c r="O8386" s="8" t="s">
        <v>280</v>
      </c>
      <c r="P8386" s="6" t="s">
        <v>51</v>
      </c>
      <c r="Q8386" s="8" t="s">
        <v>52</v>
      </c>
      <c r="R8386" s="10" t="s">
        <v>30278</v>
      </c>
      <c r="S8386" s="11"/>
      <c r="T8386" s="6"/>
      <c r="U8386" s="15" t="str">
        <f>HYPERLINK("https://media.infra-m.ru/1843/1843613/cover/1843613.jpg", "Обложка")</f>
        <v>Обложка</v>
      </c>
      <c r="V8386" s="8"/>
      <c r="W8386" s="6"/>
      <c r="X8386" s="6"/>
      <c r="Y8386" s="6"/>
      <c r="Z8386" s="6"/>
      <c r="AA8386" s="6" t="s">
        <v>43</v>
      </c>
      <c r="AB8386" s="8"/>
      <c r="AC8386" s="27">
        <v>9785369010617</v>
      </c>
    </row>
    <row r="8387" spans="1:29" s="4" customFormat="1" ht="51.9" customHeight="1" x14ac:dyDescent="0.2">
      <c r="A8387" s="5">
        <v>0</v>
      </c>
      <c r="B8387" s="6" t="s">
        <v>47188</v>
      </c>
      <c r="C8387" s="7">
        <v>2284.8000000000002</v>
      </c>
      <c r="D8387" s="8" t="s">
        <v>47189</v>
      </c>
      <c r="E8387" s="8" t="s">
        <v>47190</v>
      </c>
      <c r="F8387" s="8" t="s">
        <v>47191</v>
      </c>
      <c r="G8387" s="6" t="s">
        <v>60</v>
      </c>
      <c r="H8387" s="6" t="s">
        <v>313</v>
      </c>
      <c r="I8387" s="8" t="s">
        <v>253</v>
      </c>
      <c r="J8387" s="9">
        <v>1</v>
      </c>
      <c r="K8387" s="9">
        <v>328</v>
      </c>
      <c r="L8387" s="9">
        <v>2023</v>
      </c>
      <c r="M8387" s="8" t="s">
        <v>47192</v>
      </c>
      <c r="N8387" s="8" t="s">
        <v>37</v>
      </c>
      <c r="O8387" s="8" t="s">
        <v>280</v>
      </c>
      <c r="P8387" s="6" t="s">
        <v>51</v>
      </c>
      <c r="Q8387" s="8" t="s">
        <v>52</v>
      </c>
      <c r="R8387" s="10" t="s">
        <v>39408</v>
      </c>
      <c r="S8387" s="11" t="s">
        <v>47193</v>
      </c>
      <c r="T8387" s="6"/>
      <c r="U8387" s="15" t="str">
        <f>HYPERLINK("https://media.infra-m.ru/1911/1911802/cover/1911802.jpg", "Обложка")</f>
        <v>Обложка</v>
      </c>
      <c r="V8387" s="8" t="s">
        <v>2854</v>
      </c>
      <c r="W8387" s="6"/>
      <c r="X8387" s="6"/>
      <c r="Y8387" s="6"/>
      <c r="Z8387" s="6"/>
      <c r="AA8387" s="6" t="s">
        <v>360</v>
      </c>
      <c r="AB8387" s="8"/>
      <c r="AC8387" s="27">
        <v>9785369014554</v>
      </c>
    </row>
    <row r="8388" spans="1:29" s="4" customFormat="1" ht="51.9" customHeight="1" x14ac:dyDescent="0.2">
      <c r="A8388" s="5">
        <v>0</v>
      </c>
      <c r="B8388" s="6" t="s">
        <v>47194</v>
      </c>
      <c r="C8388" s="7">
        <v>1236</v>
      </c>
      <c r="D8388" s="8" t="s">
        <v>47195</v>
      </c>
      <c r="E8388" s="8" t="s">
        <v>47196</v>
      </c>
      <c r="F8388" s="8" t="s">
        <v>47197</v>
      </c>
      <c r="G8388" s="6" t="s">
        <v>33</v>
      </c>
      <c r="H8388" s="6" t="s">
        <v>34</v>
      </c>
      <c r="I8388" s="8" t="s">
        <v>35</v>
      </c>
      <c r="J8388" s="9">
        <v>1</v>
      </c>
      <c r="K8388" s="9">
        <v>228</v>
      </c>
      <c r="L8388" s="9">
        <v>2023</v>
      </c>
      <c r="M8388" s="8" t="s">
        <v>47198</v>
      </c>
      <c r="N8388" s="8" t="s">
        <v>37</v>
      </c>
      <c r="O8388" s="8" t="s">
        <v>280</v>
      </c>
      <c r="P8388" s="6" t="s">
        <v>39</v>
      </c>
      <c r="Q8388" s="8" t="s">
        <v>40</v>
      </c>
      <c r="R8388" s="10" t="s">
        <v>1150</v>
      </c>
      <c r="S8388" s="11"/>
      <c r="T8388" s="6"/>
      <c r="U8388" s="15" t="str">
        <f>HYPERLINK("https://media.infra-m.ru/2017/2017325/cover/2017325.jpg", "Обложка")</f>
        <v>Обложка</v>
      </c>
      <c r="V8388" s="8" t="s">
        <v>1505</v>
      </c>
      <c r="W8388" s="6"/>
      <c r="X8388" s="6"/>
      <c r="Y8388" s="6"/>
      <c r="Z8388" s="6"/>
      <c r="AA8388" s="6" t="s">
        <v>129</v>
      </c>
      <c r="AB8388" s="8"/>
      <c r="AC8388" s="27">
        <v>9785160047515</v>
      </c>
    </row>
    <row r="8389" spans="1:29" s="4" customFormat="1" ht="51.9" customHeight="1" x14ac:dyDescent="0.2">
      <c r="A8389" s="5">
        <v>0</v>
      </c>
      <c r="B8389" s="6" t="s">
        <v>47199</v>
      </c>
      <c r="C8389" s="7">
        <v>1336.8</v>
      </c>
      <c r="D8389" s="8" t="s">
        <v>47200</v>
      </c>
      <c r="E8389" s="8" t="s">
        <v>47201</v>
      </c>
      <c r="F8389" s="8" t="s">
        <v>26539</v>
      </c>
      <c r="G8389" s="6" t="s">
        <v>118</v>
      </c>
      <c r="H8389" s="6" t="s">
        <v>34</v>
      </c>
      <c r="I8389" s="8" t="s">
        <v>504</v>
      </c>
      <c r="J8389" s="9">
        <v>1</v>
      </c>
      <c r="K8389" s="9">
        <v>191</v>
      </c>
      <c r="L8389" s="9">
        <v>2027</v>
      </c>
      <c r="M8389" s="8" t="s">
        <v>47202</v>
      </c>
      <c r="N8389" s="8" t="s">
        <v>37</v>
      </c>
      <c r="O8389" s="8" t="s">
        <v>280</v>
      </c>
      <c r="P8389" s="6" t="s">
        <v>51</v>
      </c>
      <c r="Q8389" s="8" t="s">
        <v>500</v>
      </c>
      <c r="R8389" s="10" t="s">
        <v>30278</v>
      </c>
      <c r="S8389" s="11" t="s">
        <v>47203</v>
      </c>
      <c r="T8389" s="6"/>
      <c r="U8389" s="15" t="str">
        <f>HYPERLINK("https://media.infra-m.ru/2253/2253931/cover/2253931.jpg", "Обложка")</f>
        <v>Обложка</v>
      </c>
      <c r="V8389" s="8" t="s">
        <v>2446</v>
      </c>
      <c r="W8389" s="6"/>
      <c r="X8389" s="6"/>
      <c r="Y8389" s="6"/>
      <c r="Z8389" s="6"/>
      <c r="AA8389" s="6" t="s">
        <v>4554</v>
      </c>
      <c r="AB8389" s="8"/>
      <c r="AC8389" s="27">
        <v>9785160106540</v>
      </c>
    </row>
    <row r="8390" spans="1:29" s="4" customFormat="1" ht="51.9" customHeight="1" x14ac:dyDescent="0.2">
      <c r="A8390" s="5">
        <v>0</v>
      </c>
      <c r="B8390" s="6" t="s">
        <v>47204</v>
      </c>
      <c r="C8390" s="7">
        <v>3420</v>
      </c>
      <c r="D8390" s="8" t="s">
        <v>47205</v>
      </c>
      <c r="E8390" s="8" t="s">
        <v>47206</v>
      </c>
      <c r="F8390" s="8" t="s">
        <v>47207</v>
      </c>
      <c r="G8390" s="6" t="s">
        <v>60</v>
      </c>
      <c r="H8390" s="6" t="s">
        <v>5605</v>
      </c>
      <c r="I8390" s="8" t="s">
        <v>253</v>
      </c>
      <c r="J8390" s="9">
        <v>1</v>
      </c>
      <c r="K8390" s="9">
        <v>570</v>
      </c>
      <c r="L8390" s="9">
        <v>2025</v>
      </c>
      <c r="M8390" s="8" t="s">
        <v>47208</v>
      </c>
      <c r="N8390" s="8" t="s">
        <v>37</v>
      </c>
      <c r="O8390" s="8" t="s">
        <v>280</v>
      </c>
      <c r="P8390" s="6" t="s">
        <v>306</v>
      </c>
      <c r="Q8390" s="8" t="s">
        <v>52</v>
      </c>
      <c r="R8390" s="10" t="s">
        <v>47209</v>
      </c>
      <c r="S8390" s="11" t="s">
        <v>47210</v>
      </c>
      <c r="T8390" s="6"/>
      <c r="U8390" s="15" t="str">
        <f>HYPERLINK("https://media.infra-m.ru/2188/2188220/cover/2188220.jpg", "Обложка")</f>
        <v>Обложка</v>
      </c>
      <c r="V8390" s="8" t="s">
        <v>1357</v>
      </c>
      <c r="W8390" s="6"/>
      <c r="X8390" s="6"/>
      <c r="Y8390" s="6"/>
      <c r="Z8390" s="6"/>
      <c r="AA8390" s="6" t="s">
        <v>561</v>
      </c>
      <c r="AB8390" s="8"/>
      <c r="AC8390" s="27">
        <v>9785160035635</v>
      </c>
    </row>
    <row r="8391" spans="1:29" s="4" customFormat="1" ht="51.9" customHeight="1" x14ac:dyDescent="0.2">
      <c r="A8391" s="5">
        <v>0</v>
      </c>
      <c r="B8391" s="6" t="s">
        <v>47211</v>
      </c>
      <c r="C8391" s="7">
        <v>2212.8000000000002</v>
      </c>
      <c r="D8391" s="8" t="s">
        <v>47212</v>
      </c>
      <c r="E8391" s="8" t="s">
        <v>47213</v>
      </c>
      <c r="F8391" s="8" t="s">
        <v>26539</v>
      </c>
      <c r="G8391" s="6" t="s">
        <v>60</v>
      </c>
      <c r="H8391" s="6" t="s">
        <v>5605</v>
      </c>
      <c r="I8391" s="8" t="s">
        <v>253</v>
      </c>
      <c r="J8391" s="9">
        <v>1</v>
      </c>
      <c r="K8391" s="9">
        <v>400</v>
      </c>
      <c r="L8391" s="9">
        <v>2024</v>
      </c>
      <c r="M8391" s="8" t="s">
        <v>47214</v>
      </c>
      <c r="N8391" s="8" t="s">
        <v>37</v>
      </c>
      <c r="O8391" s="8" t="s">
        <v>280</v>
      </c>
      <c r="P8391" s="6" t="s">
        <v>306</v>
      </c>
      <c r="Q8391" s="8" t="s">
        <v>52</v>
      </c>
      <c r="R8391" s="10" t="s">
        <v>36764</v>
      </c>
      <c r="S8391" s="11" t="s">
        <v>47215</v>
      </c>
      <c r="T8391" s="6"/>
      <c r="U8391" s="15" t="str">
        <f>HYPERLINK("https://media.infra-m.ru/2054/2054175/cover/2054175.jpg", "Обложка")</f>
        <v>Обложка</v>
      </c>
      <c r="V8391" s="8" t="s">
        <v>2446</v>
      </c>
      <c r="W8391" s="6"/>
      <c r="X8391" s="6"/>
      <c r="Y8391" s="6"/>
      <c r="Z8391" s="6"/>
      <c r="AA8391" s="6" t="s">
        <v>6584</v>
      </c>
      <c r="AB8391" s="8"/>
      <c r="AC8391" s="27">
        <v>9785160031125</v>
      </c>
    </row>
    <row r="8392" spans="1:29" s="4" customFormat="1" ht="51.9" customHeight="1" x14ac:dyDescent="0.2">
      <c r="A8392" s="5">
        <v>0</v>
      </c>
      <c r="B8392" s="6" t="s">
        <v>47216</v>
      </c>
      <c r="C8392" s="7">
        <v>2020.8</v>
      </c>
      <c r="D8392" s="8" t="s">
        <v>47217</v>
      </c>
      <c r="E8392" s="8" t="s">
        <v>47206</v>
      </c>
      <c r="F8392" s="8" t="s">
        <v>47218</v>
      </c>
      <c r="G8392" s="6" t="s">
        <v>118</v>
      </c>
      <c r="H8392" s="6" t="s">
        <v>1042</v>
      </c>
      <c r="I8392" s="8" t="s">
        <v>263</v>
      </c>
      <c r="J8392" s="9">
        <v>1</v>
      </c>
      <c r="K8392" s="9">
        <v>336</v>
      </c>
      <c r="L8392" s="9">
        <v>2024</v>
      </c>
      <c r="M8392" s="8" t="s">
        <v>47219</v>
      </c>
      <c r="N8392" s="8" t="s">
        <v>37</v>
      </c>
      <c r="O8392" s="8" t="s">
        <v>280</v>
      </c>
      <c r="P8392" s="6" t="s">
        <v>306</v>
      </c>
      <c r="Q8392" s="8" t="s">
        <v>265</v>
      </c>
      <c r="R8392" s="10" t="s">
        <v>47220</v>
      </c>
      <c r="S8392" s="11" t="s">
        <v>2343</v>
      </c>
      <c r="T8392" s="6"/>
      <c r="U8392" s="15" t="str">
        <f>HYPERLINK("https://media.infra-m.ru/2180/2180758/cover/2180758.jpg", "Обложка")</f>
        <v>Обложка</v>
      </c>
      <c r="V8392" s="8" t="s">
        <v>4892</v>
      </c>
      <c r="W8392" s="6"/>
      <c r="X8392" s="6" t="s">
        <v>24</v>
      </c>
      <c r="Y8392" s="6"/>
      <c r="Z8392" s="6"/>
      <c r="AA8392" s="6" t="s">
        <v>949</v>
      </c>
      <c r="AB8392" s="8"/>
      <c r="AC8392" s="27">
        <v>9785819909119</v>
      </c>
    </row>
    <row r="8393" spans="1:29" s="4" customFormat="1" ht="51.9" customHeight="1" x14ac:dyDescent="0.2">
      <c r="A8393" s="5">
        <v>0</v>
      </c>
      <c r="B8393" s="6" t="s">
        <v>47221</v>
      </c>
      <c r="C8393" s="7">
        <v>2080.8000000000002</v>
      </c>
      <c r="D8393" s="8" t="s">
        <v>47222</v>
      </c>
      <c r="E8393" s="8" t="s">
        <v>47213</v>
      </c>
      <c r="F8393" s="8" t="s">
        <v>47223</v>
      </c>
      <c r="G8393" s="6" t="s">
        <v>60</v>
      </c>
      <c r="H8393" s="6" t="s">
        <v>34</v>
      </c>
      <c r="I8393" s="8" t="s">
        <v>263</v>
      </c>
      <c r="J8393" s="9">
        <v>1</v>
      </c>
      <c r="K8393" s="9">
        <v>315</v>
      </c>
      <c r="L8393" s="9">
        <v>2026</v>
      </c>
      <c r="M8393" s="8" t="s">
        <v>47224</v>
      </c>
      <c r="N8393" s="8" t="s">
        <v>37</v>
      </c>
      <c r="O8393" s="8" t="s">
        <v>280</v>
      </c>
      <c r="P8393" s="6" t="s">
        <v>306</v>
      </c>
      <c r="Q8393" s="8" t="s">
        <v>265</v>
      </c>
      <c r="R8393" s="10" t="s">
        <v>47220</v>
      </c>
      <c r="S8393" s="11"/>
      <c r="T8393" s="6"/>
      <c r="U8393" s="15" t="str">
        <f>HYPERLINK("https://media.infra-m.ru/2231/2231707/cover/2231707.jpg", "Обложка")</f>
        <v>Обложка</v>
      </c>
      <c r="V8393" s="8" t="s">
        <v>4892</v>
      </c>
      <c r="W8393" s="6"/>
      <c r="X8393" s="6" t="s">
        <v>24</v>
      </c>
      <c r="Y8393" s="6"/>
      <c r="Z8393" s="6"/>
      <c r="AA8393" s="6" t="s">
        <v>106</v>
      </c>
      <c r="AB8393" s="8"/>
      <c r="AC8393" s="27">
        <v>9785160201238</v>
      </c>
    </row>
    <row r="8394" spans="1:29" s="4" customFormat="1" ht="51.9" customHeight="1" x14ac:dyDescent="0.2">
      <c r="A8394" s="5">
        <v>0</v>
      </c>
      <c r="B8394" s="6" t="s">
        <v>47225</v>
      </c>
      <c r="C8394" s="7">
        <v>1564.8</v>
      </c>
      <c r="D8394" s="8" t="s">
        <v>47226</v>
      </c>
      <c r="E8394" s="8" t="s">
        <v>47206</v>
      </c>
      <c r="F8394" s="8" t="s">
        <v>47227</v>
      </c>
      <c r="G8394" s="6" t="s">
        <v>60</v>
      </c>
      <c r="H8394" s="6" t="s">
        <v>34</v>
      </c>
      <c r="I8394" s="8" t="s">
        <v>271</v>
      </c>
      <c r="J8394" s="9">
        <v>1</v>
      </c>
      <c r="K8394" s="9">
        <v>238</v>
      </c>
      <c r="L8394" s="9">
        <v>2026</v>
      </c>
      <c r="M8394" s="8" t="s">
        <v>47228</v>
      </c>
      <c r="N8394" s="8" t="s">
        <v>37</v>
      </c>
      <c r="O8394" s="8" t="s">
        <v>280</v>
      </c>
      <c r="P8394" s="6" t="s">
        <v>51</v>
      </c>
      <c r="Q8394" s="8" t="s">
        <v>52</v>
      </c>
      <c r="R8394" s="10" t="s">
        <v>47229</v>
      </c>
      <c r="S8394" s="11" t="s">
        <v>47230</v>
      </c>
      <c r="T8394" s="6"/>
      <c r="U8394" s="15" t="str">
        <f>HYPERLINK("https://media.infra-m.ru/2250/2250940/cover/2250940.jpg", "Обложка")</f>
        <v>Обложка</v>
      </c>
      <c r="V8394" s="8" t="s">
        <v>1505</v>
      </c>
      <c r="W8394" s="6"/>
      <c r="X8394" s="6"/>
      <c r="Y8394" s="6"/>
      <c r="Z8394" s="6"/>
      <c r="AA8394" s="6" t="s">
        <v>55</v>
      </c>
      <c r="AB8394" s="8"/>
      <c r="AC8394" s="27">
        <v>9785160061023</v>
      </c>
    </row>
    <row r="8395" spans="1:29" s="4" customFormat="1" ht="51.9" customHeight="1" x14ac:dyDescent="0.2">
      <c r="A8395" s="5">
        <v>0</v>
      </c>
      <c r="B8395" s="6" t="s">
        <v>47231</v>
      </c>
      <c r="C8395" s="7">
        <v>1576.8</v>
      </c>
      <c r="D8395" s="8" t="s">
        <v>47232</v>
      </c>
      <c r="E8395" s="8" t="s">
        <v>47206</v>
      </c>
      <c r="F8395" s="8" t="s">
        <v>47233</v>
      </c>
      <c r="G8395" s="6" t="s">
        <v>60</v>
      </c>
      <c r="H8395" s="6" t="s">
        <v>34</v>
      </c>
      <c r="I8395" s="8" t="s">
        <v>271</v>
      </c>
      <c r="J8395" s="9">
        <v>1</v>
      </c>
      <c r="K8395" s="9">
        <v>237</v>
      </c>
      <c r="L8395" s="9">
        <v>2026</v>
      </c>
      <c r="M8395" s="8" t="s">
        <v>47234</v>
      </c>
      <c r="N8395" s="8" t="s">
        <v>37</v>
      </c>
      <c r="O8395" s="8" t="s">
        <v>280</v>
      </c>
      <c r="P8395" s="6" t="s">
        <v>51</v>
      </c>
      <c r="Q8395" s="8" t="s">
        <v>52</v>
      </c>
      <c r="R8395" s="10" t="s">
        <v>47235</v>
      </c>
      <c r="S8395" s="11" t="s">
        <v>47236</v>
      </c>
      <c r="T8395" s="6"/>
      <c r="U8395" s="15" t="str">
        <f>HYPERLINK("https://media.infra-m.ru/2224/2224160/cover/2224160.jpg", "Обложка")</f>
        <v>Обложка</v>
      </c>
      <c r="V8395" s="8" t="s">
        <v>24133</v>
      </c>
      <c r="W8395" s="6"/>
      <c r="X8395" s="6"/>
      <c r="Y8395" s="6"/>
      <c r="Z8395" s="6"/>
      <c r="AA8395" s="6" t="s">
        <v>43</v>
      </c>
      <c r="AB8395" s="8"/>
      <c r="AC8395" s="27">
        <v>9785160053059</v>
      </c>
    </row>
    <row r="8396" spans="1:29" s="4" customFormat="1" ht="51.9" customHeight="1" x14ac:dyDescent="0.2">
      <c r="A8396" s="5">
        <v>0</v>
      </c>
      <c r="B8396" s="6" t="s">
        <v>47237</v>
      </c>
      <c r="C8396" s="7">
        <v>1840.8</v>
      </c>
      <c r="D8396" s="8" t="s">
        <v>47238</v>
      </c>
      <c r="E8396" s="8" t="s">
        <v>47239</v>
      </c>
      <c r="F8396" s="8" t="s">
        <v>47240</v>
      </c>
      <c r="G8396" s="6" t="s">
        <v>118</v>
      </c>
      <c r="H8396" s="6" t="s">
        <v>34</v>
      </c>
      <c r="I8396" s="8" t="s">
        <v>954</v>
      </c>
      <c r="J8396" s="9">
        <v>1</v>
      </c>
      <c r="K8396" s="9">
        <v>279</v>
      </c>
      <c r="L8396" s="9">
        <v>2026</v>
      </c>
      <c r="M8396" s="8" t="s">
        <v>47241</v>
      </c>
      <c r="N8396" s="8" t="s">
        <v>37</v>
      </c>
      <c r="O8396" s="8" t="s">
        <v>290</v>
      </c>
      <c r="P8396" s="6" t="s">
        <v>51</v>
      </c>
      <c r="Q8396" s="8" t="s">
        <v>65</v>
      </c>
      <c r="R8396" s="10" t="s">
        <v>47242</v>
      </c>
      <c r="S8396" s="11" t="s">
        <v>47243</v>
      </c>
      <c r="T8396" s="6"/>
      <c r="U8396" s="15" t="str">
        <f>HYPERLINK("https://media.infra-m.ru/2244/2244277/cover/2244277.jpg", "Обложка")</f>
        <v>Обложка</v>
      </c>
      <c r="V8396" s="8" t="s">
        <v>958</v>
      </c>
      <c r="W8396" s="6"/>
      <c r="X8396" s="6"/>
      <c r="Y8396" s="6"/>
      <c r="Z8396" s="6"/>
      <c r="AA8396" s="6" t="s">
        <v>115</v>
      </c>
      <c r="AB8396" s="8"/>
      <c r="AC8396" s="27">
        <v>9785160151168</v>
      </c>
    </row>
    <row r="8397" spans="1:29" s="4" customFormat="1" ht="51.9" customHeight="1" x14ac:dyDescent="0.2">
      <c r="A8397" s="5">
        <v>0</v>
      </c>
      <c r="B8397" s="6" t="s">
        <v>47244</v>
      </c>
      <c r="C8397" s="13">
        <v>624</v>
      </c>
      <c r="D8397" s="8" t="s">
        <v>47245</v>
      </c>
      <c r="E8397" s="8" t="s">
        <v>47246</v>
      </c>
      <c r="F8397" s="8" t="s">
        <v>37841</v>
      </c>
      <c r="G8397" s="6" t="s">
        <v>33</v>
      </c>
      <c r="H8397" s="6" t="s">
        <v>34</v>
      </c>
      <c r="I8397" s="8" t="s">
        <v>1753</v>
      </c>
      <c r="J8397" s="9">
        <v>1</v>
      </c>
      <c r="K8397" s="9">
        <v>104</v>
      </c>
      <c r="L8397" s="9">
        <v>2020</v>
      </c>
      <c r="M8397" s="8" t="s">
        <v>47247</v>
      </c>
      <c r="N8397" s="8" t="s">
        <v>37</v>
      </c>
      <c r="O8397" s="8" t="s">
        <v>280</v>
      </c>
      <c r="P8397" s="6" t="s">
        <v>51</v>
      </c>
      <c r="Q8397" s="8" t="s">
        <v>500</v>
      </c>
      <c r="R8397" s="10" t="s">
        <v>47248</v>
      </c>
      <c r="S8397" s="11" t="s">
        <v>47249</v>
      </c>
      <c r="T8397" s="6"/>
      <c r="U8397" s="15" t="str">
        <f>HYPERLINK("https://media.infra-m.ru/0997/0997026/cover/997026.jpg", "Обложка")</f>
        <v>Обложка</v>
      </c>
      <c r="V8397" s="8" t="s">
        <v>247</v>
      </c>
      <c r="W8397" s="6"/>
      <c r="X8397" s="6"/>
      <c r="Y8397" s="6"/>
      <c r="Z8397" s="6"/>
      <c r="AA8397" s="6" t="s">
        <v>86</v>
      </c>
      <c r="AB8397" s="8" t="s">
        <v>2231</v>
      </c>
      <c r="AC8397" s="27">
        <v>9785160146720</v>
      </c>
    </row>
    <row r="8398" spans="1:29" s="4" customFormat="1" ht="51.9" customHeight="1" x14ac:dyDescent="0.2">
      <c r="A8398" s="5">
        <v>0</v>
      </c>
      <c r="B8398" s="6" t="s">
        <v>47250</v>
      </c>
      <c r="C8398" s="7">
        <v>2320.8000000000002</v>
      </c>
      <c r="D8398" s="8" t="s">
        <v>47251</v>
      </c>
      <c r="E8398" s="8" t="s">
        <v>47252</v>
      </c>
      <c r="F8398" s="8" t="s">
        <v>47253</v>
      </c>
      <c r="G8398" s="6" t="s">
        <v>60</v>
      </c>
      <c r="H8398" s="6" t="s">
        <v>34</v>
      </c>
      <c r="I8398" s="8" t="s">
        <v>271</v>
      </c>
      <c r="J8398" s="9">
        <v>1</v>
      </c>
      <c r="K8398" s="9">
        <v>352</v>
      </c>
      <c r="L8398" s="9">
        <v>2026</v>
      </c>
      <c r="M8398" s="8" t="s">
        <v>47254</v>
      </c>
      <c r="N8398" s="8" t="s">
        <v>37</v>
      </c>
      <c r="O8398" s="8" t="s">
        <v>233</v>
      </c>
      <c r="P8398" s="6" t="s">
        <v>306</v>
      </c>
      <c r="Q8398" s="8" t="s">
        <v>52</v>
      </c>
      <c r="R8398" s="10" t="s">
        <v>4087</v>
      </c>
      <c r="S8398" s="11" t="s">
        <v>47255</v>
      </c>
      <c r="T8398" s="6"/>
      <c r="U8398" s="15" t="str">
        <f>HYPERLINK("https://media.infra-m.ru/2243/2243266/cover/2243266.jpg", "Обложка")</f>
        <v>Обложка</v>
      </c>
      <c r="V8398" s="8" t="s">
        <v>47256</v>
      </c>
      <c r="W8398" s="6"/>
      <c r="X8398" s="6"/>
      <c r="Y8398" s="6"/>
      <c r="Z8398" s="6"/>
      <c r="AA8398" s="6" t="s">
        <v>55</v>
      </c>
      <c r="AB8398" s="8"/>
      <c r="AC8398" s="27">
        <v>9785160066479</v>
      </c>
    </row>
    <row r="8399" spans="1:29" s="4" customFormat="1" ht="42" customHeight="1" x14ac:dyDescent="0.2">
      <c r="A8399" s="5">
        <v>0</v>
      </c>
      <c r="B8399" s="6" t="s">
        <v>47257</v>
      </c>
      <c r="C8399" s="7">
        <v>1884</v>
      </c>
      <c r="D8399" s="8" t="s">
        <v>47258</v>
      </c>
      <c r="E8399" s="8" t="s">
        <v>47259</v>
      </c>
      <c r="F8399" s="8" t="s">
        <v>47260</v>
      </c>
      <c r="G8399" s="6" t="s">
        <v>118</v>
      </c>
      <c r="H8399" s="6" t="s">
        <v>34</v>
      </c>
      <c r="I8399" s="8" t="s">
        <v>304</v>
      </c>
      <c r="J8399" s="9">
        <v>1</v>
      </c>
      <c r="K8399" s="9">
        <v>300</v>
      </c>
      <c r="L8399" s="9">
        <v>2026</v>
      </c>
      <c r="M8399" s="8" t="s">
        <v>47261</v>
      </c>
      <c r="N8399" s="8" t="s">
        <v>37</v>
      </c>
      <c r="O8399" s="8" t="s">
        <v>280</v>
      </c>
      <c r="P8399" s="6" t="s">
        <v>306</v>
      </c>
      <c r="Q8399" s="8" t="s">
        <v>52</v>
      </c>
      <c r="R8399" s="10" t="s">
        <v>2134</v>
      </c>
      <c r="S8399" s="11"/>
      <c r="T8399" s="6"/>
      <c r="U8399" s="15" t="str">
        <f>HYPERLINK("https://media.infra-m.ru/2223/2223346/cover/2223346.jpg", "Обложка")</f>
        <v>Обложка</v>
      </c>
      <c r="V8399" s="8" t="s">
        <v>20643</v>
      </c>
      <c r="W8399" s="6"/>
      <c r="X8399" s="6"/>
      <c r="Y8399" s="6"/>
      <c r="Z8399" s="6"/>
      <c r="AA8399" s="6" t="s">
        <v>99</v>
      </c>
      <c r="AB8399" s="8"/>
      <c r="AC8399" s="27">
        <v>9785160213804</v>
      </c>
    </row>
    <row r="8400" spans="1:29" s="4" customFormat="1" ht="51.9" customHeight="1" x14ac:dyDescent="0.2">
      <c r="A8400" s="5">
        <v>0</v>
      </c>
      <c r="B8400" s="6" t="s">
        <v>47262</v>
      </c>
      <c r="C8400" s="7">
        <v>2272.8000000000002</v>
      </c>
      <c r="D8400" s="8" t="s">
        <v>47263</v>
      </c>
      <c r="E8400" s="8" t="s">
        <v>47264</v>
      </c>
      <c r="F8400" s="8" t="s">
        <v>47265</v>
      </c>
      <c r="G8400" s="6" t="s">
        <v>118</v>
      </c>
      <c r="H8400" s="6" t="s">
        <v>34</v>
      </c>
      <c r="I8400" s="8" t="s">
        <v>271</v>
      </c>
      <c r="J8400" s="9">
        <v>1</v>
      </c>
      <c r="K8400" s="9">
        <v>345</v>
      </c>
      <c r="L8400" s="9">
        <v>2026</v>
      </c>
      <c r="M8400" s="8" t="s">
        <v>47266</v>
      </c>
      <c r="N8400" s="8" t="s">
        <v>243</v>
      </c>
      <c r="O8400" s="8" t="s">
        <v>244</v>
      </c>
      <c r="P8400" s="6" t="s">
        <v>51</v>
      </c>
      <c r="Q8400" s="8" t="s">
        <v>52</v>
      </c>
      <c r="R8400" s="10" t="s">
        <v>47267</v>
      </c>
      <c r="S8400" s="11" t="s">
        <v>47268</v>
      </c>
      <c r="T8400" s="6"/>
      <c r="U8400" s="15" t="str">
        <f>HYPERLINK("https://media.infra-m.ru/2244/2244314/cover/2244314.jpg", "Обложка")</f>
        <v>Обложка</v>
      </c>
      <c r="V8400" s="8" t="s">
        <v>445</v>
      </c>
      <c r="W8400" s="6"/>
      <c r="X8400" s="6"/>
      <c r="Y8400" s="6"/>
      <c r="Z8400" s="6"/>
      <c r="AA8400" s="6" t="s">
        <v>115</v>
      </c>
      <c r="AB8400" s="8"/>
      <c r="AC8400" s="27">
        <v>9785160137759</v>
      </c>
    </row>
    <row r="8401" spans="1:29" s="4" customFormat="1" ht="51.9" customHeight="1" x14ac:dyDescent="0.2">
      <c r="A8401" s="5">
        <v>0</v>
      </c>
      <c r="B8401" s="6" t="s">
        <v>47269</v>
      </c>
      <c r="C8401" s="7">
        <v>1864.8</v>
      </c>
      <c r="D8401" s="8" t="s">
        <v>47270</v>
      </c>
      <c r="E8401" s="8" t="s">
        <v>47264</v>
      </c>
      <c r="F8401" s="8" t="s">
        <v>47265</v>
      </c>
      <c r="G8401" s="6" t="s">
        <v>118</v>
      </c>
      <c r="H8401" s="6" t="s">
        <v>34</v>
      </c>
      <c r="I8401" s="8" t="s">
        <v>263</v>
      </c>
      <c r="J8401" s="9">
        <v>1</v>
      </c>
      <c r="K8401" s="9">
        <v>345</v>
      </c>
      <c r="L8401" s="9">
        <v>2023</v>
      </c>
      <c r="M8401" s="8" t="s">
        <v>47271</v>
      </c>
      <c r="N8401" s="8" t="s">
        <v>243</v>
      </c>
      <c r="O8401" s="8" t="s">
        <v>244</v>
      </c>
      <c r="P8401" s="6" t="s">
        <v>51</v>
      </c>
      <c r="Q8401" s="8" t="s">
        <v>265</v>
      </c>
      <c r="R8401" s="10" t="s">
        <v>47272</v>
      </c>
      <c r="S8401" s="11" t="s">
        <v>3949</v>
      </c>
      <c r="T8401" s="6"/>
      <c r="U8401" s="15" t="str">
        <f>HYPERLINK("https://media.infra-m.ru/1989/1989254/cover/1989254.jpg", "Обложка")</f>
        <v>Обложка</v>
      </c>
      <c r="V8401" s="8" t="s">
        <v>445</v>
      </c>
      <c r="W8401" s="6"/>
      <c r="X8401" s="6"/>
      <c r="Y8401" s="6"/>
      <c r="Z8401" s="6" t="s">
        <v>267</v>
      </c>
      <c r="AA8401" s="6" t="s">
        <v>1256</v>
      </c>
      <c r="AB8401" s="8"/>
      <c r="AC8401" s="27">
        <v>9785160156453</v>
      </c>
    </row>
    <row r="8402" spans="1:29" s="4" customFormat="1" ht="51.9" customHeight="1" x14ac:dyDescent="0.2">
      <c r="A8402" s="5">
        <v>0</v>
      </c>
      <c r="B8402" s="6" t="s">
        <v>47273</v>
      </c>
      <c r="C8402" s="7">
        <v>1428</v>
      </c>
      <c r="D8402" s="8" t="s">
        <v>47274</v>
      </c>
      <c r="E8402" s="8" t="s">
        <v>47275</v>
      </c>
      <c r="F8402" s="8" t="s">
        <v>34645</v>
      </c>
      <c r="G8402" s="6" t="s">
        <v>118</v>
      </c>
      <c r="H8402" s="6" t="s">
        <v>34</v>
      </c>
      <c r="I8402" s="8" t="s">
        <v>253</v>
      </c>
      <c r="J8402" s="9">
        <v>1</v>
      </c>
      <c r="K8402" s="9">
        <v>224</v>
      </c>
      <c r="L8402" s="9">
        <v>2025</v>
      </c>
      <c r="M8402" s="8" t="s">
        <v>47276</v>
      </c>
      <c r="N8402" s="8" t="s">
        <v>37</v>
      </c>
      <c r="O8402" s="8" t="s">
        <v>280</v>
      </c>
      <c r="P8402" s="6" t="s">
        <v>51</v>
      </c>
      <c r="Q8402" s="8" t="s">
        <v>52</v>
      </c>
      <c r="R8402" s="10" t="s">
        <v>2053</v>
      </c>
      <c r="S8402" s="11" t="s">
        <v>282</v>
      </c>
      <c r="T8402" s="6" t="s">
        <v>97</v>
      </c>
      <c r="U8402" s="15" t="str">
        <f>HYPERLINK("https://media.infra-m.ru/2207/2207148/cover/2207148.jpg", "Обложка")</f>
        <v>Обложка</v>
      </c>
      <c r="V8402" s="8" t="s">
        <v>6700</v>
      </c>
      <c r="W8402" s="6"/>
      <c r="X8402" s="6"/>
      <c r="Y8402" s="6"/>
      <c r="Z8402" s="6"/>
      <c r="AA8402" s="6" t="s">
        <v>779</v>
      </c>
      <c r="AB8402" s="8"/>
      <c r="AC8402" s="27">
        <v>9785160190532</v>
      </c>
    </row>
    <row r="8403" spans="1:29" s="4" customFormat="1" ht="51.9" customHeight="1" x14ac:dyDescent="0.2">
      <c r="A8403" s="5">
        <v>0</v>
      </c>
      <c r="B8403" s="6" t="s">
        <v>47277</v>
      </c>
      <c r="C8403" s="7">
        <v>1804.8</v>
      </c>
      <c r="D8403" s="8" t="s">
        <v>47278</v>
      </c>
      <c r="E8403" s="8" t="s">
        <v>47279</v>
      </c>
      <c r="F8403" s="8" t="s">
        <v>45780</v>
      </c>
      <c r="G8403" s="6" t="s">
        <v>118</v>
      </c>
      <c r="H8403" s="6" t="s">
        <v>34</v>
      </c>
      <c r="I8403" s="8" t="s">
        <v>253</v>
      </c>
      <c r="J8403" s="9">
        <v>1</v>
      </c>
      <c r="K8403" s="9">
        <v>273</v>
      </c>
      <c r="L8403" s="9">
        <v>2026</v>
      </c>
      <c r="M8403" s="8" t="s">
        <v>47280</v>
      </c>
      <c r="N8403" s="8" t="s">
        <v>37</v>
      </c>
      <c r="O8403" s="8" t="s">
        <v>280</v>
      </c>
      <c r="P8403" s="6" t="s">
        <v>51</v>
      </c>
      <c r="Q8403" s="8" t="s">
        <v>65</v>
      </c>
      <c r="R8403" s="10" t="s">
        <v>2134</v>
      </c>
      <c r="S8403" s="11" t="s">
        <v>282</v>
      </c>
      <c r="T8403" s="6"/>
      <c r="U8403" s="15" t="str">
        <f>HYPERLINK("https://media.infra-m.ru/2251/2251276/cover/2251276.jpg", "Обложка")</f>
        <v>Обложка</v>
      </c>
      <c r="V8403" s="8" t="s">
        <v>20440</v>
      </c>
      <c r="W8403" s="6"/>
      <c r="X8403" s="6"/>
      <c r="Y8403" s="6"/>
      <c r="Z8403" s="6"/>
      <c r="AA8403" s="6" t="s">
        <v>779</v>
      </c>
      <c r="AB8403" s="8"/>
      <c r="AC8403" s="27">
        <v>9785160185859</v>
      </c>
    </row>
    <row r="8404" spans="1:29" s="4" customFormat="1" ht="51.9" customHeight="1" x14ac:dyDescent="0.2">
      <c r="A8404" s="5">
        <v>0</v>
      </c>
      <c r="B8404" s="6" t="s">
        <v>47281</v>
      </c>
      <c r="C8404" s="7">
        <v>2248.8000000000002</v>
      </c>
      <c r="D8404" s="8" t="s">
        <v>47282</v>
      </c>
      <c r="E8404" s="8" t="s">
        <v>47283</v>
      </c>
      <c r="F8404" s="8" t="s">
        <v>641</v>
      </c>
      <c r="G8404" s="6" t="s">
        <v>118</v>
      </c>
      <c r="H8404" s="6" t="s">
        <v>34</v>
      </c>
      <c r="I8404" s="8" t="s">
        <v>253</v>
      </c>
      <c r="J8404" s="9">
        <v>1</v>
      </c>
      <c r="K8404" s="9">
        <v>361</v>
      </c>
      <c r="L8404" s="9">
        <v>2024</v>
      </c>
      <c r="M8404" s="8" t="s">
        <v>47284</v>
      </c>
      <c r="N8404" s="8" t="s">
        <v>37</v>
      </c>
      <c r="O8404" s="8" t="s">
        <v>280</v>
      </c>
      <c r="P8404" s="6" t="s">
        <v>306</v>
      </c>
      <c r="Q8404" s="8" t="s">
        <v>65</v>
      </c>
      <c r="R8404" s="10" t="s">
        <v>47285</v>
      </c>
      <c r="S8404" s="11" t="s">
        <v>6607</v>
      </c>
      <c r="T8404" s="6"/>
      <c r="U8404" s="15" t="str">
        <f>HYPERLINK("https://media.infra-m.ru/2200/2200830/cover/2200830.jpg", "Обложка")</f>
        <v>Обложка</v>
      </c>
      <c r="V8404" s="8" t="s">
        <v>644</v>
      </c>
      <c r="W8404" s="6"/>
      <c r="X8404" s="6"/>
      <c r="Y8404" s="6"/>
      <c r="Z8404" s="6"/>
      <c r="AA8404" s="6" t="s">
        <v>148</v>
      </c>
      <c r="AB8404" s="8"/>
      <c r="AC8404" s="27">
        <v>9785160186580</v>
      </c>
    </row>
    <row r="8405" spans="1:29" s="4" customFormat="1" ht="42" customHeight="1" x14ac:dyDescent="0.2">
      <c r="A8405" s="5">
        <v>0</v>
      </c>
      <c r="B8405" s="6" t="s">
        <v>47286</v>
      </c>
      <c r="C8405" s="7">
        <v>2628</v>
      </c>
      <c r="D8405" s="8" t="s">
        <v>47287</v>
      </c>
      <c r="E8405" s="8" t="s">
        <v>47288</v>
      </c>
      <c r="F8405" s="8" t="s">
        <v>641</v>
      </c>
      <c r="G8405" s="6" t="s">
        <v>60</v>
      </c>
      <c r="H8405" s="6" t="s">
        <v>34</v>
      </c>
      <c r="I8405" s="8" t="s">
        <v>253</v>
      </c>
      <c r="J8405" s="9">
        <v>1</v>
      </c>
      <c r="K8405" s="9">
        <v>362</v>
      </c>
      <c r="L8405" s="9">
        <v>2026</v>
      </c>
      <c r="M8405" s="8" t="s">
        <v>47289</v>
      </c>
      <c r="N8405" s="8" t="s">
        <v>37</v>
      </c>
      <c r="O8405" s="8" t="s">
        <v>280</v>
      </c>
      <c r="P8405" s="6" t="s">
        <v>306</v>
      </c>
      <c r="Q8405" s="8" t="s">
        <v>65</v>
      </c>
      <c r="R8405" s="10" t="s">
        <v>47285</v>
      </c>
      <c r="S8405" s="11"/>
      <c r="T8405" s="6"/>
      <c r="U8405" s="15" t="str">
        <f>HYPERLINK("https://media.infra-m.ru/2239/2239901/cover/2239901.jpg", "Обложка")</f>
        <v>Обложка</v>
      </c>
      <c r="V8405" s="8" t="s">
        <v>644</v>
      </c>
      <c r="W8405" s="6" t="s">
        <v>9380</v>
      </c>
      <c r="X8405" s="6"/>
      <c r="Y8405" s="6"/>
      <c r="Z8405" s="6"/>
      <c r="AA8405" s="6" t="s">
        <v>650</v>
      </c>
      <c r="AB8405" s="8"/>
      <c r="AC8405" s="27">
        <v>9785160218618</v>
      </c>
    </row>
    <row r="8406" spans="1:29" s="4" customFormat="1" ht="51.9" customHeight="1" x14ac:dyDescent="0.2">
      <c r="A8406" s="5">
        <v>0</v>
      </c>
      <c r="B8406" s="6" t="s">
        <v>47290</v>
      </c>
      <c r="C8406" s="7">
        <v>2296.8000000000002</v>
      </c>
      <c r="D8406" s="8" t="s">
        <v>47291</v>
      </c>
      <c r="E8406" s="8" t="s">
        <v>47283</v>
      </c>
      <c r="F8406" s="8" t="s">
        <v>47292</v>
      </c>
      <c r="G8406" s="6" t="s">
        <v>118</v>
      </c>
      <c r="H8406" s="6" t="s">
        <v>34</v>
      </c>
      <c r="I8406" s="8" t="s">
        <v>253</v>
      </c>
      <c r="J8406" s="9">
        <v>1</v>
      </c>
      <c r="K8406" s="9">
        <v>349</v>
      </c>
      <c r="L8406" s="9">
        <v>2026</v>
      </c>
      <c r="M8406" s="8" t="s">
        <v>47293</v>
      </c>
      <c r="N8406" s="8" t="s">
        <v>37</v>
      </c>
      <c r="O8406" s="8" t="s">
        <v>280</v>
      </c>
      <c r="P8406" s="6" t="s">
        <v>306</v>
      </c>
      <c r="Q8406" s="8" t="s">
        <v>52</v>
      </c>
      <c r="R8406" s="10" t="s">
        <v>6076</v>
      </c>
      <c r="S8406" s="11" t="s">
        <v>47294</v>
      </c>
      <c r="T8406" s="6"/>
      <c r="U8406" s="15" t="str">
        <f>HYPERLINK("https://media.infra-m.ru/2243/2243103/cover/2243103.jpg", "Обложка")</f>
        <v>Обложка</v>
      </c>
      <c r="V8406" s="8" t="s">
        <v>47295</v>
      </c>
      <c r="W8406" s="6"/>
      <c r="X8406" s="6"/>
      <c r="Y8406" s="6"/>
      <c r="Z8406" s="6"/>
      <c r="AA8406" s="6" t="s">
        <v>86</v>
      </c>
      <c r="AB8406" s="8"/>
      <c r="AC8406" s="27">
        <v>9785160189789</v>
      </c>
    </row>
    <row r="8407" spans="1:29" s="4" customFormat="1" ht="51.9" customHeight="1" x14ac:dyDescent="0.2">
      <c r="A8407" s="5">
        <v>0</v>
      </c>
      <c r="B8407" s="6" t="s">
        <v>47296</v>
      </c>
      <c r="C8407" s="7">
        <v>1216.8</v>
      </c>
      <c r="D8407" s="8" t="s">
        <v>47297</v>
      </c>
      <c r="E8407" s="8" t="s">
        <v>47283</v>
      </c>
      <c r="F8407" s="8" t="s">
        <v>47298</v>
      </c>
      <c r="G8407" s="6" t="s">
        <v>33</v>
      </c>
      <c r="H8407" s="6" t="s">
        <v>48</v>
      </c>
      <c r="I8407" s="8" t="s">
        <v>401</v>
      </c>
      <c r="J8407" s="9">
        <v>1</v>
      </c>
      <c r="K8407" s="9">
        <v>184</v>
      </c>
      <c r="L8407" s="9">
        <v>2026</v>
      </c>
      <c r="M8407" s="8" t="s">
        <v>47299</v>
      </c>
      <c r="N8407" s="8" t="s">
        <v>37</v>
      </c>
      <c r="O8407" s="8" t="s">
        <v>280</v>
      </c>
      <c r="P8407" s="6" t="s">
        <v>51</v>
      </c>
      <c r="Q8407" s="8" t="s">
        <v>265</v>
      </c>
      <c r="R8407" s="10" t="s">
        <v>47300</v>
      </c>
      <c r="S8407" s="11" t="s">
        <v>560</v>
      </c>
      <c r="T8407" s="6"/>
      <c r="U8407" s="15" t="str">
        <f>HYPERLINK("https://media.infra-m.ru/2233/2233664/cover/2233664.jpg", "Обложка")</f>
        <v>Обложка</v>
      </c>
      <c r="V8407" s="8" t="s">
        <v>1014</v>
      </c>
      <c r="W8407" s="6"/>
      <c r="X8407" s="6"/>
      <c r="Y8407" s="6"/>
      <c r="Z8407" s="6"/>
      <c r="AA8407" s="6" t="s">
        <v>1015</v>
      </c>
      <c r="AB8407" s="8"/>
      <c r="AC8407" s="27">
        <v>9785911343729</v>
      </c>
    </row>
    <row r="8408" spans="1:29" s="4" customFormat="1" ht="51.9" customHeight="1" x14ac:dyDescent="0.2">
      <c r="A8408" s="5">
        <v>0</v>
      </c>
      <c r="B8408" s="6" t="s">
        <v>47301</v>
      </c>
      <c r="C8408" s="7">
        <v>1420.8</v>
      </c>
      <c r="D8408" s="8" t="s">
        <v>47302</v>
      </c>
      <c r="E8408" s="8" t="s">
        <v>47283</v>
      </c>
      <c r="F8408" s="8" t="s">
        <v>47303</v>
      </c>
      <c r="G8408" s="6" t="s">
        <v>60</v>
      </c>
      <c r="H8408" s="6" t="s">
        <v>1042</v>
      </c>
      <c r="I8408" s="8" t="s">
        <v>253</v>
      </c>
      <c r="J8408" s="9">
        <v>1</v>
      </c>
      <c r="K8408" s="9">
        <v>256</v>
      </c>
      <c r="L8408" s="9">
        <v>2024</v>
      </c>
      <c r="M8408" s="8" t="s">
        <v>47304</v>
      </c>
      <c r="N8408" s="8" t="s">
        <v>37</v>
      </c>
      <c r="O8408" s="8" t="s">
        <v>280</v>
      </c>
      <c r="P8408" s="6" t="s">
        <v>306</v>
      </c>
      <c r="Q8408" s="8" t="s">
        <v>52</v>
      </c>
      <c r="R8408" s="10" t="s">
        <v>47305</v>
      </c>
      <c r="S8408" s="11" t="s">
        <v>47306</v>
      </c>
      <c r="T8408" s="6"/>
      <c r="U8408" s="15" t="str">
        <f>HYPERLINK("https://media.infra-m.ru/2056/2056619/cover/2056619.jpg", "Обложка")</f>
        <v>Обложка</v>
      </c>
      <c r="V8408" s="8" t="s">
        <v>1505</v>
      </c>
      <c r="W8408" s="6"/>
      <c r="X8408" s="6"/>
      <c r="Y8408" s="6"/>
      <c r="Z8408" s="6"/>
      <c r="AA8408" s="6" t="s">
        <v>1506</v>
      </c>
      <c r="AB8408" s="8"/>
      <c r="AC8408" s="27">
        <v>9785819903087</v>
      </c>
    </row>
    <row r="8409" spans="1:29" s="4" customFormat="1" ht="51.9" customHeight="1" x14ac:dyDescent="0.2">
      <c r="A8409" s="5">
        <v>0</v>
      </c>
      <c r="B8409" s="6" t="s">
        <v>47307</v>
      </c>
      <c r="C8409" s="7">
        <v>1456.8</v>
      </c>
      <c r="D8409" s="8" t="s">
        <v>47308</v>
      </c>
      <c r="E8409" s="8" t="s">
        <v>47283</v>
      </c>
      <c r="F8409" s="8" t="s">
        <v>47309</v>
      </c>
      <c r="G8409" s="6" t="s">
        <v>118</v>
      </c>
      <c r="H8409" s="6" t="s">
        <v>34</v>
      </c>
      <c r="I8409" s="8" t="s">
        <v>1501</v>
      </c>
      <c r="J8409" s="9">
        <v>1</v>
      </c>
      <c r="K8409" s="9">
        <v>208</v>
      </c>
      <c r="L8409" s="9">
        <v>2026</v>
      </c>
      <c r="M8409" s="8" t="s">
        <v>47310</v>
      </c>
      <c r="N8409" s="8" t="s">
        <v>37</v>
      </c>
      <c r="O8409" s="8" t="s">
        <v>280</v>
      </c>
      <c r="P8409" s="6" t="s">
        <v>51</v>
      </c>
      <c r="Q8409" s="8" t="s">
        <v>749</v>
      </c>
      <c r="R8409" s="10" t="s">
        <v>47311</v>
      </c>
      <c r="S8409" s="11" t="s">
        <v>26149</v>
      </c>
      <c r="T8409" s="6"/>
      <c r="U8409" s="15" t="str">
        <f>HYPERLINK("https://media.infra-m.ru/2253/2253061/cover/2253061.jpg", "Обложка")</f>
        <v>Обложка</v>
      </c>
      <c r="V8409" s="8" t="s">
        <v>2398</v>
      </c>
      <c r="W8409" s="6"/>
      <c r="X8409" s="6"/>
      <c r="Y8409" s="6"/>
      <c r="Z8409" s="6"/>
      <c r="AA8409" s="6" t="s">
        <v>4554</v>
      </c>
      <c r="AB8409" s="8"/>
      <c r="AC8409" s="27">
        <v>9785160023373</v>
      </c>
    </row>
    <row r="8410" spans="1:29" s="4" customFormat="1" ht="51.9" customHeight="1" x14ac:dyDescent="0.2">
      <c r="A8410" s="5">
        <v>0</v>
      </c>
      <c r="B8410" s="6" t="s">
        <v>47312</v>
      </c>
      <c r="C8410" s="7">
        <v>1656</v>
      </c>
      <c r="D8410" s="8" t="s">
        <v>47313</v>
      </c>
      <c r="E8410" s="8" t="s">
        <v>47314</v>
      </c>
      <c r="F8410" s="8" t="s">
        <v>45780</v>
      </c>
      <c r="G8410" s="6" t="s">
        <v>33</v>
      </c>
      <c r="H8410" s="6" t="s">
        <v>34</v>
      </c>
      <c r="I8410" s="8" t="s">
        <v>35</v>
      </c>
      <c r="J8410" s="9">
        <v>1</v>
      </c>
      <c r="K8410" s="9">
        <v>300</v>
      </c>
      <c r="L8410" s="9">
        <v>2024</v>
      </c>
      <c r="M8410" s="8" t="s">
        <v>47315</v>
      </c>
      <c r="N8410" s="8" t="s">
        <v>37</v>
      </c>
      <c r="O8410" s="8" t="s">
        <v>280</v>
      </c>
      <c r="P8410" s="6" t="s">
        <v>39</v>
      </c>
      <c r="Q8410" s="8" t="s">
        <v>40</v>
      </c>
      <c r="R8410" s="10" t="s">
        <v>2061</v>
      </c>
      <c r="S8410" s="11"/>
      <c r="T8410" s="6"/>
      <c r="U8410" s="15" t="str">
        <f>HYPERLINK("https://media.infra-m.ru/2102/2102184/cover/2102184.jpg", "Обложка")</f>
        <v>Обложка</v>
      </c>
      <c r="V8410" s="8" t="s">
        <v>20440</v>
      </c>
      <c r="W8410" s="6"/>
      <c r="X8410" s="6"/>
      <c r="Y8410" s="6"/>
      <c r="Z8410" s="6"/>
      <c r="AA8410" s="6" t="s">
        <v>55</v>
      </c>
      <c r="AB8410" s="8"/>
      <c r="AC8410" s="27">
        <v>9785160063836</v>
      </c>
    </row>
    <row r="8411" spans="1:29" s="4" customFormat="1" ht="51.9" customHeight="1" x14ac:dyDescent="0.2">
      <c r="A8411" s="5">
        <v>0</v>
      </c>
      <c r="B8411" s="6" t="s">
        <v>47316</v>
      </c>
      <c r="C8411" s="7">
        <v>1108.8</v>
      </c>
      <c r="D8411" s="8" t="s">
        <v>47317</v>
      </c>
      <c r="E8411" s="8" t="s">
        <v>47318</v>
      </c>
      <c r="F8411" s="8" t="s">
        <v>47319</v>
      </c>
      <c r="G8411" s="6" t="s">
        <v>60</v>
      </c>
      <c r="H8411" s="6" t="s">
        <v>34</v>
      </c>
      <c r="I8411" s="8" t="s">
        <v>35</v>
      </c>
      <c r="J8411" s="9">
        <v>1</v>
      </c>
      <c r="K8411" s="9">
        <v>200</v>
      </c>
      <c r="L8411" s="9">
        <v>2024</v>
      </c>
      <c r="M8411" s="8" t="s">
        <v>47320</v>
      </c>
      <c r="N8411" s="8" t="s">
        <v>37</v>
      </c>
      <c r="O8411" s="8" t="s">
        <v>280</v>
      </c>
      <c r="P8411" s="6" t="s">
        <v>39</v>
      </c>
      <c r="Q8411" s="8" t="s">
        <v>40</v>
      </c>
      <c r="R8411" s="10" t="s">
        <v>47321</v>
      </c>
      <c r="S8411" s="11"/>
      <c r="T8411" s="6" t="s">
        <v>97</v>
      </c>
      <c r="U8411" s="15" t="str">
        <f>HYPERLINK("https://media.infra-m.ru/2117/2117145/cover/2117145.jpg", "Обложка")</f>
        <v>Обложка</v>
      </c>
      <c r="V8411" s="8" t="s">
        <v>396</v>
      </c>
      <c r="W8411" s="6"/>
      <c r="X8411" s="6"/>
      <c r="Y8411" s="6"/>
      <c r="Z8411" s="6"/>
      <c r="AA8411" s="6" t="s">
        <v>779</v>
      </c>
      <c r="AB8411" s="8"/>
      <c r="AC8411" s="27">
        <v>9785160117898</v>
      </c>
    </row>
    <row r="8412" spans="1:29" s="4" customFormat="1" ht="44.1" customHeight="1" x14ac:dyDescent="0.2">
      <c r="A8412" s="5">
        <v>0</v>
      </c>
      <c r="B8412" s="6" t="s">
        <v>47322</v>
      </c>
      <c r="C8412" s="7">
        <v>2860.8</v>
      </c>
      <c r="D8412" s="8" t="s">
        <v>47323</v>
      </c>
      <c r="E8412" s="8" t="s">
        <v>47324</v>
      </c>
      <c r="F8412" s="8" t="s">
        <v>47325</v>
      </c>
      <c r="G8412" s="6" t="s">
        <v>60</v>
      </c>
      <c r="H8412" s="6" t="s">
        <v>34</v>
      </c>
      <c r="I8412" s="8" t="s">
        <v>35</v>
      </c>
      <c r="J8412" s="9">
        <v>1</v>
      </c>
      <c r="K8412" s="9">
        <v>410</v>
      </c>
      <c r="L8412" s="9">
        <v>2026</v>
      </c>
      <c r="M8412" s="8" t="s">
        <v>47326</v>
      </c>
      <c r="N8412" s="8" t="s">
        <v>37</v>
      </c>
      <c r="O8412" s="8" t="s">
        <v>280</v>
      </c>
      <c r="P8412" s="6" t="s">
        <v>39</v>
      </c>
      <c r="Q8412" s="8" t="s">
        <v>40</v>
      </c>
      <c r="R8412" s="10" t="s">
        <v>2053</v>
      </c>
      <c r="S8412" s="11"/>
      <c r="T8412" s="6"/>
      <c r="U8412" s="15" t="str">
        <f>HYPERLINK("https://media.infra-m.ru/2262/2262021/cover/2262021.jpg", "Обложка")</f>
        <v>Обложка</v>
      </c>
      <c r="V8412" s="8" t="s">
        <v>3304</v>
      </c>
      <c r="W8412" s="6"/>
      <c r="X8412" s="6"/>
      <c r="Y8412" s="6"/>
      <c r="Z8412" s="6"/>
      <c r="AA8412" s="6" t="s">
        <v>86</v>
      </c>
      <c r="AB8412" s="8"/>
      <c r="AC8412" s="27">
        <v>9785160136066</v>
      </c>
    </row>
    <row r="8413" spans="1:29" s="4" customFormat="1" ht="51.9" customHeight="1" x14ac:dyDescent="0.2">
      <c r="A8413" s="5">
        <v>0</v>
      </c>
      <c r="B8413" s="6" t="s">
        <v>47327</v>
      </c>
      <c r="C8413" s="7">
        <v>1240.8</v>
      </c>
      <c r="D8413" s="8" t="s">
        <v>47328</v>
      </c>
      <c r="E8413" s="8" t="s">
        <v>47329</v>
      </c>
      <c r="F8413" s="8" t="s">
        <v>47330</v>
      </c>
      <c r="G8413" s="6" t="s">
        <v>33</v>
      </c>
      <c r="H8413" s="6" t="s">
        <v>34</v>
      </c>
      <c r="I8413" s="8" t="s">
        <v>271</v>
      </c>
      <c r="J8413" s="9">
        <v>1</v>
      </c>
      <c r="K8413" s="9">
        <v>188</v>
      </c>
      <c r="L8413" s="9">
        <v>2026</v>
      </c>
      <c r="M8413" s="8" t="s">
        <v>47331</v>
      </c>
      <c r="N8413" s="8" t="s">
        <v>37</v>
      </c>
      <c r="O8413" s="8" t="s">
        <v>280</v>
      </c>
      <c r="P8413" s="6" t="s">
        <v>306</v>
      </c>
      <c r="Q8413" s="8" t="s">
        <v>52</v>
      </c>
      <c r="R8413" s="10" t="s">
        <v>2820</v>
      </c>
      <c r="S8413" s="11" t="s">
        <v>47332</v>
      </c>
      <c r="T8413" s="6"/>
      <c r="U8413" s="15" t="str">
        <f>HYPERLINK("https://media.infra-m.ru/2195/2195011/cover/2195011.jpg", "Обложка")</f>
        <v>Обложка</v>
      </c>
      <c r="V8413" s="8" t="s">
        <v>1030</v>
      </c>
      <c r="W8413" s="6"/>
      <c r="X8413" s="6"/>
      <c r="Y8413" s="6"/>
      <c r="Z8413" s="6"/>
      <c r="AA8413" s="6" t="s">
        <v>274</v>
      </c>
      <c r="AB8413" s="8"/>
      <c r="AC8413" s="27">
        <v>9785160108971</v>
      </c>
    </row>
    <row r="8414" spans="1:29" s="4" customFormat="1" ht="42" customHeight="1" x14ac:dyDescent="0.2">
      <c r="A8414" s="5">
        <v>0</v>
      </c>
      <c r="B8414" s="6" t="s">
        <v>47333</v>
      </c>
      <c r="C8414" s="7">
        <v>1708.8</v>
      </c>
      <c r="D8414" s="8" t="s">
        <v>47334</v>
      </c>
      <c r="E8414" s="8" t="s">
        <v>47335</v>
      </c>
      <c r="F8414" s="8" t="s">
        <v>47336</v>
      </c>
      <c r="G8414" s="6" t="s">
        <v>60</v>
      </c>
      <c r="H8414" s="6" t="s">
        <v>34</v>
      </c>
      <c r="I8414" s="8" t="s">
        <v>35</v>
      </c>
      <c r="J8414" s="9">
        <v>1</v>
      </c>
      <c r="K8414" s="9">
        <v>284</v>
      </c>
      <c r="L8414" s="9">
        <v>2025</v>
      </c>
      <c r="M8414" s="8" t="s">
        <v>47337</v>
      </c>
      <c r="N8414" s="8" t="s">
        <v>37</v>
      </c>
      <c r="O8414" s="8" t="s">
        <v>280</v>
      </c>
      <c r="P8414" s="6" t="s">
        <v>39</v>
      </c>
      <c r="Q8414" s="8" t="s">
        <v>40</v>
      </c>
      <c r="R8414" s="10" t="s">
        <v>5331</v>
      </c>
      <c r="S8414" s="11"/>
      <c r="T8414" s="6"/>
      <c r="U8414" s="15" t="str">
        <f>HYPERLINK("https://media.infra-m.ru/2163/2163070/cover/2163070.jpg", "Обложка")</f>
        <v>Обложка</v>
      </c>
      <c r="V8414" s="8" t="s">
        <v>3177</v>
      </c>
      <c r="W8414" s="6"/>
      <c r="X8414" s="6"/>
      <c r="Y8414" s="6"/>
      <c r="Z8414" s="6"/>
      <c r="AA8414" s="6" t="s">
        <v>157</v>
      </c>
      <c r="AB8414" s="8"/>
      <c r="AC8414" s="27">
        <v>9785160181264</v>
      </c>
    </row>
    <row r="8415" spans="1:29" s="4" customFormat="1" ht="44.1" customHeight="1" x14ac:dyDescent="0.2">
      <c r="A8415" s="5">
        <v>0</v>
      </c>
      <c r="B8415" s="6" t="s">
        <v>47338</v>
      </c>
      <c r="C8415" s="7">
        <v>1001.9</v>
      </c>
      <c r="D8415" s="8" t="s">
        <v>47339</v>
      </c>
      <c r="E8415" s="8" t="s">
        <v>47340</v>
      </c>
      <c r="F8415" s="8" t="s">
        <v>47341</v>
      </c>
      <c r="G8415" s="6" t="s">
        <v>60</v>
      </c>
      <c r="H8415" s="6" t="s">
        <v>34</v>
      </c>
      <c r="I8415" s="8" t="s">
        <v>35</v>
      </c>
      <c r="J8415" s="9">
        <v>1</v>
      </c>
      <c r="K8415" s="9">
        <v>213</v>
      </c>
      <c r="L8415" s="9">
        <v>2022</v>
      </c>
      <c r="M8415" s="8" t="s">
        <v>47342</v>
      </c>
      <c r="N8415" s="8" t="s">
        <v>37</v>
      </c>
      <c r="O8415" s="8" t="s">
        <v>280</v>
      </c>
      <c r="P8415" s="6" t="s">
        <v>39</v>
      </c>
      <c r="Q8415" s="8" t="s">
        <v>40</v>
      </c>
      <c r="R8415" s="10" t="s">
        <v>47343</v>
      </c>
      <c r="S8415" s="11" t="s">
        <v>47344</v>
      </c>
      <c r="T8415" s="6"/>
      <c r="U8415" s="15" t="str">
        <f>HYPERLINK("https://media.infra-m.ru/1859/1859041/cover/1859041.jpg", "Обложка")</f>
        <v>Обложка</v>
      </c>
      <c r="V8415" s="8" t="s">
        <v>1206</v>
      </c>
      <c r="W8415" s="6"/>
      <c r="X8415" s="6"/>
      <c r="Y8415" s="6"/>
      <c r="Z8415" s="6"/>
      <c r="AA8415" s="6" t="s">
        <v>874</v>
      </c>
      <c r="AB8415" s="8"/>
      <c r="AC8415" s="27">
        <v>9785160107363</v>
      </c>
    </row>
    <row r="8416" spans="1:29" s="4" customFormat="1" ht="51.9" customHeight="1" x14ac:dyDescent="0.2">
      <c r="A8416" s="5">
        <v>0</v>
      </c>
      <c r="B8416" s="6" t="s">
        <v>47345</v>
      </c>
      <c r="C8416" s="7">
        <v>2116.8000000000002</v>
      </c>
      <c r="D8416" s="8" t="s">
        <v>47346</v>
      </c>
      <c r="E8416" s="8" t="s">
        <v>47347</v>
      </c>
      <c r="F8416" s="8" t="s">
        <v>47348</v>
      </c>
      <c r="G8416" s="6" t="s">
        <v>60</v>
      </c>
      <c r="H8416" s="6" t="s">
        <v>820</v>
      </c>
      <c r="I8416" s="8"/>
      <c r="J8416" s="9">
        <v>1</v>
      </c>
      <c r="K8416" s="9">
        <v>304</v>
      </c>
      <c r="L8416" s="9">
        <v>2027</v>
      </c>
      <c r="M8416" s="8" t="s">
        <v>47349</v>
      </c>
      <c r="N8416" s="8" t="s">
        <v>37</v>
      </c>
      <c r="O8416" s="8" t="s">
        <v>280</v>
      </c>
      <c r="P8416" s="6" t="s">
        <v>51</v>
      </c>
      <c r="Q8416" s="8" t="s">
        <v>52</v>
      </c>
      <c r="R8416" s="10" t="s">
        <v>47350</v>
      </c>
      <c r="S8416" s="11" t="s">
        <v>7700</v>
      </c>
      <c r="T8416" s="6"/>
      <c r="U8416" s="15" t="str">
        <f>HYPERLINK("https://media.infra-m.ru/2263/2263554/cover/2263554.jpg", "Обложка")</f>
        <v>Обложка</v>
      </c>
      <c r="V8416" s="8" t="s">
        <v>1425</v>
      </c>
      <c r="W8416" s="6"/>
      <c r="X8416" s="6"/>
      <c r="Y8416" s="6"/>
      <c r="Z8416" s="6"/>
      <c r="AA8416" s="6" t="s">
        <v>43</v>
      </c>
      <c r="AB8416" s="8"/>
      <c r="AC8416" s="27">
        <v>9785905554124</v>
      </c>
    </row>
    <row r="8417" spans="1:29" s="4" customFormat="1" ht="51.9" customHeight="1" x14ac:dyDescent="0.2">
      <c r="A8417" s="5">
        <v>0</v>
      </c>
      <c r="B8417" s="6" t="s">
        <v>47351</v>
      </c>
      <c r="C8417" s="7">
        <v>1696.8</v>
      </c>
      <c r="D8417" s="8" t="s">
        <v>47352</v>
      </c>
      <c r="E8417" s="8" t="s">
        <v>47353</v>
      </c>
      <c r="F8417" s="8" t="s">
        <v>47354</v>
      </c>
      <c r="G8417" s="6" t="s">
        <v>60</v>
      </c>
      <c r="H8417" s="6" t="s">
        <v>34</v>
      </c>
      <c r="I8417" s="8" t="s">
        <v>271</v>
      </c>
      <c r="J8417" s="9">
        <v>1</v>
      </c>
      <c r="K8417" s="9">
        <v>272</v>
      </c>
      <c r="L8417" s="9">
        <v>2025</v>
      </c>
      <c r="M8417" s="8" t="s">
        <v>47355</v>
      </c>
      <c r="N8417" s="8" t="s">
        <v>37</v>
      </c>
      <c r="O8417" s="8" t="s">
        <v>280</v>
      </c>
      <c r="P8417" s="6" t="s">
        <v>51</v>
      </c>
      <c r="Q8417" s="8" t="s">
        <v>52</v>
      </c>
      <c r="R8417" s="10" t="s">
        <v>3013</v>
      </c>
      <c r="S8417" s="11" t="s">
        <v>47356</v>
      </c>
      <c r="T8417" s="6" t="s">
        <v>97</v>
      </c>
      <c r="U8417" s="15" t="str">
        <f>HYPERLINK("https://media.infra-m.ru/2195/2195961/cover/2195961.jpg", "Обложка")</f>
        <v>Обложка</v>
      </c>
      <c r="V8417" s="8" t="s">
        <v>867</v>
      </c>
      <c r="W8417" s="6"/>
      <c r="X8417" s="6"/>
      <c r="Y8417" s="6"/>
      <c r="Z8417" s="6"/>
      <c r="AA8417" s="6" t="s">
        <v>779</v>
      </c>
      <c r="AB8417" s="8"/>
      <c r="AC8417" s="27">
        <v>9785160114071</v>
      </c>
    </row>
    <row r="8418" spans="1:29" s="4" customFormat="1" ht="42" customHeight="1" x14ac:dyDescent="0.2">
      <c r="A8418" s="5">
        <v>0</v>
      </c>
      <c r="B8418" s="6" t="s">
        <v>47357</v>
      </c>
      <c r="C8418" s="7">
        <v>2548.8000000000002</v>
      </c>
      <c r="D8418" s="8" t="s">
        <v>47358</v>
      </c>
      <c r="E8418" s="8" t="s">
        <v>47359</v>
      </c>
      <c r="F8418" s="8" t="s">
        <v>47360</v>
      </c>
      <c r="G8418" s="6" t="s">
        <v>60</v>
      </c>
      <c r="H8418" s="6" t="s">
        <v>34</v>
      </c>
      <c r="I8418" s="8" t="s">
        <v>253</v>
      </c>
      <c r="J8418" s="9">
        <v>1</v>
      </c>
      <c r="K8418" s="9">
        <v>366</v>
      </c>
      <c r="L8418" s="9">
        <v>2026</v>
      </c>
      <c r="M8418" s="8" t="s">
        <v>47361</v>
      </c>
      <c r="N8418" s="8" t="s">
        <v>37</v>
      </c>
      <c r="O8418" s="8" t="s">
        <v>233</v>
      </c>
      <c r="P8418" s="6" t="s">
        <v>306</v>
      </c>
      <c r="Q8418" s="8" t="s">
        <v>65</v>
      </c>
      <c r="R8418" s="10" t="s">
        <v>19207</v>
      </c>
      <c r="S8418" s="11"/>
      <c r="T8418" s="6"/>
      <c r="U8418" s="15" t="str">
        <f>HYPERLINK("https://media.infra-m.ru/2255/2255176/cover/2255176.jpg", "Обложка")</f>
        <v>Обложка</v>
      </c>
      <c r="V8418" s="8" t="s">
        <v>24751</v>
      </c>
      <c r="W8418" s="6"/>
      <c r="X8418" s="6"/>
      <c r="Y8418" s="6"/>
      <c r="Z8418" s="6"/>
      <c r="AA8418" s="6" t="s">
        <v>76</v>
      </c>
      <c r="AB8418" s="8"/>
      <c r="AC8418" s="27">
        <v>9785160188119</v>
      </c>
    </row>
    <row r="8419" spans="1:29" s="4" customFormat="1" ht="51.9" customHeight="1" x14ac:dyDescent="0.2">
      <c r="A8419" s="5">
        <v>0</v>
      </c>
      <c r="B8419" s="6" t="s">
        <v>47362</v>
      </c>
      <c r="C8419" s="7">
        <v>1608</v>
      </c>
      <c r="D8419" s="8" t="s">
        <v>47363</v>
      </c>
      <c r="E8419" s="8" t="s">
        <v>47364</v>
      </c>
      <c r="F8419" s="8" t="s">
        <v>47365</v>
      </c>
      <c r="G8419" s="6" t="s">
        <v>33</v>
      </c>
      <c r="H8419" s="6" t="s">
        <v>34</v>
      </c>
      <c r="I8419" s="8" t="s">
        <v>35</v>
      </c>
      <c r="J8419" s="9">
        <v>1</v>
      </c>
      <c r="K8419" s="9">
        <v>243</v>
      </c>
      <c r="L8419" s="9">
        <v>2026</v>
      </c>
      <c r="M8419" s="8" t="s">
        <v>47366</v>
      </c>
      <c r="N8419" s="8" t="s">
        <v>37</v>
      </c>
      <c r="O8419" s="8" t="s">
        <v>280</v>
      </c>
      <c r="P8419" s="6" t="s">
        <v>39</v>
      </c>
      <c r="Q8419" s="8" t="s">
        <v>40</v>
      </c>
      <c r="R8419" s="10" t="s">
        <v>47367</v>
      </c>
      <c r="S8419" s="11"/>
      <c r="T8419" s="6"/>
      <c r="U8419" s="15" t="str">
        <f>HYPERLINK("https://media.infra-m.ru/2244/2244295/cover/2244295.jpg", "Обложка")</f>
        <v>Обложка</v>
      </c>
      <c r="V8419" s="8" t="s">
        <v>19113</v>
      </c>
      <c r="W8419" s="6"/>
      <c r="X8419" s="6"/>
      <c r="Y8419" s="6"/>
      <c r="Z8419" s="6"/>
      <c r="AA8419" s="6" t="s">
        <v>157</v>
      </c>
      <c r="AB8419" s="8"/>
      <c r="AC8419" s="27">
        <v>9785160179728</v>
      </c>
    </row>
    <row r="8420" spans="1:29" s="4" customFormat="1" ht="51.9" customHeight="1" x14ac:dyDescent="0.2">
      <c r="A8420" s="5">
        <v>0</v>
      </c>
      <c r="B8420" s="6" t="s">
        <v>47368</v>
      </c>
      <c r="C8420" s="13">
        <v>833.9</v>
      </c>
      <c r="D8420" s="8" t="s">
        <v>47369</v>
      </c>
      <c r="E8420" s="8" t="s">
        <v>47370</v>
      </c>
      <c r="F8420" s="8" t="s">
        <v>47371</v>
      </c>
      <c r="G8420" s="6" t="s">
        <v>60</v>
      </c>
      <c r="H8420" s="6" t="s">
        <v>1644</v>
      </c>
      <c r="I8420" s="8"/>
      <c r="J8420" s="9">
        <v>1</v>
      </c>
      <c r="K8420" s="9">
        <v>238</v>
      </c>
      <c r="L8420" s="9">
        <v>2017</v>
      </c>
      <c r="M8420" s="8" t="s">
        <v>47372</v>
      </c>
      <c r="N8420" s="8" t="s">
        <v>37</v>
      </c>
      <c r="O8420" s="8" t="s">
        <v>280</v>
      </c>
      <c r="P8420" s="6" t="s">
        <v>51</v>
      </c>
      <c r="Q8420" s="8" t="s">
        <v>52</v>
      </c>
      <c r="R8420" s="10" t="s">
        <v>47373</v>
      </c>
      <c r="S8420" s="11"/>
      <c r="T8420" s="6"/>
      <c r="U8420" s="15" t="str">
        <f>HYPERLINK("https://media.infra-m.ru/0882/0882670/cover/882670.jpg", "Обложка")</f>
        <v>Обложка</v>
      </c>
      <c r="V8420" s="8" t="s">
        <v>396</v>
      </c>
      <c r="W8420" s="6"/>
      <c r="X8420" s="6"/>
      <c r="Y8420" s="6"/>
      <c r="Z8420" s="6"/>
      <c r="AA8420" s="6" t="s">
        <v>1015</v>
      </c>
      <c r="AB8420" s="8"/>
      <c r="AC8420" s="27">
        <v>9785977601382</v>
      </c>
    </row>
    <row r="8421" spans="1:29" s="4" customFormat="1" ht="51.9" customHeight="1" x14ac:dyDescent="0.2">
      <c r="A8421" s="5">
        <v>0</v>
      </c>
      <c r="B8421" s="6" t="s">
        <v>47374</v>
      </c>
      <c r="C8421" s="7">
        <v>1060.8</v>
      </c>
      <c r="D8421" s="8" t="s">
        <v>47375</v>
      </c>
      <c r="E8421" s="8" t="s">
        <v>47376</v>
      </c>
      <c r="F8421" s="8" t="s">
        <v>47377</v>
      </c>
      <c r="G8421" s="6" t="s">
        <v>33</v>
      </c>
      <c r="H8421" s="6" t="s">
        <v>1644</v>
      </c>
      <c r="I8421" s="8"/>
      <c r="J8421" s="9">
        <v>1</v>
      </c>
      <c r="K8421" s="9">
        <v>192</v>
      </c>
      <c r="L8421" s="9">
        <v>2024</v>
      </c>
      <c r="M8421" s="8" t="s">
        <v>47378</v>
      </c>
      <c r="N8421" s="8" t="s">
        <v>37</v>
      </c>
      <c r="O8421" s="8" t="s">
        <v>280</v>
      </c>
      <c r="P8421" s="6" t="s">
        <v>51</v>
      </c>
      <c r="Q8421" s="8" t="s">
        <v>52</v>
      </c>
      <c r="R8421" s="10" t="s">
        <v>47379</v>
      </c>
      <c r="S8421" s="11"/>
      <c r="T8421" s="6"/>
      <c r="U8421" s="15" t="str">
        <f>HYPERLINK("https://media.infra-m.ru/2102/2102170/cover/2102170.jpg", "Обложка")</f>
        <v>Обложка</v>
      </c>
      <c r="V8421" s="8" t="s">
        <v>1768</v>
      </c>
      <c r="W8421" s="6"/>
      <c r="X8421" s="6"/>
      <c r="Y8421" s="6"/>
      <c r="Z8421" s="6"/>
      <c r="AA8421" s="6" t="s">
        <v>55</v>
      </c>
      <c r="AB8421" s="8"/>
      <c r="AC8421" s="27">
        <v>9785977602693</v>
      </c>
    </row>
    <row r="8422" spans="1:29" s="4" customFormat="1" ht="51.9" customHeight="1" x14ac:dyDescent="0.2">
      <c r="A8422" s="5">
        <v>0</v>
      </c>
      <c r="B8422" s="6" t="s">
        <v>47380</v>
      </c>
      <c r="C8422" s="7">
        <v>1068</v>
      </c>
      <c r="D8422" s="8" t="s">
        <v>47381</v>
      </c>
      <c r="E8422" s="8" t="s">
        <v>47382</v>
      </c>
      <c r="F8422" s="8" t="s">
        <v>47383</v>
      </c>
      <c r="G8422" s="6" t="s">
        <v>118</v>
      </c>
      <c r="H8422" s="6" t="s">
        <v>34</v>
      </c>
      <c r="I8422" s="8" t="s">
        <v>253</v>
      </c>
      <c r="J8422" s="9">
        <v>1</v>
      </c>
      <c r="K8422" s="9">
        <v>153</v>
      </c>
      <c r="L8422" s="9">
        <v>2026</v>
      </c>
      <c r="M8422" s="8" t="s">
        <v>47384</v>
      </c>
      <c r="N8422" s="8" t="s">
        <v>37</v>
      </c>
      <c r="O8422" s="8" t="s">
        <v>280</v>
      </c>
      <c r="P8422" s="6" t="s">
        <v>306</v>
      </c>
      <c r="Q8422" s="8" t="s">
        <v>52</v>
      </c>
      <c r="R8422" s="10" t="s">
        <v>1503</v>
      </c>
      <c r="S8422" s="11" t="s">
        <v>47385</v>
      </c>
      <c r="T8422" s="6"/>
      <c r="U8422" s="15" t="str">
        <f>HYPERLINK("https://media.infra-m.ru/2258/2258698/cover/2258698.jpg", "Обложка")</f>
        <v>Обложка</v>
      </c>
      <c r="V8422" s="8" t="s">
        <v>3177</v>
      </c>
      <c r="W8422" s="6"/>
      <c r="X8422" s="6"/>
      <c r="Y8422" s="6"/>
      <c r="Z8422" s="6"/>
      <c r="AA8422" s="6" t="s">
        <v>274</v>
      </c>
      <c r="AB8422" s="8"/>
      <c r="AC8422" s="27">
        <v>9785160222394</v>
      </c>
    </row>
    <row r="8423" spans="1:29" s="4" customFormat="1" ht="51.9" customHeight="1" x14ac:dyDescent="0.2">
      <c r="A8423" s="5">
        <v>0</v>
      </c>
      <c r="B8423" s="6" t="s">
        <v>47386</v>
      </c>
      <c r="C8423" s="13">
        <v>497.9</v>
      </c>
      <c r="D8423" s="8" t="s">
        <v>47387</v>
      </c>
      <c r="E8423" s="8" t="s">
        <v>47382</v>
      </c>
      <c r="F8423" s="8" t="s">
        <v>46923</v>
      </c>
      <c r="G8423" s="6" t="s">
        <v>33</v>
      </c>
      <c r="H8423" s="6" t="s">
        <v>34</v>
      </c>
      <c r="I8423" s="8" t="s">
        <v>271</v>
      </c>
      <c r="J8423" s="9">
        <v>1</v>
      </c>
      <c r="K8423" s="9">
        <v>153</v>
      </c>
      <c r="L8423" s="9">
        <v>2017</v>
      </c>
      <c r="M8423" s="8" t="s">
        <v>47388</v>
      </c>
      <c r="N8423" s="8" t="s">
        <v>37</v>
      </c>
      <c r="O8423" s="8" t="s">
        <v>280</v>
      </c>
      <c r="P8423" s="6" t="s">
        <v>306</v>
      </c>
      <c r="Q8423" s="8" t="s">
        <v>52</v>
      </c>
      <c r="R8423" s="10" t="s">
        <v>1503</v>
      </c>
      <c r="S8423" s="11" t="s">
        <v>47389</v>
      </c>
      <c r="T8423" s="6"/>
      <c r="U8423" s="15" t="str">
        <f>HYPERLINK("https://media.infra-m.ru/0891/0891044/cover/891044.jpg", "Обложка")</f>
        <v>Обложка</v>
      </c>
      <c r="V8423" s="8" t="s">
        <v>3177</v>
      </c>
      <c r="W8423" s="6"/>
      <c r="X8423" s="6"/>
      <c r="Y8423" s="6"/>
      <c r="Z8423" s="6"/>
      <c r="AA8423" s="6" t="s">
        <v>274</v>
      </c>
      <c r="AB8423" s="8"/>
      <c r="AC8423" s="27">
        <v>9785160102030</v>
      </c>
    </row>
    <row r="8424" spans="1:29" s="4" customFormat="1" ht="42" customHeight="1" x14ac:dyDescent="0.2">
      <c r="A8424" s="5">
        <v>0</v>
      </c>
      <c r="B8424" s="6" t="s">
        <v>47390</v>
      </c>
      <c r="C8424" s="13">
        <v>844.8</v>
      </c>
      <c r="D8424" s="8" t="s">
        <v>47391</v>
      </c>
      <c r="E8424" s="8" t="s">
        <v>47392</v>
      </c>
      <c r="F8424" s="8" t="s">
        <v>47393</v>
      </c>
      <c r="G8424" s="6" t="s">
        <v>33</v>
      </c>
      <c r="H8424" s="6" t="s">
        <v>34</v>
      </c>
      <c r="I8424" s="8" t="s">
        <v>35</v>
      </c>
      <c r="J8424" s="9">
        <v>1</v>
      </c>
      <c r="K8424" s="9">
        <v>154</v>
      </c>
      <c r="L8424" s="9">
        <v>2024</v>
      </c>
      <c r="M8424" s="8" t="s">
        <v>47394</v>
      </c>
      <c r="N8424" s="8" t="s">
        <v>37</v>
      </c>
      <c r="O8424" s="8" t="s">
        <v>280</v>
      </c>
      <c r="P8424" s="6" t="s">
        <v>39</v>
      </c>
      <c r="Q8424" s="8" t="s">
        <v>40</v>
      </c>
      <c r="R8424" s="10" t="s">
        <v>1503</v>
      </c>
      <c r="S8424" s="11"/>
      <c r="T8424" s="6"/>
      <c r="U8424" s="15" t="str">
        <f>HYPERLINK("https://media.infra-m.ru/2117/2117140/cover/2117140.jpg", "Обложка")</f>
        <v>Обложка</v>
      </c>
      <c r="V8424" s="8" t="s">
        <v>43368</v>
      </c>
      <c r="W8424" s="6"/>
      <c r="X8424" s="6"/>
      <c r="Y8424" s="6"/>
      <c r="Z8424" s="6"/>
      <c r="AA8424" s="6" t="s">
        <v>248</v>
      </c>
      <c r="AB8424" s="8"/>
      <c r="AC8424" s="27">
        <v>9785160093772</v>
      </c>
    </row>
    <row r="8425" spans="1:29" s="4" customFormat="1" ht="51.9" customHeight="1" x14ac:dyDescent="0.2">
      <c r="A8425" s="5">
        <v>0</v>
      </c>
      <c r="B8425" s="6" t="s">
        <v>47395</v>
      </c>
      <c r="C8425" s="7">
        <v>1108.8</v>
      </c>
      <c r="D8425" s="8" t="s">
        <v>47396</v>
      </c>
      <c r="E8425" s="8" t="s">
        <v>47397</v>
      </c>
      <c r="F8425" s="8" t="s">
        <v>47398</v>
      </c>
      <c r="G8425" s="6" t="s">
        <v>118</v>
      </c>
      <c r="H8425" s="6" t="s">
        <v>241</v>
      </c>
      <c r="I8425" s="8"/>
      <c r="J8425" s="9">
        <v>1</v>
      </c>
      <c r="K8425" s="9">
        <v>168</v>
      </c>
      <c r="L8425" s="9">
        <v>2026</v>
      </c>
      <c r="M8425" s="8" t="s">
        <v>47399</v>
      </c>
      <c r="N8425" s="8" t="s">
        <v>37</v>
      </c>
      <c r="O8425" s="8" t="s">
        <v>280</v>
      </c>
      <c r="P8425" s="6" t="s">
        <v>51</v>
      </c>
      <c r="Q8425" s="8" t="s">
        <v>52</v>
      </c>
      <c r="R8425" s="10" t="s">
        <v>40779</v>
      </c>
      <c r="S8425" s="11" t="s">
        <v>47400</v>
      </c>
      <c r="T8425" s="6"/>
      <c r="U8425" s="15" t="str">
        <f>HYPERLINK("https://media.infra-m.ru/2233/2233539/cover/2233539.jpg", "Обложка")</f>
        <v>Обложка</v>
      </c>
      <c r="V8425" s="8" t="s">
        <v>247</v>
      </c>
      <c r="W8425" s="6"/>
      <c r="X8425" s="6"/>
      <c r="Y8425" s="6"/>
      <c r="Z8425" s="6"/>
      <c r="AA8425" s="6" t="s">
        <v>1015</v>
      </c>
      <c r="AB8425" s="8"/>
      <c r="AC8425" s="27">
        <v>9785955801582</v>
      </c>
    </row>
    <row r="8426" spans="1:29" s="4" customFormat="1" ht="51.9" customHeight="1" x14ac:dyDescent="0.2">
      <c r="A8426" s="5">
        <v>0</v>
      </c>
      <c r="B8426" s="6" t="s">
        <v>47401</v>
      </c>
      <c r="C8426" s="13">
        <v>660</v>
      </c>
      <c r="D8426" s="8" t="s">
        <v>47402</v>
      </c>
      <c r="E8426" s="8" t="s">
        <v>47403</v>
      </c>
      <c r="F8426" s="8" t="s">
        <v>47404</v>
      </c>
      <c r="G8426" s="6" t="s">
        <v>33</v>
      </c>
      <c r="H8426" s="6" t="s">
        <v>34</v>
      </c>
      <c r="I8426" s="8" t="s">
        <v>35</v>
      </c>
      <c r="J8426" s="9">
        <v>1</v>
      </c>
      <c r="K8426" s="9">
        <v>138</v>
      </c>
      <c r="L8426" s="9">
        <v>2019</v>
      </c>
      <c r="M8426" s="8" t="s">
        <v>47405</v>
      </c>
      <c r="N8426" s="8" t="s">
        <v>37</v>
      </c>
      <c r="O8426" s="8" t="s">
        <v>233</v>
      </c>
      <c r="P8426" s="6" t="s">
        <v>39</v>
      </c>
      <c r="Q8426" s="8" t="s">
        <v>40</v>
      </c>
      <c r="R8426" s="10" t="s">
        <v>47406</v>
      </c>
      <c r="S8426" s="11"/>
      <c r="T8426" s="6"/>
      <c r="U8426" s="15" t="str">
        <f>HYPERLINK("https://media.infra-m.ru/0978/0978603/cover/978603.jpg", "Обложка")</f>
        <v>Обложка</v>
      </c>
      <c r="V8426" s="8" t="s">
        <v>3693</v>
      </c>
      <c r="W8426" s="6"/>
      <c r="X8426" s="6"/>
      <c r="Y8426" s="6"/>
      <c r="Z8426" s="6"/>
      <c r="AA8426" s="6" t="s">
        <v>115</v>
      </c>
      <c r="AB8426" s="8"/>
      <c r="AC8426" s="27">
        <v>9785160143811</v>
      </c>
    </row>
    <row r="8427" spans="1:29" s="4" customFormat="1" ht="51.9" customHeight="1" x14ac:dyDescent="0.2">
      <c r="A8427" s="5">
        <v>0</v>
      </c>
      <c r="B8427" s="6" t="s">
        <v>47407</v>
      </c>
      <c r="C8427" s="7">
        <v>1632</v>
      </c>
      <c r="D8427" s="8" t="s">
        <v>47408</v>
      </c>
      <c r="E8427" s="8" t="s">
        <v>47409</v>
      </c>
      <c r="F8427" s="8" t="s">
        <v>47410</v>
      </c>
      <c r="G8427" s="6" t="s">
        <v>60</v>
      </c>
      <c r="H8427" s="6" t="s">
        <v>34</v>
      </c>
      <c r="I8427" s="8" t="s">
        <v>253</v>
      </c>
      <c r="J8427" s="9">
        <v>1</v>
      </c>
      <c r="K8427" s="9">
        <v>270</v>
      </c>
      <c r="L8427" s="9">
        <v>2025</v>
      </c>
      <c r="M8427" s="8" t="s">
        <v>47411</v>
      </c>
      <c r="N8427" s="8" t="s">
        <v>37</v>
      </c>
      <c r="O8427" s="8" t="s">
        <v>280</v>
      </c>
      <c r="P8427" s="6" t="s">
        <v>306</v>
      </c>
      <c r="Q8427" s="8" t="s">
        <v>65</v>
      </c>
      <c r="R8427" s="10" t="s">
        <v>47412</v>
      </c>
      <c r="S8427" s="11"/>
      <c r="T8427" s="6"/>
      <c r="U8427" s="15" t="str">
        <f>HYPERLINK("https://media.infra-m.ru/1995/1995393/cover/1995393.jpg", "Обложка")</f>
        <v>Обложка</v>
      </c>
      <c r="V8427" s="8" t="s">
        <v>657</v>
      </c>
      <c r="W8427" s="6"/>
      <c r="X8427" s="6"/>
      <c r="Y8427" s="6"/>
      <c r="Z8427" s="6"/>
      <c r="AA8427" s="6" t="s">
        <v>68</v>
      </c>
      <c r="AB8427" s="8"/>
      <c r="AC8427" s="27">
        <v>9785160183985</v>
      </c>
    </row>
    <row r="8428" spans="1:29" s="4" customFormat="1" ht="42" customHeight="1" x14ac:dyDescent="0.2">
      <c r="A8428" s="5">
        <v>0</v>
      </c>
      <c r="B8428" s="6" t="s">
        <v>47413</v>
      </c>
      <c r="C8428" s="7">
        <v>2753.9</v>
      </c>
      <c r="D8428" s="8" t="s">
        <v>47414</v>
      </c>
      <c r="E8428" s="8" t="s">
        <v>47415</v>
      </c>
      <c r="F8428" s="8" t="s">
        <v>47416</v>
      </c>
      <c r="G8428" s="6" t="s">
        <v>60</v>
      </c>
      <c r="H8428" s="6" t="s">
        <v>5605</v>
      </c>
      <c r="I8428" s="8"/>
      <c r="J8428" s="9">
        <v>1</v>
      </c>
      <c r="K8428" s="9">
        <v>571</v>
      </c>
      <c r="L8428" s="9">
        <v>2022</v>
      </c>
      <c r="M8428" s="8" t="s">
        <v>47417</v>
      </c>
      <c r="N8428" s="8" t="s">
        <v>37</v>
      </c>
      <c r="O8428" s="8" t="s">
        <v>499</v>
      </c>
      <c r="P8428" s="6" t="s">
        <v>306</v>
      </c>
      <c r="Q8428" s="8" t="s">
        <v>52</v>
      </c>
      <c r="R8428" s="10" t="s">
        <v>5054</v>
      </c>
      <c r="S8428" s="11"/>
      <c r="T8428" s="6"/>
      <c r="U8428" s="15" t="str">
        <f>HYPERLINK("https://media.infra-m.ru/1237/1237098/cover/1237098.jpg", "Обложка")</f>
        <v>Обложка</v>
      </c>
      <c r="V8428" s="8" t="s">
        <v>227</v>
      </c>
      <c r="W8428" s="6"/>
      <c r="X8428" s="6"/>
      <c r="Y8428" s="6"/>
      <c r="Z8428" s="6"/>
      <c r="AA8428" s="6" t="s">
        <v>2304</v>
      </c>
      <c r="AB8428" s="8"/>
      <c r="AC8428" s="27">
        <v>5160023321</v>
      </c>
    </row>
    <row r="8429" spans="1:29" s="4" customFormat="1" ht="51.9" customHeight="1" x14ac:dyDescent="0.2">
      <c r="A8429" s="5">
        <v>0</v>
      </c>
      <c r="B8429" s="6" t="s">
        <v>47418</v>
      </c>
      <c r="C8429" s="7">
        <v>1344</v>
      </c>
      <c r="D8429" s="8" t="s">
        <v>47419</v>
      </c>
      <c r="E8429" s="8" t="s">
        <v>47420</v>
      </c>
      <c r="F8429" s="8" t="s">
        <v>43556</v>
      </c>
      <c r="G8429" s="6" t="s">
        <v>33</v>
      </c>
      <c r="H8429" s="6" t="s">
        <v>34</v>
      </c>
      <c r="I8429" s="8" t="s">
        <v>35</v>
      </c>
      <c r="J8429" s="9">
        <v>1</v>
      </c>
      <c r="K8429" s="9">
        <v>194</v>
      </c>
      <c r="L8429" s="9">
        <v>2026</v>
      </c>
      <c r="M8429" s="8" t="s">
        <v>47421</v>
      </c>
      <c r="N8429" s="8" t="s">
        <v>37</v>
      </c>
      <c r="O8429" s="8" t="s">
        <v>280</v>
      </c>
      <c r="P8429" s="6" t="s">
        <v>39</v>
      </c>
      <c r="Q8429" s="8" t="s">
        <v>40</v>
      </c>
      <c r="R8429" s="10" t="s">
        <v>47422</v>
      </c>
      <c r="S8429" s="11"/>
      <c r="T8429" s="6"/>
      <c r="U8429" s="15" t="str">
        <f>HYPERLINK("https://media.infra-m.ru/2230/2230812/cover/2230812.jpg", "Обложка")</f>
        <v>Обложка</v>
      </c>
      <c r="V8429" s="8" t="s">
        <v>445</v>
      </c>
      <c r="W8429" s="6" t="s">
        <v>299</v>
      </c>
      <c r="X8429" s="6"/>
      <c r="Y8429" s="6"/>
      <c r="Z8429" s="6"/>
      <c r="AA8429" s="6" t="s">
        <v>187</v>
      </c>
      <c r="AB8429" s="8" t="s">
        <v>308</v>
      </c>
      <c r="AC8429" s="27">
        <v>9785160215679</v>
      </c>
    </row>
    <row r="8430" spans="1:29" s="4" customFormat="1" ht="51.9" customHeight="1" x14ac:dyDescent="0.2">
      <c r="A8430" s="5">
        <v>0</v>
      </c>
      <c r="B8430" s="6" t="s">
        <v>47423</v>
      </c>
      <c r="C8430" s="13">
        <v>856.8</v>
      </c>
      <c r="D8430" s="8" t="s">
        <v>47424</v>
      </c>
      <c r="E8430" s="8" t="s">
        <v>47425</v>
      </c>
      <c r="F8430" s="8" t="s">
        <v>28286</v>
      </c>
      <c r="G8430" s="6" t="s">
        <v>33</v>
      </c>
      <c r="H8430" s="6" t="s">
        <v>34</v>
      </c>
      <c r="I8430" s="8" t="s">
        <v>271</v>
      </c>
      <c r="J8430" s="9">
        <v>1</v>
      </c>
      <c r="K8430" s="9">
        <v>136</v>
      </c>
      <c r="L8430" s="9">
        <v>2025</v>
      </c>
      <c r="M8430" s="8" t="s">
        <v>47426</v>
      </c>
      <c r="N8430" s="8" t="s">
        <v>243</v>
      </c>
      <c r="O8430" s="8" t="s">
        <v>758</v>
      </c>
      <c r="P8430" s="6" t="s">
        <v>51</v>
      </c>
      <c r="Q8430" s="8" t="s">
        <v>52</v>
      </c>
      <c r="R8430" s="10" t="s">
        <v>47427</v>
      </c>
      <c r="S8430" s="11" t="s">
        <v>47428</v>
      </c>
      <c r="T8430" s="6"/>
      <c r="U8430" s="15" t="str">
        <f>HYPERLINK("https://media.infra-m.ru/2205/2205524/cover/2205524.jpg", "Обложка")</f>
        <v>Обложка</v>
      </c>
      <c r="V8430" s="8" t="s">
        <v>28290</v>
      </c>
      <c r="W8430" s="6"/>
      <c r="X8430" s="6"/>
      <c r="Y8430" s="6"/>
      <c r="Z8430" s="6"/>
      <c r="AA8430" s="6" t="s">
        <v>248</v>
      </c>
      <c r="AB8430" s="8"/>
      <c r="AC8430" s="27">
        <v>9785160067513</v>
      </c>
    </row>
    <row r="8431" spans="1:29" s="4" customFormat="1" ht="51.9" customHeight="1" x14ac:dyDescent="0.2">
      <c r="A8431" s="5">
        <v>0</v>
      </c>
      <c r="B8431" s="6" t="s">
        <v>47429</v>
      </c>
      <c r="C8431" s="7">
        <v>1253.9000000000001</v>
      </c>
      <c r="D8431" s="8" t="s">
        <v>47430</v>
      </c>
      <c r="E8431" s="8" t="s">
        <v>47431</v>
      </c>
      <c r="F8431" s="8" t="s">
        <v>23017</v>
      </c>
      <c r="G8431" s="6" t="s">
        <v>60</v>
      </c>
      <c r="H8431" s="6" t="s">
        <v>34</v>
      </c>
      <c r="I8431" s="8" t="s">
        <v>504</v>
      </c>
      <c r="J8431" s="9">
        <v>1</v>
      </c>
      <c r="K8431" s="9">
        <v>232</v>
      </c>
      <c r="L8431" s="9">
        <v>2023</v>
      </c>
      <c r="M8431" s="8" t="s">
        <v>47432</v>
      </c>
      <c r="N8431" s="8" t="s">
        <v>37</v>
      </c>
      <c r="O8431" s="8" t="s">
        <v>280</v>
      </c>
      <c r="P8431" s="6" t="s">
        <v>306</v>
      </c>
      <c r="Q8431" s="8" t="s">
        <v>500</v>
      </c>
      <c r="R8431" s="10" t="s">
        <v>1824</v>
      </c>
      <c r="S8431" s="11" t="s">
        <v>47433</v>
      </c>
      <c r="T8431" s="6"/>
      <c r="U8431" s="15" t="str">
        <f>HYPERLINK("https://media.infra-m.ru/2021/2021456/cover/2021456.jpg", "Обложка")</f>
        <v>Обложка</v>
      </c>
      <c r="V8431" s="8" t="s">
        <v>3109</v>
      </c>
      <c r="W8431" s="6"/>
      <c r="X8431" s="6"/>
      <c r="Y8431" s="6"/>
      <c r="Z8431" s="6"/>
      <c r="AA8431" s="6" t="s">
        <v>1256</v>
      </c>
      <c r="AB8431" s="8"/>
      <c r="AC8431" s="27">
        <v>9785160147390</v>
      </c>
    </row>
    <row r="8432" spans="1:29" s="4" customFormat="1" ht="51.9" customHeight="1" x14ac:dyDescent="0.2">
      <c r="A8432" s="5">
        <v>0</v>
      </c>
      <c r="B8432" s="6" t="s">
        <v>47434</v>
      </c>
      <c r="C8432" s="7">
        <v>2249.9</v>
      </c>
      <c r="D8432" s="8" t="s">
        <v>47435</v>
      </c>
      <c r="E8432" s="8" t="s">
        <v>47436</v>
      </c>
      <c r="F8432" s="8" t="s">
        <v>47437</v>
      </c>
      <c r="G8432" s="6" t="s">
        <v>60</v>
      </c>
      <c r="H8432" s="6" t="s">
        <v>34</v>
      </c>
      <c r="I8432" s="8" t="s">
        <v>271</v>
      </c>
      <c r="J8432" s="9">
        <v>1</v>
      </c>
      <c r="K8432" s="9">
        <v>416</v>
      </c>
      <c r="L8432" s="9">
        <v>2023</v>
      </c>
      <c r="M8432" s="8" t="s">
        <v>47438</v>
      </c>
      <c r="N8432" s="8" t="s">
        <v>37</v>
      </c>
      <c r="O8432" s="8" t="s">
        <v>280</v>
      </c>
      <c r="P8432" s="6" t="s">
        <v>306</v>
      </c>
      <c r="Q8432" s="8" t="s">
        <v>52</v>
      </c>
      <c r="R8432" s="10" t="s">
        <v>23049</v>
      </c>
      <c r="S8432" s="11"/>
      <c r="T8432" s="6"/>
      <c r="U8432" s="15" t="str">
        <f>HYPERLINK("https://media.infra-m.ru/1938/1938862/cover/1938862.jpg", "Обложка")</f>
        <v>Обложка</v>
      </c>
      <c r="V8432" s="8" t="s">
        <v>12917</v>
      </c>
      <c r="W8432" s="6"/>
      <c r="X8432" s="6"/>
      <c r="Y8432" s="6"/>
      <c r="Z8432" s="6"/>
      <c r="AA8432" s="6" t="s">
        <v>55</v>
      </c>
      <c r="AB8432" s="8"/>
      <c r="AC8432" s="27">
        <v>9785160052731</v>
      </c>
    </row>
    <row r="8433" spans="1:29" s="4" customFormat="1" ht="51.9" customHeight="1" x14ac:dyDescent="0.2">
      <c r="A8433" s="5">
        <v>0</v>
      </c>
      <c r="B8433" s="6" t="s">
        <v>47439</v>
      </c>
      <c r="C8433" s="7">
        <v>1504.8</v>
      </c>
      <c r="D8433" s="8" t="s">
        <v>47440</v>
      </c>
      <c r="E8433" s="8" t="s">
        <v>47441</v>
      </c>
      <c r="F8433" s="8" t="s">
        <v>47442</v>
      </c>
      <c r="G8433" s="6" t="s">
        <v>118</v>
      </c>
      <c r="H8433" s="6" t="s">
        <v>34</v>
      </c>
      <c r="I8433" s="8" t="s">
        <v>253</v>
      </c>
      <c r="J8433" s="9">
        <v>1</v>
      </c>
      <c r="K8433" s="9">
        <v>216</v>
      </c>
      <c r="L8433" s="9">
        <v>2026</v>
      </c>
      <c r="M8433" s="8" t="s">
        <v>47443</v>
      </c>
      <c r="N8433" s="8" t="s">
        <v>37</v>
      </c>
      <c r="O8433" s="8" t="s">
        <v>280</v>
      </c>
      <c r="P8433" s="6" t="s">
        <v>306</v>
      </c>
      <c r="Q8433" s="8" t="s">
        <v>52</v>
      </c>
      <c r="R8433" s="10" t="s">
        <v>47444</v>
      </c>
      <c r="S8433" s="11" t="s">
        <v>47445</v>
      </c>
      <c r="T8433" s="6"/>
      <c r="U8433" s="15" t="str">
        <f>HYPERLINK("https://media.infra-m.ru/2262/2262627/cover/2262627.jpg", "Обложка")</f>
        <v>Обложка</v>
      </c>
      <c r="V8433" s="8" t="s">
        <v>1192</v>
      </c>
      <c r="W8433" s="6"/>
      <c r="X8433" s="6"/>
      <c r="Y8433" s="6"/>
      <c r="Z8433" s="6"/>
      <c r="AA8433" s="6" t="s">
        <v>1295</v>
      </c>
      <c r="AB8433" s="8"/>
      <c r="AC8433" s="27">
        <v>9785160193243</v>
      </c>
    </row>
    <row r="8434" spans="1:29" s="4" customFormat="1" ht="51.9" customHeight="1" x14ac:dyDescent="0.2">
      <c r="A8434" s="5">
        <v>0</v>
      </c>
      <c r="B8434" s="6" t="s">
        <v>47446</v>
      </c>
      <c r="C8434" s="7">
        <v>1188</v>
      </c>
      <c r="D8434" s="8" t="s">
        <v>47447</v>
      </c>
      <c r="E8434" s="8" t="s">
        <v>47448</v>
      </c>
      <c r="F8434" s="8" t="s">
        <v>47449</v>
      </c>
      <c r="G8434" s="6" t="s">
        <v>118</v>
      </c>
      <c r="H8434" s="6" t="s">
        <v>34</v>
      </c>
      <c r="I8434" s="8" t="s">
        <v>271</v>
      </c>
      <c r="J8434" s="9">
        <v>1</v>
      </c>
      <c r="K8434" s="9">
        <v>208</v>
      </c>
      <c r="L8434" s="9">
        <v>2023</v>
      </c>
      <c r="M8434" s="8" t="s">
        <v>47450</v>
      </c>
      <c r="N8434" s="8" t="s">
        <v>37</v>
      </c>
      <c r="O8434" s="8" t="s">
        <v>280</v>
      </c>
      <c r="P8434" s="6" t="s">
        <v>306</v>
      </c>
      <c r="Q8434" s="8" t="s">
        <v>52</v>
      </c>
      <c r="R8434" s="10" t="s">
        <v>47444</v>
      </c>
      <c r="S8434" s="11" t="s">
        <v>47445</v>
      </c>
      <c r="T8434" s="6" t="s">
        <v>97</v>
      </c>
      <c r="U8434" s="15" t="str">
        <f>HYPERLINK("https://media.infra-m.ru/2057/2057644/cover/2057644.jpg", "Обложка")</f>
        <v>Обложка</v>
      </c>
      <c r="V8434" s="8" t="s">
        <v>1192</v>
      </c>
      <c r="W8434" s="6"/>
      <c r="X8434" s="6"/>
      <c r="Y8434" s="6"/>
      <c r="Z8434" s="6"/>
      <c r="AA8434" s="6" t="s">
        <v>769</v>
      </c>
      <c r="AB8434" s="8"/>
      <c r="AC8434" s="27">
        <v>9785160050676</v>
      </c>
    </row>
    <row r="8435" spans="1:29" s="4" customFormat="1" ht="51.9" customHeight="1" x14ac:dyDescent="0.2">
      <c r="A8435" s="5">
        <v>0</v>
      </c>
      <c r="B8435" s="6" t="s">
        <v>47451</v>
      </c>
      <c r="C8435" s="7">
        <v>1192.8</v>
      </c>
      <c r="D8435" s="8" t="s">
        <v>47452</v>
      </c>
      <c r="E8435" s="8" t="s">
        <v>47453</v>
      </c>
      <c r="F8435" s="8" t="s">
        <v>47454</v>
      </c>
      <c r="G8435" s="6" t="s">
        <v>60</v>
      </c>
      <c r="H8435" s="6" t="s">
        <v>313</v>
      </c>
      <c r="I8435" s="8" t="s">
        <v>253</v>
      </c>
      <c r="J8435" s="9">
        <v>1</v>
      </c>
      <c r="K8435" s="9">
        <v>218</v>
      </c>
      <c r="L8435" s="9">
        <v>2024</v>
      </c>
      <c r="M8435" s="8" t="s">
        <v>47455</v>
      </c>
      <c r="N8435" s="8" t="s">
        <v>37</v>
      </c>
      <c r="O8435" s="8" t="s">
        <v>280</v>
      </c>
      <c r="P8435" s="6" t="s">
        <v>51</v>
      </c>
      <c r="Q8435" s="8" t="s">
        <v>52</v>
      </c>
      <c r="R8435" s="10" t="s">
        <v>47456</v>
      </c>
      <c r="S8435" s="11" t="s">
        <v>47457</v>
      </c>
      <c r="T8435" s="6"/>
      <c r="U8435" s="15" t="str">
        <f>HYPERLINK("https://media.infra-m.ru/1981/1981604/cover/1981604.jpg", "Обложка")</f>
        <v>Обложка</v>
      </c>
      <c r="V8435" s="8" t="s">
        <v>43368</v>
      </c>
      <c r="W8435" s="6"/>
      <c r="X8435" s="6"/>
      <c r="Y8435" s="6"/>
      <c r="Z8435" s="6"/>
      <c r="AA8435" s="6" t="s">
        <v>274</v>
      </c>
      <c r="AB8435" s="8"/>
      <c r="AC8435" s="27">
        <v>9785369013700</v>
      </c>
    </row>
    <row r="8436" spans="1:29" s="4" customFormat="1" ht="51.9" customHeight="1" x14ac:dyDescent="0.2">
      <c r="A8436" s="5">
        <v>0</v>
      </c>
      <c r="B8436" s="6" t="s">
        <v>47458</v>
      </c>
      <c r="C8436" s="7">
        <v>1932</v>
      </c>
      <c r="D8436" s="8" t="s">
        <v>47459</v>
      </c>
      <c r="E8436" s="8" t="s">
        <v>47460</v>
      </c>
      <c r="F8436" s="8" t="s">
        <v>41357</v>
      </c>
      <c r="G8436" s="6" t="s">
        <v>60</v>
      </c>
      <c r="H8436" s="6" t="s">
        <v>34</v>
      </c>
      <c r="I8436" s="8" t="s">
        <v>253</v>
      </c>
      <c r="J8436" s="9">
        <v>1</v>
      </c>
      <c r="K8436" s="9">
        <v>336</v>
      </c>
      <c r="L8436" s="9">
        <v>2024</v>
      </c>
      <c r="M8436" s="8" t="s">
        <v>47461</v>
      </c>
      <c r="N8436" s="8" t="s">
        <v>37</v>
      </c>
      <c r="O8436" s="8" t="s">
        <v>280</v>
      </c>
      <c r="P8436" s="6" t="s">
        <v>306</v>
      </c>
      <c r="Q8436" s="8" t="s">
        <v>65</v>
      </c>
      <c r="R8436" s="10" t="s">
        <v>47462</v>
      </c>
      <c r="S8436" s="11" t="s">
        <v>47463</v>
      </c>
      <c r="T8436" s="6"/>
      <c r="U8436" s="15" t="str">
        <f>HYPERLINK("https://media.infra-m.ru/2074/2074255/cover/2074255.jpg", "Обложка")</f>
        <v>Обложка</v>
      </c>
      <c r="V8436" s="8" t="s">
        <v>23026</v>
      </c>
      <c r="W8436" s="6"/>
      <c r="X8436" s="6"/>
      <c r="Y8436" s="6"/>
      <c r="Z8436" s="6"/>
      <c r="AA8436" s="6" t="s">
        <v>76</v>
      </c>
      <c r="AB8436" s="8"/>
      <c r="AC8436" s="27">
        <v>9785160188799</v>
      </c>
    </row>
    <row r="8437" spans="1:29" s="4" customFormat="1" ht="42" customHeight="1" x14ac:dyDescent="0.2">
      <c r="A8437" s="5">
        <v>0</v>
      </c>
      <c r="B8437" s="6" t="s">
        <v>47464</v>
      </c>
      <c r="C8437" s="13">
        <v>576</v>
      </c>
      <c r="D8437" s="8" t="s">
        <v>47465</v>
      </c>
      <c r="E8437" s="8" t="s">
        <v>47466</v>
      </c>
      <c r="F8437" s="8" t="s">
        <v>47467</v>
      </c>
      <c r="G8437" s="6" t="s">
        <v>33</v>
      </c>
      <c r="H8437" s="6" t="s">
        <v>34</v>
      </c>
      <c r="I8437" s="8" t="s">
        <v>35</v>
      </c>
      <c r="J8437" s="9">
        <v>1</v>
      </c>
      <c r="K8437" s="9">
        <v>107</v>
      </c>
      <c r="L8437" s="9">
        <v>2023</v>
      </c>
      <c r="M8437" s="8" t="s">
        <v>47468</v>
      </c>
      <c r="N8437" s="8" t="s">
        <v>37</v>
      </c>
      <c r="O8437" s="8" t="s">
        <v>280</v>
      </c>
      <c r="P8437" s="6" t="s">
        <v>39</v>
      </c>
      <c r="Q8437" s="8" t="s">
        <v>40</v>
      </c>
      <c r="R8437" s="10" t="s">
        <v>35880</v>
      </c>
      <c r="S8437" s="11"/>
      <c r="T8437" s="6"/>
      <c r="U8437" s="15" t="str">
        <f>HYPERLINK("https://media.infra-m.ru/1893/1893853/cover/1893853.jpg", "Обложка")</f>
        <v>Обложка</v>
      </c>
      <c r="V8437" s="8" t="s">
        <v>1192</v>
      </c>
      <c r="W8437" s="6"/>
      <c r="X8437" s="6"/>
      <c r="Y8437" s="6"/>
      <c r="Z8437" s="6"/>
      <c r="AA8437" s="6" t="s">
        <v>86</v>
      </c>
      <c r="AB8437" s="8"/>
      <c r="AC8437" s="27">
        <v>9785160142128</v>
      </c>
    </row>
    <row r="8438" spans="1:29" s="4" customFormat="1" ht="51.9" customHeight="1" x14ac:dyDescent="0.2">
      <c r="A8438" s="5">
        <v>0</v>
      </c>
      <c r="B8438" s="6" t="s">
        <v>47469</v>
      </c>
      <c r="C8438" s="7">
        <v>1752</v>
      </c>
      <c r="D8438" s="8" t="s">
        <v>47470</v>
      </c>
      <c r="E8438" s="8" t="s">
        <v>47471</v>
      </c>
      <c r="F8438" s="8" t="s">
        <v>47472</v>
      </c>
      <c r="G8438" s="6" t="s">
        <v>118</v>
      </c>
      <c r="H8438" s="6" t="s">
        <v>34</v>
      </c>
      <c r="I8438" s="8" t="s">
        <v>304</v>
      </c>
      <c r="J8438" s="9">
        <v>1</v>
      </c>
      <c r="K8438" s="9">
        <v>232</v>
      </c>
      <c r="L8438" s="9">
        <v>2026</v>
      </c>
      <c r="M8438" s="8" t="s">
        <v>47473</v>
      </c>
      <c r="N8438" s="8" t="s">
        <v>37</v>
      </c>
      <c r="O8438" s="8" t="s">
        <v>233</v>
      </c>
      <c r="P8438" s="6" t="s">
        <v>306</v>
      </c>
      <c r="Q8438" s="8" t="s">
        <v>65</v>
      </c>
      <c r="R8438" s="10" t="s">
        <v>47474</v>
      </c>
      <c r="S8438" s="11"/>
      <c r="T8438" s="6"/>
      <c r="U8438" s="15" t="str">
        <f>HYPERLINK("https://media.infra-m.ru/2260/2260415/cover/2260415.jpg", "Обложка")</f>
        <v>Обложка</v>
      </c>
      <c r="V8438" s="8" t="s">
        <v>1184</v>
      </c>
      <c r="W8438" s="6"/>
      <c r="X8438" s="6"/>
      <c r="Y8438" s="6"/>
      <c r="Z8438" s="6"/>
      <c r="AA8438" s="6" t="s">
        <v>187</v>
      </c>
      <c r="AB8438" s="8" t="s">
        <v>6493</v>
      </c>
      <c r="AC8438" s="27">
        <v>9785160210513</v>
      </c>
    </row>
    <row r="8439" spans="1:29" s="4" customFormat="1" ht="51.9" customHeight="1" x14ac:dyDescent="0.2">
      <c r="A8439" s="5">
        <v>0</v>
      </c>
      <c r="B8439" s="6" t="s">
        <v>47475</v>
      </c>
      <c r="C8439" s="7">
        <v>1013.9</v>
      </c>
      <c r="D8439" s="8" t="s">
        <v>47476</v>
      </c>
      <c r="E8439" s="8" t="s">
        <v>47477</v>
      </c>
      <c r="F8439" s="8" t="s">
        <v>47478</v>
      </c>
      <c r="G8439" s="6" t="s">
        <v>33</v>
      </c>
      <c r="H8439" s="6" t="s">
        <v>34</v>
      </c>
      <c r="I8439" s="8" t="s">
        <v>504</v>
      </c>
      <c r="J8439" s="9">
        <v>1</v>
      </c>
      <c r="K8439" s="9">
        <v>188</v>
      </c>
      <c r="L8439" s="9">
        <v>2024</v>
      </c>
      <c r="M8439" s="8" t="s">
        <v>47479</v>
      </c>
      <c r="N8439" s="8" t="s">
        <v>37</v>
      </c>
      <c r="O8439" s="8" t="s">
        <v>280</v>
      </c>
      <c r="P8439" s="6" t="s">
        <v>51</v>
      </c>
      <c r="Q8439" s="8" t="s">
        <v>500</v>
      </c>
      <c r="R8439" s="10" t="s">
        <v>21172</v>
      </c>
      <c r="S8439" s="11" t="s">
        <v>47480</v>
      </c>
      <c r="T8439" s="6"/>
      <c r="U8439" s="15" t="str">
        <f>HYPERLINK("https://media.infra-m.ru/2044/2044318/cover/2044318.jpg", "Обложка")</f>
        <v>Обложка</v>
      </c>
      <c r="V8439" s="8" t="s">
        <v>644</v>
      </c>
      <c r="W8439" s="6"/>
      <c r="X8439" s="6"/>
      <c r="Y8439" s="6"/>
      <c r="Z8439" s="6"/>
      <c r="AA8439" s="6" t="s">
        <v>55</v>
      </c>
      <c r="AB8439" s="8"/>
      <c r="AC8439" s="27">
        <v>9785160069111</v>
      </c>
    </row>
    <row r="8440" spans="1:29" s="4" customFormat="1" ht="51.9" customHeight="1" x14ac:dyDescent="0.2">
      <c r="A8440" s="5">
        <v>0</v>
      </c>
      <c r="B8440" s="6" t="s">
        <v>47481</v>
      </c>
      <c r="C8440" s="7">
        <v>2128.8000000000002</v>
      </c>
      <c r="D8440" s="8" t="s">
        <v>47482</v>
      </c>
      <c r="E8440" s="8" t="s">
        <v>47483</v>
      </c>
      <c r="F8440" s="8" t="s">
        <v>47484</v>
      </c>
      <c r="G8440" s="6" t="s">
        <v>60</v>
      </c>
      <c r="H8440" s="6" t="s">
        <v>1042</v>
      </c>
      <c r="I8440" s="8" t="s">
        <v>253</v>
      </c>
      <c r="J8440" s="9">
        <v>1</v>
      </c>
      <c r="K8440" s="9">
        <v>384</v>
      </c>
      <c r="L8440" s="9">
        <v>2023</v>
      </c>
      <c r="M8440" s="8" t="s">
        <v>47485</v>
      </c>
      <c r="N8440" s="8" t="s">
        <v>37</v>
      </c>
      <c r="O8440" s="8" t="s">
        <v>280</v>
      </c>
      <c r="P8440" s="6" t="s">
        <v>306</v>
      </c>
      <c r="Q8440" s="8" t="s">
        <v>500</v>
      </c>
      <c r="R8440" s="10" t="s">
        <v>3208</v>
      </c>
      <c r="S8440" s="11" t="s">
        <v>47486</v>
      </c>
      <c r="T8440" s="6"/>
      <c r="U8440" s="15" t="str">
        <f>HYPERLINK("https://media.infra-m.ru/1913/1913020/cover/1913020.jpg", "Обложка")</f>
        <v>Обложка</v>
      </c>
      <c r="V8440" s="8" t="s">
        <v>4892</v>
      </c>
      <c r="W8440" s="6"/>
      <c r="X8440" s="6"/>
      <c r="Y8440" s="6"/>
      <c r="Z8440" s="6"/>
      <c r="AA8440" s="6" t="s">
        <v>274</v>
      </c>
      <c r="AB8440" s="8"/>
      <c r="AC8440" s="27">
        <v>9785819906316</v>
      </c>
    </row>
    <row r="8441" spans="1:29" s="4" customFormat="1" ht="51.9" customHeight="1" x14ac:dyDescent="0.2">
      <c r="A8441" s="5">
        <v>0</v>
      </c>
      <c r="B8441" s="6" t="s">
        <v>47487</v>
      </c>
      <c r="C8441" s="7">
        <v>1505.9</v>
      </c>
      <c r="D8441" s="8" t="s">
        <v>47488</v>
      </c>
      <c r="E8441" s="8" t="s">
        <v>47489</v>
      </c>
      <c r="F8441" s="8" t="s">
        <v>47490</v>
      </c>
      <c r="G8441" s="6" t="s">
        <v>60</v>
      </c>
      <c r="H8441" s="6" t="s">
        <v>820</v>
      </c>
      <c r="I8441" s="8"/>
      <c r="J8441" s="9">
        <v>1</v>
      </c>
      <c r="K8441" s="9">
        <v>368</v>
      </c>
      <c r="L8441" s="9">
        <v>2019</v>
      </c>
      <c r="M8441" s="8" t="s">
        <v>47491</v>
      </c>
      <c r="N8441" s="8" t="s">
        <v>37</v>
      </c>
      <c r="O8441" s="8" t="s">
        <v>233</v>
      </c>
      <c r="P8441" s="6" t="s">
        <v>39</v>
      </c>
      <c r="Q8441" s="8" t="s">
        <v>40</v>
      </c>
      <c r="R8441" s="10" t="s">
        <v>37321</v>
      </c>
      <c r="S8441" s="11"/>
      <c r="T8441" s="6"/>
      <c r="U8441" s="15" t="str">
        <f>HYPERLINK("https://media.infra-m.ru/1002/1002674/cover/1002674.jpg", "Обложка")</f>
        <v>Обложка</v>
      </c>
      <c r="V8441" s="8" t="s">
        <v>4892</v>
      </c>
      <c r="W8441" s="6"/>
      <c r="X8441" s="6"/>
      <c r="Y8441" s="6"/>
      <c r="Z8441" s="6"/>
      <c r="AA8441" s="6" t="s">
        <v>55</v>
      </c>
      <c r="AB8441" s="8"/>
      <c r="AC8441" s="27">
        <v>9785905554346</v>
      </c>
    </row>
    <row r="8442" spans="1:29" s="4" customFormat="1" ht="51.9" customHeight="1" x14ac:dyDescent="0.2">
      <c r="A8442" s="5">
        <v>0</v>
      </c>
      <c r="B8442" s="6" t="s">
        <v>47492</v>
      </c>
      <c r="C8442" s="7">
        <v>1037.9000000000001</v>
      </c>
      <c r="D8442" s="8" t="s">
        <v>47493</v>
      </c>
      <c r="E8442" s="8" t="s">
        <v>47494</v>
      </c>
      <c r="F8442" s="8" t="s">
        <v>47495</v>
      </c>
      <c r="G8442" s="6" t="s">
        <v>60</v>
      </c>
      <c r="H8442" s="6" t="s">
        <v>34</v>
      </c>
      <c r="I8442" s="8" t="s">
        <v>271</v>
      </c>
      <c r="J8442" s="9">
        <v>1</v>
      </c>
      <c r="K8442" s="9">
        <v>255</v>
      </c>
      <c r="L8442" s="9">
        <v>2020</v>
      </c>
      <c r="M8442" s="8" t="s">
        <v>47496</v>
      </c>
      <c r="N8442" s="8" t="s">
        <v>37</v>
      </c>
      <c r="O8442" s="8" t="s">
        <v>233</v>
      </c>
      <c r="P8442" s="6" t="s">
        <v>51</v>
      </c>
      <c r="Q8442" s="8" t="s">
        <v>52</v>
      </c>
      <c r="R8442" s="10" t="s">
        <v>47497</v>
      </c>
      <c r="S8442" s="11" t="s">
        <v>5142</v>
      </c>
      <c r="T8442" s="6"/>
      <c r="U8442" s="15" t="str">
        <f>HYPERLINK("https://media.infra-m.ru/1045/1045817/cover/1045817.jpg", "Обложка")</f>
        <v>Обложка</v>
      </c>
      <c r="V8442" s="8" t="s">
        <v>4892</v>
      </c>
      <c r="W8442" s="6"/>
      <c r="X8442" s="6"/>
      <c r="Y8442" s="6"/>
      <c r="Z8442" s="6"/>
      <c r="AA8442" s="6" t="s">
        <v>99</v>
      </c>
      <c r="AB8442" s="8" t="s">
        <v>493</v>
      </c>
      <c r="AC8442" s="27">
        <v>9785160130804</v>
      </c>
    </row>
    <row r="8443" spans="1:29" s="4" customFormat="1" ht="51.9" customHeight="1" x14ac:dyDescent="0.2">
      <c r="A8443" s="5">
        <v>0</v>
      </c>
      <c r="B8443" s="6" t="s">
        <v>47498</v>
      </c>
      <c r="C8443" s="7">
        <v>1636.8</v>
      </c>
      <c r="D8443" s="8" t="s">
        <v>47499</v>
      </c>
      <c r="E8443" s="8" t="s">
        <v>47500</v>
      </c>
      <c r="F8443" s="8" t="s">
        <v>47501</v>
      </c>
      <c r="G8443" s="6" t="s">
        <v>118</v>
      </c>
      <c r="H8443" s="6" t="s">
        <v>34</v>
      </c>
      <c r="I8443" s="8" t="s">
        <v>263</v>
      </c>
      <c r="J8443" s="9">
        <v>1</v>
      </c>
      <c r="K8443" s="9">
        <v>248</v>
      </c>
      <c r="L8443" s="9">
        <v>2026</v>
      </c>
      <c r="M8443" s="8" t="s">
        <v>47502</v>
      </c>
      <c r="N8443" s="8" t="s">
        <v>243</v>
      </c>
      <c r="O8443" s="8" t="s">
        <v>798</v>
      </c>
      <c r="P8443" s="6" t="s">
        <v>51</v>
      </c>
      <c r="Q8443" s="8" t="s">
        <v>265</v>
      </c>
      <c r="R8443" s="10" t="s">
        <v>47503</v>
      </c>
      <c r="S8443" s="11" t="s">
        <v>47504</v>
      </c>
      <c r="T8443" s="6"/>
      <c r="U8443" s="15" t="str">
        <f>HYPERLINK("https://media.infra-m.ru/2232/2232513/cover/2232513.jpg", "Обложка")</f>
        <v>Обложка</v>
      </c>
      <c r="V8443" s="8" t="s">
        <v>3196</v>
      </c>
      <c r="W8443" s="6"/>
      <c r="X8443" s="6"/>
      <c r="Y8443" s="6"/>
      <c r="Z8443" s="6" t="s">
        <v>267</v>
      </c>
      <c r="AA8443" s="6" t="s">
        <v>2240</v>
      </c>
      <c r="AB8443" s="8"/>
      <c r="AC8443" s="27">
        <v>9785160152141</v>
      </c>
    </row>
    <row r="8444" spans="1:29" s="4" customFormat="1" ht="51.9" customHeight="1" x14ac:dyDescent="0.2">
      <c r="A8444" s="5">
        <v>0</v>
      </c>
      <c r="B8444" s="6" t="s">
        <v>47505</v>
      </c>
      <c r="C8444" s="13">
        <v>936</v>
      </c>
      <c r="D8444" s="8" t="s">
        <v>47506</v>
      </c>
      <c r="E8444" s="8" t="s">
        <v>47500</v>
      </c>
      <c r="F8444" s="8" t="s">
        <v>47501</v>
      </c>
      <c r="G8444" s="6" t="s">
        <v>118</v>
      </c>
      <c r="H8444" s="6" t="s">
        <v>34</v>
      </c>
      <c r="I8444" s="8" t="s">
        <v>253</v>
      </c>
      <c r="J8444" s="9">
        <v>1</v>
      </c>
      <c r="K8444" s="9">
        <v>156</v>
      </c>
      <c r="L8444" s="9">
        <v>2025</v>
      </c>
      <c r="M8444" s="8" t="s">
        <v>47507</v>
      </c>
      <c r="N8444" s="8" t="s">
        <v>243</v>
      </c>
      <c r="O8444" s="8" t="s">
        <v>798</v>
      </c>
      <c r="P8444" s="6" t="s">
        <v>51</v>
      </c>
      <c r="Q8444" s="8" t="s">
        <v>52</v>
      </c>
      <c r="R8444" s="10" t="s">
        <v>6735</v>
      </c>
      <c r="S8444" s="11" t="s">
        <v>47508</v>
      </c>
      <c r="T8444" s="6" t="s">
        <v>97</v>
      </c>
      <c r="U8444" s="15" t="str">
        <f>HYPERLINK("https://media.infra-m.ru/2182/2182614/cover/2182614.jpg", "Обложка")</f>
        <v>Обложка</v>
      </c>
      <c r="V8444" s="8" t="s">
        <v>3196</v>
      </c>
      <c r="W8444" s="6"/>
      <c r="X8444" s="6"/>
      <c r="Y8444" s="6"/>
      <c r="Z8444" s="6"/>
      <c r="AA8444" s="6" t="s">
        <v>859</v>
      </c>
      <c r="AB8444" s="8"/>
      <c r="AC8444" s="27">
        <v>9785160205779</v>
      </c>
    </row>
    <row r="8445" spans="1:29" s="4" customFormat="1" ht="42" customHeight="1" x14ac:dyDescent="0.2">
      <c r="A8445" s="5">
        <v>0</v>
      </c>
      <c r="B8445" s="6" t="s">
        <v>47509</v>
      </c>
      <c r="C8445" s="7">
        <v>1560</v>
      </c>
      <c r="D8445" s="8" t="s">
        <v>47510</v>
      </c>
      <c r="E8445" s="8" t="s">
        <v>47511</v>
      </c>
      <c r="F8445" s="8" t="s">
        <v>6484</v>
      </c>
      <c r="G8445" s="6" t="s">
        <v>118</v>
      </c>
      <c r="H8445" s="6" t="s">
        <v>34</v>
      </c>
      <c r="I8445" s="8" t="s">
        <v>35</v>
      </c>
      <c r="J8445" s="9">
        <v>1</v>
      </c>
      <c r="K8445" s="9">
        <v>288</v>
      </c>
      <c r="L8445" s="9">
        <v>2023</v>
      </c>
      <c r="M8445" s="8" t="s">
        <v>47512</v>
      </c>
      <c r="N8445" s="8" t="s">
        <v>243</v>
      </c>
      <c r="O8445" s="8" t="s">
        <v>964</v>
      </c>
      <c r="P8445" s="6" t="s">
        <v>39</v>
      </c>
      <c r="Q8445" s="8" t="s">
        <v>40</v>
      </c>
      <c r="R8445" s="10" t="s">
        <v>31841</v>
      </c>
      <c r="S8445" s="11"/>
      <c r="T8445" s="6" t="s">
        <v>97</v>
      </c>
      <c r="U8445" s="15" t="str">
        <f>HYPERLINK("https://media.infra-m.ru/2002/2002631/cover/2002631.jpg", "Обложка")</f>
        <v>Обложка</v>
      </c>
      <c r="V8445" s="8" t="s">
        <v>4943</v>
      </c>
      <c r="W8445" s="6"/>
      <c r="X8445" s="6"/>
      <c r="Y8445" s="6"/>
      <c r="Z8445" s="6"/>
      <c r="AA8445" s="6" t="s">
        <v>99</v>
      </c>
      <c r="AB8445" s="8"/>
      <c r="AC8445" s="27">
        <v>9785160123776</v>
      </c>
    </row>
    <row r="8446" spans="1:29" s="4" customFormat="1" ht="51.9" customHeight="1" x14ac:dyDescent="0.2">
      <c r="A8446" s="5">
        <v>0</v>
      </c>
      <c r="B8446" s="6" t="s">
        <v>47513</v>
      </c>
      <c r="C8446" s="7">
        <v>2296.8000000000002</v>
      </c>
      <c r="D8446" s="8" t="s">
        <v>47514</v>
      </c>
      <c r="E8446" s="8" t="s">
        <v>47515</v>
      </c>
      <c r="F8446" s="8" t="s">
        <v>47516</v>
      </c>
      <c r="G8446" s="6" t="s">
        <v>60</v>
      </c>
      <c r="H8446" s="6" t="s">
        <v>1042</v>
      </c>
      <c r="I8446" s="8" t="s">
        <v>253</v>
      </c>
      <c r="J8446" s="9">
        <v>1</v>
      </c>
      <c r="K8446" s="9">
        <v>368</v>
      </c>
      <c r="L8446" s="9">
        <v>2025</v>
      </c>
      <c r="M8446" s="8" t="s">
        <v>47517</v>
      </c>
      <c r="N8446" s="8" t="s">
        <v>37</v>
      </c>
      <c r="O8446" s="8" t="s">
        <v>499</v>
      </c>
      <c r="P8446" s="6" t="s">
        <v>306</v>
      </c>
      <c r="Q8446" s="8" t="s">
        <v>52</v>
      </c>
      <c r="R8446" s="10" t="s">
        <v>12891</v>
      </c>
      <c r="S8446" s="11" t="s">
        <v>47518</v>
      </c>
      <c r="T8446" s="6"/>
      <c r="U8446" s="15" t="str">
        <f>HYPERLINK("https://media.infra-m.ru/2196/2196970/cover/2196970.jpg", "Обложка")</f>
        <v>Обложка</v>
      </c>
      <c r="V8446" s="8" t="s">
        <v>396</v>
      </c>
      <c r="W8446" s="6"/>
      <c r="X8446" s="6"/>
      <c r="Y8446" s="6"/>
      <c r="Z8446" s="6"/>
      <c r="AA8446" s="6" t="s">
        <v>55</v>
      </c>
      <c r="AB8446" s="8"/>
      <c r="AC8446" s="27">
        <v>9785819905357</v>
      </c>
    </row>
    <row r="8447" spans="1:29" s="4" customFormat="1" ht="44.1" customHeight="1" x14ac:dyDescent="0.2">
      <c r="A8447" s="5">
        <v>0</v>
      </c>
      <c r="B8447" s="6" t="s">
        <v>47519</v>
      </c>
      <c r="C8447" s="7">
        <v>1188</v>
      </c>
      <c r="D8447" s="8" t="s">
        <v>47520</v>
      </c>
      <c r="E8447" s="8" t="s">
        <v>47521</v>
      </c>
      <c r="F8447" s="8" t="s">
        <v>47522</v>
      </c>
      <c r="G8447" s="6" t="s">
        <v>33</v>
      </c>
      <c r="H8447" s="6" t="s">
        <v>34</v>
      </c>
      <c r="I8447" s="8" t="s">
        <v>35</v>
      </c>
      <c r="J8447" s="9">
        <v>1</v>
      </c>
      <c r="K8447" s="9">
        <v>207</v>
      </c>
      <c r="L8447" s="9">
        <v>2024</v>
      </c>
      <c r="M8447" s="8" t="s">
        <v>47523</v>
      </c>
      <c r="N8447" s="8" t="s">
        <v>243</v>
      </c>
      <c r="O8447" s="8" t="s">
        <v>964</v>
      </c>
      <c r="P8447" s="6" t="s">
        <v>39</v>
      </c>
      <c r="Q8447" s="8" t="s">
        <v>40</v>
      </c>
      <c r="R8447" s="10" t="s">
        <v>47524</v>
      </c>
      <c r="S8447" s="11"/>
      <c r="T8447" s="6"/>
      <c r="U8447" s="15" t="str">
        <f>HYPERLINK("https://media.infra-m.ru/2054/2054115/cover/2054115.jpg", "Обложка")</f>
        <v>Обложка</v>
      </c>
      <c r="V8447" s="8" t="s">
        <v>67</v>
      </c>
      <c r="W8447" s="6"/>
      <c r="X8447" s="6"/>
      <c r="Y8447" s="6"/>
      <c r="Z8447" s="6"/>
      <c r="AA8447" s="6" t="s">
        <v>115</v>
      </c>
      <c r="AB8447" s="8"/>
      <c r="AC8447" s="27">
        <v>9785160148458</v>
      </c>
    </row>
    <row r="8448" spans="1:29" s="4" customFormat="1" ht="51.9" customHeight="1" x14ac:dyDescent="0.2">
      <c r="A8448" s="5">
        <v>0</v>
      </c>
      <c r="B8448" s="6" t="s">
        <v>47525</v>
      </c>
      <c r="C8448" s="7">
        <v>1576.8</v>
      </c>
      <c r="D8448" s="8" t="s">
        <v>47526</v>
      </c>
      <c r="E8448" s="8" t="s">
        <v>47527</v>
      </c>
      <c r="F8448" s="8" t="s">
        <v>47528</v>
      </c>
      <c r="G8448" s="6" t="s">
        <v>60</v>
      </c>
      <c r="H8448" s="6" t="s">
        <v>5605</v>
      </c>
      <c r="I8448" s="8" t="s">
        <v>253</v>
      </c>
      <c r="J8448" s="9">
        <v>1</v>
      </c>
      <c r="K8448" s="9">
        <v>284</v>
      </c>
      <c r="L8448" s="9">
        <v>2024</v>
      </c>
      <c r="M8448" s="8" t="s">
        <v>47529</v>
      </c>
      <c r="N8448" s="8" t="s">
        <v>37</v>
      </c>
      <c r="O8448" s="8" t="s">
        <v>280</v>
      </c>
      <c r="P8448" s="6" t="s">
        <v>306</v>
      </c>
      <c r="Q8448" s="8" t="s">
        <v>52</v>
      </c>
      <c r="R8448" s="10" t="s">
        <v>47530</v>
      </c>
      <c r="S8448" s="11" t="s">
        <v>47210</v>
      </c>
      <c r="T8448" s="6"/>
      <c r="U8448" s="15" t="str">
        <f>HYPERLINK("https://media.infra-m.ru/2058/2058780/cover/2058780.jpg", "Обложка")</f>
        <v>Обложка</v>
      </c>
      <c r="V8448" s="8" t="s">
        <v>1505</v>
      </c>
      <c r="W8448" s="6"/>
      <c r="X8448" s="6"/>
      <c r="Y8448" s="6"/>
      <c r="Z8448" s="6"/>
      <c r="AA8448" s="6" t="s">
        <v>561</v>
      </c>
      <c r="AB8448" s="8"/>
      <c r="AC8448" s="27">
        <v>9785160036519</v>
      </c>
    </row>
    <row r="8449" spans="1:29" s="4" customFormat="1" ht="42" customHeight="1" x14ac:dyDescent="0.2">
      <c r="A8449" s="5">
        <v>0</v>
      </c>
      <c r="B8449" s="6" t="s">
        <v>47531</v>
      </c>
      <c r="C8449" s="7">
        <v>1504.8</v>
      </c>
      <c r="D8449" s="8" t="s">
        <v>47532</v>
      </c>
      <c r="E8449" s="8" t="s">
        <v>47533</v>
      </c>
      <c r="F8449" s="8" t="s">
        <v>47534</v>
      </c>
      <c r="G8449" s="6" t="s">
        <v>33</v>
      </c>
      <c r="H8449" s="6" t="s">
        <v>34</v>
      </c>
      <c r="I8449" s="8" t="s">
        <v>35</v>
      </c>
      <c r="J8449" s="9">
        <v>1</v>
      </c>
      <c r="K8449" s="9">
        <v>250</v>
      </c>
      <c r="L8449" s="9">
        <v>2025</v>
      </c>
      <c r="M8449" s="8" t="s">
        <v>47535</v>
      </c>
      <c r="N8449" s="8" t="s">
        <v>37</v>
      </c>
      <c r="O8449" s="8" t="s">
        <v>280</v>
      </c>
      <c r="P8449" s="6" t="s">
        <v>39</v>
      </c>
      <c r="Q8449" s="8" t="s">
        <v>40</v>
      </c>
      <c r="R8449" s="10" t="s">
        <v>14547</v>
      </c>
      <c r="S8449" s="11"/>
      <c r="T8449" s="6" t="s">
        <v>97</v>
      </c>
      <c r="U8449" s="15" t="str">
        <f>HYPERLINK("https://media.infra-m.ru/2191/2191608/cover/2191608.jpg", "Обложка")</f>
        <v>Обложка</v>
      </c>
      <c r="V8449" s="8" t="s">
        <v>1505</v>
      </c>
      <c r="W8449" s="6"/>
      <c r="X8449" s="6"/>
      <c r="Y8449" s="6"/>
      <c r="Z8449" s="6"/>
      <c r="AA8449" s="6" t="s">
        <v>248</v>
      </c>
      <c r="AB8449" s="8"/>
      <c r="AC8449" s="27">
        <v>9785160098159</v>
      </c>
    </row>
    <row r="8450" spans="1:29" s="4" customFormat="1" ht="51.9" customHeight="1" x14ac:dyDescent="0.2">
      <c r="A8450" s="5">
        <v>0</v>
      </c>
      <c r="B8450" s="6" t="s">
        <v>47536</v>
      </c>
      <c r="C8450" s="7">
        <v>1728</v>
      </c>
      <c r="D8450" s="8" t="s">
        <v>47537</v>
      </c>
      <c r="E8450" s="8" t="s">
        <v>47538</v>
      </c>
      <c r="F8450" s="8" t="s">
        <v>47539</v>
      </c>
      <c r="G8450" s="6" t="s">
        <v>118</v>
      </c>
      <c r="H8450" s="6" t="s">
        <v>34</v>
      </c>
      <c r="I8450" s="8" t="s">
        <v>35</v>
      </c>
      <c r="J8450" s="9">
        <v>1</v>
      </c>
      <c r="K8450" s="9">
        <v>272</v>
      </c>
      <c r="L8450" s="9">
        <v>2026</v>
      </c>
      <c r="M8450" s="8" t="s">
        <v>47540</v>
      </c>
      <c r="N8450" s="8" t="s">
        <v>37</v>
      </c>
      <c r="O8450" s="8" t="s">
        <v>280</v>
      </c>
      <c r="P8450" s="6" t="s">
        <v>39</v>
      </c>
      <c r="Q8450" s="8" t="s">
        <v>40</v>
      </c>
      <c r="R8450" s="10" t="s">
        <v>47541</v>
      </c>
      <c r="S8450" s="11"/>
      <c r="T8450" s="6"/>
      <c r="U8450" s="15" t="str">
        <f>HYPERLINK("https://media.infra-m.ru/2221/2221542/cover/2221542.jpg", "Обложка")</f>
        <v>Обложка</v>
      </c>
      <c r="V8450" s="8" t="s">
        <v>831</v>
      </c>
      <c r="W8450" s="6"/>
      <c r="X8450" s="6"/>
      <c r="Y8450" s="6"/>
      <c r="Z8450" s="6"/>
      <c r="AA8450" s="6" t="s">
        <v>76</v>
      </c>
      <c r="AB8450" s="8"/>
      <c r="AC8450" s="27">
        <v>9785160199429</v>
      </c>
    </row>
    <row r="8451" spans="1:29" s="4" customFormat="1" ht="51.9" customHeight="1" x14ac:dyDescent="0.2">
      <c r="A8451" s="5">
        <v>0</v>
      </c>
      <c r="B8451" s="6" t="s">
        <v>47542</v>
      </c>
      <c r="C8451" s="7">
        <v>1289.9000000000001</v>
      </c>
      <c r="D8451" s="8" t="s">
        <v>47543</v>
      </c>
      <c r="E8451" s="8" t="s">
        <v>47544</v>
      </c>
      <c r="F8451" s="8" t="s">
        <v>9977</v>
      </c>
      <c r="G8451" s="6" t="s">
        <v>60</v>
      </c>
      <c r="H8451" s="6" t="s">
        <v>34</v>
      </c>
      <c r="I8451" s="8" t="s">
        <v>5931</v>
      </c>
      <c r="J8451" s="9">
        <v>1</v>
      </c>
      <c r="K8451" s="9">
        <v>336</v>
      </c>
      <c r="L8451" s="9">
        <v>2019</v>
      </c>
      <c r="M8451" s="8" t="s">
        <v>47545</v>
      </c>
      <c r="N8451" s="8" t="s">
        <v>37</v>
      </c>
      <c r="O8451" s="8" t="s">
        <v>280</v>
      </c>
      <c r="P8451" s="6" t="s">
        <v>306</v>
      </c>
      <c r="Q8451" s="8" t="s">
        <v>40</v>
      </c>
      <c r="R8451" s="10" t="s">
        <v>47530</v>
      </c>
      <c r="S8451" s="11" t="s">
        <v>28636</v>
      </c>
      <c r="T8451" s="6"/>
      <c r="U8451" s="15" t="str">
        <f>HYPERLINK("https://media.infra-m.ru/1009/1009437/cover/1009437.jpg", "Обложка")</f>
        <v>Обложка</v>
      </c>
      <c r="V8451" s="8" t="s">
        <v>3196</v>
      </c>
      <c r="W8451" s="6"/>
      <c r="X8451" s="6"/>
      <c r="Y8451" s="6"/>
      <c r="Z8451" s="6"/>
      <c r="AA8451" s="6" t="s">
        <v>718</v>
      </c>
      <c r="AB8451" s="8"/>
      <c r="AC8451" s="27">
        <v>9785160066127</v>
      </c>
    </row>
    <row r="8452" spans="1:29" s="4" customFormat="1" ht="51.9" customHeight="1" x14ac:dyDescent="0.2">
      <c r="A8452" s="5">
        <v>0</v>
      </c>
      <c r="B8452" s="6" t="s">
        <v>47546</v>
      </c>
      <c r="C8452" s="7">
        <v>2220</v>
      </c>
      <c r="D8452" s="8" t="s">
        <v>47547</v>
      </c>
      <c r="E8452" s="8" t="s">
        <v>47548</v>
      </c>
      <c r="F8452" s="8" t="s">
        <v>47549</v>
      </c>
      <c r="G8452" s="6" t="s">
        <v>118</v>
      </c>
      <c r="H8452" s="6" t="s">
        <v>34</v>
      </c>
      <c r="I8452" s="8" t="s">
        <v>5931</v>
      </c>
      <c r="J8452" s="9">
        <v>1</v>
      </c>
      <c r="K8452" s="9">
        <v>393</v>
      </c>
      <c r="L8452" s="9">
        <v>2024</v>
      </c>
      <c r="M8452" s="8" t="s">
        <v>47550</v>
      </c>
      <c r="N8452" s="8" t="s">
        <v>37</v>
      </c>
      <c r="O8452" s="8" t="s">
        <v>280</v>
      </c>
      <c r="P8452" s="6" t="s">
        <v>306</v>
      </c>
      <c r="Q8452" s="8" t="s">
        <v>40</v>
      </c>
      <c r="R8452" s="10" t="s">
        <v>47530</v>
      </c>
      <c r="S8452" s="11" t="s">
        <v>28636</v>
      </c>
      <c r="T8452" s="6" t="s">
        <v>97</v>
      </c>
      <c r="U8452" s="15" t="str">
        <f>HYPERLINK("https://media.infra-m.ru/2140/2140769/cover/2140769.jpg", "Обложка")</f>
        <v>Обложка</v>
      </c>
      <c r="V8452" s="8" t="s">
        <v>6224</v>
      </c>
      <c r="W8452" s="6"/>
      <c r="X8452" s="6"/>
      <c r="Y8452" s="6"/>
      <c r="Z8452" s="6"/>
      <c r="AA8452" s="6" t="s">
        <v>1031</v>
      </c>
      <c r="AB8452" s="8"/>
      <c r="AC8452" s="27">
        <v>9785160153766</v>
      </c>
    </row>
    <row r="8453" spans="1:29" s="4" customFormat="1" ht="44.1" customHeight="1" x14ac:dyDescent="0.2">
      <c r="A8453" s="5">
        <v>0</v>
      </c>
      <c r="B8453" s="6" t="s">
        <v>47551</v>
      </c>
      <c r="C8453" s="13">
        <v>700.8</v>
      </c>
      <c r="D8453" s="8" t="s">
        <v>47552</v>
      </c>
      <c r="E8453" s="8" t="s">
        <v>47553</v>
      </c>
      <c r="F8453" s="8" t="s">
        <v>37634</v>
      </c>
      <c r="G8453" s="6" t="s">
        <v>33</v>
      </c>
      <c r="H8453" s="6" t="s">
        <v>34</v>
      </c>
      <c r="I8453" s="8" t="s">
        <v>1081</v>
      </c>
      <c r="J8453" s="9">
        <v>1</v>
      </c>
      <c r="K8453" s="9">
        <v>130</v>
      </c>
      <c r="L8453" s="9">
        <v>2023</v>
      </c>
      <c r="M8453" s="8" t="s">
        <v>47554</v>
      </c>
      <c r="N8453" s="8" t="s">
        <v>243</v>
      </c>
      <c r="O8453" s="8" t="s">
        <v>244</v>
      </c>
      <c r="P8453" s="6" t="s">
        <v>39</v>
      </c>
      <c r="Q8453" s="8" t="s">
        <v>40</v>
      </c>
      <c r="R8453" s="10" t="s">
        <v>47555</v>
      </c>
      <c r="S8453" s="11"/>
      <c r="T8453" s="6"/>
      <c r="U8453" s="15" t="str">
        <f>HYPERLINK("https://media.infra-m.ru/2006/2006859/cover/2006859.jpg", "Обложка")</f>
        <v>Обложка</v>
      </c>
      <c r="V8453" s="8" t="s">
        <v>1083</v>
      </c>
      <c r="W8453" s="6"/>
      <c r="X8453" s="6"/>
      <c r="Y8453" s="6"/>
      <c r="Z8453" s="6"/>
      <c r="AA8453" s="6" t="s">
        <v>86</v>
      </c>
      <c r="AB8453" s="8"/>
      <c r="AC8453" s="27">
        <v>9785160132426</v>
      </c>
    </row>
    <row r="8454" spans="1:29" s="4" customFormat="1" ht="51.9" customHeight="1" x14ac:dyDescent="0.2">
      <c r="A8454" s="5">
        <v>0</v>
      </c>
      <c r="B8454" s="6" t="s">
        <v>47556</v>
      </c>
      <c r="C8454" s="7">
        <v>1188</v>
      </c>
      <c r="D8454" s="8" t="s">
        <v>47557</v>
      </c>
      <c r="E8454" s="8" t="s">
        <v>47558</v>
      </c>
      <c r="F8454" s="8" t="s">
        <v>47559</v>
      </c>
      <c r="G8454" s="6" t="s">
        <v>60</v>
      </c>
      <c r="H8454" s="6" t="s">
        <v>241</v>
      </c>
      <c r="I8454" s="8" t="s">
        <v>47560</v>
      </c>
      <c r="J8454" s="9">
        <v>1</v>
      </c>
      <c r="K8454" s="9">
        <v>236</v>
      </c>
      <c r="L8454" s="9">
        <v>2022</v>
      </c>
      <c r="M8454" s="8" t="s">
        <v>47561</v>
      </c>
      <c r="N8454" s="8" t="s">
        <v>37</v>
      </c>
      <c r="O8454" s="8" t="s">
        <v>280</v>
      </c>
      <c r="P8454" s="6" t="s">
        <v>306</v>
      </c>
      <c r="Q8454" s="8" t="s">
        <v>52</v>
      </c>
      <c r="R8454" s="10" t="s">
        <v>19842</v>
      </c>
      <c r="S8454" s="11" t="s">
        <v>47562</v>
      </c>
      <c r="T8454" s="6"/>
      <c r="U8454" s="15" t="str">
        <f>HYPERLINK("https://media.infra-m.ru/1864/1864973/cover/1864973.jpg", "Обложка")</f>
        <v>Обложка</v>
      </c>
      <c r="V8454" s="8" t="s">
        <v>247</v>
      </c>
      <c r="W8454" s="6"/>
      <c r="X8454" s="6"/>
      <c r="Y8454" s="6"/>
      <c r="Z8454" s="6"/>
      <c r="AA8454" s="6" t="s">
        <v>779</v>
      </c>
      <c r="AB8454" s="8"/>
      <c r="AC8454" s="27">
        <v>9785955804323</v>
      </c>
    </row>
    <row r="8455" spans="1:29" s="4" customFormat="1" ht="51.9" customHeight="1" x14ac:dyDescent="0.2">
      <c r="A8455" s="5">
        <v>0</v>
      </c>
      <c r="B8455" s="6" t="s">
        <v>47563</v>
      </c>
      <c r="C8455" s="7">
        <v>1704</v>
      </c>
      <c r="D8455" s="8" t="s">
        <v>47564</v>
      </c>
      <c r="E8455" s="8" t="s">
        <v>47565</v>
      </c>
      <c r="F8455" s="8" t="s">
        <v>47559</v>
      </c>
      <c r="G8455" s="6" t="s">
        <v>118</v>
      </c>
      <c r="H8455" s="6" t="s">
        <v>34</v>
      </c>
      <c r="I8455" s="8" t="s">
        <v>253</v>
      </c>
      <c r="J8455" s="9">
        <v>1</v>
      </c>
      <c r="K8455" s="9">
        <v>258</v>
      </c>
      <c r="L8455" s="9">
        <v>2026</v>
      </c>
      <c r="M8455" s="8" t="s">
        <v>47566</v>
      </c>
      <c r="N8455" s="8" t="s">
        <v>37</v>
      </c>
      <c r="O8455" s="8" t="s">
        <v>233</v>
      </c>
      <c r="P8455" s="6" t="s">
        <v>306</v>
      </c>
      <c r="Q8455" s="8" t="s">
        <v>52</v>
      </c>
      <c r="R8455" s="10" t="s">
        <v>19842</v>
      </c>
      <c r="S8455" s="11" t="s">
        <v>47567</v>
      </c>
      <c r="T8455" s="6"/>
      <c r="U8455" s="15" t="str">
        <f>HYPERLINK("https://media.infra-m.ru/2250/2250771/cover/2250771.jpg", "Обложка")</f>
        <v>Обложка</v>
      </c>
      <c r="V8455" s="8" t="s">
        <v>247</v>
      </c>
      <c r="W8455" s="6"/>
      <c r="X8455" s="6"/>
      <c r="Y8455" s="6"/>
      <c r="Z8455" s="6"/>
      <c r="AA8455" s="6" t="s">
        <v>1303</v>
      </c>
      <c r="AB8455" s="8"/>
      <c r="AC8455" s="27">
        <v>9785160221120</v>
      </c>
    </row>
    <row r="8456" spans="1:29" s="4" customFormat="1" ht="51.9" customHeight="1" x14ac:dyDescent="0.2">
      <c r="A8456" s="5">
        <v>0</v>
      </c>
      <c r="B8456" s="6" t="s">
        <v>47568</v>
      </c>
      <c r="C8456" s="7">
        <v>1344</v>
      </c>
      <c r="D8456" s="8" t="s">
        <v>47569</v>
      </c>
      <c r="E8456" s="8" t="s">
        <v>47570</v>
      </c>
      <c r="F8456" s="8" t="s">
        <v>47571</v>
      </c>
      <c r="G8456" s="6" t="s">
        <v>33</v>
      </c>
      <c r="H8456" s="6" t="s">
        <v>34</v>
      </c>
      <c r="I8456" s="8" t="s">
        <v>457</v>
      </c>
      <c r="J8456" s="9">
        <v>1</v>
      </c>
      <c r="K8456" s="9">
        <v>223</v>
      </c>
      <c r="L8456" s="9">
        <v>2025</v>
      </c>
      <c r="M8456" s="8" t="s">
        <v>47572</v>
      </c>
      <c r="N8456" s="8" t="s">
        <v>37</v>
      </c>
      <c r="O8456" s="8" t="s">
        <v>280</v>
      </c>
      <c r="P8456" s="6" t="s">
        <v>39</v>
      </c>
      <c r="Q8456" s="8" t="s">
        <v>40</v>
      </c>
      <c r="R8456" s="10" t="s">
        <v>47573</v>
      </c>
      <c r="S8456" s="11"/>
      <c r="T8456" s="6"/>
      <c r="U8456" s="15" t="str">
        <f>HYPERLINK("https://media.infra-m.ru/2172/2172569/cover/2172569.jpg", "Обложка")</f>
        <v>Обложка</v>
      </c>
      <c r="V8456" s="8" t="s">
        <v>247</v>
      </c>
      <c r="W8456" s="6"/>
      <c r="X8456" s="6"/>
      <c r="Y8456" s="6"/>
      <c r="Z8456" s="6"/>
      <c r="AA8456" s="6" t="s">
        <v>76</v>
      </c>
      <c r="AB8456" s="8" t="s">
        <v>2208</v>
      </c>
      <c r="AC8456" s="27">
        <v>9785160186979</v>
      </c>
    </row>
    <row r="8457" spans="1:29" s="4" customFormat="1" ht="42" customHeight="1" x14ac:dyDescent="0.2">
      <c r="A8457" s="5">
        <v>0</v>
      </c>
      <c r="B8457" s="6" t="s">
        <v>47574</v>
      </c>
      <c r="C8457" s="7">
        <v>1092</v>
      </c>
      <c r="D8457" s="8" t="s">
        <v>47575</v>
      </c>
      <c r="E8457" s="8" t="s">
        <v>47576</v>
      </c>
      <c r="F8457" s="8" t="s">
        <v>47577</v>
      </c>
      <c r="G8457" s="6" t="s">
        <v>60</v>
      </c>
      <c r="H8457" s="6" t="s">
        <v>34</v>
      </c>
      <c r="I8457" s="8" t="s">
        <v>35</v>
      </c>
      <c r="J8457" s="9">
        <v>1</v>
      </c>
      <c r="K8457" s="9">
        <v>170</v>
      </c>
      <c r="L8457" s="9">
        <v>2025</v>
      </c>
      <c r="M8457" s="8" t="s">
        <v>47578</v>
      </c>
      <c r="N8457" s="8" t="s">
        <v>37</v>
      </c>
      <c r="O8457" s="8" t="s">
        <v>280</v>
      </c>
      <c r="P8457" s="6" t="s">
        <v>39</v>
      </c>
      <c r="Q8457" s="8" t="s">
        <v>40</v>
      </c>
      <c r="R8457" s="10" t="s">
        <v>1646</v>
      </c>
      <c r="S8457" s="11"/>
      <c r="T8457" s="6"/>
      <c r="U8457" s="15" t="str">
        <f>HYPERLINK("https://media.infra-m.ru/2150/2150883/cover/2150883.jpg", "Обложка")</f>
        <v>Обложка</v>
      </c>
      <c r="V8457" s="8" t="s">
        <v>35615</v>
      </c>
      <c r="W8457" s="6"/>
      <c r="X8457" s="6"/>
      <c r="Y8457" s="6"/>
      <c r="Z8457" s="6"/>
      <c r="AA8457" s="6" t="s">
        <v>68</v>
      </c>
      <c r="AB8457" s="8"/>
      <c r="AC8457" s="27">
        <v>9785160199900</v>
      </c>
    </row>
    <row r="8458" spans="1:29" s="4" customFormat="1" ht="42" customHeight="1" x14ac:dyDescent="0.2">
      <c r="A8458" s="5">
        <v>0</v>
      </c>
      <c r="B8458" s="6" t="s">
        <v>47579</v>
      </c>
      <c r="C8458" s="7">
        <v>1500</v>
      </c>
      <c r="D8458" s="8" t="s">
        <v>47580</v>
      </c>
      <c r="E8458" s="8" t="s">
        <v>47581</v>
      </c>
      <c r="F8458" s="8" t="s">
        <v>47582</v>
      </c>
      <c r="G8458" s="6" t="s">
        <v>118</v>
      </c>
      <c r="H8458" s="6" t="s">
        <v>313</v>
      </c>
      <c r="I8458" s="8" t="s">
        <v>253</v>
      </c>
      <c r="J8458" s="9">
        <v>1</v>
      </c>
      <c r="K8458" s="9">
        <v>266</v>
      </c>
      <c r="L8458" s="9">
        <v>2024</v>
      </c>
      <c r="M8458" s="8" t="s">
        <v>47583</v>
      </c>
      <c r="N8458" s="8" t="s">
        <v>37</v>
      </c>
      <c r="O8458" s="8" t="s">
        <v>280</v>
      </c>
      <c r="P8458" s="6" t="s">
        <v>51</v>
      </c>
      <c r="Q8458" s="8" t="s">
        <v>65</v>
      </c>
      <c r="R8458" s="10" t="s">
        <v>3013</v>
      </c>
      <c r="S8458" s="11"/>
      <c r="T8458" s="6"/>
      <c r="U8458" s="15" t="str">
        <f>HYPERLINK("https://media.infra-m.ru/2128/2128122/cover/2128122.jpg", "Обложка")</f>
        <v>Обложка</v>
      </c>
      <c r="V8458" s="8" t="s">
        <v>4038</v>
      </c>
      <c r="W8458" s="6"/>
      <c r="X8458" s="6"/>
      <c r="Y8458" s="6"/>
      <c r="Z8458" s="6"/>
      <c r="AA8458" s="6" t="s">
        <v>86</v>
      </c>
      <c r="AB8458" s="8"/>
      <c r="AC8458" s="27">
        <v>9785369017111</v>
      </c>
    </row>
    <row r="8459" spans="1:29" s="4" customFormat="1" ht="51.9" customHeight="1" x14ac:dyDescent="0.2">
      <c r="A8459" s="5">
        <v>0</v>
      </c>
      <c r="B8459" s="6" t="s">
        <v>47584</v>
      </c>
      <c r="C8459" s="7">
        <v>1404</v>
      </c>
      <c r="D8459" s="8" t="s">
        <v>47585</v>
      </c>
      <c r="E8459" s="8" t="s">
        <v>47586</v>
      </c>
      <c r="F8459" s="8" t="s">
        <v>47587</v>
      </c>
      <c r="G8459" s="6" t="s">
        <v>118</v>
      </c>
      <c r="H8459" s="6" t="s">
        <v>34</v>
      </c>
      <c r="I8459" s="8" t="s">
        <v>1501</v>
      </c>
      <c r="J8459" s="9">
        <v>1</v>
      </c>
      <c r="K8459" s="9">
        <v>235</v>
      </c>
      <c r="L8459" s="9">
        <v>2025</v>
      </c>
      <c r="M8459" s="8" t="s">
        <v>47588</v>
      </c>
      <c r="N8459" s="8" t="s">
        <v>37</v>
      </c>
      <c r="O8459" s="8" t="s">
        <v>280</v>
      </c>
      <c r="P8459" s="6" t="s">
        <v>306</v>
      </c>
      <c r="Q8459" s="8" t="s">
        <v>749</v>
      </c>
      <c r="R8459" s="10" t="s">
        <v>47589</v>
      </c>
      <c r="S8459" s="11" t="s">
        <v>1504</v>
      </c>
      <c r="T8459" s="6"/>
      <c r="U8459" s="15" t="str">
        <f>HYPERLINK("https://media.infra-m.ru/2155/2155930/cover/2155930.jpg", "Обложка")</f>
        <v>Обложка</v>
      </c>
      <c r="V8459" s="8" t="s">
        <v>396</v>
      </c>
      <c r="W8459" s="6"/>
      <c r="X8459" s="6"/>
      <c r="Y8459" s="6"/>
      <c r="Z8459" s="6"/>
      <c r="AA8459" s="6" t="s">
        <v>4554</v>
      </c>
      <c r="AB8459" s="8"/>
      <c r="AC8459" s="27">
        <v>9785160021966</v>
      </c>
    </row>
    <row r="8460" spans="1:29" s="4" customFormat="1" ht="51.9" customHeight="1" x14ac:dyDescent="0.2">
      <c r="A8460" s="5">
        <v>0</v>
      </c>
      <c r="B8460" s="6" t="s">
        <v>47590</v>
      </c>
      <c r="C8460" s="7">
        <v>1504.8</v>
      </c>
      <c r="D8460" s="8" t="s">
        <v>47591</v>
      </c>
      <c r="E8460" s="8" t="s">
        <v>47586</v>
      </c>
      <c r="F8460" s="8" t="s">
        <v>47592</v>
      </c>
      <c r="G8460" s="6" t="s">
        <v>60</v>
      </c>
      <c r="H8460" s="6" t="s">
        <v>34</v>
      </c>
      <c r="I8460" s="8" t="s">
        <v>271</v>
      </c>
      <c r="J8460" s="9">
        <v>1</v>
      </c>
      <c r="K8460" s="9">
        <v>272</v>
      </c>
      <c r="L8460" s="9">
        <v>2024</v>
      </c>
      <c r="M8460" s="8" t="s">
        <v>47593</v>
      </c>
      <c r="N8460" s="8" t="s">
        <v>37</v>
      </c>
      <c r="O8460" s="8" t="s">
        <v>280</v>
      </c>
      <c r="P8460" s="6" t="s">
        <v>51</v>
      </c>
      <c r="Q8460" s="8" t="s">
        <v>52</v>
      </c>
      <c r="R8460" s="10" t="s">
        <v>40437</v>
      </c>
      <c r="S8460" s="11" t="s">
        <v>47594</v>
      </c>
      <c r="T8460" s="6"/>
      <c r="U8460" s="15" t="str">
        <f>HYPERLINK("https://media.infra-m.ru/2120/2120776/cover/2120776.jpg", "Обложка")</f>
        <v>Обложка</v>
      </c>
      <c r="V8460" s="8" t="s">
        <v>1030</v>
      </c>
      <c r="W8460" s="6"/>
      <c r="X8460" s="6"/>
      <c r="Y8460" s="6"/>
      <c r="Z8460" s="6"/>
      <c r="AA8460" s="6" t="s">
        <v>779</v>
      </c>
      <c r="AB8460" s="8"/>
      <c r="AC8460" s="27">
        <v>9785160095073</v>
      </c>
    </row>
    <row r="8461" spans="1:29" s="4" customFormat="1" ht="51.9" customHeight="1" x14ac:dyDescent="0.2">
      <c r="A8461" s="5">
        <v>0</v>
      </c>
      <c r="B8461" s="6" t="s">
        <v>47595</v>
      </c>
      <c r="C8461" s="7">
        <v>1176</v>
      </c>
      <c r="D8461" s="8" t="s">
        <v>47596</v>
      </c>
      <c r="E8461" s="8" t="s">
        <v>47586</v>
      </c>
      <c r="F8461" s="8" t="s">
        <v>47597</v>
      </c>
      <c r="G8461" s="6" t="s">
        <v>118</v>
      </c>
      <c r="H8461" s="6" t="s">
        <v>34</v>
      </c>
      <c r="I8461" s="8" t="s">
        <v>10112</v>
      </c>
      <c r="J8461" s="9">
        <v>1</v>
      </c>
      <c r="K8461" s="9">
        <v>210</v>
      </c>
      <c r="L8461" s="9">
        <v>2024</v>
      </c>
      <c r="M8461" s="8" t="s">
        <v>47598</v>
      </c>
      <c r="N8461" s="8" t="s">
        <v>37</v>
      </c>
      <c r="O8461" s="8" t="s">
        <v>280</v>
      </c>
      <c r="P8461" s="6" t="s">
        <v>51</v>
      </c>
      <c r="Q8461" s="8" t="s">
        <v>500</v>
      </c>
      <c r="R8461" s="10" t="s">
        <v>47599</v>
      </c>
      <c r="S8461" s="11" t="s">
        <v>47600</v>
      </c>
      <c r="T8461" s="6"/>
      <c r="U8461" s="15" t="str">
        <f>HYPERLINK("https://media.infra-m.ru/2142/2142536/cover/2142536.jpg", "Обложка")</f>
        <v>Обложка</v>
      </c>
      <c r="V8461" s="8" t="s">
        <v>1083</v>
      </c>
      <c r="W8461" s="6"/>
      <c r="X8461" s="6"/>
      <c r="Y8461" s="6"/>
      <c r="Z8461" s="6"/>
      <c r="AA8461" s="6" t="s">
        <v>86</v>
      </c>
      <c r="AB8461" s="8"/>
      <c r="AC8461" s="27">
        <v>9785160133140</v>
      </c>
    </row>
    <row r="8462" spans="1:29" s="4" customFormat="1" ht="51.9" customHeight="1" x14ac:dyDescent="0.2">
      <c r="A8462" s="5">
        <v>0</v>
      </c>
      <c r="B8462" s="6" t="s">
        <v>47601</v>
      </c>
      <c r="C8462" s="7">
        <v>2856</v>
      </c>
      <c r="D8462" s="8" t="s">
        <v>47602</v>
      </c>
      <c r="E8462" s="8" t="s">
        <v>47603</v>
      </c>
      <c r="F8462" s="8" t="s">
        <v>47604</v>
      </c>
      <c r="G8462" s="6" t="s">
        <v>60</v>
      </c>
      <c r="H8462" s="6" t="s">
        <v>241</v>
      </c>
      <c r="I8462" s="8"/>
      <c r="J8462" s="9">
        <v>1</v>
      </c>
      <c r="K8462" s="9">
        <v>476</v>
      </c>
      <c r="L8462" s="9">
        <v>2025</v>
      </c>
      <c r="M8462" s="8" t="s">
        <v>47605</v>
      </c>
      <c r="N8462" s="8" t="s">
        <v>93</v>
      </c>
      <c r="O8462" s="8" t="s">
        <v>94</v>
      </c>
      <c r="P8462" s="6" t="s">
        <v>4401</v>
      </c>
      <c r="Q8462" s="8" t="s">
        <v>52</v>
      </c>
      <c r="R8462" s="10" t="s">
        <v>47606</v>
      </c>
      <c r="S8462" s="11" t="s">
        <v>47607</v>
      </c>
      <c r="T8462" s="6"/>
      <c r="U8462" s="15" t="str">
        <f>HYPERLINK("https://media.infra-m.ru/2143/2143250/cover/2143250.jpg", "Обложка")</f>
        <v>Обложка</v>
      </c>
      <c r="V8462" s="8" t="s">
        <v>1599</v>
      </c>
      <c r="W8462" s="6"/>
      <c r="X8462" s="6"/>
      <c r="Y8462" s="6"/>
      <c r="Z8462" s="6"/>
      <c r="AA8462" s="6" t="s">
        <v>248</v>
      </c>
      <c r="AB8462" s="8"/>
      <c r="AC8462" s="27">
        <v>9785955803685</v>
      </c>
    </row>
    <row r="8463" spans="1:29" s="4" customFormat="1" ht="51.9" customHeight="1" x14ac:dyDescent="0.2">
      <c r="A8463" s="5">
        <v>0</v>
      </c>
      <c r="B8463" s="6" t="s">
        <v>47608</v>
      </c>
      <c r="C8463" s="7">
        <v>1577.9</v>
      </c>
      <c r="D8463" s="8" t="s">
        <v>47609</v>
      </c>
      <c r="E8463" s="8" t="s">
        <v>47610</v>
      </c>
      <c r="F8463" s="8" t="s">
        <v>661</v>
      </c>
      <c r="G8463" s="6" t="s">
        <v>60</v>
      </c>
      <c r="H8463" s="6" t="s">
        <v>34</v>
      </c>
      <c r="I8463" s="8" t="s">
        <v>5931</v>
      </c>
      <c r="J8463" s="9">
        <v>1</v>
      </c>
      <c r="K8463" s="9">
        <v>345</v>
      </c>
      <c r="L8463" s="9">
        <v>2022</v>
      </c>
      <c r="M8463" s="8" t="s">
        <v>47611</v>
      </c>
      <c r="N8463" s="8" t="s">
        <v>37</v>
      </c>
      <c r="O8463" s="8" t="s">
        <v>280</v>
      </c>
      <c r="P8463" s="6" t="s">
        <v>306</v>
      </c>
      <c r="Q8463" s="8" t="s">
        <v>52</v>
      </c>
      <c r="R8463" s="10" t="s">
        <v>23049</v>
      </c>
      <c r="S8463" s="11"/>
      <c r="T8463" s="6"/>
      <c r="U8463" s="15" t="str">
        <f>HYPERLINK("https://media.infra-m.ru/1852/1852612/cover/1852612.jpg", "Обложка")</f>
        <v>Обложка</v>
      </c>
      <c r="V8463" s="8" t="s">
        <v>3196</v>
      </c>
      <c r="W8463" s="6"/>
      <c r="X8463" s="6"/>
      <c r="Y8463" s="6"/>
      <c r="Z8463" s="6"/>
      <c r="AA8463" s="6" t="s">
        <v>718</v>
      </c>
      <c r="AB8463" s="8"/>
      <c r="AC8463" s="27">
        <v>9785160053653</v>
      </c>
    </row>
    <row r="8464" spans="1:29" s="4" customFormat="1" ht="51.9" customHeight="1" x14ac:dyDescent="0.2">
      <c r="A8464" s="5">
        <v>0</v>
      </c>
      <c r="B8464" s="6" t="s">
        <v>47612</v>
      </c>
      <c r="C8464" s="7">
        <v>2100</v>
      </c>
      <c r="D8464" s="8" t="s">
        <v>47613</v>
      </c>
      <c r="E8464" s="8" t="s">
        <v>47614</v>
      </c>
      <c r="F8464" s="8" t="s">
        <v>47615</v>
      </c>
      <c r="G8464" s="6" t="s">
        <v>60</v>
      </c>
      <c r="H8464" s="6" t="s">
        <v>34</v>
      </c>
      <c r="I8464" s="8" t="s">
        <v>5931</v>
      </c>
      <c r="J8464" s="9">
        <v>1</v>
      </c>
      <c r="K8464" s="9">
        <v>372</v>
      </c>
      <c r="L8464" s="9">
        <v>2024</v>
      </c>
      <c r="M8464" s="8" t="s">
        <v>47616</v>
      </c>
      <c r="N8464" s="8" t="s">
        <v>37</v>
      </c>
      <c r="O8464" s="8" t="s">
        <v>280</v>
      </c>
      <c r="P8464" s="6" t="s">
        <v>306</v>
      </c>
      <c r="Q8464" s="8" t="s">
        <v>65</v>
      </c>
      <c r="R8464" s="10" t="s">
        <v>23049</v>
      </c>
      <c r="S8464" s="11"/>
      <c r="T8464" s="6"/>
      <c r="U8464" s="15" t="str">
        <f>HYPERLINK("https://media.infra-m.ru/2085/2085057/cover/2085057.jpg", "Обложка")</f>
        <v>Обложка</v>
      </c>
      <c r="V8464" s="8" t="s">
        <v>6224</v>
      </c>
      <c r="W8464" s="6"/>
      <c r="X8464" s="6"/>
      <c r="Y8464" s="6"/>
      <c r="Z8464" s="6"/>
      <c r="AA8464" s="6" t="s">
        <v>5476</v>
      </c>
      <c r="AB8464" s="8"/>
      <c r="AC8464" s="27">
        <v>9785160190655</v>
      </c>
    </row>
    <row r="8465" spans="1:29" s="4" customFormat="1" ht="51.9" customHeight="1" x14ac:dyDescent="0.2">
      <c r="A8465" s="5">
        <v>0</v>
      </c>
      <c r="B8465" s="6" t="s">
        <v>47617</v>
      </c>
      <c r="C8465" s="7">
        <v>1432.8</v>
      </c>
      <c r="D8465" s="8" t="s">
        <v>47618</v>
      </c>
      <c r="E8465" s="8" t="s">
        <v>47619</v>
      </c>
      <c r="F8465" s="8" t="s">
        <v>6466</v>
      </c>
      <c r="G8465" s="6" t="s">
        <v>60</v>
      </c>
      <c r="H8465" s="6" t="s">
        <v>34</v>
      </c>
      <c r="I8465" s="8" t="s">
        <v>35</v>
      </c>
      <c r="J8465" s="9">
        <v>1</v>
      </c>
      <c r="K8465" s="9">
        <v>238</v>
      </c>
      <c r="L8465" s="9">
        <v>2025</v>
      </c>
      <c r="M8465" s="8" t="s">
        <v>47620</v>
      </c>
      <c r="N8465" s="8" t="s">
        <v>37</v>
      </c>
      <c r="O8465" s="8" t="s">
        <v>280</v>
      </c>
      <c r="P8465" s="6" t="s">
        <v>39</v>
      </c>
      <c r="Q8465" s="8" t="s">
        <v>40</v>
      </c>
      <c r="R8465" s="10" t="s">
        <v>47621</v>
      </c>
      <c r="S8465" s="11"/>
      <c r="T8465" s="6"/>
      <c r="U8465" s="15" t="str">
        <f>HYPERLINK("https://media.infra-m.ru/2161/2161461/cover/2161461.jpg", "Обложка")</f>
        <v>Обложка</v>
      </c>
      <c r="V8465" s="8" t="s">
        <v>4892</v>
      </c>
      <c r="W8465" s="6"/>
      <c r="X8465" s="6"/>
      <c r="Y8465" s="6"/>
      <c r="Z8465" s="6"/>
      <c r="AA8465" s="6" t="s">
        <v>430</v>
      </c>
      <c r="AB8465" s="8"/>
      <c r="AC8465" s="27">
        <v>9785160163543</v>
      </c>
    </row>
    <row r="8466" spans="1:29" s="4" customFormat="1" ht="51.9" customHeight="1" x14ac:dyDescent="0.2">
      <c r="A8466" s="5">
        <v>0</v>
      </c>
      <c r="B8466" s="6" t="s">
        <v>47622</v>
      </c>
      <c r="C8466" s="7">
        <v>2328</v>
      </c>
      <c r="D8466" s="8" t="s">
        <v>47623</v>
      </c>
      <c r="E8466" s="8" t="s">
        <v>47624</v>
      </c>
      <c r="F8466" s="8" t="s">
        <v>6484</v>
      </c>
      <c r="G8466" s="6" t="s">
        <v>118</v>
      </c>
      <c r="H8466" s="6" t="s">
        <v>34</v>
      </c>
      <c r="I8466" s="8" t="s">
        <v>253</v>
      </c>
      <c r="J8466" s="9">
        <v>1</v>
      </c>
      <c r="K8466" s="9">
        <v>368</v>
      </c>
      <c r="L8466" s="9">
        <v>2026</v>
      </c>
      <c r="M8466" s="8" t="s">
        <v>47625</v>
      </c>
      <c r="N8466" s="8" t="s">
        <v>243</v>
      </c>
      <c r="O8466" s="8" t="s">
        <v>964</v>
      </c>
      <c r="P8466" s="6" t="s">
        <v>51</v>
      </c>
      <c r="Q8466" s="8" t="s">
        <v>52</v>
      </c>
      <c r="R8466" s="10" t="s">
        <v>47626</v>
      </c>
      <c r="S8466" s="11" t="s">
        <v>47627</v>
      </c>
      <c r="T8466" s="6" t="s">
        <v>97</v>
      </c>
      <c r="U8466" s="15" t="str">
        <f>HYPERLINK("https://media.infra-m.ru/2218/2218834/cover/2218834.jpg", "Обложка")</f>
        <v>Обложка</v>
      </c>
      <c r="V8466" s="8" t="s">
        <v>4943</v>
      </c>
      <c r="W8466" s="6"/>
      <c r="X8466" s="6"/>
      <c r="Y8466" s="6"/>
      <c r="Z8466" s="6"/>
      <c r="AA8466" s="6" t="s">
        <v>779</v>
      </c>
      <c r="AB8466" s="8"/>
      <c r="AC8466" s="27">
        <v>9785160212586</v>
      </c>
    </row>
    <row r="8467" spans="1:29" s="4" customFormat="1" ht="51.9" customHeight="1" x14ac:dyDescent="0.2">
      <c r="A8467" s="5">
        <v>0</v>
      </c>
      <c r="B8467" s="6" t="s">
        <v>47628</v>
      </c>
      <c r="C8467" s="7">
        <v>1488</v>
      </c>
      <c r="D8467" s="8" t="s">
        <v>47629</v>
      </c>
      <c r="E8467" s="8" t="s">
        <v>47630</v>
      </c>
      <c r="F8467" s="8" t="s">
        <v>6484</v>
      </c>
      <c r="G8467" s="6" t="s">
        <v>118</v>
      </c>
      <c r="H8467" s="6" t="s">
        <v>34</v>
      </c>
      <c r="I8467" s="8" t="s">
        <v>253</v>
      </c>
      <c r="J8467" s="9">
        <v>1</v>
      </c>
      <c r="K8467" s="9">
        <v>248</v>
      </c>
      <c r="L8467" s="9">
        <v>2025</v>
      </c>
      <c r="M8467" s="8" t="s">
        <v>47631</v>
      </c>
      <c r="N8467" s="8" t="s">
        <v>243</v>
      </c>
      <c r="O8467" s="8" t="s">
        <v>964</v>
      </c>
      <c r="P8467" s="6" t="s">
        <v>51</v>
      </c>
      <c r="Q8467" s="8" t="s">
        <v>65</v>
      </c>
      <c r="R8467" s="10" t="s">
        <v>47632</v>
      </c>
      <c r="S8467" s="11" t="s">
        <v>47627</v>
      </c>
      <c r="T8467" s="6" t="s">
        <v>97</v>
      </c>
      <c r="U8467" s="15" t="str">
        <f>HYPERLINK("https://media.infra-m.ru/2157/2157813/cover/2157813.jpg", "Обложка")</f>
        <v>Обложка</v>
      </c>
      <c r="V8467" s="8" t="s">
        <v>4943</v>
      </c>
      <c r="W8467" s="6"/>
      <c r="X8467" s="6"/>
      <c r="Y8467" s="6"/>
      <c r="Z8467" s="6"/>
      <c r="AA8467" s="6" t="s">
        <v>99</v>
      </c>
      <c r="AB8467" s="8"/>
      <c r="AC8467" s="27">
        <v>9785160184234</v>
      </c>
    </row>
    <row r="8468" spans="1:29" s="4" customFormat="1" ht="51.9" customHeight="1" x14ac:dyDescent="0.2">
      <c r="A8468" s="5">
        <v>0</v>
      </c>
      <c r="B8468" s="6" t="s">
        <v>47633</v>
      </c>
      <c r="C8468" s="7">
        <v>2668.8</v>
      </c>
      <c r="D8468" s="8" t="s">
        <v>47634</v>
      </c>
      <c r="E8468" s="8" t="s">
        <v>47635</v>
      </c>
      <c r="F8468" s="8" t="s">
        <v>47636</v>
      </c>
      <c r="G8468" s="6" t="s">
        <v>118</v>
      </c>
      <c r="H8468" s="6" t="s">
        <v>34</v>
      </c>
      <c r="I8468" s="8" t="s">
        <v>271</v>
      </c>
      <c r="J8468" s="9">
        <v>1</v>
      </c>
      <c r="K8468" s="9">
        <v>384</v>
      </c>
      <c r="L8468" s="9">
        <v>2027</v>
      </c>
      <c r="M8468" s="8" t="s">
        <v>47637</v>
      </c>
      <c r="N8468" s="8" t="s">
        <v>243</v>
      </c>
      <c r="O8468" s="8" t="s">
        <v>964</v>
      </c>
      <c r="P8468" s="6" t="s">
        <v>51</v>
      </c>
      <c r="Q8468" s="8" t="s">
        <v>52</v>
      </c>
      <c r="R8468" s="10" t="s">
        <v>12136</v>
      </c>
      <c r="S8468" s="11" t="s">
        <v>47638</v>
      </c>
      <c r="T8468" s="6" t="s">
        <v>97</v>
      </c>
      <c r="U8468" s="15" t="str">
        <f>HYPERLINK("https://media.infra-m.ru/2264/2264713/cover/2264713.jpg", "Обложка")</f>
        <v>Обложка</v>
      </c>
      <c r="V8468" s="8" t="s">
        <v>4943</v>
      </c>
      <c r="W8468" s="6"/>
      <c r="X8468" s="6"/>
      <c r="Y8468" s="6"/>
      <c r="Z8468" s="6"/>
      <c r="AA8468" s="6" t="s">
        <v>274</v>
      </c>
      <c r="AB8468" s="8"/>
      <c r="AC8468" s="27">
        <v>9785160090658</v>
      </c>
    </row>
    <row r="8469" spans="1:29" s="4" customFormat="1" ht="51.9" customHeight="1" x14ac:dyDescent="0.2">
      <c r="A8469" s="5">
        <v>0</v>
      </c>
      <c r="B8469" s="6" t="s">
        <v>47639</v>
      </c>
      <c r="C8469" s="7">
        <v>1696.8</v>
      </c>
      <c r="D8469" s="8" t="s">
        <v>47640</v>
      </c>
      <c r="E8469" s="8" t="s">
        <v>47641</v>
      </c>
      <c r="F8469" s="8" t="s">
        <v>47642</v>
      </c>
      <c r="G8469" s="6" t="s">
        <v>33</v>
      </c>
      <c r="H8469" s="6" t="s">
        <v>48</v>
      </c>
      <c r="I8469" s="8" t="s">
        <v>271</v>
      </c>
      <c r="J8469" s="9">
        <v>1</v>
      </c>
      <c r="K8469" s="9">
        <v>256</v>
      </c>
      <c r="L8469" s="9">
        <v>2026</v>
      </c>
      <c r="M8469" s="8" t="s">
        <v>47643</v>
      </c>
      <c r="N8469" s="8" t="s">
        <v>37</v>
      </c>
      <c r="O8469" s="8" t="s">
        <v>280</v>
      </c>
      <c r="P8469" s="6" t="s">
        <v>51</v>
      </c>
      <c r="Q8469" s="8" t="s">
        <v>65</v>
      </c>
      <c r="R8469" s="10" t="s">
        <v>36987</v>
      </c>
      <c r="S8469" s="11" t="s">
        <v>47644</v>
      </c>
      <c r="T8469" s="6"/>
      <c r="U8469" s="15" t="str">
        <f>HYPERLINK("https://media.infra-m.ru/2226/2226469/cover/2226469.jpg", "Обложка")</f>
        <v>Обложка</v>
      </c>
      <c r="V8469" s="8" t="s">
        <v>13400</v>
      </c>
      <c r="W8469" s="6"/>
      <c r="X8469" s="6"/>
      <c r="Y8469" s="6"/>
      <c r="Z8469" s="6"/>
      <c r="AA8469" s="6" t="s">
        <v>55</v>
      </c>
      <c r="AB8469" s="8"/>
      <c r="AC8469" s="27">
        <v>9785911347925</v>
      </c>
    </row>
    <row r="8470" spans="1:29" s="4" customFormat="1" ht="51.9" customHeight="1" x14ac:dyDescent="0.2">
      <c r="A8470" s="5">
        <v>0</v>
      </c>
      <c r="B8470" s="6" t="s">
        <v>47645</v>
      </c>
      <c r="C8470" s="7">
        <v>1632</v>
      </c>
      <c r="D8470" s="8" t="s">
        <v>47646</v>
      </c>
      <c r="E8470" s="8" t="s">
        <v>47641</v>
      </c>
      <c r="F8470" s="8" t="s">
        <v>23270</v>
      </c>
      <c r="G8470" s="6" t="s">
        <v>118</v>
      </c>
      <c r="H8470" s="6" t="s">
        <v>48</v>
      </c>
      <c r="I8470" s="8" t="s">
        <v>263</v>
      </c>
      <c r="J8470" s="9">
        <v>1</v>
      </c>
      <c r="K8470" s="9">
        <v>256</v>
      </c>
      <c r="L8470" s="9">
        <v>2025</v>
      </c>
      <c r="M8470" s="8" t="s">
        <v>47647</v>
      </c>
      <c r="N8470" s="8" t="s">
        <v>37</v>
      </c>
      <c r="O8470" s="8" t="s">
        <v>280</v>
      </c>
      <c r="P8470" s="6" t="s">
        <v>51</v>
      </c>
      <c r="Q8470" s="8" t="s">
        <v>265</v>
      </c>
      <c r="R8470" s="10" t="s">
        <v>47648</v>
      </c>
      <c r="S8470" s="11" t="s">
        <v>47649</v>
      </c>
      <c r="T8470" s="6"/>
      <c r="U8470" s="15" t="str">
        <f>HYPERLINK("https://media.infra-m.ru/2205/2205670/cover/2205670.jpg", "Обложка")</f>
        <v>Обложка</v>
      </c>
      <c r="V8470" s="8" t="s">
        <v>13400</v>
      </c>
      <c r="W8470" s="6"/>
      <c r="X8470" s="6"/>
      <c r="Y8470" s="6"/>
      <c r="Z8470" s="6" t="s">
        <v>882</v>
      </c>
      <c r="AA8470" s="6" t="s">
        <v>115</v>
      </c>
      <c r="AB8470" s="8"/>
      <c r="AC8470" s="27">
        <v>9785000916162</v>
      </c>
    </row>
    <row r="8471" spans="1:29" s="4" customFormat="1" ht="44.1" customHeight="1" x14ac:dyDescent="0.2">
      <c r="A8471" s="5">
        <v>0</v>
      </c>
      <c r="B8471" s="6" t="s">
        <v>47650</v>
      </c>
      <c r="C8471" s="13">
        <v>780</v>
      </c>
      <c r="D8471" s="8" t="s">
        <v>47651</v>
      </c>
      <c r="E8471" s="8" t="s">
        <v>47652</v>
      </c>
      <c r="F8471" s="8" t="s">
        <v>47653</v>
      </c>
      <c r="G8471" s="6" t="s">
        <v>33</v>
      </c>
      <c r="H8471" s="6" t="s">
        <v>34</v>
      </c>
      <c r="I8471" s="8" t="s">
        <v>35</v>
      </c>
      <c r="J8471" s="9">
        <v>1</v>
      </c>
      <c r="K8471" s="9">
        <v>124</v>
      </c>
      <c r="L8471" s="9">
        <v>2025</v>
      </c>
      <c r="M8471" s="8" t="s">
        <v>47654</v>
      </c>
      <c r="N8471" s="8" t="s">
        <v>37</v>
      </c>
      <c r="O8471" s="8" t="s">
        <v>280</v>
      </c>
      <c r="P8471" s="6" t="s">
        <v>39</v>
      </c>
      <c r="Q8471" s="8" t="s">
        <v>40</v>
      </c>
      <c r="R8471" s="10" t="s">
        <v>47655</v>
      </c>
      <c r="S8471" s="11"/>
      <c r="T8471" s="6"/>
      <c r="U8471" s="15" t="str">
        <f>HYPERLINK("https://media.infra-m.ru/2207/2207149/cover/2207149.jpg", "Обложка")</f>
        <v>Обложка</v>
      </c>
      <c r="V8471" s="8" t="s">
        <v>2020</v>
      </c>
      <c r="W8471" s="6"/>
      <c r="X8471" s="6"/>
      <c r="Y8471" s="6"/>
      <c r="Z8471" s="6"/>
      <c r="AA8471" s="6" t="s">
        <v>779</v>
      </c>
      <c r="AB8471" s="8"/>
      <c r="AC8471" s="27">
        <v>9785160117089</v>
      </c>
    </row>
    <row r="8472" spans="1:29" s="4" customFormat="1" ht="51.9" customHeight="1" x14ac:dyDescent="0.2">
      <c r="A8472" s="5">
        <v>0</v>
      </c>
      <c r="B8472" s="6" t="s">
        <v>47656</v>
      </c>
      <c r="C8472" s="7">
        <v>1200</v>
      </c>
      <c r="D8472" s="8" t="s">
        <v>47657</v>
      </c>
      <c r="E8472" s="8" t="s">
        <v>47658</v>
      </c>
      <c r="F8472" s="8" t="s">
        <v>47659</v>
      </c>
      <c r="G8472" s="6" t="s">
        <v>118</v>
      </c>
      <c r="H8472" s="6" t="s">
        <v>34</v>
      </c>
      <c r="I8472" s="8" t="s">
        <v>2171</v>
      </c>
      <c r="J8472" s="9">
        <v>1</v>
      </c>
      <c r="K8472" s="9">
        <v>127</v>
      </c>
      <c r="L8472" s="9">
        <v>2026</v>
      </c>
      <c r="M8472" s="8" t="s">
        <v>47660</v>
      </c>
      <c r="N8472" s="8" t="s">
        <v>243</v>
      </c>
      <c r="O8472" s="8" t="s">
        <v>964</v>
      </c>
      <c r="P8472" s="6" t="s">
        <v>51</v>
      </c>
      <c r="Q8472" s="8" t="s">
        <v>65</v>
      </c>
      <c r="R8472" s="10" t="s">
        <v>7996</v>
      </c>
      <c r="S8472" s="11" t="s">
        <v>47661</v>
      </c>
      <c r="T8472" s="6"/>
      <c r="U8472" s="15" t="str">
        <f>HYPERLINK("https://media.infra-m.ru/2256/2256970/cover/2256970.jpg", "Обложка")</f>
        <v>Обложка</v>
      </c>
      <c r="V8472" s="8" t="s">
        <v>2175</v>
      </c>
      <c r="W8472" s="6"/>
      <c r="X8472" s="6"/>
      <c r="Y8472" s="6"/>
      <c r="Z8472" s="6"/>
      <c r="AA8472" s="6" t="s">
        <v>157</v>
      </c>
      <c r="AB8472" s="8"/>
      <c r="AC8472" s="27">
        <v>9785160185989</v>
      </c>
    </row>
    <row r="8473" spans="1:29" s="4" customFormat="1" ht="42" customHeight="1" x14ac:dyDescent="0.2">
      <c r="A8473" s="5">
        <v>0</v>
      </c>
      <c r="B8473" s="6" t="s">
        <v>47662</v>
      </c>
      <c r="C8473" s="13">
        <v>600</v>
      </c>
      <c r="D8473" s="8" t="s">
        <v>47663</v>
      </c>
      <c r="E8473" s="8" t="s">
        <v>47664</v>
      </c>
      <c r="F8473" s="8" t="s">
        <v>9611</v>
      </c>
      <c r="G8473" s="6" t="s">
        <v>33</v>
      </c>
      <c r="H8473" s="6" t="s">
        <v>34</v>
      </c>
      <c r="I8473" s="8" t="s">
        <v>35</v>
      </c>
      <c r="J8473" s="9">
        <v>1</v>
      </c>
      <c r="K8473" s="9">
        <v>103</v>
      </c>
      <c r="L8473" s="9">
        <v>2024</v>
      </c>
      <c r="M8473" s="8" t="s">
        <v>47665</v>
      </c>
      <c r="N8473" s="8" t="s">
        <v>37</v>
      </c>
      <c r="O8473" s="8" t="s">
        <v>136</v>
      </c>
      <c r="P8473" s="6" t="s">
        <v>39</v>
      </c>
      <c r="Q8473" s="8" t="s">
        <v>40</v>
      </c>
      <c r="R8473" s="10" t="s">
        <v>1255</v>
      </c>
      <c r="S8473" s="11"/>
      <c r="T8473" s="6"/>
      <c r="U8473" s="15" t="str">
        <f>HYPERLINK("https://media.infra-m.ru/2151/2151398/cover/2151398.jpg", "Обложка")</f>
        <v>Обложка</v>
      </c>
      <c r="V8473" s="8" t="s">
        <v>9614</v>
      </c>
      <c r="W8473" s="6"/>
      <c r="X8473" s="6"/>
      <c r="Y8473" s="6"/>
      <c r="Z8473" s="6"/>
      <c r="AA8473" s="6" t="s">
        <v>99</v>
      </c>
      <c r="AB8473" s="8"/>
      <c r="AC8473" s="27">
        <v>9785160127965</v>
      </c>
    </row>
    <row r="8474" spans="1:29" s="4" customFormat="1" ht="51.9" customHeight="1" x14ac:dyDescent="0.2">
      <c r="A8474" s="5">
        <v>0</v>
      </c>
      <c r="B8474" s="6" t="s">
        <v>47666</v>
      </c>
      <c r="C8474" s="7">
        <v>2268</v>
      </c>
      <c r="D8474" s="8" t="s">
        <v>47667</v>
      </c>
      <c r="E8474" s="8" t="s">
        <v>47668</v>
      </c>
      <c r="F8474" s="8" t="s">
        <v>47669</v>
      </c>
      <c r="G8474" s="6" t="s">
        <v>118</v>
      </c>
      <c r="H8474" s="6" t="s">
        <v>1042</v>
      </c>
      <c r="I8474" s="8" t="s">
        <v>401</v>
      </c>
      <c r="J8474" s="9">
        <v>1</v>
      </c>
      <c r="K8474" s="9">
        <v>352</v>
      </c>
      <c r="L8474" s="9">
        <v>2025</v>
      </c>
      <c r="M8474" s="8" t="s">
        <v>47670</v>
      </c>
      <c r="N8474" s="8" t="s">
        <v>37</v>
      </c>
      <c r="O8474" s="8" t="s">
        <v>280</v>
      </c>
      <c r="P8474" s="6" t="s">
        <v>306</v>
      </c>
      <c r="Q8474" s="8" t="s">
        <v>265</v>
      </c>
      <c r="R8474" s="10" t="s">
        <v>2200</v>
      </c>
      <c r="S8474" s="11" t="s">
        <v>47671</v>
      </c>
      <c r="T8474" s="6"/>
      <c r="U8474" s="15" t="str">
        <f>HYPERLINK("https://media.infra-m.ru/2206/2206801/cover/2206801.jpg", "Обложка")</f>
        <v>Обложка</v>
      </c>
      <c r="V8474" s="8" t="s">
        <v>16500</v>
      </c>
      <c r="W8474" s="6"/>
      <c r="X8474" s="6"/>
      <c r="Y8474" s="6"/>
      <c r="Z8474" s="6"/>
      <c r="AA8474" s="6" t="s">
        <v>4554</v>
      </c>
      <c r="AB8474" s="8"/>
      <c r="AC8474" s="27">
        <v>9785819909690</v>
      </c>
    </row>
    <row r="8475" spans="1:29" s="4" customFormat="1" ht="51.9" customHeight="1" x14ac:dyDescent="0.2">
      <c r="A8475" s="5">
        <v>0</v>
      </c>
      <c r="B8475" s="6" t="s">
        <v>47672</v>
      </c>
      <c r="C8475" s="7">
        <v>1440</v>
      </c>
      <c r="D8475" s="8" t="s">
        <v>47673</v>
      </c>
      <c r="E8475" s="8" t="s">
        <v>47674</v>
      </c>
      <c r="F8475" s="8" t="s">
        <v>47675</v>
      </c>
      <c r="G8475" s="6" t="s">
        <v>60</v>
      </c>
      <c r="H8475" s="6" t="s">
        <v>34</v>
      </c>
      <c r="I8475" s="8" t="s">
        <v>504</v>
      </c>
      <c r="J8475" s="9">
        <v>1</v>
      </c>
      <c r="K8475" s="9">
        <v>248</v>
      </c>
      <c r="L8475" s="9">
        <v>2023</v>
      </c>
      <c r="M8475" s="8" t="s">
        <v>47676</v>
      </c>
      <c r="N8475" s="8" t="s">
        <v>37</v>
      </c>
      <c r="O8475" s="8" t="s">
        <v>233</v>
      </c>
      <c r="P8475" s="6" t="s">
        <v>51</v>
      </c>
      <c r="Q8475" s="8" t="s">
        <v>500</v>
      </c>
      <c r="R8475" s="10" t="s">
        <v>15367</v>
      </c>
      <c r="S8475" s="11"/>
      <c r="T8475" s="6"/>
      <c r="U8475" s="15" t="str">
        <f>HYPERLINK("https://media.infra-m.ru/0993/0993280/cover/993280.jpg", "Обложка")</f>
        <v>Обложка</v>
      </c>
      <c r="V8475" s="8" t="s">
        <v>16850</v>
      </c>
      <c r="W8475" s="6"/>
      <c r="X8475" s="6"/>
      <c r="Y8475" s="6"/>
      <c r="Z8475" s="6"/>
      <c r="AA8475" s="6" t="s">
        <v>1303</v>
      </c>
      <c r="AB8475" s="8"/>
      <c r="AC8475" s="27">
        <v>9785160145976</v>
      </c>
    </row>
    <row r="8476" spans="1:29" s="4" customFormat="1" ht="51.9" customHeight="1" x14ac:dyDescent="0.2">
      <c r="A8476" s="5">
        <v>0</v>
      </c>
      <c r="B8476" s="6" t="s">
        <v>47677</v>
      </c>
      <c r="C8476" s="7">
        <v>1192.8</v>
      </c>
      <c r="D8476" s="8" t="s">
        <v>47678</v>
      </c>
      <c r="E8476" s="8" t="s">
        <v>47679</v>
      </c>
      <c r="F8476" s="8" t="s">
        <v>6466</v>
      </c>
      <c r="G8476" s="6" t="s">
        <v>118</v>
      </c>
      <c r="H8476" s="6" t="s">
        <v>1042</v>
      </c>
      <c r="I8476" s="8" t="s">
        <v>34265</v>
      </c>
      <c r="J8476" s="9">
        <v>1</v>
      </c>
      <c r="K8476" s="9">
        <v>208</v>
      </c>
      <c r="L8476" s="9">
        <v>2023</v>
      </c>
      <c r="M8476" s="8" t="s">
        <v>47680</v>
      </c>
      <c r="N8476" s="8" t="s">
        <v>37</v>
      </c>
      <c r="O8476" s="8" t="s">
        <v>233</v>
      </c>
      <c r="P8476" s="6" t="s">
        <v>306</v>
      </c>
      <c r="Q8476" s="8" t="s">
        <v>500</v>
      </c>
      <c r="R8476" s="10" t="s">
        <v>30117</v>
      </c>
      <c r="S8476" s="11" t="s">
        <v>47681</v>
      </c>
      <c r="T8476" s="6"/>
      <c r="U8476" s="15" t="str">
        <f>HYPERLINK("https://media.infra-m.ru/2115/2115293/cover/2115293.jpg", "Обложка")</f>
        <v>Обложка</v>
      </c>
      <c r="V8476" s="8" t="s">
        <v>4892</v>
      </c>
      <c r="W8476" s="6"/>
      <c r="X8476" s="6"/>
      <c r="Y8476" s="6"/>
      <c r="Z8476" s="6"/>
      <c r="AA8476" s="6" t="s">
        <v>779</v>
      </c>
      <c r="AB8476" s="8"/>
      <c r="AC8476" s="27">
        <v>9785819909072</v>
      </c>
    </row>
    <row r="8477" spans="1:29" s="4" customFormat="1" ht="44.1" customHeight="1" x14ac:dyDescent="0.2">
      <c r="A8477" s="5">
        <v>0</v>
      </c>
      <c r="B8477" s="6" t="s">
        <v>47682</v>
      </c>
      <c r="C8477" s="7">
        <v>1300.8</v>
      </c>
      <c r="D8477" s="8" t="s">
        <v>47683</v>
      </c>
      <c r="E8477" s="8" t="s">
        <v>47679</v>
      </c>
      <c r="F8477" s="8" t="s">
        <v>47684</v>
      </c>
      <c r="G8477" s="6" t="s">
        <v>60</v>
      </c>
      <c r="H8477" s="6" t="s">
        <v>34</v>
      </c>
      <c r="I8477" s="8" t="s">
        <v>504</v>
      </c>
      <c r="J8477" s="9">
        <v>1</v>
      </c>
      <c r="K8477" s="9">
        <v>216</v>
      </c>
      <c r="L8477" s="9">
        <v>2025</v>
      </c>
      <c r="M8477" s="8" t="s">
        <v>47685</v>
      </c>
      <c r="N8477" s="8" t="s">
        <v>37</v>
      </c>
      <c r="O8477" s="8" t="s">
        <v>233</v>
      </c>
      <c r="P8477" s="6" t="s">
        <v>51</v>
      </c>
      <c r="Q8477" s="8" t="s">
        <v>500</v>
      </c>
      <c r="R8477" s="10" t="s">
        <v>47686</v>
      </c>
      <c r="S8477" s="11"/>
      <c r="T8477" s="6"/>
      <c r="U8477" s="15" t="str">
        <f>HYPERLINK("https://media.infra-m.ru/2161/2161682/cover/2161682.jpg", "Обложка")</f>
        <v>Обложка</v>
      </c>
      <c r="V8477" s="8" t="s">
        <v>396</v>
      </c>
      <c r="W8477" s="6"/>
      <c r="X8477" s="6"/>
      <c r="Y8477" s="6"/>
      <c r="Z8477" s="6"/>
      <c r="AA8477" s="6" t="s">
        <v>274</v>
      </c>
      <c r="AB8477" s="8"/>
      <c r="AC8477" s="27">
        <v>9785160104218</v>
      </c>
    </row>
    <row r="8478" spans="1:29" s="4" customFormat="1" ht="42" customHeight="1" x14ac:dyDescent="0.2">
      <c r="A8478" s="5">
        <v>0</v>
      </c>
      <c r="B8478" s="6" t="s">
        <v>47687</v>
      </c>
      <c r="C8478" s="13">
        <v>784.8</v>
      </c>
      <c r="D8478" s="8" t="s">
        <v>47688</v>
      </c>
      <c r="E8478" s="8" t="s">
        <v>47679</v>
      </c>
      <c r="F8478" s="8" t="s">
        <v>47582</v>
      </c>
      <c r="G8478" s="6" t="s">
        <v>33</v>
      </c>
      <c r="H8478" s="6" t="s">
        <v>313</v>
      </c>
      <c r="I8478" s="8" t="s">
        <v>504</v>
      </c>
      <c r="J8478" s="9">
        <v>1</v>
      </c>
      <c r="K8478" s="9">
        <v>121</v>
      </c>
      <c r="L8478" s="9">
        <v>2026</v>
      </c>
      <c r="M8478" s="8" t="s">
        <v>47689</v>
      </c>
      <c r="N8478" s="8" t="s">
        <v>37</v>
      </c>
      <c r="O8478" s="8" t="s">
        <v>280</v>
      </c>
      <c r="P8478" s="6" t="s">
        <v>51</v>
      </c>
      <c r="Q8478" s="8" t="s">
        <v>500</v>
      </c>
      <c r="R8478" s="10" t="s">
        <v>3208</v>
      </c>
      <c r="S8478" s="11"/>
      <c r="T8478" s="6"/>
      <c r="U8478" s="15" t="str">
        <f>HYPERLINK("https://media.infra-m.ru/2212/2212238/cover/2212238.jpg", "Обложка")</f>
        <v>Обложка</v>
      </c>
      <c r="V8478" s="8" t="s">
        <v>4038</v>
      </c>
      <c r="W8478" s="6"/>
      <c r="X8478" s="6"/>
      <c r="Y8478" s="6"/>
      <c r="Z8478" s="6"/>
      <c r="AA8478" s="6" t="s">
        <v>779</v>
      </c>
      <c r="AB8478" s="8"/>
      <c r="AC8478" s="27">
        <v>9785369015087</v>
      </c>
    </row>
    <row r="8479" spans="1:29" s="4" customFormat="1" ht="51.9" customHeight="1" x14ac:dyDescent="0.2">
      <c r="A8479" s="5">
        <v>0</v>
      </c>
      <c r="B8479" s="6" t="s">
        <v>47690</v>
      </c>
      <c r="C8479" s="7">
        <v>1056</v>
      </c>
      <c r="D8479" s="8" t="s">
        <v>47691</v>
      </c>
      <c r="E8479" s="8" t="s">
        <v>47679</v>
      </c>
      <c r="F8479" s="8" t="s">
        <v>47692</v>
      </c>
      <c r="G8479" s="6" t="s">
        <v>118</v>
      </c>
      <c r="H8479" s="6" t="s">
        <v>34</v>
      </c>
      <c r="I8479" s="8" t="s">
        <v>504</v>
      </c>
      <c r="J8479" s="9">
        <v>1</v>
      </c>
      <c r="K8479" s="9">
        <v>190</v>
      </c>
      <c r="L8479" s="9">
        <v>2024</v>
      </c>
      <c r="M8479" s="8" t="s">
        <v>47693</v>
      </c>
      <c r="N8479" s="8" t="s">
        <v>37</v>
      </c>
      <c r="O8479" s="8" t="s">
        <v>233</v>
      </c>
      <c r="P8479" s="6" t="s">
        <v>51</v>
      </c>
      <c r="Q8479" s="8" t="s">
        <v>500</v>
      </c>
      <c r="R8479" s="10" t="s">
        <v>2053</v>
      </c>
      <c r="S8479" s="11" t="s">
        <v>47694</v>
      </c>
      <c r="T8479" s="6" t="s">
        <v>97</v>
      </c>
      <c r="U8479" s="15" t="str">
        <f>HYPERLINK("https://media.infra-m.ru/2111/2111406/cover/2111406.jpg", "Обложка")</f>
        <v>Обложка</v>
      </c>
      <c r="V8479" s="8" t="s">
        <v>27840</v>
      </c>
      <c r="W8479" s="6"/>
      <c r="X8479" s="6"/>
      <c r="Y8479" s="6"/>
      <c r="Z8479" s="6"/>
      <c r="AA8479" s="6" t="s">
        <v>99</v>
      </c>
      <c r="AB8479" s="8"/>
      <c r="AC8479" s="27">
        <v>9785160125237</v>
      </c>
    </row>
    <row r="8480" spans="1:29" s="4" customFormat="1" ht="51.9" customHeight="1" x14ac:dyDescent="0.2">
      <c r="A8480" s="5">
        <v>0</v>
      </c>
      <c r="B8480" s="6" t="s">
        <v>47695</v>
      </c>
      <c r="C8480" s="7">
        <v>1936.8</v>
      </c>
      <c r="D8480" s="8" t="s">
        <v>47696</v>
      </c>
      <c r="E8480" s="8" t="s">
        <v>47697</v>
      </c>
      <c r="F8480" s="8" t="s">
        <v>26905</v>
      </c>
      <c r="G8480" s="6" t="s">
        <v>60</v>
      </c>
      <c r="H8480" s="6" t="s">
        <v>5605</v>
      </c>
      <c r="I8480" s="8" t="s">
        <v>253</v>
      </c>
      <c r="J8480" s="9">
        <v>1</v>
      </c>
      <c r="K8480" s="9">
        <v>344</v>
      </c>
      <c r="L8480" s="9">
        <v>2024</v>
      </c>
      <c r="M8480" s="8" t="s">
        <v>47698</v>
      </c>
      <c r="N8480" s="8" t="s">
        <v>37</v>
      </c>
      <c r="O8480" s="8" t="s">
        <v>280</v>
      </c>
      <c r="P8480" s="6" t="s">
        <v>306</v>
      </c>
      <c r="Q8480" s="8" t="s">
        <v>52</v>
      </c>
      <c r="R8480" s="10" t="s">
        <v>1503</v>
      </c>
      <c r="S8480" s="11" t="s">
        <v>26342</v>
      </c>
      <c r="T8480" s="6"/>
      <c r="U8480" s="15" t="str">
        <f>HYPERLINK("https://media.infra-m.ru/2143/2143593/cover/2143593.jpg", "Обложка")</f>
        <v>Обложка</v>
      </c>
      <c r="V8480" s="8" t="s">
        <v>2398</v>
      </c>
      <c r="W8480" s="6"/>
      <c r="X8480" s="6"/>
      <c r="Y8480" s="6"/>
      <c r="Z8480" s="6"/>
      <c r="AA8480" s="6" t="s">
        <v>47699</v>
      </c>
      <c r="AB8480" s="8"/>
      <c r="AC8480" s="27">
        <v>9785160024165</v>
      </c>
    </row>
    <row r="8481" spans="1:29" s="4" customFormat="1" ht="51.9" customHeight="1" x14ac:dyDescent="0.2">
      <c r="A8481" s="5">
        <v>0</v>
      </c>
      <c r="B8481" s="6" t="s">
        <v>47700</v>
      </c>
      <c r="C8481" s="7">
        <v>1956</v>
      </c>
      <c r="D8481" s="8" t="s">
        <v>47701</v>
      </c>
      <c r="E8481" s="8" t="s">
        <v>47702</v>
      </c>
      <c r="F8481" s="8" t="s">
        <v>47703</v>
      </c>
      <c r="G8481" s="6" t="s">
        <v>118</v>
      </c>
      <c r="H8481" s="6" t="s">
        <v>313</v>
      </c>
      <c r="I8481" s="8" t="s">
        <v>253</v>
      </c>
      <c r="J8481" s="9">
        <v>1</v>
      </c>
      <c r="K8481" s="9">
        <v>362</v>
      </c>
      <c r="L8481" s="9">
        <v>2023</v>
      </c>
      <c r="M8481" s="8" t="s">
        <v>47704</v>
      </c>
      <c r="N8481" s="8" t="s">
        <v>37</v>
      </c>
      <c r="O8481" s="8" t="s">
        <v>280</v>
      </c>
      <c r="P8481" s="6" t="s">
        <v>306</v>
      </c>
      <c r="Q8481" s="8" t="s">
        <v>65</v>
      </c>
      <c r="R8481" s="10" t="s">
        <v>47705</v>
      </c>
      <c r="S8481" s="11" t="s">
        <v>47706</v>
      </c>
      <c r="T8481" s="6"/>
      <c r="U8481" s="15" t="str">
        <f>HYPERLINK("https://media.infra-m.ru/2018/2018249/cover/2018249.jpg", "Обложка")</f>
        <v>Обложка</v>
      </c>
      <c r="V8481" s="8" t="s">
        <v>1505</v>
      </c>
      <c r="W8481" s="6"/>
      <c r="X8481" s="6"/>
      <c r="Y8481" s="6"/>
      <c r="Z8481" s="6"/>
      <c r="AA8481" s="6" t="s">
        <v>561</v>
      </c>
      <c r="AB8481" s="8"/>
      <c r="AC8481" s="27">
        <v>9785369005217</v>
      </c>
    </row>
    <row r="8482" spans="1:29" s="4" customFormat="1" ht="51.9" customHeight="1" x14ac:dyDescent="0.2">
      <c r="A8482" s="5">
        <v>0</v>
      </c>
      <c r="B8482" s="6" t="s">
        <v>47707</v>
      </c>
      <c r="C8482" s="13">
        <v>988.8</v>
      </c>
      <c r="D8482" s="8" t="s">
        <v>47708</v>
      </c>
      <c r="E8482" s="8" t="s">
        <v>47709</v>
      </c>
      <c r="F8482" s="8" t="s">
        <v>47710</v>
      </c>
      <c r="G8482" s="6" t="s">
        <v>33</v>
      </c>
      <c r="H8482" s="6" t="s">
        <v>48</v>
      </c>
      <c r="I8482" s="8" t="s">
        <v>263</v>
      </c>
      <c r="J8482" s="9">
        <v>1</v>
      </c>
      <c r="K8482" s="9">
        <v>176</v>
      </c>
      <c r="L8482" s="9">
        <v>2024</v>
      </c>
      <c r="M8482" s="8" t="s">
        <v>47711</v>
      </c>
      <c r="N8482" s="8" t="s">
        <v>37</v>
      </c>
      <c r="O8482" s="8" t="s">
        <v>280</v>
      </c>
      <c r="P8482" s="6" t="s">
        <v>51</v>
      </c>
      <c r="Q8482" s="8" t="s">
        <v>265</v>
      </c>
      <c r="R8482" s="10" t="s">
        <v>47712</v>
      </c>
      <c r="S8482" s="11" t="s">
        <v>4567</v>
      </c>
      <c r="T8482" s="6"/>
      <c r="U8482" s="15" t="str">
        <f>HYPERLINK("https://media.infra-m.ru/2139/2139114/cover/2139114.jpg", "Обложка")</f>
        <v>Обложка</v>
      </c>
      <c r="V8482" s="8" t="s">
        <v>227</v>
      </c>
      <c r="W8482" s="6"/>
      <c r="X8482" s="6"/>
      <c r="Y8482" s="6"/>
      <c r="Z8482" s="6"/>
      <c r="AA8482" s="6" t="s">
        <v>1056</v>
      </c>
      <c r="AB8482" s="8"/>
      <c r="AC8482" s="27">
        <v>9785911343453</v>
      </c>
    </row>
    <row r="8483" spans="1:29" s="4" customFormat="1" ht="51.9" customHeight="1" x14ac:dyDescent="0.2">
      <c r="A8483" s="5">
        <v>0</v>
      </c>
      <c r="B8483" s="6" t="s">
        <v>47713</v>
      </c>
      <c r="C8483" s="7">
        <v>1588.8</v>
      </c>
      <c r="D8483" s="8" t="s">
        <v>47714</v>
      </c>
      <c r="E8483" s="8" t="s">
        <v>47715</v>
      </c>
      <c r="F8483" s="8" t="s">
        <v>3652</v>
      </c>
      <c r="G8483" s="6" t="s">
        <v>60</v>
      </c>
      <c r="H8483" s="6" t="s">
        <v>34</v>
      </c>
      <c r="I8483" s="8" t="s">
        <v>271</v>
      </c>
      <c r="J8483" s="9">
        <v>1</v>
      </c>
      <c r="K8483" s="9">
        <v>288</v>
      </c>
      <c r="L8483" s="9">
        <v>2024</v>
      </c>
      <c r="M8483" s="8" t="s">
        <v>47716</v>
      </c>
      <c r="N8483" s="8" t="s">
        <v>37</v>
      </c>
      <c r="O8483" s="8" t="s">
        <v>280</v>
      </c>
      <c r="P8483" s="6" t="s">
        <v>51</v>
      </c>
      <c r="Q8483" s="8" t="s">
        <v>52</v>
      </c>
      <c r="R8483" s="10" t="s">
        <v>47717</v>
      </c>
      <c r="S8483" s="11" t="s">
        <v>47718</v>
      </c>
      <c r="T8483" s="6"/>
      <c r="U8483" s="15" t="str">
        <f>HYPERLINK("https://media.infra-m.ru/2073/2073411/cover/2073411.jpg", "Обложка")</f>
        <v>Обложка</v>
      </c>
      <c r="V8483" s="8" t="s">
        <v>396</v>
      </c>
      <c r="W8483" s="6"/>
      <c r="X8483" s="6"/>
      <c r="Y8483" s="6"/>
      <c r="Z8483" s="6"/>
      <c r="AA8483" s="6" t="s">
        <v>129</v>
      </c>
      <c r="AB8483" s="8"/>
      <c r="AC8483" s="27">
        <v>9785160046129</v>
      </c>
    </row>
    <row r="8484" spans="1:29" s="4" customFormat="1" ht="51.9" customHeight="1" x14ac:dyDescent="0.2">
      <c r="A8484" s="5">
        <v>0</v>
      </c>
      <c r="B8484" s="6" t="s">
        <v>47719</v>
      </c>
      <c r="C8484" s="7">
        <v>1720.8</v>
      </c>
      <c r="D8484" s="8" t="s">
        <v>47720</v>
      </c>
      <c r="E8484" s="8" t="s">
        <v>47721</v>
      </c>
      <c r="F8484" s="8" t="s">
        <v>18939</v>
      </c>
      <c r="G8484" s="6" t="s">
        <v>118</v>
      </c>
      <c r="H8484" s="6" t="s">
        <v>34</v>
      </c>
      <c r="I8484" s="8" t="s">
        <v>271</v>
      </c>
      <c r="J8484" s="9">
        <v>1</v>
      </c>
      <c r="K8484" s="9">
        <v>261</v>
      </c>
      <c r="L8484" s="9">
        <v>2026</v>
      </c>
      <c r="M8484" s="8" t="s">
        <v>47722</v>
      </c>
      <c r="N8484" s="8" t="s">
        <v>37</v>
      </c>
      <c r="O8484" s="8" t="s">
        <v>499</v>
      </c>
      <c r="P8484" s="6" t="s">
        <v>306</v>
      </c>
      <c r="Q8484" s="8" t="s">
        <v>52</v>
      </c>
      <c r="R8484" s="10" t="s">
        <v>2061</v>
      </c>
      <c r="S8484" s="11" t="s">
        <v>47723</v>
      </c>
      <c r="T8484" s="6"/>
      <c r="U8484" s="15" t="str">
        <f>HYPERLINK("https://media.infra-m.ru/2238/2238753/cover/2238753.jpg", "Обложка")</f>
        <v>Обложка</v>
      </c>
      <c r="V8484" s="8" t="s">
        <v>396</v>
      </c>
      <c r="W8484" s="6"/>
      <c r="X8484" s="6"/>
      <c r="Y8484" s="6"/>
      <c r="Z8484" s="6"/>
      <c r="AA8484" s="6" t="s">
        <v>718</v>
      </c>
      <c r="AB8484" s="8"/>
      <c r="AC8484" s="27">
        <v>9785160057583</v>
      </c>
    </row>
    <row r="8485" spans="1:29" s="4" customFormat="1" ht="51.9" customHeight="1" x14ac:dyDescent="0.2">
      <c r="A8485" s="5">
        <v>0</v>
      </c>
      <c r="B8485" s="6" t="s">
        <v>47724</v>
      </c>
      <c r="C8485" s="13">
        <v>952.8</v>
      </c>
      <c r="D8485" s="8" t="s">
        <v>47725</v>
      </c>
      <c r="E8485" s="8" t="s">
        <v>47726</v>
      </c>
      <c r="F8485" s="8" t="s">
        <v>47727</v>
      </c>
      <c r="G8485" s="6" t="s">
        <v>60</v>
      </c>
      <c r="H8485" s="6" t="s">
        <v>241</v>
      </c>
      <c r="I8485" s="8" t="s">
        <v>3496</v>
      </c>
      <c r="J8485" s="9">
        <v>1</v>
      </c>
      <c r="K8485" s="9">
        <v>144</v>
      </c>
      <c r="L8485" s="9">
        <v>2026</v>
      </c>
      <c r="M8485" s="8" t="s">
        <v>47728</v>
      </c>
      <c r="N8485" s="8" t="s">
        <v>37</v>
      </c>
      <c r="O8485" s="8" t="s">
        <v>233</v>
      </c>
      <c r="P8485" s="6" t="s">
        <v>39</v>
      </c>
      <c r="Q8485" s="8" t="s">
        <v>40</v>
      </c>
      <c r="R8485" s="10" t="s">
        <v>47729</v>
      </c>
      <c r="S8485" s="11"/>
      <c r="T8485" s="6"/>
      <c r="U8485" s="15" t="str">
        <f>HYPERLINK("https://media.infra-m.ru/2233/2233568/cover/2233568.jpg", "Обложка")</f>
        <v>Обложка</v>
      </c>
      <c r="V8485" s="8" t="s">
        <v>247</v>
      </c>
      <c r="W8485" s="6"/>
      <c r="X8485" s="6"/>
      <c r="Y8485" s="6"/>
      <c r="Z8485" s="6"/>
      <c r="AA8485" s="6" t="s">
        <v>1015</v>
      </c>
      <c r="AB8485" s="8"/>
      <c r="AC8485" s="27">
        <v>9785955801759</v>
      </c>
    </row>
    <row r="8486" spans="1:29" s="4" customFormat="1" ht="51.9" customHeight="1" x14ac:dyDescent="0.2">
      <c r="A8486" s="5">
        <v>0</v>
      </c>
      <c r="B8486" s="6" t="s">
        <v>47730</v>
      </c>
      <c r="C8486" s="7">
        <v>1212</v>
      </c>
      <c r="D8486" s="8" t="s">
        <v>47731</v>
      </c>
      <c r="E8486" s="8" t="s">
        <v>47732</v>
      </c>
      <c r="F8486" s="8" t="s">
        <v>47733</v>
      </c>
      <c r="G8486" s="6" t="s">
        <v>118</v>
      </c>
      <c r="H8486" s="6" t="s">
        <v>34</v>
      </c>
      <c r="I8486" s="8" t="s">
        <v>1753</v>
      </c>
      <c r="J8486" s="9">
        <v>1</v>
      </c>
      <c r="K8486" s="9">
        <v>225</v>
      </c>
      <c r="L8486" s="9">
        <v>2023</v>
      </c>
      <c r="M8486" s="8" t="s">
        <v>47734</v>
      </c>
      <c r="N8486" s="8" t="s">
        <v>37</v>
      </c>
      <c r="O8486" s="8" t="s">
        <v>233</v>
      </c>
      <c r="P8486" s="6" t="s">
        <v>306</v>
      </c>
      <c r="Q8486" s="8" t="s">
        <v>500</v>
      </c>
      <c r="R8486" s="10" t="s">
        <v>2086</v>
      </c>
      <c r="S8486" s="11" t="s">
        <v>47735</v>
      </c>
      <c r="T8486" s="6"/>
      <c r="U8486" s="15" t="str">
        <f>HYPERLINK("https://media.infra-m.ru/1960/1960112/cover/1960112.jpg", "Обложка")</f>
        <v>Обложка</v>
      </c>
      <c r="V8486" s="8" t="s">
        <v>247</v>
      </c>
      <c r="W8486" s="6"/>
      <c r="X8486" s="6"/>
      <c r="Y8486" s="6"/>
      <c r="Z8486" s="6"/>
      <c r="AA8486" s="6" t="s">
        <v>148</v>
      </c>
      <c r="AB8486" s="8"/>
      <c r="AC8486" s="27">
        <v>9785160169538</v>
      </c>
    </row>
    <row r="8487" spans="1:29" s="4" customFormat="1" ht="51.9" customHeight="1" x14ac:dyDescent="0.2">
      <c r="A8487" s="5">
        <v>0</v>
      </c>
      <c r="B8487" s="6" t="s">
        <v>47736</v>
      </c>
      <c r="C8487" s="7">
        <v>2304</v>
      </c>
      <c r="D8487" s="8" t="s">
        <v>47737</v>
      </c>
      <c r="E8487" s="8" t="s">
        <v>47738</v>
      </c>
      <c r="F8487" s="8" t="s">
        <v>43488</v>
      </c>
      <c r="G8487" s="6" t="s">
        <v>118</v>
      </c>
      <c r="H8487" s="6" t="s">
        <v>34</v>
      </c>
      <c r="I8487" s="8" t="s">
        <v>253</v>
      </c>
      <c r="J8487" s="9">
        <v>1</v>
      </c>
      <c r="K8487" s="9">
        <v>330</v>
      </c>
      <c r="L8487" s="9">
        <v>2027</v>
      </c>
      <c r="M8487" s="8" t="s">
        <v>47739</v>
      </c>
      <c r="N8487" s="8" t="s">
        <v>37</v>
      </c>
      <c r="O8487" s="8" t="s">
        <v>280</v>
      </c>
      <c r="P8487" s="6" t="s">
        <v>306</v>
      </c>
      <c r="Q8487" s="8" t="s">
        <v>52</v>
      </c>
      <c r="R8487" s="10" t="s">
        <v>47740</v>
      </c>
      <c r="S8487" s="11" t="s">
        <v>47741</v>
      </c>
      <c r="T8487" s="6" t="s">
        <v>97</v>
      </c>
      <c r="U8487" s="15" t="str">
        <f>HYPERLINK("https://media.infra-m.ru/2261/2261544/cover/2261544.jpg", "Обложка")</f>
        <v>Обложка</v>
      </c>
      <c r="V8487" s="8" t="s">
        <v>12203</v>
      </c>
      <c r="W8487" s="6"/>
      <c r="X8487" s="6"/>
      <c r="Y8487" s="6"/>
      <c r="Z8487" s="6"/>
      <c r="AA8487" s="6" t="s">
        <v>99</v>
      </c>
      <c r="AB8487" s="8"/>
      <c r="AC8487" s="27">
        <v>9785160187891</v>
      </c>
    </row>
    <row r="8488" spans="1:29" s="4" customFormat="1" ht="44.1" customHeight="1" x14ac:dyDescent="0.2">
      <c r="A8488" s="5">
        <v>0</v>
      </c>
      <c r="B8488" s="6" t="s">
        <v>47742</v>
      </c>
      <c r="C8488" s="7">
        <v>1308</v>
      </c>
      <c r="D8488" s="8" t="s">
        <v>47743</v>
      </c>
      <c r="E8488" s="8" t="s">
        <v>47744</v>
      </c>
      <c r="F8488" s="8" t="s">
        <v>47745</v>
      </c>
      <c r="G8488" s="6" t="s">
        <v>33</v>
      </c>
      <c r="H8488" s="6" t="s">
        <v>34</v>
      </c>
      <c r="I8488" s="8" t="s">
        <v>35</v>
      </c>
      <c r="J8488" s="9">
        <v>1</v>
      </c>
      <c r="K8488" s="9">
        <v>289</v>
      </c>
      <c r="L8488" s="9">
        <v>2022</v>
      </c>
      <c r="M8488" s="8" t="s">
        <v>47746</v>
      </c>
      <c r="N8488" s="8" t="s">
        <v>37</v>
      </c>
      <c r="O8488" s="8" t="s">
        <v>280</v>
      </c>
      <c r="P8488" s="6" t="s">
        <v>39</v>
      </c>
      <c r="Q8488" s="8" t="s">
        <v>40</v>
      </c>
      <c r="R8488" s="10" t="s">
        <v>3877</v>
      </c>
      <c r="S8488" s="11"/>
      <c r="T8488" s="6"/>
      <c r="U8488" s="15" t="str">
        <f>HYPERLINK("https://media.infra-m.ru/1760/1760127/cover/1760127.jpg", "Обложка")</f>
        <v>Обложка</v>
      </c>
      <c r="V8488" s="8" t="s">
        <v>3196</v>
      </c>
      <c r="W8488" s="6"/>
      <c r="X8488" s="6"/>
      <c r="Y8488" s="6"/>
      <c r="Z8488" s="6"/>
      <c r="AA8488" s="6" t="s">
        <v>248</v>
      </c>
      <c r="AB8488" s="8"/>
      <c r="AC8488" s="27">
        <v>9785160090771</v>
      </c>
    </row>
    <row r="8489" spans="1:29" s="4" customFormat="1" ht="51.9" customHeight="1" x14ac:dyDescent="0.2">
      <c r="A8489" s="5">
        <v>0</v>
      </c>
      <c r="B8489" s="6" t="s">
        <v>47747</v>
      </c>
      <c r="C8489" s="7">
        <v>1584</v>
      </c>
      <c r="D8489" s="8" t="s">
        <v>47748</v>
      </c>
      <c r="E8489" s="8" t="s">
        <v>47749</v>
      </c>
      <c r="F8489" s="8" t="s">
        <v>5077</v>
      </c>
      <c r="G8489" s="6" t="s">
        <v>60</v>
      </c>
      <c r="H8489" s="6" t="s">
        <v>34</v>
      </c>
      <c r="I8489" s="8" t="s">
        <v>253</v>
      </c>
      <c r="J8489" s="9">
        <v>1</v>
      </c>
      <c r="K8489" s="9">
        <v>263</v>
      </c>
      <c r="L8489" s="9">
        <v>2025</v>
      </c>
      <c r="M8489" s="8" t="s">
        <v>47750</v>
      </c>
      <c r="N8489" s="8" t="s">
        <v>37</v>
      </c>
      <c r="O8489" s="8" t="s">
        <v>233</v>
      </c>
      <c r="P8489" s="6" t="s">
        <v>51</v>
      </c>
      <c r="Q8489" s="8" t="s">
        <v>65</v>
      </c>
      <c r="R8489" s="10" t="s">
        <v>2068</v>
      </c>
      <c r="S8489" s="11" t="s">
        <v>47751</v>
      </c>
      <c r="T8489" s="6"/>
      <c r="U8489" s="15" t="str">
        <f>HYPERLINK("https://media.infra-m.ru/2052/2052407/cover/2052407.jpg", "Обложка")</f>
        <v>Обложка</v>
      </c>
      <c r="V8489" s="8" t="s">
        <v>350</v>
      </c>
      <c r="W8489" s="6"/>
      <c r="X8489" s="6"/>
      <c r="Y8489" s="6"/>
      <c r="Z8489" s="6"/>
      <c r="AA8489" s="6" t="s">
        <v>68</v>
      </c>
      <c r="AB8489" s="8"/>
      <c r="AC8489" s="27">
        <v>9785160187372</v>
      </c>
    </row>
    <row r="8490" spans="1:29" s="4" customFormat="1" ht="42" customHeight="1" x14ac:dyDescent="0.2">
      <c r="A8490" s="5">
        <v>0</v>
      </c>
      <c r="B8490" s="6" t="s">
        <v>47752</v>
      </c>
      <c r="C8490" s="7">
        <v>1080</v>
      </c>
      <c r="D8490" s="8" t="s">
        <v>47753</v>
      </c>
      <c r="E8490" s="8" t="s">
        <v>47754</v>
      </c>
      <c r="F8490" s="8" t="s">
        <v>47755</v>
      </c>
      <c r="G8490" s="6" t="s">
        <v>118</v>
      </c>
      <c r="H8490" s="6" t="s">
        <v>34</v>
      </c>
      <c r="I8490" s="8" t="s">
        <v>253</v>
      </c>
      <c r="J8490" s="9">
        <v>1</v>
      </c>
      <c r="K8490" s="9">
        <v>154</v>
      </c>
      <c r="L8490" s="9">
        <v>2026</v>
      </c>
      <c r="M8490" s="8" t="s">
        <v>47756</v>
      </c>
      <c r="N8490" s="8" t="s">
        <v>37</v>
      </c>
      <c r="O8490" s="8" t="s">
        <v>233</v>
      </c>
      <c r="P8490" s="6" t="s">
        <v>306</v>
      </c>
      <c r="Q8490" s="8" t="s">
        <v>1660</v>
      </c>
      <c r="R8490" s="10" t="s">
        <v>357</v>
      </c>
      <c r="S8490" s="11"/>
      <c r="T8490" s="6"/>
      <c r="U8490" s="15" t="str">
        <f>HYPERLINK("https://media.infra-m.ru/2257/2257540/cover/2257540.jpg", "Обложка")</f>
        <v>Обложка</v>
      </c>
      <c r="V8490" s="8" t="s">
        <v>247</v>
      </c>
      <c r="W8490" s="6"/>
      <c r="X8490" s="6"/>
      <c r="Y8490" s="6"/>
      <c r="Z8490" s="6"/>
      <c r="AA8490" s="6" t="s">
        <v>99</v>
      </c>
      <c r="AB8490" s="8"/>
      <c r="AC8490" s="27">
        <v>9785160221960</v>
      </c>
    </row>
    <row r="8491" spans="1:29" s="4" customFormat="1" ht="42" customHeight="1" x14ac:dyDescent="0.2">
      <c r="A8491" s="5">
        <v>0</v>
      </c>
      <c r="B8491" s="6" t="s">
        <v>47757</v>
      </c>
      <c r="C8491" s="7">
        <v>1444.8</v>
      </c>
      <c r="D8491" s="8" t="s">
        <v>47758</v>
      </c>
      <c r="E8491" s="8" t="s">
        <v>47759</v>
      </c>
      <c r="F8491" s="8" t="s">
        <v>47760</v>
      </c>
      <c r="G8491" s="6" t="s">
        <v>33</v>
      </c>
      <c r="H8491" s="6" t="s">
        <v>34</v>
      </c>
      <c r="I8491" s="8" t="s">
        <v>457</v>
      </c>
      <c r="J8491" s="9">
        <v>1</v>
      </c>
      <c r="K8491" s="9">
        <v>250</v>
      </c>
      <c r="L8491" s="9">
        <v>2024</v>
      </c>
      <c r="M8491" s="8" t="s">
        <v>47761</v>
      </c>
      <c r="N8491" s="8" t="s">
        <v>37</v>
      </c>
      <c r="O8491" s="8" t="s">
        <v>233</v>
      </c>
      <c r="P8491" s="6" t="s">
        <v>39</v>
      </c>
      <c r="Q8491" s="8" t="s">
        <v>40</v>
      </c>
      <c r="R8491" s="10" t="s">
        <v>5331</v>
      </c>
      <c r="S8491" s="11"/>
      <c r="T8491" s="6"/>
      <c r="U8491" s="15" t="str">
        <f>HYPERLINK("https://media.infra-m.ru/2144/2144113/cover/2144113.jpg", "Обложка")</f>
        <v>Обложка</v>
      </c>
      <c r="V8491" s="8" t="s">
        <v>247</v>
      </c>
      <c r="W8491" s="6"/>
      <c r="X8491" s="6"/>
      <c r="Y8491" s="6"/>
      <c r="Z8491" s="6"/>
      <c r="AA8491" s="6" t="s">
        <v>157</v>
      </c>
      <c r="AB8491" s="8"/>
      <c r="AC8491" s="27">
        <v>9785160181028</v>
      </c>
    </row>
    <row r="8492" spans="1:29" s="4" customFormat="1" ht="51.9" customHeight="1" x14ac:dyDescent="0.2">
      <c r="A8492" s="5">
        <v>0</v>
      </c>
      <c r="B8492" s="6" t="s">
        <v>47762</v>
      </c>
      <c r="C8492" s="7">
        <v>1288.8</v>
      </c>
      <c r="D8492" s="8" t="s">
        <v>47763</v>
      </c>
      <c r="E8492" s="8" t="s">
        <v>47764</v>
      </c>
      <c r="F8492" s="8" t="s">
        <v>47765</v>
      </c>
      <c r="G8492" s="6" t="s">
        <v>60</v>
      </c>
      <c r="H8492" s="6" t="s">
        <v>34</v>
      </c>
      <c r="I8492" s="8" t="s">
        <v>271</v>
      </c>
      <c r="J8492" s="9">
        <v>1</v>
      </c>
      <c r="K8492" s="9">
        <v>207</v>
      </c>
      <c r="L8492" s="9">
        <v>2026</v>
      </c>
      <c r="M8492" s="8" t="s">
        <v>47766</v>
      </c>
      <c r="N8492" s="8" t="s">
        <v>37</v>
      </c>
      <c r="O8492" s="8" t="s">
        <v>233</v>
      </c>
      <c r="P8492" s="6" t="s">
        <v>306</v>
      </c>
      <c r="Q8492" s="8" t="s">
        <v>52</v>
      </c>
      <c r="R8492" s="10" t="s">
        <v>4087</v>
      </c>
      <c r="S8492" s="11" t="s">
        <v>47767</v>
      </c>
      <c r="T8492" s="6"/>
      <c r="U8492" s="15" t="str">
        <f>HYPERLINK("https://media.infra-m.ru/2215/2215067/cover/2215067.jpg", "Обложка")</f>
        <v>Обложка</v>
      </c>
      <c r="V8492" s="8" t="s">
        <v>1030</v>
      </c>
      <c r="W8492" s="6"/>
      <c r="X8492" s="6"/>
      <c r="Y8492" s="6"/>
      <c r="Z8492" s="6"/>
      <c r="AA8492" s="6" t="s">
        <v>55</v>
      </c>
      <c r="AB8492" s="8"/>
      <c r="AC8492" s="27">
        <v>9785160064079</v>
      </c>
    </row>
    <row r="8493" spans="1:29" s="4" customFormat="1" ht="51.9" customHeight="1" x14ac:dyDescent="0.2">
      <c r="A8493" s="5">
        <v>0</v>
      </c>
      <c r="B8493" s="6" t="s">
        <v>47768</v>
      </c>
      <c r="C8493" s="13">
        <v>712.8</v>
      </c>
      <c r="D8493" s="8" t="s">
        <v>47769</v>
      </c>
      <c r="E8493" s="8" t="s">
        <v>47770</v>
      </c>
      <c r="F8493" s="8" t="s">
        <v>47771</v>
      </c>
      <c r="G8493" s="6" t="s">
        <v>33</v>
      </c>
      <c r="H8493" s="6" t="s">
        <v>1644</v>
      </c>
      <c r="I8493" s="8"/>
      <c r="J8493" s="9">
        <v>1</v>
      </c>
      <c r="K8493" s="9">
        <v>128</v>
      </c>
      <c r="L8493" s="9">
        <v>2024</v>
      </c>
      <c r="M8493" s="8" t="s">
        <v>47772</v>
      </c>
      <c r="N8493" s="8" t="s">
        <v>37</v>
      </c>
      <c r="O8493" s="8" t="s">
        <v>499</v>
      </c>
      <c r="P8493" s="6" t="s">
        <v>51</v>
      </c>
      <c r="Q8493" s="8" t="s">
        <v>52</v>
      </c>
      <c r="R8493" s="10" t="s">
        <v>47773</v>
      </c>
      <c r="S8493" s="11"/>
      <c r="T8493" s="6"/>
      <c r="U8493" s="15" t="str">
        <f>HYPERLINK("https://media.infra-m.ru/2103/2103698/cover/2103698.jpg", "Обложка")</f>
        <v>Обложка</v>
      </c>
      <c r="V8493" s="8" t="s">
        <v>67</v>
      </c>
      <c r="W8493" s="6"/>
      <c r="X8493" s="6"/>
      <c r="Y8493" s="6"/>
      <c r="Z8493" s="6"/>
      <c r="AA8493" s="6" t="s">
        <v>1015</v>
      </c>
      <c r="AB8493" s="8"/>
      <c r="AC8493" s="27">
        <v>9785977601450</v>
      </c>
    </row>
    <row r="8494" spans="1:29" s="4" customFormat="1" ht="42" customHeight="1" x14ac:dyDescent="0.2">
      <c r="A8494" s="5">
        <v>0</v>
      </c>
      <c r="B8494" s="6" t="s">
        <v>47774</v>
      </c>
      <c r="C8494" s="13">
        <v>976.8</v>
      </c>
      <c r="D8494" s="8" t="s">
        <v>47775</v>
      </c>
      <c r="E8494" s="8" t="s">
        <v>47776</v>
      </c>
      <c r="F8494" s="8" t="s">
        <v>47777</v>
      </c>
      <c r="G8494" s="6" t="s">
        <v>33</v>
      </c>
      <c r="H8494" s="6" t="s">
        <v>34</v>
      </c>
      <c r="I8494" s="8" t="s">
        <v>35</v>
      </c>
      <c r="J8494" s="9">
        <v>1</v>
      </c>
      <c r="K8494" s="9">
        <v>156</v>
      </c>
      <c r="L8494" s="9">
        <v>2025</v>
      </c>
      <c r="M8494" s="8" t="s">
        <v>47778</v>
      </c>
      <c r="N8494" s="8" t="s">
        <v>37</v>
      </c>
      <c r="O8494" s="8" t="s">
        <v>233</v>
      </c>
      <c r="P8494" s="6" t="s">
        <v>39</v>
      </c>
      <c r="Q8494" s="8" t="s">
        <v>40</v>
      </c>
      <c r="R8494" s="10" t="s">
        <v>2257</v>
      </c>
      <c r="S8494" s="11"/>
      <c r="T8494" s="6"/>
      <c r="U8494" s="15" t="str">
        <f>HYPERLINK("https://media.infra-m.ru/2196/2196946/cover/2196946.jpg", "Обложка")</f>
        <v>Обложка</v>
      </c>
      <c r="V8494" s="8" t="s">
        <v>227</v>
      </c>
      <c r="W8494" s="6"/>
      <c r="X8494" s="6"/>
      <c r="Y8494" s="6"/>
      <c r="Z8494" s="6"/>
      <c r="AA8494" s="6" t="s">
        <v>43</v>
      </c>
      <c r="AB8494" s="8"/>
      <c r="AC8494" s="27">
        <v>9785160064543</v>
      </c>
    </row>
    <row r="8495" spans="1:29" s="4" customFormat="1" ht="51.9" customHeight="1" x14ac:dyDescent="0.2">
      <c r="A8495" s="5">
        <v>0</v>
      </c>
      <c r="B8495" s="6" t="s">
        <v>47779</v>
      </c>
      <c r="C8495" s="7">
        <v>1668</v>
      </c>
      <c r="D8495" s="8" t="s">
        <v>47780</v>
      </c>
      <c r="E8495" s="8" t="s">
        <v>47781</v>
      </c>
      <c r="F8495" s="8" t="s">
        <v>47782</v>
      </c>
      <c r="G8495" s="6" t="s">
        <v>118</v>
      </c>
      <c r="H8495" s="6" t="s">
        <v>34</v>
      </c>
      <c r="I8495" s="8" t="s">
        <v>504</v>
      </c>
      <c r="J8495" s="9">
        <v>1</v>
      </c>
      <c r="K8495" s="9">
        <v>303</v>
      </c>
      <c r="L8495" s="9">
        <v>2024</v>
      </c>
      <c r="M8495" s="8" t="s">
        <v>47783</v>
      </c>
      <c r="N8495" s="8" t="s">
        <v>37</v>
      </c>
      <c r="O8495" s="8" t="s">
        <v>233</v>
      </c>
      <c r="P8495" s="6" t="s">
        <v>51</v>
      </c>
      <c r="Q8495" s="8" t="s">
        <v>500</v>
      </c>
      <c r="R8495" s="10" t="s">
        <v>2228</v>
      </c>
      <c r="S8495" s="11" t="s">
        <v>5495</v>
      </c>
      <c r="T8495" s="6"/>
      <c r="U8495" s="15" t="str">
        <f>HYPERLINK("https://media.infra-m.ru/2104/2104843/cover/2104843.jpg", "Обложка")</f>
        <v>Обложка</v>
      </c>
      <c r="V8495" s="8" t="s">
        <v>396</v>
      </c>
      <c r="W8495" s="6"/>
      <c r="X8495" s="6"/>
      <c r="Y8495" s="6"/>
      <c r="Z8495" s="6"/>
      <c r="AA8495" s="6" t="s">
        <v>1015</v>
      </c>
      <c r="AB8495" s="8"/>
      <c r="AC8495" s="27">
        <v>9785160097503</v>
      </c>
    </row>
    <row r="8496" spans="1:29" s="4" customFormat="1" ht="51.9" customHeight="1" x14ac:dyDescent="0.2">
      <c r="A8496" s="5">
        <v>0</v>
      </c>
      <c r="B8496" s="6" t="s">
        <v>47784</v>
      </c>
      <c r="C8496" s="7">
        <v>1204.8</v>
      </c>
      <c r="D8496" s="8" t="s">
        <v>47785</v>
      </c>
      <c r="E8496" s="8" t="s">
        <v>47786</v>
      </c>
      <c r="F8496" s="8" t="s">
        <v>47787</v>
      </c>
      <c r="G8496" s="6" t="s">
        <v>118</v>
      </c>
      <c r="H8496" s="6" t="s">
        <v>34</v>
      </c>
      <c r="I8496" s="8" t="s">
        <v>304</v>
      </c>
      <c r="J8496" s="9">
        <v>1</v>
      </c>
      <c r="K8496" s="9">
        <v>183</v>
      </c>
      <c r="L8496" s="9">
        <v>2026</v>
      </c>
      <c r="M8496" s="8" t="s">
        <v>47788</v>
      </c>
      <c r="N8496" s="8" t="s">
        <v>37</v>
      </c>
      <c r="O8496" s="8" t="s">
        <v>233</v>
      </c>
      <c r="P8496" s="6" t="s">
        <v>306</v>
      </c>
      <c r="Q8496" s="8" t="s">
        <v>65</v>
      </c>
      <c r="R8496" s="10" t="s">
        <v>370</v>
      </c>
      <c r="S8496" s="11"/>
      <c r="T8496" s="6"/>
      <c r="U8496" s="15" t="str">
        <f>HYPERLINK("https://media.infra-m.ru/2224/2224099/cover/2224099.jpg", "Обложка")</f>
        <v>Обложка</v>
      </c>
      <c r="V8496" s="8" t="s">
        <v>247</v>
      </c>
      <c r="W8496" s="6"/>
      <c r="X8496" s="6"/>
      <c r="Y8496" s="6"/>
      <c r="Z8496" s="6"/>
      <c r="AA8496" s="6" t="s">
        <v>68</v>
      </c>
      <c r="AB8496" s="8"/>
      <c r="AC8496" s="27">
        <v>9785160194677</v>
      </c>
    </row>
    <row r="8497" spans="1:29" s="4" customFormat="1" ht="42" customHeight="1" x14ac:dyDescent="0.2">
      <c r="A8497" s="5">
        <v>0</v>
      </c>
      <c r="B8497" s="6" t="s">
        <v>47789</v>
      </c>
      <c r="C8497" s="13">
        <v>605.9</v>
      </c>
      <c r="D8497" s="8" t="s">
        <v>47790</v>
      </c>
      <c r="E8497" s="8" t="s">
        <v>47791</v>
      </c>
      <c r="F8497" s="8" t="s">
        <v>47792</v>
      </c>
      <c r="G8497" s="6" t="s">
        <v>33</v>
      </c>
      <c r="H8497" s="6" t="s">
        <v>1644</v>
      </c>
      <c r="I8497" s="8"/>
      <c r="J8497" s="9">
        <v>1</v>
      </c>
      <c r="K8497" s="9">
        <v>112</v>
      </c>
      <c r="L8497" s="9">
        <v>2023</v>
      </c>
      <c r="M8497" s="8" t="s">
        <v>47793</v>
      </c>
      <c r="N8497" s="8" t="s">
        <v>37</v>
      </c>
      <c r="O8497" s="8" t="s">
        <v>233</v>
      </c>
      <c r="P8497" s="6" t="s">
        <v>394</v>
      </c>
      <c r="Q8497" s="8" t="s">
        <v>52</v>
      </c>
      <c r="R8497" s="10" t="s">
        <v>5344</v>
      </c>
      <c r="S8497" s="11"/>
      <c r="T8497" s="6"/>
      <c r="U8497" s="15" t="str">
        <f>HYPERLINK("https://media.infra-m.ru/1981/1981626/cover/1981626.jpg", "Обложка")</f>
        <v>Обложка</v>
      </c>
      <c r="V8497" s="8" t="s">
        <v>5117</v>
      </c>
      <c r="W8497" s="6"/>
      <c r="X8497" s="6"/>
      <c r="Y8497" s="6"/>
      <c r="Z8497" s="6"/>
      <c r="AA8497" s="6" t="s">
        <v>248</v>
      </c>
      <c r="AB8497" s="8"/>
      <c r="AC8497" s="27">
        <v>9785977603034</v>
      </c>
    </row>
    <row r="8498" spans="1:29" s="4" customFormat="1" ht="51.9" customHeight="1" x14ac:dyDescent="0.2">
      <c r="A8498" s="5">
        <v>0</v>
      </c>
      <c r="B8498" s="6" t="s">
        <v>47794</v>
      </c>
      <c r="C8498" s="13">
        <v>989.9</v>
      </c>
      <c r="D8498" s="8" t="s">
        <v>47795</v>
      </c>
      <c r="E8498" s="8" t="s">
        <v>47796</v>
      </c>
      <c r="F8498" s="8" t="s">
        <v>47797</v>
      </c>
      <c r="G8498" s="6" t="s">
        <v>60</v>
      </c>
      <c r="H8498" s="6" t="s">
        <v>34</v>
      </c>
      <c r="I8498" s="8" t="s">
        <v>35</v>
      </c>
      <c r="J8498" s="9">
        <v>1</v>
      </c>
      <c r="K8498" s="9">
        <v>236</v>
      </c>
      <c r="L8498" s="9">
        <v>2020</v>
      </c>
      <c r="M8498" s="8" t="s">
        <v>47798</v>
      </c>
      <c r="N8498" s="8" t="s">
        <v>37</v>
      </c>
      <c r="O8498" s="8" t="s">
        <v>233</v>
      </c>
      <c r="P8498" s="6" t="s">
        <v>39</v>
      </c>
      <c r="Q8498" s="8" t="s">
        <v>40</v>
      </c>
      <c r="R8498" s="10" t="s">
        <v>47799</v>
      </c>
      <c r="S8498" s="11"/>
      <c r="T8498" s="6"/>
      <c r="U8498" s="15" t="str">
        <f>HYPERLINK("https://media.infra-m.ru/1047/1047105/cover/1047105.jpg", "Обложка")</f>
        <v>Обложка</v>
      </c>
      <c r="V8498" s="8" t="s">
        <v>5143</v>
      </c>
      <c r="W8498" s="6"/>
      <c r="X8498" s="6"/>
      <c r="Y8498" s="6"/>
      <c r="Z8498" s="6"/>
      <c r="AA8498" s="6" t="s">
        <v>99</v>
      </c>
      <c r="AB8498" s="8"/>
      <c r="AC8498" s="27">
        <v>9785160127149</v>
      </c>
    </row>
    <row r="8499" spans="1:29" s="4" customFormat="1" ht="51.9" customHeight="1" x14ac:dyDescent="0.2">
      <c r="A8499" s="5">
        <v>0</v>
      </c>
      <c r="B8499" s="6" t="s">
        <v>47800</v>
      </c>
      <c r="C8499" s="13">
        <v>948</v>
      </c>
      <c r="D8499" s="8" t="s">
        <v>47801</v>
      </c>
      <c r="E8499" s="8" t="s">
        <v>47802</v>
      </c>
      <c r="F8499" s="8" t="s">
        <v>16345</v>
      </c>
      <c r="G8499" s="6" t="s">
        <v>33</v>
      </c>
      <c r="H8499" s="6" t="s">
        <v>34</v>
      </c>
      <c r="I8499" s="8" t="s">
        <v>35</v>
      </c>
      <c r="J8499" s="9">
        <v>1</v>
      </c>
      <c r="K8499" s="9">
        <v>199</v>
      </c>
      <c r="L8499" s="9">
        <v>2021</v>
      </c>
      <c r="M8499" s="8" t="s">
        <v>47803</v>
      </c>
      <c r="N8499" s="8" t="s">
        <v>37</v>
      </c>
      <c r="O8499" s="8" t="s">
        <v>233</v>
      </c>
      <c r="P8499" s="6" t="s">
        <v>39</v>
      </c>
      <c r="Q8499" s="8" t="s">
        <v>40</v>
      </c>
      <c r="R8499" s="10" t="s">
        <v>47804</v>
      </c>
      <c r="S8499" s="11"/>
      <c r="T8499" s="6"/>
      <c r="U8499" s="15" t="str">
        <f>HYPERLINK("https://media.infra-m.ru/1206/1206681/cover/1206681.jpg", "Обложка")</f>
        <v>Обложка</v>
      </c>
      <c r="V8499" s="8" t="s">
        <v>3693</v>
      </c>
      <c r="W8499" s="6"/>
      <c r="X8499" s="6"/>
      <c r="Y8499" s="6"/>
      <c r="Z8499" s="6"/>
      <c r="AA8499" s="6" t="s">
        <v>430</v>
      </c>
      <c r="AB8499" s="8"/>
      <c r="AC8499" s="27">
        <v>9785160166469</v>
      </c>
    </row>
    <row r="8500" spans="1:29" s="4" customFormat="1" ht="44.1" customHeight="1" x14ac:dyDescent="0.2">
      <c r="A8500" s="5">
        <v>0</v>
      </c>
      <c r="B8500" s="6" t="s">
        <v>47805</v>
      </c>
      <c r="C8500" s="7">
        <v>3060</v>
      </c>
      <c r="D8500" s="8" t="s">
        <v>47806</v>
      </c>
      <c r="E8500" s="8" t="s">
        <v>47807</v>
      </c>
      <c r="F8500" s="8" t="s">
        <v>47808</v>
      </c>
      <c r="G8500" s="6" t="s">
        <v>60</v>
      </c>
      <c r="H8500" s="6" t="s">
        <v>34</v>
      </c>
      <c r="I8500" s="8" t="s">
        <v>253</v>
      </c>
      <c r="J8500" s="9">
        <v>1</v>
      </c>
      <c r="K8500" s="9">
        <v>553</v>
      </c>
      <c r="L8500" s="9">
        <v>2024</v>
      </c>
      <c r="M8500" s="8" t="s">
        <v>47809</v>
      </c>
      <c r="N8500" s="8" t="s">
        <v>37</v>
      </c>
      <c r="O8500" s="8" t="s">
        <v>233</v>
      </c>
      <c r="P8500" s="6" t="s">
        <v>306</v>
      </c>
      <c r="Q8500" s="8" t="s">
        <v>52</v>
      </c>
      <c r="R8500" s="10" t="s">
        <v>11939</v>
      </c>
      <c r="S8500" s="11"/>
      <c r="T8500" s="6"/>
      <c r="U8500" s="15" t="str">
        <f>HYPERLINK("https://media.infra-m.ru/2084/2084331/cover/2084331.jpg", "Обложка")</f>
        <v>Обложка</v>
      </c>
      <c r="V8500" s="8" t="s">
        <v>5143</v>
      </c>
      <c r="W8500" s="6"/>
      <c r="X8500" s="6"/>
      <c r="Y8500" s="6"/>
      <c r="Z8500" s="6"/>
      <c r="AA8500" s="6" t="s">
        <v>86</v>
      </c>
      <c r="AB8500" s="8"/>
      <c r="AC8500" s="27">
        <v>9785160192611</v>
      </c>
    </row>
    <row r="8501" spans="1:29" s="4" customFormat="1" ht="51.9" customHeight="1" x14ac:dyDescent="0.2">
      <c r="A8501" s="5">
        <v>0</v>
      </c>
      <c r="B8501" s="6" t="s">
        <v>47810</v>
      </c>
      <c r="C8501" s="7">
        <v>1672.8</v>
      </c>
      <c r="D8501" s="8" t="s">
        <v>47811</v>
      </c>
      <c r="E8501" s="8" t="s">
        <v>47807</v>
      </c>
      <c r="F8501" s="8" t="s">
        <v>6375</v>
      </c>
      <c r="G8501" s="6" t="s">
        <v>60</v>
      </c>
      <c r="H8501" s="6" t="s">
        <v>34</v>
      </c>
      <c r="I8501" s="8" t="s">
        <v>271</v>
      </c>
      <c r="J8501" s="9">
        <v>1</v>
      </c>
      <c r="K8501" s="9">
        <v>240</v>
      </c>
      <c r="L8501" s="9">
        <v>2026</v>
      </c>
      <c r="M8501" s="8" t="s">
        <v>47812</v>
      </c>
      <c r="N8501" s="8" t="s">
        <v>37</v>
      </c>
      <c r="O8501" s="8" t="s">
        <v>233</v>
      </c>
      <c r="P8501" s="6" t="s">
        <v>51</v>
      </c>
      <c r="Q8501" s="8" t="s">
        <v>52</v>
      </c>
      <c r="R8501" s="10" t="s">
        <v>2061</v>
      </c>
      <c r="S8501" s="11" t="s">
        <v>47813</v>
      </c>
      <c r="T8501" s="6"/>
      <c r="U8501" s="15" t="str">
        <f>HYPERLINK("https://media.infra-m.ru/2253/2253930/cover/2253930.jpg", "Обложка")</f>
        <v>Обложка</v>
      </c>
      <c r="V8501" s="8" t="s">
        <v>1994</v>
      </c>
      <c r="W8501" s="6"/>
      <c r="X8501" s="6"/>
      <c r="Y8501" s="6"/>
      <c r="Z8501" s="6"/>
      <c r="AA8501" s="6" t="s">
        <v>274</v>
      </c>
      <c r="AB8501" s="8"/>
      <c r="AC8501" s="27">
        <v>9785160099484</v>
      </c>
    </row>
    <row r="8502" spans="1:29" s="4" customFormat="1" ht="42" customHeight="1" x14ac:dyDescent="0.2">
      <c r="A8502" s="5">
        <v>0</v>
      </c>
      <c r="B8502" s="6" t="s">
        <v>47814</v>
      </c>
      <c r="C8502" s="7">
        <v>1416</v>
      </c>
      <c r="D8502" s="8" t="s">
        <v>47815</v>
      </c>
      <c r="E8502" s="8" t="s">
        <v>47807</v>
      </c>
      <c r="F8502" s="8" t="s">
        <v>3775</v>
      </c>
      <c r="G8502" s="6" t="s">
        <v>60</v>
      </c>
      <c r="H8502" s="6" t="s">
        <v>34</v>
      </c>
      <c r="I8502" s="8" t="s">
        <v>263</v>
      </c>
      <c r="J8502" s="9">
        <v>1</v>
      </c>
      <c r="K8502" s="9">
        <v>196</v>
      </c>
      <c r="L8502" s="9">
        <v>2026</v>
      </c>
      <c r="M8502" s="8" t="s">
        <v>47816</v>
      </c>
      <c r="N8502" s="8" t="s">
        <v>37</v>
      </c>
      <c r="O8502" s="8" t="s">
        <v>233</v>
      </c>
      <c r="P8502" s="6" t="s">
        <v>51</v>
      </c>
      <c r="Q8502" s="8" t="s">
        <v>265</v>
      </c>
      <c r="R8502" s="10" t="s">
        <v>3777</v>
      </c>
      <c r="S8502" s="11"/>
      <c r="T8502" s="6"/>
      <c r="U8502" s="15" t="str">
        <f>HYPERLINK("https://media.infra-m.ru/2222/2222818/cover/2222818.jpg", "Обложка")</f>
        <v>Обложка</v>
      </c>
      <c r="V8502" s="8" t="s">
        <v>2035</v>
      </c>
      <c r="W8502" s="6" t="s">
        <v>528</v>
      </c>
      <c r="X8502" s="6"/>
      <c r="Y8502" s="6"/>
      <c r="Z8502" s="6"/>
      <c r="AA8502" s="6" t="s">
        <v>187</v>
      </c>
      <c r="AB8502" s="8" t="s">
        <v>9043</v>
      </c>
      <c r="AC8502" s="27">
        <v>9785160213637</v>
      </c>
    </row>
    <row r="8503" spans="1:29" s="4" customFormat="1" ht="42" customHeight="1" x14ac:dyDescent="0.2">
      <c r="A8503" s="5">
        <v>0</v>
      </c>
      <c r="B8503" s="6" t="s">
        <v>47817</v>
      </c>
      <c r="C8503" s="7">
        <v>1512</v>
      </c>
      <c r="D8503" s="8" t="s">
        <v>47818</v>
      </c>
      <c r="E8503" s="8" t="s">
        <v>47807</v>
      </c>
      <c r="F8503" s="8" t="s">
        <v>3775</v>
      </c>
      <c r="G8503" s="6" t="s">
        <v>60</v>
      </c>
      <c r="H8503" s="6" t="s">
        <v>34</v>
      </c>
      <c r="I8503" s="8" t="s">
        <v>253</v>
      </c>
      <c r="J8503" s="9">
        <v>1</v>
      </c>
      <c r="K8503" s="9">
        <v>267</v>
      </c>
      <c r="L8503" s="9">
        <v>2024</v>
      </c>
      <c r="M8503" s="8" t="s">
        <v>47819</v>
      </c>
      <c r="N8503" s="8" t="s">
        <v>37</v>
      </c>
      <c r="O8503" s="8" t="s">
        <v>233</v>
      </c>
      <c r="P8503" s="6" t="s">
        <v>51</v>
      </c>
      <c r="Q8503" s="8" t="s">
        <v>52</v>
      </c>
      <c r="R8503" s="10" t="s">
        <v>5290</v>
      </c>
      <c r="S8503" s="11"/>
      <c r="T8503" s="6"/>
      <c r="U8503" s="15" t="str">
        <f>HYPERLINK("https://media.infra-m.ru/1938/1938075/cover/1938075.jpg", "Обложка")</f>
        <v>Обложка</v>
      </c>
      <c r="V8503" s="8" t="s">
        <v>2035</v>
      </c>
      <c r="W8503" s="6"/>
      <c r="X8503" s="6"/>
      <c r="Y8503" s="6"/>
      <c r="Z8503" s="6"/>
      <c r="AA8503" s="6" t="s">
        <v>76</v>
      </c>
      <c r="AB8503" s="8"/>
      <c r="AC8503" s="27">
        <v>9785160182445</v>
      </c>
    </row>
    <row r="8504" spans="1:29" s="4" customFormat="1" ht="51.9" customHeight="1" x14ac:dyDescent="0.2">
      <c r="A8504" s="5">
        <v>0</v>
      </c>
      <c r="B8504" s="6" t="s">
        <v>47820</v>
      </c>
      <c r="C8504" s="7">
        <v>1512</v>
      </c>
      <c r="D8504" s="8" t="s">
        <v>47821</v>
      </c>
      <c r="E8504" s="8" t="s">
        <v>47822</v>
      </c>
      <c r="F8504" s="8" t="s">
        <v>15385</v>
      </c>
      <c r="G8504" s="6" t="s">
        <v>60</v>
      </c>
      <c r="H8504" s="6" t="s">
        <v>34</v>
      </c>
      <c r="I8504" s="8" t="s">
        <v>253</v>
      </c>
      <c r="J8504" s="9">
        <v>1</v>
      </c>
      <c r="K8504" s="9">
        <v>267</v>
      </c>
      <c r="L8504" s="9">
        <v>2024</v>
      </c>
      <c r="M8504" s="8" t="s">
        <v>47823</v>
      </c>
      <c r="N8504" s="8" t="s">
        <v>37</v>
      </c>
      <c r="O8504" s="8" t="s">
        <v>233</v>
      </c>
      <c r="P8504" s="6" t="s">
        <v>51</v>
      </c>
      <c r="Q8504" s="8" t="s">
        <v>65</v>
      </c>
      <c r="R8504" s="10" t="s">
        <v>47824</v>
      </c>
      <c r="S8504" s="11"/>
      <c r="T8504" s="6"/>
      <c r="U8504" s="15" t="str">
        <f>HYPERLINK("https://media.infra-m.ru/1817/1817926/cover/1817926.jpg", "Обложка")</f>
        <v>Обложка</v>
      </c>
      <c r="V8504" s="8" t="s">
        <v>12917</v>
      </c>
      <c r="W8504" s="6"/>
      <c r="X8504" s="6"/>
      <c r="Y8504" s="6"/>
      <c r="Z8504" s="6"/>
      <c r="AA8504" s="6" t="s">
        <v>106</v>
      </c>
      <c r="AB8504" s="8"/>
      <c r="AC8504" s="27">
        <v>9785160171784</v>
      </c>
    </row>
    <row r="8505" spans="1:29" s="4" customFormat="1" ht="51.9" customHeight="1" x14ac:dyDescent="0.2">
      <c r="A8505" s="5">
        <v>0</v>
      </c>
      <c r="B8505" s="6" t="s">
        <v>47825</v>
      </c>
      <c r="C8505" s="13">
        <v>708</v>
      </c>
      <c r="D8505" s="8" t="s">
        <v>47826</v>
      </c>
      <c r="E8505" s="8" t="s">
        <v>47827</v>
      </c>
      <c r="F8505" s="8" t="s">
        <v>14562</v>
      </c>
      <c r="G8505" s="6" t="s">
        <v>60</v>
      </c>
      <c r="H8505" s="6" t="s">
        <v>34</v>
      </c>
      <c r="I8505" s="8" t="s">
        <v>504</v>
      </c>
      <c r="J8505" s="9">
        <v>1</v>
      </c>
      <c r="K8505" s="9">
        <v>201</v>
      </c>
      <c r="L8505" s="9">
        <v>2017</v>
      </c>
      <c r="M8505" s="8" t="s">
        <v>47828</v>
      </c>
      <c r="N8505" s="8" t="s">
        <v>37</v>
      </c>
      <c r="O8505" s="8" t="s">
        <v>280</v>
      </c>
      <c r="P8505" s="6" t="s">
        <v>51</v>
      </c>
      <c r="Q8505" s="8" t="s">
        <v>500</v>
      </c>
      <c r="R8505" s="10" t="s">
        <v>47829</v>
      </c>
      <c r="S8505" s="11" t="s">
        <v>47830</v>
      </c>
      <c r="T8505" s="6"/>
      <c r="U8505" s="15" t="str">
        <f>HYPERLINK("https://media.infra-m.ru/0701/0701952/cover/701952.jpg", "Обложка")</f>
        <v>Обложка</v>
      </c>
      <c r="V8505" s="8" t="s">
        <v>13059</v>
      </c>
      <c r="W8505" s="6"/>
      <c r="X8505" s="6"/>
      <c r="Y8505" s="6"/>
      <c r="Z8505" s="6"/>
      <c r="AA8505" s="6" t="s">
        <v>360</v>
      </c>
      <c r="AB8505" s="8"/>
      <c r="AC8505" s="27">
        <v>9785160107264</v>
      </c>
    </row>
    <row r="8506" spans="1:29" s="4" customFormat="1" ht="51.9" customHeight="1" x14ac:dyDescent="0.2">
      <c r="A8506" s="5">
        <v>0</v>
      </c>
      <c r="B8506" s="6" t="s">
        <v>47831</v>
      </c>
      <c r="C8506" s="7">
        <v>1200</v>
      </c>
      <c r="D8506" s="8" t="s">
        <v>47832</v>
      </c>
      <c r="E8506" s="8" t="s">
        <v>47833</v>
      </c>
      <c r="F8506" s="8" t="s">
        <v>47834</v>
      </c>
      <c r="G8506" s="6" t="s">
        <v>118</v>
      </c>
      <c r="H8506" s="6" t="s">
        <v>34</v>
      </c>
      <c r="I8506" s="8" t="s">
        <v>253</v>
      </c>
      <c r="J8506" s="9">
        <v>1</v>
      </c>
      <c r="K8506" s="9">
        <v>215</v>
      </c>
      <c r="L8506" s="9">
        <v>2024</v>
      </c>
      <c r="M8506" s="8" t="s">
        <v>47835</v>
      </c>
      <c r="N8506" s="8" t="s">
        <v>37</v>
      </c>
      <c r="O8506" s="8" t="s">
        <v>280</v>
      </c>
      <c r="P8506" s="6" t="s">
        <v>51</v>
      </c>
      <c r="Q8506" s="8" t="s">
        <v>52</v>
      </c>
      <c r="R8506" s="10" t="s">
        <v>47836</v>
      </c>
      <c r="S8506" s="11" t="s">
        <v>282</v>
      </c>
      <c r="T8506" s="6"/>
      <c r="U8506" s="15" t="str">
        <f>HYPERLINK("https://media.infra-m.ru/1914/1914141/cover/1914141.jpg", "Обложка")</f>
        <v>Обложка</v>
      </c>
      <c r="V8506" s="8" t="s">
        <v>2427</v>
      </c>
      <c r="W8506" s="6"/>
      <c r="X8506" s="6"/>
      <c r="Y8506" s="6"/>
      <c r="Z8506" s="6"/>
      <c r="AA8506" s="6" t="s">
        <v>43</v>
      </c>
      <c r="AB8506" s="8"/>
      <c r="AC8506" s="27">
        <v>9785160190211</v>
      </c>
    </row>
    <row r="8507" spans="1:29" s="4" customFormat="1" ht="51.9" customHeight="1" x14ac:dyDescent="0.2">
      <c r="A8507" s="5">
        <v>0</v>
      </c>
      <c r="B8507" s="6" t="s">
        <v>47837</v>
      </c>
      <c r="C8507" s="7">
        <v>1432.8</v>
      </c>
      <c r="D8507" s="8" t="s">
        <v>47838</v>
      </c>
      <c r="E8507" s="8" t="s">
        <v>47839</v>
      </c>
      <c r="F8507" s="8" t="s">
        <v>14562</v>
      </c>
      <c r="G8507" s="6" t="s">
        <v>118</v>
      </c>
      <c r="H8507" s="6" t="s">
        <v>34</v>
      </c>
      <c r="I8507" s="8" t="s">
        <v>504</v>
      </c>
      <c r="J8507" s="9">
        <v>1</v>
      </c>
      <c r="K8507" s="9">
        <v>230</v>
      </c>
      <c r="L8507" s="9">
        <v>2025</v>
      </c>
      <c r="M8507" s="8" t="s">
        <v>47840</v>
      </c>
      <c r="N8507" s="8" t="s">
        <v>37</v>
      </c>
      <c r="O8507" s="8" t="s">
        <v>280</v>
      </c>
      <c r="P8507" s="6" t="s">
        <v>51</v>
      </c>
      <c r="Q8507" s="8" t="s">
        <v>500</v>
      </c>
      <c r="R8507" s="10" t="s">
        <v>47829</v>
      </c>
      <c r="S8507" s="11" t="s">
        <v>47830</v>
      </c>
      <c r="T8507" s="6"/>
      <c r="U8507" s="15" t="str">
        <f>HYPERLINK("https://media.infra-m.ru/2196/2196898/cover/2196898.jpg", "Обложка")</f>
        <v>Обложка</v>
      </c>
      <c r="V8507" s="8" t="s">
        <v>13059</v>
      </c>
      <c r="W8507" s="6"/>
      <c r="X8507" s="6"/>
      <c r="Y8507" s="6"/>
      <c r="Z8507" s="6"/>
      <c r="AA8507" s="6" t="s">
        <v>2311</v>
      </c>
      <c r="AB8507" s="8"/>
      <c r="AC8507" s="27">
        <v>9785160130095</v>
      </c>
    </row>
    <row r="8508" spans="1:29" s="4" customFormat="1" ht="51.9" customHeight="1" x14ac:dyDescent="0.2">
      <c r="A8508" s="5">
        <v>0</v>
      </c>
      <c r="B8508" s="6" t="s">
        <v>47841</v>
      </c>
      <c r="C8508" s="13">
        <v>988.8</v>
      </c>
      <c r="D8508" s="8" t="s">
        <v>47842</v>
      </c>
      <c r="E8508" s="8" t="s">
        <v>47843</v>
      </c>
      <c r="F8508" s="8" t="s">
        <v>17986</v>
      </c>
      <c r="G8508" s="6" t="s">
        <v>33</v>
      </c>
      <c r="H8508" s="6" t="s">
        <v>34</v>
      </c>
      <c r="I8508" s="8" t="s">
        <v>271</v>
      </c>
      <c r="J8508" s="9">
        <v>1</v>
      </c>
      <c r="K8508" s="9">
        <v>158</v>
      </c>
      <c r="L8508" s="9">
        <v>2025</v>
      </c>
      <c r="M8508" s="8" t="s">
        <v>47844</v>
      </c>
      <c r="N8508" s="8" t="s">
        <v>37</v>
      </c>
      <c r="O8508" s="8" t="s">
        <v>233</v>
      </c>
      <c r="P8508" s="6" t="s">
        <v>306</v>
      </c>
      <c r="Q8508" s="8" t="s">
        <v>52</v>
      </c>
      <c r="R8508" s="10" t="s">
        <v>47845</v>
      </c>
      <c r="S8508" s="11" t="s">
        <v>47846</v>
      </c>
      <c r="T8508" s="6"/>
      <c r="U8508" s="15" t="str">
        <f>HYPERLINK("https://media.infra-m.ru/2194/2194374/cover/2194374.jpg", "Обложка")</f>
        <v>Обложка</v>
      </c>
      <c r="V8508" s="8" t="s">
        <v>6025</v>
      </c>
      <c r="W8508" s="6"/>
      <c r="X8508" s="6"/>
      <c r="Y8508" s="6"/>
      <c r="Z8508" s="6"/>
      <c r="AA8508" s="6" t="s">
        <v>874</v>
      </c>
      <c r="AB8508" s="8"/>
      <c r="AC8508" s="27">
        <v>9785160096575</v>
      </c>
    </row>
    <row r="8509" spans="1:29" s="4" customFormat="1" ht="51.9" customHeight="1" x14ac:dyDescent="0.2">
      <c r="A8509" s="5">
        <v>0</v>
      </c>
      <c r="B8509" s="6" t="s">
        <v>47847</v>
      </c>
      <c r="C8509" s="7">
        <v>1416</v>
      </c>
      <c r="D8509" s="8" t="s">
        <v>47848</v>
      </c>
      <c r="E8509" s="8" t="s">
        <v>47849</v>
      </c>
      <c r="F8509" s="8" t="s">
        <v>47850</v>
      </c>
      <c r="G8509" s="6" t="s">
        <v>118</v>
      </c>
      <c r="H8509" s="6" t="s">
        <v>313</v>
      </c>
      <c r="I8509" s="8" t="s">
        <v>392</v>
      </c>
      <c r="J8509" s="9">
        <v>1</v>
      </c>
      <c r="K8509" s="9">
        <v>262</v>
      </c>
      <c r="L8509" s="9">
        <v>2023</v>
      </c>
      <c r="M8509" s="8" t="s">
        <v>47851</v>
      </c>
      <c r="N8509" s="8" t="s">
        <v>243</v>
      </c>
      <c r="O8509" s="8" t="s">
        <v>244</v>
      </c>
      <c r="P8509" s="6" t="s">
        <v>51</v>
      </c>
      <c r="Q8509" s="8" t="s">
        <v>52</v>
      </c>
      <c r="R8509" s="10" t="s">
        <v>47852</v>
      </c>
      <c r="S8509" s="11"/>
      <c r="T8509" s="6"/>
      <c r="U8509" s="15" t="str">
        <f>HYPERLINK("https://media.infra-m.ru/1965/1965768/cover/1965768.jpg", "Обложка")</f>
        <v>Обложка</v>
      </c>
      <c r="V8509" s="8" t="s">
        <v>761</v>
      </c>
      <c r="W8509" s="6"/>
      <c r="X8509" s="6"/>
      <c r="Y8509" s="6"/>
      <c r="Z8509" s="6"/>
      <c r="AA8509" s="6" t="s">
        <v>115</v>
      </c>
      <c r="AB8509" s="8"/>
      <c r="AC8509" s="27">
        <v>9785369018125</v>
      </c>
    </row>
    <row r="8510" spans="1:29" s="4" customFormat="1" ht="51.9" customHeight="1" x14ac:dyDescent="0.2">
      <c r="A8510" s="5">
        <v>0</v>
      </c>
      <c r="B8510" s="6" t="s">
        <v>47853</v>
      </c>
      <c r="C8510" s="7">
        <v>1656</v>
      </c>
      <c r="D8510" s="8" t="s">
        <v>47854</v>
      </c>
      <c r="E8510" s="8" t="s">
        <v>47855</v>
      </c>
      <c r="F8510" s="8" t="s">
        <v>47856</v>
      </c>
      <c r="G8510" s="6" t="s">
        <v>118</v>
      </c>
      <c r="H8510" s="6" t="s">
        <v>820</v>
      </c>
      <c r="I8510" s="8" t="s">
        <v>271</v>
      </c>
      <c r="J8510" s="9">
        <v>1</v>
      </c>
      <c r="K8510" s="9">
        <v>240</v>
      </c>
      <c r="L8510" s="9">
        <v>2026</v>
      </c>
      <c r="M8510" s="8" t="s">
        <v>47857</v>
      </c>
      <c r="N8510" s="8" t="s">
        <v>585</v>
      </c>
      <c r="O8510" s="8" t="s">
        <v>667</v>
      </c>
      <c r="P8510" s="6" t="s">
        <v>306</v>
      </c>
      <c r="Q8510" s="8" t="s">
        <v>52</v>
      </c>
      <c r="R8510" s="10" t="s">
        <v>47858</v>
      </c>
      <c r="S8510" s="11"/>
      <c r="T8510" s="6"/>
      <c r="U8510" s="15" t="str">
        <f>HYPERLINK("https://media.infra-m.ru/2233/2233807/cover/2233807.jpg", "Обложка")</f>
        <v>Обложка</v>
      </c>
      <c r="V8510" s="8" t="s">
        <v>3428</v>
      </c>
      <c r="W8510" s="6"/>
      <c r="X8510" s="6"/>
      <c r="Y8510" s="6"/>
      <c r="Z8510" s="6"/>
      <c r="AA8510" s="6" t="s">
        <v>99</v>
      </c>
      <c r="AB8510" s="8"/>
      <c r="AC8510" s="27">
        <v>9785906818614</v>
      </c>
    </row>
    <row r="8511" spans="1:29" s="4" customFormat="1" ht="42" customHeight="1" x14ac:dyDescent="0.2">
      <c r="A8511" s="5">
        <v>0</v>
      </c>
      <c r="B8511" s="6" t="s">
        <v>47859</v>
      </c>
      <c r="C8511" s="7">
        <v>1548</v>
      </c>
      <c r="D8511" s="8" t="s">
        <v>47860</v>
      </c>
      <c r="E8511" s="8" t="s">
        <v>47861</v>
      </c>
      <c r="F8511" s="8" t="s">
        <v>47862</v>
      </c>
      <c r="G8511" s="6" t="s">
        <v>33</v>
      </c>
      <c r="H8511" s="6" t="s">
        <v>34</v>
      </c>
      <c r="I8511" s="8" t="s">
        <v>35</v>
      </c>
      <c r="J8511" s="9">
        <v>1</v>
      </c>
      <c r="K8511" s="9">
        <v>326</v>
      </c>
      <c r="L8511" s="9">
        <v>2022</v>
      </c>
      <c r="M8511" s="8" t="s">
        <v>47863</v>
      </c>
      <c r="N8511" s="8" t="s">
        <v>585</v>
      </c>
      <c r="O8511" s="8" t="s">
        <v>775</v>
      </c>
      <c r="P8511" s="6" t="s">
        <v>39</v>
      </c>
      <c r="Q8511" s="8" t="s">
        <v>40</v>
      </c>
      <c r="R8511" s="10" t="s">
        <v>47864</v>
      </c>
      <c r="S8511" s="11"/>
      <c r="T8511" s="6"/>
      <c r="U8511" s="15" t="str">
        <f>HYPERLINK("https://media.infra-m.ru/1836/1836246/cover/1836246.jpg", "Обложка")</f>
        <v>Обложка</v>
      </c>
      <c r="V8511" s="8" t="s">
        <v>11774</v>
      </c>
      <c r="W8511" s="6"/>
      <c r="X8511" s="6"/>
      <c r="Y8511" s="6"/>
      <c r="Z8511" s="6"/>
      <c r="AA8511" s="6" t="s">
        <v>148</v>
      </c>
      <c r="AB8511" s="8" t="s">
        <v>3024</v>
      </c>
      <c r="AC8511" s="27">
        <v>9785160172491</v>
      </c>
    </row>
    <row r="8512" spans="1:29" s="4" customFormat="1" ht="42" customHeight="1" x14ac:dyDescent="0.2">
      <c r="A8512" s="5">
        <v>0</v>
      </c>
      <c r="B8512" s="6" t="s">
        <v>47865</v>
      </c>
      <c r="C8512" s="7">
        <v>1812</v>
      </c>
      <c r="D8512" s="8" t="s">
        <v>47866</v>
      </c>
      <c r="E8512" s="8" t="s">
        <v>47867</v>
      </c>
      <c r="F8512" s="8" t="s">
        <v>47868</v>
      </c>
      <c r="G8512" s="6" t="s">
        <v>118</v>
      </c>
      <c r="H8512" s="6" t="s">
        <v>34</v>
      </c>
      <c r="I8512" s="8" t="s">
        <v>35</v>
      </c>
      <c r="J8512" s="9">
        <v>1</v>
      </c>
      <c r="K8512" s="9">
        <v>335</v>
      </c>
      <c r="L8512" s="9">
        <v>2023</v>
      </c>
      <c r="M8512" s="8" t="s">
        <v>47869</v>
      </c>
      <c r="N8512" s="8" t="s">
        <v>63</v>
      </c>
      <c r="O8512" s="8" t="s">
        <v>181</v>
      </c>
      <c r="P8512" s="6" t="s">
        <v>39</v>
      </c>
      <c r="Q8512" s="8" t="s">
        <v>40</v>
      </c>
      <c r="R8512" s="10" t="s">
        <v>3510</v>
      </c>
      <c r="S8512" s="11"/>
      <c r="T8512" s="6"/>
      <c r="U8512" s="15" t="str">
        <f>HYPERLINK("https://media.infra-m.ru/1898/1898363/cover/1898363.jpg", "Обложка")</f>
        <v>Обложка</v>
      </c>
      <c r="V8512" s="8" t="s">
        <v>809</v>
      </c>
      <c r="W8512" s="6"/>
      <c r="X8512" s="6"/>
      <c r="Y8512" s="6"/>
      <c r="Z8512" s="6"/>
      <c r="AA8512" s="6" t="s">
        <v>115</v>
      </c>
      <c r="AB8512" s="8"/>
      <c r="AC8512" s="27">
        <v>9785160143057</v>
      </c>
    </row>
    <row r="8513" spans="1:29" s="4" customFormat="1" ht="42" customHeight="1" x14ac:dyDescent="0.2">
      <c r="A8513" s="5">
        <v>0</v>
      </c>
      <c r="B8513" s="6" t="s">
        <v>47870</v>
      </c>
      <c r="C8513" s="13">
        <v>936</v>
      </c>
      <c r="D8513" s="8" t="s">
        <v>47871</v>
      </c>
      <c r="E8513" s="8" t="s">
        <v>47872</v>
      </c>
      <c r="F8513" s="8" t="s">
        <v>1960</v>
      </c>
      <c r="G8513" s="6" t="s">
        <v>33</v>
      </c>
      <c r="H8513" s="6" t="s">
        <v>34</v>
      </c>
      <c r="I8513" s="8" t="s">
        <v>35</v>
      </c>
      <c r="J8513" s="9">
        <v>1</v>
      </c>
      <c r="K8513" s="9">
        <v>183</v>
      </c>
      <c r="L8513" s="9">
        <v>2022</v>
      </c>
      <c r="M8513" s="8" t="s">
        <v>47873</v>
      </c>
      <c r="N8513" s="8" t="s">
        <v>63</v>
      </c>
      <c r="O8513" s="8" t="s">
        <v>126</v>
      </c>
      <c r="P8513" s="6" t="s">
        <v>39</v>
      </c>
      <c r="Q8513" s="8" t="s">
        <v>40</v>
      </c>
      <c r="R8513" s="10" t="s">
        <v>10423</v>
      </c>
      <c r="S8513" s="11"/>
      <c r="T8513" s="6"/>
      <c r="U8513" s="15" t="str">
        <f>HYPERLINK("https://media.infra-m.ru/1841/1841828/cover/1841828.jpg", "Обложка")</f>
        <v>Обложка</v>
      </c>
      <c r="V8513" s="8" t="s">
        <v>227</v>
      </c>
      <c r="W8513" s="6"/>
      <c r="X8513" s="6"/>
      <c r="Y8513" s="6"/>
      <c r="Z8513" s="6"/>
      <c r="AA8513" s="6" t="s">
        <v>148</v>
      </c>
      <c r="AB8513" s="8" t="s">
        <v>3024</v>
      </c>
      <c r="AC8513" s="27">
        <v>9785160173023</v>
      </c>
    </row>
    <row r="8514" spans="1:29" s="4" customFormat="1" ht="44.1" customHeight="1" x14ac:dyDescent="0.2">
      <c r="A8514" s="5">
        <v>0</v>
      </c>
      <c r="B8514" s="6" t="s">
        <v>47874</v>
      </c>
      <c r="C8514" s="7">
        <v>1344</v>
      </c>
      <c r="D8514" s="8" t="s">
        <v>47875</v>
      </c>
      <c r="E8514" s="8" t="s">
        <v>47876</v>
      </c>
      <c r="F8514" s="8" t="s">
        <v>47877</v>
      </c>
      <c r="G8514" s="6" t="s">
        <v>118</v>
      </c>
      <c r="H8514" s="6" t="s">
        <v>34</v>
      </c>
      <c r="I8514" s="8" t="s">
        <v>35</v>
      </c>
      <c r="J8514" s="9">
        <v>1</v>
      </c>
      <c r="K8514" s="9">
        <v>202</v>
      </c>
      <c r="L8514" s="9">
        <v>2026</v>
      </c>
      <c r="M8514" s="8" t="s">
        <v>47878</v>
      </c>
      <c r="N8514" s="8" t="s">
        <v>63</v>
      </c>
      <c r="O8514" s="8" t="s">
        <v>181</v>
      </c>
      <c r="P8514" s="6" t="s">
        <v>39</v>
      </c>
      <c r="Q8514" s="8" t="s">
        <v>40</v>
      </c>
      <c r="R8514" s="10" t="s">
        <v>47879</v>
      </c>
      <c r="S8514" s="11"/>
      <c r="T8514" s="6" t="s">
        <v>97</v>
      </c>
      <c r="U8514" s="15" t="str">
        <f>HYPERLINK("https://media.infra-m.ru/2236/2236955/cover/2236955.jpg", "Обложка")</f>
        <v>Обложка</v>
      </c>
      <c r="V8514" s="8" t="s">
        <v>47880</v>
      </c>
      <c r="W8514" s="6"/>
      <c r="X8514" s="6"/>
      <c r="Y8514" s="6"/>
      <c r="Z8514" s="6"/>
      <c r="AA8514" s="6" t="s">
        <v>86</v>
      </c>
      <c r="AB8514" s="8"/>
      <c r="AC8514" s="27">
        <v>9785160130194</v>
      </c>
    </row>
    <row r="8515" spans="1:29" s="4" customFormat="1" ht="51.9" customHeight="1" x14ac:dyDescent="0.2">
      <c r="A8515" s="5">
        <v>0</v>
      </c>
      <c r="B8515" s="6" t="s">
        <v>47881</v>
      </c>
      <c r="C8515" s="7">
        <v>1104</v>
      </c>
      <c r="D8515" s="8" t="s">
        <v>47882</v>
      </c>
      <c r="E8515" s="8" t="s">
        <v>47883</v>
      </c>
      <c r="F8515" s="8" t="s">
        <v>47884</v>
      </c>
      <c r="G8515" s="6" t="s">
        <v>118</v>
      </c>
      <c r="H8515" s="6" t="s">
        <v>34</v>
      </c>
      <c r="I8515" s="8" t="s">
        <v>1128</v>
      </c>
      <c r="J8515" s="9">
        <v>1</v>
      </c>
      <c r="K8515" s="9">
        <v>159</v>
      </c>
      <c r="L8515" s="9">
        <v>2027</v>
      </c>
      <c r="M8515" s="8" t="s">
        <v>47885</v>
      </c>
      <c r="N8515" s="8" t="s">
        <v>585</v>
      </c>
      <c r="O8515" s="8" t="s">
        <v>775</v>
      </c>
      <c r="P8515" s="6" t="s">
        <v>51</v>
      </c>
      <c r="Q8515" s="8" t="s">
        <v>52</v>
      </c>
      <c r="R8515" s="10" t="s">
        <v>47886</v>
      </c>
      <c r="S8515" s="11" t="s">
        <v>47887</v>
      </c>
      <c r="T8515" s="6"/>
      <c r="U8515" s="15" t="str">
        <f>HYPERLINK("https://media.infra-m.ru/2263/2263942/cover/2263942.jpg", "Обложка")</f>
        <v>Обложка</v>
      </c>
      <c r="V8515" s="8" t="s">
        <v>1132</v>
      </c>
      <c r="W8515" s="6"/>
      <c r="X8515" s="6"/>
      <c r="Y8515" s="6"/>
      <c r="Z8515" s="6"/>
      <c r="AA8515" s="6" t="s">
        <v>157</v>
      </c>
      <c r="AB8515" s="8"/>
      <c r="AC8515" s="27">
        <v>9785160223797</v>
      </c>
    </row>
    <row r="8516" spans="1:29" s="4" customFormat="1" ht="51.9" customHeight="1" x14ac:dyDescent="0.2">
      <c r="A8516" s="5">
        <v>0</v>
      </c>
      <c r="B8516" s="6" t="s">
        <v>47888</v>
      </c>
      <c r="C8516" s="7">
        <v>1104</v>
      </c>
      <c r="D8516" s="8" t="s">
        <v>47889</v>
      </c>
      <c r="E8516" s="8" t="s">
        <v>47890</v>
      </c>
      <c r="F8516" s="8" t="s">
        <v>8568</v>
      </c>
      <c r="G8516" s="6" t="s">
        <v>118</v>
      </c>
      <c r="H8516" s="6" t="s">
        <v>34</v>
      </c>
      <c r="I8516" s="8" t="s">
        <v>253</v>
      </c>
      <c r="J8516" s="9">
        <v>1</v>
      </c>
      <c r="K8516" s="9">
        <v>192</v>
      </c>
      <c r="L8516" s="9">
        <v>2024</v>
      </c>
      <c r="M8516" s="8" t="s">
        <v>47891</v>
      </c>
      <c r="N8516" s="8" t="s">
        <v>37</v>
      </c>
      <c r="O8516" s="8" t="s">
        <v>280</v>
      </c>
      <c r="P8516" s="6" t="s">
        <v>51</v>
      </c>
      <c r="Q8516" s="8" t="s">
        <v>52</v>
      </c>
      <c r="R8516" s="10" t="s">
        <v>2962</v>
      </c>
      <c r="S8516" s="11" t="s">
        <v>47892</v>
      </c>
      <c r="T8516" s="6"/>
      <c r="U8516" s="15" t="str">
        <f>HYPERLINK("https://media.infra-m.ru/2134/2134344/cover/2134344.jpg", "Обложка")</f>
        <v>Обложка</v>
      </c>
      <c r="V8516" s="8" t="s">
        <v>3130</v>
      </c>
      <c r="W8516" s="6"/>
      <c r="X8516" s="6"/>
      <c r="Y8516" s="6"/>
      <c r="Z8516" s="6"/>
      <c r="AA8516" s="6" t="s">
        <v>129</v>
      </c>
      <c r="AB8516" s="8"/>
      <c r="AC8516" s="27">
        <v>9785160197197</v>
      </c>
    </row>
    <row r="8517" spans="1:29" s="4" customFormat="1" ht="44.1" customHeight="1" x14ac:dyDescent="0.2">
      <c r="A8517" s="5">
        <v>0</v>
      </c>
      <c r="B8517" s="6" t="s">
        <v>47893</v>
      </c>
      <c r="C8517" s="13">
        <v>528</v>
      </c>
      <c r="D8517" s="8" t="s">
        <v>47894</v>
      </c>
      <c r="E8517" s="8" t="s">
        <v>47895</v>
      </c>
      <c r="F8517" s="8" t="s">
        <v>47896</v>
      </c>
      <c r="G8517" s="6" t="s">
        <v>33</v>
      </c>
      <c r="H8517" s="6" t="s">
        <v>34</v>
      </c>
      <c r="I8517" s="8" t="s">
        <v>35</v>
      </c>
      <c r="J8517" s="9">
        <v>1</v>
      </c>
      <c r="K8517" s="9">
        <v>80</v>
      </c>
      <c r="L8517" s="9">
        <v>2026</v>
      </c>
      <c r="M8517" s="8" t="s">
        <v>47897</v>
      </c>
      <c r="N8517" s="8" t="s">
        <v>93</v>
      </c>
      <c r="O8517" s="8" t="s">
        <v>94</v>
      </c>
      <c r="P8517" s="6" t="s">
        <v>39</v>
      </c>
      <c r="Q8517" s="8" t="s">
        <v>40</v>
      </c>
      <c r="R8517" s="10" t="s">
        <v>47898</v>
      </c>
      <c r="S8517" s="11"/>
      <c r="T8517" s="6"/>
      <c r="U8517" s="15" t="str">
        <f>HYPERLINK("https://media.infra-m.ru/2239/2239139/cover/2239139.jpg", "Обложка")</f>
        <v>Обложка</v>
      </c>
      <c r="V8517" s="8" t="s">
        <v>128</v>
      </c>
      <c r="W8517" s="6"/>
      <c r="X8517" s="6"/>
      <c r="Y8517" s="6"/>
      <c r="Z8517" s="6"/>
      <c r="AA8517" s="6" t="s">
        <v>55</v>
      </c>
      <c r="AB8517" s="8"/>
      <c r="AC8517" s="27">
        <v>9785160069098</v>
      </c>
    </row>
    <row r="8518" spans="1:29" s="4" customFormat="1" ht="51.9" customHeight="1" x14ac:dyDescent="0.2">
      <c r="A8518" s="5">
        <v>0</v>
      </c>
      <c r="B8518" s="6" t="s">
        <v>47899</v>
      </c>
      <c r="C8518" s="7">
        <v>1408.8</v>
      </c>
      <c r="D8518" s="8" t="s">
        <v>47900</v>
      </c>
      <c r="E8518" s="8" t="s">
        <v>47901</v>
      </c>
      <c r="F8518" s="8" t="s">
        <v>47902</v>
      </c>
      <c r="G8518" s="6" t="s">
        <v>118</v>
      </c>
      <c r="H8518" s="6" t="s">
        <v>34</v>
      </c>
      <c r="I8518" s="8" t="s">
        <v>263</v>
      </c>
      <c r="J8518" s="9">
        <v>1</v>
      </c>
      <c r="K8518" s="9">
        <v>202</v>
      </c>
      <c r="L8518" s="9">
        <v>2026</v>
      </c>
      <c r="M8518" s="8" t="s">
        <v>47903</v>
      </c>
      <c r="N8518" s="8" t="s">
        <v>93</v>
      </c>
      <c r="O8518" s="8" t="s">
        <v>94</v>
      </c>
      <c r="P8518" s="6" t="s">
        <v>105</v>
      </c>
      <c r="Q8518" s="8" t="s">
        <v>265</v>
      </c>
      <c r="R8518" s="10" t="s">
        <v>47904</v>
      </c>
      <c r="S8518" s="11" t="s">
        <v>47905</v>
      </c>
      <c r="T8518" s="6"/>
      <c r="U8518" s="15" t="str">
        <f>HYPERLINK("https://media.infra-m.ru/2263/2263276/cover/2263276.jpg", "Обложка")</f>
        <v>Обложка</v>
      </c>
      <c r="V8518" s="8" t="s">
        <v>257</v>
      </c>
      <c r="W8518" s="6"/>
      <c r="X8518" s="6"/>
      <c r="Y8518" s="6"/>
      <c r="Z8518" s="6" t="s">
        <v>267</v>
      </c>
      <c r="AA8518" s="6" t="s">
        <v>1256</v>
      </c>
      <c r="AB8518" s="8"/>
      <c r="AC8518" s="27">
        <v>9785160156231</v>
      </c>
    </row>
    <row r="8519" spans="1:29" s="4" customFormat="1" ht="44.1" customHeight="1" x14ac:dyDescent="0.2">
      <c r="A8519" s="5">
        <v>0</v>
      </c>
      <c r="B8519" s="6" t="s">
        <v>47906</v>
      </c>
      <c r="C8519" s="7">
        <v>1404</v>
      </c>
      <c r="D8519" s="8" t="s">
        <v>47907</v>
      </c>
      <c r="E8519" s="8" t="s">
        <v>47901</v>
      </c>
      <c r="F8519" s="8" t="s">
        <v>47902</v>
      </c>
      <c r="G8519" s="6" t="s">
        <v>118</v>
      </c>
      <c r="H8519" s="6" t="s">
        <v>34</v>
      </c>
      <c r="I8519" s="8" t="s">
        <v>91</v>
      </c>
      <c r="J8519" s="9">
        <v>1</v>
      </c>
      <c r="K8519" s="9">
        <v>202</v>
      </c>
      <c r="L8519" s="9">
        <v>2026</v>
      </c>
      <c r="M8519" s="8" t="s">
        <v>47908</v>
      </c>
      <c r="N8519" s="8" t="s">
        <v>93</v>
      </c>
      <c r="O8519" s="8" t="s">
        <v>94</v>
      </c>
      <c r="P8519" s="6" t="s">
        <v>105</v>
      </c>
      <c r="Q8519" s="8" t="s">
        <v>52</v>
      </c>
      <c r="R8519" s="10" t="s">
        <v>47909</v>
      </c>
      <c r="S8519" s="11"/>
      <c r="T8519" s="6"/>
      <c r="U8519" s="15" t="str">
        <f>HYPERLINK("https://media.infra-m.ru/2259/2259970/cover/2259970.jpg", "Обложка")</f>
        <v>Обложка</v>
      </c>
      <c r="V8519" s="8" t="s">
        <v>257</v>
      </c>
      <c r="W8519" s="6"/>
      <c r="X8519" s="6"/>
      <c r="Y8519" s="6"/>
      <c r="Z8519" s="6"/>
      <c r="AA8519" s="6" t="s">
        <v>115</v>
      </c>
      <c r="AB8519" s="8"/>
      <c r="AC8519" s="27">
        <v>9785160142944</v>
      </c>
    </row>
    <row r="8520" spans="1:29" s="4" customFormat="1" ht="42" customHeight="1" x14ac:dyDescent="0.2">
      <c r="A8520" s="5">
        <v>0</v>
      </c>
      <c r="B8520" s="6" t="s">
        <v>47910</v>
      </c>
      <c r="C8520" s="7">
        <v>3228</v>
      </c>
      <c r="D8520" s="8" t="s">
        <v>47911</v>
      </c>
      <c r="E8520" s="8" t="s">
        <v>47912</v>
      </c>
      <c r="F8520" s="8" t="s">
        <v>47913</v>
      </c>
      <c r="G8520" s="6" t="s">
        <v>60</v>
      </c>
      <c r="H8520" s="6" t="s">
        <v>34</v>
      </c>
      <c r="I8520" s="8" t="s">
        <v>263</v>
      </c>
      <c r="J8520" s="9">
        <v>1</v>
      </c>
      <c r="K8520" s="9">
        <v>464</v>
      </c>
      <c r="L8520" s="9">
        <v>2026</v>
      </c>
      <c r="M8520" s="8" t="s">
        <v>47914</v>
      </c>
      <c r="N8520" s="8" t="s">
        <v>63</v>
      </c>
      <c r="O8520" s="8" t="s">
        <v>64</v>
      </c>
      <c r="P8520" s="6" t="s">
        <v>51</v>
      </c>
      <c r="Q8520" s="8" t="s">
        <v>265</v>
      </c>
      <c r="R8520" s="10" t="s">
        <v>47915</v>
      </c>
      <c r="S8520" s="11"/>
      <c r="T8520" s="6"/>
      <c r="U8520" s="15" t="str">
        <f>HYPERLINK("https://media.infra-m.ru/2259/2259705/cover/2259705.jpg", "Обложка")</f>
        <v>Обложка</v>
      </c>
      <c r="V8520" s="8" t="s">
        <v>227</v>
      </c>
      <c r="W8520" s="6"/>
      <c r="X8520" s="6"/>
      <c r="Y8520" s="6"/>
      <c r="Z8520" s="6"/>
      <c r="AA8520" s="6" t="s">
        <v>43</v>
      </c>
      <c r="AB8520" s="8"/>
      <c r="AC8520" s="27">
        <v>9785160047843</v>
      </c>
    </row>
    <row r="8521" spans="1:29" s="4" customFormat="1" ht="42" customHeight="1" x14ac:dyDescent="0.2">
      <c r="A8521" s="5">
        <v>0</v>
      </c>
      <c r="B8521" s="6" t="s">
        <v>47916</v>
      </c>
      <c r="C8521" s="7">
        <v>1188</v>
      </c>
      <c r="D8521" s="8" t="s">
        <v>47917</v>
      </c>
      <c r="E8521" s="8" t="s">
        <v>47918</v>
      </c>
      <c r="F8521" s="8" t="s">
        <v>47919</v>
      </c>
      <c r="G8521" s="6" t="s">
        <v>118</v>
      </c>
      <c r="H8521" s="6" t="s">
        <v>34</v>
      </c>
      <c r="I8521" s="8" t="s">
        <v>35</v>
      </c>
      <c r="J8521" s="9">
        <v>1</v>
      </c>
      <c r="K8521" s="9">
        <v>187</v>
      </c>
      <c r="L8521" s="9">
        <v>2025</v>
      </c>
      <c r="M8521" s="8" t="s">
        <v>47920</v>
      </c>
      <c r="N8521" s="8" t="s">
        <v>37</v>
      </c>
      <c r="O8521" s="8" t="s">
        <v>280</v>
      </c>
      <c r="P8521" s="6" t="s">
        <v>39</v>
      </c>
      <c r="Q8521" s="8" t="s">
        <v>40</v>
      </c>
      <c r="R8521" s="10" t="s">
        <v>1824</v>
      </c>
      <c r="S8521" s="11"/>
      <c r="T8521" s="6"/>
      <c r="U8521" s="15" t="str">
        <f>HYPERLINK("https://media.infra-m.ru/2179/2179091/cover/2179091.jpg", "Обложка")</f>
        <v>Обложка</v>
      </c>
      <c r="V8521" s="8" t="s">
        <v>1357</v>
      </c>
      <c r="W8521" s="6"/>
      <c r="X8521" s="6"/>
      <c r="Y8521" s="6"/>
      <c r="Z8521" s="6"/>
      <c r="AA8521" s="6" t="s">
        <v>157</v>
      </c>
      <c r="AB8521" s="8"/>
      <c r="AC8521" s="27">
        <v>9785160181349</v>
      </c>
    </row>
    <row r="8522" spans="1:29" s="4" customFormat="1" ht="42" customHeight="1" x14ac:dyDescent="0.2">
      <c r="A8522" s="5">
        <v>0</v>
      </c>
      <c r="B8522" s="6" t="s">
        <v>47921</v>
      </c>
      <c r="C8522" s="13">
        <v>852</v>
      </c>
      <c r="D8522" s="8" t="s">
        <v>47922</v>
      </c>
      <c r="E8522" s="8" t="s">
        <v>47923</v>
      </c>
      <c r="F8522" s="8" t="s">
        <v>6770</v>
      </c>
      <c r="G8522" s="6" t="s">
        <v>118</v>
      </c>
      <c r="H8522" s="6" t="s">
        <v>34</v>
      </c>
      <c r="I8522" s="8" t="s">
        <v>6772</v>
      </c>
      <c r="J8522" s="9">
        <v>1</v>
      </c>
      <c r="K8522" s="9">
        <v>246</v>
      </c>
      <c r="L8522" s="9">
        <v>2027</v>
      </c>
      <c r="M8522" s="8" t="s">
        <v>47924</v>
      </c>
      <c r="N8522" s="8" t="s">
        <v>37</v>
      </c>
      <c r="O8522" s="8" t="s">
        <v>290</v>
      </c>
      <c r="P8522" s="6" t="s">
        <v>9800</v>
      </c>
      <c r="Q8522" s="8" t="s">
        <v>65</v>
      </c>
      <c r="R8522" s="10" t="s">
        <v>9801</v>
      </c>
      <c r="S8522" s="11"/>
      <c r="T8522" s="6"/>
      <c r="U8522" s="15" t="str">
        <f>HYPERLINK("https://media.infra-m.ru/2265/2265198/cover/2265198.jpg", "Обложка")</f>
        <v>Обложка</v>
      </c>
      <c r="V8522" s="8"/>
      <c r="W8522" s="6"/>
      <c r="X8522" s="6"/>
      <c r="Y8522" s="6"/>
      <c r="Z8522" s="6"/>
      <c r="AA8522" s="6" t="s">
        <v>106</v>
      </c>
      <c r="AB8522" s="8"/>
      <c r="AC8522" s="27">
        <v>9785160201269</v>
      </c>
    </row>
    <row r="8523" spans="1:29" s="4" customFormat="1" ht="42" customHeight="1" x14ac:dyDescent="0.2">
      <c r="A8523" s="5">
        <v>0</v>
      </c>
      <c r="B8523" s="6" t="s">
        <v>47925</v>
      </c>
      <c r="C8523" s="13">
        <v>492</v>
      </c>
      <c r="D8523" s="8" t="s">
        <v>47926</v>
      </c>
      <c r="E8523" s="8" t="s">
        <v>47927</v>
      </c>
      <c r="F8523" s="8" t="s">
        <v>6770</v>
      </c>
      <c r="G8523" s="6" t="s">
        <v>118</v>
      </c>
      <c r="H8523" s="6" t="s">
        <v>34</v>
      </c>
      <c r="I8523" s="8" t="s">
        <v>6772</v>
      </c>
      <c r="J8523" s="9">
        <v>1</v>
      </c>
      <c r="K8523" s="9">
        <v>246</v>
      </c>
      <c r="L8523" s="9">
        <v>2024</v>
      </c>
      <c r="M8523" s="8" t="s">
        <v>47928</v>
      </c>
      <c r="N8523" s="8" t="s">
        <v>37</v>
      </c>
      <c r="O8523" s="8" t="s">
        <v>290</v>
      </c>
      <c r="P8523" s="6" t="s">
        <v>9800</v>
      </c>
      <c r="Q8523" s="8" t="s">
        <v>65</v>
      </c>
      <c r="R8523" s="10" t="s">
        <v>9801</v>
      </c>
      <c r="S8523" s="11"/>
      <c r="T8523" s="6"/>
      <c r="U8523" s="15" t="str">
        <f>HYPERLINK("https://media.infra-m.ru/2130/2130735/cover/2130735.jpg", "Обложка")</f>
        <v>Обложка</v>
      </c>
      <c r="V8523" s="8"/>
      <c r="W8523" s="6"/>
      <c r="X8523" s="6"/>
      <c r="Y8523" s="6"/>
      <c r="Z8523" s="6"/>
      <c r="AA8523" s="6" t="s">
        <v>157</v>
      </c>
      <c r="AB8523" s="8"/>
      <c r="AC8523" s="27">
        <v>9785160184883</v>
      </c>
    </row>
    <row r="8524" spans="1:29" s="4" customFormat="1" ht="42" customHeight="1" x14ac:dyDescent="0.2">
      <c r="A8524" s="5">
        <v>0</v>
      </c>
      <c r="B8524" s="6" t="s">
        <v>47929</v>
      </c>
      <c r="C8524" s="13">
        <v>696</v>
      </c>
      <c r="D8524" s="8" t="s">
        <v>47930</v>
      </c>
      <c r="E8524" s="8" t="s">
        <v>47931</v>
      </c>
      <c r="F8524" s="8" t="s">
        <v>6770</v>
      </c>
      <c r="G8524" s="6" t="s">
        <v>118</v>
      </c>
      <c r="H8524" s="6" t="s">
        <v>34</v>
      </c>
      <c r="I8524" s="8" t="s">
        <v>6772</v>
      </c>
      <c r="J8524" s="9">
        <v>1</v>
      </c>
      <c r="K8524" s="9">
        <v>183</v>
      </c>
      <c r="L8524" s="9">
        <v>2026</v>
      </c>
      <c r="M8524" s="8" t="s">
        <v>47932</v>
      </c>
      <c r="N8524" s="8" t="s">
        <v>37</v>
      </c>
      <c r="O8524" s="8" t="s">
        <v>290</v>
      </c>
      <c r="P8524" s="6" t="s">
        <v>9800</v>
      </c>
      <c r="Q8524" s="8" t="s">
        <v>65</v>
      </c>
      <c r="R8524" s="10" t="s">
        <v>9801</v>
      </c>
      <c r="S8524" s="11"/>
      <c r="T8524" s="6"/>
      <c r="U8524" s="15" t="str">
        <f>HYPERLINK("https://media.infra-m.ru/2235/2235898/cover/2235898.jpg", "Обложка")</f>
        <v>Обложка</v>
      </c>
      <c r="V8524" s="8"/>
      <c r="W8524" s="6"/>
      <c r="X8524" s="6"/>
      <c r="Y8524" s="6"/>
      <c r="Z8524" s="6"/>
      <c r="AA8524" s="6" t="s">
        <v>917</v>
      </c>
      <c r="AB8524" s="8"/>
      <c r="AC8524" s="27">
        <v>9785160201313</v>
      </c>
    </row>
    <row r="8525" spans="1:29" s="4" customFormat="1" ht="42" customHeight="1" x14ac:dyDescent="0.2">
      <c r="A8525" s="5">
        <v>0</v>
      </c>
      <c r="B8525" s="6" t="s">
        <v>47933</v>
      </c>
      <c r="C8525" s="13">
        <v>424.8</v>
      </c>
      <c r="D8525" s="8" t="s">
        <v>47934</v>
      </c>
      <c r="E8525" s="8" t="s">
        <v>47935</v>
      </c>
      <c r="F8525" s="8" t="s">
        <v>6770</v>
      </c>
      <c r="G8525" s="6" t="s">
        <v>118</v>
      </c>
      <c r="H8525" s="6" t="s">
        <v>34</v>
      </c>
      <c r="I8525" s="8" t="s">
        <v>6772</v>
      </c>
      <c r="J8525" s="9">
        <v>1</v>
      </c>
      <c r="K8525" s="9">
        <v>182</v>
      </c>
      <c r="L8525" s="9">
        <v>2023</v>
      </c>
      <c r="M8525" s="8" t="s">
        <v>47936</v>
      </c>
      <c r="N8525" s="8" t="s">
        <v>37</v>
      </c>
      <c r="O8525" s="8" t="s">
        <v>290</v>
      </c>
      <c r="P8525" s="6" t="s">
        <v>9800</v>
      </c>
      <c r="Q8525" s="8" t="s">
        <v>65</v>
      </c>
      <c r="R8525" s="10" t="s">
        <v>9801</v>
      </c>
      <c r="S8525" s="11"/>
      <c r="T8525" s="6"/>
      <c r="U8525" s="15" t="str">
        <f>HYPERLINK("https://media.infra-m.ru/2139/2139433/cover/2139433.jpg", "Обложка")</f>
        <v>Обложка</v>
      </c>
      <c r="V8525" s="8"/>
      <c r="W8525" s="6"/>
      <c r="X8525" s="6"/>
      <c r="Y8525" s="6"/>
      <c r="Z8525" s="6"/>
      <c r="AA8525" s="6" t="s">
        <v>157</v>
      </c>
      <c r="AB8525" s="8"/>
      <c r="AC8525" s="27">
        <v>9785160184869</v>
      </c>
    </row>
    <row r="8526" spans="1:29" s="4" customFormat="1" ht="51.9" customHeight="1" x14ac:dyDescent="0.2">
      <c r="A8526" s="5">
        <v>0</v>
      </c>
      <c r="B8526" s="6" t="s">
        <v>47937</v>
      </c>
      <c r="C8526" s="13">
        <v>312</v>
      </c>
      <c r="D8526" s="8" t="s">
        <v>47938</v>
      </c>
      <c r="E8526" s="8" t="s">
        <v>47939</v>
      </c>
      <c r="F8526" s="8" t="s">
        <v>6770</v>
      </c>
      <c r="G8526" s="6" t="s">
        <v>6771</v>
      </c>
      <c r="H8526" s="6" t="s">
        <v>34</v>
      </c>
      <c r="I8526" s="8" t="s">
        <v>6772</v>
      </c>
      <c r="J8526" s="9">
        <v>1</v>
      </c>
      <c r="K8526" s="9">
        <v>40</v>
      </c>
      <c r="L8526" s="9">
        <v>2023</v>
      </c>
      <c r="M8526" s="8" t="s">
        <v>47940</v>
      </c>
      <c r="N8526" s="8" t="s">
        <v>243</v>
      </c>
      <c r="O8526" s="8" t="s">
        <v>964</v>
      </c>
      <c r="P8526" s="6" t="s">
        <v>9800</v>
      </c>
      <c r="Q8526" s="8" t="s">
        <v>40</v>
      </c>
      <c r="R8526" s="10" t="s">
        <v>47941</v>
      </c>
      <c r="S8526" s="11"/>
      <c r="T8526" s="6"/>
      <c r="U8526" s="15" t="str">
        <f>HYPERLINK("https://media.infra-m.ru/2043/2043244/cover/2043244.jpg", "Обложка")</f>
        <v>Обложка</v>
      </c>
      <c r="V8526" s="8"/>
      <c r="W8526" s="6"/>
      <c r="X8526" s="6"/>
      <c r="Y8526" s="6"/>
      <c r="Z8526" s="6"/>
      <c r="AA8526" s="6" t="s">
        <v>430</v>
      </c>
      <c r="AB8526" s="8"/>
      <c r="AC8526" s="27">
        <v>9785160165264</v>
      </c>
    </row>
    <row r="8527" spans="1:29" s="4" customFormat="1" ht="42" customHeight="1" x14ac:dyDescent="0.2">
      <c r="A8527" s="5">
        <v>0</v>
      </c>
      <c r="B8527" s="6" t="s">
        <v>47942</v>
      </c>
      <c r="C8527" s="7">
        <v>1697.9</v>
      </c>
      <c r="D8527" s="8" t="s">
        <v>47943</v>
      </c>
      <c r="E8527" s="8" t="s">
        <v>47944</v>
      </c>
      <c r="F8527" s="8" t="s">
        <v>47945</v>
      </c>
      <c r="G8527" s="6" t="s">
        <v>60</v>
      </c>
      <c r="H8527" s="6" t="s">
        <v>34</v>
      </c>
      <c r="I8527" s="8" t="s">
        <v>35</v>
      </c>
      <c r="J8527" s="9">
        <v>1</v>
      </c>
      <c r="K8527" s="9">
        <v>404</v>
      </c>
      <c r="L8527" s="9">
        <v>2020</v>
      </c>
      <c r="M8527" s="8" t="s">
        <v>47946</v>
      </c>
      <c r="N8527" s="8" t="s">
        <v>243</v>
      </c>
      <c r="O8527" s="8" t="s">
        <v>758</v>
      </c>
      <c r="P8527" s="6" t="s">
        <v>39</v>
      </c>
      <c r="Q8527" s="8" t="s">
        <v>40</v>
      </c>
      <c r="R8527" s="10" t="s">
        <v>9783</v>
      </c>
      <c r="S8527" s="11"/>
      <c r="T8527" s="6"/>
      <c r="U8527" s="15" t="str">
        <f>HYPERLINK("https://media.infra-m.ru/1044/1044575/cover/1044575.jpg", "Обложка")</f>
        <v>Обложка</v>
      </c>
      <c r="V8527" s="8" t="s">
        <v>5555</v>
      </c>
      <c r="W8527" s="6"/>
      <c r="X8527" s="6"/>
      <c r="Y8527" s="6"/>
      <c r="Z8527" s="6"/>
      <c r="AA8527" s="6" t="s">
        <v>218</v>
      </c>
      <c r="AB8527" s="8"/>
      <c r="AC8527" s="27">
        <v>9785160136837</v>
      </c>
    </row>
    <row r="8528" spans="1:29" s="4" customFormat="1" ht="42" customHeight="1" x14ac:dyDescent="0.2">
      <c r="A8528" s="5">
        <v>0</v>
      </c>
      <c r="B8528" s="6" t="s">
        <v>47947</v>
      </c>
      <c r="C8528" s="7">
        <v>2188.8000000000002</v>
      </c>
      <c r="D8528" s="8" t="s">
        <v>47948</v>
      </c>
      <c r="E8528" s="8" t="s">
        <v>47949</v>
      </c>
      <c r="F8528" s="8" t="s">
        <v>47945</v>
      </c>
      <c r="G8528" s="6" t="s">
        <v>118</v>
      </c>
      <c r="H8528" s="6" t="s">
        <v>34</v>
      </c>
      <c r="I8528" s="8" t="s">
        <v>35</v>
      </c>
      <c r="J8528" s="9">
        <v>1</v>
      </c>
      <c r="K8528" s="9">
        <v>404</v>
      </c>
      <c r="L8528" s="9">
        <v>2023</v>
      </c>
      <c r="M8528" s="8" t="s">
        <v>47946</v>
      </c>
      <c r="N8528" s="8" t="s">
        <v>243</v>
      </c>
      <c r="O8528" s="8" t="s">
        <v>758</v>
      </c>
      <c r="P8528" s="6" t="s">
        <v>39</v>
      </c>
      <c r="Q8528" s="8" t="s">
        <v>40</v>
      </c>
      <c r="R8528" s="10" t="s">
        <v>9783</v>
      </c>
      <c r="S8528" s="11"/>
      <c r="T8528" s="6"/>
      <c r="U8528" s="15" t="str">
        <f>HYPERLINK("https://media.infra-m.ru/2006/2006927/cover/2006927.jpg", "Обложка")</f>
        <v>Обложка</v>
      </c>
      <c r="V8528" s="8" t="s">
        <v>5555</v>
      </c>
      <c r="W8528" s="6"/>
      <c r="X8528" s="6"/>
      <c r="Y8528" s="6"/>
      <c r="Z8528" s="6"/>
      <c r="AA8528" s="6" t="s">
        <v>86</v>
      </c>
      <c r="AB8528" s="8"/>
      <c r="AC8528" s="27">
        <v>9785160136837</v>
      </c>
    </row>
    <row r="8529" spans="1:29" s="4" customFormat="1" ht="51.9" customHeight="1" x14ac:dyDescent="0.2">
      <c r="A8529" s="5">
        <v>0</v>
      </c>
      <c r="B8529" s="6" t="s">
        <v>47950</v>
      </c>
      <c r="C8529" s="7">
        <v>1044</v>
      </c>
      <c r="D8529" s="8" t="s">
        <v>47951</v>
      </c>
      <c r="E8529" s="8" t="s">
        <v>47952</v>
      </c>
      <c r="F8529" s="8" t="s">
        <v>19986</v>
      </c>
      <c r="G8529" s="6" t="s">
        <v>60</v>
      </c>
      <c r="H8529" s="6" t="s">
        <v>134</v>
      </c>
      <c r="I8529" s="8"/>
      <c r="J8529" s="9">
        <v>1</v>
      </c>
      <c r="K8529" s="9">
        <v>160</v>
      </c>
      <c r="L8529" s="9">
        <v>2025</v>
      </c>
      <c r="M8529" s="8" t="s">
        <v>47953</v>
      </c>
      <c r="N8529" s="8" t="s">
        <v>37</v>
      </c>
      <c r="O8529" s="8" t="s">
        <v>136</v>
      </c>
      <c r="P8529" s="6" t="s">
        <v>39</v>
      </c>
      <c r="Q8529" s="8" t="s">
        <v>40</v>
      </c>
      <c r="R8529" s="10" t="s">
        <v>1653</v>
      </c>
      <c r="S8529" s="11"/>
      <c r="T8529" s="6"/>
      <c r="U8529" s="15" t="str">
        <f>HYPERLINK("https://media.infra-m.ru/2211/2211267/cover/2211267.jpg", "Обложка")</f>
        <v>Обложка</v>
      </c>
      <c r="V8529" s="8" t="s">
        <v>644</v>
      </c>
      <c r="W8529" s="6"/>
      <c r="X8529" s="6"/>
      <c r="Y8529" s="6"/>
      <c r="Z8529" s="6"/>
      <c r="AA8529" s="6" t="s">
        <v>68</v>
      </c>
      <c r="AB8529" s="8"/>
      <c r="AC8529" s="27">
        <v>9785001564461</v>
      </c>
    </row>
    <row r="8530" spans="1:29" s="4" customFormat="1" ht="51.9" customHeight="1" x14ac:dyDescent="0.2">
      <c r="A8530" s="5">
        <v>0</v>
      </c>
      <c r="B8530" s="6" t="s">
        <v>47954</v>
      </c>
      <c r="C8530" s="7">
        <v>1584</v>
      </c>
      <c r="D8530" s="8" t="s">
        <v>47955</v>
      </c>
      <c r="E8530" s="8" t="s">
        <v>47956</v>
      </c>
      <c r="F8530" s="8" t="s">
        <v>47957</v>
      </c>
      <c r="G8530" s="6" t="s">
        <v>60</v>
      </c>
      <c r="H8530" s="6" t="s">
        <v>34</v>
      </c>
      <c r="I8530" s="8" t="s">
        <v>35</v>
      </c>
      <c r="J8530" s="9">
        <v>1</v>
      </c>
      <c r="K8530" s="9">
        <v>242</v>
      </c>
      <c r="L8530" s="9">
        <v>2025</v>
      </c>
      <c r="M8530" s="8" t="s">
        <v>47958</v>
      </c>
      <c r="N8530" s="8" t="s">
        <v>93</v>
      </c>
      <c r="O8530" s="8" t="s">
        <v>94</v>
      </c>
      <c r="P8530" s="6" t="s">
        <v>39</v>
      </c>
      <c r="Q8530" s="8" t="s">
        <v>40</v>
      </c>
      <c r="R8530" s="10" t="s">
        <v>47959</v>
      </c>
      <c r="S8530" s="11"/>
      <c r="T8530" s="6"/>
      <c r="U8530" s="15" t="str">
        <f>HYPERLINK("https://media.infra-m.ru/2129/2129775/cover/2129775.jpg", "Обложка")</f>
        <v>Обложка</v>
      </c>
      <c r="V8530" s="8" t="s">
        <v>644</v>
      </c>
      <c r="W8530" s="6"/>
      <c r="X8530" s="6"/>
      <c r="Y8530" s="6"/>
      <c r="Z8530" s="6"/>
      <c r="AA8530" s="6" t="s">
        <v>68</v>
      </c>
      <c r="AB8530" s="8"/>
      <c r="AC8530" s="27">
        <v>9785160195667</v>
      </c>
    </row>
    <row r="8531" spans="1:29" s="4" customFormat="1" ht="44.1" customHeight="1" x14ac:dyDescent="0.2">
      <c r="A8531" s="5">
        <v>0</v>
      </c>
      <c r="B8531" s="6" t="s">
        <v>47960</v>
      </c>
      <c r="C8531" s="7">
        <v>1944</v>
      </c>
      <c r="D8531" s="8" t="s">
        <v>47961</v>
      </c>
      <c r="E8531" s="8" t="s">
        <v>47962</v>
      </c>
      <c r="F8531" s="8" t="s">
        <v>47963</v>
      </c>
      <c r="G8531" s="6" t="s">
        <v>60</v>
      </c>
      <c r="H8531" s="6" t="s">
        <v>34</v>
      </c>
      <c r="I8531" s="8" t="s">
        <v>35</v>
      </c>
      <c r="J8531" s="9">
        <v>1</v>
      </c>
      <c r="K8531" s="9">
        <v>303</v>
      </c>
      <c r="L8531" s="9">
        <v>2025</v>
      </c>
      <c r="M8531" s="8" t="s">
        <v>47964</v>
      </c>
      <c r="N8531" s="8" t="s">
        <v>37</v>
      </c>
      <c r="O8531" s="8" t="s">
        <v>280</v>
      </c>
      <c r="P8531" s="6" t="s">
        <v>39</v>
      </c>
      <c r="Q8531" s="8" t="s">
        <v>40</v>
      </c>
      <c r="R8531" s="10" t="s">
        <v>47965</v>
      </c>
      <c r="S8531" s="11"/>
      <c r="T8531" s="6"/>
      <c r="U8531" s="15" t="str">
        <f>HYPERLINK("https://media.infra-m.ru/2133/2133677/cover/2133677.jpg", "Обложка")</f>
        <v>Обложка</v>
      </c>
      <c r="V8531" s="8" t="s">
        <v>16903</v>
      </c>
      <c r="W8531" s="6"/>
      <c r="X8531" s="6"/>
      <c r="Y8531" s="6"/>
      <c r="Z8531" s="6"/>
      <c r="AA8531" s="6" t="s">
        <v>68</v>
      </c>
      <c r="AB8531" s="8"/>
      <c r="AC8531" s="27">
        <v>9785160196800</v>
      </c>
    </row>
    <row r="8532" spans="1:29" s="4" customFormat="1" ht="42" customHeight="1" x14ac:dyDescent="0.2">
      <c r="A8532" s="5">
        <v>0</v>
      </c>
      <c r="B8532" s="6" t="s">
        <v>47966</v>
      </c>
      <c r="C8532" s="7">
        <v>1116</v>
      </c>
      <c r="D8532" s="8" t="s">
        <v>47967</v>
      </c>
      <c r="E8532" s="8" t="s">
        <v>47968</v>
      </c>
      <c r="F8532" s="8" t="s">
        <v>47969</v>
      </c>
      <c r="G8532" s="6" t="s">
        <v>33</v>
      </c>
      <c r="H8532" s="6" t="s">
        <v>34</v>
      </c>
      <c r="I8532" s="8" t="s">
        <v>35</v>
      </c>
      <c r="J8532" s="9">
        <v>1</v>
      </c>
      <c r="K8532" s="9">
        <v>201</v>
      </c>
      <c r="L8532" s="9">
        <v>2023</v>
      </c>
      <c r="M8532" s="8" t="s">
        <v>47970</v>
      </c>
      <c r="N8532" s="8" t="s">
        <v>37</v>
      </c>
      <c r="O8532" s="8" t="s">
        <v>233</v>
      </c>
      <c r="P8532" s="6" t="s">
        <v>39</v>
      </c>
      <c r="Q8532" s="8" t="s">
        <v>40</v>
      </c>
      <c r="R8532" s="10" t="s">
        <v>3008</v>
      </c>
      <c r="S8532" s="11"/>
      <c r="T8532" s="6"/>
      <c r="U8532" s="15" t="str">
        <f>HYPERLINK("https://media.infra-m.ru/1959/1959270/cover/1959270.jpg", "Обложка")</f>
        <v>Обложка</v>
      </c>
      <c r="V8532" s="8" t="s">
        <v>5250</v>
      </c>
      <c r="W8532" s="6"/>
      <c r="X8532" s="6"/>
      <c r="Y8532" s="6"/>
      <c r="Z8532" s="6"/>
      <c r="AA8532" s="6" t="s">
        <v>430</v>
      </c>
      <c r="AB8532" s="8"/>
      <c r="AC8532" s="27">
        <v>9785160167565</v>
      </c>
    </row>
    <row r="8533" spans="1:29" s="4" customFormat="1" ht="51.9" customHeight="1" x14ac:dyDescent="0.2">
      <c r="A8533" s="5">
        <v>0</v>
      </c>
      <c r="B8533" s="6" t="s">
        <v>47971</v>
      </c>
      <c r="C8533" s="7">
        <v>1320</v>
      </c>
      <c r="D8533" s="8" t="s">
        <v>47972</v>
      </c>
      <c r="E8533" s="8" t="s">
        <v>47973</v>
      </c>
      <c r="F8533" s="8" t="s">
        <v>47974</v>
      </c>
      <c r="G8533" s="6" t="s">
        <v>60</v>
      </c>
      <c r="H8533" s="6" t="s">
        <v>34</v>
      </c>
      <c r="I8533" s="8" t="s">
        <v>35</v>
      </c>
      <c r="J8533" s="9">
        <v>1</v>
      </c>
      <c r="K8533" s="9">
        <v>200</v>
      </c>
      <c r="L8533" s="9">
        <v>2025</v>
      </c>
      <c r="M8533" s="8" t="s">
        <v>47975</v>
      </c>
      <c r="N8533" s="8" t="s">
        <v>37</v>
      </c>
      <c r="O8533" s="8" t="s">
        <v>233</v>
      </c>
      <c r="P8533" s="6" t="s">
        <v>39</v>
      </c>
      <c r="Q8533" s="8" t="s">
        <v>40</v>
      </c>
      <c r="R8533" s="10" t="s">
        <v>47976</v>
      </c>
      <c r="S8533" s="11"/>
      <c r="T8533" s="6"/>
      <c r="U8533" s="15" t="str">
        <f>HYPERLINK("https://media.infra-m.ru/2180/2180633/cover/2180633.jpg", "Обложка")</f>
        <v>Обложка</v>
      </c>
      <c r="V8533" s="8" t="s">
        <v>657</v>
      </c>
      <c r="W8533" s="6"/>
      <c r="X8533" s="6"/>
      <c r="Y8533" s="6"/>
      <c r="Z8533" s="6"/>
      <c r="AA8533" s="6" t="s">
        <v>68</v>
      </c>
      <c r="AB8533" s="8"/>
      <c r="AC8533" s="27">
        <v>9785160205434</v>
      </c>
    </row>
    <row r="8534" spans="1:29" s="4" customFormat="1" ht="51.9" customHeight="1" x14ac:dyDescent="0.2">
      <c r="A8534" s="5">
        <v>0</v>
      </c>
      <c r="B8534" s="6" t="s">
        <v>47977</v>
      </c>
      <c r="C8534" s="7">
        <v>2234.4</v>
      </c>
      <c r="D8534" s="8" t="s">
        <v>47978</v>
      </c>
      <c r="E8534" s="8" t="s">
        <v>47979</v>
      </c>
      <c r="F8534" s="8" t="s">
        <v>34192</v>
      </c>
      <c r="G8534" s="6" t="s">
        <v>33</v>
      </c>
      <c r="H8534" s="6" t="s">
        <v>34</v>
      </c>
      <c r="I8534" s="8" t="s">
        <v>35</v>
      </c>
      <c r="J8534" s="9">
        <v>1</v>
      </c>
      <c r="K8534" s="9">
        <v>271</v>
      </c>
      <c r="L8534" s="9">
        <v>2026</v>
      </c>
      <c r="M8534" s="8" t="s">
        <v>47980</v>
      </c>
      <c r="N8534" s="8" t="s">
        <v>585</v>
      </c>
      <c r="O8534" s="8" t="s">
        <v>667</v>
      </c>
      <c r="P8534" s="6" t="s">
        <v>39</v>
      </c>
      <c r="Q8534" s="8" t="s">
        <v>40</v>
      </c>
      <c r="R8534" s="10" t="s">
        <v>47981</v>
      </c>
      <c r="S8534" s="11"/>
      <c r="T8534" s="6"/>
      <c r="U8534" s="15" t="str">
        <f>HYPERLINK("https://media.infra-m.ru/2211/2211139/cover/2211139.jpg", "Обложка")</f>
        <v>Обложка</v>
      </c>
      <c r="V8534" s="8" t="s">
        <v>911</v>
      </c>
      <c r="W8534" s="6"/>
      <c r="X8534" s="6"/>
      <c r="Y8534" s="6"/>
      <c r="Z8534" s="6"/>
      <c r="AA8534" s="6" t="s">
        <v>187</v>
      </c>
      <c r="AB8534" s="8" t="s">
        <v>11878</v>
      </c>
      <c r="AC8534" s="27">
        <v>9785160210278</v>
      </c>
    </row>
    <row r="8535" spans="1:29" s="4" customFormat="1" ht="51.9" customHeight="1" x14ac:dyDescent="0.2">
      <c r="A8535" s="5">
        <v>0</v>
      </c>
      <c r="B8535" s="6" t="s">
        <v>47982</v>
      </c>
      <c r="C8535" s="7">
        <v>1104</v>
      </c>
      <c r="D8535" s="8" t="s">
        <v>47983</v>
      </c>
      <c r="E8535" s="8" t="s">
        <v>47984</v>
      </c>
      <c r="F8535" s="8" t="s">
        <v>18494</v>
      </c>
      <c r="G8535" s="6" t="s">
        <v>33</v>
      </c>
      <c r="H8535" s="6" t="s">
        <v>34</v>
      </c>
      <c r="I8535" s="8" t="s">
        <v>35</v>
      </c>
      <c r="J8535" s="9">
        <v>1</v>
      </c>
      <c r="K8535" s="9">
        <v>171</v>
      </c>
      <c r="L8535" s="9">
        <v>2025</v>
      </c>
      <c r="M8535" s="8" t="s">
        <v>47985</v>
      </c>
      <c r="N8535" s="8" t="s">
        <v>37</v>
      </c>
      <c r="O8535" s="8" t="s">
        <v>233</v>
      </c>
      <c r="P8535" s="6" t="s">
        <v>39</v>
      </c>
      <c r="Q8535" s="8" t="s">
        <v>40</v>
      </c>
      <c r="R8535" s="10" t="s">
        <v>47986</v>
      </c>
      <c r="S8535" s="11"/>
      <c r="T8535" s="6"/>
      <c r="U8535" s="15" t="str">
        <f>HYPERLINK("https://media.infra-m.ru/2162/2162081/cover/2162081.jpg", "Обложка")</f>
        <v>Обложка</v>
      </c>
      <c r="V8535" s="8" t="s">
        <v>5964</v>
      </c>
      <c r="W8535" s="6"/>
      <c r="X8535" s="6"/>
      <c r="Y8535" s="6"/>
      <c r="Z8535" s="6"/>
      <c r="AA8535" s="6" t="s">
        <v>76</v>
      </c>
      <c r="AB8535" s="8"/>
      <c r="AC8535" s="27">
        <v>9785160201849</v>
      </c>
    </row>
    <row r="8536" spans="1:29" s="4" customFormat="1" ht="44.1" customHeight="1" x14ac:dyDescent="0.2">
      <c r="A8536" s="5">
        <v>0</v>
      </c>
      <c r="B8536" s="6" t="s">
        <v>47987</v>
      </c>
      <c r="C8536" s="7">
        <v>1092</v>
      </c>
      <c r="D8536" s="8" t="s">
        <v>47988</v>
      </c>
      <c r="E8536" s="8" t="s">
        <v>47989</v>
      </c>
      <c r="F8536" s="8" t="s">
        <v>47990</v>
      </c>
      <c r="G8536" s="6" t="s">
        <v>60</v>
      </c>
      <c r="H8536" s="6" t="s">
        <v>34</v>
      </c>
      <c r="I8536" s="8" t="s">
        <v>253</v>
      </c>
      <c r="J8536" s="9">
        <v>1</v>
      </c>
      <c r="K8536" s="9">
        <v>182</v>
      </c>
      <c r="L8536" s="9">
        <v>2024</v>
      </c>
      <c r="M8536" s="8" t="s">
        <v>47991</v>
      </c>
      <c r="N8536" s="8" t="s">
        <v>243</v>
      </c>
      <c r="O8536" s="8" t="s">
        <v>758</v>
      </c>
      <c r="P8536" s="6" t="s">
        <v>51</v>
      </c>
      <c r="Q8536" s="8" t="s">
        <v>52</v>
      </c>
      <c r="R8536" s="10" t="s">
        <v>47992</v>
      </c>
      <c r="S8536" s="11"/>
      <c r="T8536" s="6"/>
      <c r="U8536" s="15" t="str">
        <f>HYPERLINK("https://media.infra-m.ru/1911/1911604/cover/1911604.jpg", "Обложка")</f>
        <v>Обложка</v>
      </c>
      <c r="V8536" s="8" t="s">
        <v>14780</v>
      </c>
      <c r="W8536" s="6"/>
      <c r="X8536" s="6"/>
      <c r="Y8536" s="6"/>
      <c r="Z8536" s="6"/>
      <c r="AA8536" s="6" t="s">
        <v>76</v>
      </c>
      <c r="AB8536" s="8"/>
      <c r="AC8536" s="27">
        <v>9785160181257</v>
      </c>
    </row>
    <row r="8537" spans="1:29" s="4" customFormat="1" ht="51.9" customHeight="1" x14ac:dyDescent="0.2">
      <c r="A8537" s="5">
        <v>0</v>
      </c>
      <c r="B8537" s="6" t="s">
        <v>47993</v>
      </c>
      <c r="C8537" s="7">
        <v>2232</v>
      </c>
      <c r="D8537" s="8" t="s">
        <v>47994</v>
      </c>
      <c r="E8537" s="8" t="s">
        <v>47995</v>
      </c>
      <c r="F8537" s="8" t="s">
        <v>47996</v>
      </c>
      <c r="G8537" s="6" t="s">
        <v>118</v>
      </c>
      <c r="H8537" s="6" t="s">
        <v>34</v>
      </c>
      <c r="I8537" s="8" t="s">
        <v>1248</v>
      </c>
      <c r="J8537" s="9">
        <v>1</v>
      </c>
      <c r="K8537" s="9">
        <v>352</v>
      </c>
      <c r="L8537" s="9">
        <v>2026</v>
      </c>
      <c r="M8537" s="8" t="s">
        <v>47997</v>
      </c>
      <c r="N8537" s="8" t="s">
        <v>243</v>
      </c>
      <c r="O8537" s="8" t="s">
        <v>933</v>
      </c>
      <c r="P8537" s="6" t="s">
        <v>51</v>
      </c>
      <c r="Q8537" s="8" t="s">
        <v>500</v>
      </c>
      <c r="R8537" s="10" t="s">
        <v>47998</v>
      </c>
      <c r="S8537" s="11" t="s">
        <v>47999</v>
      </c>
      <c r="T8537" s="6"/>
      <c r="U8537" s="15" t="str">
        <f>HYPERLINK("https://media.infra-m.ru/2210/2210900/cover/2210900.jpg", "Обложка")</f>
        <v>Обложка</v>
      </c>
      <c r="V8537" s="8" t="s">
        <v>1083</v>
      </c>
      <c r="W8537" s="6"/>
      <c r="X8537" s="6"/>
      <c r="Y8537" s="6"/>
      <c r="Z8537" s="6"/>
      <c r="AA8537" s="6" t="s">
        <v>99</v>
      </c>
      <c r="AB8537" s="8"/>
      <c r="AC8537" s="27">
        <v>9785160210759</v>
      </c>
    </row>
    <row r="8538" spans="1:29" s="4" customFormat="1" ht="51.9" customHeight="1" x14ac:dyDescent="0.2">
      <c r="A8538" s="5">
        <v>0</v>
      </c>
      <c r="B8538" s="6" t="s">
        <v>48000</v>
      </c>
      <c r="C8538" s="7">
        <v>3240</v>
      </c>
      <c r="D8538" s="8" t="s">
        <v>48001</v>
      </c>
      <c r="E8538" s="8" t="s">
        <v>48002</v>
      </c>
      <c r="F8538" s="8" t="s">
        <v>48003</v>
      </c>
      <c r="G8538" s="6" t="s">
        <v>60</v>
      </c>
      <c r="H8538" s="6" t="s">
        <v>34</v>
      </c>
      <c r="I8538" s="8" t="s">
        <v>2927</v>
      </c>
      <c r="J8538" s="9">
        <v>1</v>
      </c>
      <c r="K8538" s="9">
        <v>491</v>
      </c>
      <c r="L8538" s="9">
        <v>2026</v>
      </c>
      <c r="M8538" s="8" t="s">
        <v>48004</v>
      </c>
      <c r="N8538" s="8" t="s">
        <v>243</v>
      </c>
      <c r="O8538" s="8" t="s">
        <v>933</v>
      </c>
      <c r="P8538" s="6" t="s">
        <v>306</v>
      </c>
      <c r="Q8538" s="8" t="s">
        <v>377</v>
      </c>
      <c r="R8538" s="10" t="s">
        <v>2929</v>
      </c>
      <c r="S8538" s="11" t="s">
        <v>48005</v>
      </c>
      <c r="T8538" s="6"/>
      <c r="U8538" s="15" t="str">
        <f>HYPERLINK("https://media.infra-m.ru/2245/2245290/cover/2245290.jpg", "Обложка")</f>
        <v>Обложка</v>
      </c>
      <c r="V8538" s="8" t="s">
        <v>1083</v>
      </c>
      <c r="W8538" s="6"/>
      <c r="X8538" s="6"/>
      <c r="Y8538" s="6"/>
      <c r="Z8538" s="6"/>
      <c r="AA8538" s="6" t="s">
        <v>99</v>
      </c>
      <c r="AB8538" s="8"/>
      <c r="AC8538" s="27">
        <v>9785160161907</v>
      </c>
    </row>
    <row r="8539" spans="1:29" s="4" customFormat="1" ht="51.9" customHeight="1" x14ac:dyDescent="0.2">
      <c r="A8539" s="5">
        <v>0</v>
      </c>
      <c r="B8539" s="6" t="s">
        <v>48006</v>
      </c>
      <c r="C8539" s="7">
        <v>1360.8</v>
      </c>
      <c r="D8539" s="8" t="s">
        <v>48007</v>
      </c>
      <c r="E8539" s="8" t="s">
        <v>48008</v>
      </c>
      <c r="F8539" s="8" t="s">
        <v>48009</v>
      </c>
      <c r="G8539" s="6" t="s">
        <v>33</v>
      </c>
      <c r="H8539" s="6" t="s">
        <v>1042</v>
      </c>
      <c r="I8539" s="8" t="s">
        <v>401</v>
      </c>
      <c r="J8539" s="9">
        <v>1</v>
      </c>
      <c r="K8539" s="9">
        <v>192</v>
      </c>
      <c r="L8539" s="9">
        <v>2027</v>
      </c>
      <c r="M8539" s="8" t="s">
        <v>48010</v>
      </c>
      <c r="N8539" s="8" t="s">
        <v>243</v>
      </c>
      <c r="O8539" s="8" t="s">
        <v>964</v>
      </c>
      <c r="P8539" s="6" t="s">
        <v>51</v>
      </c>
      <c r="Q8539" s="8" t="s">
        <v>265</v>
      </c>
      <c r="R8539" s="10" t="s">
        <v>9637</v>
      </c>
      <c r="S8539" s="11" t="s">
        <v>48011</v>
      </c>
      <c r="T8539" s="6"/>
      <c r="U8539" s="15" t="str">
        <f>HYPERLINK("https://media.infra-m.ru/2271/2271165/cover/2271165.jpg", "Обложка")</f>
        <v>Обложка</v>
      </c>
      <c r="V8539" s="8" t="s">
        <v>1055</v>
      </c>
      <c r="W8539" s="6"/>
      <c r="X8539" s="6"/>
      <c r="Y8539" s="6"/>
      <c r="Z8539" s="6"/>
      <c r="AA8539" s="6" t="s">
        <v>129</v>
      </c>
      <c r="AB8539" s="8"/>
      <c r="AC8539" s="27">
        <v>9785819909317</v>
      </c>
    </row>
    <row r="8540" spans="1:29" s="4" customFormat="1" ht="51.9" customHeight="1" x14ac:dyDescent="0.2">
      <c r="A8540" s="5">
        <v>0</v>
      </c>
      <c r="B8540" s="6" t="s">
        <v>48012</v>
      </c>
      <c r="C8540" s="7">
        <v>4256.3999999999996</v>
      </c>
      <c r="D8540" s="8" t="s">
        <v>48013</v>
      </c>
      <c r="E8540" s="8" t="s">
        <v>48014</v>
      </c>
      <c r="F8540" s="8" t="s">
        <v>48015</v>
      </c>
      <c r="G8540" s="6" t="s">
        <v>60</v>
      </c>
      <c r="H8540" s="6" t="s">
        <v>1042</v>
      </c>
      <c r="I8540" s="8" t="s">
        <v>263</v>
      </c>
      <c r="J8540" s="9">
        <v>1</v>
      </c>
      <c r="K8540" s="9">
        <v>496</v>
      </c>
      <c r="L8540" s="9">
        <v>2026</v>
      </c>
      <c r="M8540" s="8" t="s">
        <v>48016</v>
      </c>
      <c r="N8540" s="8" t="s">
        <v>243</v>
      </c>
      <c r="O8540" s="8" t="s">
        <v>964</v>
      </c>
      <c r="P8540" s="6" t="s">
        <v>51</v>
      </c>
      <c r="Q8540" s="8" t="s">
        <v>265</v>
      </c>
      <c r="R8540" s="10" t="s">
        <v>48017</v>
      </c>
      <c r="S8540" s="11" t="s">
        <v>4567</v>
      </c>
      <c r="T8540" s="6"/>
      <c r="U8540" s="15" t="str">
        <f>HYPERLINK("https://media.infra-m.ru/2230/2230612/cover/2230612.jpg", "Обложка")</f>
        <v>Обложка</v>
      </c>
      <c r="V8540" s="8" t="s">
        <v>1055</v>
      </c>
      <c r="W8540" s="6"/>
      <c r="X8540" s="6"/>
      <c r="Y8540" s="6"/>
      <c r="Z8540" s="6"/>
      <c r="AA8540" s="6" t="s">
        <v>949</v>
      </c>
      <c r="AB8540" s="8"/>
      <c r="AC8540" s="27">
        <v>9785819908716</v>
      </c>
    </row>
    <row r="8541" spans="1:29" s="4" customFormat="1" ht="51.9" customHeight="1" x14ac:dyDescent="0.2">
      <c r="A8541" s="5">
        <v>0</v>
      </c>
      <c r="B8541" s="6" t="s">
        <v>48018</v>
      </c>
      <c r="C8541" s="7">
        <v>2462.4</v>
      </c>
      <c r="D8541" s="8" t="s">
        <v>48019</v>
      </c>
      <c r="E8541" s="8" t="s">
        <v>48020</v>
      </c>
      <c r="F8541" s="8" t="s">
        <v>48021</v>
      </c>
      <c r="G8541" s="6" t="s">
        <v>118</v>
      </c>
      <c r="H8541" s="6" t="s">
        <v>34</v>
      </c>
      <c r="I8541" s="8"/>
      <c r="J8541" s="9">
        <v>1</v>
      </c>
      <c r="K8541" s="9">
        <v>286</v>
      </c>
      <c r="L8541" s="9">
        <v>2026</v>
      </c>
      <c r="M8541" s="8" t="s">
        <v>48022</v>
      </c>
      <c r="N8541" s="8" t="s">
        <v>243</v>
      </c>
      <c r="O8541" s="8" t="s">
        <v>964</v>
      </c>
      <c r="P8541" s="6" t="s">
        <v>51</v>
      </c>
      <c r="Q8541" s="8" t="s">
        <v>265</v>
      </c>
      <c r="R8541" s="10" t="s">
        <v>48023</v>
      </c>
      <c r="S8541" s="11" t="s">
        <v>4567</v>
      </c>
      <c r="T8541" s="6"/>
      <c r="U8541" s="15" t="str">
        <f>HYPERLINK("https://media.infra-m.ru/2253/2253938/cover/2253938.jpg", "Обложка")</f>
        <v>Обложка</v>
      </c>
      <c r="V8541" s="8" t="s">
        <v>41907</v>
      </c>
      <c r="W8541" s="6"/>
      <c r="X8541" s="6"/>
      <c r="Y8541" s="6"/>
      <c r="Z8541" s="6"/>
      <c r="AA8541" s="6" t="s">
        <v>4554</v>
      </c>
      <c r="AB8541" s="8"/>
      <c r="AC8541" s="27">
        <v>9785160200514</v>
      </c>
    </row>
    <row r="8542" spans="1:29" s="4" customFormat="1" ht="42" customHeight="1" x14ac:dyDescent="0.2">
      <c r="A8542" s="5">
        <v>0</v>
      </c>
      <c r="B8542" s="6" t="s">
        <v>48024</v>
      </c>
      <c r="C8542" s="7">
        <v>1948.8</v>
      </c>
      <c r="D8542" s="8" t="s">
        <v>48025</v>
      </c>
      <c r="E8542" s="8" t="s">
        <v>48026</v>
      </c>
      <c r="F8542" s="8" t="s">
        <v>48027</v>
      </c>
      <c r="G8542" s="6" t="s">
        <v>60</v>
      </c>
      <c r="H8542" s="6" t="s">
        <v>34</v>
      </c>
      <c r="I8542" s="8" t="s">
        <v>954</v>
      </c>
      <c r="J8542" s="9">
        <v>1</v>
      </c>
      <c r="K8542" s="9">
        <v>312</v>
      </c>
      <c r="L8542" s="9">
        <v>2026</v>
      </c>
      <c r="M8542" s="8" t="s">
        <v>48028</v>
      </c>
      <c r="N8542" s="8" t="s">
        <v>37</v>
      </c>
      <c r="O8542" s="8" t="s">
        <v>290</v>
      </c>
      <c r="P8542" s="6" t="s">
        <v>306</v>
      </c>
      <c r="Q8542" s="8" t="s">
        <v>65</v>
      </c>
      <c r="R8542" s="10" t="s">
        <v>7107</v>
      </c>
      <c r="S8542" s="11"/>
      <c r="T8542" s="6"/>
      <c r="U8542" s="15" t="str">
        <f>HYPERLINK("https://media.infra-m.ru/2220/2220203/cover/2220203.jpg", "Обложка")</f>
        <v>Обложка</v>
      </c>
      <c r="V8542" s="8" t="s">
        <v>958</v>
      </c>
      <c r="W8542" s="6"/>
      <c r="X8542" s="6"/>
      <c r="Y8542" s="6"/>
      <c r="Z8542" s="6"/>
      <c r="AA8542" s="6" t="s">
        <v>157</v>
      </c>
      <c r="AB8542" s="8"/>
      <c r="AC8542" s="27">
        <v>9785160180021</v>
      </c>
    </row>
    <row r="8543" spans="1:29" s="4" customFormat="1" ht="42" customHeight="1" x14ac:dyDescent="0.2">
      <c r="A8543" s="5">
        <v>0</v>
      </c>
      <c r="B8543" s="6" t="s">
        <v>48029</v>
      </c>
      <c r="C8543" s="7">
        <v>2092.8000000000002</v>
      </c>
      <c r="D8543" s="8" t="s">
        <v>48030</v>
      </c>
      <c r="E8543" s="8" t="s">
        <v>48031</v>
      </c>
      <c r="F8543" s="8" t="s">
        <v>48027</v>
      </c>
      <c r="G8543" s="6" t="s">
        <v>60</v>
      </c>
      <c r="H8543" s="6" t="s">
        <v>34</v>
      </c>
      <c r="I8543" s="8" t="s">
        <v>954</v>
      </c>
      <c r="J8543" s="9">
        <v>1</v>
      </c>
      <c r="K8543" s="9">
        <v>335</v>
      </c>
      <c r="L8543" s="9">
        <v>2026</v>
      </c>
      <c r="M8543" s="8" t="s">
        <v>48032</v>
      </c>
      <c r="N8543" s="8" t="s">
        <v>37</v>
      </c>
      <c r="O8543" s="8" t="s">
        <v>290</v>
      </c>
      <c r="P8543" s="6" t="s">
        <v>306</v>
      </c>
      <c r="Q8543" s="8" t="s">
        <v>65</v>
      </c>
      <c r="R8543" s="10" t="s">
        <v>7107</v>
      </c>
      <c r="S8543" s="11"/>
      <c r="T8543" s="6"/>
      <c r="U8543" s="15" t="str">
        <f>HYPERLINK("https://media.infra-m.ru/2220/2220205/cover/2220205.jpg", "Обложка")</f>
        <v>Обложка</v>
      </c>
      <c r="V8543" s="8" t="s">
        <v>958</v>
      </c>
      <c r="W8543" s="6"/>
      <c r="X8543" s="6"/>
      <c r="Y8543" s="6"/>
      <c r="Z8543" s="6"/>
      <c r="AA8543" s="6" t="s">
        <v>157</v>
      </c>
      <c r="AB8543" s="8"/>
      <c r="AC8543" s="27">
        <v>9785160180014</v>
      </c>
    </row>
    <row r="8544" spans="1:29" s="4" customFormat="1" ht="42" customHeight="1" x14ac:dyDescent="0.2">
      <c r="A8544" s="5">
        <v>0</v>
      </c>
      <c r="B8544" s="6" t="s">
        <v>48033</v>
      </c>
      <c r="C8544" s="7">
        <v>1536</v>
      </c>
      <c r="D8544" s="8" t="s">
        <v>48034</v>
      </c>
      <c r="E8544" s="8" t="s">
        <v>48035</v>
      </c>
      <c r="F8544" s="8" t="s">
        <v>45795</v>
      </c>
      <c r="G8544" s="6" t="s">
        <v>118</v>
      </c>
      <c r="H8544" s="6" t="s">
        <v>34</v>
      </c>
      <c r="I8544" s="8" t="s">
        <v>288</v>
      </c>
      <c r="J8544" s="9">
        <v>1</v>
      </c>
      <c r="K8544" s="9">
        <v>232</v>
      </c>
      <c r="L8544" s="9">
        <v>2026</v>
      </c>
      <c r="M8544" s="8" t="s">
        <v>48036</v>
      </c>
      <c r="N8544" s="8" t="s">
        <v>37</v>
      </c>
      <c r="O8544" s="8" t="s">
        <v>290</v>
      </c>
      <c r="P8544" s="6" t="s">
        <v>51</v>
      </c>
      <c r="Q8544" s="8" t="s">
        <v>65</v>
      </c>
      <c r="R8544" s="10" t="s">
        <v>48037</v>
      </c>
      <c r="S8544" s="11"/>
      <c r="T8544" s="6"/>
      <c r="U8544" s="15" t="str">
        <f>HYPERLINK("https://media.infra-m.ru/2254/2254185/cover/2254185.jpg", "Обложка")</f>
        <v>Обложка</v>
      </c>
      <c r="V8544" s="8" t="s">
        <v>3304</v>
      </c>
      <c r="W8544" s="6"/>
      <c r="X8544" s="6"/>
      <c r="Y8544" s="6"/>
      <c r="Z8544" s="6"/>
      <c r="AA8544" s="6" t="s">
        <v>115</v>
      </c>
      <c r="AB8544" s="8" t="s">
        <v>1317</v>
      </c>
      <c r="AC8544" s="27">
        <v>9785160148250</v>
      </c>
    </row>
    <row r="8545" spans="1:29" s="4" customFormat="1" ht="51.9" customHeight="1" x14ac:dyDescent="0.2">
      <c r="A8545" s="5">
        <v>0</v>
      </c>
      <c r="B8545" s="6" t="s">
        <v>48038</v>
      </c>
      <c r="C8545" s="7">
        <v>2064</v>
      </c>
      <c r="D8545" s="8" t="s">
        <v>48039</v>
      </c>
      <c r="E8545" s="8" t="s">
        <v>48040</v>
      </c>
      <c r="F8545" s="8" t="s">
        <v>48041</v>
      </c>
      <c r="G8545" s="6" t="s">
        <v>118</v>
      </c>
      <c r="H8545" s="6" t="s">
        <v>34</v>
      </c>
      <c r="I8545" s="8" t="s">
        <v>954</v>
      </c>
      <c r="J8545" s="9">
        <v>1</v>
      </c>
      <c r="K8545" s="9">
        <v>296</v>
      </c>
      <c r="L8545" s="9">
        <v>2027</v>
      </c>
      <c r="M8545" s="8" t="s">
        <v>48042</v>
      </c>
      <c r="N8545" s="8" t="s">
        <v>37</v>
      </c>
      <c r="O8545" s="8" t="s">
        <v>290</v>
      </c>
      <c r="P8545" s="6" t="s">
        <v>51</v>
      </c>
      <c r="Q8545" s="8" t="s">
        <v>65</v>
      </c>
      <c r="R8545" s="10" t="s">
        <v>48043</v>
      </c>
      <c r="S8545" s="11" t="s">
        <v>48044</v>
      </c>
      <c r="T8545" s="6"/>
      <c r="U8545" s="15" t="str">
        <f>HYPERLINK("https://media.infra-m.ru/2266/2266094/cover/2266094.jpg", "Обложка")</f>
        <v>Обложка</v>
      </c>
      <c r="V8545" s="8" t="s">
        <v>958</v>
      </c>
      <c r="W8545" s="6"/>
      <c r="X8545" s="6"/>
      <c r="Y8545" s="6"/>
      <c r="Z8545" s="6"/>
      <c r="AA8545" s="6" t="s">
        <v>1256</v>
      </c>
      <c r="AB8545" s="8"/>
      <c r="AC8545" s="27">
        <v>9785160150956</v>
      </c>
    </row>
    <row r="8546" spans="1:29" s="4" customFormat="1" ht="51.9" customHeight="1" x14ac:dyDescent="0.2">
      <c r="A8546" s="5">
        <v>0</v>
      </c>
      <c r="B8546" s="6" t="s">
        <v>48045</v>
      </c>
      <c r="C8546" s="7">
        <v>2956.8</v>
      </c>
      <c r="D8546" s="8" t="s">
        <v>48046</v>
      </c>
      <c r="E8546" s="8" t="s">
        <v>48047</v>
      </c>
      <c r="F8546" s="8" t="s">
        <v>10643</v>
      </c>
      <c r="G8546" s="6" t="s">
        <v>60</v>
      </c>
      <c r="H8546" s="6" t="s">
        <v>48</v>
      </c>
      <c r="I8546" s="8" t="s">
        <v>401</v>
      </c>
      <c r="J8546" s="9">
        <v>1</v>
      </c>
      <c r="K8546" s="9">
        <v>448</v>
      </c>
      <c r="L8546" s="9">
        <v>2026</v>
      </c>
      <c r="M8546" s="8" t="s">
        <v>48048</v>
      </c>
      <c r="N8546" s="8" t="s">
        <v>243</v>
      </c>
      <c r="O8546" s="8" t="s">
        <v>933</v>
      </c>
      <c r="P8546" s="6" t="s">
        <v>51</v>
      </c>
      <c r="Q8546" s="8" t="s">
        <v>265</v>
      </c>
      <c r="R8546" s="10" t="s">
        <v>48049</v>
      </c>
      <c r="S8546" s="11" t="s">
        <v>48050</v>
      </c>
      <c r="T8546" s="6"/>
      <c r="U8546" s="15" t="str">
        <f>HYPERLINK("https://media.infra-m.ru/2230/2230295/cover/2230295.jpg", "Обложка")</f>
        <v>Обложка</v>
      </c>
      <c r="V8546" s="8" t="s">
        <v>1871</v>
      </c>
      <c r="W8546" s="6"/>
      <c r="X8546" s="6"/>
      <c r="Y8546" s="6"/>
      <c r="Z8546" s="6"/>
      <c r="AA8546" s="6" t="s">
        <v>769</v>
      </c>
      <c r="AB8546" s="8"/>
      <c r="AC8546" s="27">
        <v>9785911346621</v>
      </c>
    </row>
    <row r="8547" spans="1:29" s="4" customFormat="1" ht="51.9" customHeight="1" x14ac:dyDescent="0.2">
      <c r="A8547" s="5">
        <v>0</v>
      </c>
      <c r="B8547" s="6" t="s">
        <v>48051</v>
      </c>
      <c r="C8547" s="7">
        <v>1666.8</v>
      </c>
      <c r="D8547" s="8" t="s">
        <v>48052</v>
      </c>
      <c r="E8547" s="8" t="s">
        <v>48053</v>
      </c>
      <c r="F8547" s="8" t="s">
        <v>48054</v>
      </c>
      <c r="G8547" s="6" t="s">
        <v>60</v>
      </c>
      <c r="H8547" s="6" t="s">
        <v>34</v>
      </c>
      <c r="I8547" s="8" t="s">
        <v>954</v>
      </c>
      <c r="J8547" s="9">
        <v>1</v>
      </c>
      <c r="K8547" s="9">
        <v>262</v>
      </c>
      <c r="L8547" s="9">
        <v>2025</v>
      </c>
      <c r="M8547" s="8" t="s">
        <v>48055</v>
      </c>
      <c r="N8547" s="8" t="s">
        <v>37</v>
      </c>
      <c r="O8547" s="8" t="s">
        <v>290</v>
      </c>
      <c r="P8547" s="6" t="s">
        <v>306</v>
      </c>
      <c r="Q8547" s="8" t="s">
        <v>65</v>
      </c>
      <c r="R8547" s="10" t="s">
        <v>48056</v>
      </c>
      <c r="S8547" s="11"/>
      <c r="T8547" s="6"/>
      <c r="U8547" s="15" t="str">
        <f>HYPERLINK("https://media.infra-m.ru/2169/2169287/cover/2169287.jpg", "Обложка")</f>
        <v>Обложка</v>
      </c>
      <c r="V8547" s="8" t="s">
        <v>958</v>
      </c>
      <c r="W8547" s="6"/>
      <c r="X8547" s="6"/>
      <c r="Y8547" s="6"/>
      <c r="Z8547" s="6"/>
      <c r="AA8547" s="6" t="s">
        <v>68</v>
      </c>
      <c r="AB8547" s="8"/>
      <c r="AC8547" s="27">
        <v>9785160203126</v>
      </c>
    </row>
    <row r="8548" spans="1:29" s="4" customFormat="1" ht="51.9" customHeight="1" x14ac:dyDescent="0.2">
      <c r="A8548" s="5">
        <v>0</v>
      </c>
      <c r="B8548" s="6" t="s">
        <v>48057</v>
      </c>
      <c r="C8548" s="7">
        <v>2056.8000000000002</v>
      </c>
      <c r="D8548" s="8" t="s">
        <v>48058</v>
      </c>
      <c r="E8548" s="8" t="s">
        <v>48059</v>
      </c>
      <c r="F8548" s="8" t="s">
        <v>48060</v>
      </c>
      <c r="G8548" s="6" t="s">
        <v>60</v>
      </c>
      <c r="H8548" s="6" t="s">
        <v>34</v>
      </c>
      <c r="I8548" s="8" t="s">
        <v>954</v>
      </c>
      <c r="J8548" s="9">
        <v>1</v>
      </c>
      <c r="K8548" s="9">
        <v>284</v>
      </c>
      <c r="L8548" s="9">
        <v>2026</v>
      </c>
      <c r="M8548" s="8" t="s">
        <v>48061</v>
      </c>
      <c r="N8548" s="8" t="s">
        <v>37</v>
      </c>
      <c r="O8548" s="8" t="s">
        <v>290</v>
      </c>
      <c r="P8548" s="6" t="s">
        <v>306</v>
      </c>
      <c r="Q8548" s="8" t="s">
        <v>65</v>
      </c>
      <c r="R8548" s="10" t="s">
        <v>977</v>
      </c>
      <c r="S8548" s="11"/>
      <c r="T8548" s="6"/>
      <c r="U8548" s="15" t="str">
        <f>HYPERLINK("https://media.infra-m.ru/2244/2244285/cover/2244285.jpg", "Обложка")</f>
        <v>Обложка</v>
      </c>
      <c r="V8548" s="8" t="s">
        <v>958</v>
      </c>
      <c r="W8548" s="6"/>
      <c r="X8548" s="6"/>
      <c r="Y8548" s="6"/>
      <c r="Z8548" s="6"/>
      <c r="AA8548" s="6" t="s">
        <v>68</v>
      </c>
      <c r="AB8548" s="8"/>
      <c r="AC8548" s="27">
        <v>9785160203119</v>
      </c>
    </row>
    <row r="8549" spans="1:29" s="4" customFormat="1" ht="51.9" customHeight="1" x14ac:dyDescent="0.2">
      <c r="A8549" s="5">
        <v>0</v>
      </c>
      <c r="B8549" s="6" t="s">
        <v>48062</v>
      </c>
      <c r="C8549" s="7">
        <v>1188</v>
      </c>
      <c r="D8549" s="8" t="s">
        <v>48063</v>
      </c>
      <c r="E8549" s="8" t="s">
        <v>48064</v>
      </c>
      <c r="F8549" s="8" t="s">
        <v>9391</v>
      </c>
      <c r="G8549" s="6" t="s">
        <v>60</v>
      </c>
      <c r="H8549" s="6" t="s">
        <v>34</v>
      </c>
      <c r="I8549" s="8" t="s">
        <v>288</v>
      </c>
      <c r="J8549" s="9">
        <v>1</v>
      </c>
      <c r="K8549" s="9">
        <v>141</v>
      </c>
      <c r="L8549" s="9">
        <v>2026</v>
      </c>
      <c r="M8549" s="8" t="s">
        <v>48065</v>
      </c>
      <c r="N8549" s="8" t="s">
        <v>37</v>
      </c>
      <c r="O8549" s="8" t="s">
        <v>290</v>
      </c>
      <c r="P8549" s="6" t="s">
        <v>51</v>
      </c>
      <c r="Q8549" s="8" t="s">
        <v>65</v>
      </c>
      <c r="R8549" s="10" t="s">
        <v>48066</v>
      </c>
      <c r="S8549" s="11"/>
      <c r="T8549" s="6"/>
      <c r="U8549" s="15" t="str">
        <f>HYPERLINK("https://media.infra-m.ru/2204/2204695/cover/2204695.jpg", "Обложка")</f>
        <v>Обложка</v>
      </c>
      <c r="V8549" s="8" t="s">
        <v>292</v>
      </c>
      <c r="W8549" s="6" t="s">
        <v>342</v>
      </c>
      <c r="X8549" s="6"/>
      <c r="Y8549" s="6"/>
      <c r="Z8549" s="6"/>
      <c r="AA8549" s="6" t="s">
        <v>187</v>
      </c>
      <c r="AB8549" s="8" t="s">
        <v>308</v>
      </c>
      <c r="AC8549" s="27">
        <v>9785160209210</v>
      </c>
    </row>
    <row r="8550" spans="1:29" s="4" customFormat="1" ht="51.9" customHeight="1" x14ac:dyDescent="0.2">
      <c r="A8550" s="5">
        <v>0</v>
      </c>
      <c r="B8550" s="6" t="s">
        <v>48067</v>
      </c>
      <c r="C8550" s="7">
        <v>1168.8</v>
      </c>
      <c r="D8550" s="8" t="s">
        <v>48068</v>
      </c>
      <c r="E8550" s="8" t="s">
        <v>48069</v>
      </c>
      <c r="F8550" s="8" t="s">
        <v>6392</v>
      </c>
      <c r="G8550" s="6" t="s">
        <v>118</v>
      </c>
      <c r="H8550" s="6" t="s">
        <v>34</v>
      </c>
      <c r="I8550" s="8" t="s">
        <v>2171</v>
      </c>
      <c r="J8550" s="9">
        <v>1</v>
      </c>
      <c r="K8550" s="9">
        <v>159</v>
      </c>
      <c r="L8550" s="9">
        <v>2026</v>
      </c>
      <c r="M8550" s="8" t="s">
        <v>48070</v>
      </c>
      <c r="N8550" s="8" t="s">
        <v>37</v>
      </c>
      <c r="O8550" s="8" t="s">
        <v>290</v>
      </c>
      <c r="P8550" s="6" t="s">
        <v>51</v>
      </c>
      <c r="Q8550" s="8" t="s">
        <v>65</v>
      </c>
      <c r="R8550" s="10" t="s">
        <v>48071</v>
      </c>
      <c r="S8550" s="11" t="s">
        <v>48072</v>
      </c>
      <c r="T8550" s="6"/>
      <c r="U8550" s="15" t="str">
        <f>HYPERLINK("https://media.infra-m.ru/2242/2242903/cover/2242903.jpg", "Обложка")</f>
        <v>Обложка</v>
      </c>
      <c r="V8550" s="8" t="s">
        <v>2175</v>
      </c>
      <c r="W8550" s="6"/>
      <c r="X8550" s="6"/>
      <c r="Y8550" s="6"/>
      <c r="Z8550" s="6"/>
      <c r="AA8550" s="6" t="s">
        <v>76</v>
      </c>
      <c r="AB8550" s="8"/>
      <c r="AC8550" s="27">
        <v>9785160179056</v>
      </c>
    </row>
    <row r="8551" spans="1:29" s="4" customFormat="1" ht="51.9" customHeight="1" x14ac:dyDescent="0.2">
      <c r="A8551" s="5">
        <v>0</v>
      </c>
      <c r="B8551" s="6" t="s">
        <v>48073</v>
      </c>
      <c r="C8551" s="7">
        <v>2020.8</v>
      </c>
      <c r="D8551" s="8" t="s">
        <v>48074</v>
      </c>
      <c r="E8551" s="8" t="s">
        <v>48075</v>
      </c>
      <c r="F8551" s="8" t="s">
        <v>31380</v>
      </c>
      <c r="G8551" s="6" t="s">
        <v>118</v>
      </c>
      <c r="H8551" s="6" t="s">
        <v>34</v>
      </c>
      <c r="I8551" s="8" t="s">
        <v>954</v>
      </c>
      <c r="J8551" s="9">
        <v>1</v>
      </c>
      <c r="K8551" s="9">
        <v>307</v>
      </c>
      <c r="L8551" s="9">
        <v>2026</v>
      </c>
      <c r="M8551" s="8" t="s">
        <v>48076</v>
      </c>
      <c r="N8551" s="8" t="s">
        <v>37</v>
      </c>
      <c r="O8551" s="8" t="s">
        <v>290</v>
      </c>
      <c r="P8551" s="6" t="s">
        <v>306</v>
      </c>
      <c r="Q8551" s="8" t="s">
        <v>65</v>
      </c>
      <c r="R8551" s="10" t="s">
        <v>31382</v>
      </c>
      <c r="S8551" s="11" t="s">
        <v>48077</v>
      </c>
      <c r="T8551" s="6"/>
      <c r="U8551" s="15" t="str">
        <f>HYPERLINK("https://media.infra-m.ru/2244/2244281/cover/2244281.jpg", "Обложка")</f>
        <v>Обложка</v>
      </c>
      <c r="V8551" s="8" t="s">
        <v>958</v>
      </c>
      <c r="W8551" s="6"/>
      <c r="X8551" s="6"/>
      <c r="Y8551" s="6"/>
      <c r="Z8551" s="6"/>
      <c r="AA8551" s="6" t="s">
        <v>115</v>
      </c>
      <c r="AB8551" s="8"/>
      <c r="AC8551" s="27">
        <v>9785160151106</v>
      </c>
    </row>
    <row r="8552" spans="1:29" s="4" customFormat="1" ht="51.9" customHeight="1" x14ac:dyDescent="0.2">
      <c r="A8552" s="5">
        <v>0</v>
      </c>
      <c r="B8552" s="6" t="s">
        <v>48078</v>
      </c>
      <c r="C8552" s="7">
        <v>1260</v>
      </c>
      <c r="D8552" s="8" t="s">
        <v>48079</v>
      </c>
      <c r="E8552" s="8" t="s">
        <v>48080</v>
      </c>
      <c r="F8552" s="8" t="s">
        <v>48081</v>
      </c>
      <c r="G8552" s="6" t="s">
        <v>118</v>
      </c>
      <c r="H8552" s="6" t="s">
        <v>34</v>
      </c>
      <c r="I8552" s="8" t="s">
        <v>954</v>
      </c>
      <c r="J8552" s="9">
        <v>1</v>
      </c>
      <c r="K8552" s="9">
        <v>223</v>
      </c>
      <c r="L8552" s="9">
        <v>2024</v>
      </c>
      <c r="M8552" s="8" t="s">
        <v>48082</v>
      </c>
      <c r="N8552" s="8" t="s">
        <v>37</v>
      </c>
      <c r="O8552" s="8" t="s">
        <v>290</v>
      </c>
      <c r="P8552" s="6" t="s">
        <v>306</v>
      </c>
      <c r="Q8552" s="8" t="s">
        <v>65</v>
      </c>
      <c r="R8552" s="10" t="s">
        <v>31382</v>
      </c>
      <c r="S8552" s="11" t="s">
        <v>48077</v>
      </c>
      <c r="T8552" s="6"/>
      <c r="U8552" s="15" t="str">
        <f>HYPERLINK("https://media.infra-m.ru/2081/2081153/cover/2081153.jpg", "Обложка")</f>
        <v>Обложка</v>
      </c>
      <c r="V8552" s="8" t="s">
        <v>958</v>
      </c>
      <c r="W8552" s="6"/>
      <c r="X8552" s="6"/>
      <c r="Y8552" s="6"/>
      <c r="Z8552" s="6"/>
      <c r="AA8552" s="6" t="s">
        <v>115</v>
      </c>
      <c r="AB8552" s="8"/>
      <c r="AC8552" s="27">
        <v>9785160151113</v>
      </c>
    </row>
    <row r="8553" spans="1:29" s="4" customFormat="1" ht="44.1" customHeight="1" x14ac:dyDescent="0.2">
      <c r="A8553" s="5">
        <v>0</v>
      </c>
      <c r="B8553" s="6" t="s">
        <v>48083</v>
      </c>
      <c r="C8553" s="7">
        <v>1948.8</v>
      </c>
      <c r="D8553" s="8" t="s">
        <v>48084</v>
      </c>
      <c r="E8553" s="8" t="s">
        <v>48085</v>
      </c>
      <c r="F8553" s="8" t="s">
        <v>45795</v>
      </c>
      <c r="G8553" s="6" t="s">
        <v>60</v>
      </c>
      <c r="H8553" s="6" t="s">
        <v>34</v>
      </c>
      <c r="I8553" s="8" t="s">
        <v>288</v>
      </c>
      <c r="J8553" s="9">
        <v>1</v>
      </c>
      <c r="K8553" s="9">
        <v>325</v>
      </c>
      <c r="L8553" s="9">
        <v>2025</v>
      </c>
      <c r="M8553" s="8" t="s">
        <v>48086</v>
      </c>
      <c r="N8553" s="8" t="s">
        <v>37</v>
      </c>
      <c r="O8553" s="8" t="s">
        <v>290</v>
      </c>
      <c r="P8553" s="6" t="s">
        <v>51</v>
      </c>
      <c r="Q8553" s="8" t="s">
        <v>65</v>
      </c>
      <c r="R8553" s="10" t="s">
        <v>48087</v>
      </c>
      <c r="S8553" s="11"/>
      <c r="T8553" s="6"/>
      <c r="U8553" s="15" t="str">
        <f>HYPERLINK("https://media.infra-m.ru/2161/2161042/cover/2161042.jpg", "Обложка")</f>
        <v>Обложка</v>
      </c>
      <c r="V8553" s="8" t="s">
        <v>3304</v>
      </c>
      <c r="W8553" s="6"/>
      <c r="X8553" s="6"/>
      <c r="Y8553" s="6"/>
      <c r="Z8553" s="6"/>
      <c r="AA8553" s="6" t="s">
        <v>430</v>
      </c>
      <c r="AB8553" s="8"/>
      <c r="AC8553" s="27">
        <v>9785160158129</v>
      </c>
    </row>
    <row r="8554" spans="1:29" s="4" customFormat="1" ht="51.9" customHeight="1" x14ac:dyDescent="0.2">
      <c r="A8554" s="5">
        <v>0</v>
      </c>
      <c r="B8554" s="6" t="s">
        <v>48088</v>
      </c>
      <c r="C8554" s="7">
        <v>1912.8</v>
      </c>
      <c r="D8554" s="8" t="s">
        <v>48089</v>
      </c>
      <c r="E8554" s="8" t="s">
        <v>48090</v>
      </c>
      <c r="F8554" s="8" t="s">
        <v>45795</v>
      </c>
      <c r="G8554" s="6" t="s">
        <v>118</v>
      </c>
      <c r="H8554" s="6" t="s">
        <v>34</v>
      </c>
      <c r="I8554" s="8" t="s">
        <v>288</v>
      </c>
      <c r="J8554" s="9">
        <v>1</v>
      </c>
      <c r="K8554" s="9">
        <v>307</v>
      </c>
      <c r="L8554" s="9">
        <v>2026</v>
      </c>
      <c r="M8554" s="8" t="s">
        <v>48091</v>
      </c>
      <c r="N8554" s="8" t="s">
        <v>37</v>
      </c>
      <c r="O8554" s="8" t="s">
        <v>290</v>
      </c>
      <c r="P8554" s="6" t="s">
        <v>51</v>
      </c>
      <c r="Q8554" s="8" t="s">
        <v>65</v>
      </c>
      <c r="R8554" s="10" t="s">
        <v>48092</v>
      </c>
      <c r="S8554" s="11"/>
      <c r="T8554" s="6"/>
      <c r="U8554" s="15" t="str">
        <f>HYPERLINK("https://media.infra-m.ru/2213/2213723/cover/2213723.jpg", "Обложка")</f>
        <v>Обложка</v>
      </c>
      <c r="V8554" s="8" t="s">
        <v>3304</v>
      </c>
      <c r="W8554" s="6"/>
      <c r="X8554" s="6"/>
      <c r="Y8554" s="6"/>
      <c r="Z8554" s="6"/>
      <c r="AA8554" s="6" t="s">
        <v>430</v>
      </c>
      <c r="AB8554" s="8"/>
      <c r="AC8554" s="27">
        <v>9785160158198</v>
      </c>
    </row>
    <row r="8555" spans="1:29" s="4" customFormat="1" ht="51.9" customHeight="1" x14ac:dyDescent="0.2">
      <c r="A8555" s="5">
        <v>0</v>
      </c>
      <c r="B8555" s="6" t="s">
        <v>48093</v>
      </c>
      <c r="C8555" s="7">
        <v>2452.8000000000002</v>
      </c>
      <c r="D8555" s="8" t="s">
        <v>48094</v>
      </c>
      <c r="E8555" s="8" t="s">
        <v>48095</v>
      </c>
      <c r="F8555" s="8" t="s">
        <v>45795</v>
      </c>
      <c r="G8555" s="6" t="s">
        <v>118</v>
      </c>
      <c r="H8555" s="6" t="s">
        <v>34</v>
      </c>
      <c r="I8555" s="8" t="s">
        <v>288</v>
      </c>
      <c r="J8555" s="9">
        <v>1</v>
      </c>
      <c r="K8555" s="9">
        <v>392</v>
      </c>
      <c r="L8555" s="9">
        <v>2023</v>
      </c>
      <c r="M8555" s="8" t="s">
        <v>48096</v>
      </c>
      <c r="N8555" s="8" t="s">
        <v>37</v>
      </c>
      <c r="O8555" s="8" t="s">
        <v>290</v>
      </c>
      <c r="P8555" s="6" t="s">
        <v>51</v>
      </c>
      <c r="Q8555" s="8" t="s">
        <v>65</v>
      </c>
      <c r="R8555" s="10" t="s">
        <v>48097</v>
      </c>
      <c r="S8555" s="11" t="s">
        <v>48098</v>
      </c>
      <c r="T8555" s="6"/>
      <c r="U8555" s="15" t="str">
        <f>HYPERLINK("https://media.infra-m.ru/2205/2205453/cover/2205453.jpg", "Обложка")</f>
        <v>Обложка</v>
      </c>
      <c r="V8555" s="8" t="s">
        <v>3304</v>
      </c>
      <c r="W8555" s="6"/>
      <c r="X8555" s="6"/>
      <c r="Y8555" s="6"/>
      <c r="Z8555" s="6"/>
      <c r="AA8555" s="6" t="s">
        <v>115</v>
      </c>
      <c r="AB8555" s="8"/>
      <c r="AC8555" s="27">
        <v>9785160149363</v>
      </c>
    </row>
    <row r="8556" spans="1:29" s="4" customFormat="1" ht="51.9" customHeight="1" x14ac:dyDescent="0.2">
      <c r="A8556" s="5">
        <v>0</v>
      </c>
      <c r="B8556" s="6" t="s">
        <v>48099</v>
      </c>
      <c r="C8556" s="7">
        <v>1970.4</v>
      </c>
      <c r="D8556" s="8" t="s">
        <v>48100</v>
      </c>
      <c r="E8556" s="8" t="s">
        <v>48101</v>
      </c>
      <c r="F8556" s="8" t="s">
        <v>48102</v>
      </c>
      <c r="G8556" s="6" t="s">
        <v>60</v>
      </c>
      <c r="H8556" s="6" t="s">
        <v>34</v>
      </c>
      <c r="I8556" s="8" t="s">
        <v>954</v>
      </c>
      <c r="J8556" s="9">
        <v>1</v>
      </c>
      <c r="K8556" s="9">
        <v>224</v>
      </c>
      <c r="L8556" s="9">
        <v>2026</v>
      </c>
      <c r="M8556" s="8" t="s">
        <v>48103</v>
      </c>
      <c r="N8556" s="8" t="s">
        <v>37</v>
      </c>
      <c r="O8556" s="8" t="s">
        <v>290</v>
      </c>
      <c r="P8556" s="6" t="s">
        <v>394</v>
      </c>
      <c r="Q8556" s="8" t="s">
        <v>65</v>
      </c>
      <c r="R8556" s="10" t="s">
        <v>48104</v>
      </c>
      <c r="S8556" s="11"/>
      <c r="T8556" s="6"/>
      <c r="U8556" s="15" t="str">
        <f>HYPERLINK("https://media.infra-m.ru/2226/2226231/cover/2226231.jpg", "Обложка")</f>
        <v>Обложка</v>
      </c>
      <c r="V8556" s="8" t="s">
        <v>958</v>
      </c>
      <c r="W8556" s="6" t="s">
        <v>547</v>
      </c>
      <c r="X8556" s="6"/>
      <c r="Y8556" s="6"/>
      <c r="Z8556" s="6"/>
      <c r="AA8556" s="6" t="s">
        <v>187</v>
      </c>
      <c r="AB8556" s="8"/>
      <c r="AC8556" s="27">
        <v>9785160214597</v>
      </c>
    </row>
    <row r="8557" spans="1:29" s="4" customFormat="1" ht="44.1" customHeight="1" x14ac:dyDescent="0.2">
      <c r="A8557" s="5">
        <v>0</v>
      </c>
      <c r="B8557" s="6" t="s">
        <v>48105</v>
      </c>
      <c r="C8557" s="7">
        <v>2616</v>
      </c>
      <c r="D8557" s="8" t="s">
        <v>48106</v>
      </c>
      <c r="E8557" s="8" t="s">
        <v>48107</v>
      </c>
      <c r="F8557" s="8" t="s">
        <v>48108</v>
      </c>
      <c r="G8557" s="6" t="s">
        <v>118</v>
      </c>
      <c r="H8557" s="6" t="s">
        <v>820</v>
      </c>
      <c r="I8557" s="8" t="s">
        <v>263</v>
      </c>
      <c r="J8557" s="9">
        <v>1</v>
      </c>
      <c r="K8557" s="9">
        <v>376</v>
      </c>
      <c r="L8557" s="9">
        <v>2026</v>
      </c>
      <c r="M8557" s="8" t="s">
        <v>48109</v>
      </c>
      <c r="N8557" s="8" t="s">
        <v>243</v>
      </c>
      <c r="O8557" s="8" t="s">
        <v>964</v>
      </c>
      <c r="P8557" s="6" t="s">
        <v>51</v>
      </c>
      <c r="Q8557" s="8" t="s">
        <v>265</v>
      </c>
      <c r="R8557" s="10" t="s">
        <v>9644</v>
      </c>
      <c r="S8557" s="11"/>
      <c r="T8557" s="6"/>
      <c r="U8557" s="15" t="str">
        <f>HYPERLINK("https://media.infra-m.ru/2216/2216469/cover/2216469.jpg", "Обложка")</f>
        <v>Обложка</v>
      </c>
      <c r="V8557" s="8" t="s">
        <v>831</v>
      </c>
      <c r="W8557" s="6"/>
      <c r="X8557" s="6"/>
      <c r="Y8557" s="6"/>
      <c r="Z8557" s="6"/>
      <c r="AA8557" s="6" t="s">
        <v>99</v>
      </c>
      <c r="AB8557" s="8"/>
      <c r="AC8557" s="27">
        <v>9785906923318</v>
      </c>
    </row>
    <row r="8558" spans="1:29" s="4" customFormat="1" ht="51.9" customHeight="1" x14ac:dyDescent="0.2">
      <c r="A8558" s="5">
        <v>0</v>
      </c>
      <c r="B8558" s="6" t="s">
        <v>48110</v>
      </c>
      <c r="C8558" s="7">
        <v>1168.8</v>
      </c>
      <c r="D8558" s="8" t="s">
        <v>48111</v>
      </c>
      <c r="E8558" s="8" t="s">
        <v>48112</v>
      </c>
      <c r="F8558" s="8" t="s">
        <v>31489</v>
      </c>
      <c r="G8558" s="6" t="s">
        <v>33</v>
      </c>
      <c r="H8558" s="6" t="s">
        <v>48</v>
      </c>
      <c r="I8558" s="8" t="s">
        <v>253</v>
      </c>
      <c r="J8558" s="9">
        <v>1</v>
      </c>
      <c r="K8558" s="9">
        <v>168</v>
      </c>
      <c r="L8558" s="9">
        <v>2027</v>
      </c>
      <c r="M8558" s="8" t="s">
        <v>48113</v>
      </c>
      <c r="N8558" s="8" t="s">
        <v>243</v>
      </c>
      <c r="O8558" s="8" t="s">
        <v>964</v>
      </c>
      <c r="P8558" s="6" t="s">
        <v>51</v>
      </c>
      <c r="Q8558" s="8" t="s">
        <v>52</v>
      </c>
      <c r="R8558" s="10" t="s">
        <v>29422</v>
      </c>
      <c r="S8558" s="11" t="s">
        <v>48114</v>
      </c>
      <c r="T8558" s="6"/>
      <c r="U8558" s="15" t="str">
        <f>HYPERLINK("https://media.infra-m.ru/2267/2267147/cover/2267147.jpg", "Обложка")</f>
        <v>Обложка</v>
      </c>
      <c r="V8558" s="8" t="s">
        <v>831</v>
      </c>
      <c r="W8558" s="6"/>
      <c r="X8558" s="6"/>
      <c r="Y8558" s="6"/>
      <c r="Z8558" s="6"/>
      <c r="AA8558" s="6" t="s">
        <v>129</v>
      </c>
      <c r="AB8558" s="8"/>
      <c r="AC8558" s="27">
        <v>9785911345044</v>
      </c>
    </row>
    <row r="8559" spans="1:29" s="4" customFormat="1" ht="42" customHeight="1" x14ac:dyDescent="0.2">
      <c r="A8559" s="5">
        <v>0</v>
      </c>
      <c r="B8559" s="6" t="s">
        <v>48115</v>
      </c>
      <c r="C8559" s="7">
        <v>1020</v>
      </c>
      <c r="D8559" s="8" t="s">
        <v>48116</v>
      </c>
      <c r="E8559" s="8" t="s">
        <v>48117</v>
      </c>
      <c r="F8559" s="8" t="s">
        <v>48118</v>
      </c>
      <c r="G8559" s="6" t="s">
        <v>33</v>
      </c>
      <c r="H8559" s="6" t="s">
        <v>34</v>
      </c>
      <c r="I8559" s="8" t="s">
        <v>35</v>
      </c>
      <c r="J8559" s="9">
        <v>1</v>
      </c>
      <c r="K8559" s="9">
        <v>141</v>
      </c>
      <c r="L8559" s="9">
        <v>2025</v>
      </c>
      <c r="M8559" s="8" t="s">
        <v>48119</v>
      </c>
      <c r="N8559" s="8" t="s">
        <v>243</v>
      </c>
      <c r="O8559" s="8" t="s">
        <v>798</v>
      </c>
      <c r="P8559" s="6" t="s">
        <v>39</v>
      </c>
      <c r="Q8559" s="8" t="s">
        <v>40</v>
      </c>
      <c r="R8559" s="10" t="s">
        <v>48120</v>
      </c>
      <c r="S8559" s="11"/>
      <c r="T8559" s="6"/>
      <c r="U8559" s="15" t="str">
        <f>HYPERLINK("https://media.infra-m.ru/2155/2155924/cover/2155924.jpg", "Обложка")</f>
        <v>Обложка</v>
      </c>
      <c r="V8559" s="8" t="s">
        <v>359</v>
      </c>
      <c r="W8559" s="6"/>
      <c r="X8559" s="6"/>
      <c r="Y8559" s="6"/>
      <c r="Z8559" s="6"/>
      <c r="AA8559" s="6" t="s">
        <v>76</v>
      </c>
      <c r="AB8559" s="8"/>
      <c r="AC8559" s="27">
        <v>9785160200484</v>
      </c>
    </row>
    <row r="8560" spans="1:29" s="4" customFormat="1" ht="42" customHeight="1" x14ac:dyDescent="0.2">
      <c r="A8560" s="5">
        <v>0</v>
      </c>
      <c r="B8560" s="6" t="s">
        <v>48121</v>
      </c>
      <c r="C8560" s="7">
        <v>2116.8000000000002</v>
      </c>
      <c r="D8560" s="8" t="s">
        <v>48122</v>
      </c>
      <c r="E8560" s="8" t="s">
        <v>48123</v>
      </c>
      <c r="F8560" s="8" t="s">
        <v>26600</v>
      </c>
      <c r="G8560" s="6" t="s">
        <v>118</v>
      </c>
      <c r="H8560" s="6" t="s">
        <v>820</v>
      </c>
      <c r="I8560" s="8" t="s">
        <v>263</v>
      </c>
      <c r="J8560" s="9">
        <v>1</v>
      </c>
      <c r="K8560" s="9">
        <v>320</v>
      </c>
      <c r="L8560" s="9">
        <v>2026</v>
      </c>
      <c r="M8560" s="8" t="s">
        <v>48124</v>
      </c>
      <c r="N8560" s="8" t="s">
        <v>243</v>
      </c>
      <c r="O8560" s="8" t="s">
        <v>244</v>
      </c>
      <c r="P8560" s="6" t="s">
        <v>306</v>
      </c>
      <c r="Q8560" s="8" t="s">
        <v>265</v>
      </c>
      <c r="R8560" s="10" t="s">
        <v>48125</v>
      </c>
      <c r="S8560" s="11"/>
      <c r="T8560" s="6"/>
      <c r="U8560" s="15" t="str">
        <f>HYPERLINK("https://media.infra-m.ru/2247/2247410/cover/2247410.jpg", "Обложка")</f>
        <v>Обложка</v>
      </c>
      <c r="V8560" s="8" t="s">
        <v>54</v>
      </c>
      <c r="W8560" s="6"/>
      <c r="X8560" s="6"/>
      <c r="Y8560" s="6"/>
      <c r="Z8560" s="6"/>
      <c r="AA8560" s="6" t="s">
        <v>99</v>
      </c>
      <c r="AB8560" s="8"/>
      <c r="AC8560" s="27">
        <v>9785906818928</v>
      </c>
    </row>
    <row r="8561" spans="1:29" s="4" customFormat="1" ht="51.9" customHeight="1" x14ac:dyDescent="0.2">
      <c r="A8561" s="5">
        <v>0</v>
      </c>
      <c r="B8561" s="6" t="s">
        <v>48126</v>
      </c>
      <c r="C8561" s="7">
        <v>4680</v>
      </c>
      <c r="D8561" s="8" t="s">
        <v>48127</v>
      </c>
      <c r="E8561" s="8" t="s">
        <v>48128</v>
      </c>
      <c r="F8561" s="8" t="s">
        <v>31478</v>
      </c>
      <c r="G8561" s="6" t="s">
        <v>60</v>
      </c>
      <c r="H8561" s="6" t="s">
        <v>34</v>
      </c>
      <c r="I8561" s="8" t="s">
        <v>253</v>
      </c>
      <c r="J8561" s="9">
        <v>1</v>
      </c>
      <c r="K8561" s="9">
        <v>722</v>
      </c>
      <c r="L8561" s="9">
        <v>2026</v>
      </c>
      <c r="M8561" s="8" t="s">
        <v>48129</v>
      </c>
      <c r="N8561" s="8" t="s">
        <v>243</v>
      </c>
      <c r="O8561" s="8" t="s">
        <v>385</v>
      </c>
      <c r="P8561" s="6" t="s">
        <v>306</v>
      </c>
      <c r="Q8561" s="8" t="s">
        <v>377</v>
      </c>
      <c r="R8561" s="10" t="s">
        <v>378</v>
      </c>
      <c r="S8561" s="11" t="s">
        <v>48130</v>
      </c>
      <c r="T8561" s="6" t="s">
        <v>97</v>
      </c>
      <c r="U8561" s="15" t="str">
        <f>HYPERLINK("https://media.infra-m.ru/2238/2238265/cover/2238265.jpg", "Обложка")</f>
        <v>Обложка</v>
      </c>
      <c r="V8561" s="8" t="s">
        <v>2154</v>
      </c>
      <c r="W8561" s="6"/>
      <c r="X8561" s="6"/>
      <c r="Y8561" s="6"/>
      <c r="Z8561" s="6"/>
      <c r="AA8561" s="6" t="s">
        <v>115</v>
      </c>
      <c r="AB8561" s="8"/>
      <c r="AC8561" s="27">
        <v>9785160217963</v>
      </c>
    </row>
    <row r="8562" spans="1:29" s="4" customFormat="1" ht="44.1" customHeight="1" x14ac:dyDescent="0.2">
      <c r="A8562" s="5">
        <v>0</v>
      </c>
      <c r="B8562" s="6" t="s">
        <v>48131</v>
      </c>
      <c r="C8562" s="7">
        <v>1104</v>
      </c>
      <c r="D8562" s="8" t="s">
        <v>48132</v>
      </c>
      <c r="E8562" s="8" t="s">
        <v>48133</v>
      </c>
      <c r="F8562" s="8" t="s">
        <v>48134</v>
      </c>
      <c r="G8562" s="6" t="s">
        <v>33</v>
      </c>
      <c r="H8562" s="6" t="s">
        <v>34</v>
      </c>
      <c r="I8562" s="8" t="s">
        <v>35</v>
      </c>
      <c r="J8562" s="9">
        <v>1</v>
      </c>
      <c r="K8562" s="9">
        <v>183</v>
      </c>
      <c r="L8562" s="9">
        <v>2025</v>
      </c>
      <c r="M8562" s="8" t="s">
        <v>48135</v>
      </c>
      <c r="N8562" s="8" t="s">
        <v>93</v>
      </c>
      <c r="O8562" s="8" t="s">
        <v>94</v>
      </c>
      <c r="P8562" s="6" t="s">
        <v>39</v>
      </c>
      <c r="Q8562" s="8" t="s">
        <v>40</v>
      </c>
      <c r="R8562" s="10" t="s">
        <v>25258</v>
      </c>
      <c r="S8562" s="11"/>
      <c r="T8562" s="6"/>
      <c r="U8562" s="15" t="str">
        <f>HYPERLINK("https://media.infra-m.ru/2178/2178248/cover/2178248.jpg", "Обложка")</f>
        <v>Обложка</v>
      </c>
      <c r="V8562" s="8" t="s">
        <v>29856</v>
      </c>
      <c r="W8562" s="6"/>
      <c r="X8562" s="6"/>
      <c r="Y8562" s="6"/>
      <c r="Z8562" s="6"/>
      <c r="AA8562" s="6" t="s">
        <v>76</v>
      </c>
      <c r="AB8562" s="8"/>
      <c r="AC8562" s="27">
        <v>9785160187617</v>
      </c>
    </row>
    <row r="8563" spans="1:29" s="4" customFormat="1" ht="51.9" customHeight="1" x14ac:dyDescent="0.2">
      <c r="A8563" s="5">
        <v>0</v>
      </c>
      <c r="B8563" s="6" t="s">
        <v>48136</v>
      </c>
      <c r="C8563" s="7">
        <v>2038.8</v>
      </c>
      <c r="D8563" s="8" t="s">
        <v>48137</v>
      </c>
      <c r="E8563" s="8" t="s">
        <v>48138</v>
      </c>
      <c r="F8563" s="8" t="s">
        <v>48139</v>
      </c>
      <c r="G8563" s="6" t="s">
        <v>118</v>
      </c>
      <c r="H8563" s="6" t="s">
        <v>34</v>
      </c>
      <c r="I8563" s="8" t="s">
        <v>2171</v>
      </c>
      <c r="J8563" s="9">
        <v>1</v>
      </c>
      <c r="K8563" s="9">
        <v>136</v>
      </c>
      <c r="L8563" s="9">
        <v>2026</v>
      </c>
      <c r="M8563" s="8" t="s">
        <v>48140</v>
      </c>
      <c r="N8563" s="8" t="s">
        <v>37</v>
      </c>
      <c r="O8563" s="8" t="s">
        <v>290</v>
      </c>
      <c r="P8563" s="6" t="s">
        <v>51</v>
      </c>
      <c r="Q8563" s="8" t="s">
        <v>65</v>
      </c>
      <c r="R8563" s="10" t="s">
        <v>48141</v>
      </c>
      <c r="S8563" s="11" t="s">
        <v>48142</v>
      </c>
      <c r="T8563" s="6"/>
      <c r="U8563" s="15" t="str">
        <f>HYPERLINK("https://media.infra-m.ru/2221/2221959/cover/2221959.jpg", "Обложка")</f>
        <v>Обложка</v>
      </c>
      <c r="V8563" s="8" t="s">
        <v>2175</v>
      </c>
      <c r="W8563" s="6"/>
      <c r="X8563" s="6"/>
      <c r="Y8563" s="6"/>
      <c r="Z8563" s="6"/>
      <c r="AA8563" s="6" t="s">
        <v>157</v>
      </c>
      <c r="AB8563" s="8"/>
      <c r="AC8563" s="27">
        <v>9785160160634</v>
      </c>
    </row>
    <row r="8564" spans="1:29" s="4" customFormat="1" ht="51.9" customHeight="1" x14ac:dyDescent="0.2">
      <c r="A8564" s="5">
        <v>0</v>
      </c>
      <c r="B8564" s="6" t="s">
        <v>48143</v>
      </c>
      <c r="C8564" s="7">
        <v>1996.8</v>
      </c>
      <c r="D8564" s="8" t="s">
        <v>48144</v>
      </c>
      <c r="E8564" s="8" t="s">
        <v>48145</v>
      </c>
      <c r="F8564" s="8" t="s">
        <v>48146</v>
      </c>
      <c r="G8564" s="6" t="s">
        <v>118</v>
      </c>
      <c r="H8564" s="6" t="s">
        <v>1779</v>
      </c>
      <c r="I8564" s="8"/>
      <c r="J8564" s="9">
        <v>1</v>
      </c>
      <c r="K8564" s="9">
        <v>320</v>
      </c>
      <c r="L8564" s="9">
        <v>2026</v>
      </c>
      <c r="M8564" s="8" t="s">
        <v>48147</v>
      </c>
      <c r="N8564" s="8" t="s">
        <v>63</v>
      </c>
      <c r="O8564" s="8" t="s">
        <v>64</v>
      </c>
      <c r="P8564" s="6" t="s">
        <v>306</v>
      </c>
      <c r="Q8564" s="8" t="s">
        <v>52</v>
      </c>
      <c r="R8564" s="10" t="s">
        <v>48148</v>
      </c>
      <c r="S8564" s="11" t="s">
        <v>48149</v>
      </c>
      <c r="T8564" s="6"/>
      <c r="U8564" s="15" t="str">
        <f>HYPERLINK("https://media.infra-m.ru/2221/2221484/cover/2221484.jpg", "Обложка")</f>
        <v>Обложка</v>
      </c>
      <c r="V8564" s="8" t="s">
        <v>1647</v>
      </c>
      <c r="W8564" s="6"/>
      <c r="X8564" s="6"/>
      <c r="Y8564" s="6"/>
      <c r="Z8564" s="6"/>
      <c r="AA8564" s="6" t="s">
        <v>17445</v>
      </c>
      <c r="AB8564" s="8"/>
      <c r="AC8564" s="27">
        <v>9785917686271</v>
      </c>
    </row>
    <row r="8565" spans="1:29" s="4" customFormat="1" ht="51.9" customHeight="1" x14ac:dyDescent="0.2">
      <c r="A8565" s="5">
        <v>0</v>
      </c>
      <c r="B8565" s="6" t="s">
        <v>48150</v>
      </c>
      <c r="C8565" s="7">
        <v>3890.4</v>
      </c>
      <c r="D8565" s="8" t="s">
        <v>48151</v>
      </c>
      <c r="E8565" s="8" t="s">
        <v>48152</v>
      </c>
      <c r="F8565" s="8" t="s">
        <v>39777</v>
      </c>
      <c r="G8565" s="6" t="s">
        <v>60</v>
      </c>
      <c r="H8565" s="6" t="s">
        <v>313</v>
      </c>
      <c r="I8565" s="8" t="s">
        <v>39778</v>
      </c>
      <c r="J8565" s="9">
        <v>1</v>
      </c>
      <c r="K8565" s="9">
        <v>592</v>
      </c>
      <c r="L8565" s="9">
        <v>2026</v>
      </c>
      <c r="M8565" s="8" t="s">
        <v>48153</v>
      </c>
      <c r="N8565" s="8" t="s">
        <v>37</v>
      </c>
      <c r="O8565" s="8" t="s">
        <v>233</v>
      </c>
      <c r="P8565" s="6" t="s">
        <v>306</v>
      </c>
      <c r="Q8565" s="8" t="s">
        <v>65</v>
      </c>
      <c r="R8565" s="10" t="s">
        <v>48154</v>
      </c>
      <c r="S8565" s="11"/>
      <c r="T8565" s="6"/>
      <c r="U8565" s="15" t="str">
        <f>HYPERLINK("https://media.infra-m.ru/2215/2215049/cover/2215049.jpg", "Обложка")</f>
        <v>Обложка</v>
      </c>
      <c r="V8565" s="8"/>
      <c r="W8565" s="6"/>
      <c r="X8565" s="6"/>
      <c r="Y8565" s="6"/>
      <c r="Z8565" s="6"/>
      <c r="AA8565" s="6" t="s">
        <v>623</v>
      </c>
      <c r="AB8565" s="8"/>
      <c r="AC8565" s="27">
        <v>9785369016923</v>
      </c>
    </row>
    <row r="8566" spans="1:29" s="4" customFormat="1" ht="44.1" customHeight="1" x14ac:dyDescent="0.2">
      <c r="A8566" s="5">
        <v>0</v>
      </c>
      <c r="B8566" s="6" t="s">
        <v>48155</v>
      </c>
      <c r="C8566" s="13">
        <v>700.8</v>
      </c>
      <c r="D8566" s="8" t="s">
        <v>48156</v>
      </c>
      <c r="E8566" s="8" t="s">
        <v>48157</v>
      </c>
      <c r="F8566" s="8" t="s">
        <v>48158</v>
      </c>
      <c r="G8566" s="6" t="s">
        <v>33</v>
      </c>
      <c r="H8566" s="6" t="s">
        <v>34</v>
      </c>
      <c r="I8566" s="8" t="s">
        <v>1081</v>
      </c>
      <c r="J8566" s="9">
        <v>1</v>
      </c>
      <c r="K8566" s="9">
        <v>112</v>
      </c>
      <c r="L8566" s="9">
        <v>2025</v>
      </c>
      <c r="M8566" s="8" t="s">
        <v>48159</v>
      </c>
      <c r="N8566" s="8" t="s">
        <v>224</v>
      </c>
      <c r="O8566" s="8" t="s">
        <v>225</v>
      </c>
      <c r="P8566" s="6" t="s">
        <v>39</v>
      </c>
      <c r="Q8566" s="8" t="s">
        <v>40</v>
      </c>
      <c r="R8566" s="10" t="s">
        <v>48160</v>
      </c>
      <c r="S8566" s="11"/>
      <c r="T8566" s="6"/>
      <c r="U8566" s="15" t="str">
        <f>HYPERLINK("https://media.infra-m.ru/2163/2163038/cover/2163038.jpg", "Обложка")</f>
        <v>Обложка</v>
      </c>
      <c r="V8566" s="8" t="s">
        <v>1083</v>
      </c>
      <c r="W8566" s="6"/>
      <c r="X8566" s="6"/>
      <c r="Y8566" s="6"/>
      <c r="Z8566" s="6"/>
      <c r="AA8566" s="6" t="s">
        <v>55</v>
      </c>
      <c r="AB8566" s="8"/>
      <c r="AC8566" s="27">
        <v>9785160161235</v>
      </c>
    </row>
    <row r="8567" spans="1:29" s="4" customFormat="1" ht="51.9" customHeight="1" x14ac:dyDescent="0.2">
      <c r="A8567" s="5">
        <v>0</v>
      </c>
      <c r="B8567" s="6" t="s">
        <v>48161</v>
      </c>
      <c r="C8567" s="7">
        <v>2116.8000000000002</v>
      </c>
      <c r="D8567" s="8" t="s">
        <v>48162</v>
      </c>
      <c r="E8567" s="8" t="s">
        <v>48163</v>
      </c>
      <c r="F8567" s="8" t="s">
        <v>48164</v>
      </c>
      <c r="G8567" s="6" t="s">
        <v>60</v>
      </c>
      <c r="H8567" s="6" t="s">
        <v>34</v>
      </c>
      <c r="I8567" s="8" t="s">
        <v>271</v>
      </c>
      <c r="J8567" s="9">
        <v>1</v>
      </c>
      <c r="K8567" s="9">
        <v>320</v>
      </c>
      <c r="L8567" s="9">
        <v>2026</v>
      </c>
      <c r="M8567" s="8" t="s">
        <v>48165</v>
      </c>
      <c r="N8567" s="8" t="s">
        <v>37</v>
      </c>
      <c r="O8567" s="8" t="s">
        <v>233</v>
      </c>
      <c r="P8567" s="6" t="s">
        <v>306</v>
      </c>
      <c r="Q8567" s="8" t="s">
        <v>52</v>
      </c>
      <c r="R8567" s="10" t="s">
        <v>9188</v>
      </c>
      <c r="S8567" s="11" t="s">
        <v>48166</v>
      </c>
      <c r="T8567" s="6"/>
      <c r="U8567" s="15" t="str">
        <f>HYPERLINK("https://media.infra-m.ru/2243/2243270/cover/2243270.jpg", "Обложка")</f>
        <v>Обложка</v>
      </c>
      <c r="V8567" s="8" t="s">
        <v>396</v>
      </c>
      <c r="W8567" s="6"/>
      <c r="X8567" s="6"/>
      <c r="Y8567" s="6"/>
      <c r="Z8567" s="6"/>
      <c r="AA8567" s="6" t="s">
        <v>55</v>
      </c>
      <c r="AB8567" s="8"/>
      <c r="AC8567" s="27">
        <v>9785160060712</v>
      </c>
    </row>
    <row r="8568" spans="1:29" s="4" customFormat="1" ht="51.9" customHeight="1" x14ac:dyDescent="0.2">
      <c r="A8568" s="5">
        <v>0</v>
      </c>
      <c r="B8568" s="6" t="s">
        <v>48167</v>
      </c>
      <c r="C8568" s="7">
        <v>1468.8</v>
      </c>
      <c r="D8568" s="8" t="s">
        <v>48168</v>
      </c>
      <c r="E8568" s="8" t="s">
        <v>48169</v>
      </c>
      <c r="F8568" s="8" t="s">
        <v>48170</v>
      </c>
      <c r="G8568" s="6" t="s">
        <v>60</v>
      </c>
      <c r="H8568" s="6" t="s">
        <v>34</v>
      </c>
      <c r="I8568" s="8" t="s">
        <v>271</v>
      </c>
      <c r="J8568" s="9">
        <v>1</v>
      </c>
      <c r="K8568" s="9">
        <v>134</v>
      </c>
      <c r="L8568" s="9">
        <v>2027</v>
      </c>
      <c r="M8568" s="8" t="s">
        <v>48171</v>
      </c>
      <c r="N8568" s="8" t="s">
        <v>585</v>
      </c>
      <c r="O8568" s="8" t="s">
        <v>667</v>
      </c>
      <c r="P8568" s="6" t="s">
        <v>51</v>
      </c>
      <c r="Q8568" s="8" t="s">
        <v>52</v>
      </c>
      <c r="R8568" s="10" t="s">
        <v>48172</v>
      </c>
      <c r="S8568" s="11" t="s">
        <v>48173</v>
      </c>
      <c r="T8568" s="6"/>
      <c r="U8568" s="15" t="str">
        <f>HYPERLINK("https://media.infra-m.ru/1894/1894526/cover/1894526.jpg", "Обложка")</f>
        <v>Обложка</v>
      </c>
      <c r="V8568" s="8"/>
      <c r="W8568" s="6"/>
      <c r="X8568" s="6"/>
      <c r="Y8568" s="6"/>
      <c r="Z8568" s="6"/>
      <c r="AA8568" s="6" t="s">
        <v>148</v>
      </c>
      <c r="AB8568" s="8"/>
      <c r="AC8568" s="27">
        <v>9785160168234</v>
      </c>
    </row>
    <row r="8569" spans="1:29" s="4" customFormat="1" ht="51.9" customHeight="1" x14ac:dyDescent="0.2">
      <c r="A8569" s="5">
        <v>0</v>
      </c>
      <c r="B8569" s="6" t="s">
        <v>48174</v>
      </c>
      <c r="C8569" s="7">
        <v>1468.8</v>
      </c>
      <c r="D8569" s="8" t="s">
        <v>48175</v>
      </c>
      <c r="E8569" s="8" t="s">
        <v>48169</v>
      </c>
      <c r="F8569" s="8" t="s">
        <v>48170</v>
      </c>
      <c r="G8569" s="6" t="s">
        <v>60</v>
      </c>
      <c r="H8569" s="6" t="s">
        <v>34</v>
      </c>
      <c r="I8569" s="8" t="s">
        <v>263</v>
      </c>
      <c r="J8569" s="9">
        <v>1</v>
      </c>
      <c r="K8569" s="9">
        <v>134</v>
      </c>
      <c r="L8569" s="9">
        <v>2027</v>
      </c>
      <c r="M8569" s="8" t="s">
        <v>48176</v>
      </c>
      <c r="N8569" s="8" t="s">
        <v>585</v>
      </c>
      <c r="O8569" s="8" t="s">
        <v>667</v>
      </c>
      <c r="P8569" s="6" t="s">
        <v>51</v>
      </c>
      <c r="Q8569" s="8" t="s">
        <v>265</v>
      </c>
      <c r="R8569" s="10" t="s">
        <v>48177</v>
      </c>
      <c r="S8569" s="11" t="s">
        <v>48178</v>
      </c>
      <c r="T8569" s="6"/>
      <c r="U8569" s="15" t="str">
        <f>HYPERLINK("https://media.infra-m.ru/2262/2262677/cover/2262677.jpg", "Обложка")</f>
        <v>Обложка</v>
      </c>
      <c r="V8569" s="8"/>
      <c r="W8569" s="6"/>
      <c r="X8569" s="6"/>
      <c r="Y8569" s="6"/>
      <c r="Z8569" s="6" t="s">
        <v>267</v>
      </c>
      <c r="AA8569" s="6" t="s">
        <v>148</v>
      </c>
      <c r="AB8569" s="8"/>
      <c r="AC8569" s="27">
        <v>9785160174334</v>
      </c>
    </row>
    <row r="8570" spans="1:29" s="4" customFormat="1" ht="44.1" customHeight="1" x14ac:dyDescent="0.2">
      <c r="A8570" s="5">
        <v>0</v>
      </c>
      <c r="B8570" s="6" t="s">
        <v>48179</v>
      </c>
      <c r="C8570" s="7">
        <v>1120.8</v>
      </c>
      <c r="D8570" s="8" t="s">
        <v>48180</v>
      </c>
      <c r="E8570" s="8" t="s">
        <v>48181</v>
      </c>
      <c r="F8570" s="8" t="s">
        <v>43534</v>
      </c>
      <c r="G8570" s="6" t="s">
        <v>33</v>
      </c>
      <c r="H8570" s="6" t="s">
        <v>134</v>
      </c>
      <c r="I8570" s="8"/>
      <c r="J8570" s="9">
        <v>1</v>
      </c>
      <c r="K8570" s="9">
        <v>160</v>
      </c>
      <c r="L8570" s="9">
        <v>2026</v>
      </c>
      <c r="M8570" s="8" t="s">
        <v>48182</v>
      </c>
      <c r="N8570" s="8" t="s">
        <v>37</v>
      </c>
      <c r="O8570" s="8" t="s">
        <v>136</v>
      </c>
      <c r="P8570" s="6" t="s">
        <v>39</v>
      </c>
      <c r="Q8570" s="8" t="s">
        <v>749</v>
      </c>
      <c r="R8570" s="10" t="s">
        <v>1625</v>
      </c>
      <c r="S8570" s="11"/>
      <c r="T8570" s="6"/>
      <c r="U8570" s="15" t="str">
        <f>HYPERLINK("https://media.infra-m.ru/2247/2247959/cover/2247959.jpg", "Обложка")</f>
        <v>Обложка</v>
      </c>
      <c r="V8570" s="8" t="s">
        <v>657</v>
      </c>
      <c r="W8570" s="6"/>
      <c r="X8570" s="6"/>
      <c r="Y8570" s="6"/>
      <c r="Z8570" s="6"/>
      <c r="AA8570" s="6" t="s">
        <v>248</v>
      </c>
      <c r="AB8570" s="8"/>
      <c r="AC8570" s="27">
        <v>9785917684567</v>
      </c>
    </row>
    <row r="8571" spans="1:29" s="4" customFormat="1" ht="42" customHeight="1" x14ac:dyDescent="0.2">
      <c r="A8571" s="5">
        <v>0</v>
      </c>
      <c r="B8571" s="6" t="s">
        <v>48183</v>
      </c>
      <c r="C8571" s="7">
        <v>2064</v>
      </c>
      <c r="D8571" s="8" t="s">
        <v>48184</v>
      </c>
      <c r="E8571" s="8" t="s">
        <v>48185</v>
      </c>
      <c r="F8571" s="8" t="s">
        <v>7408</v>
      </c>
      <c r="G8571" s="6" t="s">
        <v>60</v>
      </c>
      <c r="H8571" s="6" t="s">
        <v>34</v>
      </c>
      <c r="I8571" s="8" t="s">
        <v>35</v>
      </c>
      <c r="J8571" s="9">
        <v>1</v>
      </c>
      <c r="K8571" s="9">
        <v>308</v>
      </c>
      <c r="L8571" s="9">
        <v>2025</v>
      </c>
      <c r="M8571" s="8" t="s">
        <v>48186</v>
      </c>
      <c r="N8571" s="8" t="s">
        <v>37</v>
      </c>
      <c r="O8571" s="8" t="s">
        <v>136</v>
      </c>
      <c r="P8571" s="6" t="s">
        <v>39</v>
      </c>
      <c r="Q8571" s="8" t="s">
        <v>40</v>
      </c>
      <c r="R8571" s="10" t="s">
        <v>684</v>
      </c>
      <c r="S8571" s="11"/>
      <c r="T8571" s="6"/>
      <c r="U8571" s="15" t="str">
        <f>HYPERLINK("https://media.infra-m.ru/2187/2187526/cover/2187526.jpg", "Обложка")</f>
        <v>Обложка</v>
      </c>
      <c r="V8571" s="8" t="s">
        <v>3243</v>
      </c>
      <c r="W8571" s="6" t="s">
        <v>342</v>
      </c>
      <c r="X8571" s="6"/>
      <c r="Y8571" s="6"/>
      <c r="Z8571" s="6"/>
      <c r="AA8571" s="6" t="s">
        <v>68</v>
      </c>
      <c r="AB8571" s="8"/>
      <c r="AC8571" s="27">
        <v>9785160206653</v>
      </c>
    </row>
    <row r="8572" spans="1:29" s="4" customFormat="1" ht="51.9" customHeight="1" x14ac:dyDescent="0.2">
      <c r="A8572" s="5">
        <v>0</v>
      </c>
      <c r="B8572" s="6" t="s">
        <v>48187</v>
      </c>
      <c r="C8572" s="7">
        <v>1512</v>
      </c>
      <c r="D8572" s="8" t="s">
        <v>48188</v>
      </c>
      <c r="E8572" s="8" t="s">
        <v>48189</v>
      </c>
      <c r="F8572" s="8" t="s">
        <v>48190</v>
      </c>
      <c r="G8572" s="6" t="s">
        <v>118</v>
      </c>
      <c r="H8572" s="6" t="s">
        <v>34</v>
      </c>
      <c r="I8572" s="8" t="s">
        <v>253</v>
      </c>
      <c r="J8572" s="9">
        <v>1</v>
      </c>
      <c r="K8572" s="9">
        <v>280</v>
      </c>
      <c r="L8572" s="9">
        <v>2023</v>
      </c>
      <c r="M8572" s="8" t="s">
        <v>48191</v>
      </c>
      <c r="N8572" s="8" t="s">
        <v>585</v>
      </c>
      <c r="O8572" s="8" t="s">
        <v>775</v>
      </c>
      <c r="P8572" s="6" t="s">
        <v>51</v>
      </c>
      <c r="Q8572" s="8" t="s">
        <v>65</v>
      </c>
      <c r="R8572" s="10" t="s">
        <v>48192</v>
      </c>
      <c r="S8572" s="11" t="s">
        <v>48193</v>
      </c>
      <c r="T8572" s="6"/>
      <c r="U8572" s="15" t="str">
        <f>HYPERLINK("https://media.infra-m.ru/2024/2024025/cover/2024025.jpg", "Обложка")</f>
        <v>Обложка</v>
      </c>
      <c r="V8572" s="8" t="s">
        <v>14881</v>
      </c>
      <c r="W8572" s="6"/>
      <c r="X8572" s="6"/>
      <c r="Y8572" s="6"/>
      <c r="Z8572" s="6"/>
      <c r="AA8572" s="6" t="s">
        <v>115</v>
      </c>
      <c r="AB8572" s="8"/>
      <c r="AC8572" s="27">
        <v>9785160185637</v>
      </c>
    </row>
    <row r="8573" spans="1:29" s="4" customFormat="1" ht="42" customHeight="1" x14ac:dyDescent="0.2">
      <c r="A8573" s="5">
        <v>0</v>
      </c>
      <c r="B8573" s="6" t="s">
        <v>48194</v>
      </c>
      <c r="C8573" s="7">
        <v>2574</v>
      </c>
      <c r="D8573" s="8" t="s">
        <v>48195</v>
      </c>
      <c r="E8573" s="8" t="s">
        <v>48196</v>
      </c>
      <c r="F8573" s="8" t="s">
        <v>6770</v>
      </c>
      <c r="G8573" s="6" t="s">
        <v>60</v>
      </c>
      <c r="H8573" s="6" t="s">
        <v>134</v>
      </c>
      <c r="I8573" s="8"/>
      <c r="J8573" s="9">
        <v>1</v>
      </c>
      <c r="K8573" s="9">
        <v>224</v>
      </c>
      <c r="L8573" s="9">
        <v>2022</v>
      </c>
      <c r="M8573" s="8" t="s">
        <v>48197</v>
      </c>
      <c r="N8573" s="8" t="s">
        <v>37</v>
      </c>
      <c r="O8573" s="8" t="s">
        <v>136</v>
      </c>
      <c r="P8573" s="6" t="s">
        <v>39</v>
      </c>
      <c r="Q8573" s="8" t="s">
        <v>40</v>
      </c>
      <c r="R8573" s="10" t="s">
        <v>21000</v>
      </c>
      <c r="S8573" s="11"/>
      <c r="T8573" s="6"/>
      <c r="U8573" s="15" t="str">
        <f>HYPERLINK("https://media.infra-m.ru/1911/1911596/cover/1911596.jpg", "Обложка")</f>
        <v>Обложка</v>
      </c>
      <c r="V8573" s="8"/>
      <c r="W8573" s="6"/>
      <c r="X8573" s="6"/>
      <c r="Y8573" s="6"/>
      <c r="Z8573" s="6"/>
      <c r="AA8573" s="6" t="s">
        <v>148</v>
      </c>
      <c r="AB8573" s="8"/>
      <c r="AC8573" s="27">
        <v>9785001562702</v>
      </c>
    </row>
    <row r="8574" spans="1:29" s="4" customFormat="1" ht="42" customHeight="1" x14ac:dyDescent="0.2">
      <c r="A8574" s="5">
        <v>0</v>
      </c>
      <c r="B8574" s="6" t="s">
        <v>48198</v>
      </c>
      <c r="C8574" s="13">
        <v>976.8</v>
      </c>
      <c r="D8574" s="8" t="s">
        <v>48199</v>
      </c>
      <c r="E8574" s="8" t="s">
        <v>48200</v>
      </c>
      <c r="F8574" s="8" t="s">
        <v>48201</v>
      </c>
      <c r="G8574" s="6" t="s">
        <v>60</v>
      </c>
      <c r="H8574" s="6" t="s">
        <v>241</v>
      </c>
      <c r="I8574" s="8" t="s">
        <v>13632</v>
      </c>
      <c r="J8574" s="9">
        <v>1</v>
      </c>
      <c r="K8574" s="9">
        <v>176</v>
      </c>
      <c r="L8574" s="9">
        <v>2024</v>
      </c>
      <c r="M8574" s="8" t="s">
        <v>48202</v>
      </c>
      <c r="N8574" s="8" t="s">
        <v>37</v>
      </c>
      <c r="O8574" s="8" t="s">
        <v>233</v>
      </c>
      <c r="P8574" s="6" t="s">
        <v>51</v>
      </c>
      <c r="Q8574" s="8" t="s">
        <v>500</v>
      </c>
      <c r="R8574" s="10" t="s">
        <v>3669</v>
      </c>
      <c r="S8574" s="11"/>
      <c r="T8574" s="6"/>
      <c r="U8574" s="15" t="str">
        <f>HYPERLINK("https://media.infra-m.ru/2094/2094520/cover/2094520.jpg", "Обложка")</f>
        <v>Обложка</v>
      </c>
      <c r="V8574" s="8" t="s">
        <v>247</v>
      </c>
      <c r="W8574" s="6"/>
      <c r="X8574" s="6"/>
      <c r="Y8574" s="6"/>
      <c r="Z8574" s="6"/>
      <c r="AA8574" s="6" t="s">
        <v>248</v>
      </c>
      <c r="AB8574" s="8"/>
      <c r="AC8574" s="27">
        <v>9785955803180</v>
      </c>
    </row>
    <row r="8575" spans="1:29" s="4" customFormat="1" ht="51.9" customHeight="1" x14ac:dyDescent="0.2">
      <c r="A8575" s="5">
        <v>0</v>
      </c>
      <c r="B8575" s="6" t="s">
        <v>48203</v>
      </c>
      <c r="C8575" s="7">
        <v>1680</v>
      </c>
      <c r="D8575" s="8" t="s">
        <v>48204</v>
      </c>
      <c r="E8575" s="8" t="s">
        <v>48205</v>
      </c>
      <c r="F8575" s="8" t="s">
        <v>48206</v>
      </c>
      <c r="G8575" s="6" t="s">
        <v>118</v>
      </c>
      <c r="H8575" s="6" t="s">
        <v>34</v>
      </c>
      <c r="I8575" s="8" t="s">
        <v>253</v>
      </c>
      <c r="J8575" s="9">
        <v>1</v>
      </c>
      <c r="K8575" s="9">
        <v>254</v>
      </c>
      <c r="L8575" s="9">
        <v>2026</v>
      </c>
      <c r="M8575" s="8" t="s">
        <v>48207</v>
      </c>
      <c r="N8575" s="8" t="s">
        <v>37</v>
      </c>
      <c r="O8575" s="8" t="s">
        <v>233</v>
      </c>
      <c r="P8575" s="6" t="s">
        <v>51</v>
      </c>
      <c r="Q8575" s="8" t="s">
        <v>52</v>
      </c>
      <c r="R8575" s="10" t="s">
        <v>5149</v>
      </c>
      <c r="S8575" s="11" t="s">
        <v>16855</v>
      </c>
      <c r="T8575" s="6"/>
      <c r="U8575" s="15" t="str">
        <f>HYPERLINK("https://media.infra-m.ru/2243/2243305/cover/2243305.jpg", "Обложка")</f>
        <v>Обложка</v>
      </c>
      <c r="V8575" s="8" t="s">
        <v>4976</v>
      </c>
      <c r="W8575" s="6"/>
      <c r="X8575" s="6"/>
      <c r="Y8575" s="6"/>
      <c r="Z8575" s="6"/>
      <c r="AA8575" s="6" t="s">
        <v>86</v>
      </c>
      <c r="AB8575" s="8"/>
      <c r="AC8575" s="27">
        <v>9785160219530</v>
      </c>
    </row>
    <row r="8576" spans="1:29" s="4" customFormat="1" ht="51.9" customHeight="1" x14ac:dyDescent="0.2">
      <c r="A8576" s="5">
        <v>0</v>
      </c>
      <c r="B8576" s="6" t="s">
        <v>48208</v>
      </c>
      <c r="C8576" s="7">
        <v>1672.8</v>
      </c>
      <c r="D8576" s="8" t="s">
        <v>48209</v>
      </c>
      <c r="E8576" s="8" t="s">
        <v>48205</v>
      </c>
      <c r="F8576" s="8" t="s">
        <v>48206</v>
      </c>
      <c r="G8576" s="6" t="s">
        <v>60</v>
      </c>
      <c r="H8576" s="6" t="s">
        <v>34</v>
      </c>
      <c r="I8576" s="8" t="s">
        <v>263</v>
      </c>
      <c r="J8576" s="9">
        <v>1</v>
      </c>
      <c r="K8576" s="9">
        <v>254</v>
      </c>
      <c r="L8576" s="9">
        <v>2026</v>
      </c>
      <c r="M8576" s="8" t="s">
        <v>48210</v>
      </c>
      <c r="N8576" s="8" t="s">
        <v>37</v>
      </c>
      <c r="O8576" s="8" t="s">
        <v>233</v>
      </c>
      <c r="P8576" s="6" t="s">
        <v>51</v>
      </c>
      <c r="Q8576" s="8" t="s">
        <v>265</v>
      </c>
      <c r="R8576" s="10" t="s">
        <v>48211</v>
      </c>
      <c r="S8576" s="11" t="s">
        <v>48212</v>
      </c>
      <c r="T8576" s="6"/>
      <c r="U8576" s="15" t="str">
        <f>HYPERLINK("https://media.infra-m.ru/2216/2216934/cover/2216934.jpg", "Обложка")</f>
        <v>Обложка</v>
      </c>
      <c r="V8576" s="8" t="s">
        <v>4976</v>
      </c>
      <c r="W8576" s="6"/>
      <c r="X8576" s="6"/>
      <c r="Y8576" s="6"/>
      <c r="Z8576" s="6" t="s">
        <v>267</v>
      </c>
      <c r="AA8576" s="6" t="s">
        <v>115</v>
      </c>
      <c r="AB8576" s="8"/>
      <c r="AC8576" s="27">
        <v>9785160139326</v>
      </c>
    </row>
    <row r="8577" spans="1:29" s="4" customFormat="1" ht="51.9" customHeight="1" x14ac:dyDescent="0.2">
      <c r="A8577" s="5">
        <v>0</v>
      </c>
      <c r="B8577" s="6" t="s">
        <v>48213</v>
      </c>
      <c r="C8577" s="7">
        <v>1236</v>
      </c>
      <c r="D8577" s="8" t="s">
        <v>48214</v>
      </c>
      <c r="E8577" s="8" t="s">
        <v>48215</v>
      </c>
      <c r="F8577" s="8" t="s">
        <v>48216</v>
      </c>
      <c r="G8577" s="6" t="s">
        <v>118</v>
      </c>
      <c r="H8577" s="6" t="s">
        <v>34</v>
      </c>
      <c r="I8577" s="8" t="s">
        <v>253</v>
      </c>
      <c r="J8577" s="9">
        <v>1</v>
      </c>
      <c r="K8577" s="9">
        <v>188</v>
      </c>
      <c r="L8577" s="9">
        <v>2026</v>
      </c>
      <c r="M8577" s="8" t="s">
        <v>48217</v>
      </c>
      <c r="N8577" s="8" t="s">
        <v>37</v>
      </c>
      <c r="O8577" s="8" t="s">
        <v>233</v>
      </c>
      <c r="P8577" s="6" t="s">
        <v>1481</v>
      </c>
      <c r="Q8577" s="8" t="s">
        <v>52</v>
      </c>
      <c r="R8577" s="10" t="s">
        <v>48218</v>
      </c>
      <c r="S8577" s="11"/>
      <c r="T8577" s="6"/>
      <c r="U8577" s="15" t="str">
        <f>HYPERLINK("https://media.infra-m.ru/2231/2231737/cover/2231737.jpg", "Обложка")</f>
        <v>Обложка</v>
      </c>
      <c r="V8577" s="8" t="s">
        <v>247</v>
      </c>
      <c r="W8577" s="6"/>
      <c r="X8577" s="6"/>
      <c r="Y8577" s="6"/>
      <c r="Z8577" s="6"/>
      <c r="AA8577" s="6" t="s">
        <v>1037</v>
      </c>
      <c r="AB8577" s="8"/>
      <c r="AC8577" s="27">
        <v>9785160216003</v>
      </c>
    </row>
    <row r="8578" spans="1:29" s="4" customFormat="1" ht="51.9" customHeight="1" x14ac:dyDescent="0.2">
      <c r="A8578" s="5">
        <v>0</v>
      </c>
      <c r="B8578" s="6" t="s">
        <v>48219</v>
      </c>
      <c r="C8578" s="7">
        <v>2620.8000000000002</v>
      </c>
      <c r="D8578" s="8" t="s">
        <v>48220</v>
      </c>
      <c r="E8578" s="8" t="s">
        <v>48221</v>
      </c>
      <c r="F8578" s="8" t="s">
        <v>48222</v>
      </c>
      <c r="G8578" s="6" t="s">
        <v>118</v>
      </c>
      <c r="H8578" s="6" t="s">
        <v>34</v>
      </c>
      <c r="I8578" s="8" t="s">
        <v>504</v>
      </c>
      <c r="J8578" s="9">
        <v>1</v>
      </c>
      <c r="K8578" s="9">
        <v>377</v>
      </c>
      <c r="L8578" s="9">
        <v>2027</v>
      </c>
      <c r="M8578" s="8" t="s">
        <v>48223</v>
      </c>
      <c r="N8578" s="8" t="s">
        <v>37</v>
      </c>
      <c r="O8578" s="8" t="s">
        <v>233</v>
      </c>
      <c r="P8578" s="6" t="s">
        <v>51</v>
      </c>
      <c r="Q8578" s="8" t="s">
        <v>500</v>
      </c>
      <c r="R8578" s="10" t="s">
        <v>2113</v>
      </c>
      <c r="S8578" s="11" t="s">
        <v>48224</v>
      </c>
      <c r="T8578" s="6"/>
      <c r="U8578" s="15" t="str">
        <f>HYPERLINK("https://media.infra-m.ru/2271/2271381/cover/2271381.jpg", "Обложка")</f>
        <v>Обложка</v>
      </c>
      <c r="V8578" s="8" t="s">
        <v>22637</v>
      </c>
      <c r="W8578" s="6"/>
      <c r="X8578" s="6"/>
      <c r="Y8578" s="6"/>
      <c r="Z8578" s="6"/>
      <c r="AA8578" s="6" t="s">
        <v>258</v>
      </c>
      <c r="AB8578" s="8"/>
      <c r="AC8578" s="27">
        <v>9785160137001</v>
      </c>
    </row>
    <row r="8579" spans="1:29" s="4" customFormat="1" ht="42" customHeight="1" x14ac:dyDescent="0.2">
      <c r="A8579" s="5">
        <v>0</v>
      </c>
      <c r="B8579" s="6" t="s">
        <v>48225</v>
      </c>
      <c r="C8579" s="13">
        <v>641.9</v>
      </c>
      <c r="D8579" s="8" t="s">
        <v>48226</v>
      </c>
      <c r="E8579" s="8" t="s">
        <v>48227</v>
      </c>
      <c r="F8579" s="8" t="s">
        <v>48228</v>
      </c>
      <c r="G8579" s="6" t="s">
        <v>33</v>
      </c>
      <c r="H8579" s="6" t="s">
        <v>34</v>
      </c>
      <c r="I8579" s="8" t="s">
        <v>35</v>
      </c>
      <c r="J8579" s="9">
        <v>1</v>
      </c>
      <c r="K8579" s="9">
        <v>136</v>
      </c>
      <c r="L8579" s="9">
        <v>2022</v>
      </c>
      <c r="M8579" s="8" t="s">
        <v>48229</v>
      </c>
      <c r="N8579" s="8" t="s">
        <v>37</v>
      </c>
      <c r="O8579" s="8" t="s">
        <v>233</v>
      </c>
      <c r="P8579" s="6" t="s">
        <v>39</v>
      </c>
      <c r="Q8579" s="8" t="s">
        <v>40</v>
      </c>
      <c r="R8579" s="10" t="s">
        <v>48230</v>
      </c>
      <c r="S8579" s="11"/>
      <c r="T8579" s="6"/>
      <c r="U8579" s="15" t="str">
        <f>HYPERLINK("https://media.infra-m.ru/1853/1853537/cover/1853537.jpg", "Обложка")</f>
        <v>Обложка</v>
      </c>
      <c r="V8579" s="8" t="s">
        <v>5143</v>
      </c>
      <c r="W8579" s="6"/>
      <c r="X8579" s="6"/>
      <c r="Y8579" s="6"/>
      <c r="Z8579" s="6"/>
      <c r="AA8579" s="6" t="s">
        <v>274</v>
      </c>
      <c r="AB8579" s="8"/>
      <c r="AC8579" s="27">
        <v>9785160103655</v>
      </c>
    </row>
    <row r="8580" spans="1:29" s="4" customFormat="1" ht="51.9" customHeight="1" x14ac:dyDescent="0.2">
      <c r="A8580" s="5">
        <v>0</v>
      </c>
      <c r="B8580" s="6" t="s">
        <v>48231</v>
      </c>
      <c r="C8580" s="7">
        <v>1877.9</v>
      </c>
      <c r="D8580" s="8" t="s">
        <v>48232</v>
      </c>
      <c r="E8580" s="8" t="s">
        <v>48233</v>
      </c>
      <c r="F8580" s="8" t="s">
        <v>48234</v>
      </c>
      <c r="G8580" s="6" t="s">
        <v>60</v>
      </c>
      <c r="H8580" s="6" t="s">
        <v>241</v>
      </c>
      <c r="I8580" s="8"/>
      <c r="J8580" s="9">
        <v>1</v>
      </c>
      <c r="K8580" s="9">
        <v>348</v>
      </c>
      <c r="L8580" s="9">
        <v>2023</v>
      </c>
      <c r="M8580" s="8" t="s">
        <v>48235</v>
      </c>
      <c r="N8580" s="8" t="s">
        <v>37</v>
      </c>
      <c r="O8580" s="8" t="s">
        <v>233</v>
      </c>
      <c r="P8580" s="6" t="s">
        <v>51</v>
      </c>
      <c r="Q8580" s="8" t="s">
        <v>52</v>
      </c>
      <c r="R8580" s="10" t="s">
        <v>1646</v>
      </c>
      <c r="S8580" s="11" t="s">
        <v>48236</v>
      </c>
      <c r="T8580" s="6"/>
      <c r="U8580" s="15" t="str">
        <f>HYPERLINK("https://media.infra-m.ru/1914/1914552/cover/1914552.jpg", "Обложка")</f>
        <v>Обложка</v>
      </c>
      <c r="V8580" s="8" t="s">
        <v>247</v>
      </c>
      <c r="W8580" s="6"/>
      <c r="X8580" s="6"/>
      <c r="Y8580" s="6"/>
      <c r="Z8580" s="6"/>
      <c r="AA8580" s="6" t="s">
        <v>769</v>
      </c>
      <c r="AB8580" s="8"/>
      <c r="AC8580" s="27">
        <v>9785955802398</v>
      </c>
    </row>
    <row r="8581" spans="1:29" s="4" customFormat="1" ht="42" customHeight="1" x14ac:dyDescent="0.2">
      <c r="A8581" s="5">
        <v>0</v>
      </c>
      <c r="B8581" s="6" t="s">
        <v>48237</v>
      </c>
      <c r="C8581" s="13">
        <v>701.9</v>
      </c>
      <c r="D8581" s="8" t="s">
        <v>48238</v>
      </c>
      <c r="E8581" s="8" t="s">
        <v>48239</v>
      </c>
      <c r="F8581" s="8" t="s">
        <v>48240</v>
      </c>
      <c r="G8581" s="6" t="s">
        <v>33</v>
      </c>
      <c r="H8581" s="6" t="s">
        <v>313</v>
      </c>
      <c r="I8581" s="8"/>
      <c r="J8581" s="9">
        <v>1</v>
      </c>
      <c r="K8581" s="9">
        <v>172</v>
      </c>
      <c r="L8581" s="9">
        <v>2020</v>
      </c>
      <c r="M8581" s="8" t="s">
        <v>48241</v>
      </c>
      <c r="N8581" s="8" t="s">
        <v>37</v>
      </c>
      <c r="O8581" s="8" t="s">
        <v>233</v>
      </c>
      <c r="P8581" s="6" t="s">
        <v>306</v>
      </c>
      <c r="Q8581" s="8" t="s">
        <v>52</v>
      </c>
      <c r="R8581" s="10" t="s">
        <v>3008</v>
      </c>
      <c r="S8581" s="11"/>
      <c r="T8581" s="6"/>
      <c r="U8581" s="15" t="str">
        <f>HYPERLINK("https://media.infra-m.ru/1044/1044580/cover/1044580.jpg", "Обложка")</f>
        <v>Обложка</v>
      </c>
      <c r="V8581" s="8" t="s">
        <v>27395</v>
      </c>
      <c r="W8581" s="6"/>
      <c r="X8581" s="6"/>
      <c r="Y8581" s="6"/>
      <c r="Z8581" s="6"/>
      <c r="AA8581" s="6" t="s">
        <v>86</v>
      </c>
      <c r="AB8581" s="8"/>
      <c r="AC8581" s="27">
        <v>9785369017463</v>
      </c>
    </row>
    <row r="8582" spans="1:29" s="4" customFormat="1" ht="44.1" customHeight="1" x14ac:dyDescent="0.2">
      <c r="A8582" s="5">
        <v>0</v>
      </c>
      <c r="B8582" s="6" t="s">
        <v>48242</v>
      </c>
      <c r="C8582" s="13">
        <v>880.8</v>
      </c>
      <c r="D8582" s="8" t="s">
        <v>48243</v>
      </c>
      <c r="E8582" s="8" t="s">
        <v>48244</v>
      </c>
      <c r="F8582" s="8" t="s">
        <v>48245</v>
      </c>
      <c r="G8582" s="6" t="s">
        <v>60</v>
      </c>
      <c r="H8582" s="6" t="s">
        <v>34</v>
      </c>
      <c r="I8582" s="8" t="s">
        <v>271</v>
      </c>
      <c r="J8582" s="9">
        <v>1</v>
      </c>
      <c r="K8582" s="9">
        <v>161</v>
      </c>
      <c r="L8582" s="9">
        <v>2023</v>
      </c>
      <c r="M8582" s="8" t="s">
        <v>48246</v>
      </c>
      <c r="N8582" s="8" t="s">
        <v>37</v>
      </c>
      <c r="O8582" s="8" t="s">
        <v>233</v>
      </c>
      <c r="P8582" s="6" t="s">
        <v>51</v>
      </c>
      <c r="Q8582" s="8" t="s">
        <v>52</v>
      </c>
      <c r="R8582" s="10" t="s">
        <v>5149</v>
      </c>
      <c r="S8582" s="11"/>
      <c r="T8582" s="6"/>
      <c r="U8582" s="15" t="str">
        <f>HYPERLINK("https://media.infra-m.ru/2006/2006046/cover/2006046.jpg", "Обложка")</f>
        <v>Обложка</v>
      </c>
      <c r="V8582" s="8" t="s">
        <v>247</v>
      </c>
      <c r="W8582" s="6"/>
      <c r="X8582" s="6"/>
      <c r="Y8582" s="6"/>
      <c r="Z8582" s="6"/>
      <c r="AA8582" s="6" t="s">
        <v>86</v>
      </c>
      <c r="AB8582" s="8"/>
      <c r="AC8582" s="27">
        <v>9785160135779</v>
      </c>
    </row>
    <row r="8583" spans="1:29" s="4" customFormat="1" ht="51.9" customHeight="1" x14ac:dyDescent="0.2">
      <c r="A8583" s="5">
        <v>0</v>
      </c>
      <c r="B8583" s="6" t="s">
        <v>48247</v>
      </c>
      <c r="C8583" s="7">
        <v>1924.8</v>
      </c>
      <c r="D8583" s="8" t="s">
        <v>48248</v>
      </c>
      <c r="E8583" s="8" t="s">
        <v>48249</v>
      </c>
      <c r="F8583" s="8" t="s">
        <v>48250</v>
      </c>
      <c r="G8583" s="6" t="s">
        <v>60</v>
      </c>
      <c r="H8583" s="6" t="s">
        <v>34</v>
      </c>
      <c r="I8583" s="8" t="s">
        <v>253</v>
      </c>
      <c r="J8583" s="9">
        <v>1</v>
      </c>
      <c r="K8583" s="9">
        <v>277</v>
      </c>
      <c r="L8583" s="9">
        <v>2027</v>
      </c>
      <c r="M8583" s="8" t="s">
        <v>48251</v>
      </c>
      <c r="N8583" s="8" t="s">
        <v>37</v>
      </c>
      <c r="O8583" s="8" t="s">
        <v>233</v>
      </c>
      <c r="P8583" s="6" t="s">
        <v>306</v>
      </c>
      <c r="Q8583" s="8" t="s">
        <v>52</v>
      </c>
      <c r="R8583" s="10" t="s">
        <v>3008</v>
      </c>
      <c r="S8583" s="11" t="s">
        <v>48252</v>
      </c>
      <c r="T8583" s="6"/>
      <c r="U8583" s="15" t="str">
        <f>HYPERLINK("https://media.infra-m.ru/2269/2269296/cover/2269296.jpg", "Обложка")</f>
        <v>Обложка</v>
      </c>
      <c r="V8583" s="8" t="s">
        <v>6642</v>
      </c>
      <c r="W8583" s="6"/>
      <c r="X8583" s="6"/>
      <c r="Y8583" s="6"/>
      <c r="Z8583" s="6"/>
      <c r="AA8583" s="6" t="s">
        <v>68</v>
      </c>
      <c r="AB8583" s="8"/>
      <c r="AC8583" s="27">
        <v>9785160198804</v>
      </c>
    </row>
    <row r="8584" spans="1:29" s="4" customFormat="1" ht="51.9" customHeight="1" x14ac:dyDescent="0.2">
      <c r="A8584" s="5">
        <v>0</v>
      </c>
      <c r="B8584" s="6" t="s">
        <v>48253</v>
      </c>
      <c r="C8584" s="7">
        <v>1636.8</v>
      </c>
      <c r="D8584" s="8" t="s">
        <v>48254</v>
      </c>
      <c r="E8584" s="8" t="s">
        <v>48255</v>
      </c>
      <c r="F8584" s="8" t="s">
        <v>48256</v>
      </c>
      <c r="G8584" s="6" t="s">
        <v>60</v>
      </c>
      <c r="H8584" s="6" t="s">
        <v>241</v>
      </c>
      <c r="I8584" s="8"/>
      <c r="J8584" s="9">
        <v>1</v>
      </c>
      <c r="K8584" s="9">
        <v>302</v>
      </c>
      <c r="L8584" s="9">
        <v>2023</v>
      </c>
      <c r="M8584" s="8" t="s">
        <v>48257</v>
      </c>
      <c r="N8584" s="8" t="s">
        <v>37</v>
      </c>
      <c r="O8584" s="8" t="s">
        <v>233</v>
      </c>
      <c r="P8584" s="6" t="s">
        <v>51</v>
      </c>
      <c r="Q8584" s="8" t="s">
        <v>52</v>
      </c>
      <c r="R8584" s="10" t="s">
        <v>2061</v>
      </c>
      <c r="S8584" s="11"/>
      <c r="T8584" s="6"/>
      <c r="U8584" s="15" t="str">
        <f>HYPERLINK("https://media.infra-m.ru/2044/2044354/cover/2044354.jpg", "Обложка")</f>
        <v>Обложка</v>
      </c>
      <c r="V8584" s="8" t="s">
        <v>20643</v>
      </c>
      <c r="W8584" s="6"/>
      <c r="X8584" s="6"/>
      <c r="Y8584" s="6"/>
      <c r="Z8584" s="6"/>
      <c r="AA8584" s="6" t="s">
        <v>43</v>
      </c>
      <c r="AB8584" s="8"/>
      <c r="AC8584" s="27">
        <v>9785955802435</v>
      </c>
    </row>
    <row r="8585" spans="1:29" s="4" customFormat="1" ht="51.9" customHeight="1" x14ac:dyDescent="0.2">
      <c r="A8585" s="5">
        <v>0</v>
      </c>
      <c r="B8585" s="6" t="s">
        <v>48258</v>
      </c>
      <c r="C8585" s="7">
        <v>2536.8000000000002</v>
      </c>
      <c r="D8585" s="8" t="s">
        <v>48259</v>
      </c>
      <c r="E8585" s="8" t="s">
        <v>48260</v>
      </c>
      <c r="F8585" s="8" t="s">
        <v>48261</v>
      </c>
      <c r="G8585" s="6" t="s">
        <v>118</v>
      </c>
      <c r="H8585" s="6" t="s">
        <v>34</v>
      </c>
      <c r="I8585" s="8" t="s">
        <v>271</v>
      </c>
      <c r="J8585" s="9">
        <v>1</v>
      </c>
      <c r="K8585" s="9">
        <v>365</v>
      </c>
      <c r="L8585" s="9">
        <v>2027</v>
      </c>
      <c r="M8585" s="8" t="s">
        <v>48262</v>
      </c>
      <c r="N8585" s="8" t="s">
        <v>37</v>
      </c>
      <c r="O8585" s="8" t="s">
        <v>233</v>
      </c>
      <c r="P8585" s="6" t="s">
        <v>51</v>
      </c>
      <c r="Q8585" s="8" t="s">
        <v>52</v>
      </c>
      <c r="R8585" s="10" t="s">
        <v>4087</v>
      </c>
      <c r="S8585" s="11" t="s">
        <v>2019</v>
      </c>
      <c r="T8585" s="6" t="s">
        <v>97</v>
      </c>
      <c r="U8585" s="15" t="str">
        <f>HYPERLINK("https://media.infra-m.ru/2251/2251171/cover/2251171.jpg", "Обложка")</f>
        <v>Обложка</v>
      </c>
      <c r="V8585" s="8" t="s">
        <v>48263</v>
      </c>
      <c r="W8585" s="6"/>
      <c r="X8585" s="6"/>
      <c r="Y8585" s="6"/>
      <c r="Z8585" s="6"/>
      <c r="AA8585" s="6" t="s">
        <v>2240</v>
      </c>
      <c r="AB8585" s="8"/>
      <c r="AC8585" s="27">
        <v>9785160139913</v>
      </c>
    </row>
    <row r="8586" spans="1:29" s="4" customFormat="1" ht="51.9" customHeight="1" x14ac:dyDescent="0.2">
      <c r="A8586" s="5">
        <v>0</v>
      </c>
      <c r="B8586" s="6" t="s">
        <v>48264</v>
      </c>
      <c r="C8586" s="13">
        <v>905.9</v>
      </c>
      <c r="D8586" s="8" t="s">
        <v>48265</v>
      </c>
      <c r="E8586" s="8" t="s">
        <v>48266</v>
      </c>
      <c r="F8586" s="8" t="s">
        <v>48261</v>
      </c>
      <c r="G8586" s="6" t="s">
        <v>60</v>
      </c>
      <c r="H8586" s="6" t="s">
        <v>34</v>
      </c>
      <c r="I8586" s="8" t="s">
        <v>271</v>
      </c>
      <c r="J8586" s="9">
        <v>20</v>
      </c>
      <c r="K8586" s="9">
        <v>345</v>
      </c>
      <c r="L8586" s="9">
        <v>2016</v>
      </c>
      <c r="M8586" s="8" t="s">
        <v>48267</v>
      </c>
      <c r="N8586" s="8" t="s">
        <v>37</v>
      </c>
      <c r="O8586" s="8" t="s">
        <v>233</v>
      </c>
      <c r="P8586" s="6" t="s">
        <v>51</v>
      </c>
      <c r="Q8586" s="8" t="s">
        <v>52</v>
      </c>
      <c r="R8586" s="10" t="s">
        <v>4087</v>
      </c>
      <c r="S8586" s="11" t="s">
        <v>2019</v>
      </c>
      <c r="T8586" s="6"/>
      <c r="U8586" s="15" t="str">
        <f>HYPERLINK("https://media.infra-m.ru/0566/0566280/cover/566280.jpg", "Обложка")</f>
        <v>Обложка</v>
      </c>
      <c r="V8586" s="8" t="s">
        <v>48263</v>
      </c>
      <c r="W8586" s="6"/>
      <c r="X8586" s="6"/>
      <c r="Y8586" s="6"/>
      <c r="Z8586" s="6"/>
      <c r="AA8586" s="6" t="s">
        <v>248</v>
      </c>
      <c r="AB8586" s="8"/>
      <c r="AC8586" s="27">
        <v>9785160065786</v>
      </c>
    </row>
    <row r="8587" spans="1:29" s="4" customFormat="1" ht="51.9" customHeight="1" x14ac:dyDescent="0.2">
      <c r="A8587" s="5">
        <v>0</v>
      </c>
      <c r="B8587" s="6" t="s">
        <v>48268</v>
      </c>
      <c r="C8587" s="7">
        <v>1924.8</v>
      </c>
      <c r="D8587" s="8" t="s">
        <v>48269</v>
      </c>
      <c r="E8587" s="8" t="s">
        <v>48270</v>
      </c>
      <c r="F8587" s="8" t="s">
        <v>48271</v>
      </c>
      <c r="G8587" s="6" t="s">
        <v>60</v>
      </c>
      <c r="H8587" s="6" t="s">
        <v>34</v>
      </c>
      <c r="I8587" s="8" t="s">
        <v>271</v>
      </c>
      <c r="J8587" s="9">
        <v>1</v>
      </c>
      <c r="K8587" s="9">
        <v>308</v>
      </c>
      <c r="L8587" s="9">
        <v>2025</v>
      </c>
      <c r="M8587" s="8" t="s">
        <v>48272</v>
      </c>
      <c r="N8587" s="8" t="s">
        <v>37</v>
      </c>
      <c r="O8587" s="8" t="s">
        <v>233</v>
      </c>
      <c r="P8587" s="6" t="s">
        <v>51</v>
      </c>
      <c r="Q8587" s="8" t="s">
        <v>52</v>
      </c>
      <c r="R8587" s="10" t="s">
        <v>2086</v>
      </c>
      <c r="S8587" s="11" t="s">
        <v>48273</v>
      </c>
      <c r="T8587" s="6"/>
      <c r="U8587" s="15" t="str">
        <f>HYPERLINK("https://media.infra-m.ru/2196/2196068/cover/2196068.jpg", "Обложка")</f>
        <v>Обложка</v>
      </c>
      <c r="V8587" s="8" t="s">
        <v>1030</v>
      </c>
      <c r="W8587" s="6"/>
      <c r="X8587" s="6"/>
      <c r="Y8587" s="6"/>
      <c r="Z8587" s="6"/>
      <c r="AA8587" s="6" t="s">
        <v>2240</v>
      </c>
      <c r="AB8587" s="8"/>
      <c r="AC8587" s="27">
        <v>9785160145518</v>
      </c>
    </row>
    <row r="8588" spans="1:29" s="4" customFormat="1" ht="51.9" customHeight="1" x14ac:dyDescent="0.2">
      <c r="A8588" s="5">
        <v>0</v>
      </c>
      <c r="B8588" s="6" t="s">
        <v>48274</v>
      </c>
      <c r="C8588" s="7">
        <v>1121.9000000000001</v>
      </c>
      <c r="D8588" s="8" t="s">
        <v>48275</v>
      </c>
      <c r="E8588" s="8" t="s">
        <v>48276</v>
      </c>
      <c r="F8588" s="8" t="s">
        <v>48271</v>
      </c>
      <c r="G8588" s="6" t="s">
        <v>60</v>
      </c>
      <c r="H8588" s="6" t="s">
        <v>34</v>
      </c>
      <c r="I8588" s="8" t="s">
        <v>271</v>
      </c>
      <c r="J8588" s="9">
        <v>1</v>
      </c>
      <c r="K8588" s="9">
        <v>298</v>
      </c>
      <c r="L8588" s="9">
        <v>2018</v>
      </c>
      <c r="M8588" s="8" t="s">
        <v>48277</v>
      </c>
      <c r="N8588" s="8" t="s">
        <v>37</v>
      </c>
      <c r="O8588" s="8" t="s">
        <v>233</v>
      </c>
      <c r="P8588" s="6" t="s">
        <v>51</v>
      </c>
      <c r="Q8588" s="8" t="s">
        <v>52</v>
      </c>
      <c r="R8588" s="10" t="s">
        <v>2086</v>
      </c>
      <c r="S8588" s="11" t="s">
        <v>48278</v>
      </c>
      <c r="T8588" s="6"/>
      <c r="U8588" s="15" t="str">
        <f>HYPERLINK("https://media.infra-m.ru/0971/0971373/cover/971373.jpg", "Обложка")</f>
        <v>Обложка</v>
      </c>
      <c r="V8588" s="8" t="s">
        <v>1030</v>
      </c>
      <c r="W8588" s="6"/>
      <c r="X8588" s="6"/>
      <c r="Y8588" s="6"/>
      <c r="Z8588" s="6"/>
      <c r="AA8588" s="6" t="s">
        <v>274</v>
      </c>
      <c r="AB8588" s="8"/>
      <c r="AC8588" s="27">
        <v>9785160100524</v>
      </c>
    </row>
    <row r="8589" spans="1:29" s="4" customFormat="1" ht="42" customHeight="1" x14ac:dyDescent="0.2">
      <c r="A8589" s="5">
        <v>0</v>
      </c>
      <c r="B8589" s="6" t="s">
        <v>48279</v>
      </c>
      <c r="C8589" s="7">
        <v>2916</v>
      </c>
      <c r="D8589" s="8" t="s">
        <v>48280</v>
      </c>
      <c r="E8589" s="8" t="s">
        <v>48281</v>
      </c>
      <c r="F8589" s="8" t="s">
        <v>48282</v>
      </c>
      <c r="G8589" s="6" t="s">
        <v>60</v>
      </c>
      <c r="H8589" s="6" t="s">
        <v>34</v>
      </c>
      <c r="I8589" s="8" t="s">
        <v>48283</v>
      </c>
      <c r="J8589" s="9">
        <v>1</v>
      </c>
      <c r="K8589" s="9">
        <v>418</v>
      </c>
      <c r="L8589" s="9">
        <v>2026</v>
      </c>
      <c r="M8589" s="8" t="s">
        <v>48284</v>
      </c>
      <c r="N8589" s="8" t="s">
        <v>93</v>
      </c>
      <c r="O8589" s="8" t="s">
        <v>7500</v>
      </c>
      <c r="P8589" s="6" t="s">
        <v>48285</v>
      </c>
      <c r="Q8589" s="8" t="s">
        <v>13945</v>
      </c>
      <c r="R8589" s="10" t="s">
        <v>48286</v>
      </c>
      <c r="S8589" s="11"/>
      <c r="T8589" s="6"/>
      <c r="U8589" s="15" t="str">
        <f>HYPERLINK("https://media.infra-m.ru/2258/2258362/cover/2258362.jpg", "Обложка")</f>
        <v>Обложка</v>
      </c>
      <c r="V8589" s="8" t="s">
        <v>414</v>
      </c>
      <c r="W8589" s="6"/>
      <c r="X8589" s="6"/>
      <c r="Y8589" s="6"/>
      <c r="Z8589" s="6"/>
      <c r="AA8589" s="6" t="s">
        <v>430</v>
      </c>
      <c r="AB8589" s="8"/>
      <c r="AC8589" s="27">
        <v>9785160192574</v>
      </c>
    </row>
    <row r="8590" spans="1:29" s="4" customFormat="1" ht="42" customHeight="1" x14ac:dyDescent="0.2">
      <c r="A8590" s="5">
        <v>0</v>
      </c>
      <c r="B8590" s="6" t="s">
        <v>48287</v>
      </c>
      <c r="C8590" s="7">
        <v>1044</v>
      </c>
      <c r="D8590" s="8" t="s">
        <v>48288</v>
      </c>
      <c r="E8590" s="8" t="s">
        <v>48289</v>
      </c>
      <c r="F8590" s="8" t="s">
        <v>48290</v>
      </c>
      <c r="G8590" s="6" t="s">
        <v>33</v>
      </c>
      <c r="H8590" s="6" t="s">
        <v>34</v>
      </c>
      <c r="I8590" s="8" t="s">
        <v>6752</v>
      </c>
      <c r="J8590" s="9">
        <v>1</v>
      </c>
      <c r="K8590" s="9">
        <v>189</v>
      </c>
      <c r="L8590" s="9">
        <v>2024</v>
      </c>
      <c r="M8590" s="8" t="s">
        <v>48291</v>
      </c>
      <c r="N8590" s="8" t="s">
        <v>585</v>
      </c>
      <c r="O8590" s="8" t="s">
        <v>775</v>
      </c>
      <c r="P8590" s="6" t="s">
        <v>39</v>
      </c>
      <c r="Q8590" s="8" t="s">
        <v>40</v>
      </c>
      <c r="R8590" s="10" t="s">
        <v>48292</v>
      </c>
      <c r="S8590" s="11"/>
      <c r="T8590" s="6"/>
      <c r="U8590" s="15" t="str">
        <f>HYPERLINK("https://media.infra-m.ru/2102/2102686/cover/2102686.jpg", "Обложка")</f>
        <v>Обложка</v>
      </c>
      <c r="V8590" s="8" t="s">
        <v>22691</v>
      </c>
      <c r="W8590" s="6"/>
      <c r="X8590" s="6"/>
      <c r="Y8590" s="6"/>
      <c r="Z8590" s="6"/>
      <c r="AA8590" s="6" t="s">
        <v>115</v>
      </c>
      <c r="AB8590" s="8"/>
      <c r="AC8590" s="27">
        <v>9785160156798</v>
      </c>
    </row>
    <row r="8591" spans="1:29" s="4" customFormat="1" ht="51.9" customHeight="1" x14ac:dyDescent="0.2">
      <c r="A8591" s="5">
        <v>0</v>
      </c>
      <c r="B8591" s="6" t="s">
        <v>48293</v>
      </c>
      <c r="C8591" s="13">
        <v>720</v>
      </c>
      <c r="D8591" s="8" t="s">
        <v>48294</v>
      </c>
      <c r="E8591" s="8" t="s">
        <v>48295</v>
      </c>
      <c r="F8591" s="8" t="s">
        <v>48296</v>
      </c>
      <c r="G8591" s="6" t="s">
        <v>33</v>
      </c>
      <c r="H8591" s="6" t="s">
        <v>34</v>
      </c>
      <c r="I8591" s="8" t="s">
        <v>3620</v>
      </c>
      <c r="J8591" s="9">
        <v>1</v>
      </c>
      <c r="K8591" s="9">
        <v>130</v>
      </c>
      <c r="L8591" s="9">
        <v>2024</v>
      </c>
      <c r="M8591" s="8" t="s">
        <v>48297</v>
      </c>
      <c r="N8591" s="8" t="s">
        <v>585</v>
      </c>
      <c r="O8591" s="8" t="s">
        <v>1518</v>
      </c>
      <c r="P8591" s="6" t="s">
        <v>51</v>
      </c>
      <c r="Q8591" s="8" t="s">
        <v>65</v>
      </c>
      <c r="R8591" s="10" t="s">
        <v>48298</v>
      </c>
      <c r="S8591" s="11" t="s">
        <v>48299</v>
      </c>
      <c r="T8591" s="6"/>
      <c r="U8591" s="15" t="str">
        <f>HYPERLINK("https://media.infra-m.ru/2082/2082080/cover/2082080.jpg", "Обложка")</f>
        <v>Обложка</v>
      </c>
      <c r="V8591" s="8" t="s">
        <v>2398</v>
      </c>
      <c r="W8591" s="6"/>
      <c r="X8591" s="6"/>
      <c r="Y8591" s="6"/>
      <c r="Z8591" s="6"/>
      <c r="AA8591" s="6" t="s">
        <v>779</v>
      </c>
      <c r="AB8591" s="8"/>
      <c r="AC8591" s="27">
        <v>9785160118215</v>
      </c>
    </row>
    <row r="8592" spans="1:29" s="4" customFormat="1" ht="42" customHeight="1" x14ac:dyDescent="0.2">
      <c r="A8592" s="5">
        <v>0</v>
      </c>
      <c r="B8592" s="6" t="s">
        <v>48300</v>
      </c>
      <c r="C8592" s="13">
        <v>900</v>
      </c>
      <c r="D8592" s="8" t="s">
        <v>48301</v>
      </c>
      <c r="E8592" s="8" t="s">
        <v>48302</v>
      </c>
      <c r="F8592" s="8" t="s">
        <v>8184</v>
      </c>
      <c r="G8592" s="6" t="s">
        <v>118</v>
      </c>
      <c r="H8592" s="6" t="s">
        <v>134</v>
      </c>
      <c r="I8592" s="8"/>
      <c r="J8592" s="9">
        <v>1</v>
      </c>
      <c r="K8592" s="9">
        <v>128</v>
      </c>
      <c r="L8592" s="9">
        <v>2026</v>
      </c>
      <c r="M8592" s="8" t="s">
        <v>48303</v>
      </c>
      <c r="N8592" s="8" t="s">
        <v>37</v>
      </c>
      <c r="O8592" s="8" t="s">
        <v>136</v>
      </c>
      <c r="P8592" s="6" t="s">
        <v>39</v>
      </c>
      <c r="Q8592" s="8" t="s">
        <v>40</v>
      </c>
      <c r="R8592" s="10" t="s">
        <v>1667</v>
      </c>
      <c r="S8592" s="11"/>
      <c r="T8592" s="6"/>
      <c r="U8592" s="15" t="str">
        <f>HYPERLINK("https://media.infra-m.ru/2216/2216846/cover/2216846.jpg", "Обложка")</f>
        <v>Обложка</v>
      </c>
      <c r="V8592" s="8" t="s">
        <v>644</v>
      </c>
      <c r="W8592" s="6"/>
      <c r="X8592" s="6"/>
      <c r="Y8592" s="6"/>
      <c r="Z8592" s="6"/>
      <c r="AA8592" s="6" t="s">
        <v>99</v>
      </c>
      <c r="AB8592" s="8"/>
      <c r="AC8592" s="27">
        <v>9785917687919</v>
      </c>
    </row>
    <row r="8593" spans="1:29" s="4" customFormat="1" ht="51.9" customHeight="1" x14ac:dyDescent="0.2">
      <c r="A8593" s="5">
        <v>0</v>
      </c>
      <c r="B8593" s="6" t="s">
        <v>48304</v>
      </c>
      <c r="C8593" s="7">
        <v>1008</v>
      </c>
      <c r="D8593" s="8" t="s">
        <v>48305</v>
      </c>
      <c r="E8593" s="8" t="s">
        <v>48306</v>
      </c>
      <c r="F8593" s="8" t="s">
        <v>48307</v>
      </c>
      <c r="G8593" s="6" t="s">
        <v>33</v>
      </c>
      <c r="H8593" s="6" t="s">
        <v>34</v>
      </c>
      <c r="I8593" s="8" t="s">
        <v>253</v>
      </c>
      <c r="J8593" s="9">
        <v>1</v>
      </c>
      <c r="K8593" s="9">
        <v>132</v>
      </c>
      <c r="L8593" s="9">
        <v>2026</v>
      </c>
      <c r="M8593" s="8" t="s">
        <v>48308</v>
      </c>
      <c r="N8593" s="8" t="s">
        <v>37</v>
      </c>
      <c r="O8593" s="8" t="s">
        <v>233</v>
      </c>
      <c r="P8593" s="6" t="s">
        <v>51</v>
      </c>
      <c r="Q8593" s="8" t="s">
        <v>65</v>
      </c>
      <c r="R8593" s="10" t="s">
        <v>5149</v>
      </c>
      <c r="S8593" s="11" t="s">
        <v>48309</v>
      </c>
      <c r="T8593" s="6" t="s">
        <v>97</v>
      </c>
      <c r="U8593" s="15" t="str">
        <f>HYPERLINK("https://media.infra-m.ru/2222/2222980/cover/2222980.jpg", "Обложка")</f>
        <v>Обложка</v>
      </c>
      <c r="V8593" s="8" t="s">
        <v>247</v>
      </c>
      <c r="W8593" s="6"/>
      <c r="X8593" s="6"/>
      <c r="Y8593" s="6"/>
      <c r="Z8593" s="6"/>
      <c r="AA8593" s="6" t="s">
        <v>258</v>
      </c>
      <c r="AB8593" s="8"/>
      <c r="AC8593" s="27">
        <v>9785160207308</v>
      </c>
    </row>
    <row r="8594" spans="1:29" s="4" customFormat="1" ht="44.1" customHeight="1" x14ac:dyDescent="0.2">
      <c r="A8594" s="5">
        <v>0</v>
      </c>
      <c r="B8594" s="6" t="s">
        <v>48310</v>
      </c>
      <c r="C8594" s="7">
        <v>1288.8</v>
      </c>
      <c r="D8594" s="8" t="s">
        <v>48311</v>
      </c>
      <c r="E8594" s="8" t="s">
        <v>48312</v>
      </c>
      <c r="F8594" s="8" t="s">
        <v>47582</v>
      </c>
      <c r="G8594" s="6" t="s">
        <v>33</v>
      </c>
      <c r="H8594" s="6" t="s">
        <v>313</v>
      </c>
      <c r="I8594" s="8" t="s">
        <v>35</v>
      </c>
      <c r="J8594" s="9">
        <v>1</v>
      </c>
      <c r="K8594" s="9">
        <v>200</v>
      </c>
      <c r="L8594" s="9">
        <v>2026</v>
      </c>
      <c r="M8594" s="8" t="s">
        <v>48313</v>
      </c>
      <c r="N8594" s="8" t="s">
        <v>37</v>
      </c>
      <c r="O8594" s="8" t="s">
        <v>233</v>
      </c>
      <c r="P8594" s="6" t="s">
        <v>39</v>
      </c>
      <c r="Q8594" s="8" t="s">
        <v>40</v>
      </c>
      <c r="R8594" s="10" t="s">
        <v>48314</v>
      </c>
      <c r="S8594" s="11"/>
      <c r="T8594" s="6"/>
      <c r="U8594" s="15" t="str">
        <f>HYPERLINK("https://media.infra-m.ru/2212/2212447/cover/2212447.jpg", "Обложка")</f>
        <v>Обложка</v>
      </c>
      <c r="V8594" s="8" t="s">
        <v>4038</v>
      </c>
      <c r="W8594" s="6"/>
      <c r="X8594" s="6"/>
      <c r="Y8594" s="6"/>
      <c r="Z8594" s="6"/>
      <c r="AA8594" s="6" t="s">
        <v>157</v>
      </c>
      <c r="AB8594" s="8"/>
      <c r="AC8594" s="27">
        <v>9785369019177</v>
      </c>
    </row>
    <row r="8595" spans="1:29" s="4" customFormat="1" ht="42" customHeight="1" x14ac:dyDescent="0.2">
      <c r="A8595" s="5">
        <v>0</v>
      </c>
      <c r="B8595" s="6" t="s">
        <v>48315</v>
      </c>
      <c r="C8595" s="7">
        <v>1092</v>
      </c>
      <c r="D8595" s="8" t="s">
        <v>48316</v>
      </c>
      <c r="E8595" s="8" t="s">
        <v>48317</v>
      </c>
      <c r="F8595" s="8" t="s">
        <v>8458</v>
      </c>
      <c r="G8595" s="6" t="s">
        <v>33</v>
      </c>
      <c r="H8595" s="6" t="s">
        <v>34</v>
      </c>
      <c r="I8595" s="8" t="s">
        <v>457</v>
      </c>
      <c r="J8595" s="9">
        <v>1</v>
      </c>
      <c r="K8595" s="9">
        <v>170</v>
      </c>
      <c r="L8595" s="9">
        <v>2022</v>
      </c>
      <c r="M8595" s="8" t="s">
        <v>48318</v>
      </c>
      <c r="N8595" s="8" t="s">
        <v>37</v>
      </c>
      <c r="O8595" s="8" t="s">
        <v>233</v>
      </c>
      <c r="P8595" s="6" t="s">
        <v>39</v>
      </c>
      <c r="Q8595" s="8" t="s">
        <v>40</v>
      </c>
      <c r="R8595" s="10" t="s">
        <v>5320</v>
      </c>
      <c r="S8595" s="11"/>
      <c r="T8595" s="6"/>
      <c r="U8595" s="15" t="str">
        <f>HYPERLINK("https://media.infra-m.ru/1860/1860141/cover/1860141.jpg", "Обложка")</f>
        <v>Обложка</v>
      </c>
      <c r="V8595" s="8" t="s">
        <v>247</v>
      </c>
      <c r="W8595" s="6"/>
      <c r="X8595" s="6"/>
      <c r="Y8595" s="6"/>
      <c r="Z8595" s="6"/>
      <c r="AA8595" s="6" t="s">
        <v>148</v>
      </c>
      <c r="AB8595" s="8"/>
      <c r="AC8595" s="27">
        <v>9785160175331</v>
      </c>
    </row>
    <row r="8596" spans="1:29" s="4" customFormat="1" ht="51.9" customHeight="1" x14ac:dyDescent="0.2">
      <c r="A8596" s="5">
        <v>0</v>
      </c>
      <c r="B8596" s="6" t="s">
        <v>48319</v>
      </c>
      <c r="C8596" s="7">
        <v>2220</v>
      </c>
      <c r="D8596" s="8" t="s">
        <v>48320</v>
      </c>
      <c r="E8596" s="8" t="s">
        <v>48321</v>
      </c>
      <c r="F8596" s="8" t="s">
        <v>48322</v>
      </c>
      <c r="G8596" s="6" t="s">
        <v>60</v>
      </c>
      <c r="H8596" s="6" t="s">
        <v>34</v>
      </c>
      <c r="I8596" s="8" t="s">
        <v>375</v>
      </c>
      <c r="J8596" s="9">
        <v>1</v>
      </c>
      <c r="K8596" s="9">
        <v>333</v>
      </c>
      <c r="L8596" s="9">
        <v>2026</v>
      </c>
      <c r="M8596" s="8" t="s">
        <v>48323</v>
      </c>
      <c r="N8596" s="8" t="s">
        <v>243</v>
      </c>
      <c r="O8596" s="8" t="s">
        <v>385</v>
      </c>
      <c r="P8596" s="6" t="s">
        <v>51</v>
      </c>
      <c r="Q8596" s="8" t="s">
        <v>65</v>
      </c>
      <c r="R8596" s="10" t="s">
        <v>48324</v>
      </c>
      <c r="S8596" s="11"/>
      <c r="T8596" s="6"/>
      <c r="U8596" s="15" t="str">
        <f>HYPERLINK("https://media.infra-m.ru/2210/2210368/cover/2210368.jpg", "Обложка")</f>
        <v>Обложка</v>
      </c>
      <c r="V8596" s="8" t="s">
        <v>379</v>
      </c>
      <c r="W8596" s="6" t="s">
        <v>342</v>
      </c>
      <c r="X8596" s="6"/>
      <c r="Y8596" s="6"/>
      <c r="Z8596" s="6"/>
      <c r="AA8596" s="6" t="s">
        <v>187</v>
      </c>
      <c r="AB8596" s="8"/>
      <c r="AC8596" s="27">
        <v>9785160210049</v>
      </c>
    </row>
    <row r="8597" spans="1:29" s="4" customFormat="1" ht="51.9" customHeight="1" x14ac:dyDescent="0.2">
      <c r="A8597" s="5">
        <v>0</v>
      </c>
      <c r="B8597" s="6" t="s">
        <v>48325</v>
      </c>
      <c r="C8597" s="7">
        <v>3000</v>
      </c>
      <c r="D8597" s="8" t="s">
        <v>48326</v>
      </c>
      <c r="E8597" s="8" t="s">
        <v>48327</v>
      </c>
      <c r="F8597" s="8" t="s">
        <v>48328</v>
      </c>
      <c r="G8597" s="6" t="s">
        <v>60</v>
      </c>
      <c r="H8597" s="6" t="s">
        <v>34</v>
      </c>
      <c r="I8597" s="8" t="s">
        <v>253</v>
      </c>
      <c r="J8597" s="9">
        <v>1</v>
      </c>
      <c r="K8597" s="9">
        <v>454</v>
      </c>
      <c r="L8597" s="9">
        <v>2026</v>
      </c>
      <c r="M8597" s="8" t="s">
        <v>48329</v>
      </c>
      <c r="N8597" s="8" t="s">
        <v>243</v>
      </c>
      <c r="O8597" s="8" t="s">
        <v>385</v>
      </c>
      <c r="P8597" s="6" t="s">
        <v>306</v>
      </c>
      <c r="Q8597" s="8" t="s">
        <v>377</v>
      </c>
      <c r="R8597" s="10" t="s">
        <v>27229</v>
      </c>
      <c r="S8597" s="11" t="s">
        <v>48330</v>
      </c>
      <c r="T8597" s="6"/>
      <c r="U8597" s="15" t="str">
        <f>HYPERLINK("https://media.infra-m.ru/2242/2242370/cover/2242370.jpg", "Обложка")</f>
        <v>Обложка</v>
      </c>
      <c r="V8597" s="8" t="s">
        <v>48331</v>
      </c>
      <c r="W8597" s="6"/>
      <c r="X8597" s="6"/>
      <c r="Y8597" s="6"/>
      <c r="Z8597" s="6"/>
      <c r="AA8597" s="6" t="s">
        <v>274</v>
      </c>
      <c r="AB8597" s="8"/>
      <c r="AC8597" s="27">
        <v>9785160091358</v>
      </c>
    </row>
    <row r="8598" spans="1:29" s="4" customFormat="1" ht="51.9" customHeight="1" x14ac:dyDescent="0.2">
      <c r="A8598" s="5">
        <v>0</v>
      </c>
      <c r="B8598" s="6" t="s">
        <v>48332</v>
      </c>
      <c r="C8598" s="7">
        <v>3880.8</v>
      </c>
      <c r="D8598" s="8" t="s">
        <v>48333</v>
      </c>
      <c r="E8598" s="8" t="s">
        <v>48334</v>
      </c>
      <c r="F8598" s="8" t="s">
        <v>48328</v>
      </c>
      <c r="G8598" s="6" t="s">
        <v>60</v>
      </c>
      <c r="H8598" s="6" t="s">
        <v>34</v>
      </c>
      <c r="I8598" s="8" t="s">
        <v>5350</v>
      </c>
      <c r="J8598" s="9">
        <v>1</v>
      </c>
      <c r="K8598" s="9">
        <v>639</v>
      </c>
      <c r="L8598" s="9">
        <v>2026</v>
      </c>
      <c r="M8598" s="8" t="s">
        <v>48335</v>
      </c>
      <c r="N8598" s="8" t="s">
        <v>243</v>
      </c>
      <c r="O8598" s="8" t="s">
        <v>385</v>
      </c>
      <c r="P8598" s="6" t="s">
        <v>306</v>
      </c>
      <c r="Q8598" s="8" t="s">
        <v>377</v>
      </c>
      <c r="R8598" s="10" t="s">
        <v>43574</v>
      </c>
      <c r="S8598" s="11" t="s">
        <v>48336</v>
      </c>
      <c r="T8598" s="6"/>
      <c r="U8598" s="15" t="str">
        <f>HYPERLINK("https://media.infra-m.ru/2238/2238520/cover/2238520.jpg", "Обложка")</f>
        <v>Обложка</v>
      </c>
      <c r="V8598" s="8" t="s">
        <v>48331</v>
      </c>
      <c r="W8598" s="6"/>
      <c r="X8598" s="6"/>
      <c r="Y8598" s="6"/>
      <c r="Z8598" s="6"/>
      <c r="AA8598" s="6" t="s">
        <v>99</v>
      </c>
      <c r="AB8598" s="8"/>
      <c r="AC8598" s="27">
        <v>9785160118536</v>
      </c>
    </row>
    <row r="8599" spans="1:29" s="4" customFormat="1" ht="51.9" customHeight="1" x14ac:dyDescent="0.2">
      <c r="A8599" s="5">
        <v>0</v>
      </c>
      <c r="B8599" s="6" t="s">
        <v>48337</v>
      </c>
      <c r="C8599" s="7">
        <v>4008</v>
      </c>
      <c r="D8599" s="8" t="s">
        <v>48338</v>
      </c>
      <c r="E8599" s="8" t="s">
        <v>48339</v>
      </c>
      <c r="F8599" s="8" t="s">
        <v>48340</v>
      </c>
      <c r="G8599" s="6" t="s">
        <v>60</v>
      </c>
      <c r="H8599" s="6" t="s">
        <v>34</v>
      </c>
      <c r="I8599" s="8"/>
      <c r="J8599" s="9">
        <v>1</v>
      </c>
      <c r="K8599" s="9">
        <v>287</v>
      </c>
      <c r="L8599" s="9">
        <v>2023</v>
      </c>
      <c r="M8599" s="8" t="s">
        <v>48341</v>
      </c>
      <c r="N8599" s="8" t="s">
        <v>37</v>
      </c>
      <c r="O8599" s="8" t="s">
        <v>136</v>
      </c>
      <c r="P8599" s="6" t="s">
        <v>39</v>
      </c>
      <c r="Q8599" s="8" t="s">
        <v>40</v>
      </c>
      <c r="R8599" s="10" t="s">
        <v>48342</v>
      </c>
      <c r="S8599" s="11"/>
      <c r="T8599" s="6"/>
      <c r="U8599" s="15" t="str">
        <f>HYPERLINK("https://media.infra-m.ru/2192/2192335/cover/2192335.jpg", "Обложка")</f>
        <v>Обложка</v>
      </c>
      <c r="V8599" s="8" t="s">
        <v>198</v>
      </c>
      <c r="W8599" s="6"/>
      <c r="X8599" s="6"/>
      <c r="Y8599" s="6"/>
      <c r="Z8599" s="6"/>
      <c r="AA8599" s="6" t="s">
        <v>157</v>
      </c>
      <c r="AB8599" s="8"/>
      <c r="AC8599" s="27">
        <v>9785160187983</v>
      </c>
    </row>
    <row r="8600" spans="1:29" s="4" customFormat="1" ht="42" customHeight="1" x14ac:dyDescent="0.2">
      <c r="A8600" s="5">
        <v>0</v>
      </c>
      <c r="B8600" s="6" t="s">
        <v>48343</v>
      </c>
      <c r="C8600" s="13">
        <v>239.9</v>
      </c>
      <c r="D8600" s="8" t="s">
        <v>48344</v>
      </c>
      <c r="E8600" s="8" t="s">
        <v>48345</v>
      </c>
      <c r="F8600" s="8" t="s">
        <v>48346</v>
      </c>
      <c r="G8600" s="6" t="s">
        <v>21</v>
      </c>
      <c r="H8600" s="6" t="s">
        <v>34</v>
      </c>
      <c r="I8600" s="8" t="s">
        <v>35</v>
      </c>
      <c r="J8600" s="9">
        <v>30</v>
      </c>
      <c r="K8600" s="9">
        <v>204</v>
      </c>
      <c r="L8600" s="9">
        <v>2013</v>
      </c>
      <c r="M8600" s="8" t="s">
        <v>48347</v>
      </c>
      <c r="N8600" s="8" t="s">
        <v>37</v>
      </c>
      <c r="O8600" s="8" t="s">
        <v>83</v>
      </c>
      <c r="P8600" s="6" t="s">
        <v>39</v>
      </c>
      <c r="Q8600" s="8" t="s">
        <v>40</v>
      </c>
      <c r="R8600" s="10" t="s">
        <v>25036</v>
      </c>
      <c r="S8600" s="11"/>
      <c r="T8600" s="6"/>
      <c r="U8600" s="15" t="str">
        <f>HYPERLINK("https://media.infra-m.ru/0407/0407062/cover/407062.jpg", "Обложка")</f>
        <v>Обложка</v>
      </c>
      <c r="V8600" s="8" t="s">
        <v>227</v>
      </c>
      <c r="W8600" s="6"/>
      <c r="X8600" s="6"/>
      <c r="Y8600" s="6"/>
      <c r="Z8600" s="6"/>
      <c r="AA8600" s="6" t="s">
        <v>55</v>
      </c>
      <c r="AB8600" s="8"/>
      <c r="AC8600" s="27">
        <v>9785160067865</v>
      </c>
    </row>
    <row r="8601" spans="1:29" s="4" customFormat="1" ht="42" customHeight="1" x14ac:dyDescent="0.2">
      <c r="A8601" s="5">
        <v>0</v>
      </c>
      <c r="B8601" s="6" t="s">
        <v>48348</v>
      </c>
      <c r="C8601" s="7">
        <v>1104</v>
      </c>
      <c r="D8601" s="8" t="s">
        <v>48349</v>
      </c>
      <c r="E8601" s="8" t="s">
        <v>48350</v>
      </c>
      <c r="F8601" s="8" t="s">
        <v>48351</v>
      </c>
      <c r="G8601" s="6" t="s">
        <v>33</v>
      </c>
      <c r="H8601" s="6" t="s">
        <v>34</v>
      </c>
      <c r="I8601" s="8" t="s">
        <v>35</v>
      </c>
      <c r="J8601" s="9">
        <v>1</v>
      </c>
      <c r="K8601" s="9">
        <v>165</v>
      </c>
      <c r="L8601" s="9">
        <v>2025</v>
      </c>
      <c r="M8601" s="8" t="s">
        <v>48352</v>
      </c>
      <c r="N8601" s="8" t="s">
        <v>37</v>
      </c>
      <c r="O8601" s="8" t="s">
        <v>290</v>
      </c>
      <c r="P8601" s="6" t="s">
        <v>39</v>
      </c>
      <c r="Q8601" s="8" t="s">
        <v>40</v>
      </c>
      <c r="R8601" s="10" t="s">
        <v>1563</v>
      </c>
      <c r="S8601" s="11"/>
      <c r="T8601" s="6"/>
      <c r="U8601" s="15" t="str">
        <f>HYPERLINK("https://media.infra-m.ru/2202/2202380/cover/2202380.jpg", "Обложка")</f>
        <v>Обложка</v>
      </c>
      <c r="V8601" s="8" t="s">
        <v>4923</v>
      </c>
      <c r="W8601" s="6"/>
      <c r="X8601" s="6"/>
      <c r="Y8601" s="6"/>
      <c r="Z8601" s="6"/>
      <c r="AA8601" s="6" t="s">
        <v>68</v>
      </c>
      <c r="AB8601" s="8"/>
      <c r="AC8601" s="27">
        <v>9785160208886</v>
      </c>
    </row>
    <row r="8602" spans="1:29" s="4" customFormat="1" ht="51.9" customHeight="1" x14ac:dyDescent="0.2">
      <c r="A8602" s="5">
        <v>0</v>
      </c>
      <c r="B8602" s="6" t="s">
        <v>48353</v>
      </c>
      <c r="C8602" s="7">
        <v>1672.8</v>
      </c>
      <c r="D8602" s="8" t="s">
        <v>48354</v>
      </c>
      <c r="E8602" s="8" t="s">
        <v>48355</v>
      </c>
      <c r="F8602" s="8" t="s">
        <v>19910</v>
      </c>
      <c r="G8602" s="6" t="s">
        <v>60</v>
      </c>
      <c r="H8602" s="6" t="s">
        <v>134</v>
      </c>
      <c r="I8602" s="8"/>
      <c r="J8602" s="9">
        <v>1</v>
      </c>
      <c r="K8602" s="9">
        <v>240</v>
      </c>
      <c r="L8602" s="9">
        <v>2026</v>
      </c>
      <c r="M8602" s="8" t="s">
        <v>48356</v>
      </c>
      <c r="N8602" s="8" t="s">
        <v>37</v>
      </c>
      <c r="O8602" s="8" t="s">
        <v>136</v>
      </c>
      <c r="P8602" s="6" t="s">
        <v>39</v>
      </c>
      <c r="Q8602" s="8" t="s">
        <v>40</v>
      </c>
      <c r="R8602" s="10" t="s">
        <v>48357</v>
      </c>
      <c r="S8602" s="11"/>
      <c r="T8602" s="6"/>
      <c r="U8602" s="15" t="str">
        <f>HYPERLINK("https://media.infra-m.ru/2244/2244685/cover/2244685.jpg", "Обложка")</f>
        <v>Обложка</v>
      </c>
      <c r="V8602" s="8" t="s">
        <v>138</v>
      </c>
      <c r="W8602" s="6"/>
      <c r="X8602" s="6"/>
      <c r="Y8602" s="6"/>
      <c r="Z8602" s="6"/>
      <c r="AA8602" s="6" t="s">
        <v>76</v>
      </c>
      <c r="AB8602" s="8"/>
      <c r="AC8602" s="27">
        <v>9785001563709</v>
      </c>
    </row>
    <row r="8603" spans="1:29" s="4" customFormat="1" ht="51.9" customHeight="1" x14ac:dyDescent="0.2">
      <c r="A8603" s="5">
        <v>0</v>
      </c>
      <c r="B8603" s="6" t="s">
        <v>48358</v>
      </c>
      <c r="C8603" s="7">
        <v>1524</v>
      </c>
      <c r="D8603" s="8" t="s">
        <v>48359</v>
      </c>
      <c r="E8603" s="8" t="s">
        <v>48360</v>
      </c>
      <c r="F8603" s="8" t="s">
        <v>31461</v>
      </c>
      <c r="G8603" s="6" t="s">
        <v>33</v>
      </c>
      <c r="H8603" s="6" t="s">
        <v>34</v>
      </c>
      <c r="I8603" s="8" t="s">
        <v>35</v>
      </c>
      <c r="J8603" s="9">
        <v>1</v>
      </c>
      <c r="K8603" s="9">
        <v>276</v>
      </c>
      <c r="L8603" s="9">
        <v>2024</v>
      </c>
      <c r="M8603" s="8" t="s">
        <v>48361</v>
      </c>
      <c r="N8603" s="8" t="s">
        <v>37</v>
      </c>
      <c r="O8603" s="8" t="s">
        <v>83</v>
      </c>
      <c r="P8603" s="6" t="s">
        <v>39</v>
      </c>
      <c r="Q8603" s="8" t="s">
        <v>40</v>
      </c>
      <c r="R8603" s="10" t="s">
        <v>48362</v>
      </c>
      <c r="S8603" s="11"/>
      <c r="T8603" s="6"/>
      <c r="U8603" s="15" t="str">
        <f>HYPERLINK("https://media.infra-m.ru/2117/2117064/cover/2117064.jpg", "Обложка")</f>
        <v>Обложка</v>
      </c>
      <c r="V8603" s="8" t="s">
        <v>227</v>
      </c>
      <c r="W8603" s="6"/>
      <c r="X8603" s="6"/>
      <c r="Y8603" s="6"/>
      <c r="Z8603" s="6"/>
      <c r="AA8603" s="6" t="s">
        <v>1256</v>
      </c>
      <c r="AB8603" s="8"/>
      <c r="AC8603" s="27">
        <v>9785160145600</v>
      </c>
    </row>
    <row r="8604" spans="1:29" s="4" customFormat="1" ht="42" customHeight="1" x14ac:dyDescent="0.2">
      <c r="A8604" s="5">
        <v>0</v>
      </c>
      <c r="B8604" s="6" t="s">
        <v>48363</v>
      </c>
      <c r="C8604" s="7">
        <v>1720.8</v>
      </c>
      <c r="D8604" s="8" t="s">
        <v>48364</v>
      </c>
      <c r="E8604" s="8" t="s">
        <v>48365</v>
      </c>
      <c r="F8604" s="8" t="s">
        <v>48366</v>
      </c>
      <c r="G8604" s="6" t="s">
        <v>33</v>
      </c>
      <c r="H8604" s="6" t="s">
        <v>313</v>
      </c>
      <c r="I8604" s="8"/>
      <c r="J8604" s="9">
        <v>1</v>
      </c>
      <c r="K8604" s="9">
        <v>276</v>
      </c>
      <c r="L8604" s="9">
        <v>2025</v>
      </c>
      <c r="M8604" s="8" t="s">
        <v>48367</v>
      </c>
      <c r="N8604" s="8" t="s">
        <v>37</v>
      </c>
      <c r="O8604" s="8" t="s">
        <v>233</v>
      </c>
      <c r="P8604" s="6" t="s">
        <v>39</v>
      </c>
      <c r="Q8604" s="8" t="s">
        <v>40</v>
      </c>
      <c r="R8604" s="10" t="s">
        <v>3832</v>
      </c>
      <c r="S8604" s="11"/>
      <c r="T8604" s="6"/>
      <c r="U8604" s="15" t="str">
        <f>HYPERLINK("https://media.infra-m.ru/2208/2208449/cover/2208449.jpg", "Обложка")</f>
        <v>Обложка</v>
      </c>
      <c r="V8604" s="8" t="s">
        <v>631</v>
      </c>
      <c r="W8604" s="6"/>
      <c r="X8604" s="6"/>
      <c r="Y8604" s="6"/>
      <c r="Z8604" s="6"/>
      <c r="AA8604" s="6" t="s">
        <v>115</v>
      </c>
      <c r="AB8604" s="8"/>
      <c r="AC8604" s="27">
        <v>9785369018088</v>
      </c>
    </row>
    <row r="8605" spans="1:29" s="4" customFormat="1" ht="51.9" customHeight="1" x14ac:dyDescent="0.2">
      <c r="A8605" s="5">
        <v>0</v>
      </c>
      <c r="B8605" s="6" t="s">
        <v>48368</v>
      </c>
      <c r="C8605" s="13">
        <v>312</v>
      </c>
      <c r="D8605" s="8" t="s">
        <v>48369</v>
      </c>
      <c r="E8605" s="8" t="s">
        <v>48370</v>
      </c>
      <c r="F8605" s="8" t="s">
        <v>6770</v>
      </c>
      <c r="G8605" s="6" t="s">
        <v>33</v>
      </c>
      <c r="H8605" s="6" t="s">
        <v>34</v>
      </c>
      <c r="I8605" s="8"/>
      <c r="J8605" s="9">
        <v>1</v>
      </c>
      <c r="K8605" s="9">
        <v>97</v>
      </c>
      <c r="L8605" s="9">
        <v>2026</v>
      </c>
      <c r="M8605" s="8" t="s">
        <v>48371</v>
      </c>
      <c r="N8605" s="8" t="s">
        <v>37</v>
      </c>
      <c r="O8605" s="8" t="s">
        <v>136</v>
      </c>
      <c r="P8605" s="6" t="s">
        <v>14955</v>
      </c>
      <c r="Q8605" s="8" t="s">
        <v>40</v>
      </c>
      <c r="R8605" s="10" t="s">
        <v>1068</v>
      </c>
      <c r="S8605" s="11"/>
      <c r="T8605" s="6"/>
      <c r="U8605" s="15" t="str">
        <f>HYPERLINK("https://media.infra-m.ru/2133/2133825/cover/2133825.jpg", "Обложка")</f>
        <v>Обложка</v>
      </c>
      <c r="V8605" s="8"/>
      <c r="W8605" s="6" t="s">
        <v>9380</v>
      </c>
      <c r="X8605" s="6"/>
      <c r="Y8605" s="6"/>
      <c r="Z8605" s="6"/>
      <c r="AA8605" s="6" t="s">
        <v>187</v>
      </c>
      <c r="AB8605" s="8"/>
      <c r="AC8605" s="27">
        <v>9785160196893</v>
      </c>
    </row>
    <row r="8606" spans="1:29" s="4" customFormat="1" ht="51.9" customHeight="1" x14ac:dyDescent="0.2">
      <c r="A8606" s="5">
        <v>0</v>
      </c>
      <c r="B8606" s="6" t="s">
        <v>48372</v>
      </c>
      <c r="C8606" s="7">
        <v>1744.8</v>
      </c>
      <c r="D8606" s="8" t="s">
        <v>48373</v>
      </c>
      <c r="E8606" s="8" t="s">
        <v>48374</v>
      </c>
      <c r="F8606" s="8" t="s">
        <v>48375</v>
      </c>
      <c r="G8606" s="6" t="s">
        <v>33</v>
      </c>
      <c r="H8606" s="6" t="s">
        <v>241</v>
      </c>
      <c r="I8606" s="8" t="s">
        <v>3496</v>
      </c>
      <c r="J8606" s="9">
        <v>1</v>
      </c>
      <c r="K8606" s="9">
        <v>264</v>
      </c>
      <c r="L8606" s="9">
        <v>2027</v>
      </c>
      <c r="M8606" s="8" t="s">
        <v>48376</v>
      </c>
      <c r="N8606" s="8" t="s">
        <v>585</v>
      </c>
      <c r="O8606" s="8" t="s">
        <v>667</v>
      </c>
      <c r="P8606" s="6" t="s">
        <v>39</v>
      </c>
      <c r="Q8606" s="8" t="s">
        <v>40</v>
      </c>
      <c r="R8606" s="10" t="s">
        <v>48377</v>
      </c>
      <c r="S8606" s="11"/>
      <c r="T8606" s="6"/>
      <c r="U8606" s="15" t="str">
        <f>HYPERLINK("https://media.infra-m.ru/2257/2257766/cover/2257766.jpg", "Обложка")</f>
        <v>Обложка</v>
      </c>
      <c r="V8606" s="8" t="s">
        <v>7175</v>
      </c>
      <c r="W8606" s="6"/>
      <c r="X8606" s="6"/>
      <c r="Y8606" s="6"/>
      <c r="Z8606" s="6"/>
      <c r="AA8606" s="6" t="s">
        <v>248</v>
      </c>
      <c r="AB8606" s="8"/>
      <c r="AC8606" s="27">
        <v>9785955803241</v>
      </c>
    </row>
    <row r="8607" spans="1:29" s="4" customFormat="1" ht="51.9" customHeight="1" x14ac:dyDescent="0.2">
      <c r="A8607" s="5">
        <v>0</v>
      </c>
      <c r="B8607" s="6" t="s">
        <v>48378</v>
      </c>
      <c r="C8607" s="7">
        <v>3556.8</v>
      </c>
      <c r="D8607" s="8" t="s">
        <v>48379</v>
      </c>
      <c r="E8607" s="8" t="s">
        <v>48380</v>
      </c>
      <c r="F8607" s="8" t="s">
        <v>48381</v>
      </c>
      <c r="G8607" s="6" t="s">
        <v>60</v>
      </c>
      <c r="H8607" s="6" t="s">
        <v>48</v>
      </c>
      <c r="I8607" s="8" t="s">
        <v>401</v>
      </c>
      <c r="J8607" s="9">
        <v>1</v>
      </c>
      <c r="K8607" s="9">
        <v>512</v>
      </c>
      <c r="L8607" s="9">
        <v>2027</v>
      </c>
      <c r="M8607" s="8" t="s">
        <v>48382</v>
      </c>
      <c r="N8607" s="8" t="s">
        <v>585</v>
      </c>
      <c r="O8607" s="8" t="s">
        <v>667</v>
      </c>
      <c r="P8607" s="6" t="s">
        <v>51</v>
      </c>
      <c r="Q8607" s="8" t="s">
        <v>265</v>
      </c>
      <c r="R8607" s="10" t="s">
        <v>7173</v>
      </c>
      <c r="S8607" s="11" t="s">
        <v>4561</v>
      </c>
      <c r="T8607" s="6"/>
      <c r="U8607" s="15" t="str">
        <f>HYPERLINK("https://media.infra-m.ru/2263/2263165/cover/2263165.jpg", "Обложка")</f>
        <v>Обложка</v>
      </c>
      <c r="V8607" s="8" t="s">
        <v>9227</v>
      </c>
      <c r="W8607" s="6"/>
      <c r="X8607" s="6"/>
      <c r="Y8607" s="6"/>
      <c r="Z8607" s="6"/>
      <c r="AA8607" s="6" t="s">
        <v>718</v>
      </c>
      <c r="AB8607" s="8"/>
      <c r="AC8607" s="27">
        <v>9785911347123</v>
      </c>
    </row>
    <row r="8608" spans="1:29" s="4" customFormat="1" ht="51.9" customHeight="1" x14ac:dyDescent="0.2">
      <c r="A8608" s="5">
        <v>0</v>
      </c>
      <c r="B8608" s="6" t="s">
        <v>48383</v>
      </c>
      <c r="C8608" s="7">
        <v>2172</v>
      </c>
      <c r="D8608" s="8" t="s">
        <v>48384</v>
      </c>
      <c r="E8608" s="8" t="s">
        <v>48385</v>
      </c>
      <c r="F8608" s="8" t="s">
        <v>48386</v>
      </c>
      <c r="G8608" s="6" t="s">
        <v>118</v>
      </c>
      <c r="H8608" s="6" t="s">
        <v>34</v>
      </c>
      <c r="I8608" s="8" t="s">
        <v>253</v>
      </c>
      <c r="J8608" s="9">
        <v>1</v>
      </c>
      <c r="K8608" s="9">
        <v>328</v>
      </c>
      <c r="L8608" s="9">
        <v>2026</v>
      </c>
      <c r="M8608" s="8" t="s">
        <v>48387</v>
      </c>
      <c r="N8608" s="8" t="s">
        <v>585</v>
      </c>
      <c r="O8608" s="8" t="s">
        <v>775</v>
      </c>
      <c r="P8608" s="6" t="s">
        <v>306</v>
      </c>
      <c r="Q8608" s="8" t="s">
        <v>65</v>
      </c>
      <c r="R8608" s="10" t="s">
        <v>48388</v>
      </c>
      <c r="S8608" s="11" t="s">
        <v>7761</v>
      </c>
      <c r="T8608" s="6"/>
      <c r="U8608" s="15" t="str">
        <f>HYPERLINK("https://media.infra-m.ru/2237/2237582/cover/2237582.jpg", "Обложка")</f>
        <v>Обложка</v>
      </c>
      <c r="V8608" s="8" t="s">
        <v>3087</v>
      </c>
      <c r="W8608" s="6"/>
      <c r="X8608" s="6"/>
      <c r="Y8608" s="6"/>
      <c r="Z8608" s="6"/>
      <c r="AA8608" s="6" t="s">
        <v>779</v>
      </c>
      <c r="AB8608" s="8"/>
      <c r="AC8608" s="27">
        <v>9785160188621</v>
      </c>
    </row>
    <row r="8609" spans="1:29" s="4" customFormat="1" ht="51.9" customHeight="1" x14ac:dyDescent="0.2">
      <c r="A8609" s="5">
        <v>0</v>
      </c>
      <c r="B8609" s="6" t="s">
        <v>48389</v>
      </c>
      <c r="C8609" s="7">
        <v>1264.8</v>
      </c>
      <c r="D8609" s="8" t="s">
        <v>48390</v>
      </c>
      <c r="E8609" s="8" t="s">
        <v>48385</v>
      </c>
      <c r="F8609" s="8" t="s">
        <v>48391</v>
      </c>
      <c r="G8609" s="6" t="s">
        <v>118</v>
      </c>
      <c r="H8609" s="6" t="s">
        <v>34</v>
      </c>
      <c r="I8609" s="8" t="s">
        <v>7625</v>
      </c>
      <c r="J8609" s="9">
        <v>1</v>
      </c>
      <c r="K8609" s="9">
        <v>229</v>
      </c>
      <c r="L8609" s="9">
        <v>2023</v>
      </c>
      <c r="M8609" s="8" t="s">
        <v>48392</v>
      </c>
      <c r="N8609" s="8" t="s">
        <v>585</v>
      </c>
      <c r="O8609" s="8" t="s">
        <v>775</v>
      </c>
      <c r="P8609" s="6" t="s">
        <v>51</v>
      </c>
      <c r="Q8609" s="8" t="s">
        <v>377</v>
      </c>
      <c r="R8609" s="10" t="s">
        <v>48393</v>
      </c>
      <c r="S8609" s="11" t="s">
        <v>48394</v>
      </c>
      <c r="T8609" s="6"/>
      <c r="U8609" s="15" t="str">
        <f>HYPERLINK("https://media.infra-m.ru/2127/2127613/cover/2127613.jpg", "Обложка")</f>
        <v>Обложка</v>
      </c>
      <c r="V8609" s="8" t="s">
        <v>1083</v>
      </c>
      <c r="W8609" s="6"/>
      <c r="X8609" s="6"/>
      <c r="Y8609" s="6"/>
      <c r="Z8609" s="6"/>
      <c r="AA8609" s="6" t="s">
        <v>148</v>
      </c>
      <c r="AB8609" s="8"/>
      <c r="AC8609" s="27">
        <v>9785160173849</v>
      </c>
    </row>
    <row r="8610" spans="1:29" s="4" customFormat="1" ht="42" customHeight="1" x14ac:dyDescent="0.2">
      <c r="A8610" s="5">
        <v>0</v>
      </c>
      <c r="B8610" s="6" t="s">
        <v>48395</v>
      </c>
      <c r="C8610" s="13">
        <v>304.8</v>
      </c>
      <c r="D8610" s="8" t="s">
        <v>48396</v>
      </c>
      <c r="E8610" s="8" t="s">
        <v>48397</v>
      </c>
      <c r="F8610" s="8" t="s">
        <v>48398</v>
      </c>
      <c r="G8610" s="6" t="s">
        <v>33</v>
      </c>
      <c r="H8610" s="6" t="s">
        <v>313</v>
      </c>
      <c r="I8610" s="8" t="s">
        <v>253</v>
      </c>
      <c r="J8610" s="9">
        <v>1</v>
      </c>
      <c r="K8610" s="9">
        <v>52</v>
      </c>
      <c r="L8610" s="9">
        <v>2023</v>
      </c>
      <c r="M8610" s="8" t="s">
        <v>48399</v>
      </c>
      <c r="N8610" s="8" t="s">
        <v>585</v>
      </c>
      <c r="O8610" s="8" t="s">
        <v>667</v>
      </c>
      <c r="P8610" s="6" t="s">
        <v>51</v>
      </c>
      <c r="Q8610" s="8" t="s">
        <v>65</v>
      </c>
      <c r="R8610" s="10" t="s">
        <v>48172</v>
      </c>
      <c r="S8610" s="11"/>
      <c r="T8610" s="6"/>
      <c r="U8610" s="15" t="str">
        <f>HYPERLINK("https://media.infra-m.ru/2044/2044329/cover/2044329.jpg", "Обложка")</f>
        <v>Обложка</v>
      </c>
      <c r="V8610" s="8" t="s">
        <v>17981</v>
      </c>
      <c r="W8610" s="6"/>
      <c r="X8610" s="6"/>
      <c r="Y8610" s="6"/>
      <c r="Z8610" s="6"/>
      <c r="AA8610" s="6" t="s">
        <v>55</v>
      </c>
      <c r="AB8610" s="8"/>
      <c r="AC8610" s="27">
        <v>9785369011041</v>
      </c>
    </row>
    <row r="8611" spans="1:29" s="4" customFormat="1" ht="51.9" customHeight="1" x14ac:dyDescent="0.2">
      <c r="A8611" s="5">
        <v>0</v>
      </c>
      <c r="B8611" s="6" t="s">
        <v>48400</v>
      </c>
      <c r="C8611" s="7">
        <v>1924.8</v>
      </c>
      <c r="D8611" s="8" t="s">
        <v>48401</v>
      </c>
      <c r="E8611" s="8" t="s">
        <v>48402</v>
      </c>
      <c r="F8611" s="8" t="s">
        <v>48403</v>
      </c>
      <c r="G8611" s="6" t="s">
        <v>118</v>
      </c>
      <c r="H8611" s="6" t="s">
        <v>34</v>
      </c>
      <c r="I8611" s="8" t="s">
        <v>271</v>
      </c>
      <c r="J8611" s="9">
        <v>1</v>
      </c>
      <c r="K8611" s="9">
        <v>348</v>
      </c>
      <c r="L8611" s="9">
        <v>2023</v>
      </c>
      <c r="M8611" s="8" t="s">
        <v>48404</v>
      </c>
      <c r="N8611" s="8" t="s">
        <v>585</v>
      </c>
      <c r="O8611" s="8" t="s">
        <v>775</v>
      </c>
      <c r="P8611" s="6" t="s">
        <v>306</v>
      </c>
      <c r="Q8611" s="8" t="s">
        <v>52</v>
      </c>
      <c r="R8611" s="10" t="s">
        <v>7602</v>
      </c>
      <c r="S8611" s="11" t="s">
        <v>48405</v>
      </c>
      <c r="T8611" s="6" t="s">
        <v>97</v>
      </c>
      <c r="U8611" s="15" t="str">
        <f>HYPERLINK("https://media.infra-m.ru/2079/2079258/cover/2079258.jpg", "Обложка")</f>
        <v>Обложка</v>
      </c>
      <c r="V8611" s="8" t="s">
        <v>7429</v>
      </c>
      <c r="W8611" s="6"/>
      <c r="X8611" s="6"/>
      <c r="Y8611" s="6"/>
      <c r="Z8611" s="6"/>
      <c r="AA8611" s="6" t="s">
        <v>99</v>
      </c>
      <c r="AB8611" s="8"/>
      <c r="AC8611" s="27">
        <v>9785160189406</v>
      </c>
    </row>
    <row r="8612" spans="1:29" s="4" customFormat="1" ht="51.9" customHeight="1" x14ac:dyDescent="0.2">
      <c r="A8612" s="5">
        <v>0</v>
      </c>
      <c r="B8612" s="6" t="s">
        <v>48406</v>
      </c>
      <c r="C8612" s="7">
        <v>1440</v>
      </c>
      <c r="D8612" s="8" t="s">
        <v>48407</v>
      </c>
      <c r="E8612" s="8" t="s">
        <v>48408</v>
      </c>
      <c r="F8612" s="8" t="s">
        <v>48409</v>
      </c>
      <c r="G8612" s="6" t="s">
        <v>60</v>
      </c>
      <c r="H8612" s="6" t="s">
        <v>34</v>
      </c>
      <c r="I8612" s="8" t="s">
        <v>1248</v>
      </c>
      <c r="J8612" s="9">
        <v>1</v>
      </c>
      <c r="K8612" s="9">
        <v>255</v>
      </c>
      <c r="L8612" s="9">
        <v>2024</v>
      </c>
      <c r="M8612" s="8" t="s">
        <v>48410</v>
      </c>
      <c r="N8612" s="8" t="s">
        <v>585</v>
      </c>
      <c r="O8612" s="8" t="s">
        <v>667</v>
      </c>
      <c r="P8612" s="6" t="s">
        <v>51</v>
      </c>
      <c r="Q8612" s="8" t="s">
        <v>65</v>
      </c>
      <c r="R8612" s="10" t="s">
        <v>48411</v>
      </c>
      <c r="S8612" s="11"/>
      <c r="T8612" s="6"/>
      <c r="U8612" s="15" t="str">
        <f>HYPERLINK("https://media.infra-m.ru/2130/2130420/cover/2130420.jpg", "Обложка")</f>
        <v>Обложка</v>
      </c>
      <c r="V8612" s="8" t="s">
        <v>1083</v>
      </c>
      <c r="W8612" s="6"/>
      <c r="X8612" s="6"/>
      <c r="Y8612" s="6"/>
      <c r="Z8612" s="6"/>
      <c r="AA8612" s="6" t="s">
        <v>76</v>
      </c>
      <c r="AB8612" s="8"/>
      <c r="AC8612" s="27">
        <v>9785160195872</v>
      </c>
    </row>
    <row r="8613" spans="1:29" s="4" customFormat="1" ht="42" customHeight="1" x14ac:dyDescent="0.2">
      <c r="A8613" s="5">
        <v>0</v>
      </c>
      <c r="B8613" s="6" t="s">
        <v>48412</v>
      </c>
      <c r="C8613" s="13">
        <v>768</v>
      </c>
      <c r="D8613" s="8" t="s">
        <v>48413</v>
      </c>
      <c r="E8613" s="8" t="s">
        <v>48414</v>
      </c>
      <c r="F8613" s="8" t="s">
        <v>48415</v>
      </c>
      <c r="G8613" s="6" t="s">
        <v>33</v>
      </c>
      <c r="H8613" s="6" t="s">
        <v>34</v>
      </c>
      <c r="I8613" s="8" t="s">
        <v>1248</v>
      </c>
      <c r="J8613" s="9">
        <v>1</v>
      </c>
      <c r="K8613" s="9">
        <v>127</v>
      </c>
      <c r="L8613" s="9">
        <v>2024</v>
      </c>
      <c r="M8613" s="8" t="s">
        <v>48416</v>
      </c>
      <c r="N8613" s="8" t="s">
        <v>585</v>
      </c>
      <c r="O8613" s="8" t="s">
        <v>667</v>
      </c>
      <c r="P8613" s="6" t="s">
        <v>51</v>
      </c>
      <c r="Q8613" s="8" t="s">
        <v>65</v>
      </c>
      <c r="R8613" s="10" t="s">
        <v>7200</v>
      </c>
      <c r="S8613" s="11"/>
      <c r="T8613" s="6"/>
      <c r="U8613" s="15" t="str">
        <f>HYPERLINK("https://media.infra-m.ru/2133/2133999/cover/2133999.jpg", "Обложка")</f>
        <v>Обложка</v>
      </c>
      <c r="V8613" s="8" t="s">
        <v>1083</v>
      </c>
      <c r="W8613" s="6"/>
      <c r="X8613" s="6"/>
      <c r="Y8613" s="6"/>
      <c r="Z8613" s="6"/>
      <c r="AA8613" s="6" t="s">
        <v>76</v>
      </c>
      <c r="AB8613" s="8"/>
      <c r="AC8613" s="27">
        <v>9785160196978</v>
      </c>
    </row>
    <row r="8614" spans="1:29" s="4" customFormat="1" ht="42" customHeight="1" x14ac:dyDescent="0.2">
      <c r="A8614" s="5">
        <v>0</v>
      </c>
      <c r="B8614" s="6" t="s">
        <v>48417</v>
      </c>
      <c r="C8614" s="7">
        <v>1661.9</v>
      </c>
      <c r="D8614" s="8" t="s">
        <v>48418</v>
      </c>
      <c r="E8614" s="8" t="s">
        <v>48414</v>
      </c>
      <c r="F8614" s="8" t="s">
        <v>48419</v>
      </c>
      <c r="G8614" s="6" t="s">
        <v>60</v>
      </c>
      <c r="H8614" s="6" t="s">
        <v>313</v>
      </c>
      <c r="I8614" s="8" t="s">
        <v>253</v>
      </c>
      <c r="J8614" s="9">
        <v>1</v>
      </c>
      <c r="K8614" s="9">
        <v>307</v>
      </c>
      <c r="L8614" s="9">
        <v>2023</v>
      </c>
      <c r="M8614" s="8" t="s">
        <v>48420</v>
      </c>
      <c r="N8614" s="8" t="s">
        <v>585</v>
      </c>
      <c r="O8614" s="8" t="s">
        <v>667</v>
      </c>
      <c r="P8614" s="6" t="s">
        <v>51</v>
      </c>
      <c r="Q8614" s="8" t="s">
        <v>52</v>
      </c>
      <c r="R8614" s="10" t="s">
        <v>15604</v>
      </c>
      <c r="S8614" s="11"/>
      <c r="T8614" s="6"/>
      <c r="U8614" s="15" t="str">
        <f>HYPERLINK("https://media.infra-m.ru/1894/1894530/cover/1894530.jpg", "Обложка")</f>
        <v>Обложка</v>
      </c>
      <c r="V8614" s="8" t="s">
        <v>2088</v>
      </c>
      <c r="W8614" s="6"/>
      <c r="X8614" s="6"/>
      <c r="Y8614" s="6"/>
      <c r="Z8614" s="6"/>
      <c r="AA8614" s="6" t="s">
        <v>55</v>
      </c>
      <c r="AB8614" s="8"/>
      <c r="AC8614" s="27">
        <v>9785369009673</v>
      </c>
    </row>
    <row r="8615" spans="1:29" s="4" customFormat="1" ht="51.9" customHeight="1" x14ac:dyDescent="0.2">
      <c r="A8615" s="5">
        <v>0</v>
      </c>
      <c r="B8615" s="6" t="s">
        <v>48421</v>
      </c>
      <c r="C8615" s="7">
        <v>1468.8</v>
      </c>
      <c r="D8615" s="8" t="s">
        <v>48422</v>
      </c>
      <c r="E8615" s="8" t="s">
        <v>48423</v>
      </c>
      <c r="F8615" s="8" t="s">
        <v>48424</v>
      </c>
      <c r="G8615" s="6" t="s">
        <v>118</v>
      </c>
      <c r="H8615" s="6" t="s">
        <v>241</v>
      </c>
      <c r="I8615" s="8"/>
      <c r="J8615" s="9">
        <v>1</v>
      </c>
      <c r="K8615" s="9">
        <v>212</v>
      </c>
      <c r="L8615" s="9">
        <v>2027</v>
      </c>
      <c r="M8615" s="8" t="s">
        <v>48425</v>
      </c>
      <c r="N8615" s="8" t="s">
        <v>585</v>
      </c>
      <c r="O8615" s="8" t="s">
        <v>667</v>
      </c>
      <c r="P8615" s="6" t="s">
        <v>51</v>
      </c>
      <c r="Q8615" s="8" t="s">
        <v>52</v>
      </c>
      <c r="R8615" s="10" t="s">
        <v>48426</v>
      </c>
      <c r="S8615" s="11" t="s">
        <v>48427</v>
      </c>
      <c r="T8615" s="6"/>
      <c r="U8615" s="15" t="str">
        <f>HYPERLINK("https://media.infra-m.ru/2263/2263198/cover/2263198.jpg", "Обложка")</f>
        <v>Обложка</v>
      </c>
      <c r="V8615" s="8" t="s">
        <v>7175</v>
      </c>
      <c r="W8615" s="6"/>
      <c r="X8615" s="6"/>
      <c r="Y8615" s="6"/>
      <c r="Z8615" s="6"/>
      <c r="AA8615" s="6" t="s">
        <v>1123</v>
      </c>
      <c r="AB8615" s="8"/>
      <c r="AC8615" s="27">
        <v>9785955803500</v>
      </c>
    </row>
    <row r="8616" spans="1:29" s="4" customFormat="1" ht="51.9" customHeight="1" x14ac:dyDescent="0.2">
      <c r="A8616" s="5">
        <v>0</v>
      </c>
      <c r="B8616" s="6" t="s">
        <v>48428</v>
      </c>
      <c r="C8616" s="7">
        <v>1612.8</v>
      </c>
      <c r="D8616" s="8" t="s">
        <v>48429</v>
      </c>
      <c r="E8616" s="8" t="s">
        <v>48430</v>
      </c>
      <c r="F8616" s="8" t="s">
        <v>48431</v>
      </c>
      <c r="G8616" s="6" t="s">
        <v>60</v>
      </c>
      <c r="H8616" s="6" t="s">
        <v>241</v>
      </c>
      <c r="I8616" s="8"/>
      <c r="J8616" s="9">
        <v>1</v>
      </c>
      <c r="K8616" s="9">
        <v>231</v>
      </c>
      <c r="L8616" s="9">
        <v>2026</v>
      </c>
      <c r="M8616" s="8" t="s">
        <v>48432</v>
      </c>
      <c r="N8616" s="8" t="s">
        <v>585</v>
      </c>
      <c r="O8616" s="8" t="s">
        <v>667</v>
      </c>
      <c r="P8616" s="6" t="s">
        <v>51</v>
      </c>
      <c r="Q8616" s="8" t="s">
        <v>52</v>
      </c>
      <c r="R8616" s="10" t="s">
        <v>48433</v>
      </c>
      <c r="S8616" s="11"/>
      <c r="T8616" s="6"/>
      <c r="U8616" s="15" t="str">
        <f>HYPERLINK("https://media.infra-m.ru/2258/2258701/cover/2258701.jpg", "Обложка")</f>
        <v>Обложка</v>
      </c>
      <c r="V8616" s="8" t="s">
        <v>7175</v>
      </c>
      <c r="W8616" s="6"/>
      <c r="X8616" s="6"/>
      <c r="Y8616" s="6"/>
      <c r="Z8616" s="6"/>
      <c r="AA8616" s="6" t="s">
        <v>446</v>
      </c>
      <c r="AB8616" s="8"/>
      <c r="AC8616" s="27">
        <v>9785955803326</v>
      </c>
    </row>
    <row r="8617" spans="1:29" s="4" customFormat="1" ht="51.9" customHeight="1" x14ac:dyDescent="0.2">
      <c r="A8617" s="5">
        <v>0</v>
      </c>
      <c r="B8617" s="6" t="s">
        <v>48434</v>
      </c>
      <c r="C8617" s="7">
        <v>3228</v>
      </c>
      <c r="D8617" s="8" t="s">
        <v>48435</v>
      </c>
      <c r="E8617" s="8" t="s">
        <v>48436</v>
      </c>
      <c r="F8617" s="8" t="s">
        <v>48437</v>
      </c>
      <c r="G8617" s="6" t="s">
        <v>60</v>
      </c>
      <c r="H8617" s="6" t="s">
        <v>34</v>
      </c>
      <c r="I8617" s="8" t="s">
        <v>253</v>
      </c>
      <c r="J8617" s="9">
        <v>1</v>
      </c>
      <c r="K8617" s="9">
        <v>461</v>
      </c>
      <c r="L8617" s="9">
        <v>2026</v>
      </c>
      <c r="M8617" s="8" t="s">
        <v>48438</v>
      </c>
      <c r="N8617" s="8" t="s">
        <v>585</v>
      </c>
      <c r="O8617" s="8" t="s">
        <v>667</v>
      </c>
      <c r="P8617" s="6" t="s">
        <v>51</v>
      </c>
      <c r="Q8617" s="8" t="s">
        <v>65</v>
      </c>
      <c r="R8617" s="10" t="s">
        <v>48439</v>
      </c>
      <c r="S8617" s="11"/>
      <c r="T8617" s="6"/>
      <c r="U8617" s="15" t="str">
        <f>HYPERLINK("https://media.infra-m.ru/2248/2248358/cover/2248358.jpg", "Обложка")</f>
        <v>Обложка</v>
      </c>
      <c r="V8617" s="8" t="s">
        <v>669</v>
      </c>
      <c r="W8617" s="6" t="s">
        <v>649</v>
      </c>
      <c r="X8617" s="6"/>
      <c r="Y8617" s="6"/>
      <c r="Z8617" s="6"/>
      <c r="AA8617" s="6" t="s">
        <v>187</v>
      </c>
      <c r="AB8617" s="8"/>
      <c r="AC8617" s="27">
        <v>9785160220345</v>
      </c>
    </row>
    <row r="8618" spans="1:29" s="4" customFormat="1" ht="51.9" customHeight="1" x14ac:dyDescent="0.2">
      <c r="A8618" s="5">
        <v>0</v>
      </c>
      <c r="B8618" s="6" t="s">
        <v>48440</v>
      </c>
      <c r="C8618" s="7">
        <v>2512.8000000000002</v>
      </c>
      <c r="D8618" s="8" t="s">
        <v>48441</v>
      </c>
      <c r="E8618" s="8" t="s">
        <v>48442</v>
      </c>
      <c r="F8618" s="8" t="s">
        <v>48443</v>
      </c>
      <c r="G8618" s="6" t="s">
        <v>60</v>
      </c>
      <c r="H8618" s="6" t="s">
        <v>313</v>
      </c>
      <c r="I8618" s="8" t="s">
        <v>392</v>
      </c>
      <c r="J8618" s="9">
        <v>1</v>
      </c>
      <c r="K8618" s="9">
        <v>380</v>
      </c>
      <c r="L8618" s="9">
        <v>2026</v>
      </c>
      <c r="M8618" s="8" t="s">
        <v>48444</v>
      </c>
      <c r="N8618" s="8" t="s">
        <v>585</v>
      </c>
      <c r="O8618" s="8" t="s">
        <v>667</v>
      </c>
      <c r="P8618" s="6" t="s">
        <v>51</v>
      </c>
      <c r="Q8618" s="8" t="s">
        <v>52</v>
      </c>
      <c r="R8618" s="10" t="s">
        <v>48445</v>
      </c>
      <c r="S8618" s="11" t="s">
        <v>48446</v>
      </c>
      <c r="T8618" s="6"/>
      <c r="U8618" s="15" t="str">
        <f>HYPERLINK("https://media.infra-m.ru/2241/2241408/cover/2241408.jpg", "Обложка")</f>
        <v>Обложка</v>
      </c>
      <c r="V8618" s="8" t="s">
        <v>13059</v>
      </c>
      <c r="W8618" s="6"/>
      <c r="X8618" s="6"/>
      <c r="Y8618" s="6"/>
      <c r="Z8618" s="6"/>
      <c r="AA8618" s="6" t="s">
        <v>360</v>
      </c>
      <c r="AB8618" s="8"/>
      <c r="AC8618" s="27">
        <v>9785369015223</v>
      </c>
    </row>
    <row r="8619" spans="1:29" s="4" customFormat="1" ht="51.9" customHeight="1" x14ac:dyDescent="0.2">
      <c r="A8619" s="5">
        <v>0</v>
      </c>
      <c r="B8619" s="6" t="s">
        <v>48447</v>
      </c>
      <c r="C8619" s="13">
        <v>836.4</v>
      </c>
      <c r="D8619" s="8" t="s">
        <v>48448</v>
      </c>
      <c r="E8619" s="8" t="s">
        <v>48449</v>
      </c>
      <c r="F8619" s="8" t="s">
        <v>48450</v>
      </c>
      <c r="G8619" s="6" t="s">
        <v>33</v>
      </c>
      <c r="H8619" s="6" t="s">
        <v>48</v>
      </c>
      <c r="I8619" s="8" t="s">
        <v>263</v>
      </c>
      <c r="J8619" s="9">
        <v>1</v>
      </c>
      <c r="K8619" s="9">
        <v>97</v>
      </c>
      <c r="L8619" s="9">
        <v>2026</v>
      </c>
      <c r="M8619" s="8" t="s">
        <v>48451</v>
      </c>
      <c r="N8619" s="8" t="s">
        <v>585</v>
      </c>
      <c r="O8619" s="8" t="s">
        <v>667</v>
      </c>
      <c r="P8619" s="6" t="s">
        <v>51</v>
      </c>
      <c r="Q8619" s="8" t="s">
        <v>265</v>
      </c>
      <c r="R8619" s="10" t="s">
        <v>48452</v>
      </c>
      <c r="S8619" s="11" t="s">
        <v>4567</v>
      </c>
      <c r="T8619" s="6"/>
      <c r="U8619" s="15" t="str">
        <f>HYPERLINK("https://media.infra-m.ru/2224/2224113/cover/2224113.jpg", "Обложка")</f>
        <v>Обложка</v>
      </c>
      <c r="V8619" s="8" t="s">
        <v>1871</v>
      </c>
      <c r="W8619" s="6"/>
      <c r="X8619" s="6"/>
      <c r="Y8619" s="6"/>
      <c r="Z8619" s="6"/>
      <c r="AA8619" s="6" t="s">
        <v>769</v>
      </c>
      <c r="AB8619" s="8"/>
      <c r="AC8619" s="27">
        <v>9785000914724</v>
      </c>
    </row>
    <row r="8620" spans="1:29" s="4" customFormat="1" ht="51.9" customHeight="1" x14ac:dyDescent="0.2">
      <c r="A8620" s="5">
        <v>0</v>
      </c>
      <c r="B8620" s="6" t="s">
        <v>48453</v>
      </c>
      <c r="C8620" s="13">
        <v>772.8</v>
      </c>
      <c r="D8620" s="8" t="s">
        <v>48454</v>
      </c>
      <c r="E8620" s="8" t="s">
        <v>48455</v>
      </c>
      <c r="F8620" s="8" t="s">
        <v>17525</v>
      </c>
      <c r="G8620" s="6" t="s">
        <v>33</v>
      </c>
      <c r="H8620" s="6" t="s">
        <v>34</v>
      </c>
      <c r="I8620" s="8" t="s">
        <v>271</v>
      </c>
      <c r="J8620" s="9">
        <v>1</v>
      </c>
      <c r="K8620" s="9">
        <v>142</v>
      </c>
      <c r="L8620" s="9">
        <v>2023</v>
      </c>
      <c r="M8620" s="8" t="s">
        <v>48456</v>
      </c>
      <c r="N8620" s="8" t="s">
        <v>585</v>
      </c>
      <c r="O8620" s="8" t="s">
        <v>667</v>
      </c>
      <c r="P8620" s="6" t="s">
        <v>51</v>
      </c>
      <c r="Q8620" s="8" t="s">
        <v>52</v>
      </c>
      <c r="R8620" s="10" t="s">
        <v>48457</v>
      </c>
      <c r="S8620" s="11"/>
      <c r="T8620" s="6"/>
      <c r="U8620" s="15" t="str">
        <f>HYPERLINK("https://media.infra-m.ru/2045/2045800/cover/2045800.jpg", "Обложка")</f>
        <v>Обложка</v>
      </c>
      <c r="V8620" s="8" t="s">
        <v>396</v>
      </c>
      <c r="W8620" s="6"/>
      <c r="X8620" s="6"/>
      <c r="Y8620" s="6"/>
      <c r="Z8620" s="6"/>
      <c r="AA8620" s="6" t="s">
        <v>55</v>
      </c>
      <c r="AB8620" s="8"/>
      <c r="AC8620" s="27">
        <v>9785160064284</v>
      </c>
    </row>
    <row r="8621" spans="1:29" s="4" customFormat="1" ht="51.9" customHeight="1" x14ac:dyDescent="0.2">
      <c r="A8621" s="5">
        <v>0</v>
      </c>
      <c r="B8621" s="6" t="s">
        <v>48458</v>
      </c>
      <c r="C8621" s="7">
        <v>1720.8</v>
      </c>
      <c r="D8621" s="8" t="s">
        <v>48459</v>
      </c>
      <c r="E8621" s="8" t="s">
        <v>48460</v>
      </c>
      <c r="F8621" s="8" t="s">
        <v>48375</v>
      </c>
      <c r="G8621" s="6" t="s">
        <v>60</v>
      </c>
      <c r="H8621" s="6" t="s">
        <v>241</v>
      </c>
      <c r="I8621" s="8"/>
      <c r="J8621" s="9">
        <v>1</v>
      </c>
      <c r="K8621" s="9">
        <v>248</v>
      </c>
      <c r="L8621" s="9">
        <v>2027</v>
      </c>
      <c r="M8621" s="8" t="s">
        <v>48461</v>
      </c>
      <c r="N8621" s="8" t="s">
        <v>585</v>
      </c>
      <c r="O8621" s="8" t="s">
        <v>667</v>
      </c>
      <c r="P8621" s="6" t="s">
        <v>51</v>
      </c>
      <c r="Q8621" s="8" t="s">
        <v>52</v>
      </c>
      <c r="R8621" s="10" t="s">
        <v>48462</v>
      </c>
      <c r="S8621" s="11" t="s">
        <v>48427</v>
      </c>
      <c r="T8621" s="6"/>
      <c r="U8621" s="15" t="str">
        <f>HYPERLINK("https://media.infra-m.ru/2263/2263195/cover/2263195.jpg", "Обложка")</f>
        <v>Обложка</v>
      </c>
      <c r="V8621" s="8" t="s">
        <v>7175</v>
      </c>
      <c r="W8621" s="6"/>
      <c r="X8621" s="6"/>
      <c r="Y8621" s="6"/>
      <c r="Z8621" s="6"/>
      <c r="AA8621" s="6" t="s">
        <v>3991</v>
      </c>
      <c r="AB8621" s="8"/>
      <c r="AC8621" s="27">
        <v>9785955803173</v>
      </c>
    </row>
    <row r="8622" spans="1:29" s="4" customFormat="1" ht="51.9" customHeight="1" x14ac:dyDescent="0.2">
      <c r="A8622" s="5">
        <v>0</v>
      </c>
      <c r="B8622" s="6" t="s">
        <v>48463</v>
      </c>
      <c r="C8622" s="7">
        <v>2100</v>
      </c>
      <c r="D8622" s="8" t="s">
        <v>48464</v>
      </c>
      <c r="E8622" s="8" t="s">
        <v>48465</v>
      </c>
      <c r="F8622" s="8" t="s">
        <v>48466</v>
      </c>
      <c r="G8622" s="6" t="s">
        <v>118</v>
      </c>
      <c r="H8622" s="6" t="s">
        <v>34</v>
      </c>
      <c r="I8622" s="8" t="s">
        <v>271</v>
      </c>
      <c r="J8622" s="9">
        <v>1</v>
      </c>
      <c r="K8622" s="9">
        <v>388</v>
      </c>
      <c r="L8622" s="9">
        <v>2023</v>
      </c>
      <c r="M8622" s="8" t="s">
        <v>48467</v>
      </c>
      <c r="N8622" s="8" t="s">
        <v>585</v>
      </c>
      <c r="O8622" s="8" t="s">
        <v>667</v>
      </c>
      <c r="P8622" s="6" t="s">
        <v>51</v>
      </c>
      <c r="Q8622" s="8" t="s">
        <v>52</v>
      </c>
      <c r="R8622" s="10" t="s">
        <v>48468</v>
      </c>
      <c r="S8622" s="11" t="s">
        <v>48469</v>
      </c>
      <c r="T8622" s="6"/>
      <c r="U8622" s="15" t="str">
        <f>HYPERLINK("https://media.infra-m.ru/1891/1891221/cover/1891221.jpg", "Обложка")</f>
        <v>Обложка</v>
      </c>
      <c r="V8622" s="8" t="s">
        <v>4368</v>
      </c>
      <c r="W8622" s="6"/>
      <c r="X8622" s="6"/>
      <c r="Y8622" s="6"/>
      <c r="Z8622" s="6"/>
      <c r="AA8622" s="6" t="s">
        <v>1256</v>
      </c>
      <c r="AB8622" s="8"/>
      <c r="AC8622" s="27">
        <v>9785160146706</v>
      </c>
    </row>
    <row r="8623" spans="1:29" s="4" customFormat="1" ht="51.9" customHeight="1" x14ac:dyDescent="0.2">
      <c r="A8623" s="5">
        <v>0</v>
      </c>
      <c r="B8623" s="6" t="s">
        <v>48470</v>
      </c>
      <c r="C8623" s="7">
        <v>1900.8</v>
      </c>
      <c r="D8623" s="8" t="s">
        <v>48471</v>
      </c>
      <c r="E8623" s="8" t="s">
        <v>48472</v>
      </c>
      <c r="F8623" s="8" t="s">
        <v>48473</v>
      </c>
      <c r="G8623" s="6" t="s">
        <v>118</v>
      </c>
      <c r="H8623" s="6" t="s">
        <v>34</v>
      </c>
      <c r="I8623" s="8" t="s">
        <v>263</v>
      </c>
      <c r="J8623" s="9">
        <v>1</v>
      </c>
      <c r="K8623" s="9">
        <v>274</v>
      </c>
      <c r="L8623" s="9">
        <v>2027</v>
      </c>
      <c r="M8623" s="8" t="s">
        <v>48474</v>
      </c>
      <c r="N8623" s="8" t="s">
        <v>585</v>
      </c>
      <c r="O8623" s="8" t="s">
        <v>667</v>
      </c>
      <c r="P8623" s="6" t="s">
        <v>51</v>
      </c>
      <c r="Q8623" s="8" t="s">
        <v>265</v>
      </c>
      <c r="R8623" s="10" t="s">
        <v>7173</v>
      </c>
      <c r="S8623" s="11" t="s">
        <v>48475</v>
      </c>
      <c r="T8623" s="6"/>
      <c r="U8623" s="15" t="str">
        <f>HYPERLINK("https://media.infra-m.ru/2264/2264623/cover/2264623.jpg", "Обложка")</f>
        <v>Обложка</v>
      </c>
      <c r="V8623" s="8" t="s">
        <v>4409</v>
      </c>
      <c r="W8623" s="6"/>
      <c r="X8623" s="6"/>
      <c r="Y8623" s="6"/>
      <c r="Z8623" s="6"/>
      <c r="AA8623" s="6" t="s">
        <v>430</v>
      </c>
      <c r="AB8623" s="8"/>
      <c r="AC8623" s="27">
        <v>9785160150024</v>
      </c>
    </row>
    <row r="8624" spans="1:29" s="4" customFormat="1" ht="51.9" customHeight="1" x14ac:dyDescent="0.2">
      <c r="A8624" s="5">
        <v>0</v>
      </c>
      <c r="B8624" s="6" t="s">
        <v>48476</v>
      </c>
      <c r="C8624" s="7">
        <v>3496.8</v>
      </c>
      <c r="D8624" s="8" t="s">
        <v>48477</v>
      </c>
      <c r="E8624" s="8" t="s">
        <v>48478</v>
      </c>
      <c r="F8624" s="8" t="s">
        <v>48479</v>
      </c>
      <c r="G8624" s="6" t="s">
        <v>118</v>
      </c>
      <c r="H8624" s="6" t="s">
        <v>48</v>
      </c>
      <c r="I8624" s="8" t="s">
        <v>263</v>
      </c>
      <c r="J8624" s="9">
        <v>1</v>
      </c>
      <c r="K8624" s="9">
        <v>560</v>
      </c>
      <c r="L8624" s="9">
        <v>2026</v>
      </c>
      <c r="M8624" s="8" t="s">
        <v>48480</v>
      </c>
      <c r="N8624" s="8" t="s">
        <v>585</v>
      </c>
      <c r="O8624" s="8" t="s">
        <v>667</v>
      </c>
      <c r="P8624" s="6" t="s">
        <v>306</v>
      </c>
      <c r="Q8624" s="8" t="s">
        <v>265</v>
      </c>
      <c r="R8624" s="10" t="s">
        <v>48452</v>
      </c>
      <c r="S8624" s="11" t="s">
        <v>48481</v>
      </c>
      <c r="T8624" s="6"/>
      <c r="U8624" s="15" t="str">
        <f>HYPERLINK("https://media.infra-m.ru/2143/2143938/cover/2143938.jpg", "Обложка")</f>
        <v>Обложка</v>
      </c>
      <c r="V8624" s="8" t="s">
        <v>3337</v>
      </c>
      <c r="W8624" s="6"/>
      <c r="X8624" s="6"/>
      <c r="Y8624" s="6"/>
      <c r="Z8624" s="6"/>
      <c r="AA8624" s="6" t="s">
        <v>3991</v>
      </c>
      <c r="AB8624" s="8"/>
      <c r="AC8624" s="27">
        <v>9785000917398</v>
      </c>
    </row>
    <row r="8625" spans="1:29" s="4" customFormat="1" ht="51.9" customHeight="1" x14ac:dyDescent="0.2">
      <c r="A8625" s="5">
        <v>0</v>
      </c>
      <c r="B8625" s="6" t="s">
        <v>48482</v>
      </c>
      <c r="C8625" s="7">
        <v>3472.8</v>
      </c>
      <c r="D8625" s="8" t="s">
        <v>48483</v>
      </c>
      <c r="E8625" s="8" t="s">
        <v>48484</v>
      </c>
      <c r="F8625" s="8" t="s">
        <v>48485</v>
      </c>
      <c r="G8625" s="6" t="s">
        <v>118</v>
      </c>
      <c r="H8625" s="6" t="s">
        <v>34</v>
      </c>
      <c r="I8625" s="8" t="s">
        <v>271</v>
      </c>
      <c r="J8625" s="9">
        <v>1</v>
      </c>
      <c r="K8625" s="9">
        <v>581</v>
      </c>
      <c r="L8625" s="9">
        <v>2026</v>
      </c>
      <c r="M8625" s="8" t="s">
        <v>48486</v>
      </c>
      <c r="N8625" s="8" t="s">
        <v>585</v>
      </c>
      <c r="O8625" s="8" t="s">
        <v>667</v>
      </c>
      <c r="P8625" s="6" t="s">
        <v>306</v>
      </c>
      <c r="Q8625" s="8" t="s">
        <v>52</v>
      </c>
      <c r="R8625" s="10" t="s">
        <v>48487</v>
      </c>
      <c r="S8625" s="11" t="s">
        <v>48488</v>
      </c>
      <c r="T8625" s="6"/>
      <c r="U8625" s="15" t="str">
        <f>HYPERLINK("https://media.infra-m.ru/2224/2224131/cover/2224131.jpg", "Обложка")</f>
        <v>Обложка</v>
      </c>
      <c r="V8625" s="8" t="s">
        <v>15551</v>
      </c>
      <c r="W8625" s="6"/>
      <c r="X8625" s="6"/>
      <c r="Y8625" s="6"/>
      <c r="Z8625" s="6"/>
      <c r="AA8625" s="6" t="s">
        <v>33062</v>
      </c>
      <c r="AB8625" s="8"/>
      <c r="AC8625" s="27">
        <v>9785160100791</v>
      </c>
    </row>
    <row r="8626" spans="1:29" s="4" customFormat="1" ht="51.9" customHeight="1" x14ac:dyDescent="0.2">
      <c r="A8626" s="5">
        <v>0</v>
      </c>
      <c r="B8626" s="6" t="s">
        <v>48489</v>
      </c>
      <c r="C8626" s="7">
        <v>2440.8000000000002</v>
      </c>
      <c r="D8626" s="8" t="s">
        <v>48490</v>
      </c>
      <c r="E8626" s="8" t="s">
        <v>48491</v>
      </c>
      <c r="F8626" s="8" t="s">
        <v>48492</v>
      </c>
      <c r="G8626" s="6" t="s">
        <v>60</v>
      </c>
      <c r="H8626" s="6" t="s">
        <v>48</v>
      </c>
      <c r="I8626" s="8" t="s">
        <v>401</v>
      </c>
      <c r="J8626" s="9">
        <v>1</v>
      </c>
      <c r="K8626" s="9">
        <v>432</v>
      </c>
      <c r="L8626" s="9">
        <v>2024</v>
      </c>
      <c r="M8626" s="8" t="s">
        <v>48493</v>
      </c>
      <c r="N8626" s="8" t="s">
        <v>585</v>
      </c>
      <c r="O8626" s="8" t="s">
        <v>667</v>
      </c>
      <c r="P8626" s="6" t="s">
        <v>51</v>
      </c>
      <c r="Q8626" s="8" t="s">
        <v>265</v>
      </c>
      <c r="R8626" s="10" t="s">
        <v>7173</v>
      </c>
      <c r="S8626" s="11" t="s">
        <v>48494</v>
      </c>
      <c r="T8626" s="6"/>
      <c r="U8626" s="15" t="str">
        <f>HYPERLINK("https://media.infra-m.ru/2083/2083157/cover/2083157.jpg", "Обложка")</f>
        <v>Обложка</v>
      </c>
      <c r="V8626" s="8" t="s">
        <v>1871</v>
      </c>
      <c r="W8626" s="6"/>
      <c r="X8626" s="6"/>
      <c r="Y8626" s="6"/>
      <c r="Z8626" s="6"/>
      <c r="AA8626" s="6" t="s">
        <v>55</v>
      </c>
      <c r="AB8626" s="8"/>
      <c r="AC8626" s="27">
        <v>9785911347772</v>
      </c>
    </row>
    <row r="8627" spans="1:29" s="4" customFormat="1" ht="51.9" customHeight="1" x14ac:dyDescent="0.2">
      <c r="A8627" s="5">
        <v>0</v>
      </c>
      <c r="B8627" s="6" t="s">
        <v>48495</v>
      </c>
      <c r="C8627" s="7">
        <v>2028</v>
      </c>
      <c r="D8627" s="8" t="s">
        <v>48496</v>
      </c>
      <c r="E8627" s="8" t="s">
        <v>48491</v>
      </c>
      <c r="F8627" s="8" t="s">
        <v>48497</v>
      </c>
      <c r="G8627" s="6" t="s">
        <v>118</v>
      </c>
      <c r="H8627" s="6" t="s">
        <v>34</v>
      </c>
      <c r="I8627" s="8" t="s">
        <v>1248</v>
      </c>
      <c r="J8627" s="9">
        <v>1</v>
      </c>
      <c r="K8627" s="9">
        <v>308</v>
      </c>
      <c r="L8627" s="9">
        <v>2026</v>
      </c>
      <c r="M8627" s="8" t="s">
        <v>48498</v>
      </c>
      <c r="N8627" s="8" t="s">
        <v>585</v>
      </c>
      <c r="O8627" s="8" t="s">
        <v>667</v>
      </c>
      <c r="P8627" s="6" t="s">
        <v>51</v>
      </c>
      <c r="Q8627" s="8" t="s">
        <v>52</v>
      </c>
      <c r="R8627" s="10" t="s">
        <v>48172</v>
      </c>
      <c r="S8627" s="11" t="s">
        <v>48499</v>
      </c>
      <c r="T8627" s="6"/>
      <c r="U8627" s="15" t="str">
        <f>HYPERLINK("https://media.infra-m.ru/2239/2239111/cover/2239111.jpg", "Обложка")</f>
        <v>Обложка</v>
      </c>
      <c r="V8627" s="8" t="s">
        <v>1083</v>
      </c>
      <c r="W8627" s="6"/>
      <c r="X8627" s="6"/>
      <c r="Y8627" s="6"/>
      <c r="Z8627" s="6"/>
      <c r="AA8627" s="6" t="s">
        <v>86</v>
      </c>
      <c r="AB8627" s="8"/>
      <c r="AC8627" s="27">
        <v>9785160218427</v>
      </c>
    </row>
    <row r="8628" spans="1:29" s="4" customFormat="1" ht="42" customHeight="1" x14ac:dyDescent="0.2">
      <c r="A8628" s="5">
        <v>0</v>
      </c>
      <c r="B8628" s="6" t="s">
        <v>48500</v>
      </c>
      <c r="C8628" s="7">
        <v>1456.8</v>
      </c>
      <c r="D8628" s="8" t="s">
        <v>48501</v>
      </c>
      <c r="E8628" s="8" t="s">
        <v>48502</v>
      </c>
      <c r="F8628" s="8" t="s">
        <v>48503</v>
      </c>
      <c r="G8628" s="6" t="s">
        <v>118</v>
      </c>
      <c r="H8628" s="6" t="s">
        <v>1644</v>
      </c>
      <c r="I8628" s="8"/>
      <c r="J8628" s="9">
        <v>1</v>
      </c>
      <c r="K8628" s="9">
        <v>232</v>
      </c>
      <c r="L8628" s="9">
        <v>2025</v>
      </c>
      <c r="M8628" s="8" t="s">
        <v>48504</v>
      </c>
      <c r="N8628" s="8" t="s">
        <v>243</v>
      </c>
      <c r="O8628" s="8" t="s">
        <v>758</v>
      </c>
      <c r="P8628" s="6" t="s">
        <v>51</v>
      </c>
      <c r="Q8628" s="8" t="s">
        <v>52</v>
      </c>
      <c r="R8628" s="10" t="s">
        <v>38845</v>
      </c>
      <c r="S8628" s="11"/>
      <c r="T8628" s="6"/>
      <c r="U8628" s="15" t="str">
        <f>HYPERLINK("https://media.infra-m.ru/2192/2192773/cover/2192773.jpg", "Обложка")</f>
        <v>Обложка</v>
      </c>
      <c r="V8628" s="8" t="s">
        <v>3787</v>
      </c>
      <c r="W8628" s="6"/>
      <c r="X8628" s="6"/>
      <c r="Y8628" s="6"/>
      <c r="Z8628" s="6"/>
      <c r="AA8628" s="6" t="s">
        <v>115</v>
      </c>
      <c r="AB8628" s="8"/>
      <c r="AC8628" s="27">
        <v>9785977605137</v>
      </c>
    </row>
    <row r="8629" spans="1:29" s="4" customFormat="1" ht="51.9" customHeight="1" x14ac:dyDescent="0.2">
      <c r="A8629" s="5">
        <v>0</v>
      </c>
      <c r="B8629" s="6" t="s">
        <v>48505</v>
      </c>
      <c r="C8629" s="7">
        <v>1096.8</v>
      </c>
      <c r="D8629" s="8" t="s">
        <v>48506</v>
      </c>
      <c r="E8629" s="8" t="s">
        <v>48507</v>
      </c>
      <c r="F8629" s="8" t="s">
        <v>48508</v>
      </c>
      <c r="G8629" s="6" t="s">
        <v>118</v>
      </c>
      <c r="H8629" s="6" t="s">
        <v>34</v>
      </c>
      <c r="I8629" s="8" t="s">
        <v>504</v>
      </c>
      <c r="J8629" s="9">
        <v>1</v>
      </c>
      <c r="K8629" s="9">
        <v>176</v>
      </c>
      <c r="L8629" s="9">
        <v>2025</v>
      </c>
      <c r="M8629" s="8" t="s">
        <v>48509</v>
      </c>
      <c r="N8629" s="8" t="s">
        <v>37</v>
      </c>
      <c r="O8629" s="8" t="s">
        <v>290</v>
      </c>
      <c r="P8629" s="6" t="s">
        <v>51</v>
      </c>
      <c r="Q8629" s="8" t="s">
        <v>500</v>
      </c>
      <c r="R8629" s="10" t="s">
        <v>22475</v>
      </c>
      <c r="S8629" s="11" t="s">
        <v>48510</v>
      </c>
      <c r="T8629" s="6"/>
      <c r="U8629" s="15" t="str">
        <f>HYPERLINK("https://media.infra-m.ru/2208/2208776/cover/2208776.jpg", "Обложка")</f>
        <v>Обложка</v>
      </c>
      <c r="V8629" s="8" t="s">
        <v>761</v>
      </c>
      <c r="W8629" s="6"/>
      <c r="X8629" s="6"/>
      <c r="Y8629" s="6"/>
      <c r="Z8629" s="6"/>
      <c r="AA8629" s="6" t="s">
        <v>86</v>
      </c>
      <c r="AB8629" s="8"/>
      <c r="AC8629" s="27">
        <v>9785160131078</v>
      </c>
    </row>
    <row r="8630" spans="1:29" s="4" customFormat="1" ht="51.9" customHeight="1" x14ac:dyDescent="0.2">
      <c r="A8630" s="5">
        <v>0</v>
      </c>
      <c r="B8630" s="6" t="s">
        <v>48511</v>
      </c>
      <c r="C8630" s="7">
        <v>1908</v>
      </c>
      <c r="D8630" s="8" t="s">
        <v>48512</v>
      </c>
      <c r="E8630" s="8" t="s">
        <v>48513</v>
      </c>
      <c r="F8630" s="8" t="s">
        <v>4643</v>
      </c>
      <c r="G8630" s="6" t="s">
        <v>60</v>
      </c>
      <c r="H8630" s="6" t="s">
        <v>34</v>
      </c>
      <c r="I8630" s="8" t="s">
        <v>35</v>
      </c>
      <c r="J8630" s="9">
        <v>1</v>
      </c>
      <c r="K8630" s="9">
        <v>288</v>
      </c>
      <c r="L8630" s="9">
        <v>2025</v>
      </c>
      <c r="M8630" s="8" t="s">
        <v>48514</v>
      </c>
      <c r="N8630" s="8" t="s">
        <v>243</v>
      </c>
      <c r="O8630" s="8" t="s">
        <v>798</v>
      </c>
      <c r="P8630" s="6" t="s">
        <v>39</v>
      </c>
      <c r="Q8630" s="8" t="s">
        <v>40</v>
      </c>
      <c r="R8630" s="10" t="s">
        <v>48515</v>
      </c>
      <c r="S8630" s="11"/>
      <c r="T8630" s="6"/>
      <c r="U8630" s="15" t="str">
        <f>HYPERLINK("https://media.infra-m.ru/2163/2163263/cover/2163263.jpg", "Обложка")</f>
        <v>Обложка</v>
      </c>
      <c r="V8630" s="8" t="s">
        <v>761</v>
      </c>
      <c r="W8630" s="6"/>
      <c r="X8630" s="6"/>
      <c r="Y8630" s="6"/>
      <c r="Z8630" s="6"/>
      <c r="AA8630" s="6" t="s">
        <v>68</v>
      </c>
      <c r="AB8630" s="8" t="s">
        <v>12037</v>
      </c>
      <c r="AC8630" s="27">
        <v>9785160202181</v>
      </c>
    </row>
    <row r="8631" spans="1:29" s="4" customFormat="1" ht="51.9" customHeight="1" x14ac:dyDescent="0.2">
      <c r="A8631" s="5">
        <v>0</v>
      </c>
      <c r="B8631" s="6" t="s">
        <v>48516</v>
      </c>
      <c r="C8631" s="7">
        <v>2165.9</v>
      </c>
      <c r="D8631" s="8" t="s">
        <v>48517</v>
      </c>
      <c r="E8631" s="8" t="s">
        <v>48518</v>
      </c>
      <c r="F8631" s="8" t="s">
        <v>48519</v>
      </c>
      <c r="G8631" s="6" t="s">
        <v>60</v>
      </c>
      <c r="H8631" s="6" t="s">
        <v>34</v>
      </c>
      <c r="I8631" s="8" t="s">
        <v>271</v>
      </c>
      <c r="J8631" s="9">
        <v>1</v>
      </c>
      <c r="K8631" s="9">
        <v>400</v>
      </c>
      <c r="L8631" s="9">
        <v>2023</v>
      </c>
      <c r="M8631" s="8" t="s">
        <v>48520</v>
      </c>
      <c r="N8631" s="8" t="s">
        <v>243</v>
      </c>
      <c r="O8631" s="8" t="s">
        <v>758</v>
      </c>
      <c r="P8631" s="6" t="s">
        <v>51</v>
      </c>
      <c r="Q8631" s="8" t="s">
        <v>52</v>
      </c>
      <c r="R8631" s="10" t="s">
        <v>48521</v>
      </c>
      <c r="S8631" s="11" t="s">
        <v>48522</v>
      </c>
      <c r="T8631" s="6"/>
      <c r="U8631" s="15" t="str">
        <f>HYPERLINK("https://media.infra-m.ru/1981/1981668/cover/1981668.jpg", "Обложка")</f>
        <v>Обложка</v>
      </c>
      <c r="V8631" s="8" t="s">
        <v>2398</v>
      </c>
      <c r="W8631" s="6"/>
      <c r="X8631" s="6"/>
      <c r="Y8631" s="6"/>
      <c r="Z8631" s="6"/>
      <c r="AA8631" s="6" t="s">
        <v>859</v>
      </c>
      <c r="AB8631" s="8"/>
      <c r="AC8631" s="27">
        <v>9785160089676</v>
      </c>
    </row>
    <row r="8632" spans="1:29" s="4" customFormat="1" ht="51.9" customHeight="1" x14ac:dyDescent="0.2">
      <c r="A8632" s="5">
        <v>0</v>
      </c>
      <c r="B8632" s="6" t="s">
        <v>48523</v>
      </c>
      <c r="C8632" s="7">
        <v>1540.8</v>
      </c>
      <c r="D8632" s="8" t="s">
        <v>48524</v>
      </c>
      <c r="E8632" s="8" t="s">
        <v>48525</v>
      </c>
      <c r="F8632" s="8" t="s">
        <v>48526</v>
      </c>
      <c r="G8632" s="6" t="s">
        <v>60</v>
      </c>
      <c r="H8632" s="6" t="s">
        <v>48</v>
      </c>
      <c r="I8632" s="8" t="s">
        <v>253</v>
      </c>
      <c r="J8632" s="9">
        <v>1</v>
      </c>
      <c r="K8632" s="9">
        <v>256</v>
      </c>
      <c r="L8632" s="9">
        <v>2025</v>
      </c>
      <c r="M8632" s="8" t="s">
        <v>48527</v>
      </c>
      <c r="N8632" s="8" t="s">
        <v>585</v>
      </c>
      <c r="O8632" s="8" t="s">
        <v>586</v>
      </c>
      <c r="P8632" s="6" t="s">
        <v>306</v>
      </c>
      <c r="Q8632" s="8" t="s">
        <v>52</v>
      </c>
      <c r="R8632" s="10" t="s">
        <v>29422</v>
      </c>
      <c r="S8632" s="11" t="s">
        <v>48528</v>
      </c>
      <c r="T8632" s="6"/>
      <c r="U8632" s="15" t="str">
        <f>HYPERLINK("https://media.infra-m.ru/2185/2185916/cover/2185916.jpg", "Обложка")</f>
        <v>Обложка</v>
      </c>
      <c r="V8632" s="8" t="s">
        <v>48529</v>
      </c>
      <c r="W8632" s="6"/>
      <c r="X8632" s="6"/>
      <c r="Y8632" s="6"/>
      <c r="Z8632" s="6"/>
      <c r="AA8632" s="6" t="s">
        <v>874</v>
      </c>
      <c r="AB8632" s="8"/>
      <c r="AC8632" s="27">
        <v>9785000910023</v>
      </c>
    </row>
    <row r="8633" spans="1:29" s="4" customFormat="1" ht="51.9" customHeight="1" x14ac:dyDescent="0.2">
      <c r="A8633" s="5">
        <v>0</v>
      </c>
      <c r="B8633" s="6" t="s">
        <v>48530</v>
      </c>
      <c r="C8633" s="7">
        <v>1608</v>
      </c>
      <c r="D8633" s="8" t="s">
        <v>48531</v>
      </c>
      <c r="E8633" s="8" t="s">
        <v>48532</v>
      </c>
      <c r="F8633" s="8" t="s">
        <v>10540</v>
      </c>
      <c r="G8633" s="6" t="s">
        <v>118</v>
      </c>
      <c r="H8633" s="6" t="s">
        <v>34</v>
      </c>
      <c r="I8633" s="8" t="s">
        <v>91</v>
      </c>
      <c r="J8633" s="9">
        <v>1</v>
      </c>
      <c r="K8633" s="9">
        <v>242</v>
      </c>
      <c r="L8633" s="9">
        <v>2026</v>
      </c>
      <c r="M8633" s="8" t="s">
        <v>48533</v>
      </c>
      <c r="N8633" s="8" t="s">
        <v>93</v>
      </c>
      <c r="O8633" s="8" t="s">
        <v>94</v>
      </c>
      <c r="P8633" s="6" t="s">
        <v>48534</v>
      </c>
      <c r="Q8633" s="8" t="s">
        <v>65</v>
      </c>
      <c r="R8633" s="10" t="s">
        <v>48535</v>
      </c>
      <c r="S8633" s="11"/>
      <c r="T8633" s="6"/>
      <c r="U8633" s="15" t="str">
        <f>HYPERLINK("https://media.infra-m.ru/2252/2252416/cover/2252416.jpg", "Обложка")</f>
        <v>Обложка</v>
      </c>
      <c r="V8633" s="8" t="s">
        <v>4230</v>
      </c>
      <c r="W8633" s="6"/>
      <c r="X8633" s="6"/>
      <c r="Y8633" s="6"/>
      <c r="Z8633" s="6"/>
      <c r="AA8633" s="6" t="s">
        <v>1256</v>
      </c>
      <c r="AB8633" s="8"/>
      <c r="AC8633" s="27">
        <v>9785160150789</v>
      </c>
    </row>
    <row r="8634" spans="1:29" s="4" customFormat="1" ht="44.1" customHeight="1" x14ac:dyDescent="0.2">
      <c r="A8634" s="5">
        <v>0</v>
      </c>
      <c r="B8634" s="6" t="s">
        <v>48536</v>
      </c>
      <c r="C8634" s="7">
        <v>1068</v>
      </c>
      <c r="D8634" s="8" t="s">
        <v>48537</v>
      </c>
      <c r="E8634" s="8" t="s">
        <v>48538</v>
      </c>
      <c r="F8634" s="8" t="s">
        <v>48539</v>
      </c>
      <c r="G8634" s="6" t="s">
        <v>33</v>
      </c>
      <c r="H8634" s="6" t="s">
        <v>34</v>
      </c>
      <c r="I8634" s="8" t="s">
        <v>35</v>
      </c>
      <c r="J8634" s="9">
        <v>1</v>
      </c>
      <c r="K8634" s="9">
        <v>181</v>
      </c>
      <c r="L8634" s="9">
        <v>2022</v>
      </c>
      <c r="M8634" s="8" t="s">
        <v>48540</v>
      </c>
      <c r="N8634" s="8" t="s">
        <v>243</v>
      </c>
      <c r="O8634" s="8" t="s">
        <v>1100</v>
      </c>
      <c r="P8634" s="6" t="s">
        <v>39</v>
      </c>
      <c r="Q8634" s="8" t="s">
        <v>40</v>
      </c>
      <c r="R8634" s="10" t="s">
        <v>48541</v>
      </c>
      <c r="S8634" s="11"/>
      <c r="T8634" s="6"/>
      <c r="U8634" s="15" t="str">
        <f>HYPERLINK("https://media.infra-m.ru/1867/1867635/cover/1867635.jpg", "Обложка")</f>
        <v>Обложка</v>
      </c>
      <c r="V8634" s="8" t="s">
        <v>156</v>
      </c>
      <c r="W8634" s="6"/>
      <c r="X8634" s="6"/>
      <c r="Y8634" s="6"/>
      <c r="Z8634" s="6"/>
      <c r="AA8634" s="6" t="s">
        <v>148</v>
      </c>
      <c r="AB8634" s="8"/>
      <c r="AC8634" s="27">
        <v>9785160176888</v>
      </c>
    </row>
    <row r="8635" spans="1:29" s="4" customFormat="1" ht="51.9" customHeight="1" x14ac:dyDescent="0.2">
      <c r="A8635" s="5">
        <v>0</v>
      </c>
      <c r="B8635" s="6" t="s">
        <v>48542</v>
      </c>
      <c r="C8635" s="7">
        <v>2320.8000000000002</v>
      </c>
      <c r="D8635" s="8" t="s">
        <v>48543</v>
      </c>
      <c r="E8635" s="8" t="s">
        <v>48544</v>
      </c>
      <c r="F8635" s="8" t="s">
        <v>48545</v>
      </c>
      <c r="G8635" s="6" t="s">
        <v>60</v>
      </c>
      <c r="H8635" s="6" t="s">
        <v>34</v>
      </c>
      <c r="I8635" s="8" t="s">
        <v>271</v>
      </c>
      <c r="J8635" s="9">
        <v>1</v>
      </c>
      <c r="K8635" s="9">
        <v>351</v>
      </c>
      <c r="L8635" s="9">
        <v>2026</v>
      </c>
      <c r="M8635" s="8" t="s">
        <v>48546</v>
      </c>
      <c r="N8635" s="8" t="s">
        <v>243</v>
      </c>
      <c r="O8635" s="8" t="s">
        <v>385</v>
      </c>
      <c r="P8635" s="6" t="s">
        <v>51</v>
      </c>
      <c r="Q8635" s="8" t="s">
        <v>52</v>
      </c>
      <c r="R8635" s="10" t="s">
        <v>48547</v>
      </c>
      <c r="S8635" s="11"/>
      <c r="T8635" s="6"/>
      <c r="U8635" s="15" t="str">
        <f>HYPERLINK("https://media.infra-m.ru/2191/2191254/cover/2191254.jpg", "Обложка")</f>
        <v>Обложка</v>
      </c>
      <c r="V8635" s="8" t="s">
        <v>2389</v>
      </c>
      <c r="W8635" s="6"/>
      <c r="X8635" s="6"/>
      <c r="Y8635" s="6"/>
      <c r="Z8635" s="6"/>
      <c r="AA8635" s="6" t="s">
        <v>874</v>
      </c>
      <c r="AB8635" s="8"/>
      <c r="AC8635" s="27">
        <v>9785160092805</v>
      </c>
    </row>
    <row r="8636" spans="1:29" s="4" customFormat="1" ht="51.9" customHeight="1" x14ac:dyDescent="0.2">
      <c r="A8636" s="5">
        <v>0</v>
      </c>
      <c r="B8636" s="6" t="s">
        <v>48548</v>
      </c>
      <c r="C8636" s="7">
        <v>2440.8000000000002</v>
      </c>
      <c r="D8636" s="8" t="s">
        <v>48549</v>
      </c>
      <c r="E8636" s="8" t="s">
        <v>48544</v>
      </c>
      <c r="F8636" s="8" t="s">
        <v>48550</v>
      </c>
      <c r="G8636" s="6" t="s">
        <v>118</v>
      </c>
      <c r="H8636" s="6" t="s">
        <v>34</v>
      </c>
      <c r="I8636" s="8" t="s">
        <v>263</v>
      </c>
      <c r="J8636" s="9">
        <v>1</v>
      </c>
      <c r="K8636" s="9">
        <v>351</v>
      </c>
      <c r="L8636" s="9">
        <v>2026</v>
      </c>
      <c r="M8636" s="8" t="s">
        <v>48551</v>
      </c>
      <c r="N8636" s="8" t="s">
        <v>243</v>
      </c>
      <c r="O8636" s="8" t="s">
        <v>385</v>
      </c>
      <c r="P8636" s="6" t="s">
        <v>51</v>
      </c>
      <c r="Q8636" s="8" t="s">
        <v>265</v>
      </c>
      <c r="R8636" s="10" t="s">
        <v>48552</v>
      </c>
      <c r="S8636" s="11" t="s">
        <v>28500</v>
      </c>
      <c r="T8636" s="6" t="s">
        <v>97</v>
      </c>
      <c r="U8636" s="15" t="str">
        <f>HYPERLINK("https://media.infra-m.ru/2262/2262643/cover/2262643.jpg", "Обложка")</f>
        <v>Обложка</v>
      </c>
      <c r="V8636" s="8" t="s">
        <v>2389</v>
      </c>
      <c r="W8636" s="6"/>
      <c r="X8636" s="6"/>
      <c r="Y8636" s="6"/>
      <c r="Z8636" s="6" t="s">
        <v>267</v>
      </c>
      <c r="AA8636" s="6" t="s">
        <v>218</v>
      </c>
      <c r="AB8636" s="8"/>
      <c r="AC8636" s="27">
        <v>9785160156392</v>
      </c>
    </row>
    <row r="8637" spans="1:29" s="4" customFormat="1" ht="51.9" customHeight="1" x14ac:dyDescent="0.2">
      <c r="A8637" s="5">
        <v>0</v>
      </c>
      <c r="B8637" s="6" t="s">
        <v>48553</v>
      </c>
      <c r="C8637" s="7">
        <v>1272</v>
      </c>
      <c r="D8637" s="8" t="s">
        <v>48554</v>
      </c>
      <c r="E8637" s="8" t="s">
        <v>48555</v>
      </c>
      <c r="F8637" s="8" t="s">
        <v>48556</v>
      </c>
      <c r="G8637" s="6" t="s">
        <v>118</v>
      </c>
      <c r="H8637" s="6" t="s">
        <v>34</v>
      </c>
      <c r="I8637" s="8" t="s">
        <v>253</v>
      </c>
      <c r="J8637" s="9">
        <v>1</v>
      </c>
      <c r="K8637" s="9">
        <v>192</v>
      </c>
      <c r="L8637" s="9">
        <v>2026</v>
      </c>
      <c r="M8637" s="8" t="s">
        <v>48557</v>
      </c>
      <c r="N8637" s="8" t="s">
        <v>243</v>
      </c>
      <c r="O8637" s="8" t="s">
        <v>385</v>
      </c>
      <c r="P8637" s="6" t="s">
        <v>51</v>
      </c>
      <c r="Q8637" s="8" t="s">
        <v>52</v>
      </c>
      <c r="R8637" s="10" t="s">
        <v>48558</v>
      </c>
      <c r="S8637" s="11" t="s">
        <v>48559</v>
      </c>
      <c r="T8637" s="6"/>
      <c r="U8637" s="15" t="str">
        <f>HYPERLINK("https://media.infra-m.ru/2246/2246631/cover/2246631.jpg", "Обложка")</f>
        <v>Обложка</v>
      </c>
      <c r="V8637" s="8" t="s">
        <v>2389</v>
      </c>
      <c r="W8637" s="6"/>
      <c r="X8637" s="6"/>
      <c r="Y8637" s="6"/>
      <c r="Z8637" s="6"/>
      <c r="AA8637" s="6" t="s">
        <v>55</v>
      </c>
      <c r="AB8637" s="8"/>
      <c r="AC8637" s="27">
        <v>9785160220260</v>
      </c>
    </row>
    <row r="8638" spans="1:29" s="4" customFormat="1" ht="44.1" customHeight="1" x14ac:dyDescent="0.2">
      <c r="A8638" s="5">
        <v>0</v>
      </c>
      <c r="B8638" s="6" t="s">
        <v>48560</v>
      </c>
      <c r="C8638" s="7">
        <v>1176</v>
      </c>
      <c r="D8638" s="8" t="s">
        <v>48561</v>
      </c>
      <c r="E8638" s="8" t="s">
        <v>48562</v>
      </c>
      <c r="F8638" s="8" t="s">
        <v>48563</v>
      </c>
      <c r="G8638" s="6" t="s">
        <v>60</v>
      </c>
      <c r="H8638" s="6" t="s">
        <v>34</v>
      </c>
      <c r="I8638" s="8" t="s">
        <v>375</v>
      </c>
      <c r="J8638" s="9">
        <v>1</v>
      </c>
      <c r="K8638" s="9">
        <v>146</v>
      </c>
      <c r="L8638" s="9">
        <v>2026</v>
      </c>
      <c r="M8638" s="8" t="s">
        <v>48564</v>
      </c>
      <c r="N8638" s="8" t="s">
        <v>243</v>
      </c>
      <c r="O8638" s="8" t="s">
        <v>385</v>
      </c>
      <c r="P8638" s="6" t="s">
        <v>105</v>
      </c>
      <c r="Q8638" s="8" t="s">
        <v>65</v>
      </c>
      <c r="R8638" s="10" t="s">
        <v>48565</v>
      </c>
      <c r="S8638" s="11"/>
      <c r="T8638" s="6"/>
      <c r="U8638" s="15" t="str">
        <f>HYPERLINK("https://media.infra-m.ru/2221/2221297/cover/2221297.jpg", "Обложка")</f>
        <v>Обложка</v>
      </c>
      <c r="V8638" s="8" t="s">
        <v>379</v>
      </c>
      <c r="W8638" s="6" t="s">
        <v>342</v>
      </c>
      <c r="X8638" s="6"/>
      <c r="Y8638" s="6"/>
      <c r="Z8638" s="6"/>
      <c r="AA8638" s="6" t="s">
        <v>187</v>
      </c>
      <c r="AB8638" s="8"/>
      <c r="AC8638" s="27">
        <v>9785160212999</v>
      </c>
    </row>
    <row r="8639" spans="1:29" s="4" customFormat="1" ht="51.9" customHeight="1" x14ac:dyDescent="0.2">
      <c r="A8639" s="5">
        <v>0</v>
      </c>
      <c r="B8639" s="6" t="s">
        <v>48566</v>
      </c>
      <c r="C8639" s="7">
        <v>2496</v>
      </c>
      <c r="D8639" s="8" t="s">
        <v>48567</v>
      </c>
      <c r="E8639" s="8" t="s">
        <v>48568</v>
      </c>
      <c r="F8639" s="8" t="s">
        <v>48569</v>
      </c>
      <c r="G8639" s="6" t="s">
        <v>118</v>
      </c>
      <c r="H8639" s="6" t="s">
        <v>34</v>
      </c>
      <c r="I8639" s="8"/>
      <c r="J8639" s="9">
        <v>1</v>
      </c>
      <c r="K8639" s="9">
        <v>400</v>
      </c>
      <c r="L8639" s="9">
        <v>2026</v>
      </c>
      <c r="M8639" s="8" t="s">
        <v>48570</v>
      </c>
      <c r="N8639" s="8" t="s">
        <v>63</v>
      </c>
      <c r="O8639" s="8" t="s">
        <v>154</v>
      </c>
      <c r="P8639" s="6" t="s">
        <v>51</v>
      </c>
      <c r="Q8639" s="8" t="s">
        <v>52</v>
      </c>
      <c r="R8639" s="10" t="s">
        <v>6004</v>
      </c>
      <c r="S8639" s="11" t="s">
        <v>48571</v>
      </c>
      <c r="T8639" s="6"/>
      <c r="U8639" s="15" t="str">
        <f>HYPERLINK("https://media.infra-m.ru/2217/2217016/cover/2217016.jpg", "Обложка")</f>
        <v>Обложка</v>
      </c>
      <c r="V8639" s="8" t="s">
        <v>9063</v>
      </c>
      <c r="W8639" s="6"/>
      <c r="X8639" s="6"/>
      <c r="Y8639" s="6"/>
      <c r="Z8639" s="6"/>
      <c r="AA8639" s="6" t="s">
        <v>43</v>
      </c>
      <c r="AB8639" s="8"/>
      <c r="AC8639" s="27">
        <v>9785160052885</v>
      </c>
    </row>
    <row r="8640" spans="1:29" s="4" customFormat="1" ht="51.9" customHeight="1" x14ac:dyDescent="0.2">
      <c r="A8640" s="5">
        <v>0</v>
      </c>
      <c r="B8640" s="6" t="s">
        <v>48572</v>
      </c>
      <c r="C8640" s="7">
        <v>4908</v>
      </c>
      <c r="D8640" s="8" t="s">
        <v>48573</v>
      </c>
      <c r="E8640" s="8" t="s">
        <v>48574</v>
      </c>
      <c r="F8640" s="8" t="s">
        <v>48575</v>
      </c>
      <c r="G8640" s="6" t="s">
        <v>60</v>
      </c>
      <c r="H8640" s="6" t="s">
        <v>34</v>
      </c>
      <c r="I8640" s="8" t="s">
        <v>253</v>
      </c>
      <c r="J8640" s="9">
        <v>1</v>
      </c>
      <c r="K8640" s="9">
        <v>813</v>
      </c>
      <c r="L8640" s="9">
        <v>2026</v>
      </c>
      <c r="M8640" s="8" t="s">
        <v>48576</v>
      </c>
      <c r="N8640" s="8" t="s">
        <v>585</v>
      </c>
      <c r="O8640" s="8" t="s">
        <v>2472</v>
      </c>
      <c r="P8640" s="6" t="s">
        <v>306</v>
      </c>
      <c r="Q8640" s="8" t="s">
        <v>377</v>
      </c>
      <c r="R8640" s="10" t="s">
        <v>48577</v>
      </c>
      <c r="S8640" s="11"/>
      <c r="T8640" s="6"/>
      <c r="U8640" s="15" t="str">
        <f>HYPERLINK("https://media.infra-m.ru/2260/2260418/cover/2260418.jpg", "Обложка")</f>
        <v>Обложка</v>
      </c>
      <c r="V8640" s="8" t="s">
        <v>2529</v>
      </c>
      <c r="W8640" s="6"/>
      <c r="X8640" s="6"/>
      <c r="Y8640" s="6"/>
      <c r="Z8640" s="6"/>
      <c r="AA8640" s="6" t="s">
        <v>1303</v>
      </c>
      <c r="AB8640" s="8"/>
      <c r="AC8640" s="27">
        <v>9785160205823</v>
      </c>
    </row>
    <row r="8641" spans="1:29" s="4" customFormat="1" ht="51.9" customHeight="1" x14ac:dyDescent="0.2">
      <c r="A8641" s="5">
        <v>0</v>
      </c>
      <c r="B8641" s="6" t="s">
        <v>48578</v>
      </c>
      <c r="C8641" s="7">
        <v>3000</v>
      </c>
      <c r="D8641" s="8" t="s">
        <v>48579</v>
      </c>
      <c r="E8641" s="8" t="s">
        <v>48580</v>
      </c>
      <c r="F8641" s="8" t="s">
        <v>48581</v>
      </c>
      <c r="G8641" s="6" t="s">
        <v>118</v>
      </c>
      <c r="H8641" s="6" t="s">
        <v>34</v>
      </c>
      <c r="I8641" s="8" t="s">
        <v>5350</v>
      </c>
      <c r="J8641" s="9">
        <v>1</v>
      </c>
      <c r="K8641" s="9">
        <v>574</v>
      </c>
      <c r="L8641" s="9">
        <v>2021</v>
      </c>
      <c r="M8641" s="8" t="s">
        <v>48582</v>
      </c>
      <c r="N8641" s="8" t="s">
        <v>243</v>
      </c>
      <c r="O8641" s="8" t="s">
        <v>385</v>
      </c>
      <c r="P8641" s="6" t="s">
        <v>306</v>
      </c>
      <c r="Q8641" s="8" t="s">
        <v>377</v>
      </c>
      <c r="R8641" s="10" t="s">
        <v>48577</v>
      </c>
      <c r="S8641" s="11" t="s">
        <v>48583</v>
      </c>
      <c r="T8641" s="6" t="s">
        <v>97</v>
      </c>
      <c r="U8641" s="15" t="str">
        <f>HYPERLINK("https://media.infra-m.ru/1214/1214590/cover/1214590.jpg", "Обложка")</f>
        <v>Обложка</v>
      </c>
      <c r="V8641" s="8" t="s">
        <v>2529</v>
      </c>
      <c r="W8641" s="6"/>
      <c r="X8641" s="6"/>
      <c r="Y8641" s="6"/>
      <c r="Z8641" s="6"/>
      <c r="AA8641" s="6" t="s">
        <v>779</v>
      </c>
      <c r="AB8641" s="8"/>
      <c r="AC8641" s="27">
        <v>9785160110028</v>
      </c>
    </row>
    <row r="8642" spans="1:29" s="4" customFormat="1" ht="51.9" customHeight="1" x14ac:dyDescent="0.2">
      <c r="A8642" s="5">
        <v>0</v>
      </c>
      <c r="B8642" s="6" t="s">
        <v>48584</v>
      </c>
      <c r="C8642" s="7">
        <v>2020.8</v>
      </c>
      <c r="D8642" s="8" t="s">
        <v>48585</v>
      </c>
      <c r="E8642" s="8" t="s">
        <v>48586</v>
      </c>
      <c r="F8642" s="8" t="s">
        <v>48587</v>
      </c>
      <c r="G8642" s="6" t="s">
        <v>118</v>
      </c>
      <c r="H8642" s="6" t="s">
        <v>34</v>
      </c>
      <c r="I8642" s="8" t="s">
        <v>271</v>
      </c>
      <c r="J8642" s="9">
        <v>1</v>
      </c>
      <c r="K8642" s="9">
        <v>336</v>
      </c>
      <c r="L8642" s="9">
        <v>2025</v>
      </c>
      <c r="M8642" s="8" t="s">
        <v>48588</v>
      </c>
      <c r="N8642" s="8" t="s">
        <v>224</v>
      </c>
      <c r="O8642" s="8" t="s">
        <v>225</v>
      </c>
      <c r="P8642" s="6" t="s">
        <v>306</v>
      </c>
      <c r="Q8642" s="8" t="s">
        <v>52</v>
      </c>
      <c r="R8642" s="10" t="s">
        <v>48589</v>
      </c>
      <c r="S8642" s="11" t="s">
        <v>48590</v>
      </c>
      <c r="T8642" s="6"/>
      <c r="U8642" s="15" t="str">
        <f>HYPERLINK("https://media.infra-m.ru/2175/2175177/cover/2175177.jpg", "Обложка")</f>
        <v>Обложка</v>
      </c>
      <c r="V8642" s="8" t="s">
        <v>1599</v>
      </c>
      <c r="W8642" s="6"/>
      <c r="X8642" s="6"/>
      <c r="Y8642" s="6"/>
      <c r="Z8642" s="6"/>
      <c r="AA8642" s="6" t="s">
        <v>99</v>
      </c>
      <c r="AB8642" s="8"/>
      <c r="AC8642" s="27">
        <v>9785160122502</v>
      </c>
    </row>
    <row r="8643" spans="1:29" s="4" customFormat="1" ht="51.9" customHeight="1" x14ac:dyDescent="0.2">
      <c r="A8643" s="5">
        <v>0</v>
      </c>
      <c r="B8643" s="6" t="s">
        <v>48591</v>
      </c>
      <c r="C8643" s="7">
        <v>2028</v>
      </c>
      <c r="D8643" s="8" t="s">
        <v>48592</v>
      </c>
      <c r="E8643" s="8" t="s">
        <v>48586</v>
      </c>
      <c r="F8643" s="8" t="s">
        <v>48587</v>
      </c>
      <c r="G8643" s="6" t="s">
        <v>60</v>
      </c>
      <c r="H8643" s="6" t="s">
        <v>34</v>
      </c>
      <c r="I8643" s="8" t="s">
        <v>263</v>
      </c>
      <c r="J8643" s="9">
        <v>1</v>
      </c>
      <c r="K8643" s="9">
        <v>336</v>
      </c>
      <c r="L8643" s="9">
        <v>2025</v>
      </c>
      <c r="M8643" s="8" t="s">
        <v>48593</v>
      </c>
      <c r="N8643" s="8" t="s">
        <v>243</v>
      </c>
      <c r="O8643" s="8" t="s">
        <v>385</v>
      </c>
      <c r="P8643" s="6" t="s">
        <v>306</v>
      </c>
      <c r="Q8643" s="8" t="s">
        <v>265</v>
      </c>
      <c r="R8643" s="10" t="s">
        <v>48594</v>
      </c>
      <c r="S8643" s="11"/>
      <c r="T8643" s="6"/>
      <c r="U8643" s="15" t="str">
        <f>HYPERLINK("https://media.infra-m.ru/2169/2169778/cover/2169778.jpg", "Обложка")</f>
        <v>Обложка</v>
      </c>
      <c r="V8643" s="8" t="s">
        <v>1599</v>
      </c>
      <c r="W8643" s="6"/>
      <c r="X8643" s="6"/>
      <c r="Y8643" s="6"/>
      <c r="Z8643" s="6" t="s">
        <v>267</v>
      </c>
      <c r="AA8643" s="6" t="s">
        <v>68</v>
      </c>
      <c r="AB8643" s="8"/>
      <c r="AC8643" s="27">
        <v>9785160203423</v>
      </c>
    </row>
    <row r="8644" spans="1:29" s="4" customFormat="1" ht="51.9" customHeight="1" x14ac:dyDescent="0.2">
      <c r="A8644" s="5">
        <v>0</v>
      </c>
      <c r="B8644" s="6" t="s">
        <v>48595</v>
      </c>
      <c r="C8644" s="7">
        <v>2860.8</v>
      </c>
      <c r="D8644" s="8" t="s">
        <v>48596</v>
      </c>
      <c r="E8644" s="8" t="s">
        <v>48597</v>
      </c>
      <c r="F8644" s="8" t="s">
        <v>48598</v>
      </c>
      <c r="G8644" s="6" t="s">
        <v>60</v>
      </c>
      <c r="H8644" s="6" t="s">
        <v>34</v>
      </c>
      <c r="I8644" s="8" t="s">
        <v>271</v>
      </c>
      <c r="J8644" s="9">
        <v>12</v>
      </c>
      <c r="K8644" s="9">
        <v>432</v>
      </c>
      <c r="L8644" s="9">
        <v>2026</v>
      </c>
      <c r="M8644" s="8" t="s">
        <v>48599</v>
      </c>
      <c r="N8644" s="8" t="s">
        <v>243</v>
      </c>
      <c r="O8644" s="8" t="s">
        <v>385</v>
      </c>
      <c r="P8644" s="6" t="s">
        <v>51</v>
      </c>
      <c r="Q8644" s="8" t="s">
        <v>52</v>
      </c>
      <c r="R8644" s="10" t="s">
        <v>594</v>
      </c>
      <c r="S8644" s="11" t="s">
        <v>48600</v>
      </c>
      <c r="T8644" s="6"/>
      <c r="U8644" s="15" t="str">
        <f>HYPERLINK("https://media.infra-m.ru/2253/2253956/cover/2253956.jpg", "Обложка")</f>
        <v>Обложка</v>
      </c>
      <c r="V8644" s="8" t="s">
        <v>2389</v>
      </c>
      <c r="W8644" s="6"/>
      <c r="X8644" s="6"/>
      <c r="Y8644" s="6"/>
      <c r="Z8644" s="6"/>
      <c r="AA8644" s="6" t="s">
        <v>874</v>
      </c>
      <c r="AB8644" s="8"/>
      <c r="AC8644" s="27">
        <v>9785160092799</v>
      </c>
    </row>
    <row r="8645" spans="1:29" s="4" customFormat="1" ht="51.9" customHeight="1" x14ac:dyDescent="0.2">
      <c r="A8645" s="5">
        <v>0</v>
      </c>
      <c r="B8645" s="6" t="s">
        <v>48601</v>
      </c>
      <c r="C8645" s="7">
        <v>2352</v>
      </c>
      <c r="D8645" s="8" t="s">
        <v>48602</v>
      </c>
      <c r="E8645" s="8" t="s">
        <v>48603</v>
      </c>
      <c r="F8645" s="8" t="s">
        <v>48604</v>
      </c>
      <c r="G8645" s="6" t="s">
        <v>118</v>
      </c>
      <c r="H8645" s="6" t="s">
        <v>34</v>
      </c>
      <c r="I8645" s="8" t="s">
        <v>14000</v>
      </c>
      <c r="J8645" s="9">
        <v>1</v>
      </c>
      <c r="K8645" s="9">
        <v>355</v>
      </c>
      <c r="L8645" s="9">
        <v>2026</v>
      </c>
      <c r="M8645" s="8" t="s">
        <v>48605</v>
      </c>
      <c r="N8645" s="8" t="s">
        <v>585</v>
      </c>
      <c r="O8645" s="8" t="s">
        <v>2472</v>
      </c>
      <c r="P8645" s="6" t="s">
        <v>51</v>
      </c>
      <c r="Q8645" s="8" t="s">
        <v>377</v>
      </c>
      <c r="R8645" s="10" t="s">
        <v>48606</v>
      </c>
      <c r="S8645" s="11" t="s">
        <v>48607</v>
      </c>
      <c r="T8645" s="6" t="s">
        <v>97</v>
      </c>
      <c r="U8645" s="15" t="str">
        <f>HYPERLINK("https://media.infra-m.ru/2230/2230647/cover/2230647.jpg", "Обложка")</f>
        <v>Обложка</v>
      </c>
      <c r="V8645" s="8" t="s">
        <v>39233</v>
      </c>
      <c r="W8645" s="6"/>
      <c r="X8645" s="6"/>
      <c r="Y8645" s="6"/>
      <c r="Z8645" s="6"/>
      <c r="AA8645" s="6" t="s">
        <v>148</v>
      </c>
      <c r="AB8645" s="8"/>
      <c r="AC8645" s="27">
        <v>9785160205052</v>
      </c>
    </row>
    <row r="8646" spans="1:29" s="4" customFormat="1" ht="51.9" customHeight="1" x14ac:dyDescent="0.2">
      <c r="A8646" s="5">
        <v>0</v>
      </c>
      <c r="B8646" s="6" t="s">
        <v>48608</v>
      </c>
      <c r="C8646" s="13">
        <v>972</v>
      </c>
      <c r="D8646" s="8" t="s">
        <v>48609</v>
      </c>
      <c r="E8646" s="8" t="s">
        <v>48610</v>
      </c>
      <c r="F8646" s="8" t="s">
        <v>48611</v>
      </c>
      <c r="G8646" s="6" t="s">
        <v>33</v>
      </c>
      <c r="H8646" s="6" t="s">
        <v>34</v>
      </c>
      <c r="I8646" s="8" t="s">
        <v>253</v>
      </c>
      <c r="J8646" s="9">
        <v>1</v>
      </c>
      <c r="K8646" s="9">
        <v>144</v>
      </c>
      <c r="L8646" s="9">
        <v>2026</v>
      </c>
      <c r="M8646" s="8" t="s">
        <v>48612</v>
      </c>
      <c r="N8646" s="8" t="s">
        <v>243</v>
      </c>
      <c r="O8646" s="8" t="s">
        <v>385</v>
      </c>
      <c r="P8646" s="6" t="s">
        <v>51</v>
      </c>
      <c r="Q8646" s="8" t="s">
        <v>65</v>
      </c>
      <c r="R8646" s="10" t="s">
        <v>48613</v>
      </c>
      <c r="S8646" s="11" t="s">
        <v>48614</v>
      </c>
      <c r="T8646" s="6"/>
      <c r="U8646" s="15" t="str">
        <f>HYPERLINK("https://media.infra-m.ru/2213/2213681/cover/2213681.jpg", "Обложка")</f>
        <v>Обложка</v>
      </c>
      <c r="V8646" s="8" t="s">
        <v>2513</v>
      </c>
      <c r="W8646" s="6"/>
      <c r="X8646" s="6"/>
      <c r="Y8646" s="6"/>
      <c r="Z8646" s="6"/>
      <c r="AA8646" s="6" t="s">
        <v>248</v>
      </c>
      <c r="AB8646" s="8"/>
      <c r="AC8646" s="27">
        <v>9785160096599</v>
      </c>
    </row>
    <row r="8647" spans="1:29" s="4" customFormat="1" ht="51.9" customHeight="1" x14ac:dyDescent="0.2">
      <c r="A8647" s="5">
        <v>0</v>
      </c>
      <c r="B8647" s="6" t="s">
        <v>48615</v>
      </c>
      <c r="C8647" s="7">
        <v>1324.8</v>
      </c>
      <c r="D8647" s="8" t="s">
        <v>48616</v>
      </c>
      <c r="E8647" s="8" t="s">
        <v>48617</v>
      </c>
      <c r="F8647" s="8" t="s">
        <v>48618</v>
      </c>
      <c r="G8647" s="6" t="s">
        <v>60</v>
      </c>
      <c r="H8647" s="6" t="s">
        <v>34</v>
      </c>
      <c r="I8647" s="8" t="s">
        <v>1128</v>
      </c>
      <c r="J8647" s="9">
        <v>1</v>
      </c>
      <c r="K8647" s="9">
        <v>200</v>
      </c>
      <c r="L8647" s="9">
        <v>2026</v>
      </c>
      <c r="M8647" s="8" t="s">
        <v>48619</v>
      </c>
      <c r="N8647" s="8" t="s">
        <v>585</v>
      </c>
      <c r="O8647" s="8" t="s">
        <v>1518</v>
      </c>
      <c r="P8647" s="6" t="s">
        <v>51</v>
      </c>
      <c r="Q8647" s="8" t="s">
        <v>52</v>
      </c>
      <c r="R8647" s="10" t="s">
        <v>48620</v>
      </c>
      <c r="S8647" s="11" t="s">
        <v>48621</v>
      </c>
      <c r="T8647" s="6"/>
      <c r="U8647" s="15" t="str">
        <f>HYPERLINK("https://media.infra-m.ru/2239/2239552/cover/2239552.jpg", "Обложка")</f>
        <v>Обложка</v>
      </c>
      <c r="V8647" s="8" t="s">
        <v>1132</v>
      </c>
      <c r="W8647" s="6"/>
      <c r="X8647" s="6"/>
      <c r="Y8647" s="6"/>
      <c r="Z8647" s="6"/>
      <c r="AA8647" s="6" t="s">
        <v>76</v>
      </c>
      <c r="AB8647" s="8"/>
      <c r="AC8647" s="27">
        <v>9785160196695</v>
      </c>
    </row>
    <row r="8648" spans="1:29" s="4" customFormat="1" ht="51.9" customHeight="1" x14ac:dyDescent="0.2">
      <c r="A8648" s="5">
        <v>0</v>
      </c>
      <c r="B8648" s="6" t="s">
        <v>48622</v>
      </c>
      <c r="C8648" s="7">
        <v>1360.8</v>
      </c>
      <c r="D8648" s="8" t="s">
        <v>48623</v>
      </c>
      <c r="E8648" s="8" t="s">
        <v>48624</v>
      </c>
      <c r="F8648" s="8" t="s">
        <v>48625</v>
      </c>
      <c r="G8648" s="6" t="s">
        <v>60</v>
      </c>
      <c r="H8648" s="6" t="s">
        <v>34</v>
      </c>
      <c r="I8648" s="8" t="s">
        <v>7198</v>
      </c>
      <c r="J8648" s="9">
        <v>1</v>
      </c>
      <c r="K8648" s="9">
        <v>219</v>
      </c>
      <c r="L8648" s="9">
        <v>2026</v>
      </c>
      <c r="M8648" s="8" t="s">
        <v>48626</v>
      </c>
      <c r="N8648" s="8" t="s">
        <v>224</v>
      </c>
      <c r="O8648" s="8" t="s">
        <v>225</v>
      </c>
      <c r="P8648" s="6" t="s">
        <v>51</v>
      </c>
      <c r="Q8648" s="8" t="s">
        <v>52</v>
      </c>
      <c r="R8648" s="10" t="s">
        <v>48627</v>
      </c>
      <c r="S8648" s="11" t="s">
        <v>48628</v>
      </c>
      <c r="T8648" s="6"/>
      <c r="U8648" s="15" t="str">
        <f>HYPERLINK("https://media.infra-m.ru/2215/2215955/cover/2215955.jpg", "Обложка")</f>
        <v>Обложка</v>
      </c>
      <c r="V8648" s="8" t="s">
        <v>1083</v>
      </c>
      <c r="W8648" s="6"/>
      <c r="X8648" s="6"/>
      <c r="Y8648" s="6"/>
      <c r="Z8648" s="6"/>
      <c r="AA8648" s="6" t="s">
        <v>86</v>
      </c>
      <c r="AB8648" s="8"/>
      <c r="AC8648" s="27">
        <v>9785160131818</v>
      </c>
    </row>
    <row r="8649" spans="1:29" s="4" customFormat="1" ht="51.9" customHeight="1" x14ac:dyDescent="0.2">
      <c r="A8649" s="5">
        <v>0</v>
      </c>
      <c r="B8649" s="6" t="s">
        <v>48629</v>
      </c>
      <c r="C8649" s="7">
        <v>1308</v>
      </c>
      <c r="D8649" s="8" t="s">
        <v>48630</v>
      </c>
      <c r="E8649" s="8" t="s">
        <v>48631</v>
      </c>
      <c r="F8649" s="8" t="s">
        <v>48632</v>
      </c>
      <c r="G8649" s="6" t="s">
        <v>118</v>
      </c>
      <c r="H8649" s="6" t="s">
        <v>34</v>
      </c>
      <c r="I8649" s="8" t="s">
        <v>263</v>
      </c>
      <c r="J8649" s="9">
        <v>1</v>
      </c>
      <c r="K8649" s="9">
        <v>197</v>
      </c>
      <c r="L8649" s="9">
        <v>2026</v>
      </c>
      <c r="M8649" s="8" t="s">
        <v>48633</v>
      </c>
      <c r="N8649" s="8" t="s">
        <v>224</v>
      </c>
      <c r="O8649" s="8" t="s">
        <v>225</v>
      </c>
      <c r="P8649" s="6" t="s">
        <v>105</v>
      </c>
      <c r="Q8649" s="8" t="s">
        <v>265</v>
      </c>
      <c r="R8649" s="10" t="s">
        <v>48634</v>
      </c>
      <c r="S8649" s="11" t="s">
        <v>10355</v>
      </c>
      <c r="T8649" s="6"/>
      <c r="U8649" s="15" t="str">
        <f>HYPERLINK("https://media.infra-m.ru/2227/2227930/cover/2227930.jpg", "Обложка")</f>
        <v>Обложка</v>
      </c>
      <c r="V8649" s="8" t="s">
        <v>2389</v>
      </c>
      <c r="W8649" s="6"/>
      <c r="X8649" s="6" t="s">
        <v>24</v>
      </c>
      <c r="Y8649" s="6"/>
      <c r="Z8649" s="6" t="s">
        <v>267</v>
      </c>
      <c r="AA8649" s="6" t="s">
        <v>1256</v>
      </c>
      <c r="AB8649" s="8"/>
      <c r="AC8649" s="27">
        <v>9785160159485</v>
      </c>
    </row>
    <row r="8650" spans="1:29" s="4" customFormat="1" ht="51.9" customHeight="1" x14ac:dyDescent="0.2">
      <c r="A8650" s="5">
        <v>0</v>
      </c>
      <c r="B8650" s="6" t="s">
        <v>48635</v>
      </c>
      <c r="C8650" s="7">
        <v>1404</v>
      </c>
      <c r="D8650" s="8" t="s">
        <v>48636</v>
      </c>
      <c r="E8650" s="8" t="s">
        <v>48631</v>
      </c>
      <c r="F8650" s="8" t="s">
        <v>48632</v>
      </c>
      <c r="G8650" s="6" t="s">
        <v>118</v>
      </c>
      <c r="H8650" s="6" t="s">
        <v>34</v>
      </c>
      <c r="I8650" s="8" t="s">
        <v>253</v>
      </c>
      <c r="J8650" s="9">
        <v>1</v>
      </c>
      <c r="K8650" s="9">
        <v>201</v>
      </c>
      <c r="L8650" s="9">
        <v>2027</v>
      </c>
      <c r="M8650" s="8" t="s">
        <v>48637</v>
      </c>
      <c r="N8650" s="8" t="s">
        <v>224</v>
      </c>
      <c r="O8650" s="8" t="s">
        <v>225</v>
      </c>
      <c r="P8650" s="6" t="s">
        <v>105</v>
      </c>
      <c r="Q8650" s="8" t="s">
        <v>52</v>
      </c>
      <c r="R8650" s="10" t="s">
        <v>33605</v>
      </c>
      <c r="S8650" s="11" t="s">
        <v>13531</v>
      </c>
      <c r="T8650" s="6"/>
      <c r="U8650" s="15" t="str">
        <f>HYPERLINK("https://media.infra-m.ru/2262/2262652/cover/2262652.jpg", "Обложка")</f>
        <v>Обложка</v>
      </c>
      <c r="V8650" s="8" t="s">
        <v>2389</v>
      </c>
      <c r="W8650" s="6"/>
      <c r="X8650" s="6"/>
      <c r="Y8650" s="6"/>
      <c r="Z8650" s="6"/>
      <c r="AA8650" s="6" t="s">
        <v>115</v>
      </c>
      <c r="AB8650" s="8"/>
      <c r="AC8650" s="27">
        <v>9785160192178</v>
      </c>
    </row>
    <row r="8651" spans="1:29" s="4" customFormat="1" ht="51.9" customHeight="1" x14ac:dyDescent="0.2">
      <c r="A8651" s="5">
        <v>0</v>
      </c>
      <c r="B8651" s="6" t="s">
        <v>48638</v>
      </c>
      <c r="C8651" s="7">
        <v>4200</v>
      </c>
      <c r="D8651" s="8" t="s">
        <v>48639</v>
      </c>
      <c r="E8651" s="8" t="s">
        <v>48640</v>
      </c>
      <c r="F8651" s="8" t="s">
        <v>48641</v>
      </c>
      <c r="G8651" s="6" t="s">
        <v>60</v>
      </c>
      <c r="H8651" s="6" t="s">
        <v>34</v>
      </c>
      <c r="I8651" s="8" t="s">
        <v>253</v>
      </c>
      <c r="J8651" s="9">
        <v>1</v>
      </c>
      <c r="K8651" s="9">
        <v>606</v>
      </c>
      <c r="L8651" s="9">
        <v>2027</v>
      </c>
      <c r="M8651" s="8" t="s">
        <v>48642</v>
      </c>
      <c r="N8651" s="8" t="s">
        <v>585</v>
      </c>
      <c r="O8651" s="8" t="s">
        <v>1518</v>
      </c>
      <c r="P8651" s="6" t="s">
        <v>306</v>
      </c>
      <c r="Q8651" s="8" t="s">
        <v>65</v>
      </c>
      <c r="R8651" s="10" t="s">
        <v>48643</v>
      </c>
      <c r="S8651" s="11" t="s">
        <v>48644</v>
      </c>
      <c r="T8651" s="6" t="s">
        <v>97</v>
      </c>
      <c r="U8651" s="15" t="str">
        <f>HYPERLINK("https://media.infra-m.ru/2266/2266121/cover/2266121.jpg", "Обложка")</f>
        <v>Обложка</v>
      </c>
      <c r="V8651" s="8" t="s">
        <v>3588</v>
      </c>
      <c r="W8651" s="6"/>
      <c r="X8651" s="6"/>
      <c r="Y8651" s="6"/>
      <c r="Z8651" s="6"/>
      <c r="AA8651" s="6" t="s">
        <v>99</v>
      </c>
      <c r="AB8651" s="8"/>
      <c r="AC8651" s="27">
        <v>9785160185569</v>
      </c>
    </row>
    <row r="8652" spans="1:29" s="4" customFormat="1" ht="51.9" customHeight="1" x14ac:dyDescent="0.2">
      <c r="A8652" s="5">
        <v>0</v>
      </c>
      <c r="B8652" s="6" t="s">
        <v>48645</v>
      </c>
      <c r="C8652" s="7">
        <v>2524.8000000000002</v>
      </c>
      <c r="D8652" s="8" t="s">
        <v>48646</v>
      </c>
      <c r="E8652" s="8" t="s">
        <v>48647</v>
      </c>
      <c r="F8652" s="8" t="s">
        <v>48641</v>
      </c>
      <c r="G8652" s="6" t="s">
        <v>60</v>
      </c>
      <c r="H8652" s="6" t="s">
        <v>34</v>
      </c>
      <c r="I8652" s="8" t="s">
        <v>271</v>
      </c>
      <c r="J8652" s="9">
        <v>1</v>
      </c>
      <c r="K8652" s="9">
        <v>382</v>
      </c>
      <c r="L8652" s="9">
        <v>2026</v>
      </c>
      <c r="M8652" s="8" t="s">
        <v>48648</v>
      </c>
      <c r="N8652" s="8" t="s">
        <v>585</v>
      </c>
      <c r="O8652" s="8" t="s">
        <v>1518</v>
      </c>
      <c r="P8652" s="6" t="s">
        <v>306</v>
      </c>
      <c r="Q8652" s="8" t="s">
        <v>52</v>
      </c>
      <c r="R8652" s="10" t="s">
        <v>48649</v>
      </c>
      <c r="S8652" s="11" t="s">
        <v>48644</v>
      </c>
      <c r="T8652" s="6"/>
      <c r="U8652" s="15" t="str">
        <f>HYPERLINK("https://media.infra-m.ru/2239/2239549/cover/2239549.jpg", "Обложка")</f>
        <v>Обложка</v>
      </c>
      <c r="V8652" s="8" t="s">
        <v>3588</v>
      </c>
      <c r="W8652" s="6"/>
      <c r="X8652" s="6"/>
      <c r="Y8652" s="6"/>
      <c r="Z8652" s="6"/>
      <c r="AA8652" s="6" t="s">
        <v>99</v>
      </c>
      <c r="AB8652" s="8"/>
      <c r="AC8652" s="27">
        <v>9785160117881</v>
      </c>
    </row>
    <row r="8653" spans="1:29" s="4" customFormat="1" ht="51.9" customHeight="1" x14ac:dyDescent="0.2">
      <c r="A8653" s="5">
        <v>0</v>
      </c>
      <c r="B8653" s="6" t="s">
        <v>48650</v>
      </c>
      <c r="C8653" s="7">
        <v>3124.8</v>
      </c>
      <c r="D8653" s="8" t="s">
        <v>48651</v>
      </c>
      <c r="E8653" s="8" t="s">
        <v>48652</v>
      </c>
      <c r="F8653" s="8" t="s">
        <v>48653</v>
      </c>
      <c r="G8653" s="6" t="s">
        <v>60</v>
      </c>
      <c r="H8653" s="6" t="s">
        <v>34</v>
      </c>
      <c r="I8653" s="8" t="s">
        <v>271</v>
      </c>
      <c r="J8653" s="9">
        <v>1</v>
      </c>
      <c r="K8653" s="9">
        <v>474</v>
      </c>
      <c r="L8653" s="9">
        <v>2026</v>
      </c>
      <c r="M8653" s="8" t="s">
        <v>48654</v>
      </c>
      <c r="N8653" s="8" t="s">
        <v>585</v>
      </c>
      <c r="O8653" s="8" t="s">
        <v>1518</v>
      </c>
      <c r="P8653" s="6" t="s">
        <v>51</v>
      </c>
      <c r="Q8653" s="8" t="s">
        <v>52</v>
      </c>
      <c r="R8653" s="10" t="s">
        <v>48655</v>
      </c>
      <c r="S8653" s="11" t="s">
        <v>48656</v>
      </c>
      <c r="T8653" s="6"/>
      <c r="U8653" s="15" t="str">
        <f>HYPERLINK("https://media.infra-m.ru/2239/2239553/cover/2239553.jpg", "Обложка")</f>
        <v>Обложка</v>
      </c>
      <c r="V8653" s="8" t="s">
        <v>7920</v>
      </c>
      <c r="W8653" s="6"/>
      <c r="X8653" s="6"/>
      <c r="Y8653" s="6"/>
      <c r="Z8653" s="6"/>
      <c r="AA8653" s="6" t="s">
        <v>99</v>
      </c>
      <c r="AB8653" s="8"/>
      <c r="AC8653" s="27">
        <v>9785160100678</v>
      </c>
    </row>
    <row r="8654" spans="1:29" s="4" customFormat="1" ht="42" customHeight="1" x14ac:dyDescent="0.2">
      <c r="A8654" s="5">
        <v>0</v>
      </c>
      <c r="B8654" s="6" t="s">
        <v>48657</v>
      </c>
      <c r="C8654" s="7">
        <v>1408.8</v>
      </c>
      <c r="D8654" s="8" t="s">
        <v>48658</v>
      </c>
      <c r="E8654" s="8" t="s">
        <v>48659</v>
      </c>
      <c r="F8654" s="8" t="s">
        <v>48641</v>
      </c>
      <c r="G8654" s="6" t="s">
        <v>60</v>
      </c>
      <c r="H8654" s="6" t="s">
        <v>34</v>
      </c>
      <c r="I8654" s="8" t="s">
        <v>253</v>
      </c>
      <c r="J8654" s="9">
        <v>1</v>
      </c>
      <c r="K8654" s="9">
        <v>214</v>
      </c>
      <c r="L8654" s="9">
        <v>2026</v>
      </c>
      <c r="M8654" s="8" t="s">
        <v>48660</v>
      </c>
      <c r="N8654" s="8" t="s">
        <v>585</v>
      </c>
      <c r="O8654" s="8" t="s">
        <v>1518</v>
      </c>
      <c r="P8654" s="6" t="s">
        <v>51</v>
      </c>
      <c r="Q8654" s="8" t="s">
        <v>65</v>
      </c>
      <c r="R8654" s="10" t="s">
        <v>48661</v>
      </c>
      <c r="S8654" s="11"/>
      <c r="T8654" s="6"/>
      <c r="U8654" s="15" t="str">
        <f>HYPERLINK("https://media.infra-m.ru/2239/2239551/cover/2239551.jpg", "Обложка")</f>
        <v>Обложка</v>
      </c>
      <c r="V8654" s="8" t="s">
        <v>3588</v>
      </c>
      <c r="W8654" s="6"/>
      <c r="X8654" s="6"/>
      <c r="Y8654" s="6"/>
      <c r="Z8654" s="6"/>
      <c r="AA8654" s="6" t="s">
        <v>76</v>
      </c>
      <c r="AB8654" s="8"/>
      <c r="AC8654" s="27">
        <v>9785160183275</v>
      </c>
    </row>
    <row r="8655" spans="1:29" s="4" customFormat="1" ht="42" customHeight="1" x14ac:dyDescent="0.2">
      <c r="A8655" s="5">
        <v>0</v>
      </c>
      <c r="B8655" s="6" t="s">
        <v>48662</v>
      </c>
      <c r="C8655" s="7">
        <v>2224.8000000000002</v>
      </c>
      <c r="D8655" s="8" t="s">
        <v>48663</v>
      </c>
      <c r="E8655" s="8" t="s">
        <v>48664</v>
      </c>
      <c r="F8655" s="8" t="s">
        <v>48641</v>
      </c>
      <c r="G8655" s="6" t="s">
        <v>60</v>
      </c>
      <c r="H8655" s="6" t="s">
        <v>34</v>
      </c>
      <c r="I8655" s="8" t="s">
        <v>253</v>
      </c>
      <c r="J8655" s="9">
        <v>1</v>
      </c>
      <c r="K8655" s="9">
        <v>298</v>
      </c>
      <c r="L8655" s="9">
        <v>2026</v>
      </c>
      <c r="M8655" s="8" t="s">
        <v>48665</v>
      </c>
      <c r="N8655" s="8" t="s">
        <v>585</v>
      </c>
      <c r="O8655" s="8" t="s">
        <v>1518</v>
      </c>
      <c r="P8655" s="6" t="s">
        <v>51</v>
      </c>
      <c r="Q8655" s="8" t="s">
        <v>65</v>
      </c>
      <c r="R8655" s="10" t="s">
        <v>48666</v>
      </c>
      <c r="S8655" s="11"/>
      <c r="T8655" s="6"/>
      <c r="U8655" s="15" t="str">
        <f>HYPERLINK("https://media.infra-m.ru/2239/2239550/cover/2239550.jpg", "Обложка")</f>
        <v>Обложка</v>
      </c>
      <c r="V8655" s="8" t="s">
        <v>3588</v>
      </c>
      <c r="W8655" s="6"/>
      <c r="X8655" s="6"/>
      <c r="Y8655" s="6"/>
      <c r="Z8655" s="6"/>
      <c r="AA8655" s="6" t="s">
        <v>76</v>
      </c>
      <c r="AB8655" s="8" t="s">
        <v>1806</v>
      </c>
      <c r="AC8655" s="27">
        <v>9785160191621</v>
      </c>
    </row>
    <row r="8656" spans="1:29" s="4" customFormat="1" ht="42" customHeight="1" x14ac:dyDescent="0.2">
      <c r="A8656" s="5">
        <v>0</v>
      </c>
      <c r="B8656" s="6" t="s">
        <v>48667</v>
      </c>
      <c r="C8656" s="13">
        <v>876</v>
      </c>
      <c r="D8656" s="8" t="s">
        <v>48668</v>
      </c>
      <c r="E8656" s="8" t="s">
        <v>48669</v>
      </c>
      <c r="F8656" s="8" t="s">
        <v>48670</v>
      </c>
      <c r="G8656" s="6" t="s">
        <v>33</v>
      </c>
      <c r="H8656" s="6" t="s">
        <v>241</v>
      </c>
      <c r="I8656" s="8"/>
      <c r="J8656" s="9">
        <v>1</v>
      </c>
      <c r="K8656" s="9">
        <v>140</v>
      </c>
      <c r="L8656" s="9">
        <v>2025</v>
      </c>
      <c r="M8656" s="8" t="s">
        <v>48671</v>
      </c>
      <c r="N8656" s="8" t="s">
        <v>585</v>
      </c>
      <c r="O8656" s="8" t="s">
        <v>2472</v>
      </c>
      <c r="P8656" s="6" t="s">
        <v>51</v>
      </c>
      <c r="Q8656" s="8" t="s">
        <v>65</v>
      </c>
      <c r="R8656" s="10" t="s">
        <v>48672</v>
      </c>
      <c r="S8656" s="11"/>
      <c r="T8656" s="6"/>
      <c r="U8656" s="15" t="str">
        <f>HYPERLINK("https://media.infra-m.ru/2203/2203051/cover/2203051.jpg", "Обложка")</f>
        <v>Обложка</v>
      </c>
      <c r="V8656" s="8" t="s">
        <v>48673</v>
      </c>
      <c r="W8656" s="6"/>
      <c r="X8656" s="6"/>
      <c r="Y8656" s="6"/>
      <c r="Z8656" s="6"/>
      <c r="AA8656" s="6" t="s">
        <v>274</v>
      </c>
      <c r="AB8656" s="8"/>
      <c r="AC8656" s="27">
        <v>9785955804156</v>
      </c>
    </row>
    <row r="8657" spans="1:29" s="4" customFormat="1" ht="51.9" customHeight="1" x14ac:dyDescent="0.2">
      <c r="A8657" s="5">
        <v>0</v>
      </c>
      <c r="B8657" s="6" t="s">
        <v>48674</v>
      </c>
      <c r="C8657" s="13">
        <v>664.8</v>
      </c>
      <c r="D8657" s="8" t="s">
        <v>48675</v>
      </c>
      <c r="E8657" s="8" t="s">
        <v>48676</v>
      </c>
      <c r="F8657" s="8" t="s">
        <v>48677</v>
      </c>
      <c r="G8657" s="6" t="s">
        <v>60</v>
      </c>
      <c r="H8657" s="6" t="s">
        <v>313</v>
      </c>
      <c r="I8657" s="8" t="s">
        <v>253</v>
      </c>
      <c r="J8657" s="9">
        <v>1</v>
      </c>
      <c r="K8657" s="9">
        <v>106</v>
      </c>
      <c r="L8657" s="9">
        <v>2025</v>
      </c>
      <c r="M8657" s="8" t="s">
        <v>48678</v>
      </c>
      <c r="N8657" s="8" t="s">
        <v>585</v>
      </c>
      <c r="O8657" s="8" t="s">
        <v>667</v>
      </c>
      <c r="P8657" s="6" t="s">
        <v>51</v>
      </c>
      <c r="Q8657" s="8" t="s">
        <v>52</v>
      </c>
      <c r="R8657" s="10" t="s">
        <v>48679</v>
      </c>
      <c r="S8657" s="11" t="s">
        <v>48680</v>
      </c>
      <c r="T8657" s="6"/>
      <c r="U8657" s="15" t="str">
        <f>HYPERLINK("https://media.infra-m.ru/2192/2192219/cover/2192219.jpg", "Обложка")</f>
        <v>Обложка</v>
      </c>
      <c r="V8657" s="8" t="s">
        <v>2088</v>
      </c>
      <c r="W8657" s="6"/>
      <c r="X8657" s="6"/>
      <c r="Y8657" s="6"/>
      <c r="Z8657" s="6"/>
      <c r="AA8657" s="6" t="s">
        <v>55</v>
      </c>
      <c r="AB8657" s="8"/>
      <c r="AC8657" s="27">
        <v>9785369009666</v>
      </c>
    </row>
    <row r="8658" spans="1:29" s="4" customFormat="1" ht="51.9" customHeight="1" x14ac:dyDescent="0.2">
      <c r="A8658" s="5">
        <v>0</v>
      </c>
      <c r="B8658" s="6" t="s">
        <v>48681</v>
      </c>
      <c r="C8658" s="7">
        <v>1132.8</v>
      </c>
      <c r="D8658" s="8" t="s">
        <v>48682</v>
      </c>
      <c r="E8658" s="8" t="s">
        <v>48683</v>
      </c>
      <c r="F8658" s="8" t="s">
        <v>48684</v>
      </c>
      <c r="G8658" s="6" t="s">
        <v>118</v>
      </c>
      <c r="H8658" s="6" t="s">
        <v>313</v>
      </c>
      <c r="I8658" s="8" t="s">
        <v>392</v>
      </c>
      <c r="J8658" s="9">
        <v>1</v>
      </c>
      <c r="K8658" s="9">
        <v>204</v>
      </c>
      <c r="L8658" s="9">
        <v>2026</v>
      </c>
      <c r="M8658" s="8" t="s">
        <v>48685</v>
      </c>
      <c r="N8658" s="8" t="s">
        <v>243</v>
      </c>
      <c r="O8658" s="8" t="s">
        <v>244</v>
      </c>
      <c r="P8658" s="6" t="s">
        <v>51</v>
      </c>
      <c r="Q8658" s="8" t="s">
        <v>52</v>
      </c>
      <c r="R8658" s="10" t="s">
        <v>48686</v>
      </c>
      <c r="S8658" s="11"/>
      <c r="T8658" s="6"/>
      <c r="U8658" s="15" t="str">
        <f>HYPERLINK("https://media.infra-m.ru/2218/2218785/cover/2218785.jpg", "Обложка")</f>
        <v>Обложка</v>
      </c>
      <c r="V8658" s="8" t="s">
        <v>2095</v>
      </c>
      <c r="W8658" s="6"/>
      <c r="X8658" s="6"/>
      <c r="Y8658" s="6"/>
      <c r="Z8658" s="6"/>
      <c r="AA8658" s="6" t="s">
        <v>779</v>
      </c>
      <c r="AB8658" s="8"/>
      <c r="AC8658" s="27">
        <v>9785369016039</v>
      </c>
    </row>
    <row r="8659" spans="1:29" s="4" customFormat="1" ht="51.9" customHeight="1" x14ac:dyDescent="0.2">
      <c r="A8659" s="5">
        <v>0</v>
      </c>
      <c r="B8659" s="6" t="s">
        <v>48687</v>
      </c>
      <c r="C8659" s="7">
        <v>1536</v>
      </c>
      <c r="D8659" s="8" t="s">
        <v>48688</v>
      </c>
      <c r="E8659" s="8" t="s">
        <v>48689</v>
      </c>
      <c r="F8659" s="8" t="s">
        <v>6363</v>
      </c>
      <c r="G8659" s="6" t="s">
        <v>118</v>
      </c>
      <c r="H8659" s="6" t="s">
        <v>34</v>
      </c>
      <c r="I8659" s="8" t="s">
        <v>253</v>
      </c>
      <c r="J8659" s="9">
        <v>1</v>
      </c>
      <c r="K8659" s="9">
        <v>246</v>
      </c>
      <c r="L8659" s="9">
        <v>2026</v>
      </c>
      <c r="M8659" s="8" t="s">
        <v>48690</v>
      </c>
      <c r="N8659" s="8" t="s">
        <v>243</v>
      </c>
      <c r="O8659" s="8" t="s">
        <v>329</v>
      </c>
      <c r="P8659" s="6" t="s">
        <v>51</v>
      </c>
      <c r="Q8659" s="8" t="s">
        <v>52</v>
      </c>
      <c r="R8659" s="10" t="s">
        <v>21763</v>
      </c>
      <c r="S8659" s="11" t="s">
        <v>48691</v>
      </c>
      <c r="T8659" s="6"/>
      <c r="U8659" s="15" t="str">
        <f>HYPERLINK("https://media.infra-m.ru/2214/2214878/cover/2214878.jpg", "Обложка")</f>
        <v>Обложка</v>
      </c>
      <c r="V8659" s="8" t="s">
        <v>843</v>
      </c>
      <c r="W8659" s="6"/>
      <c r="X8659" s="6"/>
      <c r="Y8659" s="6"/>
      <c r="Z8659" s="6"/>
      <c r="AA8659" s="6" t="s">
        <v>86</v>
      </c>
      <c r="AB8659" s="8"/>
      <c r="AC8659" s="27">
        <v>9785160186245</v>
      </c>
    </row>
    <row r="8660" spans="1:29" s="4" customFormat="1" ht="51.9" customHeight="1" x14ac:dyDescent="0.2">
      <c r="A8660" s="5">
        <v>0</v>
      </c>
      <c r="B8660" s="6" t="s">
        <v>48692</v>
      </c>
      <c r="C8660" s="7">
        <v>1320</v>
      </c>
      <c r="D8660" s="8" t="s">
        <v>48693</v>
      </c>
      <c r="E8660" s="8" t="s">
        <v>48689</v>
      </c>
      <c r="F8660" s="8" t="s">
        <v>6363</v>
      </c>
      <c r="G8660" s="6" t="s">
        <v>118</v>
      </c>
      <c r="H8660" s="6" t="s">
        <v>34</v>
      </c>
      <c r="I8660" s="8" t="s">
        <v>263</v>
      </c>
      <c r="J8660" s="9">
        <v>1</v>
      </c>
      <c r="K8660" s="9">
        <v>246</v>
      </c>
      <c r="L8660" s="9">
        <v>2023</v>
      </c>
      <c r="M8660" s="8" t="s">
        <v>48694</v>
      </c>
      <c r="N8660" s="8" t="s">
        <v>243</v>
      </c>
      <c r="O8660" s="8" t="s">
        <v>329</v>
      </c>
      <c r="P8660" s="6" t="s">
        <v>51</v>
      </c>
      <c r="Q8660" s="8" t="s">
        <v>265</v>
      </c>
      <c r="R8660" s="10" t="s">
        <v>48695</v>
      </c>
      <c r="S8660" s="11" t="s">
        <v>48696</v>
      </c>
      <c r="T8660" s="6"/>
      <c r="U8660" s="15" t="str">
        <f>HYPERLINK("https://media.infra-m.ru/1926/1926399/cover/1926399.jpg", "Обложка")</f>
        <v>Обложка</v>
      </c>
      <c r="V8660" s="8" t="s">
        <v>843</v>
      </c>
      <c r="W8660" s="6"/>
      <c r="X8660" s="6"/>
      <c r="Y8660" s="6"/>
      <c r="Z8660" s="6" t="s">
        <v>267</v>
      </c>
      <c r="AA8660" s="6" t="s">
        <v>430</v>
      </c>
      <c r="AB8660" s="8"/>
      <c r="AC8660" s="27">
        <v>9785160169828</v>
      </c>
    </row>
    <row r="8661" spans="1:29" s="4" customFormat="1" ht="51.9" customHeight="1" x14ac:dyDescent="0.2">
      <c r="A8661" s="5">
        <v>0</v>
      </c>
      <c r="B8661" s="6" t="s">
        <v>48697</v>
      </c>
      <c r="C8661" s="7">
        <v>1116</v>
      </c>
      <c r="D8661" s="8" t="s">
        <v>48698</v>
      </c>
      <c r="E8661" s="8" t="s">
        <v>48699</v>
      </c>
      <c r="F8661" s="8" t="s">
        <v>48700</v>
      </c>
      <c r="G8661" s="6" t="s">
        <v>118</v>
      </c>
      <c r="H8661" s="6" t="s">
        <v>34</v>
      </c>
      <c r="I8661" s="8" t="s">
        <v>253</v>
      </c>
      <c r="J8661" s="9">
        <v>1</v>
      </c>
      <c r="K8661" s="9">
        <v>160</v>
      </c>
      <c r="L8661" s="9">
        <v>2027</v>
      </c>
      <c r="M8661" s="8" t="s">
        <v>48701</v>
      </c>
      <c r="N8661" s="8" t="s">
        <v>585</v>
      </c>
      <c r="O8661" s="8" t="s">
        <v>667</v>
      </c>
      <c r="P8661" s="6" t="s">
        <v>51</v>
      </c>
      <c r="Q8661" s="8" t="s">
        <v>500</v>
      </c>
      <c r="R8661" s="10" t="s">
        <v>48702</v>
      </c>
      <c r="S8661" s="11" t="s">
        <v>48703</v>
      </c>
      <c r="T8661" s="6"/>
      <c r="U8661" s="15" t="str">
        <f>HYPERLINK("https://media.infra-m.ru/2259/2259448/cover/2259448.jpg", "Обложка")</f>
        <v>Обложка</v>
      </c>
      <c r="V8661" s="8" t="s">
        <v>7167</v>
      </c>
      <c r="W8661" s="6"/>
      <c r="X8661" s="6"/>
      <c r="Y8661" s="6"/>
      <c r="Z8661" s="6"/>
      <c r="AA8661" s="6" t="s">
        <v>623</v>
      </c>
      <c r="AB8661" s="8"/>
      <c r="AC8661" s="27">
        <v>9785160222424</v>
      </c>
    </row>
    <row r="8662" spans="1:29" s="4" customFormat="1" ht="51.9" customHeight="1" x14ac:dyDescent="0.2">
      <c r="A8662" s="5">
        <v>0</v>
      </c>
      <c r="B8662" s="6" t="s">
        <v>48704</v>
      </c>
      <c r="C8662" s="7">
        <v>2116.8000000000002</v>
      </c>
      <c r="D8662" s="8" t="s">
        <v>48705</v>
      </c>
      <c r="E8662" s="8" t="s">
        <v>48706</v>
      </c>
      <c r="F8662" s="8" t="s">
        <v>48707</v>
      </c>
      <c r="G8662" s="6" t="s">
        <v>60</v>
      </c>
      <c r="H8662" s="6" t="s">
        <v>820</v>
      </c>
      <c r="I8662" s="8" t="s">
        <v>1904</v>
      </c>
      <c r="J8662" s="9">
        <v>1</v>
      </c>
      <c r="K8662" s="9">
        <v>304</v>
      </c>
      <c r="L8662" s="9">
        <v>2027</v>
      </c>
      <c r="M8662" s="8" t="s">
        <v>48708</v>
      </c>
      <c r="N8662" s="8" t="s">
        <v>243</v>
      </c>
      <c r="O8662" s="8" t="s">
        <v>758</v>
      </c>
      <c r="P8662" s="6" t="s">
        <v>306</v>
      </c>
      <c r="Q8662" s="8" t="s">
        <v>52</v>
      </c>
      <c r="R8662" s="10" t="s">
        <v>33543</v>
      </c>
      <c r="S8662" s="11" t="s">
        <v>48709</v>
      </c>
      <c r="T8662" s="6"/>
      <c r="U8662" s="15" t="str">
        <f>HYPERLINK("https://media.infra-m.ru/2260/2260571/cover/2260571.jpg", "Обложка")</f>
        <v>Обложка</v>
      </c>
      <c r="V8662" s="8" t="s">
        <v>831</v>
      </c>
      <c r="W8662" s="6"/>
      <c r="X8662" s="6"/>
      <c r="Y8662" s="6"/>
      <c r="Z8662" s="6"/>
      <c r="AA8662" s="6" t="s">
        <v>623</v>
      </c>
      <c r="AB8662" s="8"/>
      <c r="AC8662" s="27">
        <v>9785906818973</v>
      </c>
    </row>
    <row r="8663" spans="1:29" s="4" customFormat="1" ht="51.9" customHeight="1" x14ac:dyDescent="0.2">
      <c r="A8663" s="5">
        <v>0</v>
      </c>
      <c r="B8663" s="6" t="s">
        <v>48710</v>
      </c>
      <c r="C8663" s="7">
        <v>1541.9</v>
      </c>
      <c r="D8663" s="8" t="s">
        <v>48711</v>
      </c>
      <c r="E8663" s="8" t="s">
        <v>48712</v>
      </c>
      <c r="F8663" s="8" t="s">
        <v>33541</v>
      </c>
      <c r="G8663" s="6" t="s">
        <v>60</v>
      </c>
      <c r="H8663" s="6" t="s">
        <v>34</v>
      </c>
      <c r="I8663" s="8" t="s">
        <v>271</v>
      </c>
      <c r="J8663" s="9">
        <v>1</v>
      </c>
      <c r="K8663" s="9">
        <v>286</v>
      </c>
      <c r="L8663" s="9">
        <v>2023</v>
      </c>
      <c r="M8663" s="8" t="s">
        <v>48713</v>
      </c>
      <c r="N8663" s="8" t="s">
        <v>243</v>
      </c>
      <c r="O8663" s="8" t="s">
        <v>758</v>
      </c>
      <c r="P8663" s="6" t="s">
        <v>51</v>
      </c>
      <c r="Q8663" s="8" t="s">
        <v>52</v>
      </c>
      <c r="R8663" s="10" t="s">
        <v>33396</v>
      </c>
      <c r="S8663" s="11" t="s">
        <v>33544</v>
      </c>
      <c r="T8663" s="6"/>
      <c r="U8663" s="15" t="str">
        <f>HYPERLINK("https://media.infra-m.ru/1981/1981707/cover/1981707.jpg", "Обложка")</f>
        <v>Обложка</v>
      </c>
      <c r="V8663" s="8" t="s">
        <v>3428</v>
      </c>
      <c r="W8663" s="6"/>
      <c r="X8663" s="6"/>
      <c r="Y8663" s="6"/>
      <c r="Z8663" s="6"/>
      <c r="AA8663" s="6" t="s">
        <v>248</v>
      </c>
      <c r="AB8663" s="8"/>
      <c r="AC8663" s="27">
        <v>9785160063812</v>
      </c>
    </row>
    <row r="8664" spans="1:29" s="4" customFormat="1" ht="42" customHeight="1" x14ac:dyDescent="0.2">
      <c r="A8664" s="5">
        <v>0</v>
      </c>
      <c r="B8664" s="6" t="s">
        <v>48714</v>
      </c>
      <c r="C8664" s="7">
        <v>1781.9</v>
      </c>
      <c r="D8664" s="8" t="s">
        <v>48715</v>
      </c>
      <c r="E8664" s="8" t="s">
        <v>48716</v>
      </c>
      <c r="F8664" s="8" t="s">
        <v>48717</v>
      </c>
      <c r="G8664" s="6" t="s">
        <v>60</v>
      </c>
      <c r="H8664" s="6" t="s">
        <v>34</v>
      </c>
      <c r="I8664" s="8" t="s">
        <v>1081</v>
      </c>
      <c r="J8664" s="9">
        <v>1</v>
      </c>
      <c r="K8664" s="9">
        <v>424</v>
      </c>
      <c r="L8664" s="9">
        <v>2020</v>
      </c>
      <c r="M8664" s="8" t="s">
        <v>48718</v>
      </c>
      <c r="N8664" s="8" t="s">
        <v>585</v>
      </c>
      <c r="O8664" s="8" t="s">
        <v>775</v>
      </c>
      <c r="P8664" s="6" t="s">
        <v>39</v>
      </c>
      <c r="Q8664" s="8" t="s">
        <v>40</v>
      </c>
      <c r="R8664" s="10"/>
      <c r="S8664" s="11"/>
      <c r="T8664" s="6"/>
      <c r="U8664" s="15" t="str">
        <f>HYPERLINK("https://media.infra-m.ru/1044/1044616/cover/1044616.jpg", "Обложка")</f>
        <v>Обложка</v>
      </c>
      <c r="V8664" s="8" t="s">
        <v>1083</v>
      </c>
      <c r="W8664" s="6"/>
      <c r="X8664" s="6"/>
      <c r="Y8664" s="6"/>
      <c r="Z8664" s="6"/>
      <c r="AA8664" s="6" t="s">
        <v>86</v>
      </c>
      <c r="AB8664" s="8"/>
      <c r="AC8664" s="27">
        <v>9785160133652</v>
      </c>
    </row>
    <row r="8665" spans="1:29" s="4" customFormat="1" ht="51.9" customHeight="1" x14ac:dyDescent="0.2">
      <c r="A8665" s="5">
        <v>0</v>
      </c>
      <c r="B8665" s="6" t="s">
        <v>48719</v>
      </c>
      <c r="C8665" s="7">
        <v>1404</v>
      </c>
      <c r="D8665" s="8" t="s">
        <v>48720</v>
      </c>
      <c r="E8665" s="8" t="s">
        <v>48721</v>
      </c>
      <c r="F8665" s="8" t="s">
        <v>48722</v>
      </c>
      <c r="G8665" s="6" t="s">
        <v>118</v>
      </c>
      <c r="H8665" s="6" t="s">
        <v>34</v>
      </c>
      <c r="I8665" s="8" t="s">
        <v>263</v>
      </c>
      <c r="J8665" s="9">
        <v>1</v>
      </c>
      <c r="K8665" s="9">
        <v>218</v>
      </c>
      <c r="L8665" s="9">
        <v>2026</v>
      </c>
      <c r="M8665" s="8" t="s">
        <v>48723</v>
      </c>
      <c r="N8665" s="8" t="s">
        <v>93</v>
      </c>
      <c r="O8665" s="8" t="s">
        <v>94</v>
      </c>
      <c r="P8665" s="6" t="s">
        <v>105</v>
      </c>
      <c r="Q8665" s="8" t="s">
        <v>265</v>
      </c>
      <c r="R8665" s="10" t="s">
        <v>48724</v>
      </c>
      <c r="S8665" s="11" t="s">
        <v>48725</v>
      </c>
      <c r="T8665" s="6"/>
      <c r="U8665" s="15" t="str">
        <f>HYPERLINK("https://media.infra-m.ru/2215/2215357/cover/2215357.jpg", "Обложка")</f>
        <v>Обложка</v>
      </c>
      <c r="V8665" s="8" t="s">
        <v>227</v>
      </c>
      <c r="W8665" s="6"/>
      <c r="X8665" s="6"/>
      <c r="Y8665" s="6"/>
      <c r="Z8665" s="6"/>
      <c r="AA8665" s="6" t="s">
        <v>1256</v>
      </c>
      <c r="AB8665" s="8"/>
      <c r="AC8665" s="27">
        <v>9785160148731</v>
      </c>
    </row>
    <row r="8666" spans="1:29" s="4" customFormat="1" ht="51.9" customHeight="1" x14ac:dyDescent="0.2">
      <c r="A8666" s="5">
        <v>0</v>
      </c>
      <c r="B8666" s="6" t="s">
        <v>48726</v>
      </c>
      <c r="C8666" s="7">
        <v>1300.8</v>
      </c>
      <c r="D8666" s="8" t="s">
        <v>48727</v>
      </c>
      <c r="E8666" s="8" t="s">
        <v>48728</v>
      </c>
      <c r="F8666" s="8" t="s">
        <v>48729</v>
      </c>
      <c r="G8666" s="6" t="s">
        <v>60</v>
      </c>
      <c r="H8666" s="6" t="s">
        <v>34</v>
      </c>
      <c r="I8666" s="8" t="s">
        <v>22713</v>
      </c>
      <c r="J8666" s="9">
        <v>1</v>
      </c>
      <c r="K8666" s="9">
        <v>196</v>
      </c>
      <c r="L8666" s="9">
        <v>2026</v>
      </c>
      <c r="M8666" s="8" t="s">
        <v>48730</v>
      </c>
      <c r="N8666" s="8" t="s">
        <v>585</v>
      </c>
      <c r="O8666" s="8" t="s">
        <v>667</v>
      </c>
      <c r="P8666" s="6" t="s">
        <v>51</v>
      </c>
      <c r="Q8666" s="8" t="s">
        <v>500</v>
      </c>
      <c r="R8666" s="10" t="s">
        <v>1637</v>
      </c>
      <c r="S8666" s="11" t="s">
        <v>48731</v>
      </c>
      <c r="T8666" s="6"/>
      <c r="U8666" s="15" t="str">
        <f>HYPERLINK("https://media.infra-m.ru/2226/2226489/cover/2226489.jpg", "Обложка")</f>
        <v>Обложка</v>
      </c>
      <c r="V8666" s="8" t="s">
        <v>414</v>
      </c>
      <c r="W8666" s="6"/>
      <c r="X8666" s="6"/>
      <c r="Y8666" s="6"/>
      <c r="Z8666" s="6"/>
      <c r="AA8666" s="6" t="s">
        <v>430</v>
      </c>
      <c r="AB8666" s="8"/>
      <c r="AC8666" s="27">
        <v>9785160149936</v>
      </c>
    </row>
    <row r="8667" spans="1:29" s="4" customFormat="1" ht="51.9" customHeight="1" x14ac:dyDescent="0.2">
      <c r="A8667" s="5">
        <v>0</v>
      </c>
      <c r="B8667" s="6" t="s">
        <v>48732</v>
      </c>
      <c r="C8667" s="7">
        <v>1528.8</v>
      </c>
      <c r="D8667" s="8" t="s">
        <v>48733</v>
      </c>
      <c r="E8667" s="8" t="s">
        <v>48734</v>
      </c>
      <c r="F8667" s="8" t="s">
        <v>48735</v>
      </c>
      <c r="G8667" s="6" t="s">
        <v>118</v>
      </c>
      <c r="H8667" s="6" t="s">
        <v>34</v>
      </c>
      <c r="I8667" s="8" t="s">
        <v>7198</v>
      </c>
      <c r="J8667" s="9">
        <v>1</v>
      </c>
      <c r="K8667" s="9">
        <v>280</v>
      </c>
      <c r="L8667" s="9">
        <v>2023</v>
      </c>
      <c r="M8667" s="8" t="s">
        <v>48736</v>
      </c>
      <c r="N8667" s="8" t="s">
        <v>585</v>
      </c>
      <c r="O8667" s="8" t="s">
        <v>1518</v>
      </c>
      <c r="P8667" s="6" t="s">
        <v>51</v>
      </c>
      <c r="Q8667" s="8" t="s">
        <v>52</v>
      </c>
      <c r="R8667" s="10" t="s">
        <v>48737</v>
      </c>
      <c r="S8667" s="11" t="s">
        <v>48738</v>
      </c>
      <c r="T8667" s="6"/>
      <c r="U8667" s="15" t="str">
        <f>HYPERLINK("https://media.infra-m.ru/2006/2006823/cover/2006823.jpg", "Обложка")</f>
        <v>Обложка</v>
      </c>
      <c r="V8667" s="8" t="s">
        <v>1083</v>
      </c>
      <c r="W8667" s="6"/>
      <c r="X8667" s="6"/>
      <c r="Y8667" s="6"/>
      <c r="Z8667" s="6"/>
      <c r="AA8667" s="6" t="s">
        <v>86</v>
      </c>
      <c r="AB8667" s="8"/>
      <c r="AC8667" s="27">
        <v>9785160129624</v>
      </c>
    </row>
    <row r="8668" spans="1:29" s="4" customFormat="1" ht="51.9" customHeight="1" x14ac:dyDescent="0.2">
      <c r="A8668" s="5">
        <v>0</v>
      </c>
      <c r="B8668" s="6" t="s">
        <v>48739</v>
      </c>
      <c r="C8668" s="7">
        <v>1156.8</v>
      </c>
      <c r="D8668" s="8" t="s">
        <v>48740</v>
      </c>
      <c r="E8668" s="8" t="s">
        <v>48741</v>
      </c>
      <c r="F8668" s="8" t="s">
        <v>48742</v>
      </c>
      <c r="G8668" s="6" t="s">
        <v>33</v>
      </c>
      <c r="H8668" s="6" t="s">
        <v>34</v>
      </c>
      <c r="I8668" s="8" t="s">
        <v>35</v>
      </c>
      <c r="J8668" s="9">
        <v>1</v>
      </c>
      <c r="K8668" s="9">
        <v>184</v>
      </c>
      <c r="L8668" s="9">
        <v>2025</v>
      </c>
      <c r="M8668" s="8" t="s">
        <v>48743</v>
      </c>
      <c r="N8668" s="8" t="s">
        <v>63</v>
      </c>
      <c r="O8668" s="8" t="s">
        <v>126</v>
      </c>
      <c r="P8668" s="6" t="s">
        <v>39</v>
      </c>
      <c r="Q8668" s="8" t="s">
        <v>40</v>
      </c>
      <c r="R8668" s="10" t="s">
        <v>127</v>
      </c>
      <c r="S8668" s="11"/>
      <c r="T8668" s="6"/>
      <c r="U8668" s="15" t="str">
        <f>HYPERLINK("https://media.infra-m.ru/2192/2192213/cover/2192213.jpg", "Обложка")</f>
        <v>Обложка</v>
      </c>
      <c r="V8668" s="8" t="s">
        <v>2088</v>
      </c>
      <c r="W8668" s="6"/>
      <c r="X8668" s="6"/>
      <c r="Y8668" s="6"/>
      <c r="Z8668" s="6"/>
      <c r="AA8668" s="6" t="s">
        <v>43</v>
      </c>
      <c r="AB8668" s="8"/>
      <c r="AC8668" s="27">
        <v>9785160054353</v>
      </c>
    </row>
    <row r="8669" spans="1:29" s="4" customFormat="1" ht="42" customHeight="1" x14ac:dyDescent="0.2">
      <c r="A8669" s="5">
        <v>0</v>
      </c>
      <c r="B8669" s="6" t="s">
        <v>48744</v>
      </c>
      <c r="C8669" s="7">
        <v>1468.8</v>
      </c>
      <c r="D8669" s="8" t="s">
        <v>48745</v>
      </c>
      <c r="E8669" s="8" t="s">
        <v>48746</v>
      </c>
      <c r="F8669" s="8" t="s">
        <v>48747</v>
      </c>
      <c r="G8669" s="6" t="s">
        <v>33</v>
      </c>
      <c r="H8669" s="6" t="s">
        <v>34</v>
      </c>
      <c r="I8669" s="8" t="s">
        <v>35</v>
      </c>
      <c r="J8669" s="9">
        <v>1</v>
      </c>
      <c r="K8669" s="9">
        <v>223</v>
      </c>
      <c r="L8669" s="9">
        <v>2026</v>
      </c>
      <c r="M8669" s="8" t="s">
        <v>48748</v>
      </c>
      <c r="N8669" s="8" t="s">
        <v>243</v>
      </c>
      <c r="O8669" s="8" t="s">
        <v>385</v>
      </c>
      <c r="P8669" s="6" t="s">
        <v>39</v>
      </c>
      <c r="Q8669" s="8" t="s">
        <v>40</v>
      </c>
      <c r="R8669" s="10" t="s">
        <v>48749</v>
      </c>
      <c r="S8669" s="11"/>
      <c r="T8669" s="6"/>
      <c r="U8669" s="15" t="str">
        <f>HYPERLINK("https://media.infra-m.ru/2230/2230204/cover/2230204.jpg", "Обложка")</f>
        <v>Обложка</v>
      </c>
      <c r="V8669" s="8" t="s">
        <v>10380</v>
      </c>
      <c r="W8669" s="6"/>
      <c r="X8669" s="6"/>
      <c r="Y8669" s="6"/>
      <c r="Z8669" s="6"/>
      <c r="AA8669" s="6" t="s">
        <v>248</v>
      </c>
      <c r="AB8669" s="8"/>
      <c r="AC8669" s="27">
        <v>9785160065397</v>
      </c>
    </row>
    <row r="8670" spans="1:29" s="4" customFormat="1" ht="51.9" customHeight="1" x14ac:dyDescent="0.2">
      <c r="A8670" s="5">
        <v>0</v>
      </c>
      <c r="B8670" s="6" t="s">
        <v>48750</v>
      </c>
      <c r="C8670" s="7">
        <v>1564.8</v>
      </c>
      <c r="D8670" s="8" t="s">
        <v>48751</v>
      </c>
      <c r="E8670" s="8" t="s">
        <v>48752</v>
      </c>
      <c r="F8670" s="8" t="s">
        <v>48747</v>
      </c>
      <c r="G8670" s="6" t="s">
        <v>33</v>
      </c>
      <c r="H8670" s="6" t="s">
        <v>34</v>
      </c>
      <c r="I8670" s="8" t="s">
        <v>35</v>
      </c>
      <c r="J8670" s="9">
        <v>1</v>
      </c>
      <c r="K8670" s="9">
        <v>238</v>
      </c>
      <c r="L8670" s="9">
        <v>2026</v>
      </c>
      <c r="M8670" s="8" t="s">
        <v>48753</v>
      </c>
      <c r="N8670" s="8" t="s">
        <v>243</v>
      </c>
      <c r="O8670" s="8" t="s">
        <v>385</v>
      </c>
      <c r="P8670" s="6" t="s">
        <v>39</v>
      </c>
      <c r="Q8670" s="8" t="s">
        <v>40</v>
      </c>
      <c r="R8670" s="10" t="s">
        <v>48754</v>
      </c>
      <c r="S8670" s="11"/>
      <c r="T8670" s="6"/>
      <c r="U8670" s="15" t="str">
        <f>HYPERLINK("https://media.infra-m.ru/2230/2230422/cover/2230422.jpg", "Обложка")</f>
        <v>Обложка</v>
      </c>
      <c r="V8670" s="8" t="s">
        <v>10380</v>
      </c>
      <c r="W8670" s="6"/>
      <c r="X8670" s="6"/>
      <c r="Y8670" s="6"/>
      <c r="Z8670" s="6"/>
      <c r="AA8670" s="6" t="s">
        <v>55</v>
      </c>
      <c r="AB8670" s="8"/>
      <c r="AC8670" s="27">
        <v>9785160068374</v>
      </c>
    </row>
    <row r="8671" spans="1:29" s="4" customFormat="1" ht="51.9" customHeight="1" x14ac:dyDescent="0.2">
      <c r="A8671" s="5">
        <v>0</v>
      </c>
      <c r="B8671" s="6" t="s">
        <v>48755</v>
      </c>
      <c r="C8671" s="7">
        <v>1344</v>
      </c>
      <c r="D8671" s="8" t="s">
        <v>48756</v>
      </c>
      <c r="E8671" s="8" t="s">
        <v>48757</v>
      </c>
      <c r="F8671" s="8" t="s">
        <v>48747</v>
      </c>
      <c r="G8671" s="6" t="s">
        <v>33</v>
      </c>
      <c r="H8671" s="6" t="s">
        <v>34</v>
      </c>
      <c r="I8671" s="8" t="s">
        <v>35</v>
      </c>
      <c r="J8671" s="9">
        <v>1</v>
      </c>
      <c r="K8671" s="9">
        <v>204</v>
      </c>
      <c r="L8671" s="9">
        <v>2026</v>
      </c>
      <c r="M8671" s="8" t="s">
        <v>48758</v>
      </c>
      <c r="N8671" s="8" t="s">
        <v>243</v>
      </c>
      <c r="O8671" s="8" t="s">
        <v>385</v>
      </c>
      <c r="P8671" s="6" t="s">
        <v>39</v>
      </c>
      <c r="Q8671" s="8" t="s">
        <v>40</v>
      </c>
      <c r="R8671" s="10" t="s">
        <v>48759</v>
      </c>
      <c r="S8671" s="11"/>
      <c r="T8671" s="6" t="s">
        <v>97</v>
      </c>
      <c r="U8671" s="15" t="str">
        <f>HYPERLINK("https://media.infra-m.ru/2225/2225441/cover/2225441.jpg", "Обложка")</f>
        <v>Обложка</v>
      </c>
      <c r="V8671" s="8" t="s">
        <v>10380</v>
      </c>
      <c r="W8671" s="6"/>
      <c r="X8671" s="6"/>
      <c r="Y8671" s="6"/>
      <c r="Z8671" s="6"/>
      <c r="AA8671" s="6" t="s">
        <v>274</v>
      </c>
      <c r="AB8671" s="8"/>
      <c r="AC8671" s="27">
        <v>9785160092874</v>
      </c>
    </row>
    <row r="8672" spans="1:29" s="4" customFormat="1" ht="44.1" customHeight="1" x14ac:dyDescent="0.2">
      <c r="A8672" s="5">
        <v>0</v>
      </c>
      <c r="B8672" s="6" t="s">
        <v>48760</v>
      </c>
      <c r="C8672" s="7">
        <v>1248</v>
      </c>
      <c r="D8672" s="8" t="s">
        <v>48761</v>
      </c>
      <c r="E8672" s="8" t="s">
        <v>48762</v>
      </c>
      <c r="F8672" s="8" t="s">
        <v>48763</v>
      </c>
      <c r="G8672" s="6" t="s">
        <v>60</v>
      </c>
      <c r="H8672" s="6" t="s">
        <v>34</v>
      </c>
      <c r="I8672" s="8" t="s">
        <v>253</v>
      </c>
      <c r="J8672" s="9">
        <v>1</v>
      </c>
      <c r="K8672" s="9">
        <v>206</v>
      </c>
      <c r="L8672" s="9">
        <v>2025</v>
      </c>
      <c r="M8672" s="8" t="s">
        <v>48764</v>
      </c>
      <c r="N8672" s="8" t="s">
        <v>63</v>
      </c>
      <c r="O8672" s="8" t="s">
        <v>64</v>
      </c>
      <c r="P8672" s="6" t="s">
        <v>51</v>
      </c>
      <c r="Q8672" s="8" t="s">
        <v>52</v>
      </c>
      <c r="R8672" s="10" t="s">
        <v>48765</v>
      </c>
      <c r="S8672" s="11"/>
      <c r="T8672" s="6"/>
      <c r="U8672" s="15" t="str">
        <f>HYPERLINK("https://media.infra-m.ru/1855/1855749/cover/1855749.jpg", "Обложка")</f>
        <v>Обложка</v>
      </c>
      <c r="V8672" s="8" t="s">
        <v>2382</v>
      </c>
      <c r="W8672" s="6"/>
      <c r="X8672" s="6"/>
      <c r="Y8672" s="6"/>
      <c r="Z8672" s="6"/>
      <c r="AA8672" s="6" t="s">
        <v>68</v>
      </c>
      <c r="AB8672" s="8"/>
      <c r="AC8672" s="27">
        <v>9785160174518</v>
      </c>
    </row>
    <row r="8673" spans="1:29" s="4" customFormat="1" ht="51.9" customHeight="1" x14ac:dyDescent="0.2">
      <c r="A8673" s="5">
        <v>0</v>
      </c>
      <c r="B8673" s="6" t="s">
        <v>48766</v>
      </c>
      <c r="C8673" s="7">
        <v>1260</v>
      </c>
      <c r="D8673" s="8" t="s">
        <v>48767</v>
      </c>
      <c r="E8673" s="8" t="s">
        <v>48768</v>
      </c>
      <c r="F8673" s="8" t="s">
        <v>48769</v>
      </c>
      <c r="G8673" s="6" t="s">
        <v>118</v>
      </c>
      <c r="H8673" s="6" t="s">
        <v>241</v>
      </c>
      <c r="I8673" s="8"/>
      <c r="J8673" s="9">
        <v>1</v>
      </c>
      <c r="K8673" s="9">
        <v>292</v>
      </c>
      <c r="L8673" s="9">
        <v>2021</v>
      </c>
      <c r="M8673" s="8" t="s">
        <v>48770</v>
      </c>
      <c r="N8673" s="8" t="s">
        <v>37</v>
      </c>
      <c r="O8673" s="8" t="s">
        <v>136</v>
      </c>
      <c r="P8673" s="6" t="s">
        <v>306</v>
      </c>
      <c r="Q8673" s="8" t="s">
        <v>52</v>
      </c>
      <c r="R8673" s="10" t="s">
        <v>48771</v>
      </c>
      <c r="S8673" s="11"/>
      <c r="T8673" s="6"/>
      <c r="U8673" s="15" t="str">
        <f>HYPERLINK("https://media.infra-m.ru/1168/1168666/cover/1168666.jpg", "Обложка")</f>
        <v>Обложка</v>
      </c>
      <c r="V8673" s="8" t="s">
        <v>414</v>
      </c>
      <c r="W8673" s="6"/>
      <c r="X8673" s="6"/>
      <c r="Y8673" s="6"/>
      <c r="Z8673" s="6"/>
      <c r="AA8673" s="6" t="s">
        <v>99</v>
      </c>
      <c r="AB8673" s="8"/>
      <c r="AC8673" s="27">
        <v>9785955805719</v>
      </c>
    </row>
    <row r="8674" spans="1:29" s="4" customFormat="1" ht="42" customHeight="1" x14ac:dyDescent="0.2">
      <c r="A8674" s="5">
        <v>0</v>
      </c>
      <c r="B8674" s="6" t="s">
        <v>48772</v>
      </c>
      <c r="C8674" s="7">
        <v>2904</v>
      </c>
      <c r="D8674" s="8" t="s">
        <v>48773</v>
      </c>
      <c r="E8674" s="8" t="s">
        <v>48774</v>
      </c>
      <c r="F8674" s="8" t="s">
        <v>48775</v>
      </c>
      <c r="G8674" s="6" t="s">
        <v>60</v>
      </c>
      <c r="H8674" s="6" t="s">
        <v>34</v>
      </c>
      <c r="I8674" s="8" t="s">
        <v>253</v>
      </c>
      <c r="J8674" s="9">
        <v>1</v>
      </c>
      <c r="K8674" s="9">
        <v>433</v>
      </c>
      <c r="L8674" s="9">
        <v>2026</v>
      </c>
      <c r="M8674" s="8" t="s">
        <v>48776</v>
      </c>
      <c r="N8674" s="8" t="s">
        <v>63</v>
      </c>
      <c r="O8674" s="8" t="s">
        <v>126</v>
      </c>
      <c r="P8674" s="6" t="s">
        <v>306</v>
      </c>
      <c r="Q8674" s="8" t="s">
        <v>52</v>
      </c>
      <c r="R8674" s="10" t="s">
        <v>13277</v>
      </c>
      <c r="S8674" s="11"/>
      <c r="T8674" s="6"/>
      <c r="U8674" s="15" t="str">
        <f>HYPERLINK("https://media.infra-m.ru/2201/2201273/cover/2201273.jpg", "Обложка")</f>
        <v>Обложка</v>
      </c>
      <c r="V8674" s="8" t="s">
        <v>247</v>
      </c>
      <c r="W8674" s="6" t="s">
        <v>1382</v>
      </c>
      <c r="X8674" s="6"/>
      <c r="Y8674" s="6"/>
      <c r="Z8674" s="6"/>
      <c r="AA8674" s="6" t="s">
        <v>187</v>
      </c>
      <c r="AB8674" s="8" t="s">
        <v>308</v>
      </c>
      <c r="AC8674" s="27">
        <v>9785160208770</v>
      </c>
    </row>
    <row r="8675" spans="1:29" s="4" customFormat="1" ht="51.9" customHeight="1" x14ac:dyDescent="0.2">
      <c r="A8675" s="5">
        <v>0</v>
      </c>
      <c r="B8675" s="6" t="s">
        <v>48777</v>
      </c>
      <c r="C8675" s="7">
        <v>1624.8</v>
      </c>
      <c r="D8675" s="8" t="s">
        <v>48778</v>
      </c>
      <c r="E8675" s="8" t="s">
        <v>48774</v>
      </c>
      <c r="F8675" s="8" t="s">
        <v>48779</v>
      </c>
      <c r="G8675" s="6" t="s">
        <v>118</v>
      </c>
      <c r="H8675" s="6" t="s">
        <v>34</v>
      </c>
      <c r="I8675" s="8" t="s">
        <v>2025</v>
      </c>
      <c r="J8675" s="9">
        <v>1</v>
      </c>
      <c r="K8675" s="9">
        <v>294</v>
      </c>
      <c r="L8675" s="9">
        <v>2024</v>
      </c>
      <c r="M8675" s="8" t="s">
        <v>48780</v>
      </c>
      <c r="N8675" s="8" t="s">
        <v>63</v>
      </c>
      <c r="O8675" s="8" t="s">
        <v>126</v>
      </c>
      <c r="P8675" s="6" t="s">
        <v>51</v>
      </c>
      <c r="Q8675" s="8" t="s">
        <v>52</v>
      </c>
      <c r="R8675" s="10" t="s">
        <v>13277</v>
      </c>
      <c r="S8675" s="11" t="s">
        <v>28111</v>
      </c>
      <c r="T8675" s="6"/>
      <c r="U8675" s="15" t="str">
        <f>HYPERLINK("https://media.infra-m.ru/2109/2109033/cover/2109033.jpg", "Обложка")</f>
        <v>Обложка</v>
      </c>
      <c r="V8675" s="8" t="s">
        <v>247</v>
      </c>
      <c r="W8675" s="6"/>
      <c r="X8675" s="6"/>
      <c r="Y8675" s="6"/>
      <c r="Z8675" s="6"/>
      <c r="AA8675" s="6" t="s">
        <v>148</v>
      </c>
      <c r="AB8675" s="8"/>
      <c r="AC8675" s="27">
        <v>9785160164397</v>
      </c>
    </row>
    <row r="8676" spans="1:29" s="4" customFormat="1" ht="44.1" customHeight="1" x14ac:dyDescent="0.2">
      <c r="A8676" s="5">
        <v>0</v>
      </c>
      <c r="B8676" s="6" t="s">
        <v>48781</v>
      </c>
      <c r="C8676" s="7">
        <v>1372.8</v>
      </c>
      <c r="D8676" s="8" t="s">
        <v>48782</v>
      </c>
      <c r="E8676" s="8" t="s">
        <v>48783</v>
      </c>
      <c r="F8676" s="8" t="s">
        <v>3275</v>
      </c>
      <c r="G8676" s="6" t="s">
        <v>60</v>
      </c>
      <c r="H8676" s="6" t="s">
        <v>34</v>
      </c>
      <c r="I8676" s="8" t="s">
        <v>35</v>
      </c>
      <c r="J8676" s="9">
        <v>1</v>
      </c>
      <c r="K8676" s="9">
        <v>221</v>
      </c>
      <c r="L8676" s="9">
        <v>2026</v>
      </c>
      <c r="M8676" s="8" t="s">
        <v>48784</v>
      </c>
      <c r="N8676" s="8" t="s">
        <v>93</v>
      </c>
      <c r="O8676" s="8" t="s">
        <v>94</v>
      </c>
      <c r="P8676" s="6" t="s">
        <v>39</v>
      </c>
      <c r="Q8676" s="8" t="s">
        <v>40</v>
      </c>
      <c r="R8676" s="10" t="s">
        <v>48785</v>
      </c>
      <c r="S8676" s="11"/>
      <c r="T8676" s="6"/>
      <c r="U8676" s="15" t="str">
        <f>HYPERLINK("https://media.infra-m.ru/2216/2216857/cover/2216857.jpg", "Обложка")</f>
        <v>Обложка</v>
      </c>
      <c r="V8676" s="8" t="s">
        <v>1094</v>
      </c>
      <c r="W8676" s="6"/>
      <c r="X8676" s="6"/>
      <c r="Y8676" s="6"/>
      <c r="Z8676" s="6"/>
      <c r="AA8676" s="6" t="s">
        <v>157</v>
      </c>
      <c r="AB8676" s="8"/>
      <c r="AC8676" s="27">
        <v>9785160175140</v>
      </c>
    </row>
    <row r="8677" spans="1:29" s="4" customFormat="1" ht="51.9" customHeight="1" x14ac:dyDescent="0.2">
      <c r="A8677" s="5">
        <v>0</v>
      </c>
      <c r="B8677" s="6" t="s">
        <v>48786</v>
      </c>
      <c r="C8677" s="7">
        <v>2188.8000000000002</v>
      </c>
      <c r="D8677" s="8" t="s">
        <v>48787</v>
      </c>
      <c r="E8677" s="8" t="s">
        <v>48788</v>
      </c>
      <c r="F8677" s="8" t="s">
        <v>4590</v>
      </c>
      <c r="G8677" s="6" t="s">
        <v>60</v>
      </c>
      <c r="H8677" s="6" t="s">
        <v>34</v>
      </c>
      <c r="I8677" s="8" t="s">
        <v>271</v>
      </c>
      <c r="J8677" s="9">
        <v>1</v>
      </c>
      <c r="K8677" s="9">
        <v>330</v>
      </c>
      <c r="L8677" s="9">
        <v>2026</v>
      </c>
      <c r="M8677" s="8" t="s">
        <v>48789</v>
      </c>
      <c r="N8677" s="8" t="s">
        <v>63</v>
      </c>
      <c r="O8677" s="8" t="s">
        <v>126</v>
      </c>
      <c r="P8677" s="6" t="s">
        <v>306</v>
      </c>
      <c r="Q8677" s="8" t="s">
        <v>52</v>
      </c>
      <c r="R8677" s="10" t="s">
        <v>48790</v>
      </c>
      <c r="S8677" s="11" t="s">
        <v>48791</v>
      </c>
      <c r="T8677" s="6"/>
      <c r="U8677" s="15" t="str">
        <f>HYPERLINK("https://media.infra-m.ru/2239/2239103/cover/2239103.jpg", "Обложка")</f>
        <v>Обложка</v>
      </c>
      <c r="V8677" s="8" t="s">
        <v>3413</v>
      </c>
      <c r="W8677" s="6"/>
      <c r="X8677" s="6"/>
      <c r="Y8677" s="6"/>
      <c r="Z8677" s="6"/>
      <c r="AA8677" s="6" t="s">
        <v>86</v>
      </c>
      <c r="AB8677" s="8"/>
      <c r="AC8677" s="27">
        <v>9785160128276</v>
      </c>
    </row>
    <row r="8678" spans="1:29" s="4" customFormat="1" ht="51.9" customHeight="1" x14ac:dyDescent="0.2">
      <c r="A8678" s="5">
        <v>0</v>
      </c>
      <c r="B8678" s="6" t="s">
        <v>48792</v>
      </c>
      <c r="C8678" s="7">
        <v>2196</v>
      </c>
      <c r="D8678" s="8" t="s">
        <v>48793</v>
      </c>
      <c r="E8678" s="8" t="s">
        <v>48794</v>
      </c>
      <c r="F8678" s="8" t="s">
        <v>4590</v>
      </c>
      <c r="G8678" s="6" t="s">
        <v>118</v>
      </c>
      <c r="H8678" s="6" t="s">
        <v>34</v>
      </c>
      <c r="I8678" s="8" t="s">
        <v>253</v>
      </c>
      <c r="J8678" s="9">
        <v>1</v>
      </c>
      <c r="K8678" s="9">
        <v>315</v>
      </c>
      <c r="L8678" s="9">
        <v>2027</v>
      </c>
      <c r="M8678" s="8" t="s">
        <v>48795</v>
      </c>
      <c r="N8678" s="8" t="s">
        <v>63</v>
      </c>
      <c r="O8678" s="8" t="s">
        <v>126</v>
      </c>
      <c r="P8678" s="6" t="s">
        <v>306</v>
      </c>
      <c r="Q8678" s="8" t="s">
        <v>52</v>
      </c>
      <c r="R8678" s="10" t="s">
        <v>48796</v>
      </c>
      <c r="S8678" s="11" t="s">
        <v>48797</v>
      </c>
      <c r="T8678" s="6" t="s">
        <v>97</v>
      </c>
      <c r="U8678" s="15" t="str">
        <f>HYPERLINK("https://media.infra-m.ru/2264/2264970/cover/2264970.jpg", "Обложка")</f>
        <v>Обложка</v>
      </c>
      <c r="V8678" s="8" t="s">
        <v>3413</v>
      </c>
      <c r="W8678" s="6"/>
      <c r="X8678" s="6"/>
      <c r="Y8678" s="6"/>
      <c r="Z8678" s="6"/>
      <c r="AA8678" s="6" t="s">
        <v>86</v>
      </c>
      <c r="AB8678" s="8"/>
      <c r="AC8678" s="27">
        <v>9785160207391</v>
      </c>
    </row>
    <row r="8679" spans="1:29" s="4" customFormat="1" ht="51.9" customHeight="1" x14ac:dyDescent="0.2">
      <c r="A8679" s="5">
        <v>0</v>
      </c>
      <c r="B8679" s="6" t="s">
        <v>48798</v>
      </c>
      <c r="C8679" s="7">
        <v>2032.8</v>
      </c>
      <c r="D8679" s="8" t="s">
        <v>48799</v>
      </c>
      <c r="E8679" s="8" t="s">
        <v>48800</v>
      </c>
      <c r="F8679" s="8" t="s">
        <v>4590</v>
      </c>
      <c r="G8679" s="6" t="s">
        <v>60</v>
      </c>
      <c r="H8679" s="6" t="s">
        <v>34</v>
      </c>
      <c r="I8679" s="8" t="s">
        <v>271</v>
      </c>
      <c r="J8679" s="9">
        <v>1</v>
      </c>
      <c r="K8679" s="9">
        <v>326</v>
      </c>
      <c r="L8679" s="9">
        <v>2025</v>
      </c>
      <c r="M8679" s="8" t="s">
        <v>48801</v>
      </c>
      <c r="N8679" s="8" t="s">
        <v>63</v>
      </c>
      <c r="O8679" s="8" t="s">
        <v>126</v>
      </c>
      <c r="P8679" s="6" t="s">
        <v>306</v>
      </c>
      <c r="Q8679" s="8" t="s">
        <v>52</v>
      </c>
      <c r="R8679" s="10" t="s">
        <v>48802</v>
      </c>
      <c r="S8679" s="11" t="s">
        <v>48803</v>
      </c>
      <c r="T8679" s="6" t="s">
        <v>97</v>
      </c>
      <c r="U8679" s="15" t="str">
        <f>HYPERLINK("https://media.infra-m.ru/2204/2204137/cover/2204137.jpg", "Обложка")</f>
        <v>Обложка</v>
      </c>
      <c r="V8679" s="8" t="s">
        <v>3413</v>
      </c>
      <c r="W8679" s="6"/>
      <c r="X8679" s="6"/>
      <c r="Y8679" s="6"/>
      <c r="Z8679" s="6"/>
      <c r="AA8679" s="6" t="s">
        <v>258</v>
      </c>
      <c r="AB8679" s="8"/>
      <c r="AC8679" s="27">
        <v>9785160141169</v>
      </c>
    </row>
    <row r="8680" spans="1:29" s="4" customFormat="1" ht="51.9" customHeight="1" x14ac:dyDescent="0.2">
      <c r="A8680" s="5">
        <v>0</v>
      </c>
      <c r="B8680" s="6" t="s">
        <v>48804</v>
      </c>
      <c r="C8680" s="7">
        <v>1776</v>
      </c>
      <c r="D8680" s="8" t="s">
        <v>48805</v>
      </c>
      <c r="E8680" s="8" t="s">
        <v>48806</v>
      </c>
      <c r="F8680" s="8" t="s">
        <v>4590</v>
      </c>
      <c r="G8680" s="6" t="s">
        <v>118</v>
      </c>
      <c r="H8680" s="6" t="s">
        <v>34</v>
      </c>
      <c r="I8680" s="8" t="s">
        <v>271</v>
      </c>
      <c r="J8680" s="9">
        <v>1</v>
      </c>
      <c r="K8680" s="9">
        <v>320</v>
      </c>
      <c r="L8680" s="9">
        <v>2023</v>
      </c>
      <c r="M8680" s="8" t="s">
        <v>48807</v>
      </c>
      <c r="N8680" s="8" t="s">
        <v>63</v>
      </c>
      <c r="O8680" s="8" t="s">
        <v>126</v>
      </c>
      <c r="P8680" s="6" t="s">
        <v>306</v>
      </c>
      <c r="Q8680" s="8" t="s">
        <v>52</v>
      </c>
      <c r="R8680" s="10" t="s">
        <v>370</v>
      </c>
      <c r="S8680" s="11" t="s">
        <v>48808</v>
      </c>
      <c r="T8680" s="6" t="s">
        <v>97</v>
      </c>
      <c r="U8680" s="15" t="str">
        <f>HYPERLINK("https://media.infra-m.ru/2125/2125354/cover/2125354.jpg", "Обложка")</f>
        <v>Обложка</v>
      </c>
      <c r="V8680" s="8" t="s">
        <v>3413</v>
      </c>
      <c r="W8680" s="6"/>
      <c r="X8680" s="6"/>
      <c r="Y8680" s="6"/>
      <c r="Z8680" s="6"/>
      <c r="AA8680" s="6" t="s">
        <v>218</v>
      </c>
      <c r="AB8680" s="8"/>
      <c r="AC8680" s="27">
        <v>9785160141145</v>
      </c>
    </row>
    <row r="8681" spans="1:29" s="4" customFormat="1" ht="51.9" customHeight="1" x14ac:dyDescent="0.2">
      <c r="A8681" s="5">
        <v>0</v>
      </c>
      <c r="B8681" s="6" t="s">
        <v>48809</v>
      </c>
      <c r="C8681" s="7">
        <v>2200.8000000000002</v>
      </c>
      <c r="D8681" s="8" t="s">
        <v>48810</v>
      </c>
      <c r="E8681" s="8" t="s">
        <v>48811</v>
      </c>
      <c r="F8681" s="8" t="s">
        <v>4590</v>
      </c>
      <c r="G8681" s="6" t="s">
        <v>118</v>
      </c>
      <c r="H8681" s="6" t="s">
        <v>34</v>
      </c>
      <c r="I8681" s="8" t="s">
        <v>271</v>
      </c>
      <c r="J8681" s="9">
        <v>1</v>
      </c>
      <c r="K8681" s="9">
        <v>333</v>
      </c>
      <c r="L8681" s="9">
        <v>2026</v>
      </c>
      <c r="M8681" s="8" t="s">
        <v>48812</v>
      </c>
      <c r="N8681" s="8" t="s">
        <v>63</v>
      </c>
      <c r="O8681" s="8" t="s">
        <v>126</v>
      </c>
      <c r="P8681" s="6" t="s">
        <v>306</v>
      </c>
      <c r="Q8681" s="8" t="s">
        <v>52</v>
      </c>
      <c r="R8681" s="10" t="s">
        <v>48813</v>
      </c>
      <c r="S8681" s="11" t="s">
        <v>48814</v>
      </c>
      <c r="T8681" s="6"/>
      <c r="U8681" s="15" t="str">
        <f>HYPERLINK("https://media.infra-m.ru/2239/2239132/cover/2239132.jpg", "Обложка")</f>
        <v>Обложка</v>
      </c>
      <c r="V8681" s="8" t="s">
        <v>3413</v>
      </c>
      <c r="W8681" s="6"/>
      <c r="X8681" s="6"/>
      <c r="Y8681" s="6"/>
      <c r="Z8681" s="6"/>
      <c r="AA8681" s="6" t="s">
        <v>2240</v>
      </c>
      <c r="AB8681" s="8"/>
      <c r="AC8681" s="27">
        <v>9785160141152</v>
      </c>
    </row>
    <row r="8682" spans="1:29" s="4" customFormat="1" ht="42" customHeight="1" x14ac:dyDescent="0.2">
      <c r="A8682" s="5">
        <v>0</v>
      </c>
      <c r="B8682" s="6" t="s">
        <v>48815</v>
      </c>
      <c r="C8682" s="7">
        <v>2556</v>
      </c>
      <c r="D8682" s="8" t="s">
        <v>48816</v>
      </c>
      <c r="E8682" s="8" t="s">
        <v>48817</v>
      </c>
      <c r="F8682" s="8" t="s">
        <v>48818</v>
      </c>
      <c r="G8682" s="6" t="s">
        <v>118</v>
      </c>
      <c r="H8682" s="6" t="s">
        <v>134</v>
      </c>
      <c r="I8682" s="8"/>
      <c r="J8682" s="9">
        <v>1</v>
      </c>
      <c r="K8682" s="9">
        <v>368</v>
      </c>
      <c r="L8682" s="9">
        <v>2026</v>
      </c>
      <c r="M8682" s="8" t="s">
        <v>48819</v>
      </c>
      <c r="N8682" s="8" t="s">
        <v>63</v>
      </c>
      <c r="O8682" s="8" t="s">
        <v>126</v>
      </c>
      <c r="P8682" s="6" t="s">
        <v>306</v>
      </c>
      <c r="Q8682" s="8" t="s">
        <v>52</v>
      </c>
      <c r="R8682" s="10" t="s">
        <v>48813</v>
      </c>
      <c r="S8682" s="11"/>
      <c r="T8682" s="6"/>
      <c r="U8682" s="15" t="str">
        <f>HYPERLINK("https://media.infra-m.ru/2260/2260362/cover/2260362.jpg", "Обложка")</f>
        <v>Обложка</v>
      </c>
      <c r="V8682" s="8" t="s">
        <v>1184</v>
      </c>
      <c r="W8682" s="6"/>
      <c r="X8682" s="6"/>
      <c r="Y8682" s="6"/>
      <c r="Z8682" s="6"/>
      <c r="AA8682" s="6" t="s">
        <v>115</v>
      </c>
      <c r="AB8682" s="8"/>
      <c r="AC8682" s="27">
        <v>9785001560036</v>
      </c>
    </row>
    <row r="8683" spans="1:29" s="4" customFormat="1" ht="42" customHeight="1" x14ac:dyDescent="0.2">
      <c r="A8683" s="5">
        <v>0</v>
      </c>
      <c r="B8683" s="6" t="s">
        <v>48820</v>
      </c>
      <c r="C8683" s="7">
        <v>2296.8000000000002</v>
      </c>
      <c r="D8683" s="8" t="s">
        <v>48821</v>
      </c>
      <c r="E8683" s="8" t="s">
        <v>48817</v>
      </c>
      <c r="F8683" s="8" t="s">
        <v>48818</v>
      </c>
      <c r="G8683" s="6" t="s">
        <v>118</v>
      </c>
      <c r="H8683" s="6" t="s">
        <v>134</v>
      </c>
      <c r="I8683" s="8" t="s">
        <v>263</v>
      </c>
      <c r="J8683" s="9">
        <v>1</v>
      </c>
      <c r="K8683" s="9">
        <v>368</v>
      </c>
      <c r="L8683" s="9">
        <v>2026</v>
      </c>
      <c r="M8683" s="8" t="s">
        <v>48822</v>
      </c>
      <c r="N8683" s="8" t="s">
        <v>63</v>
      </c>
      <c r="O8683" s="8" t="s">
        <v>126</v>
      </c>
      <c r="P8683" s="6" t="s">
        <v>306</v>
      </c>
      <c r="Q8683" s="8" t="s">
        <v>265</v>
      </c>
      <c r="R8683" s="10" t="s">
        <v>479</v>
      </c>
      <c r="S8683" s="11"/>
      <c r="T8683" s="6"/>
      <c r="U8683" s="15" t="str">
        <f>HYPERLINK("https://media.infra-m.ru/2212/2212148/cover/2212148.jpg", "Обложка")</f>
        <v>Обложка</v>
      </c>
      <c r="V8683" s="8" t="s">
        <v>1184</v>
      </c>
      <c r="W8683" s="6"/>
      <c r="X8683" s="6"/>
      <c r="Y8683" s="6"/>
      <c r="Z8683" s="6"/>
      <c r="AA8683" s="6" t="s">
        <v>68</v>
      </c>
      <c r="AB8683" s="8"/>
      <c r="AC8683" s="27">
        <v>9785001564164</v>
      </c>
    </row>
    <row r="8684" spans="1:29" s="4" customFormat="1" ht="42" customHeight="1" x14ac:dyDescent="0.2">
      <c r="A8684" s="5">
        <v>0</v>
      </c>
      <c r="B8684" s="6" t="s">
        <v>48823</v>
      </c>
      <c r="C8684" s="7">
        <v>6058.6</v>
      </c>
      <c r="D8684" s="8" t="s">
        <v>48824</v>
      </c>
      <c r="E8684" s="8" t="s">
        <v>48825</v>
      </c>
      <c r="F8684" s="8" t="s">
        <v>48826</v>
      </c>
      <c r="G8684" s="6" t="s">
        <v>60</v>
      </c>
      <c r="H8684" s="6" t="s">
        <v>313</v>
      </c>
      <c r="I8684" s="8"/>
      <c r="J8684" s="9">
        <v>1</v>
      </c>
      <c r="K8684" s="9">
        <v>640</v>
      </c>
      <c r="L8684" s="9">
        <v>2025</v>
      </c>
      <c r="M8684" s="8" t="s">
        <v>48827</v>
      </c>
      <c r="N8684" s="8" t="s">
        <v>63</v>
      </c>
      <c r="O8684" s="8" t="s">
        <v>126</v>
      </c>
      <c r="P8684" s="6" t="s">
        <v>51</v>
      </c>
      <c r="Q8684" s="8" t="s">
        <v>500</v>
      </c>
      <c r="R8684" s="10" t="s">
        <v>48828</v>
      </c>
      <c r="S8684" s="11"/>
      <c r="T8684" s="6"/>
      <c r="U8684" s="15" t="str">
        <f>HYPERLINK("https://media.infra-m.ru/2159/2159922/cover/2159922.jpg", "Обложка")</f>
        <v>Обложка</v>
      </c>
      <c r="V8684" s="8" t="s">
        <v>3595</v>
      </c>
      <c r="W8684" s="6"/>
      <c r="X8684" s="6"/>
      <c r="Y8684" s="6"/>
      <c r="Z8684" s="6"/>
      <c r="AA8684" s="6" t="s">
        <v>115</v>
      </c>
      <c r="AB8684" s="8"/>
      <c r="AC8684" s="27">
        <v>9785369017821</v>
      </c>
    </row>
    <row r="8685" spans="1:29" s="4" customFormat="1" ht="51.9" customHeight="1" x14ac:dyDescent="0.2">
      <c r="A8685" s="5">
        <v>0</v>
      </c>
      <c r="B8685" s="6" t="s">
        <v>48829</v>
      </c>
      <c r="C8685" s="13">
        <v>876</v>
      </c>
      <c r="D8685" s="8" t="s">
        <v>48830</v>
      </c>
      <c r="E8685" s="8" t="s">
        <v>48831</v>
      </c>
      <c r="F8685" s="8" t="s">
        <v>48832</v>
      </c>
      <c r="G8685" s="6" t="s">
        <v>33</v>
      </c>
      <c r="H8685" s="6" t="s">
        <v>34</v>
      </c>
      <c r="I8685" s="8" t="s">
        <v>253</v>
      </c>
      <c r="J8685" s="9">
        <v>1</v>
      </c>
      <c r="K8685" s="9">
        <v>128</v>
      </c>
      <c r="L8685" s="9">
        <v>2026</v>
      </c>
      <c r="M8685" s="8" t="s">
        <v>48833</v>
      </c>
      <c r="N8685" s="8" t="s">
        <v>63</v>
      </c>
      <c r="O8685" s="8" t="s">
        <v>126</v>
      </c>
      <c r="P8685" s="6" t="s">
        <v>306</v>
      </c>
      <c r="Q8685" s="8" t="s">
        <v>500</v>
      </c>
      <c r="R8685" s="10" t="s">
        <v>48834</v>
      </c>
      <c r="S8685" s="11" t="s">
        <v>48835</v>
      </c>
      <c r="T8685" s="6"/>
      <c r="U8685" s="15" t="str">
        <f>HYPERLINK("https://media.infra-m.ru/2205/2205354/cover/2205354.jpg", "Обложка")</f>
        <v>Обложка</v>
      </c>
      <c r="V8685" s="8" t="s">
        <v>1768</v>
      </c>
      <c r="W8685" s="6"/>
      <c r="X8685" s="6"/>
      <c r="Y8685" s="6"/>
      <c r="Z8685" s="6"/>
      <c r="AA8685" s="6" t="s">
        <v>55</v>
      </c>
      <c r="AB8685" s="8"/>
      <c r="AC8685" s="27">
        <v>9785160211008</v>
      </c>
    </row>
    <row r="8686" spans="1:29" s="4" customFormat="1" ht="42" customHeight="1" x14ac:dyDescent="0.2">
      <c r="A8686" s="5">
        <v>0</v>
      </c>
      <c r="B8686" s="6" t="s">
        <v>48836</v>
      </c>
      <c r="C8686" s="7">
        <v>1188</v>
      </c>
      <c r="D8686" s="8" t="s">
        <v>48837</v>
      </c>
      <c r="E8686" s="8" t="s">
        <v>48831</v>
      </c>
      <c r="F8686" s="8" t="s">
        <v>48838</v>
      </c>
      <c r="G8686" s="6" t="s">
        <v>33</v>
      </c>
      <c r="H8686" s="6" t="s">
        <v>34</v>
      </c>
      <c r="I8686" s="8" t="s">
        <v>253</v>
      </c>
      <c r="J8686" s="9">
        <v>1</v>
      </c>
      <c r="K8686" s="9">
        <v>176</v>
      </c>
      <c r="L8686" s="9">
        <v>2026</v>
      </c>
      <c r="M8686" s="8" t="s">
        <v>48839</v>
      </c>
      <c r="N8686" s="8" t="s">
        <v>63</v>
      </c>
      <c r="O8686" s="8" t="s">
        <v>126</v>
      </c>
      <c r="P8686" s="6" t="s">
        <v>51</v>
      </c>
      <c r="Q8686" s="8" t="s">
        <v>1349</v>
      </c>
      <c r="R8686" s="10" t="s">
        <v>9551</v>
      </c>
      <c r="S8686" s="11"/>
      <c r="T8686" s="6"/>
      <c r="U8686" s="15" t="str">
        <f>HYPERLINK("https://media.infra-m.ru/2219/2219566/cover/2219566.jpg", "Обложка")</f>
        <v>Обложка</v>
      </c>
      <c r="V8686" s="8" t="s">
        <v>48840</v>
      </c>
      <c r="W8686" s="6"/>
      <c r="X8686" s="6"/>
      <c r="Y8686" s="6"/>
      <c r="Z8686" s="6"/>
      <c r="AA8686" s="6" t="s">
        <v>248</v>
      </c>
      <c r="AB8686" s="8"/>
      <c r="AC8686" s="27">
        <v>9785160204123</v>
      </c>
    </row>
    <row r="8687" spans="1:29" s="4" customFormat="1" ht="42" customHeight="1" x14ac:dyDescent="0.2">
      <c r="A8687" s="5">
        <v>0</v>
      </c>
      <c r="B8687" s="6" t="s">
        <v>48841</v>
      </c>
      <c r="C8687" s="7">
        <v>1056</v>
      </c>
      <c r="D8687" s="8" t="s">
        <v>48842</v>
      </c>
      <c r="E8687" s="8" t="s">
        <v>48843</v>
      </c>
      <c r="F8687" s="8" t="s">
        <v>213</v>
      </c>
      <c r="G8687" s="6" t="s">
        <v>33</v>
      </c>
      <c r="H8687" s="6" t="s">
        <v>34</v>
      </c>
      <c r="I8687" s="8" t="s">
        <v>35</v>
      </c>
      <c r="J8687" s="9">
        <v>1</v>
      </c>
      <c r="K8687" s="9">
        <v>160</v>
      </c>
      <c r="L8687" s="9">
        <v>2026</v>
      </c>
      <c r="M8687" s="8" t="s">
        <v>48844</v>
      </c>
      <c r="N8687" s="8" t="s">
        <v>37</v>
      </c>
      <c r="O8687" s="8" t="s">
        <v>50</v>
      </c>
      <c r="P8687" s="6" t="s">
        <v>39</v>
      </c>
      <c r="Q8687" s="8" t="s">
        <v>40</v>
      </c>
      <c r="R8687" s="10" t="s">
        <v>48845</v>
      </c>
      <c r="S8687" s="11"/>
      <c r="T8687" s="6"/>
      <c r="U8687" s="15" t="str">
        <f>HYPERLINK("https://media.infra-m.ru/2233/2233692/cover/2233692.jpg", "Обложка")</f>
        <v>Обложка</v>
      </c>
      <c r="V8687" s="8" t="s">
        <v>217</v>
      </c>
      <c r="W8687" s="6"/>
      <c r="X8687" s="6"/>
      <c r="Y8687" s="6"/>
      <c r="Z8687" s="6"/>
      <c r="AA8687" s="6" t="s">
        <v>360</v>
      </c>
      <c r="AB8687" s="8" t="s">
        <v>493</v>
      </c>
      <c r="AC8687" s="27">
        <v>9785160217901</v>
      </c>
    </row>
    <row r="8688" spans="1:29" s="4" customFormat="1" ht="51.9" customHeight="1" x14ac:dyDescent="0.2">
      <c r="A8688" s="5">
        <v>0</v>
      </c>
      <c r="B8688" s="6" t="s">
        <v>48846</v>
      </c>
      <c r="C8688" s="7">
        <v>1884</v>
      </c>
      <c r="D8688" s="8" t="s">
        <v>48847</v>
      </c>
      <c r="E8688" s="8" t="s">
        <v>48848</v>
      </c>
      <c r="F8688" s="8" t="s">
        <v>48849</v>
      </c>
      <c r="G8688" s="6" t="s">
        <v>118</v>
      </c>
      <c r="H8688" s="6" t="s">
        <v>34</v>
      </c>
      <c r="I8688" s="8" t="s">
        <v>10112</v>
      </c>
      <c r="J8688" s="9">
        <v>1</v>
      </c>
      <c r="K8688" s="9">
        <v>413</v>
      </c>
      <c r="L8688" s="9">
        <v>2022</v>
      </c>
      <c r="M8688" s="8" t="s">
        <v>48850</v>
      </c>
      <c r="N8688" s="8" t="s">
        <v>63</v>
      </c>
      <c r="O8688" s="8" t="s">
        <v>126</v>
      </c>
      <c r="P8688" s="6" t="s">
        <v>51</v>
      </c>
      <c r="Q8688" s="8" t="s">
        <v>500</v>
      </c>
      <c r="R8688" s="10" t="s">
        <v>48851</v>
      </c>
      <c r="S8688" s="11" t="s">
        <v>48852</v>
      </c>
      <c r="T8688" s="6"/>
      <c r="U8688" s="15" t="str">
        <f>HYPERLINK("https://media.infra-m.ru/1844/1844421/cover/1844421.jpg", "Обложка")</f>
        <v>Обложка</v>
      </c>
      <c r="V8688" s="8" t="s">
        <v>9592</v>
      </c>
      <c r="W8688" s="6"/>
      <c r="X8688" s="6"/>
      <c r="Y8688" s="6"/>
      <c r="Z8688" s="6"/>
      <c r="AA8688" s="6" t="s">
        <v>86</v>
      </c>
      <c r="AB8688" s="8"/>
      <c r="AC8688" s="27">
        <v>9785160173528</v>
      </c>
    </row>
    <row r="8689" spans="1:29" s="4" customFormat="1" ht="42" customHeight="1" x14ac:dyDescent="0.2">
      <c r="A8689" s="5">
        <v>0</v>
      </c>
      <c r="B8689" s="6" t="s">
        <v>48853</v>
      </c>
      <c r="C8689" s="7">
        <v>1260</v>
      </c>
      <c r="D8689" s="8" t="s">
        <v>48854</v>
      </c>
      <c r="E8689" s="8" t="s">
        <v>48855</v>
      </c>
      <c r="F8689" s="8" t="s">
        <v>48856</v>
      </c>
      <c r="G8689" s="6" t="s">
        <v>60</v>
      </c>
      <c r="H8689" s="6" t="s">
        <v>34</v>
      </c>
      <c r="I8689" s="8" t="s">
        <v>504</v>
      </c>
      <c r="J8689" s="9">
        <v>1</v>
      </c>
      <c r="K8689" s="9">
        <v>221</v>
      </c>
      <c r="L8689" s="9">
        <v>2024</v>
      </c>
      <c r="M8689" s="8" t="s">
        <v>48857</v>
      </c>
      <c r="N8689" s="8" t="s">
        <v>93</v>
      </c>
      <c r="O8689" s="8" t="s">
        <v>94</v>
      </c>
      <c r="P8689" s="6" t="s">
        <v>51</v>
      </c>
      <c r="Q8689" s="8" t="s">
        <v>500</v>
      </c>
      <c r="R8689" s="10" t="s">
        <v>48858</v>
      </c>
      <c r="S8689" s="11"/>
      <c r="T8689" s="6"/>
      <c r="U8689" s="15" t="str">
        <f>HYPERLINK("https://media.infra-m.ru/1910/1910860/cover/1910860.jpg", "Обложка")</f>
        <v>Обложка</v>
      </c>
      <c r="V8689" s="8" t="s">
        <v>1599</v>
      </c>
      <c r="W8689" s="6"/>
      <c r="X8689" s="6"/>
      <c r="Y8689" s="6"/>
      <c r="Z8689" s="6"/>
      <c r="AA8689" s="6" t="s">
        <v>76</v>
      </c>
      <c r="AB8689" s="8"/>
      <c r="AC8689" s="27">
        <v>9785160180885</v>
      </c>
    </row>
    <row r="8690" spans="1:29" s="4" customFormat="1" ht="42" customHeight="1" x14ac:dyDescent="0.2">
      <c r="A8690" s="5">
        <v>0</v>
      </c>
      <c r="B8690" s="6" t="s">
        <v>48859</v>
      </c>
      <c r="C8690" s="7">
        <v>2392.8000000000002</v>
      </c>
      <c r="D8690" s="8" t="s">
        <v>48860</v>
      </c>
      <c r="E8690" s="8" t="s">
        <v>48861</v>
      </c>
      <c r="F8690" s="8" t="s">
        <v>48862</v>
      </c>
      <c r="G8690" s="6" t="s">
        <v>60</v>
      </c>
      <c r="H8690" s="6" t="s">
        <v>5605</v>
      </c>
      <c r="I8690" s="8" t="s">
        <v>253</v>
      </c>
      <c r="J8690" s="9">
        <v>1</v>
      </c>
      <c r="K8690" s="9">
        <v>408</v>
      </c>
      <c r="L8690" s="9">
        <v>2025</v>
      </c>
      <c r="M8690" s="8" t="s">
        <v>48863</v>
      </c>
      <c r="N8690" s="8" t="s">
        <v>63</v>
      </c>
      <c r="O8690" s="8" t="s">
        <v>126</v>
      </c>
      <c r="P8690" s="6" t="s">
        <v>51</v>
      </c>
      <c r="Q8690" s="8" t="s">
        <v>52</v>
      </c>
      <c r="R8690" s="10" t="s">
        <v>9551</v>
      </c>
      <c r="S8690" s="11"/>
      <c r="T8690" s="6"/>
      <c r="U8690" s="15" t="str">
        <f>HYPERLINK("https://media.infra-m.ru/2188/2188740/cover/2188740.jpg", "Обложка")</f>
        <v>Обложка</v>
      </c>
      <c r="V8690" s="8" t="s">
        <v>1425</v>
      </c>
      <c r="W8690" s="6"/>
      <c r="X8690" s="6"/>
      <c r="Y8690" s="6"/>
      <c r="Z8690" s="6"/>
      <c r="AA8690" s="6" t="s">
        <v>129</v>
      </c>
      <c r="AB8690" s="8"/>
      <c r="AC8690" s="27">
        <v>9785160044859</v>
      </c>
    </row>
    <row r="8691" spans="1:29" s="4" customFormat="1" ht="44.1" customHeight="1" x14ac:dyDescent="0.2">
      <c r="A8691" s="5">
        <v>0</v>
      </c>
      <c r="B8691" s="6" t="s">
        <v>48864</v>
      </c>
      <c r="C8691" s="7">
        <v>3298.8</v>
      </c>
      <c r="D8691" s="8" t="s">
        <v>48865</v>
      </c>
      <c r="E8691" s="8" t="s">
        <v>48866</v>
      </c>
      <c r="F8691" s="8" t="s">
        <v>8631</v>
      </c>
      <c r="G8691" s="6" t="s">
        <v>60</v>
      </c>
      <c r="H8691" s="6" t="s">
        <v>34</v>
      </c>
      <c r="I8691" s="8" t="s">
        <v>253</v>
      </c>
      <c r="J8691" s="9">
        <v>1</v>
      </c>
      <c r="K8691" s="9">
        <v>333</v>
      </c>
      <c r="L8691" s="9">
        <v>2025</v>
      </c>
      <c r="M8691" s="8" t="s">
        <v>48867</v>
      </c>
      <c r="N8691" s="8" t="s">
        <v>63</v>
      </c>
      <c r="O8691" s="8" t="s">
        <v>181</v>
      </c>
      <c r="P8691" s="6" t="s">
        <v>51</v>
      </c>
      <c r="Q8691" s="8" t="s">
        <v>52</v>
      </c>
      <c r="R8691" s="10" t="s">
        <v>48868</v>
      </c>
      <c r="S8691" s="11"/>
      <c r="T8691" s="6"/>
      <c r="U8691" s="15" t="str">
        <f>HYPERLINK("https://media.infra-m.ru/2180/2180074/cover/2180074.jpg", "Обложка")</f>
        <v>Обложка</v>
      </c>
      <c r="V8691" s="8" t="s">
        <v>7509</v>
      </c>
      <c r="W8691" s="6"/>
      <c r="X8691" s="6"/>
      <c r="Y8691" s="6"/>
      <c r="Z8691" s="6"/>
      <c r="AA8691" s="6" t="s">
        <v>68</v>
      </c>
      <c r="AB8691" s="8"/>
      <c r="AC8691" s="27">
        <v>9785160205151</v>
      </c>
    </row>
    <row r="8692" spans="1:29" s="4" customFormat="1" ht="42" customHeight="1" x14ac:dyDescent="0.2">
      <c r="A8692" s="5">
        <v>0</v>
      </c>
      <c r="B8692" s="6" t="s">
        <v>48869</v>
      </c>
      <c r="C8692" s="7">
        <v>1212</v>
      </c>
      <c r="D8692" s="8" t="s">
        <v>48870</v>
      </c>
      <c r="E8692" s="8" t="s">
        <v>48871</v>
      </c>
      <c r="F8692" s="8" t="s">
        <v>4721</v>
      </c>
      <c r="G8692" s="6" t="s">
        <v>60</v>
      </c>
      <c r="H8692" s="6" t="s">
        <v>34</v>
      </c>
      <c r="I8692" s="8" t="s">
        <v>253</v>
      </c>
      <c r="J8692" s="9">
        <v>1</v>
      </c>
      <c r="K8692" s="9">
        <v>164</v>
      </c>
      <c r="L8692" s="9">
        <v>2026</v>
      </c>
      <c r="M8692" s="8" t="s">
        <v>48872</v>
      </c>
      <c r="N8692" s="8" t="s">
        <v>63</v>
      </c>
      <c r="O8692" s="8" t="s">
        <v>126</v>
      </c>
      <c r="P8692" s="6" t="s">
        <v>51</v>
      </c>
      <c r="Q8692" s="8" t="s">
        <v>65</v>
      </c>
      <c r="R8692" s="10" t="s">
        <v>5818</v>
      </c>
      <c r="S8692" s="11"/>
      <c r="T8692" s="6"/>
      <c r="U8692" s="15" t="str">
        <f>HYPERLINK("https://media.infra-m.ru/2212/2212033/cover/2212033.jpg", "Обложка")</f>
        <v>Обложка</v>
      </c>
      <c r="V8692" s="8" t="s">
        <v>911</v>
      </c>
      <c r="W8692" s="6" t="s">
        <v>186</v>
      </c>
      <c r="X8692" s="6"/>
      <c r="Y8692" s="6"/>
      <c r="Z8692" s="6"/>
      <c r="AA8692" s="6" t="s">
        <v>187</v>
      </c>
      <c r="AB8692" s="8"/>
      <c r="AC8692" s="27">
        <v>9785160210520</v>
      </c>
    </row>
    <row r="8693" spans="1:29" s="4" customFormat="1" ht="51.9" customHeight="1" x14ac:dyDescent="0.2">
      <c r="A8693" s="5">
        <v>0</v>
      </c>
      <c r="B8693" s="6" t="s">
        <v>48873</v>
      </c>
      <c r="C8693" s="7">
        <v>1656</v>
      </c>
      <c r="D8693" s="8" t="s">
        <v>48874</v>
      </c>
      <c r="E8693" s="8" t="s">
        <v>48875</v>
      </c>
      <c r="F8693" s="8" t="s">
        <v>48876</v>
      </c>
      <c r="G8693" s="6" t="s">
        <v>33</v>
      </c>
      <c r="H8693" s="6" t="s">
        <v>34</v>
      </c>
      <c r="I8693" s="8" t="s">
        <v>35</v>
      </c>
      <c r="J8693" s="9">
        <v>1</v>
      </c>
      <c r="K8693" s="9">
        <v>238</v>
      </c>
      <c r="L8693" s="9">
        <v>2027</v>
      </c>
      <c r="M8693" s="8" t="s">
        <v>48877</v>
      </c>
      <c r="N8693" s="8" t="s">
        <v>63</v>
      </c>
      <c r="O8693" s="8" t="s">
        <v>126</v>
      </c>
      <c r="P8693" s="6" t="s">
        <v>39</v>
      </c>
      <c r="Q8693" s="8" t="s">
        <v>749</v>
      </c>
      <c r="R8693" s="10" t="s">
        <v>48878</v>
      </c>
      <c r="S8693" s="11"/>
      <c r="T8693" s="6"/>
      <c r="U8693" s="15" t="str">
        <f>HYPERLINK("https://media.infra-m.ru/2269/2269772/cover/2269772.jpg", "Обложка")</f>
        <v>Обложка</v>
      </c>
      <c r="V8693" s="8" t="s">
        <v>217</v>
      </c>
      <c r="W8693" s="6"/>
      <c r="X8693" s="6"/>
      <c r="Y8693" s="6"/>
      <c r="Z8693" s="6"/>
      <c r="AA8693" s="6" t="s">
        <v>874</v>
      </c>
      <c r="AB8693" s="8"/>
      <c r="AC8693" s="27">
        <v>9785160224985</v>
      </c>
    </row>
    <row r="8694" spans="1:29" s="4" customFormat="1" ht="51.9" customHeight="1" x14ac:dyDescent="0.2">
      <c r="A8694" s="5">
        <v>0</v>
      </c>
      <c r="B8694" s="6" t="s">
        <v>48879</v>
      </c>
      <c r="C8694" s="7">
        <v>1788</v>
      </c>
      <c r="D8694" s="8" t="s">
        <v>48880</v>
      </c>
      <c r="E8694" s="8" t="s">
        <v>48881</v>
      </c>
      <c r="F8694" s="8" t="s">
        <v>48882</v>
      </c>
      <c r="G8694" s="6" t="s">
        <v>60</v>
      </c>
      <c r="H8694" s="6" t="s">
        <v>34</v>
      </c>
      <c r="I8694" s="8" t="s">
        <v>253</v>
      </c>
      <c r="J8694" s="9">
        <v>1</v>
      </c>
      <c r="K8694" s="9">
        <v>312</v>
      </c>
      <c r="L8694" s="9">
        <v>2023</v>
      </c>
      <c r="M8694" s="8" t="s">
        <v>48883</v>
      </c>
      <c r="N8694" s="8" t="s">
        <v>63</v>
      </c>
      <c r="O8694" s="8" t="s">
        <v>126</v>
      </c>
      <c r="P8694" s="6" t="s">
        <v>306</v>
      </c>
      <c r="Q8694" s="8" t="s">
        <v>52</v>
      </c>
      <c r="R8694" s="10" t="s">
        <v>48884</v>
      </c>
      <c r="S8694" s="11" t="s">
        <v>48885</v>
      </c>
      <c r="T8694" s="6"/>
      <c r="U8694" s="15" t="str">
        <f>HYPERLINK("https://media.infra-m.ru/1865/1865671/cover/1865671.jpg", "Обложка")</f>
        <v>Обложка</v>
      </c>
      <c r="V8694" s="8" t="s">
        <v>247</v>
      </c>
      <c r="W8694" s="6"/>
      <c r="X8694" s="6"/>
      <c r="Y8694" s="6"/>
      <c r="Z8694" s="6"/>
      <c r="AA8694" s="6" t="s">
        <v>157</v>
      </c>
      <c r="AB8694" s="8"/>
      <c r="AC8694" s="27">
        <v>9785160176628</v>
      </c>
    </row>
    <row r="8695" spans="1:29" s="4" customFormat="1" ht="42" customHeight="1" x14ac:dyDescent="0.2">
      <c r="A8695" s="5">
        <v>0</v>
      </c>
      <c r="B8695" s="6" t="s">
        <v>48886</v>
      </c>
      <c r="C8695" s="7">
        <v>2148</v>
      </c>
      <c r="D8695" s="8" t="s">
        <v>48887</v>
      </c>
      <c r="E8695" s="8" t="s">
        <v>48888</v>
      </c>
      <c r="F8695" s="8" t="s">
        <v>48889</v>
      </c>
      <c r="G8695" s="6" t="s">
        <v>118</v>
      </c>
      <c r="H8695" s="6" t="s">
        <v>241</v>
      </c>
      <c r="I8695" s="8"/>
      <c r="J8695" s="9">
        <v>1</v>
      </c>
      <c r="K8695" s="9">
        <v>388</v>
      </c>
      <c r="L8695" s="9">
        <v>2024</v>
      </c>
      <c r="M8695" s="8" t="s">
        <v>48890</v>
      </c>
      <c r="N8695" s="8" t="s">
        <v>63</v>
      </c>
      <c r="O8695" s="8" t="s">
        <v>126</v>
      </c>
      <c r="P8695" s="6" t="s">
        <v>306</v>
      </c>
      <c r="Q8695" s="8" t="s">
        <v>52</v>
      </c>
      <c r="R8695" s="10" t="s">
        <v>48891</v>
      </c>
      <c r="S8695" s="11"/>
      <c r="T8695" s="6"/>
      <c r="U8695" s="15" t="str">
        <f>HYPERLINK("https://media.infra-m.ru/1915/1915954/cover/1915954.jpg", "Обложка")</f>
        <v>Обложка</v>
      </c>
      <c r="V8695" s="8" t="s">
        <v>414</v>
      </c>
      <c r="W8695" s="6"/>
      <c r="X8695" s="6"/>
      <c r="Y8695" s="6"/>
      <c r="Z8695" s="6"/>
      <c r="AA8695" s="6" t="s">
        <v>623</v>
      </c>
      <c r="AB8695" s="8"/>
      <c r="AC8695" s="27">
        <v>9785955805511</v>
      </c>
    </row>
    <row r="8696" spans="1:29" s="4" customFormat="1" ht="51.9" customHeight="1" x14ac:dyDescent="0.2">
      <c r="A8696" s="5">
        <v>0</v>
      </c>
      <c r="B8696" s="6" t="s">
        <v>48892</v>
      </c>
      <c r="C8696" s="7">
        <v>2004</v>
      </c>
      <c r="D8696" s="8" t="s">
        <v>48893</v>
      </c>
      <c r="E8696" s="8" t="s">
        <v>48888</v>
      </c>
      <c r="F8696" s="8" t="s">
        <v>48894</v>
      </c>
      <c r="G8696" s="6" t="s">
        <v>118</v>
      </c>
      <c r="H8696" s="6" t="s">
        <v>34</v>
      </c>
      <c r="I8696" s="8" t="s">
        <v>271</v>
      </c>
      <c r="J8696" s="9">
        <v>1</v>
      </c>
      <c r="K8696" s="9">
        <v>370</v>
      </c>
      <c r="L8696" s="9">
        <v>2023</v>
      </c>
      <c r="M8696" s="8" t="s">
        <v>48895</v>
      </c>
      <c r="N8696" s="8" t="s">
        <v>63</v>
      </c>
      <c r="O8696" s="8" t="s">
        <v>126</v>
      </c>
      <c r="P8696" s="6" t="s">
        <v>51</v>
      </c>
      <c r="Q8696" s="8" t="s">
        <v>52</v>
      </c>
      <c r="R8696" s="10" t="s">
        <v>48896</v>
      </c>
      <c r="S8696" s="11" t="s">
        <v>48897</v>
      </c>
      <c r="T8696" s="6"/>
      <c r="U8696" s="15" t="str">
        <f>HYPERLINK("https://media.infra-m.ru/1941/1941757/cover/1941757.jpg", "Обложка")</f>
        <v>Обложка</v>
      </c>
      <c r="V8696" s="8" t="s">
        <v>445</v>
      </c>
      <c r="W8696" s="6"/>
      <c r="X8696" s="6"/>
      <c r="Y8696" s="6"/>
      <c r="Z8696" s="6"/>
      <c r="AA8696" s="6" t="s">
        <v>2240</v>
      </c>
      <c r="AB8696" s="8"/>
      <c r="AC8696" s="27">
        <v>9785160136875</v>
      </c>
    </row>
    <row r="8697" spans="1:29" s="4" customFormat="1" ht="51.9" customHeight="1" x14ac:dyDescent="0.2">
      <c r="A8697" s="5">
        <v>0</v>
      </c>
      <c r="B8697" s="6" t="s">
        <v>48898</v>
      </c>
      <c r="C8697" s="7">
        <v>1272</v>
      </c>
      <c r="D8697" s="8" t="s">
        <v>48899</v>
      </c>
      <c r="E8697" s="8" t="s">
        <v>48900</v>
      </c>
      <c r="F8697" s="8" t="s">
        <v>48901</v>
      </c>
      <c r="G8697" s="6" t="s">
        <v>33</v>
      </c>
      <c r="H8697" s="6" t="s">
        <v>34</v>
      </c>
      <c r="I8697" s="8" t="s">
        <v>253</v>
      </c>
      <c r="J8697" s="9">
        <v>1</v>
      </c>
      <c r="K8697" s="9">
        <v>192</v>
      </c>
      <c r="L8697" s="9">
        <v>2026</v>
      </c>
      <c r="M8697" s="8" t="s">
        <v>48902</v>
      </c>
      <c r="N8697" s="8" t="s">
        <v>63</v>
      </c>
      <c r="O8697" s="8" t="s">
        <v>126</v>
      </c>
      <c r="P8697" s="6" t="s">
        <v>51</v>
      </c>
      <c r="Q8697" s="8" t="s">
        <v>500</v>
      </c>
      <c r="R8697" s="10" t="s">
        <v>48903</v>
      </c>
      <c r="S8697" s="11" t="s">
        <v>48904</v>
      </c>
      <c r="T8697" s="6"/>
      <c r="U8697" s="15" t="str">
        <f>HYPERLINK("https://media.infra-m.ru/2211/2211871/cover/2211871.jpg", "Обложка")</f>
        <v>Обложка</v>
      </c>
      <c r="V8697" s="8" t="s">
        <v>588</v>
      </c>
      <c r="W8697" s="6"/>
      <c r="X8697" s="6"/>
      <c r="Y8697" s="6"/>
      <c r="Z8697" s="6"/>
      <c r="AA8697" s="6" t="s">
        <v>55</v>
      </c>
      <c r="AB8697" s="8"/>
      <c r="AC8697" s="27">
        <v>9785160211763</v>
      </c>
    </row>
    <row r="8698" spans="1:29" s="4" customFormat="1" ht="42" customHeight="1" x14ac:dyDescent="0.2">
      <c r="A8698" s="5">
        <v>0</v>
      </c>
      <c r="B8698" s="6" t="s">
        <v>48905</v>
      </c>
      <c r="C8698" s="7">
        <v>2856</v>
      </c>
      <c r="D8698" s="8" t="s">
        <v>48906</v>
      </c>
      <c r="E8698" s="8" t="s">
        <v>48907</v>
      </c>
      <c r="F8698" s="8" t="s">
        <v>48908</v>
      </c>
      <c r="G8698" s="6" t="s">
        <v>60</v>
      </c>
      <c r="H8698" s="6" t="s">
        <v>134</v>
      </c>
      <c r="I8698" s="8"/>
      <c r="J8698" s="9">
        <v>1</v>
      </c>
      <c r="K8698" s="9">
        <v>432</v>
      </c>
      <c r="L8698" s="9">
        <v>2026</v>
      </c>
      <c r="M8698" s="8" t="s">
        <v>48909</v>
      </c>
      <c r="N8698" s="8" t="s">
        <v>63</v>
      </c>
      <c r="O8698" s="8" t="s">
        <v>126</v>
      </c>
      <c r="P8698" s="6" t="s">
        <v>306</v>
      </c>
      <c r="Q8698" s="8" t="s">
        <v>500</v>
      </c>
      <c r="R8698" s="10" t="s">
        <v>1667</v>
      </c>
      <c r="S8698" s="11"/>
      <c r="T8698" s="6"/>
      <c r="U8698" s="15" t="str">
        <f>HYPERLINK("https://media.infra-m.ru/2228/2228064/cover/2228064.jpg", "Обложка")</f>
        <v>Обложка</v>
      </c>
      <c r="V8698" s="8" t="s">
        <v>1425</v>
      </c>
      <c r="W8698" s="6"/>
      <c r="X8698" s="6"/>
      <c r="Y8698" s="6"/>
      <c r="Z8698" s="6"/>
      <c r="AA8698" s="6" t="s">
        <v>2311</v>
      </c>
      <c r="AB8698" s="8"/>
      <c r="AC8698" s="27">
        <v>9785917687582</v>
      </c>
    </row>
    <row r="8699" spans="1:29" s="4" customFormat="1" ht="51.9" customHeight="1" x14ac:dyDescent="0.2">
      <c r="A8699" s="5">
        <v>0</v>
      </c>
      <c r="B8699" s="6" t="s">
        <v>48910</v>
      </c>
      <c r="C8699" s="7">
        <v>1840.8</v>
      </c>
      <c r="D8699" s="8" t="s">
        <v>48911</v>
      </c>
      <c r="E8699" s="8" t="s">
        <v>48912</v>
      </c>
      <c r="F8699" s="8" t="s">
        <v>48913</v>
      </c>
      <c r="G8699" s="6" t="s">
        <v>118</v>
      </c>
      <c r="H8699" s="6" t="s">
        <v>34</v>
      </c>
      <c r="I8699" s="8" t="s">
        <v>9737</v>
      </c>
      <c r="J8699" s="9">
        <v>1</v>
      </c>
      <c r="K8699" s="9">
        <v>333</v>
      </c>
      <c r="L8699" s="9">
        <v>2024</v>
      </c>
      <c r="M8699" s="8" t="s">
        <v>48914</v>
      </c>
      <c r="N8699" s="8" t="s">
        <v>63</v>
      </c>
      <c r="O8699" s="8" t="s">
        <v>126</v>
      </c>
      <c r="P8699" s="6" t="s">
        <v>51</v>
      </c>
      <c r="Q8699" s="8" t="s">
        <v>1349</v>
      </c>
      <c r="R8699" s="10" t="s">
        <v>48915</v>
      </c>
      <c r="S8699" s="11" t="s">
        <v>48916</v>
      </c>
      <c r="T8699" s="6"/>
      <c r="U8699" s="15" t="str">
        <f>HYPERLINK("https://media.infra-m.ru/2061/2061219/cover/2061219.jpg", "Обложка")</f>
        <v>Обложка</v>
      </c>
      <c r="V8699" s="8" t="s">
        <v>4389</v>
      </c>
      <c r="W8699" s="6"/>
      <c r="X8699" s="6"/>
      <c r="Y8699" s="6"/>
      <c r="Z8699" s="6"/>
      <c r="AA8699" s="6" t="s">
        <v>1015</v>
      </c>
      <c r="AB8699" s="8"/>
      <c r="AC8699" s="27">
        <v>9785160117096</v>
      </c>
    </row>
    <row r="8700" spans="1:29" s="4" customFormat="1" ht="51.9" customHeight="1" x14ac:dyDescent="0.2">
      <c r="A8700" s="5">
        <v>0</v>
      </c>
      <c r="B8700" s="6" t="s">
        <v>48917</v>
      </c>
      <c r="C8700" s="7">
        <v>2196</v>
      </c>
      <c r="D8700" s="8" t="s">
        <v>48918</v>
      </c>
      <c r="E8700" s="8" t="s">
        <v>48912</v>
      </c>
      <c r="F8700" s="8" t="s">
        <v>48913</v>
      </c>
      <c r="G8700" s="6" t="s">
        <v>33</v>
      </c>
      <c r="H8700" s="6" t="s">
        <v>34</v>
      </c>
      <c r="I8700" s="8" t="s">
        <v>253</v>
      </c>
      <c r="J8700" s="9">
        <v>1</v>
      </c>
      <c r="K8700" s="9">
        <v>333</v>
      </c>
      <c r="L8700" s="9">
        <v>2026</v>
      </c>
      <c r="M8700" s="8" t="s">
        <v>48919</v>
      </c>
      <c r="N8700" s="8" t="s">
        <v>63</v>
      </c>
      <c r="O8700" s="8" t="s">
        <v>126</v>
      </c>
      <c r="P8700" s="6" t="s">
        <v>51</v>
      </c>
      <c r="Q8700" s="8" t="s">
        <v>1349</v>
      </c>
      <c r="R8700" s="10" t="s">
        <v>48915</v>
      </c>
      <c r="S8700" s="11" t="s">
        <v>48920</v>
      </c>
      <c r="T8700" s="6"/>
      <c r="U8700" s="15" t="str">
        <f>HYPERLINK("https://media.infra-m.ru/2228/2228083/cover/2228083.jpg", "Обложка")</f>
        <v>Обложка</v>
      </c>
      <c r="V8700" s="8" t="s">
        <v>4389</v>
      </c>
      <c r="W8700" s="6"/>
      <c r="X8700" s="6"/>
      <c r="Y8700" s="6"/>
      <c r="Z8700" s="6"/>
      <c r="AA8700" s="6" t="s">
        <v>1015</v>
      </c>
      <c r="AB8700" s="8"/>
      <c r="AC8700" s="27">
        <v>9785160215570</v>
      </c>
    </row>
    <row r="8701" spans="1:29" s="4" customFormat="1" ht="51.9" customHeight="1" x14ac:dyDescent="0.2">
      <c r="A8701" s="5">
        <v>0</v>
      </c>
      <c r="B8701" s="6" t="s">
        <v>48921</v>
      </c>
      <c r="C8701" s="7">
        <v>1800</v>
      </c>
      <c r="D8701" s="8" t="s">
        <v>48922</v>
      </c>
      <c r="E8701" s="8" t="s">
        <v>48912</v>
      </c>
      <c r="F8701" s="8" t="s">
        <v>48923</v>
      </c>
      <c r="G8701" s="6" t="s">
        <v>118</v>
      </c>
      <c r="H8701" s="6" t="s">
        <v>34</v>
      </c>
      <c r="I8701" s="8" t="s">
        <v>253</v>
      </c>
      <c r="J8701" s="9">
        <v>1</v>
      </c>
      <c r="K8701" s="9">
        <v>272</v>
      </c>
      <c r="L8701" s="9">
        <v>2026</v>
      </c>
      <c r="M8701" s="8" t="s">
        <v>48924</v>
      </c>
      <c r="N8701" s="8" t="s">
        <v>63</v>
      </c>
      <c r="O8701" s="8" t="s">
        <v>126</v>
      </c>
      <c r="P8701" s="6" t="s">
        <v>51</v>
      </c>
      <c r="Q8701" s="8" t="s">
        <v>65</v>
      </c>
      <c r="R8701" s="10" t="s">
        <v>48925</v>
      </c>
      <c r="S8701" s="11"/>
      <c r="T8701" s="6"/>
      <c r="U8701" s="15" t="str">
        <f>HYPERLINK("https://media.infra-m.ru/2250/2250835/cover/2250835.jpg", "Обложка")</f>
        <v>Обложка</v>
      </c>
      <c r="V8701" s="8" t="s">
        <v>1425</v>
      </c>
      <c r="W8701" s="6"/>
      <c r="X8701" s="6"/>
      <c r="Y8701" s="6"/>
      <c r="Z8701" s="6"/>
      <c r="AA8701" s="6" t="s">
        <v>4554</v>
      </c>
      <c r="AB8701" s="8"/>
      <c r="AC8701" s="27">
        <v>9785160187563</v>
      </c>
    </row>
    <row r="8702" spans="1:29" s="4" customFormat="1" ht="42" customHeight="1" x14ac:dyDescent="0.2">
      <c r="A8702" s="5">
        <v>0</v>
      </c>
      <c r="B8702" s="6" t="s">
        <v>48926</v>
      </c>
      <c r="C8702" s="13">
        <v>532.79999999999995</v>
      </c>
      <c r="D8702" s="8" t="s">
        <v>48927</v>
      </c>
      <c r="E8702" s="8" t="s">
        <v>48928</v>
      </c>
      <c r="F8702" s="8" t="s">
        <v>48929</v>
      </c>
      <c r="G8702" s="6" t="s">
        <v>33</v>
      </c>
      <c r="H8702" s="6" t="s">
        <v>34</v>
      </c>
      <c r="I8702" s="8" t="s">
        <v>35</v>
      </c>
      <c r="J8702" s="9">
        <v>1</v>
      </c>
      <c r="K8702" s="9">
        <v>90</v>
      </c>
      <c r="L8702" s="9">
        <v>2023</v>
      </c>
      <c r="M8702" s="8" t="s">
        <v>48930</v>
      </c>
      <c r="N8702" s="8" t="s">
        <v>93</v>
      </c>
      <c r="O8702" s="8" t="s">
        <v>94</v>
      </c>
      <c r="P8702" s="6" t="s">
        <v>39</v>
      </c>
      <c r="Q8702" s="8" t="s">
        <v>40</v>
      </c>
      <c r="R8702" s="10" t="s">
        <v>35724</v>
      </c>
      <c r="S8702" s="11"/>
      <c r="T8702" s="6"/>
      <c r="U8702" s="15" t="str">
        <f>HYPERLINK("https://media.infra-m.ru/1996/1996448/cover/1996448.jpg", "Обложка")</f>
        <v>Обложка</v>
      </c>
      <c r="V8702" s="8" t="s">
        <v>54</v>
      </c>
      <c r="W8702" s="6"/>
      <c r="X8702" s="6"/>
      <c r="Y8702" s="6"/>
      <c r="Z8702" s="6"/>
      <c r="AA8702" s="6" t="s">
        <v>55</v>
      </c>
      <c r="AB8702" s="8"/>
      <c r="AC8702" s="27">
        <v>9785160062785</v>
      </c>
    </row>
    <row r="8703" spans="1:29" s="4" customFormat="1" ht="51.9" customHeight="1" x14ac:dyDescent="0.2">
      <c r="A8703" s="5">
        <v>0</v>
      </c>
      <c r="B8703" s="6" t="s">
        <v>48931</v>
      </c>
      <c r="C8703" s="7">
        <v>1480.8</v>
      </c>
      <c r="D8703" s="8" t="s">
        <v>48932</v>
      </c>
      <c r="E8703" s="8" t="s">
        <v>48933</v>
      </c>
      <c r="F8703" s="8" t="s">
        <v>48934</v>
      </c>
      <c r="G8703" s="6" t="s">
        <v>60</v>
      </c>
      <c r="H8703" s="6" t="s">
        <v>313</v>
      </c>
      <c r="I8703" s="8" t="s">
        <v>504</v>
      </c>
      <c r="J8703" s="9">
        <v>1</v>
      </c>
      <c r="K8703" s="9">
        <v>224</v>
      </c>
      <c r="L8703" s="9">
        <v>2026</v>
      </c>
      <c r="M8703" s="8" t="s">
        <v>48935</v>
      </c>
      <c r="N8703" s="8" t="s">
        <v>37</v>
      </c>
      <c r="O8703" s="8" t="s">
        <v>136</v>
      </c>
      <c r="P8703" s="6" t="s">
        <v>51</v>
      </c>
      <c r="Q8703" s="8" t="s">
        <v>500</v>
      </c>
      <c r="R8703" s="10" t="s">
        <v>48936</v>
      </c>
      <c r="S8703" s="11"/>
      <c r="T8703" s="6"/>
      <c r="U8703" s="15" t="str">
        <f>HYPERLINK("https://media.infra-m.ru/2232/2232569/cover/2232569.jpg", "Обложка")</f>
        <v>Обложка</v>
      </c>
      <c r="V8703" s="8" t="s">
        <v>4038</v>
      </c>
      <c r="W8703" s="6"/>
      <c r="X8703" s="6"/>
      <c r="Y8703" s="6"/>
      <c r="Z8703" s="6"/>
      <c r="AA8703" s="6" t="s">
        <v>55</v>
      </c>
      <c r="AB8703" s="8"/>
      <c r="AC8703" s="27">
        <v>9785369011515</v>
      </c>
    </row>
    <row r="8704" spans="1:29" s="4" customFormat="1" ht="42" customHeight="1" x14ac:dyDescent="0.2">
      <c r="A8704" s="5">
        <v>0</v>
      </c>
      <c r="B8704" s="6" t="s">
        <v>48937</v>
      </c>
      <c r="C8704" s="7">
        <v>4028.4</v>
      </c>
      <c r="D8704" s="8" t="s">
        <v>48938</v>
      </c>
      <c r="E8704" s="8" t="s">
        <v>48939</v>
      </c>
      <c r="F8704" s="8" t="s">
        <v>48940</v>
      </c>
      <c r="G8704" s="6" t="s">
        <v>60</v>
      </c>
      <c r="H8704" s="6" t="s">
        <v>34</v>
      </c>
      <c r="I8704" s="8" t="s">
        <v>1835</v>
      </c>
      <c r="J8704" s="9">
        <v>1</v>
      </c>
      <c r="K8704" s="9">
        <v>551</v>
      </c>
      <c r="L8704" s="9">
        <v>2025</v>
      </c>
      <c r="M8704" s="8" t="s">
        <v>48941</v>
      </c>
      <c r="N8704" s="8" t="s">
        <v>63</v>
      </c>
      <c r="O8704" s="8" t="s">
        <v>126</v>
      </c>
      <c r="P8704" s="6" t="s">
        <v>1837</v>
      </c>
      <c r="Q8704" s="8" t="s">
        <v>40</v>
      </c>
      <c r="R8704" s="10" t="s">
        <v>48942</v>
      </c>
      <c r="S8704" s="11"/>
      <c r="T8704" s="6"/>
      <c r="U8704" s="15" t="str">
        <f>HYPERLINK("https://media.infra-m.ru/2196/2196495/cover/2196495.jpg", "Обложка")</f>
        <v>Обложка</v>
      </c>
      <c r="V8704" s="8" t="s">
        <v>16500</v>
      </c>
      <c r="W8704" s="6"/>
      <c r="X8704" s="6"/>
      <c r="Y8704" s="6"/>
      <c r="Z8704" s="6"/>
      <c r="AA8704" s="6" t="s">
        <v>99</v>
      </c>
      <c r="AB8704" s="8"/>
      <c r="AC8704" s="27">
        <v>9785160129228</v>
      </c>
    </row>
    <row r="8705" spans="1:29" s="4" customFormat="1" ht="51.9" customHeight="1" x14ac:dyDescent="0.2">
      <c r="A8705" s="5">
        <v>0</v>
      </c>
      <c r="B8705" s="6" t="s">
        <v>48943</v>
      </c>
      <c r="C8705" s="7">
        <v>1596</v>
      </c>
      <c r="D8705" s="8" t="s">
        <v>48944</v>
      </c>
      <c r="E8705" s="8" t="s">
        <v>48945</v>
      </c>
      <c r="F8705" s="8" t="s">
        <v>13835</v>
      </c>
      <c r="G8705" s="6" t="s">
        <v>33</v>
      </c>
      <c r="H8705" s="6" t="s">
        <v>134</v>
      </c>
      <c r="I8705" s="8" t="s">
        <v>8663</v>
      </c>
      <c r="J8705" s="9">
        <v>1</v>
      </c>
      <c r="K8705" s="9">
        <v>256</v>
      </c>
      <c r="L8705" s="9">
        <v>2025</v>
      </c>
      <c r="M8705" s="8" t="s">
        <v>48946</v>
      </c>
      <c r="N8705" s="8" t="s">
        <v>37</v>
      </c>
      <c r="O8705" s="8" t="s">
        <v>136</v>
      </c>
      <c r="P8705" s="6" t="s">
        <v>3310</v>
      </c>
      <c r="Q8705" s="8" t="s">
        <v>500</v>
      </c>
      <c r="R8705" s="10" t="s">
        <v>48947</v>
      </c>
      <c r="S8705" s="11"/>
      <c r="T8705" s="6"/>
      <c r="U8705" s="15" t="str">
        <f>HYPERLINK("https://media.infra-m.ru/2197/2197012/cover/2197012.jpg", "Обложка")</f>
        <v>Обложка</v>
      </c>
      <c r="V8705" s="8" t="s">
        <v>1069</v>
      </c>
      <c r="W8705" s="6"/>
      <c r="X8705" s="6"/>
      <c r="Y8705" s="6"/>
      <c r="Z8705" s="6"/>
      <c r="AA8705" s="6" t="s">
        <v>12057</v>
      </c>
      <c r="AB8705" s="8"/>
      <c r="AC8705" s="27">
        <v>9785917682501</v>
      </c>
    </row>
    <row r="8706" spans="1:29" s="4" customFormat="1" ht="42" customHeight="1" x14ac:dyDescent="0.2">
      <c r="A8706" s="5">
        <v>0</v>
      </c>
      <c r="B8706" s="6" t="s">
        <v>48948</v>
      </c>
      <c r="C8706" s="7">
        <v>1672.8</v>
      </c>
      <c r="D8706" s="8" t="s">
        <v>48949</v>
      </c>
      <c r="E8706" s="8" t="s">
        <v>48950</v>
      </c>
      <c r="F8706" s="8" t="s">
        <v>48951</v>
      </c>
      <c r="G8706" s="6" t="s">
        <v>118</v>
      </c>
      <c r="H8706" s="6" t="s">
        <v>134</v>
      </c>
      <c r="I8706" s="8"/>
      <c r="J8706" s="9">
        <v>1</v>
      </c>
      <c r="K8706" s="9">
        <v>240</v>
      </c>
      <c r="L8706" s="9">
        <v>2027</v>
      </c>
      <c r="M8706" s="8" t="s">
        <v>48952</v>
      </c>
      <c r="N8706" s="8" t="s">
        <v>37</v>
      </c>
      <c r="O8706" s="8" t="s">
        <v>136</v>
      </c>
      <c r="P8706" s="6" t="s">
        <v>39</v>
      </c>
      <c r="Q8706" s="8" t="s">
        <v>40</v>
      </c>
      <c r="R8706" s="10" t="s">
        <v>684</v>
      </c>
      <c r="S8706" s="11"/>
      <c r="T8706" s="6"/>
      <c r="U8706" s="15" t="str">
        <f>HYPERLINK("https://media.infra-m.ru/2261/2261756/cover/2261756.jpg", "Обложка")</f>
        <v>Обложка</v>
      </c>
      <c r="V8706" s="8" t="s">
        <v>1069</v>
      </c>
      <c r="W8706" s="6"/>
      <c r="X8706" s="6"/>
      <c r="Y8706" s="6"/>
      <c r="Z8706" s="6"/>
      <c r="AA8706" s="6" t="s">
        <v>779</v>
      </c>
      <c r="AB8706" s="8"/>
      <c r="AC8706" s="27">
        <v>9785917686585</v>
      </c>
    </row>
    <row r="8707" spans="1:29" s="4" customFormat="1" ht="42" customHeight="1" x14ac:dyDescent="0.2">
      <c r="A8707" s="5">
        <v>0</v>
      </c>
      <c r="B8707" s="6" t="s">
        <v>48953</v>
      </c>
      <c r="C8707" s="7">
        <v>1128</v>
      </c>
      <c r="D8707" s="8" t="s">
        <v>48954</v>
      </c>
      <c r="E8707" s="8" t="s">
        <v>48955</v>
      </c>
      <c r="F8707" s="8" t="s">
        <v>48956</v>
      </c>
      <c r="G8707" s="6" t="s">
        <v>118</v>
      </c>
      <c r="H8707" s="6" t="s">
        <v>134</v>
      </c>
      <c r="I8707" s="8"/>
      <c r="J8707" s="9">
        <v>1</v>
      </c>
      <c r="K8707" s="9">
        <v>160</v>
      </c>
      <c r="L8707" s="9">
        <v>2026</v>
      </c>
      <c r="M8707" s="8" t="s">
        <v>48957</v>
      </c>
      <c r="N8707" s="8" t="s">
        <v>37</v>
      </c>
      <c r="O8707" s="8" t="s">
        <v>136</v>
      </c>
      <c r="P8707" s="6" t="s">
        <v>39</v>
      </c>
      <c r="Q8707" s="8" t="s">
        <v>40</v>
      </c>
      <c r="R8707" s="10" t="s">
        <v>8591</v>
      </c>
      <c r="S8707" s="11"/>
      <c r="T8707" s="6"/>
      <c r="U8707" s="15" t="str">
        <f>HYPERLINK("https://media.infra-m.ru/2253/2253935/cover/2253935.jpg", "Обложка")</f>
        <v>Обложка</v>
      </c>
      <c r="V8707" s="8" t="s">
        <v>1277</v>
      </c>
      <c r="W8707" s="6"/>
      <c r="X8707" s="6"/>
      <c r="Y8707" s="6"/>
      <c r="Z8707" s="6"/>
      <c r="AA8707" s="6" t="s">
        <v>1303</v>
      </c>
      <c r="AB8707" s="8"/>
      <c r="AC8707" s="27">
        <v>9785001562931</v>
      </c>
    </row>
    <row r="8708" spans="1:29" s="4" customFormat="1" ht="42" customHeight="1" x14ac:dyDescent="0.2">
      <c r="A8708" s="5">
        <v>0</v>
      </c>
      <c r="B8708" s="6" t="s">
        <v>48958</v>
      </c>
      <c r="C8708" s="13">
        <v>948</v>
      </c>
      <c r="D8708" s="8" t="s">
        <v>48959</v>
      </c>
      <c r="E8708" s="8" t="s">
        <v>48960</v>
      </c>
      <c r="F8708" s="8" t="s">
        <v>48956</v>
      </c>
      <c r="G8708" s="6" t="s">
        <v>33</v>
      </c>
      <c r="H8708" s="6" t="s">
        <v>134</v>
      </c>
      <c r="I8708" s="8"/>
      <c r="J8708" s="9">
        <v>1</v>
      </c>
      <c r="K8708" s="9">
        <v>176</v>
      </c>
      <c r="L8708" s="9">
        <v>2023</v>
      </c>
      <c r="M8708" s="8" t="s">
        <v>48961</v>
      </c>
      <c r="N8708" s="8" t="s">
        <v>37</v>
      </c>
      <c r="O8708" s="8" t="s">
        <v>136</v>
      </c>
      <c r="P8708" s="6" t="s">
        <v>39</v>
      </c>
      <c r="Q8708" s="8" t="s">
        <v>40</v>
      </c>
      <c r="R8708" s="10" t="s">
        <v>8591</v>
      </c>
      <c r="S8708" s="11"/>
      <c r="T8708" s="6"/>
      <c r="U8708" s="15" t="str">
        <f>HYPERLINK("https://media.infra-m.ru/1912/1912169/cover/1912169.jpg", "Обложка")</f>
        <v>Обложка</v>
      </c>
      <c r="V8708" s="8" t="s">
        <v>1277</v>
      </c>
      <c r="W8708" s="6"/>
      <c r="X8708" s="6"/>
      <c r="Y8708" s="6"/>
      <c r="Z8708" s="6"/>
      <c r="AA8708" s="6" t="s">
        <v>248</v>
      </c>
      <c r="AB8708" s="8"/>
      <c r="AC8708" s="27">
        <v>9785917684499</v>
      </c>
    </row>
    <row r="8709" spans="1:29" s="4" customFormat="1" ht="42" customHeight="1" x14ac:dyDescent="0.2">
      <c r="A8709" s="5">
        <v>0</v>
      </c>
      <c r="B8709" s="6" t="s">
        <v>48962</v>
      </c>
      <c r="C8709" s="13">
        <v>780</v>
      </c>
      <c r="D8709" s="8" t="s">
        <v>48963</v>
      </c>
      <c r="E8709" s="8" t="s">
        <v>48964</v>
      </c>
      <c r="F8709" s="8" t="s">
        <v>31945</v>
      </c>
      <c r="G8709" s="6" t="s">
        <v>33</v>
      </c>
      <c r="H8709" s="6" t="s">
        <v>34</v>
      </c>
      <c r="I8709" s="8" t="s">
        <v>35</v>
      </c>
      <c r="J8709" s="9">
        <v>1</v>
      </c>
      <c r="K8709" s="9">
        <v>177</v>
      </c>
      <c r="L8709" s="9">
        <v>2021</v>
      </c>
      <c r="M8709" s="8" t="s">
        <v>48965</v>
      </c>
      <c r="N8709" s="8" t="s">
        <v>37</v>
      </c>
      <c r="O8709" s="8" t="s">
        <v>136</v>
      </c>
      <c r="P8709" s="6" t="s">
        <v>39</v>
      </c>
      <c r="Q8709" s="8" t="s">
        <v>40</v>
      </c>
      <c r="R8709" s="10" t="s">
        <v>1625</v>
      </c>
      <c r="S8709" s="11"/>
      <c r="T8709" s="6"/>
      <c r="U8709" s="15" t="str">
        <f>HYPERLINK("https://media.infra-m.ru/1209/1209849/cover/1209849.jpg", "Обложка")</f>
        <v>Обложка</v>
      </c>
      <c r="V8709" s="8" t="s">
        <v>31948</v>
      </c>
      <c r="W8709" s="6"/>
      <c r="X8709" s="6"/>
      <c r="Y8709" s="6"/>
      <c r="Z8709" s="6"/>
      <c r="AA8709" s="6" t="s">
        <v>86</v>
      </c>
      <c r="AB8709" s="8"/>
      <c r="AC8709" s="27">
        <v>9785160125879</v>
      </c>
    </row>
    <row r="8710" spans="1:29" s="4" customFormat="1" ht="44.1" customHeight="1" x14ac:dyDescent="0.2">
      <c r="A8710" s="5">
        <v>0</v>
      </c>
      <c r="B8710" s="6" t="s">
        <v>48966</v>
      </c>
      <c r="C8710" s="7">
        <v>1025.9000000000001</v>
      </c>
      <c r="D8710" s="8" t="s">
        <v>48967</v>
      </c>
      <c r="E8710" s="8" t="s">
        <v>48968</v>
      </c>
      <c r="F8710" s="8" t="s">
        <v>48969</v>
      </c>
      <c r="G8710" s="6" t="s">
        <v>33</v>
      </c>
      <c r="H8710" s="6" t="s">
        <v>134</v>
      </c>
      <c r="I8710" s="8"/>
      <c r="J8710" s="9">
        <v>1</v>
      </c>
      <c r="K8710" s="9">
        <v>224</v>
      </c>
      <c r="L8710" s="9">
        <v>2022</v>
      </c>
      <c r="M8710" s="8" t="s">
        <v>48970</v>
      </c>
      <c r="N8710" s="8" t="s">
        <v>37</v>
      </c>
      <c r="O8710" s="8" t="s">
        <v>136</v>
      </c>
      <c r="P8710" s="6" t="s">
        <v>39</v>
      </c>
      <c r="Q8710" s="8" t="s">
        <v>749</v>
      </c>
      <c r="R8710" s="10" t="s">
        <v>8591</v>
      </c>
      <c r="S8710" s="11"/>
      <c r="T8710" s="6"/>
      <c r="U8710" s="15" t="str">
        <f>HYPERLINK("https://media.infra-m.ru/1425/1425536/cover/1425536.jpg", "Обложка")</f>
        <v>Обложка</v>
      </c>
      <c r="V8710" s="8" t="s">
        <v>1184</v>
      </c>
      <c r="W8710" s="6"/>
      <c r="X8710" s="6"/>
      <c r="Y8710" s="6"/>
      <c r="Z8710" s="6"/>
      <c r="AA8710" s="6" t="s">
        <v>779</v>
      </c>
      <c r="AB8710" s="8"/>
      <c r="AC8710" s="27">
        <v>9785917687193</v>
      </c>
    </row>
    <row r="8711" spans="1:29" s="4" customFormat="1" ht="51.9" customHeight="1" x14ac:dyDescent="0.2">
      <c r="A8711" s="5">
        <v>0</v>
      </c>
      <c r="B8711" s="6" t="s">
        <v>48971</v>
      </c>
      <c r="C8711" s="7">
        <v>3552</v>
      </c>
      <c r="D8711" s="8" t="s">
        <v>48972</v>
      </c>
      <c r="E8711" s="8" t="s">
        <v>48973</v>
      </c>
      <c r="F8711" s="8" t="s">
        <v>26032</v>
      </c>
      <c r="G8711" s="6" t="s">
        <v>60</v>
      </c>
      <c r="H8711" s="6" t="s">
        <v>313</v>
      </c>
      <c r="I8711" s="8"/>
      <c r="J8711" s="9">
        <v>1</v>
      </c>
      <c r="K8711" s="9">
        <v>602</v>
      </c>
      <c r="L8711" s="9">
        <v>2025</v>
      </c>
      <c r="M8711" s="8" t="s">
        <v>48974</v>
      </c>
      <c r="N8711" s="8" t="s">
        <v>37</v>
      </c>
      <c r="O8711" s="8" t="s">
        <v>136</v>
      </c>
      <c r="P8711" s="6" t="s">
        <v>306</v>
      </c>
      <c r="Q8711" s="8" t="s">
        <v>500</v>
      </c>
      <c r="R8711" s="10" t="s">
        <v>48771</v>
      </c>
      <c r="S8711" s="11"/>
      <c r="T8711" s="6"/>
      <c r="U8711" s="15" t="str">
        <f>HYPERLINK("https://media.infra-m.ru/2163/2163741/cover/2163741.jpg", "Обложка")</f>
        <v>Обложка</v>
      </c>
      <c r="V8711" s="8" t="s">
        <v>13253</v>
      </c>
      <c r="W8711" s="6"/>
      <c r="X8711" s="6"/>
      <c r="Y8711" s="6"/>
      <c r="Z8711" s="6"/>
      <c r="AA8711" s="6" t="s">
        <v>917</v>
      </c>
      <c r="AB8711" s="8"/>
      <c r="AC8711" s="27">
        <v>9785369019672</v>
      </c>
    </row>
    <row r="8712" spans="1:29" s="4" customFormat="1" ht="51.9" customHeight="1" x14ac:dyDescent="0.2">
      <c r="A8712" s="5">
        <v>0</v>
      </c>
      <c r="B8712" s="6" t="s">
        <v>48975</v>
      </c>
      <c r="C8712" s="7">
        <v>2112</v>
      </c>
      <c r="D8712" s="8" t="s">
        <v>48976</v>
      </c>
      <c r="E8712" s="8" t="s">
        <v>48945</v>
      </c>
      <c r="F8712" s="8" t="s">
        <v>26032</v>
      </c>
      <c r="G8712" s="6" t="s">
        <v>60</v>
      </c>
      <c r="H8712" s="6" t="s">
        <v>313</v>
      </c>
      <c r="I8712" s="8"/>
      <c r="J8712" s="9">
        <v>1</v>
      </c>
      <c r="K8712" s="9">
        <v>602</v>
      </c>
      <c r="L8712" s="9">
        <v>2017</v>
      </c>
      <c r="M8712" s="8" t="s">
        <v>48977</v>
      </c>
      <c r="N8712" s="8" t="s">
        <v>37</v>
      </c>
      <c r="O8712" s="8" t="s">
        <v>136</v>
      </c>
      <c r="P8712" s="6" t="s">
        <v>306</v>
      </c>
      <c r="Q8712" s="8" t="s">
        <v>500</v>
      </c>
      <c r="R8712" s="10" t="s">
        <v>48771</v>
      </c>
      <c r="S8712" s="11"/>
      <c r="T8712" s="6"/>
      <c r="U8712" s="15" t="str">
        <f>HYPERLINK("https://media.infra-m.ru/0766/0766742/cover/766742.jpg", "Обложка")</f>
        <v>Обложка</v>
      </c>
      <c r="V8712" s="8" t="s">
        <v>13253</v>
      </c>
      <c r="W8712" s="6"/>
      <c r="X8712" s="6"/>
      <c r="Y8712" s="6"/>
      <c r="Z8712" s="6"/>
      <c r="AA8712" s="6" t="s">
        <v>99</v>
      </c>
      <c r="AB8712" s="8"/>
      <c r="AC8712" s="27">
        <v>9785369016497</v>
      </c>
    </row>
    <row r="8713" spans="1:29" s="4" customFormat="1" ht="51.9" customHeight="1" x14ac:dyDescent="0.2">
      <c r="A8713" s="5">
        <v>0</v>
      </c>
      <c r="B8713" s="6" t="s">
        <v>48978</v>
      </c>
      <c r="C8713" s="7">
        <v>2800.8</v>
      </c>
      <c r="D8713" s="8" t="s">
        <v>48979</v>
      </c>
      <c r="E8713" s="8" t="s">
        <v>48945</v>
      </c>
      <c r="F8713" s="8" t="s">
        <v>7414</v>
      </c>
      <c r="G8713" s="6" t="s">
        <v>60</v>
      </c>
      <c r="H8713" s="6" t="s">
        <v>313</v>
      </c>
      <c r="I8713" s="8" t="s">
        <v>392</v>
      </c>
      <c r="J8713" s="9">
        <v>1</v>
      </c>
      <c r="K8713" s="9">
        <v>424</v>
      </c>
      <c r="L8713" s="9">
        <v>2026</v>
      </c>
      <c r="M8713" s="8" t="s">
        <v>48980</v>
      </c>
      <c r="N8713" s="8" t="s">
        <v>37</v>
      </c>
      <c r="O8713" s="8" t="s">
        <v>136</v>
      </c>
      <c r="P8713" s="6" t="s">
        <v>306</v>
      </c>
      <c r="Q8713" s="8" t="s">
        <v>65</v>
      </c>
      <c r="R8713" s="10" t="s">
        <v>48981</v>
      </c>
      <c r="S8713" s="11"/>
      <c r="T8713" s="6"/>
      <c r="U8713" s="15" t="str">
        <f>HYPERLINK("https://media.infra-m.ru/2231/2231565/cover/2231565.jpg", "Обложка")</f>
        <v>Обложка</v>
      </c>
      <c r="V8713" s="8" t="s">
        <v>3595</v>
      </c>
      <c r="W8713" s="6"/>
      <c r="X8713" s="6"/>
      <c r="Y8713" s="6"/>
      <c r="Z8713" s="6"/>
      <c r="AA8713" s="6" t="s">
        <v>148</v>
      </c>
      <c r="AB8713" s="8"/>
      <c r="AC8713" s="27">
        <v>9785369018989</v>
      </c>
    </row>
    <row r="8714" spans="1:29" s="4" customFormat="1" ht="51.9" customHeight="1" x14ac:dyDescent="0.2">
      <c r="A8714" s="5">
        <v>0</v>
      </c>
      <c r="B8714" s="6" t="s">
        <v>48982</v>
      </c>
      <c r="C8714" s="7">
        <v>1945.2</v>
      </c>
      <c r="D8714" s="8" t="s">
        <v>48983</v>
      </c>
      <c r="E8714" s="8" t="s">
        <v>48945</v>
      </c>
      <c r="F8714" s="8" t="s">
        <v>48956</v>
      </c>
      <c r="G8714" s="6" t="s">
        <v>118</v>
      </c>
      <c r="H8714" s="6" t="s">
        <v>134</v>
      </c>
      <c r="I8714" s="8"/>
      <c r="J8714" s="9">
        <v>1</v>
      </c>
      <c r="K8714" s="9">
        <v>192</v>
      </c>
      <c r="L8714" s="9">
        <v>2025</v>
      </c>
      <c r="M8714" s="8" t="s">
        <v>48984</v>
      </c>
      <c r="N8714" s="8" t="s">
        <v>37</v>
      </c>
      <c r="O8714" s="8" t="s">
        <v>136</v>
      </c>
      <c r="P8714" s="6" t="s">
        <v>306</v>
      </c>
      <c r="Q8714" s="8" t="s">
        <v>52</v>
      </c>
      <c r="R8714" s="10" t="s">
        <v>48985</v>
      </c>
      <c r="S8714" s="11"/>
      <c r="T8714" s="6"/>
      <c r="U8714" s="15" t="str">
        <f>HYPERLINK("https://media.infra-m.ru/2162/2162951/cover/2162951.jpg", "Обложка")</f>
        <v>Обложка</v>
      </c>
      <c r="V8714" s="8" t="s">
        <v>1277</v>
      </c>
      <c r="W8714" s="6"/>
      <c r="X8714" s="6"/>
      <c r="Y8714" s="6"/>
      <c r="Z8714" s="6"/>
      <c r="AA8714" s="6" t="s">
        <v>1256</v>
      </c>
      <c r="AB8714" s="8" t="s">
        <v>2231</v>
      </c>
      <c r="AC8714" s="27">
        <v>9785001560548</v>
      </c>
    </row>
    <row r="8715" spans="1:29" s="4" customFormat="1" ht="51.9" customHeight="1" x14ac:dyDescent="0.2">
      <c r="A8715" s="5">
        <v>0</v>
      </c>
      <c r="B8715" s="6" t="s">
        <v>48986</v>
      </c>
      <c r="C8715" s="7">
        <v>2092.8000000000002</v>
      </c>
      <c r="D8715" s="8" t="s">
        <v>48987</v>
      </c>
      <c r="E8715" s="8" t="s">
        <v>48973</v>
      </c>
      <c r="F8715" s="8" t="s">
        <v>48988</v>
      </c>
      <c r="G8715" s="6" t="s">
        <v>118</v>
      </c>
      <c r="H8715" s="6" t="s">
        <v>34</v>
      </c>
      <c r="I8715" s="8" t="s">
        <v>271</v>
      </c>
      <c r="J8715" s="9">
        <v>1</v>
      </c>
      <c r="K8715" s="9">
        <v>336</v>
      </c>
      <c r="L8715" s="9">
        <v>2025</v>
      </c>
      <c r="M8715" s="8" t="s">
        <v>48989</v>
      </c>
      <c r="N8715" s="8" t="s">
        <v>37</v>
      </c>
      <c r="O8715" s="8" t="s">
        <v>136</v>
      </c>
      <c r="P8715" s="6" t="s">
        <v>306</v>
      </c>
      <c r="Q8715" s="8" t="s">
        <v>52</v>
      </c>
      <c r="R8715" s="10" t="s">
        <v>48985</v>
      </c>
      <c r="S8715" s="11" t="s">
        <v>48990</v>
      </c>
      <c r="T8715" s="6"/>
      <c r="U8715" s="15" t="str">
        <f>HYPERLINK("https://media.infra-m.ru/2192/2192235/cover/2192235.jpg", "Обложка")</f>
        <v>Обложка</v>
      </c>
      <c r="V8715" s="8" t="s">
        <v>17428</v>
      </c>
      <c r="W8715" s="6"/>
      <c r="X8715" s="6"/>
      <c r="Y8715" s="6"/>
      <c r="Z8715" s="6"/>
      <c r="AA8715" s="6" t="s">
        <v>718</v>
      </c>
      <c r="AB8715" s="8"/>
      <c r="AC8715" s="27">
        <v>9785160055275</v>
      </c>
    </row>
    <row r="8716" spans="1:29" s="4" customFormat="1" ht="51.9" customHeight="1" x14ac:dyDescent="0.2">
      <c r="A8716" s="5">
        <v>0</v>
      </c>
      <c r="B8716" s="6" t="s">
        <v>48991</v>
      </c>
      <c r="C8716" s="7">
        <v>3520.8</v>
      </c>
      <c r="D8716" s="8" t="s">
        <v>48992</v>
      </c>
      <c r="E8716" s="8" t="s">
        <v>48973</v>
      </c>
      <c r="F8716" s="8" t="s">
        <v>13835</v>
      </c>
      <c r="G8716" s="6" t="s">
        <v>60</v>
      </c>
      <c r="H8716" s="6" t="s">
        <v>134</v>
      </c>
      <c r="I8716" s="8"/>
      <c r="J8716" s="9">
        <v>1</v>
      </c>
      <c r="K8716" s="9">
        <v>848</v>
      </c>
      <c r="L8716" s="9">
        <v>2027</v>
      </c>
      <c r="M8716" s="8" t="s">
        <v>48993</v>
      </c>
      <c r="N8716" s="8" t="s">
        <v>37</v>
      </c>
      <c r="O8716" s="8" t="s">
        <v>136</v>
      </c>
      <c r="P8716" s="6" t="s">
        <v>306</v>
      </c>
      <c r="Q8716" s="8" t="s">
        <v>52</v>
      </c>
      <c r="R8716" s="10" t="s">
        <v>48985</v>
      </c>
      <c r="S8716" s="11" t="s">
        <v>7158</v>
      </c>
      <c r="T8716" s="6"/>
      <c r="U8716" s="15" t="str">
        <f>HYPERLINK("https://media.infra-m.ru/2264/2264818/cover/2264818.jpg", "Обложка")</f>
        <v>Обложка</v>
      </c>
      <c r="V8716" s="8" t="s">
        <v>1069</v>
      </c>
      <c r="W8716" s="6"/>
      <c r="X8716" s="6"/>
      <c r="Y8716" s="6"/>
      <c r="Z8716" s="6"/>
      <c r="AA8716" s="6" t="s">
        <v>7307</v>
      </c>
      <c r="AB8716" s="8"/>
      <c r="AC8716" s="27">
        <v>9785917680286</v>
      </c>
    </row>
    <row r="8717" spans="1:29" s="4" customFormat="1" ht="51.9" customHeight="1" x14ac:dyDescent="0.2">
      <c r="A8717" s="5">
        <v>0</v>
      </c>
      <c r="B8717" s="6" t="s">
        <v>48994</v>
      </c>
      <c r="C8717" s="7">
        <v>2668.8</v>
      </c>
      <c r="D8717" s="8" t="s">
        <v>48995</v>
      </c>
      <c r="E8717" s="8" t="s">
        <v>48945</v>
      </c>
      <c r="F8717" s="8" t="s">
        <v>42972</v>
      </c>
      <c r="G8717" s="6" t="s">
        <v>118</v>
      </c>
      <c r="H8717" s="6" t="s">
        <v>34</v>
      </c>
      <c r="I8717" s="8" t="s">
        <v>1753</v>
      </c>
      <c r="J8717" s="9">
        <v>1</v>
      </c>
      <c r="K8717" s="9">
        <v>474</v>
      </c>
      <c r="L8717" s="9">
        <v>2024</v>
      </c>
      <c r="M8717" s="8" t="s">
        <v>48996</v>
      </c>
      <c r="N8717" s="8" t="s">
        <v>37</v>
      </c>
      <c r="O8717" s="8" t="s">
        <v>136</v>
      </c>
      <c r="P8717" s="6" t="s">
        <v>51</v>
      </c>
      <c r="Q8717" s="8" t="s">
        <v>500</v>
      </c>
      <c r="R8717" s="10" t="s">
        <v>1230</v>
      </c>
      <c r="S8717" s="11" t="s">
        <v>48997</v>
      </c>
      <c r="T8717" s="6"/>
      <c r="U8717" s="15" t="str">
        <f>HYPERLINK("https://media.infra-m.ru/2152/2152115/cover/2152115.jpg", "Обложка")</f>
        <v>Обложка</v>
      </c>
      <c r="V8717" s="8" t="s">
        <v>247</v>
      </c>
      <c r="W8717" s="6"/>
      <c r="X8717" s="6"/>
      <c r="Y8717" s="6"/>
      <c r="Z8717" s="6"/>
      <c r="AA8717" s="6" t="s">
        <v>115</v>
      </c>
      <c r="AB8717" s="8"/>
      <c r="AC8717" s="27">
        <v>9785160143798</v>
      </c>
    </row>
    <row r="8718" spans="1:29" s="4" customFormat="1" ht="51.9" customHeight="1" x14ac:dyDescent="0.2">
      <c r="A8718" s="5">
        <v>0</v>
      </c>
      <c r="B8718" s="6" t="s">
        <v>48998</v>
      </c>
      <c r="C8718" s="7">
        <v>1169.9000000000001</v>
      </c>
      <c r="D8718" s="8" t="s">
        <v>48999</v>
      </c>
      <c r="E8718" s="8" t="s">
        <v>49000</v>
      </c>
      <c r="F8718" s="8" t="s">
        <v>49001</v>
      </c>
      <c r="G8718" s="6" t="s">
        <v>33</v>
      </c>
      <c r="H8718" s="6" t="s">
        <v>1644</v>
      </c>
      <c r="I8718" s="8" t="s">
        <v>4073</v>
      </c>
      <c r="J8718" s="9">
        <v>1</v>
      </c>
      <c r="K8718" s="9">
        <v>256</v>
      </c>
      <c r="L8718" s="9">
        <v>2022</v>
      </c>
      <c r="M8718" s="8" t="s">
        <v>49002</v>
      </c>
      <c r="N8718" s="8" t="s">
        <v>37</v>
      </c>
      <c r="O8718" s="8" t="s">
        <v>499</v>
      </c>
      <c r="P8718" s="6" t="s">
        <v>51</v>
      </c>
      <c r="Q8718" s="8" t="s">
        <v>52</v>
      </c>
      <c r="R8718" s="10" t="s">
        <v>49003</v>
      </c>
      <c r="S8718" s="11" t="s">
        <v>9546</v>
      </c>
      <c r="T8718" s="6"/>
      <c r="U8718" s="15" t="str">
        <f>HYPERLINK("https://media.infra-m.ru/1846/1846449/cover/1846449.jpg", "Обложка")</f>
        <v>Обложка</v>
      </c>
      <c r="V8718" s="8" t="s">
        <v>958</v>
      </c>
      <c r="W8718" s="6"/>
      <c r="X8718" s="6"/>
      <c r="Y8718" s="6"/>
      <c r="Z8718" s="6"/>
      <c r="AA8718" s="6" t="s">
        <v>55</v>
      </c>
      <c r="AB8718" s="8"/>
      <c r="AC8718" s="27">
        <v>9785977602815</v>
      </c>
    </row>
    <row r="8719" spans="1:29" s="4" customFormat="1" ht="42" customHeight="1" x14ac:dyDescent="0.2">
      <c r="A8719" s="5">
        <v>0</v>
      </c>
      <c r="B8719" s="6" t="s">
        <v>49004</v>
      </c>
      <c r="C8719" s="13">
        <v>410.3</v>
      </c>
      <c r="D8719" s="8" t="s">
        <v>49005</v>
      </c>
      <c r="E8719" s="8" t="s">
        <v>49006</v>
      </c>
      <c r="F8719" s="8" t="s">
        <v>49007</v>
      </c>
      <c r="G8719" s="6" t="s">
        <v>33</v>
      </c>
      <c r="H8719" s="6" t="s">
        <v>34</v>
      </c>
      <c r="I8719" s="8" t="s">
        <v>35</v>
      </c>
      <c r="J8719" s="9">
        <v>1</v>
      </c>
      <c r="K8719" s="9">
        <v>195</v>
      </c>
      <c r="L8719" s="9">
        <v>2019</v>
      </c>
      <c r="M8719" s="8" t="s">
        <v>49008</v>
      </c>
      <c r="N8719" s="8" t="s">
        <v>63</v>
      </c>
      <c r="O8719" s="8" t="s">
        <v>126</v>
      </c>
      <c r="P8719" s="6" t="s">
        <v>39</v>
      </c>
      <c r="Q8719" s="8" t="s">
        <v>40</v>
      </c>
      <c r="R8719" s="10" t="s">
        <v>10243</v>
      </c>
      <c r="S8719" s="11"/>
      <c r="T8719" s="6"/>
      <c r="U8719" s="15" t="str">
        <f>HYPERLINK("https://media.infra-m.ru/1020/1020523/cover/1020523.jpg", "Обложка")</f>
        <v>Обложка</v>
      </c>
      <c r="V8719" s="8" t="s">
        <v>227</v>
      </c>
      <c r="W8719" s="6"/>
      <c r="X8719" s="6"/>
      <c r="Y8719" s="6"/>
      <c r="Z8719" s="6"/>
      <c r="AA8719" s="6" t="s">
        <v>115</v>
      </c>
      <c r="AB8719" s="8"/>
      <c r="AC8719" s="27">
        <v>9785160152370</v>
      </c>
    </row>
    <row r="8720" spans="1:29" s="4" customFormat="1" ht="42" customHeight="1" x14ac:dyDescent="0.2">
      <c r="A8720" s="5">
        <v>0</v>
      </c>
      <c r="B8720" s="6" t="s">
        <v>49009</v>
      </c>
      <c r="C8720" s="13">
        <v>468</v>
      </c>
      <c r="D8720" s="8" t="s">
        <v>49010</v>
      </c>
      <c r="E8720" s="8" t="s">
        <v>49011</v>
      </c>
      <c r="F8720" s="8" t="s">
        <v>49012</v>
      </c>
      <c r="G8720" s="6" t="s">
        <v>33</v>
      </c>
      <c r="H8720" s="6" t="s">
        <v>34</v>
      </c>
      <c r="I8720" s="8" t="s">
        <v>49013</v>
      </c>
      <c r="J8720" s="9">
        <v>1</v>
      </c>
      <c r="K8720" s="9">
        <v>113</v>
      </c>
      <c r="L8720" s="9">
        <v>2018</v>
      </c>
      <c r="M8720" s="8" t="s">
        <v>49014</v>
      </c>
      <c r="N8720" s="8" t="s">
        <v>63</v>
      </c>
      <c r="O8720" s="8" t="s">
        <v>126</v>
      </c>
      <c r="P8720" s="6" t="s">
        <v>39</v>
      </c>
      <c r="Q8720" s="8" t="s">
        <v>40</v>
      </c>
      <c r="R8720" s="10" t="s">
        <v>16499</v>
      </c>
      <c r="S8720" s="11"/>
      <c r="T8720" s="6"/>
      <c r="U8720" s="15" t="str">
        <f>HYPERLINK("https://media.infra-m.ru/0951/0951404/cover/951404.jpg", "Обложка")</f>
        <v>Обложка</v>
      </c>
      <c r="V8720" s="8" t="s">
        <v>6314</v>
      </c>
      <c r="W8720" s="6"/>
      <c r="X8720" s="6"/>
      <c r="Y8720" s="6"/>
      <c r="Z8720" s="6"/>
      <c r="AA8720" s="6" t="s">
        <v>86</v>
      </c>
      <c r="AB8720" s="8"/>
      <c r="AC8720" s="27">
        <v>9785160137247</v>
      </c>
    </row>
    <row r="8721" spans="1:29" s="4" customFormat="1" ht="51.9" customHeight="1" x14ac:dyDescent="0.2">
      <c r="A8721" s="5">
        <v>0</v>
      </c>
      <c r="B8721" s="6" t="s">
        <v>49015</v>
      </c>
      <c r="C8721" s="7">
        <v>1540.8</v>
      </c>
      <c r="D8721" s="8" t="s">
        <v>49016</v>
      </c>
      <c r="E8721" s="8" t="s">
        <v>49017</v>
      </c>
      <c r="F8721" s="8" t="s">
        <v>22344</v>
      </c>
      <c r="G8721" s="6" t="s">
        <v>118</v>
      </c>
      <c r="H8721" s="6" t="s">
        <v>34</v>
      </c>
      <c r="I8721" s="8" t="s">
        <v>35</v>
      </c>
      <c r="J8721" s="9">
        <v>1</v>
      </c>
      <c r="K8721" s="9">
        <v>279</v>
      </c>
      <c r="L8721" s="9">
        <v>2024</v>
      </c>
      <c r="M8721" s="8" t="s">
        <v>49018</v>
      </c>
      <c r="N8721" s="8" t="s">
        <v>37</v>
      </c>
      <c r="O8721" s="8" t="s">
        <v>83</v>
      </c>
      <c r="P8721" s="6" t="s">
        <v>39</v>
      </c>
      <c r="Q8721" s="8" t="s">
        <v>40</v>
      </c>
      <c r="R8721" s="10" t="s">
        <v>49019</v>
      </c>
      <c r="S8721" s="11"/>
      <c r="T8721" s="6"/>
      <c r="U8721" s="15" t="str">
        <f>HYPERLINK("https://media.infra-m.ru/2102/2102717/cover/2102717.jpg", "Обложка")</f>
        <v>Обложка</v>
      </c>
      <c r="V8721" s="8" t="s">
        <v>546</v>
      </c>
      <c r="W8721" s="6"/>
      <c r="X8721" s="6"/>
      <c r="Y8721" s="6"/>
      <c r="Z8721" s="6"/>
      <c r="AA8721" s="6" t="s">
        <v>779</v>
      </c>
      <c r="AB8721" s="8"/>
      <c r="AC8721" s="27">
        <v>9785160113159</v>
      </c>
    </row>
    <row r="8722" spans="1:29" s="4" customFormat="1" ht="44.1" customHeight="1" x14ac:dyDescent="0.2">
      <c r="A8722" s="5">
        <v>0</v>
      </c>
      <c r="B8722" s="6" t="s">
        <v>49020</v>
      </c>
      <c r="C8722" s="7">
        <v>3172.8</v>
      </c>
      <c r="D8722" s="8" t="s">
        <v>49021</v>
      </c>
      <c r="E8722" s="8" t="s">
        <v>49022</v>
      </c>
      <c r="F8722" s="8" t="s">
        <v>49023</v>
      </c>
      <c r="G8722" s="6" t="s">
        <v>60</v>
      </c>
      <c r="H8722" s="6" t="s">
        <v>134</v>
      </c>
      <c r="I8722" s="8"/>
      <c r="J8722" s="9">
        <v>1</v>
      </c>
      <c r="K8722" s="9">
        <v>472</v>
      </c>
      <c r="L8722" s="9">
        <v>2025</v>
      </c>
      <c r="M8722" s="8" t="s">
        <v>49024</v>
      </c>
      <c r="N8722" s="8" t="s">
        <v>37</v>
      </c>
      <c r="O8722" s="8" t="s">
        <v>136</v>
      </c>
      <c r="P8722" s="6" t="s">
        <v>39</v>
      </c>
      <c r="Q8722" s="8"/>
      <c r="R8722" s="10" t="s">
        <v>426</v>
      </c>
      <c r="S8722" s="11"/>
      <c r="T8722" s="6"/>
      <c r="U8722" s="15" t="str">
        <f>HYPERLINK("https://media.infra-m.ru/2231/2231453/cover/2231453.jpg", "Обложка")</f>
        <v>Обложка</v>
      </c>
      <c r="V8722" s="8"/>
      <c r="W8722" s="6"/>
      <c r="X8722" s="6"/>
      <c r="Y8722" s="6"/>
      <c r="Z8722" s="6"/>
      <c r="AA8722" s="6" t="s">
        <v>76</v>
      </c>
      <c r="AB8722" s="8"/>
      <c r="AC8722" s="27">
        <v>9785001563761</v>
      </c>
    </row>
    <row r="8723" spans="1:29" s="4" customFormat="1" ht="51.9" customHeight="1" x14ac:dyDescent="0.2">
      <c r="A8723" s="5">
        <v>0</v>
      </c>
      <c r="B8723" s="6" t="s">
        <v>49025</v>
      </c>
      <c r="C8723" s="13">
        <v>796.8</v>
      </c>
      <c r="D8723" s="8" t="s">
        <v>49026</v>
      </c>
      <c r="E8723" s="8" t="s">
        <v>49027</v>
      </c>
      <c r="F8723" s="8" t="s">
        <v>36919</v>
      </c>
      <c r="G8723" s="6" t="s">
        <v>60</v>
      </c>
      <c r="H8723" s="6" t="s">
        <v>134</v>
      </c>
      <c r="I8723" s="8"/>
      <c r="J8723" s="9">
        <v>1</v>
      </c>
      <c r="K8723" s="9">
        <v>128</v>
      </c>
      <c r="L8723" s="9">
        <v>2025</v>
      </c>
      <c r="M8723" s="8" t="s">
        <v>49028</v>
      </c>
      <c r="N8723" s="8" t="s">
        <v>37</v>
      </c>
      <c r="O8723" s="8" t="s">
        <v>136</v>
      </c>
      <c r="P8723" s="6" t="s">
        <v>39</v>
      </c>
      <c r="Q8723" s="8" t="s">
        <v>40</v>
      </c>
      <c r="R8723" s="10" t="s">
        <v>37271</v>
      </c>
      <c r="S8723" s="11"/>
      <c r="T8723" s="6"/>
      <c r="U8723" s="15" t="str">
        <f>HYPERLINK("https://media.infra-m.ru/2204/2204050/cover/2204050.jpg", "Обложка")</f>
        <v>Обложка</v>
      </c>
      <c r="V8723" s="8" t="s">
        <v>7167</v>
      </c>
      <c r="W8723" s="6"/>
      <c r="X8723" s="6"/>
      <c r="Y8723" s="6"/>
      <c r="Z8723" s="6"/>
      <c r="AA8723" s="6" t="s">
        <v>430</v>
      </c>
      <c r="AB8723" s="8"/>
      <c r="AC8723" s="27">
        <v>9785001560982</v>
      </c>
    </row>
    <row r="8724" spans="1:29" s="4" customFormat="1" ht="51.9" customHeight="1" x14ac:dyDescent="0.2">
      <c r="A8724" s="5">
        <v>0</v>
      </c>
      <c r="B8724" s="6" t="s">
        <v>49029</v>
      </c>
      <c r="C8724" s="7">
        <v>2388</v>
      </c>
      <c r="D8724" s="8" t="s">
        <v>49030</v>
      </c>
      <c r="E8724" s="8" t="s">
        <v>49031</v>
      </c>
      <c r="F8724" s="8" t="s">
        <v>49032</v>
      </c>
      <c r="G8724" s="6" t="s">
        <v>60</v>
      </c>
      <c r="H8724" s="6" t="s">
        <v>134</v>
      </c>
      <c r="I8724" s="8"/>
      <c r="J8724" s="9">
        <v>1</v>
      </c>
      <c r="K8724" s="9">
        <v>424</v>
      </c>
      <c r="L8724" s="9">
        <v>2024</v>
      </c>
      <c r="M8724" s="8" t="s">
        <v>49033</v>
      </c>
      <c r="N8724" s="8" t="s">
        <v>37</v>
      </c>
      <c r="O8724" s="8" t="s">
        <v>136</v>
      </c>
      <c r="P8724" s="6" t="s">
        <v>39</v>
      </c>
      <c r="Q8724" s="8" t="s">
        <v>40</v>
      </c>
      <c r="R8724" s="10" t="s">
        <v>49034</v>
      </c>
      <c r="S8724" s="11"/>
      <c r="T8724" s="6"/>
      <c r="U8724" s="15" t="str">
        <f>HYPERLINK("https://media.infra-m.ru/2141/2141646/cover/2141646.jpg", "Обложка")</f>
        <v>Обложка</v>
      </c>
      <c r="V8724" s="8" t="s">
        <v>3087</v>
      </c>
      <c r="W8724" s="6"/>
      <c r="X8724" s="6"/>
      <c r="Y8724" s="6"/>
      <c r="Z8724" s="6"/>
      <c r="AA8724" s="6" t="s">
        <v>115</v>
      </c>
      <c r="AB8724" s="8"/>
      <c r="AC8724" s="27">
        <v>9785917689845</v>
      </c>
    </row>
    <row r="8725" spans="1:29" s="4" customFormat="1" ht="44.1" customHeight="1" x14ac:dyDescent="0.2">
      <c r="A8725" s="5">
        <v>0</v>
      </c>
      <c r="B8725" s="6" t="s">
        <v>49035</v>
      </c>
      <c r="C8725" s="13">
        <v>880.8</v>
      </c>
      <c r="D8725" s="8" t="s">
        <v>49036</v>
      </c>
      <c r="E8725" s="8" t="s">
        <v>49037</v>
      </c>
      <c r="F8725" s="8" t="s">
        <v>18200</v>
      </c>
      <c r="G8725" s="6" t="s">
        <v>33</v>
      </c>
      <c r="H8725" s="6" t="s">
        <v>241</v>
      </c>
      <c r="I8725" s="8"/>
      <c r="J8725" s="9">
        <v>5</v>
      </c>
      <c r="K8725" s="9">
        <v>160</v>
      </c>
      <c r="L8725" s="9">
        <v>2024</v>
      </c>
      <c r="M8725" s="8" t="s">
        <v>49038</v>
      </c>
      <c r="N8725" s="8" t="s">
        <v>37</v>
      </c>
      <c r="O8725" s="8" t="s">
        <v>280</v>
      </c>
      <c r="P8725" s="6" t="s">
        <v>51</v>
      </c>
      <c r="Q8725" s="8" t="s">
        <v>52</v>
      </c>
      <c r="R8725" s="10" t="s">
        <v>49039</v>
      </c>
      <c r="S8725" s="11"/>
      <c r="T8725" s="6"/>
      <c r="U8725" s="15" t="str">
        <f>HYPERLINK("https://media.infra-m.ru/2102/2102178/cover/2102178.jpg", "Обложка")</f>
        <v>Обложка</v>
      </c>
      <c r="V8725" s="8" t="s">
        <v>18203</v>
      </c>
      <c r="W8725" s="6"/>
      <c r="X8725" s="6"/>
      <c r="Y8725" s="6"/>
      <c r="Z8725" s="6"/>
      <c r="AA8725" s="6" t="s">
        <v>55</v>
      </c>
      <c r="AB8725" s="8"/>
      <c r="AC8725" s="27">
        <v>9785955802718</v>
      </c>
    </row>
    <row r="8726" spans="1:29" s="4" customFormat="1" ht="42" customHeight="1" x14ac:dyDescent="0.2">
      <c r="A8726" s="5">
        <v>0</v>
      </c>
      <c r="B8726" s="6" t="s">
        <v>49040</v>
      </c>
      <c r="C8726" s="7">
        <v>1128</v>
      </c>
      <c r="D8726" s="8" t="s">
        <v>49041</v>
      </c>
      <c r="E8726" s="8" t="s">
        <v>49042</v>
      </c>
      <c r="F8726" s="8" t="s">
        <v>49043</v>
      </c>
      <c r="G8726" s="6" t="s">
        <v>33</v>
      </c>
      <c r="H8726" s="6" t="s">
        <v>34</v>
      </c>
      <c r="I8726" s="8" t="s">
        <v>35</v>
      </c>
      <c r="J8726" s="9">
        <v>1</v>
      </c>
      <c r="K8726" s="9">
        <v>203</v>
      </c>
      <c r="L8726" s="9">
        <v>2024</v>
      </c>
      <c r="M8726" s="8" t="s">
        <v>49044</v>
      </c>
      <c r="N8726" s="8" t="s">
        <v>63</v>
      </c>
      <c r="O8726" s="8" t="s">
        <v>126</v>
      </c>
      <c r="P8726" s="6" t="s">
        <v>39</v>
      </c>
      <c r="Q8726" s="8" t="s">
        <v>40</v>
      </c>
      <c r="R8726" s="10" t="s">
        <v>49045</v>
      </c>
      <c r="S8726" s="11"/>
      <c r="T8726" s="6"/>
      <c r="U8726" s="15" t="str">
        <f>HYPERLINK("https://media.infra-m.ru/2054/2054116/cover/2054116.jpg", "Обложка")</f>
        <v>Обложка</v>
      </c>
      <c r="V8726" s="8" t="s">
        <v>644</v>
      </c>
      <c r="W8726" s="6"/>
      <c r="X8726" s="6"/>
      <c r="Y8726" s="6"/>
      <c r="Z8726" s="6"/>
      <c r="AA8726" s="6" t="s">
        <v>430</v>
      </c>
      <c r="AB8726" s="8"/>
      <c r="AC8726" s="27">
        <v>9785160164243</v>
      </c>
    </row>
    <row r="8727" spans="1:29" s="4" customFormat="1" ht="42" customHeight="1" x14ac:dyDescent="0.2">
      <c r="A8727" s="5">
        <v>0</v>
      </c>
      <c r="B8727" s="6" t="s">
        <v>49046</v>
      </c>
      <c r="C8727" s="7">
        <v>1277.9000000000001</v>
      </c>
      <c r="D8727" s="8" t="s">
        <v>49047</v>
      </c>
      <c r="E8727" s="8" t="s">
        <v>49048</v>
      </c>
      <c r="F8727" s="8" t="s">
        <v>49049</v>
      </c>
      <c r="G8727" s="6" t="s">
        <v>60</v>
      </c>
      <c r="H8727" s="6" t="s">
        <v>1644</v>
      </c>
      <c r="I8727" s="8"/>
      <c r="J8727" s="9">
        <v>1</v>
      </c>
      <c r="K8727" s="9">
        <v>272</v>
      </c>
      <c r="L8727" s="9">
        <v>2022</v>
      </c>
      <c r="M8727" s="8" t="s">
        <v>49050</v>
      </c>
      <c r="N8727" s="8" t="s">
        <v>37</v>
      </c>
      <c r="O8727" s="8" t="s">
        <v>233</v>
      </c>
      <c r="P8727" s="6" t="s">
        <v>39</v>
      </c>
      <c r="Q8727" s="8" t="s">
        <v>40</v>
      </c>
      <c r="R8727" s="10" t="s">
        <v>2033</v>
      </c>
      <c r="S8727" s="11"/>
      <c r="T8727" s="6"/>
      <c r="U8727" s="15" t="str">
        <f>HYPERLINK("https://media.infra-m.ru/1844/1844302/cover/1844302.jpg", "Обложка")</f>
        <v>Обложка</v>
      </c>
      <c r="V8727" s="8" t="s">
        <v>1647</v>
      </c>
      <c r="W8727" s="6"/>
      <c r="X8727" s="6"/>
      <c r="Y8727" s="6"/>
      <c r="Z8727" s="6"/>
      <c r="AA8727" s="6" t="s">
        <v>55</v>
      </c>
      <c r="AB8727" s="8"/>
      <c r="AC8727" s="27">
        <v>9785977602778</v>
      </c>
    </row>
    <row r="8728" spans="1:29" s="4" customFormat="1" ht="44.1" customHeight="1" x14ac:dyDescent="0.2">
      <c r="A8728" s="5">
        <v>0</v>
      </c>
      <c r="B8728" s="6" t="s">
        <v>49051</v>
      </c>
      <c r="C8728" s="7">
        <v>1380</v>
      </c>
      <c r="D8728" s="8" t="s">
        <v>49052</v>
      </c>
      <c r="E8728" s="8" t="s">
        <v>49053</v>
      </c>
      <c r="F8728" s="8" t="s">
        <v>21170</v>
      </c>
      <c r="G8728" s="6" t="s">
        <v>60</v>
      </c>
      <c r="H8728" s="6" t="s">
        <v>34</v>
      </c>
      <c r="I8728" s="8" t="s">
        <v>253</v>
      </c>
      <c r="J8728" s="9">
        <v>1</v>
      </c>
      <c r="K8728" s="9">
        <v>212</v>
      </c>
      <c r="L8728" s="9">
        <v>2025</v>
      </c>
      <c r="M8728" s="8" t="s">
        <v>49054</v>
      </c>
      <c r="N8728" s="8" t="s">
        <v>37</v>
      </c>
      <c r="O8728" s="8" t="s">
        <v>233</v>
      </c>
      <c r="P8728" s="6" t="s">
        <v>51</v>
      </c>
      <c r="Q8728" s="8" t="s">
        <v>500</v>
      </c>
      <c r="R8728" s="10" t="s">
        <v>49055</v>
      </c>
      <c r="S8728" s="11"/>
      <c r="T8728" s="6"/>
      <c r="U8728" s="15" t="str">
        <f>HYPERLINK("https://media.infra-m.ru/1946/1946203/cover/1946203.jpg", "Обложка")</f>
        <v>Обложка</v>
      </c>
      <c r="V8728" s="8" t="s">
        <v>21173</v>
      </c>
      <c r="W8728" s="6"/>
      <c r="X8728" s="6"/>
      <c r="Y8728" s="6"/>
      <c r="Z8728" s="6"/>
      <c r="AA8728" s="6" t="s">
        <v>68</v>
      </c>
      <c r="AB8728" s="8"/>
      <c r="AC8728" s="27">
        <v>9785160182605</v>
      </c>
    </row>
    <row r="8729" spans="1:29" s="4" customFormat="1" ht="51.9" customHeight="1" x14ac:dyDescent="0.2">
      <c r="A8729" s="5">
        <v>0</v>
      </c>
      <c r="B8729" s="6" t="s">
        <v>49056</v>
      </c>
      <c r="C8729" s="13">
        <v>528</v>
      </c>
      <c r="D8729" s="8" t="s">
        <v>49057</v>
      </c>
      <c r="E8729" s="8" t="s">
        <v>49058</v>
      </c>
      <c r="F8729" s="8" t="s">
        <v>12287</v>
      </c>
      <c r="G8729" s="6" t="s">
        <v>33</v>
      </c>
      <c r="H8729" s="6" t="s">
        <v>34</v>
      </c>
      <c r="I8729" s="8" t="s">
        <v>35</v>
      </c>
      <c r="J8729" s="9">
        <v>24</v>
      </c>
      <c r="K8729" s="9">
        <v>140</v>
      </c>
      <c r="L8729" s="9">
        <v>2016</v>
      </c>
      <c r="M8729" s="8" t="s">
        <v>49059</v>
      </c>
      <c r="N8729" s="8" t="s">
        <v>63</v>
      </c>
      <c r="O8729" s="8" t="s">
        <v>126</v>
      </c>
      <c r="P8729" s="6" t="s">
        <v>39</v>
      </c>
      <c r="Q8729" s="8" t="s">
        <v>40</v>
      </c>
      <c r="R8729" s="10" t="s">
        <v>49060</v>
      </c>
      <c r="S8729" s="11"/>
      <c r="T8729" s="6"/>
      <c r="U8729" s="15" t="str">
        <f>HYPERLINK("https://media.infra-m.ru/0557/0557011/cover/557011.jpg", "Обложка")</f>
        <v>Обложка</v>
      </c>
      <c r="V8729" s="8" t="s">
        <v>546</v>
      </c>
      <c r="W8729" s="6"/>
      <c r="X8729" s="6"/>
      <c r="Y8729" s="6"/>
      <c r="Z8729" s="6"/>
      <c r="AA8729" s="6" t="s">
        <v>43</v>
      </c>
      <c r="AB8729" s="8"/>
      <c r="AC8729" s="27">
        <v>9785160054780</v>
      </c>
    </row>
    <row r="8730" spans="1:29" s="4" customFormat="1" ht="51.9" customHeight="1" x14ac:dyDescent="0.2">
      <c r="A8730" s="5">
        <v>0</v>
      </c>
      <c r="B8730" s="6" t="s">
        <v>49061</v>
      </c>
      <c r="C8730" s="7">
        <v>1072.8</v>
      </c>
      <c r="D8730" s="8" t="s">
        <v>49062</v>
      </c>
      <c r="E8730" s="8" t="s">
        <v>49063</v>
      </c>
      <c r="F8730" s="8" t="s">
        <v>12287</v>
      </c>
      <c r="G8730" s="6" t="s">
        <v>33</v>
      </c>
      <c r="H8730" s="6" t="s">
        <v>34</v>
      </c>
      <c r="I8730" s="8" t="s">
        <v>35</v>
      </c>
      <c r="J8730" s="9">
        <v>1</v>
      </c>
      <c r="K8730" s="9">
        <v>154</v>
      </c>
      <c r="L8730" s="9">
        <v>2027</v>
      </c>
      <c r="M8730" s="8" t="s">
        <v>49064</v>
      </c>
      <c r="N8730" s="8" t="s">
        <v>63</v>
      </c>
      <c r="O8730" s="8" t="s">
        <v>126</v>
      </c>
      <c r="P8730" s="6" t="s">
        <v>39</v>
      </c>
      <c r="Q8730" s="8" t="s">
        <v>40</v>
      </c>
      <c r="R8730" s="10" t="s">
        <v>49060</v>
      </c>
      <c r="S8730" s="11"/>
      <c r="T8730" s="6"/>
      <c r="U8730" s="15" t="str">
        <f>HYPERLINK("https://media.infra-m.ru/2265/2265719/cover/2265719.jpg", "Обложка")</f>
        <v>Обложка</v>
      </c>
      <c r="V8730" s="8" t="s">
        <v>546</v>
      </c>
      <c r="W8730" s="6"/>
      <c r="X8730" s="6"/>
      <c r="Y8730" s="6"/>
      <c r="Z8730" s="6"/>
      <c r="AA8730" s="6" t="s">
        <v>2240</v>
      </c>
      <c r="AB8730" s="8"/>
      <c r="AC8730" s="27">
        <v>9785160131290</v>
      </c>
    </row>
    <row r="8731" spans="1:29" s="4" customFormat="1" ht="51.9" customHeight="1" x14ac:dyDescent="0.2">
      <c r="A8731" s="5">
        <v>0</v>
      </c>
      <c r="B8731" s="6" t="s">
        <v>49065</v>
      </c>
      <c r="C8731" s="7">
        <v>1900.8</v>
      </c>
      <c r="D8731" s="8" t="s">
        <v>49066</v>
      </c>
      <c r="E8731" s="8" t="s">
        <v>49067</v>
      </c>
      <c r="F8731" s="8" t="s">
        <v>49068</v>
      </c>
      <c r="G8731" s="6" t="s">
        <v>21</v>
      </c>
      <c r="H8731" s="6" t="s">
        <v>1644</v>
      </c>
      <c r="I8731" s="8"/>
      <c r="J8731" s="9">
        <v>1</v>
      </c>
      <c r="K8731" s="9">
        <v>304</v>
      </c>
      <c r="L8731" s="9">
        <v>2025</v>
      </c>
      <c r="M8731" s="8" t="s">
        <v>49069</v>
      </c>
      <c r="N8731" s="8" t="s">
        <v>63</v>
      </c>
      <c r="O8731" s="8" t="s">
        <v>126</v>
      </c>
      <c r="P8731" s="6" t="s">
        <v>51</v>
      </c>
      <c r="Q8731" s="8" t="s">
        <v>52</v>
      </c>
      <c r="R8731" s="10" t="s">
        <v>49070</v>
      </c>
      <c r="S8731" s="11"/>
      <c r="T8731" s="6"/>
      <c r="U8731" s="15" t="str">
        <f>HYPERLINK("https://media.infra-m.ru/2192/2192752/cover/2192752.jpg", "Обложка")</f>
        <v>Обложка</v>
      </c>
      <c r="V8731" s="8" t="s">
        <v>38274</v>
      </c>
      <c r="W8731" s="6"/>
      <c r="X8731" s="6"/>
      <c r="Y8731" s="6"/>
      <c r="Z8731" s="6"/>
      <c r="AA8731" s="6" t="s">
        <v>274</v>
      </c>
      <c r="AB8731" s="8"/>
      <c r="AC8731" s="27">
        <v>9785977603706</v>
      </c>
    </row>
    <row r="8732" spans="1:29" s="4" customFormat="1" ht="51.9" customHeight="1" x14ac:dyDescent="0.2">
      <c r="A8732" s="5">
        <v>0</v>
      </c>
      <c r="B8732" s="6" t="s">
        <v>49071</v>
      </c>
      <c r="C8732" s="7">
        <v>1300.8</v>
      </c>
      <c r="D8732" s="8" t="s">
        <v>49072</v>
      </c>
      <c r="E8732" s="8" t="s">
        <v>49073</v>
      </c>
      <c r="F8732" s="8" t="s">
        <v>13605</v>
      </c>
      <c r="G8732" s="6" t="s">
        <v>33</v>
      </c>
      <c r="H8732" s="6" t="s">
        <v>134</v>
      </c>
      <c r="I8732" s="8"/>
      <c r="J8732" s="9">
        <v>1</v>
      </c>
      <c r="K8732" s="9">
        <v>208</v>
      </c>
      <c r="L8732" s="9">
        <v>2026</v>
      </c>
      <c r="M8732" s="8" t="s">
        <v>49074</v>
      </c>
      <c r="N8732" s="8" t="s">
        <v>37</v>
      </c>
      <c r="O8732" s="8" t="s">
        <v>136</v>
      </c>
      <c r="P8732" s="6" t="s">
        <v>51</v>
      </c>
      <c r="Q8732" s="8" t="s">
        <v>500</v>
      </c>
      <c r="R8732" s="10" t="s">
        <v>1275</v>
      </c>
      <c r="S8732" s="11"/>
      <c r="T8732" s="6"/>
      <c r="U8732" s="15" t="str">
        <f>HYPERLINK("https://media.infra-m.ru/2219/2219532/cover/2219532.jpg", "Обложка")</f>
        <v>Обложка</v>
      </c>
      <c r="V8732" s="8" t="s">
        <v>1184</v>
      </c>
      <c r="W8732" s="6"/>
      <c r="X8732" s="6"/>
      <c r="Y8732" s="6"/>
      <c r="Z8732" s="6"/>
      <c r="AA8732" s="6" t="s">
        <v>779</v>
      </c>
      <c r="AB8732" s="8"/>
      <c r="AC8732" s="27">
        <v>9785917687155</v>
      </c>
    </row>
    <row r="8733" spans="1:29" s="4" customFormat="1" ht="51.9" customHeight="1" x14ac:dyDescent="0.2">
      <c r="A8733" s="5">
        <v>0</v>
      </c>
      <c r="B8733" s="6" t="s">
        <v>49075</v>
      </c>
      <c r="C8733" s="7">
        <v>1684.8</v>
      </c>
      <c r="D8733" s="8" t="s">
        <v>49076</v>
      </c>
      <c r="E8733" s="8" t="s">
        <v>49077</v>
      </c>
      <c r="F8733" s="8" t="s">
        <v>17432</v>
      </c>
      <c r="G8733" s="6" t="s">
        <v>33</v>
      </c>
      <c r="H8733" s="6" t="s">
        <v>241</v>
      </c>
      <c r="I8733" s="8" t="s">
        <v>3496</v>
      </c>
      <c r="J8733" s="9">
        <v>1</v>
      </c>
      <c r="K8733" s="9">
        <v>311</v>
      </c>
      <c r="L8733" s="9">
        <v>2023</v>
      </c>
      <c r="M8733" s="8" t="s">
        <v>49078</v>
      </c>
      <c r="N8733" s="8" t="s">
        <v>63</v>
      </c>
      <c r="O8733" s="8" t="s">
        <v>126</v>
      </c>
      <c r="P8733" s="6" t="s">
        <v>39</v>
      </c>
      <c r="Q8733" s="8" t="s">
        <v>40</v>
      </c>
      <c r="R8733" s="10" t="s">
        <v>127</v>
      </c>
      <c r="S8733" s="11"/>
      <c r="T8733" s="6"/>
      <c r="U8733" s="15" t="str">
        <f>HYPERLINK("https://media.infra-m.ru/1981/1981662/cover/1981662.jpg", "Обложка")</f>
        <v>Обложка</v>
      </c>
      <c r="V8733" s="8" t="s">
        <v>247</v>
      </c>
      <c r="W8733" s="6"/>
      <c r="X8733" s="6"/>
      <c r="Y8733" s="6"/>
      <c r="Z8733" s="6"/>
      <c r="AA8733" s="6" t="s">
        <v>248</v>
      </c>
      <c r="AB8733" s="8"/>
      <c r="AC8733" s="27">
        <v>9785955803319</v>
      </c>
    </row>
    <row r="8734" spans="1:29" s="4" customFormat="1" ht="51.9" customHeight="1" x14ac:dyDescent="0.2">
      <c r="A8734" s="5">
        <v>0</v>
      </c>
      <c r="B8734" s="6" t="s">
        <v>49079</v>
      </c>
      <c r="C8734" s="7">
        <v>1936.8</v>
      </c>
      <c r="D8734" s="8" t="s">
        <v>49080</v>
      </c>
      <c r="E8734" s="8" t="s">
        <v>49081</v>
      </c>
      <c r="F8734" s="8" t="s">
        <v>49082</v>
      </c>
      <c r="G8734" s="6" t="s">
        <v>60</v>
      </c>
      <c r="H8734" s="6" t="s">
        <v>34</v>
      </c>
      <c r="I8734" s="8" t="s">
        <v>271</v>
      </c>
      <c r="J8734" s="9">
        <v>1</v>
      </c>
      <c r="K8734" s="9">
        <v>310</v>
      </c>
      <c r="L8734" s="9">
        <v>2026</v>
      </c>
      <c r="M8734" s="8" t="s">
        <v>49083</v>
      </c>
      <c r="N8734" s="8" t="s">
        <v>63</v>
      </c>
      <c r="O8734" s="8" t="s">
        <v>126</v>
      </c>
      <c r="P8734" s="6" t="s">
        <v>306</v>
      </c>
      <c r="Q8734" s="8" t="s">
        <v>52</v>
      </c>
      <c r="R8734" s="10" t="s">
        <v>49084</v>
      </c>
      <c r="S8734" s="11" t="s">
        <v>49085</v>
      </c>
      <c r="T8734" s="6"/>
      <c r="U8734" s="15" t="str">
        <f>HYPERLINK("https://media.infra-m.ru/2214/2214797/cover/2214797.jpg", "Обложка")</f>
        <v>Обложка</v>
      </c>
      <c r="V8734" s="8" t="s">
        <v>16500</v>
      </c>
      <c r="W8734" s="6"/>
      <c r="X8734" s="6"/>
      <c r="Y8734" s="6"/>
      <c r="Z8734" s="6"/>
      <c r="AA8734" s="6" t="s">
        <v>248</v>
      </c>
      <c r="AB8734" s="8"/>
      <c r="AC8734" s="27">
        <v>9785160094472</v>
      </c>
    </row>
    <row r="8735" spans="1:29" s="4" customFormat="1" ht="51.9" customHeight="1" x14ac:dyDescent="0.2">
      <c r="A8735" s="5">
        <v>0</v>
      </c>
      <c r="B8735" s="6" t="s">
        <v>49086</v>
      </c>
      <c r="C8735" s="7">
        <v>2212.8000000000002</v>
      </c>
      <c r="D8735" s="8" t="s">
        <v>49087</v>
      </c>
      <c r="E8735" s="8" t="s">
        <v>49088</v>
      </c>
      <c r="F8735" s="8" t="s">
        <v>49082</v>
      </c>
      <c r="G8735" s="6" t="s">
        <v>60</v>
      </c>
      <c r="H8735" s="6" t="s">
        <v>34</v>
      </c>
      <c r="I8735" s="8" t="s">
        <v>271</v>
      </c>
      <c r="J8735" s="9">
        <v>1</v>
      </c>
      <c r="K8735" s="9">
        <v>335</v>
      </c>
      <c r="L8735" s="9">
        <v>2026</v>
      </c>
      <c r="M8735" s="8" t="s">
        <v>49089</v>
      </c>
      <c r="N8735" s="8" t="s">
        <v>63</v>
      </c>
      <c r="O8735" s="8" t="s">
        <v>126</v>
      </c>
      <c r="P8735" s="6" t="s">
        <v>306</v>
      </c>
      <c r="Q8735" s="8" t="s">
        <v>52</v>
      </c>
      <c r="R8735" s="10" t="s">
        <v>6101</v>
      </c>
      <c r="S8735" s="11" t="s">
        <v>49085</v>
      </c>
      <c r="T8735" s="6"/>
      <c r="U8735" s="15" t="str">
        <f>HYPERLINK("https://media.infra-m.ru/2226/2226010/cover/2226010.jpg", "Обложка")</f>
        <v>Обложка</v>
      </c>
      <c r="V8735" s="8" t="s">
        <v>16500</v>
      </c>
      <c r="W8735" s="6"/>
      <c r="X8735" s="6"/>
      <c r="Y8735" s="6"/>
      <c r="Z8735" s="6"/>
      <c r="AA8735" s="6" t="s">
        <v>248</v>
      </c>
      <c r="AB8735" s="8"/>
      <c r="AC8735" s="27">
        <v>9785160094489</v>
      </c>
    </row>
    <row r="8736" spans="1:29" s="4" customFormat="1" ht="51.9" customHeight="1" x14ac:dyDescent="0.2">
      <c r="A8736" s="5">
        <v>0</v>
      </c>
      <c r="B8736" s="6" t="s">
        <v>49090</v>
      </c>
      <c r="C8736" s="7">
        <v>1860</v>
      </c>
      <c r="D8736" s="8" t="s">
        <v>49091</v>
      </c>
      <c r="E8736" s="8" t="s">
        <v>49092</v>
      </c>
      <c r="F8736" s="8" t="s">
        <v>4590</v>
      </c>
      <c r="G8736" s="6" t="s">
        <v>118</v>
      </c>
      <c r="H8736" s="6" t="s">
        <v>34</v>
      </c>
      <c r="I8736" s="8" t="s">
        <v>253</v>
      </c>
      <c r="J8736" s="9">
        <v>1</v>
      </c>
      <c r="K8736" s="9">
        <v>291</v>
      </c>
      <c r="L8736" s="9">
        <v>2026</v>
      </c>
      <c r="M8736" s="8" t="s">
        <v>49093</v>
      </c>
      <c r="N8736" s="8" t="s">
        <v>63</v>
      </c>
      <c r="O8736" s="8" t="s">
        <v>126</v>
      </c>
      <c r="P8736" s="6" t="s">
        <v>306</v>
      </c>
      <c r="Q8736" s="8" t="s">
        <v>65</v>
      </c>
      <c r="R8736" s="10" t="s">
        <v>49094</v>
      </c>
      <c r="S8736" s="11" t="s">
        <v>49095</v>
      </c>
      <c r="T8736" s="6" t="s">
        <v>97</v>
      </c>
      <c r="U8736" s="15" t="str">
        <f>HYPERLINK("https://media.infra-m.ru/2218/2218838/cover/2218838.jpg", "Обложка")</f>
        <v>Обложка</v>
      </c>
      <c r="V8736" s="8" t="s">
        <v>3413</v>
      </c>
      <c r="W8736" s="6"/>
      <c r="X8736" s="6" t="s">
        <v>24</v>
      </c>
      <c r="Y8736" s="6"/>
      <c r="Z8736" s="6"/>
      <c r="AA8736" s="6" t="s">
        <v>86</v>
      </c>
      <c r="AB8736" s="8"/>
      <c r="AC8736" s="27">
        <v>9785160186641</v>
      </c>
    </row>
    <row r="8737" spans="1:29" s="4" customFormat="1" ht="51.9" customHeight="1" x14ac:dyDescent="0.2">
      <c r="A8737" s="5">
        <v>0</v>
      </c>
      <c r="B8737" s="6" t="s">
        <v>49096</v>
      </c>
      <c r="C8737" s="7">
        <v>3592.8</v>
      </c>
      <c r="D8737" s="8" t="s">
        <v>49097</v>
      </c>
      <c r="E8737" s="8" t="s">
        <v>49092</v>
      </c>
      <c r="F8737" s="8" t="s">
        <v>49098</v>
      </c>
      <c r="G8737" s="6" t="s">
        <v>118</v>
      </c>
      <c r="H8737" s="6" t="s">
        <v>134</v>
      </c>
      <c r="I8737" s="8"/>
      <c r="J8737" s="9">
        <v>1</v>
      </c>
      <c r="K8737" s="9">
        <v>928</v>
      </c>
      <c r="L8737" s="9">
        <v>2025</v>
      </c>
      <c r="M8737" s="8" t="s">
        <v>49099</v>
      </c>
      <c r="N8737" s="8" t="s">
        <v>63</v>
      </c>
      <c r="O8737" s="8" t="s">
        <v>126</v>
      </c>
      <c r="P8737" s="6" t="s">
        <v>306</v>
      </c>
      <c r="Q8737" s="8" t="s">
        <v>52</v>
      </c>
      <c r="R8737" s="10" t="s">
        <v>6101</v>
      </c>
      <c r="S8737" s="11" t="s">
        <v>14142</v>
      </c>
      <c r="T8737" s="6"/>
      <c r="U8737" s="15" t="str">
        <f>HYPERLINK("https://media.infra-m.ru/2161/2161183/cover/2161183.jpg", "Обложка")</f>
        <v>Обложка</v>
      </c>
      <c r="V8737" s="8" t="s">
        <v>16500</v>
      </c>
      <c r="W8737" s="6"/>
      <c r="X8737" s="6"/>
      <c r="Y8737" s="6"/>
      <c r="Z8737" s="6"/>
      <c r="AA8737" s="6" t="s">
        <v>4554</v>
      </c>
      <c r="AB8737" s="8"/>
      <c r="AC8737" s="27">
        <v>9785917686912</v>
      </c>
    </row>
    <row r="8738" spans="1:29" s="4" customFormat="1" ht="51.9" customHeight="1" x14ac:dyDescent="0.2">
      <c r="A8738" s="5">
        <v>0</v>
      </c>
      <c r="B8738" s="6" t="s">
        <v>49100</v>
      </c>
      <c r="C8738" s="7">
        <v>3112.8</v>
      </c>
      <c r="D8738" s="8" t="s">
        <v>49101</v>
      </c>
      <c r="E8738" s="8" t="s">
        <v>49092</v>
      </c>
      <c r="F8738" s="8" t="s">
        <v>49102</v>
      </c>
      <c r="G8738" s="6" t="s">
        <v>60</v>
      </c>
      <c r="H8738" s="6" t="s">
        <v>34</v>
      </c>
      <c r="I8738" s="8" t="s">
        <v>271</v>
      </c>
      <c r="J8738" s="9">
        <v>1</v>
      </c>
      <c r="K8738" s="9">
        <v>519</v>
      </c>
      <c r="L8738" s="9">
        <v>2025</v>
      </c>
      <c r="M8738" s="8" t="s">
        <v>49103</v>
      </c>
      <c r="N8738" s="8" t="s">
        <v>63</v>
      </c>
      <c r="O8738" s="8" t="s">
        <v>126</v>
      </c>
      <c r="P8738" s="6" t="s">
        <v>306</v>
      </c>
      <c r="Q8738" s="8" t="s">
        <v>52</v>
      </c>
      <c r="R8738" s="10" t="s">
        <v>49104</v>
      </c>
      <c r="S8738" s="11" t="s">
        <v>14362</v>
      </c>
      <c r="T8738" s="6"/>
      <c r="U8738" s="15" t="str">
        <f>HYPERLINK("https://media.infra-m.ru/2161/2161233/cover/2161233.jpg", "Обложка")</f>
        <v>Обложка</v>
      </c>
      <c r="V8738" s="8" t="s">
        <v>16500</v>
      </c>
      <c r="W8738" s="6"/>
      <c r="X8738" s="6"/>
      <c r="Y8738" s="6"/>
      <c r="Z8738" s="6"/>
      <c r="AA8738" s="6" t="s">
        <v>1716</v>
      </c>
      <c r="AB8738" s="8"/>
      <c r="AC8738" s="27">
        <v>9785160035666</v>
      </c>
    </row>
    <row r="8739" spans="1:29" s="4" customFormat="1" ht="42" customHeight="1" x14ac:dyDescent="0.2">
      <c r="A8739" s="5">
        <v>0</v>
      </c>
      <c r="B8739" s="6" t="s">
        <v>49105</v>
      </c>
      <c r="C8739" s="7">
        <v>1852.8</v>
      </c>
      <c r="D8739" s="8" t="s">
        <v>49106</v>
      </c>
      <c r="E8739" s="8" t="s">
        <v>49092</v>
      </c>
      <c r="F8739" s="8" t="s">
        <v>49107</v>
      </c>
      <c r="G8739" s="6" t="s">
        <v>60</v>
      </c>
      <c r="H8739" s="6" t="s">
        <v>134</v>
      </c>
      <c r="I8739" s="8"/>
      <c r="J8739" s="9">
        <v>1</v>
      </c>
      <c r="K8739" s="9">
        <v>336</v>
      </c>
      <c r="L8739" s="9">
        <v>2024</v>
      </c>
      <c r="M8739" s="8" t="s">
        <v>49108</v>
      </c>
      <c r="N8739" s="8" t="s">
        <v>63</v>
      </c>
      <c r="O8739" s="8" t="s">
        <v>126</v>
      </c>
      <c r="P8739" s="6" t="s">
        <v>306</v>
      </c>
      <c r="Q8739" s="8" t="s">
        <v>52</v>
      </c>
      <c r="R8739" s="10" t="s">
        <v>13277</v>
      </c>
      <c r="S8739" s="11"/>
      <c r="T8739" s="6"/>
      <c r="U8739" s="15" t="str">
        <f>HYPERLINK("https://media.infra-m.ru/1991/1991913/cover/1991913.jpg", "Обложка")</f>
        <v>Обложка</v>
      </c>
      <c r="V8739" s="8" t="s">
        <v>1184</v>
      </c>
      <c r="W8739" s="6"/>
      <c r="X8739" s="6"/>
      <c r="Y8739" s="6"/>
      <c r="Z8739" s="6"/>
      <c r="AA8739" s="6" t="s">
        <v>1256</v>
      </c>
      <c r="AB8739" s="8"/>
      <c r="AC8739" s="27">
        <v>9785001560647</v>
      </c>
    </row>
    <row r="8740" spans="1:29" s="4" customFormat="1" ht="51.9" customHeight="1" x14ac:dyDescent="0.2">
      <c r="A8740" s="5">
        <v>0</v>
      </c>
      <c r="B8740" s="6" t="s">
        <v>49109</v>
      </c>
      <c r="C8740" s="7">
        <v>2212.8000000000002</v>
      </c>
      <c r="D8740" s="8" t="s">
        <v>49110</v>
      </c>
      <c r="E8740" s="8" t="s">
        <v>49092</v>
      </c>
      <c r="F8740" s="8" t="s">
        <v>49111</v>
      </c>
      <c r="G8740" s="6" t="s">
        <v>60</v>
      </c>
      <c r="H8740" s="6" t="s">
        <v>5605</v>
      </c>
      <c r="I8740" s="8" t="s">
        <v>253</v>
      </c>
      <c r="J8740" s="9">
        <v>1</v>
      </c>
      <c r="K8740" s="9">
        <v>400</v>
      </c>
      <c r="L8740" s="9">
        <v>2023</v>
      </c>
      <c r="M8740" s="8" t="s">
        <v>49112</v>
      </c>
      <c r="N8740" s="8" t="s">
        <v>63</v>
      </c>
      <c r="O8740" s="8" t="s">
        <v>126</v>
      </c>
      <c r="P8740" s="6" t="s">
        <v>306</v>
      </c>
      <c r="Q8740" s="8" t="s">
        <v>65</v>
      </c>
      <c r="R8740" s="10" t="s">
        <v>49113</v>
      </c>
      <c r="S8740" s="11" t="s">
        <v>49114</v>
      </c>
      <c r="T8740" s="6"/>
      <c r="U8740" s="15" t="str">
        <f>HYPERLINK("https://media.infra-m.ru/2054/2054991/cover/2054991.jpg", "Обложка")</f>
        <v>Обложка</v>
      </c>
      <c r="V8740" s="8" t="s">
        <v>546</v>
      </c>
      <c r="W8740" s="6"/>
      <c r="X8740" s="6"/>
      <c r="Y8740" s="6"/>
      <c r="Z8740" s="6"/>
      <c r="AA8740" s="6" t="s">
        <v>1506</v>
      </c>
      <c r="AB8740" s="8"/>
      <c r="AC8740" s="27">
        <v>9785160027777</v>
      </c>
    </row>
    <row r="8741" spans="1:29" s="4" customFormat="1" ht="42" customHeight="1" x14ac:dyDescent="0.2">
      <c r="A8741" s="5">
        <v>0</v>
      </c>
      <c r="B8741" s="6" t="s">
        <v>49115</v>
      </c>
      <c r="C8741" s="7">
        <v>2392.8000000000002</v>
      </c>
      <c r="D8741" s="8" t="s">
        <v>49116</v>
      </c>
      <c r="E8741" s="8" t="s">
        <v>49117</v>
      </c>
      <c r="F8741" s="8" t="s">
        <v>7222</v>
      </c>
      <c r="G8741" s="6" t="s">
        <v>118</v>
      </c>
      <c r="H8741" s="6" t="s">
        <v>241</v>
      </c>
      <c r="I8741" s="8" t="s">
        <v>241</v>
      </c>
      <c r="J8741" s="9">
        <v>1</v>
      </c>
      <c r="K8741" s="9">
        <v>384</v>
      </c>
      <c r="L8741" s="9">
        <v>2026</v>
      </c>
      <c r="M8741" s="8" t="s">
        <v>49118</v>
      </c>
      <c r="N8741" s="8" t="s">
        <v>63</v>
      </c>
      <c r="O8741" s="8" t="s">
        <v>126</v>
      </c>
      <c r="P8741" s="6" t="s">
        <v>306</v>
      </c>
      <c r="Q8741" s="8" t="s">
        <v>52</v>
      </c>
      <c r="R8741" s="10" t="s">
        <v>6101</v>
      </c>
      <c r="S8741" s="11"/>
      <c r="T8741" s="6"/>
      <c r="U8741" s="15" t="str">
        <f>HYPERLINK("https://media.infra-m.ru/2219/2219564/cover/2219564.jpg", "Обложка")</f>
        <v>Обложка</v>
      </c>
      <c r="V8741" s="8" t="s">
        <v>414</v>
      </c>
      <c r="W8741" s="6"/>
      <c r="X8741" s="6"/>
      <c r="Y8741" s="6"/>
      <c r="Z8741" s="6"/>
      <c r="AA8741" s="6" t="s">
        <v>2311</v>
      </c>
      <c r="AB8741" s="8"/>
      <c r="AC8741" s="27">
        <v>9785955805528</v>
      </c>
    </row>
    <row r="8742" spans="1:29" s="4" customFormat="1" ht="42" customHeight="1" x14ac:dyDescent="0.2">
      <c r="A8742" s="5">
        <v>0</v>
      </c>
      <c r="B8742" s="6" t="s">
        <v>49119</v>
      </c>
      <c r="C8742" s="7">
        <v>3004.8</v>
      </c>
      <c r="D8742" s="8" t="s">
        <v>49120</v>
      </c>
      <c r="E8742" s="8" t="s">
        <v>49121</v>
      </c>
      <c r="F8742" s="8" t="s">
        <v>17426</v>
      </c>
      <c r="G8742" s="6" t="s">
        <v>60</v>
      </c>
      <c r="H8742" s="6" t="s">
        <v>34</v>
      </c>
      <c r="I8742" s="8" t="s">
        <v>271</v>
      </c>
      <c r="J8742" s="9">
        <v>1</v>
      </c>
      <c r="K8742" s="9">
        <v>432</v>
      </c>
      <c r="L8742" s="9">
        <v>2027</v>
      </c>
      <c r="M8742" s="8" t="s">
        <v>49122</v>
      </c>
      <c r="N8742" s="8" t="s">
        <v>63</v>
      </c>
      <c r="O8742" s="8" t="s">
        <v>126</v>
      </c>
      <c r="P8742" s="6" t="s">
        <v>306</v>
      </c>
      <c r="Q8742" s="8" t="s">
        <v>52</v>
      </c>
      <c r="R8742" s="10" t="s">
        <v>6101</v>
      </c>
      <c r="S8742" s="11"/>
      <c r="T8742" s="6"/>
      <c r="U8742" s="15" t="str">
        <f>HYPERLINK("https://media.infra-m.ru/2261/2261586/cover/2261586.jpg", "Обложка")</f>
        <v>Обложка</v>
      </c>
      <c r="V8742" s="8" t="s">
        <v>17428</v>
      </c>
      <c r="W8742" s="6"/>
      <c r="X8742" s="6"/>
      <c r="Y8742" s="6"/>
      <c r="Z8742" s="6"/>
      <c r="AA8742" s="6" t="s">
        <v>718</v>
      </c>
      <c r="AB8742" s="8"/>
      <c r="AC8742" s="27">
        <v>9785160054735</v>
      </c>
    </row>
    <row r="8743" spans="1:29" s="4" customFormat="1" ht="51.9" customHeight="1" x14ac:dyDescent="0.2">
      <c r="A8743" s="5">
        <v>0</v>
      </c>
      <c r="B8743" s="6" t="s">
        <v>49123</v>
      </c>
      <c r="C8743" s="7">
        <v>3220.8</v>
      </c>
      <c r="D8743" s="8" t="s">
        <v>49124</v>
      </c>
      <c r="E8743" s="8" t="s">
        <v>49092</v>
      </c>
      <c r="F8743" s="8" t="s">
        <v>48818</v>
      </c>
      <c r="G8743" s="6" t="s">
        <v>60</v>
      </c>
      <c r="H8743" s="6" t="s">
        <v>134</v>
      </c>
      <c r="I8743" s="8"/>
      <c r="J8743" s="9">
        <v>1</v>
      </c>
      <c r="K8743" s="9">
        <v>536</v>
      </c>
      <c r="L8743" s="9">
        <v>2025</v>
      </c>
      <c r="M8743" s="8" t="s">
        <v>49125</v>
      </c>
      <c r="N8743" s="8" t="s">
        <v>63</v>
      </c>
      <c r="O8743" s="8" t="s">
        <v>126</v>
      </c>
      <c r="P8743" s="6" t="s">
        <v>306</v>
      </c>
      <c r="Q8743" s="8" t="s">
        <v>377</v>
      </c>
      <c r="R8743" s="10" t="s">
        <v>49126</v>
      </c>
      <c r="S8743" s="11"/>
      <c r="T8743" s="6"/>
      <c r="U8743" s="15" t="str">
        <f>HYPERLINK("https://media.infra-m.ru/2192/2192708/cover/2192708.jpg", "Обложка")</f>
        <v>Обложка</v>
      </c>
      <c r="V8743" s="8" t="s">
        <v>1184</v>
      </c>
      <c r="W8743" s="6"/>
      <c r="X8743" s="6"/>
      <c r="Y8743" s="6"/>
      <c r="Z8743" s="6"/>
      <c r="AA8743" s="6" t="s">
        <v>430</v>
      </c>
      <c r="AB8743" s="8"/>
      <c r="AC8743" s="27">
        <v>9785001561002</v>
      </c>
    </row>
    <row r="8744" spans="1:29" s="4" customFormat="1" ht="42" customHeight="1" x14ac:dyDescent="0.2">
      <c r="A8744" s="5">
        <v>0</v>
      </c>
      <c r="B8744" s="6" t="s">
        <v>49127</v>
      </c>
      <c r="C8744" s="7">
        <v>2988</v>
      </c>
      <c r="D8744" s="8" t="s">
        <v>49128</v>
      </c>
      <c r="E8744" s="8" t="s">
        <v>49092</v>
      </c>
      <c r="F8744" s="8" t="s">
        <v>49129</v>
      </c>
      <c r="G8744" s="6" t="s">
        <v>60</v>
      </c>
      <c r="H8744" s="6" t="s">
        <v>34</v>
      </c>
      <c r="I8744" s="8" t="s">
        <v>304</v>
      </c>
      <c r="J8744" s="9">
        <v>1</v>
      </c>
      <c r="K8744" s="9">
        <v>477</v>
      </c>
      <c r="L8744" s="9">
        <v>2026</v>
      </c>
      <c r="M8744" s="8" t="s">
        <v>49130</v>
      </c>
      <c r="N8744" s="8" t="s">
        <v>63</v>
      </c>
      <c r="O8744" s="8" t="s">
        <v>126</v>
      </c>
      <c r="P8744" s="6" t="s">
        <v>306</v>
      </c>
      <c r="Q8744" s="8" t="s">
        <v>52</v>
      </c>
      <c r="R8744" s="10" t="s">
        <v>49131</v>
      </c>
      <c r="S8744" s="11"/>
      <c r="T8744" s="6"/>
      <c r="U8744" s="15" t="str">
        <f>HYPERLINK("https://media.infra-m.ru/2222/2222661/cover/2222661.jpg", "Обложка")</f>
        <v>Обложка</v>
      </c>
      <c r="V8744" s="8" t="s">
        <v>247</v>
      </c>
      <c r="W8744" s="6"/>
      <c r="X8744" s="6"/>
      <c r="Y8744" s="6"/>
      <c r="Z8744" s="6"/>
      <c r="AA8744" s="6" t="s">
        <v>430</v>
      </c>
      <c r="AB8744" s="8"/>
      <c r="AC8744" s="27">
        <v>9785160213552</v>
      </c>
    </row>
    <row r="8745" spans="1:29" s="4" customFormat="1" ht="51.9" customHeight="1" x14ac:dyDescent="0.2">
      <c r="A8745" s="5">
        <v>0</v>
      </c>
      <c r="B8745" s="6" t="s">
        <v>49132</v>
      </c>
      <c r="C8745" s="7">
        <v>2872.8</v>
      </c>
      <c r="D8745" s="8" t="s">
        <v>49133</v>
      </c>
      <c r="E8745" s="8" t="s">
        <v>49092</v>
      </c>
      <c r="F8745" s="8" t="s">
        <v>14332</v>
      </c>
      <c r="G8745" s="6" t="s">
        <v>118</v>
      </c>
      <c r="H8745" s="6" t="s">
        <v>34</v>
      </c>
      <c r="I8745" s="8" t="s">
        <v>271</v>
      </c>
      <c r="J8745" s="9">
        <v>1</v>
      </c>
      <c r="K8745" s="9">
        <v>461</v>
      </c>
      <c r="L8745" s="9">
        <v>2025</v>
      </c>
      <c r="M8745" s="8" t="s">
        <v>49134</v>
      </c>
      <c r="N8745" s="8" t="s">
        <v>63</v>
      </c>
      <c r="O8745" s="8" t="s">
        <v>126</v>
      </c>
      <c r="P8745" s="6" t="s">
        <v>306</v>
      </c>
      <c r="Q8745" s="8" t="s">
        <v>52</v>
      </c>
      <c r="R8745" s="10" t="s">
        <v>6101</v>
      </c>
      <c r="S8745" s="11" t="s">
        <v>49135</v>
      </c>
      <c r="T8745" s="6"/>
      <c r="U8745" s="15" t="str">
        <f>HYPERLINK("https://media.infra-m.ru/2107/2107428/cover/2107428.jpg", "Обложка")</f>
        <v>Обложка</v>
      </c>
      <c r="V8745" s="8" t="s">
        <v>546</v>
      </c>
      <c r="W8745" s="6"/>
      <c r="X8745" s="6"/>
      <c r="Y8745" s="6"/>
      <c r="Z8745" s="6"/>
      <c r="AA8745" s="6" t="s">
        <v>55</v>
      </c>
      <c r="AB8745" s="8"/>
      <c r="AC8745" s="27">
        <v>9785160051901</v>
      </c>
    </row>
    <row r="8746" spans="1:29" s="4" customFormat="1" ht="51.9" customHeight="1" x14ac:dyDescent="0.2">
      <c r="A8746" s="5">
        <v>0</v>
      </c>
      <c r="B8746" s="6" t="s">
        <v>49136</v>
      </c>
      <c r="C8746" s="7">
        <v>3048</v>
      </c>
      <c r="D8746" s="8" t="s">
        <v>49137</v>
      </c>
      <c r="E8746" s="8" t="s">
        <v>49092</v>
      </c>
      <c r="F8746" s="8" t="s">
        <v>20781</v>
      </c>
      <c r="G8746" s="6" t="s">
        <v>60</v>
      </c>
      <c r="H8746" s="6" t="s">
        <v>34</v>
      </c>
      <c r="I8746" s="8" t="s">
        <v>5350</v>
      </c>
      <c r="J8746" s="9">
        <v>1</v>
      </c>
      <c r="K8746" s="9">
        <v>461</v>
      </c>
      <c r="L8746" s="9">
        <v>2025</v>
      </c>
      <c r="M8746" s="8" t="s">
        <v>49138</v>
      </c>
      <c r="N8746" s="8" t="s">
        <v>63</v>
      </c>
      <c r="O8746" s="8" t="s">
        <v>126</v>
      </c>
      <c r="P8746" s="6" t="s">
        <v>306</v>
      </c>
      <c r="Q8746" s="8" t="s">
        <v>377</v>
      </c>
      <c r="R8746" s="10" t="s">
        <v>49139</v>
      </c>
      <c r="S8746" s="11" t="s">
        <v>49140</v>
      </c>
      <c r="T8746" s="6"/>
      <c r="U8746" s="15" t="str">
        <f>HYPERLINK("https://media.infra-m.ru/2163/2163188/cover/2163188.jpg", "Обложка")</f>
        <v>Обложка</v>
      </c>
      <c r="V8746" s="8" t="s">
        <v>546</v>
      </c>
      <c r="W8746" s="6"/>
      <c r="X8746" s="6"/>
      <c r="Y8746" s="6"/>
      <c r="Z8746" s="6" t="s">
        <v>429</v>
      </c>
      <c r="AA8746" s="6" t="s">
        <v>430</v>
      </c>
      <c r="AB8746" s="8"/>
      <c r="AC8746" s="27">
        <v>9785160165516</v>
      </c>
    </row>
    <row r="8747" spans="1:29" s="4" customFormat="1" ht="51.9" customHeight="1" x14ac:dyDescent="0.2">
      <c r="A8747" s="5">
        <v>0</v>
      </c>
      <c r="B8747" s="6" t="s">
        <v>49141</v>
      </c>
      <c r="C8747" s="7">
        <v>2068.8000000000002</v>
      </c>
      <c r="D8747" s="8" t="s">
        <v>49142</v>
      </c>
      <c r="E8747" s="8" t="s">
        <v>49092</v>
      </c>
      <c r="F8747" s="8" t="s">
        <v>13631</v>
      </c>
      <c r="G8747" s="6" t="s">
        <v>60</v>
      </c>
      <c r="H8747" s="6" t="s">
        <v>241</v>
      </c>
      <c r="I8747" s="8"/>
      <c r="J8747" s="9">
        <v>1</v>
      </c>
      <c r="K8747" s="9">
        <v>313</v>
      </c>
      <c r="L8747" s="9">
        <v>2026</v>
      </c>
      <c r="M8747" s="8" t="s">
        <v>49143</v>
      </c>
      <c r="N8747" s="8" t="s">
        <v>63</v>
      </c>
      <c r="O8747" s="8" t="s">
        <v>126</v>
      </c>
      <c r="P8747" s="6" t="s">
        <v>306</v>
      </c>
      <c r="Q8747" s="8" t="s">
        <v>52</v>
      </c>
      <c r="R8747" s="10" t="s">
        <v>49084</v>
      </c>
      <c r="S8747" s="11" t="s">
        <v>49144</v>
      </c>
      <c r="T8747" s="6"/>
      <c r="U8747" s="15" t="str">
        <f>HYPERLINK("https://media.infra-m.ru/2224/2224147/cover/2224147.jpg", "Обложка")</f>
        <v>Обложка</v>
      </c>
      <c r="V8747" s="8" t="s">
        <v>247</v>
      </c>
      <c r="W8747" s="6"/>
      <c r="X8747" s="6"/>
      <c r="Y8747" s="6"/>
      <c r="Z8747" s="6"/>
      <c r="AA8747" s="6" t="s">
        <v>561</v>
      </c>
      <c r="AB8747" s="8"/>
      <c r="AC8747" s="27">
        <v>9785955800448</v>
      </c>
    </row>
    <row r="8748" spans="1:29" s="4" customFormat="1" ht="42" customHeight="1" x14ac:dyDescent="0.2">
      <c r="A8748" s="5">
        <v>0</v>
      </c>
      <c r="B8748" s="6" t="s">
        <v>49145</v>
      </c>
      <c r="C8748" s="13">
        <v>513.6</v>
      </c>
      <c r="D8748" s="8" t="s">
        <v>49146</v>
      </c>
      <c r="E8748" s="8" t="s">
        <v>49121</v>
      </c>
      <c r="F8748" s="8" t="s">
        <v>49147</v>
      </c>
      <c r="G8748" s="6" t="s">
        <v>33</v>
      </c>
      <c r="H8748" s="6" t="s">
        <v>313</v>
      </c>
      <c r="I8748" s="8" t="s">
        <v>15740</v>
      </c>
      <c r="J8748" s="9">
        <v>1</v>
      </c>
      <c r="K8748" s="9">
        <v>136</v>
      </c>
      <c r="L8748" s="9">
        <v>2024</v>
      </c>
      <c r="M8748" s="8" t="s">
        <v>49148</v>
      </c>
      <c r="N8748" s="8" t="s">
        <v>63</v>
      </c>
      <c r="O8748" s="8" t="s">
        <v>126</v>
      </c>
      <c r="P8748" s="6" t="s">
        <v>51</v>
      </c>
      <c r="Q8748" s="8" t="s">
        <v>52</v>
      </c>
      <c r="R8748" s="10" t="s">
        <v>6101</v>
      </c>
      <c r="S8748" s="11"/>
      <c r="T8748" s="6"/>
      <c r="U8748" s="15" t="str">
        <f>HYPERLINK("https://media.infra-m.ru/2136/2136874/cover/2136874.jpg", "Обложка")</f>
        <v>Обложка</v>
      </c>
      <c r="V8748" s="8" t="s">
        <v>13624</v>
      </c>
      <c r="W8748" s="6"/>
      <c r="X8748" s="6"/>
      <c r="Y8748" s="6"/>
      <c r="Z8748" s="6"/>
      <c r="AA8748" s="6" t="s">
        <v>769</v>
      </c>
      <c r="AB8748" s="8"/>
      <c r="AC8748" s="27">
        <v>9785369010709</v>
      </c>
    </row>
    <row r="8749" spans="1:29" s="4" customFormat="1" ht="51.9" customHeight="1" x14ac:dyDescent="0.2">
      <c r="A8749" s="5">
        <v>0</v>
      </c>
      <c r="B8749" s="6" t="s">
        <v>49149</v>
      </c>
      <c r="C8749" s="13">
        <v>892.8</v>
      </c>
      <c r="D8749" s="8" t="s">
        <v>49150</v>
      </c>
      <c r="E8749" s="8" t="s">
        <v>49121</v>
      </c>
      <c r="F8749" s="8" t="s">
        <v>49151</v>
      </c>
      <c r="G8749" s="6" t="s">
        <v>60</v>
      </c>
      <c r="H8749" s="6" t="s">
        <v>34</v>
      </c>
      <c r="I8749" s="8" t="s">
        <v>271</v>
      </c>
      <c r="J8749" s="9">
        <v>1</v>
      </c>
      <c r="K8749" s="9">
        <v>162</v>
      </c>
      <c r="L8749" s="9">
        <v>2023</v>
      </c>
      <c r="M8749" s="8" t="s">
        <v>49152</v>
      </c>
      <c r="N8749" s="8" t="s">
        <v>63</v>
      </c>
      <c r="O8749" s="8" t="s">
        <v>126</v>
      </c>
      <c r="P8749" s="6" t="s">
        <v>51</v>
      </c>
      <c r="Q8749" s="8" t="s">
        <v>52</v>
      </c>
      <c r="R8749" s="10" t="s">
        <v>6101</v>
      </c>
      <c r="S8749" s="11" t="s">
        <v>14113</v>
      </c>
      <c r="T8749" s="6"/>
      <c r="U8749" s="15" t="str">
        <f>HYPERLINK("https://media.infra-m.ru/2110/2110070/cover/2110070.jpg", "Обложка")</f>
        <v>Обложка</v>
      </c>
      <c r="V8749" s="8" t="s">
        <v>9063</v>
      </c>
      <c r="W8749" s="6"/>
      <c r="X8749" s="6"/>
      <c r="Y8749" s="6"/>
      <c r="Z8749" s="6"/>
      <c r="AA8749" s="6" t="s">
        <v>404</v>
      </c>
      <c r="AB8749" s="8"/>
      <c r="AC8749" s="27">
        <v>9785160132617</v>
      </c>
    </row>
    <row r="8750" spans="1:29" s="4" customFormat="1" ht="51.9" customHeight="1" x14ac:dyDescent="0.2">
      <c r="A8750" s="5">
        <v>0</v>
      </c>
      <c r="B8750" s="6" t="s">
        <v>49153</v>
      </c>
      <c r="C8750" s="7">
        <v>1072.8</v>
      </c>
      <c r="D8750" s="8" t="s">
        <v>49154</v>
      </c>
      <c r="E8750" s="8" t="s">
        <v>49092</v>
      </c>
      <c r="F8750" s="8" t="s">
        <v>49155</v>
      </c>
      <c r="G8750" s="6" t="s">
        <v>118</v>
      </c>
      <c r="H8750" s="6" t="s">
        <v>34</v>
      </c>
      <c r="I8750" s="8" t="s">
        <v>271</v>
      </c>
      <c r="J8750" s="9">
        <v>1</v>
      </c>
      <c r="K8750" s="9">
        <v>180</v>
      </c>
      <c r="L8750" s="9">
        <v>2024</v>
      </c>
      <c r="M8750" s="8" t="s">
        <v>49156</v>
      </c>
      <c r="N8750" s="8" t="s">
        <v>63</v>
      </c>
      <c r="O8750" s="8" t="s">
        <v>126</v>
      </c>
      <c r="P8750" s="6" t="s">
        <v>51</v>
      </c>
      <c r="Q8750" s="8" t="s">
        <v>52</v>
      </c>
      <c r="R8750" s="10" t="s">
        <v>6101</v>
      </c>
      <c r="S8750" s="11" t="s">
        <v>49157</v>
      </c>
      <c r="T8750" s="6"/>
      <c r="U8750" s="15" t="str">
        <f>HYPERLINK("https://media.infra-m.ru/2157/2157036/cover/2157036.jpg", "Обложка")</f>
        <v>Обложка</v>
      </c>
      <c r="V8750" s="8" t="s">
        <v>2427</v>
      </c>
      <c r="W8750" s="6"/>
      <c r="X8750" s="6"/>
      <c r="Y8750" s="6"/>
      <c r="Z8750" s="6"/>
      <c r="AA8750" s="6" t="s">
        <v>43</v>
      </c>
      <c r="AB8750" s="8"/>
      <c r="AC8750" s="27">
        <v>9785160119519</v>
      </c>
    </row>
    <row r="8751" spans="1:29" s="4" customFormat="1" ht="51.9" customHeight="1" x14ac:dyDescent="0.2">
      <c r="A8751" s="5">
        <v>0</v>
      </c>
      <c r="B8751" s="6" t="s">
        <v>49158</v>
      </c>
      <c r="C8751" s="7">
        <v>1084.8</v>
      </c>
      <c r="D8751" s="8" t="s">
        <v>49159</v>
      </c>
      <c r="E8751" s="8" t="s">
        <v>49121</v>
      </c>
      <c r="F8751" s="8" t="s">
        <v>49155</v>
      </c>
      <c r="G8751" s="6" t="s">
        <v>118</v>
      </c>
      <c r="H8751" s="6" t="s">
        <v>34</v>
      </c>
      <c r="I8751" s="8" t="s">
        <v>271</v>
      </c>
      <c r="J8751" s="9">
        <v>1</v>
      </c>
      <c r="K8751" s="9">
        <v>180</v>
      </c>
      <c r="L8751" s="9">
        <v>2025</v>
      </c>
      <c r="M8751" s="8" t="s">
        <v>49156</v>
      </c>
      <c r="N8751" s="8" t="s">
        <v>63</v>
      </c>
      <c r="O8751" s="8" t="s">
        <v>126</v>
      </c>
      <c r="P8751" s="6" t="s">
        <v>51</v>
      </c>
      <c r="Q8751" s="8" t="s">
        <v>52</v>
      </c>
      <c r="R8751" s="10" t="s">
        <v>6101</v>
      </c>
      <c r="S8751" s="11" t="s">
        <v>49157</v>
      </c>
      <c r="T8751" s="6"/>
      <c r="U8751" s="15" t="str">
        <f>HYPERLINK("https://media.infra-m.ru/2192/2192218/cover/2192218.jpg", "Обложка")</f>
        <v>Обложка</v>
      </c>
      <c r="V8751" s="8" t="s">
        <v>2427</v>
      </c>
      <c r="W8751" s="6"/>
      <c r="X8751" s="6"/>
      <c r="Y8751" s="6"/>
      <c r="Z8751" s="6"/>
      <c r="AA8751" s="6" t="s">
        <v>623</v>
      </c>
      <c r="AB8751" s="8"/>
      <c r="AC8751" s="27">
        <v>9785160119519</v>
      </c>
    </row>
    <row r="8752" spans="1:29" s="4" customFormat="1" ht="51.9" customHeight="1" x14ac:dyDescent="0.2">
      <c r="A8752" s="5">
        <v>0</v>
      </c>
      <c r="B8752" s="6" t="s">
        <v>49160</v>
      </c>
      <c r="C8752" s="7">
        <v>1025.9000000000001</v>
      </c>
      <c r="D8752" s="8" t="s">
        <v>49161</v>
      </c>
      <c r="E8752" s="8" t="s">
        <v>49092</v>
      </c>
      <c r="F8752" s="8" t="s">
        <v>49043</v>
      </c>
      <c r="G8752" s="6" t="s">
        <v>118</v>
      </c>
      <c r="H8752" s="6" t="s">
        <v>34</v>
      </c>
      <c r="I8752" s="8" t="s">
        <v>271</v>
      </c>
      <c r="J8752" s="9">
        <v>1</v>
      </c>
      <c r="K8752" s="9">
        <v>190</v>
      </c>
      <c r="L8752" s="9">
        <v>2023</v>
      </c>
      <c r="M8752" s="8" t="s">
        <v>49162</v>
      </c>
      <c r="N8752" s="8" t="s">
        <v>63</v>
      </c>
      <c r="O8752" s="8" t="s">
        <v>126</v>
      </c>
      <c r="P8752" s="6" t="s">
        <v>51</v>
      </c>
      <c r="Q8752" s="8" t="s">
        <v>52</v>
      </c>
      <c r="R8752" s="10" t="s">
        <v>6101</v>
      </c>
      <c r="S8752" s="11" t="s">
        <v>49163</v>
      </c>
      <c r="T8752" s="6"/>
      <c r="U8752" s="15" t="str">
        <f>HYPERLINK("https://media.infra-m.ru/2002/2002621/cover/2002621.jpg", "Обложка")</f>
        <v>Обложка</v>
      </c>
      <c r="V8752" s="8" t="s">
        <v>644</v>
      </c>
      <c r="W8752" s="6"/>
      <c r="X8752" s="6"/>
      <c r="Y8752" s="6"/>
      <c r="Z8752" s="6"/>
      <c r="AA8752" s="6" t="s">
        <v>86</v>
      </c>
      <c r="AB8752" s="8"/>
      <c r="AC8752" s="27">
        <v>9785160136448</v>
      </c>
    </row>
    <row r="8753" spans="1:29" s="4" customFormat="1" ht="42" customHeight="1" x14ac:dyDescent="0.2">
      <c r="A8753" s="5">
        <v>0</v>
      </c>
      <c r="B8753" s="6" t="s">
        <v>49164</v>
      </c>
      <c r="C8753" s="7">
        <v>1637.9</v>
      </c>
      <c r="D8753" s="8" t="s">
        <v>49165</v>
      </c>
      <c r="E8753" s="8" t="s">
        <v>49092</v>
      </c>
      <c r="F8753" s="8" t="s">
        <v>49166</v>
      </c>
      <c r="G8753" s="6" t="s">
        <v>60</v>
      </c>
      <c r="H8753" s="6" t="s">
        <v>34</v>
      </c>
      <c r="I8753" s="8" t="s">
        <v>271</v>
      </c>
      <c r="J8753" s="9">
        <v>1</v>
      </c>
      <c r="K8753" s="9">
        <v>304</v>
      </c>
      <c r="L8753" s="9">
        <v>2021</v>
      </c>
      <c r="M8753" s="8" t="s">
        <v>49167</v>
      </c>
      <c r="N8753" s="8" t="s">
        <v>63</v>
      </c>
      <c r="O8753" s="8" t="s">
        <v>126</v>
      </c>
      <c r="P8753" s="6" t="s">
        <v>51</v>
      </c>
      <c r="Q8753" s="8" t="s">
        <v>52</v>
      </c>
      <c r="R8753" s="10" t="s">
        <v>6101</v>
      </c>
      <c r="S8753" s="11"/>
      <c r="T8753" s="6"/>
      <c r="U8753" s="15" t="str">
        <f>HYPERLINK("https://media.infra-m.ru/1189/1189957/cover/1189957.jpg", "Обложка")</f>
        <v>Обложка</v>
      </c>
      <c r="V8753" s="8" t="s">
        <v>13370</v>
      </c>
      <c r="W8753" s="6"/>
      <c r="X8753" s="6"/>
      <c r="Y8753" s="6"/>
      <c r="Z8753" s="6"/>
      <c r="AA8753" s="6" t="s">
        <v>55</v>
      </c>
      <c r="AB8753" s="8"/>
      <c r="AC8753" s="27">
        <v>9785160061993</v>
      </c>
    </row>
    <row r="8754" spans="1:29" s="4" customFormat="1" ht="51.9" customHeight="1" x14ac:dyDescent="0.2">
      <c r="A8754" s="5">
        <v>0</v>
      </c>
      <c r="B8754" s="6" t="s">
        <v>49168</v>
      </c>
      <c r="C8754" s="7">
        <v>1648.8</v>
      </c>
      <c r="D8754" s="8" t="s">
        <v>49169</v>
      </c>
      <c r="E8754" s="8" t="s">
        <v>49170</v>
      </c>
      <c r="F8754" s="8" t="s">
        <v>49171</v>
      </c>
      <c r="G8754" s="6" t="s">
        <v>118</v>
      </c>
      <c r="H8754" s="6" t="s">
        <v>34</v>
      </c>
      <c r="I8754" s="8" t="s">
        <v>3620</v>
      </c>
      <c r="J8754" s="9">
        <v>1</v>
      </c>
      <c r="K8754" s="9">
        <v>236</v>
      </c>
      <c r="L8754" s="9">
        <v>2027</v>
      </c>
      <c r="M8754" s="8" t="s">
        <v>49172</v>
      </c>
      <c r="N8754" s="8" t="s">
        <v>63</v>
      </c>
      <c r="O8754" s="8" t="s">
        <v>126</v>
      </c>
      <c r="P8754" s="6" t="s">
        <v>51</v>
      </c>
      <c r="Q8754" s="8" t="s">
        <v>52</v>
      </c>
      <c r="R8754" s="10" t="s">
        <v>17317</v>
      </c>
      <c r="S8754" s="11" t="s">
        <v>49173</v>
      </c>
      <c r="T8754" s="6" t="s">
        <v>97</v>
      </c>
      <c r="U8754" s="15" t="str">
        <f>HYPERLINK("https://media.infra-m.ru/2256/2256597/cover/2256597.jpg", "Обложка")</f>
        <v>Обложка</v>
      </c>
      <c r="V8754" s="8" t="s">
        <v>2398</v>
      </c>
      <c r="W8754" s="6"/>
      <c r="X8754" s="6"/>
      <c r="Y8754" s="6"/>
      <c r="Z8754" s="6"/>
      <c r="AA8754" s="6" t="s">
        <v>2311</v>
      </c>
      <c r="AB8754" s="8"/>
      <c r="AC8754" s="27">
        <v>9785160117645</v>
      </c>
    </row>
    <row r="8755" spans="1:29" s="4" customFormat="1" ht="51.9" customHeight="1" x14ac:dyDescent="0.2">
      <c r="A8755" s="5">
        <v>0</v>
      </c>
      <c r="B8755" s="6" t="s">
        <v>49174</v>
      </c>
      <c r="C8755" s="7">
        <v>2220</v>
      </c>
      <c r="D8755" s="8" t="s">
        <v>49175</v>
      </c>
      <c r="E8755" s="8" t="s">
        <v>49176</v>
      </c>
      <c r="F8755" s="8" t="s">
        <v>463</v>
      </c>
      <c r="G8755" s="6" t="s">
        <v>60</v>
      </c>
      <c r="H8755" s="6" t="s">
        <v>34</v>
      </c>
      <c r="I8755" s="8" t="s">
        <v>35</v>
      </c>
      <c r="J8755" s="9">
        <v>1</v>
      </c>
      <c r="K8755" s="9">
        <v>353</v>
      </c>
      <c r="L8755" s="9">
        <v>2025</v>
      </c>
      <c r="M8755" s="8" t="s">
        <v>49177</v>
      </c>
      <c r="N8755" s="8" t="s">
        <v>63</v>
      </c>
      <c r="O8755" s="8" t="s">
        <v>126</v>
      </c>
      <c r="P8755" s="6" t="s">
        <v>39</v>
      </c>
      <c r="Q8755" s="8" t="s">
        <v>40</v>
      </c>
      <c r="R8755" s="10" t="s">
        <v>49178</v>
      </c>
      <c r="S8755" s="11"/>
      <c r="T8755" s="6"/>
      <c r="U8755" s="15" t="str">
        <f>HYPERLINK("https://media.infra-m.ru/2180/2180376/cover/2180376.jpg", "Обложка")</f>
        <v>Обложка</v>
      </c>
      <c r="V8755" s="8" t="s">
        <v>466</v>
      </c>
      <c r="W8755" s="6"/>
      <c r="X8755" s="6"/>
      <c r="Y8755" s="6"/>
      <c r="Z8755" s="6"/>
      <c r="AA8755" s="6" t="s">
        <v>68</v>
      </c>
      <c r="AB8755" s="8"/>
      <c r="AC8755" s="27">
        <v>9785160205328</v>
      </c>
    </row>
    <row r="8756" spans="1:29" s="4" customFormat="1" ht="51.9" customHeight="1" x14ac:dyDescent="0.2">
      <c r="A8756" s="5">
        <v>0</v>
      </c>
      <c r="B8756" s="6" t="s">
        <v>49179</v>
      </c>
      <c r="C8756" s="7">
        <v>2092.8000000000002</v>
      </c>
      <c r="D8756" s="8" t="s">
        <v>49180</v>
      </c>
      <c r="E8756" s="8" t="s">
        <v>49181</v>
      </c>
      <c r="F8756" s="8" t="s">
        <v>10482</v>
      </c>
      <c r="G8756" s="6" t="s">
        <v>118</v>
      </c>
      <c r="H8756" s="6" t="s">
        <v>134</v>
      </c>
      <c r="I8756" s="8"/>
      <c r="J8756" s="9">
        <v>1</v>
      </c>
      <c r="K8756" s="9">
        <v>336</v>
      </c>
      <c r="L8756" s="9">
        <v>2026</v>
      </c>
      <c r="M8756" s="8" t="s">
        <v>49182</v>
      </c>
      <c r="N8756" s="8" t="s">
        <v>37</v>
      </c>
      <c r="O8756" s="8" t="s">
        <v>83</v>
      </c>
      <c r="P8756" s="6" t="s">
        <v>39</v>
      </c>
      <c r="Q8756" s="8" t="s">
        <v>40</v>
      </c>
      <c r="R8756" s="10" t="s">
        <v>49183</v>
      </c>
      <c r="S8756" s="11"/>
      <c r="T8756" s="6"/>
      <c r="U8756" s="15" t="str">
        <f>HYPERLINK("https://media.infra-m.ru/2221/2221072/cover/2221072.jpg", "Обложка")</f>
        <v>Обложка</v>
      </c>
      <c r="V8756" s="8" t="s">
        <v>9822</v>
      </c>
      <c r="W8756" s="6"/>
      <c r="X8756" s="6"/>
      <c r="Y8756" s="6"/>
      <c r="Z8756" s="6"/>
      <c r="AA8756" s="6" t="s">
        <v>115</v>
      </c>
      <c r="AB8756" s="8"/>
      <c r="AC8756" s="27">
        <v>9785917689692</v>
      </c>
    </row>
    <row r="8757" spans="1:29" s="4" customFormat="1" ht="42" customHeight="1" x14ac:dyDescent="0.2">
      <c r="A8757" s="5">
        <v>0</v>
      </c>
      <c r="B8757" s="6" t="s">
        <v>49184</v>
      </c>
      <c r="C8757" s="7">
        <v>1816.8</v>
      </c>
      <c r="D8757" s="8" t="s">
        <v>49185</v>
      </c>
      <c r="E8757" s="8" t="s">
        <v>49186</v>
      </c>
      <c r="F8757" s="8" t="s">
        <v>49187</v>
      </c>
      <c r="G8757" s="6" t="s">
        <v>33</v>
      </c>
      <c r="H8757" s="6" t="s">
        <v>34</v>
      </c>
      <c r="I8757" s="8" t="s">
        <v>35</v>
      </c>
      <c r="J8757" s="9">
        <v>1</v>
      </c>
      <c r="K8757" s="9">
        <v>262</v>
      </c>
      <c r="L8757" s="9">
        <v>2026</v>
      </c>
      <c r="M8757" s="8" t="s">
        <v>49188</v>
      </c>
      <c r="N8757" s="8" t="s">
        <v>63</v>
      </c>
      <c r="O8757" s="8" t="s">
        <v>126</v>
      </c>
      <c r="P8757" s="6" t="s">
        <v>39</v>
      </c>
      <c r="Q8757" s="8" t="s">
        <v>40</v>
      </c>
      <c r="R8757" s="10" t="s">
        <v>465</v>
      </c>
      <c r="S8757" s="11"/>
      <c r="T8757" s="6"/>
      <c r="U8757" s="15" t="str">
        <f>HYPERLINK("https://media.infra-m.ru/2251/2251178/cover/2251178.jpg", "Обложка")</f>
        <v>Обложка</v>
      </c>
      <c r="V8757" s="8" t="s">
        <v>7920</v>
      </c>
      <c r="W8757" s="6"/>
      <c r="X8757" s="6"/>
      <c r="Y8757" s="6"/>
      <c r="Z8757" s="6"/>
      <c r="AA8757" s="6" t="s">
        <v>115</v>
      </c>
      <c r="AB8757" s="8"/>
      <c r="AC8757" s="27">
        <v>9785160163574</v>
      </c>
    </row>
    <row r="8758" spans="1:29" s="4" customFormat="1" ht="51.9" customHeight="1" x14ac:dyDescent="0.2">
      <c r="A8758" s="5">
        <v>0</v>
      </c>
      <c r="B8758" s="6" t="s">
        <v>49189</v>
      </c>
      <c r="C8758" s="7">
        <v>3276</v>
      </c>
      <c r="D8758" s="8" t="s">
        <v>49190</v>
      </c>
      <c r="E8758" s="8" t="s">
        <v>49191</v>
      </c>
      <c r="F8758" s="8" t="s">
        <v>10482</v>
      </c>
      <c r="G8758" s="6" t="s">
        <v>60</v>
      </c>
      <c r="H8758" s="6" t="s">
        <v>134</v>
      </c>
      <c r="I8758" s="8"/>
      <c r="J8758" s="9">
        <v>1</v>
      </c>
      <c r="K8758" s="9">
        <v>472</v>
      </c>
      <c r="L8758" s="9">
        <v>2026</v>
      </c>
      <c r="M8758" s="8" t="s">
        <v>49192</v>
      </c>
      <c r="N8758" s="8" t="s">
        <v>37</v>
      </c>
      <c r="O8758" s="8" t="s">
        <v>136</v>
      </c>
      <c r="P8758" s="6" t="s">
        <v>39</v>
      </c>
      <c r="Q8758" s="8" t="s">
        <v>40</v>
      </c>
      <c r="R8758" s="10" t="s">
        <v>24691</v>
      </c>
      <c r="S8758" s="11"/>
      <c r="T8758" s="6"/>
      <c r="U8758" s="15" t="str">
        <f>HYPERLINK("https://media.infra-m.ru/2260/2260401/cover/2260401.jpg", "Обложка")</f>
        <v>Обложка</v>
      </c>
      <c r="V8758" s="8" t="s">
        <v>9822</v>
      </c>
      <c r="W8758" s="6"/>
      <c r="X8758" s="6"/>
      <c r="Y8758" s="6"/>
      <c r="Z8758" s="6"/>
      <c r="AA8758" s="6" t="s">
        <v>115</v>
      </c>
      <c r="AB8758" s="8"/>
      <c r="AC8758" s="27">
        <v>9785917689708</v>
      </c>
    </row>
    <row r="8759" spans="1:29" s="4" customFormat="1" ht="42" customHeight="1" x14ac:dyDescent="0.2">
      <c r="A8759" s="5">
        <v>0</v>
      </c>
      <c r="B8759" s="6" t="s">
        <v>49193</v>
      </c>
      <c r="C8759" s="13">
        <v>628.79999999999995</v>
      </c>
      <c r="D8759" s="8" t="s">
        <v>49194</v>
      </c>
      <c r="E8759" s="8" t="s">
        <v>49195</v>
      </c>
      <c r="F8759" s="8" t="s">
        <v>49196</v>
      </c>
      <c r="G8759" s="6" t="s">
        <v>33</v>
      </c>
      <c r="H8759" s="6" t="s">
        <v>34</v>
      </c>
      <c r="I8759" s="8" t="s">
        <v>1081</v>
      </c>
      <c r="J8759" s="9">
        <v>1</v>
      </c>
      <c r="K8759" s="9">
        <v>115</v>
      </c>
      <c r="L8759" s="9">
        <v>2023</v>
      </c>
      <c r="M8759" s="8" t="s">
        <v>49197</v>
      </c>
      <c r="N8759" s="8" t="s">
        <v>63</v>
      </c>
      <c r="O8759" s="8" t="s">
        <v>126</v>
      </c>
      <c r="P8759" s="6" t="s">
        <v>39</v>
      </c>
      <c r="Q8759" s="8" t="s">
        <v>40</v>
      </c>
      <c r="R8759" s="10" t="s">
        <v>10423</v>
      </c>
      <c r="S8759" s="11"/>
      <c r="T8759" s="6"/>
      <c r="U8759" s="15" t="str">
        <f>HYPERLINK("https://media.infra-m.ru/2006/2006872/cover/2006872.jpg", "Обложка")</f>
        <v>Обложка</v>
      </c>
      <c r="V8759" s="8" t="s">
        <v>1083</v>
      </c>
      <c r="W8759" s="6"/>
      <c r="X8759" s="6"/>
      <c r="Y8759" s="6"/>
      <c r="Z8759" s="6"/>
      <c r="AA8759" s="6" t="s">
        <v>86</v>
      </c>
      <c r="AB8759" s="8"/>
      <c r="AC8759" s="27">
        <v>9785160132778</v>
      </c>
    </row>
    <row r="8760" spans="1:29" s="4" customFormat="1" ht="42" customHeight="1" x14ac:dyDescent="0.2">
      <c r="A8760" s="5">
        <v>0</v>
      </c>
      <c r="B8760" s="6" t="s">
        <v>49198</v>
      </c>
      <c r="C8760" s="7">
        <v>1524</v>
      </c>
      <c r="D8760" s="8" t="s">
        <v>49199</v>
      </c>
      <c r="E8760" s="8" t="s">
        <v>49200</v>
      </c>
      <c r="F8760" s="8" t="s">
        <v>49201</v>
      </c>
      <c r="G8760" s="6" t="s">
        <v>33</v>
      </c>
      <c r="H8760" s="6" t="s">
        <v>34</v>
      </c>
      <c r="I8760" s="8" t="s">
        <v>35</v>
      </c>
      <c r="J8760" s="9">
        <v>1</v>
      </c>
      <c r="K8760" s="9">
        <v>240</v>
      </c>
      <c r="L8760" s="9">
        <v>2025</v>
      </c>
      <c r="M8760" s="8" t="s">
        <v>49202</v>
      </c>
      <c r="N8760" s="8" t="s">
        <v>63</v>
      </c>
      <c r="O8760" s="8" t="s">
        <v>126</v>
      </c>
      <c r="P8760" s="6" t="s">
        <v>39</v>
      </c>
      <c r="Q8760" s="8" t="s">
        <v>40</v>
      </c>
      <c r="R8760" s="10" t="s">
        <v>10423</v>
      </c>
      <c r="S8760" s="11"/>
      <c r="T8760" s="6"/>
      <c r="U8760" s="15" t="str">
        <f>HYPERLINK("https://media.infra-m.ru/2180/2180378/cover/2180378.jpg", "Обложка")</f>
        <v>Обложка</v>
      </c>
      <c r="V8760" s="8" t="s">
        <v>631</v>
      </c>
      <c r="W8760" s="6"/>
      <c r="X8760" s="6"/>
      <c r="Y8760" s="6"/>
      <c r="Z8760" s="6"/>
      <c r="AA8760" s="6" t="s">
        <v>68</v>
      </c>
      <c r="AB8760" s="8"/>
      <c r="AC8760" s="27">
        <v>9785160205342</v>
      </c>
    </row>
    <row r="8761" spans="1:29" s="4" customFormat="1" ht="44.1" customHeight="1" x14ac:dyDescent="0.2">
      <c r="A8761" s="5">
        <v>0</v>
      </c>
      <c r="B8761" s="6" t="s">
        <v>49203</v>
      </c>
      <c r="C8761" s="7">
        <v>2340</v>
      </c>
      <c r="D8761" s="8" t="s">
        <v>49204</v>
      </c>
      <c r="E8761" s="8" t="s">
        <v>49205</v>
      </c>
      <c r="F8761" s="8" t="s">
        <v>49206</v>
      </c>
      <c r="G8761" s="6" t="s">
        <v>33</v>
      </c>
      <c r="H8761" s="6" t="s">
        <v>34</v>
      </c>
      <c r="I8761" s="8" t="s">
        <v>35</v>
      </c>
      <c r="J8761" s="9">
        <v>1</v>
      </c>
      <c r="K8761" s="9">
        <v>390</v>
      </c>
      <c r="L8761" s="9">
        <v>2025</v>
      </c>
      <c r="M8761" s="8" t="s">
        <v>49207</v>
      </c>
      <c r="N8761" s="8" t="s">
        <v>63</v>
      </c>
      <c r="O8761" s="8" t="s">
        <v>126</v>
      </c>
      <c r="P8761" s="6" t="s">
        <v>39</v>
      </c>
      <c r="Q8761" s="8" t="s">
        <v>40</v>
      </c>
      <c r="R8761" s="10" t="s">
        <v>465</v>
      </c>
      <c r="S8761" s="11"/>
      <c r="T8761" s="6"/>
      <c r="U8761" s="15" t="str">
        <f>HYPERLINK("https://media.infra-m.ru/2174/2174464/cover/2174464.jpg", "Обложка")</f>
        <v>Обложка</v>
      </c>
      <c r="V8761" s="8" t="s">
        <v>1768</v>
      </c>
      <c r="W8761" s="6"/>
      <c r="X8761" s="6"/>
      <c r="Y8761" s="6"/>
      <c r="Z8761" s="6"/>
      <c r="AA8761" s="6" t="s">
        <v>1256</v>
      </c>
      <c r="AB8761" s="8"/>
      <c r="AC8761" s="27">
        <v>9785160159324</v>
      </c>
    </row>
    <row r="8762" spans="1:29" s="4" customFormat="1" ht="51.9" customHeight="1" x14ac:dyDescent="0.2">
      <c r="A8762" s="5">
        <v>0</v>
      </c>
      <c r="B8762" s="6" t="s">
        <v>49208</v>
      </c>
      <c r="C8762" s="7">
        <v>1644</v>
      </c>
      <c r="D8762" s="8" t="s">
        <v>49209</v>
      </c>
      <c r="E8762" s="8" t="s">
        <v>49210</v>
      </c>
      <c r="F8762" s="8" t="s">
        <v>49211</v>
      </c>
      <c r="G8762" s="6" t="s">
        <v>33</v>
      </c>
      <c r="H8762" s="6" t="s">
        <v>241</v>
      </c>
      <c r="I8762" s="8" t="s">
        <v>49212</v>
      </c>
      <c r="J8762" s="9">
        <v>1</v>
      </c>
      <c r="K8762" s="9">
        <v>274</v>
      </c>
      <c r="L8762" s="9">
        <v>2024</v>
      </c>
      <c r="M8762" s="8" t="s">
        <v>49213</v>
      </c>
      <c r="N8762" s="8" t="s">
        <v>63</v>
      </c>
      <c r="O8762" s="8" t="s">
        <v>126</v>
      </c>
      <c r="P8762" s="6" t="s">
        <v>39</v>
      </c>
      <c r="Q8762" s="8" t="s">
        <v>40</v>
      </c>
      <c r="R8762" s="10" t="s">
        <v>49214</v>
      </c>
      <c r="S8762" s="11"/>
      <c r="T8762" s="6"/>
      <c r="U8762" s="15" t="str">
        <f>HYPERLINK("https://media.infra-m.ru/2157/2157866/cover/2157866.jpg", "Обложка")</f>
        <v>Обложка</v>
      </c>
      <c r="V8762" s="8" t="s">
        <v>217</v>
      </c>
      <c r="W8762" s="6"/>
      <c r="X8762" s="6"/>
      <c r="Y8762" s="6"/>
      <c r="Z8762" s="6"/>
      <c r="AA8762" s="6" t="s">
        <v>404</v>
      </c>
      <c r="AB8762" s="8"/>
      <c r="AC8762" s="27">
        <v>9785955806112</v>
      </c>
    </row>
    <row r="8763" spans="1:29" s="4" customFormat="1" ht="51.9" customHeight="1" x14ac:dyDescent="0.2">
      <c r="A8763" s="5">
        <v>0</v>
      </c>
      <c r="B8763" s="6" t="s">
        <v>49215</v>
      </c>
      <c r="C8763" s="7">
        <v>1020</v>
      </c>
      <c r="D8763" s="8" t="s">
        <v>49216</v>
      </c>
      <c r="E8763" s="8" t="s">
        <v>49217</v>
      </c>
      <c r="F8763" s="8" t="s">
        <v>49211</v>
      </c>
      <c r="G8763" s="6" t="s">
        <v>33</v>
      </c>
      <c r="H8763" s="6" t="s">
        <v>241</v>
      </c>
      <c r="I8763" s="8" t="s">
        <v>241</v>
      </c>
      <c r="J8763" s="9">
        <v>1</v>
      </c>
      <c r="K8763" s="9">
        <v>274</v>
      </c>
      <c r="L8763" s="9">
        <v>2018</v>
      </c>
      <c r="M8763" s="8" t="s">
        <v>49218</v>
      </c>
      <c r="N8763" s="8" t="s">
        <v>63</v>
      </c>
      <c r="O8763" s="8" t="s">
        <v>126</v>
      </c>
      <c r="P8763" s="6" t="s">
        <v>39</v>
      </c>
      <c r="Q8763" s="8" t="s">
        <v>500</v>
      </c>
      <c r="R8763" s="10" t="s">
        <v>49214</v>
      </c>
      <c r="S8763" s="11"/>
      <c r="T8763" s="6"/>
      <c r="U8763" s="15" t="str">
        <f>HYPERLINK("https://media.infra-m.ru/0939/0939414/cover/939414.jpg", "Обложка")</f>
        <v>Обложка</v>
      </c>
      <c r="V8763" s="8" t="s">
        <v>217</v>
      </c>
      <c r="W8763" s="6"/>
      <c r="X8763" s="6"/>
      <c r="Y8763" s="6"/>
      <c r="Z8763" s="6"/>
      <c r="AA8763" s="6" t="s">
        <v>99</v>
      </c>
      <c r="AB8763" s="8"/>
      <c r="AC8763" s="27">
        <v>9785955805740</v>
      </c>
    </row>
    <row r="8764" spans="1:29" s="4" customFormat="1" ht="51.9" customHeight="1" x14ac:dyDescent="0.2">
      <c r="A8764" s="5">
        <v>0</v>
      </c>
      <c r="B8764" s="6" t="s">
        <v>49219</v>
      </c>
      <c r="C8764" s="7">
        <v>1920</v>
      </c>
      <c r="D8764" s="8" t="s">
        <v>49220</v>
      </c>
      <c r="E8764" s="8" t="s">
        <v>49221</v>
      </c>
      <c r="F8764" s="8" t="s">
        <v>49211</v>
      </c>
      <c r="G8764" s="6" t="s">
        <v>33</v>
      </c>
      <c r="H8764" s="6" t="s">
        <v>34</v>
      </c>
      <c r="I8764" s="8" t="s">
        <v>214</v>
      </c>
      <c r="J8764" s="9">
        <v>1</v>
      </c>
      <c r="K8764" s="9">
        <v>275</v>
      </c>
      <c r="L8764" s="9">
        <v>2026</v>
      </c>
      <c r="M8764" s="8" t="s">
        <v>49222</v>
      </c>
      <c r="N8764" s="8" t="s">
        <v>63</v>
      </c>
      <c r="O8764" s="8" t="s">
        <v>126</v>
      </c>
      <c r="P8764" s="6" t="s">
        <v>39</v>
      </c>
      <c r="Q8764" s="8" t="s">
        <v>40</v>
      </c>
      <c r="R8764" s="10" t="s">
        <v>49214</v>
      </c>
      <c r="S8764" s="11"/>
      <c r="T8764" s="6"/>
      <c r="U8764" s="15" t="str">
        <f>HYPERLINK("https://media.infra-m.ru/2211/2211140/cover/2211140.jpg", "Обложка")</f>
        <v>Обложка</v>
      </c>
      <c r="V8764" s="8" t="s">
        <v>217</v>
      </c>
      <c r="W8764" s="6" t="s">
        <v>186</v>
      </c>
      <c r="X8764" s="6"/>
      <c r="Y8764" s="6"/>
      <c r="Z8764" s="6"/>
      <c r="AA8764" s="6" t="s">
        <v>3772</v>
      </c>
      <c r="AB8764" s="8"/>
      <c r="AC8764" s="27">
        <v>9785160210285</v>
      </c>
    </row>
    <row r="8765" spans="1:29" s="4" customFormat="1" ht="42" customHeight="1" x14ac:dyDescent="0.2">
      <c r="A8765" s="5">
        <v>0</v>
      </c>
      <c r="B8765" s="6" t="s">
        <v>49223</v>
      </c>
      <c r="C8765" s="7">
        <v>2604</v>
      </c>
      <c r="D8765" s="8" t="s">
        <v>49224</v>
      </c>
      <c r="E8765" s="8" t="s">
        <v>49225</v>
      </c>
      <c r="F8765" s="8" t="s">
        <v>9860</v>
      </c>
      <c r="G8765" s="6" t="s">
        <v>60</v>
      </c>
      <c r="H8765" s="6" t="s">
        <v>34</v>
      </c>
      <c r="I8765" s="8" t="s">
        <v>35</v>
      </c>
      <c r="J8765" s="9">
        <v>1</v>
      </c>
      <c r="K8765" s="9">
        <v>418</v>
      </c>
      <c r="L8765" s="9">
        <v>2026</v>
      </c>
      <c r="M8765" s="8" t="s">
        <v>49226</v>
      </c>
      <c r="N8765" s="8" t="s">
        <v>37</v>
      </c>
      <c r="O8765" s="8" t="s">
        <v>136</v>
      </c>
      <c r="P8765" s="6" t="s">
        <v>39</v>
      </c>
      <c r="Q8765" s="8" t="s">
        <v>40</v>
      </c>
      <c r="R8765" s="10" t="s">
        <v>9551</v>
      </c>
      <c r="S8765" s="11"/>
      <c r="T8765" s="6"/>
      <c r="U8765" s="15" t="str">
        <f>HYPERLINK("https://media.infra-m.ru/2215/2215749/cover/2215749.jpg", "Обложка")</f>
        <v>Обложка</v>
      </c>
      <c r="V8765" s="8" t="s">
        <v>4923</v>
      </c>
      <c r="W8765" s="6"/>
      <c r="X8765" s="6"/>
      <c r="Y8765" s="6"/>
      <c r="Z8765" s="6"/>
      <c r="AA8765" s="6" t="s">
        <v>917</v>
      </c>
      <c r="AB8765" s="8"/>
      <c r="AC8765" s="27">
        <v>9785160200170</v>
      </c>
    </row>
    <row r="8766" spans="1:29" s="4" customFormat="1" ht="42" customHeight="1" x14ac:dyDescent="0.2">
      <c r="A8766" s="5">
        <v>0</v>
      </c>
      <c r="B8766" s="6" t="s">
        <v>49227</v>
      </c>
      <c r="C8766" s="7">
        <v>1944</v>
      </c>
      <c r="D8766" s="8" t="s">
        <v>49228</v>
      </c>
      <c r="E8766" s="8" t="s">
        <v>49229</v>
      </c>
      <c r="F8766" s="8" t="s">
        <v>49230</v>
      </c>
      <c r="G8766" s="6" t="s">
        <v>60</v>
      </c>
      <c r="H8766" s="6" t="s">
        <v>34</v>
      </c>
      <c r="I8766" s="8" t="s">
        <v>35</v>
      </c>
      <c r="J8766" s="9">
        <v>1</v>
      </c>
      <c r="K8766" s="9">
        <v>311</v>
      </c>
      <c r="L8766" s="9">
        <v>2025</v>
      </c>
      <c r="M8766" s="8" t="s">
        <v>49231</v>
      </c>
      <c r="N8766" s="8" t="s">
        <v>37</v>
      </c>
      <c r="O8766" s="8" t="s">
        <v>136</v>
      </c>
      <c r="P8766" s="6" t="s">
        <v>39</v>
      </c>
      <c r="Q8766" s="8" t="s">
        <v>40</v>
      </c>
      <c r="R8766" s="10" t="s">
        <v>684</v>
      </c>
      <c r="S8766" s="11"/>
      <c r="T8766" s="6"/>
      <c r="U8766" s="15" t="str">
        <f>HYPERLINK("https://media.infra-m.ru/2164/2164859/cover/2164859.jpg", "Обложка")</f>
        <v>Обложка</v>
      </c>
      <c r="V8766" s="8" t="s">
        <v>3243</v>
      </c>
      <c r="W8766" s="6"/>
      <c r="X8766" s="6"/>
      <c r="Y8766" s="6"/>
      <c r="Z8766" s="6"/>
      <c r="AA8766" s="6" t="s">
        <v>68</v>
      </c>
      <c r="AB8766" s="8"/>
      <c r="AC8766" s="27">
        <v>9785160202457</v>
      </c>
    </row>
    <row r="8767" spans="1:29" s="4" customFormat="1" ht="51.9" customHeight="1" x14ac:dyDescent="0.2">
      <c r="A8767" s="5">
        <v>0</v>
      </c>
      <c r="B8767" s="6" t="s">
        <v>49232</v>
      </c>
      <c r="C8767" s="13">
        <v>664.8</v>
      </c>
      <c r="D8767" s="8" t="s">
        <v>49233</v>
      </c>
      <c r="E8767" s="8" t="s">
        <v>49234</v>
      </c>
      <c r="F8767" s="8" t="s">
        <v>11863</v>
      </c>
      <c r="G8767" s="6" t="s">
        <v>60</v>
      </c>
      <c r="H8767" s="6" t="s">
        <v>241</v>
      </c>
      <c r="I8767" s="8" t="s">
        <v>3496</v>
      </c>
      <c r="J8767" s="9">
        <v>1</v>
      </c>
      <c r="K8767" s="9">
        <v>120</v>
      </c>
      <c r="L8767" s="9">
        <v>2024</v>
      </c>
      <c r="M8767" s="8" t="s">
        <v>49235</v>
      </c>
      <c r="N8767" s="8" t="s">
        <v>37</v>
      </c>
      <c r="O8767" s="8" t="s">
        <v>290</v>
      </c>
      <c r="P8767" s="6" t="s">
        <v>39</v>
      </c>
      <c r="Q8767" s="8" t="s">
        <v>40</v>
      </c>
      <c r="R8767" s="10" t="s">
        <v>49236</v>
      </c>
      <c r="S8767" s="11"/>
      <c r="T8767" s="6"/>
      <c r="U8767" s="15" t="str">
        <f>HYPERLINK("https://media.infra-m.ru/2118/2118687/cover/2118687.jpg", "Обложка")</f>
        <v>Обложка</v>
      </c>
      <c r="V8767" s="8" t="s">
        <v>6059</v>
      </c>
      <c r="W8767" s="6"/>
      <c r="X8767" s="6"/>
      <c r="Y8767" s="6"/>
      <c r="Z8767" s="6"/>
      <c r="AA8767" s="6" t="s">
        <v>248</v>
      </c>
      <c r="AB8767" s="8"/>
      <c r="AC8767" s="27">
        <v>9785955803784</v>
      </c>
    </row>
    <row r="8768" spans="1:29" s="4" customFormat="1" ht="51.9" customHeight="1" x14ac:dyDescent="0.2">
      <c r="A8768" s="5">
        <v>0</v>
      </c>
      <c r="B8768" s="6" t="s">
        <v>49237</v>
      </c>
      <c r="C8768" s="13">
        <v>761.9</v>
      </c>
      <c r="D8768" s="8" t="s">
        <v>49238</v>
      </c>
      <c r="E8768" s="8" t="s">
        <v>49239</v>
      </c>
      <c r="F8768" s="8" t="s">
        <v>49240</v>
      </c>
      <c r="G8768" s="6" t="s">
        <v>33</v>
      </c>
      <c r="H8768" s="6" t="s">
        <v>34</v>
      </c>
      <c r="I8768" s="8" t="s">
        <v>271</v>
      </c>
      <c r="J8768" s="9">
        <v>1</v>
      </c>
      <c r="K8768" s="9">
        <v>141</v>
      </c>
      <c r="L8768" s="9">
        <v>2023</v>
      </c>
      <c r="M8768" s="8" t="s">
        <v>49241</v>
      </c>
      <c r="N8768" s="8" t="s">
        <v>37</v>
      </c>
      <c r="O8768" s="8" t="s">
        <v>280</v>
      </c>
      <c r="P8768" s="6" t="s">
        <v>51</v>
      </c>
      <c r="Q8768" s="8" t="s">
        <v>52</v>
      </c>
      <c r="R8768" s="10" t="s">
        <v>49242</v>
      </c>
      <c r="S8768" s="11"/>
      <c r="T8768" s="6"/>
      <c r="U8768" s="15" t="str">
        <f>HYPERLINK("https://media.infra-m.ru/1981/1981699/cover/1981699.jpg", "Обложка")</f>
        <v>Обложка</v>
      </c>
      <c r="V8768" s="8" t="s">
        <v>4473</v>
      </c>
      <c r="W8768" s="6"/>
      <c r="X8768" s="6"/>
      <c r="Y8768" s="6"/>
      <c r="Z8768" s="6"/>
      <c r="AA8768" s="6" t="s">
        <v>55</v>
      </c>
      <c r="AB8768" s="8"/>
      <c r="AC8768" s="27">
        <v>9785160066523</v>
      </c>
    </row>
    <row r="8769" spans="1:29" s="4" customFormat="1" ht="44.1" customHeight="1" x14ac:dyDescent="0.2">
      <c r="A8769" s="5">
        <v>0</v>
      </c>
      <c r="B8769" s="6" t="s">
        <v>49243</v>
      </c>
      <c r="C8769" s="7">
        <v>1248</v>
      </c>
      <c r="D8769" s="8" t="s">
        <v>49244</v>
      </c>
      <c r="E8769" s="8" t="s">
        <v>49245</v>
      </c>
      <c r="F8769" s="8" t="s">
        <v>49246</v>
      </c>
      <c r="G8769" s="6" t="s">
        <v>33</v>
      </c>
      <c r="H8769" s="6" t="s">
        <v>34</v>
      </c>
      <c r="I8769" s="8" t="s">
        <v>457</v>
      </c>
      <c r="J8769" s="9">
        <v>1</v>
      </c>
      <c r="K8769" s="9">
        <v>172</v>
      </c>
      <c r="L8769" s="9">
        <v>2025</v>
      </c>
      <c r="M8769" s="8" t="s">
        <v>49247</v>
      </c>
      <c r="N8769" s="8" t="s">
        <v>37</v>
      </c>
      <c r="O8769" s="8" t="s">
        <v>233</v>
      </c>
      <c r="P8769" s="6" t="s">
        <v>39</v>
      </c>
      <c r="Q8769" s="8" t="s">
        <v>40</v>
      </c>
      <c r="R8769" s="10" t="s">
        <v>49248</v>
      </c>
      <c r="S8769" s="11"/>
      <c r="T8769" s="6"/>
      <c r="U8769" s="15" t="str">
        <f>HYPERLINK("https://media.infra-m.ru/2192/2192603/cover/2192603.jpg", "Обложка")</f>
        <v>Обложка</v>
      </c>
      <c r="V8769" s="8" t="s">
        <v>247</v>
      </c>
      <c r="W8769" s="6"/>
      <c r="X8769" s="6"/>
      <c r="Y8769" s="6"/>
      <c r="Z8769" s="6"/>
      <c r="AA8769" s="6" t="s">
        <v>68</v>
      </c>
      <c r="AB8769" s="8"/>
      <c r="AC8769" s="27">
        <v>9785160207681</v>
      </c>
    </row>
    <row r="8770" spans="1:29" s="4" customFormat="1" ht="42" customHeight="1" x14ac:dyDescent="0.2">
      <c r="A8770" s="5">
        <v>0</v>
      </c>
      <c r="B8770" s="6" t="s">
        <v>49249</v>
      </c>
      <c r="C8770" s="7">
        <v>1788</v>
      </c>
      <c r="D8770" s="8" t="s">
        <v>49250</v>
      </c>
      <c r="E8770" s="8" t="s">
        <v>49251</v>
      </c>
      <c r="F8770" s="8" t="s">
        <v>3652</v>
      </c>
      <c r="G8770" s="6" t="s">
        <v>60</v>
      </c>
      <c r="H8770" s="6" t="s">
        <v>34</v>
      </c>
      <c r="I8770" s="8" t="s">
        <v>504</v>
      </c>
      <c r="J8770" s="9">
        <v>1</v>
      </c>
      <c r="K8770" s="9">
        <v>316</v>
      </c>
      <c r="L8770" s="9">
        <v>2024</v>
      </c>
      <c r="M8770" s="8" t="s">
        <v>49252</v>
      </c>
      <c r="N8770" s="8" t="s">
        <v>37</v>
      </c>
      <c r="O8770" s="8" t="s">
        <v>233</v>
      </c>
      <c r="P8770" s="6" t="s">
        <v>306</v>
      </c>
      <c r="Q8770" s="8" t="s">
        <v>500</v>
      </c>
      <c r="R8770" s="10" t="s">
        <v>18617</v>
      </c>
      <c r="S8770" s="11"/>
      <c r="T8770" s="6"/>
      <c r="U8770" s="15" t="str">
        <f>HYPERLINK("https://media.infra-m.ru/1908/1908969/cover/1908969.jpg", "Обложка")</f>
        <v>Обложка</v>
      </c>
      <c r="V8770" s="8" t="s">
        <v>396</v>
      </c>
      <c r="W8770" s="6"/>
      <c r="X8770" s="6"/>
      <c r="Y8770" s="6"/>
      <c r="Z8770" s="6"/>
      <c r="AA8770" s="6" t="s">
        <v>76</v>
      </c>
      <c r="AB8770" s="8"/>
      <c r="AC8770" s="27">
        <v>9785160180687</v>
      </c>
    </row>
    <row r="8771" spans="1:29" s="4" customFormat="1" ht="44.1" customHeight="1" x14ac:dyDescent="0.2">
      <c r="A8771" s="5">
        <v>0</v>
      </c>
      <c r="B8771" s="6" t="s">
        <v>49253</v>
      </c>
      <c r="C8771" s="13">
        <v>688.8</v>
      </c>
      <c r="D8771" s="8" t="s">
        <v>49254</v>
      </c>
      <c r="E8771" s="8" t="s">
        <v>49255</v>
      </c>
      <c r="F8771" s="8" t="s">
        <v>49256</v>
      </c>
      <c r="G8771" s="6" t="s">
        <v>33</v>
      </c>
      <c r="H8771" s="6" t="s">
        <v>134</v>
      </c>
      <c r="I8771" s="8"/>
      <c r="J8771" s="9">
        <v>1</v>
      </c>
      <c r="K8771" s="9">
        <v>104</v>
      </c>
      <c r="L8771" s="9">
        <v>2026</v>
      </c>
      <c r="M8771" s="8" t="s">
        <v>49257</v>
      </c>
      <c r="N8771" s="8" t="s">
        <v>37</v>
      </c>
      <c r="O8771" s="8" t="s">
        <v>233</v>
      </c>
      <c r="P8771" s="6" t="s">
        <v>39</v>
      </c>
      <c r="Q8771" s="8" t="s">
        <v>40</v>
      </c>
      <c r="R8771" s="10" t="s">
        <v>49258</v>
      </c>
      <c r="S8771" s="11"/>
      <c r="T8771" s="6"/>
      <c r="U8771" s="15" t="str">
        <f>HYPERLINK("https://media.infra-m.ru/2221/2221370/cover/2221370.jpg", "Обложка")</f>
        <v>Обложка</v>
      </c>
      <c r="V8771" s="8" t="s">
        <v>138</v>
      </c>
      <c r="W8771" s="6"/>
      <c r="X8771" s="6"/>
      <c r="Y8771" s="6"/>
      <c r="Z8771" s="6"/>
      <c r="AA8771" s="6" t="s">
        <v>1256</v>
      </c>
      <c r="AB8771" s="8"/>
      <c r="AC8771" s="27">
        <v>9785001560555</v>
      </c>
    </row>
    <row r="8772" spans="1:29" s="4" customFormat="1" ht="51.9" customHeight="1" x14ac:dyDescent="0.2">
      <c r="A8772" s="5">
        <v>0</v>
      </c>
      <c r="B8772" s="6" t="s">
        <v>49259</v>
      </c>
      <c r="C8772" s="7">
        <v>1836</v>
      </c>
      <c r="D8772" s="8" t="s">
        <v>49260</v>
      </c>
      <c r="E8772" s="8" t="s">
        <v>49261</v>
      </c>
      <c r="F8772" s="8" t="s">
        <v>49262</v>
      </c>
      <c r="G8772" s="6" t="s">
        <v>60</v>
      </c>
      <c r="H8772" s="6" t="s">
        <v>34</v>
      </c>
      <c r="I8772" s="8" t="s">
        <v>35</v>
      </c>
      <c r="J8772" s="9">
        <v>1</v>
      </c>
      <c r="K8772" s="9">
        <v>331</v>
      </c>
      <c r="L8772" s="9">
        <v>2024</v>
      </c>
      <c r="M8772" s="8" t="s">
        <v>49263</v>
      </c>
      <c r="N8772" s="8" t="s">
        <v>93</v>
      </c>
      <c r="O8772" s="8" t="s">
        <v>94</v>
      </c>
      <c r="P8772" s="6" t="s">
        <v>39</v>
      </c>
      <c r="Q8772" s="8" t="s">
        <v>40</v>
      </c>
      <c r="R8772" s="10" t="s">
        <v>49264</v>
      </c>
      <c r="S8772" s="11"/>
      <c r="T8772" s="6"/>
      <c r="U8772" s="15" t="str">
        <f>HYPERLINK("https://media.infra-m.ru/2091/2091440/cover/2091440.jpg", "Обложка")</f>
        <v>Обложка</v>
      </c>
      <c r="V8772" s="8" t="s">
        <v>3196</v>
      </c>
      <c r="W8772" s="6"/>
      <c r="X8772" s="6"/>
      <c r="Y8772" s="6"/>
      <c r="Z8772" s="6"/>
      <c r="AA8772" s="6" t="s">
        <v>76</v>
      </c>
      <c r="AB8772" s="8"/>
      <c r="AC8772" s="27">
        <v>9785160191423</v>
      </c>
    </row>
    <row r="8773" spans="1:29" s="4" customFormat="1" ht="42" customHeight="1" x14ac:dyDescent="0.2">
      <c r="A8773" s="5">
        <v>0</v>
      </c>
      <c r="B8773" s="6" t="s">
        <v>49265</v>
      </c>
      <c r="C8773" s="7">
        <v>1488</v>
      </c>
      <c r="D8773" s="8" t="s">
        <v>49266</v>
      </c>
      <c r="E8773" s="8" t="s">
        <v>49267</v>
      </c>
      <c r="F8773" s="8" t="s">
        <v>43556</v>
      </c>
      <c r="G8773" s="6" t="s">
        <v>118</v>
      </c>
      <c r="H8773" s="6" t="s">
        <v>34</v>
      </c>
      <c r="I8773" s="8" t="s">
        <v>253</v>
      </c>
      <c r="J8773" s="9">
        <v>1</v>
      </c>
      <c r="K8773" s="9">
        <v>225</v>
      </c>
      <c r="L8773" s="9">
        <v>2026</v>
      </c>
      <c r="M8773" s="8" t="s">
        <v>49268</v>
      </c>
      <c r="N8773" s="8" t="s">
        <v>37</v>
      </c>
      <c r="O8773" s="8" t="s">
        <v>233</v>
      </c>
      <c r="P8773" s="6" t="s">
        <v>51</v>
      </c>
      <c r="Q8773" s="8" t="s">
        <v>52</v>
      </c>
      <c r="R8773" s="10" t="s">
        <v>3516</v>
      </c>
      <c r="S8773" s="11"/>
      <c r="T8773" s="6"/>
      <c r="U8773" s="15" t="str">
        <f>HYPERLINK("https://media.infra-m.ru/2205/2205741/cover/2205741.jpg", "Обложка")</f>
        <v>Обложка</v>
      </c>
      <c r="V8773" s="8" t="s">
        <v>445</v>
      </c>
      <c r="W8773" s="6"/>
      <c r="X8773" s="6"/>
      <c r="Y8773" s="6"/>
      <c r="Z8773" s="6"/>
      <c r="AA8773" s="6" t="s">
        <v>157</v>
      </c>
      <c r="AB8773" s="8"/>
      <c r="AC8773" s="27">
        <v>9785160176673</v>
      </c>
    </row>
    <row r="8774" spans="1:29" s="4" customFormat="1" ht="51.9" customHeight="1" x14ac:dyDescent="0.2">
      <c r="A8774" s="5">
        <v>0</v>
      </c>
      <c r="B8774" s="6" t="s">
        <v>49269</v>
      </c>
      <c r="C8774" s="7">
        <v>2148</v>
      </c>
      <c r="D8774" s="8" t="s">
        <v>49270</v>
      </c>
      <c r="E8774" s="8" t="s">
        <v>49271</v>
      </c>
      <c r="F8774" s="8" t="s">
        <v>49272</v>
      </c>
      <c r="G8774" s="6" t="s">
        <v>60</v>
      </c>
      <c r="H8774" s="6" t="s">
        <v>34</v>
      </c>
      <c r="I8774" s="8"/>
      <c r="J8774" s="9">
        <v>1</v>
      </c>
      <c r="K8774" s="9">
        <v>304</v>
      </c>
      <c r="L8774" s="9">
        <v>2026</v>
      </c>
      <c r="M8774" s="8" t="s">
        <v>49273</v>
      </c>
      <c r="N8774" s="8" t="s">
        <v>37</v>
      </c>
      <c r="O8774" s="8" t="s">
        <v>233</v>
      </c>
      <c r="P8774" s="6" t="s">
        <v>51</v>
      </c>
      <c r="Q8774" s="8" t="s">
        <v>65</v>
      </c>
      <c r="R8774" s="10" t="s">
        <v>49274</v>
      </c>
      <c r="S8774" s="11"/>
      <c r="T8774" s="6"/>
      <c r="U8774" s="15" t="str">
        <f>HYPERLINK("https://media.infra-m.ru/2242/2242249/cover/2242249.jpg", "Обложка")</f>
        <v>Обложка</v>
      </c>
      <c r="V8774" s="8" t="s">
        <v>49275</v>
      </c>
      <c r="W8774" s="6" t="s">
        <v>299</v>
      </c>
      <c r="X8774" s="6"/>
      <c r="Y8774" s="6"/>
      <c r="Z8774" s="6"/>
      <c r="AA8774" s="6" t="s">
        <v>187</v>
      </c>
      <c r="AB8774" s="8"/>
      <c r="AC8774" s="27">
        <v>9785160219103</v>
      </c>
    </row>
    <row r="8775" spans="1:29" s="4" customFormat="1" ht="51.9" customHeight="1" x14ac:dyDescent="0.2">
      <c r="A8775" s="5">
        <v>0</v>
      </c>
      <c r="B8775" s="6" t="s">
        <v>49276</v>
      </c>
      <c r="C8775" s="13">
        <v>521.9</v>
      </c>
      <c r="D8775" s="8" t="s">
        <v>49277</v>
      </c>
      <c r="E8775" s="8" t="s">
        <v>49271</v>
      </c>
      <c r="F8775" s="8" t="s">
        <v>49278</v>
      </c>
      <c r="G8775" s="6" t="s">
        <v>33</v>
      </c>
      <c r="H8775" s="6" t="s">
        <v>34</v>
      </c>
      <c r="I8775" s="8" t="s">
        <v>271</v>
      </c>
      <c r="J8775" s="9">
        <v>1</v>
      </c>
      <c r="K8775" s="9">
        <v>160</v>
      </c>
      <c r="L8775" s="9">
        <v>2017</v>
      </c>
      <c r="M8775" s="8" t="s">
        <v>49279</v>
      </c>
      <c r="N8775" s="8" t="s">
        <v>585</v>
      </c>
      <c r="O8775" s="8" t="s">
        <v>667</v>
      </c>
      <c r="P8775" s="6" t="s">
        <v>51</v>
      </c>
      <c r="Q8775" s="8" t="s">
        <v>52</v>
      </c>
      <c r="R8775" s="10" t="s">
        <v>5054</v>
      </c>
      <c r="S8775" s="11" t="s">
        <v>49280</v>
      </c>
      <c r="T8775" s="6"/>
      <c r="U8775" s="15" t="str">
        <f>HYPERLINK("https://media.infra-m.ru/0612/0612579/cover/612579.jpg", "Обложка")</f>
        <v>Обложка</v>
      </c>
      <c r="V8775" s="8" t="s">
        <v>396</v>
      </c>
      <c r="W8775" s="6"/>
      <c r="X8775" s="6"/>
      <c r="Y8775" s="6"/>
      <c r="Z8775" s="6"/>
      <c r="AA8775" s="6" t="s">
        <v>55</v>
      </c>
      <c r="AB8775" s="8"/>
      <c r="AC8775" s="27">
        <v>9785160060033</v>
      </c>
    </row>
    <row r="8776" spans="1:29" s="4" customFormat="1" ht="51.9" customHeight="1" x14ac:dyDescent="0.2">
      <c r="A8776" s="5">
        <v>0</v>
      </c>
      <c r="B8776" s="6" t="s">
        <v>49281</v>
      </c>
      <c r="C8776" s="7">
        <v>1060.8</v>
      </c>
      <c r="D8776" s="8" t="s">
        <v>49282</v>
      </c>
      <c r="E8776" s="8" t="s">
        <v>49271</v>
      </c>
      <c r="F8776" s="8" t="s">
        <v>49283</v>
      </c>
      <c r="G8776" s="6" t="s">
        <v>60</v>
      </c>
      <c r="H8776" s="6" t="s">
        <v>34</v>
      </c>
      <c r="I8776" s="8" t="s">
        <v>271</v>
      </c>
      <c r="J8776" s="9">
        <v>1</v>
      </c>
      <c r="K8776" s="9">
        <v>160</v>
      </c>
      <c r="L8776" s="9">
        <v>2026</v>
      </c>
      <c r="M8776" s="8" t="s">
        <v>49284</v>
      </c>
      <c r="N8776" s="8" t="s">
        <v>585</v>
      </c>
      <c r="O8776" s="8" t="s">
        <v>667</v>
      </c>
      <c r="P8776" s="6" t="s">
        <v>51</v>
      </c>
      <c r="Q8776" s="8" t="s">
        <v>52</v>
      </c>
      <c r="R8776" s="10" t="s">
        <v>5054</v>
      </c>
      <c r="S8776" s="11" t="s">
        <v>49285</v>
      </c>
      <c r="T8776" s="6"/>
      <c r="U8776" s="15" t="str">
        <f>HYPERLINK("https://media.infra-m.ru/2231/2231466/cover/2231466.jpg", "Обложка")</f>
        <v>Обложка</v>
      </c>
      <c r="V8776" s="8" t="s">
        <v>396</v>
      </c>
      <c r="W8776" s="6"/>
      <c r="X8776" s="6"/>
      <c r="Y8776" s="6"/>
      <c r="Z8776" s="6"/>
      <c r="AA8776" s="6" t="s">
        <v>55</v>
      </c>
      <c r="AB8776" s="8"/>
      <c r="AC8776" s="27">
        <v>9785160156415</v>
      </c>
    </row>
    <row r="8777" spans="1:29" s="4" customFormat="1" ht="51.9" customHeight="1" x14ac:dyDescent="0.2">
      <c r="A8777" s="5">
        <v>0</v>
      </c>
      <c r="B8777" s="6" t="s">
        <v>49286</v>
      </c>
      <c r="C8777" s="7">
        <v>3340.8</v>
      </c>
      <c r="D8777" s="8" t="s">
        <v>49287</v>
      </c>
      <c r="E8777" s="8" t="s">
        <v>49271</v>
      </c>
      <c r="F8777" s="8" t="s">
        <v>49288</v>
      </c>
      <c r="G8777" s="6" t="s">
        <v>60</v>
      </c>
      <c r="H8777" s="6" t="s">
        <v>34</v>
      </c>
      <c r="I8777" s="8" t="s">
        <v>504</v>
      </c>
      <c r="J8777" s="9">
        <v>1</v>
      </c>
      <c r="K8777" s="9">
        <v>481</v>
      </c>
      <c r="L8777" s="9">
        <v>2027</v>
      </c>
      <c r="M8777" s="8" t="s">
        <v>49289</v>
      </c>
      <c r="N8777" s="8" t="s">
        <v>37</v>
      </c>
      <c r="O8777" s="8" t="s">
        <v>233</v>
      </c>
      <c r="P8777" s="6" t="s">
        <v>51</v>
      </c>
      <c r="Q8777" s="8" t="s">
        <v>500</v>
      </c>
      <c r="R8777" s="10" t="s">
        <v>49290</v>
      </c>
      <c r="S8777" s="11" t="s">
        <v>49291</v>
      </c>
      <c r="T8777" s="6"/>
      <c r="U8777" s="15" t="str">
        <f>HYPERLINK("https://media.infra-m.ru/2264/2264923/cover/2264923.jpg", "Обложка")</f>
        <v>Обложка</v>
      </c>
      <c r="V8777" s="8" t="s">
        <v>247</v>
      </c>
      <c r="W8777" s="6"/>
      <c r="X8777" s="6"/>
      <c r="Y8777" s="6"/>
      <c r="Z8777" s="6"/>
      <c r="AA8777" s="6" t="s">
        <v>248</v>
      </c>
      <c r="AB8777" s="8"/>
      <c r="AC8777" s="27">
        <v>9785160051345</v>
      </c>
    </row>
    <row r="8778" spans="1:29" s="4" customFormat="1" ht="51.9" customHeight="1" x14ac:dyDescent="0.2">
      <c r="A8778" s="5">
        <v>0</v>
      </c>
      <c r="B8778" s="6" t="s">
        <v>49292</v>
      </c>
      <c r="C8778" s="7">
        <v>1440</v>
      </c>
      <c r="D8778" s="8" t="s">
        <v>49293</v>
      </c>
      <c r="E8778" s="8" t="s">
        <v>49294</v>
      </c>
      <c r="F8778" s="8" t="s">
        <v>3652</v>
      </c>
      <c r="G8778" s="6" t="s">
        <v>60</v>
      </c>
      <c r="H8778" s="6" t="s">
        <v>34</v>
      </c>
      <c r="I8778" s="8" t="s">
        <v>30344</v>
      </c>
      <c r="J8778" s="9">
        <v>1</v>
      </c>
      <c r="K8778" s="9">
        <v>258</v>
      </c>
      <c r="L8778" s="9">
        <v>2024</v>
      </c>
      <c r="M8778" s="8" t="s">
        <v>49295</v>
      </c>
      <c r="N8778" s="8" t="s">
        <v>37</v>
      </c>
      <c r="O8778" s="8" t="s">
        <v>280</v>
      </c>
      <c r="P8778" s="6" t="s">
        <v>306</v>
      </c>
      <c r="Q8778" s="8" t="s">
        <v>500</v>
      </c>
      <c r="R8778" s="10" t="s">
        <v>49296</v>
      </c>
      <c r="S8778" s="11" t="s">
        <v>49297</v>
      </c>
      <c r="T8778" s="6"/>
      <c r="U8778" s="15" t="str">
        <f>HYPERLINK("https://media.infra-m.ru/1989/1989243/cover/1989243.jpg", "Обложка")</f>
        <v>Обложка</v>
      </c>
      <c r="V8778" s="8" t="s">
        <v>396</v>
      </c>
      <c r="W8778" s="6"/>
      <c r="X8778" s="6" t="s">
        <v>24</v>
      </c>
      <c r="Y8778" s="6"/>
      <c r="Z8778" s="6"/>
      <c r="AA8778" s="6" t="s">
        <v>129</v>
      </c>
      <c r="AB8778" s="8"/>
      <c r="AC8778" s="27">
        <v>9785160183800</v>
      </c>
    </row>
    <row r="8779" spans="1:29" s="4" customFormat="1" ht="51.9" customHeight="1" x14ac:dyDescent="0.2">
      <c r="A8779" s="5">
        <v>0</v>
      </c>
      <c r="B8779" s="6" t="s">
        <v>49298</v>
      </c>
      <c r="C8779" s="7">
        <v>1044</v>
      </c>
      <c r="D8779" s="8" t="s">
        <v>49299</v>
      </c>
      <c r="E8779" s="8" t="s">
        <v>49300</v>
      </c>
      <c r="F8779" s="8" t="s">
        <v>42263</v>
      </c>
      <c r="G8779" s="6" t="s">
        <v>118</v>
      </c>
      <c r="H8779" s="6" t="s">
        <v>34</v>
      </c>
      <c r="I8779" s="8" t="s">
        <v>271</v>
      </c>
      <c r="J8779" s="9">
        <v>1</v>
      </c>
      <c r="K8779" s="9">
        <v>193</v>
      </c>
      <c r="L8779" s="9">
        <v>2023</v>
      </c>
      <c r="M8779" s="8" t="s">
        <v>49301</v>
      </c>
      <c r="N8779" s="8" t="s">
        <v>37</v>
      </c>
      <c r="O8779" s="8" t="s">
        <v>207</v>
      </c>
      <c r="P8779" s="6" t="s">
        <v>51</v>
      </c>
      <c r="Q8779" s="8" t="s">
        <v>52</v>
      </c>
      <c r="R8779" s="10" t="s">
        <v>49302</v>
      </c>
      <c r="S8779" s="11" t="s">
        <v>28163</v>
      </c>
      <c r="T8779" s="6"/>
      <c r="U8779" s="15" t="str">
        <f>HYPERLINK("https://media.infra-m.ru/1630/1630193/cover/1630193.jpg", "Обложка")</f>
        <v>Обложка</v>
      </c>
      <c r="V8779" s="8" t="s">
        <v>12821</v>
      </c>
      <c r="W8779" s="6"/>
      <c r="X8779" s="6"/>
      <c r="Y8779" s="6"/>
      <c r="Z8779" s="6"/>
      <c r="AA8779" s="6" t="s">
        <v>99</v>
      </c>
      <c r="AB8779" s="8"/>
      <c r="AC8779" s="27">
        <v>9785160126999</v>
      </c>
    </row>
    <row r="8780" spans="1:29" s="4" customFormat="1" ht="51.9" customHeight="1" x14ac:dyDescent="0.2">
      <c r="A8780" s="5">
        <v>0</v>
      </c>
      <c r="B8780" s="6" t="s">
        <v>49303</v>
      </c>
      <c r="C8780" s="7">
        <v>1792.8</v>
      </c>
      <c r="D8780" s="8" t="s">
        <v>49304</v>
      </c>
      <c r="E8780" s="8" t="s">
        <v>49305</v>
      </c>
      <c r="F8780" s="8" t="s">
        <v>49306</v>
      </c>
      <c r="G8780" s="6" t="s">
        <v>60</v>
      </c>
      <c r="H8780" s="6" t="s">
        <v>34</v>
      </c>
      <c r="I8780" s="8" t="s">
        <v>271</v>
      </c>
      <c r="J8780" s="9">
        <v>1</v>
      </c>
      <c r="K8780" s="9">
        <v>272</v>
      </c>
      <c r="L8780" s="9">
        <v>2026</v>
      </c>
      <c r="M8780" s="8" t="s">
        <v>49307</v>
      </c>
      <c r="N8780" s="8" t="s">
        <v>37</v>
      </c>
      <c r="O8780" s="8" t="s">
        <v>233</v>
      </c>
      <c r="P8780" s="6" t="s">
        <v>51</v>
      </c>
      <c r="Q8780" s="8" t="s">
        <v>52</v>
      </c>
      <c r="R8780" s="10" t="s">
        <v>3008</v>
      </c>
      <c r="S8780" s="11" t="s">
        <v>49308</v>
      </c>
      <c r="T8780" s="6"/>
      <c r="U8780" s="15" t="str">
        <f>HYPERLINK("https://media.infra-m.ru/2243/2243274/cover/2243274.jpg", "Обложка")</f>
        <v>Обложка</v>
      </c>
      <c r="V8780" s="8" t="s">
        <v>8716</v>
      </c>
      <c r="W8780" s="6"/>
      <c r="X8780" s="6"/>
      <c r="Y8780" s="6"/>
      <c r="Z8780" s="6"/>
      <c r="AA8780" s="6" t="s">
        <v>1117</v>
      </c>
      <c r="AB8780" s="8"/>
      <c r="AC8780" s="27">
        <v>9785160144467</v>
      </c>
    </row>
    <row r="8781" spans="1:29" s="4" customFormat="1" ht="51.9" customHeight="1" x14ac:dyDescent="0.2">
      <c r="A8781" s="5">
        <v>0</v>
      </c>
      <c r="B8781" s="6" t="s">
        <v>49309</v>
      </c>
      <c r="C8781" s="13">
        <v>636</v>
      </c>
      <c r="D8781" s="8" t="s">
        <v>49310</v>
      </c>
      <c r="E8781" s="8" t="s">
        <v>49311</v>
      </c>
      <c r="F8781" s="8" t="s">
        <v>49312</v>
      </c>
      <c r="G8781" s="6" t="s">
        <v>33</v>
      </c>
      <c r="H8781" s="6" t="s">
        <v>34</v>
      </c>
      <c r="I8781" s="8" t="s">
        <v>263</v>
      </c>
      <c r="J8781" s="9">
        <v>1</v>
      </c>
      <c r="K8781" s="9">
        <v>112</v>
      </c>
      <c r="L8781" s="9">
        <v>2023</v>
      </c>
      <c r="M8781" s="8" t="s">
        <v>49313</v>
      </c>
      <c r="N8781" s="8" t="s">
        <v>37</v>
      </c>
      <c r="O8781" s="8" t="s">
        <v>233</v>
      </c>
      <c r="P8781" s="6" t="s">
        <v>51</v>
      </c>
      <c r="Q8781" s="8" t="s">
        <v>265</v>
      </c>
      <c r="R8781" s="10" t="s">
        <v>2200</v>
      </c>
      <c r="S8781" s="11" t="s">
        <v>23411</v>
      </c>
      <c r="T8781" s="6"/>
      <c r="U8781" s="15" t="str">
        <f>HYPERLINK("https://media.infra-m.ru/1998/1998740/cover/1998740.jpg", "Обложка")</f>
        <v>Обложка</v>
      </c>
      <c r="V8781" s="8" t="s">
        <v>445</v>
      </c>
      <c r="W8781" s="6"/>
      <c r="X8781" s="6"/>
      <c r="Y8781" s="6"/>
      <c r="Z8781" s="6" t="s">
        <v>267</v>
      </c>
      <c r="AA8781" s="6" t="s">
        <v>218</v>
      </c>
      <c r="AB8781" s="8"/>
      <c r="AC8781" s="27">
        <v>9785160157054</v>
      </c>
    </row>
    <row r="8782" spans="1:29" s="4" customFormat="1" ht="51.9" customHeight="1" x14ac:dyDescent="0.2">
      <c r="A8782" s="5">
        <v>0</v>
      </c>
      <c r="B8782" s="6" t="s">
        <v>49314</v>
      </c>
      <c r="C8782" s="13">
        <v>796.8</v>
      </c>
      <c r="D8782" s="8" t="s">
        <v>49315</v>
      </c>
      <c r="E8782" s="8" t="s">
        <v>49316</v>
      </c>
      <c r="F8782" s="8" t="s">
        <v>49312</v>
      </c>
      <c r="G8782" s="6" t="s">
        <v>33</v>
      </c>
      <c r="H8782" s="6" t="s">
        <v>34</v>
      </c>
      <c r="I8782" s="8" t="s">
        <v>434</v>
      </c>
      <c r="J8782" s="9">
        <v>1</v>
      </c>
      <c r="K8782" s="9">
        <v>121</v>
      </c>
      <c r="L8782" s="9">
        <v>2026</v>
      </c>
      <c r="M8782" s="8" t="s">
        <v>49317</v>
      </c>
      <c r="N8782" s="8" t="s">
        <v>37</v>
      </c>
      <c r="O8782" s="8" t="s">
        <v>233</v>
      </c>
      <c r="P8782" s="6" t="s">
        <v>51</v>
      </c>
      <c r="Q8782" s="8" t="s">
        <v>265</v>
      </c>
      <c r="R8782" s="10" t="s">
        <v>2200</v>
      </c>
      <c r="S8782" s="11" t="s">
        <v>23411</v>
      </c>
      <c r="T8782" s="6"/>
      <c r="U8782" s="15" t="str">
        <f>HYPERLINK("https://media.infra-m.ru/2238/2238398/cover/2238398.jpg", "Обложка")</f>
        <v>Обложка</v>
      </c>
      <c r="V8782" s="8" t="s">
        <v>445</v>
      </c>
      <c r="W8782" s="6"/>
      <c r="X8782" s="6"/>
      <c r="Y8782" s="6"/>
      <c r="Z8782" s="6" t="s">
        <v>267</v>
      </c>
      <c r="AA8782" s="6" t="s">
        <v>1295</v>
      </c>
      <c r="AB8782" s="8"/>
      <c r="AC8782" s="27">
        <v>9785160208275</v>
      </c>
    </row>
    <row r="8783" spans="1:29" s="4" customFormat="1" ht="44.1" customHeight="1" x14ac:dyDescent="0.2">
      <c r="A8783" s="5">
        <v>0</v>
      </c>
      <c r="B8783" s="6" t="s">
        <v>49318</v>
      </c>
      <c r="C8783" s="13">
        <v>984</v>
      </c>
      <c r="D8783" s="8" t="s">
        <v>49319</v>
      </c>
      <c r="E8783" s="8" t="s">
        <v>49316</v>
      </c>
      <c r="F8783" s="8" t="s">
        <v>49320</v>
      </c>
      <c r="G8783" s="6" t="s">
        <v>118</v>
      </c>
      <c r="H8783" s="6" t="s">
        <v>34</v>
      </c>
      <c r="I8783" s="8" t="s">
        <v>304</v>
      </c>
      <c r="J8783" s="9">
        <v>1</v>
      </c>
      <c r="K8783" s="9">
        <v>121</v>
      </c>
      <c r="L8783" s="9">
        <v>2026</v>
      </c>
      <c r="M8783" s="8" t="s">
        <v>49321</v>
      </c>
      <c r="N8783" s="8" t="s">
        <v>37</v>
      </c>
      <c r="O8783" s="8" t="s">
        <v>233</v>
      </c>
      <c r="P8783" s="6" t="s">
        <v>51</v>
      </c>
      <c r="Q8783" s="8" t="s">
        <v>52</v>
      </c>
      <c r="R8783" s="10" t="s">
        <v>49322</v>
      </c>
      <c r="S8783" s="11"/>
      <c r="T8783" s="6"/>
      <c r="U8783" s="15" t="str">
        <f>HYPERLINK("https://media.infra-m.ru/2251/2251468/cover/2251468.jpg", "Обложка")</f>
        <v>Обложка</v>
      </c>
      <c r="V8783" s="8" t="s">
        <v>445</v>
      </c>
      <c r="W8783" s="6"/>
      <c r="X8783" s="6"/>
      <c r="Y8783" s="6"/>
      <c r="Z8783" s="6"/>
      <c r="AA8783" s="6" t="s">
        <v>5476</v>
      </c>
      <c r="AB8783" s="8"/>
      <c r="AC8783" s="27">
        <v>9785160197258</v>
      </c>
    </row>
    <row r="8784" spans="1:29" s="4" customFormat="1" ht="51.9" customHeight="1" x14ac:dyDescent="0.2">
      <c r="A8784" s="5">
        <v>0</v>
      </c>
      <c r="B8784" s="6" t="s">
        <v>49323</v>
      </c>
      <c r="C8784" s="13">
        <v>772.8</v>
      </c>
      <c r="D8784" s="8" t="s">
        <v>49324</v>
      </c>
      <c r="E8784" s="8" t="s">
        <v>49311</v>
      </c>
      <c r="F8784" s="8" t="s">
        <v>49312</v>
      </c>
      <c r="G8784" s="6" t="s">
        <v>118</v>
      </c>
      <c r="H8784" s="6" t="s">
        <v>34</v>
      </c>
      <c r="I8784" s="8" t="s">
        <v>2025</v>
      </c>
      <c r="J8784" s="9">
        <v>1</v>
      </c>
      <c r="K8784" s="9">
        <v>112</v>
      </c>
      <c r="L8784" s="9">
        <v>2024</v>
      </c>
      <c r="M8784" s="8" t="s">
        <v>49325</v>
      </c>
      <c r="N8784" s="8" t="s">
        <v>37</v>
      </c>
      <c r="O8784" s="8" t="s">
        <v>233</v>
      </c>
      <c r="P8784" s="6" t="s">
        <v>51</v>
      </c>
      <c r="Q8784" s="8" t="s">
        <v>52</v>
      </c>
      <c r="R8784" s="10" t="s">
        <v>49322</v>
      </c>
      <c r="S8784" s="11" t="s">
        <v>49326</v>
      </c>
      <c r="T8784" s="6"/>
      <c r="U8784" s="15" t="str">
        <f>HYPERLINK("https://media.infra-m.ru/2129/2129185/cover/2129185.jpg", "Обложка")</f>
        <v>Обложка</v>
      </c>
      <c r="V8784" s="8" t="s">
        <v>445</v>
      </c>
      <c r="W8784" s="6"/>
      <c r="X8784" s="6"/>
      <c r="Y8784" s="6"/>
      <c r="Z8784" s="6"/>
      <c r="AA8784" s="6" t="s">
        <v>2240</v>
      </c>
      <c r="AB8784" s="8"/>
      <c r="AC8784" s="27">
        <v>9785160159812</v>
      </c>
    </row>
    <row r="8785" spans="1:29" s="4" customFormat="1" ht="44.1" customHeight="1" x14ac:dyDescent="0.2">
      <c r="A8785" s="5">
        <v>0</v>
      </c>
      <c r="B8785" s="6" t="s">
        <v>49327</v>
      </c>
      <c r="C8785" s="13">
        <v>384</v>
      </c>
      <c r="D8785" s="8" t="s">
        <v>49328</v>
      </c>
      <c r="E8785" s="8" t="s">
        <v>49329</v>
      </c>
      <c r="F8785" s="8" t="s">
        <v>49330</v>
      </c>
      <c r="G8785" s="6" t="s">
        <v>33</v>
      </c>
      <c r="H8785" s="6" t="s">
        <v>241</v>
      </c>
      <c r="I8785" s="8"/>
      <c r="J8785" s="9">
        <v>1</v>
      </c>
      <c r="K8785" s="9">
        <v>96</v>
      </c>
      <c r="L8785" s="9">
        <v>2018</v>
      </c>
      <c r="M8785" s="8" t="s">
        <v>49331</v>
      </c>
      <c r="N8785" s="8" t="s">
        <v>37</v>
      </c>
      <c r="O8785" s="8" t="s">
        <v>233</v>
      </c>
      <c r="P8785" s="6" t="s">
        <v>51</v>
      </c>
      <c r="Q8785" s="8" t="s">
        <v>52</v>
      </c>
      <c r="R8785" s="10" t="s">
        <v>49322</v>
      </c>
      <c r="S8785" s="11"/>
      <c r="T8785" s="6"/>
      <c r="U8785" s="15" t="str">
        <f>HYPERLINK("https://media.infra-m.ru/0945/0945891/cover/945891.jpg", "Обложка")</f>
        <v>Обложка</v>
      </c>
      <c r="V8785" s="8" t="s">
        <v>445</v>
      </c>
      <c r="W8785" s="6"/>
      <c r="X8785" s="6"/>
      <c r="Y8785" s="6"/>
      <c r="Z8785" s="6"/>
      <c r="AA8785" s="6" t="s">
        <v>779</v>
      </c>
      <c r="AB8785" s="8"/>
      <c r="AC8785" s="27">
        <v>9785955804873</v>
      </c>
    </row>
    <row r="8786" spans="1:29" s="4" customFormat="1" ht="42" customHeight="1" x14ac:dyDescent="0.2">
      <c r="A8786" s="5">
        <v>0</v>
      </c>
      <c r="B8786" s="6" t="s">
        <v>49332</v>
      </c>
      <c r="C8786" s="7">
        <v>2784</v>
      </c>
      <c r="D8786" s="8" t="s">
        <v>49333</v>
      </c>
      <c r="E8786" s="8" t="s">
        <v>49334</v>
      </c>
      <c r="F8786" s="8" t="s">
        <v>49335</v>
      </c>
      <c r="G8786" s="6" t="s">
        <v>60</v>
      </c>
      <c r="H8786" s="6" t="s">
        <v>134</v>
      </c>
      <c r="I8786" s="8"/>
      <c r="J8786" s="9">
        <v>1</v>
      </c>
      <c r="K8786" s="9">
        <v>504</v>
      </c>
      <c r="L8786" s="9">
        <v>2023</v>
      </c>
      <c r="M8786" s="8" t="s">
        <v>49336</v>
      </c>
      <c r="N8786" s="8" t="s">
        <v>37</v>
      </c>
      <c r="O8786" s="8" t="s">
        <v>136</v>
      </c>
      <c r="P8786" s="6" t="s">
        <v>306</v>
      </c>
      <c r="Q8786" s="8" t="s">
        <v>52</v>
      </c>
      <c r="R8786" s="10" t="s">
        <v>1631</v>
      </c>
      <c r="S8786" s="11"/>
      <c r="T8786" s="6"/>
      <c r="U8786" s="15" t="str">
        <f>HYPERLINK("https://media.infra-m.ru/2053/2053974/cover/2053974.jpg", "Обложка")</f>
        <v>Обложка</v>
      </c>
      <c r="V8786" s="8" t="s">
        <v>2466</v>
      </c>
      <c r="W8786" s="6"/>
      <c r="X8786" s="6"/>
      <c r="Y8786" s="6"/>
      <c r="Z8786" s="6"/>
      <c r="AA8786" s="6" t="s">
        <v>49337</v>
      </c>
      <c r="AB8786" s="8"/>
      <c r="AC8786" s="27">
        <v>9785001560692</v>
      </c>
    </row>
    <row r="8787" spans="1:29" s="4" customFormat="1" ht="42" customHeight="1" x14ac:dyDescent="0.2">
      <c r="A8787" s="5">
        <v>0</v>
      </c>
      <c r="B8787" s="6" t="s">
        <v>49338</v>
      </c>
      <c r="C8787" s="7">
        <v>1049.9000000000001</v>
      </c>
      <c r="D8787" s="8" t="s">
        <v>49339</v>
      </c>
      <c r="E8787" s="8" t="s">
        <v>49340</v>
      </c>
      <c r="F8787" s="8" t="s">
        <v>49341</v>
      </c>
      <c r="G8787" s="6" t="s">
        <v>60</v>
      </c>
      <c r="H8787" s="6" t="s">
        <v>134</v>
      </c>
      <c r="I8787" s="8"/>
      <c r="J8787" s="9">
        <v>1</v>
      </c>
      <c r="K8787" s="9">
        <v>624</v>
      </c>
      <c r="L8787" s="9">
        <v>2016</v>
      </c>
      <c r="M8787" s="8" t="s">
        <v>49342</v>
      </c>
      <c r="N8787" s="8" t="s">
        <v>37</v>
      </c>
      <c r="O8787" s="8" t="s">
        <v>136</v>
      </c>
      <c r="P8787" s="6" t="s">
        <v>306</v>
      </c>
      <c r="Q8787" s="8" t="s">
        <v>52</v>
      </c>
      <c r="R8787" s="10" t="s">
        <v>1631</v>
      </c>
      <c r="S8787" s="11"/>
      <c r="T8787" s="6"/>
      <c r="U8787" s="15" t="str">
        <f>HYPERLINK("https://media.infra-m.ru/0552/0552513/cover/552513.jpg", "Обложка")</f>
        <v>Обложка</v>
      </c>
      <c r="V8787" s="8" t="s">
        <v>2466</v>
      </c>
      <c r="W8787" s="6"/>
      <c r="X8787" s="6"/>
      <c r="Y8787" s="6"/>
      <c r="Z8787" s="6"/>
      <c r="AA8787" s="6" t="s">
        <v>14106</v>
      </c>
      <c r="AB8787" s="8"/>
      <c r="AC8787" s="27">
        <v>9785917685304</v>
      </c>
    </row>
    <row r="8788" spans="1:29" s="4" customFormat="1" ht="42" customHeight="1" x14ac:dyDescent="0.2">
      <c r="A8788" s="5">
        <v>0</v>
      </c>
      <c r="B8788" s="6" t="s">
        <v>49343</v>
      </c>
      <c r="C8788" s="7">
        <v>3960</v>
      </c>
      <c r="D8788" s="8" t="s">
        <v>49344</v>
      </c>
      <c r="E8788" s="8" t="s">
        <v>49345</v>
      </c>
      <c r="F8788" s="8" t="s">
        <v>49335</v>
      </c>
      <c r="G8788" s="6" t="s">
        <v>60</v>
      </c>
      <c r="H8788" s="6" t="s">
        <v>134</v>
      </c>
      <c r="I8788" s="8"/>
      <c r="J8788" s="9">
        <v>1</v>
      </c>
      <c r="K8788" s="9">
        <v>568</v>
      </c>
      <c r="L8788" s="9">
        <v>2026</v>
      </c>
      <c r="M8788" s="8" t="s">
        <v>49346</v>
      </c>
      <c r="N8788" s="8" t="s">
        <v>37</v>
      </c>
      <c r="O8788" s="8" t="s">
        <v>136</v>
      </c>
      <c r="P8788" s="6" t="s">
        <v>306</v>
      </c>
      <c r="Q8788" s="8" t="s">
        <v>52</v>
      </c>
      <c r="R8788" s="10" t="s">
        <v>1631</v>
      </c>
      <c r="S8788" s="11"/>
      <c r="T8788" s="6"/>
      <c r="U8788" s="15" t="str">
        <f>HYPERLINK("https://media.infra-m.ru/2250/2250840/cover/2250840.jpg", "Обложка")</f>
        <v>Обложка</v>
      </c>
      <c r="V8788" s="8" t="s">
        <v>2466</v>
      </c>
      <c r="W8788" s="6"/>
      <c r="X8788" s="6"/>
      <c r="Y8788" s="6"/>
      <c r="Z8788" s="6"/>
      <c r="AA8788" s="6" t="s">
        <v>14741</v>
      </c>
      <c r="AB8788" s="8"/>
      <c r="AC8788" s="27">
        <v>9785001563488</v>
      </c>
    </row>
    <row r="8789" spans="1:29" s="4" customFormat="1" ht="42" customHeight="1" x14ac:dyDescent="0.2">
      <c r="A8789" s="5">
        <v>0</v>
      </c>
      <c r="B8789" s="6" t="s">
        <v>49347</v>
      </c>
      <c r="C8789" s="7">
        <v>1469.9</v>
      </c>
      <c r="D8789" s="8" t="s">
        <v>49348</v>
      </c>
      <c r="E8789" s="8" t="s">
        <v>49349</v>
      </c>
      <c r="F8789" s="8" t="s">
        <v>49350</v>
      </c>
      <c r="G8789" s="6" t="s">
        <v>118</v>
      </c>
      <c r="H8789" s="6" t="s">
        <v>134</v>
      </c>
      <c r="I8789" s="8" t="s">
        <v>8746</v>
      </c>
      <c r="J8789" s="9">
        <v>1</v>
      </c>
      <c r="K8789" s="9">
        <v>272</v>
      </c>
      <c r="L8789" s="9">
        <v>2023</v>
      </c>
      <c r="M8789" s="8" t="s">
        <v>49351</v>
      </c>
      <c r="N8789" s="8" t="s">
        <v>37</v>
      </c>
      <c r="O8789" s="8" t="s">
        <v>136</v>
      </c>
      <c r="P8789" s="6" t="s">
        <v>306</v>
      </c>
      <c r="Q8789" s="8" t="s">
        <v>265</v>
      </c>
      <c r="R8789" s="10" t="s">
        <v>479</v>
      </c>
      <c r="S8789" s="11"/>
      <c r="T8789" s="6"/>
      <c r="U8789" s="15" t="str">
        <f>HYPERLINK("https://media.infra-m.ru/1893/1893953/cover/1893953.jpg", "Обложка")</f>
        <v>Обложка</v>
      </c>
      <c r="V8789" s="8" t="s">
        <v>1184</v>
      </c>
      <c r="W8789" s="6"/>
      <c r="X8789" s="6"/>
      <c r="Y8789" s="6"/>
      <c r="Z8789" s="6"/>
      <c r="AA8789" s="6" t="s">
        <v>11574</v>
      </c>
      <c r="AB8789" s="8"/>
      <c r="AC8789" s="27">
        <v>9785917689524</v>
      </c>
    </row>
    <row r="8790" spans="1:29" s="4" customFormat="1" ht="42" customHeight="1" x14ac:dyDescent="0.2">
      <c r="A8790" s="5">
        <v>0</v>
      </c>
      <c r="B8790" s="6" t="s">
        <v>49352</v>
      </c>
      <c r="C8790" s="7">
        <v>1600.8</v>
      </c>
      <c r="D8790" s="8" t="s">
        <v>49353</v>
      </c>
      <c r="E8790" s="8" t="s">
        <v>49354</v>
      </c>
      <c r="F8790" s="8" t="s">
        <v>49350</v>
      </c>
      <c r="G8790" s="6" t="s">
        <v>118</v>
      </c>
      <c r="H8790" s="6" t="s">
        <v>134</v>
      </c>
      <c r="I8790" s="8" t="s">
        <v>8746</v>
      </c>
      <c r="J8790" s="9">
        <v>1</v>
      </c>
      <c r="K8790" s="9">
        <v>256</v>
      </c>
      <c r="L8790" s="9">
        <v>2026</v>
      </c>
      <c r="M8790" s="8" t="s">
        <v>49355</v>
      </c>
      <c r="N8790" s="8" t="s">
        <v>37</v>
      </c>
      <c r="O8790" s="8" t="s">
        <v>136</v>
      </c>
      <c r="P8790" s="6" t="s">
        <v>306</v>
      </c>
      <c r="Q8790" s="8" t="s">
        <v>265</v>
      </c>
      <c r="R8790" s="10" t="s">
        <v>479</v>
      </c>
      <c r="S8790" s="11"/>
      <c r="T8790" s="6"/>
      <c r="U8790" s="15" t="str">
        <f>HYPERLINK("https://media.infra-m.ru/2205/2205631/cover/2205631.jpg", "Обложка")</f>
        <v>Обложка</v>
      </c>
      <c r="V8790" s="8" t="s">
        <v>1184</v>
      </c>
      <c r="W8790" s="6"/>
      <c r="X8790" s="6"/>
      <c r="Y8790" s="6"/>
      <c r="Z8790" s="6"/>
      <c r="AA8790" s="6" t="s">
        <v>49356</v>
      </c>
      <c r="AB8790" s="8"/>
      <c r="AC8790" s="27">
        <v>9785001563198</v>
      </c>
    </row>
    <row r="8791" spans="1:29" s="4" customFormat="1" ht="51.9" customHeight="1" x14ac:dyDescent="0.2">
      <c r="A8791" s="5">
        <v>0</v>
      </c>
      <c r="B8791" s="6" t="s">
        <v>49357</v>
      </c>
      <c r="C8791" s="7">
        <v>3276</v>
      </c>
      <c r="D8791" s="8" t="s">
        <v>49358</v>
      </c>
      <c r="E8791" s="8" t="s">
        <v>49354</v>
      </c>
      <c r="F8791" s="8" t="s">
        <v>49359</v>
      </c>
      <c r="G8791" s="6" t="s">
        <v>60</v>
      </c>
      <c r="H8791" s="6" t="s">
        <v>134</v>
      </c>
      <c r="I8791" s="8"/>
      <c r="J8791" s="9">
        <v>1</v>
      </c>
      <c r="K8791" s="9">
        <v>800</v>
      </c>
      <c r="L8791" s="9">
        <v>2026</v>
      </c>
      <c r="M8791" s="8" t="s">
        <v>49360</v>
      </c>
      <c r="N8791" s="8" t="s">
        <v>37</v>
      </c>
      <c r="O8791" s="8" t="s">
        <v>136</v>
      </c>
      <c r="P8791" s="6" t="s">
        <v>306</v>
      </c>
      <c r="Q8791" s="8" t="s">
        <v>52</v>
      </c>
      <c r="R8791" s="10" t="s">
        <v>4109</v>
      </c>
      <c r="S8791" s="11" t="s">
        <v>49361</v>
      </c>
      <c r="T8791" s="6"/>
      <c r="U8791" s="15" t="str">
        <f>HYPERLINK("https://media.infra-m.ru/2218/2218695/cover/2218695.jpg", "Обложка")</f>
        <v>Обложка</v>
      </c>
      <c r="V8791" s="8" t="s">
        <v>49362</v>
      </c>
      <c r="W8791" s="6"/>
      <c r="X8791" s="6"/>
      <c r="Y8791" s="6"/>
      <c r="Z8791" s="6"/>
      <c r="AA8791" s="6" t="s">
        <v>7875</v>
      </c>
      <c r="AB8791" s="8"/>
      <c r="AC8791" s="27">
        <v>9785917688374</v>
      </c>
    </row>
    <row r="8792" spans="1:29" s="4" customFormat="1" ht="21.9" customHeight="1" x14ac:dyDescent="0.2">
      <c r="A8792" s="5">
        <v>0</v>
      </c>
      <c r="B8792" s="6" t="s">
        <v>49363</v>
      </c>
      <c r="C8792" s="13">
        <v>839.9</v>
      </c>
      <c r="D8792" s="8" t="s">
        <v>49364</v>
      </c>
      <c r="E8792" s="8" t="s">
        <v>49365</v>
      </c>
      <c r="F8792" s="8" t="s">
        <v>49350</v>
      </c>
      <c r="G8792" s="6" t="s">
        <v>60</v>
      </c>
      <c r="H8792" s="6" t="s">
        <v>134</v>
      </c>
      <c r="I8792" s="8" t="s">
        <v>8746</v>
      </c>
      <c r="J8792" s="9">
        <v>12</v>
      </c>
      <c r="K8792" s="9">
        <v>272</v>
      </c>
      <c r="L8792" s="9">
        <v>2013</v>
      </c>
      <c r="M8792" s="8" t="s">
        <v>49366</v>
      </c>
      <c r="N8792" s="8" t="s">
        <v>37</v>
      </c>
      <c r="O8792" s="8" t="s">
        <v>136</v>
      </c>
      <c r="P8792" s="6" t="s">
        <v>306</v>
      </c>
      <c r="Q8792" s="8" t="s">
        <v>265</v>
      </c>
      <c r="R8792" s="10" t="s">
        <v>479</v>
      </c>
      <c r="S8792" s="11"/>
      <c r="T8792" s="6"/>
      <c r="U8792" s="12"/>
      <c r="V8792" s="8" t="s">
        <v>1184</v>
      </c>
      <c r="W8792" s="6"/>
      <c r="X8792" s="6"/>
      <c r="Y8792" s="6"/>
      <c r="Z8792" s="6"/>
      <c r="AA8792" s="6" t="s">
        <v>15057</v>
      </c>
      <c r="AB8792" s="8"/>
      <c r="AC8792" s="27">
        <v>9785917683508</v>
      </c>
    </row>
    <row r="8793" spans="1:29" s="4" customFormat="1" ht="51.9" customHeight="1" x14ac:dyDescent="0.2">
      <c r="A8793" s="5">
        <v>0</v>
      </c>
      <c r="B8793" s="6" t="s">
        <v>49367</v>
      </c>
      <c r="C8793" s="7">
        <v>1168.8</v>
      </c>
      <c r="D8793" s="8" t="s">
        <v>49368</v>
      </c>
      <c r="E8793" s="8" t="s">
        <v>49369</v>
      </c>
      <c r="F8793" s="8" t="s">
        <v>49370</v>
      </c>
      <c r="G8793" s="6" t="s">
        <v>118</v>
      </c>
      <c r="H8793" s="6" t="s">
        <v>313</v>
      </c>
      <c r="I8793" s="8"/>
      <c r="J8793" s="9">
        <v>1</v>
      </c>
      <c r="K8793" s="9">
        <v>176</v>
      </c>
      <c r="L8793" s="9">
        <v>2026</v>
      </c>
      <c r="M8793" s="8" t="s">
        <v>49371</v>
      </c>
      <c r="N8793" s="8" t="s">
        <v>37</v>
      </c>
      <c r="O8793" s="8" t="s">
        <v>136</v>
      </c>
      <c r="P8793" s="6" t="s">
        <v>51</v>
      </c>
      <c r="Q8793" s="8" t="s">
        <v>65</v>
      </c>
      <c r="R8793" s="10" t="s">
        <v>19923</v>
      </c>
      <c r="S8793" s="11" t="s">
        <v>49372</v>
      </c>
      <c r="T8793" s="6"/>
      <c r="U8793" s="15" t="str">
        <f>HYPERLINK("https://media.infra-m.ru/2242/2242169/cover/2242169.jpg", "Обложка")</f>
        <v>Обложка</v>
      </c>
      <c r="V8793" s="8" t="s">
        <v>1949</v>
      </c>
      <c r="W8793" s="6"/>
      <c r="X8793" s="6"/>
      <c r="Y8793" s="6"/>
      <c r="Z8793" s="6"/>
      <c r="AA8793" s="6" t="s">
        <v>274</v>
      </c>
      <c r="AB8793" s="8"/>
      <c r="AC8793" s="27">
        <v>9785369014400</v>
      </c>
    </row>
    <row r="8794" spans="1:29" s="4" customFormat="1" ht="51.9" customHeight="1" x14ac:dyDescent="0.2">
      <c r="A8794" s="5">
        <v>0</v>
      </c>
      <c r="B8794" s="6" t="s">
        <v>49373</v>
      </c>
      <c r="C8794" s="7">
        <v>3588</v>
      </c>
      <c r="D8794" s="8" t="s">
        <v>49374</v>
      </c>
      <c r="E8794" s="8" t="s">
        <v>49375</v>
      </c>
      <c r="F8794" s="8" t="s">
        <v>49376</v>
      </c>
      <c r="G8794" s="6" t="s">
        <v>60</v>
      </c>
      <c r="H8794" s="6" t="s">
        <v>134</v>
      </c>
      <c r="I8794" s="8"/>
      <c r="J8794" s="9">
        <v>1</v>
      </c>
      <c r="K8794" s="9">
        <v>648</v>
      </c>
      <c r="L8794" s="9">
        <v>2025</v>
      </c>
      <c r="M8794" s="8" t="s">
        <v>49377</v>
      </c>
      <c r="N8794" s="8" t="s">
        <v>37</v>
      </c>
      <c r="O8794" s="8" t="s">
        <v>136</v>
      </c>
      <c r="P8794" s="6" t="s">
        <v>306</v>
      </c>
      <c r="Q8794" s="8" t="s">
        <v>52</v>
      </c>
      <c r="R8794" s="10" t="s">
        <v>1625</v>
      </c>
      <c r="S8794" s="11" t="s">
        <v>15775</v>
      </c>
      <c r="T8794" s="6"/>
      <c r="U8794" s="15" t="str">
        <f>HYPERLINK("https://media.infra-m.ru/2185/2185889/cover/2185889.jpg", "Обложка")</f>
        <v>Обложка</v>
      </c>
      <c r="V8794" s="8" t="s">
        <v>32207</v>
      </c>
      <c r="W8794" s="6"/>
      <c r="X8794" s="6"/>
      <c r="Y8794" s="6"/>
      <c r="Z8794" s="6"/>
      <c r="AA8794" s="6" t="s">
        <v>2230</v>
      </c>
      <c r="AB8794" s="8"/>
      <c r="AC8794" s="27">
        <v>9785001560746</v>
      </c>
    </row>
    <row r="8795" spans="1:29" s="4" customFormat="1" ht="42" customHeight="1" x14ac:dyDescent="0.2">
      <c r="A8795" s="5">
        <v>0</v>
      </c>
      <c r="B8795" s="6" t="s">
        <v>49378</v>
      </c>
      <c r="C8795" s="7">
        <v>1672.8</v>
      </c>
      <c r="D8795" s="8" t="s">
        <v>49379</v>
      </c>
      <c r="E8795" s="8" t="s">
        <v>49380</v>
      </c>
      <c r="F8795" s="8" t="s">
        <v>49381</v>
      </c>
      <c r="G8795" s="6" t="s">
        <v>60</v>
      </c>
      <c r="H8795" s="6" t="s">
        <v>1795</v>
      </c>
      <c r="I8795" s="8" t="s">
        <v>1904</v>
      </c>
      <c r="J8795" s="9">
        <v>1</v>
      </c>
      <c r="K8795" s="9">
        <v>240</v>
      </c>
      <c r="L8795" s="9">
        <v>2027</v>
      </c>
      <c r="M8795" s="8" t="s">
        <v>49382</v>
      </c>
      <c r="N8795" s="8" t="s">
        <v>37</v>
      </c>
      <c r="O8795" s="8" t="s">
        <v>280</v>
      </c>
      <c r="P8795" s="6" t="s">
        <v>51</v>
      </c>
      <c r="Q8795" s="8" t="s">
        <v>52</v>
      </c>
      <c r="R8795" s="10" t="s">
        <v>49383</v>
      </c>
      <c r="S8795" s="11"/>
      <c r="T8795" s="6"/>
      <c r="U8795" s="15" t="str">
        <f>HYPERLINK("https://media.infra-m.ru/2265/2265983/cover/2265983.jpg", "Обложка")</f>
        <v>Обложка</v>
      </c>
      <c r="V8795" s="8" t="s">
        <v>1425</v>
      </c>
      <c r="W8795" s="6"/>
      <c r="X8795" s="6"/>
      <c r="Y8795" s="6"/>
      <c r="Z8795" s="6"/>
      <c r="AA8795" s="6" t="s">
        <v>248</v>
      </c>
      <c r="AB8795" s="8"/>
      <c r="AC8795" s="27">
        <v>9785982813824</v>
      </c>
    </row>
    <row r="8796" spans="1:29" s="4" customFormat="1" ht="51.9" customHeight="1" x14ac:dyDescent="0.2">
      <c r="A8796" s="5">
        <v>0</v>
      </c>
      <c r="B8796" s="6" t="s">
        <v>49384</v>
      </c>
      <c r="C8796" s="7">
        <v>1996.8</v>
      </c>
      <c r="D8796" s="8" t="s">
        <v>49385</v>
      </c>
      <c r="E8796" s="8" t="s">
        <v>49386</v>
      </c>
      <c r="F8796" s="8" t="s">
        <v>2219</v>
      </c>
      <c r="G8796" s="6" t="s">
        <v>118</v>
      </c>
      <c r="H8796" s="6" t="s">
        <v>34</v>
      </c>
      <c r="I8796" s="8" t="s">
        <v>271</v>
      </c>
      <c r="J8796" s="9">
        <v>1</v>
      </c>
      <c r="K8796" s="9">
        <v>320</v>
      </c>
      <c r="L8796" s="9">
        <v>2025</v>
      </c>
      <c r="M8796" s="8" t="s">
        <v>49387</v>
      </c>
      <c r="N8796" s="8" t="s">
        <v>37</v>
      </c>
      <c r="O8796" s="8" t="s">
        <v>233</v>
      </c>
      <c r="P8796" s="6" t="s">
        <v>51</v>
      </c>
      <c r="Q8796" s="8" t="s">
        <v>52</v>
      </c>
      <c r="R8796" s="10" t="s">
        <v>5042</v>
      </c>
      <c r="S8796" s="11" t="s">
        <v>49388</v>
      </c>
      <c r="T8796" s="6"/>
      <c r="U8796" s="15" t="str">
        <f>HYPERLINK("https://media.infra-m.ru/2192/2192157/cover/2192157.jpg", "Обложка")</f>
        <v>Обложка</v>
      </c>
      <c r="V8796" s="8" t="s">
        <v>2222</v>
      </c>
      <c r="W8796" s="6"/>
      <c r="X8796" s="6"/>
      <c r="Y8796" s="6"/>
      <c r="Z8796" s="6"/>
      <c r="AA8796" s="6" t="s">
        <v>43</v>
      </c>
      <c r="AB8796" s="8"/>
      <c r="AC8796" s="27">
        <v>9785160051659</v>
      </c>
    </row>
    <row r="8797" spans="1:29" s="4" customFormat="1" ht="44.1" customHeight="1" x14ac:dyDescent="0.2">
      <c r="A8797" s="5">
        <v>0</v>
      </c>
      <c r="B8797" s="6" t="s">
        <v>49389</v>
      </c>
      <c r="C8797" s="7">
        <v>2856</v>
      </c>
      <c r="D8797" s="8" t="s">
        <v>49390</v>
      </c>
      <c r="E8797" s="8" t="s">
        <v>49391</v>
      </c>
      <c r="F8797" s="8" t="s">
        <v>49392</v>
      </c>
      <c r="G8797" s="6" t="s">
        <v>60</v>
      </c>
      <c r="H8797" s="6" t="s">
        <v>34</v>
      </c>
      <c r="I8797" s="8" t="s">
        <v>263</v>
      </c>
      <c r="J8797" s="9">
        <v>1</v>
      </c>
      <c r="K8797" s="9">
        <v>473</v>
      </c>
      <c r="L8797" s="9">
        <v>2025</v>
      </c>
      <c r="M8797" s="8" t="s">
        <v>49393</v>
      </c>
      <c r="N8797" s="8" t="s">
        <v>37</v>
      </c>
      <c r="O8797" s="8" t="s">
        <v>233</v>
      </c>
      <c r="P8797" s="6" t="s">
        <v>51</v>
      </c>
      <c r="Q8797" s="8" t="s">
        <v>265</v>
      </c>
      <c r="R8797" s="10" t="s">
        <v>6601</v>
      </c>
      <c r="S8797" s="11"/>
      <c r="T8797" s="6" t="s">
        <v>97</v>
      </c>
      <c r="U8797" s="15" t="str">
        <f>HYPERLINK("https://media.infra-m.ru/2035/2035512/cover/2035512.jpg", "Обложка")</f>
        <v>Обложка</v>
      </c>
      <c r="V8797" s="8" t="s">
        <v>49394</v>
      </c>
      <c r="W8797" s="6"/>
      <c r="X8797" s="6"/>
      <c r="Y8797" s="6"/>
      <c r="Z8797" s="6"/>
      <c r="AA8797" s="6" t="s">
        <v>68</v>
      </c>
      <c r="AB8797" s="8"/>
      <c r="AC8797" s="27">
        <v>9785160186283</v>
      </c>
    </row>
    <row r="8798" spans="1:29" s="4" customFormat="1" ht="51.9" customHeight="1" x14ac:dyDescent="0.2">
      <c r="A8798" s="5">
        <v>0</v>
      </c>
      <c r="B8798" s="6" t="s">
        <v>49395</v>
      </c>
      <c r="C8798" s="7">
        <v>2248.8000000000002</v>
      </c>
      <c r="D8798" s="8" t="s">
        <v>49396</v>
      </c>
      <c r="E8798" s="8" t="s">
        <v>49397</v>
      </c>
      <c r="F8798" s="8" t="s">
        <v>49398</v>
      </c>
      <c r="G8798" s="6" t="s">
        <v>60</v>
      </c>
      <c r="H8798" s="6" t="s">
        <v>34</v>
      </c>
      <c r="I8798" s="8" t="s">
        <v>271</v>
      </c>
      <c r="J8798" s="9">
        <v>1</v>
      </c>
      <c r="K8798" s="9">
        <v>408</v>
      </c>
      <c r="L8798" s="9">
        <v>2024</v>
      </c>
      <c r="M8798" s="8" t="s">
        <v>49399</v>
      </c>
      <c r="N8798" s="8" t="s">
        <v>585</v>
      </c>
      <c r="O8798" s="8" t="s">
        <v>667</v>
      </c>
      <c r="P8798" s="6" t="s">
        <v>51</v>
      </c>
      <c r="Q8798" s="8" t="s">
        <v>52</v>
      </c>
      <c r="R8798" s="10" t="s">
        <v>49400</v>
      </c>
      <c r="S8798" s="11" t="s">
        <v>16855</v>
      </c>
      <c r="T8798" s="6"/>
      <c r="U8798" s="15" t="str">
        <f>HYPERLINK("https://media.infra-m.ru/2053/2053237/cover/2053237.jpg", "Обложка")</f>
        <v>Обложка</v>
      </c>
      <c r="V8798" s="8" t="s">
        <v>1505</v>
      </c>
      <c r="W8798" s="6"/>
      <c r="X8798" s="6"/>
      <c r="Y8798" s="6"/>
      <c r="Z8798" s="6"/>
      <c r="AA8798" s="6" t="s">
        <v>3391</v>
      </c>
      <c r="AB8798" s="8"/>
      <c r="AC8798" s="27">
        <v>9785160057514</v>
      </c>
    </row>
    <row r="8799" spans="1:29" s="4" customFormat="1" ht="42" customHeight="1" x14ac:dyDescent="0.2">
      <c r="A8799" s="5">
        <v>0</v>
      </c>
      <c r="B8799" s="6" t="s">
        <v>49401</v>
      </c>
      <c r="C8799" s="7">
        <v>1440</v>
      </c>
      <c r="D8799" s="8" t="s">
        <v>49402</v>
      </c>
      <c r="E8799" s="8" t="s">
        <v>49403</v>
      </c>
      <c r="F8799" s="8" t="s">
        <v>49404</v>
      </c>
      <c r="G8799" s="6" t="s">
        <v>118</v>
      </c>
      <c r="H8799" s="6" t="s">
        <v>313</v>
      </c>
      <c r="I8799" s="8" t="s">
        <v>253</v>
      </c>
      <c r="J8799" s="9">
        <v>1</v>
      </c>
      <c r="K8799" s="9">
        <v>267</v>
      </c>
      <c r="L8799" s="9">
        <v>2023</v>
      </c>
      <c r="M8799" s="8" t="s">
        <v>49405</v>
      </c>
      <c r="N8799" s="8" t="s">
        <v>37</v>
      </c>
      <c r="O8799" s="8" t="s">
        <v>233</v>
      </c>
      <c r="P8799" s="6" t="s">
        <v>51</v>
      </c>
      <c r="Q8799" s="8" t="s">
        <v>65</v>
      </c>
      <c r="R8799" s="10" t="s">
        <v>49406</v>
      </c>
      <c r="S8799" s="11"/>
      <c r="T8799" s="6"/>
      <c r="U8799" s="15" t="str">
        <f>HYPERLINK("https://media.infra-m.ru/1939/1939084/cover/1939084.jpg", "Обложка")</f>
        <v>Обложка</v>
      </c>
      <c r="V8799" s="8" t="s">
        <v>3693</v>
      </c>
      <c r="W8799" s="6"/>
      <c r="X8799" s="6"/>
      <c r="Y8799" s="6"/>
      <c r="Z8799" s="6"/>
      <c r="AA8799" s="6" t="s">
        <v>86</v>
      </c>
      <c r="AB8799" s="8"/>
      <c r="AC8799" s="27">
        <v>9785369017395</v>
      </c>
    </row>
    <row r="8800" spans="1:29" s="4" customFormat="1" ht="51.9" customHeight="1" x14ac:dyDescent="0.2">
      <c r="A8800" s="5">
        <v>0</v>
      </c>
      <c r="B8800" s="6" t="s">
        <v>49407</v>
      </c>
      <c r="C8800" s="7">
        <v>1733.9</v>
      </c>
      <c r="D8800" s="8" t="s">
        <v>49408</v>
      </c>
      <c r="E8800" s="8" t="s">
        <v>49409</v>
      </c>
      <c r="F8800" s="8" t="s">
        <v>49410</v>
      </c>
      <c r="G8800" s="6" t="s">
        <v>60</v>
      </c>
      <c r="H8800" s="6" t="s">
        <v>34</v>
      </c>
      <c r="I8800" s="8" t="s">
        <v>35</v>
      </c>
      <c r="J8800" s="9">
        <v>1</v>
      </c>
      <c r="K8800" s="9">
        <v>320</v>
      </c>
      <c r="L8800" s="9">
        <v>2023</v>
      </c>
      <c r="M8800" s="8" t="s">
        <v>49411</v>
      </c>
      <c r="N8800" s="8" t="s">
        <v>37</v>
      </c>
      <c r="O8800" s="8" t="s">
        <v>233</v>
      </c>
      <c r="P8800" s="6" t="s">
        <v>39</v>
      </c>
      <c r="Q8800" s="8" t="s">
        <v>40</v>
      </c>
      <c r="R8800" s="10" t="s">
        <v>3679</v>
      </c>
      <c r="S8800" s="11"/>
      <c r="T8800" s="6"/>
      <c r="U8800" s="15" t="str">
        <f>HYPERLINK("https://media.infra-m.ru/1974/1974342/cover/1974342.jpg", "Обложка")</f>
        <v>Обложка</v>
      </c>
      <c r="V8800" s="8" t="s">
        <v>644</v>
      </c>
      <c r="W8800" s="6"/>
      <c r="X8800" s="6"/>
      <c r="Y8800" s="6"/>
      <c r="Z8800" s="6"/>
      <c r="AA8800" s="6" t="s">
        <v>718</v>
      </c>
      <c r="AB8800" s="8"/>
      <c r="AC8800" s="27">
        <v>9785160068749</v>
      </c>
    </row>
    <row r="8801" spans="1:29" s="4" customFormat="1" ht="51.9" customHeight="1" x14ac:dyDescent="0.2">
      <c r="A8801" s="5">
        <v>0</v>
      </c>
      <c r="B8801" s="6" t="s">
        <v>49412</v>
      </c>
      <c r="C8801" s="13">
        <v>545.9</v>
      </c>
      <c r="D8801" s="8" t="s">
        <v>49413</v>
      </c>
      <c r="E8801" s="8" t="s">
        <v>49414</v>
      </c>
      <c r="F8801" s="8" t="s">
        <v>43556</v>
      </c>
      <c r="G8801" s="6" t="s">
        <v>60</v>
      </c>
      <c r="H8801" s="6" t="s">
        <v>34</v>
      </c>
      <c r="I8801" s="8" t="s">
        <v>271</v>
      </c>
      <c r="J8801" s="9">
        <v>1</v>
      </c>
      <c r="K8801" s="9">
        <v>135</v>
      </c>
      <c r="L8801" s="9">
        <v>2020</v>
      </c>
      <c r="M8801" s="8" t="s">
        <v>49415</v>
      </c>
      <c r="N8801" s="8" t="s">
        <v>37</v>
      </c>
      <c r="O8801" s="8" t="s">
        <v>233</v>
      </c>
      <c r="P8801" s="6" t="s">
        <v>51</v>
      </c>
      <c r="Q8801" s="8" t="s">
        <v>52</v>
      </c>
      <c r="R8801" s="10" t="s">
        <v>5600</v>
      </c>
      <c r="S8801" s="11" t="s">
        <v>30360</v>
      </c>
      <c r="T8801" s="6"/>
      <c r="U8801" s="15" t="str">
        <f>HYPERLINK("https://media.infra-m.ru/1045/1045806/cover/1045806.jpg", "Обложка")</f>
        <v>Обложка</v>
      </c>
      <c r="V8801" s="8" t="s">
        <v>445</v>
      </c>
      <c r="W8801" s="6"/>
      <c r="X8801" s="6"/>
      <c r="Y8801" s="6"/>
      <c r="Z8801" s="6"/>
      <c r="AA8801" s="6" t="s">
        <v>99</v>
      </c>
      <c r="AB8801" s="8"/>
      <c r="AC8801" s="27">
        <v>9785160131269</v>
      </c>
    </row>
    <row r="8802" spans="1:29" s="4" customFormat="1" ht="51.9" customHeight="1" x14ac:dyDescent="0.2">
      <c r="A8802" s="5">
        <v>0</v>
      </c>
      <c r="B8802" s="6" t="s">
        <v>49416</v>
      </c>
      <c r="C8802" s="13">
        <v>516</v>
      </c>
      <c r="D8802" s="8" t="s">
        <v>49417</v>
      </c>
      <c r="E8802" s="8" t="s">
        <v>49414</v>
      </c>
      <c r="F8802" s="8" t="s">
        <v>43556</v>
      </c>
      <c r="G8802" s="6" t="s">
        <v>60</v>
      </c>
      <c r="H8802" s="6" t="s">
        <v>34</v>
      </c>
      <c r="I8802" s="8" t="s">
        <v>263</v>
      </c>
      <c r="J8802" s="9">
        <v>1</v>
      </c>
      <c r="K8802" s="9">
        <v>135</v>
      </c>
      <c r="L8802" s="9">
        <v>2019</v>
      </c>
      <c r="M8802" s="8" t="s">
        <v>49418</v>
      </c>
      <c r="N8802" s="8" t="s">
        <v>37</v>
      </c>
      <c r="O8802" s="8" t="s">
        <v>233</v>
      </c>
      <c r="P8802" s="6" t="s">
        <v>51</v>
      </c>
      <c r="Q8802" s="8" t="s">
        <v>265</v>
      </c>
      <c r="R8802" s="10" t="s">
        <v>6601</v>
      </c>
      <c r="S8802" s="11" t="s">
        <v>18322</v>
      </c>
      <c r="T8802" s="6"/>
      <c r="U8802" s="15" t="str">
        <f>HYPERLINK("https://media.infra-m.ru/1029/1029651/cover/1029651.jpg", "Обложка")</f>
        <v>Обложка</v>
      </c>
      <c r="V8802" s="8" t="s">
        <v>445</v>
      </c>
      <c r="W8802" s="6"/>
      <c r="X8802" s="6"/>
      <c r="Y8802" s="6"/>
      <c r="Z8802" s="6" t="s">
        <v>267</v>
      </c>
      <c r="AA8802" s="6" t="s">
        <v>115</v>
      </c>
      <c r="AB8802" s="8"/>
      <c r="AC8802" s="27">
        <v>9785160153964</v>
      </c>
    </row>
    <row r="8803" spans="1:29" s="4" customFormat="1" ht="51.9" customHeight="1" x14ac:dyDescent="0.2">
      <c r="A8803" s="5">
        <v>0</v>
      </c>
      <c r="B8803" s="6" t="s">
        <v>49419</v>
      </c>
      <c r="C8803" s="13">
        <v>540</v>
      </c>
      <c r="D8803" s="8" t="s">
        <v>49420</v>
      </c>
      <c r="E8803" s="8" t="s">
        <v>49421</v>
      </c>
      <c r="F8803" s="8" t="s">
        <v>49422</v>
      </c>
      <c r="G8803" s="6" t="s">
        <v>33</v>
      </c>
      <c r="H8803" s="6" t="s">
        <v>34</v>
      </c>
      <c r="I8803" s="8" t="s">
        <v>457</v>
      </c>
      <c r="J8803" s="9">
        <v>1</v>
      </c>
      <c r="K8803" s="9">
        <v>110</v>
      </c>
      <c r="L8803" s="9">
        <v>2019</v>
      </c>
      <c r="M8803" s="8" t="s">
        <v>49423</v>
      </c>
      <c r="N8803" s="8" t="s">
        <v>37</v>
      </c>
      <c r="O8803" s="8" t="s">
        <v>233</v>
      </c>
      <c r="P8803" s="6" t="s">
        <v>39</v>
      </c>
      <c r="Q8803" s="8" t="s">
        <v>40</v>
      </c>
      <c r="R8803" s="10" t="s">
        <v>49424</v>
      </c>
      <c r="S8803" s="11"/>
      <c r="T8803" s="6"/>
      <c r="U8803" s="15" t="str">
        <f>HYPERLINK("https://media.infra-m.ru/1027/1027877/cover/1027877.jpg", "Обложка")</f>
        <v>Обложка</v>
      </c>
      <c r="V8803" s="8" t="s">
        <v>247</v>
      </c>
      <c r="W8803" s="6"/>
      <c r="X8803" s="6"/>
      <c r="Y8803" s="6"/>
      <c r="Z8803" s="6"/>
      <c r="AA8803" s="6" t="s">
        <v>115</v>
      </c>
      <c r="AB8803" s="8"/>
      <c r="AC8803" s="27">
        <v>9785160153681</v>
      </c>
    </row>
    <row r="8804" spans="1:29" s="4" customFormat="1" ht="51.9" customHeight="1" x14ac:dyDescent="0.2">
      <c r="A8804" s="5">
        <v>0</v>
      </c>
      <c r="B8804" s="6" t="s">
        <v>49425</v>
      </c>
      <c r="C8804" s="7">
        <v>2308.8000000000002</v>
      </c>
      <c r="D8804" s="8" t="s">
        <v>49426</v>
      </c>
      <c r="E8804" s="8" t="s">
        <v>49427</v>
      </c>
      <c r="F8804" s="8" t="s">
        <v>49428</v>
      </c>
      <c r="G8804" s="6" t="s">
        <v>118</v>
      </c>
      <c r="H8804" s="6" t="s">
        <v>48</v>
      </c>
      <c r="I8804" s="8" t="s">
        <v>271</v>
      </c>
      <c r="J8804" s="9">
        <v>1</v>
      </c>
      <c r="K8804" s="9">
        <v>384</v>
      </c>
      <c r="L8804" s="9">
        <v>2025</v>
      </c>
      <c r="M8804" s="8" t="s">
        <v>49429</v>
      </c>
      <c r="N8804" s="8" t="s">
        <v>37</v>
      </c>
      <c r="O8804" s="8" t="s">
        <v>233</v>
      </c>
      <c r="P8804" s="6" t="s">
        <v>51</v>
      </c>
      <c r="Q8804" s="8" t="s">
        <v>52</v>
      </c>
      <c r="R8804" s="10" t="s">
        <v>49430</v>
      </c>
      <c r="S8804" s="11" t="s">
        <v>282</v>
      </c>
      <c r="T8804" s="6"/>
      <c r="U8804" s="15" t="str">
        <f>HYPERLINK("https://media.infra-m.ru/2187/2187442/cover/2187442.jpg", "Обложка")</f>
        <v>Обложка</v>
      </c>
      <c r="V8804" s="8" t="s">
        <v>5902</v>
      </c>
      <c r="W8804" s="6"/>
      <c r="X8804" s="6"/>
      <c r="Y8804" s="6"/>
      <c r="Z8804" s="6"/>
      <c r="AA8804" s="6" t="s">
        <v>779</v>
      </c>
      <c r="AB8804" s="8"/>
      <c r="AC8804" s="27">
        <v>9785000914526</v>
      </c>
    </row>
    <row r="8805" spans="1:29" s="4" customFormat="1" ht="51.9" customHeight="1" x14ac:dyDescent="0.2">
      <c r="A8805" s="5">
        <v>0</v>
      </c>
      <c r="B8805" s="6" t="s">
        <v>49431</v>
      </c>
      <c r="C8805" s="13">
        <v>984</v>
      </c>
      <c r="D8805" s="8" t="s">
        <v>49432</v>
      </c>
      <c r="E8805" s="8" t="s">
        <v>49433</v>
      </c>
      <c r="F8805" s="8" t="s">
        <v>49434</v>
      </c>
      <c r="G8805" s="6" t="s">
        <v>118</v>
      </c>
      <c r="H8805" s="6" t="s">
        <v>34</v>
      </c>
      <c r="I8805" s="8" t="s">
        <v>304</v>
      </c>
      <c r="J8805" s="9">
        <v>1</v>
      </c>
      <c r="K8805" s="9">
        <v>168</v>
      </c>
      <c r="L8805" s="9">
        <v>2023</v>
      </c>
      <c r="M8805" s="8" t="s">
        <v>49435</v>
      </c>
      <c r="N8805" s="8" t="s">
        <v>37</v>
      </c>
      <c r="O8805" s="8" t="s">
        <v>233</v>
      </c>
      <c r="P8805" s="6" t="s">
        <v>51</v>
      </c>
      <c r="Q8805" s="8" t="s">
        <v>52</v>
      </c>
      <c r="R8805" s="10" t="s">
        <v>2257</v>
      </c>
      <c r="S8805" s="11" t="s">
        <v>49436</v>
      </c>
      <c r="T8805" s="6"/>
      <c r="U8805" s="15" t="str">
        <f>HYPERLINK("https://media.infra-m.ru/2049/2049699/cover/2049699.jpg", "Обложка")</f>
        <v>Обложка</v>
      </c>
      <c r="V8805" s="8" t="s">
        <v>49437</v>
      </c>
      <c r="W8805" s="6"/>
      <c r="X8805" s="6"/>
      <c r="Y8805" s="6"/>
      <c r="Z8805" s="6"/>
      <c r="AA8805" s="6" t="s">
        <v>1256</v>
      </c>
      <c r="AB8805" s="8"/>
      <c r="AC8805" s="27">
        <v>9785160187204</v>
      </c>
    </row>
    <row r="8806" spans="1:29" s="4" customFormat="1" ht="51.9" customHeight="1" x14ac:dyDescent="0.2">
      <c r="A8806" s="5">
        <v>0</v>
      </c>
      <c r="B8806" s="6" t="s">
        <v>49438</v>
      </c>
      <c r="C8806" s="7">
        <v>1673.9</v>
      </c>
      <c r="D8806" s="8" t="s">
        <v>49439</v>
      </c>
      <c r="E8806" s="8" t="s">
        <v>49440</v>
      </c>
      <c r="F8806" s="8" t="s">
        <v>49441</v>
      </c>
      <c r="G8806" s="6" t="s">
        <v>60</v>
      </c>
      <c r="H8806" s="6" t="s">
        <v>34</v>
      </c>
      <c r="I8806" s="8" t="s">
        <v>271</v>
      </c>
      <c r="J8806" s="9">
        <v>1</v>
      </c>
      <c r="K8806" s="9">
        <v>366</v>
      </c>
      <c r="L8806" s="9">
        <v>2022</v>
      </c>
      <c r="M8806" s="8" t="s">
        <v>49442</v>
      </c>
      <c r="N8806" s="8" t="s">
        <v>37</v>
      </c>
      <c r="O8806" s="8" t="s">
        <v>233</v>
      </c>
      <c r="P8806" s="6" t="s">
        <v>51</v>
      </c>
      <c r="Q8806" s="8" t="s">
        <v>52</v>
      </c>
      <c r="R8806" s="10" t="s">
        <v>1646</v>
      </c>
      <c r="S8806" s="11" t="s">
        <v>49443</v>
      </c>
      <c r="T8806" s="6"/>
      <c r="U8806" s="15" t="str">
        <f>HYPERLINK("https://media.infra-m.ru/1851/1851328/cover/1851328.jpg", "Обложка")</f>
        <v>Обложка</v>
      </c>
      <c r="V8806" s="8" t="s">
        <v>247</v>
      </c>
      <c r="W8806" s="6"/>
      <c r="X8806" s="6"/>
      <c r="Y8806" s="6"/>
      <c r="Z8806" s="6"/>
      <c r="AA8806" s="6" t="s">
        <v>43</v>
      </c>
      <c r="AB8806" s="8"/>
      <c r="AC8806" s="27">
        <v>9785160050294</v>
      </c>
    </row>
    <row r="8807" spans="1:29" s="4" customFormat="1" ht="51.9" customHeight="1" x14ac:dyDescent="0.2">
      <c r="A8807" s="5">
        <v>0</v>
      </c>
      <c r="B8807" s="6" t="s">
        <v>49444</v>
      </c>
      <c r="C8807" s="7">
        <v>1380</v>
      </c>
      <c r="D8807" s="8" t="s">
        <v>49445</v>
      </c>
      <c r="E8807" s="8" t="s">
        <v>49446</v>
      </c>
      <c r="F8807" s="8" t="s">
        <v>49434</v>
      </c>
      <c r="G8807" s="6" t="s">
        <v>118</v>
      </c>
      <c r="H8807" s="6" t="s">
        <v>34</v>
      </c>
      <c r="I8807" s="8" t="s">
        <v>304</v>
      </c>
      <c r="J8807" s="9">
        <v>1</v>
      </c>
      <c r="K8807" s="9">
        <v>245</v>
      </c>
      <c r="L8807" s="9">
        <v>2024</v>
      </c>
      <c r="M8807" s="8" t="s">
        <v>49447</v>
      </c>
      <c r="N8807" s="8" t="s">
        <v>37</v>
      </c>
      <c r="O8807" s="8" t="s">
        <v>233</v>
      </c>
      <c r="P8807" s="6" t="s">
        <v>51</v>
      </c>
      <c r="Q8807" s="8" t="s">
        <v>52</v>
      </c>
      <c r="R8807" s="10" t="s">
        <v>357</v>
      </c>
      <c r="S8807" s="11" t="s">
        <v>49448</v>
      </c>
      <c r="T8807" s="6"/>
      <c r="U8807" s="15" t="str">
        <f>HYPERLINK("https://media.infra-m.ru/2079/2079323/cover/2079323.jpg", "Обложка")</f>
        <v>Обложка</v>
      </c>
      <c r="V8807" s="8" t="s">
        <v>49437</v>
      </c>
      <c r="W8807" s="6"/>
      <c r="X8807" s="6"/>
      <c r="Y8807" s="6"/>
      <c r="Z8807" s="6"/>
      <c r="AA8807" s="6" t="s">
        <v>1256</v>
      </c>
      <c r="AB8807" s="8"/>
      <c r="AC8807" s="27">
        <v>9785160192536</v>
      </c>
    </row>
    <row r="8808" spans="1:29" s="4" customFormat="1" ht="44.1" customHeight="1" x14ac:dyDescent="0.2">
      <c r="A8808" s="5">
        <v>0</v>
      </c>
      <c r="B8808" s="6" t="s">
        <v>49449</v>
      </c>
      <c r="C8808" s="7">
        <v>1284</v>
      </c>
      <c r="D8808" s="8" t="s">
        <v>49450</v>
      </c>
      <c r="E8808" s="8" t="s">
        <v>49451</v>
      </c>
      <c r="F8808" s="8" t="s">
        <v>49452</v>
      </c>
      <c r="G8808" s="6" t="s">
        <v>60</v>
      </c>
      <c r="H8808" s="6" t="s">
        <v>34</v>
      </c>
      <c r="I8808" s="8" t="s">
        <v>253</v>
      </c>
      <c r="J8808" s="9">
        <v>1</v>
      </c>
      <c r="K8808" s="9">
        <v>208</v>
      </c>
      <c r="L8808" s="9">
        <v>2025</v>
      </c>
      <c r="M8808" s="8" t="s">
        <v>49453</v>
      </c>
      <c r="N8808" s="8" t="s">
        <v>37</v>
      </c>
      <c r="O8808" s="8" t="s">
        <v>233</v>
      </c>
      <c r="P8808" s="6" t="s">
        <v>306</v>
      </c>
      <c r="Q8808" s="8" t="s">
        <v>65</v>
      </c>
      <c r="R8808" s="10" t="s">
        <v>49454</v>
      </c>
      <c r="S8808" s="11"/>
      <c r="T8808" s="6"/>
      <c r="U8808" s="15" t="str">
        <f>HYPERLINK("https://media.infra-m.ru/2125/2125939/cover/2125939.jpg", "Обложка")</f>
        <v>Обложка</v>
      </c>
      <c r="V8808" s="8" t="s">
        <v>6642</v>
      </c>
      <c r="W8808" s="6"/>
      <c r="X8808" s="6"/>
      <c r="Y8808" s="6"/>
      <c r="Z8808" s="6"/>
      <c r="AA8808" s="6" t="s">
        <v>68</v>
      </c>
      <c r="AB8808" s="8"/>
      <c r="AC8808" s="27">
        <v>9785160195377</v>
      </c>
    </row>
    <row r="8809" spans="1:29" s="4" customFormat="1" ht="51.9" customHeight="1" x14ac:dyDescent="0.2">
      <c r="A8809" s="5">
        <v>0</v>
      </c>
      <c r="B8809" s="6" t="s">
        <v>49455</v>
      </c>
      <c r="C8809" s="7">
        <v>1108.8</v>
      </c>
      <c r="D8809" s="8" t="s">
        <v>49456</v>
      </c>
      <c r="E8809" s="8" t="s">
        <v>49457</v>
      </c>
      <c r="F8809" s="8" t="s">
        <v>11437</v>
      </c>
      <c r="G8809" s="6" t="s">
        <v>60</v>
      </c>
      <c r="H8809" s="6" t="s">
        <v>241</v>
      </c>
      <c r="I8809" s="8"/>
      <c r="J8809" s="9">
        <v>1</v>
      </c>
      <c r="K8809" s="9">
        <v>200</v>
      </c>
      <c r="L8809" s="9">
        <v>2024</v>
      </c>
      <c r="M8809" s="8" t="s">
        <v>49458</v>
      </c>
      <c r="N8809" s="8" t="s">
        <v>37</v>
      </c>
      <c r="O8809" s="8" t="s">
        <v>499</v>
      </c>
      <c r="P8809" s="6" t="s">
        <v>51</v>
      </c>
      <c r="Q8809" s="8" t="s">
        <v>500</v>
      </c>
      <c r="R8809" s="10" t="s">
        <v>15016</v>
      </c>
      <c r="S8809" s="11" t="s">
        <v>49459</v>
      </c>
      <c r="T8809" s="6"/>
      <c r="U8809" s="15" t="str">
        <f>HYPERLINK("https://media.infra-m.ru/2091/2091926/cover/2091926.jpg", "Обложка")</f>
        <v>Обложка</v>
      </c>
      <c r="V8809" s="8" t="s">
        <v>396</v>
      </c>
      <c r="W8809" s="6"/>
      <c r="X8809" s="6"/>
      <c r="Y8809" s="6"/>
      <c r="Z8809" s="6"/>
      <c r="AA8809" s="6" t="s">
        <v>55</v>
      </c>
      <c r="AB8809" s="8"/>
      <c r="AC8809" s="27">
        <v>9785955802961</v>
      </c>
    </row>
    <row r="8810" spans="1:29" s="4" customFormat="1" ht="44.1" customHeight="1" x14ac:dyDescent="0.2">
      <c r="A8810" s="5">
        <v>0</v>
      </c>
      <c r="B8810" s="6" t="s">
        <v>49460</v>
      </c>
      <c r="C8810" s="7">
        <v>1634.4</v>
      </c>
      <c r="D8810" s="8" t="s">
        <v>49461</v>
      </c>
      <c r="E8810" s="8" t="s">
        <v>49462</v>
      </c>
      <c r="F8810" s="8" t="s">
        <v>49463</v>
      </c>
      <c r="G8810" s="6" t="s">
        <v>60</v>
      </c>
      <c r="H8810" s="6" t="s">
        <v>34</v>
      </c>
      <c r="I8810" s="8" t="s">
        <v>35</v>
      </c>
      <c r="J8810" s="9">
        <v>1</v>
      </c>
      <c r="K8810" s="9">
        <v>223</v>
      </c>
      <c r="L8810" s="9">
        <v>2024</v>
      </c>
      <c r="M8810" s="8" t="s">
        <v>49464</v>
      </c>
      <c r="N8810" s="8" t="s">
        <v>37</v>
      </c>
      <c r="O8810" s="8" t="s">
        <v>233</v>
      </c>
      <c r="P8810" s="6" t="s">
        <v>39</v>
      </c>
      <c r="Q8810" s="8" t="s">
        <v>40</v>
      </c>
      <c r="R8810" s="10" t="s">
        <v>473</v>
      </c>
      <c r="S8810" s="11"/>
      <c r="T8810" s="6"/>
      <c r="U8810" s="15" t="str">
        <f>HYPERLINK("https://media.infra-m.ru/2108/2108542/cover/2108542.jpg", "Обложка")</f>
        <v>Обложка</v>
      </c>
      <c r="V8810" s="8" t="s">
        <v>12917</v>
      </c>
      <c r="W8810" s="6"/>
      <c r="X8810" s="6"/>
      <c r="Y8810" s="6"/>
      <c r="Z8810" s="6"/>
      <c r="AA8810" s="6" t="s">
        <v>76</v>
      </c>
      <c r="AB8810" s="8"/>
      <c r="AC8810" s="27">
        <v>9785160193236</v>
      </c>
    </row>
    <row r="8811" spans="1:29" s="4" customFormat="1" ht="44.1" customHeight="1" x14ac:dyDescent="0.2">
      <c r="A8811" s="5">
        <v>0</v>
      </c>
      <c r="B8811" s="6" t="s">
        <v>49465</v>
      </c>
      <c r="C8811" s="7">
        <v>2580</v>
      </c>
      <c r="D8811" s="8" t="s">
        <v>49466</v>
      </c>
      <c r="E8811" s="8" t="s">
        <v>49467</v>
      </c>
      <c r="F8811" s="8" t="s">
        <v>2226</v>
      </c>
      <c r="G8811" s="6" t="s">
        <v>118</v>
      </c>
      <c r="H8811" s="6" t="s">
        <v>34</v>
      </c>
      <c r="I8811" s="8" t="s">
        <v>253</v>
      </c>
      <c r="J8811" s="9">
        <v>1</v>
      </c>
      <c r="K8811" s="9">
        <v>372</v>
      </c>
      <c r="L8811" s="9">
        <v>2027</v>
      </c>
      <c r="M8811" s="8" t="s">
        <v>49468</v>
      </c>
      <c r="N8811" s="8" t="s">
        <v>37</v>
      </c>
      <c r="O8811" s="8" t="s">
        <v>233</v>
      </c>
      <c r="P8811" s="6" t="s">
        <v>306</v>
      </c>
      <c r="Q8811" s="8" t="s">
        <v>52</v>
      </c>
      <c r="R8811" s="10" t="s">
        <v>16854</v>
      </c>
      <c r="S8811" s="11"/>
      <c r="T8811" s="6" t="s">
        <v>97</v>
      </c>
      <c r="U8811" s="15" t="str">
        <f>HYPERLINK("https://media.infra-m.ru/2261/2261591/cover/2261591.jpg", "Обложка")</f>
        <v>Обложка</v>
      </c>
      <c r="V8811" s="8" t="s">
        <v>396</v>
      </c>
      <c r="W8811" s="6"/>
      <c r="X8811" s="6"/>
      <c r="Y8811" s="6"/>
      <c r="Z8811" s="6"/>
      <c r="AA8811" s="6" t="s">
        <v>4023</v>
      </c>
      <c r="AB8811" s="8"/>
      <c r="AC8811" s="27">
        <v>9785160183244</v>
      </c>
    </row>
    <row r="8812" spans="1:29" s="4" customFormat="1" ht="51.9" customHeight="1" x14ac:dyDescent="0.2">
      <c r="A8812" s="5">
        <v>0</v>
      </c>
      <c r="B8812" s="6" t="s">
        <v>49469</v>
      </c>
      <c r="C8812" s="7">
        <v>1680</v>
      </c>
      <c r="D8812" s="8" t="s">
        <v>49470</v>
      </c>
      <c r="E8812" s="8" t="s">
        <v>49471</v>
      </c>
      <c r="F8812" s="8" t="s">
        <v>2226</v>
      </c>
      <c r="G8812" s="6" t="s">
        <v>118</v>
      </c>
      <c r="H8812" s="6" t="s">
        <v>34</v>
      </c>
      <c r="I8812" s="8" t="s">
        <v>271</v>
      </c>
      <c r="J8812" s="9">
        <v>1</v>
      </c>
      <c r="K8812" s="9">
        <v>368</v>
      </c>
      <c r="L8812" s="9">
        <v>2022</v>
      </c>
      <c r="M8812" s="8" t="s">
        <v>49472</v>
      </c>
      <c r="N8812" s="8" t="s">
        <v>37</v>
      </c>
      <c r="O8812" s="8" t="s">
        <v>233</v>
      </c>
      <c r="P8812" s="6" t="s">
        <v>306</v>
      </c>
      <c r="Q8812" s="8" t="s">
        <v>52</v>
      </c>
      <c r="R8812" s="10" t="s">
        <v>16854</v>
      </c>
      <c r="S8812" s="11" t="s">
        <v>2258</v>
      </c>
      <c r="T8812" s="6" t="s">
        <v>97</v>
      </c>
      <c r="U8812" s="15" t="str">
        <f>HYPERLINK("https://media.infra-m.ru/1862/1862635/cover/1862635.jpg", "Обложка")</f>
        <v>Обложка</v>
      </c>
      <c r="V8812" s="8" t="s">
        <v>396</v>
      </c>
      <c r="W8812" s="6"/>
      <c r="X8812" s="6"/>
      <c r="Y8812" s="6"/>
      <c r="Z8812" s="6"/>
      <c r="AA8812" s="6" t="s">
        <v>2240</v>
      </c>
      <c r="AB8812" s="8"/>
      <c r="AC8812" s="27">
        <v>9785160148397</v>
      </c>
    </row>
    <row r="8813" spans="1:29" s="4" customFormat="1" ht="44.1" customHeight="1" x14ac:dyDescent="0.2">
      <c r="A8813" s="5">
        <v>0</v>
      </c>
      <c r="B8813" s="6" t="s">
        <v>49473</v>
      </c>
      <c r="C8813" s="7">
        <v>1421.9</v>
      </c>
      <c r="D8813" s="8" t="s">
        <v>49474</v>
      </c>
      <c r="E8813" s="8" t="s">
        <v>49475</v>
      </c>
      <c r="F8813" s="8" t="s">
        <v>2226</v>
      </c>
      <c r="G8813" s="6" t="s">
        <v>60</v>
      </c>
      <c r="H8813" s="6" t="s">
        <v>241</v>
      </c>
      <c r="I8813" s="8"/>
      <c r="J8813" s="9">
        <v>1</v>
      </c>
      <c r="K8813" s="9">
        <v>368</v>
      </c>
      <c r="L8813" s="9">
        <v>2019</v>
      </c>
      <c r="M8813" s="8" t="s">
        <v>49476</v>
      </c>
      <c r="N8813" s="8" t="s">
        <v>37</v>
      </c>
      <c r="O8813" s="8" t="s">
        <v>233</v>
      </c>
      <c r="P8813" s="6" t="s">
        <v>306</v>
      </c>
      <c r="Q8813" s="8" t="s">
        <v>52</v>
      </c>
      <c r="R8813" s="10" t="s">
        <v>16854</v>
      </c>
      <c r="S8813" s="11"/>
      <c r="T8813" s="6" t="s">
        <v>97</v>
      </c>
      <c r="U8813" s="15" t="str">
        <f>HYPERLINK("https://media.infra-m.ru/0987/0987736/cover/987736.jpg", "Обложка")</f>
        <v>Обложка</v>
      </c>
      <c r="V8813" s="8" t="s">
        <v>396</v>
      </c>
      <c r="W8813" s="6"/>
      <c r="X8813" s="6"/>
      <c r="Y8813" s="6"/>
      <c r="Z8813" s="6"/>
      <c r="AA8813" s="6" t="s">
        <v>779</v>
      </c>
      <c r="AB8813" s="8"/>
      <c r="AC8813" s="27">
        <v>9785955804729</v>
      </c>
    </row>
    <row r="8814" spans="1:29" s="4" customFormat="1" ht="51.9" customHeight="1" x14ac:dyDescent="0.2">
      <c r="A8814" s="5">
        <v>0</v>
      </c>
      <c r="B8814" s="6" t="s">
        <v>49477</v>
      </c>
      <c r="C8814" s="7">
        <v>4044</v>
      </c>
      <c r="D8814" s="8" t="s">
        <v>49478</v>
      </c>
      <c r="E8814" s="8" t="s">
        <v>49479</v>
      </c>
      <c r="F8814" s="8" t="s">
        <v>49480</v>
      </c>
      <c r="G8814" s="6" t="s">
        <v>60</v>
      </c>
      <c r="H8814" s="6" t="s">
        <v>34</v>
      </c>
      <c r="I8814" s="8" t="s">
        <v>253</v>
      </c>
      <c r="J8814" s="9">
        <v>1</v>
      </c>
      <c r="K8814" s="9">
        <v>362</v>
      </c>
      <c r="L8814" s="9">
        <v>2024</v>
      </c>
      <c r="M8814" s="8" t="s">
        <v>49481</v>
      </c>
      <c r="N8814" s="8" t="s">
        <v>37</v>
      </c>
      <c r="O8814" s="8" t="s">
        <v>233</v>
      </c>
      <c r="P8814" s="6" t="s">
        <v>306</v>
      </c>
      <c r="Q8814" s="8" t="s">
        <v>65</v>
      </c>
      <c r="R8814" s="10" t="s">
        <v>49482</v>
      </c>
      <c r="S8814" s="11"/>
      <c r="T8814" s="6"/>
      <c r="U8814" s="15" t="str">
        <f>HYPERLINK("https://media.infra-m.ru/1977/1977968/cover/1977968.jpg", "Обложка")</f>
        <v>Обложка</v>
      </c>
      <c r="V8814" s="8" t="s">
        <v>227</v>
      </c>
      <c r="W8814" s="6"/>
      <c r="X8814" s="6"/>
      <c r="Y8814" s="6"/>
      <c r="Z8814" s="6"/>
      <c r="AA8814" s="6" t="s">
        <v>76</v>
      </c>
      <c r="AB8814" s="8"/>
      <c r="AC8814" s="27">
        <v>9785160183213</v>
      </c>
    </row>
    <row r="8815" spans="1:29" s="4" customFormat="1" ht="51.9" customHeight="1" x14ac:dyDescent="0.2">
      <c r="A8815" s="5">
        <v>0</v>
      </c>
      <c r="B8815" s="6" t="s">
        <v>49483</v>
      </c>
      <c r="C8815" s="13">
        <v>708</v>
      </c>
      <c r="D8815" s="8" t="s">
        <v>49484</v>
      </c>
      <c r="E8815" s="8" t="s">
        <v>49485</v>
      </c>
      <c r="F8815" s="8" t="s">
        <v>49486</v>
      </c>
      <c r="G8815" s="6" t="s">
        <v>33</v>
      </c>
      <c r="H8815" s="6" t="s">
        <v>34</v>
      </c>
      <c r="I8815" s="8" t="s">
        <v>10112</v>
      </c>
      <c r="J8815" s="9">
        <v>1</v>
      </c>
      <c r="K8815" s="9">
        <v>90</v>
      </c>
      <c r="L8815" s="9">
        <v>2023</v>
      </c>
      <c r="M8815" s="8" t="s">
        <v>49487</v>
      </c>
      <c r="N8815" s="8" t="s">
        <v>37</v>
      </c>
      <c r="O8815" s="8" t="s">
        <v>233</v>
      </c>
      <c r="P8815" s="6" t="s">
        <v>51</v>
      </c>
      <c r="Q8815" s="8" t="s">
        <v>500</v>
      </c>
      <c r="R8815" s="10" t="s">
        <v>4087</v>
      </c>
      <c r="S8815" s="11" t="s">
        <v>49488</v>
      </c>
      <c r="T8815" s="6"/>
      <c r="U8815" s="15" t="str">
        <f>HYPERLINK("https://media.infra-m.ru/1910/1910848/cover/1910848.jpg", "Обложка")</f>
        <v>Обложка</v>
      </c>
      <c r="V8815" s="8"/>
      <c r="W8815" s="6"/>
      <c r="X8815" s="6"/>
      <c r="Y8815" s="6"/>
      <c r="Z8815" s="6"/>
      <c r="AA8815" s="6" t="s">
        <v>157</v>
      </c>
      <c r="AB8815" s="8"/>
      <c r="AC8815" s="27">
        <v>9785160180830</v>
      </c>
    </row>
    <row r="8816" spans="1:29" s="4" customFormat="1" ht="51.9" customHeight="1" x14ac:dyDescent="0.2">
      <c r="A8816" s="5">
        <v>0</v>
      </c>
      <c r="B8816" s="6" t="s">
        <v>49489</v>
      </c>
      <c r="C8816" s="7">
        <v>1336.8</v>
      </c>
      <c r="D8816" s="8" t="s">
        <v>49490</v>
      </c>
      <c r="E8816" s="8" t="s">
        <v>49491</v>
      </c>
      <c r="F8816" s="8" t="s">
        <v>49492</v>
      </c>
      <c r="G8816" s="6" t="s">
        <v>33</v>
      </c>
      <c r="H8816" s="6" t="s">
        <v>48</v>
      </c>
      <c r="I8816" s="8" t="s">
        <v>271</v>
      </c>
      <c r="J8816" s="9">
        <v>1</v>
      </c>
      <c r="K8816" s="9">
        <v>192</v>
      </c>
      <c r="L8816" s="9">
        <v>2027</v>
      </c>
      <c r="M8816" s="8" t="s">
        <v>49493</v>
      </c>
      <c r="N8816" s="8" t="s">
        <v>37</v>
      </c>
      <c r="O8816" s="8" t="s">
        <v>280</v>
      </c>
      <c r="P8816" s="6" t="s">
        <v>51</v>
      </c>
      <c r="Q8816" s="8" t="s">
        <v>52</v>
      </c>
      <c r="R8816" s="10" t="s">
        <v>2257</v>
      </c>
      <c r="S8816" s="11" t="s">
        <v>49494</v>
      </c>
      <c r="T8816" s="6"/>
      <c r="U8816" s="15" t="str">
        <f>HYPERLINK("https://media.infra-m.ru/2272/2272042/cover/2272042.jpg", "Обложка")</f>
        <v>Обложка</v>
      </c>
      <c r="V8816" s="8" t="s">
        <v>247</v>
      </c>
      <c r="W8816" s="6"/>
      <c r="X8816" s="6"/>
      <c r="Y8816" s="6"/>
      <c r="Z8816" s="6"/>
      <c r="AA8816" s="6" t="s">
        <v>248</v>
      </c>
      <c r="AB8816" s="8"/>
      <c r="AC8816" s="27">
        <v>9785911348908</v>
      </c>
    </row>
    <row r="8817" spans="1:29" s="4" customFormat="1" ht="51.9" customHeight="1" x14ac:dyDescent="0.2">
      <c r="A8817" s="5">
        <v>0</v>
      </c>
      <c r="B8817" s="6" t="s">
        <v>49495</v>
      </c>
      <c r="C8817" s="13">
        <v>565.20000000000005</v>
      </c>
      <c r="D8817" s="8" t="s">
        <v>49496</v>
      </c>
      <c r="E8817" s="8" t="s">
        <v>49497</v>
      </c>
      <c r="F8817" s="8" t="s">
        <v>49498</v>
      </c>
      <c r="G8817" s="6" t="s">
        <v>33</v>
      </c>
      <c r="H8817" s="6" t="s">
        <v>34</v>
      </c>
      <c r="I8817" s="8" t="s">
        <v>271</v>
      </c>
      <c r="J8817" s="9">
        <v>1</v>
      </c>
      <c r="K8817" s="9">
        <v>157</v>
      </c>
      <c r="L8817" s="9">
        <v>2019</v>
      </c>
      <c r="M8817" s="8" t="s">
        <v>49499</v>
      </c>
      <c r="N8817" s="8" t="s">
        <v>37</v>
      </c>
      <c r="O8817" s="8" t="s">
        <v>233</v>
      </c>
      <c r="P8817" s="6" t="s">
        <v>51</v>
      </c>
      <c r="Q8817" s="8" t="s">
        <v>52</v>
      </c>
      <c r="R8817" s="10" t="s">
        <v>1503</v>
      </c>
      <c r="S8817" s="11" t="s">
        <v>2238</v>
      </c>
      <c r="T8817" s="6" t="s">
        <v>97</v>
      </c>
      <c r="U8817" s="15" t="str">
        <f>HYPERLINK("https://media.infra-m.ru/1001/1001378/cover/1001378.jpg", "Обложка")</f>
        <v>Обложка</v>
      </c>
      <c r="V8817" s="8" t="s">
        <v>247</v>
      </c>
      <c r="W8817" s="6"/>
      <c r="X8817" s="6"/>
      <c r="Y8817" s="6"/>
      <c r="Z8817" s="6"/>
      <c r="AA8817" s="6" t="s">
        <v>274</v>
      </c>
      <c r="AB8817" s="8"/>
      <c r="AC8817" s="27">
        <v>9785160098067</v>
      </c>
    </row>
    <row r="8818" spans="1:29" s="4" customFormat="1" ht="51.9" customHeight="1" x14ac:dyDescent="0.2">
      <c r="A8818" s="5">
        <v>0</v>
      </c>
      <c r="B8818" s="6" t="s">
        <v>49500</v>
      </c>
      <c r="C8818" s="7">
        <v>1096.8</v>
      </c>
      <c r="D8818" s="8" t="s">
        <v>49501</v>
      </c>
      <c r="E8818" s="8" t="s">
        <v>49497</v>
      </c>
      <c r="F8818" s="8" t="s">
        <v>49498</v>
      </c>
      <c r="G8818" s="6" t="s">
        <v>118</v>
      </c>
      <c r="H8818" s="6" t="s">
        <v>34</v>
      </c>
      <c r="I8818" s="8" t="s">
        <v>271</v>
      </c>
      <c r="J8818" s="9">
        <v>1</v>
      </c>
      <c r="K8818" s="9">
        <v>157</v>
      </c>
      <c r="L8818" s="9">
        <v>2027</v>
      </c>
      <c r="M8818" s="8" t="s">
        <v>49502</v>
      </c>
      <c r="N8818" s="8" t="s">
        <v>37</v>
      </c>
      <c r="O8818" s="8" t="s">
        <v>233</v>
      </c>
      <c r="P8818" s="6" t="s">
        <v>51</v>
      </c>
      <c r="Q8818" s="8" t="s">
        <v>52</v>
      </c>
      <c r="R8818" s="10" t="s">
        <v>1503</v>
      </c>
      <c r="S8818" s="11" t="s">
        <v>2238</v>
      </c>
      <c r="T8818" s="6" t="s">
        <v>97</v>
      </c>
      <c r="U8818" s="15" t="str">
        <f>HYPERLINK("https://media.infra-m.ru/2253/2253917/cover/2253917.jpg", "Обложка")</f>
        <v>Обложка</v>
      </c>
      <c r="V8818" s="8" t="s">
        <v>247</v>
      </c>
      <c r="W8818" s="6"/>
      <c r="X8818" s="6"/>
      <c r="Y8818" s="6"/>
      <c r="Z8818" s="6"/>
      <c r="AA8818" s="6" t="s">
        <v>274</v>
      </c>
      <c r="AB8818" s="8"/>
      <c r="AC8818" s="27">
        <v>9785160163000</v>
      </c>
    </row>
    <row r="8819" spans="1:29" s="4" customFormat="1" ht="51.9" customHeight="1" x14ac:dyDescent="0.2">
      <c r="A8819" s="5">
        <v>0</v>
      </c>
      <c r="B8819" s="6" t="s">
        <v>49503</v>
      </c>
      <c r="C8819" s="7">
        <v>2932.8</v>
      </c>
      <c r="D8819" s="8" t="s">
        <v>49504</v>
      </c>
      <c r="E8819" s="8" t="s">
        <v>49505</v>
      </c>
      <c r="F8819" s="8" t="s">
        <v>4056</v>
      </c>
      <c r="G8819" s="6" t="s">
        <v>60</v>
      </c>
      <c r="H8819" s="6" t="s">
        <v>34</v>
      </c>
      <c r="I8819" s="8" t="s">
        <v>263</v>
      </c>
      <c r="J8819" s="9">
        <v>1</v>
      </c>
      <c r="K8819" s="9">
        <v>421</v>
      </c>
      <c r="L8819" s="9">
        <v>2027</v>
      </c>
      <c r="M8819" s="8" t="s">
        <v>49506</v>
      </c>
      <c r="N8819" s="8" t="s">
        <v>37</v>
      </c>
      <c r="O8819" s="8" t="s">
        <v>233</v>
      </c>
      <c r="P8819" s="6" t="s">
        <v>306</v>
      </c>
      <c r="Q8819" s="8" t="s">
        <v>265</v>
      </c>
      <c r="R8819" s="10" t="s">
        <v>49507</v>
      </c>
      <c r="S8819" s="11" t="s">
        <v>49508</v>
      </c>
      <c r="T8819" s="6"/>
      <c r="U8819" s="15" t="str">
        <f>HYPERLINK("https://media.infra-m.ru/2263/2263216/cover/2263216.jpg", "Обложка")</f>
        <v>Обложка</v>
      </c>
      <c r="V8819" s="8" t="s">
        <v>2222</v>
      </c>
      <c r="W8819" s="6"/>
      <c r="X8819" s="6"/>
      <c r="Y8819" s="6"/>
      <c r="Z8819" s="6" t="s">
        <v>267</v>
      </c>
      <c r="AA8819" s="6" t="s">
        <v>157</v>
      </c>
      <c r="AB8819" s="8"/>
      <c r="AC8819" s="27">
        <v>9785160168258</v>
      </c>
    </row>
    <row r="8820" spans="1:29" s="4" customFormat="1" ht="51.9" customHeight="1" x14ac:dyDescent="0.2">
      <c r="A8820" s="5">
        <v>0</v>
      </c>
      <c r="B8820" s="6" t="s">
        <v>49509</v>
      </c>
      <c r="C8820" s="7">
        <v>3904.8</v>
      </c>
      <c r="D8820" s="8" t="s">
        <v>49510</v>
      </c>
      <c r="E8820" s="8" t="s">
        <v>49511</v>
      </c>
      <c r="F8820" s="8" t="s">
        <v>49512</v>
      </c>
      <c r="G8820" s="6" t="s">
        <v>60</v>
      </c>
      <c r="H8820" s="6" t="s">
        <v>34</v>
      </c>
      <c r="I8820" s="8" t="s">
        <v>253</v>
      </c>
      <c r="J8820" s="9">
        <v>1</v>
      </c>
      <c r="K8820" s="9">
        <v>592</v>
      </c>
      <c r="L8820" s="9">
        <v>2027</v>
      </c>
      <c r="M8820" s="8" t="s">
        <v>49513</v>
      </c>
      <c r="N8820" s="8" t="s">
        <v>37</v>
      </c>
      <c r="O8820" s="8" t="s">
        <v>233</v>
      </c>
      <c r="P8820" s="6" t="s">
        <v>306</v>
      </c>
      <c r="Q8820" s="8" t="s">
        <v>52</v>
      </c>
      <c r="R8820" s="10" t="s">
        <v>357</v>
      </c>
      <c r="S8820" s="11" t="s">
        <v>49514</v>
      </c>
      <c r="T8820" s="6"/>
      <c r="U8820" s="15" t="str">
        <f>HYPERLINK("https://media.infra-m.ru/2251/2251361/cover/2251361.jpg", "Обложка")</f>
        <v>Обложка</v>
      </c>
      <c r="V8820" s="8" t="s">
        <v>396</v>
      </c>
      <c r="W8820" s="6"/>
      <c r="X8820" s="6"/>
      <c r="Y8820" s="6"/>
      <c r="Z8820" s="6"/>
      <c r="AA8820" s="6" t="s">
        <v>779</v>
      </c>
      <c r="AB8820" s="8"/>
      <c r="AC8820" s="27">
        <v>9785160191799</v>
      </c>
    </row>
    <row r="8821" spans="1:29" s="4" customFormat="1" ht="51.9" customHeight="1" x14ac:dyDescent="0.2">
      <c r="A8821" s="5">
        <v>0</v>
      </c>
      <c r="B8821" s="6" t="s">
        <v>49515</v>
      </c>
      <c r="C8821" s="7">
        <v>1488</v>
      </c>
      <c r="D8821" s="8" t="s">
        <v>49516</v>
      </c>
      <c r="E8821" s="8" t="s">
        <v>49517</v>
      </c>
      <c r="F8821" s="8" t="s">
        <v>49518</v>
      </c>
      <c r="G8821" s="6" t="s">
        <v>60</v>
      </c>
      <c r="H8821" s="6" t="s">
        <v>34</v>
      </c>
      <c r="I8821" s="8" t="s">
        <v>3119</v>
      </c>
      <c r="J8821" s="9">
        <v>1</v>
      </c>
      <c r="K8821" s="9">
        <v>235</v>
      </c>
      <c r="L8821" s="9">
        <v>2025</v>
      </c>
      <c r="M8821" s="8" t="s">
        <v>49519</v>
      </c>
      <c r="N8821" s="8" t="s">
        <v>37</v>
      </c>
      <c r="O8821" s="8" t="s">
        <v>280</v>
      </c>
      <c r="P8821" s="6" t="s">
        <v>306</v>
      </c>
      <c r="Q8821" s="8" t="s">
        <v>65</v>
      </c>
      <c r="R8821" s="10" t="s">
        <v>49520</v>
      </c>
      <c r="S8821" s="11"/>
      <c r="T8821" s="6"/>
      <c r="U8821" s="15" t="str">
        <f>HYPERLINK("https://media.infra-m.ru/2049/2049712/cover/2049712.jpg", "Обложка")</f>
        <v>Обложка</v>
      </c>
      <c r="V8821" s="8" t="s">
        <v>396</v>
      </c>
      <c r="W8821" s="6"/>
      <c r="X8821" s="6"/>
      <c r="Y8821" s="6"/>
      <c r="Z8821" s="6"/>
      <c r="AA8821" s="6" t="s">
        <v>68</v>
      </c>
      <c r="AB8821" s="8"/>
      <c r="AC8821" s="27">
        <v>9785160187136</v>
      </c>
    </row>
    <row r="8822" spans="1:29" s="4" customFormat="1" ht="42" customHeight="1" x14ac:dyDescent="0.2">
      <c r="A8822" s="5">
        <v>0</v>
      </c>
      <c r="B8822" s="6" t="s">
        <v>49521</v>
      </c>
      <c r="C8822" s="7">
        <v>2508</v>
      </c>
      <c r="D8822" s="8" t="s">
        <v>49522</v>
      </c>
      <c r="E8822" s="8" t="s">
        <v>49523</v>
      </c>
      <c r="F8822" s="8" t="s">
        <v>3775</v>
      </c>
      <c r="G8822" s="6" t="s">
        <v>60</v>
      </c>
      <c r="H8822" s="6" t="s">
        <v>34</v>
      </c>
      <c r="I8822" s="8" t="s">
        <v>263</v>
      </c>
      <c r="J8822" s="9">
        <v>1</v>
      </c>
      <c r="K8822" s="9">
        <v>396</v>
      </c>
      <c r="L8822" s="9">
        <v>2025</v>
      </c>
      <c r="M8822" s="8" t="s">
        <v>49524</v>
      </c>
      <c r="N8822" s="8" t="s">
        <v>37</v>
      </c>
      <c r="O8822" s="8" t="s">
        <v>233</v>
      </c>
      <c r="P8822" s="6" t="s">
        <v>306</v>
      </c>
      <c r="Q8822" s="8" t="s">
        <v>265</v>
      </c>
      <c r="R8822" s="10" t="s">
        <v>5589</v>
      </c>
      <c r="S8822" s="11"/>
      <c r="T8822" s="6"/>
      <c r="U8822" s="15" t="str">
        <f>HYPERLINK("https://media.infra-m.ru/2171/2171041/cover/2171041.jpg", "Обложка")</f>
        <v>Обложка</v>
      </c>
      <c r="V8822" s="8" t="s">
        <v>2035</v>
      </c>
      <c r="W8822" s="6"/>
      <c r="X8822" s="6"/>
      <c r="Y8822" s="6"/>
      <c r="Z8822" s="6"/>
      <c r="AA8822" s="6" t="s">
        <v>68</v>
      </c>
      <c r="AB8822" s="8" t="s">
        <v>437</v>
      </c>
      <c r="AC8822" s="27">
        <v>9785160203898</v>
      </c>
    </row>
    <row r="8823" spans="1:29" s="4" customFormat="1" ht="51.9" customHeight="1" x14ac:dyDescent="0.2">
      <c r="A8823" s="5">
        <v>0</v>
      </c>
      <c r="B8823" s="6" t="s">
        <v>49525</v>
      </c>
      <c r="C8823" s="7">
        <v>2092.8000000000002</v>
      </c>
      <c r="D8823" s="8" t="s">
        <v>49526</v>
      </c>
      <c r="E8823" s="8" t="s">
        <v>49527</v>
      </c>
      <c r="F8823" s="8" t="s">
        <v>49528</v>
      </c>
      <c r="G8823" s="6" t="s">
        <v>118</v>
      </c>
      <c r="H8823" s="6" t="s">
        <v>34</v>
      </c>
      <c r="I8823" s="8" t="s">
        <v>1753</v>
      </c>
      <c r="J8823" s="9">
        <v>1</v>
      </c>
      <c r="K8823" s="9">
        <v>348</v>
      </c>
      <c r="L8823" s="9">
        <v>2025</v>
      </c>
      <c r="M8823" s="8" t="s">
        <v>49529</v>
      </c>
      <c r="N8823" s="8" t="s">
        <v>37</v>
      </c>
      <c r="O8823" s="8" t="s">
        <v>280</v>
      </c>
      <c r="P8823" s="6" t="s">
        <v>306</v>
      </c>
      <c r="Q8823" s="8" t="s">
        <v>500</v>
      </c>
      <c r="R8823" s="10" t="s">
        <v>49530</v>
      </c>
      <c r="S8823" s="11" t="s">
        <v>49531</v>
      </c>
      <c r="T8823" s="6"/>
      <c r="U8823" s="15" t="str">
        <f>HYPERLINK("https://media.infra-m.ru/2173/2173332/cover/2173332.jpg", "Обложка")</f>
        <v>Обложка</v>
      </c>
      <c r="V8823" s="8" t="s">
        <v>247</v>
      </c>
      <c r="W8823" s="6"/>
      <c r="X8823" s="6"/>
      <c r="Y8823" s="6"/>
      <c r="Z8823" s="6"/>
      <c r="AA8823" s="6" t="s">
        <v>896</v>
      </c>
      <c r="AB8823" s="8"/>
      <c r="AC8823" s="27">
        <v>9785160175874</v>
      </c>
    </row>
    <row r="8824" spans="1:29" s="4" customFormat="1" ht="51.9" customHeight="1" x14ac:dyDescent="0.2">
      <c r="A8824" s="5">
        <v>0</v>
      </c>
      <c r="B8824" s="6" t="s">
        <v>49532</v>
      </c>
      <c r="C8824" s="7">
        <v>1344</v>
      </c>
      <c r="D8824" s="8" t="s">
        <v>49533</v>
      </c>
      <c r="E8824" s="8" t="s">
        <v>49534</v>
      </c>
      <c r="F8824" s="8" t="s">
        <v>49422</v>
      </c>
      <c r="G8824" s="6" t="s">
        <v>118</v>
      </c>
      <c r="H8824" s="6" t="s">
        <v>34</v>
      </c>
      <c r="I8824" s="8" t="s">
        <v>271</v>
      </c>
      <c r="J8824" s="9">
        <v>1</v>
      </c>
      <c r="K8824" s="9">
        <v>347</v>
      </c>
      <c r="L8824" s="9">
        <v>2019</v>
      </c>
      <c r="M8824" s="8" t="s">
        <v>49535</v>
      </c>
      <c r="N8824" s="8" t="s">
        <v>37</v>
      </c>
      <c r="O8824" s="8" t="s">
        <v>280</v>
      </c>
      <c r="P8824" s="6" t="s">
        <v>306</v>
      </c>
      <c r="Q8824" s="8" t="s">
        <v>52</v>
      </c>
      <c r="R8824" s="10" t="s">
        <v>49530</v>
      </c>
      <c r="S8824" s="11" t="s">
        <v>2094</v>
      </c>
      <c r="T8824" s="6"/>
      <c r="U8824" s="15" t="str">
        <f>HYPERLINK("https://media.infra-m.ru/1010/1010117/cover/1010117.jpg", "Обложка")</f>
        <v>Обложка</v>
      </c>
      <c r="V8824" s="8" t="s">
        <v>247</v>
      </c>
      <c r="W8824" s="6"/>
      <c r="X8824" s="6"/>
      <c r="Y8824" s="6"/>
      <c r="Z8824" s="6"/>
      <c r="AA8824" s="6" t="s">
        <v>99</v>
      </c>
      <c r="AB8824" s="8"/>
      <c r="AC8824" s="27">
        <v>9785160133416</v>
      </c>
    </row>
    <row r="8825" spans="1:29" s="4" customFormat="1" ht="51.9" customHeight="1" x14ac:dyDescent="0.2">
      <c r="A8825" s="5">
        <v>0</v>
      </c>
      <c r="B8825" s="6" t="s">
        <v>49536</v>
      </c>
      <c r="C8825" s="7">
        <v>1200</v>
      </c>
      <c r="D8825" s="8" t="s">
        <v>49537</v>
      </c>
      <c r="E8825" s="8" t="s">
        <v>49538</v>
      </c>
      <c r="F8825" s="8" t="s">
        <v>49539</v>
      </c>
      <c r="G8825" s="6" t="s">
        <v>33</v>
      </c>
      <c r="H8825" s="6" t="s">
        <v>313</v>
      </c>
      <c r="I8825" s="8" t="s">
        <v>504</v>
      </c>
      <c r="J8825" s="9">
        <v>1</v>
      </c>
      <c r="K8825" s="9">
        <v>217</v>
      </c>
      <c r="L8825" s="9">
        <v>2023</v>
      </c>
      <c r="M8825" s="8" t="s">
        <v>49540</v>
      </c>
      <c r="N8825" s="8" t="s">
        <v>37</v>
      </c>
      <c r="O8825" s="8" t="s">
        <v>280</v>
      </c>
      <c r="P8825" s="6" t="s">
        <v>306</v>
      </c>
      <c r="Q8825" s="8" t="s">
        <v>500</v>
      </c>
      <c r="R8825" s="10" t="s">
        <v>33171</v>
      </c>
      <c r="S8825" s="11"/>
      <c r="T8825" s="6" t="s">
        <v>97</v>
      </c>
      <c r="U8825" s="15" t="str">
        <f>HYPERLINK("https://media.infra-m.ru/1911/1911188/cover/1911188.jpg", "Обложка")</f>
        <v>Обложка</v>
      </c>
      <c r="V8825" s="8" t="s">
        <v>4473</v>
      </c>
      <c r="W8825" s="6"/>
      <c r="X8825" s="6"/>
      <c r="Y8825" s="6"/>
      <c r="Z8825" s="6"/>
      <c r="AA8825" s="6" t="s">
        <v>99</v>
      </c>
      <c r="AB8825" s="8"/>
      <c r="AC8825" s="27">
        <v>9785369015629</v>
      </c>
    </row>
    <row r="8826" spans="1:29" s="4" customFormat="1" ht="51.9" customHeight="1" x14ac:dyDescent="0.2">
      <c r="A8826" s="5">
        <v>0</v>
      </c>
      <c r="B8826" s="6" t="s">
        <v>49541</v>
      </c>
      <c r="C8826" s="7">
        <v>1980</v>
      </c>
      <c r="D8826" s="8" t="s">
        <v>49542</v>
      </c>
      <c r="E8826" s="8" t="s">
        <v>49543</v>
      </c>
      <c r="F8826" s="8" t="s">
        <v>49544</v>
      </c>
      <c r="G8826" s="6" t="s">
        <v>60</v>
      </c>
      <c r="H8826" s="6" t="s">
        <v>34</v>
      </c>
      <c r="I8826" s="8" t="s">
        <v>253</v>
      </c>
      <c r="J8826" s="9">
        <v>1</v>
      </c>
      <c r="K8826" s="9">
        <v>300</v>
      </c>
      <c r="L8826" s="9">
        <v>2025</v>
      </c>
      <c r="M8826" s="8" t="s">
        <v>49545</v>
      </c>
      <c r="N8826" s="8" t="s">
        <v>37</v>
      </c>
      <c r="O8826" s="8" t="s">
        <v>280</v>
      </c>
      <c r="P8826" s="6" t="s">
        <v>306</v>
      </c>
      <c r="Q8826" s="8" t="s">
        <v>52</v>
      </c>
      <c r="R8826" s="10" t="s">
        <v>49546</v>
      </c>
      <c r="S8826" s="11"/>
      <c r="T8826" s="6"/>
      <c r="U8826" s="15" t="str">
        <f>HYPERLINK("https://media.infra-m.ru/2174/2174753/cover/2174753.jpg", "Обложка")</f>
        <v>Обложка</v>
      </c>
      <c r="V8826" s="8" t="s">
        <v>5271</v>
      </c>
      <c r="W8826" s="6" t="s">
        <v>342</v>
      </c>
      <c r="X8826" s="6"/>
      <c r="Y8826" s="6"/>
      <c r="Z8826" s="6"/>
      <c r="AA8826" s="6" t="s">
        <v>68</v>
      </c>
      <c r="AB8826" s="8"/>
      <c r="AC8826" s="27">
        <v>9785160204499</v>
      </c>
    </row>
    <row r="8827" spans="1:29" s="4" customFormat="1" ht="51.9" customHeight="1" x14ac:dyDescent="0.2">
      <c r="A8827" s="5">
        <v>0</v>
      </c>
      <c r="B8827" s="6" t="s">
        <v>49547</v>
      </c>
      <c r="C8827" s="7">
        <v>1301.9000000000001</v>
      </c>
      <c r="D8827" s="8" t="s">
        <v>49548</v>
      </c>
      <c r="E8827" s="8" t="s">
        <v>49538</v>
      </c>
      <c r="F8827" s="8" t="s">
        <v>13556</v>
      </c>
      <c r="G8827" s="6" t="s">
        <v>60</v>
      </c>
      <c r="H8827" s="6" t="s">
        <v>34</v>
      </c>
      <c r="I8827" s="8" t="s">
        <v>271</v>
      </c>
      <c r="J8827" s="9">
        <v>1</v>
      </c>
      <c r="K8827" s="9">
        <v>240</v>
      </c>
      <c r="L8827" s="9">
        <v>2023</v>
      </c>
      <c r="M8827" s="8" t="s">
        <v>49549</v>
      </c>
      <c r="N8827" s="8" t="s">
        <v>37</v>
      </c>
      <c r="O8827" s="8" t="s">
        <v>280</v>
      </c>
      <c r="P8827" s="6" t="s">
        <v>306</v>
      </c>
      <c r="Q8827" s="8" t="s">
        <v>52</v>
      </c>
      <c r="R8827" s="10" t="s">
        <v>49550</v>
      </c>
      <c r="S8827" s="11"/>
      <c r="T8827" s="6"/>
      <c r="U8827" s="15" t="str">
        <f>HYPERLINK("https://media.infra-m.ru/1983/1983235/cover/1983235.jpg", "Обложка")</f>
        <v>Обложка</v>
      </c>
      <c r="V8827" s="8" t="s">
        <v>5964</v>
      </c>
      <c r="W8827" s="6"/>
      <c r="X8827" s="6"/>
      <c r="Y8827" s="6"/>
      <c r="Z8827" s="6"/>
      <c r="AA8827" s="6" t="s">
        <v>16021</v>
      </c>
      <c r="AB8827" s="8"/>
      <c r="AC8827" s="27">
        <v>9785160069609</v>
      </c>
    </row>
    <row r="8828" spans="1:29" s="4" customFormat="1" ht="51.9" customHeight="1" x14ac:dyDescent="0.2">
      <c r="A8828" s="5">
        <v>0</v>
      </c>
      <c r="B8828" s="6" t="s">
        <v>49551</v>
      </c>
      <c r="C8828" s="7">
        <v>1224</v>
      </c>
      <c r="D8828" s="8" t="s">
        <v>49552</v>
      </c>
      <c r="E8828" s="8" t="s">
        <v>49553</v>
      </c>
      <c r="F8828" s="8" t="s">
        <v>49554</v>
      </c>
      <c r="G8828" s="6" t="s">
        <v>118</v>
      </c>
      <c r="H8828" s="6" t="s">
        <v>34</v>
      </c>
      <c r="I8828" s="8" t="s">
        <v>253</v>
      </c>
      <c r="J8828" s="9">
        <v>1</v>
      </c>
      <c r="K8828" s="9">
        <v>185</v>
      </c>
      <c r="L8828" s="9">
        <v>2026</v>
      </c>
      <c r="M8828" s="8" t="s">
        <v>49555</v>
      </c>
      <c r="N8828" s="8" t="s">
        <v>37</v>
      </c>
      <c r="O8828" s="8" t="s">
        <v>280</v>
      </c>
      <c r="P8828" s="6" t="s">
        <v>306</v>
      </c>
      <c r="Q8828" s="8" t="s">
        <v>52</v>
      </c>
      <c r="R8828" s="10" t="s">
        <v>3679</v>
      </c>
      <c r="S8828" s="11" t="s">
        <v>49556</v>
      </c>
      <c r="T8828" s="6"/>
      <c r="U8828" s="15" t="str">
        <f>HYPERLINK("https://media.infra-m.ru/2241/2241203/cover/2241203.jpg", "Обложка")</f>
        <v>Обложка</v>
      </c>
      <c r="V8828" s="8" t="s">
        <v>9155</v>
      </c>
      <c r="W8828" s="6"/>
      <c r="X8828" s="6"/>
      <c r="Y8828" s="6"/>
      <c r="Z8828" s="6"/>
      <c r="AA8828" s="6" t="s">
        <v>896</v>
      </c>
      <c r="AB8828" s="8"/>
      <c r="AC8828" s="27">
        <v>9785160207599</v>
      </c>
    </row>
    <row r="8829" spans="1:29" s="4" customFormat="1" ht="51.9" customHeight="1" x14ac:dyDescent="0.2">
      <c r="A8829" s="5">
        <v>0</v>
      </c>
      <c r="B8829" s="6" t="s">
        <v>49557</v>
      </c>
      <c r="C8829" s="13">
        <v>816</v>
      </c>
      <c r="D8829" s="8" t="s">
        <v>49558</v>
      </c>
      <c r="E8829" s="8" t="s">
        <v>49538</v>
      </c>
      <c r="F8829" s="8" t="s">
        <v>49559</v>
      </c>
      <c r="G8829" s="6" t="s">
        <v>118</v>
      </c>
      <c r="H8829" s="6" t="s">
        <v>34</v>
      </c>
      <c r="I8829" s="8" t="s">
        <v>271</v>
      </c>
      <c r="J8829" s="9">
        <v>1</v>
      </c>
      <c r="K8829" s="9">
        <v>184</v>
      </c>
      <c r="L8829" s="9">
        <v>2021</v>
      </c>
      <c r="M8829" s="8" t="s">
        <v>49560</v>
      </c>
      <c r="N8829" s="8" t="s">
        <v>37</v>
      </c>
      <c r="O8829" s="8" t="s">
        <v>280</v>
      </c>
      <c r="P8829" s="6" t="s">
        <v>306</v>
      </c>
      <c r="Q8829" s="8" t="s">
        <v>52</v>
      </c>
      <c r="R8829" s="10" t="s">
        <v>3679</v>
      </c>
      <c r="S8829" s="11" t="s">
        <v>49556</v>
      </c>
      <c r="T8829" s="6"/>
      <c r="U8829" s="15" t="str">
        <f>HYPERLINK("https://media.infra-m.ru/1584/1584941/cover/1584941.jpg", "Обложка")</f>
        <v>Обложка</v>
      </c>
      <c r="V8829" s="8" t="s">
        <v>9155</v>
      </c>
      <c r="W8829" s="6"/>
      <c r="X8829" s="6"/>
      <c r="Y8829" s="6"/>
      <c r="Z8829" s="6"/>
      <c r="AA8829" s="6" t="s">
        <v>55</v>
      </c>
      <c r="AB8829" s="8"/>
      <c r="AC8829" s="27">
        <v>9785160066202</v>
      </c>
    </row>
    <row r="8830" spans="1:29" s="4" customFormat="1" ht="51.9" customHeight="1" x14ac:dyDescent="0.2">
      <c r="A8830" s="5">
        <v>0</v>
      </c>
      <c r="B8830" s="6" t="s">
        <v>49561</v>
      </c>
      <c r="C8830" s="7">
        <v>1828.8</v>
      </c>
      <c r="D8830" s="8" t="s">
        <v>49562</v>
      </c>
      <c r="E8830" s="8" t="s">
        <v>49538</v>
      </c>
      <c r="F8830" s="8" t="s">
        <v>49563</v>
      </c>
      <c r="G8830" s="6" t="s">
        <v>60</v>
      </c>
      <c r="H8830" s="6" t="s">
        <v>34</v>
      </c>
      <c r="I8830" s="8" t="s">
        <v>271</v>
      </c>
      <c r="J8830" s="9">
        <v>1</v>
      </c>
      <c r="K8830" s="9">
        <v>294</v>
      </c>
      <c r="L8830" s="9">
        <v>2025</v>
      </c>
      <c r="M8830" s="8" t="s">
        <v>49564</v>
      </c>
      <c r="N8830" s="8" t="s">
        <v>37</v>
      </c>
      <c r="O8830" s="8" t="s">
        <v>280</v>
      </c>
      <c r="P8830" s="6" t="s">
        <v>306</v>
      </c>
      <c r="Q8830" s="8" t="s">
        <v>52</v>
      </c>
      <c r="R8830" s="10" t="s">
        <v>49565</v>
      </c>
      <c r="S8830" s="11" t="s">
        <v>2094</v>
      </c>
      <c r="T8830" s="6" t="s">
        <v>97</v>
      </c>
      <c r="U8830" s="15" t="str">
        <f>HYPERLINK("https://media.infra-m.ru/2195/2195036/cover/2195036.jpg", "Обложка")</f>
        <v>Обложка</v>
      </c>
      <c r="V8830" s="8" t="s">
        <v>5250</v>
      </c>
      <c r="W8830" s="6"/>
      <c r="X8830" s="6"/>
      <c r="Y8830" s="6"/>
      <c r="Z8830" s="6"/>
      <c r="AA8830" s="6" t="s">
        <v>779</v>
      </c>
      <c r="AB8830" s="8"/>
      <c r="AC8830" s="27">
        <v>9785160111063</v>
      </c>
    </row>
    <row r="8831" spans="1:29" s="4" customFormat="1" ht="51.9" customHeight="1" x14ac:dyDescent="0.2">
      <c r="A8831" s="5">
        <v>0</v>
      </c>
      <c r="B8831" s="6" t="s">
        <v>49566</v>
      </c>
      <c r="C8831" s="7">
        <v>1420.8</v>
      </c>
      <c r="D8831" s="8" t="s">
        <v>49567</v>
      </c>
      <c r="E8831" s="8" t="s">
        <v>49553</v>
      </c>
      <c r="F8831" s="8" t="s">
        <v>49568</v>
      </c>
      <c r="G8831" s="6" t="s">
        <v>60</v>
      </c>
      <c r="H8831" s="6" t="s">
        <v>1042</v>
      </c>
      <c r="I8831" s="8" t="s">
        <v>253</v>
      </c>
      <c r="J8831" s="9">
        <v>1</v>
      </c>
      <c r="K8831" s="9">
        <v>256</v>
      </c>
      <c r="L8831" s="9">
        <v>2024</v>
      </c>
      <c r="M8831" s="8" t="s">
        <v>49569</v>
      </c>
      <c r="N8831" s="8" t="s">
        <v>37</v>
      </c>
      <c r="O8831" s="8" t="s">
        <v>280</v>
      </c>
      <c r="P8831" s="6" t="s">
        <v>51</v>
      </c>
      <c r="Q8831" s="8" t="s">
        <v>52</v>
      </c>
      <c r="R8831" s="10" t="s">
        <v>357</v>
      </c>
      <c r="S8831" s="11" t="s">
        <v>49570</v>
      </c>
      <c r="T8831" s="6"/>
      <c r="U8831" s="15" t="str">
        <f>HYPERLINK("https://media.infra-m.ru/2053/2053981/cover/2053981.jpg", "Обложка")</f>
        <v>Обложка</v>
      </c>
      <c r="V8831" s="8" t="s">
        <v>4892</v>
      </c>
      <c r="W8831" s="6"/>
      <c r="X8831" s="6"/>
      <c r="Y8831" s="6"/>
      <c r="Z8831" s="6"/>
      <c r="AA8831" s="6" t="s">
        <v>769</v>
      </c>
      <c r="AB8831" s="8"/>
      <c r="AC8831" s="27">
        <v>9785819905050</v>
      </c>
    </row>
    <row r="8832" spans="1:29" s="4" customFormat="1" ht="42" customHeight="1" x14ac:dyDescent="0.2">
      <c r="A8832" s="5">
        <v>0</v>
      </c>
      <c r="B8832" s="6" t="s">
        <v>49571</v>
      </c>
      <c r="C8832" s="7">
        <v>1752</v>
      </c>
      <c r="D8832" s="8" t="s">
        <v>49572</v>
      </c>
      <c r="E8832" s="8" t="s">
        <v>49573</v>
      </c>
      <c r="F8832" s="8" t="s">
        <v>11412</v>
      </c>
      <c r="G8832" s="6" t="s">
        <v>118</v>
      </c>
      <c r="H8832" s="6" t="s">
        <v>34</v>
      </c>
      <c r="I8832" s="8" t="s">
        <v>253</v>
      </c>
      <c r="J8832" s="9">
        <v>1</v>
      </c>
      <c r="K8832" s="9">
        <v>248</v>
      </c>
      <c r="L8832" s="9">
        <v>2026</v>
      </c>
      <c r="M8832" s="8" t="s">
        <v>49574</v>
      </c>
      <c r="N8832" s="8" t="s">
        <v>37</v>
      </c>
      <c r="O8832" s="8" t="s">
        <v>280</v>
      </c>
      <c r="P8832" s="6" t="s">
        <v>51</v>
      </c>
      <c r="Q8832" s="8" t="s">
        <v>65</v>
      </c>
      <c r="R8832" s="10" t="s">
        <v>2086</v>
      </c>
      <c r="S8832" s="11"/>
      <c r="T8832" s="6" t="s">
        <v>97</v>
      </c>
      <c r="U8832" s="15" t="str">
        <f>HYPERLINK("https://media.infra-m.ru/2250/2250293/cover/2250293.jpg", "Обложка")</f>
        <v>Обложка</v>
      </c>
      <c r="V8832" s="8" t="s">
        <v>1425</v>
      </c>
      <c r="W8832" s="6"/>
      <c r="X8832" s="6"/>
      <c r="Y8832" s="6"/>
      <c r="Z8832" s="6"/>
      <c r="AA8832" s="6" t="s">
        <v>1295</v>
      </c>
      <c r="AB8832" s="8"/>
      <c r="AC8832" s="27">
        <v>9785160194240</v>
      </c>
    </row>
    <row r="8833" spans="1:29" s="4" customFormat="1" ht="51.9" customHeight="1" x14ac:dyDescent="0.2">
      <c r="A8833" s="5">
        <v>0</v>
      </c>
      <c r="B8833" s="6" t="s">
        <v>49575</v>
      </c>
      <c r="C8833" s="7">
        <v>1396.8</v>
      </c>
      <c r="D8833" s="8" t="s">
        <v>49576</v>
      </c>
      <c r="E8833" s="8" t="s">
        <v>49538</v>
      </c>
      <c r="F8833" s="8" t="s">
        <v>49577</v>
      </c>
      <c r="G8833" s="6" t="s">
        <v>60</v>
      </c>
      <c r="H8833" s="6" t="s">
        <v>34</v>
      </c>
      <c r="I8833" s="8" t="s">
        <v>271</v>
      </c>
      <c r="J8833" s="9">
        <v>1</v>
      </c>
      <c r="K8833" s="9">
        <v>224</v>
      </c>
      <c r="L8833" s="9">
        <v>2025</v>
      </c>
      <c r="M8833" s="8" t="s">
        <v>49578</v>
      </c>
      <c r="N8833" s="8" t="s">
        <v>37</v>
      </c>
      <c r="O8833" s="8" t="s">
        <v>280</v>
      </c>
      <c r="P8833" s="6" t="s">
        <v>51</v>
      </c>
      <c r="Q8833" s="8" t="s">
        <v>52</v>
      </c>
      <c r="R8833" s="10" t="s">
        <v>49579</v>
      </c>
      <c r="S8833" s="11" t="s">
        <v>49580</v>
      </c>
      <c r="T8833" s="6"/>
      <c r="U8833" s="15" t="str">
        <f>HYPERLINK("https://media.infra-m.ru/2208/2208992/cover/2208992.jpg", "Обложка")</f>
        <v>Обложка</v>
      </c>
      <c r="V8833" s="8" t="s">
        <v>247</v>
      </c>
      <c r="W8833" s="6"/>
      <c r="X8833" s="6"/>
      <c r="Y8833" s="6"/>
      <c r="Z8833" s="6"/>
      <c r="AA8833" s="6" t="s">
        <v>55</v>
      </c>
      <c r="AB8833" s="8"/>
      <c r="AC8833" s="27">
        <v>9785160057866</v>
      </c>
    </row>
    <row r="8834" spans="1:29" s="4" customFormat="1" ht="51.9" customHeight="1" x14ac:dyDescent="0.2">
      <c r="A8834" s="5">
        <v>0</v>
      </c>
      <c r="B8834" s="6" t="s">
        <v>49581</v>
      </c>
      <c r="C8834" s="7">
        <v>1301.9000000000001</v>
      </c>
      <c r="D8834" s="8" t="s">
        <v>49582</v>
      </c>
      <c r="E8834" s="8" t="s">
        <v>49553</v>
      </c>
      <c r="F8834" s="8" t="s">
        <v>11412</v>
      </c>
      <c r="G8834" s="6" t="s">
        <v>60</v>
      </c>
      <c r="H8834" s="6" t="s">
        <v>34</v>
      </c>
      <c r="I8834" s="8" t="s">
        <v>271</v>
      </c>
      <c r="J8834" s="9">
        <v>1</v>
      </c>
      <c r="K8834" s="9">
        <v>240</v>
      </c>
      <c r="L8834" s="9">
        <v>2023</v>
      </c>
      <c r="M8834" s="8" t="s">
        <v>49583</v>
      </c>
      <c r="N8834" s="8" t="s">
        <v>37</v>
      </c>
      <c r="O8834" s="8" t="s">
        <v>280</v>
      </c>
      <c r="P8834" s="6" t="s">
        <v>51</v>
      </c>
      <c r="Q8834" s="8" t="s">
        <v>52</v>
      </c>
      <c r="R8834" s="10" t="s">
        <v>2086</v>
      </c>
      <c r="S8834" s="11" t="s">
        <v>49584</v>
      </c>
      <c r="T8834" s="6" t="s">
        <v>97</v>
      </c>
      <c r="U8834" s="15" t="str">
        <f>HYPERLINK("https://media.infra-m.ru/1911/1911827/cover/1911827.jpg", "Обложка")</f>
        <v>Обложка</v>
      </c>
      <c r="V8834" s="8" t="s">
        <v>1425</v>
      </c>
      <c r="W8834" s="6"/>
      <c r="X8834" s="6"/>
      <c r="Y8834" s="6"/>
      <c r="Z8834" s="6"/>
      <c r="AA8834" s="6" t="s">
        <v>360</v>
      </c>
      <c r="AB8834" s="8"/>
      <c r="AC8834" s="27">
        <v>9785160108285</v>
      </c>
    </row>
    <row r="8835" spans="1:29" s="4" customFormat="1" ht="51.9" customHeight="1" x14ac:dyDescent="0.2">
      <c r="A8835" s="5">
        <v>0</v>
      </c>
      <c r="B8835" s="6" t="s">
        <v>49585</v>
      </c>
      <c r="C8835" s="7">
        <v>1636.8</v>
      </c>
      <c r="D8835" s="8" t="s">
        <v>49586</v>
      </c>
      <c r="E8835" s="8" t="s">
        <v>49538</v>
      </c>
      <c r="F8835" s="8" t="s">
        <v>49587</v>
      </c>
      <c r="G8835" s="6" t="s">
        <v>60</v>
      </c>
      <c r="H8835" s="6" t="s">
        <v>5605</v>
      </c>
      <c r="I8835" s="8" t="s">
        <v>253</v>
      </c>
      <c r="J8835" s="9">
        <v>1</v>
      </c>
      <c r="K8835" s="9">
        <v>236</v>
      </c>
      <c r="L8835" s="9">
        <v>2027</v>
      </c>
      <c r="M8835" s="8" t="s">
        <v>49588</v>
      </c>
      <c r="N8835" s="8" t="s">
        <v>37</v>
      </c>
      <c r="O8835" s="8" t="s">
        <v>280</v>
      </c>
      <c r="P8835" s="6" t="s">
        <v>51</v>
      </c>
      <c r="Q8835" s="8" t="s">
        <v>52</v>
      </c>
      <c r="R8835" s="10" t="s">
        <v>49565</v>
      </c>
      <c r="S8835" s="11" t="s">
        <v>49589</v>
      </c>
      <c r="T8835" s="6"/>
      <c r="U8835" s="15" t="str">
        <f>HYPERLINK("https://media.infra-m.ru/2264/2264768/cover/2264768.jpg", "Обложка")</f>
        <v>Обложка</v>
      </c>
      <c r="V8835" s="8" t="s">
        <v>247</v>
      </c>
      <c r="W8835" s="6"/>
      <c r="X8835" s="6"/>
      <c r="Y8835" s="6"/>
      <c r="Z8835" s="6"/>
      <c r="AA8835" s="6" t="s">
        <v>43</v>
      </c>
      <c r="AB8835" s="8"/>
      <c r="AC8835" s="27">
        <v>9785160036328</v>
      </c>
    </row>
    <row r="8836" spans="1:29" s="4" customFormat="1" ht="51.9" customHeight="1" x14ac:dyDescent="0.2">
      <c r="A8836" s="5">
        <v>0</v>
      </c>
      <c r="B8836" s="6" t="s">
        <v>49590</v>
      </c>
      <c r="C8836" s="7">
        <v>1360.8</v>
      </c>
      <c r="D8836" s="8" t="s">
        <v>49591</v>
      </c>
      <c r="E8836" s="8" t="s">
        <v>49538</v>
      </c>
      <c r="F8836" s="8" t="s">
        <v>6558</v>
      </c>
      <c r="G8836" s="6" t="s">
        <v>60</v>
      </c>
      <c r="H8836" s="6" t="s">
        <v>34</v>
      </c>
      <c r="I8836" s="8" t="s">
        <v>271</v>
      </c>
      <c r="J8836" s="9">
        <v>1</v>
      </c>
      <c r="K8836" s="9">
        <v>247</v>
      </c>
      <c r="L8836" s="9">
        <v>2023</v>
      </c>
      <c r="M8836" s="8" t="s">
        <v>49592</v>
      </c>
      <c r="N8836" s="8" t="s">
        <v>37</v>
      </c>
      <c r="O8836" s="8" t="s">
        <v>280</v>
      </c>
      <c r="P8836" s="6" t="s">
        <v>51</v>
      </c>
      <c r="Q8836" s="8" t="s">
        <v>52</v>
      </c>
      <c r="R8836" s="10" t="s">
        <v>49593</v>
      </c>
      <c r="S8836" s="11" t="s">
        <v>16855</v>
      </c>
      <c r="T8836" s="6"/>
      <c r="U8836" s="15" t="str">
        <f>HYPERLINK("https://media.infra-m.ru/1892/1892017/cover/1892017.jpg", "Обложка")</f>
        <v>Обложка</v>
      </c>
      <c r="V8836" s="8" t="s">
        <v>6560</v>
      </c>
      <c r="W8836" s="6"/>
      <c r="X8836" s="6"/>
      <c r="Y8836" s="6"/>
      <c r="Z8836" s="6"/>
      <c r="AA8836" s="6" t="s">
        <v>99</v>
      </c>
      <c r="AB8836" s="8"/>
      <c r="AC8836" s="27">
        <v>9785160127552</v>
      </c>
    </row>
    <row r="8837" spans="1:29" s="4" customFormat="1" ht="51.9" customHeight="1" x14ac:dyDescent="0.2">
      <c r="A8837" s="5">
        <v>0</v>
      </c>
      <c r="B8837" s="6" t="s">
        <v>49594</v>
      </c>
      <c r="C8837" s="7">
        <v>1428</v>
      </c>
      <c r="D8837" s="8" t="s">
        <v>49595</v>
      </c>
      <c r="E8837" s="8" t="s">
        <v>49596</v>
      </c>
      <c r="F8837" s="8" t="s">
        <v>49597</v>
      </c>
      <c r="G8837" s="6" t="s">
        <v>118</v>
      </c>
      <c r="H8837" s="6" t="s">
        <v>34</v>
      </c>
      <c r="I8837" s="8" t="s">
        <v>457</v>
      </c>
      <c r="J8837" s="9">
        <v>1</v>
      </c>
      <c r="K8837" s="9">
        <v>258</v>
      </c>
      <c r="L8837" s="9">
        <v>2023</v>
      </c>
      <c r="M8837" s="8" t="s">
        <v>49598</v>
      </c>
      <c r="N8837" s="8" t="s">
        <v>37</v>
      </c>
      <c r="O8837" s="8" t="s">
        <v>233</v>
      </c>
      <c r="P8837" s="6" t="s">
        <v>39</v>
      </c>
      <c r="Q8837" s="8" t="s">
        <v>40</v>
      </c>
      <c r="R8837" s="10" t="s">
        <v>49599</v>
      </c>
      <c r="S8837" s="11"/>
      <c r="T8837" s="6"/>
      <c r="U8837" s="15" t="str">
        <f>HYPERLINK("https://media.infra-m.ru/2080/2080764/cover/2080764.jpg", "Обложка")</f>
        <v>Обложка</v>
      </c>
      <c r="V8837" s="8" t="s">
        <v>247</v>
      </c>
      <c r="W8837" s="6"/>
      <c r="X8837" s="6"/>
      <c r="Y8837" s="6"/>
      <c r="Z8837" s="6"/>
      <c r="AA8837" s="6" t="s">
        <v>99</v>
      </c>
      <c r="AB8837" s="8"/>
      <c r="AC8837" s="27">
        <v>9785160127491</v>
      </c>
    </row>
    <row r="8838" spans="1:29" s="4" customFormat="1" ht="42" customHeight="1" x14ac:dyDescent="0.2">
      <c r="A8838" s="5">
        <v>0</v>
      </c>
      <c r="B8838" s="6" t="s">
        <v>49600</v>
      </c>
      <c r="C8838" s="7">
        <v>1032</v>
      </c>
      <c r="D8838" s="8" t="s">
        <v>49601</v>
      </c>
      <c r="E8838" s="8" t="s">
        <v>49602</v>
      </c>
      <c r="F8838" s="8" t="s">
        <v>49603</v>
      </c>
      <c r="G8838" s="6" t="s">
        <v>118</v>
      </c>
      <c r="H8838" s="6" t="s">
        <v>34</v>
      </c>
      <c r="I8838" s="8" t="s">
        <v>35</v>
      </c>
      <c r="J8838" s="9">
        <v>1</v>
      </c>
      <c r="K8838" s="9">
        <v>231</v>
      </c>
      <c r="L8838" s="9">
        <v>2021</v>
      </c>
      <c r="M8838" s="8" t="s">
        <v>49604</v>
      </c>
      <c r="N8838" s="8" t="s">
        <v>37</v>
      </c>
      <c r="O8838" s="8" t="s">
        <v>233</v>
      </c>
      <c r="P8838" s="6" t="s">
        <v>39</v>
      </c>
      <c r="Q8838" s="8" t="s">
        <v>40</v>
      </c>
      <c r="R8838" s="10" t="s">
        <v>2086</v>
      </c>
      <c r="S8838" s="11"/>
      <c r="T8838" s="6"/>
      <c r="U8838" s="15" t="str">
        <f>HYPERLINK("https://media.infra-m.ru/1149/1149630/cover/1149630.jpg", "Обложка")</f>
        <v>Обложка</v>
      </c>
      <c r="V8838" s="8" t="s">
        <v>6560</v>
      </c>
      <c r="W8838" s="6"/>
      <c r="X8838" s="6"/>
      <c r="Y8838" s="6"/>
      <c r="Z8838" s="6"/>
      <c r="AA8838" s="6" t="s">
        <v>86</v>
      </c>
      <c r="AB8838" s="8"/>
      <c r="AC8838" s="27">
        <v>9785160131870</v>
      </c>
    </row>
    <row r="8839" spans="1:29" s="4" customFormat="1" ht="42" customHeight="1" x14ac:dyDescent="0.2">
      <c r="A8839" s="5">
        <v>0</v>
      </c>
      <c r="B8839" s="6" t="s">
        <v>49605</v>
      </c>
      <c r="C8839" s="13">
        <v>708</v>
      </c>
      <c r="D8839" s="8" t="s">
        <v>49606</v>
      </c>
      <c r="E8839" s="8" t="s">
        <v>49607</v>
      </c>
      <c r="F8839" s="8" t="s">
        <v>49608</v>
      </c>
      <c r="G8839" s="6" t="s">
        <v>33</v>
      </c>
      <c r="H8839" s="6" t="s">
        <v>241</v>
      </c>
      <c r="I8839" s="8"/>
      <c r="J8839" s="9">
        <v>1</v>
      </c>
      <c r="K8839" s="9">
        <v>188</v>
      </c>
      <c r="L8839" s="9">
        <v>2018</v>
      </c>
      <c r="M8839" s="8" t="s">
        <v>49609</v>
      </c>
      <c r="N8839" s="8" t="s">
        <v>37</v>
      </c>
      <c r="O8839" s="8" t="s">
        <v>233</v>
      </c>
      <c r="P8839" s="6" t="s">
        <v>39</v>
      </c>
      <c r="Q8839" s="8" t="s">
        <v>500</v>
      </c>
      <c r="R8839" s="10" t="s">
        <v>4087</v>
      </c>
      <c r="S8839" s="11"/>
      <c r="T8839" s="6"/>
      <c r="U8839" s="15" t="str">
        <f>HYPERLINK("https://media.infra-m.ru/0927/0927078/cover/927078.jpg", "Обложка")</f>
        <v>Обложка</v>
      </c>
      <c r="V8839" s="8" t="s">
        <v>20643</v>
      </c>
      <c r="W8839" s="6"/>
      <c r="X8839" s="6"/>
      <c r="Y8839" s="6"/>
      <c r="Z8839" s="6"/>
      <c r="AA8839" s="6" t="s">
        <v>99</v>
      </c>
      <c r="AB8839" s="8"/>
      <c r="AC8839" s="27">
        <v>9785955805702</v>
      </c>
    </row>
    <row r="8840" spans="1:29" s="4" customFormat="1" ht="51.9" customHeight="1" x14ac:dyDescent="0.2">
      <c r="A8840" s="5">
        <v>0</v>
      </c>
      <c r="B8840" s="6" t="s">
        <v>49610</v>
      </c>
      <c r="C8840" s="7">
        <v>1144.8</v>
      </c>
      <c r="D8840" s="8" t="s">
        <v>49611</v>
      </c>
      <c r="E8840" s="8" t="s">
        <v>49612</v>
      </c>
      <c r="F8840" s="8" t="s">
        <v>41654</v>
      </c>
      <c r="G8840" s="6" t="s">
        <v>118</v>
      </c>
      <c r="H8840" s="6" t="s">
        <v>134</v>
      </c>
      <c r="I8840" s="8"/>
      <c r="J8840" s="9">
        <v>1</v>
      </c>
      <c r="K8840" s="9">
        <v>208</v>
      </c>
      <c r="L8840" s="9">
        <v>2023</v>
      </c>
      <c r="M8840" s="8" t="s">
        <v>49613</v>
      </c>
      <c r="N8840" s="8" t="s">
        <v>37</v>
      </c>
      <c r="O8840" s="8" t="s">
        <v>233</v>
      </c>
      <c r="P8840" s="6" t="s">
        <v>51</v>
      </c>
      <c r="Q8840" s="8" t="s">
        <v>500</v>
      </c>
      <c r="R8840" s="10" t="s">
        <v>49614</v>
      </c>
      <c r="S8840" s="11"/>
      <c r="T8840" s="6"/>
      <c r="U8840" s="15" t="str">
        <f>HYPERLINK("https://media.infra-m.ru/2006/2006932/cover/2006932.jpg", "Обложка")</f>
        <v>Обложка</v>
      </c>
      <c r="V8840" s="8" t="s">
        <v>1184</v>
      </c>
      <c r="W8840" s="6"/>
      <c r="X8840" s="6"/>
      <c r="Y8840" s="6"/>
      <c r="Z8840" s="6"/>
      <c r="AA8840" s="6" t="s">
        <v>258</v>
      </c>
      <c r="AB8840" s="8"/>
      <c r="AC8840" s="27">
        <v>9785001561347</v>
      </c>
    </row>
    <row r="8841" spans="1:29" s="4" customFormat="1" ht="51.9" customHeight="1" x14ac:dyDescent="0.2">
      <c r="A8841" s="5">
        <v>0</v>
      </c>
      <c r="B8841" s="6" t="s">
        <v>49615</v>
      </c>
      <c r="C8841" s="7">
        <v>1732.8</v>
      </c>
      <c r="D8841" s="8" t="s">
        <v>49616</v>
      </c>
      <c r="E8841" s="8" t="s">
        <v>49617</v>
      </c>
      <c r="F8841" s="8" t="s">
        <v>49618</v>
      </c>
      <c r="G8841" s="6" t="s">
        <v>118</v>
      </c>
      <c r="H8841" s="6" t="s">
        <v>134</v>
      </c>
      <c r="I8841" s="8"/>
      <c r="J8841" s="9">
        <v>1</v>
      </c>
      <c r="K8841" s="9">
        <v>248</v>
      </c>
      <c r="L8841" s="9">
        <v>2026</v>
      </c>
      <c r="M8841" s="8" t="s">
        <v>49619</v>
      </c>
      <c r="N8841" s="8" t="s">
        <v>37</v>
      </c>
      <c r="O8841" s="8" t="s">
        <v>233</v>
      </c>
      <c r="P8841" s="6" t="s">
        <v>51</v>
      </c>
      <c r="Q8841" s="8" t="s">
        <v>500</v>
      </c>
      <c r="R8841" s="10" t="s">
        <v>49614</v>
      </c>
      <c r="S8841" s="11"/>
      <c r="T8841" s="6"/>
      <c r="U8841" s="15" t="str">
        <f>HYPERLINK("https://media.infra-m.ru/2254/2254942/cover/2254942.jpg", "Обложка")</f>
        <v>Обложка</v>
      </c>
      <c r="V8841" s="8" t="s">
        <v>3087</v>
      </c>
      <c r="W8841" s="6"/>
      <c r="X8841" s="6"/>
      <c r="Y8841" s="6"/>
      <c r="Z8841" s="6"/>
      <c r="AA8841" s="6" t="s">
        <v>1295</v>
      </c>
      <c r="AB8841" s="8"/>
      <c r="AC8841" s="27">
        <v>9785001563891</v>
      </c>
    </row>
    <row r="8842" spans="1:29" s="4" customFormat="1" ht="51.9" customHeight="1" x14ac:dyDescent="0.2">
      <c r="A8842" s="5">
        <v>0</v>
      </c>
      <c r="B8842" s="6" t="s">
        <v>49620</v>
      </c>
      <c r="C8842" s="13">
        <v>720</v>
      </c>
      <c r="D8842" s="8" t="s">
        <v>49621</v>
      </c>
      <c r="E8842" s="8" t="s">
        <v>49622</v>
      </c>
      <c r="F8842" s="8" t="s">
        <v>41654</v>
      </c>
      <c r="G8842" s="6" t="s">
        <v>60</v>
      </c>
      <c r="H8842" s="6" t="s">
        <v>134</v>
      </c>
      <c r="I8842" s="8"/>
      <c r="J8842" s="9">
        <v>1</v>
      </c>
      <c r="K8842" s="9">
        <v>176</v>
      </c>
      <c r="L8842" s="9">
        <v>2018</v>
      </c>
      <c r="M8842" s="8" t="s">
        <v>49623</v>
      </c>
      <c r="N8842" s="8" t="s">
        <v>37</v>
      </c>
      <c r="O8842" s="8" t="s">
        <v>233</v>
      </c>
      <c r="P8842" s="6" t="s">
        <v>51</v>
      </c>
      <c r="Q8842" s="8" t="s">
        <v>500</v>
      </c>
      <c r="R8842" s="10" t="s">
        <v>49614</v>
      </c>
      <c r="S8842" s="11"/>
      <c r="T8842" s="6"/>
      <c r="U8842" s="15" t="str">
        <f>HYPERLINK("https://media.infra-m.ru/0948/0948180/cover/948180.jpg", "Обложка")</f>
        <v>Обложка</v>
      </c>
      <c r="V8842" s="8" t="s">
        <v>1184</v>
      </c>
      <c r="W8842" s="6"/>
      <c r="X8842" s="6"/>
      <c r="Y8842" s="6"/>
      <c r="Z8842" s="6"/>
      <c r="AA8842" s="6" t="s">
        <v>86</v>
      </c>
      <c r="AB8842" s="8"/>
      <c r="AC8842" s="27">
        <v>9785917688978</v>
      </c>
    </row>
    <row r="8843" spans="1:29" s="4" customFormat="1" ht="44.1" customHeight="1" x14ac:dyDescent="0.2">
      <c r="A8843" s="5">
        <v>0</v>
      </c>
      <c r="B8843" s="6" t="s">
        <v>49624</v>
      </c>
      <c r="C8843" s="7">
        <v>2388</v>
      </c>
      <c r="D8843" s="8" t="s">
        <v>49625</v>
      </c>
      <c r="E8843" s="8" t="s">
        <v>49626</v>
      </c>
      <c r="F8843" s="8" t="s">
        <v>49627</v>
      </c>
      <c r="G8843" s="6" t="s">
        <v>118</v>
      </c>
      <c r="H8843" s="6" t="s">
        <v>134</v>
      </c>
      <c r="I8843" s="8"/>
      <c r="J8843" s="9">
        <v>1</v>
      </c>
      <c r="K8843" s="9">
        <v>344</v>
      </c>
      <c r="L8843" s="9">
        <v>2026</v>
      </c>
      <c r="M8843" s="8" t="s">
        <v>49628</v>
      </c>
      <c r="N8843" s="8" t="s">
        <v>37</v>
      </c>
      <c r="O8843" s="8" t="s">
        <v>136</v>
      </c>
      <c r="P8843" s="6" t="s">
        <v>39</v>
      </c>
      <c r="Q8843" s="8"/>
      <c r="R8843" s="10" t="s">
        <v>34009</v>
      </c>
      <c r="S8843" s="11"/>
      <c r="T8843" s="6"/>
      <c r="U8843" s="15" t="str">
        <f>HYPERLINK("https://media.infra-m.ru/2253/2253092/cover/2253092.jpg", "Обложка")</f>
        <v>Обложка</v>
      </c>
      <c r="V8843" s="8" t="s">
        <v>1184</v>
      </c>
      <c r="W8843" s="6"/>
      <c r="X8843" s="6"/>
      <c r="Y8843" s="6"/>
      <c r="Z8843" s="6"/>
      <c r="AA8843" s="6" t="s">
        <v>76</v>
      </c>
      <c r="AB8843" s="8"/>
      <c r="AC8843" s="27">
        <v>9785001563730</v>
      </c>
    </row>
    <row r="8844" spans="1:29" s="4" customFormat="1" ht="42" customHeight="1" x14ac:dyDescent="0.2">
      <c r="A8844" s="5">
        <v>0</v>
      </c>
      <c r="B8844" s="6" t="s">
        <v>49629</v>
      </c>
      <c r="C8844" s="7">
        <v>1888.8</v>
      </c>
      <c r="D8844" s="8" t="s">
        <v>49630</v>
      </c>
      <c r="E8844" s="8" t="s">
        <v>49631</v>
      </c>
      <c r="F8844" s="8" t="s">
        <v>49632</v>
      </c>
      <c r="G8844" s="6" t="s">
        <v>60</v>
      </c>
      <c r="H8844" s="6" t="s">
        <v>241</v>
      </c>
      <c r="I8844" s="8"/>
      <c r="J8844" s="9">
        <v>1</v>
      </c>
      <c r="K8844" s="9">
        <v>343</v>
      </c>
      <c r="L8844" s="9">
        <v>2024</v>
      </c>
      <c r="M8844" s="8" t="s">
        <v>49633</v>
      </c>
      <c r="N8844" s="8" t="s">
        <v>37</v>
      </c>
      <c r="O8844" s="8" t="s">
        <v>233</v>
      </c>
      <c r="P8844" s="6" t="s">
        <v>306</v>
      </c>
      <c r="Q8844" s="8" t="s">
        <v>500</v>
      </c>
      <c r="R8844" s="10" t="s">
        <v>48230</v>
      </c>
      <c r="S8844" s="11"/>
      <c r="T8844" s="6" t="s">
        <v>97</v>
      </c>
      <c r="U8844" s="15" t="str">
        <f>HYPERLINK("https://media.infra-m.ru/2079/2079595/cover/2079595.jpg", "Обложка")</f>
        <v>Обложка</v>
      </c>
      <c r="V8844" s="8" t="s">
        <v>247</v>
      </c>
      <c r="W8844" s="6"/>
      <c r="X8844" s="6"/>
      <c r="Y8844" s="6"/>
      <c r="Z8844" s="6"/>
      <c r="AA8844" s="6" t="s">
        <v>623</v>
      </c>
      <c r="AB8844" s="8"/>
      <c r="AC8844" s="27">
        <v>9785955803807</v>
      </c>
    </row>
    <row r="8845" spans="1:29" s="4" customFormat="1" ht="44.1" customHeight="1" x14ac:dyDescent="0.2">
      <c r="A8845" s="5">
        <v>0</v>
      </c>
      <c r="B8845" s="6" t="s">
        <v>49634</v>
      </c>
      <c r="C8845" s="7">
        <v>2740.8</v>
      </c>
      <c r="D8845" s="8" t="s">
        <v>49635</v>
      </c>
      <c r="E8845" s="8" t="s">
        <v>49636</v>
      </c>
      <c r="F8845" s="8" t="s">
        <v>49637</v>
      </c>
      <c r="G8845" s="6" t="s">
        <v>60</v>
      </c>
      <c r="H8845" s="6" t="s">
        <v>34</v>
      </c>
      <c r="I8845" s="8" t="s">
        <v>304</v>
      </c>
      <c r="J8845" s="9">
        <v>1</v>
      </c>
      <c r="K8845" s="9">
        <v>416</v>
      </c>
      <c r="L8845" s="9">
        <v>2025</v>
      </c>
      <c r="M8845" s="8" t="s">
        <v>49638</v>
      </c>
      <c r="N8845" s="8" t="s">
        <v>37</v>
      </c>
      <c r="O8845" s="8" t="s">
        <v>233</v>
      </c>
      <c r="P8845" s="6" t="s">
        <v>306</v>
      </c>
      <c r="Q8845" s="8" t="s">
        <v>52</v>
      </c>
      <c r="R8845" s="10" t="s">
        <v>49639</v>
      </c>
      <c r="S8845" s="11"/>
      <c r="T8845" s="6" t="s">
        <v>97</v>
      </c>
      <c r="U8845" s="15" t="str">
        <f>HYPERLINK("https://media.infra-m.ru/2229/2229954/cover/2229954.jpg", "Обложка")</f>
        <v>Обложка</v>
      </c>
      <c r="V8845" s="8" t="s">
        <v>247</v>
      </c>
      <c r="W8845" s="6"/>
      <c r="X8845" s="6"/>
      <c r="Y8845" s="6"/>
      <c r="Z8845" s="6"/>
      <c r="AA8845" s="6" t="s">
        <v>1295</v>
      </c>
      <c r="AB8845" s="8"/>
      <c r="AC8845" s="27">
        <v>9785160200699</v>
      </c>
    </row>
    <row r="8846" spans="1:29" s="4" customFormat="1" ht="44.1" customHeight="1" x14ac:dyDescent="0.2">
      <c r="A8846" s="5">
        <v>0</v>
      </c>
      <c r="B8846" s="6" t="s">
        <v>49640</v>
      </c>
      <c r="C8846" s="7">
        <v>2057.9</v>
      </c>
      <c r="D8846" s="8" t="s">
        <v>49641</v>
      </c>
      <c r="E8846" s="8" t="s">
        <v>49642</v>
      </c>
      <c r="F8846" s="8" t="s">
        <v>49643</v>
      </c>
      <c r="G8846" s="6" t="s">
        <v>60</v>
      </c>
      <c r="H8846" s="6" t="s">
        <v>241</v>
      </c>
      <c r="I8846" s="8"/>
      <c r="J8846" s="9">
        <v>1</v>
      </c>
      <c r="K8846" s="9">
        <v>464</v>
      </c>
      <c r="L8846" s="9">
        <v>2021</v>
      </c>
      <c r="M8846" s="8" t="s">
        <v>49644</v>
      </c>
      <c r="N8846" s="8" t="s">
        <v>37</v>
      </c>
      <c r="O8846" s="8" t="s">
        <v>233</v>
      </c>
      <c r="P8846" s="6" t="s">
        <v>306</v>
      </c>
      <c r="Q8846" s="8" t="s">
        <v>52</v>
      </c>
      <c r="R8846" s="10" t="s">
        <v>49639</v>
      </c>
      <c r="S8846" s="11"/>
      <c r="T8846" s="6" t="s">
        <v>97</v>
      </c>
      <c r="U8846" s="15" t="str">
        <f>HYPERLINK("https://media.infra-m.ru/1658/1658736/cover/1658736.jpg", "Обложка")</f>
        <v>Обложка</v>
      </c>
      <c r="V8846" s="8" t="s">
        <v>247</v>
      </c>
      <c r="W8846" s="6"/>
      <c r="X8846" s="6"/>
      <c r="Y8846" s="6"/>
      <c r="Z8846" s="6"/>
      <c r="AA8846" s="6" t="s">
        <v>274</v>
      </c>
      <c r="AB8846" s="8"/>
      <c r="AC8846" s="27">
        <v>9785955803463</v>
      </c>
    </row>
    <row r="8847" spans="1:29" s="4" customFormat="1" ht="51.9" customHeight="1" x14ac:dyDescent="0.2">
      <c r="A8847" s="5">
        <v>0</v>
      </c>
      <c r="B8847" s="6" t="s">
        <v>49645</v>
      </c>
      <c r="C8847" s="7">
        <v>1528.8</v>
      </c>
      <c r="D8847" s="8" t="s">
        <v>49646</v>
      </c>
      <c r="E8847" s="8" t="s">
        <v>49647</v>
      </c>
      <c r="F8847" s="8" t="s">
        <v>49648</v>
      </c>
      <c r="G8847" s="6" t="s">
        <v>60</v>
      </c>
      <c r="H8847" s="6" t="s">
        <v>34</v>
      </c>
      <c r="I8847" s="8" t="s">
        <v>271</v>
      </c>
      <c r="J8847" s="9">
        <v>1</v>
      </c>
      <c r="K8847" s="9">
        <v>280</v>
      </c>
      <c r="L8847" s="9">
        <v>2023</v>
      </c>
      <c r="M8847" s="8" t="s">
        <v>49649</v>
      </c>
      <c r="N8847" s="8" t="s">
        <v>37</v>
      </c>
      <c r="O8847" s="8" t="s">
        <v>233</v>
      </c>
      <c r="P8847" s="6" t="s">
        <v>306</v>
      </c>
      <c r="Q8847" s="8" t="s">
        <v>52</v>
      </c>
      <c r="R8847" s="10" t="s">
        <v>357</v>
      </c>
      <c r="S8847" s="11" t="s">
        <v>3643</v>
      </c>
      <c r="T8847" s="6"/>
      <c r="U8847" s="15" t="str">
        <f>HYPERLINK("https://media.infra-m.ru/2021/2021410/cover/2021410.jpg", "Обложка")</f>
        <v>Обложка</v>
      </c>
      <c r="V8847" s="8" t="s">
        <v>657</v>
      </c>
      <c r="W8847" s="6"/>
      <c r="X8847" s="6"/>
      <c r="Y8847" s="6"/>
      <c r="Z8847" s="6"/>
      <c r="AA8847" s="6" t="s">
        <v>115</v>
      </c>
      <c r="AB8847" s="8" t="s">
        <v>1317</v>
      </c>
      <c r="AC8847" s="27">
        <v>9785160145525</v>
      </c>
    </row>
    <row r="8848" spans="1:29" s="4" customFormat="1" ht="51.9" customHeight="1" x14ac:dyDescent="0.2">
      <c r="A8848" s="5">
        <v>0</v>
      </c>
      <c r="B8848" s="6" t="s">
        <v>49650</v>
      </c>
      <c r="C8848" s="7">
        <v>3592.8</v>
      </c>
      <c r="D8848" s="8" t="s">
        <v>49651</v>
      </c>
      <c r="E8848" s="8" t="s">
        <v>49652</v>
      </c>
      <c r="F8848" s="8" t="s">
        <v>49653</v>
      </c>
      <c r="G8848" s="6" t="s">
        <v>118</v>
      </c>
      <c r="H8848" s="6" t="s">
        <v>34</v>
      </c>
      <c r="I8848" s="8" t="s">
        <v>271</v>
      </c>
      <c r="J8848" s="9">
        <v>1</v>
      </c>
      <c r="K8848" s="9">
        <v>622</v>
      </c>
      <c r="L8848" s="9">
        <v>2027</v>
      </c>
      <c r="M8848" s="8" t="s">
        <v>49654</v>
      </c>
      <c r="N8848" s="8" t="s">
        <v>37</v>
      </c>
      <c r="O8848" s="8" t="s">
        <v>233</v>
      </c>
      <c r="P8848" s="6" t="s">
        <v>306</v>
      </c>
      <c r="Q8848" s="8" t="s">
        <v>52</v>
      </c>
      <c r="R8848" s="10" t="s">
        <v>5149</v>
      </c>
      <c r="S8848" s="11" t="s">
        <v>49655</v>
      </c>
      <c r="T8848" s="6" t="s">
        <v>97</v>
      </c>
      <c r="U8848" s="15" t="str">
        <f>HYPERLINK("https://media.infra-m.ru/2139/2139006/cover/2139006.jpg", "Обложка")</f>
        <v>Обложка</v>
      </c>
      <c r="V8848" s="8" t="s">
        <v>247</v>
      </c>
      <c r="W8848" s="6"/>
      <c r="X8848" s="6"/>
      <c r="Y8848" s="6"/>
      <c r="Z8848" s="6"/>
      <c r="AA8848" s="6" t="s">
        <v>7875</v>
      </c>
      <c r="AB8848" s="8"/>
      <c r="AC8848" s="27">
        <v>9785160123479</v>
      </c>
    </row>
    <row r="8849" spans="1:29" s="4" customFormat="1" ht="51.9" customHeight="1" x14ac:dyDescent="0.2">
      <c r="A8849" s="5">
        <v>0</v>
      </c>
      <c r="B8849" s="6" t="s">
        <v>49656</v>
      </c>
      <c r="C8849" s="7">
        <v>1073.9000000000001</v>
      </c>
      <c r="D8849" s="8" t="s">
        <v>49657</v>
      </c>
      <c r="E8849" s="8" t="s">
        <v>49658</v>
      </c>
      <c r="F8849" s="8" t="s">
        <v>49659</v>
      </c>
      <c r="G8849" s="6" t="s">
        <v>60</v>
      </c>
      <c r="H8849" s="6" t="s">
        <v>34</v>
      </c>
      <c r="I8849" s="8" t="s">
        <v>253</v>
      </c>
      <c r="J8849" s="9">
        <v>10</v>
      </c>
      <c r="K8849" s="9">
        <v>784</v>
      </c>
      <c r="L8849" s="9">
        <v>2016</v>
      </c>
      <c r="M8849" s="8" t="s">
        <v>49660</v>
      </c>
      <c r="N8849" s="8" t="s">
        <v>37</v>
      </c>
      <c r="O8849" s="8" t="s">
        <v>233</v>
      </c>
      <c r="P8849" s="6" t="s">
        <v>306</v>
      </c>
      <c r="Q8849" s="8" t="s">
        <v>52</v>
      </c>
      <c r="R8849" s="10" t="s">
        <v>5149</v>
      </c>
      <c r="S8849" s="11" t="s">
        <v>49661</v>
      </c>
      <c r="T8849" s="6"/>
      <c r="U8849" s="15" t="str">
        <f>HYPERLINK("https://media.infra-m.ru/0548/0548451/cover/548451.jpg", "Обложка")</f>
        <v>Обложка</v>
      </c>
      <c r="V8849" s="8" t="s">
        <v>247</v>
      </c>
      <c r="W8849" s="6"/>
      <c r="X8849" s="6"/>
      <c r="Y8849" s="6"/>
      <c r="Z8849" s="6"/>
      <c r="AA8849" s="6" t="s">
        <v>12642</v>
      </c>
      <c r="AB8849" s="8"/>
      <c r="AC8849" s="27">
        <v>9785160048635</v>
      </c>
    </row>
    <row r="8850" spans="1:29" s="4" customFormat="1" ht="42" customHeight="1" x14ac:dyDescent="0.2">
      <c r="A8850" s="5">
        <v>0</v>
      </c>
      <c r="B8850" s="6" t="s">
        <v>49662</v>
      </c>
      <c r="C8850" s="13">
        <v>904.8</v>
      </c>
      <c r="D8850" s="8" t="s">
        <v>49663</v>
      </c>
      <c r="E8850" s="8" t="s">
        <v>49664</v>
      </c>
      <c r="F8850" s="8" t="s">
        <v>49665</v>
      </c>
      <c r="G8850" s="6" t="s">
        <v>33</v>
      </c>
      <c r="H8850" s="6" t="s">
        <v>34</v>
      </c>
      <c r="I8850" s="8" t="s">
        <v>35</v>
      </c>
      <c r="J8850" s="9">
        <v>1</v>
      </c>
      <c r="K8850" s="9">
        <v>134</v>
      </c>
      <c r="L8850" s="9">
        <v>2027</v>
      </c>
      <c r="M8850" s="8" t="s">
        <v>49666</v>
      </c>
      <c r="N8850" s="8" t="s">
        <v>37</v>
      </c>
      <c r="O8850" s="8" t="s">
        <v>233</v>
      </c>
      <c r="P8850" s="6" t="s">
        <v>39</v>
      </c>
      <c r="Q8850" s="8" t="s">
        <v>40</v>
      </c>
      <c r="R8850" s="10" t="s">
        <v>49667</v>
      </c>
      <c r="S8850" s="11"/>
      <c r="T8850" s="6" t="s">
        <v>97</v>
      </c>
      <c r="U8850" s="15" t="str">
        <f>HYPERLINK("https://media.infra-m.ru/2257/2257141/cover/2257141.jpg", "Обложка")</f>
        <v>Обложка</v>
      </c>
      <c r="V8850" s="8" t="s">
        <v>396</v>
      </c>
      <c r="W8850" s="6"/>
      <c r="X8850" s="6"/>
      <c r="Y8850" s="6"/>
      <c r="Z8850" s="6"/>
      <c r="AA8850" s="6" t="s">
        <v>99</v>
      </c>
      <c r="AB8850" s="8"/>
      <c r="AC8850" s="27">
        <v>9785160127453</v>
      </c>
    </row>
    <row r="8851" spans="1:29" s="4" customFormat="1" ht="51.9" customHeight="1" x14ac:dyDescent="0.2">
      <c r="A8851" s="5">
        <v>0</v>
      </c>
      <c r="B8851" s="6" t="s">
        <v>49668</v>
      </c>
      <c r="C8851" s="7">
        <v>1308</v>
      </c>
      <c r="D8851" s="8" t="s">
        <v>49669</v>
      </c>
      <c r="E8851" s="8" t="s">
        <v>49670</v>
      </c>
      <c r="F8851" s="8" t="s">
        <v>6558</v>
      </c>
      <c r="G8851" s="6" t="s">
        <v>60</v>
      </c>
      <c r="H8851" s="6" t="s">
        <v>34</v>
      </c>
      <c r="I8851" s="8" t="s">
        <v>253</v>
      </c>
      <c r="J8851" s="9">
        <v>1</v>
      </c>
      <c r="K8851" s="9">
        <v>222</v>
      </c>
      <c r="L8851" s="9">
        <v>2024</v>
      </c>
      <c r="M8851" s="8" t="s">
        <v>49671</v>
      </c>
      <c r="N8851" s="8" t="s">
        <v>37</v>
      </c>
      <c r="O8851" s="8" t="s">
        <v>233</v>
      </c>
      <c r="P8851" s="6" t="s">
        <v>306</v>
      </c>
      <c r="Q8851" s="8" t="s">
        <v>52</v>
      </c>
      <c r="R8851" s="10" t="s">
        <v>49672</v>
      </c>
      <c r="S8851" s="11"/>
      <c r="T8851" s="6"/>
      <c r="U8851" s="15" t="str">
        <f>HYPERLINK("https://media.infra-m.ru/1846/1846126/cover/1846126.jpg", "Обложка")</f>
        <v>Обложка</v>
      </c>
      <c r="V8851" s="8" t="s">
        <v>6560</v>
      </c>
      <c r="W8851" s="6"/>
      <c r="X8851" s="6"/>
      <c r="Y8851" s="6"/>
      <c r="Z8851" s="6"/>
      <c r="AA8851" s="6" t="s">
        <v>76</v>
      </c>
      <c r="AB8851" s="8"/>
      <c r="AC8851" s="27">
        <v>9785160173689</v>
      </c>
    </row>
    <row r="8852" spans="1:29" s="4" customFormat="1" ht="42" customHeight="1" x14ac:dyDescent="0.2">
      <c r="A8852" s="5">
        <v>0</v>
      </c>
      <c r="B8852" s="6" t="s">
        <v>49673</v>
      </c>
      <c r="C8852" s="7">
        <v>1032</v>
      </c>
      <c r="D8852" s="8" t="s">
        <v>49674</v>
      </c>
      <c r="E8852" s="8" t="s">
        <v>49675</v>
      </c>
      <c r="F8852" s="8" t="s">
        <v>13096</v>
      </c>
      <c r="G8852" s="6" t="s">
        <v>33</v>
      </c>
      <c r="H8852" s="6" t="s">
        <v>313</v>
      </c>
      <c r="I8852" s="8" t="s">
        <v>9095</v>
      </c>
      <c r="J8852" s="9">
        <v>1</v>
      </c>
      <c r="K8852" s="9">
        <v>154</v>
      </c>
      <c r="L8852" s="9">
        <v>2026</v>
      </c>
      <c r="M8852" s="8" t="s">
        <v>49676</v>
      </c>
      <c r="N8852" s="8" t="s">
        <v>37</v>
      </c>
      <c r="O8852" s="8" t="s">
        <v>233</v>
      </c>
      <c r="P8852" s="6" t="s">
        <v>51</v>
      </c>
      <c r="Q8852" s="8" t="s">
        <v>183</v>
      </c>
      <c r="R8852" s="10" t="s">
        <v>3008</v>
      </c>
      <c r="S8852" s="11"/>
      <c r="T8852" s="6"/>
      <c r="U8852" s="15" t="str">
        <f>HYPERLINK("https://media.infra-m.ru/2222/2222250/cover/2222250.jpg", "Обложка")</f>
        <v>Обложка</v>
      </c>
      <c r="V8852" s="8" t="s">
        <v>657</v>
      </c>
      <c r="W8852" s="6"/>
      <c r="X8852" s="6"/>
      <c r="Y8852" s="6"/>
      <c r="Z8852" s="6"/>
      <c r="AA8852" s="6" t="s">
        <v>360</v>
      </c>
      <c r="AB8852" s="8"/>
      <c r="AC8852" s="27">
        <v>9785369015148</v>
      </c>
    </row>
    <row r="8853" spans="1:29" s="4" customFormat="1" ht="51.9" customHeight="1" x14ac:dyDescent="0.2">
      <c r="A8853" s="5">
        <v>0</v>
      </c>
      <c r="B8853" s="6" t="s">
        <v>49677</v>
      </c>
      <c r="C8853" s="7">
        <v>2628</v>
      </c>
      <c r="D8853" s="8" t="s">
        <v>49678</v>
      </c>
      <c r="E8853" s="8" t="s">
        <v>49679</v>
      </c>
      <c r="F8853" s="8" t="s">
        <v>49680</v>
      </c>
      <c r="G8853" s="6" t="s">
        <v>118</v>
      </c>
      <c r="H8853" s="6" t="s">
        <v>34</v>
      </c>
      <c r="I8853" s="8" t="s">
        <v>253</v>
      </c>
      <c r="J8853" s="9">
        <v>1</v>
      </c>
      <c r="K8853" s="9">
        <v>398</v>
      </c>
      <c r="L8853" s="9">
        <v>2026</v>
      </c>
      <c r="M8853" s="8" t="s">
        <v>49681</v>
      </c>
      <c r="N8853" s="8" t="s">
        <v>37</v>
      </c>
      <c r="O8853" s="8" t="s">
        <v>233</v>
      </c>
      <c r="P8853" s="6" t="s">
        <v>51</v>
      </c>
      <c r="Q8853" s="8" t="s">
        <v>65</v>
      </c>
      <c r="R8853" s="10" t="s">
        <v>1503</v>
      </c>
      <c r="S8853" s="11" t="s">
        <v>49682</v>
      </c>
      <c r="T8853" s="6" t="s">
        <v>97</v>
      </c>
      <c r="U8853" s="15" t="str">
        <f>HYPERLINK("https://media.infra-m.ru/2226/2226029/cover/2226029.jpg", "Обложка")</f>
        <v>Обложка</v>
      </c>
      <c r="V8853" s="8" t="s">
        <v>49683</v>
      </c>
      <c r="W8853" s="6"/>
      <c r="X8853" s="6"/>
      <c r="Y8853" s="6"/>
      <c r="Z8853" s="6"/>
      <c r="AA8853" s="6" t="s">
        <v>248</v>
      </c>
      <c r="AB8853" s="8"/>
      <c r="AC8853" s="27">
        <v>9785160190228</v>
      </c>
    </row>
    <row r="8854" spans="1:29" s="4" customFormat="1" ht="51.9" customHeight="1" x14ac:dyDescent="0.2">
      <c r="A8854" s="5">
        <v>0</v>
      </c>
      <c r="B8854" s="6" t="s">
        <v>49684</v>
      </c>
      <c r="C8854" s="7">
        <v>1800</v>
      </c>
      <c r="D8854" s="8" t="s">
        <v>49685</v>
      </c>
      <c r="E8854" s="8" t="s">
        <v>49686</v>
      </c>
      <c r="F8854" s="8" t="s">
        <v>49687</v>
      </c>
      <c r="G8854" s="6" t="s">
        <v>118</v>
      </c>
      <c r="H8854" s="6" t="s">
        <v>34</v>
      </c>
      <c r="I8854" s="8" t="s">
        <v>1753</v>
      </c>
      <c r="J8854" s="9">
        <v>1</v>
      </c>
      <c r="K8854" s="9">
        <v>313</v>
      </c>
      <c r="L8854" s="9">
        <v>2023</v>
      </c>
      <c r="M8854" s="8" t="s">
        <v>49688</v>
      </c>
      <c r="N8854" s="8" t="s">
        <v>37</v>
      </c>
      <c r="O8854" s="8" t="s">
        <v>233</v>
      </c>
      <c r="P8854" s="6" t="s">
        <v>306</v>
      </c>
      <c r="Q8854" s="8" t="s">
        <v>500</v>
      </c>
      <c r="R8854" s="10" t="s">
        <v>4087</v>
      </c>
      <c r="S8854" s="11" t="s">
        <v>49689</v>
      </c>
      <c r="T8854" s="6"/>
      <c r="U8854" s="15" t="str">
        <f>HYPERLINK("https://media.infra-m.ru/2001/2001663/cover/2001663.jpg", "Обложка")</f>
        <v>Обложка</v>
      </c>
      <c r="V8854" s="8" t="s">
        <v>247</v>
      </c>
      <c r="W8854" s="6"/>
      <c r="X8854" s="6"/>
      <c r="Y8854" s="6"/>
      <c r="Z8854" s="6"/>
      <c r="AA8854" s="6" t="s">
        <v>430</v>
      </c>
      <c r="AB8854" s="8" t="s">
        <v>2231</v>
      </c>
      <c r="AC8854" s="27">
        <v>9785160157115</v>
      </c>
    </row>
    <row r="8855" spans="1:29" s="4" customFormat="1" ht="51.9" customHeight="1" x14ac:dyDescent="0.2">
      <c r="A8855" s="5">
        <v>0</v>
      </c>
      <c r="B8855" s="6" t="s">
        <v>49690</v>
      </c>
      <c r="C8855" s="7">
        <v>4060.8</v>
      </c>
      <c r="D8855" s="8" t="s">
        <v>49691</v>
      </c>
      <c r="E8855" s="8" t="s">
        <v>49692</v>
      </c>
      <c r="F8855" s="8" t="s">
        <v>49693</v>
      </c>
      <c r="G8855" s="6" t="s">
        <v>60</v>
      </c>
      <c r="H8855" s="6" t="s">
        <v>34</v>
      </c>
      <c r="I8855" s="8" t="s">
        <v>253</v>
      </c>
      <c r="J8855" s="9">
        <v>1</v>
      </c>
      <c r="K8855" s="9">
        <v>612</v>
      </c>
      <c r="L8855" s="9">
        <v>2026</v>
      </c>
      <c r="M8855" s="8" t="s">
        <v>49694</v>
      </c>
      <c r="N8855" s="8" t="s">
        <v>37</v>
      </c>
      <c r="O8855" s="8" t="s">
        <v>233</v>
      </c>
      <c r="P8855" s="6" t="s">
        <v>306</v>
      </c>
      <c r="Q8855" s="8" t="s">
        <v>52</v>
      </c>
      <c r="R8855" s="10" t="s">
        <v>18332</v>
      </c>
      <c r="S8855" s="11" t="s">
        <v>49695</v>
      </c>
      <c r="T8855" s="6"/>
      <c r="U8855" s="15" t="str">
        <f>HYPERLINK("https://media.infra-m.ru/2258/2258723/cover/2258723.jpg", "Обложка")</f>
        <v>Обложка</v>
      </c>
      <c r="V8855" s="8" t="s">
        <v>546</v>
      </c>
      <c r="W8855" s="6"/>
      <c r="X8855" s="6"/>
      <c r="Y8855" s="6"/>
      <c r="Z8855" s="6"/>
      <c r="AA8855" s="6" t="s">
        <v>1303</v>
      </c>
      <c r="AB8855" s="8"/>
      <c r="AC8855" s="27">
        <v>9785160164489</v>
      </c>
    </row>
    <row r="8856" spans="1:29" s="4" customFormat="1" ht="51.9" customHeight="1" x14ac:dyDescent="0.2">
      <c r="A8856" s="5">
        <v>0</v>
      </c>
      <c r="B8856" s="6" t="s">
        <v>49696</v>
      </c>
      <c r="C8856" s="7">
        <v>2640</v>
      </c>
      <c r="D8856" s="8" t="s">
        <v>49697</v>
      </c>
      <c r="E8856" s="8" t="s">
        <v>49692</v>
      </c>
      <c r="F8856" s="8" t="s">
        <v>49698</v>
      </c>
      <c r="G8856" s="6" t="s">
        <v>118</v>
      </c>
      <c r="H8856" s="6" t="s">
        <v>1644</v>
      </c>
      <c r="I8856" s="8"/>
      <c r="J8856" s="9">
        <v>1</v>
      </c>
      <c r="K8856" s="9">
        <v>912</v>
      </c>
      <c r="L8856" s="9">
        <v>2020</v>
      </c>
      <c r="M8856" s="8" t="s">
        <v>49699</v>
      </c>
      <c r="N8856" s="8" t="s">
        <v>37</v>
      </c>
      <c r="O8856" s="8" t="s">
        <v>233</v>
      </c>
      <c r="P8856" s="6" t="s">
        <v>306</v>
      </c>
      <c r="Q8856" s="8" t="s">
        <v>52</v>
      </c>
      <c r="R8856" s="10" t="s">
        <v>49700</v>
      </c>
      <c r="S8856" s="11" t="s">
        <v>49701</v>
      </c>
      <c r="T8856" s="6"/>
      <c r="U8856" s="15" t="str">
        <f>HYPERLINK("https://media.infra-m.ru/1943/1943508/cover/1943508.jpg", "Обложка")</f>
        <v>Обложка</v>
      </c>
      <c r="V8856" s="8" t="s">
        <v>4448</v>
      </c>
      <c r="W8856" s="6"/>
      <c r="X8856" s="6"/>
      <c r="Y8856" s="6"/>
      <c r="Z8856" s="6"/>
      <c r="AA8856" s="6" t="s">
        <v>2338</v>
      </c>
      <c r="AB8856" s="8"/>
      <c r="AC8856" s="27">
        <v>9785977601962</v>
      </c>
    </row>
    <row r="8857" spans="1:29" s="4" customFormat="1" ht="51.9" customHeight="1" x14ac:dyDescent="0.2">
      <c r="A8857" s="5">
        <v>0</v>
      </c>
      <c r="B8857" s="6" t="s">
        <v>49702</v>
      </c>
      <c r="C8857" s="7">
        <v>1404</v>
      </c>
      <c r="D8857" s="8" t="s">
        <v>49703</v>
      </c>
      <c r="E8857" s="8" t="s">
        <v>49704</v>
      </c>
      <c r="F8857" s="8" t="s">
        <v>49705</v>
      </c>
      <c r="G8857" s="6" t="s">
        <v>118</v>
      </c>
      <c r="H8857" s="6" t="s">
        <v>34</v>
      </c>
      <c r="I8857" s="8" t="s">
        <v>253</v>
      </c>
      <c r="J8857" s="9">
        <v>1</v>
      </c>
      <c r="K8857" s="9">
        <v>201</v>
      </c>
      <c r="L8857" s="9">
        <v>2027</v>
      </c>
      <c r="M8857" s="8" t="s">
        <v>49706</v>
      </c>
      <c r="N8857" s="8" t="s">
        <v>37</v>
      </c>
      <c r="O8857" s="8" t="s">
        <v>233</v>
      </c>
      <c r="P8857" s="6" t="s">
        <v>306</v>
      </c>
      <c r="Q8857" s="8" t="s">
        <v>500</v>
      </c>
      <c r="R8857" s="10" t="s">
        <v>49707</v>
      </c>
      <c r="S8857" s="11" t="s">
        <v>49708</v>
      </c>
      <c r="T8857" s="6"/>
      <c r="U8857" s="15" t="str">
        <f>HYPERLINK("https://media.infra-m.ru/2266/2266304/cover/2266304.jpg", "Обложка")</f>
        <v>Обложка</v>
      </c>
      <c r="V8857" s="8" t="s">
        <v>396</v>
      </c>
      <c r="W8857" s="6"/>
      <c r="X8857" s="6"/>
      <c r="Y8857" s="6"/>
      <c r="Z8857" s="6"/>
      <c r="AA8857" s="6" t="s">
        <v>430</v>
      </c>
      <c r="AB8857" s="8"/>
      <c r="AC8857" s="27">
        <v>9785160206523</v>
      </c>
    </row>
    <row r="8858" spans="1:29" s="4" customFormat="1" ht="51.9" customHeight="1" x14ac:dyDescent="0.2">
      <c r="A8858" s="5">
        <v>0</v>
      </c>
      <c r="B8858" s="6" t="s">
        <v>49709</v>
      </c>
      <c r="C8858" s="7">
        <v>3108</v>
      </c>
      <c r="D8858" s="8" t="s">
        <v>49710</v>
      </c>
      <c r="E8858" s="8" t="s">
        <v>49711</v>
      </c>
      <c r="F8858" s="8" t="s">
        <v>49712</v>
      </c>
      <c r="G8858" s="6" t="s">
        <v>60</v>
      </c>
      <c r="H8858" s="6" t="s">
        <v>34</v>
      </c>
      <c r="I8858" s="8" t="s">
        <v>253</v>
      </c>
      <c r="J8858" s="9">
        <v>1</v>
      </c>
      <c r="K8858" s="9">
        <v>492</v>
      </c>
      <c r="L8858" s="9">
        <v>2025</v>
      </c>
      <c r="M8858" s="8" t="s">
        <v>49713</v>
      </c>
      <c r="N8858" s="8" t="s">
        <v>37</v>
      </c>
      <c r="O8858" s="8" t="s">
        <v>233</v>
      </c>
      <c r="P8858" s="6" t="s">
        <v>306</v>
      </c>
      <c r="Q8858" s="8" t="s">
        <v>52</v>
      </c>
      <c r="R8858" s="10" t="s">
        <v>49714</v>
      </c>
      <c r="S8858" s="11" t="s">
        <v>49715</v>
      </c>
      <c r="T8858" s="6"/>
      <c r="U8858" s="15" t="str">
        <f>HYPERLINK("https://media.infra-m.ru/2167/2167465/cover/2167465.jpg", "Обложка")</f>
        <v>Обложка</v>
      </c>
      <c r="V8858" s="8" t="s">
        <v>1505</v>
      </c>
      <c r="W8858" s="6"/>
      <c r="X8858" s="6"/>
      <c r="Y8858" s="6"/>
      <c r="Z8858" s="6"/>
      <c r="AA8858" s="6" t="s">
        <v>68</v>
      </c>
      <c r="AB8858" s="8"/>
      <c r="AC8858" s="27">
        <v>9785160202679</v>
      </c>
    </row>
    <row r="8859" spans="1:29" s="4" customFormat="1" ht="51.9" customHeight="1" x14ac:dyDescent="0.2">
      <c r="A8859" s="5">
        <v>0</v>
      </c>
      <c r="B8859" s="6" t="s">
        <v>49716</v>
      </c>
      <c r="C8859" s="7">
        <v>2200.8000000000002</v>
      </c>
      <c r="D8859" s="8" t="s">
        <v>49717</v>
      </c>
      <c r="E8859" s="8" t="s">
        <v>49718</v>
      </c>
      <c r="F8859" s="8" t="s">
        <v>49719</v>
      </c>
      <c r="G8859" s="6" t="s">
        <v>60</v>
      </c>
      <c r="H8859" s="6" t="s">
        <v>1644</v>
      </c>
      <c r="I8859" s="8"/>
      <c r="J8859" s="9">
        <v>1</v>
      </c>
      <c r="K8859" s="9">
        <v>352</v>
      </c>
      <c r="L8859" s="9">
        <v>2025</v>
      </c>
      <c r="M8859" s="8" t="s">
        <v>49720</v>
      </c>
      <c r="N8859" s="8" t="s">
        <v>37</v>
      </c>
      <c r="O8859" s="8" t="s">
        <v>233</v>
      </c>
      <c r="P8859" s="6" t="s">
        <v>306</v>
      </c>
      <c r="Q8859" s="8" t="s">
        <v>52</v>
      </c>
      <c r="R8859" s="10" t="s">
        <v>49721</v>
      </c>
      <c r="S8859" s="11" t="s">
        <v>49722</v>
      </c>
      <c r="T8859" s="6"/>
      <c r="U8859" s="15" t="str">
        <f>HYPERLINK("https://media.infra-m.ru/2188/2188744/cover/2188744.jpg", "Обложка")</f>
        <v>Обложка</v>
      </c>
      <c r="V8859" s="8" t="s">
        <v>396</v>
      </c>
      <c r="W8859" s="6"/>
      <c r="X8859" s="6"/>
      <c r="Y8859" s="6"/>
      <c r="Z8859" s="6"/>
      <c r="AA8859" s="6" t="s">
        <v>129</v>
      </c>
      <c r="AB8859" s="8"/>
      <c r="AC8859" s="27">
        <v>9785977601818</v>
      </c>
    </row>
    <row r="8860" spans="1:29" s="4" customFormat="1" ht="51.9" customHeight="1" x14ac:dyDescent="0.2">
      <c r="A8860" s="5">
        <v>0</v>
      </c>
      <c r="B8860" s="6" t="s">
        <v>49723</v>
      </c>
      <c r="C8860" s="7">
        <v>2628</v>
      </c>
      <c r="D8860" s="8" t="s">
        <v>49724</v>
      </c>
      <c r="E8860" s="8" t="s">
        <v>49725</v>
      </c>
      <c r="F8860" s="8" t="s">
        <v>49726</v>
      </c>
      <c r="G8860" s="6" t="s">
        <v>60</v>
      </c>
      <c r="H8860" s="6" t="s">
        <v>34</v>
      </c>
      <c r="I8860" s="8" t="s">
        <v>253</v>
      </c>
      <c r="J8860" s="9">
        <v>1</v>
      </c>
      <c r="K8860" s="9">
        <v>375</v>
      </c>
      <c r="L8860" s="9">
        <v>2027</v>
      </c>
      <c r="M8860" s="8" t="s">
        <v>49727</v>
      </c>
      <c r="N8860" s="8" t="s">
        <v>37</v>
      </c>
      <c r="O8860" s="8" t="s">
        <v>233</v>
      </c>
      <c r="P8860" s="6" t="s">
        <v>306</v>
      </c>
      <c r="Q8860" s="8" t="s">
        <v>52</v>
      </c>
      <c r="R8860" s="10" t="s">
        <v>3679</v>
      </c>
      <c r="S8860" s="11"/>
      <c r="T8860" s="6"/>
      <c r="U8860" s="15" t="str">
        <f>HYPERLINK("https://media.infra-m.ru/2234/2234794/cover/2234794.jpg", "Обложка")</f>
        <v>Обложка</v>
      </c>
      <c r="V8860" s="8" t="s">
        <v>396</v>
      </c>
      <c r="W8860" s="6" t="s">
        <v>649</v>
      </c>
      <c r="X8860" s="6"/>
      <c r="Y8860" s="6"/>
      <c r="Z8860" s="6"/>
      <c r="AA8860" s="6" t="s">
        <v>13804</v>
      </c>
      <c r="AB8860" s="8"/>
      <c r="AC8860" s="27">
        <v>9785160216812</v>
      </c>
    </row>
    <row r="8861" spans="1:29" s="4" customFormat="1" ht="51.9" customHeight="1" x14ac:dyDescent="0.2">
      <c r="A8861" s="5">
        <v>0</v>
      </c>
      <c r="B8861" s="6" t="s">
        <v>49728</v>
      </c>
      <c r="C8861" s="7">
        <v>1984.8</v>
      </c>
      <c r="D8861" s="8" t="s">
        <v>49729</v>
      </c>
      <c r="E8861" s="8" t="s">
        <v>49730</v>
      </c>
      <c r="F8861" s="8" t="s">
        <v>49731</v>
      </c>
      <c r="G8861" s="6" t="s">
        <v>118</v>
      </c>
      <c r="H8861" s="6" t="s">
        <v>34</v>
      </c>
      <c r="I8861" s="8" t="s">
        <v>271</v>
      </c>
      <c r="J8861" s="9">
        <v>1</v>
      </c>
      <c r="K8861" s="9">
        <v>285</v>
      </c>
      <c r="L8861" s="9">
        <v>2027</v>
      </c>
      <c r="M8861" s="8" t="s">
        <v>49732</v>
      </c>
      <c r="N8861" s="8" t="s">
        <v>37</v>
      </c>
      <c r="O8861" s="8" t="s">
        <v>233</v>
      </c>
      <c r="P8861" s="6" t="s">
        <v>51</v>
      </c>
      <c r="Q8861" s="8" t="s">
        <v>52</v>
      </c>
      <c r="R8861" s="10" t="s">
        <v>5249</v>
      </c>
      <c r="S8861" s="11" t="s">
        <v>49733</v>
      </c>
      <c r="T8861" s="6"/>
      <c r="U8861" s="15" t="str">
        <f>HYPERLINK("https://media.infra-m.ru/2267/2267564/cover/2267564.jpg", "Обложка")</f>
        <v>Обложка</v>
      </c>
      <c r="V8861" s="8" t="s">
        <v>1425</v>
      </c>
      <c r="W8861" s="6"/>
      <c r="X8861" s="6"/>
      <c r="Y8861" s="6"/>
      <c r="Z8861" s="6"/>
      <c r="AA8861" s="6" t="s">
        <v>1256</v>
      </c>
      <c r="AB8861" s="8"/>
      <c r="AC8861" s="27">
        <v>9785160147925</v>
      </c>
    </row>
    <row r="8862" spans="1:29" s="4" customFormat="1" ht="51.9" customHeight="1" x14ac:dyDescent="0.2">
      <c r="A8862" s="5">
        <v>0</v>
      </c>
      <c r="B8862" s="6" t="s">
        <v>49734</v>
      </c>
      <c r="C8862" s="7">
        <v>2344.8000000000002</v>
      </c>
      <c r="D8862" s="8" t="s">
        <v>49735</v>
      </c>
      <c r="E8862" s="8" t="s">
        <v>49730</v>
      </c>
      <c r="F8862" s="8" t="s">
        <v>49736</v>
      </c>
      <c r="G8862" s="6" t="s">
        <v>60</v>
      </c>
      <c r="H8862" s="6" t="s">
        <v>34</v>
      </c>
      <c r="I8862" s="8" t="s">
        <v>271</v>
      </c>
      <c r="J8862" s="9">
        <v>1</v>
      </c>
      <c r="K8862" s="9">
        <v>375</v>
      </c>
      <c r="L8862" s="9">
        <v>2025</v>
      </c>
      <c r="M8862" s="8" t="s">
        <v>49737</v>
      </c>
      <c r="N8862" s="8" t="s">
        <v>37</v>
      </c>
      <c r="O8862" s="8" t="s">
        <v>233</v>
      </c>
      <c r="P8862" s="6" t="s">
        <v>306</v>
      </c>
      <c r="Q8862" s="8" t="s">
        <v>52</v>
      </c>
      <c r="R8862" s="10" t="s">
        <v>3679</v>
      </c>
      <c r="S8862" s="11" t="s">
        <v>49580</v>
      </c>
      <c r="T8862" s="6"/>
      <c r="U8862" s="15" t="str">
        <f>HYPERLINK("https://media.infra-m.ru/2192/2192251/cover/2192251.jpg", "Обложка")</f>
        <v>Обложка</v>
      </c>
      <c r="V8862" s="8" t="s">
        <v>396</v>
      </c>
      <c r="W8862" s="6"/>
      <c r="X8862" s="6"/>
      <c r="Y8862" s="6"/>
      <c r="Z8862" s="6"/>
      <c r="AA8862" s="6" t="s">
        <v>55</v>
      </c>
      <c r="AB8862" s="8"/>
      <c r="AC8862" s="27">
        <v>9785160057590</v>
      </c>
    </row>
    <row r="8863" spans="1:29" s="4" customFormat="1" ht="51.9" customHeight="1" x14ac:dyDescent="0.2">
      <c r="A8863" s="5">
        <v>0</v>
      </c>
      <c r="B8863" s="6" t="s">
        <v>49738</v>
      </c>
      <c r="C8863" s="7">
        <v>1980</v>
      </c>
      <c r="D8863" s="8" t="s">
        <v>49739</v>
      </c>
      <c r="E8863" s="8" t="s">
        <v>49730</v>
      </c>
      <c r="F8863" s="8" t="s">
        <v>49731</v>
      </c>
      <c r="G8863" s="6" t="s">
        <v>118</v>
      </c>
      <c r="H8863" s="6" t="s">
        <v>34</v>
      </c>
      <c r="I8863" s="8" t="s">
        <v>263</v>
      </c>
      <c r="J8863" s="9">
        <v>1</v>
      </c>
      <c r="K8863" s="9">
        <v>285</v>
      </c>
      <c r="L8863" s="9">
        <v>2027</v>
      </c>
      <c r="M8863" s="8" t="s">
        <v>49740</v>
      </c>
      <c r="N8863" s="8" t="s">
        <v>37</v>
      </c>
      <c r="O8863" s="8" t="s">
        <v>233</v>
      </c>
      <c r="P8863" s="6" t="s">
        <v>51</v>
      </c>
      <c r="Q8863" s="8" t="s">
        <v>265</v>
      </c>
      <c r="R8863" s="10" t="s">
        <v>49741</v>
      </c>
      <c r="S8863" s="11" t="s">
        <v>49742</v>
      </c>
      <c r="T8863" s="6"/>
      <c r="U8863" s="15" t="str">
        <f>HYPERLINK("https://media.infra-m.ru/2267/2267150/cover/2267150.jpg", "Обложка")</f>
        <v>Обложка</v>
      </c>
      <c r="V8863" s="8" t="s">
        <v>1425</v>
      </c>
      <c r="W8863" s="6"/>
      <c r="X8863" s="6"/>
      <c r="Y8863" s="6"/>
      <c r="Z8863" s="6" t="s">
        <v>267</v>
      </c>
      <c r="AA8863" s="6" t="s">
        <v>1256</v>
      </c>
      <c r="AB8863" s="8"/>
      <c r="AC8863" s="27">
        <v>9785160162058</v>
      </c>
    </row>
    <row r="8864" spans="1:29" s="4" customFormat="1" ht="51.9" customHeight="1" x14ac:dyDescent="0.2">
      <c r="A8864" s="5">
        <v>0</v>
      </c>
      <c r="B8864" s="6" t="s">
        <v>49743</v>
      </c>
      <c r="C8864" s="7">
        <v>1324.8</v>
      </c>
      <c r="D8864" s="8" t="s">
        <v>49744</v>
      </c>
      <c r="E8864" s="8" t="s">
        <v>49725</v>
      </c>
      <c r="F8864" s="8" t="s">
        <v>5410</v>
      </c>
      <c r="G8864" s="6" t="s">
        <v>60</v>
      </c>
      <c r="H8864" s="6" t="s">
        <v>34</v>
      </c>
      <c r="I8864" s="8" t="s">
        <v>253</v>
      </c>
      <c r="J8864" s="9">
        <v>1</v>
      </c>
      <c r="K8864" s="9">
        <v>240</v>
      </c>
      <c r="L8864" s="9">
        <v>2024</v>
      </c>
      <c r="M8864" s="8" t="s">
        <v>49745</v>
      </c>
      <c r="N8864" s="8" t="s">
        <v>37</v>
      </c>
      <c r="O8864" s="8" t="s">
        <v>233</v>
      </c>
      <c r="P8864" s="6" t="s">
        <v>51</v>
      </c>
      <c r="Q8864" s="8" t="s">
        <v>52</v>
      </c>
      <c r="R8864" s="10" t="s">
        <v>49746</v>
      </c>
      <c r="S8864" s="11" t="s">
        <v>49747</v>
      </c>
      <c r="T8864" s="6"/>
      <c r="U8864" s="15" t="str">
        <f>HYPERLINK("https://media.infra-m.ru/2056/2056616/cover/2056616.jpg", "Обложка")</f>
        <v>Обложка</v>
      </c>
      <c r="V8864" s="8" t="s">
        <v>5414</v>
      </c>
      <c r="W8864" s="6"/>
      <c r="X8864" s="6"/>
      <c r="Y8864" s="6"/>
      <c r="Z8864" s="6"/>
      <c r="AA8864" s="6" t="s">
        <v>874</v>
      </c>
      <c r="AB8864" s="8"/>
      <c r="AC8864" s="27">
        <v>9785160099514</v>
      </c>
    </row>
    <row r="8865" spans="1:29" s="4" customFormat="1" ht="42" customHeight="1" x14ac:dyDescent="0.2">
      <c r="A8865" s="5">
        <v>0</v>
      </c>
      <c r="B8865" s="6" t="s">
        <v>49748</v>
      </c>
      <c r="C8865" s="7">
        <v>1428</v>
      </c>
      <c r="D8865" s="8" t="s">
        <v>49749</v>
      </c>
      <c r="E8865" s="8" t="s">
        <v>49750</v>
      </c>
      <c r="F8865" s="8" t="s">
        <v>1998</v>
      </c>
      <c r="G8865" s="6" t="s">
        <v>60</v>
      </c>
      <c r="H8865" s="6" t="s">
        <v>313</v>
      </c>
      <c r="I8865" s="8" t="s">
        <v>253</v>
      </c>
      <c r="J8865" s="9">
        <v>1</v>
      </c>
      <c r="K8865" s="9">
        <v>252</v>
      </c>
      <c r="L8865" s="9">
        <v>2024</v>
      </c>
      <c r="M8865" s="8" t="s">
        <v>49751</v>
      </c>
      <c r="N8865" s="8" t="s">
        <v>37</v>
      </c>
      <c r="O8865" s="8" t="s">
        <v>280</v>
      </c>
      <c r="P8865" s="6" t="s">
        <v>51</v>
      </c>
      <c r="Q8865" s="8" t="s">
        <v>65</v>
      </c>
      <c r="R8865" s="10" t="s">
        <v>3008</v>
      </c>
      <c r="S8865" s="11"/>
      <c r="T8865" s="6"/>
      <c r="U8865" s="15" t="str">
        <f>HYPERLINK("https://media.infra-m.ru/2130/2130119/cover/2130119.jpg", "Обложка")</f>
        <v>Обложка</v>
      </c>
      <c r="V8865" s="8" t="s">
        <v>2001</v>
      </c>
      <c r="W8865" s="6"/>
      <c r="X8865" s="6"/>
      <c r="Y8865" s="6"/>
      <c r="Z8865" s="6"/>
      <c r="AA8865" s="6" t="s">
        <v>76</v>
      </c>
      <c r="AB8865" s="8"/>
      <c r="AC8865" s="27">
        <v>9785369019504</v>
      </c>
    </row>
    <row r="8866" spans="1:29" s="4" customFormat="1" ht="42" customHeight="1" x14ac:dyDescent="0.2">
      <c r="A8866" s="5">
        <v>0</v>
      </c>
      <c r="B8866" s="6" t="s">
        <v>49752</v>
      </c>
      <c r="C8866" s="7">
        <v>1140</v>
      </c>
      <c r="D8866" s="8" t="s">
        <v>49753</v>
      </c>
      <c r="E8866" s="8" t="s">
        <v>49754</v>
      </c>
      <c r="F8866" s="8" t="s">
        <v>1998</v>
      </c>
      <c r="G8866" s="6" t="s">
        <v>33</v>
      </c>
      <c r="H8866" s="6" t="s">
        <v>313</v>
      </c>
      <c r="I8866" s="8" t="s">
        <v>401</v>
      </c>
      <c r="J8866" s="9">
        <v>1</v>
      </c>
      <c r="K8866" s="9">
        <v>202</v>
      </c>
      <c r="L8866" s="9">
        <v>2024</v>
      </c>
      <c r="M8866" s="8" t="s">
        <v>49755</v>
      </c>
      <c r="N8866" s="8" t="s">
        <v>37</v>
      </c>
      <c r="O8866" s="8" t="s">
        <v>233</v>
      </c>
      <c r="P8866" s="6" t="s">
        <v>306</v>
      </c>
      <c r="Q8866" s="8" t="s">
        <v>265</v>
      </c>
      <c r="R8866" s="10" t="s">
        <v>6601</v>
      </c>
      <c r="S8866" s="11"/>
      <c r="T8866" s="6"/>
      <c r="U8866" s="15" t="str">
        <f>HYPERLINK("https://media.infra-m.ru/2125/2125002/cover/2125002.jpg", "Обложка")</f>
        <v>Обложка</v>
      </c>
      <c r="V8866" s="8" t="s">
        <v>2001</v>
      </c>
      <c r="W8866" s="6"/>
      <c r="X8866" s="6" t="s">
        <v>24</v>
      </c>
      <c r="Y8866" s="6"/>
      <c r="Z8866" s="6"/>
      <c r="AA8866" s="6" t="s">
        <v>99</v>
      </c>
      <c r="AB8866" s="8"/>
      <c r="AC8866" s="27">
        <v>9785369016381</v>
      </c>
    </row>
    <row r="8867" spans="1:29" s="4" customFormat="1" ht="51.9" customHeight="1" x14ac:dyDescent="0.2">
      <c r="A8867" s="5">
        <v>0</v>
      </c>
      <c r="B8867" s="6" t="s">
        <v>49756</v>
      </c>
      <c r="C8867" s="7">
        <v>2093.9</v>
      </c>
      <c r="D8867" s="8" t="s">
        <v>49757</v>
      </c>
      <c r="E8867" s="8" t="s">
        <v>49758</v>
      </c>
      <c r="F8867" s="8" t="s">
        <v>6558</v>
      </c>
      <c r="G8867" s="6" t="s">
        <v>118</v>
      </c>
      <c r="H8867" s="6" t="s">
        <v>34</v>
      </c>
      <c r="I8867" s="8" t="s">
        <v>271</v>
      </c>
      <c r="J8867" s="9">
        <v>1</v>
      </c>
      <c r="K8867" s="9">
        <v>386</v>
      </c>
      <c r="L8867" s="9">
        <v>2021</v>
      </c>
      <c r="M8867" s="8" t="s">
        <v>49759</v>
      </c>
      <c r="N8867" s="8" t="s">
        <v>37</v>
      </c>
      <c r="O8867" s="8" t="s">
        <v>280</v>
      </c>
      <c r="P8867" s="6" t="s">
        <v>306</v>
      </c>
      <c r="Q8867" s="8" t="s">
        <v>52</v>
      </c>
      <c r="R8867" s="10" t="s">
        <v>49760</v>
      </c>
      <c r="S8867" s="11" t="s">
        <v>768</v>
      </c>
      <c r="T8867" s="6"/>
      <c r="U8867" s="15" t="str">
        <f>HYPERLINK("https://media.infra-m.ru/1971/1971819/cover/1971819.jpg", "Обложка")</f>
        <v>Обложка</v>
      </c>
      <c r="V8867" s="8" t="s">
        <v>6560</v>
      </c>
      <c r="W8867" s="6"/>
      <c r="X8867" s="6"/>
      <c r="Y8867" s="6"/>
      <c r="Z8867" s="6"/>
      <c r="AA8867" s="6" t="s">
        <v>623</v>
      </c>
      <c r="AB8867" s="8"/>
      <c r="AC8867" s="27">
        <v>9785160113425</v>
      </c>
    </row>
    <row r="8868" spans="1:29" s="4" customFormat="1" ht="51.9" customHeight="1" x14ac:dyDescent="0.2">
      <c r="A8868" s="5">
        <v>0</v>
      </c>
      <c r="B8868" s="6" t="s">
        <v>49761</v>
      </c>
      <c r="C8868" s="7">
        <v>1312.8</v>
      </c>
      <c r="D8868" s="8" t="s">
        <v>49762</v>
      </c>
      <c r="E8868" s="8" t="s">
        <v>49763</v>
      </c>
      <c r="F8868" s="8" t="s">
        <v>49428</v>
      </c>
      <c r="G8868" s="6" t="s">
        <v>118</v>
      </c>
      <c r="H8868" s="6" t="s">
        <v>34</v>
      </c>
      <c r="I8868" s="8" t="s">
        <v>271</v>
      </c>
      <c r="J8868" s="9">
        <v>1</v>
      </c>
      <c r="K8868" s="9">
        <v>237</v>
      </c>
      <c r="L8868" s="9">
        <v>2024</v>
      </c>
      <c r="M8868" s="8" t="s">
        <v>49764</v>
      </c>
      <c r="N8868" s="8" t="s">
        <v>37</v>
      </c>
      <c r="O8868" s="8" t="s">
        <v>499</v>
      </c>
      <c r="P8868" s="6" t="s">
        <v>51</v>
      </c>
      <c r="Q8868" s="8" t="s">
        <v>52</v>
      </c>
      <c r="R8868" s="10" t="s">
        <v>49765</v>
      </c>
      <c r="S8868" s="11" t="s">
        <v>49766</v>
      </c>
      <c r="T8868" s="6"/>
      <c r="U8868" s="15" t="str">
        <f>HYPERLINK("https://media.infra-m.ru/2091/2091900/cover/2091900.jpg", "Обложка")</f>
        <v>Обложка</v>
      </c>
      <c r="V8868" s="8" t="s">
        <v>5902</v>
      </c>
      <c r="W8868" s="6"/>
      <c r="X8868" s="6"/>
      <c r="Y8868" s="6"/>
      <c r="Z8868" s="6"/>
      <c r="AA8868" s="6" t="s">
        <v>896</v>
      </c>
      <c r="AB8868" s="8"/>
      <c r="AC8868" s="27">
        <v>9785160169996</v>
      </c>
    </row>
    <row r="8869" spans="1:29" s="4" customFormat="1" ht="51.9" customHeight="1" x14ac:dyDescent="0.2">
      <c r="A8869" s="5">
        <v>0</v>
      </c>
      <c r="B8869" s="6" t="s">
        <v>49767</v>
      </c>
      <c r="C8869" s="13">
        <v>869.9</v>
      </c>
      <c r="D8869" s="8" t="s">
        <v>49768</v>
      </c>
      <c r="E8869" s="8" t="s">
        <v>49769</v>
      </c>
      <c r="F8869" s="8" t="s">
        <v>49770</v>
      </c>
      <c r="G8869" s="6" t="s">
        <v>33</v>
      </c>
      <c r="H8869" s="6" t="s">
        <v>48</v>
      </c>
      <c r="I8869" s="8" t="s">
        <v>271</v>
      </c>
      <c r="J8869" s="9">
        <v>1</v>
      </c>
      <c r="K8869" s="9">
        <v>200</v>
      </c>
      <c r="L8869" s="9">
        <v>2020</v>
      </c>
      <c r="M8869" s="8" t="s">
        <v>49771</v>
      </c>
      <c r="N8869" s="8" t="s">
        <v>37</v>
      </c>
      <c r="O8869" s="8" t="s">
        <v>499</v>
      </c>
      <c r="P8869" s="6" t="s">
        <v>51</v>
      </c>
      <c r="Q8869" s="8" t="s">
        <v>52</v>
      </c>
      <c r="R8869" s="10" t="s">
        <v>49765</v>
      </c>
      <c r="S8869" s="11" t="s">
        <v>49772</v>
      </c>
      <c r="T8869" s="6"/>
      <c r="U8869" s="15" t="str">
        <f>HYPERLINK("https://media.infra-m.ru/1208/1208859/cover/1208859.jpg", "Обложка")</f>
        <v>Обложка</v>
      </c>
      <c r="V8869" s="8" t="s">
        <v>5902</v>
      </c>
      <c r="W8869" s="6"/>
      <c r="X8869" s="6"/>
      <c r="Y8869" s="6"/>
      <c r="Z8869" s="6"/>
      <c r="AA8869" s="6" t="s">
        <v>274</v>
      </c>
      <c r="AB8869" s="8"/>
      <c r="AC8869" s="27">
        <v>9785000911068</v>
      </c>
    </row>
    <row r="8870" spans="1:29" s="4" customFormat="1" ht="51.9" customHeight="1" x14ac:dyDescent="0.2">
      <c r="A8870" s="5">
        <v>0</v>
      </c>
      <c r="B8870" s="6" t="s">
        <v>49773</v>
      </c>
      <c r="C8870" s="7">
        <v>2340</v>
      </c>
      <c r="D8870" s="8" t="s">
        <v>49774</v>
      </c>
      <c r="E8870" s="8" t="s">
        <v>49775</v>
      </c>
      <c r="F8870" s="8" t="s">
        <v>49776</v>
      </c>
      <c r="G8870" s="6" t="s">
        <v>118</v>
      </c>
      <c r="H8870" s="6" t="s">
        <v>34</v>
      </c>
      <c r="I8870" s="8" t="s">
        <v>263</v>
      </c>
      <c r="J8870" s="9">
        <v>1</v>
      </c>
      <c r="K8870" s="9">
        <v>336</v>
      </c>
      <c r="L8870" s="9">
        <v>2026</v>
      </c>
      <c r="M8870" s="8" t="s">
        <v>49777</v>
      </c>
      <c r="N8870" s="8" t="s">
        <v>37</v>
      </c>
      <c r="O8870" s="8" t="s">
        <v>233</v>
      </c>
      <c r="P8870" s="6" t="s">
        <v>306</v>
      </c>
      <c r="Q8870" s="8" t="s">
        <v>265</v>
      </c>
      <c r="R8870" s="10" t="s">
        <v>49778</v>
      </c>
      <c r="S8870" s="11" t="s">
        <v>49779</v>
      </c>
      <c r="T8870" s="6"/>
      <c r="U8870" s="15" t="str">
        <f>HYPERLINK("https://media.infra-m.ru/2259/2259707/cover/2259707.jpg", "Обложка")</f>
        <v>Обложка</v>
      </c>
      <c r="V8870" s="8" t="s">
        <v>247</v>
      </c>
      <c r="W8870" s="6"/>
      <c r="X8870" s="6" t="s">
        <v>24</v>
      </c>
      <c r="Y8870" s="6"/>
      <c r="Z8870" s="6"/>
      <c r="AA8870" s="6" t="s">
        <v>15057</v>
      </c>
      <c r="AB8870" s="8"/>
      <c r="AC8870" s="27">
        <v>9785160222493</v>
      </c>
    </row>
    <row r="8871" spans="1:29" s="4" customFormat="1" ht="51.9" customHeight="1" x14ac:dyDescent="0.2">
      <c r="A8871" s="5">
        <v>0</v>
      </c>
      <c r="B8871" s="6" t="s">
        <v>49780</v>
      </c>
      <c r="C8871" s="7">
        <v>2476.8000000000002</v>
      </c>
      <c r="D8871" s="8" t="s">
        <v>49781</v>
      </c>
      <c r="E8871" s="8" t="s">
        <v>49782</v>
      </c>
      <c r="F8871" s="8" t="s">
        <v>34683</v>
      </c>
      <c r="G8871" s="6" t="s">
        <v>118</v>
      </c>
      <c r="H8871" s="6" t="s">
        <v>48</v>
      </c>
      <c r="I8871" s="8" t="s">
        <v>401</v>
      </c>
      <c r="J8871" s="9">
        <v>1</v>
      </c>
      <c r="K8871" s="9">
        <v>414</v>
      </c>
      <c r="L8871" s="9">
        <v>2024</v>
      </c>
      <c r="M8871" s="8" t="s">
        <v>49783</v>
      </c>
      <c r="N8871" s="8" t="s">
        <v>37</v>
      </c>
      <c r="O8871" s="8" t="s">
        <v>233</v>
      </c>
      <c r="P8871" s="6" t="s">
        <v>306</v>
      </c>
      <c r="Q8871" s="8" t="s">
        <v>265</v>
      </c>
      <c r="R8871" s="10" t="s">
        <v>49784</v>
      </c>
      <c r="S8871" s="11" t="s">
        <v>27460</v>
      </c>
      <c r="T8871" s="6"/>
      <c r="U8871" s="15" t="str">
        <f>HYPERLINK("https://media.infra-m.ru/2137/2137026/cover/2137026.jpg", "Обложка")</f>
        <v>Обложка</v>
      </c>
      <c r="V8871" s="8" t="s">
        <v>396</v>
      </c>
      <c r="W8871" s="6"/>
      <c r="X8871" s="6" t="s">
        <v>24</v>
      </c>
      <c r="Y8871" s="6"/>
      <c r="Z8871" s="6"/>
      <c r="AA8871" s="6" t="s">
        <v>2338</v>
      </c>
      <c r="AB8871" s="8"/>
      <c r="AC8871" s="27">
        <v>9785911345525</v>
      </c>
    </row>
    <row r="8872" spans="1:29" s="4" customFormat="1" ht="51.9" customHeight="1" x14ac:dyDescent="0.2">
      <c r="A8872" s="5">
        <v>0</v>
      </c>
      <c r="B8872" s="6" t="s">
        <v>49785</v>
      </c>
      <c r="C8872" s="7">
        <v>2940</v>
      </c>
      <c r="D8872" s="8" t="s">
        <v>49786</v>
      </c>
      <c r="E8872" s="8" t="s">
        <v>49787</v>
      </c>
      <c r="F8872" s="8" t="s">
        <v>49788</v>
      </c>
      <c r="G8872" s="6" t="s">
        <v>60</v>
      </c>
      <c r="H8872" s="6" t="s">
        <v>34</v>
      </c>
      <c r="I8872" s="8" t="s">
        <v>263</v>
      </c>
      <c r="J8872" s="9">
        <v>1</v>
      </c>
      <c r="K8872" s="9">
        <v>413</v>
      </c>
      <c r="L8872" s="9">
        <v>2026</v>
      </c>
      <c r="M8872" s="8" t="s">
        <v>49789</v>
      </c>
      <c r="N8872" s="8" t="s">
        <v>37</v>
      </c>
      <c r="O8872" s="8" t="s">
        <v>233</v>
      </c>
      <c r="P8872" s="6" t="s">
        <v>306</v>
      </c>
      <c r="Q8872" s="8" t="s">
        <v>265</v>
      </c>
      <c r="R8872" s="10" t="s">
        <v>49784</v>
      </c>
      <c r="S8872" s="11"/>
      <c r="T8872" s="6"/>
      <c r="U8872" s="15" t="str">
        <f>HYPERLINK("https://media.infra-m.ru/2259/2259706/cover/2259706.jpg", "Обложка")</f>
        <v>Обложка</v>
      </c>
      <c r="V8872" s="8" t="s">
        <v>396</v>
      </c>
      <c r="W8872" s="6"/>
      <c r="X8872" s="6" t="s">
        <v>24</v>
      </c>
      <c r="Y8872" s="6"/>
      <c r="Z8872" s="6"/>
      <c r="AA8872" s="6" t="s">
        <v>3772</v>
      </c>
      <c r="AB8872" s="8"/>
      <c r="AC8872" s="27">
        <v>9785160209517</v>
      </c>
    </row>
    <row r="8873" spans="1:29" s="4" customFormat="1" ht="51.9" customHeight="1" x14ac:dyDescent="0.2">
      <c r="A8873" s="5">
        <v>0</v>
      </c>
      <c r="B8873" s="6" t="s">
        <v>49790</v>
      </c>
      <c r="C8873" s="7">
        <v>3556.8</v>
      </c>
      <c r="D8873" s="8" t="s">
        <v>49791</v>
      </c>
      <c r="E8873" s="8" t="s">
        <v>49792</v>
      </c>
      <c r="F8873" s="8" t="s">
        <v>49793</v>
      </c>
      <c r="G8873" s="6" t="s">
        <v>118</v>
      </c>
      <c r="H8873" s="6" t="s">
        <v>34</v>
      </c>
      <c r="I8873" s="8" t="s">
        <v>253</v>
      </c>
      <c r="J8873" s="9">
        <v>1</v>
      </c>
      <c r="K8873" s="9">
        <v>609</v>
      </c>
      <c r="L8873" s="9">
        <v>2025</v>
      </c>
      <c r="M8873" s="8" t="s">
        <v>49794</v>
      </c>
      <c r="N8873" s="8" t="s">
        <v>37</v>
      </c>
      <c r="O8873" s="8" t="s">
        <v>233</v>
      </c>
      <c r="P8873" s="6" t="s">
        <v>306</v>
      </c>
      <c r="Q8873" s="8" t="s">
        <v>52</v>
      </c>
      <c r="R8873" s="10" t="s">
        <v>49795</v>
      </c>
      <c r="S8873" s="11" t="s">
        <v>49796</v>
      </c>
      <c r="T8873" s="6" t="s">
        <v>97</v>
      </c>
      <c r="U8873" s="15" t="str">
        <f>HYPERLINK("https://media.infra-m.ru/2188/2188866/cover/2188866.jpg", "Обложка")</f>
        <v>Обложка</v>
      </c>
      <c r="V8873" s="8" t="s">
        <v>49797</v>
      </c>
      <c r="W8873" s="6"/>
      <c r="X8873" s="6"/>
      <c r="Y8873" s="6"/>
      <c r="Z8873" s="6"/>
      <c r="AA8873" s="6" t="s">
        <v>7463</v>
      </c>
      <c r="AB8873" s="8"/>
      <c r="AC8873" s="27">
        <v>9785160184371</v>
      </c>
    </row>
    <row r="8874" spans="1:29" s="4" customFormat="1" ht="51.9" customHeight="1" x14ac:dyDescent="0.2">
      <c r="A8874" s="5">
        <v>0</v>
      </c>
      <c r="B8874" s="6" t="s">
        <v>49798</v>
      </c>
      <c r="C8874" s="7">
        <v>3172.8</v>
      </c>
      <c r="D8874" s="8" t="s">
        <v>49799</v>
      </c>
      <c r="E8874" s="8" t="s">
        <v>49800</v>
      </c>
      <c r="F8874" s="8" t="s">
        <v>9192</v>
      </c>
      <c r="G8874" s="6" t="s">
        <v>60</v>
      </c>
      <c r="H8874" s="6" t="s">
        <v>1644</v>
      </c>
      <c r="I8874" s="8"/>
      <c r="J8874" s="9">
        <v>1</v>
      </c>
      <c r="K8874" s="9">
        <v>528</v>
      </c>
      <c r="L8874" s="9">
        <v>2025</v>
      </c>
      <c r="M8874" s="8" t="s">
        <v>49801</v>
      </c>
      <c r="N8874" s="8" t="s">
        <v>37</v>
      </c>
      <c r="O8874" s="8" t="s">
        <v>233</v>
      </c>
      <c r="P8874" s="6" t="s">
        <v>51</v>
      </c>
      <c r="Q8874" s="8"/>
      <c r="R8874" s="10" t="s">
        <v>49802</v>
      </c>
      <c r="S8874" s="11" t="s">
        <v>2135</v>
      </c>
      <c r="T8874" s="6"/>
      <c r="U8874" s="15" t="str">
        <f>HYPERLINK("https://media.infra-m.ru/2192/2192736/cover/2192736.jpg", "Обложка")</f>
        <v>Обложка</v>
      </c>
      <c r="V8874" s="8" t="s">
        <v>247</v>
      </c>
      <c r="W8874" s="6"/>
      <c r="X8874" s="6"/>
      <c r="Y8874" s="6"/>
      <c r="Z8874" s="6"/>
      <c r="AA8874" s="6" t="s">
        <v>1047</v>
      </c>
      <c r="AB8874" s="8"/>
      <c r="AC8874" s="27">
        <v>9785977600361</v>
      </c>
    </row>
    <row r="8875" spans="1:29" s="4" customFormat="1" ht="51.9" customHeight="1" x14ac:dyDescent="0.2">
      <c r="A8875" s="5">
        <v>0</v>
      </c>
      <c r="B8875" s="6" t="s">
        <v>49803</v>
      </c>
      <c r="C8875" s="7">
        <v>1524</v>
      </c>
      <c r="D8875" s="8" t="s">
        <v>49804</v>
      </c>
      <c r="E8875" s="8" t="s">
        <v>49800</v>
      </c>
      <c r="F8875" s="8" t="s">
        <v>29579</v>
      </c>
      <c r="G8875" s="6" t="s">
        <v>60</v>
      </c>
      <c r="H8875" s="6" t="s">
        <v>34</v>
      </c>
      <c r="I8875" s="8" t="s">
        <v>263</v>
      </c>
      <c r="J8875" s="9">
        <v>1</v>
      </c>
      <c r="K8875" s="9">
        <v>261</v>
      </c>
      <c r="L8875" s="9">
        <v>2023</v>
      </c>
      <c r="M8875" s="8" t="s">
        <v>49805</v>
      </c>
      <c r="N8875" s="8" t="s">
        <v>37</v>
      </c>
      <c r="O8875" s="8" t="s">
        <v>233</v>
      </c>
      <c r="P8875" s="6" t="s">
        <v>51</v>
      </c>
      <c r="Q8875" s="8" t="s">
        <v>265</v>
      </c>
      <c r="R8875" s="10" t="s">
        <v>8549</v>
      </c>
      <c r="S8875" s="11"/>
      <c r="T8875" s="6"/>
      <c r="U8875" s="15" t="str">
        <f>HYPERLINK("https://media.infra-m.ru/1550/1550594/cover/1550594.jpg", "Обложка")</f>
        <v>Обложка</v>
      </c>
      <c r="V8875" s="8" t="s">
        <v>6642</v>
      </c>
      <c r="W8875" s="6"/>
      <c r="X8875" s="6"/>
      <c r="Y8875" s="6"/>
      <c r="Z8875" s="6"/>
      <c r="AA8875" s="6" t="s">
        <v>157</v>
      </c>
      <c r="AB8875" s="8"/>
      <c r="AC8875" s="27">
        <v>9785160170367</v>
      </c>
    </row>
    <row r="8876" spans="1:29" s="4" customFormat="1" ht="51.9" customHeight="1" x14ac:dyDescent="0.2">
      <c r="A8876" s="5">
        <v>0</v>
      </c>
      <c r="B8876" s="6" t="s">
        <v>49806</v>
      </c>
      <c r="C8876" s="7">
        <v>2388</v>
      </c>
      <c r="D8876" s="8" t="s">
        <v>49807</v>
      </c>
      <c r="E8876" s="8" t="s">
        <v>49808</v>
      </c>
      <c r="F8876" s="8" t="s">
        <v>49809</v>
      </c>
      <c r="G8876" s="6" t="s">
        <v>60</v>
      </c>
      <c r="H8876" s="6" t="s">
        <v>34</v>
      </c>
      <c r="I8876" s="8" t="s">
        <v>253</v>
      </c>
      <c r="J8876" s="9">
        <v>1</v>
      </c>
      <c r="K8876" s="9">
        <v>374</v>
      </c>
      <c r="L8876" s="9">
        <v>2026</v>
      </c>
      <c r="M8876" s="8" t="s">
        <v>49810</v>
      </c>
      <c r="N8876" s="8" t="s">
        <v>37</v>
      </c>
      <c r="O8876" s="8" t="s">
        <v>233</v>
      </c>
      <c r="P8876" s="6" t="s">
        <v>306</v>
      </c>
      <c r="Q8876" s="8" t="s">
        <v>65</v>
      </c>
      <c r="R8876" s="10" t="s">
        <v>49811</v>
      </c>
      <c r="S8876" s="11"/>
      <c r="T8876" s="6"/>
      <c r="U8876" s="15" t="str">
        <f>HYPERLINK("https://media.infra-m.ru/2184/2184276/cover/2184276.jpg", "Обложка")</f>
        <v>Обложка</v>
      </c>
      <c r="V8876" s="8" t="s">
        <v>3636</v>
      </c>
      <c r="W8876" s="6"/>
      <c r="X8876" s="6"/>
      <c r="Y8876" s="6"/>
      <c r="Z8876" s="6"/>
      <c r="AA8876" s="6" t="s">
        <v>187</v>
      </c>
      <c r="AB8876" s="8"/>
      <c r="AC8876" s="27">
        <v>9785160205748</v>
      </c>
    </row>
    <row r="8877" spans="1:29" s="4" customFormat="1" ht="51.9" customHeight="1" x14ac:dyDescent="0.2">
      <c r="A8877" s="5">
        <v>0</v>
      </c>
      <c r="B8877" s="6" t="s">
        <v>49812</v>
      </c>
      <c r="C8877" s="7">
        <v>2748</v>
      </c>
      <c r="D8877" s="8" t="s">
        <v>49813</v>
      </c>
      <c r="E8877" s="8" t="s">
        <v>49808</v>
      </c>
      <c r="F8877" s="8" t="s">
        <v>8521</v>
      </c>
      <c r="G8877" s="6" t="s">
        <v>60</v>
      </c>
      <c r="H8877" s="6" t="s">
        <v>34</v>
      </c>
      <c r="I8877" s="8" t="s">
        <v>271</v>
      </c>
      <c r="J8877" s="9">
        <v>1</v>
      </c>
      <c r="K8877" s="9">
        <v>528</v>
      </c>
      <c r="L8877" s="9">
        <v>2023</v>
      </c>
      <c r="M8877" s="8" t="s">
        <v>49814</v>
      </c>
      <c r="N8877" s="8" t="s">
        <v>37</v>
      </c>
      <c r="O8877" s="8" t="s">
        <v>233</v>
      </c>
      <c r="P8877" s="6" t="s">
        <v>306</v>
      </c>
      <c r="Q8877" s="8" t="s">
        <v>52</v>
      </c>
      <c r="R8877" s="10" t="s">
        <v>49815</v>
      </c>
      <c r="S8877" s="11" t="s">
        <v>11766</v>
      </c>
      <c r="T8877" s="6"/>
      <c r="U8877" s="15" t="str">
        <f>HYPERLINK("https://media.infra-m.ru/1456/1456979/cover/1456979.jpg", "Обложка")</f>
        <v>Обложка</v>
      </c>
      <c r="V8877" s="8" t="s">
        <v>11116</v>
      </c>
      <c r="W8877" s="6"/>
      <c r="X8877" s="6"/>
      <c r="Y8877" s="6"/>
      <c r="Z8877" s="6"/>
      <c r="AA8877" s="6" t="s">
        <v>148</v>
      </c>
      <c r="AB8877" s="8"/>
      <c r="AC8877" s="27">
        <v>9785160169880</v>
      </c>
    </row>
    <row r="8878" spans="1:29" s="4" customFormat="1" ht="42" customHeight="1" x14ac:dyDescent="0.2">
      <c r="A8878" s="5">
        <v>0</v>
      </c>
      <c r="B8878" s="6" t="s">
        <v>49816</v>
      </c>
      <c r="C8878" s="7">
        <v>1168.8</v>
      </c>
      <c r="D8878" s="8" t="s">
        <v>49817</v>
      </c>
      <c r="E8878" s="8" t="s">
        <v>49808</v>
      </c>
      <c r="F8878" s="8" t="s">
        <v>49818</v>
      </c>
      <c r="G8878" s="6" t="s">
        <v>118</v>
      </c>
      <c r="H8878" s="6" t="s">
        <v>241</v>
      </c>
      <c r="I8878" s="8"/>
      <c r="J8878" s="9">
        <v>1</v>
      </c>
      <c r="K8878" s="9">
        <v>178</v>
      </c>
      <c r="L8878" s="9">
        <v>2026</v>
      </c>
      <c r="M8878" s="8" t="s">
        <v>49819</v>
      </c>
      <c r="N8878" s="8" t="s">
        <v>37</v>
      </c>
      <c r="O8878" s="8" t="s">
        <v>233</v>
      </c>
      <c r="P8878" s="6" t="s">
        <v>306</v>
      </c>
      <c r="Q8878" s="8" t="s">
        <v>52</v>
      </c>
      <c r="R8878" s="10" t="s">
        <v>3008</v>
      </c>
      <c r="S8878" s="11"/>
      <c r="T8878" s="6"/>
      <c r="U8878" s="15" t="str">
        <f>HYPERLINK("https://media.infra-m.ru/2249/2249258/cover/2249258.jpg", "Обложка")</f>
        <v>Обложка</v>
      </c>
      <c r="V8878" s="8" t="s">
        <v>227</v>
      </c>
      <c r="W8878" s="6"/>
      <c r="X8878" s="6"/>
      <c r="Y8878" s="6"/>
      <c r="Z8878" s="6"/>
      <c r="AA8878" s="6" t="s">
        <v>779</v>
      </c>
      <c r="AB8878" s="8"/>
      <c r="AC8878" s="27">
        <v>9785955804576</v>
      </c>
    </row>
    <row r="8879" spans="1:29" s="4" customFormat="1" ht="51.9" customHeight="1" x14ac:dyDescent="0.2">
      <c r="A8879" s="5">
        <v>0</v>
      </c>
      <c r="B8879" s="6" t="s">
        <v>49820</v>
      </c>
      <c r="C8879" s="7">
        <v>1860</v>
      </c>
      <c r="D8879" s="8" t="s">
        <v>49821</v>
      </c>
      <c r="E8879" s="8" t="s">
        <v>49822</v>
      </c>
      <c r="F8879" s="8" t="s">
        <v>49823</v>
      </c>
      <c r="G8879" s="6" t="s">
        <v>118</v>
      </c>
      <c r="H8879" s="6" t="s">
        <v>1644</v>
      </c>
      <c r="I8879" s="8" t="s">
        <v>1904</v>
      </c>
      <c r="J8879" s="9">
        <v>1</v>
      </c>
      <c r="K8879" s="9">
        <v>336</v>
      </c>
      <c r="L8879" s="9">
        <v>2024</v>
      </c>
      <c r="M8879" s="8" t="s">
        <v>49824</v>
      </c>
      <c r="N8879" s="8" t="s">
        <v>37</v>
      </c>
      <c r="O8879" s="8" t="s">
        <v>233</v>
      </c>
      <c r="P8879" s="6" t="s">
        <v>306</v>
      </c>
      <c r="Q8879" s="8" t="s">
        <v>52</v>
      </c>
      <c r="R8879" s="10" t="s">
        <v>49825</v>
      </c>
      <c r="S8879" s="11" t="s">
        <v>49826</v>
      </c>
      <c r="T8879" s="6"/>
      <c r="U8879" s="15" t="str">
        <f>HYPERLINK("https://media.infra-m.ru/2079/2079506/cover/2079506.jpg", "Обложка")</f>
        <v>Обложка</v>
      </c>
      <c r="V8879" s="8" t="s">
        <v>396</v>
      </c>
      <c r="W8879" s="6"/>
      <c r="X8879" s="6"/>
      <c r="Y8879" s="6"/>
      <c r="Z8879" s="6"/>
      <c r="AA8879" s="6" t="s">
        <v>446</v>
      </c>
      <c r="AB8879" s="8"/>
      <c r="AC8879" s="27">
        <v>9785977603454</v>
      </c>
    </row>
    <row r="8880" spans="1:29" s="4" customFormat="1" ht="51.9" customHeight="1" x14ac:dyDescent="0.2">
      <c r="A8880" s="5">
        <v>0</v>
      </c>
      <c r="B8880" s="6" t="s">
        <v>49827</v>
      </c>
      <c r="C8880" s="7">
        <v>2896.8</v>
      </c>
      <c r="D8880" s="8" t="s">
        <v>49828</v>
      </c>
      <c r="E8880" s="8" t="s">
        <v>49808</v>
      </c>
      <c r="F8880" s="8" t="s">
        <v>49829</v>
      </c>
      <c r="G8880" s="6" t="s">
        <v>60</v>
      </c>
      <c r="H8880" s="6" t="s">
        <v>34</v>
      </c>
      <c r="I8880" s="8" t="s">
        <v>253</v>
      </c>
      <c r="J8880" s="9">
        <v>1</v>
      </c>
      <c r="K8880" s="9">
        <v>415</v>
      </c>
      <c r="L8880" s="9">
        <v>2027</v>
      </c>
      <c r="M8880" s="8" t="s">
        <v>49830</v>
      </c>
      <c r="N8880" s="8" t="s">
        <v>37</v>
      </c>
      <c r="O8880" s="8" t="s">
        <v>233</v>
      </c>
      <c r="P8880" s="6" t="s">
        <v>306</v>
      </c>
      <c r="Q8880" s="8" t="s">
        <v>65</v>
      </c>
      <c r="R8880" s="10" t="s">
        <v>49811</v>
      </c>
      <c r="S8880" s="11"/>
      <c r="T8880" s="6" t="s">
        <v>97</v>
      </c>
      <c r="U8880" s="15" t="str">
        <f>HYPERLINK("https://media.infra-m.ru/2261/2261968/cover/2261968.jpg", "Обложка")</f>
        <v>Обложка</v>
      </c>
      <c r="V8880" s="8" t="s">
        <v>1083</v>
      </c>
      <c r="W8880" s="6"/>
      <c r="X8880" s="6"/>
      <c r="Y8880" s="6"/>
      <c r="Z8880" s="6"/>
      <c r="AA8880" s="6" t="s">
        <v>68</v>
      </c>
      <c r="AB8880" s="8"/>
      <c r="AC8880" s="27">
        <v>9785160201665</v>
      </c>
    </row>
    <row r="8881" spans="1:29" s="4" customFormat="1" ht="51.9" customHeight="1" x14ac:dyDescent="0.2">
      <c r="A8881" s="5">
        <v>0</v>
      </c>
      <c r="B8881" s="6" t="s">
        <v>49831</v>
      </c>
      <c r="C8881" s="7">
        <v>2308.8000000000002</v>
      </c>
      <c r="D8881" s="8" t="s">
        <v>49832</v>
      </c>
      <c r="E8881" s="8" t="s">
        <v>49808</v>
      </c>
      <c r="F8881" s="8" t="s">
        <v>9192</v>
      </c>
      <c r="G8881" s="6" t="s">
        <v>60</v>
      </c>
      <c r="H8881" s="6" t="s">
        <v>1644</v>
      </c>
      <c r="I8881" s="8"/>
      <c r="J8881" s="9">
        <v>1</v>
      </c>
      <c r="K8881" s="9">
        <v>576</v>
      </c>
      <c r="L8881" s="9">
        <v>2024</v>
      </c>
      <c r="M8881" s="8" t="s">
        <v>49833</v>
      </c>
      <c r="N8881" s="8" t="s">
        <v>37</v>
      </c>
      <c r="O8881" s="8" t="s">
        <v>233</v>
      </c>
      <c r="P8881" s="6" t="s">
        <v>51</v>
      </c>
      <c r="Q8881" s="8" t="s">
        <v>52</v>
      </c>
      <c r="R8881" s="10" t="s">
        <v>357</v>
      </c>
      <c r="S8881" s="11" t="s">
        <v>49834</v>
      </c>
      <c r="T8881" s="6"/>
      <c r="U8881" s="15" t="str">
        <f>HYPERLINK("https://media.infra-m.ru/2079/2079630/cover/2079630.jpg", "Обложка")</f>
        <v>Обложка</v>
      </c>
      <c r="V8881" s="8" t="s">
        <v>247</v>
      </c>
      <c r="W8881" s="6"/>
      <c r="X8881" s="6"/>
      <c r="Y8881" s="6"/>
      <c r="Z8881" s="6"/>
      <c r="AA8881" s="6" t="s">
        <v>129</v>
      </c>
      <c r="AB8881" s="8"/>
      <c r="AC8881" s="27">
        <v>9785977601825</v>
      </c>
    </row>
    <row r="8882" spans="1:29" s="4" customFormat="1" ht="51.9" customHeight="1" x14ac:dyDescent="0.2">
      <c r="A8882" s="5">
        <v>0</v>
      </c>
      <c r="B8882" s="6" t="s">
        <v>49835</v>
      </c>
      <c r="C8882" s="7">
        <v>2392.8000000000002</v>
      </c>
      <c r="D8882" s="8" t="s">
        <v>49836</v>
      </c>
      <c r="E8882" s="8" t="s">
        <v>49837</v>
      </c>
      <c r="F8882" s="8" t="s">
        <v>49838</v>
      </c>
      <c r="G8882" s="6" t="s">
        <v>118</v>
      </c>
      <c r="H8882" s="6" t="s">
        <v>1644</v>
      </c>
      <c r="I8882" s="8" t="s">
        <v>1904</v>
      </c>
      <c r="J8882" s="9">
        <v>1</v>
      </c>
      <c r="K8882" s="9">
        <v>448</v>
      </c>
      <c r="L8882" s="9">
        <v>2023</v>
      </c>
      <c r="M8882" s="8" t="s">
        <v>49839</v>
      </c>
      <c r="N8882" s="8" t="s">
        <v>37</v>
      </c>
      <c r="O8882" s="8" t="s">
        <v>233</v>
      </c>
      <c r="P8882" s="6" t="s">
        <v>51</v>
      </c>
      <c r="Q8882" s="8" t="s">
        <v>52</v>
      </c>
      <c r="R8882" s="10" t="s">
        <v>49840</v>
      </c>
      <c r="S8882" s="11" t="s">
        <v>49841</v>
      </c>
      <c r="T8882" s="6"/>
      <c r="U8882" s="15" t="str">
        <f>HYPERLINK("https://media.infra-m.ru/1976/1976179/cover/1976179.jpg", "Обложка")</f>
        <v>Обложка</v>
      </c>
      <c r="V8882" s="8" t="s">
        <v>396</v>
      </c>
      <c r="W8882" s="6"/>
      <c r="X8882" s="6"/>
      <c r="Y8882" s="6"/>
      <c r="Z8882" s="6"/>
      <c r="AA8882" s="6" t="s">
        <v>3800</v>
      </c>
      <c r="AB8882" s="8"/>
      <c r="AC8882" s="27">
        <v>9785977604147</v>
      </c>
    </row>
    <row r="8883" spans="1:29" s="4" customFormat="1" ht="42" customHeight="1" x14ac:dyDescent="0.2">
      <c r="A8883" s="5">
        <v>0</v>
      </c>
      <c r="B8883" s="6" t="s">
        <v>49842</v>
      </c>
      <c r="C8883" s="7">
        <v>1620</v>
      </c>
      <c r="D8883" s="8" t="s">
        <v>49843</v>
      </c>
      <c r="E8883" s="8" t="s">
        <v>49844</v>
      </c>
      <c r="F8883" s="8" t="s">
        <v>49845</v>
      </c>
      <c r="G8883" s="6" t="s">
        <v>60</v>
      </c>
      <c r="H8883" s="6" t="s">
        <v>34</v>
      </c>
      <c r="I8883" s="8" t="s">
        <v>457</v>
      </c>
      <c r="J8883" s="9">
        <v>1</v>
      </c>
      <c r="K8883" s="9">
        <v>216</v>
      </c>
      <c r="L8883" s="9">
        <v>2026</v>
      </c>
      <c r="M8883" s="8" t="s">
        <v>49846</v>
      </c>
      <c r="N8883" s="8" t="s">
        <v>37</v>
      </c>
      <c r="O8883" s="8" t="s">
        <v>233</v>
      </c>
      <c r="P8883" s="6" t="s">
        <v>39</v>
      </c>
      <c r="Q8883" s="8" t="s">
        <v>40</v>
      </c>
      <c r="R8883" s="10" t="s">
        <v>2228</v>
      </c>
      <c r="S8883" s="11"/>
      <c r="T8883" s="6"/>
      <c r="U8883" s="15" t="str">
        <f>HYPERLINK("https://media.infra-m.ru/2228/2228535/cover/2228535.jpg", "Обложка")</f>
        <v>Обложка</v>
      </c>
      <c r="V8883" s="8" t="s">
        <v>247</v>
      </c>
      <c r="W8883" s="6" t="s">
        <v>299</v>
      </c>
      <c r="X8883" s="6"/>
      <c r="Y8883" s="6"/>
      <c r="Z8883" s="6"/>
      <c r="AA8883" s="6" t="s">
        <v>187</v>
      </c>
      <c r="AB8883" s="8" t="s">
        <v>308</v>
      </c>
      <c r="AC8883" s="27">
        <v>9785160215150</v>
      </c>
    </row>
    <row r="8884" spans="1:29" s="4" customFormat="1" ht="51.9" customHeight="1" x14ac:dyDescent="0.2">
      <c r="A8884" s="5">
        <v>0</v>
      </c>
      <c r="B8884" s="6" t="s">
        <v>49847</v>
      </c>
      <c r="C8884" s="7">
        <v>1164</v>
      </c>
      <c r="D8884" s="8" t="s">
        <v>49848</v>
      </c>
      <c r="E8884" s="8" t="s">
        <v>49849</v>
      </c>
      <c r="F8884" s="8" t="s">
        <v>49850</v>
      </c>
      <c r="G8884" s="6" t="s">
        <v>60</v>
      </c>
      <c r="H8884" s="6" t="s">
        <v>34</v>
      </c>
      <c r="I8884" s="8" t="s">
        <v>35</v>
      </c>
      <c r="J8884" s="9">
        <v>1</v>
      </c>
      <c r="K8884" s="9">
        <v>249</v>
      </c>
      <c r="L8884" s="9">
        <v>2027</v>
      </c>
      <c r="M8884" s="8" t="s">
        <v>49851</v>
      </c>
      <c r="N8884" s="8" t="s">
        <v>37</v>
      </c>
      <c r="O8884" s="8" t="s">
        <v>233</v>
      </c>
      <c r="P8884" s="6" t="s">
        <v>39</v>
      </c>
      <c r="Q8884" s="8" t="s">
        <v>40</v>
      </c>
      <c r="R8884" s="10" t="s">
        <v>49852</v>
      </c>
      <c r="S8884" s="11"/>
      <c r="T8884" s="6"/>
      <c r="U8884" s="15" t="str">
        <f>HYPERLINK("https://media.infra-m.ru/2242/2242163/cover/2242163.jpg", "Обложка")</f>
        <v>Обложка</v>
      </c>
      <c r="V8884" s="8" t="s">
        <v>247</v>
      </c>
      <c r="W8884" s="6" t="s">
        <v>2115</v>
      </c>
      <c r="X8884" s="6"/>
      <c r="Y8884" s="6"/>
      <c r="Z8884" s="6"/>
      <c r="AA8884" s="6" t="s">
        <v>187</v>
      </c>
      <c r="AB8884" s="8"/>
      <c r="AC8884" s="27">
        <v>9785160219059</v>
      </c>
    </row>
    <row r="8885" spans="1:29" s="4" customFormat="1" ht="51.9" customHeight="1" x14ac:dyDescent="0.2">
      <c r="A8885" s="5">
        <v>0</v>
      </c>
      <c r="B8885" s="6" t="s">
        <v>49853</v>
      </c>
      <c r="C8885" s="7">
        <v>1068</v>
      </c>
      <c r="D8885" s="8" t="s">
        <v>49854</v>
      </c>
      <c r="E8885" s="8" t="s">
        <v>49855</v>
      </c>
      <c r="F8885" s="8" t="s">
        <v>49856</v>
      </c>
      <c r="G8885" s="6" t="s">
        <v>60</v>
      </c>
      <c r="H8885" s="6" t="s">
        <v>34</v>
      </c>
      <c r="I8885" s="8" t="s">
        <v>1248</v>
      </c>
      <c r="J8885" s="9">
        <v>1</v>
      </c>
      <c r="K8885" s="9">
        <v>150</v>
      </c>
      <c r="L8885" s="9">
        <v>2026</v>
      </c>
      <c r="M8885" s="8" t="s">
        <v>49857</v>
      </c>
      <c r="N8885" s="8" t="s">
        <v>224</v>
      </c>
      <c r="O8885" s="8" t="s">
        <v>225</v>
      </c>
      <c r="P8885" s="6" t="s">
        <v>51</v>
      </c>
      <c r="Q8885" s="8" t="s">
        <v>52</v>
      </c>
      <c r="R8885" s="10" t="s">
        <v>49858</v>
      </c>
      <c r="S8885" s="11"/>
      <c r="T8885" s="6"/>
      <c r="U8885" s="15" t="str">
        <f>HYPERLINK("https://media.infra-m.ru/2222/2222620/cover/2222620.jpg", "Обложка")</f>
        <v>Обложка</v>
      </c>
      <c r="V8885" s="8" t="s">
        <v>1083</v>
      </c>
      <c r="W8885" s="6" t="s">
        <v>547</v>
      </c>
      <c r="X8885" s="6"/>
      <c r="Y8885" s="6"/>
      <c r="Z8885" s="6"/>
      <c r="AA8885" s="6" t="s">
        <v>187</v>
      </c>
      <c r="AB8885" s="8"/>
      <c r="AC8885" s="27">
        <v>9785160213453</v>
      </c>
    </row>
    <row r="8886" spans="1:29" s="4" customFormat="1" ht="42" customHeight="1" x14ac:dyDescent="0.2">
      <c r="A8886" s="5">
        <v>0</v>
      </c>
      <c r="B8886" s="6" t="s">
        <v>49859</v>
      </c>
      <c r="C8886" s="7">
        <v>1180.8</v>
      </c>
      <c r="D8886" s="8" t="s">
        <v>49860</v>
      </c>
      <c r="E8886" s="8" t="s">
        <v>49861</v>
      </c>
      <c r="F8886" s="8" t="s">
        <v>49862</v>
      </c>
      <c r="G8886" s="6" t="s">
        <v>118</v>
      </c>
      <c r="H8886" s="6" t="s">
        <v>34</v>
      </c>
      <c r="I8886" s="8" t="s">
        <v>504</v>
      </c>
      <c r="J8886" s="9">
        <v>1</v>
      </c>
      <c r="K8886" s="9">
        <v>178</v>
      </c>
      <c r="L8886" s="9">
        <v>2026</v>
      </c>
      <c r="M8886" s="8" t="s">
        <v>49863</v>
      </c>
      <c r="N8886" s="8" t="s">
        <v>243</v>
      </c>
      <c r="O8886" s="8" t="s">
        <v>1100</v>
      </c>
      <c r="P8886" s="6" t="s">
        <v>306</v>
      </c>
      <c r="Q8886" s="8" t="s">
        <v>500</v>
      </c>
      <c r="R8886" s="10" t="s">
        <v>49864</v>
      </c>
      <c r="S8886" s="11"/>
      <c r="T8886" s="6"/>
      <c r="U8886" s="15" t="str">
        <f>HYPERLINK("https://media.infra-m.ru/2246/2246663/cover/2246663.jpg", "Обложка")</f>
        <v>Обложка</v>
      </c>
      <c r="V8886" s="8" t="s">
        <v>15508</v>
      </c>
      <c r="W8886" s="6"/>
      <c r="X8886" s="6"/>
      <c r="Y8886" s="6"/>
      <c r="Z8886" s="6"/>
      <c r="AA8886" s="6" t="s">
        <v>779</v>
      </c>
      <c r="AB8886" s="8"/>
      <c r="AC8886" s="27">
        <v>9785160121833</v>
      </c>
    </row>
    <row r="8887" spans="1:29" s="4" customFormat="1" ht="51.9" customHeight="1" x14ac:dyDescent="0.2">
      <c r="A8887" s="5">
        <v>0</v>
      </c>
      <c r="B8887" s="6" t="s">
        <v>49865</v>
      </c>
      <c r="C8887" s="7">
        <v>1900.8</v>
      </c>
      <c r="D8887" s="8" t="s">
        <v>49866</v>
      </c>
      <c r="E8887" s="8" t="s">
        <v>49867</v>
      </c>
      <c r="F8887" s="8" t="s">
        <v>49868</v>
      </c>
      <c r="G8887" s="6" t="s">
        <v>118</v>
      </c>
      <c r="H8887" s="6" t="s">
        <v>34</v>
      </c>
      <c r="I8887" s="8" t="s">
        <v>271</v>
      </c>
      <c r="J8887" s="9">
        <v>1</v>
      </c>
      <c r="K8887" s="9">
        <v>288</v>
      </c>
      <c r="L8887" s="9">
        <v>2026</v>
      </c>
      <c r="M8887" s="8" t="s">
        <v>49869</v>
      </c>
      <c r="N8887" s="8" t="s">
        <v>243</v>
      </c>
      <c r="O8887" s="8" t="s">
        <v>1100</v>
      </c>
      <c r="P8887" s="6" t="s">
        <v>306</v>
      </c>
      <c r="Q8887" s="8" t="s">
        <v>52</v>
      </c>
      <c r="R8887" s="10" t="s">
        <v>49870</v>
      </c>
      <c r="S8887" s="11" t="s">
        <v>49871</v>
      </c>
      <c r="T8887" s="6"/>
      <c r="U8887" s="15" t="str">
        <f>HYPERLINK("https://media.infra-m.ru/2194/2194382/cover/2194382.jpg", "Обложка")</f>
        <v>Обложка</v>
      </c>
      <c r="V8887" s="8" t="s">
        <v>1030</v>
      </c>
      <c r="W8887" s="6"/>
      <c r="X8887" s="6"/>
      <c r="Y8887" s="6"/>
      <c r="Z8887" s="6"/>
      <c r="AA8887" s="6" t="s">
        <v>274</v>
      </c>
      <c r="AB8887" s="8"/>
      <c r="AC8887" s="27">
        <v>9785160098623</v>
      </c>
    </row>
    <row r="8888" spans="1:29" s="4" customFormat="1" ht="51.9" customHeight="1" x14ac:dyDescent="0.2">
      <c r="A8888" s="5">
        <v>0</v>
      </c>
      <c r="B8888" s="6" t="s">
        <v>49872</v>
      </c>
      <c r="C8888" s="7">
        <v>1464</v>
      </c>
      <c r="D8888" s="8" t="s">
        <v>49873</v>
      </c>
      <c r="E8888" s="8" t="s">
        <v>49874</v>
      </c>
      <c r="F8888" s="8" t="s">
        <v>49875</v>
      </c>
      <c r="G8888" s="6" t="s">
        <v>118</v>
      </c>
      <c r="H8888" s="6" t="s">
        <v>34</v>
      </c>
      <c r="I8888" s="8" t="s">
        <v>263</v>
      </c>
      <c r="J8888" s="9">
        <v>1</v>
      </c>
      <c r="K8888" s="9">
        <v>221</v>
      </c>
      <c r="L8888" s="9">
        <v>2026</v>
      </c>
      <c r="M8888" s="8" t="s">
        <v>49876</v>
      </c>
      <c r="N8888" s="8" t="s">
        <v>63</v>
      </c>
      <c r="O8888" s="8" t="s">
        <v>181</v>
      </c>
      <c r="P8888" s="6" t="s">
        <v>51</v>
      </c>
      <c r="Q8888" s="8" t="s">
        <v>265</v>
      </c>
      <c r="R8888" s="10" t="s">
        <v>49877</v>
      </c>
      <c r="S8888" s="11" t="s">
        <v>49878</v>
      </c>
      <c r="T8888" s="6" t="s">
        <v>97</v>
      </c>
      <c r="U8888" s="15" t="str">
        <f>HYPERLINK("https://media.infra-m.ru/2225/2225086/cover/2225086.jpg", "Обложка")</f>
        <v>Обложка</v>
      </c>
      <c r="V8888" s="8" t="s">
        <v>18386</v>
      </c>
      <c r="W8888" s="6"/>
      <c r="X8888" s="6" t="s">
        <v>24</v>
      </c>
      <c r="Y8888" s="6"/>
      <c r="Z8888" s="6"/>
      <c r="AA8888" s="6" t="s">
        <v>248</v>
      </c>
      <c r="AB8888" s="8"/>
      <c r="AC8888" s="27">
        <v>9785160174969</v>
      </c>
    </row>
    <row r="8889" spans="1:29" s="4" customFormat="1" ht="42" customHeight="1" x14ac:dyDescent="0.2">
      <c r="A8889" s="5">
        <v>0</v>
      </c>
      <c r="B8889" s="6" t="s">
        <v>49879</v>
      </c>
      <c r="C8889" s="7">
        <v>2064</v>
      </c>
      <c r="D8889" s="8" t="s">
        <v>49880</v>
      </c>
      <c r="E8889" s="8" t="s">
        <v>49881</v>
      </c>
      <c r="F8889" s="8" t="s">
        <v>4643</v>
      </c>
      <c r="G8889" s="6" t="s">
        <v>60</v>
      </c>
      <c r="H8889" s="6" t="s">
        <v>34</v>
      </c>
      <c r="I8889" s="8" t="s">
        <v>35</v>
      </c>
      <c r="J8889" s="9">
        <v>1</v>
      </c>
      <c r="K8889" s="9">
        <v>308</v>
      </c>
      <c r="L8889" s="9">
        <v>2025</v>
      </c>
      <c r="M8889" s="8" t="s">
        <v>49882</v>
      </c>
      <c r="N8889" s="8" t="s">
        <v>243</v>
      </c>
      <c r="O8889" s="8" t="s">
        <v>798</v>
      </c>
      <c r="P8889" s="6" t="s">
        <v>39</v>
      </c>
      <c r="Q8889" s="8" t="s">
        <v>40</v>
      </c>
      <c r="R8889" s="10" t="s">
        <v>49883</v>
      </c>
      <c r="S8889" s="11"/>
      <c r="T8889" s="6"/>
      <c r="U8889" s="15" t="str">
        <f>HYPERLINK("https://media.infra-m.ru/2170/2170637/cover/2170637.jpg", "Обложка")</f>
        <v>Обложка</v>
      </c>
      <c r="V8889" s="8" t="s">
        <v>761</v>
      </c>
      <c r="W8889" s="6"/>
      <c r="X8889" s="6"/>
      <c r="Y8889" s="6"/>
      <c r="Z8889" s="6"/>
      <c r="AA8889" s="6" t="s">
        <v>68</v>
      </c>
      <c r="AB8889" s="8"/>
      <c r="AC8889" s="27">
        <v>9785160203676</v>
      </c>
    </row>
    <row r="8890" spans="1:29" s="4" customFormat="1" ht="51.9" customHeight="1" x14ac:dyDescent="0.2">
      <c r="A8890" s="5">
        <v>0</v>
      </c>
      <c r="B8890" s="6" t="s">
        <v>49884</v>
      </c>
      <c r="C8890" s="7">
        <v>1176</v>
      </c>
      <c r="D8890" s="8" t="s">
        <v>49885</v>
      </c>
      <c r="E8890" s="8" t="s">
        <v>49886</v>
      </c>
      <c r="F8890" s="8" t="s">
        <v>4643</v>
      </c>
      <c r="G8890" s="6" t="s">
        <v>33</v>
      </c>
      <c r="H8890" s="6" t="s">
        <v>34</v>
      </c>
      <c r="I8890" s="8" t="s">
        <v>35</v>
      </c>
      <c r="J8890" s="9">
        <v>1</v>
      </c>
      <c r="K8890" s="9">
        <v>184</v>
      </c>
      <c r="L8890" s="9">
        <v>2023</v>
      </c>
      <c r="M8890" s="8" t="s">
        <v>49887</v>
      </c>
      <c r="N8890" s="8" t="s">
        <v>243</v>
      </c>
      <c r="O8890" s="8" t="s">
        <v>798</v>
      </c>
      <c r="P8890" s="6" t="s">
        <v>39</v>
      </c>
      <c r="Q8890" s="8" t="s">
        <v>40</v>
      </c>
      <c r="R8890" s="10" t="s">
        <v>49888</v>
      </c>
      <c r="S8890" s="11"/>
      <c r="T8890" s="6"/>
      <c r="U8890" s="15" t="str">
        <f>HYPERLINK("https://media.infra-m.ru/1938/1938077/cover/1938077.jpg", "Обложка")</f>
        <v>Обложка</v>
      </c>
      <c r="V8890" s="8" t="s">
        <v>761</v>
      </c>
      <c r="W8890" s="6"/>
      <c r="X8890" s="6"/>
      <c r="Y8890" s="6"/>
      <c r="Z8890" s="6"/>
      <c r="AA8890" s="6" t="s">
        <v>157</v>
      </c>
      <c r="AB8890" s="8"/>
      <c r="AC8890" s="27">
        <v>9785160182469</v>
      </c>
    </row>
    <row r="8891" spans="1:29" s="4" customFormat="1" ht="42" customHeight="1" x14ac:dyDescent="0.2">
      <c r="A8891" s="5">
        <v>0</v>
      </c>
      <c r="B8891" s="6" t="s">
        <v>49889</v>
      </c>
      <c r="C8891" s="7">
        <v>2748</v>
      </c>
      <c r="D8891" s="8" t="s">
        <v>49890</v>
      </c>
      <c r="E8891" s="8" t="s">
        <v>49891</v>
      </c>
      <c r="F8891" s="8" t="s">
        <v>4643</v>
      </c>
      <c r="G8891" s="6" t="s">
        <v>60</v>
      </c>
      <c r="H8891" s="6" t="s">
        <v>34</v>
      </c>
      <c r="I8891" s="8" t="s">
        <v>35</v>
      </c>
      <c r="J8891" s="9">
        <v>1</v>
      </c>
      <c r="K8891" s="9">
        <v>392</v>
      </c>
      <c r="L8891" s="9">
        <v>2026</v>
      </c>
      <c r="M8891" s="8" t="s">
        <v>49892</v>
      </c>
      <c r="N8891" s="8" t="s">
        <v>243</v>
      </c>
      <c r="O8891" s="8" t="s">
        <v>798</v>
      </c>
      <c r="P8891" s="6" t="s">
        <v>39</v>
      </c>
      <c r="Q8891" s="8" t="s">
        <v>40</v>
      </c>
      <c r="R8891" s="10" t="s">
        <v>49883</v>
      </c>
      <c r="S8891" s="11"/>
      <c r="T8891" s="6"/>
      <c r="U8891" s="15" t="str">
        <f>HYPERLINK("https://media.infra-m.ru/2228/2228578/cover/2228578.jpg", "Обложка")</f>
        <v>Обложка</v>
      </c>
      <c r="V8891" s="8" t="s">
        <v>761</v>
      </c>
      <c r="W8891" s="6" t="s">
        <v>351</v>
      </c>
      <c r="X8891" s="6"/>
      <c r="Y8891" s="6"/>
      <c r="Z8891" s="6"/>
      <c r="AA8891" s="6" t="s">
        <v>187</v>
      </c>
      <c r="AB8891" s="8" t="s">
        <v>11878</v>
      </c>
      <c r="AC8891" s="27">
        <v>9785160215211</v>
      </c>
    </row>
    <row r="8892" spans="1:29" s="4" customFormat="1" ht="51.9" customHeight="1" x14ac:dyDescent="0.2">
      <c r="A8892" s="5">
        <v>0</v>
      </c>
      <c r="B8892" s="6" t="s">
        <v>49893</v>
      </c>
      <c r="C8892" s="7">
        <v>1980</v>
      </c>
      <c r="D8892" s="8" t="s">
        <v>49894</v>
      </c>
      <c r="E8892" s="8" t="s">
        <v>49895</v>
      </c>
      <c r="F8892" s="8" t="s">
        <v>4643</v>
      </c>
      <c r="G8892" s="6" t="s">
        <v>60</v>
      </c>
      <c r="H8892" s="6" t="s">
        <v>34</v>
      </c>
      <c r="I8892" s="8" t="s">
        <v>35</v>
      </c>
      <c r="J8892" s="9">
        <v>1</v>
      </c>
      <c r="K8892" s="9">
        <v>254</v>
      </c>
      <c r="L8892" s="9">
        <v>2026</v>
      </c>
      <c r="M8892" s="8" t="s">
        <v>49896</v>
      </c>
      <c r="N8892" s="8" t="s">
        <v>243</v>
      </c>
      <c r="O8892" s="8" t="s">
        <v>798</v>
      </c>
      <c r="P8892" s="6" t="s">
        <v>39</v>
      </c>
      <c r="Q8892" s="8" t="s">
        <v>40</v>
      </c>
      <c r="R8892" s="10" t="s">
        <v>49897</v>
      </c>
      <c r="S8892" s="11"/>
      <c r="T8892" s="6"/>
      <c r="U8892" s="15" t="str">
        <f>HYPERLINK("https://media.infra-m.ru/2219/2219641/cover/2219641.jpg", "Обложка")</f>
        <v>Обложка</v>
      </c>
      <c r="V8892" s="8" t="s">
        <v>761</v>
      </c>
      <c r="W8892" s="6" t="s">
        <v>2941</v>
      </c>
      <c r="X8892" s="6"/>
      <c r="Y8892" s="6"/>
      <c r="Z8892" s="6"/>
      <c r="AA8892" s="6" t="s">
        <v>187</v>
      </c>
      <c r="AB8892" s="8" t="s">
        <v>308</v>
      </c>
      <c r="AC8892" s="27">
        <v>9785160212555</v>
      </c>
    </row>
    <row r="8893" spans="1:29" s="4" customFormat="1" ht="42" customHeight="1" x14ac:dyDescent="0.2">
      <c r="A8893" s="5">
        <v>0</v>
      </c>
      <c r="B8893" s="6" t="s">
        <v>49898</v>
      </c>
      <c r="C8893" s="13">
        <v>341.9</v>
      </c>
      <c r="D8893" s="8" t="s">
        <v>49899</v>
      </c>
      <c r="E8893" s="8" t="s">
        <v>49900</v>
      </c>
      <c r="F8893" s="8" t="s">
        <v>4844</v>
      </c>
      <c r="G8893" s="6" t="s">
        <v>33</v>
      </c>
      <c r="H8893" s="6" t="s">
        <v>34</v>
      </c>
      <c r="I8893" s="8" t="s">
        <v>35</v>
      </c>
      <c r="J8893" s="9">
        <v>1</v>
      </c>
      <c r="K8893" s="9">
        <v>78</v>
      </c>
      <c r="L8893" s="9">
        <v>2021</v>
      </c>
      <c r="M8893" s="8" t="s">
        <v>49901</v>
      </c>
      <c r="N8893" s="8" t="s">
        <v>37</v>
      </c>
      <c r="O8893" s="8" t="s">
        <v>136</v>
      </c>
      <c r="P8893" s="6" t="s">
        <v>39</v>
      </c>
      <c r="Q8893" s="8" t="s">
        <v>40</v>
      </c>
      <c r="R8893" s="10" t="s">
        <v>2033</v>
      </c>
      <c r="S8893" s="11"/>
      <c r="T8893" s="6"/>
      <c r="U8893" s="15" t="str">
        <f>HYPERLINK("https://media.infra-m.ru/1208/1208484/cover/1208484.jpg", "Обложка")</f>
        <v>Обложка</v>
      </c>
      <c r="V8893" s="8" t="s">
        <v>227</v>
      </c>
      <c r="W8893" s="6"/>
      <c r="X8893" s="6"/>
      <c r="Y8893" s="6"/>
      <c r="Z8893" s="6"/>
      <c r="AA8893" s="6" t="s">
        <v>43</v>
      </c>
      <c r="AB8893" s="8"/>
      <c r="AC8893" s="27">
        <v>9785160061399</v>
      </c>
    </row>
    <row r="8894" spans="1:29" s="4" customFormat="1" ht="42" customHeight="1" x14ac:dyDescent="0.2">
      <c r="A8894" s="5">
        <v>0</v>
      </c>
      <c r="B8894" s="6" t="s">
        <v>49902</v>
      </c>
      <c r="C8894" s="13">
        <v>832.8</v>
      </c>
      <c r="D8894" s="8" t="s">
        <v>49903</v>
      </c>
      <c r="E8894" s="8" t="s">
        <v>49904</v>
      </c>
      <c r="F8894" s="8" t="s">
        <v>49905</v>
      </c>
      <c r="G8894" s="6" t="s">
        <v>33</v>
      </c>
      <c r="H8894" s="6" t="s">
        <v>34</v>
      </c>
      <c r="I8894" s="8" t="s">
        <v>35</v>
      </c>
      <c r="J8894" s="9">
        <v>1</v>
      </c>
      <c r="K8894" s="9">
        <v>152</v>
      </c>
      <c r="L8894" s="9">
        <v>2024</v>
      </c>
      <c r="M8894" s="8" t="s">
        <v>49906</v>
      </c>
      <c r="N8894" s="8" t="s">
        <v>37</v>
      </c>
      <c r="O8894" s="8" t="s">
        <v>136</v>
      </c>
      <c r="P8894" s="6" t="s">
        <v>39</v>
      </c>
      <c r="Q8894" s="8" t="s">
        <v>40</v>
      </c>
      <c r="R8894" s="10" t="s">
        <v>2033</v>
      </c>
      <c r="S8894" s="11"/>
      <c r="T8894" s="6"/>
      <c r="U8894" s="15" t="str">
        <f>HYPERLINK("https://media.infra-m.ru/2117/2117134/cover/2117134.jpg", "Обложка")</f>
        <v>Обложка</v>
      </c>
      <c r="V8894" s="8" t="s">
        <v>227</v>
      </c>
      <c r="W8894" s="6"/>
      <c r="X8894" s="6"/>
      <c r="Y8894" s="6"/>
      <c r="Z8894" s="6"/>
      <c r="AA8894" s="6" t="s">
        <v>43</v>
      </c>
      <c r="AB8894" s="8"/>
      <c r="AC8894" s="27">
        <v>9785160061436</v>
      </c>
    </row>
    <row r="8895" spans="1:29" s="4" customFormat="1" ht="51.9" customHeight="1" x14ac:dyDescent="0.2">
      <c r="A8895" s="5">
        <v>0</v>
      </c>
      <c r="B8895" s="6" t="s">
        <v>49907</v>
      </c>
      <c r="C8895" s="7">
        <v>1600.8</v>
      </c>
      <c r="D8895" s="8" t="s">
        <v>49908</v>
      </c>
      <c r="E8895" s="8" t="s">
        <v>49909</v>
      </c>
      <c r="F8895" s="8" t="s">
        <v>49910</v>
      </c>
      <c r="G8895" s="6" t="s">
        <v>118</v>
      </c>
      <c r="H8895" s="6" t="s">
        <v>1042</v>
      </c>
      <c r="I8895" s="8"/>
      <c r="J8895" s="9">
        <v>1</v>
      </c>
      <c r="K8895" s="9">
        <v>256</v>
      </c>
      <c r="L8895" s="9">
        <v>2026</v>
      </c>
      <c r="M8895" s="8" t="s">
        <v>49911</v>
      </c>
      <c r="N8895" s="8" t="s">
        <v>63</v>
      </c>
      <c r="O8895" s="8" t="s">
        <v>64</v>
      </c>
      <c r="P8895" s="6" t="s">
        <v>51</v>
      </c>
      <c r="Q8895" s="8" t="s">
        <v>265</v>
      </c>
      <c r="R8895" s="10" t="s">
        <v>24201</v>
      </c>
      <c r="S8895" s="11" t="s">
        <v>49912</v>
      </c>
      <c r="T8895" s="6"/>
      <c r="U8895" s="15" t="str">
        <f>HYPERLINK("https://media.infra-m.ru/2213/2213275/cover/2213275.jpg", "Обложка")</f>
        <v>Обложка</v>
      </c>
      <c r="V8895" s="8" t="s">
        <v>49913</v>
      </c>
      <c r="W8895" s="6"/>
      <c r="X8895" s="6"/>
      <c r="Y8895" s="6"/>
      <c r="Z8895" s="6"/>
      <c r="AA8895" s="6" t="s">
        <v>1007</v>
      </c>
      <c r="AB8895" s="8"/>
      <c r="AC8895" s="27">
        <v>5819901320</v>
      </c>
    </row>
    <row r="8896" spans="1:29" s="4" customFormat="1" ht="42" customHeight="1" x14ac:dyDescent="0.2">
      <c r="A8896" s="5">
        <v>0</v>
      </c>
      <c r="B8896" s="6" t="s">
        <v>49914</v>
      </c>
      <c r="C8896" s="7">
        <v>1092</v>
      </c>
      <c r="D8896" s="8" t="s">
        <v>49915</v>
      </c>
      <c r="E8896" s="8" t="s">
        <v>49916</v>
      </c>
      <c r="F8896" s="8" t="s">
        <v>49917</v>
      </c>
      <c r="G8896" s="6" t="s">
        <v>33</v>
      </c>
      <c r="H8896" s="6" t="s">
        <v>34</v>
      </c>
      <c r="I8896" s="8" t="s">
        <v>35</v>
      </c>
      <c r="J8896" s="9">
        <v>1</v>
      </c>
      <c r="K8896" s="9">
        <v>191</v>
      </c>
      <c r="L8896" s="9">
        <v>2024</v>
      </c>
      <c r="M8896" s="8" t="s">
        <v>49918</v>
      </c>
      <c r="N8896" s="8" t="s">
        <v>37</v>
      </c>
      <c r="O8896" s="8" t="s">
        <v>136</v>
      </c>
      <c r="P8896" s="6" t="s">
        <v>39</v>
      </c>
      <c r="Q8896" s="8" t="s">
        <v>40</v>
      </c>
      <c r="R8896" s="10" t="s">
        <v>2007</v>
      </c>
      <c r="S8896" s="11"/>
      <c r="T8896" s="6"/>
      <c r="U8896" s="15" t="str">
        <f>HYPERLINK("https://media.infra-m.ru/2135/2135246/cover/2135246.jpg", "Обложка")</f>
        <v>Обложка</v>
      </c>
      <c r="V8896" s="8" t="s">
        <v>5902</v>
      </c>
      <c r="W8896" s="6"/>
      <c r="X8896" s="6"/>
      <c r="Y8896" s="6"/>
      <c r="Z8896" s="6"/>
      <c r="AA8896" s="6" t="s">
        <v>1256</v>
      </c>
      <c r="AB8896" s="8"/>
      <c r="AC8896" s="27">
        <v>9785160155258</v>
      </c>
    </row>
    <row r="8897" spans="1:29" s="4" customFormat="1" ht="42" customHeight="1" x14ac:dyDescent="0.2">
      <c r="A8897" s="5">
        <v>0</v>
      </c>
      <c r="B8897" s="6" t="s">
        <v>49919</v>
      </c>
      <c r="C8897" s="7">
        <v>1120.8</v>
      </c>
      <c r="D8897" s="8" t="s">
        <v>49920</v>
      </c>
      <c r="E8897" s="8" t="s">
        <v>49921</v>
      </c>
      <c r="F8897" s="8" t="s">
        <v>49922</v>
      </c>
      <c r="G8897" s="6" t="s">
        <v>21</v>
      </c>
      <c r="H8897" s="6" t="s">
        <v>134</v>
      </c>
      <c r="I8897" s="8"/>
      <c r="J8897" s="9">
        <v>1</v>
      </c>
      <c r="K8897" s="9">
        <v>160</v>
      </c>
      <c r="L8897" s="9">
        <v>2026</v>
      </c>
      <c r="M8897" s="8" t="s">
        <v>49923</v>
      </c>
      <c r="N8897" s="8" t="s">
        <v>37</v>
      </c>
      <c r="O8897" s="8" t="s">
        <v>136</v>
      </c>
      <c r="P8897" s="6" t="s">
        <v>39</v>
      </c>
      <c r="Q8897" s="8" t="s">
        <v>40</v>
      </c>
      <c r="R8897" s="10" t="s">
        <v>1625</v>
      </c>
      <c r="S8897" s="11"/>
      <c r="T8897" s="6"/>
      <c r="U8897" s="15" t="str">
        <f>HYPERLINK("https://media.infra-m.ru/2247/2247245/cover/2247245.jpg", "Обложка")</f>
        <v>Обложка</v>
      </c>
      <c r="V8897" s="8" t="s">
        <v>1083</v>
      </c>
      <c r="W8897" s="6"/>
      <c r="X8897" s="6"/>
      <c r="Y8897" s="6"/>
      <c r="Z8897" s="6"/>
      <c r="AA8897" s="6" t="s">
        <v>129</v>
      </c>
      <c r="AB8897" s="8"/>
      <c r="AC8897" s="27">
        <v>9785917681436</v>
      </c>
    </row>
    <row r="8898" spans="1:29" s="4" customFormat="1" ht="42" customHeight="1" x14ac:dyDescent="0.2">
      <c r="A8898" s="5">
        <v>0</v>
      </c>
      <c r="B8898" s="6" t="s">
        <v>49924</v>
      </c>
      <c r="C8898" s="7">
        <v>1644</v>
      </c>
      <c r="D8898" s="8" t="s">
        <v>49925</v>
      </c>
      <c r="E8898" s="8" t="s">
        <v>49926</v>
      </c>
      <c r="F8898" s="8" t="s">
        <v>42040</v>
      </c>
      <c r="G8898" s="6" t="s">
        <v>118</v>
      </c>
      <c r="H8898" s="6" t="s">
        <v>134</v>
      </c>
      <c r="I8898" s="8"/>
      <c r="J8898" s="9">
        <v>1</v>
      </c>
      <c r="K8898" s="9">
        <v>240</v>
      </c>
      <c r="L8898" s="9">
        <v>2026</v>
      </c>
      <c r="M8898" s="8" t="s">
        <v>49927</v>
      </c>
      <c r="N8898" s="8" t="s">
        <v>37</v>
      </c>
      <c r="O8898" s="8" t="s">
        <v>136</v>
      </c>
      <c r="P8898" s="6" t="s">
        <v>39</v>
      </c>
      <c r="Q8898" s="8" t="s">
        <v>40</v>
      </c>
      <c r="R8898" s="10" t="s">
        <v>9577</v>
      </c>
      <c r="S8898" s="11"/>
      <c r="T8898" s="6"/>
      <c r="U8898" s="15" t="str">
        <f>HYPERLINK("https://media.infra-m.ru/2239/2239935/cover/2239935.jpg", "Обложка")</f>
        <v>Обложка</v>
      </c>
      <c r="V8898" s="8" t="s">
        <v>29465</v>
      </c>
      <c r="W8898" s="6"/>
      <c r="X8898" s="6"/>
      <c r="Y8898" s="6"/>
      <c r="Z8898" s="6"/>
      <c r="AA8898" s="6" t="s">
        <v>86</v>
      </c>
      <c r="AB8898" s="8"/>
      <c r="AC8898" s="27">
        <v>9785917688992</v>
      </c>
    </row>
    <row r="8899" spans="1:29" s="4" customFormat="1" ht="51.9" customHeight="1" x14ac:dyDescent="0.2">
      <c r="A8899" s="5">
        <v>0</v>
      </c>
      <c r="B8899" s="6" t="s">
        <v>49928</v>
      </c>
      <c r="C8899" s="7">
        <v>1072.8</v>
      </c>
      <c r="D8899" s="8" t="s">
        <v>49929</v>
      </c>
      <c r="E8899" s="8" t="s">
        <v>49930</v>
      </c>
      <c r="F8899" s="8" t="s">
        <v>48856</v>
      </c>
      <c r="G8899" s="6" t="s">
        <v>60</v>
      </c>
      <c r="H8899" s="6" t="s">
        <v>34</v>
      </c>
      <c r="I8899" s="8" t="s">
        <v>271</v>
      </c>
      <c r="J8899" s="9">
        <v>1</v>
      </c>
      <c r="K8899" s="9">
        <v>189</v>
      </c>
      <c r="L8899" s="9">
        <v>2024</v>
      </c>
      <c r="M8899" s="8" t="s">
        <v>49931</v>
      </c>
      <c r="N8899" s="8" t="s">
        <v>93</v>
      </c>
      <c r="O8899" s="8" t="s">
        <v>94</v>
      </c>
      <c r="P8899" s="6" t="s">
        <v>51</v>
      </c>
      <c r="Q8899" s="8" t="s">
        <v>52</v>
      </c>
      <c r="R8899" s="10" t="s">
        <v>9415</v>
      </c>
      <c r="S8899" s="11" t="s">
        <v>49932</v>
      </c>
      <c r="T8899" s="6"/>
      <c r="U8899" s="15" t="str">
        <f>HYPERLINK("https://media.infra-m.ru/2137/2137198/cover/2137198.jpg", "Обложка")</f>
        <v>Обложка</v>
      </c>
      <c r="V8899" s="8" t="s">
        <v>1599</v>
      </c>
      <c r="W8899" s="6"/>
      <c r="X8899" s="6"/>
      <c r="Y8899" s="6"/>
      <c r="Z8899" s="6"/>
      <c r="AA8899" s="6" t="s">
        <v>430</v>
      </c>
      <c r="AB8899" s="8"/>
      <c r="AC8899" s="27">
        <v>9785160158211</v>
      </c>
    </row>
    <row r="8900" spans="1:29" s="4" customFormat="1" ht="42" customHeight="1" x14ac:dyDescent="0.2">
      <c r="A8900" s="5">
        <v>0</v>
      </c>
      <c r="B8900" s="6" t="s">
        <v>49933</v>
      </c>
      <c r="C8900" s="7">
        <v>1276.8</v>
      </c>
      <c r="D8900" s="8" t="s">
        <v>49934</v>
      </c>
      <c r="E8900" s="8" t="s">
        <v>49935</v>
      </c>
      <c r="F8900" s="8" t="s">
        <v>49936</v>
      </c>
      <c r="G8900" s="6" t="s">
        <v>33</v>
      </c>
      <c r="H8900" s="6" t="s">
        <v>34</v>
      </c>
      <c r="I8900" s="8" t="s">
        <v>35</v>
      </c>
      <c r="J8900" s="9">
        <v>1</v>
      </c>
      <c r="K8900" s="9">
        <v>194</v>
      </c>
      <c r="L8900" s="9">
        <v>2026</v>
      </c>
      <c r="M8900" s="8" t="s">
        <v>49937</v>
      </c>
      <c r="N8900" s="8" t="s">
        <v>243</v>
      </c>
      <c r="O8900" s="8" t="s">
        <v>1100</v>
      </c>
      <c r="P8900" s="6" t="s">
        <v>39</v>
      </c>
      <c r="Q8900" s="8" t="s">
        <v>40</v>
      </c>
      <c r="R8900" s="10" t="s">
        <v>23799</v>
      </c>
      <c r="S8900" s="11"/>
      <c r="T8900" s="6"/>
      <c r="U8900" s="15" t="str">
        <f>HYPERLINK("https://media.infra-m.ru/2234/2234441/cover/2234441.jpg", "Обложка")</f>
        <v>Обложка</v>
      </c>
      <c r="V8900" s="8" t="s">
        <v>49938</v>
      </c>
      <c r="W8900" s="6"/>
      <c r="X8900" s="6"/>
      <c r="Y8900" s="6"/>
      <c r="Z8900" s="6"/>
      <c r="AA8900" s="6" t="s">
        <v>76</v>
      </c>
      <c r="AB8900" s="8"/>
      <c r="AC8900" s="27">
        <v>9785160193748</v>
      </c>
    </row>
    <row r="8901" spans="1:29" s="4" customFormat="1" ht="42" customHeight="1" x14ac:dyDescent="0.2">
      <c r="A8901" s="5">
        <v>0</v>
      </c>
      <c r="B8901" s="6" t="s">
        <v>49939</v>
      </c>
      <c r="C8901" s="13">
        <v>960</v>
      </c>
      <c r="D8901" s="8" t="s">
        <v>49940</v>
      </c>
      <c r="E8901" s="8" t="s">
        <v>49941</v>
      </c>
      <c r="F8901" s="8" t="s">
        <v>25284</v>
      </c>
      <c r="G8901" s="6" t="s">
        <v>33</v>
      </c>
      <c r="H8901" s="6" t="s">
        <v>34</v>
      </c>
      <c r="I8901" s="8" t="s">
        <v>35</v>
      </c>
      <c r="J8901" s="9">
        <v>1</v>
      </c>
      <c r="K8901" s="9">
        <v>144</v>
      </c>
      <c r="L8901" s="9">
        <v>2026</v>
      </c>
      <c r="M8901" s="8" t="s">
        <v>49942</v>
      </c>
      <c r="N8901" s="8" t="s">
        <v>93</v>
      </c>
      <c r="O8901" s="8" t="s">
        <v>94</v>
      </c>
      <c r="P8901" s="6" t="s">
        <v>39</v>
      </c>
      <c r="Q8901" s="8" t="s">
        <v>40</v>
      </c>
      <c r="R8901" s="10" t="s">
        <v>49943</v>
      </c>
      <c r="S8901" s="11"/>
      <c r="T8901" s="6"/>
      <c r="U8901" s="15" t="str">
        <f>HYPERLINK("https://media.infra-m.ru/2232/2232677/cover/2232677.jpg", "Обложка")</f>
        <v>Обложка</v>
      </c>
      <c r="V8901" s="8" t="s">
        <v>1599</v>
      </c>
      <c r="W8901" s="6"/>
      <c r="X8901" s="6"/>
      <c r="Y8901" s="6"/>
      <c r="Z8901" s="6"/>
      <c r="AA8901" s="6" t="s">
        <v>148</v>
      </c>
      <c r="AB8901" s="8"/>
      <c r="AC8901" s="27">
        <v>9785160178400</v>
      </c>
    </row>
    <row r="8902" spans="1:29" s="4" customFormat="1" ht="51.9" customHeight="1" x14ac:dyDescent="0.2">
      <c r="A8902" s="5">
        <v>0</v>
      </c>
      <c r="B8902" s="6" t="s">
        <v>49944</v>
      </c>
      <c r="C8902" s="13">
        <v>864</v>
      </c>
      <c r="D8902" s="8" t="s">
        <v>49945</v>
      </c>
      <c r="E8902" s="8" t="s">
        <v>49946</v>
      </c>
      <c r="F8902" s="8" t="s">
        <v>49947</v>
      </c>
      <c r="G8902" s="6" t="s">
        <v>33</v>
      </c>
      <c r="H8902" s="6" t="s">
        <v>34</v>
      </c>
      <c r="I8902" s="8" t="s">
        <v>35</v>
      </c>
      <c r="J8902" s="9">
        <v>1</v>
      </c>
      <c r="K8902" s="9">
        <v>157</v>
      </c>
      <c r="L8902" s="9">
        <v>2023</v>
      </c>
      <c r="M8902" s="8" t="s">
        <v>49948</v>
      </c>
      <c r="N8902" s="8" t="s">
        <v>243</v>
      </c>
      <c r="O8902" s="8" t="s">
        <v>798</v>
      </c>
      <c r="P8902" s="6" t="s">
        <v>39</v>
      </c>
      <c r="Q8902" s="8" t="s">
        <v>40</v>
      </c>
      <c r="R8902" s="10" t="s">
        <v>49949</v>
      </c>
      <c r="S8902" s="11"/>
      <c r="T8902" s="6"/>
      <c r="U8902" s="15" t="str">
        <f>HYPERLINK("https://media.infra-m.ru/1893/1893845/cover/1893845.jpg", "Обложка")</f>
        <v>Обложка</v>
      </c>
      <c r="V8902" s="8" t="s">
        <v>43368</v>
      </c>
      <c r="W8902" s="6"/>
      <c r="X8902" s="6"/>
      <c r="Y8902" s="6"/>
      <c r="Z8902" s="6"/>
      <c r="AA8902" s="6" t="s">
        <v>274</v>
      </c>
      <c r="AB8902" s="8"/>
      <c r="AC8902" s="27">
        <v>9785160108667</v>
      </c>
    </row>
    <row r="8903" spans="1:29" s="4" customFormat="1" ht="44.1" customHeight="1" x14ac:dyDescent="0.2">
      <c r="A8903" s="5">
        <v>0</v>
      </c>
      <c r="B8903" s="6" t="s">
        <v>49950</v>
      </c>
      <c r="C8903" s="13">
        <v>828</v>
      </c>
      <c r="D8903" s="8" t="s">
        <v>49951</v>
      </c>
      <c r="E8903" s="8" t="s">
        <v>49952</v>
      </c>
      <c r="F8903" s="8" t="s">
        <v>23683</v>
      </c>
      <c r="G8903" s="6" t="s">
        <v>33</v>
      </c>
      <c r="H8903" s="6" t="s">
        <v>34</v>
      </c>
      <c r="I8903" s="8" t="s">
        <v>35</v>
      </c>
      <c r="J8903" s="9">
        <v>1</v>
      </c>
      <c r="K8903" s="9">
        <v>183</v>
      </c>
      <c r="L8903" s="9">
        <v>2022</v>
      </c>
      <c r="M8903" s="8" t="s">
        <v>49953</v>
      </c>
      <c r="N8903" s="8" t="s">
        <v>585</v>
      </c>
      <c r="O8903" s="8" t="s">
        <v>775</v>
      </c>
      <c r="P8903" s="6" t="s">
        <v>39</v>
      </c>
      <c r="Q8903" s="8" t="s">
        <v>40</v>
      </c>
      <c r="R8903" s="10" t="s">
        <v>49954</v>
      </c>
      <c r="S8903" s="11"/>
      <c r="T8903" s="6"/>
      <c r="U8903" s="15" t="str">
        <f>HYPERLINK("https://media.infra-m.ru/1316/1316649/cover/1316649.jpg", "Обложка")</f>
        <v>Обложка</v>
      </c>
      <c r="V8903" s="8" t="s">
        <v>227</v>
      </c>
      <c r="W8903" s="6"/>
      <c r="X8903" s="6"/>
      <c r="Y8903" s="6"/>
      <c r="Z8903" s="6"/>
      <c r="AA8903" s="6" t="s">
        <v>148</v>
      </c>
      <c r="AB8903" s="8"/>
      <c r="AC8903" s="27">
        <v>9785160168937</v>
      </c>
    </row>
    <row r="8904" spans="1:29" s="4" customFormat="1" ht="44.1" customHeight="1" x14ac:dyDescent="0.2">
      <c r="A8904" s="5">
        <v>0</v>
      </c>
      <c r="B8904" s="6" t="s">
        <v>49955</v>
      </c>
      <c r="C8904" s="13">
        <v>840</v>
      </c>
      <c r="D8904" s="8" t="s">
        <v>49956</v>
      </c>
      <c r="E8904" s="8" t="s">
        <v>49957</v>
      </c>
      <c r="F8904" s="8" t="s">
        <v>49958</v>
      </c>
      <c r="G8904" s="6" t="s">
        <v>118</v>
      </c>
      <c r="H8904" s="6" t="s">
        <v>313</v>
      </c>
      <c r="I8904" s="8"/>
      <c r="J8904" s="9">
        <v>1</v>
      </c>
      <c r="K8904" s="9">
        <v>155</v>
      </c>
      <c r="L8904" s="9">
        <v>2023</v>
      </c>
      <c r="M8904" s="8" t="s">
        <v>49959</v>
      </c>
      <c r="N8904" s="8" t="s">
        <v>243</v>
      </c>
      <c r="O8904" s="8" t="s">
        <v>758</v>
      </c>
      <c r="P8904" s="6" t="s">
        <v>39</v>
      </c>
      <c r="Q8904" s="8" t="s">
        <v>40</v>
      </c>
      <c r="R8904" s="10" t="s">
        <v>49960</v>
      </c>
      <c r="S8904" s="11"/>
      <c r="T8904" s="6"/>
      <c r="U8904" s="15" t="str">
        <f>HYPERLINK("https://media.infra-m.ru/1893/1893658/cover/1893658.jpg", "Обложка")</f>
        <v>Обложка</v>
      </c>
      <c r="V8904" s="8" t="s">
        <v>15688</v>
      </c>
      <c r="W8904" s="6"/>
      <c r="X8904" s="6"/>
      <c r="Y8904" s="6"/>
      <c r="Z8904" s="6"/>
      <c r="AA8904" s="6" t="s">
        <v>86</v>
      </c>
      <c r="AB8904" s="8"/>
      <c r="AC8904" s="27">
        <v>9785369017159</v>
      </c>
    </row>
    <row r="8905" spans="1:29" s="4" customFormat="1" ht="44.1" customHeight="1" x14ac:dyDescent="0.2">
      <c r="A8905" s="5">
        <v>0</v>
      </c>
      <c r="B8905" s="6" t="s">
        <v>49961</v>
      </c>
      <c r="C8905" s="13">
        <v>792</v>
      </c>
      <c r="D8905" s="8" t="s">
        <v>49962</v>
      </c>
      <c r="E8905" s="8" t="s">
        <v>49963</v>
      </c>
      <c r="F8905" s="8" t="s">
        <v>36009</v>
      </c>
      <c r="G8905" s="6" t="s">
        <v>33</v>
      </c>
      <c r="H8905" s="6" t="s">
        <v>313</v>
      </c>
      <c r="I8905" s="8" t="s">
        <v>35</v>
      </c>
      <c r="J8905" s="9">
        <v>1</v>
      </c>
      <c r="K8905" s="9">
        <v>171</v>
      </c>
      <c r="L8905" s="9">
        <v>2021</v>
      </c>
      <c r="M8905" s="8" t="s">
        <v>49964</v>
      </c>
      <c r="N8905" s="8" t="s">
        <v>37</v>
      </c>
      <c r="O8905" s="8" t="s">
        <v>280</v>
      </c>
      <c r="P8905" s="6" t="s">
        <v>39</v>
      </c>
      <c r="Q8905" s="8" t="s">
        <v>40</v>
      </c>
      <c r="R8905" s="10" t="s">
        <v>49965</v>
      </c>
      <c r="S8905" s="11"/>
      <c r="T8905" s="6"/>
      <c r="U8905" s="15" t="str">
        <f>HYPERLINK("https://media.infra-m.ru/1816/1816808/cover/1816808.jpg", "Обложка")</f>
        <v>Обложка</v>
      </c>
      <c r="V8905" s="8" t="s">
        <v>36011</v>
      </c>
      <c r="W8905" s="6"/>
      <c r="X8905" s="6"/>
      <c r="Y8905" s="6"/>
      <c r="Z8905" s="6"/>
      <c r="AA8905" s="6" t="s">
        <v>258</v>
      </c>
      <c r="AB8905" s="8"/>
      <c r="AC8905" s="27">
        <v>9785369018767</v>
      </c>
    </row>
    <row r="8906" spans="1:29" s="4" customFormat="1" ht="44.1" customHeight="1" x14ac:dyDescent="0.2">
      <c r="A8906" s="5">
        <v>0</v>
      </c>
      <c r="B8906" s="6" t="s">
        <v>49966</v>
      </c>
      <c r="C8906" s="13">
        <v>960</v>
      </c>
      <c r="D8906" s="8" t="s">
        <v>49967</v>
      </c>
      <c r="E8906" s="8" t="s">
        <v>49968</v>
      </c>
      <c r="F8906" s="8" t="s">
        <v>49969</v>
      </c>
      <c r="G8906" s="6" t="s">
        <v>118</v>
      </c>
      <c r="H8906" s="6" t="s">
        <v>34</v>
      </c>
      <c r="I8906" s="8" t="s">
        <v>1081</v>
      </c>
      <c r="J8906" s="9">
        <v>1</v>
      </c>
      <c r="K8906" s="9">
        <v>175</v>
      </c>
      <c r="L8906" s="9">
        <v>2024</v>
      </c>
      <c r="M8906" s="8" t="s">
        <v>49970</v>
      </c>
      <c r="N8906" s="8" t="s">
        <v>37</v>
      </c>
      <c r="O8906" s="8" t="s">
        <v>280</v>
      </c>
      <c r="P8906" s="6" t="s">
        <v>39</v>
      </c>
      <c r="Q8906" s="8" t="s">
        <v>40</v>
      </c>
      <c r="R8906" s="10" t="s">
        <v>49971</v>
      </c>
      <c r="S8906" s="11"/>
      <c r="T8906" s="6"/>
      <c r="U8906" s="15" t="str">
        <f>HYPERLINK("https://media.infra-m.ru/2069/2069324/cover/2069324.jpg", "Обложка")</f>
        <v>Обложка</v>
      </c>
      <c r="V8906" s="8" t="s">
        <v>1083</v>
      </c>
      <c r="W8906" s="6"/>
      <c r="X8906" s="6"/>
      <c r="Y8906" s="6"/>
      <c r="Z8906" s="6"/>
      <c r="AA8906" s="6" t="s">
        <v>86</v>
      </c>
      <c r="AB8906" s="8"/>
      <c r="AC8906" s="27">
        <v>9785160192888</v>
      </c>
    </row>
    <row r="8907" spans="1:29" s="4" customFormat="1" ht="44.1" customHeight="1" x14ac:dyDescent="0.2">
      <c r="A8907" s="5">
        <v>0</v>
      </c>
      <c r="B8907" s="6" t="s">
        <v>49972</v>
      </c>
      <c r="C8907" s="7">
        <v>1356</v>
      </c>
      <c r="D8907" s="8" t="s">
        <v>49973</v>
      </c>
      <c r="E8907" s="8" t="s">
        <v>49974</v>
      </c>
      <c r="F8907" s="8" t="s">
        <v>49975</v>
      </c>
      <c r="G8907" s="6" t="s">
        <v>33</v>
      </c>
      <c r="H8907" s="6" t="s">
        <v>34</v>
      </c>
      <c r="I8907" s="8" t="s">
        <v>35</v>
      </c>
      <c r="J8907" s="9">
        <v>1</v>
      </c>
      <c r="K8907" s="9">
        <v>225</v>
      </c>
      <c r="L8907" s="9">
        <v>2025</v>
      </c>
      <c r="M8907" s="8" t="s">
        <v>49976</v>
      </c>
      <c r="N8907" s="8" t="s">
        <v>93</v>
      </c>
      <c r="O8907" s="8" t="s">
        <v>94</v>
      </c>
      <c r="P8907" s="6" t="s">
        <v>39</v>
      </c>
      <c r="Q8907" s="8" t="s">
        <v>40</v>
      </c>
      <c r="R8907" s="10" t="s">
        <v>25258</v>
      </c>
      <c r="S8907" s="11"/>
      <c r="T8907" s="6"/>
      <c r="U8907" s="15" t="str">
        <f>HYPERLINK("https://media.infra-m.ru/2133/2133678/cover/2133678.jpg", "Обложка")</f>
        <v>Обложка</v>
      </c>
      <c r="V8907" s="8" t="s">
        <v>36042</v>
      </c>
      <c r="W8907" s="6"/>
      <c r="X8907" s="6"/>
      <c r="Y8907" s="6"/>
      <c r="Z8907" s="6"/>
      <c r="AA8907" s="6" t="s">
        <v>68</v>
      </c>
      <c r="AB8907" s="8"/>
      <c r="AC8907" s="27">
        <v>9785160196817</v>
      </c>
    </row>
    <row r="8908" spans="1:29" s="4" customFormat="1" ht="42" customHeight="1" x14ac:dyDescent="0.2">
      <c r="A8908" s="5">
        <v>0</v>
      </c>
      <c r="B8908" s="6" t="s">
        <v>49977</v>
      </c>
      <c r="C8908" s="7">
        <v>1152</v>
      </c>
      <c r="D8908" s="8" t="s">
        <v>49978</v>
      </c>
      <c r="E8908" s="8" t="s">
        <v>49979</v>
      </c>
      <c r="F8908" s="8" t="s">
        <v>49980</v>
      </c>
      <c r="G8908" s="6" t="s">
        <v>33</v>
      </c>
      <c r="H8908" s="6" t="s">
        <v>34</v>
      </c>
      <c r="I8908" s="8" t="s">
        <v>35</v>
      </c>
      <c r="J8908" s="9">
        <v>1</v>
      </c>
      <c r="K8908" s="9">
        <v>173</v>
      </c>
      <c r="L8908" s="9">
        <v>2025</v>
      </c>
      <c r="M8908" s="8" t="s">
        <v>49981</v>
      </c>
      <c r="N8908" s="8" t="s">
        <v>93</v>
      </c>
      <c r="O8908" s="8" t="s">
        <v>94</v>
      </c>
      <c r="P8908" s="6" t="s">
        <v>39</v>
      </c>
      <c r="Q8908" s="8" t="s">
        <v>40</v>
      </c>
      <c r="R8908" s="10" t="s">
        <v>26922</v>
      </c>
      <c r="S8908" s="11"/>
      <c r="T8908" s="6"/>
      <c r="U8908" s="15" t="str">
        <f>HYPERLINK("https://media.infra-m.ru/2174/2174817/cover/2174817.jpg", "Обложка")</f>
        <v>Обложка</v>
      </c>
      <c r="V8908" s="8" t="s">
        <v>24558</v>
      </c>
      <c r="W8908" s="6"/>
      <c r="X8908" s="6"/>
      <c r="Y8908" s="6"/>
      <c r="Z8908" s="6"/>
      <c r="AA8908" s="6" t="s">
        <v>68</v>
      </c>
      <c r="AB8908" s="8"/>
      <c r="AC8908" s="27">
        <v>9785160204505</v>
      </c>
    </row>
    <row r="8909" spans="1:29" s="4" customFormat="1" ht="42" customHeight="1" x14ac:dyDescent="0.2">
      <c r="A8909" s="5">
        <v>0</v>
      </c>
      <c r="B8909" s="6" t="s">
        <v>49982</v>
      </c>
      <c r="C8909" s="7">
        <v>1109.9000000000001</v>
      </c>
      <c r="D8909" s="8" t="s">
        <v>49983</v>
      </c>
      <c r="E8909" s="8" t="s">
        <v>49984</v>
      </c>
      <c r="F8909" s="8" t="s">
        <v>49985</v>
      </c>
      <c r="G8909" s="6" t="s">
        <v>60</v>
      </c>
      <c r="H8909" s="6" t="s">
        <v>34</v>
      </c>
      <c r="I8909" s="8" t="s">
        <v>35</v>
      </c>
      <c r="J8909" s="9">
        <v>1</v>
      </c>
      <c r="K8909" s="9">
        <v>206</v>
      </c>
      <c r="L8909" s="9">
        <v>2023</v>
      </c>
      <c r="M8909" s="8" t="s">
        <v>49986</v>
      </c>
      <c r="N8909" s="8" t="s">
        <v>37</v>
      </c>
      <c r="O8909" s="8" t="s">
        <v>83</v>
      </c>
      <c r="P8909" s="6" t="s">
        <v>39</v>
      </c>
      <c r="Q8909" s="8" t="s">
        <v>40</v>
      </c>
      <c r="R8909" s="10" t="s">
        <v>25036</v>
      </c>
      <c r="S8909" s="11"/>
      <c r="T8909" s="6" t="s">
        <v>97</v>
      </c>
      <c r="U8909" s="15" t="str">
        <f>HYPERLINK("https://media.infra-m.ru/2002/2002630/cover/2002630.jpg", "Обложка")</f>
        <v>Обложка</v>
      </c>
      <c r="V8909" s="8" t="s">
        <v>247</v>
      </c>
      <c r="W8909" s="6"/>
      <c r="X8909" s="6"/>
      <c r="Y8909" s="6"/>
      <c r="Z8909" s="6"/>
      <c r="AA8909" s="6" t="s">
        <v>99</v>
      </c>
      <c r="AB8909" s="8" t="s">
        <v>493</v>
      </c>
      <c r="AC8909" s="27">
        <v>9785160123769</v>
      </c>
    </row>
    <row r="8910" spans="1:29" s="4" customFormat="1" ht="42" customHeight="1" x14ac:dyDescent="0.2">
      <c r="A8910" s="5">
        <v>0</v>
      </c>
      <c r="B8910" s="6" t="s">
        <v>49987</v>
      </c>
      <c r="C8910" s="7">
        <v>1260</v>
      </c>
      <c r="D8910" s="8" t="s">
        <v>49988</v>
      </c>
      <c r="E8910" s="8" t="s">
        <v>49989</v>
      </c>
      <c r="F8910" s="8" t="s">
        <v>5996</v>
      </c>
      <c r="G8910" s="6" t="s">
        <v>60</v>
      </c>
      <c r="H8910" s="6" t="s">
        <v>34</v>
      </c>
      <c r="I8910" s="8" t="s">
        <v>253</v>
      </c>
      <c r="J8910" s="9">
        <v>1</v>
      </c>
      <c r="K8910" s="9">
        <v>166</v>
      </c>
      <c r="L8910" s="9">
        <v>2027</v>
      </c>
      <c r="M8910" s="8" t="s">
        <v>49990</v>
      </c>
      <c r="N8910" s="8" t="s">
        <v>63</v>
      </c>
      <c r="O8910" s="8" t="s">
        <v>181</v>
      </c>
      <c r="P8910" s="6" t="s">
        <v>306</v>
      </c>
      <c r="Q8910" s="8" t="s">
        <v>65</v>
      </c>
      <c r="R8910" s="10" t="s">
        <v>49991</v>
      </c>
      <c r="S8910" s="11"/>
      <c r="T8910" s="6"/>
      <c r="U8910" s="15" t="str">
        <f>HYPERLINK("https://media.infra-m.ru/2243/2243171/cover/2243171.jpg", "Обложка")</f>
        <v>Обложка</v>
      </c>
      <c r="V8910" s="8" t="s">
        <v>1030</v>
      </c>
      <c r="W8910" s="6" t="s">
        <v>649</v>
      </c>
      <c r="X8910" s="6"/>
      <c r="Y8910" s="6"/>
      <c r="Z8910" s="6"/>
      <c r="AA8910" s="6" t="s">
        <v>420</v>
      </c>
      <c r="AB8910" s="8"/>
      <c r="AC8910" s="27">
        <v>9785160219295</v>
      </c>
    </row>
    <row r="8911" spans="1:29" s="4" customFormat="1" ht="51.9" customHeight="1" x14ac:dyDescent="0.2">
      <c r="A8911" s="5">
        <v>0</v>
      </c>
      <c r="B8911" s="6" t="s">
        <v>49992</v>
      </c>
      <c r="C8911" s="13">
        <v>748.8</v>
      </c>
      <c r="D8911" s="8" t="s">
        <v>49993</v>
      </c>
      <c r="E8911" s="8" t="s">
        <v>49994</v>
      </c>
      <c r="F8911" s="8" t="s">
        <v>49995</v>
      </c>
      <c r="G8911" s="6" t="s">
        <v>33</v>
      </c>
      <c r="H8911" s="6" t="s">
        <v>34</v>
      </c>
      <c r="I8911" s="8" t="s">
        <v>35</v>
      </c>
      <c r="J8911" s="9">
        <v>1</v>
      </c>
      <c r="K8911" s="9">
        <v>94</v>
      </c>
      <c r="L8911" s="9">
        <v>2026</v>
      </c>
      <c r="M8911" s="8" t="s">
        <v>49996</v>
      </c>
      <c r="N8911" s="8" t="s">
        <v>37</v>
      </c>
      <c r="O8911" s="8" t="s">
        <v>280</v>
      </c>
      <c r="P8911" s="6" t="s">
        <v>39</v>
      </c>
      <c r="Q8911" s="8" t="s">
        <v>40</v>
      </c>
      <c r="R8911" s="10" t="s">
        <v>34329</v>
      </c>
      <c r="S8911" s="11"/>
      <c r="T8911" s="6"/>
      <c r="U8911" s="15" t="str">
        <f>HYPERLINK("https://media.infra-m.ru/2233/2233020/cover/2233020.jpg", "Обложка")</f>
        <v>Обложка</v>
      </c>
      <c r="V8911" s="8" t="s">
        <v>2446</v>
      </c>
      <c r="W8911" s="6"/>
      <c r="X8911" s="6"/>
      <c r="Y8911" s="6"/>
      <c r="Z8911" s="6"/>
      <c r="AA8911" s="6" t="s">
        <v>274</v>
      </c>
      <c r="AB8911" s="8"/>
      <c r="AC8911" s="27">
        <v>9785160108155</v>
      </c>
    </row>
    <row r="8912" spans="1:29" s="4" customFormat="1" ht="42" customHeight="1" x14ac:dyDescent="0.2">
      <c r="A8912" s="5">
        <v>0</v>
      </c>
      <c r="B8912" s="6" t="s">
        <v>49997</v>
      </c>
      <c r="C8912" s="7">
        <v>1008</v>
      </c>
      <c r="D8912" s="8" t="s">
        <v>49998</v>
      </c>
      <c r="E8912" s="8" t="s">
        <v>49999</v>
      </c>
      <c r="F8912" s="8" t="s">
        <v>50000</v>
      </c>
      <c r="G8912" s="6" t="s">
        <v>33</v>
      </c>
      <c r="H8912" s="6" t="s">
        <v>34</v>
      </c>
      <c r="I8912" s="8" t="s">
        <v>35</v>
      </c>
      <c r="J8912" s="9">
        <v>1</v>
      </c>
      <c r="K8912" s="9">
        <v>181</v>
      </c>
      <c r="L8912" s="9">
        <v>2024</v>
      </c>
      <c r="M8912" s="8" t="s">
        <v>50001</v>
      </c>
      <c r="N8912" s="8" t="s">
        <v>37</v>
      </c>
      <c r="O8912" s="8" t="s">
        <v>136</v>
      </c>
      <c r="P8912" s="6" t="s">
        <v>39</v>
      </c>
      <c r="Q8912" s="8" t="s">
        <v>40</v>
      </c>
      <c r="R8912" s="10" t="s">
        <v>50002</v>
      </c>
      <c r="S8912" s="11"/>
      <c r="T8912" s="6"/>
      <c r="U8912" s="15" t="str">
        <f>HYPERLINK("https://media.infra-m.ru/2117/2117129/cover/2117129.jpg", "Обложка")</f>
        <v>Обложка</v>
      </c>
      <c r="V8912" s="8" t="s">
        <v>588</v>
      </c>
      <c r="W8912" s="6"/>
      <c r="X8912" s="6"/>
      <c r="Y8912" s="6"/>
      <c r="Z8912" s="6"/>
      <c r="AA8912" s="6" t="s">
        <v>86</v>
      </c>
      <c r="AB8912" s="8"/>
      <c r="AC8912" s="27">
        <v>9785160135076</v>
      </c>
    </row>
    <row r="8913" spans="1:29" s="4" customFormat="1" ht="42" customHeight="1" x14ac:dyDescent="0.2">
      <c r="A8913" s="5">
        <v>0</v>
      </c>
      <c r="B8913" s="6" t="s">
        <v>50003</v>
      </c>
      <c r="C8913" s="7">
        <v>1000.8</v>
      </c>
      <c r="D8913" s="8" t="s">
        <v>50004</v>
      </c>
      <c r="E8913" s="8" t="s">
        <v>50005</v>
      </c>
      <c r="F8913" s="8" t="s">
        <v>50006</v>
      </c>
      <c r="G8913" s="6" t="s">
        <v>33</v>
      </c>
      <c r="H8913" s="6" t="s">
        <v>34</v>
      </c>
      <c r="I8913" s="8" t="s">
        <v>35</v>
      </c>
      <c r="J8913" s="9">
        <v>1</v>
      </c>
      <c r="K8913" s="9">
        <v>181</v>
      </c>
      <c r="L8913" s="9">
        <v>2024</v>
      </c>
      <c r="M8913" s="8" t="s">
        <v>50007</v>
      </c>
      <c r="N8913" s="8" t="s">
        <v>93</v>
      </c>
      <c r="O8913" s="8" t="s">
        <v>94</v>
      </c>
      <c r="P8913" s="6" t="s">
        <v>39</v>
      </c>
      <c r="Q8913" s="8" t="s">
        <v>40</v>
      </c>
      <c r="R8913" s="10" t="s">
        <v>1625</v>
      </c>
      <c r="S8913" s="11"/>
      <c r="T8913" s="6"/>
      <c r="U8913" s="15" t="str">
        <f>HYPERLINK("https://media.infra-m.ru/2120/2120777/cover/2120777.jpg", "Обложка")</f>
        <v>Обложка</v>
      </c>
      <c r="V8913" s="8" t="s">
        <v>1243</v>
      </c>
      <c r="W8913" s="6"/>
      <c r="X8913" s="6"/>
      <c r="Y8913" s="6"/>
      <c r="Z8913" s="6"/>
      <c r="AA8913" s="6" t="s">
        <v>779</v>
      </c>
      <c r="AB8913" s="8"/>
      <c r="AC8913" s="27">
        <v>9785160115085</v>
      </c>
    </row>
    <row r="8914" spans="1:29" s="4" customFormat="1" ht="51.9" customHeight="1" x14ac:dyDescent="0.2">
      <c r="A8914" s="5">
        <v>0</v>
      </c>
      <c r="B8914" s="6" t="s">
        <v>50008</v>
      </c>
      <c r="C8914" s="7">
        <v>1356</v>
      </c>
      <c r="D8914" s="8" t="s">
        <v>50009</v>
      </c>
      <c r="E8914" s="8" t="s">
        <v>50010</v>
      </c>
      <c r="F8914" s="8" t="s">
        <v>43085</v>
      </c>
      <c r="G8914" s="6" t="s">
        <v>33</v>
      </c>
      <c r="H8914" s="6" t="s">
        <v>34</v>
      </c>
      <c r="I8914" s="8" t="s">
        <v>35</v>
      </c>
      <c r="J8914" s="9">
        <v>1</v>
      </c>
      <c r="K8914" s="9">
        <v>244</v>
      </c>
      <c r="L8914" s="9">
        <v>2024</v>
      </c>
      <c r="M8914" s="8" t="s">
        <v>50011</v>
      </c>
      <c r="N8914" s="8" t="s">
        <v>37</v>
      </c>
      <c r="O8914" s="8" t="s">
        <v>280</v>
      </c>
      <c r="P8914" s="6" t="s">
        <v>39</v>
      </c>
      <c r="Q8914" s="8" t="s">
        <v>40</v>
      </c>
      <c r="R8914" s="10" t="s">
        <v>38856</v>
      </c>
      <c r="S8914" s="11"/>
      <c r="T8914" s="6"/>
      <c r="U8914" s="15" t="str">
        <f>HYPERLINK("https://media.infra-m.ru/2117/2117151/cover/2117151.jpg", "Обложка")</f>
        <v>Обложка</v>
      </c>
      <c r="V8914" s="8" t="s">
        <v>396</v>
      </c>
      <c r="W8914" s="6"/>
      <c r="X8914" s="6"/>
      <c r="Y8914" s="6"/>
      <c r="Z8914" s="6"/>
      <c r="AA8914" s="6" t="s">
        <v>779</v>
      </c>
      <c r="AB8914" s="8"/>
      <c r="AC8914" s="27">
        <v>9785160112817</v>
      </c>
    </row>
    <row r="8915" spans="1:29" s="4" customFormat="1" ht="44.1" customHeight="1" x14ac:dyDescent="0.2">
      <c r="A8915" s="5">
        <v>0</v>
      </c>
      <c r="B8915" s="6" t="s">
        <v>50012</v>
      </c>
      <c r="C8915" s="7">
        <v>1060.8</v>
      </c>
      <c r="D8915" s="8" t="s">
        <v>50013</v>
      </c>
      <c r="E8915" s="8" t="s">
        <v>50014</v>
      </c>
      <c r="F8915" s="8" t="s">
        <v>50015</v>
      </c>
      <c r="G8915" s="6" t="s">
        <v>33</v>
      </c>
      <c r="H8915" s="6" t="s">
        <v>34</v>
      </c>
      <c r="I8915" s="8" t="s">
        <v>1074</v>
      </c>
      <c r="J8915" s="9">
        <v>1</v>
      </c>
      <c r="K8915" s="9">
        <v>176</v>
      </c>
      <c r="L8915" s="9">
        <v>2025</v>
      </c>
      <c r="M8915" s="8" t="s">
        <v>50016</v>
      </c>
      <c r="N8915" s="8" t="s">
        <v>37</v>
      </c>
      <c r="O8915" s="8" t="s">
        <v>136</v>
      </c>
      <c r="P8915" s="6" t="s">
        <v>3141</v>
      </c>
      <c r="Q8915" s="8" t="s">
        <v>40</v>
      </c>
      <c r="R8915" s="10" t="s">
        <v>1625</v>
      </c>
      <c r="S8915" s="11"/>
      <c r="T8915" s="6"/>
      <c r="U8915" s="15" t="str">
        <f>HYPERLINK("https://media.infra-m.ru/2185/2185419/cover/2185419.jpg", "Обложка")</f>
        <v>Обложка</v>
      </c>
      <c r="V8915" s="8" t="s">
        <v>138</v>
      </c>
      <c r="W8915" s="6"/>
      <c r="X8915" s="6"/>
      <c r="Y8915" s="6"/>
      <c r="Z8915" s="6"/>
      <c r="AA8915" s="6" t="s">
        <v>274</v>
      </c>
      <c r="AB8915" s="8"/>
      <c r="AC8915" s="27">
        <v>9785160103693</v>
      </c>
    </row>
    <row r="8916" spans="1:29" s="4" customFormat="1" ht="44.1" customHeight="1" x14ac:dyDescent="0.2">
      <c r="A8916" s="5">
        <v>0</v>
      </c>
      <c r="B8916" s="6" t="s">
        <v>50017</v>
      </c>
      <c r="C8916" s="7">
        <v>1464</v>
      </c>
      <c r="D8916" s="8" t="s">
        <v>50018</v>
      </c>
      <c r="E8916" s="8" t="s">
        <v>50019</v>
      </c>
      <c r="F8916" s="8" t="s">
        <v>50020</v>
      </c>
      <c r="G8916" s="6" t="s">
        <v>33</v>
      </c>
      <c r="H8916" s="6" t="s">
        <v>34</v>
      </c>
      <c r="I8916" s="8" t="s">
        <v>1074</v>
      </c>
      <c r="J8916" s="9">
        <v>1</v>
      </c>
      <c r="K8916" s="9">
        <v>264</v>
      </c>
      <c r="L8916" s="9">
        <v>2024</v>
      </c>
      <c r="M8916" s="8" t="s">
        <v>50021</v>
      </c>
      <c r="N8916" s="8" t="s">
        <v>37</v>
      </c>
      <c r="O8916" s="8" t="s">
        <v>136</v>
      </c>
      <c r="P8916" s="6" t="s">
        <v>39</v>
      </c>
      <c r="Q8916" s="8" t="s">
        <v>40</v>
      </c>
      <c r="R8916" s="10" t="s">
        <v>6344</v>
      </c>
      <c r="S8916" s="11"/>
      <c r="T8916" s="6"/>
      <c r="U8916" s="15" t="str">
        <f>HYPERLINK("https://media.infra-m.ru/2084/2084488/cover/2084488.jpg", "Обложка")</f>
        <v>Обложка</v>
      </c>
      <c r="V8916" s="8" t="s">
        <v>138</v>
      </c>
      <c r="W8916" s="6"/>
      <c r="X8916" s="6"/>
      <c r="Y8916" s="6"/>
      <c r="Z8916" s="6"/>
      <c r="AA8916" s="6" t="s">
        <v>430</v>
      </c>
      <c r="AB8916" s="8"/>
      <c r="AC8916" s="27">
        <v>9785160168159</v>
      </c>
    </row>
    <row r="8917" spans="1:29" s="4" customFormat="1" ht="51.9" customHeight="1" x14ac:dyDescent="0.2">
      <c r="A8917" s="5">
        <v>0</v>
      </c>
      <c r="B8917" s="6" t="s">
        <v>50022</v>
      </c>
      <c r="C8917" s="7">
        <v>1104</v>
      </c>
      <c r="D8917" s="8" t="s">
        <v>50023</v>
      </c>
      <c r="E8917" s="8" t="s">
        <v>50024</v>
      </c>
      <c r="F8917" s="8" t="s">
        <v>50025</v>
      </c>
      <c r="G8917" s="6" t="s">
        <v>33</v>
      </c>
      <c r="H8917" s="6" t="s">
        <v>34</v>
      </c>
      <c r="I8917" s="8" t="s">
        <v>35</v>
      </c>
      <c r="J8917" s="9">
        <v>1</v>
      </c>
      <c r="K8917" s="9">
        <v>158</v>
      </c>
      <c r="L8917" s="9">
        <v>2026</v>
      </c>
      <c r="M8917" s="8" t="s">
        <v>50026</v>
      </c>
      <c r="N8917" s="8" t="s">
        <v>93</v>
      </c>
      <c r="O8917" s="8" t="s">
        <v>94</v>
      </c>
      <c r="P8917" s="6" t="s">
        <v>39</v>
      </c>
      <c r="Q8917" s="8" t="s">
        <v>40</v>
      </c>
      <c r="R8917" s="10" t="s">
        <v>50027</v>
      </c>
      <c r="S8917" s="11"/>
      <c r="T8917" s="6"/>
      <c r="U8917" s="15" t="str">
        <f>HYPERLINK("https://media.infra-m.ru/2222/2222854/cover/2222854.jpg", "Обложка")</f>
        <v>Обложка</v>
      </c>
      <c r="V8917" s="8" t="s">
        <v>7031</v>
      </c>
      <c r="W8917" s="6" t="s">
        <v>528</v>
      </c>
      <c r="X8917" s="6"/>
      <c r="Y8917" s="6"/>
      <c r="Z8917" s="6"/>
      <c r="AA8917" s="6" t="s">
        <v>187</v>
      </c>
      <c r="AB8917" s="8"/>
      <c r="AC8917" s="27">
        <v>9785160213675</v>
      </c>
    </row>
    <row r="8918" spans="1:29" s="4" customFormat="1" ht="44.1" customHeight="1" x14ac:dyDescent="0.2">
      <c r="A8918" s="5">
        <v>0</v>
      </c>
      <c r="B8918" s="6" t="s">
        <v>50028</v>
      </c>
      <c r="C8918" s="13">
        <v>820.8</v>
      </c>
      <c r="D8918" s="8" t="s">
        <v>50029</v>
      </c>
      <c r="E8918" s="8" t="s">
        <v>50030</v>
      </c>
      <c r="F8918" s="8" t="s">
        <v>50031</v>
      </c>
      <c r="G8918" s="6" t="s">
        <v>33</v>
      </c>
      <c r="H8918" s="6" t="s">
        <v>34</v>
      </c>
      <c r="I8918" s="8" t="s">
        <v>35</v>
      </c>
      <c r="J8918" s="9">
        <v>1</v>
      </c>
      <c r="K8918" s="9">
        <v>117</v>
      </c>
      <c r="L8918" s="9">
        <v>2027</v>
      </c>
      <c r="M8918" s="8" t="s">
        <v>50032</v>
      </c>
      <c r="N8918" s="8" t="s">
        <v>93</v>
      </c>
      <c r="O8918" s="8" t="s">
        <v>94</v>
      </c>
      <c r="P8918" s="6" t="s">
        <v>39</v>
      </c>
      <c r="Q8918" s="8" t="s">
        <v>40</v>
      </c>
      <c r="R8918" s="10" t="s">
        <v>30303</v>
      </c>
      <c r="S8918" s="11"/>
      <c r="T8918" s="6"/>
      <c r="U8918" s="15" t="str">
        <f>HYPERLINK("https://media.infra-m.ru/2271/2271600/cover/2271600.jpg", "Обложка")</f>
        <v>Обложка</v>
      </c>
      <c r="V8918" s="8" t="s">
        <v>16903</v>
      </c>
      <c r="W8918" s="6"/>
      <c r="X8918" s="6"/>
      <c r="Y8918" s="6"/>
      <c r="Z8918" s="6"/>
      <c r="AA8918" s="6" t="s">
        <v>1256</v>
      </c>
      <c r="AB8918" s="8"/>
      <c r="AC8918" s="27">
        <v>9785160156033</v>
      </c>
    </row>
    <row r="8919" spans="1:29" s="4" customFormat="1" ht="51.9" customHeight="1" x14ac:dyDescent="0.2">
      <c r="A8919" s="5">
        <v>0</v>
      </c>
      <c r="B8919" s="6" t="s">
        <v>50033</v>
      </c>
      <c r="C8919" s="13">
        <v>600</v>
      </c>
      <c r="D8919" s="8" t="s">
        <v>50034</v>
      </c>
      <c r="E8919" s="8" t="s">
        <v>50035</v>
      </c>
      <c r="F8919" s="8" t="s">
        <v>50036</v>
      </c>
      <c r="G8919" s="6" t="s">
        <v>33</v>
      </c>
      <c r="H8919" s="6" t="s">
        <v>241</v>
      </c>
      <c r="I8919" s="8" t="s">
        <v>3496</v>
      </c>
      <c r="J8919" s="9">
        <v>1</v>
      </c>
      <c r="K8919" s="9">
        <v>160</v>
      </c>
      <c r="L8919" s="9">
        <v>2018</v>
      </c>
      <c r="M8919" s="8" t="s">
        <v>50037</v>
      </c>
      <c r="N8919" s="8" t="s">
        <v>37</v>
      </c>
      <c r="O8919" s="8" t="s">
        <v>233</v>
      </c>
      <c r="P8919" s="6" t="s">
        <v>39</v>
      </c>
      <c r="Q8919" s="8" t="s">
        <v>40</v>
      </c>
      <c r="R8919" s="10" t="s">
        <v>50038</v>
      </c>
      <c r="S8919" s="11"/>
      <c r="T8919" s="6"/>
      <c r="U8919" s="15" t="str">
        <f>HYPERLINK("https://media.infra-m.ru/0927/0927075/cover/927075.jpg", "Обложка")</f>
        <v>Обложка</v>
      </c>
      <c r="V8919" s="8" t="s">
        <v>247</v>
      </c>
      <c r="W8919" s="6"/>
      <c r="X8919" s="6"/>
      <c r="Y8919" s="6"/>
      <c r="Z8919" s="6"/>
      <c r="AA8919" s="6" t="s">
        <v>99</v>
      </c>
      <c r="AB8919" s="8"/>
      <c r="AC8919" s="27">
        <v>9785955805832</v>
      </c>
    </row>
    <row r="8920" spans="1:29" s="4" customFormat="1" ht="51.9" customHeight="1" x14ac:dyDescent="0.2">
      <c r="A8920" s="5">
        <v>0</v>
      </c>
      <c r="B8920" s="6" t="s">
        <v>50039</v>
      </c>
      <c r="C8920" s="7">
        <v>1204.8</v>
      </c>
      <c r="D8920" s="8" t="s">
        <v>50040</v>
      </c>
      <c r="E8920" s="8" t="s">
        <v>50041</v>
      </c>
      <c r="F8920" s="8" t="s">
        <v>50042</v>
      </c>
      <c r="G8920" s="6" t="s">
        <v>60</v>
      </c>
      <c r="H8920" s="6" t="s">
        <v>34</v>
      </c>
      <c r="I8920" s="8" t="s">
        <v>253</v>
      </c>
      <c r="J8920" s="9">
        <v>1</v>
      </c>
      <c r="K8920" s="9">
        <v>174</v>
      </c>
      <c r="L8920" s="9">
        <v>2027</v>
      </c>
      <c r="M8920" s="8" t="s">
        <v>50043</v>
      </c>
      <c r="N8920" s="8" t="s">
        <v>93</v>
      </c>
      <c r="O8920" s="8" t="s">
        <v>94</v>
      </c>
      <c r="P8920" s="6" t="s">
        <v>51</v>
      </c>
      <c r="Q8920" s="8" t="s">
        <v>52</v>
      </c>
      <c r="R8920" s="10" t="s">
        <v>50044</v>
      </c>
      <c r="S8920" s="11"/>
      <c r="T8920" s="6"/>
      <c r="U8920" s="15" t="str">
        <f>HYPERLINK("https://media.infra-m.ru/2263/2263404/cover/2263404.jpg", "Обложка")</f>
        <v>Обложка</v>
      </c>
      <c r="V8920" s="8" t="s">
        <v>36042</v>
      </c>
      <c r="W8920" s="6"/>
      <c r="X8920" s="6"/>
      <c r="Y8920" s="6"/>
      <c r="Z8920" s="6"/>
      <c r="AA8920" s="6" t="s">
        <v>76</v>
      </c>
      <c r="AB8920" s="8" t="s">
        <v>4423</v>
      </c>
      <c r="AC8920" s="27">
        <v>9785160178325</v>
      </c>
    </row>
    <row r="8921" spans="1:29" s="4" customFormat="1" ht="51.9" customHeight="1" x14ac:dyDescent="0.2">
      <c r="A8921" s="5">
        <v>0</v>
      </c>
      <c r="B8921" s="6" t="s">
        <v>50045</v>
      </c>
      <c r="C8921" s="13">
        <v>888</v>
      </c>
      <c r="D8921" s="8" t="s">
        <v>50046</v>
      </c>
      <c r="E8921" s="8" t="s">
        <v>50047</v>
      </c>
      <c r="F8921" s="8" t="s">
        <v>14562</v>
      </c>
      <c r="G8921" s="6" t="s">
        <v>118</v>
      </c>
      <c r="H8921" s="6" t="s">
        <v>34</v>
      </c>
      <c r="I8921" s="8" t="s">
        <v>35</v>
      </c>
      <c r="J8921" s="9">
        <v>1</v>
      </c>
      <c r="K8921" s="9">
        <v>217</v>
      </c>
      <c r="L8921" s="9">
        <v>2019</v>
      </c>
      <c r="M8921" s="8" t="s">
        <v>50048</v>
      </c>
      <c r="N8921" s="8" t="s">
        <v>37</v>
      </c>
      <c r="O8921" s="8" t="s">
        <v>280</v>
      </c>
      <c r="P8921" s="6" t="s">
        <v>39</v>
      </c>
      <c r="Q8921" s="8" t="s">
        <v>40</v>
      </c>
      <c r="R8921" s="10" t="s">
        <v>50049</v>
      </c>
      <c r="S8921" s="11"/>
      <c r="T8921" s="6"/>
      <c r="U8921" s="15" t="str">
        <f>HYPERLINK("https://media.infra-m.ru/1027/1027227/cover/1027227.jpg", "Обложка")</f>
        <v>Обложка</v>
      </c>
      <c r="V8921" s="8" t="s">
        <v>13059</v>
      </c>
      <c r="W8921" s="6"/>
      <c r="X8921" s="6"/>
      <c r="Y8921" s="6"/>
      <c r="Z8921" s="6"/>
      <c r="AA8921" s="6" t="s">
        <v>779</v>
      </c>
      <c r="AB8921" s="8"/>
      <c r="AC8921" s="27">
        <v>9785160107233</v>
      </c>
    </row>
    <row r="8922" spans="1:29" s="4" customFormat="1" ht="51.9" customHeight="1" x14ac:dyDescent="0.2">
      <c r="A8922" s="5">
        <v>0</v>
      </c>
      <c r="B8922" s="6" t="s">
        <v>50050</v>
      </c>
      <c r="C8922" s="7">
        <v>1176</v>
      </c>
      <c r="D8922" s="8" t="s">
        <v>50051</v>
      </c>
      <c r="E8922" s="8" t="s">
        <v>50047</v>
      </c>
      <c r="F8922" s="8" t="s">
        <v>14562</v>
      </c>
      <c r="G8922" s="6" t="s">
        <v>33</v>
      </c>
      <c r="H8922" s="6" t="s">
        <v>34</v>
      </c>
      <c r="I8922" s="8" t="s">
        <v>35</v>
      </c>
      <c r="J8922" s="9">
        <v>1</v>
      </c>
      <c r="K8922" s="9">
        <v>217</v>
      </c>
      <c r="L8922" s="9">
        <v>2023</v>
      </c>
      <c r="M8922" s="8" t="s">
        <v>50052</v>
      </c>
      <c r="N8922" s="8" t="s">
        <v>37</v>
      </c>
      <c r="O8922" s="8" t="s">
        <v>280</v>
      </c>
      <c r="P8922" s="6" t="s">
        <v>39</v>
      </c>
      <c r="Q8922" s="8" t="s">
        <v>40</v>
      </c>
      <c r="R8922" s="10" t="s">
        <v>50049</v>
      </c>
      <c r="S8922" s="11"/>
      <c r="T8922" s="6"/>
      <c r="U8922" s="15" t="str">
        <f>HYPERLINK("https://media.infra-m.ru/1905/1905601/cover/1905601.jpg", "Обложка")</f>
        <v>Обложка</v>
      </c>
      <c r="V8922" s="8" t="s">
        <v>13059</v>
      </c>
      <c r="W8922" s="6"/>
      <c r="X8922" s="6"/>
      <c r="Y8922" s="6"/>
      <c r="Z8922" s="6"/>
      <c r="AA8922" s="6" t="s">
        <v>779</v>
      </c>
      <c r="AB8922" s="8"/>
      <c r="AC8922" s="27">
        <v>9785160180304</v>
      </c>
    </row>
    <row r="8923" spans="1:29" s="4" customFormat="1" ht="44.1" customHeight="1" x14ac:dyDescent="0.2">
      <c r="A8923" s="5">
        <v>0</v>
      </c>
      <c r="B8923" s="6" t="s">
        <v>50053</v>
      </c>
      <c r="C8923" s="7">
        <v>1224</v>
      </c>
      <c r="D8923" s="8" t="s">
        <v>50054</v>
      </c>
      <c r="E8923" s="8" t="s">
        <v>50055</v>
      </c>
      <c r="F8923" s="8" t="s">
        <v>50056</v>
      </c>
      <c r="G8923" s="6" t="s">
        <v>33</v>
      </c>
      <c r="H8923" s="6" t="s">
        <v>34</v>
      </c>
      <c r="I8923" s="8" t="s">
        <v>35</v>
      </c>
      <c r="J8923" s="9">
        <v>1</v>
      </c>
      <c r="K8923" s="9">
        <v>215</v>
      </c>
      <c r="L8923" s="9">
        <v>2023</v>
      </c>
      <c r="M8923" s="8" t="s">
        <v>50057</v>
      </c>
      <c r="N8923" s="8" t="s">
        <v>37</v>
      </c>
      <c r="O8923" s="8" t="s">
        <v>280</v>
      </c>
      <c r="P8923" s="6" t="s">
        <v>39</v>
      </c>
      <c r="Q8923" s="8" t="s">
        <v>40</v>
      </c>
      <c r="R8923" s="10" t="s">
        <v>473</v>
      </c>
      <c r="S8923" s="11"/>
      <c r="T8923" s="6"/>
      <c r="U8923" s="15" t="str">
        <f>HYPERLINK("https://media.infra-m.ru/1989/1989211/cover/1989211.jpg", "Обложка")</f>
        <v>Обложка</v>
      </c>
      <c r="V8923" s="8" t="s">
        <v>1994</v>
      </c>
      <c r="W8923" s="6"/>
      <c r="X8923" s="6"/>
      <c r="Y8923" s="6"/>
      <c r="Z8923" s="6"/>
      <c r="AA8923" s="6" t="s">
        <v>157</v>
      </c>
      <c r="AB8923" s="8"/>
      <c r="AC8923" s="27">
        <v>9785160183695</v>
      </c>
    </row>
    <row r="8924" spans="1:29" s="4" customFormat="1" ht="51.9" customHeight="1" x14ac:dyDescent="0.2">
      <c r="A8924" s="5">
        <v>0</v>
      </c>
      <c r="B8924" s="6" t="s">
        <v>50058</v>
      </c>
      <c r="C8924" s="7">
        <v>2392.8000000000002</v>
      </c>
      <c r="D8924" s="8" t="s">
        <v>50059</v>
      </c>
      <c r="E8924" s="8" t="s">
        <v>50060</v>
      </c>
      <c r="F8924" s="8" t="s">
        <v>50061</v>
      </c>
      <c r="G8924" s="6" t="s">
        <v>118</v>
      </c>
      <c r="H8924" s="6" t="s">
        <v>34</v>
      </c>
      <c r="I8924" s="8" t="s">
        <v>7198</v>
      </c>
      <c r="J8924" s="9">
        <v>1</v>
      </c>
      <c r="K8924" s="9">
        <v>344</v>
      </c>
      <c r="L8924" s="9">
        <v>2027</v>
      </c>
      <c r="M8924" s="8" t="s">
        <v>50062</v>
      </c>
      <c r="N8924" s="8" t="s">
        <v>243</v>
      </c>
      <c r="O8924" s="8" t="s">
        <v>758</v>
      </c>
      <c r="P8924" s="6" t="s">
        <v>51</v>
      </c>
      <c r="Q8924" s="8" t="s">
        <v>52</v>
      </c>
      <c r="R8924" s="10" t="s">
        <v>20777</v>
      </c>
      <c r="S8924" s="11" t="s">
        <v>28870</v>
      </c>
      <c r="T8924" s="6"/>
      <c r="U8924" s="15" t="str">
        <f>HYPERLINK("https://media.infra-m.ru/2272/2272342/cover/2272342.jpg", "Обложка")</f>
        <v>Обложка</v>
      </c>
      <c r="V8924" s="8" t="s">
        <v>3304</v>
      </c>
      <c r="W8924" s="6"/>
      <c r="X8924" s="6"/>
      <c r="Y8924" s="6"/>
      <c r="Z8924" s="6"/>
      <c r="AA8924" s="6" t="s">
        <v>86</v>
      </c>
      <c r="AB8924" s="8"/>
      <c r="AC8924" s="27">
        <v>9785160132808</v>
      </c>
    </row>
    <row r="8925" spans="1:29" s="4" customFormat="1" ht="51.9" customHeight="1" x14ac:dyDescent="0.2">
      <c r="A8925" s="5">
        <v>0</v>
      </c>
      <c r="B8925" s="6" t="s">
        <v>50063</v>
      </c>
      <c r="C8925" s="7">
        <v>2249.9</v>
      </c>
      <c r="D8925" s="8" t="s">
        <v>50064</v>
      </c>
      <c r="E8925" s="8" t="s">
        <v>50065</v>
      </c>
      <c r="F8925" s="8" t="s">
        <v>50066</v>
      </c>
      <c r="G8925" s="6" t="s">
        <v>60</v>
      </c>
      <c r="H8925" s="6" t="s">
        <v>48</v>
      </c>
      <c r="I8925" s="8" t="s">
        <v>253</v>
      </c>
      <c r="J8925" s="9">
        <v>1</v>
      </c>
      <c r="K8925" s="9">
        <v>416</v>
      </c>
      <c r="L8925" s="9">
        <v>2023</v>
      </c>
      <c r="M8925" s="8" t="s">
        <v>50067</v>
      </c>
      <c r="N8925" s="8" t="s">
        <v>243</v>
      </c>
      <c r="O8925" s="8" t="s">
        <v>758</v>
      </c>
      <c r="P8925" s="6" t="s">
        <v>51</v>
      </c>
      <c r="Q8925" s="8" t="s">
        <v>52</v>
      </c>
      <c r="R8925" s="10" t="s">
        <v>835</v>
      </c>
      <c r="S8925" s="11" t="s">
        <v>50068</v>
      </c>
      <c r="T8925" s="6"/>
      <c r="U8925" s="15" t="str">
        <f>HYPERLINK("https://media.infra-m.ru/1915/1915711/cover/1915711.jpg", "Обложка")</f>
        <v>Обложка</v>
      </c>
      <c r="V8925" s="8" t="s">
        <v>1206</v>
      </c>
      <c r="W8925" s="6"/>
      <c r="X8925" s="6"/>
      <c r="Y8925" s="6"/>
      <c r="Z8925" s="6"/>
      <c r="AA8925" s="6" t="s">
        <v>1015</v>
      </c>
      <c r="AB8925" s="8"/>
      <c r="AC8925" s="27">
        <v>9785911342814</v>
      </c>
    </row>
    <row r="8926" spans="1:29" s="4" customFormat="1" ht="51.9" customHeight="1" x14ac:dyDescent="0.2">
      <c r="A8926" s="5">
        <v>0</v>
      </c>
      <c r="B8926" s="6" t="s">
        <v>50069</v>
      </c>
      <c r="C8926" s="7">
        <v>2244</v>
      </c>
      <c r="D8926" s="8" t="s">
        <v>50070</v>
      </c>
      <c r="E8926" s="8" t="s">
        <v>50065</v>
      </c>
      <c r="F8926" s="8" t="s">
        <v>50066</v>
      </c>
      <c r="G8926" s="6" t="s">
        <v>118</v>
      </c>
      <c r="H8926" s="6" t="s">
        <v>48</v>
      </c>
      <c r="I8926" s="8" t="s">
        <v>263</v>
      </c>
      <c r="J8926" s="9">
        <v>1</v>
      </c>
      <c r="K8926" s="9">
        <v>416</v>
      </c>
      <c r="L8926" s="9">
        <v>2023</v>
      </c>
      <c r="M8926" s="8" t="s">
        <v>50071</v>
      </c>
      <c r="N8926" s="8" t="s">
        <v>243</v>
      </c>
      <c r="O8926" s="8" t="s">
        <v>758</v>
      </c>
      <c r="P8926" s="6" t="s">
        <v>51</v>
      </c>
      <c r="Q8926" s="8" t="s">
        <v>265</v>
      </c>
      <c r="R8926" s="10" t="s">
        <v>50072</v>
      </c>
      <c r="S8926" s="11" t="s">
        <v>20728</v>
      </c>
      <c r="T8926" s="6"/>
      <c r="U8926" s="15" t="str">
        <f>HYPERLINK("https://media.infra-m.ru/1965/1965754/cover/1965754.jpg", "Обложка")</f>
        <v>Обложка</v>
      </c>
      <c r="V8926" s="8" t="s">
        <v>1206</v>
      </c>
      <c r="W8926" s="6"/>
      <c r="X8926" s="6"/>
      <c r="Y8926" s="6"/>
      <c r="Z8926" s="6" t="s">
        <v>267</v>
      </c>
      <c r="AA8926" s="6" t="s">
        <v>115</v>
      </c>
      <c r="AB8926" s="8"/>
      <c r="AC8926" s="27">
        <v>9785000916612</v>
      </c>
    </row>
    <row r="8927" spans="1:29" s="4" customFormat="1" ht="42" customHeight="1" x14ac:dyDescent="0.2">
      <c r="A8927" s="5">
        <v>0</v>
      </c>
      <c r="B8927" s="6" t="s">
        <v>50073</v>
      </c>
      <c r="C8927" s="7">
        <v>1320</v>
      </c>
      <c r="D8927" s="8" t="s">
        <v>50074</v>
      </c>
      <c r="E8927" s="8" t="s">
        <v>50075</v>
      </c>
      <c r="F8927" s="8" t="s">
        <v>29469</v>
      </c>
      <c r="G8927" s="6" t="s">
        <v>60</v>
      </c>
      <c r="H8927" s="6" t="s">
        <v>34</v>
      </c>
      <c r="I8927" s="8" t="s">
        <v>253</v>
      </c>
      <c r="J8927" s="9">
        <v>1</v>
      </c>
      <c r="K8927" s="9">
        <v>232</v>
      </c>
      <c r="L8927" s="9">
        <v>2024</v>
      </c>
      <c r="M8927" s="8" t="s">
        <v>50076</v>
      </c>
      <c r="N8927" s="8" t="s">
        <v>37</v>
      </c>
      <c r="O8927" s="8" t="s">
        <v>280</v>
      </c>
      <c r="P8927" s="6" t="s">
        <v>51</v>
      </c>
      <c r="Q8927" s="8" t="s">
        <v>52</v>
      </c>
      <c r="R8927" s="10" t="s">
        <v>2640</v>
      </c>
      <c r="S8927" s="11"/>
      <c r="T8927" s="6"/>
      <c r="U8927" s="15" t="str">
        <f>HYPERLINK("https://media.infra-m.ru/1859/1859085/cover/1859085.jpg", "Обложка")</f>
        <v>Обложка</v>
      </c>
      <c r="V8927" s="8" t="s">
        <v>9227</v>
      </c>
      <c r="W8927" s="6"/>
      <c r="X8927" s="6"/>
      <c r="Y8927" s="6"/>
      <c r="Z8927" s="6"/>
      <c r="AA8927" s="6" t="s">
        <v>76</v>
      </c>
      <c r="AB8927" s="8"/>
      <c r="AC8927" s="27">
        <v>9785160175003</v>
      </c>
    </row>
    <row r="8928" spans="1:29" s="4" customFormat="1" ht="42" customHeight="1" x14ac:dyDescent="0.2">
      <c r="A8928" s="5">
        <v>0</v>
      </c>
      <c r="B8928" s="6" t="s">
        <v>50077</v>
      </c>
      <c r="C8928" s="13">
        <v>917.9</v>
      </c>
      <c r="D8928" s="8" t="s">
        <v>50078</v>
      </c>
      <c r="E8928" s="8" t="s">
        <v>50079</v>
      </c>
      <c r="F8928" s="8" t="s">
        <v>8095</v>
      </c>
      <c r="G8928" s="6" t="s">
        <v>60</v>
      </c>
      <c r="H8928" s="6" t="s">
        <v>134</v>
      </c>
      <c r="I8928" s="8"/>
      <c r="J8928" s="9">
        <v>1</v>
      </c>
      <c r="K8928" s="9">
        <v>208</v>
      </c>
      <c r="L8928" s="9">
        <v>2020</v>
      </c>
      <c r="M8928" s="8" t="s">
        <v>50080</v>
      </c>
      <c r="N8928" s="8" t="s">
        <v>37</v>
      </c>
      <c r="O8928" s="8" t="s">
        <v>136</v>
      </c>
      <c r="P8928" s="6" t="s">
        <v>39</v>
      </c>
      <c r="Q8928" s="8" t="s">
        <v>40</v>
      </c>
      <c r="R8928" s="10"/>
      <c r="S8928" s="11"/>
      <c r="T8928" s="6"/>
      <c r="U8928" s="15" t="str">
        <f>HYPERLINK("https://media.infra-m.ru/1074/1074289/cover/1074289.jpg", "Обложка")</f>
        <v>Обложка</v>
      </c>
      <c r="V8928" s="8" t="s">
        <v>1277</v>
      </c>
      <c r="W8928" s="6"/>
      <c r="X8928" s="6"/>
      <c r="Y8928" s="6"/>
      <c r="Z8928" s="6"/>
      <c r="AA8928" s="6" t="s">
        <v>86</v>
      </c>
      <c r="AB8928" s="8"/>
      <c r="AC8928" s="27">
        <v>9785917688749</v>
      </c>
    </row>
    <row r="8929" spans="1:29" s="4" customFormat="1" ht="51.9" customHeight="1" x14ac:dyDescent="0.2">
      <c r="A8929" s="5">
        <v>0</v>
      </c>
      <c r="B8929" s="6" t="s">
        <v>50081</v>
      </c>
      <c r="C8929" s="7">
        <v>1428</v>
      </c>
      <c r="D8929" s="8" t="s">
        <v>50082</v>
      </c>
      <c r="E8929" s="8" t="s">
        <v>50083</v>
      </c>
      <c r="F8929" s="8" t="s">
        <v>50084</v>
      </c>
      <c r="G8929" s="6" t="s">
        <v>60</v>
      </c>
      <c r="H8929" s="6" t="s">
        <v>34</v>
      </c>
      <c r="I8929" s="8" t="s">
        <v>253</v>
      </c>
      <c r="J8929" s="9">
        <v>1</v>
      </c>
      <c r="K8929" s="9">
        <v>201</v>
      </c>
      <c r="L8929" s="9">
        <v>2026</v>
      </c>
      <c r="M8929" s="8" t="s">
        <v>50085</v>
      </c>
      <c r="N8929" s="8" t="s">
        <v>37</v>
      </c>
      <c r="O8929" s="8" t="s">
        <v>233</v>
      </c>
      <c r="P8929" s="6" t="s">
        <v>306</v>
      </c>
      <c r="Q8929" s="8" t="s">
        <v>500</v>
      </c>
      <c r="R8929" s="10" t="s">
        <v>50086</v>
      </c>
      <c r="S8929" s="11"/>
      <c r="T8929" s="6"/>
      <c r="U8929" s="15" t="str">
        <f>HYPERLINK("https://media.infra-m.ru/2223/2223654/cover/2223654.jpg", "Обложка")</f>
        <v>Обложка</v>
      </c>
      <c r="V8929" s="8" t="s">
        <v>9620</v>
      </c>
      <c r="W8929" s="6" t="s">
        <v>528</v>
      </c>
      <c r="X8929" s="6"/>
      <c r="Y8929" s="6"/>
      <c r="Z8929" s="6"/>
      <c r="AA8929" s="6" t="s">
        <v>187</v>
      </c>
      <c r="AB8929" s="8" t="s">
        <v>50087</v>
      </c>
      <c r="AC8929" s="27">
        <v>9785160214153</v>
      </c>
    </row>
    <row r="8930" spans="1:29" s="4" customFormat="1" ht="51.9" customHeight="1" x14ac:dyDescent="0.2">
      <c r="A8930" s="5">
        <v>0</v>
      </c>
      <c r="B8930" s="6" t="s">
        <v>50088</v>
      </c>
      <c r="C8930" s="7">
        <v>1127.9000000000001</v>
      </c>
      <c r="D8930" s="8" t="s">
        <v>50089</v>
      </c>
      <c r="E8930" s="8" t="s">
        <v>50090</v>
      </c>
      <c r="F8930" s="8" t="s">
        <v>43995</v>
      </c>
      <c r="G8930" s="6" t="s">
        <v>118</v>
      </c>
      <c r="H8930" s="6" t="s">
        <v>1795</v>
      </c>
      <c r="I8930" s="8" t="s">
        <v>2911</v>
      </c>
      <c r="J8930" s="9">
        <v>1</v>
      </c>
      <c r="K8930" s="9">
        <v>319</v>
      </c>
      <c r="L8930" s="9">
        <v>2017</v>
      </c>
      <c r="M8930" s="8" t="s">
        <v>50091</v>
      </c>
      <c r="N8930" s="8" t="s">
        <v>63</v>
      </c>
      <c r="O8930" s="8" t="s">
        <v>181</v>
      </c>
      <c r="P8930" s="6" t="s">
        <v>51</v>
      </c>
      <c r="Q8930" s="8" t="s">
        <v>265</v>
      </c>
      <c r="R8930" s="10" t="s">
        <v>43997</v>
      </c>
      <c r="S8930" s="11" t="s">
        <v>50092</v>
      </c>
      <c r="T8930" s="6"/>
      <c r="U8930" s="15" t="str">
        <f>HYPERLINK("https://media.infra-m.ru/0809/0809827/cover/809827.jpg", "Обложка")</f>
        <v>Обложка</v>
      </c>
      <c r="V8930" s="8" t="s">
        <v>227</v>
      </c>
      <c r="W8930" s="6"/>
      <c r="X8930" s="6"/>
      <c r="Y8930" s="6"/>
      <c r="Z8930" s="6"/>
      <c r="AA8930" s="6" t="s">
        <v>55</v>
      </c>
      <c r="AB8930" s="8"/>
      <c r="AC8930" s="27">
        <v>9785982813190</v>
      </c>
    </row>
    <row r="8931" spans="1:29" s="4" customFormat="1" ht="51.9" customHeight="1" x14ac:dyDescent="0.2">
      <c r="A8931" s="5">
        <v>0</v>
      </c>
      <c r="B8931" s="6" t="s">
        <v>50093</v>
      </c>
      <c r="C8931" s="13">
        <v>998.4</v>
      </c>
      <c r="D8931" s="8" t="s">
        <v>50094</v>
      </c>
      <c r="E8931" s="8" t="s">
        <v>50095</v>
      </c>
      <c r="F8931" s="8" t="s">
        <v>50096</v>
      </c>
      <c r="G8931" s="6" t="s">
        <v>33</v>
      </c>
      <c r="H8931" s="6" t="s">
        <v>820</v>
      </c>
      <c r="I8931" s="8"/>
      <c r="J8931" s="9">
        <v>1</v>
      </c>
      <c r="K8931" s="9">
        <v>80</v>
      </c>
      <c r="L8931" s="9">
        <v>2026</v>
      </c>
      <c r="M8931" s="8" t="s">
        <v>50097</v>
      </c>
      <c r="N8931" s="8" t="s">
        <v>63</v>
      </c>
      <c r="O8931" s="8" t="s">
        <v>181</v>
      </c>
      <c r="P8931" s="6" t="s">
        <v>51</v>
      </c>
      <c r="Q8931" s="8" t="s">
        <v>40</v>
      </c>
      <c r="R8931" s="10" t="s">
        <v>50098</v>
      </c>
      <c r="S8931" s="11"/>
      <c r="T8931" s="6"/>
      <c r="U8931" s="15" t="str">
        <f>HYPERLINK("https://media.infra-m.ru/2241/2241512/cover/2241512.jpg", "Обложка")</f>
        <v>Обложка</v>
      </c>
      <c r="V8931" s="8" t="s">
        <v>50099</v>
      </c>
      <c r="W8931" s="6"/>
      <c r="X8931" s="6"/>
      <c r="Y8931" s="6"/>
      <c r="Z8931" s="6"/>
      <c r="AA8931" s="6" t="s">
        <v>43</v>
      </c>
      <c r="AB8931" s="8"/>
      <c r="AC8931" s="27">
        <v>9785905554056</v>
      </c>
    </row>
    <row r="8932" spans="1:29" s="4" customFormat="1" ht="44.1" customHeight="1" x14ac:dyDescent="0.2">
      <c r="A8932" s="5">
        <v>0</v>
      </c>
      <c r="B8932" s="6" t="s">
        <v>50100</v>
      </c>
      <c r="C8932" s="7">
        <v>1272</v>
      </c>
      <c r="D8932" s="8" t="s">
        <v>50101</v>
      </c>
      <c r="E8932" s="8" t="s">
        <v>50102</v>
      </c>
      <c r="F8932" s="8" t="s">
        <v>41887</v>
      </c>
      <c r="G8932" s="6" t="s">
        <v>118</v>
      </c>
      <c r="H8932" s="6" t="s">
        <v>134</v>
      </c>
      <c r="I8932" s="8"/>
      <c r="J8932" s="9">
        <v>1</v>
      </c>
      <c r="K8932" s="9">
        <v>192</v>
      </c>
      <c r="L8932" s="9">
        <v>2026</v>
      </c>
      <c r="M8932" s="8" t="s">
        <v>50103</v>
      </c>
      <c r="N8932" s="8" t="s">
        <v>63</v>
      </c>
      <c r="O8932" s="8" t="s">
        <v>64</v>
      </c>
      <c r="P8932" s="6" t="s">
        <v>51</v>
      </c>
      <c r="Q8932" s="8" t="s">
        <v>52</v>
      </c>
      <c r="R8932" s="10" t="s">
        <v>13507</v>
      </c>
      <c r="S8932" s="11"/>
      <c r="T8932" s="6"/>
      <c r="U8932" s="15" t="str">
        <f>HYPERLINK("https://media.infra-m.ru/2239/2239933/cover/2239933.jpg", "Обложка")</f>
        <v>Обложка</v>
      </c>
      <c r="V8932" s="8" t="s">
        <v>1184</v>
      </c>
      <c r="W8932" s="6"/>
      <c r="X8932" s="6"/>
      <c r="Y8932" s="6"/>
      <c r="Z8932" s="6"/>
      <c r="AA8932" s="6" t="s">
        <v>1256</v>
      </c>
      <c r="AB8932" s="8"/>
      <c r="AC8932" s="27">
        <v>9785001560753</v>
      </c>
    </row>
    <row r="8933" spans="1:29" s="4" customFormat="1" ht="44.1" customHeight="1" x14ac:dyDescent="0.2">
      <c r="A8933" s="5">
        <v>0</v>
      </c>
      <c r="B8933" s="6" t="s">
        <v>50104</v>
      </c>
      <c r="C8933" s="7">
        <v>1020</v>
      </c>
      <c r="D8933" s="8" t="s">
        <v>50105</v>
      </c>
      <c r="E8933" s="8" t="s">
        <v>50106</v>
      </c>
      <c r="F8933" s="8" t="s">
        <v>50107</v>
      </c>
      <c r="G8933" s="6" t="s">
        <v>33</v>
      </c>
      <c r="H8933" s="6" t="s">
        <v>34</v>
      </c>
      <c r="I8933" s="8" t="s">
        <v>35</v>
      </c>
      <c r="J8933" s="9">
        <v>1</v>
      </c>
      <c r="K8933" s="9">
        <v>217</v>
      </c>
      <c r="L8933" s="9">
        <v>2020</v>
      </c>
      <c r="M8933" s="8" t="s">
        <v>50108</v>
      </c>
      <c r="N8933" s="8" t="s">
        <v>63</v>
      </c>
      <c r="O8933" s="8" t="s">
        <v>154</v>
      </c>
      <c r="P8933" s="6" t="s">
        <v>39</v>
      </c>
      <c r="Q8933" s="8" t="s">
        <v>40</v>
      </c>
      <c r="R8933" s="10" t="s">
        <v>50109</v>
      </c>
      <c r="S8933" s="11"/>
      <c r="T8933" s="6"/>
      <c r="U8933" s="15" t="str">
        <f>HYPERLINK("https://media.infra-m.ru/1053/1053569/cover/1053569.jpg", "Обложка")</f>
        <v>Обложка</v>
      </c>
      <c r="V8933" s="8" t="s">
        <v>128</v>
      </c>
      <c r="W8933" s="6"/>
      <c r="X8933" s="6"/>
      <c r="Y8933" s="6"/>
      <c r="Z8933" s="6"/>
      <c r="AA8933" s="6" t="s">
        <v>1256</v>
      </c>
      <c r="AB8933" s="8"/>
      <c r="AC8933" s="27">
        <v>9785160157481</v>
      </c>
    </row>
    <row r="8934" spans="1:29" s="4" customFormat="1" ht="51.9" customHeight="1" x14ac:dyDescent="0.2">
      <c r="A8934" s="5">
        <v>0</v>
      </c>
      <c r="B8934" s="6" t="s">
        <v>50110</v>
      </c>
      <c r="C8934" s="7">
        <v>2952</v>
      </c>
      <c r="D8934" s="8" t="s">
        <v>50111</v>
      </c>
      <c r="E8934" s="8" t="s">
        <v>50112</v>
      </c>
      <c r="F8934" s="8" t="s">
        <v>50113</v>
      </c>
      <c r="G8934" s="6" t="s">
        <v>60</v>
      </c>
      <c r="H8934" s="6" t="s">
        <v>34</v>
      </c>
      <c r="I8934" s="8" t="s">
        <v>253</v>
      </c>
      <c r="J8934" s="9">
        <v>1</v>
      </c>
      <c r="K8934" s="9">
        <v>447</v>
      </c>
      <c r="L8934" s="9">
        <v>2026</v>
      </c>
      <c r="M8934" s="8" t="s">
        <v>50114</v>
      </c>
      <c r="N8934" s="8" t="s">
        <v>63</v>
      </c>
      <c r="O8934" s="8" t="s">
        <v>64</v>
      </c>
      <c r="P8934" s="6" t="s">
        <v>51</v>
      </c>
      <c r="Q8934" s="8" t="s">
        <v>52</v>
      </c>
      <c r="R8934" s="10" t="s">
        <v>50115</v>
      </c>
      <c r="S8934" s="11"/>
      <c r="T8934" s="6"/>
      <c r="U8934" s="15" t="str">
        <f>HYPERLINK("https://media.infra-m.ru/2235/2235402/cover/2235402.jpg", "Обложка")</f>
        <v>Обложка</v>
      </c>
      <c r="V8934" s="8" t="s">
        <v>1599</v>
      </c>
      <c r="W8934" s="6" t="s">
        <v>351</v>
      </c>
      <c r="X8934" s="6"/>
      <c r="Y8934" s="6"/>
      <c r="Z8934" s="6"/>
      <c r="AA8934" s="6" t="s">
        <v>187</v>
      </c>
      <c r="AB8934" s="8" t="s">
        <v>308</v>
      </c>
      <c r="AC8934" s="27">
        <v>9785160216898</v>
      </c>
    </row>
    <row r="8935" spans="1:29" s="4" customFormat="1" ht="42" customHeight="1" x14ac:dyDescent="0.2">
      <c r="A8935" s="5">
        <v>0</v>
      </c>
      <c r="B8935" s="6" t="s">
        <v>50116</v>
      </c>
      <c r="C8935" s="7">
        <v>1080</v>
      </c>
      <c r="D8935" s="8" t="s">
        <v>50117</v>
      </c>
      <c r="E8935" s="8" t="s">
        <v>50118</v>
      </c>
      <c r="F8935" s="8" t="s">
        <v>50119</v>
      </c>
      <c r="G8935" s="6" t="s">
        <v>33</v>
      </c>
      <c r="H8935" s="6" t="s">
        <v>34</v>
      </c>
      <c r="I8935" s="8" t="s">
        <v>35</v>
      </c>
      <c r="J8935" s="9">
        <v>1</v>
      </c>
      <c r="K8935" s="9">
        <v>163</v>
      </c>
      <c r="L8935" s="9">
        <v>2026</v>
      </c>
      <c r="M8935" s="8" t="s">
        <v>50120</v>
      </c>
      <c r="N8935" s="8" t="s">
        <v>63</v>
      </c>
      <c r="O8935" s="8" t="s">
        <v>64</v>
      </c>
      <c r="P8935" s="6" t="s">
        <v>39</v>
      </c>
      <c r="Q8935" s="8" t="s">
        <v>40</v>
      </c>
      <c r="R8935" s="10" t="s">
        <v>18166</v>
      </c>
      <c r="S8935" s="11"/>
      <c r="T8935" s="6"/>
      <c r="U8935" s="15" t="str">
        <f>HYPERLINK("https://media.infra-m.ru/2224/2224093/cover/2224093.jpg", "Обложка")</f>
        <v>Обложка</v>
      </c>
      <c r="V8935" s="8" t="s">
        <v>322</v>
      </c>
      <c r="W8935" s="6"/>
      <c r="X8935" s="6"/>
      <c r="Y8935" s="6"/>
      <c r="Z8935" s="6"/>
      <c r="AA8935" s="6" t="s">
        <v>779</v>
      </c>
      <c r="AB8935" s="8"/>
      <c r="AC8935" s="27">
        <v>9785160190402</v>
      </c>
    </row>
    <row r="8936" spans="1:29" s="4" customFormat="1" ht="42" customHeight="1" x14ac:dyDescent="0.2">
      <c r="A8936" s="5">
        <v>0</v>
      </c>
      <c r="B8936" s="6" t="s">
        <v>50121</v>
      </c>
      <c r="C8936" s="13">
        <v>617.9</v>
      </c>
      <c r="D8936" s="8" t="s">
        <v>50122</v>
      </c>
      <c r="E8936" s="8" t="s">
        <v>50118</v>
      </c>
      <c r="F8936" s="8" t="s">
        <v>50119</v>
      </c>
      <c r="G8936" s="6" t="s">
        <v>60</v>
      </c>
      <c r="H8936" s="6" t="s">
        <v>34</v>
      </c>
      <c r="I8936" s="8" t="s">
        <v>35</v>
      </c>
      <c r="J8936" s="9">
        <v>1</v>
      </c>
      <c r="K8936" s="9">
        <v>163</v>
      </c>
      <c r="L8936" s="9">
        <v>2018</v>
      </c>
      <c r="M8936" s="8" t="s">
        <v>50123</v>
      </c>
      <c r="N8936" s="8" t="s">
        <v>63</v>
      </c>
      <c r="O8936" s="8" t="s">
        <v>64</v>
      </c>
      <c r="P8936" s="6" t="s">
        <v>39</v>
      </c>
      <c r="Q8936" s="8" t="s">
        <v>40</v>
      </c>
      <c r="R8936" s="10" t="s">
        <v>18166</v>
      </c>
      <c r="S8936" s="11"/>
      <c r="T8936" s="6"/>
      <c r="U8936" s="15" t="str">
        <f>HYPERLINK("https://media.infra-m.ru/0959/0959925/cover/959925.jpg", "Обложка")</f>
        <v>Обложка</v>
      </c>
      <c r="V8936" s="8" t="s">
        <v>322</v>
      </c>
      <c r="W8936" s="6"/>
      <c r="X8936" s="6"/>
      <c r="Y8936" s="6"/>
      <c r="Z8936" s="6"/>
      <c r="AA8936" s="6" t="s">
        <v>779</v>
      </c>
      <c r="AB8936" s="8"/>
      <c r="AC8936" s="27">
        <v>9785160119526</v>
      </c>
    </row>
    <row r="8937" spans="1:29" s="4" customFormat="1" ht="51.9" customHeight="1" x14ac:dyDescent="0.2">
      <c r="A8937" s="5">
        <v>0</v>
      </c>
      <c r="B8937" s="6" t="s">
        <v>50124</v>
      </c>
      <c r="C8937" s="7">
        <v>2396.4</v>
      </c>
      <c r="D8937" s="8" t="s">
        <v>50125</v>
      </c>
      <c r="E8937" s="8" t="s">
        <v>50126</v>
      </c>
      <c r="F8937" s="8" t="s">
        <v>50127</v>
      </c>
      <c r="G8937" s="6" t="s">
        <v>60</v>
      </c>
      <c r="H8937" s="6" t="s">
        <v>48</v>
      </c>
      <c r="I8937" s="8" t="s">
        <v>253</v>
      </c>
      <c r="J8937" s="9">
        <v>1</v>
      </c>
      <c r="K8937" s="9">
        <v>336</v>
      </c>
      <c r="L8937" s="9">
        <v>2024</v>
      </c>
      <c r="M8937" s="8" t="s">
        <v>50128</v>
      </c>
      <c r="N8937" s="8" t="s">
        <v>63</v>
      </c>
      <c r="O8937" s="8" t="s">
        <v>64</v>
      </c>
      <c r="P8937" s="6" t="s">
        <v>51</v>
      </c>
      <c r="Q8937" s="8" t="s">
        <v>52</v>
      </c>
      <c r="R8937" s="10" t="s">
        <v>2760</v>
      </c>
      <c r="S8937" s="11" t="s">
        <v>49912</v>
      </c>
      <c r="T8937" s="6"/>
      <c r="U8937" s="15" t="str">
        <f>HYPERLINK("https://media.infra-m.ru/2136/2136881/cover/2136881.jpg", "Обложка")</f>
        <v>Обложка</v>
      </c>
      <c r="V8937" s="8" t="s">
        <v>4943</v>
      </c>
      <c r="W8937" s="6"/>
      <c r="X8937" s="6"/>
      <c r="Y8937" s="6"/>
      <c r="Z8937" s="6"/>
      <c r="AA8937" s="6" t="s">
        <v>4554</v>
      </c>
      <c r="AB8937" s="8"/>
      <c r="AC8937" s="27">
        <v>9785819901274</v>
      </c>
    </row>
    <row r="8938" spans="1:29" s="4" customFormat="1" ht="51.9" customHeight="1" x14ac:dyDescent="0.2">
      <c r="A8938" s="5">
        <v>0</v>
      </c>
      <c r="B8938" s="6" t="s">
        <v>50129</v>
      </c>
      <c r="C8938" s="13">
        <v>569.9</v>
      </c>
      <c r="D8938" s="8" t="s">
        <v>50130</v>
      </c>
      <c r="E8938" s="8" t="s">
        <v>50131</v>
      </c>
      <c r="F8938" s="8" t="s">
        <v>15213</v>
      </c>
      <c r="G8938" s="6" t="s">
        <v>33</v>
      </c>
      <c r="H8938" s="6" t="s">
        <v>1042</v>
      </c>
      <c r="I8938" s="8" t="s">
        <v>253</v>
      </c>
      <c r="J8938" s="9">
        <v>1</v>
      </c>
      <c r="K8938" s="9">
        <v>104</v>
      </c>
      <c r="L8938" s="9">
        <v>2023</v>
      </c>
      <c r="M8938" s="8" t="s">
        <v>50132</v>
      </c>
      <c r="N8938" s="8" t="s">
        <v>37</v>
      </c>
      <c r="O8938" s="8" t="s">
        <v>499</v>
      </c>
      <c r="P8938" s="6" t="s">
        <v>51</v>
      </c>
      <c r="Q8938" s="8" t="s">
        <v>52</v>
      </c>
      <c r="R8938" s="10" t="s">
        <v>50133</v>
      </c>
      <c r="S8938" s="11" t="s">
        <v>26237</v>
      </c>
      <c r="T8938" s="6"/>
      <c r="U8938" s="15" t="str">
        <f>HYPERLINK("https://media.infra-m.ru/2019/2019762/cover/2019762.jpg", "Обложка")</f>
        <v>Обложка</v>
      </c>
      <c r="V8938" s="8" t="s">
        <v>396</v>
      </c>
      <c r="W8938" s="6"/>
      <c r="X8938" s="6"/>
      <c r="Y8938" s="6"/>
      <c r="Z8938" s="6"/>
      <c r="AA8938" s="6" t="s">
        <v>55</v>
      </c>
      <c r="AB8938" s="8"/>
      <c r="AC8938" s="27">
        <v>9785819905531</v>
      </c>
    </row>
    <row r="8939" spans="1:29" s="4" customFormat="1" ht="51.9" customHeight="1" x14ac:dyDescent="0.2">
      <c r="A8939" s="5">
        <v>0</v>
      </c>
      <c r="B8939" s="6" t="s">
        <v>50134</v>
      </c>
      <c r="C8939" s="7">
        <v>1488</v>
      </c>
      <c r="D8939" s="8" t="s">
        <v>50135</v>
      </c>
      <c r="E8939" s="8" t="s">
        <v>50136</v>
      </c>
      <c r="F8939" s="8" t="s">
        <v>50137</v>
      </c>
      <c r="G8939" s="6" t="s">
        <v>60</v>
      </c>
      <c r="H8939" s="6" t="s">
        <v>34</v>
      </c>
      <c r="I8939" s="8" t="s">
        <v>35</v>
      </c>
      <c r="J8939" s="9">
        <v>1</v>
      </c>
      <c r="K8939" s="9">
        <v>247</v>
      </c>
      <c r="L8939" s="9">
        <v>2023</v>
      </c>
      <c r="M8939" s="8" t="s">
        <v>50138</v>
      </c>
      <c r="N8939" s="8" t="s">
        <v>243</v>
      </c>
      <c r="O8939" s="8" t="s">
        <v>329</v>
      </c>
      <c r="P8939" s="6" t="s">
        <v>39</v>
      </c>
      <c r="Q8939" s="8" t="s">
        <v>40</v>
      </c>
      <c r="R8939" s="10" t="s">
        <v>50139</v>
      </c>
      <c r="S8939" s="11"/>
      <c r="T8939" s="6"/>
      <c r="U8939" s="15" t="str">
        <f>HYPERLINK("https://media.infra-m.ru/1989/1989212/cover/1989212.jpg", "Обложка")</f>
        <v>Обложка</v>
      </c>
      <c r="V8939" s="8" t="s">
        <v>631</v>
      </c>
      <c r="W8939" s="6"/>
      <c r="X8939" s="6"/>
      <c r="Y8939" s="6"/>
      <c r="Z8939" s="6"/>
      <c r="AA8939" s="6" t="s">
        <v>157</v>
      </c>
      <c r="AB8939" s="8"/>
      <c r="AC8939" s="27">
        <v>9785160183701</v>
      </c>
    </row>
    <row r="8940" spans="1:29" s="4" customFormat="1" ht="42" customHeight="1" x14ac:dyDescent="0.2">
      <c r="A8940" s="5">
        <v>0</v>
      </c>
      <c r="B8940" s="6" t="s">
        <v>50140</v>
      </c>
      <c r="C8940" s="7">
        <v>2116.8000000000002</v>
      </c>
      <c r="D8940" s="8" t="s">
        <v>50141</v>
      </c>
      <c r="E8940" s="8" t="s">
        <v>50142</v>
      </c>
      <c r="F8940" s="8" t="s">
        <v>22941</v>
      </c>
      <c r="G8940" s="6" t="s">
        <v>118</v>
      </c>
      <c r="H8940" s="6" t="s">
        <v>34</v>
      </c>
      <c r="I8940" s="8" t="s">
        <v>504</v>
      </c>
      <c r="J8940" s="9">
        <v>1</v>
      </c>
      <c r="K8940" s="9">
        <v>321</v>
      </c>
      <c r="L8940" s="9">
        <v>2026</v>
      </c>
      <c r="M8940" s="8" t="s">
        <v>50143</v>
      </c>
      <c r="N8940" s="8" t="s">
        <v>63</v>
      </c>
      <c r="O8940" s="8" t="s">
        <v>154</v>
      </c>
      <c r="P8940" s="6" t="s">
        <v>306</v>
      </c>
      <c r="Q8940" s="8" t="s">
        <v>500</v>
      </c>
      <c r="R8940" s="10" t="s">
        <v>50144</v>
      </c>
      <c r="S8940" s="11"/>
      <c r="T8940" s="6"/>
      <c r="U8940" s="15" t="str">
        <f>HYPERLINK("https://media.infra-m.ru/2235/2235473/cover/2235473.jpg", "Обложка")</f>
        <v>Обложка</v>
      </c>
      <c r="V8940" s="8" t="s">
        <v>10985</v>
      </c>
      <c r="W8940" s="6"/>
      <c r="X8940" s="6"/>
      <c r="Y8940" s="6"/>
      <c r="Z8940" s="6"/>
      <c r="AA8940" s="6" t="s">
        <v>157</v>
      </c>
      <c r="AB8940" s="8"/>
      <c r="AC8940" s="27">
        <v>9785160172637</v>
      </c>
    </row>
    <row r="8941" spans="1:29" s="4" customFormat="1" ht="51.9" customHeight="1" x14ac:dyDescent="0.2">
      <c r="A8941" s="5">
        <v>0</v>
      </c>
      <c r="B8941" s="6" t="s">
        <v>50145</v>
      </c>
      <c r="C8941" s="7">
        <v>1289.9000000000001</v>
      </c>
      <c r="D8941" s="8" t="s">
        <v>50146</v>
      </c>
      <c r="E8941" s="8" t="s">
        <v>50147</v>
      </c>
      <c r="F8941" s="8" t="s">
        <v>50148</v>
      </c>
      <c r="G8941" s="6" t="s">
        <v>60</v>
      </c>
      <c r="H8941" s="6" t="s">
        <v>313</v>
      </c>
      <c r="I8941" s="8" t="s">
        <v>392</v>
      </c>
      <c r="J8941" s="9">
        <v>1</v>
      </c>
      <c r="K8941" s="9">
        <v>238</v>
      </c>
      <c r="L8941" s="9">
        <v>2023</v>
      </c>
      <c r="M8941" s="8" t="s">
        <v>50149</v>
      </c>
      <c r="N8941" s="8" t="s">
        <v>585</v>
      </c>
      <c r="O8941" s="8" t="s">
        <v>667</v>
      </c>
      <c r="P8941" s="6" t="s">
        <v>51</v>
      </c>
      <c r="Q8941" s="8" t="s">
        <v>52</v>
      </c>
      <c r="R8941" s="10" t="s">
        <v>50150</v>
      </c>
      <c r="S8941" s="11"/>
      <c r="T8941" s="6"/>
      <c r="U8941" s="15" t="str">
        <f>HYPERLINK("https://media.infra-m.ru/1895/1895939/cover/1895939.jpg", "Обложка")</f>
        <v>Обложка</v>
      </c>
      <c r="V8941" s="8" t="s">
        <v>761</v>
      </c>
      <c r="W8941" s="6"/>
      <c r="X8941" s="6"/>
      <c r="Y8941" s="6"/>
      <c r="Z8941" s="6"/>
      <c r="AA8941" s="6" t="s">
        <v>99</v>
      </c>
      <c r="AB8941" s="8"/>
      <c r="AC8941" s="27">
        <v>9785369016770</v>
      </c>
    </row>
    <row r="8942" spans="1:29" s="4" customFormat="1" ht="44.1" customHeight="1" x14ac:dyDescent="0.2">
      <c r="A8942" s="5">
        <v>0</v>
      </c>
      <c r="B8942" s="6" t="s">
        <v>50151</v>
      </c>
      <c r="C8942" s="7">
        <v>1188</v>
      </c>
      <c r="D8942" s="8" t="s">
        <v>50152</v>
      </c>
      <c r="E8942" s="8" t="s">
        <v>50153</v>
      </c>
      <c r="F8942" s="8" t="s">
        <v>50154</v>
      </c>
      <c r="G8942" s="6" t="s">
        <v>60</v>
      </c>
      <c r="H8942" s="6" t="s">
        <v>34</v>
      </c>
      <c r="I8942" s="8" t="s">
        <v>35</v>
      </c>
      <c r="J8942" s="14">
        <v>0</v>
      </c>
      <c r="K8942" s="9">
        <v>153</v>
      </c>
      <c r="L8942" s="9">
        <v>2027</v>
      </c>
      <c r="M8942" s="8" t="s">
        <v>50155</v>
      </c>
      <c r="N8942" s="8" t="s">
        <v>37</v>
      </c>
      <c r="O8942" s="8" t="s">
        <v>136</v>
      </c>
      <c r="P8942" s="6" t="s">
        <v>39</v>
      </c>
      <c r="Q8942" s="8" t="s">
        <v>40</v>
      </c>
      <c r="R8942" s="10" t="s">
        <v>8485</v>
      </c>
      <c r="S8942" s="11"/>
      <c r="T8942" s="6"/>
      <c r="U8942" s="15" t="str">
        <f>HYPERLINK("https://media.infra-m.ru/2246/2246449/cover/2246449.jpg", "Обложка")</f>
        <v>Обложка</v>
      </c>
      <c r="V8942" s="8" t="s">
        <v>50156</v>
      </c>
      <c r="W8942" s="6"/>
      <c r="X8942" s="6"/>
      <c r="Y8942" s="6" t="s">
        <v>4466</v>
      </c>
      <c r="Z8942" s="6"/>
      <c r="AA8942" s="6" t="s">
        <v>187</v>
      </c>
      <c r="AB8942" s="8"/>
      <c r="AC8942" s="27">
        <v>9785160220109</v>
      </c>
    </row>
    <row r="8943" spans="1:29" s="4" customFormat="1" ht="42" customHeight="1" x14ac:dyDescent="0.2">
      <c r="A8943" s="5">
        <v>0</v>
      </c>
      <c r="B8943" s="6" t="s">
        <v>50157</v>
      </c>
      <c r="C8943" s="7">
        <v>1349.9</v>
      </c>
      <c r="D8943" s="8" t="s">
        <v>50158</v>
      </c>
      <c r="E8943" s="8" t="s">
        <v>50159</v>
      </c>
      <c r="F8943" s="8" t="s">
        <v>50160</v>
      </c>
      <c r="G8943" s="6" t="s">
        <v>33</v>
      </c>
      <c r="H8943" s="6" t="s">
        <v>34</v>
      </c>
      <c r="I8943" s="8" t="s">
        <v>214</v>
      </c>
      <c r="J8943" s="9">
        <v>1</v>
      </c>
      <c r="K8943" s="9">
        <v>249</v>
      </c>
      <c r="L8943" s="9">
        <v>2023</v>
      </c>
      <c r="M8943" s="8" t="s">
        <v>50161</v>
      </c>
      <c r="N8943" s="8" t="s">
        <v>585</v>
      </c>
      <c r="O8943" s="8" t="s">
        <v>667</v>
      </c>
      <c r="P8943" s="6" t="s">
        <v>39</v>
      </c>
      <c r="Q8943" s="8" t="s">
        <v>40</v>
      </c>
      <c r="R8943" s="10" t="s">
        <v>50162</v>
      </c>
      <c r="S8943" s="11"/>
      <c r="T8943" s="6"/>
      <c r="U8943" s="15" t="str">
        <f>HYPERLINK("https://media.infra-m.ru/2006/2006936/cover/2006936.jpg", "Обложка")</f>
        <v>Обложка</v>
      </c>
      <c r="V8943" s="8" t="s">
        <v>217</v>
      </c>
      <c r="W8943" s="6"/>
      <c r="X8943" s="6"/>
      <c r="Y8943" s="6"/>
      <c r="Z8943" s="6"/>
      <c r="AA8943" s="6" t="s">
        <v>115</v>
      </c>
      <c r="AB8943" s="8"/>
      <c r="AC8943" s="27">
        <v>9785160140780</v>
      </c>
    </row>
    <row r="8944" spans="1:29" s="4" customFormat="1" ht="42" customHeight="1" x14ac:dyDescent="0.2">
      <c r="A8944" s="5">
        <v>0</v>
      </c>
      <c r="B8944" s="6" t="s">
        <v>50163</v>
      </c>
      <c r="C8944" s="7">
        <v>1536</v>
      </c>
      <c r="D8944" s="8" t="s">
        <v>50164</v>
      </c>
      <c r="E8944" s="8" t="s">
        <v>50165</v>
      </c>
      <c r="F8944" s="8" t="s">
        <v>27113</v>
      </c>
      <c r="G8944" s="6" t="s">
        <v>60</v>
      </c>
      <c r="H8944" s="6" t="s">
        <v>34</v>
      </c>
      <c r="I8944" s="8" t="s">
        <v>253</v>
      </c>
      <c r="J8944" s="9">
        <v>1</v>
      </c>
      <c r="K8944" s="9">
        <v>239</v>
      </c>
      <c r="L8944" s="9">
        <v>2025</v>
      </c>
      <c r="M8944" s="8" t="s">
        <v>50166</v>
      </c>
      <c r="N8944" s="8" t="s">
        <v>243</v>
      </c>
      <c r="O8944" s="8" t="s">
        <v>758</v>
      </c>
      <c r="P8944" s="6" t="s">
        <v>306</v>
      </c>
      <c r="Q8944" s="8" t="s">
        <v>500</v>
      </c>
      <c r="R8944" s="10" t="s">
        <v>50167</v>
      </c>
      <c r="S8944" s="11"/>
      <c r="T8944" s="6"/>
      <c r="U8944" s="15" t="str">
        <f>HYPERLINK("https://media.infra-m.ru/2178/2178360/cover/2178360.jpg", "Обложка")</f>
        <v>Обложка</v>
      </c>
      <c r="V8944" s="8" t="s">
        <v>2047</v>
      </c>
      <c r="W8944" s="6"/>
      <c r="X8944" s="6"/>
      <c r="Y8944" s="6"/>
      <c r="Z8944" s="6"/>
      <c r="AA8944" s="6" t="s">
        <v>68</v>
      </c>
      <c r="AB8944" s="8"/>
      <c r="AC8944" s="27">
        <v>9785160204871</v>
      </c>
    </row>
    <row r="8945" spans="1:29" s="4" customFormat="1" ht="42" customHeight="1" x14ac:dyDescent="0.2">
      <c r="A8945" s="5">
        <v>0</v>
      </c>
      <c r="B8945" s="6" t="s">
        <v>50168</v>
      </c>
      <c r="C8945" s="7">
        <v>1944</v>
      </c>
      <c r="D8945" s="8" t="s">
        <v>50169</v>
      </c>
      <c r="E8945" s="8" t="s">
        <v>50170</v>
      </c>
      <c r="F8945" s="8" t="s">
        <v>12393</v>
      </c>
      <c r="G8945" s="6" t="s">
        <v>33</v>
      </c>
      <c r="H8945" s="6" t="s">
        <v>34</v>
      </c>
      <c r="I8945" s="8" t="s">
        <v>35</v>
      </c>
      <c r="J8945" s="9">
        <v>1</v>
      </c>
      <c r="K8945" s="9">
        <v>413</v>
      </c>
      <c r="L8945" s="9">
        <v>2022</v>
      </c>
      <c r="M8945" s="8" t="s">
        <v>50171</v>
      </c>
      <c r="N8945" s="8" t="s">
        <v>63</v>
      </c>
      <c r="O8945" s="8" t="s">
        <v>64</v>
      </c>
      <c r="P8945" s="6" t="s">
        <v>39</v>
      </c>
      <c r="Q8945" s="8" t="s">
        <v>40</v>
      </c>
      <c r="R8945" s="10" t="s">
        <v>50172</v>
      </c>
      <c r="S8945" s="11"/>
      <c r="T8945" s="6"/>
      <c r="U8945" s="15" t="str">
        <f>HYPERLINK("https://media.infra-m.ru/1544/1544136/cover/1544136.jpg", "Обложка")</f>
        <v>Обложка</v>
      </c>
      <c r="V8945" s="8" t="s">
        <v>1425</v>
      </c>
      <c r="W8945" s="6"/>
      <c r="X8945" s="6"/>
      <c r="Y8945" s="6"/>
      <c r="Z8945" s="6"/>
      <c r="AA8945" s="6" t="s">
        <v>148</v>
      </c>
      <c r="AB8945" s="8"/>
      <c r="AC8945" s="27">
        <v>9785160170329</v>
      </c>
    </row>
    <row r="8946" spans="1:29" s="4" customFormat="1" ht="51.9" customHeight="1" x14ac:dyDescent="0.2">
      <c r="A8946" s="5">
        <v>0</v>
      </c>
      <c r="B8946" s="6" t="s">
        <v>50173</v>
      </c>
      <c r="C8946" s="7">
        <v>2388</v>
      </c>
      <c r="D8946" s="8" t="s">
        <v>50174</v>
      </c>
      <c r="E8946" s="8" t="s">
        <v>50175</v>
      </c>
      <c r="F8946" s="8" t="s">
        <v>50176</v>
      </c>
      <c r="G8946" s="6" t="s">
        <v>60</v>
      </c>
      <c r="H8946" s="6" t="s">
        <v>34</v>
      </c>
      <c r="I8946" s="8" t="s">
        <v>35</v>
      </c>
      <c r="J8946" s="9">
        <v>1</v>
      </c>
      <c r="K8946" s="9">
        <v>280</v>
      </c>
      <c r="L8946" s="9">
        <v>2026</v>
      </c>
      <c r="M8946" s="8" t="s">
        <v>50177</v>
      </c>
      <c r="N8946" s="8" t="s">
        <v>243</v>
      </c>
      <c r="O8946" s="8" t="s">
        <v>758</v>
      </c>
      <c r="P8946" s="6" t="s">
        <v>39</v>
      </c>
      <c r="Q8946" s="8" t="s">
        <v>40</v>
      </c>
      <c r="R8946" s="10" t="s">
        <v>50178</v>
      </c>
      <c r="S8946" s="11"/>
      <c r="T8946" s="6"/>
      <c r="U8946" s="15" t="str">
        <f>HYPERLINK("https://media.infra-m.ru/2230/2230809/cover/2230809.jpg", "Обложка")</f>
        <v>Обложка</v>
      </c>
      <c r="V8946" s="8" t="s">
        <v>22637</v>
      </c>
      <c r="W8946" s="6" t="s">
        <v>9380</v>
      </c>
      <c r="X8946" s="6"/>
      <c r="Y8946" s="6"/>
      <c r="Z8946" s="6"/>
      <c r="AA8946" s="6" t="s">
        <v>187</v>
      </c>
      <c r="AB8946" s="8"/>
      <c r="AC8946" s="27">
        <v>9785160215648</v>
      </c>
    </row>
    <row r="8947" spans="1:29" s="4" customFormat="1" ht="51.9" customHeight="1" x14ac:dyDescent="0.2">
      <c r="A8947" s="5">
        <v>0</v>
      </c>
      <c r="B8947" s="6" t="s">
        <v>50179</v>
      </c>
      <c r="C8947" s="13">
        <v>792</v>
      </c>
      <c r="D8947" s="8" t="s">
        <v>50180</v>
      </c>
      <c r="E8947" s="8" t="s">
        <v>50181</v>
      </c>
      <c r="F8947" s="8" t="s">
        <v>50182</v>
      </c>
      <c r="G8947" s="6" t="s">
        <v>33</v>
      </c>
      <c r="H8947" s="6" t="s">
        <v>34</v>
      </c>
      <c r="I8947" s="8" t="s">
        <v>504</v>
      </c>
      <c r="J8947" s="9">
        <v>1</v>
      </c>
      <c r="K8947" s="9">
        <v>140</v>
      </c>
      <c r="L8947" s="9">
        <v>2024</v>
      </c>
      <c r="M8947" s="8" t="s">
        <v>50183</v>
      </c>
      <c r="N8947" s="8" t="s">
        <v>243</v>
      </c>
      <c r="O8947" s="8" t="s">
        <v>329</v>
      </c>
      <c r="P8947" s="6" t="s">
        <v>51</v>
      </c>
      <c r="Q8947" s="8" t="s">
        <v>500</v>
      </c>
      <c r="R8947" s="10" t="s">
        <v>50184</v>
      </c>
      <c r="S8947" s="11" t="s">
        <v>50185</v>
      </c>
      <c r="T8947" s="6" t="s">
        <v>97</v>
      </c>
      <c r="U8947" s="15" t="str">
        <f>HYPERLINK("https://media.infra-m.ru/2029/2029907/cover/2029907.jpg", "Обложка")</f>
        <v>Обложка</v>
      </c>
      <c r="V8947" s="8" t="s">
        <v>2398</v>
      </c>
      <c r="W8947" s="6"/>
      <c r="X8947" s="6"/>
      <c r="Y8947" s="6"/>
      <c r="Z8947" s="6"/>
      <c r="AA8947" s="6" t="s">
        <v>779</v>
      </c>
      <c r="AB8947" s="8"/>
      <c r="AC8947" s="27">
        <v>9785160117690</v>
      </c>
    </row>
    <row r="8948" spans="1:29" s="4" customFormat="1" ht="51.9" customHeight="1" x14ac:dyDescent="0.2">
      <c r="A8948" s="5">
        <v>0</v>
      </c>
      <c r="B8948" s="6" t="s">
        <v>50186</v>
      </c>
      <c r="C8948" s="7">
        <v>1908</v>
      </c>
      <c r="D8948" s="8" t="s">
        <v>50187</v>
      </c>
      <c r="E8948" s="8" t="s">
        <v>50188</v>
      </c>
      <c r="F8948" s="8" t="s">
        <v>50189</v>
      </c>
      <c r="G8948" s="6" t="s">
        <v>33</v>
      </c>
      <c r="H8948" s="6" t="s">
        <v>820</v>
      </c>
      <c r="I8948" s="8" t="s">
        <v>38536</v>
      </c>
      <c r="J8948" s="9">
        <v>1</v>
      </c>
      <c r="K8948" s="9">
        <v>345</v>
      </c>
      <c r="L8948" s="9">
        <v>2024</v>
      </c>
      <c r="M8948" s="8" t="s">
        <v>50190</v>
      </c>
      <c r="N8948" s="8" t="s">
        <v>37</v>
      </c>
      <c r="O8948" s="8" t="s">
        <v>499</v>
      </c>
      <c r="P8948" s="6" t="s">
        <v>39</v>
      </c>
      <c r="Q8948" s="8" t="s">
        <v>40</v>
      </c>
      <c r="R8948" s="10" t="s">
        <v>50191</v>
      </c>
      <c r="S8948" s="11"/>
      <c r="T8948" s="6"/>
      <c r="U8948" s="15" t="str">
        <f>HYPERLINK("https://media.infra-m.ru/2117/2117126/cover/2117126.jpg", "Обложка")</f>
        <v>Обложка</v>
      </c>
      <c r="V8948" s="8" t="s">
        <v>4892</v>
      </c>
      <c r="W8948" s="6"/>
      <c r="X8948" s="6"/>
      <c r="Y8948" s="6"/>
      <c r="Z8948" s="6"/>
      <c r="AA8948" s="6" t="s">
        <v>55</v>
      </c>
      <c r="AB8948" s="8"/>
      <c r="AC8948" s="27">
        <v>9785905554339</v>
      </c>
    </row>
    <row r="8949" spans="1:29" s="4" customFormat="1" ht="51.9" customHeight="1" x14ac:dyDescent="0.2">
      <c r="A8949" s="5">
        <v>0</v>
      </c>
      <c r="B8949" s="6" t="s">
        <v>50192</v>
      </c>
      <c r="C8949" s="7">
        <v>1584</v>
      </c>
      <c r="D8949" s="8" t="s">
        <v>50193</v>
      </c>
      <c r="E8949" s="8" t="s">
        <v>50194</v>
      </c>
      <c r="F8949" s="8" t="s">
        <v>3356</v>
      </c>
      <c r="G8949" s="6" t="s">
        <v>33</v>
      </c>
      <c r="H8949" s="6" t="s">
        <v>34</v>
      </c>
      <c r="I8949" s="8" t="s">
        <v>35</v>
      </c>
      <c r="J8949" s="9">
        <v>1</v>
      </c>
      <c r="K8949" s="9">
        <v>240</v>
      </c>
      <c r="L8949" s="9">
        <v>2026</v>
      </c>
      <c r="M8949" s="8" t="s">
        <v>50195</v>
      </c>
      <c r="N8949" s="8" t="s">
        <v>63</v>
      </c>
      <c r="O8949" s="8" t="s">
        <v>154</v>
      </c>
      <c r="P8949" s="6" t="s">
        <v>39</v>
      </c>
      <c r="Q8949" s="8" t="s">
        <v>40</v>
      </c>
      <c r="R8949" s="10" t="s">
        <v>50196</v>
      </c>
      <c r="S8949" s="11"/>
      <c r="T8949" s="6"/>
      <c r="U8949" s="15" t="str">
        <f>HYPERLINK("https://media.infra-m.ru/2244/2244535/cover/2244535.jpg", "Обложка")</f>
        <v>Обложка</v>
      </c>
      <c r="V8949" s="8" t="s">
        <v>3087</v>
      </c>
      <c r="W8949" s="6"/>
      <c r="X8949" s="6"/>
      <c r="Y8949" s="6"/>
      <c r="Z8949" s="6"/>
      <c r="AA8949" s="6" t="s">
        <v>248</v>
      </c>
      <c r="AB8949" s="8"/>
      <c r="AC8949" s="27">
        <v>9785160098227</v>
      </c>
    </row>
    <row r="8950" spans="1:29" s="4" customFormat="1" ht="51.9" customHeight="1" x14ac:dyDescent="0.2">
      <c r="A8950" s="5">
        <v>0</v>
      </c>
      <c r="B8950" s="6" t="s">
        <v>50197</v>
      </c>
      <c r="C8950" s="7">
        <v>1840.8</v>
      </c>
      <c r="D8950" s="8" t="s">
        <v>50198</v>
      </c>
      <c r="E8950" s="8" t="s">
        <v>50199</v>
      </c>
      <c r="F8950" s="8" t="s">
        <v>1965</v>
      </c>
      <c r="G8950" s="6" t="s">
        <v>33</v>
      </c>
      <c r="H8950" s="6" t="s">
        <v>34</v>
      </c>
      <c r="I8950" s="8" t="s">
        <v>35</v>
      </c>
      <c r="J8950" s="9">
        <v>1</v>
      </c>
      <c r="K8950" s="9">
        <v>264</v>
      </c>
      <c r="L8950" s="9">
        <v>2026</v>
      </c>
      <c r="M8950" s="8" t="s">
        <v>50200</v>
      </c>
      <c r="N8950" s="8" t="s">
        <v>63</v>
      </c>
      <c r="O8950" s="8" t="s">
        <v>64</v>
      </c>
      <c r="P8950" s="6" t="s">
        <v>182</v>
      </c>
      <c r="Q8950" s="8" t="s">
        <v>40</v>
      </c>
      <c r="R8950" s="10" t="s">
        <v>1914</v>
      </c>
      <c r="S8950" s="11"/>
      <c r="T8950" s="6"/>
      <c r="U8950" s="15" t="str">
        <f>HYPERLINK("https://media.infra-m.ru/2246/2246241/cover/2246241.jpg", "Обложка")</f>
        <v>Обложка</v>
      </c>
      <c r="V8950" s="8" t="s">
        <v>1599</v>
      </c>
      <c r="W8950" s="6"/>
      <c r="X8950" s="6"/>
      <c r="Y8950" s="6"/>
      <c r="Z8950" s="6"/>
      <c r="AA8950" s="6" t="s">
        <v>99</v>
      </c>
      <c r="AB8950" s="8"/>
      <c r="AC8950" s="27">
        <v>9785160185590</v>
      </c>
    </row>
    <row r="8951" spans="1:29" s="4" customFormat="1" ht="51.9" customHeight="1" x14ac:dyDescent="0.2">
      <c r="A8951" s="5">
        <v>0</v>
      </c>
      <c r="B8951" s="6" t="s">
        <v>50201</v>
      </c>
      <c r="C8951" s="7">
        <v>1140</v>
      </c>
      <c r="D8951" s="8" t="s">
        <v>50202</v>
      </c>
      <c r="E8951" s="8" t="s">
        <v>50199</v>
      </c>
      <c r="F8951" s="8" t="s">
        <v>1965</v>
      </c>
      <c r="G8951" s="6" t="s">
        <v>118</v>
      </c>
      <c r="H8951" s="6" t="s">
        <v>34</v>
      </c>
      <c r="I8951" s="8" t="s">
        <v>35</v>
      </c>
      <c r="J8951" s="9">
        <v>1</v>
      </c>
      <c r="K8951" s="9">
        <v>264</v>
      </c>
      <c r="L8951" s="9">
        <v>2021</v>
      </c>
      <c r="M8951" s="8" t="s">
        <v>50203</v>
      </c>
      <c r="N8951" s="8" t="s">
        <v>63</v>
      </c>
      <c r="O8951" s="8" t="s">
        <v>64</v>
      </c>
      <c r="P8951" s="6" t="s">
        <v>182</v>
      </c>
      <c r="Q8951" s="8" t="s">
        <v>40</v>
      </c>
      <c r="R8951" s="10" t="s">
        <v>1914</v>
      </c>
      <c r="S8951" s="11"/>
      <c r="T8951" s="6"/>
      <c r="U8951" s="15" t="str">
        <f>HYPERLINK("https://media.infra-m.ru/1178/1178819/cover/1178819.jpg", "Обложка")</f>
        <v>Обложка</v>
      </c>
      <c r="V8951" s="8" t="s">
        <v>1599</v>
      </c>
      <c r="W8951" s="6"/>
      <c r="X8951" s="6"/>
      <c r="Y8951" s="6"/>
      <c r="Z8951" s="6"/>
      <c r="AA8951" s="6" t="s">
        <v>99</v>
      </c>
      <c r="AB8951" s="8"/>
      <c r="AC8951" s="27">
        <v>9785160122700</v>
      </c>
    </row>
    <row r="8952" spans="1:29" s="4" customFormat="1" ht="51.9" customHeight="1" x14ac:dyDescent="0.2">
      <c r="A8952" s="5">
        <v>0</v>
      </c>
      <c r="B8952" s="6" t="s">
        <v>50204</v>
      </c>
      <c r="C8952" s="7">
        <v>2112</v>
      </c>
      <c r="D8952" s="8" t="s">
        <v>50205</v>
      </c>
      <c r="E8952" s="8" t="s">
        <v>50206</v>
      </c>
      <c r="F8952" s="8" t="s">
        <v>21542</v>
      </c>
      <c r="G8952" s="6" t="s">
        <v>118</v>
      </c>
      <c r="H8952" s="6" t="s">
        <v>34</v>
      </c>
      <c r="I8952" s="8" t="s">
        <v>271</v>
      </c>
      <c r="J8952" s="9">
        <v>1</v>
      </c>
      <c r="K8952" s="9">
        <v>381</v>
      </c>
      <c r="L8952" s="9">
        <v>2023</v>
      </c>
      <c r="M8952" s="8" t="s">
        <v>50207</v>
      </c>
      <c r="N8952" s="8" t="s">
        <v>243</v>
      </c>
      <c r="O8952" s="8" t="s">
        <v>798</v>
      </c>
      <c r="P8952" s="6" t="s">
        <v>51</v>
      </c>
      <c r="Q8952" s="8" t="s">
        <v>52</v>
      </c>
      <c r="R8952" s="10" t="s">
        <v>7812</v>
      </c>
      <c r="S8952" s="11" t="s">
        <v>44858</v>
      </c>
      <c r="T8952" s="6"/>
      <c r="U8952" s="15" t="str">
        <f>HYPERLINK("https://media.infra-m.ru/2126/2126638/cover/2126638.jpg", "Обложка")</f>
        <v>Обложка</v>
      </c>
      <c r="V8952" s="8" t="s">
        <v>831</v>
      </c>
      <c r="W8952" s="6"/>
      <c r="X8952" s="6"/>
      <c r="Y8952" s="6"/>
      <c r="Z8952" s="6"/>
      <c r="AA8952" s="6" t="s">
        <v>779</v>
      </c>
      <c r="AB8952" s="8"/>
      <c r="AC8952" s="27">
        <v>9785160111971</v>
      </c>
    </row>
    <row r="8953" spans="1:29" s="4" customFormat="1" ht="51.9" customHeight="1" x14ac:dyDescent="0.2">
      <c r="A8953" s="5">
        <v>0</v>
      </c>
      <c r="B8953" s="6" t="s">
        <v>50208</v>
      </c>
      <c r="C8953" s="7">
        <v>1768.8</v>
      </c>
      <c r="D8953" s="8" t="s">
        <v>50209</v>
      </c>
      <c r="E8953" s="8" t="s">
        <v>50210</v>
      </c>
      <c r="F8953" s="8" t="s">
        <v>50211</v>
      </c>
      <c r="G8953" s="6" t="s">
        <v>60</v>
      </c>
      <c r="H8953" s="6" t="s">
        <v>34</v>
      </c>
      <c r="I8953" s="8" t="s">
        <v>271</v>
      </c>
      <c r="J8953" s="9">
        <v>1</v>
      </c>
      <c r="K8953" s="9">
        <v>320</v>
      </c>
      <c r="L8953" s="9">
        <v>2023</v>
      </c>
      <c r="M8953" s="8" t="s">
        <v>50212</v>
      </c>
      <c r="N8953" s="8" t="s">
        <v>585</v>
      </c>
      <c r="O8953" s="8" t="s">
        <v>1518</v>
      </c>
      <c r="P8953" s="6" t="s">
        <v>51</v>
      </c>
      <c r="Q8953" s="8" t="s">
        <v>52</v>
      </c>
      <c r="R8953" s="10" t="s">
        <v>50213</v>
      </c>
      <c r="S8953" s="11"/>
      <c r="T8953" s="6"/>
      <c r="U8953" s="15" t="str">
        <f>HYPERLINK("https://media.infra-m.ru/1981/1981680/cover/1981680.jpg", "Обложка")</f>
        <v>Обложка</v>
      </c>
      <c r="V8953" s="8" t="s">
        <v>67</v>
      </c>
      <c r="W8953" s="6"/>
      <c r="X8953" s="6"/>
      <c r="Y8953" s="6"/>
      <c r="Z8953" s="6"/>
      <c r="AA8953" s="6" t="s">
        <v>55</v>
      </c>
      <c r="AB8953" s="8"/>
      <c r="AC8953" s="27">
        <v>9785160057491</v>
      </c>
    </row>
    <row r="8954" spans="1:29" s="4" customFormat="1" ht="42" customHeight="1" x14ac:dyDescent="0.2">
      <c r="A8954" s="5">
        <v>0</v>
      </c>
      <c r="B8954" s="6" t="s">
        <v>50214</v>
      </c>
      <c r="C8954" s="7">
        <v>1680</v>
      </c>
      <c r="D8954" s="8" t="s">
        <v>50215</v>
      </c>
      <c r="E8954" s="8" t="s">
        <v>50216</v>
      </c>
      <c r="F8954" s="8" t="s">
        <v>50217</v>
      </c>
      <c r="G8954" s="6" t="s">
        <v>33</v>
      </c>
      <c r="H8954" s="6" t="s">
        <v>34</v>
      </c>
      <c r="I8954" s="8" t="s">
        <v>35</v>
      </c>
      <c r="J8954" s="9">
        <v>1</v>
      </c>
      <c r="K8954" s="9">
        <v>311</v>
      </c>
      <c r="L8954" s="9">
        <v>2023</v>
      </c>
      <c r="M8954" s="8" t="s">
        <v>50218</v>
      </c>
      <c r="N8954" s="8" t="s">
        <v>243</v>
      </c>
      <c r="O8954" s="8" t="s">
        <v>758</v>
      </c>
      <c r="P8954" s="6" t="s">
        <v>39</v>
      </c>
      <c r="Q8954" s="8" t="s">
        <v>40</v>
      </c>
      <c r="R8954" s="10" t="s">
        <v>7200</v>
      </c>
      <c r="S8954" s="11"/>
      <c r="T8954" s="6"/>
      <c r="U8954" s="15" t="str">
        <f>HYPERLINK("https://media.infra-m.ru/1910/1910880/cover/1910880.jpg", "Обложка")</f>
        <v>Обложка</v>
      </c>
      <c r="V8954" s="8" t="s">
        <v>867</v>
      </c>
      <c r="W8954" s="6"/>
      <c r="X8954" s="6"/>
      <c r="Y8954" s="6"/>
      <c r="Z8954" s="6"/>
      <c r="AA8954" s="6" t="s">
        <v>115</v>
      </c>
      <c r="AB8954" s="8"/>
      <c r="AC8954" s="27">
        <v>9785160143606</v>
      </c>
    </row>
    <row r="8955" spans="1:29" s="4" customFormat="1" ht="51.9" customHeight="1" x14ac:dyDescent="0.2">
      <c r="A8955" s="5">
        <v>0</v>
      </c>
      <c r="B8955" s="6" t="s">
        <v>50219</v>
      </c>
      <c r="C8955" s="7">
        <v>1312.8</v>
      </c>
      <c r="D8955" s="8" t="s">
        <v>50220</v>
      </c>
      <c r="E8955" s="8" t="s">
        <v>50221</v>
      </c>
      <c r="F8955" s="8" t="s">
        <v>50222</v>
      </c>
      <c r="G8955" s="6" t="s">
        <v>118</v>
      </c>
      <c r="H8955" s="6" t="s">
        <v>313</v>
      </c>
      <c r="I8955" s="8" t="s">
        <v>392</v>
      </c>
      <c r="J8955" s="9">
        <v>1</v>
      </c>
      <c r="K8955" s="9">
        <v>199</v>
      </c>
      <c r="L8955" s="9">
        <v>2026</v>
      </c>
      <c r="M8955" s="8" t="s">
        <v>50223</v>
      </c>
      <c r="N8955" s="8" t="s">
        <v>585</v>
      </c>
      <c r="O8955" s="8" t="s">
        <v>1518</v>
      </c>
      <c r="P8955" s="6" t="s">
        <v>51</v>
      </c>
      <c r="Q8955" s="8" t="s">
        <v>52</v>
      </c>
      <c r="R8955" s="10" t="s">
        <v>50224</v>
      </c>
      <c r="S8955" s="11"/>
      <c r="T8955" s="6"/>
      <c r="U8955" s="15" t="str">
        <f>HYPERLINK("https://media.infra-m.ru/2240/2240342/cover/2240342.jpg", "Обложка")</f>
        <v>Обложка</v>
      </c>
      <c r="V8955" s="8"/>
      <c r="W8955" s="6"/>
      <c r="X8955" s="6"/>
      <c r="Y8955" s="6"/>
      <c r="Z8955" s="6"/>
      <c r="AA8955" s="6" t="s">
        <v>779</v>
      </c>
      <c r="AB8955" s="8"/>
      <c r="AC8955" s="27">
        <v>9785369014790</v>
      </c>
    </row>
    <row r="8956" spans="1:29" s="4" customFormat="1" ht="51.9" customHeight="1" x14ac:dyDescent="0.2">
      <c r="A8956" s="5">
        <v>0</v>
      </c>
      <c r="B8956" s="6" t="s">
        <v>50225</v>
      </c>
      <c r="C8956" s="7">
        <v>2076</v>
      </c>
      <c r="D8956" s="8" t="s">
        <v>50226</v>
      </c>
      <c r="E8956" s="8" t="s">
        <v>50227</v>
      </c>
      <c r="F8956" s="8" t="s">
        <v>4643</v>
      </c>
      <c r="G8956" s="6" t="s">
        <v>33</v>
      </c>
      <c r="H8956" s="6" t="s">
        <v>34</v>
      </c>
      <c r="I8956" s="8" t="s">
        <v>35</v>
      </c>
      <c r="J8956" s="9">
        <v>1</v>
      </c>
      <c r="K8956" s="9">
        <v>321</v>
      </c>
      <c r="L8956" s="9">
        <v>2026</v>
      </c>
      <c r="M8956" s="8" t="s">
        <v>50228</v>
      </c>
      <c r="N8956" s="8" t="s">
        <v>243</v>
      </c>
      <c r="O8956" s="8" t="s">
        <v>798</v>
      </c>
      <c r="P8956" s="6" t="s">
        <v>39</v>
      </c>
      <c r="Q8956" s="8" t="s">
        <v>40</v>
      </c>
      <c r="R8956" s="10" t="s">
        <v>50229</v>
      </c>
      <c r="S8956" s="11"/>
      <c r="T8956" s="6"/>
      <c r="U8956" s="15" t="str">
        <f>HYPERLINK("https://media.infra-m.ru/2220/2220455/cover/2220455.jpg", "Обложка")</f>
        <v>Обложка</v>
      </c>
      <c r="V8956" s="8" t="s">
        <v>761</v>
      </c>
      <c r="W8956" s="6"/>
      <c r="X8956" s="6"/>
      <c r="Y8956" s="6"/>
      <c r="Z8956" s="6"/>
      <c r="AA8956" s="6" t="s">
        <v>157</v>
      </c>
      <c r="AB8956" s="8"/>
      <c r="AC8956" s="27">
        <v>9785160176055</v>
      </c>
    </row>
    <row r="8957" spans="1:29" s="4" customFormat="1" ht="51.9" customHeight="1" x14ac:dyDescent="0.2">
      <c r="A8957" s="5">
        <v>0</v>
      </c>
      <c r="B8957" s="6" t="s">
        <v>50230</v>
      </c>
      <c r="C8957" s="7">
        <v>1188</v>
      </c>
      <c r="D8957" s="8" t="s">
        <v>50231</v>
      </c>
      <c r="E8957" s="8" t="s">
        <v>50232</v>
      </c>
      <c r="F8957" s="8" t="s">
        <v>50233</v>
      </c>
      <c r="G8957" s="6" t="s">
        <v>118</v>
      </c>
      <c r="H8957" s="6" t="s">
        <v>34</v>
      </c>
      <c r="I8957" s="8" t="s">
        <v>253</v>
      </c>
      <c r="J8957" s="9">
        <v>1</v>
      </c>
      <c r="K8957" s="9">
        <v>214</v>
      </c>
      <c r="L8957" s="9">
        <v>2024</v>
      </c>
      <c r="M8957" s="8" t="s">
        <v>50234</v>
      </c>
      <c r="N8957" s="8" t="s">
        <v>585</v>
      </c>
      <c r="O8957" s="8" t="s">
        <v>775</v>
      </c>
      <c r="P8957" s="6" t="s">
        <v>306</v>
      </c>
      <c r="Q8957" s="8" t="s">
        <v>65</v>
      </c>
      <c r="R8957" s="10" t="s">
        <v>50235</v>
      </c>
      <c r="S8957" s="11" t="s">
        <v>50236</v>
      </c>
      <c r="T8957" s="6"/>
      <c r="U8957" s="15" t="str">
        <f>HYPERLINK("https://media.infra-m.ru/2069/2069319/cover/2069319.jpg", "Обложка")</f>
        <v>Обложка</v>
      </c>
      <c r="V8957" s="8" t="s">
        <v>14881</v>
      </c>
      <c r="W8957" s="6"/>
      <c r="X8957" s="6"/>
      <c r="Y8957" s="6"/>
      <c r="Z8957" s="6"/>
      <c r="AA8957" s="6" t="s">
        <v>430</v>
      </c>
      <c r="AB8957" s="8"/>
      <c r="AC8957" s="27">
        <v>9785160188614</v>
      </c>
    </row>
    <row r="8958" spans="1:29" s="4" customFormat="1" ht="51.9" customHeight="1" x14ac:dyDescent="0.2">
      <c r="A8958" s="5">
        <v>0</v>
      </c>
      <c r="B8958" s="6" t="s">
        <v>50237</v>
      </c>
      <c r="C8958" s="7">
        <v>1432.8</v>
      </c>
      <c r="D8958" s="8" t="s">
        <v>50238</v>
      </c>
      <c r="E8958" s="8" t="s">
        <v>50239</v>
      </c>
      <c r="F8958" s="8" t="s">
        <v>50240</v>
      </c>
      <c r="G8958" s="6" t="s">
        <v>118</v>
      </c>
      <c r="H8958" s="6" t="s">
        <v>34</v>
      </c>
      <c r="I8958" s="8" t="s">
        <v>263</v>
      </c>
      <c r="J8958" s="9">
        <v>1</v>
      </c>
      <c r="K8958" s="9">
        <v>218</v>
      </c>
      <c r="L8958" s="9">
        <v>2026</v>
      </c>
      <c r="M8958" s="8" t="s">
        <v>50241</v>
      </c>
      <c r="N8958" s="8" t="s">
        <v>243</v>
      </c>
      <c r="O8958" s="8" t="s">
        <v>798</v>
      </c>
      <c r="P8958" s="6" t="s">
        <v>306</v>
      </c>
      <c r="Q8958" s="8" t="s">
        <v>265</v>
      </c>
      <c r="R8958" s="10" t="s">
        <v>50242</v>
      </c>
      <c r="S8958" s="11" t="s">
        <v>50243</v>
      </c>
      <c r="T8958" s="6"/>
      <c r="U8958" s="15" t="str">
        <f>HYPERLINK("https://media.infra-m.ru/2228/2228297/cover/2228297.jpg", "Обложка")</f>
        <v>Обложка</v>
      </c>
      <c r="V8958" s="8" t="s">
        <v>809</v>
      </c>
      <c r="W8958" s="6"/>
      <c r="X8958" s="6" t="s">
        <v>24</v>
      </c>
      <c r="Y8958" s="6"/>
      <c r="Z8958" s="6"/>
      <c r="AA8958" s="6" t="s">
        <v>949</v>
      </c>
      <c r="AB8958" s="8"/>
      <c r="AC8958" s="27">
        <v>9785160066165</v>
      </c>
    </row>
    <row r="8959" spans="1:29" s="4" customFormat="1" ht="51.9" customHeight="1" x14ac:dyDescent="0.2">
      <c r="A8959" s="5">
        <v>0</v>
      </c>
      <c r="B8959" s="6" t="s">
        <v>50244</v>
      </c>
      <c r="C8959" s="7">
        <v>1289.9000000000001</v>
      </c>
      <c r="D8959" s="8" t="s">
        <v>50245</v>
      </c>
      <c r="E8959" s="8" t="s">
        <v>50246</v>
      </c>
      <c r="F8959" s="8" t="s">
        <v>50247</v>
      </c>
      <c r="G8959" s="6" t="s">
        <v>60</v>
      </c>
      <c r="H8959" s="6" t="s">
        <v>34</v>
      </c>
      <c r="I8959" s="8" t="s">
        <v>271</v>
      </c>
      <c r="J8959" s="9">
        <v>12</v>
      </c>
      <c r="K8959" s="9">
        <v>336</v>
      </c>
      <c r="L8959" s="9">
        <v>2020</v>
      </c>
      <c r="M8959" s="8" t="s">
        <v>50248</v>
      </c>
      <c r="N8959" s="8" t="s">
        <v>585</v>
      </c>
      <c r="O8959" s="8" t="s">
        <v>1518</v>
      </c>
      <c r="P8959" s="6" t="s">
        <v>306</v>
      </c>
      <c r="Q8959" s="8" t="s">
        <v>52</v>
      </c>
      <c r="R8959" s="10" t="s">
        <v>50249</v>
      </c>
      <c r="S8959" s="11" t="s">
        <v>50250</v>
      </c>
      <c r="T8959" s="6" t="s">
        <v>97</v>
      </c>
      <c r="U8959" s="15" t="str">
        <f>HYPERLINK("https://media.infra-m.ru/1032/1032231/cover/1032231.jpg", "Обложка")</f>
        <v>Обложка</v>
      </c>
      <c r="V8959" s="8" t="s">
        <v>3109</v>
      </c>
      <c r="W8959" s="6"/>
      <c r="X8959" s="6"/>
      <c r="Y8959" s="6"/>
      <c r="Z8959" s="6"/>
      <c r="AA8959" s="6" t="s">
        <v>248</v>
      </c>
      <c r="AB8959" s="8"/>
      <c r="AC8959" s="27">
        <v>9785160098128</v>
      </c>
    </row>
    <row r="8960" spans="1:29" s="4" customFormat="1" ht="51.9" customHeight="1" x14ac:dyDescent="0.2">
      <c r="A8960" s="5">
        <v>0</v>
      </c>
      <c r="B8960" s="6" t="s">
        <v>50251</v>
      </c>
      <c r="C8960" s="7">
        <v>2524.8000000000002</v>
      </c>
      <c r="D8960" s="8" t="s">
        <v>50252</v>
      </c>
      <c r="E8960" s="8" t="s">
        <v>50253</v>
      </c>
      <c r="F8960" s="8" t="s">
        <v>50254</v>
      </c>
      <c r="G8960" s="6" t="s">
        <v>118</v>
      </c>
      <c r="H8960" s="6" t="s">
        <v>34</v>
      </c>
      <c r="I8960" s="8" t="s">
        <v>504</v>
      </c>
      <c r="J8960" s="9">
        <v>1</v>
      </c>
      <c r="K8960" s="9">
        <v>404</v>
      </c>
      <c r="L8960" s="9">
        <v>2025</v>
      </c>
      <c r="M8960" s="8" t="s">
        <v>50255</v>
      </c>
      <c r="N8960" s="8" t="s">
        <v>585</v>
      </c>
      <c r="O8960" s="8" t="s">
        <v>1518</v>
      </c>
      <c r="P8960" s="6" t="s">
        <v>306</v>
      </c>
      <c r="Q8960" s="8" t="s">
        <v>500</v>
      </c>
      <c r="R8960" s="10" t="s">
        <v>50249</v>
      </c>
      <c r="S8960" s="11" t="s">
        <v>50256</v>
      </c>
      <c r="T8960" s="6"/>
      <c r="U8960" s="15" t="str">
        <f>HYPERLINK("https://media.infra-m.ru/2163/2163823/cover/2163823.jpg", "Обложка")</f>
        <v>Обложка</v>
      </c>
      <c r="V8960" s="8" t="s">
        <v>3109</v>
      </c>
      <c r="W8960" s="6"/>
      <c r="X8960" s="6"/>
      <c r="Y8960" s="6"/>
      <c r="Z8960" s="6"/>
      <c r="AA8960" s="6" t="s">
        <v>896</v>
      </c>
      <c r="AB8960" s="8"/>
      <c r="AC8960" s="27">
        <v>9785160155777</v>
      </c>
    </row>
    <row r="8961" spans="1:29" s="4" customFormat="1" ht="51.9" customHeight="1" x14ac:dyDescent="0.2">
      <c r="A8961" s="5">
        <v>0</v>
      </c>
      <c r="B8961" s="6" t="s">
        <v>50257</v>
      </c>
      <c r="C8961" s="7">
        <v>3292.8</v>
      </c>
      <c r="D8961" s="8" t="s">
        <v>50258</v>
      </c>
      <c r="E8961" s="8" t="s">
        <v>50259</v>
      </c>
      <c r="F8961" s="8" t="s">
        <v>50260</v>
      </c>
      <c r="G8961" s="6" t="s">
        <v>60</v>
      </c>
      <c r="H8961" s="6" t="s">
        <v>34</v>
      </c>
      <c r="I8961" s="8" t="s">
        <v>253</v>
      </c>
      <c r="J8961" s="9">
        <v>1</v>
      </c>
      <c r="K8961" s="9">
        <v>528</v>
      </c>
      <c r="L8961" s="9">
        <v>2026</v>
      </c>
      <c r="M8961" s="8" t="s">
        <v>50261</v>
      </c>
      <c r="N8961" s="8" t="s">
        <v>585</v>
      </c>
      <c r="O8961" s="8" t="s">
        <v>1518</v>
      </c>
      <c r="P8961" s="6" t="s">
        <v>306</v>
      </c>
      <c r="Q8961" s="8" t="s">
        <v>52</v>
      </c>
      <c r="R8961" s="10" t="s">
        <v>50262</v>
      </c>
      <c r="S8961" s="11" t="s">
        <v>50263</v>
      </c>
      <c r="T8961" s="6" t="s">
        <v>97</v>
      </c>
      <c r="U8961" s="15" t="str">
        <f>HYPERLINK("https://media.infra-m.ru/2202/2202774/cover/2202774.jpg", "Обложка")</f>
        <v>Обложка</v>
      </c>
      <c r="V8961" s="8" t="s">
        <v>2427</v>
      </c>
      <c r="W8961" s="6"/>
      <c r="X8961" s="6"/>
      <c r="Y8961" s="6"/>
      <c r="Z8961" s="6"/>
      <c r="AA8961" s="6" t="s">
        <v>248</v>
      </c>
      <c r="AB8961" s="8"/>
      <c r="AC8961" s="27">
        <v>9785160055916</v>
      </c>
    </row>
    <row r="8962" spans="1:29" s="4" customFormat="1" ht="51.9" customHeight="1" x14ac:dyDescent="0.2">
      <c r="A8962" s="5">
        <v>0</v>
      </c>
      <c r="B8962" s="6" t="s">
        <v>50264</v>
      </c>
      <c r="C8962" s="7">
        <v>2748</v>
      </c>
      <c r="D8962" s="8" t="s">
        <v>50265</v>
      </c>
      <c r="E8962" s="8" t="s">
        <v>50266</v>
      </c>
      <c r="F8962" s="8" t="s">
        <v>50267</v>
      </c>
      <c r="G8962" s="6" t="s">
        <v>60</v>
      </c>
      <c r="H8962" s="6" t="s">
        <v>34</v>
      </c>
      <c r="I8962" s="8" t="s">
        <v>263</v>
      </c>
      <c r="J8962" s="9">
        <v>1</v>
      </c>
      <c r="K8962" s="9">
        <v>416</v>
      </c>
      <c r="L8962" s="9">
        <v>2026</v>
      </c>
      <c r="M8962" s="8" t="s">
        <v>50268</v>
      </c>
      <c r="N8962" s="8" t="s">
        <v>243</v>
      </c>
      <c r="O8962" s="8" t="s">
        <v>758</v>
      </c>
      <c r="P8962" s="6" t="s">
        <v>51</v>
      </c>
      <c r="Q8962" s="8" t="s">
        <v>265</v>
      </c>
      <c r="R8962" s="10" t="s">
        <v>50269</v>
      </c>
      <c r="S8962" s="11" t="s">
        <v>4567</v>
      </c>
      <c r="T8962" s="6"/>
      <c r="U8962" s="15" t="str">
        <f>HYPERLINK("https://media.infra-m.ru/2194/2194396/cover/2194396.jpg", "Обложка")</f>
        <v>Обложка</v>
      </c>
      <c r="V8962" s="8" t="s">
        <v>5951</v>
      </c>
      <c r="W8962" s="6"/>
      <c r="X8962" s="6"/>
      <c r="Y8962" s="6"/>
      <c r="Z8962" s="6"/>
      <c r="AA8962" s="6" t="s">
        <v>1037</v>
      </c>
      <c r="AB8962" s="8"/>
      <c r="AC8962" s="27">
        <v>9785160218328</v>
      </c>
    </row>
    <row r="8963" spans="1:29" s="4" customFormat="1" ht="51.9" customHeight="1" x14ac:dyDescent="0.2">
      <c r="A8963" s="5">
        <v>0</v>
      </c>
      <c r="B8963" s="6" t="s">
        <v>50270</v>
      </c>
      <c r="C8963" s="13">
        <v>509.9</v>
      </c>
      <c r="D8963" s="8" t="s">
        <v>50271</v>
      </c>
      <c r="E8963" s="8" t="s">
        <v>50272</v>
      </c>
      <c r="F8963" s="8" t="s">
        <v>21542</v>
      </c>
      <c r="G8963" s="6" t="s">
        <v>33</v>
      </c>
      <c r="H8963" s="6" t="s">
        <v>34</v>
      </c>
      <c r="I8963" s="8" t="s">
        <v>271</v>
      </c>
      <c r="J8963" s="9">
        <v>1</v>
      </c>
      <c r="K8963" s="9">
        <v>158</v>
      </c>
      <c r="L8963" s="9">
        <v>2017</v>
      </c>
      <c r="M8963" s="8" t="s">
        <v>50273</v>
      </c>
      <c r="N8963" s="8" t="s">
        <v>243</v>
      </c>
      <c r="O8963" s="8" t="s">
        <v>798</v>
      </c>
      <c r="P8963" s="6" t="s">
        <v>51</v>
      </c>
      <c r="Q8963" s="8" t="s">
        <v>52</v>
      </c>
      <c r="R8963" s="10" t="s">
        <v>7812</v>
      </c>
      <c r="S8963" s="11" t="s">
        <v>50274</v>
      </c>
      <c r="T8963" s="6"/>
      <c r="U8963" s="15" t="str">
        <f>HYPERLINK("https://media.infra-m.ru/0751/0751612/cover/751612.jpg", "Обложка")</f>
        <v>Обложка</v>
      </c>
      <c r="V8963" s="8" t="s">
        <v>831</v>
      </c>
      <c r="W8963" s="6"/>
      <c r="X8963" s="6"/>
      <c r="Y8963" s="6"/>
      <c r="Z8963" s="6"/>
      <c r="AA8963" s="6" t="s">
        <v>874</v>
      </c>
      <c r="AB8963" s="8"/>
      <c r="AC8963" s="27">
        <v>9785160113265</v>
      </c>
    </row>
    <row r="8964" spans="1:29" s="4" customFormat="1" ht="51.9" customHeight="1" x14ac:dyDescent="0.2">
      <c r="A8964" s="5">
        <v>0</v>
      </c>
      <c r="B8964" s="6" t="s">
        <v>50275</v>
      </c>
      <c r="C8964" s="7">
        <v>1036.8</v>
      </c>
      <c r="D8964" s="8" t="s">
        <v>50276</v>
      </c>
      <c r="E8964" s="8" t="s">
        <v>50272</v>
      </c>
      <c r="F8964" s="8" t="s">
        <v>21542</v>
      </c>
      <c r="G8964" s="6" t="s">
        <v>60</v>
      </c>
      <c r="H8964" s="6" t="s">
        <v>34</v>
      </c>
      <c r="I8964" s="8" t="s">
        <v>271</v>
      </c>
      <c r="J8964" s="9">
        <v>1</v>
      </c>
      <c r="K8964" s="9">
        <v>158</v>
      </c>
      <c r="L8964" s="9">
        <v>2026</v>
      </c>
      <c r="M8964" s="8" t="s">
        <v>50277</v>
      </c>
      <c r="N8964" s="8" t="s">
        <v>243</v>
      </c>
      <c r="O8964" s="8" t="s">
        <v>798</v>
      </c>
      <c r="P8964" s="6" t="s">
        <v>51</v>
      </c>
      <c r="Q8964" s="8" t="s">
        <v>52</v>
      </c>
      <c r="R8964" s="10" t="s">
        <v>7812</v>
      </c>
      <c r="S8964" s="11" t="s">
        <v>50278</v>
      </c>
      <c r="T8964" s="6"/>
      <c r="U8964" s="15" t="str">
        <f>HYPERLINK("https://media.infra-m.ru/2231/2231471/cover/2231471.jpg", "Обложка")</f>
        <v>Обложка</v>
      </c>
      <c r="V8964" s="8" t="s">
        <v>831</v>
      </c>
      <c r="W8964" s="6"/>
      <c r="X8964" s="6"/>
      <c r="Y8964" s="6"/>
      <c r="Z8964" s="6"/>
      <c r="AA8964" s="6" t="s">
        <v>874</v>
      </c>
      <c r="AB8964" s="8"/>
      <c r="AC8964" s="27">
        <v>9785160106786</v>
      </c>
    </row>
    <row r="8965" spans="1:29" s="4" customFormat="1" ht="51.9" customHeight="1" x14ac:dyDescent="0.2">
      <c r="A8965" s="5">
        <v>0</v>
      </c>
      <c r="B8965" s="6" t="s">
        <v>50279</v>
      </c>
      <c r="C8965" s="7">
        <v>1296</v>
      </c>
      <c r="D8965" s="8" t="s">
        <v>50280</v>
      </c>
      <c r="E8965" s="8" t="s">
        <v>50281</v>
      </c>
      <c r="F8965" s="8" t="s">
        <v>50282</v>
      </c>
      <c r="G8965" s="6" t="s">
        <v>118</v>
      </c>
      <c r="H8965" s="6" t="s">
        <v>1042</v>
      </c>
      <c r="I8965" s="8" t="s">
        <v>271</v>
      </c>
      <c r="J8965" s="9">
        <v>1</v>
      </c>
      <c r="K8965" s="9">
        <v>335</v>
      </c>
      <c r="L8965" s="9">
        <v>2019</v>
      </c>
      <c r="M8965" s="8" t="s">
        <v>50283</v>
      </c>
      <c r="N8965" s="8" t="s">
        <v>243</v>
      </c>
      <c r="O8965" s="8" t="s">
        <v>758</v>
      </c>
      <c r="P8965" s="6" t="s">
        <v>51</v>
      </c>
      <c r="Q8965" s="8" t="s">
        <v>52</v>
      </c>
      <c r="R8965" s="10" t="s">
        <v>29316</v>
      </c>
      <c r="S8965" s="11" t="s">
        <v>50284</v>
      </c>
      <c r="T8965" s="6"/>
      <c r="U8965" s="15" t="str">
        <f>HYPERLINK("https://media.infra-m.ru/0940/0940691/cover/940691.jpg", "Обложка")</f>
        <v>Обложка</v>
      </c>
      <c r="V8965" s="8" t="s">
        <v>7003</v>
      </c>
      <c r="W8965" s="6"/>
      <c r="X8965" s="6"/>
      <c r="Y8965" s="6"/>
      <c r="Z8965" s="6"/>
      <c r="AA8965" s="6" t="s">
        <v>859</v>
      </c>
      <c r="AB8965" s="8"/>
      <c r="AC8965" s="27">
        <v>9785819908471</v>
      </c>
    </row>
    <row r="8966" spans="1:29" s="4" customFormat="1" ht="51.9" customHeight="1" x14ac:dyDescent="0.2">
      <c r="A8966" s="5">
        <v>0</v>
      </c>
      <c r="B8966" s="6" t="s">
        <v>50285</v>
      </c>
      <c r="C8966" s="7">
        <v>2064</v>
      </c>
      <c r="D8966" s="8" t="s">
        <v>50286</v>
      </c>
      <c r="E8966" s="8" t="s">
        <v>50287</v>
      </c>
      <c r="F8966" s="8" t="s">
        <v>50282</v>
      </c>
      <c r="G8966" s="6" t="s">
        <v>118</v>
      </c>
      <c r="H8966" s="6" t="s">
        <v>34</v>
      </c>
      <c r="I8966" s="8" t="s">
        <v>253</v>
      </c>
      <c r="J8966" s="9">
        <v>1</v>
      </c>
      <c r="K8966" s="9">
        <v>311</v>
      </c>
      <c r="L8966" s="9">
        <v>2026</v>
      </c>
      <c r="M8966" s="8" t="s">
        <v>50288</v>
      </c>
      <c r="N8966" s="8" t="s">
        <v>243</v>
      </c>
      <c r="O8966" s="8" t="s">
        <v>758</v>
      </c>
      <c r="P8966" s="6" t="s">
        <v>51</v>
      </c>
      <c r="Q8966" s="8" t="s">
        <v>52</v>
      </c>
      <c r="R8966" s="10" t="s">
        <v>29316</v>
      </c>
      <c r="S8966" s="11" t="s">
        <v>50289</v>
      </c>
      <c r="T8966" s="6"/>
      <c r="U8966" s="15" t="str">
        <f>HYPERLINK("https://media.infra-m.ru/2235/2235470/cover/2235470.jpg", "Обложка")</f>
        <v>Обложка</v>
      </c>
      <c r="V8966" s="8" t="s">
        <v>7003</v>
      </c>
      <c r="W8966" s="6"/>
      <c r="X8966" s="6"/>
      <c r="Y8966" s="6"/>
      <c r="Z8966" s="6"/>
      <c r="AA8966" s="6" t="s">
        <v>2230</v>
      </c>
      <c r="AB8966" s="8"/>
      <c r="AC8966" s="27">
        <v>9785160199450</v>
      </c>
    </row>
    <row r="8967" spans="1:29" s="4" customFormat="1" ht="51.9" customHeight="1" x14ac:dyDescent="0.2">
      <c r="A8967" s="5">
        <v>0</v>
      </c>
      <c r="B8967" s="6" t="s">
        <v>50290</v>
      </c>
      <c r="C8967" s="7">
        <v>1792.8</v>
      </c>
      <c r="D8967" s="8" t="s">
        <v>50291</v>
      </c>
      <c r="E8967" s="8" t="s">
        <v>50292</v>
      </c>
      <c r="F8967" s="8" t="s">
        <v>31872</v>
      </c>
      <c r="G8967" s="6" t="s">
        <v>60</v>
      </c>
      <c r="H8967" s="6" t="s">
        <v>34</v>
      </c>
      <c r="I8967" s="8" t="s">
        <v>253</v>
      </c>
      <c r="J8967" s="9">
        <v>1</v>
      </c>
      <c r="K8967" s="9">
        <v>272</v>
      </c>
      <c r="L8967" s="9">
        <v>2026</v>
      </c>
      <c r="M8967" s="8" t="s">
        <v>50293</v>
      </c>
      <c r="N8967" s="8" t="s">
        <v>243</v>
      </c>
      <c r="O8967" s="8" t="s">
        <v>1100</v>
      </c>
      <c r="P8967" s="6" t="s">
        <v>51</v>
      </c>
      <c r="Q8967" s="8" t="s">
        <v>52</v>
      </c>
      <c r="R8967" s="10" t="s">
        <v>33182</v>
      </c>
      <c r="S8967" s="11" t="s">
        <v>50294</v>
      </c>
      <c r="T8967" s="6"/>
      <c r="U8967" s="15" t="str">
        <f>HYPERLINK("https://media.infra-m.ru/2234/2234432/cover/2234432.jpg", "Обложка")</f>
        <v>Обложка</v>
      </c>
      <c r="V8967" s="8" t="s">
        <v>1030</v>
      </c>
      <c r="W8967" s="6"/>
      <c r="X8967" s="6"/>
      <c r="Y8967" s="6"/>
      <c r="Z8967" s="6"/>
      <c r="AA8967" s="6" t="s">
        <v>1303</v>
      </c>
      <c r="AB8967" s="8"/>
      <c r="AC8967" s="27">
        <v>9785160192277</v>
      </c>
    </row>
    <row r="8968" spans="1:29" s="4" customFormat="1" ht="42" customHeight="1" x14ac:dyDescent="0.2">
      <c r="A8968" s="5">
        <v>0</v>
      </c>
      <c r="B8968" s="6" t="s">
        <v>50295</v>
      </c>
      <c r="C8968" s="7">
        <v>1944</v>
      </c>
      <c r="D8968" s="8" t="s">
        <v>50296</v>
      </c>
      <c r="E8968" s="8" t="s">
        <v>50297</v>
      </c>
      <c r="F8968" s="8" t="s">
        <v>25373</v>
      </c>
      <c r="G8968" s="6" t="s">
        <v>60</v>
      </c>
      <c r="H8968" s="6" t="s">
        <v>34</v>
      </c>
      <c r="I8968" s="8" t="s">
        <v>1835</v>
      </c>
      <c r="J8968" s="9">
        <v>1</v>
      </c>
      <c r="K8968" s="9">
        <v>310</v>
      </c>
      <c r="L8968" s="9">
        <v>2025</v>
      </c>
      <c r="M8968" s="8" t="s">
        <v>50298</v>
      </c>
      <c r="N8968" s="8" t="s">
        <v>585</v>
      </c>
      <c r="O8968" s="8" t="s">
        <v>1518</v>
      </c>
      <c r="P8968" s="6" t="s">
        <v>1837</v>
      </c>
      <c r="Q8968" s="8" t="s">
        <v>40</v>
      </c>
      <c r="R8968" s="10" t="s">
        <v>50299</v>
      </c>
      <c r="S8968" s="11"/>
      <c r="T8968" s="6"/>
      <c r="U8968" s="15" t="str">
        <f>HYPERLINK("https://media.infra-m.ru/1959/1959275/cover/1959275.jpg", "Обложка")</f>
        <v>Обложка</v>
      </c>
      <c r="V8968" s="8" t="s">
        <v>631</v>
      </c>
      <c r="W8968" s="6"/>
      <c r="X8968" s="6"/>
      <c r="Y8968" s="6"/>
      <c r="Z8968" s="6"/>
      <c r="AA8968" s="6" t="s">
        <v>68</v>
      </c>
      <c r="AB8968" s="8"/>
      <c r="AC8968" s="27">
        <v>9785160182926</v>
      </c>
    </row>
    <row r="8969" spans="1:29" s="4" customFormat="1" ht="42" customHeight="1" x14ac:dyDescent="0.2">
      <c r="A8969" s="5">
        <v>0</v>
      </c>
      <c r="B8969" s="6" t="s">
        <v>50300</v>
      </c>
      <c r="C8969" s="7">
        <v>1116</v>
      </c>
      <c r="D8969" s="8" t="s">
        <v>50301</v>
      </c>
      <c r="E8969" s="8" t="s">
        <v>50302</v>
      </c>
      <c r="F8969" s="8" t="s">
        <v>50303</v>
      </c>
      <c r="G8969" s="6" t="s">
        <v>60</v>
      </c>
      <c r="H8969" s="6" t="s">
        <v>34</v>
      </c>
      <c r="I8969" s="8" t="s">
        <v>1248</v>
      </c>
      <c r="J8969" s="9">
        <v>1</v>
      </c>
      <c r="K8969" s="9">
        <v>180</v>
      </c>
      <c r="L8969" s="9">
        <v>2025</v>
      </c>
      <c r="M8969" s="8" t="s">
        <v>50304</v>
      </c>
      <c r="N8969" s="8" t="s">
        <v>585</v>
      </c>
      <c r="O8969" s="8" t="s">
        <v>1518</v>
      </c>
      <c r="P8969" s="6" t="s">
        <v>51</v>
      </c>
      <c r="Q8969" s="8" t="s">
        <v>52</v>
      </c>
      <c r="R8969" s="10" t="s">
        <v>29370</v>
      </c>
      <c r="S8969" s="11"/>
      <c r="T8969" s="6"/>
      <c r="U8969" s="15" t="str">
        <f>HYPERLINK("https://media.infra-m.ru/2167/2167518/cover/2167518.jpg", "Обложка")</f>
        <v>Обложка</v>
      </c>
      <c r="V8969" s="8" t="s">
        <v>1083</v>
      </c>
      <c r="W8969" s="6"/>
      <c r="X8969" s="6"/>
      <c r="Y8969" s="6"/>
      <c r="Z8969" s="6"/>
      <c r="AA8969" s="6" t="s">
        <v>68</v>
      </c>
      <c r="AB8969" s="8"/>
      <c r="AC8969" s="27">
        <v>9785160202754</v>
      </c>
    </row>
    <row r="8970" spans="1:29" s="4" customFormat="1" ht="51.9" customHeight="1" x14ac:dyDescent="0.2">
      <c r="A8970" s="5">
        <v>0</v>
      </c>
      <c r="B8970" s="6" t="s">
        <v>50305</v>
      </c>
      <c r="C8970" s="7">
        <v>1440</v>
      </c>
      <c r="D8970" s="8" t="s">
        <v>50306</v>
      </c>
      <c r="E8970" s="8" t="s">
        <v>50302</v>
      </c>
      <c r="F8970" s="8" t="s">
        <v>48618</v>
      </c>
      <c r="G8970" s="6" t="s">
        <v>60</v>
      </c>
      <c r="H8970" s="6" t="s">
        <v>34</v>
      </c>
      <c r="I8970" s="8" t="s">
        <v>1128</v>
      </c>
      <c r="J8970" s="9">
        <v>1</v>
      </c>
      <c r="K8970" s="9">
        <v>257</v>
      </c>
      <c r="L8970" s="9">
        <v>2024</v>
      </c>
      <c r="M8970" s="8" t="s">
        <v>50307</v>
      </c>
      <c r="N8970" s="8" t="s">
        <v>585</v>
      </c>
      <c r="O8970" s="8" t="s">
        <v>1518</v>
      </c>
      <c r="P8970" s="6" t="s">
        <v>51</v>
      </c>
      <c r="Q8970" s="8" t="s">
        <v>65</v>
      </c>
      <c r="R8970" s="10" t="s">
        <v>50308</v>
      </c>
      <c r="S8970" s="11" t="s">
        <v>50309</v>
      </c>
      <c r="T8970" s="6"/>
      <c r="U8970" s="15" t="str">
        <f>HYPERLINK("https://media.infra-m.ru/2082/2082631/cover/2082631.jpg", "Обложка")</f>
        <v>Обложка</v>
      </c>
      <c r="V8970" s="8" t="s">
        <v>1132</v>
      </c>
      <c r="W8970" s="6"/>
      <c r="X8970" s="6"/>
      <c r="Y8970" s="6"/>
      <c r="Z8970" s="6"/>
      <c r="AA8970" s="6" t="s">
        <v>76</v>
      </c>
      <c r="AB8970" s="8"/>
      <c r="AC8970" s="27">
        <v>9785160189994</v>
      </c>
    </row>
    <row r="8971" spans="1:29" s="4" customFormat="1" ht="51.9" customHeight="1" x14ac:dyDescent="0.2">
      <c r="A8971" s="5">
        <v>0</v>
      </c>
      <c r="B8971" s="6" t="s">
        <v>50310</v>
      </c>
      <c r="C8971" s="7">
        <v>1228.8</v>
      </c>
      <c r="D8971" s="8" t="s">
        <v>50311</v>
      </c>
      <c r="E8971" s="8" t="s">
        <v>50312</v>
      </c>
      <c r="F8971" s="8" t="s">
        <v>50313</v>
      </c>
      <c r="G8971" s="6" t="s">
        <v>33</v>
      </c>
      <c r="H8971" s="6" t="s">
        <v>34</v>
      </c>
      <c r="I8971" s="8" t="s">
        <v>35</v>
      </c>
      <c r="J8971" s="9">
        <v>1</v>
      </c>
      <c r="K8971" s="9">
        <v>187</v>
      </c>
      <c r="L8971" s="9">
        <v>2026</v>
      </c>
      <c r="M8971" s="8" t="s">
        <v>50314</v>
      </c>
      <c r="N8971" s="8" t="s">
        <v>243</v>
      </c>
      <c r="O8971" s="8" t="s">
        <v>385</v>
      </c>
      <c r="P8971" s="6" t="s">
        <v>39</v>
      </c>
      <c r="Q8971" s="8" t="s">
        <v>40</v>
      </c>
      <c r="R8971" s="10" t="s">
        <v>50315</v>
      </c>
      <c r="S8971" s="11"/>
      <c r="T8971" s="6"/>
      <c r="U8971" s="15" t="str">
        <f>HYPERLINK("https://media.infra-m.ru/2238/2238513/cover/2238513.jpg", "Обложка")</f>
        <v>Обложка</v>
      </c>
      <c r="V8971" s="8" t="s">
        <v>3329</v>
      </c>
      <c r="W8971" s="6"/>
      <c r="X8971" s="6"/>
      <c r="Y8971" s="6"/>
      <c r="Z8971" s="6"/>
      <c r="AA8971" s="6" t="s">
        <v>148</v>
      </c>
      <c r="AB8971" s="8" t="s">
        <v>1743</v>
      </c>
      <c r="AC8971" s="27">
        <v>9785160175300</v>
      </c>
    </row>
    <row r="8972" spans="1:29" s="4" customFormat="1" ht="42" customHeight="1" x14ac:dyDescent="0.2">
      <c r="A8972" s="5">
        <v>0</v>
      </c>
      <c r="B8972" s="6" t="s">
        <v>50316</v>
      </c>
      <c r="C8972" s="13">
        <v>720</v>
      </c>
      <c r="D8972" s="8" t="s">
        <v>50317</v>
      </c>
      <c r="E8972" s="8" t="s">
        <v>50318</v>
      </c>
      <c r="F8972" s="8" t="s">
        <v>50319</v>
      </c>
      <c r="G8972" s="6" t="s">
        <v>33</v>
      </c>
      <c r="H8972" s="6" t="s">
        <v>34</v>
      </c>
      <c r="I8972" s="8" t="s">
        <v>375</v>
      </c>
      <c r="J8972" s="9">
        <v>1</v>
      </c>
      <c r="K8972" s="9">
        <v>90</v>
      </c>
      <c r="L8972" s="9">
        <v>2026</v>
      </c>
      <c r="M8972" s="8" t="s">
        <v>50320</v>
      </c>
      <c r="N8972" s="8" t="s">
        <v>243</v>
      </c>
      <c r="O8972" s="8" t="s">
        <v>385</v>
      </c>
      <c r="P8972" s="6" t="s">
        <v>105</v>
      </c>
      <c r="Q8972" s="8" t="s">
        <v>65</v>
      </c>
      <c r="R8972" s="10" t="s">
        <v>3883</v>
      </c>
      <c r="S8972" s="11"/>
      <c r="T8972" s="6"/>
      <c r="U8972" s="15" t="str">
        <f>HYPERLINK("https://media.infra-m.ru/2221/2221300/cover/2221300.jpg", "Обложка")</f>
        <v>Обложка</v>
      </c>
      <c r="V8972" s="8" t="s">
        <v>379</v>
      </c>
      <c r="W8972" s="6" t="s">
        <v>342</v>
      </c>
      <c r="X8972" s="6"/>
      <c r="Y8972" s="6"/>
      <c r="Z8972" s="6"/>
      <c r="AA8972" s="6" t="s">
        <v>187</v>
      </c>
      <c r="AB8972" s="8"/>
      <c r="AC8972" s="27">
        <v>9785160213026</v>
      </c>
    </row>
    <row r="8973" spans="1:29" s="4" customFormat="1" ht="51.9" customHeight="1" x14ac:dyDescent="0.2">
      <c r="A8973" s="5">
        <v>0</v>
      </c>
      <c r="B8973" s="6" t="s">
        <v>50321</v>
      </c>
      <c r="C8973" s="13">
        <v>616.79999999999995</v>
      </c>
      <c r="D8973" s="8" t="s">
        <v>50322</v>
      </c>
      <c r="E8973" s="8" t="s">
        <v>50323</v>
      </c>
      <c r="F8973" s="8" t="s">
        <v>50324</v>
      </c>
      <c r="G8973" s="6" t="s">
        <v>33</v>
      </c>
      <c r="H8973" s="6" t="s">
        <v>34</v>
      </c>
      <c r="I8973" s="8" t="s">
        <v>271</v>
      </c>
      <c r="J8973" s="9">
        <v>1</v>
      </c>
      <c r="K8973" s="9">
        <v>64</v>
      </c>
      <c r="L8973" s="9">
        <v>2026</v>
      </c>
      <c r="M8973" s="8" t="s">
        <v>50325</v>
      </c>
      <c r="N8973" s="8" t="s">
        <v>243</v>
      </c>
      <c r="O8973" s="8" t="s">
        <v>385</v>
      </c>
      <c r="P8973" s="6" t="s">
        <v>51</v>
      </c>
      <c r="Q8973" s="8" t="s">
        <v>52</v>
      </c>
      <c r="R8973" s="10" t="s">
        <v>14901</v>
      </c>
      <c r="S8973" s="11" t="s">
        <v>50326</v>
      </c>
      <c r="T8973" s="6"/>
      <c r="U8973" s="15" t="str">
        <f>HYPERLINK("https://media.infra-m.ru/1911/1911122/cover/1911122.jpg", "Обложка")</f>
        <v>Обложка</v>
      </c>
      <c r="V8973" s="8" t="s">
        <v>3329</v>
      </c>
      <c r="W8973" s="6"/>
      <c r="X8973" s="6"/>
      <c r="Y8973" s="6"/>
      <c r="Z8973" s="6"/>
      <c r="AA8973" s="6" t="s">
        <v>779</v>
      </c>
      <c r="AB8973" s="8"/>
      <c r="AC8973" s="27">
        <v>9785160164786</v>
      </c>
    </row>
    <row r="8974" spans="1:29" s="4" customFormat="1" ht="51.9" customHeight="1" x14ac:dyDescent="0.2">
      <c r="A8974" s="5">
        <v>0</v>
      </c>
      <c r="B8974" s="6" t="s">
        <v>50327</v>
      </c>
      <c r="C8974" s="7">
        <v>2884.8</v>
      </c>
      <c r="D8974" s="8" t="s">
        <v>50328</v>
      </c>
      <c r="E8974" s="8" t="s">
        <v>50329</v>
      </c>
      <c r="F8974" s="8" t="s">
        <v>50330</v>
      </c>
      <c r="G8974" s="6" t="s">
        <v>60</v>
      </c>
      <c r="H8974" s="6" t="s">
        <v>48</v>
      </c>
      <c r="I8974" s="8" t="s">
        <v>401</v>
      </c>
      <c r="J8974" s="9">
        <v>1</v>
      </c>
      <c r="K8974" s="9">
        <v>576</v>
      </c>
      <c r="L8974" s="9">
        <v>2026</v>
      </c>
      <c r="M8974" s="8" t="s">
        <v>50331</v>
      </c>
      <c r="N8974" s="8" t="s">
        <v>243</v>
      </c>
      <c r="O8974" s="8" t="s">
        <v>385</v>
      </c>
      <c r="P8974" s="6" t="s">
        <v>51</v>
      </c>
      <c r="Q8974" s="8" t="s">
        <v>265</v>
      </c>
      <c r="R8974" s="10" t="s">
        <v>50332</v>
      </c>
      <c r="S8974" s="11" t="s">
        <v>50333</v>
      </c>
      <c r="T8974" s="6"/>
      <c r="U8974" s="15" t="str">
        <f>HYPERLINK("https://media.infra-m.ru/2220/2220011/cover/2220011.jpg", "Обложка")</f>
        <v>Обложка</v>
      </c>
      <c r="V8974" s="8" t="s">
        <v>50334</v>
      </c>
      <c r="W8974" s="6"/>
      <c r="X8974" s="6"/>
      <c r="Y8974" s="6"/>
      <c r="Z8974" s="6"/>
      <c r="AA8974" s="6" t="s">
        <v>55</v>
      </c>
      <c r="AB8974" s="8"/>
      <c r="AC8974" s="27">
        <v>9785911347000</v>
      </c>
    </row>
    <row r="8975" spans="1:29" s="4" customFormat="1" ht="51.9" customHeight="1" x14ac:dyDescent="0.2">
      <c r="A8975" s="5">
        <v>0</v>
      </c>
      <c r="B8975" s="6" t="s">
        <v>50335</v>
      </c>
      <c r="C8975" s="7">
        <v>3840</v>
      </c>
      <c r="D8975" s="8" t="s">
        <v>50336</v>
      </c>
      <c r="E8975" s="8" t="s">
        <v>50337</v>
      </c>
      <c r="F8975" s="8" t="s">
        <v>50338</v>
      </c>
      <c r="G8975" s="6" t="s">
        <v>60</v>
      </c>
      <c r="H8975" s="6" t="s">
        <v>34</v>
      </c>
      <c r="I8975" s="8" t="s">
        <v>263</v>
      </c>
      <c r="J8975" s="9">
        <v>1</v>
      </c>
      <c r="K8975" s="9">
        <v>552</v>
      </c>
      <c r="L8975" s="9">
        <v>2027</v>
      </c>
      <c r="M8975" s="8" t="s">
        <v>50339</v>
      </c>
      <c r="N8975" s="8" t="s">
        <v>243</v>
      </c>
      <c r="O8975" s="8" t="s">
        <v>385</v>
      </c>
      <c r="P8975" s="6" t="s">
        <v>306</v>
      </c>
      <c r="Q8975" s="8" t="s">
        <v>265</v>
      </c>
      <c r="R8975" s="10" t="s">
        <v>25942</v>
      </c>
      <c r="S8975" s="11" t="s">
        <v>50340</v>
      </c>
      <c r="T8975" s="6"/>
      <c r="U8975" s="15" t="str">
        <f>HYPERLINK("https://media.infra-m.ru/2266/2266095/cover/2266095.jpg", "Обложка")</f>
        <v>Обложка</v>
      </c>
      <c r="V8975" s="8" t="s">
        <v>50334</v>
      </c>
      <c r="W8975" s="6"/>
      <c r="X8975" s="6" t="s">
        <v>24</v>
      </c>
      <c r="Y8975" s="6"/>
      <c r="Z8975" s="6"/>
      <c r="AA8975" s="6" t="s">
        <v>430</v>
      </c>
      <c r="AB8975" s="8"/>
      <c r="AC8975" s="27">
        <v>9785160157269</v>
      </c>
    </row>
    <row r="8976" spans="1:29" s="4" customFormat="1" ht="42" customHeight="1" x14ac:dyDescent="0.2">
      <c r="A8976" s="5">
        <v>0</v>
      </c>
      <c r="B8976" s="6" t="s">
        <v>50341</v>
      </c>
      <c r="C8976" s="7">
        <v>6592.8</v>
      </c>
      <c r="D8976" s="8" t="s">
        <v>50342</v>
      </c>
      <c r="E8976" s="8" t="s">
        <v>50343</v>
      </c>
      <c r="F8976" s="8" t="s">
        <v>50344</v>
      </c>
      <c r="G8976" s="6" t="s">
        <v>118</v>
      </c>
      <c r="H8976" s="6" t="s">
        <v>34</v>
      </c>
      <c r="I8976" s="8" t="s">
        <v>5350</v>
      </c>
      <c r="J8976" s="9">
        <v>1</v>
      </c>
      <c r="K8976" s="9">
        <v>1111</v>
      </c>
      <c r="L8976" s="9">
        <v>2025</v>
      </c>
      <c r="M8976" s="8" t="s">
        <v>50345</v>
      </c>
      <c r="N8976" s="8" t="s">
        <v>243</v>
      </c>
      <c r="O8976" s="8" t="s">
        <v>385</v>
      </c>
      <c r="P8976" s="6" t="s">
        <v>30866</v>
      </c>
      <c r="Q8976" s="8" t="s">
        <v>377</v>
      </c>
      <c r="R8976" s="10" t="s">
        <v>8840</v>
      </c>
      <c r="S8976" s="11"/>
      <c r="T8976" s="6"/>
      <c r="U8976" s="15" t="str">
        <f>HYPERLINK("https://media.infra-m.ru/2236/2236524/cover/2236524.jpg", "Обложка")</f>
        <v>Обложка</v>
      </c>
      <c r="V8976" s="8" t="s">
        <v>3329</v>
      </c>
      <c r="W8976" s="6"/>
      <c r="X8976" s="6"/>
      <c r="Y8976" s="6"/>
      <c r="Z8976" s="6"/>
      <c r="AA8976" s="6" t="s">
        <v>115</v>
      </c>
      <c r="AB8976" s="8"/>
      <c r="AC8976" s="27">
        <v>9785160141190</v>
      </c>
    </row>
    <row r="8977" spans="1:29" s="4" customFormat="1" ht="51.9" customHeight="1" x14ac:dyDescent="0.2">
      <c r="A8977" s="5">
        <v>0</v>
      </c>
      <c r="B8977" s="6" t="s">
        <v>50346</v>
      </c>
      <c r="C8977" s="7">
        <v>1164</v>
      </c>
      <c r="D8977" s="8" t="s">
        <v>50347</v>
      </c>
      <c r="E8977" s="8" t="s">
        <v>50348</v>
      </c>
      <c r="F8977" s="8" t="s">
        <v>50349</v>
      </c>
      <c r="G8977" s="6" t="s">
        <v>33</v>
      </c>
      <c r="H8977" s="6" t="s">
        <v>34</v>
      </c>
      <c r="I8977" s="8" t="s">
        <v>253</v>
      </c>
      <c r="J8977" s="9">
        <v>1</v>
      </c>
      <c r="K8977" s="9">
        <v>192</v>
      </c>
      <c r="L8977" s="9">
        <v>2025</v>
      </c>
      <c r="M8977" s="8" t="s">
        <v>50350</v>
      </c>
      <c r="N8977" s="8" t="s">
        <v>63</v>
      </c>
      <c r="O8977" s="8" t="s">
        <v>181</v>
      </c>
      <c r="P8977" s="6" t="s">
        <v>51</v>
      </c>
      <c r="Q8977" s="8" t="s">
        <v>52</v>
      </c>
      <c r="R8977" s="10" t="s">
        <v>50351</v>
      </c>
      <c r="S8977" s="11" t="s">
        <v>50352</v>
      </c>
      <c r="T8977" s="6" t="s">
        <v>97</v>
      </c>
      <c r="U8977" s="15" t="str">
        <f>HYPERLINK("https://media.infra-m.ru/2188/2188194/cover/2188194.jpg", "Обложка")</f>
        <v>Обложка</v>
      </c>
      <c r="V8977" s="8" t="s">
        <v>322</v>
      </c>
      <c r="W8977" s="6"/>
      <c r="X8977" s="6"/>
      <c r="Y8977" s="6"/>
      <c r="Z8977" s="6"/>
      <c r="AA8977" s="6" t="s">
        <v>274</v>
      </c>
      <c r="AB8977" s="8"/>
      <c r="AC8977" s="27">
        <v>9785160191140</v>
      </c>
    </row>
    <row r="8978" spans="1:29" s="4" customFormat="1" ht="51.9" customHeight="1" x14ac:dyDescent="0.2">
      <c r="A8978" s="5">
        <v>0</v>
      </c>
      <c r="B8978" s="6" t="s">
        <v>50353</v>
      </c>
      <c r="C8978" s="7">
        <v>1188</v>
      </c>
      <c r="D8978" s="8" t="s">
        <v>50354</v>
      </c>
      <c r="E8978" s="8" t="s">
        <v>50348</v>
      </c>
      <c r="F8978" s="8" t="s">
        <v>23655</v>
      </c>
      <c r="G8978" s="6" t="s">
        <v>33</v>
      </c>
      <c r="H8978" s="6" t="s">
        <v>34</v>
      </c>
      <c r="I8978" s="8" t="s">
        <v>263</v>
      </c>
      <c r="J8978" s="9">
        <v>1</v>
      </c>
      <c r="K8978" s="9">
        <v>192</v>
      </c>
      <c r="L8978" s="9">
        <v>2025</v>
      </c>
      <c r="M8978" s="8" t="s">
        <v>50355</v>
      </c>
      <c r="N8978" s="8" t="s">
        <v>63</v>
      </c>
      <c r="O8978" s="8" t="s">
        <v>181</v>
      </c>
      <c r="P8978" s="6" t="s">
        <v>51</v>
      </c>
      <c r="Q8978" s="8" t="s">
        <v>265</v>
      </c>
      <c r="R8978" s="10" t="s">
        <v>50356</v>
      </c>
      <c r="S8978" s="11"/>
      <c r="T8978" s="6" t="s">
        <v>97</v>
      </c>
      <c r="U8978" s="15" t="str">
        <f>HYPERLINK("https://media.infra-m.ru/2168/2168925/cover/2168925.jpg", "Обложка")</f>
        <v>Обложка</v>
      </c>
      <c r="V8978" s="8" t="s">
        <v>322</v>
      </c>
      <c r="W8978" s="6"/>
      <c r="X8978" s="6"/>
      <c r="Y8978" s="6"/>
      <c r="Z8978" s="6" t="s">
        <v>267</v>
      </c>
      <c r="AA8978" s="6" t="s">
        <v>68</v>
      </c>
      <c r="AB8978" s="8" t="s">
        <v>4718</v>
      </c>
      <c r="AC8978" s="27">
        <v>9785160202976</v>
      </c>
    </row>
    <row r="8979" spans="1:29" s="4" customFormat="1" ht="51.9" customHeight="1" x14ac:dyDescent="0.2">
      <c r="A8979" s="5">
        <v>0</v>
      </c>
      <c r="B8979" s="6" t="s">
        <v>50357</v>
      </c>
      <c r="C8979" s="7">
        <v>1672.8</v>
      </c>
      <c r="D8979" s="8" t="s">
        <v>50358</v>
      </c>
      <c r="E8979" s="8" t="s">
        <v>50359</v>
      </c>
      <c r="F8979" s="8" t="s">
        <v>50360</v>
      </c>
      <c r="G8979" s="6" t="s">
        <v>60</v>
      </c>
      <c r="H8979" s="6" t="s">
        <v>1042</v>
      </c>
      <c r="I8979" s="8" t="s">
        <v>253</v>
      </c>
      <c r="J8979" s="9">
        <v>1</v>
      </c>
      <c r="K8979" s="9">
        <v>304</v>
      </c>
      <c r="L8979" s="9">
        <v>2024</v>
      </c>
      <c r="M8979" s="8" t="s">
        <v>50361</v>
      </c>
      <c r="N8979" s="8" t="s">
        <v>37</v>
      </c>
      <c r="O8979" s="8" t="s">
        <v>499</v>
      </c>
      <c r="P8979" s="6" t="s">
        <v>51</v>
      </c>
      <c r="Q8979" s="8" t="s">
        <v>52</v>
      </c>
      <c r="R8979" s="10" t="s">
        <v>12891</v>
      </c>
      <c r="S8979" s="11" t="s">
        <v>50362</v>
      </c>
      <c r="T8979" s="6"/>
      <c r="U8979" s="15" t="str">
        <f>HYPERLINK("https://media.infra-m.ru/2063/2063446/cover/2063446.jpg", "Обложка")</f>
        <v>Обложка</v>
      </c>
      <c r="V8979" s="8" t="s">
        <v>657</v>
      </c>
      <c r="W8979" s="6"/>
      <c r="X8979" s="6"/>
      <c r="Y8979" s="6"/>
      <c r="Z8979" s="6"/>
      <c r="AA8979" s="6" t="s">
        <v>1015</v>
      </c>
      <c r="AB8979" s="8"/>
      <c r="AC8979" s="27">
        <v>9785819904374</v>
      </c>
    </row>
    <row r="8980" spans="1:29" s="4" customFormat="1" ht="51.9" customHeight="1" x14ac:dyDescent="0.2">
      <c r="A8980" s="5">
        <v>0</v>
      </c>
      <c r="B8980" s="6" t="s">
        <v>50363</v>
      </c>
      <c r="C8980" s="7">
        <v>3588</v>
      </c>
      <c r="D8980" s="8" t="s">
        <v>50364</v>
      </c>
      <c r="E8980" s="8" t="s">
        <v>50365</v>
      </c>
      <c r="F8980" s="8" t="s">
        <v>13593</v>
      </c>
      <c r="G8980" s="6" t="s">
        <v>60</v>
      </c>
      <c r="H8980" s="6" t="s">
        <v>134</v>
      </c>
      <c r="I8980" s="8"/>
      <c r="J8980" s="9">
        <v>1</v>
      </c>
      <c r="K8980" s="9">
        <v>544</v>
      </c>
      <c r="L8980" s="9">
        <v>2026</v>
      </c>
      <c r="M8980" s="8" t="s">
        <v>50366</v>
      </c>
      <c r="N8980" s="8" t="s">
        <v>37</v>
      </c>
      <c r="O8980" s="8" t="s">
        <v>136</v>
      </c>
      <c r="P8980" s="6" t="s">
        <v>8714</v>
      </c>
      <c r="Q8980" s="8" t="s">
        <v>65</v>
      </c>
      <c r="R8980" s="10" t="s">
        <v>50367</v>
      </c>
      <c r="S8980" s="11"/>
      <c r="T8980" s="6"/>
      <c r="U8980" s="15" t="str">
        <f>HYPERLINK("https://media.infra-m.ru/2232/2232635/cover/2232635.jpg", "Обложка")</f>
        <v>Обложка</v>
      </c>
      <c r="V8980" s="8" t="s">
        <v>1184</v>
      </c>
      <c r="W8980" s="6"/>
      <c r="X8980" s="6"/>
      <c r="Y8980" s="6"/>
      <c r="Z8980" s="6"/>
      <c r="AA8980" s="6" t="s">
        <v>86</v>
      </c>
      <c r="AB8980" s="8"/>
      <c r="AC8980" s="27">
        <v>9785917689104</v>
      </c>
    </row>
    <row r="8981" spans="1:29" s="4" customFormat="1" ht="51.9" customHeight="1" x14ac:dyDescent="0.2">
      <c r="A8981" s="5">
        <v>0</v>
      </c>
      <c r="B8981" s="6" t="s">
        <v>50368</v>
      </c>
      <c r="C8981" s="7">
        <v>4200</v>
      </c>
      <c r="D8981" s="8" t="s">
        <v>50369</v>
      </c>
      <c r="E8981" s="8" t="s">
        <v>50370</v>
      </c>
      <c r="F8981" s="8" t="s">
        <v>50371</v>
      </c>
      <c r="G8981" s="6" t="s">
        <v>60</v>
      </c>
      <c r="H8981" s="6" t="s">
        <v>134</v>
      </c>
      <c r="I8981" s="8"/>
      <c r="J8981" s="9">
        <v>1</v>
      </c>
      <c r="K8981" s="9">
        <v>816</v>
      </c>
      <c r="L8981" s="9">
        <v>2027</v>
      </c>
      <c r="M8981" s="8" t="s">
        <v>50372</v>
      </c>
      <c r="N8981" s="8" t="s">
        <v>37</v>
      </c>
      <c r="O8981" s="8" t="s">
        <v>136</v>
      </c>
      <c r="P8981" s="6" t="s">
        <v>8714</v>
      </c>
      <c r="Q8981" s="8" t="s">
        <v>65</v>
      </c>
      <c r="R8981" s="10" t="s">
        <v>7447</v>
      </c>
      <c r="S8981" s="11" t="s">
        <v>50373</v>
      </c>
      <c r="T8981" s="6"/>
      <c r="U8981" s="15" t="str">
        <f>HYPERLINK("https://media.infra-m.ru/2264/2264802/cover/2264802.jpg", "Обложка")</f>
        <v>Обложка</v>
      </c>
      <c r="V8981" s="8" t="s">
        <v>2466</v>
      </c>
      <c r="W8981" s="6"/>
      <c r="X8981" s="6"/>
      <c r="Y8981" s="6"/>
      <c r="Z8981" s="6"/>
      <c r="AA8981" s="6" t="s">
        <v>13424</v>
      </c>
      <c r="AB8981" s="8"/>
      <c r="AC8981" s="27">
        <v>9785917682808</v>
      </c>
    </row>
    <row r="8982" spans="1:29" s="4" customFormat="1" ht="51.9" customHeight="1" x14ac:dyDescent="0.2">
      <c r="A8982" s="5">
        <v>0</v>
      </c>
      <c r="B8982" s="6" t="s">
        <v>50374</v>
      </c>
      <c r="C8982" s="7">
        <v>4620</v>
      </c>
      <c r="D8982" s="8" t="s">
        <v>50375</v>
      </c>
      <c r="E8982" s="8" t="s">
        <v>50376</v>
      </c>
      <c r="F8982" s="8" t="s">
        <v>13444</v>
      </c>
      <c r="G8982" s="6" t="s">
        <v>60</v>
      </c>
      <c r="H8982" s="6" t="s">
        <v>134</v>
      </c>
      <c r="I8982" s="8"/>
      <c r="J8982" s="9">
        <v>1</v>
      </c>
      <c r="K8982" s="9">
        <v>672</v>
      </c>
      <c r="L8982" s="9">
        <v>2027</v>
      </c>
      <c r="M8982" s="8" t="s">
        <v>50377</v>
      </c>
      <c r="N8982" s="8" t="s">
        <v>37</v>
      </c>
      <c r="O8982" s="8" t="s">
        <v>136</v>
      </c>
      <c r="P8982" s="6" t="s">
        <v>51</v>
      </c>
      <c r="Q8982" s="8" t="s">
        <v>52</v>
      </c>
      <c r="R8982" s="10" t="s">
        <v>1275</v>
      </c>
      <c r="S8982" s="11" t="s">
        <v>50373</v>
      </c>
      <c r="T8982" s="6"/>
      <c r="U8982" s="15" t="str">
        <f>HYPERLINK("https://media.infra-m.ru/2267/2267100/cover/2267100.jpg", "Обложка")</f>
        <v>Обложка</v>
      </c>
      <c r="V8982" s="8" t="s">
        <v>2466</v>
      </c>
      <c r="W8982" s="6"/>
      <c r="X8982" s="6"/>
      <c r="Y8982" s="6"/>
      <c r="Z8982" s="6"/>
      <c r="AA8982" s="6" t="s">
        <v>13424</v>
      </c>
      <c r="AB8982" s="8"/>
      <c r="AC8982" s="27">
        <v>9785917682822</v>
      </c>
    </row>
    <row r="8983" spans="1:29" s="4" customFormat="1" ht="51.9" customHeight="1" x14ac:dyDescent="0.2">
      <c r="A8983" s="5">
        <v>0</v>
      </c>
      <c r="B8983" s="6" t="s">
        <v>50378</v>
      </c>
      <c r="C8983" s="7">
        <v>1192.8</v>
      </c>
      <c r="D8983" s="8" t="s">
        <v>50379</v>
      </c>
      <c r="E8983" s="8" t="s">
        <v>50380</v>
      </c>
      <c r="F8983" s="8" t="s">
        <v>50381</v>
      </c>
      <c r="G8983" s="6" t="s">
        <v>118</v>
      </c>
      <c r="H8983" s="6" t="s">
        <v>34</v>
      </c>
      <c r="I8983" s="8" t="s">
        <v>271</v>
      </c>
      <c r="J8983" s="9">
        <v>1</v>
      </c>
      <c r="K8983" s="9">
        <v>191</v>
      </c>
      <c r="L8983" s="9">
        <v>2025</v>
      </c>
      <c r="M8983" s="8" t="s">
        <v>50382</v>
      </c>
      <c r="N8983" s="8" t="s">
        <v>63</v>
      </c>
      <c r="O8983" s="8" t="s">
        <v>154</v>
      </c>
      <c r="P8983" s="6" t="s">
        <v>51</v>
      </c>
      <c r="Q8983" s="8" t="s">
        <v>52</v>
      </c>
      <c r="R8983" s="10" t="s">
        <v>50383</v>
      </c>
      <c r="S8983" s="11" t="s">
        <v>50384</v>
      </c>
      <c r="T8983" s="6" t="s">
        <v>97</v>
      </c>
      <c r="U8983" s="15" t="str">
        <f>HYPERLINK("https://media.infra-m.ru/2211/2211200/cover/2211200.jpg", "Обложка")</f>
        <v>Обложка</v>
      </c>
      <c r="V8983" s="8" t="s">
        <v>7920</v>
      </c>
      <c r="W8983" s="6"/>
      <c r="X8983" s="6"/>
      <c r="Y8983" s="6"/>
      <c r="Z8983" s="6"/>
      <c r="AA8983" s="6" t="s">
        <v>99</v>
      </c>
      <c r="AB8983" s="8"/>
      <c r="AC8983" s="27">
        <v>9785160125756</v>
      </c>
    </row>
    <row r="8984" spans="1:29" s="4" customFormat="1" ht="42" customHeight="1" x14ac:dyDescent="0.2">
      <c r="A8984" s="5">
        <v>0</v>
      </c>
      <c r="B8984" s="6" t="s">
        <v>50385</v>
      </c>
      <c r="C8984" s="7">
        <v>2452.8000000000002</v>
      </c>
      <c r="D8984" s="8" t="s">
        <v>50386</v>
      </c>
      <c r="E8984" s="8" t="s">
        <v>50387</v>
      </c>
      <c r="F8984" s="8" t="s">
        <v>50388</v>
      </c>
      <c r="G8984" s="6" t="s">
        <v>60</v>
      </c>
      <c r="H8984" s="6" t="s">
        <v>48</v>
      </c>
      <c r="I8984" s="8"/>
      <c r="J8984" s="9">
        <v>1</v>
      </c>
      <c r="K8984" s="9">
        <v>576</v>
      </c>
      <c r="L8984" s="9">
        <v>2024</v>
      </c>
      <c r="M8984" s="8" t="s">
        <v>50389</v>
      </c>
      <c r="N8984" s="8" t="s">
        <v>63</v>
      </c>
      <c r="O8984" s="8" t="s">
        <v>9718</v>
      </c>
      <c r="P8984" s="6" t="s">
        <v>4401</v>
      </c>
      <c r="Q8984" s="8" t="s">
        <v>40</v>
      </c>
      <c r="R8984" s="10" t="s">
        <v>17696</v>
      </c>
      <c r="S8984" s="11"/>
      <c r="T8984" s="6"/>
      <c r="U8984" s="15" t="str">
        <f>HYPERLINK("https://media.infra-m.ru/2105/2105369/cover/2105369.jpg", "Обложка")</f>
        <v>Обложка</v>
      </c>
      <c r="V8984" s="8" t="s">
        <v>5902</v>
      </c>
      <c r="W8984" s="6"/>
      <c r="X8984" s="6"/>
      <c r="Y8984" s="6"/>
      <c r="Z8984" s="6"/>
      <c r="AA8984" s="6" t="s">
        <v>129</v>
      </c>
      <c r="AB8984" s="8"/>
      <c r="AC8984" s="27">
        <v>9785911344979</v>
      </c>
    </row>
    <row r="8985" spans="1:29" s="4" customFormat="1" ht="51.9" customHeight="1" x14ac:dyDescent="0.2">
      <c r="A8985" s="5">
        <v>0</v>
      </c>
      <c r="B8985" s="6" t="s">
        <v>50390</v>
      </c>
      <c r="C8985" s="7">
        <v>1572</v>
      </c>
      <c r="D8985" s="8" t="s">
        <v>50391</v>
      </c>
      <c r="E8985" s="8" t="s">
        <v>50392</v>
      </c>
      <c r="F8985" s="8" t="s">
        <v>50393</v>
      </c>
      <c r="G8985" s="6" t="s">
        <v>60</v>
      </c>
      <c r="H8985" s="6" t="s">
        <v>34</v>
      </c>
      <c r="I8985" s="8" t="s">
        <v>253</v>
      </c>
      <c r="J8985" s="9">
        <v>1</v>
      </c>
      <c r="K8985" s="9">
        <v>256</v>
      </c>
      <c r="L8985" s="9">
        <v>2024</v>
      </c>
      <c r="M8985" s="8" t="s">
        <v>50394</v>
      </c>
      <c r="N8985" s="8" t="s">
        <v>63</v>
      </c>
      <c r="O8985" s="8" t="s">
        <v>9718</v>
      </c>
      <c r="P8985" s="6" t="s">
        <v>51</v>
      </c>
      <c r="Q8985" s="8" t="s">
        <v>500</v>
      </c>
      <c r="R8985" s="10" t="s">
        <v>50395</v>
      </c>
      <c r="S8985" s="11" t="s">
        <v>50396</v>
      </c>
      <c r="T8985" s="6"/>
      <c r="U8985" s="15" t="str">
        <f>HYPERLINK("https://media.infra-m.ru/2125/2125211/cover/2125211.jpg", "Обложка")</f>
        <v>Обложка</v>
      </c>
      <c r="V8985" s="8" t="s">
        <v>3087</v>
      </c>
      <c r="W8985" s="6"/>
      <c r="X8985" s="6"/>
      <c r="Y8985" s="6"/>
      <c r="Z8985" s="6"/>
      <c r="AA8985" s="6" t="s">
        <v>106</v>
      </c>
      <c r="AB8985" s="8"/>
      <c r="AC8985" s="27">
        <v>9785160195193</v>
      </c>
    </row>
    <row r="8986" spans="1:29" s="4" customFormat="1" ht="51.9" customHeight="1" x14ac:dyDescent="0.2">
      <c r="A8986" s="5">
        <v>0</v>
      </c>
      <c r="B8986" s="6" t="s">
        <v>50397</v>
      </c>
      <c r="C8986" s="7">
        <v>1324.8</v>
      </c>
      <c r="D8986" s="8" t="s">
        <v>50398</v>
      </c>
      <c r="E8986" s="8" t="s">
        <v>50399</v>
      </c>
      <c r="F8986" s="8" t="s">
        <v>50400</v>
      </c>
      <c r="G8986" s="6" t="s">
        <v>60</v>
      </c>
      <c r="H8986" s="6" t="s">
        <v>34</v>
      </c>
      <c r="I8986" s="8" t="s">
        <v>504</v>
      </c>
      <c r="J8986" s="9">
        <v>1</v>
      </c>
      <c r="K8986" s="9">
        <v>240</v>
      </c>
      <c r="L8986" s="9">
        <v>2024</v>
      </c>
      <c r="M8986" s="8" t="s">
        <v>50401</v>
      </c>
      <c r="N8986" s="8" t="s">
        <v>63</v>
      </c>
      <c r="O8986" s="8" t="s">
        <v>9718</v>
      </c>
      <c r="P8986" s="6" t="s">
        <v>51</v>
      </c>
      <c r="Q8986" s="8" t="s">
        <v>52</v>
      </c>
      <c r="R8986" s="10" t="s">
        <v>50395</v>
      </c>
      <c r="S8986" s="11" t="s">
        <v>50402</v>
      </c>
      <c r="T8986" s="6"/>
      <c r="U8986" s="15" t="str">
        <f>HYPERLINK("https://media.infra-m.ru/2102/2102707/cover/2102707.jpg", "Обложка")</f>
        <v>Обложка</v>
      </c>
      <c r="V8986" s="8" t="s">
        <v>3087</v>
      </c>
      <c r="W8986" s="6"/>
      <c r="X8986" s="6"/>
      <c r="Y8986" s="6"/>
      <c r="Z8986" s="6"/>
      <c r="AA8986" s="6" t="s">
        <v>55</v>
      </c>
      <c r="AB8986" s="8"/>
      <c r="AC8986" s="27">
        <v>9785160064253</v>
      </c>
    </row>
    <row r="8987" spans="1:29" s="4" customFormat="1" ht="51.9" customHeight="1" x14ac:dyDescent="0.2">
      <c r="A8987" s="5">
        <v>0</v>
      </c>
      <c r="B8987" s="6" t="s">
        <v>50403</v>
      </c>
      <c r="C8987" s="7">
        <v>2248.8000000000002</v>
      </c>
      <c r="D8987" s="8" t="s">
        <v>50404</v>
      </c>
      <c r="E8987" s="8" t="s">
        <v>50405</v>
      </c>
      <c r="F8987" s="8" t="s">
        <v>50406</v>
      </c>
      <c r="G8987" s="6" t="s">
        <v>60</v>
      </c>
      <c r="H8987" s="6" t="s">
        <v>34</v>
      </c>
      <c r="I8987" s="8" t="s">
        <v>35</v>
      </c>
      <c r="J8987" s="9">
        <v>1</v>
      </c>
      <c r="K8987" s="9">
        <v>341</v>
      </c>
      <c r="L8987" s="9">
        <v>2026</v>
      </c>
      <c r="M8987" s="8" t="s">
        <v>50407</v>
      </c>
      <c r="N8987" s="8" t="s">
        <v>243</v>
      </c>
      <c r="O8987" s="8" t="s">
        <v>385</v>
      </c>
      <c r="P8987" s="6" t="s">
        <v>39</v>
      </c>
      <c r="Q8987" s="8" t="s">
        <v>40</v>
      </c>
      <c r="R8987" s="10" t="s">
        <v>50408</v>
      </c>
      <c r="S8987" s="11"/>
      <c r="T8987" s="6"/>
      <c r="U8987" s="15" t="str">
        <f>HYPERLINK("https://media.infra-m.ru/2238/2238518/cover/2238518.jpg", "Обложка")</f>
        <v>Обложка</v>
      </c>
      <c r="V8987" s="8" t="s">
        <v>24394</v>
      </c>
      <c r="W8987" s="6"/>
      <c r="X8987" s="6"/>
      <c r="Y8987" s="6"/>
      <c r="Z8987" s="6"/>
      <c r="AA8987" s="6" t="s">
        <v>76</v>
      </c>
      <c r="AB8987" s="8" t="s">
        <v>1806</v>
      </c>
      <c r="AC8987" s="27">
        <v>9785160196503</v>
      </c>
    </row>
    <row r="8988" spans="1:29" s="4" customFormat="1" ht="44.1" customHeight="1" x14ac:dyDescent="0.2">
      <c r="A8988" s="5">
        <v>0</v>
      </c>
      <c r="B8988" s="6" t="s">
        <v>50409</v>
      </c>
      <c r="C8988" s="7">
        <v>1608</v>
      </c>
      <c r="D8988" s="8" t="s">
        <v>50410</v>
      </c>
      <c r="E8988" s="8" t="s">
        <v>50411</v>
      </c>
      <c r="F8988" s="8" t="s">
        <v>50412</v>
      </c>
      <c r="G8988" s="6" t="s">
        <v>118</v>
      </c>
      <c r="H8988" s="6" t="s">
        <v>1644</v>
      </c>
      <c r="I8988" s="8"/>
      <c r="J8988" s="9">
        <v>1</v>
      </c>
      <c r="K8988" s="9">
        <v>248</v>
      </c>
      <c r="L8988" s="9">
        <v>2026</v>
      </c>
      <c r="M8988" s="8" t="s">
        <v>50413</v>
      </c>
      <c r="N8988" s="8" t="s">
        <v>37</v>
      </c>
      <c r="O8988" s="8" t="s">
        <v>233</v>
      </c>
      <c r="P8988" s="6" t="s">
        <v>39</v>
      </c>
      <c r="Q8988" s="8" t="s">
        <v>40</v>
      </c>
      <c r="R8988" s="10" t="s">
        <v>1557</v>
      </c>
      <c r="S8988" s="11"/>
      <c r="T8988" s="6"/>
      <c r="U8988" s="15" t="str">
        <f>HYPERLINK("https://media.infra-m.ru/2221/2221507/cover/2221507.jpg", "Обложка")</f>
        <v>Обложка</v>
      </c>
      <c r="V8988" s="8" t="s">
        <v>247</v>
      </c>
      <c r="W8988" s="6"/>
      <c r="X8988" s="6"/>
      <c r="Y8988" s="6"/>
      <c r="Z8988" s="6"/>
      <c r="AA8988" s="6" t="s">
        <v>68</v>
      </c>
      <c r="AB8988" s="8"/>
      <c r="AC8988" s="27">
        <v>9785977605694</v>
      </c>
    </row>
    <row r="8989" spans="1:29" s="4" customFormat="1" ht="51.9" customHeight="1" x14ac:dyDescent="0.2">
      <c r="A8989" s="5">
        <v>0</v>
      </c>
      <c r="B8989" s="6" t="s">
        <v>50414</v>
      </c>
      <c r="C8989" s="13">
        <v>816</v>
      </c>
      <c r="D8989" s="8" t="s">
        <v>50415</v>
      </c>
      <c r="E8989" s="8" t="s">
        <v>50416</v>
      </c>
      <c r="F8989" s="8" t="s">
        <v>50417</v>
      </c>
      <c r="G8989" s="6" t="s">
        <v>33</v>
      </c>
      <c r="H8989" s="6" t="s">
        <v>34</v>
      </c>
      <c r="I8989" s="8" t="s">
        <v>35</v>
      </c>
      <c r="J8989" s="9">
        <v>1</v>
      </c>
      <c r="K8989" s="9">
        <v>152</v>
      </c>
      <c r="L8989" s="9">
        <v>2023</v>
      </c>
      <c r="M8989" s="8" t="s">
        <v>50418</v>
      </c>
      <c r="N8989" s="8" t="s">
        <v>37</v>
      </c>
      <c r="O8989" s="8" t="s">
        <v>50</v>
      </c>
      <c r="P8989" s="6" t="s">
        <v>39</v>
      </c>
      <c r="Q8989" s="8" t="s">
        <v>40</v>
      </c>
      <c r="R8989" s="10" t="s">
        <v>50419</v>
      </c>
      <c r="S8989" s="11"/>
      <c r="T8989" s="6"/>
      <c r="U8989" s="15" t="str">
        <f>HYPERLINK("https://media.infra-m.ru/1893/1893848/cover/1893848.jpg", "Обложка")</f>
        <v>Обложка</v>
      </c>
      <c r="V8989" s="8" t="s">
        <v>3243</v>
      </c>
      <c r="W8989" s="6"/>
      <c r="X8989" s="6"/>
      <c r="Y8989" s="6"/>
      <c r="Z8989" s="6"/>
      <c r="AA8989" s="6" t="s">
        <v>248</v>
      </c>
      <c r="AB8989" s="8"/>
      <c r="AC8989" s="27">
        <v>9785160097817</v>
      </c>
    </row>
    <row r="8990" spans="1:29" s="4" customFormat="1" ht="51.9" customHeight="1" x14ac:dyDescent="0.2">
      <c r="A8990" s="5">
        <v>0</v>
      </c>
      <c r="B8990" s="6" t="s">
        <v>50420</v>
      </c>
      <c r="C8990" s="13">
        <v>924</v>
      </c>
      <c r="D8990" s="8" t="s">
        <v>50421</v>
      </c>
      <c r="E8990" s="8" t="s">
        <v>50422</v>
      </c>
      <c r="F8990" s="8" t="s">
        <v>29211</v>
      </c>
      <c r="G8990" s="6" t="s">
        <v>33</v>
      </c>
      <c r="H8990" s="6" t="s">
        <v>34</v>
      </c>
      <c r="I8990" s="8" t="s">
        <v>35</v>
      </c>
      <c r="J8990" s="9">
        <v>1</v>
      </c>
      <c r="K8990" s="9">
        <v>140</v>
      </c>
      <c r="L8990" s="9">
        <v>2026</v>
      </c>
      <c r="M8990" s="8" t="s">
        <v>50423</v>
      </c>
      <c r="N8990" s="8" t="s">
        <v>243</v>
      </c>
      <c r="O8990" s="8" t="s">
        <v>758</v>
      </c>
      <c r="P8990" s="6" t="s">
        <v>39</v>
      </c>
      <c r="Q8990" s="8" t="s">
        <v>40</v>
      </c>
      <c r="R8990" s="10" t="s">
        <v>16167</v>
      </c>
      <c r="S8990" s="11"/>
      <c r="T8990" s="6"/>
      <c r="U8990" s="15" t="str">
        <f>HYPERLINK("https://media.infra-m.ru/2239/2239213/cover/2239213.jpg", "Обложка")</f>
        <v>Обложка</v>
      </c>
      <c r="V8990" s="8" t="s">
        <v>1157</v>
      </c>
      <c r="W8990" s="6"/>
      <c r="X8990" s="6"/>
      <c r="Y8990" s="6"/>
      <c r="Z8990" s="6"/>
      <c r="AA8990" s="6" t="s">
        <v>258</v>
      </c>
      <c r="AB8990" s="8"/>
      <c r="AC8990" s="27">
        <v>9785160160504</v>
      </c>
    </row>
    <row r="8991" spans="1:29" s="4" customFormat="1" ht="51.9" customHeight="1" x14ac:dyDescent="0.2">
      <c r="A8991" s="5">
        <v>0</v>
      </c>
      <c r="B8991" s="6" t="s">
        <v>50424</v>
      </c>
      <c r="C8991" s="7">
        <v>1876.8</v>
      </c>
      <c r="D8991" s="8" t="s">
        <v>50425</v>
      </c>
      <c r="E8991" s="8" t="s">
        <v>50426</v>
      </c>
      <c r="F8991" s="8" t="s">
        <v>50427</v>
      </c>
      <c r="G8991" s="6" t="s">
        <v>60</v>
      </c>
      <c r="H8991" s="6" t="s">
        <v>34</v>
      </c>
      <c r="I8991" s="8" t="s">
        <v>271</v>
      </c>
      <c r="J8991" s="9">
        <v>1</v>
      </c>
      <c r="K8991" s="9">
        <v>300</v>
      </c>
      <c r="L8991" s="9">
        <v>2026</v>
      </c>
      <c r="M8991" s="8" t="s">
        <v>50428</v>
      </c>
      <c r="N8991" s="8" t="s">
        <v>63</v>
      </c>
      <c r="O8991" s="8" t="s">
        <v>64</v>
      </c>
      <c r="P8991" s="6" t="s">
        <v>51</v>
      </c>
      <c r="Q8991" s="8" t="s">
        <v>52</v>
      </c>
      <c r="R8991" s="10" t="s">
        <v>50429</v>
      </c>
      <c r="S8991" s="11" t="s">
        <v>5819</v>
      </c>
      <c r="T8991" s="6"/>
      <c r="U8991" s="15" t="str">
        <f>HYPERLINK("https://media.infra-m.ru/2219/2219048/cover/2219048.jpg", "Обложка")</f>
        <v>Обложка</v>
      </c>
      <c r="V8991" s="8" t="s">
        <v>198</v>
      </c>
      <c r="W8991" s="6"/>
      <c r="X8991" s="6"/>
      <c r="Y8991" s="6"/>
      <c r="Z8991" s="6"/>
      <c r="AA8991" s="6" t="s">
        <v>148</v>
      </c>
      <c r="AB8991" s="8"/>
      <c r="AC8991" s="27">
        <v>9785160166773</v>
      </c>
    </row>
    <row r="8992" spans="1:29" s="4" customFormat="1" ht="44.1" customHeight="1" x14ac:dyDescent="0.2">
      <c r="A8992" s="5">
        <v>0</v>
      </c>
      <c r="B8992" s="6" t="s">
        <v>50430</v>
      </c>
      <c r="C8992" s="13">
        <v>816</v>
      </c>
      <c r="D8992" s="8" t="s">
        <v>50431</v>
      </c>
      <c r="E8992" s="8" t="s">
        <v>50432</v>
      </c>
      <c r="F8992" s="8" t="s">
        <v>50433</v>
      </c>
      <c r="G8992" s="6" t="s">
        <v>33</v>
      </c>
      <c r="H8992" s="6" t="s">
        <v>34</v>
      </c>
      <c r="I8992" s="8" t="s">
        <v>35</v>
      </c>
      <c r="J8992" s="9">
        <v>1</v>
      </c>
      <c r="K8992" s="9">
        <v>116</v>
      </c>
      <c r="L8992" s="9">
        <v>2027</v>
      </c>
      <c r="M8992" s="8" t="s">
        <v>50434</v>
      </c>
      <c r="N8992" s="8" t="s">
        <v>63</v>
      </c>
      <c r="O8992" s="8" t="s">
        <v>64</v>
      </c>
      <c r="P8992" s="6" t="s">
        <v>39</v>
      </c>
      <c r="Q8992" s="8" t="s">
        <v>40</v>
      </c>
      <c r="R8992" s="10" t="s">
        <v>28600</v>
      </c>
      <c r="S8992" s="11"/>
      <c r="T8992" s="6"/>
      <c r="U8992" s="15" t="str">
        <f>HYPERLINK("https://media.infra-m.ru/2270/2270328/cover/2270328.jpg", "Обложка")</f>
        <v>Обложка</v>
      </c>
      <c r="V8992" s="8" t="s">
        <v>322</v>
      </c>
      <c r="W8992" s="6"/>
      <c r="X8992" s="6"/>
      <c r="Y8992" s="6"/>
      <c r="Z8992" s="6"/>
      <c r="AA8992" s="6" t="s">
        <v>248</v>
      </c>
      <c r="AB8992" s="8"/>
      <c r="AC8992" s="27">
        <v>9785160095035</v>
      </c>
    </row>
    <row r="8993" spans="1:29" s="4" customFormat="1" ht="51.9" customHeight="1" x14ac:dyDescent="0.2">
      <c r="A8993" s="5">
        <v>0</v>
      </c>
      <c r="B8993" s="6" t="s">
        <v>50435</v>
      </c>
      <c r="C8993" s="7">
        <v>1284</v>
      </c>
      <c r="D8993" s="8" t="s">
        <v>50436</v>
      </c>
      <c r="E8993" s="8" t="s">
        <v>50437</v>
      </c>
      <c r="F8993" s="8" t="s">
        <v>50438</v>
      </c>
      <c r="G8993" s="6" t="s">
        <v>33</v>
      </c>
      <c r="H8993" s="6" t="s">
        <v>34</v>
      </c>
      <c r="I8993" s="8" t="s">
        <v>35</v>
      </c>
      <c r="J8993" s="9">
        <v>1</v>
      </c>
      <c r="K8993" s="9">
        <v>185</v>
      </c>
      <c r="L8993" s="9">
        <v>2026</v>
      </c>
      <c r="M8993" s="8" t="s">
        <v>50439</v>
      </c>
      <c r="N8993" s="8" t="s">
        <v>93</v>
      </c>
      <c r="O8993" s="8" t="s">
        <v>94</v>
      </c>
      <c r="P8993" s="6" t="s">
        <v>39</v>
      </c>
      <c r="Q8993" s="8" t="s">
        <v>40</v>
      </c>
      <c r="R8993" s="10" t="s">
        <v>50440</v>
      </c>
      <c r="S8993" s="11"/>
      <c r="T8993" s="6"/>
      <c r="U8993" s="15" t="str">
        <f>HYPERLINK("https://media.infra-m.ru/2219/2219027/cover/2219027.jpg", "Обложка")</f>
        <v>Обложка</v>
      </c>
      <c r="V8993" s="8" t="s">
        <v>98</v>
      </c>
      <c r="W8993" s="6"/>
      <c r="X8993" s="6"/>
      <c r="Y8993" s="6"/>
      <c r="Z8993" s="6"/>
      <c r="AA8993" s="6" t="s">
        <v>157</v>
      </c>
      <c r="AB8993" s="8"/>
      <c r="AC8993" s="27">
        <v>9785160182834</v>
      </c>
    </row>
    <row r="8994" spans="1:29" s="4" customFormat="1" ht="42" customHeight="1" x14ac:dyDescent="0.2">
      <c r="A8994" s="5">
        <v>0</v>
      </c>
      <c r="B8994" s="6" t="s">
        <v>50441</v>
      </c>
      <c r="C8994" s="7">
        <v>1140</v>
      </c>
      <c r="D8994" s="8" t="s">
        <v>50442</v>
      </c>
      <c r="E8994" s="8" t="s">
        <v>50443</v>
      </c>
      <c r="F8994" s="8" t="s">
        <v>50444</v>
      </c>
      <c r="G8994" s="6" t="s">
        <v>118</v>
      </c>
      <c r="H8994" s="6" t="s">
        <v>34</v>
      </c>
      <c r="I8994" s="8" t="s">
        <v>35</v>
      </c>
      <c r="J8994" s="9">
        <v>1</v>
      </c>
      <c r="K8994" s="9">
        <v>171</v>
      </c>
      <c r="L8994" s="9">
        <v>2026</v>
      </c>
      <c r="M8994" s="8" t="s">
        <v>50445</v>
      </c>
      <c r="N8994" s="8" t="s">
        <v>37</v>
      </c>
      <c r="O8994" s="8" t="s">
        <v>83</v>
      </c>
      <c r="P8994" s="6" t="s">
        <v>39</v>
      </c>
      <c r="Q8994" s="8" t="s">
        <v>40</v>
      </c>
      <c r="R8994" s="10" t="s">
        <v>41268</v>
      </c>
      <c r="S8994" s="11"/>
      <c r="T8994" s="6"/>
      <c r="U8994" s="15" t="str">
        <f>HYPERLINK("https://media.infra-m.ru/2235/2235400/cover/2235400.jpg", "Обложка")</f>
        <v>Обложка</v>
      </c>
      <c r="V8994" s="8" t="s">
        <v>3087</v>
      </c>
      <c r="W8994" s="6"/>
      <c r="X8994" s="6"/>
      <c r="Y8994" s="6"/>
      <c r="Z8994" s="6"/>
      <c r="AA8994" s="6" t="s">
        <v>76</v>
      </c>
      <c r="AB8994" s="8"/>
      <c r="AC8994" s="27">
        <v>9785160185736</v>
      </c>
    </row>
    <row r="8995" spans="1:29" s="4" customFormat="1" ht="51.9" customHeight="1" x14ac:dyDescent="0.2">
      <c r="A8995" s="5">
        <v>0</v>
      </c>
      <c r="B8995" s="6" t="s">
        <v>50446</v>
      </c>
      <c r="C8995" s="7">
        <v>1596</v>
      </c>
      <c r="D8995" s="8" t="s">
        <v>50447</v>
      </c>
      <c r="E8995" s="8" t="s">
        <v>50448</v>
      </c>
      <c r="F8995" s="8" t="s">
        <v>13768</v>
      </c>
      <c r="G8995" s="6" t="s">
        <v>118</v>
      </c>
      <c r="H8995" s="6" t="s">
        <v>34</v>
      </c>
      <c r="I8995" s="8" t="s">
        <v>253</v>
      </c>
      <c r="J8995" s="9">
        <v>1</v>
      </c>
      <c r="K8995" s="9">
        <v>286</v>
      </c>
      <c r="L8995" s="9">
        <v>2024</v>
      </c>
      <c r="M8995" s="8" t="s">
        <v>50449</v>
      </c>
      <c r="N8995" s="8" t="s">
        <v>37</v>
      </c>
      <c r="O8995" s="8" t="s">
        <v>83</v>
      </c>
      <c r="P8995" s="6" t="s">
        <v>306</v>
      </c>
      <c r="Q8995" s="8" t="s">
        <v>52</v>
      </c>
      <c r="R8995" s="10" t="s">
        <v>50450</v>
      </c>
      <c r="S8995" s="11" t="s">
        <v>50451</v>
      </c>
      <c r="T8995" s="6" t="s">
        <v>97</v>
      </c>
      <c r="U8995" s="15" t="str">
        <f>HYPERLINK("https://media.infra-m.ru/2087/2087303/cover/2087303.jpg", "Обложка")</f>
        <v>Обложка</v>
      </c>
      <c r="V8995" s="8" t="s">
        <v>6700</v>
      </c>
      <c r="W8995" s="6"/>
      <c r="X8995" s="6"/>
      <c r="Y8995" s="6"/>
      <c r="Z8995" s="6"/>
      <c r="AA8995" s="6" t="s">
        <v>86</v>
      </c>
      <c r="AB8995" s="8"/>
      <c r="AC8995" s="27">
        <v>9785160191195</v>
      </c>
    </row>
    <row r="8996" spans="1:29" s="4" customFormat="1" ht="51.9" customHeight="1" x14ac:dyDescent="0.2">
      <c r="A8996" s="5">
        <v>0</v>
      </c>
      <c r="B8996" s="6" t="s">
        <v>50452</v>
      </c>
      <c r="C8996" s="7">
        <v>1836</v>
      </c>
      <c r="D8996" s="8" t="s">
        <v>50453</v>
      </c>
      <c r="E8996" s="8" t="s">
        <v>50454</v>
      </c>
      <c r="F8996" s="8" t="s">
        <v>40471</v>
      </c>
      <c r="G8996" s="6" t="s">
        <v>60</v>
      </c>
      <c r="H8996" s="6" t="s">
        <v>34</v>
      </c>
      <c r="I8996" s="8" t="s">
        <v>35</v>
      </c>
      <c r="J8996" s="9">
        <v>1</v>
      </c>
      <c r="K8996" s="9">
        <v>272</v>
      </c>
      <c r="L8996" s="9">
        <v>2026</v>
      </c>
      <c r="M8996" s="8" t="s">
        <v>50455</v>
      </c>
      <c r="N8996" s="8" t="s">
        <v>37</v>
      </c>
      <c r="O8996" s="8" t="s">
        <v>83</v>
      </c>
      <c r="P8996" s="6" t="s">
        <v>39</v>
      </c>
      <c r="Q8996" s="8" t="s">
        <v>40</v>
      </c>
      <c r="R8996" s="10" t="s">
        <v>50456</v>
      </c>
      <c r="S8996" s="11"/>
      <c r="T8996" s="6"/>
      <c r="U8996" s="15" t="str">
        <f>HYPERLINK("https://media.infra-m.ru/2222/2222626/cover/2222626.jpg", "Обложка")</f>
        <v>Обложка</v>
      </c>
      <c r="V8996" s="8" t="s">
        <v>657</v>
      </c>
      <c r="W8996" s="6" t="s">
        <v>299</v>
      </c>
      <c r="X8996" s="6"/>
      <c r="Y8996" s="6"/>
      <c r="Z8996" s="6"/>
      <c r="AA8996" s="6" t="s">
        <v>187</v>
      </c>
      <c r="AB8996" s="8" t="s">
        <v>308</v>
      </c>
      <c r="AC8996" s="27">
        <v>9785160213514</v>
      </c>
    </row>
    <row r="8997" spans="1:29" s="4" customFormat="1" ht="42" customHeight="1" x14ac:dyDescent="0.2">
      <c r="A8997" s="5">
        <v>0</v>
      </c>
      <c r="B8997" s="6" t="s">
        <v>50457</v>
      </c>
      <c r="C8997" s="7">
        <v>1152</v>
      </c>
      <c r="D8997" s="8" t="s">
        <v>50458</v>
      </c>
      <c r="E8997" s="8" t="s">
        <v>50459</v>
      </c>
      <c r="F8997" s="8" t="s">
        <v>50460</v>
      </c>
      <c r="G8997" s="6" t="s">
        <v>33</v>
      </c>
      <c r="H8997" s="6" t="s">
        <v>34</v>
      </c>
      <c r="I8997" s="8" t="s">
        <v>457</v>
      </c>
      <c r="J8997" s="9">
        <v>1</v>
      </c>
      <c r="K8997" s="9">
        <v>178</v>
      </c>
      <c r="L8997" s="9">
        <v>2026</v>
      </c>
      <c r="M8997" s="8" t="s">
        <v>50461</v>
      </c>
      <c r="N8997" s="8" t="s">
        <v>63</v>
      </c>
      <c r="O8997" s="8" t="s">
        <v>126</v>
      </c>
      <c r="P8997" s="6" t="s">
        <v>39</v>
      </c>
      <c r="Q8997" s="8" t="s">
        <v>40</v>
      </c>
      <c r="R8997" s="10" t="s">
        <v>50462</v>
      </c>
      <c r="S8997" s="11"/>
      <c r="T8997" s="6"/>
      <c r="U8997" s="15" t="str">
        <f>HYPERLINK("https://media.infra-m.ru/2217/2217013/cover/2217013.jpg", "Обложка")</f>
        <v>Обложка</v>
      </c>
      <c r="V8997" s="8" t="s">
        <v>36909</v>
      </c>
      <c r="W8997" s="6"/>
      <c r="X8997" s="6"/>
      <c r="Y8997" s="6"/>
      <c r="Z8997" s="6"/>
      <c r="AA8997" s="6" t="s">
        <v>148</v>
      </c>
      <c r="AB8997" s="8"/>
      <c r="AC8997" s="27">
        <v>9785160173320</v>
      </c>
    </row>
    <row r="8998" spans="1:29" s="4" customFormat="1" ht="51.9" customHeight="1" x14ac:dyDescent="0.2">
      <c r="A8998" s="5">
        <v>0</v>
      </c>
      <c r="B8998" s="6" t="s">
        <v>50463</v>
      </c>
      <c r="C8998" s="7">
        <v>1782</v>
      </c>
      <c r="D8998" s="8" t="s">
        <v>50464</v>
      </c>
      <c r="E8998" s="8" t="s">
        <v>50465</v>
      </c>
      <c r="F8998" s="8" t="s">
        <v>50466</v>
      </c>
      <c r="G8998" s="6" t="s">
        <v>60</v>
      </c>
      <c r="H8998" s="6" t="s">
        <v>134</v>
      </c>
      <c r="I8998" s="8"/>
      <c r="J8998" s="9">
        <v>1</v>
      </c>
      <c r="K8998" s="9">
        <v>240</v>
      </c>
      <c r="L8998" s="9">
        <v>2026</v>
      </c>
      <c r="M8998" s="8" t="s">
        <v>50467</v>
      </c>
      <c r="N8998" s="8" t="s">
        <v>37</v>
      </c>
      <c r="O8998" s="8" t="s">
        <v>136</v>
      </c>
      <c r="P8998" s="6" t="s">
        <v>39</v>
      </c>
      <c r="Q8998" s="8" t="s">
        <v>40</v>
      </c>
      <c r="R8998" s="10" t="s">
        <v>27027</v>
      </c>
      <c r="S8998" s="11"/>
      <c r="T8998" s="6"/>
      <c r="U8998" s="15" t="str">
        <f>HYPERLINK("https://media.infra-m.ru/2236/2236908/cover/2236908.jpg", "Обложка")</f>
        <v>Обложка</v>
      </c>
      <c r="V8998" s="8"/>
      <c r="W8998" s="6"/>
      <c r="X8998" s="6"/>
      <c r="Y8998" s="6"/>
      <c r="Z8998" s="6"/>
      <c r="AA8998" s="6" t="s">
        <v>187</v>
      </c>
      <c r="AB8998" s="8"/>
      <c r="AC8998" s="27">
        <v>9785001564652</v>
      </c>
    </row>
    <row r="8999" spans="1:29" s="4" customFormat="1" ht="51.9" customHeight="1" x14ac:dyDescent="0.2">
      <c r="A8999" s="5">
        <v>0</v>
      </c>
      <c r="B8999" s="6" t="s">
        <v>50468</v>
      </c>
      <c r="C8999" s="7">
        <v>2112</v>
      </c>
      <c r="D8999" s="8" t="s">
        <v>50469</v>
      </c>
      <c r="E8999" s="8" t="s">
        <v>50470</v>
      </c>
      <c r="F8999" s="8" t="s">
        <v>50471</v>
      </c>
      <c r="G8999" s="6" t="s">
        <v>118</v>
      </c>
      <c r="H8999" s="6" t="s">
        <v>34</v>
      </c>
      <c r="I8999" s="8"/>
      <c r="J8999" s="9">
        <v>1</v>
      </c>
      <c r="K8999" s="9">
        <v>304</v>
      </c>
      <c r="L8999" s="9">
        <v>2027</v>
      </c>
      <c r="M8999" s="8" t="s">
        <v>50472</v>
      </c>
      <c r="N8999" s="8" t="s">
        <v>37</v>
      </c>
      <c r="O8999" s="8" t="s">
        <v>233</v>
      </c>
      <c r="P8999" s="6" t="s">
        <v>306</v>
      </c>
      <c r="Q8999" s="8" t="s">
        <v>52</v>
      </c>
      <c r="R8999" s="10" t="s">
        <v>50473</v>
      </c>
      <c r="S8999" s="11" t="s">
        <v>49834</v>
      </c>
      <c r="T8999" s="6"/>
      <c r="U8999" s="15" t="str">
        <f>HYPERLINK("https://media.infra-m.ru/2263/2263911/cover/2263911.jpg", "Обложка")</f>
        <v>Обложка</v>
      </c>
      <c r="V8999" s="8" t="s">
        <v>396</v>
      </c>
      <c r="W8999" s="6"/>
      <c r="X8999" s="6"/>
      <c r="Y8999" s="6"/>
      <c r="Z8999" s="6"/>
      <c r="AA8999" s="6" t="s">
        <v>2311</v>
      </c>
      <c r="AB8999" s="8"/>
      <c r="AC8999" s="27">
        <v>9785160223759</v>
      </c>
    </row>
    <row r="9000" spans="1:29" s="4" customFormat="1" ht="42" customHeight="1" x14ac:dyDescent="0.2">
      <c r="A9000" s="5">
        <v>0</v>
      </c>
      <c r="B9000" s="6" t="s">
        <v>50474</v>
      </c>
      <c r="C9000" s="7">
        <v>1000.8</v>
      </c>
      <c r="D9000" s="8" t="s">
        <v>50475</v>
      </c>
      <c r="E9000" s="8" t="s">
        <v>50476</v>
      </c>
      <c r="F9000" s="8" t="s">
        <v>1998</v>
      </c>
      <c r="G9000" s="6" t="s">
        <v>118</v>
      </c>
      <c r="H9000" s="6" t="s">
        <v>313</v>
      </c>
      <c r="I9000" s="8"/>
      <c r="J9000" s="9">
        <v>1</v>
      </c>
      <c r="K9000" s="9">
        <v>151</v>
      </c>
      <c r="L9000" s="9">
        <v>2026</v>
      </c>
      <c r="M9000" s="8" t="s">
        <v>50477</v>
      </c>
      <c r="N9000" s="8" t="s">
        <v>37</v>
      </c>
      <c r="O9000" s="8" t="s">
        <v>233</v>
      </c>
      <c r="P9000" s="6" t="s">
        <v>306</v>
      </c>
      <c r="Q9000" s="8" t="s">
        <v>52</v>
      </c>
      <c r="R9000" s="10" t="s">
        <v>1646</v>
      </c>
      <c r="S9000" s="11"/>
      <c r="T9000" s="6"/>
      <c r="U9000" s="15" t="str">
        <f>HYPERLINK("https://media.infra-m.ru/2242/2242692/cover/2242692.jpg", "Обложка")</f>
        <v>Обложка</v>
      </c>
      <c r="V9000" s="8" t="s">
        <v>2001</v>
      </c>
      <c r="W9000" s="6"/>
      <c r="X9000" s="6"/>
      <c r="Y9000" s="6"/>
      <c r="Z9000" s="6"/>
      <c r="AA9000" s="6" t="s">
        <v>157</v>
      </c>
      <c r="AB9000" s="8"/>
      <c r="AC9000" s="27">
        <v>9785369019245</v>
      </c>
    </row>
    <row r="9001" spans="1:29" s="4" customFormat="1" ht="51.9" customHeight="1" x14ac:dyDescent="0.2">
      <c r="A9001" s="5">
        <v>0</v>
      </c>
      <c r="B9001" s="6" t="s">
        <v>50478</v>
      </c>
      <c r="C9001" s="7">
        <v>1276.8</v>
      </c>
      <c r="D9001" s="8" t="s">
        <v>50479</v>
      </c>
      <c r="E9001" s="8" t="s">
        <v>50480</v>
      </c>
      <c r="F9001" s="8" t="s">
        <v>50481</v>
      </c>
      <c r="G9001" s="6" t="s">
        <v>33</v>
      </c>
      <c r="H9001" s="6" t="s">
        <v>313</v>
      </c>
      <c r="I9001" s="8"/>
      <c r="J9001" s="9">
        <v>1</v>
      </c>
      <c r="K9001" s="9">
        <v>204</v>
      </c>
      <c r="L9001" s="9">
        <v>2025</v>
      </c>
      <c r="M9001" s="8" t="s">
        <v>50482</v>
      </c>
      <c r="N9001" s="8" t="s">
        <v>37</v>
      </c>
      <c r="O9001" s="8" t="s">
        <v>233</v>
      </c>
      <c r="P9001" s="6" t="s">
        <v>39</v>
      </c>
      <c r="Q9001" s="8" t="s">
        <v>40</v>
      </c>
      <c r="R9001" s="10" t="s">
        <v>50483</v>
      </c>
      <c r="S9001" s="11"/>
      <c r="T9001" s="6"/>
      <c r="U9001" s="15" t="str">
        <f>HYPERLINK("https://media.infra-m.ru/2208/2208455/cover/2208455.jpg", "Обложка")</f>
        <v>Обложка</v>
      </c>
      <c r="V9001" s="8" t="s">
        <v>9620</v>
      </c>
      <c r="W9001" s="6"/>
      <c r="X9001" s="6"/>
      <c r="Y9001" s="6"/>
      <c r="Z9001" s="6"/>
      <c r="AA9001" s="6" t="s">
        <v>99</v>
      </c>
      <c r="AB9001" s="8"/>
      <c r="AC9001" s="27">
        <v>9785369016626</v>
      </c>
    </row>
    <row r="9002" spans="1:29" s="4" customFormat="1" ht="51.9" customHeight="1" x14ac:dyDescent="0.2">
      <c r="A9002" s="5">
        <v>0</v>
      </c>
      <c r="B9002" s="6" t="s">
        <v>50484</v>
      </c>
      <c r="C9002" s="13">
        <v>480</v>
      </c>
      <c r="D9002" s="8" t="s">
        <v>50485</v>
      </c>
      <c r="E9002" s="8" t="s">
        <v>50486</v>
      </c>
      <c r="F9002" s="8" t="s">
        <v>50487</v>
      </c>
      <c r="G9002" s="6" t="s">
        <v>33</v>
      </c>
      <c r="H9002" s="6" t="s">
        <v>313</v>
      </c>
      <c r="I9002" s="8" t="s">
        <v>35</v>
      </c>
      <c r="J9002" s="9">
        <v>1</v>
      </c>
      <c r="K9002" s="9">
        <v>116</v>
      </c>
      <c r="L9002" s="9">
        <v>2019</v>
      </c>
      <c r="M9002" s="8" t="s">
        <v>50488</v>
      </c>
      <c r="N9002" s="8" t="s">
        <v>37</v>
      </c>
      <c r="O9002" s="8" t="s">
        <v>38</v>
      </c>
      <c r="P9002" s="6" t="s">
        <v>39</v>
      </c>
      <c r="Q9002" s="8" t="s">
        <v>40</v>
      </c>
      <c r="R9002" s="10" t="s">
        <v>50489</v>
      </c>
      <c r="S9002" s="11"/>
      <c r="T9002" s="6"/>
      <c r="U9002" s="15" t="str">
        <f>HYPERLINK("https://media.infra-m.ru/1015/1015328/cover/1015328.jpg", "Обложка")</f>
        <v>Обложка</v>
      </c>
      <c r="V9002" s="8" t="s">
        <v>128</v>
      </c>
      <c r="W9002" s="6"/>
      <c r="X9002" s="6"/>
      <c r="Y9002" s="6"/>
      <c r="Z9002" s="6"/>
      <c r="AA9002" s="6" t="s">
        <v>43</v>
      </c>
      <c r="AB9002" s="8"/>
      <c r="AC9002" s="27">
        <v>9785369010082</v>
      </c>
    </row>
    <row r="9003" spans="1:29" s="4" customFormat="1" ht="44.1" customHeight="1" x14ac:dyDescent="0.2">
      <c r="A9003" s="5">
        <v>0</v>
      </c>
      <c r="B9003" s="6" t="s">
        <v>50490</v>
      </c>
      <c r="C9003" s="7">
        <v>1980</v>
      </c>
      <c r="D9003" s="8" t="s">
        <v>50491</v>
      </c>
      <c r="E9003" s="8" t="s">
        <v>50492</v>
      </c>
      <c r="F9003" s="8" t="s">
        <v>3461</v>
      </c>
      <c r="G9003" s="6" t="s">
        <v>118</v>
      </c>
      <c r="H9003" s="6" t="s">
        <v>34</v>
      </c>
      <c r="I9003" s="8" t="s">
        <v>35</v>
      </c>
      <c r="J9003" s="9">
        <v>1</v>
      </c>
      <c r="K9003" s="9">
        <v>293</v>
      </c>
      <c r="L9003" s="9">
        <v>2026</v>
      </c>
      <c r="M9003" s="8" t="s">
        <v>50493</v>
      </c>
      <c r="N9003" s="8" t="s">
        <v>63</v>
      </c>
      <c r="O9003" s="8" t="s">
        <v>181</v>
      </c>
      <c r="P9003" s="6" t="s">
        <v>39</v>
      </c>
      <c r="Q9003" s="8" t="s">
        <v>40</v>
      </c>
      <c r="R9003" s="10" t="s">
        <v>50494</v>
      </c>
      <c r="S9003" s="11"/>
      <c r="T9003" s="6"/>
      <c r="U9003" s="15" t="str">
        <f>HYPERLINK("https://media.infra-m.ru/2224/2224066/cover/2224066.jpg", "Обложка")</f>
        <v>Обложка</v>
      </c>
      <c r="V9003" s="8" t="s">
        <v>2446</v>
      </c>
      <c r="W9003" s="6"/>
      <c r="X9003" s="6"/>
      <c r="Y9003" s="6"/>
      <c r="Z9003" s="6"/>
      <c r="AA9003" s="6" t="s">
        <v>76</v>
      </c>
      <c r="AB9003" s="8" t="s">
        <v>12037</v>
      </c>
      <c r="AC9003" s="27">
        <v>9785160199139</v>
      </c>
    </row>
    <row r="9004" spans="1:29" s="4" customFormat="1" ht="44.1" customHeight="1" x14ac:dyDescent="0.2">
      <c r="A9004" s="5">
        <v>0</v>
      </c>
      <c r="B9004" s="6" t="s">
        <v>50495</v>
      </c>
      <c r="C9004" s="13">
        <v>940.8</v>
      </c>
      <c r="D9004" s="8" t="s">
        <v>50496</v>
      </c>
      <c r="E9004" s="8" t="s">
        <v>50497</v>
      </c>
      <c r="F9004" s="8" t="s">
        <v>50498</v>
      </c>
      <c r="G9004" s="6" t="s">
        <v>33</v>
      </c>
      <c r="H9004" s="6" t="s">
        <v>313</v>
      </c>
      <c r="I9004" s="8" t="s">
        <v>35</v>
      </c>
      <c r="J9004" s="9">
        <v>1</v>
      </c>
      <c r="K9004" s="9">
        <v>170</v>
      </c>
      <c r="L9004" s="9">
        <v>2024</v>
      </c>
      <c r="M9004" s="8" t="s">
        <v>50499</v>
      </c>
      <c r="N9004" s="8" t="s">
        <v>37</v>
      </c>
      <c r="O9004" s="8" t="s">
        <v>280</v>
      </c>
      <c r="P9004" s="6" t="s">
        <v>39</v>
      </c>
      <c r="Q9004" s="8" t="s">
        <v>749</v>
      </c>
      <c r="R9004" s="10" t="s">
        <v>3008</v>
      </c>
      <c r="S9004" s="11"/>
      <c r="T9004" s="6"/>
      <c r="U9004" s="15" t="str">
        <f>HYPERLINK("https://media.infra-m.ru/2044/2044353/cover/2044353.jpg", "Обложка")</f>
        <v>Обложка</v>
      </c>
      <c r="V9004" s="8" t="s">
        <v>33040</v>
      </c>
      <c r="W9004" s="6"/>
      <c r="X9004" s="6"/>
      <c r="Y9004" s="6"/>
      <c r="Z9004" s="6"/>
      <c r="AA9004" s="6" t="s">
        <v>55</v>
      </c>
      <c r="AB9004" s="8"/>
      <c r="AC9004" s="27">
        <v>9785369011478</v>
      </c>
    </row>
    <row r="9005" spans="1:29" s="4" customFormat="1" ht="44.1" customHeight="1" x14ac:dyDescent="0.2">
      <c r="A9005" s="5">
        <v>0</v>
      </c>
      <c r="B9005" s="6" t="s">
        <v>50500</v>
      </c>
      <c r="C9005" s="7">
        <v>1452</v>
      </c>
      <c r="D9005" s="8" t="s">
        <v>50501</v>
      </c>
      <c r="E9005" s="8" t="s">
        <v>50502</v>
      </c>
      <c r="F9005" s="8" t="s">
        <v>50503</v>
      </c>
      <c r="G9005" s="6" t="s">
        <v>118</v>
      </c>
      <c r="H9005" s="6" t="s">
        <v>134</v>
      </c>
      <c r="I9005" s="8"/>
      <c r="J9005" s="9">
        <v>1</v>
      </c>
      <c r="K9005" s="9">
        <v>208</v>
      </c>
      <c r="L9005" s="9">
        <v>2026</v>
      </c>
      <c r="M9005" s="8" t="s">
        <v>50504</v>
      </c>
      <c r="N9005" s="8" t="s">
        <v>37</v>
      </c>
      <c r="O9005" s="8" t="s">
        <v>136</v>
      </c>
      <c r="P9005" s="6" t="s">
        <v>39</v>
      </c>
      <c r="Q9005" s="8" t="s">
        <v>40</v>
      </c>
      <c r="R9005" s="10" t="s">
        <v>50505</v>
      </c>
      <c r="S9005" s="11"/>
      <c r="T9005" s="6"/>
      <c r="U9005" s="15" t="str">
        <f>HYPERLINK("https://media.infra-m.ru/2260/2260198/cover/2260198.jpg", "Обложка")</f>
        <v>Обложка</v>
      </c>
      <c r="V9005" s="8" t="s">
        <v>138</v>
      </c>
      <c r="W9005" s="6"/>
      <c r="X9005" s="6"/>
      <c r="Y9005" s="6"/>
      <c r="Z9005" s="6"/>
      <c r="AA9005" s="6" t="s">
        <v>76</v>
      </c>
      <c r="AB9005" s="8"/>
      <c r="AC9005" s="27">
        <v>9785001563679</v>
      </c>
    </row>
    <row r="9006" spans="1:29" s="4" customFormat="1" ht="51.9" customHeight="1" x14ac:dyDescent="0.2">
      <c r="A9006" s="5">
        <v>0</v>
      </c>
      <c r="B9006" s="6" t="s">
        <v>50506</v>
      </c>
      <c r="C9006" s="13">
        <v>988.8</v>
      </c>
      <c r="D9006" s="8" t="s">
        <v>50507</v>
      </c>
      <c r="E9006" s="8" t="s">
        <v>50508</v>
      </c>
      <c r="F9006" s="8" t="s">
        <v>5879</v>
      </c>
      <c r="G9006" s="6" t="s">
        <v>33</v>
      </c>
      <c r="H9006" s="6" t="s">
        <v>34</v>
      </c>
      <c r="I9006" s="8" t="s">
        <v>35</v>
      </c>
      <c r="J9006" s="9">
        <v>1</v>
      </c>
      <c r="K9006" s="9">
        <v>141</v>
      </c>
      <c r="L9006" s="9">
        <v>2026</v>
      </c>
      <c r="M9006" s="8" t="s">
        <v>50509</v>
      </c>
      <c r="N9006" s="8" t="s">
        <v>585</v>
      </c>
      <c r="O9006" s="8" t="s">
        <v>667</v>
      </c>
      <c r="P9006" s="6" t="s">
        <v>39</v>
      </c>
      <c r="Q9006" s="8" t="s">
        <v>40</v>
      </c>
      <c r="R9006" s="10" t="s">
        <v>50510</v>
      </c>
      <c r="S9006" s="11"/>
      <c r="T9006" s="6"/>
      <c r="U9006" s="15" t="str">
        <f>HYPERLINK("https://media.infra-m.ru/2253/2253934/cover/2253934.jpg", "Обложка")</f>
        <v>Обложка</v>
      </c>
      <c r="V9006" s="8" t="s">
        <v>5882</v>
      </c>
      <c r="W9006" s="6"/>
      <c r="X9006" s="6"/>
      <c r="Y9006" s="6"/>
      <c r="Z9006" s="6"/>
      <c r="AA9006" s="6" t="s">
        <v>779</v>
      </c>
      <c r="AB9006" s="8" t="s">
        <v>493</v>
      </c>
      <c r="AC9006" s="27">
        <v>9785160119106</v>
      </c>
    </row>
    <row r="9007" spans="1:29" s="4" customFormat="1" ht="42" customHeight="1" x14ac:dyDescent="0.2">
      <c r="A9007" s="5">
        <v>0</v>
      </c>
      <c r="B9007" s="6" t="s">
        <v>50511</v>
      </c>
      <c r="C9007" s="7">
        <v>1188</v>
      </c>
      <c r="D9007" s="8" t="s">
        <v>50512</v>
      </c>
      <c r="E9007" s="8" t="s">
        <v>50513</v>
      </c>
      <c r="F9007" s="8" t="s">
        <v>8137</v>
      </c>
      <c r="G9007" s="6" t="s">
        <v>33</v>
      </c>
      <c r="H9007" s="6" t="s">
        <v>34</v>
      </c>
      <c r="I9007" s="8" t="s">
        <v>35</v>
      </c>
      <c r="J9007" s="9">
        <v>1</v>
      </c>
      <c r="K9007" s="9">
        <v>212</v>
      </c>
      <c r="L9007" s="9">
        <v>2023</v>
      </c>
      <c r="M9007" s="8" t="s">
        <v>50514</v>
      </c>
      <c r="N9007" s="8" t="s">
        <v>37</v>
      </c>
      <c r="O9007" s="8" t="s">
        <v>233</v>
      </c>
      <c r="P9007" s="6" t="s">
        <v>39</v>
      </c>
      <c r="Q9007" s="8" t="s">
        <v>40</v>
      </c>
      <c r="R9007" s="10" t="s">
        <v>5331</v>
      </c>
      <c r="S9007" s="11"/>
      <c r="T9007" s="6"/>
      <c r="U9007" s="15" t="str">
        <f>HYPERLINK("https://media.infra-m.ru/1895/1895266/cover/1895266.jpg", "Обложка")</f>
        <v>Обложка</v>
      </c>
      <c r="V9007" s="8" t="s">
        <v>8139</v>
      </c>
      <c r="W9007" s="6"/>
      <c r="X9007" s="6"/>
      <c r="Y9007" s="6"/>
      <c r="Z9007" s="6"/>
      <c r="AA9007" s="6" t="s">
        <v>157</v>
      </c>
      <c r="AB9007" s="8"/>
      <c r="AC9007" s="27">
        <v>9785160178851</v>
      </c>
    </row>
    <row r="9008" spans="1:29" s="4" customFormat="1" ht="44.1" customHeight="1" x14ac:dyDescent="0.2">
      <c r="A9008" s="5">
        <v>0</v>
      </c>
      <c r="B9008" s="6" t="s">
        <v>50515</v>
      </c>
      <c r="C9008" s="13">
        <v>965.9</v>
      </c>
      <c r="D9008" s="8" t="s">
        <v>50516</v>
      </c>
      <c r="E9008" s="8" t="s">
        <v>50517</v>
      </c>
      <c r="F9008" s="8" t="s">
        <v>10552</v>
      </c>
      <c r="G9008" s="6" t="s">
        <v>33</v>
      </c>
      <c r="H9008" s="6" t="s">
        <v>34</v>
      </c>
      <c r="I9008" s="8" t="s">
        <v>35</v>
      </c>
      <c r="J9008" s="9">
        <v>1</v>
      </c>
      <c r="K9008" s="9">
        <v>238</v>
      </c>
      <c r="L9008" s="9">
        <v>2019</v>
      </c>
      <c r="M9008" s="8" t="s">
        <v>50518</v>
      </c>
      <c r="N9008" s="8" t="s">
        <v>37</v>
      </c>
      <c r="O9008" s="8" t="s">
        <v>83</v>
      </c>
      <c r="P9008" s="6" t="s">
        <v>39</v>
      </c>
      <c r="Q9008" s="8" t="s">
        <v>40</v>
      </c>
      <c r="R9008" s="10" t="s">
        <v>2214</v>
      </c>
      <c r="S9008" s="11"/>
      <c r="T9008" s="6"/>
      <c r="U9008" s="15" t="str">
        <f>HYPERLINK("https://media.infra-m.ru/1009/1009970/cover/1009970.jpg", "Обложка")</f>
        <v>Обложка</v>
      </c>
      <c r="V9008" s="8" t="s">
        <v>3087</v>
      </c>
      <c r="W9008" s="6"/>
      <c r="X9008" s="6"/>
      <c r="Y9008" s="6"/>
      <c r="Z9008" s="6"/>
      <c r="AA9008" s="6" t="s">
        <v>779</v>
      </c>
      <c r="AB9008" s="8"/>
      <c r="AC9008" s="27">
        <v>9785160106489</v>
      </c>
    </row>
    <row r="9009" spans="1:29" s="4" customFormat="1" ht="51.9" customHeight="1" x14ac:dyDescent="0.2">
      <c r="A9009" s="5">
        <v>0</v>
      </c>
      <c r="B9009" s="6" t="s">
        <v>50519</v>
      </c>
      <c r="C9009" s="7">
        <v>1408.8</v>
      </c>
      <c r="D9009" s="8" t="s">
        <v>50520</v>
      </c>
      <c r="E9009" s="8" t="s">
        <v>50521</v>
      </c>
      <c r="F9009" s="8" t="s">
        <v>50522</v>
      </c>
      <c r="G9009" s="6" t="s">
        <v>60</v>
      </c>
      <c r="H9009" s="6" t="s">
        <v>34</v>
      </c>
      <c r="I9009" s="8" t="s">
        <v>35</v>
      </c>
      <c r="J9009" s="9">
        <v>1</v>
      </c>
      <c r="K9009" s="9">
        <v>212</v>
      </c>
      <c r="L9009" s="9">
        <v>2026</v>
      </c>
      <c r="M9009" s="8" t="s">
        <v>50523</v>
      </c>
      <c r="N9009" s="8" t="s">
        <v>37</v>
      </c>
      <c r="O9009" s="8" t="s">
        <v>233</v>
      </c>
      <c r="P9009" s="6" t="s">
        <v>39</v>
      </c>
      <c r="Q9009" s="8" t="s">
        <v>40</v>
      </c>
      <c r="R9009" s="10" t="s">
        <v>50524</v>
      </c>
      <c r="S9009" s="11"/>
      <c r="T9009" s="6"/>
      <c r="U9009" s="15" t="str">
        <f>HYPERLINK("https://media.infra-m.ru/2221/2221552/cover/2221552.jpg", "Обложка")</f>
        <v>Обложка</v>
      </c>
      <c r="V9009" s="8" t="s">
        <v>12106</v>
      </c>
      <c r="W9009" s="6"/>
      <c r="X9009" s="6"/>
      <c r="Y9009" s="6"/>
      <c r="Z9009" s="6"/>
      <c r="AA9009" s="6" t="s">
        <v>157</v>
      </c>
      <c r="AB9009" s="8"/>
      <c r="AC9009" s="27">
        <v>9785160178523</v>
      </c>
    </row>
    <row r="9010" spans="1:29" s="4" customFormat="1" ht="51.9" customHeight="1" x14ac:dyDescent="0.2">
      <c r="A9010" s="5">
        <v>0</v>
      </c>
      <c r="B9010" s="6" t="s">
        <v>50525</v>
      </c>
      <c r="C9010" s="7">
        <v>1404</v>
      </c>
      <c r="D9010" s="8" t="s">
        <v>50526</v>
      </c>
      <c r="E9010" s="8" t="s">
        <v>50521</v>
      </c>
      <c r="F9010" s="8" t="s">
        <v>50522</v>
      </c>
      <c r="G9010" s="6" t="s">
        <v>33</v>
      </c>
      <c r="H9010" s="6" t="s">
        <v>34</v>
      </c>
      <c r="I9010" s="8" t="s">
        <v>35</v>
      </c>
      <c r="J9010" s="9">
        <v>1</v>
      </c>
      <c r="K9010" s="9">
        <v>212</v>
      </c>
      <c r="L9010" s="9">
        <v>2026</v>
      </c>
      <c r="M9010" s="8" t="s">
        <v>50527</v>
      </c>
      <c r="N9010" s="8" t="s">
        <v>37</v>
      </c>
      <c r="O9010" s="8" t="s">
        <v>233</v>
      </c>
      <c r="P9010" s="6" t="s">
        <v>39</v>
      </c>
      <c r="Q9010" s="8" t="s">
        <v>40</v>
      </c>
      <c r="R9010" s="10" t="s">
        <v>50524</v>
      </c>
      <c r="S9010" s="11"/>
      <c r="T9010" s="6"/>
      <c r="U9010" s="15" t="str">
        <f>HYPERLINK("https://media.infra-m.ru/2251/2251423/cover/2251423.jpg", "Обложка")</f>
        <v>Обложка</v>
      </c>
      <c r="V9010" s="8" t="s">
        <v>12106</v>
      </c>
      <c r="W9010" s="6"/>
      <c r="X9010" s="6"/>
      <c r="Y9010" s="6"/>
      <c r="Z9010" s="6"/>
      <c r="AA9010" s="6" t="s">
        <v>157</v>
      </c>
      <c r="AB9010" s="8"/>
      <c r="AC9010" s="27">
        <v>9785160220901</v>
      </c>
    </row>
    <row r="9011" spans="1:29" s="4" customFormat="1" ht="51.9" customHeight="1" x14ac:dyDescent="0.2">
      <c r="A9011" s="5">
        <v>0</v>
      </c>
      <c r="B9011" s="6" t="s">
        <v>50528</v>
      </c>
      <c r="C9011" s="7">
        <v>1380</v>
      </c>
      <c r="D9011" s="8" t="s">
        <v>50529</v>
      </c>
      <c r="E9011" s="8" t="s">
        <v>50530</v>
      </c>
      <c r="F9011" s="8" t="s">
        <v>50531</v>
      </c>
      <c r="G9011" s="6" t="s">
        <v>60</v>
      </c>
      <c r="H9011" s="6" t="s">
        <v>34</v>
      </c>
      <c r="I9011" s="8" t="s">
        <v>35</v>
      </c>
      <c r="J9011" s="9">
        <v>1</v>
      </c>
      <c r="K9011" s="9">
        <v>185</v>
      </c>
      <c r="L9011" s="9">
        <v>2026</v>
      </c>
      <c r="M9011" s="8" t="s">
        <v>50532</v>
      </c>
      <c r="N9011" s="8" t="s">
        <v>37</v>
      </c>
      <c r="O9011" s="8" t="s">
        <v>233</v>
      </c>
      <c r="P9011" s="6" t="s">
        <v>39</v>
      </c>
      <c r="Q9011" s="8" t="s">
        <v>40</v>
      </c>
      <c r="R9011" s="10" t="s">
        <v>50533</v>
      </c>
      <c r="S9011" s="11"/>
      <c r="T9011" s="6"/>
      <c r="U9011" s="15" t="str">
        <f>HYPERLINK("https://media.infra-m.ru/2238/2238050/cover/2238050.jpg", "Обложка")</f>
        <v>Обложка</v>
      </c>
      <c r="V9011" s="8" t="s">
        <v>396</v>
      </c>
      <c r="W9011" s="6" t="s">
        <v>649</v>
      </c>
      <c r="X9011" s="6"/>
      <c r="Y9011" s="6"/>
      <c r="Z9011" s="6"/>
      <c r="AA9011" s="6" t="s">
        <v>187</v>
      </c>
      <c r="AB9011" s="8"/>
      <c r="AC9011" s="27">
        <v>9785160217833</v>
      </c>
    </row>
    <row r="9012" spans="1:29" s="4" customFormat="1" ht="42" customHeight="1" x14ac:dyDescent="0.2">
      <c r="A9012" s="5">
        <v>0</v>
      </c>
      <c r="B9012" s="6" t="s">
        <v>50534</v>
      </c>
      <c r="C9012" s="7">
        <v>1788</v>
      </c>
      <c r="D9012" s="8" t="s">
        <v>50535</v>
      </c>
      <c r="E9012" s="8" t="s">
        <v>50536</v>
      </c>
      <c r="F9012" s="8" t="s">
        <v>50537</v>
      </c>
      <c r="G9012" s="6" t="s">
        <v>118</v>
      </c>
      <c r="H9012" s="6" t="s">
        <v>34</v>
      </c>
      <c r="I9012" s="8" t="s">
        <v>35</v>
      </c>
      <c r="J9012" s="9">
        <v>1</v>
      </c>
      <c r="K9012" s="9">
        <v>270</v>
      </c>
      <c r="L9012" s="9">
        <v>2026</v>
      </c>
      <c r="M9012" s="8" t="s">
        <v>50538</v>
      </c>
      <c r="N9012" s="8" t="s">
        <v>37</v>
      </c>
      <c r="O9012" s="8" t="s">
        <v>233</v>
      </c>
      <c r="P9012" s="6" t="s">
        <v>39</v>
      </c>
      <c r="Q9012" s="8" t="s">
        <v>40</v>
      </c>
      <c r="R9012" s="10" t="s">
        <v>5320</v>
      </c>
      <c r="S9012" s="11"/>
      <c r="T9012" s="6" t="s">
        <v>97</v>
      </c>
      <c r="U9012" s="15" t="str">
        <f>HYPERLINK("https://media.infra-m.ru/2248/2248355/cover/2248355.jpg", "Обложка")</f>
        <v>Обложка</v>
      </c>
      <c r="V9012" s="8" t="s">
        <v>13456</v>
      </c>
      <c r="W9012" s="6"/>
      <c r="X9012" s="6"/>
      <c r="Y9012" s="6"/>
      <c r="Z9012" s="6"/>
      <c r="AA9012" s="6" t="s">
        <v>148</v>
      </c>
      <c r="AB9012" s="8"/>
      <c r="AC9012" s="27">
        <v>9785160177083</v>
      </c>
    </row>
    <row r="9013" spans="1:29" s="4" customFormat="1" ht="42" customHeight="1" x14ac:dyDescent="0.2">
      <c r="A9013" s="5">
        <v>0</v>
      </c>
      <c r="B9013" s="6" t="s">
        <v>50539</v>
      </c>
      <c r="C9013" s="13">
        <v>540</v>
      </c>
      <c r="D9013" s="8" t="s">
        <v>50540</v>
      </c>
      <c r="E9013" s="8" t="s">
        <v>50541</v>
      </c>
      <c r="F9013" s="8" t="s">
        <v>50542</v>
      </c>
      <c r="G9013" s="6" t="s">
        <v>33</v>
      </c>
      <c r="H9013" s="6" t="s">
        <v>34</v>
      </c>
      <c r="I9013" s="8" t="s">
        <v>35</v>
      </c>
      <c r="J9013" s="9">
        <v>1</v>
      </c>
      <c r="K9013" s="9">
        <v>86</v>
      </c>
      <c r="L9013" s="9">
        <v>2023</v>
      </c>
      <c r="M9013" s="8" t="s">
        <v>50543</v>
      </c>
      <c r="N9013" s="8" t="s">
        <v>585</v>
      </c>
      <c r="O9013" s="8" t="s">
        <v>586</v>
      </c>
      <c r="P9013" s="6" t="s">
        <v>39</v>
      </c>
      <c r="Q9013" s="8" t="s">
        <v>40</v>
      </c>
      <c r="R9013" s="10" t="s">
        <v>14616</v>
      </c>
      <c r="S9013" s="11"/>
      <c r="T9013" s="6"/>
      <c r="U9013" s="15" t="str">
        <f>HYPERLINK("https://media.infra-m.ru/2030/2030895/cover/2030895.jpg", "Обложка")</f>
        <v>Обложка</v>
      </c>
      <c r="V9013" s="8" t="s">
        <v>657</v>
      </c>
      <c r="W9013" s="6"/>
      <c r="X9013" s="6"/>
      <c r="Y9013" s="6"/>
      <c r="Z9013" s="6"/>
      <c r="AA9013" s="6" t="s">
        <v>115</v>
      </c>
      <c r="AB9013" s="8"/>
      <c r="AC9013" s="27">
        <v>9785160147505</v>
      </c>
    </row>
    <row r="9014" spans="1:29" s="4" customFormat="1" ht="42" customHeight="1" x14ac:dyDescent="0.2">
      <c r="A9014" s="5">
        <v>0</v>
      </c>
      <c r="B9014" s="6" t="s">
        <v>50544</v>
      </c>
      <c r="C9014" s="13">
        <v>708</v>
      </c>
      <c r="D9014" s="8" t="s">
        <v>50545</v>
      </c>
      <c r="E9014" s="8" t="s">
        <v>50546</v>
      </c>
      <c r="F9014" s="8" t="s">
        <v>50547</v>
      </c>
      <c r="G9014" s="6" t="s">
        <v>60</v>
      </c>
      <c r="H9014" s="6" t="s">
        <v>34</v>
      </c>
      <c r="I9014" s="8" t="s">
        <v>1248</v>
      </c>
      <c r="J9014" s="9">
        <v>1</v>
      </c>
      <c r="K9014" s="9">
        <v>116</v>
      </c>
      <c r="L9014" s="9">
        <v>2024</v>
      </c>
      <c r="M9014" s="8" t="s">
        <v>50548</v>
      </c>
      <c r="N9014" s="8" t="s">
        <v>585</v>
      </c>
      <c r="O9014" s="8" t="s">
        <v>2472</v>
      </c>
      <c r="P9014" s="6" t="s">
        <v>51</v>
      </c>
      <c r="Q9014" s="8" t="s">
        <v>65</v>
      </c>
      <c r="R9014" s="10" t="s">
        <v>50549</v>
      </c>
      <c r="S9014" s="11"/>
      <c r="T9014" s="6"/>
      <c r="U9014" s="15" t="str">
        <f>HYPERLINK("https://media.infra-m.ru/2130/2130275/cover/2130275.jpg", "Обложка")</f>
        <v>Обложка</v>
      </c>
      <c r="V9014" s="8" t="s">
        <v>1083</v>
      </c>
      <c r="W9014" s="6"/>
      <c r="X9014" s="6"/>
      <c r="Y9014" s="6"/>
      <c r="Z9014" s="6"/>
      <c r="AA9014" s="6" t="s">
        <v>76</v>
      </c>
      <c r="AB9014" s="8"/>
      <c r="AC9014" s="27">
        <v>9785160195834</v>
      </c>
    </row>
    <row r="9015" spans="1:29" s="4" customFormat="1" ht="42" customHeight="1" x14ac:dyDescent="0.2">
      <c r="A9015" s="5">
        <v>0</v>
      </c>
      <c r="B9015" s="6" t="s">
        <v>50550</v>
      </c>
      <c r="C9015" s="7">
        <v>1140</v>
      </c>
      <c r="D9015" s="8" t="s">
        <v>50551</v>
      </c>
      <c r="E9015" s="8" t="s">
        <v>50552</v>
      </c>
      <c r="F9015" s="8" t="s">
        <v>50553</v>
      </c>
      <c r="G9015" s="6" t="s">
        <v>60</v>
      </c>
      <c r="H9015" s="6" t="s">
        <v>34</v>
      </c>
      <c r="I9015" s="8" t="s">
        <v>1128</v>
      </c>
      <c r="J9015" s="9">
        <v>1</v>
      </c>
      <c r="K9015" s="9">
        <v>162</v>
      </c>
      <c r="L9015" s="9">
        <v>2026</v>
      </c>
      <c r="M9015" s="8" t="s">
        <v>50554</v>
      </c>
      <c r="N9015" s="8" t="s">
        <v>243</v>
      </c>
      <c r="O9015" s="8" t="s">
        <v>1100</v>
      </c>
      <c r="P9015" s="6" t="s">
        <v>51</v>
      </c>
      <c r="Q9015" s="8" t="s">
        <v>65</v>
      </c>
      <c r="R9015" s="10" t="s">
        <v>6253</v>
      </c>
      <c r="S9015" s="11"/>
      <c r="T9015" s="6"/>
      <c r="U9015" s="15" t="str">
        <f>HYPERLINK("https://media.infra-m.ru/2238/2238042/cover/2238042.jpg", "Обложка")</f>
        <v>Обложка</v>
      </c>
      <c r="V9015" s="8" t="s">
        <v>1132</v>
      </c>
      <c r="W9015" s="6" t="s">
        <v>351</v>
      </c>
      <c r="X9015" s="6"/>
      <c r="Y9015" s="6"/>
      <c r="Z9015" s="6"/>
      <c r="AA9015" s="6" t="s">
        <v>187</v>
      </c>
      <c r="AB9015" s="8"/>
      <c r="AC9015" s="27">
        <v>9785160217796</v>
      </c>
    </row>
    <row r="9016" spans="1:29" s="4" customFormat="1" ht="51.9" customHeight="1" x14ac:dyDescent="0.2">
      <c r="A9016" s="5">
        <v>0</v>
      </c>
      <c r="B9016" s="6" t="s">
        <v>50555</v>
      </c>
      <c r="C9016" s="7">
        <v>1792.8</v>
      </c>
      <c r="D9016" s="8" t="s">
        <v>50556</v>
      </c>
      <c r="E9016" s="8" t="s">
        <v>50557</v>
      </c>
      <c r="F9016" s="8" t="s">
        <v>50558</v>
      </c>
      <c r="G9016" s="6" t="s">
        <v>33</v>
      </c>
      <c r="H9016" s="6" t="s">
        <v>34</v>
      </c>
      <c r="I9016" s="8" t="s">
        <v>35</v>
      </c>
      <c r="J9016" s="9">
        <v>1</v>
      </c>
      <c r="K9016" s="9">
        <v>160</v>
      </c>
      <c r="L9016" s="9">
        <v>2026</v>
      </c>
      <c r="M9016" s="8" t="s">
        <v>50559</v>
      </c>
      <c r="N9016" s="8" t="s">
        <v>37</v>
      </c>
      <c r="O9016" s="8" t="s">
        <v>233</v>
      </c>
      <c r="P9016" s="6" t="s">
        <v>39</v>
      </c>
      <c r="Q9016" s="8" t="s">
        <v>40</v>
      </c>
      <c r="R9016" s="10" t="s">
        <v>50560</v>
      </c>
      <c r="S9016" s="11"/>
      <c r="T9016" s="6"/>
      <c r="U9016" s="15" t="str">
        <f>HYPERLINK("https://media.infra-m.ru/2239/2239153/cover/2239153.jpg", "Обложка")</f>
        <v>Обложка</v>
      </c>
      <c r="V9016" s="8" t="s">
        <v>396</v>
      </c>
      <c r="W9016" s="6"/>
      <c r="X9016" s="6"/>
      <c r="Y9016" s="6"/>
      <c r="Z9016" s="6"/>
      <c r="AA9016" s="6" t="s">
        <v>148</v>
      </c>
      <c r="AB9016" s="8"/>
      <c r="AC9016" s="27">
        <v>9785160176345</v>
      </c>
    </row>
    <row r="9017" spans="1:29" s="4" customFormat="1" ht="42" customHeight="1" x14ac:dyDescent="0.2">
      <c r="A9017" s="5">
        <v>0</v>
      </c>
      <c r="B9017" s="6" t="s">
        <v>50561</v>
      </c>
      <c r="C9017" s="13">
        <v>660</v>
      </c>
      <c r="D9017" s="8" t="s">
        <v>50562</v>
      </c>
      <c r="E9017" s="8" t="s">
        <v>50563</v>
      </c>
      <c r="F9017" s="8" t="s">
        <v>50564</v>
      </c>
      <c r="G9017" s="6" t="s">
        <v>33</v>
      </c>
      <c r="H9017" s="6" t="s">
        <v>34</v>
      </c>
      <c r="I9017" s="8" t="s">
        <v>1248</v>
      </c>
      <c r="J9017" s="9">
        <v>1</v>
      </c>
      <c r="K9017" s="9">
        <v>82</v>
      </c>
      <c r="L9017" s="9">
        <v>2026</v>
      </c>
      <c r="M9017" s="8" t="s">
        <v>50565</v>
      </c>
      <c r="N9017" s="8" t="s">
        <v>585</v>
      </c>
      <c r="O9017" s="8" t="s">
        <v>667</v>
      </c>
      <c r="P9017" s="6" t="s">
        <v>51</v>
      </c>
      <c r="Q9017" s="8" t="s">
        <v>500</v>
      </c>
      <c r="R9017" s="10" t="s">
        <v>50566</v>
      </c>
      <c r="S9017" s="11"/>
      <c r="T9017" s="6"/>
      <c r="U9017" s="15" t="str">
        <f>HYPERLINK("https://media.infra-m.ru/2222/2222592/cover/2222592.jpg", "Обложка")</f>
        <v>Обложка</v>
      </c>
      <c r="V9017" s="8" t="s">
        <v>1083</v>
      </c>
      <c r="W9017" s="6" t="s">
        <v>342</v>
      </c>
      <c r="X9017" s="6"/>
      <c r="Y9017" s="6"/>
      <c r="Z9017" s="6"/>
      <c r="AA9017" s="6" t="s">
        <v>187</v>
      </c>
      <c r="AB9017" s="8"/>
      <c r="AC9017" s="27">
        <v>9785160213323</v>
      </c>
    </row>
    <row r="9018" spans="1:29" s="4" customFormat="1" ht="51.9" customHeight="1" x14ac:dyDescent="0.2">
      <c r="A9018" s="5">
        <v>0</v>
      </c>
      <c r="B9018" s="6" t="s">
        <v>50567</v>
      </c>
      <c r="C9018" s="7">
        <v>1264.8</v>
      </c>
      <c r="D9018" s="8" t="s">
        <v>50568</v>
      </c>
      <c r="E9018" s="8" t="s">
        <v>50569</v>
      </c>
      <c r="F9018" s="8" t="s">
        <v>50570</v>
      </c>
      <c r="G9018" s="6" t="s">
        <v>118</v>
      </c>
      <c r="H9018" s="6" t="s">
        <v>34</v>
      </c>
      <c r="I9018" s="8" t="s">
        <v>271</v>
      </c>
      <c r="J9018" s="9">
        <v>1</v>
      </c>
      <c r="K9018" s="9">
        <v>229</v>
      </c>
      <c r="L9018" s="9">
        <v>2024</v>
      </c>
      <c r="M9018" s="8" t="s">
        <v>50571</v>
      </c>
      <c r="N9018" s="8" t="s">
        <v>243</v>
      </c>
      <c r="O9018" s="8" t="s">
        <v>964</v>
      </c>
      <c r="P9018" s="6" t="s">
        <v>51</v>
      </c>
      <c r="Q9018" s="8" t="s">
        <v>52</v>
      </c>
      <c r="R9018" s="10" t="s">
        <v>7861</v>
      </c>
      <c r="S9018" s="11" t="s">
        <v>50572</v>
      </c>
      <c r="T9018" s="6"/>
      <c r="U9018" s="15" t="str">
        <f>HYPERLINK("https://media.infra-m.ru/2125/2125120/cover/2125120.jpg", "Обложка")</f>
        <v>Обложка</v>
      </c>
      <c r="V9018" s="8" t="s">
        <v>4368</v>
      </c>
      <c r="W9018" s="6"/>
      <c r="X9018" s="6"/>
      <c r="Y9018" s="6"/>
      <c r="Z9018" s="6"/>
      <c r="AA9018" s="6" t="s">
        <v>430</v>
      </c>
      <c r="AB9018" s="8"/>
      <c r="AC9018" s="27">
        <v>9785160150130</v>
      </c>
    </row>
    <row r="9019" spans="1:29" s="4" customFormat="1" ht="51.9" customHeight="1" x14ac:dyDescent="0.2">
      <c r="A9019" s="5">
        <v>0</v>
      </c>
      <c r="B9019" s="6" t="s">
        <v>50573</v>
      </c>
      <c r="C9019" s="7">
        <v>1584</v>
      </c>
      <c r="D9019" s="8" t="s">
        <v>50574</v>
      </c>
      <c r="E9019" s="8" t="s">
        <v>50575</v>
      </c>
      <c r="F9019" s="8" t="s">
        <v>50576</v>
      </c>
      <c r="G9019" s="6" t="s">
        <v>60</v>
      </c>
      <c r="H9019" s="6" t="s">
        <v>134</v>
      </c>
      <c r="I9019" s="8"/>
      <c r="J9019" s="9">
        <v>1</v>
      </c>
      <c r="K9019" s="9">
        <v>208</v>
      </c>
      <c r="L9019" s="9">
        <v>2026</v>
      </c>
      <c r="M9019" s="8" t="s">
        <v>50577</v>
      </c>
      <c r="N9019" s="8" t="s">
        <v>37</v>
      </c>
      <c r="O9019" s="8" t="s">
        <v>136</v>
      </c>
      <c r="P9019" s="6" t="s">
        <v>39</v>
      </c>
      <c r="Q9019" s="8" t="s">
        <v>40</v>
      </c>
      <c r="R9019" s="10" t="s">
        <v>50578</v>
      </c>
      <c r="S9019" s="11"/>
      <c r="T9019" s="6"/>
      <c r="U9019" s="15" t="str">
        <f>HYPERLINK("https://media.infra-m.ru/2235/2235737/cover/2235737.jpg", "Обложка")</f>
        <v>Обложка</v>
      </c>
      <c r="V9019" s="8" t="s">
        <v>50579</v>
      </c>
      <c r="W9019" s="6"/>
      <c r="X9019" s="6"/>
      <c r="Y9019" s="6"/>
      <c r="Z9019" s="6"/>
      <c r="AA9019" s="6" t="s">
        <v>187</v>
      </c>
      <c r="AB9019" s="8"/>
      <c r="AC9019" s="27">
        <v>9785001564614</v>
      </c>
    </row>
    <row r="9020" spans="1:29" s="4" customFormat="1" ht="51.9" customHeight="1" x14ac:dyDescent="0.2">
      <c r="A9020" s="5">
        <v>0</v>
      </c>
      <c r="B9020" s="6" t="s">
        <v>50580</v>
      </c>
      <c r="C9020" s="7">
        <v>2652</v>
      </c>
      <c r="D9020" s="8" t="s">
        <v>50581</v>
      </c>
      <c r="E9020" s="8" t="s">
        <v>50582</v>
      </c>
      <c r="F9020" s="8" t="s">
        <v>33626</v>
      </c>
      <c r="G9020" s="6" t="s">
        <v>118</v>
      </c>
      <c r="H9020" s="6" t="s">
        <v>34</v>
      </c>
      <c r="I9020" s="8" t="s">
        <v>35</v>
      </c>
      <c r="J9020" s="9">
        <v>1</v>
      </c>
      <c r="K9020" s="9">
        <v>381</v>
      </c>
      <c r="L9020" s="9">
        <v>2027</v>
      </c>
      <c r="M9020" s="8" t="s">
        <v>50583</v>
      </c>
      <c r="N9020" s="8" t="s">
        <v>37</v>
      </c>
      <c r="O9020" s="8" t="s">
        <v>233</v>
      </c>
      <c r="P9020" s="6" t="s">
        <v>39</v>
      </c>
      <c r="Q9020" s="8" t="s">
        <v>40</v>
      </c>
      <c r="R9020" s="10" t="s">
        <v>50584</v>
      </c>
      <c r="S9020" s="11"/>
      <c r="T9020" s="6"/>
      <c r="U9020" s="15" t="str">
        <f>HYPERLINK("https://media.infra-m.ru/2269/2269269/cover/2269269.jpg", "Обложка")</f>
        <v>Обложка</v>
      </c>
      <c r="V9020" s="8" t="s">
        <v>2055</v>
      </c>
      <c r="W9020" s="6"/>
      <c r="X9020" s="6"/>
      <c r="Y9020" s="6"/>
      <c r="Z9020" s="6"/>
      <c r="AA9020" s="6" t="s">
        <v>86</v>
      </c>
      <c r="AB9020" s="8" t="s">
        <v>493</v>
      </c>
      <c r="AC9020" s="27">
        <v>9785160136073</v>
      </c>
    </row>
    <row r="9021" spans="1:29" s="4" customFormat="1" ht="51.9" customHeight="1" x14ac:dyDescent="0.2">
      <c r="A9021" s="5">
        <v>0</v>
      </c>
      <c r="B9021" s="6" t="s">
        <v>50585</v>
      </c>
      <c r="C9021" s="7">
        <v>2428.8000000000002</v>
      </c>
      <c r="D9021" s="8" t="s">
        <v>50586</v>
      </c>
      <c r="E9021" s="8" t="s">
        <v>50587</v>
      </c>
      <c r="F9021" s="8" t="s">
        <v>50588</v>
      </c>
      <c r="G9021" s="6" t="s">
        <v>60</v>
      </c>
      <c r="H9021" s="6" t="s">
        <v>34</v>
      </c>
      <c r="I9021" s="8" t="s">
        <v>271</v>
      </c>
      <c r="J9021" s="9">
        <v>1</v>
      </c>
      <c r="K9021" s="9">
        <v>369</v>
      </c>
      <c r="L9021" s="9">
        <v>2026</v>
      </c>
      <c r="M9021" s="8" t="s">
        <v>50589</v>
      </c>
      <c r="N9021" s="8" t="s">
        <v>37</v>
      </c>
      <c r="O9021" s="8" t="s">
        <v>233</v>
      </c>
      <c r="P9021" s="6" t="s">
        <v>306</v>
      </c>
      <c r="Q9021" s="8" t="s">
        <v>52</v>
      </c>
      <c r="R9021" s="10" t="s">
        <v>50590</v>
      </c>
      <c r="S9021" s="11" t="s">
        <v>50591</v>
      </c>
      <c r="T9021" s="6"/>
      <c r="U9021" s="15" t="str">
        <f>HYPERLINK("https://media.infra-m.ru/2225/2225028/cover/2225028.jpg", "Обложка")</f>
        <v>Обложка</v>
      </c>
      <c r="V9021" s="8" t="s">
        <v>761</v>
      </c>
      <c r="W9021" s="6"/>
      <c r="X9021" s="6"/>
      <c r="Y9021" s="6"/>
      <c r="Z9021" s="6"/>
      <c r="AA9021" s="6" t="s">
        <v>1256</v>
      </c>
      <c r="AB9021" s="8"/>
      <c r="AC9021" s="27">
        <v>9785160156569</v>
      </c>
    </row>
    <row r="9022" spans="1:29" s="4" customFormat="1" ht="51.9" customHeight="1" x14ac:dyDescent="0.2">
      <c r="A9022" s="5">
        <v>0</v>
      </c>
      <c r="B9022" s="6" t="s">
        <v>50592</v>
      </c>
      <c r="C9022" s="7">
        <v>3588</v>
      </c>
      <c r="D9022" s="8" t="s">
        <v>50593</v>
      </c>
      <c r="E9022" s="8" t="s">
        <v>50594</v>
      </c>
      <c r="F9022" s="8" t="s">
        <v>33626</v>
      </c>
      <c r="G9022" s="6" t="s">
        <v>60</v>
      </c>
      <c r="H9022" s="6" t="s">
        <v>34</v>
      </c>
      <c r="I9022" s="8" t="s">
        <v>253</v>
      </c>
      <c r="J9022" s="9">
        <v>1</v>
      </c>
      <c r="K9022" s="9">
        <v>544</v>
      </c>
      <c r="L9022" s="9">
        <v>2026</v>
      </c>
      <c r="M9022" s="8" t="s">
        <v>50595</v>
      </c>
      <c r="N9022" s="8" t="s">
        <v>243</v>
      </c>
      <c r="O9022" s="8" t="s">
        <v>244</v>
      </c>
      <c r="P9022" s="6" t="s">
        <v>51</v>
      </c>
      <c r="Q9022" s="8" t="s">
        <v>65</v>
      </c>
      <c r="R9022" s="10" t="s">
        <v>50596</v>
      </c>
      <c r="S9022" s="11" t="s">
        <v>50597</v>
      </c>
      <c r="T9022" s="6"/>
      <c r="U9022" s="15" t="str">
        <f>HYPERLINK("https://media.infra-m.ru/2230/2230806/cover/2230806.jpg", "Обложка")</f>
        <v>Обложка</v>
      </c>
      <c r="V9022" s="8" t="s">
        <v>2055</v>
      </c>
      <c r="W9022" s="6" t="s">
        <v>2941</v>
      </c>
      <c r="X9022" s="6"/>
      <c r="Y9022" s="6"/>
      <c r="Z9022" s="6"/>
      <c r="AA9022" s="6" t="s">
        <v>68</v>
      </c>
      <c r="AB9022" s="8" t="s">
        <v>2634</v>
      </c>
      <c r="AC9022" s="27">
        <v>9785160215617</v>
      </c>
    </row>
    <row r="9023" spans="1:29" s="4" customFormat="1" ht="51.9" customHeight="1" x14ac:dyDescent="0.2">
      <c r="A9023" s="5">
        <v>0</v>
      </c>
      <c r="B9023" s="6" t="s">
        <v>50598</v>
      </c>
      <c r="C9023" s="7">
        <v>2484</v>
      </c>
      <c r="D9023" s="8" t="s">
        <v>50599</v>
      </c>
      <c r="E9023" s="8" t="s">
        <v>50600</v>
      </c>
      <c r="F9023" s="8" t="s">
        <v>50601</v>
      </c>
      <c r="G9023" s="6" t="s">
        <v>118</v>
      </c>
      <c r="H9023" s="6" t="s">
        <v>134</v>
      </c>
      <c r="I9023" s="8"/>
      <c r="J9023" s="9">
        <v>1</v>
      </c>
      <c r="K9023" s="9">
        <v>376</v>
      </c>
      <c r="L9023" s="9">
        <v>2026</v>
      </c>
      <c r="M9023" s="8" t="s">
        <v>50602</v>
      </c>
      <c r="N9023" s="8" t="s">
        <v>37</v>
      </c>
      <c r="O9023" s="8" t="s">
        <v>233</v>
      </c>
      <c r="P9023" s="6" t="s">
        <v>234</v>
      </c>
      <c r="Q9023" s="8" t="s">
        <v>40</v>
      </c>
      <c r="R9023" s="10" t="s">
        <v>50603</v>
      </c>
      <c r="S9023" s="11"/>
      <c r="T9023" s="6"/>
      <c r="U9023" s="15" t="str">
        <f>HYPERLINK("https://media.infra-m.ru/2250/2250341/cover/2250341.jpg", "Обложка")</f>
        <v>Обложка</v>
      </c>
      <c r="V9023" s="8" t="s">
        <v>138</v>
      </c>
      <c r="W9023" s="6"/>
      <c r="X9023" s="6"/>
      <c r="Y9023" s="6"/>
      <c r="Z9023" s="6"/>
      <c r="AA9023" s="6" t="s">
        <v>148</v>
      </c>
      <c r="AB9023" s="8"/>
      <c r="AC9023" s="27">
        <v>9785001562108</v>
      </c>
    </row>
    <row r="9024" spans="1:29" s="4" customFormat="1" ht="51.9" customHeight="1" x14ac:dyDescent="0.2">
      <c r="A9024" s="5">
        <v>0</v>
      </c>
      <c r="B9024" s="6" t="s">
        <v>50604</v>
      </c>
      <c r="C9024" s="7">
        <v>3160.8</v>
      </c>
      <c r="D9024" s="8" t="s">
        <v>50605</v>
      </c>
      <c r="E9024" s="8" t="s">
        <v>50582</v>
      </c>
      <c r="F9024" s="8" t="s">
        <v>33626</v>
      </c>
      <c r="G9024" s="6" t="s">
        <v>60</v>
      </c>
      <c r="H9024" s="6" t="s">
        <v>34</v>
      </c>
      <c r="I9024" s="8" t="s">
        <v>253</v>
      </c>
      <c r="J9024" s="9">
        <v>1</v>
      </c>
      <c r="K9024" s="9">
        <v>479</v>
      </c>
      <c r="L9024" s="9">
        <v>2026</v>
      </c>
      <c r="M9024" s="8" t="s">
        <v>50606</v>
      </c>
      <c r="N9024" s="8" t="s">
        <v>37</v>
      </c>
      <c r="O9024" s="8" t="s">
        <v>233</v>
      </c>
      <c r="P9024" s="6" t="s">
        <v>306</v>
      </c>
      <c r="Q9024" s="8" t="s">
        <v>65</v>
      </c>
      <c r="R9024" s="10" t="s">
        <v>357</v>
      </c>
      <c r="S9024" s="11" t="s">
        <v>18789</v>
      </c>
      <c r="T9024" s="6"/>
      <c r="U9024" s="15" t="str">
        <f>HYPERLINK("https://media.infra-m.ru/2237/2237121/cover/2237121.jpg", "Обложка")</f>
        <v>Обложка</v>
      </c>
      <c r="V9024" s="8" t="s">
        <v>2055</v>
      </c>
      <c r="W9024" s="6"/>
      <c r="X9024" s="6"/>
      <c r="Y9024" s="6"/>
      <c r="Z9024" s="6"/>
      <c r="AA9024" s="6" t="s">
        <v>86</v>
      </c>
      <c r="AB9024" s="8"/>
      <c r="AC9024" s="27">
        <v>9785160185132</v>
      </c>
    </row>
    <row r="9025" spans="1:29" s="4" customFormat="1" ht="51.9" customHeight="1" x14ac:dyDescent="0.2">
      <c r="A9025" s="5">
        <v>0</v>
      </c>
      <c r="B9025" s="6" t="s">
        <v>50607</v>
      </c>
      <c r="C9025" s="7">
        <v>1296</v>
      </c>
      <c r="D9025" s="8" t="s">
        <v>50608</v>
      </c>
      <c r="E9025" s="8" t="s">
        <v>50609</v>
      </c>
      <c r="F9025" s="8" t="s">
        <v>18651</v>
      </c>
      <c r="G9025" s="6" t="s">
        <v>118</v>
      </c>
      <c r="H9025" s="6" t="s">
        <v>34</v>
      </c>
      <c r="I9025" s="8" t="s">
        <v>253</v>
      </c>
      <c r="J9025" s="9">
        <v>1</v>
      </c>
      <c r="K9025" s="9">
        <v>186</v>
      </c>
      <c r="L9025" s="9">
        <v>2027</v>
      </c>
      <c r="M9025" s="8" t="s">
        <v>50610</v>
      </c>
      <c r="N9025" s="8" t="s">
        <v>37</v>
      </c>
      <c r="O9025" s="8" t="s">
        <v>233</v>
      </c>
      <c r="P9025" s="6" t="s">
        <v>306</v>
      </c>
      <c r="Q9025" s="8" t="s">
        <v>52</v>
      </c>
      <c r="R9025" s="10" t="s">
        <v>50611</v>
      </c>
      <c r="S9025" s="11" t="s">
        <v>47294</v>
      </c>
      <c r="T9025" s="6"/>
      <c r="U9025" s="15" t="str">
        <f>HYPERLINK("https://media.infra-m.ru/2235/2235453/cover/2235453.jpg", "Обложка")</f>
        <v>Обложка</v>
      </c>
      <c r="V9025" s="8" t="s">
        <v>6059</v>
      </c>
      <c r="W9025" s="6"/>
      <c r="X9025" s="6" t="s">
        <v>24</v>
      </c>
      <c r="Y9025" s="6"/>
      <c r="Z9025" s="6"/>
      <c r="AA9025" s="6" t="s">
        <v>86</v>
      </c>
      <c r="AB9025" s="8"/>
      <c r="AC9025" s="27">
        <v>9785160191348</v>
      </c>
    </row>
    <row r="9026" spans="1:29" s="4" customFormat="1" ht="42" customHeight="1" x14ac:dyDescent="0.2">
      <c r="A9026" s="5">
        <v>0</v>
      </c>
      <c r="B9026" s="6" t="s">
        <v>50612</v>
      </c>
      <c r="C9026" s="7">
        <v>1344</v>
      </c>
      <c r="D9026" s="8" t="s">
        <v>50613</v>
      </c>
      <c r="E9026" s="8" t="s">
        <v>50614</v>
      </c>
      <c r="F9026" s="8" t="s">
        <v>50615</v>
      </c>
      <c r="G9026" s="6" t="s">
        <v>60</v>
      </c>
      <c r="H9026" s="6" t="s">
        <v>34</v>
      </c>
      <c r="I9026" s="8" t="s">
        <v>1248</v>
      </c>
      <c r="J9026" s="9">
        <v>1</v>
      </c>
      <c r="K9026" s="9">
        <v>234</v>
      </c>
      <c r="L9026" s="9">
        <v>2024</v>
      </c>
      <c r="M9026" s="8" t="s">
        <v>50616</v>
      </c>
      <c r="N9026" s="8" t="s">
        <v>243</v>
      </c>
      <c r="O9026" s="8" t="s">
        <v>933</v>
      </c>
      <c r="P9026" s="6" t="s">
        <v>51</v>
      </c>
      <c r="Q9026" s="8" t="s">
        <v>65</v>
      </c>
      <c r="R9026" s="10" t="s">
        <v>27301</v>
      </c>
      <c r="S9026" s="11"/>
      <c r="T9026" s="6"/>
      <c r="U9026" s="15" t="str">
        <f>HYPERLINK("https://media.infra-m.ru/2130/2130482/cover/2130482.jpg", "Обложка")</f>
        <v>Обложка</v>
      </c>
      <c r="V9026" s="8" t="s">
        <v>1083</v>
      </c>
      <c r="W9026" s="6"/>
      <c r="X9026" s="6"/>
      <c r="Y9026" s="6"/>
      <c r="Z9026" s="6"/>
      <c r="AA9026" s="6" t="s">
        <v>76</v>
      </c>
      <c r="AB9026" s="8"/>
      <c r="AC9026" s="27">
        <v>9785160195933</v>
      </c>
    </row>
    <row r="9027" spans="1:29" s="4" customFormat="1" ht="42" customHeight="1" x14ac:dyDescent="0.2">
      <c r="A9027" s="5">
        <v>0</v>
      </c>
      <c r="B9027" s="6" t="s">
        <v>50617</v>
      </c>
      <c r="C9027" s="7">
        <v>1476</v>
      </c>
      <c r="D9027" s="8" t="s">
        <v>50618</v>
      </c>
      <c r="E9027" s="8" t="s">
        <v>50619</v>
      </c>
      <c r="F9027" s="8" t="s">
        <v>50620</v>
      </c>
      <c r="G9027" s="6" t="s">
        <v>60</v>
      </c>
      <c r="H9027" s="6" t="s">
        <v>34</v>
      </c>
      <c r="I9027" s="8" t="s">
        <v>35</v>
      </c>
      <c r="J9027" s="9">
        <v>1</v>
      </c>
      <c r="K9027" s="9">
        <v>216</v>
      </c>
      <c r="L9027" s="9">
        <v>2026</v>
      </c>
      <c r="M9027" s="8" t="s">
        <v>50621</v>
      </c>
      <c r="N9027" s="8" t="s">
        <v>37</v>
      </c>
      <c r="O9027" s="8" t="s">
        <v>136</v>
      </c>
      <c r="P9027" s="6" t="s">
        <v>39</v>
      </c>
      <c r="Q9027" s="8" t="s">
        <v>40</v>
      </c>
      <c r="R9027" s="10" t="s">
        <v>8485</v>
      </c>
      <c r="S9027" s="11"/>
      <c r="T9027" s="6"/>
      <c r="U9027" s="15" t="str">
        <f>HYPERLINK("https://media.infra-m.ru/2222/2222623/cover/2222623.jpg", "Обложка")</f>
        <v>Обложка</v>
      </c>
      <c r="V9027" s="8" t="s">
        <v>1483</v>
      </c>
      <c r="W9027" s="6" t="s">
        <v>186</v>
      </c>
      <c r="X9027" s="6"/>
      <c r="Y9027" s="6"/>
      <c r="Z9027" s="6"/>
      <c r="AA9027" s="6" t="s">
        <v>187</v>
      </c>
      <c r="AB9027" s="8" t="s">
        <v>6493</v>
      </c>
      <c r="AC9027" s="27">
        <v>9785160213484</v>
      </c>
    </row>
    <row r="9028" spans="1:29" s="4" customFormat="1" ht="42" customHeight="1" x14ac:dyDescent="0.2">
      <c r="A9028" s="5">
        <v>0</v>
      </c>
      <c r="B9028" s="6" t="s">
        <v>50622</v>
      </c>
      <c r="C9028" s="7">
        <v>1264.8</v>
      </c>
      <c r="D9028" s="8" t="s">
        <v>50623</v>
      </c>
      <c r="E9028" s="8" t="s">
        <v>50624</v>
      </c>
      <c r="F9028" s="8" t="s">
        <v>10297</v>
      </c>
      <c r="G9028" s="6" t="s">
        <v>118</v>
      </c>
      <c r="H9028" s="6" t="s">
        <v>34</v>
      </c>
      <c r="I9028" s="8" t="s">
        <v>35</v>
      </c>
      <c r="J9028" s="9">
        <v>1</v>
      </c>
      <c r="K9028" s="9">
        <v>191</v>
      </c>
      <c r="L9028" s="9">
        <v>2026</v>
      </c>
      <c r="M9028" s="8" t="s">
        <v>50625</v>
      </c>
      <c r="N9028" s="8" t="s">
        <v>37</v>
      </c>
      <c r="O9028" s="8" t="s">
        <v>136</v>
      </c>
      <c r="P9028" s="6" t="s">
        <v>39</v>
      </c>
      <c r="Q9028" s="8" t="s">
        <v>40</v>
      </c>
      <c r="R9028" s="10" t="s">
        <v>8485</v>
      </c>
      <c r="S9028" s="11"/>
      <c r="T9028" s="6"/>
      <c r="U9028" s="15" t="str">
        <f>HYPERLINK("https://media.infra-m.ru/2236/2236758/cover/2236758.jpg", "Обложка")</f>
        <v>Обложка</v>
      </c>
      <c r="V9028" s="8" t="s">
        <v>1184</v>
      </c>
      <c r="W9028" s="6"/>
      <c r="X9028" s="6"/>
      <c r="Y9028" s="6"/>
      <c r="Z9028" s="6"/>
      <c r="AA9028" s="6" t="s">
        <v>76</v>
      </c>
      <c r="AB9028" s="8"/>
      <c r="AC9028" s="27">
        <v>9785160190037</v>
      </c>
    </row>
    <row r="9029" spans="1:29" s="4" customFormat="1" ht="42" customHeight="1" x14ac:dyDescent="0.2">
      <c r="A9029" s="5">
        <v>0</v>
      </c>
      <c r="B9029" s="6" t="s">
        <v>50626</v>
      </c>
      <c r="C9029" s="7">
        <v>1740</v>
      </c>
      <c r="D9029" s="8" t="s">
        <v>50627</v>
      </c>
      <c r="E9029" s="8" t="s">
        <v>50628</v>
      </c>
      <c r="F9029" s="8" t="s">
        <v>489</v>
      </c>
      <c r="G9029" s="6" t="s">
        <v>60</v>
      </c>
      <c r="H9029" s="6" t="s">
        <v>34</v>
      </c>
      <c r="I9029" s="8" t="s">
        <v>3119</v>
      </c>
      <c r="J9029" s="9">
        <v>1</v>
      </c>
      <c r="K9029" s="9">
        <v>228</v>
      </c>
      <c r="L9029" s="9">
        <v>2027</v>
      </c>
      <c r="M9029" s="8" t="s">
        <v>50629</v>
      </c>
      <c r="N9029" s="8" t="s">
        <v>37</v>
      </c>
      <c r="O9029" s="8" t="s">
        <v>280</v>
      </c>
      <c r="P9029" s="6" t="s">
        <v>306</v>
      </c>
      <c r="Q9029" s="8" t="s">
        <v>52</v>
      </c>
      <c r="R9029" s="10" t="s">
        <v>3008</v>
      </c>
      <c r="S9029" s="11"/>
      <c r="T9029" s="6"/>
      <c r="U9029" s="15" t="str">
        <f>HYPERLINK("https://media.infra-m.ru/2258/2258093/cover/2258093.jpg", "Обложка")</f>
        <v>Обложка</v>
      </c>
      <c r="V9029" s="8" t="s">
        <v>396</v>
      </c>
      <c r="W9029" s="6" t="s">
        <v>2115</v>
      </c>
      <c r="X9029" s="6"/>
      <c r="Y9029" s="6"/>
      <c r="Z9029" s="6"/>
      <c r="AA9029" s="6" t="s">
        <v>420</v>
      </c>
      <c r="AB9029" s="8"/>
      <c r="AC9029" s="27">
        <v>9785160222165</v>
      </c>
    </row>
    <row r="9030" spans="1:29" s="4" customFormat="1" ht="42" customHeight="1" x14ac:dyDescent="0.2">
      <c r="A9030" s="5">
        <v>0</v>
      </c>
      <c r="B9030" s="6" t="s">
        <v>50630</v>
      </c>
      <c r="C9030" s="13">
        <v>960</v>
      </c>
      <c r="D9030" s="8" t="s">
        <v>50631</v>
      </c>
      <c r="E9030" s="8" t="s">
        <v>50632</v>
      </c>
      <c r="F9030" s="8" t="s">
        <v>50633</v>
      </c>
      <c r="G9030" s="6" t="s">
        <v>33</v>
      </c>
      <c r="H9030" s="6" t="s">
        <v>34</v>
      </c>
      <c r="I9030" s="8" t="s">
        <v>35</v>
      </c>
      <c r="J9030" s="9">
        <v>1</v>
      </c>
      <c r="K9030" s="9">
        <v>171</v>
      </c>
      <c r="L9030" s="9">
        <v>2023</v>
      </c>
      <c r="M9030" s="8" t="s">
        <v>50634</v>
      </c>
      <c r="N9030" s="8" t="s">
        <v>37</v>
      </c>
      <c r="O9030" s="8" t="s">
        <v>280</v>
      </c>
      <c r="P9030" s="6" t="s">
        <v>39</v>
      </c>
      <c r="Q9030" s="8" t="s">
        <v>40</v>
      </c>
      <c r="R9030" s="10" t="s">
        <v>3832</v>
      </c>
      <c r="S9030" s="11"/>
      <c r="T9030" s="6"/>
      <c r="U9030" s="15" t="str">
        <f>HYPERLINK("https://media.infra-m.ru/1900/1900981/cover/1900981.jpg", "Обложка")</f>
        <v>Обложка</v>
      </c>
      <c r="V9030" s="8"/>
      <c r="W9030" s="6"/>
      <c r="X9030" s="6"/>
      <c r="Y9030" s="6"/>
      <c r="Z9030" s="6"/>
      <c r="AA9030" s="6" t="s">
        <v>157</v>
      </c>
      <c r="AB9030" s="8"/>
      <c r="AC9030" s="27">
        <v>9785160179841</v>
      </c>
    </row>
    <row r="9031" spans="1:29" s="4" customFormat="1" ht="51.9" customHeight="1" x14ac:dyDescent="0.2">
      <c r="A9031" s="5">
        <v>0</v>
      </c>
      <c r="B9031" s="6" t="s">
        <v>50635</v>
      </c>
      <c r="C9031" s="7">
        <v>2520</v>
      </c>
      <c r="D9031" s="8" t="s">
        <v>50636</v>
      </c>
      <c r="E9031" s="8" t="s">
        <v>50637</v>
      </c>
      <c r="F9031" s="8" t="s">
        <v>50638</v>
      </c>
      <c r="G9031" s="6" t="s">
        <v>60</v>
      </c>
      <c r="H9031" s="6" t="s">
        <v>34</v>
      </c>
      <c r="I9031" s="8" t="s">
        <v>504</v>
      </c>
      <c r="J9031" s="9">
        <v>1</v>
      </c>
      <c r="K9031" s="9">
        <v>418</v>
      </c>
      <c r="L9031" s="9">
        <v>2025</v>
      </c>
      <c r="M9031" s="8" t="s">
        <v>50639</v>
      </c>
      <c r="N9031" s="8" t="s">
        <v>37</v>
      </c>
      <c r="O9031" s="8" t="s">
        <v>233</v>
      </c>
      <c r="P9031" s="6" t="s">
        <v>306</v>
      </c>
      <c r="Q9031" s="8" t="s">
        <v>500</v>
      </c>
      <c r="R9031" s="10" t="s">
        <v>8450</v>
      </c>
      <c r="S9031" s="11" t="s">
        <v>50640</v>
      </c>
      <c r="T9031" s="6"/>
      <c r="U9031" s="15" t="str">
        <f>HYPERLINK("https://media.infra-m.ru/2186/2186207/cover/2186207.jpg", "Обложка")</f>
        <v>Обложка</v>
      </c>
      <c r="V9031" s="8" t="s">
        <v>396</v>
      </c>
      <c r="W9031" s="6"/>
      <c r="X9031" s="6"/>
      <c r="Y9031" s="6"/>
      <c r="Z9031" s="6"/>
      <c r="AA9031" s="6" t="s">
        <v>86</v>
      </c>
      <c r="AB9031" s="8" t="s">
        <v>493</v>
      </c>
      <c r="AC9031" s="27">
        <v>9785160206226</v>
      </c>
    </row>
    <row r="9032" spans="1:29" s="4" customFormat="1" ht="44.1" customHeight="1" x14ac:dyDescent="0.2">
      <c r="A9032" s="5">
        <v>0</v>
      </c>
      <c r="B9032" s="6" t="s">
        <v>50641</v>
      </c>
      <c r="C9032" s="7">
        <v>1968</v>
      </c>
      <c r="D9032" s="8" t="s">
        <v>50642</v>
      </c>
      <c r="E9032" s="8" t="s">
        <v>50643</v>
      </c>
      <c r="F9032" s="8" t="s">
        <v>50644</v>
      </c>
      <c r="G9032" s="6" t="s">
        <v>60</v>
      </c>
      <c r="H9032" s="6" t="s">
        <v>34</v>
      </c>
      <c r="I9032" s="8" t="s">
        <v>253</v>
      </c>
      <c r="J9032" s="9">
        <v>1</v>
      </c>
      <c r="K9032" s="9">
        <v>281</v>
      </c>
      <c r="L9032" s="9">
        <v>2026</v>
      </c>
      <c r="M9032" s="8" t="s">
        <v>50645</v>
      </c>
      <c r="N9032" s="8" t="s">
        <v>37</v>
      </c>
      <c r="O9032" s="8" t="s">
        <v>499</v>
      </c>
      <c r="P9032" s="6" t="s">
        <v>306</v>
      </c>
      <c r="Q9032" s="8" t="s">
        <v>52</v>
      </c>
      <c r="R9032" s="10" t="s">
        <v>50646</v>
      </c>
      <c r="S9032" s="11"/>
      <c r="T9032" s="6"/>
      <c r="U9032" s="15" t="str">
        <f>HYPERLINK("https://media.infra-m.ru/2234/2234130/cover/2234130.jpg", "Обложка")</f>
        <v>Обложка</v>
      </c>
      <c r="V9032" s="8" t="s">
        <v>6224</v>
      </c>
      <c r="W9032" s="6" t="s">
        <v>9380</v>
      </c>
      <c r="X9032" s="6"/>
      <c r="Y9032" s="6"/>
      <c r="Z9032" s="6"/>
      <c r="AA9032" s="6" t="s">
        <v>187</v>
      </c>
      <c r="AB9032" s="8" t="s">
        <v>308</v>
      </c>
      <c r="AC9032" s="27">
        <v>9785160216751</v>
      </c>
    </row>
    <row r="9033" spans="1:29" s="4" customFormat="1" ht="42" customHeight="1" x14ac:dyDescent="0.2">
      <c r="A9033" s="5">
        <v>0</v>
      </c>
      <c r="B9033" s="6" t="s">
        <v>50647</v>
      </c>
      <c r="C9033" s="7">
        <v>1764</v>
      </c>
      <c r="D9033" s="8" t="s">
        <v>50648</v>
      </c>
      <c r="E9033" s="8" t="s">
        <v>50649</v>
      </c>
      <c r="F9033" s="8" t="s">
        <v>50650</v>
      </c>
      <c r="G9033" s="6" t="s">
        <v>60</v>
      </c>
      <c r="H9033" s="6" t="s">
        <v>34</v>
      </c>
      <c r="I9033" s="8" t="s">
        <v>14000</v>
      </c>
      <c r="J9033" s="9">
        <v>1</v>
      </c>
      <c r="K9033" s="9">
        <v>309</v>
      </c>
      <c r="L9033" s="9">
        <v>2024</v>
      </c>
      <c r="M9033" s="8" t="s">
        <v>50651</v>
      </c>
      <c r="N9033" s="8" t="s">
        <v>243</v>
      </c>
      <c r="O9033" s="8" t="s">
        <v>244</v>
      </c>
      <c r="P9033" s="6" t="s">
        <v>51</v>
      </c>
      <c r="Q9033" s="8" t="s">
        <v>65</v>
      </c>
      <c r="R9033" s="10" t="s">
        <v>50652</v>
      </c>
      <c r="S9033" s="11"/>
      <c r="T9033" s="6"/>
      <c r="U9033" s="15" t="str">
        <f>HYPERLINK("https://media.infra-m.ru/2104/2104875/cover/2104875.jpg", "Обложка")</f>
        <v>Обложка</v>
      </c>
      <c r="V9033" s="8" t="s">
        <v>414</v>
      </c>
      <c r="W9033" s="6"/>
      <c r="X9033" s="6"/>
      <c r="Y9033" s="6"/>
      <c r="Z9033" s="6"/>
      <c r="AA9033" s="6" t="s">
        <v>76</v>
      </c>
      <c r="AB9033" s="8"/>
      <c r="AC9033" s="27">
        <v>9785160192949</v>
      </c>
    </row>
    <row r="9034" spans="1:29" s="4" customFormat="1" ht="51.9" customHeight="1" x14ac:dyDescent="0.2">
      <c r="A9034" s="5">
        <v>0</v>
      </c>
      <c r="B9034" s="6" t="s">
        <v>50653</v>
      </c>
      <c r="C9034" s="7">
        <v>1236</v>
      </c>
      <c r="D9034" s="8" t="s">
        <v>50654</v>
      </c>
      <c r="E9034" s="8" t="s">
        <v>50655</v>
      </c>
      <c r="F9034" s="8" t="s">
        <v>50656</v>
      </c>
      <c r="G9034" s="6" t="s">
        <v>60</v>
      </c>
      <c r="H9034" s="6" t="s">
        <v>34</v>
      </c>
      <c r="I9034" s="8" t="s">
        <v>457</v>
      </c>
      <c r="J9034" s="9">
        <v>1</v>
      </c>
      <c r="K9034" s="9">
        <v>209</v>
      </c>
      <c r="L9034" s="9">
        <v>2024</v>
      </c>
      <c r="M9034" s="8" t="s">
        <v>50657</v>
      </c>
      <c r="N9034" s="8" t="s">
        <v>243</v>
      </c>
      <c r="O9034" s="8" t="s">
        <v>244</v>
      </c>
      <c r="P9034" s="6" t="s">
        <v>39</v>
      </c>
      <c r="Q9034" s="8" t="s">
        <v>40</v>
      </c>
      <c r="R9034" s="10" t="s">
        <v>50658</v>
      </c>
      <c r="S9034" s="11"/>
      <c r="T9034" s="6"/>
      <c r="U9034" s="15" t="str">
        <f>HYPERLINK("https://media.infra-m.ru/2122/2122428/cover/2122428.jpg", "Обложка")</f>
        <v>Обложка</v>
      </c>
      <c r="V9034" s="8" t="s">
        <v>247</v>
      </c>
      <c r="W9034" s="6"/>
      <c r="X9034" s="6"/>
      <c r="Y9034" s="6"/>
      <c r="Z9034" s="6"/>
      <c r="AA9034" s="6" t="s">
        <v>76</v>
      </c>
      <c r="AB9034" s="8"/>
      <c r="AC9034" s="27">
        <v>9785160194608</v>
      </c>
    </row>
    <row r="9035" spans="1:29" s="4" customFormat="1" ht="51.9" customHeight="1" x14ac:dyDescent="0.2">
      <c r="A9035" s="5">
        <v>0</v>
      </c>
      <c r="B9035" s="6" t="s">
        <v>50659</v>
      </c>
      <c r="C9035" s="7">
        <v>1740</v>
      </c>
      <c r="D9035" s="8" t="s">
        <v>50660</v>
      </c>
      <c r="E9035" s="8" t="s">
        <v>50661</v>
      </c>
      <c r="F9035" s="8" t="s">
        <v>8137</v>
      </c>
      <c r="G9035" s="6" t="s">
        <v>60</v>
      </c>
      <c r="H9035" s="6" t="s">
        <v>34</v>
      </c>
      <c r="I9035" s="8" t="s">
        <v>253</v>
      </c>
      <c r="J9035" s="9">
        <v>1</v>
      </c>
      <c r="K9035" s="9">
        <v>228</v>
      </c>
      <c r="L9035" s="9">
        <v>2027</v>
      </c>
      <c r="M9035" s="8" t="s">
        <v>50662</v>
      </c>
      <c r="N9035" s="8" t="s">
        <v>37</v>
      </c>
      <c r="O9035" s="8" t="s">
        <v>233</v>
      </c>
      <c r="P9035" s="6" t="s">
        <v>306</v>
      </c>
      <c r="Q9035" s="8" t="s">
        <v>52</v>
      </c>
      <c r="R9035" s="10" t="s">
        <v>50663</v>
      </c>
      <c r="S9035" s="11"/>
      <c r="T9035" s="6"/>
      <c r="U9035" s="15" t="str">
        <f>HYPERLINK("https://media.infra-m.ru/2235/2235403/cover/2235403.jpg", "Обложка")</f>
        <v>Обложка</v>
      </c>
      <c r="V9035" s="8" t="s">
        <v>8139</v>
      </c>
      <c r="W9035" s="6" t="s">
        <v>649</v>
      </c>
      <c r="X9035" s="6"/>
      <c r="Y9035" s="6"/>
      <c r="Z9035" s="6"/>
      <c r="AA9035" s="6" t="s">
        <v>420</v>
      </c>
      <c r="AB9035" s="8" t="s">
        <v>308</v>
      </c>
      <c r="AC9035" s="27">
        <v>9785160216904</v>
      </c>
    </row>
    <row r="9036" spans="1:29" s="4" customFormat="1" ht="51.9" customHeight="1" x14ac:dyDescent="0.2">
      <c r="A9036" s="5">
        <v>0</v>
      </c>
      <c r="B9036" s="6" t="s">
        <v>50664</v>
      </c>
      <c r="C9036" s="7">
        <v>1416</v>
      </c>
      <c r="D9036" s="8" t="s">
        <v>50665</v>
      </c>
      <c r="E9036" s="8" t="s">
        <v>50666</v>
      </c>
      <c r="F9036" s="8" t="s">
        <v>50667</v>
      </c>
      <c r="G9036" s="6" t="s">
        <v>118</v>
      </c>
      <c r="H9036" s="6" t="s">
        <v>34</v>
      </c>
      <c r="I9036" s="8" t="s">
        <v>457</v>
      </c>
      <c r="J9036" s="9">
        <v>1</v>
      </c>
      <c r="K9036" s="9">
        <v>204</v>
      </c>
      <c r="L9036" s="9">
        <v>2026</v>
      </c>
      <c r="M9036" s="8" t="s">
        <v>50668</v>
      </c>
      <c r="N9036" s="8" t="s">
        <v>37</v>
      </c>
      <c r="O9036" s="8" t="s">
        <v>280</v>
      </c>
      <c r="P9036" s="6" t="s">
        <v>39</v>
      </c>
      <c r="Q9036" s="8" t="s">
        <v>40</v>
      </c>
      <c r="R9036" s="10" t="s">
        <v>50669</v>
      </c>
      <c r="S9036" s="11"/>
      <c r="T9036" s="6"/>
      <c r="U9036" s="15" t="str">
        <f>HYPERLINK("https://media.infra-m.ru/2261/2261156/cover/2261156.jpg", "Обложка")</f>
        <v>Обложка</v>
      </c>
      <c r="V9036" s="8" t="s">
        <v>247</v>
      </c>
      <c r="W9036" s="6"/>
      <c r="X9036" s="6"/>
      <c r="Y9036" s="6"/>
      <c r="Z9036" s="6"/>
      <c r="AA9036" s="6" t="s">
        <v>76</v>
      </c>
      <c r="AB9036" s="8"/>
      <c r="AC9036" s="27">
        <v>9785160185378</v>
      </c>
    </row>
    <row r="9037" spans="1:29" s="4" customFormat="1" ht="51.9" customHeight="1" x14ac:dyDescent="0.2">
      <c r="A9037" s="5">
        <v>0</v>
      </c>
      <c r="B9037" s="6" t="s">
        <v>50670</v>
      </c>
      <c r="C9037" s="7">
        <v>1552.8</v>
      </c>
      <c r="D9037" s="8" t="s">
        <v>50671</v>
      </c>
      <c r="E9037" s="8" t="s">
        <v>50672</v>
      </c>
      <c r="F9037" s="8" t="s">
        <v>50673</v>
      </c>
      <c r="G9037" s="6" t="s">
        <v>60</v>
      </c>
      <c r="H9037" s="6" t="s">
        <v>34</v>
      </c>
      <c r="I9037" s="8" t="s">
        <v>253</v>
      </c>
      <c r="J9037" s="9">
        <v>1</v>
      </c>
      <c r="K9037" s="9">
        <v>223</v>
      </c>
      <c r="L9037" s="9">
        <v>2027</v>
      </c>
      <c r="M9037" s="8" t="s">
        <v>50674</v>
      </c>
      <c r="N9037" s="8" t="s">
        <v>93</v>
      </c>
      <c r="O9037" s="8" t="s">
        <v>94</v>
      </c>
      <c r="P9037" s="6" t="s">
        <v>51</v>
      </c>
      <c r="Q9037" s="8" t="s">
        <v>52</v>
      </c>
      <c r="R9037" s="10" t="s">
        <v>50675</v>
      </c>
      <c r="S9037" s="11"/>
      <c r="T9037" s="6" t="s">
        <v>97</v>
      </c>
      <c r="U9037" s="15" t="str">
        <f>HYPERLINK("https://media.infra-m.ru/2263/2263172/cover/2263172.jpg", "Обложка")</f>
        <v>Обложка</v>
      </c>
      <c r="V9037" s="8" t="s">
        <v>6583</v>
      </c>
      <c r="W9037" s="6"/>
      <c r="X9037" s="6"/>
      <c r="Y9037" s="6"/>
      <c r="Z9037" s="6"/>
      <c r="AA9037" s="6" t="s">
        <v>68</v>
      </c>
      <c r="AB9037" s="8"/>
      <c r="AC9037" s="27">
        <v>9785160198255</v>
      </c>
    </row>
    <row r="9038" spans="1:29" s="4" customFormat="1" ht="42" customHeight="1" x14ac:dyDescent="0.2">
      <c r="A9038" s="5">
        <v>0</v>
      </c>
      <c r="B9038" s="6" t="s">
        <v>50676</v>
      </c>
      <c r="C9038" s="7">
        <v>2164.8000000000002</v>
      </c>
      <c r="D9038" s="8" t="s">
        <v>50677</v>
      </c>
      <c r="E9038" s="8" t="s">
        <v>50678</v>
      </c>
      <c r="F9038" s="8" t="s">
        <v>50679</v>
      </c>
      <c r="G9038" s="6" t="s">
        <v>60</v>
      </c>
      <c r="H9038" s="6" t="s">
        <v>313</v>
      </c>
      <c r="I9038" s="8" t="s">
        <v>253</v>
      </c>
      <c r="J9038" s="9">
        <v>1</v>
      </c>
      <c r="K9038" s="9">
        <v>311</v>
      </c>
      <c r="L9038" s="9">
        <v>2026</v>
      </c>
      <c r="M9038" s="8" t="s">
        <v>50680</v>
      </c>
      <c r="N9038" s="8" t="s">
        <v>243</v>
      </c>
      <c r="O9038" s="8" t="s">
        <v>244</v>
      </c>
      <c r="P9038" s="6" t="s">
        <v>306</v>
      </c>
      <c r="Q9038" s="8" t="s">
        <v>65</v>
      </c>
      <c r="R9038" s="10" t="s">
        <v>10318</v>
      </c>
      <c r="S9038" s="11"/>
      <c r="T9038" s="6"/>
      <c r="U9038" s="15" t="str">
        <f>HYPERLINK("https://media.infra-m.ru/2262/2262819/cover/2262819.jpg", "Обложка")</f>
        <v>Обложка</v>
      </c>
      <c r="V9038" s="8" t="s">
        <v>4368</v>
      </c>
      <c r="W9038" s="6"/>
      <c r="X9038" s="6"/>
      <c r="Y9038" s="6"/>
      <c r="Z9038" s="6"/>
      <c r="AA9038" s="6" t="s">
        <v>157</v>
      </c>
      <c r="AB9038" s="8"/>
      <c r="AC9038" s="27">
        <v>9785369019702</v>
      </c>
    </row>
    <row r="9039" spans="1:29" s="4" customFormat="1" ht="42" customHeight="1" x14ac:dyDescent="0.2">
      <c r="A9039" s="5">
        <v>0</v>
      </c>
      <c r="B9039" s="6" t="s">
        <v>50681</v>
      </c>
      <c r="C9039" s="7">
        <v>2028</v>
      </c>
      <c r="D9039" s="8" t="s">
        <v>50682</v>
      </c>
      <c r="E9039" s="8" t="s">
        <v>50683</v>
      </c>
      <c r="F9039" s="8" t="s">
        <v>50679</v>
      </c>
      <c r="G9039" s="6" t="s">
        <v>60</v>
      </c>
      <c r="H9039" s="6" t="s">
        <v>313</v>
      </c>
      <c r="I9039" s="8" t="s">
        <v>253</v>
      </c>
      <c r="J9039" s="9">
        <v>1</v>
      </c>
      <c r="K9039" s="9">
        <v>331</v>
      </c>
      <c r="L9039" s="9">
        <v>2025</v>
      </c>
      <c r="M9039" s="8" t="s">
        <v>50680</v>
      </c>
      <c r="N9039" s="8" t="s">
        <v>243</v>
      </c>
      <c r="O9039" s="8" t="s">
        <v>244</v>
      </c>
      <c r="P9039" s="6" t="s">
        <v>306</v>
      </c>
      <c r="Q9039" s="8" t="s">
        <v>65</v>
      </c>
      <c r="R9039" s="10" t="s">
        <v>10318</v>
      </c>
      <c r="S9039" s="11"/>
      <c r="T9039" s="6"/>
      <c r="U9039" s="15" t="str">
        <f>HYPERLINK("https://media.infra-m.ru/2168/2168894/cover/2168894.jpg", "Обложка")</f>
        <v>Обложка</v>
      </c>
      <c r="V9039" s="8" t="s">
        <v>4368</v>
      </c>
      <c r="W9039" s="6"/>
      <c r="X9039" s="6"/>
      <c r="Y9039" s="6"/>
      <c r="Z9039" s="6"/>
      <c r="AA9039" s="6" t="s">
        <v>917</v>
      </c>
      <c r="AB9039" s="8"/>
      <c r="AC9039" s="27">
        <v>9785369019702</v>
      </c>
    </row>
    <row r="9040" spans="1:29" s="4" customFormat="1" ht="42" customHeight="1" x14ac:dyDescent="0.2">
      <c r="A9040" s="5">
        <v>0</v>
      </c>
      <c r="B9040" s="6" t="s">
        <v>50684</v>
      </c>
      <c r="C9040" s="13">
        <v>696</v>
      </c>
      <c r="D9040" s="8" t="s">
        <v>50685</v>
      </c>
      <c r="E9040" s="8" t="s">
        <v>50686</v>
      </c>
      <c r="F9040" s="8" t="s">
        <v>50687</v>
      </c>
      <c r="G9040" s="6" t="s">
        <v>33</v>
      </c>
      <c r="H9040" s="6" t="s">
        <v>134</v>
      </c>
      <c r="I9040" s="8"/>
      <c r="J9040" s="9">
        <v>1</v>
      </c>
      <c r="K9040" s="9">
        <v>104</v>
      </c>
      <c r="L9040" s="9">
        <v>2026</v>
      </c>
      <c r="M9040" s="8" t="s">
        <v>50688</v>
      </c>
      <c r="N9040" s="8" t="s">
        <v>243</v>
      </c>
      <c r="O9040" s="8" t="s">
        <v>244</v>
      </c>
      <c r="P9040" s="6" t="s">
        <v>51</v>
      </c>
      <c r="Q9040" s="8" t="s">
        <v>52</v>
      </c>
      <c r="R9040" s="10" t="s">
        <v>50689</v>
      </c>
      <c r="S9040" s="11"/>
      <c r="T9040" s="6"/>
      <c r="U9040" s="15" t="str">
        <f>HYPERLINK("https://media.infra-m.ru/2227/2227487/cover/2227487.jpg", "Обложка")</f>
        <v>Обложка</v>
      </c>
      <c r="V9040" s="8" t="s">
        <v>1184</v>
      </c>
      <c r="W9040" s="6"/>
      <c r="X9040" s="6"/>
      <c r="Y9040" s="6"/>
      <c r="Z9040" s="6"/>
      <c r="AA9040" s="6" t="s">
        <v>430</v>
      </c>
      <c r="AB9040" s="8"/>
      <c r="AC9040" s="27">
        <v>9785001561552</v>
      </c>
    </row>
    <row r="9041" spans="1:29" s="4" customFormat="1" ht="44.1" customHeight="1" x14ac:dyDescent="0.2">
      <c r="A9041" s="5">
        <v>0</v>
      </c>
      <c r="B9041" s="6" t="s">
        <v>50690</v>
      </c>
      <c r="C9041" s="7">
        <v>1152</v>
      </c>
      <c r="D9041" s="8" t="s">
        <v>50691</v>
      </c>
      <c r="E9041" s="8" t="s">
        <v>50692</v>
      </c>
      <c r="F9041" s="8" t="s">
        <v>11727</v>
      </c>
      <c r="G9041" s="6" t="s">
        <v>33</v>
      </c>
      <c r="H9041" s="6" t="s">
        <v>34</v>
      </c>
      <c r="I9041" s="8" t="s">
        <v>35</v>
      </c>
      <c r="J9041" s="9">
        <v>1</v>
      </c>
      <c r="K9041" s="9">
        <v>213</v>
      </c>
      <c r="L9041" s="9">
        <v>2023</v>
      </c>
      <c r="M9041" s="8" t="s">
        <v>50693</v>
      </c>
      <c r="N9041" s="8" t="s">
        <v>37</v>
      </c>
      <c r="O9041" s="8" t="s">
        <v>280</v>
      </c>
      <c r="P9041" s="6" t="s">
        <v>39</v>
      </c>
      <c r="Q9041" s="8" t="s">
        <v>40</v>
      </c>
      <c r="R9041" s="10" t="s">
        <v>20475</v>
      </c>
      <c r="S9041" s="11"/>
      <c r="T9041" s="6"/>
      <c r="U9041" s="15" t="str">
        <f>HYPERLINK("https://media.infra-m.ru/1971/1971822/cover/1971822.jpg", "Обложка")</f>
        <v>Обложка</v>
      </c>
      <c r="V9041" s="8" t="s">
        <v>28450</v>
      </c>
      <c r="W9041" s="6"/>
      <c r="X9041" s="6"/>
      <c r="Y9041" s="6"/>
      <c r="Z9041" s="6"/>
      <c r="AA9041" s="6" t="s">
        <v>148</v>
      </c>
      <c r="AB9041" s="8"/>
      <c r="AC9041" s="27">
        <v>9785160171869</v>
      </c>
    </row>
    <row r="9042" spans="1:29" s="4" customFormat="1" ht="51.9" customHeight="1" x14ac:dyDescent="0.2">
      <c r="A9042" s="5">
        <v>0</v>
      </c>
      <c r="B9042" s="6" t="s">
        <v>50694</v>
      </c>
      <c r="C9042" s="7">
        <v>2976</v>
      </c>
      <c r="D9042" s="8" t="s">
        <v>50695</v>
      </c>
      <c r="E9042" s="8" t="s">
        <v>50696</v>
      </c>
      <c r="F9042" s="8" t="s">
        <v>50697</v>
      </c>
      <c r="G9042" s="6" t="s">
        <v>60</v>
      </c>
      <c r="H9042" s="6" t="s">
        <v>34</v>
      </c>
      <c r="I9042" s="8" t="s">
        <v>3119</v>
      </c>
      <c r="J9042" s="9">
        <v>1</v>
      </c>
      <c r="K9042" s="9">
        <v>451</v>
      </c>
      <c r="L9042" s="9">
        <v>2026</v>
      </c>
      <c r="M9042" s="8" t="s">
        <v>50698</v>
      </c>
      <c r="N9042" s="8" t="s">
        <v>37</v>
      </c>
      <c r="O9042" s="8" t="s">
        <v>233</v>
      </c>
      <c r="P9042" s="6" t="s">
        <v>306</v>
      </c>
      <c r="Q9042" s="8" t="s">
        <v>500</v>
      </c>
      <c r="R9042" s="10" t="s">
        <v>49811</v>
      </c>
      <c r="S9042" s="11" t="s">
        <v>50699</v>
      </c>
      <c r="T9042" s="6"/>
      <c r="U9042" s="15" t="str">
        <f>HYPERLINK("https://media.infra-m.ru/2212/2212135/cover/2212135.jpg", "Обложка")</f>
        <v>Обложка</v>
      </c>
      <c r="V9042" s="8" t="s">
        <v>396</v>
      </c>
      <c r="W9042" s="6"/>
      <c r="X9042" s="6"/>
      <c r="Y9042" s="6"/>
      <c r="Z9042" s="6"/>
      <c r="AA9042" s="6" t="s">
        <v>76</v>
      </c>
      <c r="AB9042" s="8"/>
      <c r="AC9042" s="27">
        <v>9785160191638</v>
      </c>
    </row>
    <row r="9043" spans="1:29" s="4" customFormat="1" ht="51.9" customHeight="1" x14ac:dyDescent="0.2">
      <c r="A9043" s="5">
        <v>0</v>
      </c>
      <c r="B9043" s="6" t="s">
        <v>50700</v>
      </c>
      <c r="C9043" s="7">
        <v>1024.8</v>
      </c>
      <c r="D9043" s="8" t="s">
        <v>50701</v>
      </c>
      <c r="E9043" s="8" t="s">
        <v>50702</v>
      </c>
      <c r="F9043" s="8" t="s">
        <v>37646</v>
      </c>
      <c r="G9043" s="6" t="s">
        <v>118</v>
      </c>
      <c r="H9043" s="6" t="s">
        <v>34</v>
      </c>
      <c r="I9043" s="8" t="s">
        <v>504</v>
      </c>
      <c r="J9043" s="9">
        <v>1</v>
      </c>
      <c r="K9043" s="9">
        <v>156</v>
      </c>
      <c r="L9043" s="9">
        <v>2026</v>
      </c>
      <c r="M9043" s="8" t="s">
        <v>50703</v>
      </c>
      <c r="N9043" s="8" t="s">
        <v>63</v>
      </c>
      <c r="O9043" s="8" t="s">
        <v>64</v>
      </c>
      <c r="P9043" s="6" t="s">
        <v>51</v>
      </c>
      <c r="Q9043" s="8" t="s">
        <v>500</v>
      </c>
      <c r="R9043" s="10" t="s">
        <v>50704</v>
      </c>
      <c r="S9043" s="11" t="s">
        <v>50705</v>
      </c>
      <c r="T9043" s="6"/>
      <c r="U9043" s="15" t="str">
        <f>HYPERLINK("https://media.infra-m.ru/2235/2235447/cover/2235447.jpg", "Обложка")</f>
        <v>Обложка</v>
      </c>
      <c r="V9043" s="8" t="s">
        <v>6583</v>
      </c>
      <c r="W9043" s="6"/>
      <c r="X9043" s="6"/>
      <c r="Y9043" s="6"/>
      <c r="Z9043" s="6"/>
      <c r="AA9043" s="6" t="s">
        <v>86</v>
      </c>
      <c r="AB9043" s="8"/>
      <c r="AC9043" s="27">
        <v>9785160130262</v>
      </c>
    </row>
    <row r="9044" spans="1:29" s="4" customFormat="1" ht="51.9" customHeight="1" x14ac:dyDescent="0.2">
      <c r="A9044" s="5">
        <v>0</v>
      </c>
      <c r="B9044" s="6" t="s">
        <v>50706</v>
      </c>
      <c r="C9044" s="7">
        <v>1500</v>
      </c>
      <c r="D9044" s="8" t="s">
        <v>50707</v>
      </c>
      <c r="E9044" s="8" t="s">
        <v>50708</v>
      </c>
      <c r="F9044" s="8" t="s">
        <v>50709</v>
      </c>
      <c r="G9044" s="6" t="s">
        <v>60</v>
      </c>
      <c r="H9044" s="6" t="s">
        <v>34</v>
      </c>
      <c r="I9044" s="8" t="s">
        <v>35</v>
      </c>
      <c r="J9044" s="9">
        <v>1</v>
      </c>
      <c r="K9044" s="9">
        <v>225</v>
      </c>
      <c r="L9044" s="9">
        <v>2026</v>
      </c>
      <c r="M9044" s="8" t="s">
        <v>50710</v>
      </c>
      <c r="N9044" s="8" t="s">
        <v>37</v>
      </c>
      <c r="O9044" s="8" t="s">
        <v>136</v>
      </c>
      <c r="P9044" s="6" t="s">
        <v>39</v>
      </c>
      <c r="Q9044" s="8" t="s">
        <v>40</v>
      </c>
      <c r="R9044" s="10" t="s">
        <v>43260</v>
      </c>
      <c r="S9044" s="11"/>
      <c r="T9044" s="6"/>
      <c r="U9044" s="15" t="str">
        <f>HYPERLINK("https://media.infra-m.ru/2219/2219638/cover/2219638.jpg", "Обложка")</f>
        <v>Обложка</v>
      </c>
      <c r="V9044" s="8" t="s">
        <v>67</v>
      </c>
      <c r="W9044" s="6" t="s">
        <v>342</v>
      </c>
      <c r="X9044" s="6"/>
      <c r="Y9044" s="6"/>
      <c r="Z9044" s="6"/>
      <c r="AA9044" s="6" t="s">
        <v>187</v>
      </c>
      <c r="AB9044" s="8"/>
      <c r="AC9044" s="27">
        <v>9785160212500</v>
      </c>
    </row>
    <row r="9045" spans="1:29" s="4" customFormat="1" ht="51.9" customHeight="1" x14ac:dyDescent="0.2">
      <c r="A9045" s="5">
        <v>0</v>
      </c>
      <c r="B9045" s="6" t="s">
        <v>50711</v>
      </c>
      <c r="C9045" s="13">
        <v>872.4</v>
      </c>
      <c r="D9045" s="8" t="s">
        <v>50712</v>
      </c>
      <c r="E9045" s="8" t="s">
        <v>50713</v>
      </c>
      <c r="F9045" s="8" t="s">
        <v>50714</v>
      </c>
      <c r="G9045" s="6" t="s">
        <v>33</v>
      </c>
      <c r="H9045" s="6" t="s">
        <v>48</v>
      </c>
      <c r="I9045" s="8" t="s">
        <v>253</v>
      </c>
      <c r="J9045" s="9">
        <v>1</v>
      </c>
      <c r="K9045" s="9">
        <v>96</v>
      </c>
      <c r="L9045" s="9">
        <v>2027</v>
      </c>
      <c r="M9045" s="8" t="s">
        <v>50715</v>
      </c>
      <c r="N9045" s="8" t="s">
        <v>243</v>
      </c>
      <c r="O9045" s="8" t="s">
        <v>385</v>
      </c>
      <c r="P9045" s="6" t="s">
        <v>51</v>
      </c>
      <c r="Q9045" s="8" t="s">
        <v>377</v>
      </c>
      <c r="R9045" s="10" t="s">
        <v>27948</v>
      </c>
      <c r="S9045" s="11" t="s">
        <v>50716</v>
      </c>
      <c r="T9045" s="6"/>
      <c r="U9045" s="15" t="str">
        <f>HYPERLINK("https://media.infra-m.ru/2268/2268368/cover/2268368.jpg", "Обложка")</f>
        <v>Обложка</v>
      </c>
      <c r="V9045" s="8" t="s">
        <v>3329</v>
      </c>
      <c r="W9045" s="6"/>
      <c r="X9045" s="6"/>
      <c r="Y9045" s="6"/>
      <c r="Z9045" s="6"/>
      <c r="AA9045" s="6" t="s">
        <v>274</v>
      </c>
      <c r="AB9045" s="8"/>
      <c r="AC9045" s="27">
        <v>9785000910252</v>
      </c>
    </row>
    <row r="9046" spans="1:29" s="4" customFormat="1" ht="51.9" customHeight="1" x14ac:dyDescent="0.2">
      <c r="A9046" s="5">
        <v>0</v>
      </c>
      <c r="B9046" s="6" t="s">
        <v>50717</v>
      </c>
      <c r="C9046" s="7">
        <v>1140</v>
      </c>
      <c r="D9046" s="8" t="s">
        <v>50718</v>
      </c>
      <c r="E9046" s="8" t="s">
        <v>50719</v>
      </c>
      <c r="F9046" s="8" t="s">
        <v>10971</v>
      </c>
      <c r="G9046" s="6" t="s">
        <v>118</v>
      </c>
      <c r="H9046" s="6" t="s">
        <v>34</v>
      </c>
      <c r="I9046" s="8" t="s">
        <v>253</v>
      </c>
      <c r="J9046" s="9">
        <v>1</v>
      </c>
      <c r="K9046" s="9">
        <v>206</v>
      </c>
      <c r="L9046" s="9">
        <v>2024</v>
      </c>
      <c r="M9046" s="8" t="s">
        <v>50720</v>
      </c>
      <c r="N9046" s="8" t="s">
        <v>585</v>
      </c>
      <c r="O9046" s="8" t="s">
        <v>2472</v>
      </c>
      <c r="P9046" s="6" t="s">
        <v>51</v>
      </c>
      <c r="Q9046" s="8" t="s">
        <v>52</v>
      </c>
      <c r="R9046" s="10" t="s">
        <v>50721</v>
      </c>
      <c r="S9046" s="11"/>
      <c r="T9046" s="6"/>
      <c r="U9046" s="15" t="str">
        <f>HYPERLINK("https://media.infra-m.ru/2091/2091922/cover/2091922.jpg", "Обложка")</f>
        <v>Обложка</v>
      </c>
      <c r="V9046" s="8" t="s">
        <v>9584</v>
      </c>
      <c r="W9046" s="6"/>
      <c r="X9046" s="6"/>
      <c r="Y9046" s="6"/>
      <c r="Z9046" s="6"/>
      <c r="AA9046" s="6" t="s">
        <v>55</v>
      </c>
      <c r="AB9046" s="8"/>
      <c r="AC9046" s="27">
        <v>9785160191591</v>
      </c>
    </row>
    <row r="9047" spans="1:29" s="4" customFormat="1" ht="42" customHeight="1" x14ac:dyDescent="0.2">
      <c r="A9047" s="5">
        <v>0</v>
      </c>
      <c r="B9047" s="6" t="s">
        <v>50722</v>
      </c>
      <c r="C9047" s="7">
        <v>1168.8</v>
      </c>
      <c r="D9047" s="8" t="s">
        <v>50723</v>
      </c>
      <c r="E9047" s="8" t="s">
        <v>50724</v>
      </c>
      <c r="F9047" s="8" t="s">
        <v>50725</v>
      </c>
      <c r="G9047" s="6" t="s">
        <v>33</v>
      </c>
      <c r="H9047" s="6" t="s">
        <v>134</v>
      </c>
      <c r="I9047" s="8"/>
      <c r="J9047" s="9">
        <v>5</v>
      </c>
      <c r="K9047" s="9">
        <v>208</v>
      </c>
      <c r="L9047" s="9">
        <v>2024</v>
      </c>
      <c r="M9047" s="8" t="s">
        <v>50726</v>
      </c>
      <c r="N9047" s="8" t="s">
        <v>37</v>
      </c>
      <c r="O9047" s="8" t="s">
        <v>136</v>
      </c>
      <c r="P9047" s="6" t="s">
        <v>39</v>
      </c>
      <c r="Q9047" s="8" t="s">
        <v>40</v>
      </c>
      <c r="R9047" s="10" t="s">
        <v>1625</v>
      </c>
      <c r="S9047" s="11"/>
      <c r="T9047" s="6"/>
      <c r="U9047" s="15" t="str">
        <f>HYPERLINK("https://media.infra-m.ru/1911/1911792/cover/1911792.jpg", "Обложка")</f>
        <v>Обложка</v>
      </c>
      <c r="V9047" s="8" t="s">
        <v>657</v>
      </c>
      <c r="W9047" s="6"/>
      <c r="X9047" s="6"/>
      <c r="Y9047" s="6"/>
      <c r="Z9047" s="6"/>
      <c r="AA9047" s="6" t="s">
        <v>274</v>
      </c>
      <c r="AB9047" s="8"/>
      <c r="AC9047" s="27">
        <v>9785917685885</v>
      </c>
    </row>
    <row r="9048" spans="1:29" s="4" customFormat="1" ht="42" customHeight="1" x14ac:dyDescent="0.2">
      <c r="A9048" s="5">
        <v>0</v>
      </c>
      <c r="B9048" s="6" t="s">
        <v>50727</v>
      </c>
      <c r="C9048" s="7">
        <v>2148</v>
      </c>
      <c r="D9048" s="8" t="s">
        <v>50728</v>
      </c>
      <c r="E9048" s="8" t="s">
        <v>50729</v>
      </c>
      <c r="F9048" s="8" t="s">
        <v>50730</v>
      </c>
      <c r="G9048" s="6" t="s">
        <v>60</v>
      </c>
      <c r="H9048" s="6" t="s">
        <v>34</v>
      </c>
      <c r="I9048" s="8" t="s">
        <v>111</v>
      </c>
      <c r="J9048" s="9">
        <v>1</v>
      </c>
      <c r="K9048" s="9">
        <v>352</v>
      </c>
      <c r="L9048" s="9">
        <v>2025</v>
      </c>
      <c r="M9048" s="8" t="s">
        <v>50731</v>
      </c>
      <c r="N9048" s="8" t="s">
        <v>37</v>
      </c>
      <c r="O9048" s="8" t="s">
        <v>8119</v>
      </c>
      <c r="P9048" s="6" t="s">
        <v>39</v>
      </c>
      <c r="Q9048" s="8" t="s">
        <v>40</v>
      </c>
      <c r="R9048" s="10" t="s">
        <v>50732</v>
      </c>
      <c r="S9048" s="11"/>
      <c r="T9048" s="6"/>
      <c r="U9048" s="15" t="str">
        <f>HYPERLINK("https://media.infra-m.ru/2167/2167513/cover/2167513.jpg", "Обложка")</f>
        <v>Обложка</v>
      </c>
      <c r="V9048" s="8" t="s">
        <v>414</v>
      </c>
      <c r="W9048" s="6"/>
      <c r="X9048" s="6"/>
      <c r="Y9048" s="6"/>
      <c r="Z9048" s="6"/>
      <c r="AA9048" s="6" t="s">
        <v>68</v>
      </c>
      <c r="AB9048" s="8"/>
      <c r="AC9048" s="27">
        <v>9785160202709</v>
      </c>
    </row>
    <row r="9049" spans="1:29" s="4" customFormat="1" ht="51.9" customHeight="1" x14ac:dyDescent="0.2">
      <c r="A9049" s="5">
        <v>0</v>
      </c>
      <c r="B9049" s="6" t="s">
        <v>50733</v>
      </c>
      <c r="C9049" s="7">
        <v>1668</v>
      </c>
      <c r="D9049" s="8" t="s">
        <v>50734</v>
      </c>
      <c r="E9049" s="8" t="s">
        <v>50735</v>
      </c>
      <c r="F9049" s="8" t="s">
        <v>27145</v>
      </c>
      <c r="G9049" s="6" t="s">
        <v>118</v>
      </c>
      <c r="H9049" s="6" t="s">
        <v>134</v>
      </c>
      <c r="I9049" s="8"/>
      <c r="J9049" s="9">
        <v>1</v>
      </c>
      <c r="K9049" s="9">
        <v>256</v>
      </c>
      <c r="L9049" s="9">
        <v>2026</v>
      </c>
      <c r="M9049" s="8" t="s">
        <v>50736</v>
      </c>
      <c r="N9049" s="8" t="s">
        <v>37</v>
      </c>
      <c r="O9049" s="8" t="s">
        <v>280</v>
      </c>
      <c r="P9049" s="6" t="s">
        <v>51</v>
      </c>
      <c r="Q9049" s="8" t="s">
        <v>52</v>
      </c>
      <c r="R9049" s="10" t="s">
        <v>50737</v>
      </c>
      <c r="S9049" s="11"/>
      <c r="T9049" s="6"/>
      <c r="U9049" s="15" t="str">
        <f>HYPERLINK("https://media.infra-m.ru/2220/2220958/cover/2220958.jpg", "Обложка")</f>
        <v>Обложка</v>
      </c>
      <c r="V9049" s="8" t="s">
        <v>1768</v>
      </c>
      <c r="W9049" s="6"/>
      <c r="X9049" s="6"/>
      <c r="Y9049" s="6"/>
      <c r="Z9049" s="6"/>
      <c r="AA9049" s="6" t="s">
        <v>55</v>
      </c>
      <c r="AB9049" s="8"/>
      <c r="AC9049" s="27">
        <v>9785917683485</v>
      </c>
    </row>
    <row r="9050" spans="1:29" s="4" customFormat="1" ht="51.9" customHeight="1" x14ac:dyDescent="0.2">
      <c r="A9050" s="5">
        <v>0</v>
      </c>
      <c r="B9050" s="6" t="s">
        <v>50738</v>
      </c>
      <c r="C9050" s="7">
        <v>2224.8000000000002</v>
      </c>
      <c r="D9050" s="8" t="s">
        <v>50739</v>
      </c>
      <c r="E9050" s="8" t="s">
        <v>50740</v>
      </c>
      <c r="F9050" s="8" t="s">
        <v>50741</v>
      </c>
      <c r="G9050" s="6" t="s">
        <v>33</v>
      </c>
      <c r="H9050" s="6" t="s">
        <v>34</v>
      </c>
      <c r="I9050" s="8" t="s">
        <v>35</v>
      </c>
      <c r="J9050" s="9">
        <v>1</v>
      </c>
      <c r="K9050" s="9">
        <v>336</v>
      </c>
      <c r="L9050" s="9">
        <v>2026</v>
      </c>
      <c r="M9050" s="8" t="s">
        <v>50742</v>
      </c>
      <c r="N9050" s="8" t="s">
        <v>63</v>
      </c>
      <c r="O9050" s="8" t="s">
        <v>126</v>
      </c>
      <c r="P9050" s="6" t="s">
        <v>39</v>
      </c>
      <c r="Q9050" s="8" t="s">
        <v>40</v>
      </c>
      <c r="R9050" s="10" t="s">
        <v>50743</v>
      </c>
      <c r="S9050" s="11"/>
      <c r="T9050" s="6"/>
      <c r="U9050" s="15" t="str">
        <f>HYPERLINK("https://media.infra-m.ru/2232/2232675/cover/2232675.jpg", "Обложка")</f>
        <v>Обложка</v>
      </c>
      <c r="V9050" s="8" t="s">
        <v>414</v>
      </c>
      <c r="W9050" s="6"/>
      <c r="X9050" s="6"/>
      <c r="Y9050" s="6"/>
      <c r="Z9050" s="6"/>
      <c r="AA9050" s="6" t="s">
        <v>430</v>
      </c>
      <c r="AB9050" s="8"/>
      <c r="AC9050" s="27">
        <v>9785160166117</v>
      </c>
    </row>
    <row r="9051" spans="1:29" s="4" customFormat="1" ht="51.9" customHeight="1" x14ac:dyDescent="0.2">
      <c r="A9051" s="5">
        <v>0</v>
      </c>
      <c r="B9051" s="6" t="s">
        <v>50744</v>
      </c>
      <c r="C9051" s="7">
        <v>1236</v>
      </c>
      <c r="D9051" s="8" t="s">
        <v>50745</v>
      </c>
      <c r="E9051" s="8" t="s">
        <v>50746</v>
      </c>
      <c r="F9051" s="8" t="s">
        <v>50747</v>
      </c>
      <c r="G9051" s="6" t="s">
        <v>33</v>
      </c>
      <c r="H9051" s="6" t="s">
        <v>34</v>
      </c>
      <c r="I9051" s="8" t="s">
        <v>35</v>
      </c>
      <c r="J9051" s="9">
        <v>1</v>
      </c>
      <c r="K9051" s="9">
        <v>229</v>
      </c>
      <c r="L9051" s="9">
        <v>2023</v>
      </c>
      <c r="M9051" s="8" t="s">
        <v>50748</v>
      </c>
      <c r="N9051" s="8" t="s">
        <v>37</v>
      </c>
      <c r="O9051" s="8" t="s">
        <v>83</v>
      </c>
      <c r="P9051" s="6" t="s">
        <v>39</v>
      </c>
      <c r="Q9051" s="8" t="s">
        <v>40</v>
      </c>
      <c r="R9051" s="10" t="s">
        <v>50749</v>
      </c>
      <c r="S9051" s="11"/>
      <c r="T9051" s="6"/>
      <c r="U9051" s="15" t="str">
        <f>HYPERLINK("https://media.infra-m.ru/1905/1905561/cover/1905561.jpg", "Обложка")</f>
        <v>Обложка</v>
      </c>
      <c r="V9051" s="8" t="s">
        <v>1425</v>
      </c>
      <c r="W9051" s="6"/>
      <c r="X9051" s="6"/>
      <c r="Y9051" s="6"/>
      <c r="Z9051" s="6"/>
      <c r="AA9051" s="6" t="s">
        <v>115</v>
      </c>
      <c r="AB9051" s="8"/>
      <c r="AC9051" s="27">
        <v>9785160156835</v>
      </c>
    </row>
    <row r="9052" spans="1:29" s="4" customFormat="1" ht="51.9" customHeight="1" x14ac:dyDescent="0.2">
      <c r="A9052" s="5">
        <v>0</v>
      </c>
      <c r="B9052" s="6" t="s">
        <v>50750</v>
      </c>
      <c r="C9052" s="7">
        <v>1188</v>
      </c>
      <c r="D9052" s="8" t="s">
        <v>50751</v>
      </c>
      <c r="E9052" s="8" t="s">
        <v>50752</v>
      </c>
      <c r="F9052" s="8" t="s">
        <v>23041</v>
      </c>
      <c r="G9052" s="6" t="s">
        <v>118</v>
      </c>
      <c r="H9052" s="6" t="s">
        <v>34</v>
      </c>
      <c r="I9052" s="8" t="s">
        <v>35</v>
      </c>
      <c r="J9052" s="9">
        <v>1</v>
      </c>
      <c r="K9052" s="9">
        <v>208</v>
      </c>
      <c r="L9052" s="9">
        <v>2024</v>
      </c>
      <c r="M9052" s="8" t="s">
        <v>50753</v>
      </c>
      <c r="N9052" s="8" t="s">
        <v>63</v>
      </c>
      <c r="O9052" s="8" t="s">
        <v>154</v>
      </c>
      <c r="P9052" s="6" t="s">
        <v>39</v>
      </c>
      <c r="Q9052" s="8" t="s">
        <v>40</v>
      </c>
      <c r="R9052" s="10" t="s">
        <v>50754</v>
      </c>
      <c r="S9052" s="11"/>
      <c r="T9052" s="6"/>
      <c r="U9052" s="15" t="str">
        <f>HYPERLINK("https://media.infra-m.ru/2059/2059569/cover/2059569.jpg", "Обложка")</f>
        <v>Обложка</v>
      </c>
      <c r="V9052" s="8" t="s">
        <v>10412</v>
      </c>
      <c r="W9052" s="6"/>
      <c r="X9052" s="6"/>
      <c r="Y9052" s="6"/>
      <c r="Z9052" s="6"/>
      <c r="AA9052" s="6" t="s">
        <v>86</v>
      </c>
      <c r="AB9052" s="8"/>
      <c r="AC9052" s="27">
        <v>9785160135045</v>
      </c>
    </row>
    <row r="9053" spans="1:29" s="4" customFormat="1" ht="44.1" customHeight="1" x14ac:dyDescent="0.2">
      <c r="A9053" s="5">
        <v>0</v>
      </c>
      <c r="B9053" s="6" t="s">
        <v>50755</v>
      </c>
      <c r="C9053" s="7">
        <v>2476.8000000000002</v>
      </c>
      <c r="D9053" s="8" t="s">
        <v>50756</v>
      </c>
      <c r="E9053" s="8" t="s">
        <v>50757</v>
      </c>
      <c r="F9053" s="8" t="s">
        <v>50758</v>
      </c>
      <c r="G9053" s="6" t="s">
        <v>60</v>
      </c>
      <c r="H9053" s="6" t="s">
        <v>134</v>
      </c>
      <c r="I9053" s="8"/>
      <c r="J9053" s="9">
        <v>1</v>
      </c>
      <c r="K9053" s="9">
        <v>384</v>
      </c>
      <c r="L9053" s="9">
        <v>2026</v>
      </c>
      <c r="M9053" s="8" t="s">
        <v>50759</v>
      </c>
      <c r="N9053" s="8" t="s">
        <v>37</v>
      </c>
      <c r="O9053" s="8" t="s">
        <v>136</v>
      </c>
      <c r="P9053" s="6" t="s">
        <v>39</v>
      </c>
      <c r="Q9053" s="8" t="s">
        <v>40</v>
      </c>
      <c r="R9053" s="10" t="s">
        <v>6217</v>
      </c>
      <c r="S9053" s="11"/>
      <c r="T9053" s="6"/>
      <c r="U9053" s="15" t="str">
        <f>HYPERLINK("https://media.infra-m.ru/2221/2221336/cover/2221336.jpg", "Обложка")</f>
        <v>Обложка</v>
      </c>
      <c r="V9053" s="8" t="s">
        <v>1069</v>
      </c>
      <c r="W9053" s="6"/>
      <c r="X9053" s="6"/>
      <c r="Y9053" s="6"/>
      <c r="Z9053" s="6"/>
      <c r="AA9053" s="6" t="s">
        <v>561</v>
      </c>
      <c r="AB9053" s="8"/>
      <c r="AC9053" s="27">
        <v>9785917683980</v>
      </c>
    </row>
    <row r="9054" spans="1:29" s="4" customFormat="1" ht="51.9" customHeight="1" x14ac:dyDescent="0.2">
      <c r="A9054" s="5">
        <v>0</v>
      </c>
      <c r="B9054" s="6" t="s">
        <v>50760</v>
      </c>
      <c r="C9054" s="7">
        <v>2320.8000000000002</v>
      </c>
      <c r="D9054" s="8" t="s">
        <v>50761</v>
      </c>
      <c r="E9054" s="8" t="s">
        <v>50762</v>
      </c>
      <c r="F9054" s="8" t="s">
        <v>50763</v>
      </c>
      <c r="G9054" s="6" t="s">
        <v>60</v>
      </c>
      <c r="H9054" s="6" t="s">
        <v>34</v>
      </c>
      <c r="I9054" s="8" t="s">
        <v>35</v>
      </c>
      <c r="J9054" s="9">
        <v>1</v>
      </c>
      <c r="K9054" s="9">
        <v>351</v>
      </c>
      <c r="L9054" s="9">
        <v>2026</v>
      </c>
      <c r="M9054" s="8" t="s">
        <v>50764</v>
      </c>
      <c r="N9054" s="8" t="s">
        <v>63</v>
      </c>
      <c r="O9054" s="8" t="s">
        <v>126</v>
      </c>
      <c r="P9054" s="6" t="s">
        <v>39</v>
      </c>
      <c r="Q9054" s="8" t="s">
        <v>40</v>
      </c>
      <c r="R9054" s="10" t="s">
        <v>50765</v>
      </c>
      <c r="S9054" s="11"/>
      <c r="T9054" s="6"/>
      <c r="U9054" s="15" t="str">
        <f>HYPERLINK("https://media.infra-m.ru/2232/2232680/cover/2232680.jpg", "Обложка")</f>
        <v>Обложка</v>
      </c>
      <c r="V9054" s="8" t="s">
        <v>1231</v>
      </c>
      <c r="W9054" s="6"/>
      <c r="X9054" s="6"/>
      <c r="Y9054" s="6"/>
      <c r="Z9054" s="6"/>
      <c r="AA9054" s="6" t="s">
        <v>148</v>
      </c>
      <c r="AB9054" s="8"/>
      <c r="AC9054" s="27">
        <v>9785160171050</v>
      </c>
    </row>
    <row r="9055" spans="1:29" s="4" customFormat="1" ht="51.9" customHeight="1" x14ac:dyDescent="0.2">
      <c r="A9055" s="5">
        <v>0</v>
      </c>
      <c r="B9055" s="6" t="s">
        <v>50766</v>
      </c>
      <c r="C9055" s="7">
        <v>2448</v>
      </c>
      <c r="D9055" s="8" t="s">
        <v>50767</v>
      </c>
      <c r="E9055" s="8" t="s">
        <v>50762</v>
      </c>
      <c r="F9055" s="8" t="s">
        <v>50763</v>
      </c>
      <c r="G9055" s="6" t="s">
        <v>33</v>
      </c>
      <c r="H9055" s="6" t="s">
        <v>34</v>
      </c>
      <c r="I9055" s="8" t="s">
        <v>35</v>
      </c>
      <c r="J9055" s="9">
        <v>1</v>
      </c>
      <c r="K9055" s="9">
        <v>351</v>
      </c>
      <c r="L9055" s="9">
        <v>2026</v>
      </c>
      <c r="M9055" s="8" t="s">
        <v>50768</v>
      </c>
      <c r="N9055" s="8" t="s">
        <v>63</v>
      </c>
      <c r="O9055" s="8" t="s">
        <v>126</v>
      </c>
      <c r="P9055" s="6" t="s">
        <v>39</v>
      </c>
      <c r="Q9055" s="8" t="s">
        <v>40</v>
      </c>
      <c r="R9055" s="10" t="s">
        <v>50765</v>
      </c>
      <c r="S9055" s="11"/>
      <c r="T9055" s="6"/>
      <c r="U9055" s="15" t="str">
        <f>HYPERLINK("https://media.infra-m.ru/2258/2258736/cover/2258736.jpg", "Обложка")</f>
        <v>Обложка</v>
      </c>
      <c r="V9055" s="8" t="s">
        <v>1231</v>
      </c>
      <c r="W9055" s="6"/>
      <c r="X9055" s="6"/>
      <c r="Y9055" s="6"/>
      <c r="Z9055" s="6"/>
      <c r="AA9055" s="6" t="s">
        <v>148</v>
      </c>
      <c r="AB9055" s="8"/>
      <c r="AC9055" s="27">
        <v>9785160222387</v>
      </c>
    </row>
    <row r="9056" spans="1:29" s="4" customFormat="1" ht="51.9" customHeight="1" x14ac:dyDescent="0.2">
      <c r="A9056" s="5">
        <v>0</v>
      </c>
      <c r="B9056" s="6" t="s">
        <v>50769</v>
      </c>
      <c r="C9056" s="13">
        <v>864</v>
      </c>
      <c r="D9056" s="8" t="s">
        <v>50770</v>
      </c>
      <c r="E9056" s="8" t="s">
        <v>50771</v>
      </c>
      <c r="F9056" s="8" t="s">
        <v>50772</v>
      </c>
      <c r="G9056" s="6" t="s">
        <v>33</v>
      </c>
      <c r="H9056" s="6" t="s">
        <v>34</v>
      </c>
      <c r="I9056" s="8" t="s">
        <v>35</v>
      </c>
      <c r="J9056" s="9">
        <v>1</v>
      </c>
      <c r="K9056" s="9">
        <v>140</v>
      </c>
      <c r="L9056" s="9">
        <v>2024</v>
      </c>
      <c r="M9056" s="8" t="s">
        <v>50773</v>
      </c>
      <c r="N9056" s="8" t="s">
        <v>37</v>
      </c>
      <c r="O9056" s="8" t="s">
        <v>83</v>
      </c>
      <c r="P9056" s="6" t="s">
        <v>39</v>
      </c>
      <c r="Q9056" s="8" t="s">
        <v>40</v>
      </c>
      <c r="R9056" s="10" t="s">
        <v>50774</v>
      </c>
      <c r="S9056" s="11"/>
      <c r="T9056" s="6"/>
      <c r="U9056" s="15" t="str">
        <f>HYPERLINK("https://media.infra-m.ru/2086/2086348/cover/2086348.jpg", "Обложка")</f>
        <v>Обложка</v>
      </c>
      <c r="V9056" s="8" t="s">
        <v>4923</v>
      </c>
      <c r="W9056" s="6"/>
      <c r="X9056" s="6"/>
      <c r="Y9056" s="6"/>
      <c r="Z9056" s="6"/>
      <c r="AA9056" s="6" t="s">
        <v>76</v>
      </c>
      <c r="AB9056" s="8"/>
      <c r="AC9056" s="27">
        <v>9785160190945</v>
      </c>
    </row>
    <row r="9057" spans="1:29" s="4" customFormat="1" ht="42" customHeight="1" x14ac:dyDescent="0.2">
      <c r="A9057" s="5">
        <v>0</v>
      </c>
      <c r="B9057" s="6" t="s">
        <v>50775</v>
      </c>
      <c r="C9057" s="13">
        <v>732</v>
      </c>
      <c r="D9057" s="8" t="s">
        <v>50776</v>
      </c>
      <c r="E9057" s="8" t="s">
        <v>50777</v>
      </c>
      <c r="F9057" s="8" t="s">
        <v>50778</v>
      </c>
      <c r="G9057" s="6" t="s">
        <v>33</v>
      </c>
      <c r="H9057" s="6" t="s">
        <v>313</v>
      </c>
      <c r="I9057" s="8"/>
      <c r="J9057" s="9">
        <v>1</v>
      </c>
      <c r="K9057" s="9">
        <v>149</v>
      </c>
      <c r="L9057" s="9">
        <v>2022</v>
      </c>
      <c r="M9057" s="8" t="s">
        <v>50779</v>
      </c>
      <c r="N9057" s="8" t="s">
        <v>37</v>
      </c>
      <c r="O9057" s="8" t="s">
        <v>233</v>
      </c>
      <c r="P9057" s="6" t="s">
        <v>39</v>
      </c>
      <c r="Q9057" s="8" t="s">
        <v>40</v>
      </c>
      <c r="R9057" s="10" t="s">
        <v>1576</v>
      </c>
      <c r="S9057" s="11"/>
      <c r="T9057" s="6"/>
      <c r="U9057" s="15" t="str">
        <f>HYPERLINK("https://media.infra-m.ru/1856/1856002/cover/1856002.jpg", "Обложка")</f>
        <v>Обложка</v>
      </c>
      <c r="V9057" s="8" t="s">
        <v>1878</v>
      </c>
      <c r="W9057" s="6"/>
      <c r="X9057" s="6"/>
      <c r="Y9057" s="6"/>
      <c r="Z9057" s="6"/>
      <c r="AA9057" s="6" t="s">
        <v>86</v>
      </c>
      <c r="AB9057" s="8"/>
      <c r="AC9057" s="27">
        <v>9785369017142</v>
      </c>
    </row>
    <row r="9058" spans="1:29" s="4" customFormat="1" ht="51.9" customHeight="1" x14ac:dyDescent="0.2">
      <c r="A9058" s="5">
        <v>0</v>
      </c>
      <c r="B9058" s="6" t="s">
        <v>50780</v>
      </c>
      <c r="C9058" s="7">
        <v>1792.8</v>
      </c>
      <c r="D9058" s="8" t="s">
        <v>50781</v>
      </c>
      <c r="E9058" s="8" t="s">
        <v>50782</v>
      </c>
      <c r="F9058" s="8" t="s">
        <v>50783</v>
      </c>
      <c r="G9058" s="6" t="s">
        <v>33</v>
      </c>
      <c r="H9058" s="6" t="s">
        <v>34</v>
      </c>
      <c r="I9058" s="8" t="s">
        <v>35</v>
      </c>
      <c r="J9058" s="9">
        <v>1</v>
      </c>
      <c r="K9058" s="9">
        <v>290</v>
      </c>
      <c r="L9058" s="9">
        <v>2025</v>
      </c>
      <c r="M9058" s="8" t="s">
        <v>50784</v>
      </c>
      <c r="N9058" s="8" t="s">
        <v>37</v>
      </c>
      <c r="O9058" s="8" t="s">
        <v>280</v>
      </c>
      <c r="P9058" s="6" t="s">
        <v>39</v>
      </c>
      <c r="Q9058" s="8" t="s">
        <v>40</v>
      </c>
      <c r="R9058" s="10" t="s">
        <v>40437</v>
      </c>
      <c r="S9058" s="11"/>
      <c r="T9058" s="6"/>
      <c r="U9058" s="15" t="str">
        <f>HYPERLINK("https://media.infra-m.ru/2191/2191604/cover/2191604.jpg", "Обложка")</f>
        <v>Обложка</v>
      </c>
      <c r="V9058" s="8" t="s">
        <v>12106</v>
      </c>
      <c r="W9058" s="6"/>
      <c r="X9058" s="6"/>
      <c r="Y9058" s="6"/>
      <c r="Z9058" s="6"/>
      <c r="AA9058" s="6" t="s">
        <v>248</v>
      </c>
      <c r="AB9058" s="8"/>
      <c r="AC9058" s="27">
        <v>9785160096810</v>
      </c>
    </row>
    <row r="9059" spans="1:29" s="4" customFormat="1" ht="51.9" customHeight="1" x14ac:dyDescent="0.2">
      <c r="A9059" s="5">
        <v>0</v>
      </c>
      <c r="B9059" s="6" t="s">
        <v>50785</v>
      </c>
      <c r="C9059" s="7">
        <v>1396.8</v>
      </c>
      <c r="D9059" s="8" t="s">
        <v>50786</v>
      </c>
      <c r="E9059" s="8" t="s">
        <v>50787</v>
      </c>
      <c r="F9059" s="8" t="s">
        <v>50788</v>
      </c>
      <c r="G9059" s="6" t="s">
        <v>33</v>
      </c>
      <c r="H9059" s="6" t="s">
        <v>820</v>
      </c>
      <c r="I9059" s="8" t="s">
        <v>1904</v>
      </c>
      <c r="J9059" s="9">
        <v>1</v>
      </c>
      <c r="K9059" s="9">
        <v>112</v>
      </c>
      <c r="L9059" s="9">
        <v>2026</v>
      </c>
      <c r="M9059" s="8" t="s">
        <v>50789</v>
      </c>
      <c r="N9059" s="8" t="s">
        <v>63</v>
      </c>
      <c r="O9059" s="8" t="s">
        <v>181</v>
      </c>
      <c r="P9059" s="6" t="s">
        <v>51</v>
      </c>
      <c r="Q9059" s="8" t="s">
        <v>52</v>
      </c>
      <c r="R9059" s="10" t="s">
        <v>50790</v>
      </c>
      <c r="S9059" s="11" t="s">
        <v>24012</v>
      </c>
      <c r="T9059" s="6"/>
      <c r="U9059" s="15" t="str">
        <f>HYPERLINK("https://media.infra-m.ru/2222/2222237/cover/2222237.jpg", "Обложка")</f>
        <v>Обложка</v>
      </c>
      <c r="V9059" s="8" t="s">
        <v>2896</v>
      </c>
      <c r="W9059" s="6"/>
      <c r="X9059" s="6"/>
      <c r="Y9059" s="6"/>
      <c r="Z9059" s="6"/>
      <c r="AA9059" s="6" t="s">
        <v>248</v>
      </c>
      <c r="AB9059" s="8"/>
      <c r="AC9059" s="27">
        <v>9785905554506</v>
      </c>
    </row>
    <row r="9060" spans="1:29" s="4" customFormat="1" ht="42" customHeight="1" x14ac:dyDescent="0.2">
      <c r="A9060" s="5">
        <v>0</v>
      </c>
      <c r="B9060" s="6" t="s">
        <v>50791</v>
      </c>
      <c r="C9060" s="13">
        <v>972</v>
      </c>
      <c r="D9060" s="8" t="s">
        <v>50792</v>
      </c>
      <c r="E9060" s="8" t="s">
        <v>50793</v>
      </c>
      <c r="F9060" s="8" t="s">
        <v>5879</v>
      </c>
      <c r="G9060" s="6" t="s">
        <v>33</v>
      </c>
      <c r="H9060" s="6" t="s">
        <v>34</v>
      </c>
      <c r="I9060" s="8"/>
      <c r="J9060" s="9">
        <v>1</v>
      </c>
      <c r="K9060" s="9">
        <v>128</v>
      </c>
      <c r="L9060" s="9">
        <v>2027</v>
      </c>
      <c r="M9060" s="8" t="s">
        <v>50794</v>
      </c>
      <c r="N9060" s="8" t="s">
        <v>63</v>
      </c>
      <c r="O9060" s="8" t="s">
        <v>181</v>
      </c>
      <c r="P9060" s="6" t="s">
        <v>51</v>
      </c>
      <c r="Q9060" s="8" t="s">
        <v>1891</v>
      </c>
      <c r="R9060" s="10" t="s">
        <v>24083</v>
      </c>
      <c r="S9060" s="11"/>
      <c r="T9060" s="6"/>
      <c r="U9060" s="15" t="str">
        <f>HYPERLINK("https://media.infra-m.ru/2267/2267736/cover/2267736.jpg", "Обложка")</f>
        <v>Обложка</v>
      </c>
      <c r="V9060" s="8" t="s">
        <v>5882</v>
      </c>
      <c r="W9060" s="6"/>
      <c r="X9060" s="6"/>
      <c r="Y9060" s="6"/>
      <c r="Z9060" s="6"/>
      <c r="AA9060" s="6" t="s">
        <v>779</v>
      </c>
      <c r="AB9060" s="8"/>
      <c r="AC9060" s="27">
        <v>9785160114736</v>
      </c>
    </row>
    <row r="9061" spans="1:29" s="4" customFormat="1" ht="51.9" customHeight="1" x14ac:dyDescent="0.2">
      <c r="A9061" s="5">
        <v>0</v>
      </c>
      <c r="B9061" s="6" t="s">
        <v>50795</v>
      </c>
      <c r="C9061" s="7">
        <v>3620.4</v>
      </c>
      <c r="D9061" s="8" t="s">
        <v>50796</v>
      </c>
      <c r="E9061" s="8" t="s">
        <v>50797</v>
      </c>
      <c r="F9061" s="8" t="s">
        <v>50798</v>
      </c>
      <c r="G9061" s="6" t="s">
        <v>118</v>
      </c>
      <c r="H9061" s="6" t="s">
        <v>34</v>
      </c>
      <c r="I9061" s="8" t="s">
        <v>263</v>
      </c>
      <c r="J9061" s="9">
        <v>1</v>
      </c>
      <c r="K9061" s="9">
        <v>400</v>
      </c>
      <c r="L9061" s="9">
        <v>2026</v>
      </c>
      <c r="M9061" s="8" t="s">
        <v>50799</v>
      </c>
      <c r="N9061" s="8" t="s">
        <v>243</v>
      </c>
      <c r="O9061" s="8" t="s">
        <v>329</v>
      </c>
      <c r="P9061" s="6" t="s">
        <v>306</v>
      </c>
      <c r="Q9061" s="8" t="s">
        <v>265</v>
      </c>
      <c r="R9061" s="10" t="s">
        <v>50800</v>
      </c>
      <c r="S9061" s="11" t="s">
        <v>50801</v>
      </c>
      <c r="T9061" s="6"/>
      <c r="U9061" s="15" t="str">
        <f>HYPERLINK("https://media.infra-m.ru/2187/2187083/cover/2187083.jpg", "Обложка")</f>
        <v>Обложка</v>
      </c>
      <c r="V9061" s="8" t="s">
        <v>14780</v>
      </c>
      <c r="W9061" s="6"/>
      <c r="X9061" s="6"/>
      <c r="Y9061" s="6"/>
      <c r="Z9061" s="6"/>
      <c r="AA9061" s="6" t="s">
        <v>3800</v>
      </c>
      <c r="AB9061" s="8"/>
      <c r="AC9061" s="27">
        <v>9785160054742</v>
      </c>
    </row>
    <row r="9062" spans="1:29" s="4" customFormat="1" ht="51.9" customHeight="1" x14ac:dyDescent="0.2">
      <c r="A9062" s="5">
        <v>0</v>
      </c>
      <c r="B9062" s="6" t="s">
        <v>50802</v>
      </c>
      <c r="C9062" s="13">
        <v>948</v>
      </c>
      <c r="D9062" s="8" t="s">
        <v>50803</v>
      </c>
      <c r="E9062" s="8" t="s">
        <v>50804</v>
      </c>
      <c r="F9062" s="8" t="s">
        <v>50805</v>
      </c>
      <c r="G9062" s="6" t="s">
        <v>33</v>
      </c>
      <c r="H9062" s="6" t="s">
        <v>34</v>
      </c>
      <c r="I9062" s="8"/>
      <c r="J9062" s="9">
        <v>1</v>
      </c>
      <c r="K9062" s="9">
        <v>176</v>
      </c>
      <c r="L9062" s="9">
        <v>2023</v>
      </c>
      <c r="M9062" s="8" t="s">
        <v>50806</v>
      </c>
      <c r="N9062" s="8" t="s">
        <v>585</v>
      </c>
      <c r="O9062" s="8" t="s">
        <v>667</v>
      </c>
      <c r="P9062" s="6" t="s">
        <v>51</v>
      </c>
      <c r="Q9062" s="8" t="s">
        <v>52</v>
      </c>
      <c r="R9062" s="10" t="s">
        <v>50807</v>
      </c>
      <c r="S9062" s="11" t="s">
        <v>50808</v>
      </c>
      <c r="T9062" s="6"/>
      <c r="U9062" s="15" t="str">
        <f>HYPERLINK("https://media.infra-m.ru/2051/2051256/cover/2051256.jpg", "Обложка")</f>
        <v>Обложка</v>
      </c>
      <c r="V9062" s="8" t="s">
        <v>3087</v>
      </c>
      <c r="W9062" s="6"/>
      <c r="X9062" s="6"/>
      <c r="Y9062" s="6"/>
      <c r="Z9062" s="6"/>
      <c r="AA9062" s="6" t="s">
        <v>859</v>
      </c>
      <c r="AB9062" s="8"/>
      <c r="AC9062" s="27">
        <v>9785160187433</v>
      </c>
    </row>
    <row r="9063" spans="1:29" s="4" customFormat="1" ht="42" customHeight="1" x14ac:dyDescent="0.2">
      <c r="A9063" s="5">
        <v>0</v>
      </c>
      <c r="B9063" s="6" t="s">
        <v>50809</v>
      </c>
      <c r="C9063" s="7">
        <v>1440</v>
      </c>
      <c r="D9063" s="8" t="s">
        <v>50810</v>
      </c>
      <c r="E9063" s="8" t="s">
        <v>50811</v>
      </c>
      <c r="F9063" s="8" t="s">
        <v>50812</v>
      </c>
      <c r="G9063" s="6" t="s">
        <v>33</v>
      </c>
      <c r="H9063" s="6" t="s">
        <v>34</v>
      </c>
      <c r="I9063" s="8" t="s">
        <v>35</v>
      </c>
      <c r="J9063" s="9">
        <v>1</v>
      </c>
      <c r="K9063" s="9">
        <v>217</v>
      </c>
      <c r="L9063" s="9">
        <v>2026</v>
      </c>
      <c r="M9063" s="8" t="s">
        <v>50813</v>
      </c>
      <c r="N9063" s="8" t="s">
        <v>243</v>
      </c>
      <c r="O9063" s="8" t="s">
        <v>758</v>
      </c>
      <c r="P9063" s="6" t="s">
        <v>39</v>
      </c>
      <c r="Q9063" s="8" t="s">
        <v>40</v>
      </c>
      <c r="R9063" s="10" t="s">
        <v>50814</v>
      </c>
      <c r="S9063" s="11"/>
      <c r="T9063" s="6"/>
      <c r="U9063" s="15" t="str">
        <f>HYPERLINK("https://media.infra-m.ru/2224/2224059/cover/2224059.jpg", "Обложка")</f>
        <v>Обложка</v>
      </c>
      <c r="V9063" s="8" t="s">
        <v>1157</v>
      </c>
      <c r="W9063" s="6"/>
      <c r="X9063" s="6"/>
      <c r="Y9063" s="6"/>
      <c r="Z9063" s="6"/>
      <c r="AA9063" s="6" t="s">
        <v>157</v>
      </c>
      <c r="AB9063" s="8"/>
      <c r="AC9063" s="27">
        <v>9785160178486</v>
      </c>
    </row>
    <row r="9064" spans="1:29" s="4" customFormat="1" ht="42" customHeight="1" x14ac:dyDescent="0.2">
      <c r="A9064" s="5">
        <v>0</v>
      </c>
      <c r="B9064" s="6" t="s">
        <v>50815</v>
      </c>
      <c r="C9064" s="13">
        <v>948</v>
      </c>
      <c r="D9064" s="8" t="s">
        <v>50816</v>
      </c>
      <c r="E9064" s="8" t="s">
        <v>50817</v>
      </c>
      <c r="F9064" s="8" t="s">
        <v>50818</v>
      </c>
      <c r="G9064" s="6" t="s">
        <v>33</v>
      </c>
      <c r="H9064" s="6" t="s">
        <v>34</v>
      </c>
      <c r="I9064" s="8" t="s">
        <v>119</v>
      </c>
      <c r="J9064" s="9">
        <v>1</v>
      </c>
      <c r="K9064" s="9">
        <v>151</v>
      </c>
      <c r="L9064" s="9">
        <v>2026</v>
      </c>
      <c r="M9064" s="8" t="s">
        <v>50819</v>
      </c>
      <c r="N9064" s="8" t="s">
        <v>585</v>
      </c>
      <c r="O9064" s="8" t="s">
        <v>667</v>
      </c>
      <c r="P9064" s="6" t="s">
        <v>39</v>
      </c>
      <c r="Q9064" s="8" t="s">
        <v>40</v>
      </c>
      <c r="R9064" s="10" t="s">
        <v>6735</v>
      </c>
      <c r="S9064" s="11"/>
      <c r="T9064" s="6"/>
      <c r="U9064" s="15" t="str">
        <f>HYPERLINK("https://media.infra-m.ru/2212/2212247/cover/2212247.jpg", "Обложка")</f>
        <v>Обложка</v>
      </c>
      <c r="V9064" s="8" t="s">
        <v>414</v>
      </c>
      <c r="W9064" s="6"/>
      <c r="X9064" s="6"/>
      <c r="Y9064" s="6"/>
      <c r="Z9064" s="6"/>
      <c r="AA9064" s="6" t="s">
        <v>115</v>
      </c>
      <c r="AB9064" s="8"/>
      <c r="AC9064" s="27">
        <v>9785160143637</v>
      </c>
    </row>
    <row r="9065" spans="1:29" s="4" customFormat="1" ht="51.9" customHeight="1" x14ac:dyDescent="0.2">
      <c r="A9065" s="5">
        <v>0</v>
      </c>
      <c r="B9065" s="6" t="s">
        <v>50820</v>
      </c>
      <c r="C9065" s="7">
        <v>2212.8000000000002</v>
      </c>
      <c r="D9065" s="8" t="s">
        <v>50821</v>
      </c>
      <c r="E9065" s="8" t="s">
        <v>50822</v>
      </c>
      <c r="F9065" s="8" t="s">
        <v>50823</v>
      </c>
      <c r="G9065" s="6" t="s">
        <v>118</v>
      </c>
      <c r="H9065" s="6" t="s">
        <v>1042</v>
      </c>
      <c r="I9065" s="8" t="s">
        <v>263</v>
      </c>
      <c r="J9065" s="9">
        <v>1</v>
      </c>
      <c r="K9065" s="9">
        <v>336</v>
      </c>
      <c r="L9065" s="9">
        <v>2026</v>
      </c>
      <c r="M9065" s="8" t="s">
        <v>50824</v>
      </c>
      <c r="N9065" s="8" t="s">
        <v>243</v>
      </c>
      <c r="O9065" s="8" t="s">
        <v>244</v>
      </c>
      <c r="P9065" s="6" t="s">
        <v>51</v>
      </c>
      <c r="Q9065" s="8" t="s">
        <v>265</v>
      </c>
      <c r="R9065" s="10" t="s">
        <v>50825</v>
      </c>
      <c r="S9065" s="11" t="s">
        <v>27377</v>
      </c>
      <c r="T9065" s="6"/>
      <c r="U9065" s="15" t="str">
        <f>HYPERLINK("https://media.infra-m.ru/2228/2228879/cover/2228879.jpg", "Обложка")</f>
        <v>Обложка</v>
      </c>
      <c r="V9065" s="8" t="s">
        <v>3428</v>
      </c>
      <c r="W9065" s="6"/>
      <c r="X9065" s="6" t="s">
        <v>24</v>
      </c>
      <c r="Y9065" s="6"/>
      <c r="Z9065" s="6"/>
      <c r="AA9065" s="6" t="s">
        <v>1047</v>
      </c>
      <c r="AB9065" s="8"/>
      <c r="AC9065" s="27">
        <v>9785819907795</v>
      </c>
    </row>
    <row r="9066" spans="1:29" s="4" customFormat="1" ht="51.9" customHeight="1" x14ac:dyDescent="0.2">
      <c r="A9066" s="5">
        <v>0</v>
      </c>
      <c r="B9066" s="6" t="s">
        <v>50826</v>
      </c>
      <c r="C9066" s="7">
        <v>2508</v>
      </c>
      <c r="D9066" s="8" t="s">
        <v>50827</v>
      </c>
      <c r="E9066" s="8" t="s">
        <v>50828</v>
      </c>
      <c r="F9066" s="8" t="s">
        <v>50829</v>
      </c>
      <c r="G9066" s="6" t="s">
        <v>118</v>
      </c>
      <c r="H9066" s="6" t="s">
        <v>34</v>
      </c>
      <c r="I9066" s="8" t="s">
        <v>253</v>
      </c>
      <c r="J9066" s="9">
        <v>1</v>
      </c>
      <c r="K9066" s="9">
        <v>355</v>
      </c>
      <c r="L9066" s="9">
        <v>2026</v>
      </c>
      <c r="M9066" s="8" t="s">
        <v>50830</v>
      </c>
      <c r="N9066" s="8" t="s">
        <v>585</v>
      </c>
      <c r="O9066" s="8" t="s">
        <v>667</v>
      </c>
      <c r="P9066" s="6" t="s">
        <v>51</v>
      </c>
      <c r="Q9066" s="8" t="s">
        <v>500</v>
      </c>
      <c r="R9066" s="10" t="s">
        <v>50831</v>
      </c>
      <c r="S9066" s="11"/>
      <c r="T9066" s="6"/>
      <c r="U9066" s="15" t="str">
        <f>HYPERLINK("https://media.infra-m.ru/2232/2232487/cover/2232487.jpg", "Обложка")</f>
        <v>Обложка</v>
      </c>
      <c r="V9066" s="8" t="s">
        <v>50832</v>
      </c>
      <c r="W9066" s="6"/>
      <c r="X9066" s="6"/>
      <c r="Y9066" s="6"/>
      <c r="Z9066" s="6"/>
      <c r="AA9066" s="6" t="s">
        <v>68</v>
      </c>
      <c r="AB9066" s="8"/>
      <c r="AC9066" s="27">
        <v>9785160202235</v>
      </c>
    </row>
    <row r="9067" spans="1:29" s="4" customFormat="1" ht="51.9" customHeight="1" x14ac:dyDescent="0.2">
      <c r="A9067" s="5">
        <v>0</v>
      </c>
      <c r="B9067" s="6" t="s">
        <v>50833</v>
      </c>
      <c r="C9067" s="7">
        <v>3300</v>
      </c>
      <c r="D9067" s="8" t="s">
        <v>50834</v>
      </c>
      <c r="E9067" s="8" t="s">
        <v>50835</v>
      </c>
      <c r="F9067" s="8" t="s">
        <v>50836</v>
      </c>
      <c r="G9067" s="6" t="s">
        <v>60</v>
      </c>
      <c r="H9067" s="6" t="s">
        <v>34</v>
      </c>
      <c r="I9067" s="8"/>
      <c r="J9067" s="9">
        <v>1</v>
      </c>
      <c r="K9067" s="9">
        <v>528</v>
      </c>
      <c r="L9067" s="9">
        <v>2026</v>
      </c>
      <c r="M9067" s="8" t="s">
        <v>50837</v>
      </c>
      <c r="N9067" s="8" t="s">
        <v>585</v>
      </c>
      <c r="O9067" s="8" t="s">
        <v>667</v>
      </c>
      <c r="P9067" s="6" t="s">
        <v>51</v>
      </c>
      <c r="Q9067" s="8" t="s">
        <v>52</v>
      </c>
      <c r="R9067" s="10" t="s">
        <v>50838</v>
      </c>
      <c r="S9067" s="11"/>
      <c r="T9067" s="6"/>
      <c r="U9067" s="15" t="str">
        <f>HYPERLINK("https://media.infra-m.ru/2211/2211865/cover/2211865.jpg", "Обложка")</f>
        <v>Обложка</v>
      </c>
      <c r="V9067" s="8" t="s">
        <v>1956</v>
      </c>
      <c r="W9067" s="6"/>
      <c r="X9067" s="6"/>
      <c r="Y9067" s="6"/>
      <c r="Z9067" s="6"/>
      <c r="AA9067" s="6" t="s">
        <v>2230</v>
      </c>
      <c r="AB9067" s="8"/>
      <c r="AC9067" s="27">
        <v>9785160167961</v>
      </c>
    </row>
    <row r="9068" spans="1:29" s="4" customFormat="1" ht="51.9" customHeight="1" x14ac:dyDescent="0.2">
      <c r="A9068" s="5">
        <v>0</v>
      </c>
      <c r="B9068" s="6" t="s">
        <v>50839</v>
      </c>
      <c r="C9068" s="7">
        <v>2320.8000000000002</v>
      </c>
      <c r="D9068" s="8" t="s">
        <v>50840</v>
      </c>
      <c r="E9068" s="8" t="s">
        <v>50841</v>
      </c>
      <c r="F9068" s="8" t="s">
        <v>9569</v>
      </c>
      <c r="G9068" s="6" t="s">
        <v>60</v>
      </c>
      <c r="H9068" s="6" t="s">
        <v>48</v>
      </c>
      <c r="I9068" s="8" t="s">
        <v>271</v>
      </c>
      <c r="J9068" s="9">
        <v>1</v>
      </c>
      <c r="K9068" s="9">
        <v>352</v>
      </c>
      <c r="L9068" s="9">
        <v>2026</v>
      </c>
      <c r="M9068" s="8" t="s">
        <v>50842</v>
      </c>
      <c r="N9068" s="8" t="s">
        <v>243</v>
      </c>
      <c r="O9068" s="8" t="s">
        <v>758</v>
      </c>
      <c r="P9068" s="6" t="s">
        <v>51</v>
      </c>
      <c r="Q9068" s="8" t="s">
        <v>52</v>
      </c>
      <c r="R9068" s="10" t="s">
        <v>50843</v>
      </c>
      <c r="S9068" s="11" t="s">
        <v>50844</v>
      </c>
      <c r="T9068" s="6"/>
      <c r="U9068" s="15" t="str">
        <f>HYPERLINK("https://media.infra-m.ru/2238/2238494/cover/2238494.jpg", "Обложка")</f>
        <v>Обложка</v>
      </c>
      <c r="V9068" s="8" t="s">
        <v>9565</v>
      </c>
      <c r="W9068" s="6"/>
      <c r="X9068" s="6"/>
      <c r="Y9068" s="6"/>
      <c r="Z9068" s="6"/>
      <c r="AA9068" s="6" t="s">
        <v>1123</v>
      </c>
      <c r="AB9068" s="8"/>
      <c r="AC9068" s="27">
        <v>9785911349264</v>
      </c>
    </row>
    <row r="9069" spans="1:29" s="4" customFormat="1" ht="51.9" customHeight="1" x14ac:dyDescent="0.2">
      <c r="A9069" s="5">
        <v>0</v>
      </c>
      <c r="B9069" s="6" t="s">
        <v>50845</v>
      </c>
      <c r="C9069" s="7">
        <v>3590.4</v>
      </c>
      <c r="D9069" s="8" t="s">
        <v>50846</v>
      </c>
      <c r="E9069" s="8" t="s">
        <v>50847</v>
      </c>
      <c r="F9069" s="8" t="s">
        <v>50848</v>
      </c>
      <c r="G9069" s="6" t="s">
        <v>118</v>
      </c>
      <c r="H9069" s="6" t="s">
        <v>34</v>
      </c>
      <c r="I9069" s="8" t="s">
        <v>253</v>
      </c>
      <c r="J9069" s="9">
        <v>1</v>
      </c>
      <c r="K9069" s="9">
        <v>512</v>
      </c>
      <c r="L9069" s="9">
        <v>2023</v>
      </c>
      <c r="M9069" s="8" t="s">
        <v>50849</v>
      </c>
      <c r="N9069" s="8" t="s">
        <v>585</v>
      </c>
      <c r="O9069" s="8" t="s">
        <v>667</v>
      </c>
      <c r="P9069" s="6" t="s">
        <v>51</v>
      </c>
      <c r="Q9069" s="8" t="s">
        <v>52</v>
      </c>
      <c r="R9069" s="10" t="s">
        <v>50850</v>
      </c>
      <c r="S9069" s="11" t="s">
        <v>14857</v>
      </c>
      <c r="T9069" s="6"/>
      <c r="U9069" s="15" t="str">
        <f>HYPERLINK("https://media.infra-m.ru/2002/2002583/cover/2002583.jpg", "Обложка")</f>
        <v>Обложка</v>
      </c>
      <c r="V9069" s="8" t="s">
        <v>2398</v>
      </c>
      <c r="W9069" s="6"/>
      <c r="X9069" s="6"/>
      <c r="Y9069" s="6"/>
      <c r="Z9069" s="6"/>
      <c r="AA9069" s="6" t="s">
        <v>99</v>
      </c>
      <c r="AB9069" s="8"/>
      <c r="AC9069" s="27">
        <v>9785160184456</v>
      </c>
    </row>
    <row r="9070" spans="1:29" s="4" customFormat="1" ht="51.9" customHeight="1" x14ac:dyDescent="0.2">
      <c r="A9070" s="5">
        <v>0</v>
      </c>
      <c r="B9070" s="6" t="s">
        <v>50851</v>
      </c>
      <c r="C9070" s="7">
        <v>1000.8</v>
      </c>
      <c r="D9070" s="8" t="s">
        <v>50852</v>
      </c>
      <c r="E9070" s="8" t="s">
        <v>50853</v>
      </c>
      <c r="F9070" s="8" t="s">
        <v>50854</v>
      </c>
      <c r="G9070" s="6" t="s">
        <v>33</v>
      </c>
      <c r="H9070" s="6" t="s">
        <v>34</v>
      </c>
      <c r="I9070" s="8" t="s">
        <v>271</v>
      </c>
      <c r="J9070" s="9">
        <v>1</v>
      </c>
      <c r="K9070" s="9">
        <v>152</v>
      </c>
      <c r="L9070" s="9">
        <v>2026</v>
      </c>
      <c r="M9070" s="8" t="s">
        <v>50855</v>
      </c>
      <c r="N9070" s="8" t="s">
        <v>243</v>
      </c>
      <c r="O9070" s="8" t="s">
        <v>244</v>
      </c>
      <c r="P9070" s="6" t="s">
        <v>51</v>
      </c>
      <c r="Q9070" s="8" t="s">
        <v>52</v>
      </c>
      <c r="R9070" s="10" t="s">
        <v>27301</v>
      </c>
      <c r="S9070" s="11" t="s">
        <v>50856</v>
      </c>
      <c r="T9070" s="6"/>
      <c r="U9070" s="15" t="str">
        <f>HYPERLINK("https://media.infra-m.ru/2243/2243216/cover/2243216.jpg", "Обложка")</f>
        <v>Обложка</v>
      </c>
      <c r="V9070" s="8" t="s">
        <v>761</v>
      </c>
      <c r="W9070" s="6"/>
      <c r="X9070" s="6"/>
      <c r="Y9070" s="6"/>
      <c r="Z9070" s="6"/>
      <c r="AA9070" s="6" t="s">
        <v>779</v>
      </c>
      <c r="AB9070" s="8"/>
      <c r="AC9070" s="27">
        <v>9785160103662</v>
      </c>
    </row>
    <row r="9071" spans="1:29" s="4" customFormat="1" ht="51.9" customHeight="1" x14ac:dyDescent="0.2">
      <c r="A9071" s="5">
        <v>0</v>
      </c>
      <c r="B9071" s="6" t="s">
        <v>50857</v>
      </c>
      <c r="C9071" s="7">
        <v>2512.8000000000002</v>
      </c>
      <c r="D9071" s="8" t="s">
        <v>50858</v>
      </c>
      <c r="E9071" s="8" t="s">
        <v>50859</v>
      </c>
      <c r="F9071" s="8" t="s">
        <v>17978</v>
      </c>
      <c r="G9071" s="6" t="s">
        <v>60</v>
      </c>
      <c r="H9071" s="6" t="s">
        <v>34</v>
      </c>
      <c r="I9071" s="8" t="s">
        <v>271</v>
      </c>
      <c r="J9071" s="9">
        <v>1</v>
      </c>
      <c r="K9071" s="9">
        <v>381</v>
      </c>
      <c r="L9071" s="9">
        <v>2027</v>
      </c>
      <c r="M9071" s="8" t="s">
        <v>50860</v>
      </c>
      <c r="N9071" s="8" t="s">
        <v>585</v>
      </c>
      <c r="O9071" s="8" t="s">
        <v>667</v>
      </c>
      <c r="P9071" s="6" t="s">
        <v>51</v>
      </c>
      <c r="Q9071" s="8" t="s">
        <v>52</v>
      </c>
      <c r="R9071" s="10" t="s">
        <v>50861</v>
      </c>
      <c r="S9071" s="11" t="s">
        <v>50862</v>
      </c>
      <c r="T9071" s="6"/>
      <c r="U9071" s="15" t="str">
        <f>HYPERLINK("https://media.infra-m.ru/2257/2257147/cover/2257147.jpg", "Обложка")</f>
        <v>Обложка</v>
      </c>
      <c r="V9071" s="8" t="s">
        <v>17981</v>
      </c>
      <c r="W9071" s="6"/>
      <c r="X9071" s="6"/>
      <c r="Y9071" s="6"/>
      <c r="Z9071" s="6"/>
      <c r="AA9071" s="6" t="s">
        <v>148</v>
      </c>
      <c r="AB9071" s="8"/>
      <c r="AC9071" s="27">
        <v>9785160146058</v>
      </c>
    </row>
    <row r="9072" spans="1:29" s="4" customFormat="1" ht="51.9" customHeight="1" x14ac:dyDescent="0.2">
      <c r="A9072" s="5">
        <v>0</v>
      </c>
      <c r="B9072" s="6" t="s">
        <v>50863</v>
      </c>
      <c r="C9072" s="7">
        <v>1308</v>
      </c>
      <c r="D9072" s="8" t="s">
        <v>50864</v>
      </c>
      <c r="E9072" s="8" t="s">
        <v>50865</v>
      </c>
      <c r="F9072" s="8" t="s">
        <v>50866</v>
      </c>
      <c r="G9072" s="6" t="s">
        <v>60</v>
      </c>
      <c r="H9072" s="6" t="s">
        <v>1042</v>
      </c>
      <c r="I9072" s="8" t="s">
        <v>263</v>
      </c>
      <c r="J9072" s="9">
        <v>1</v>
      </c>
      <c r="K9072" s="9">
        <v>192</v>
      </c>
      <c r="L9072" s="9">
        <v>2026</v>
      </c>
      <c r="M9072" s="8" t="s">
        <v>50867</v>
      </c>
      <c r="N9072" s="8" t="s">
        <v>243</v>
      </c>
      <c r="O9072" s="8" t="s">
        <v>758</v>
      </c>
      <c r="P9072" s="6" t="s">
        <v>51</v>
      </c>
      <c r="Q9072" s="8" t="s">
        <v>265</v>
      </c>
      <c r="R9072" s="10" t="s">
        <v>50868</v>
      </c>
      <c r="S9072" s="11"/>
      <c r="T9072" s="6"/>
      <c r="U9072" s="15" t="str">
        <f>HYPERLINK("https://media.infra-m.ru/2184/2184603/cover/2184603.jpg", "Обложка")</f>
        <v>Обложка</v>
      </c>
      <c r="V9072" s="8" t="s">
        <v>1157</v>
      </c>
      <c r="W9072" s="6"/>
      <c r="X9072" s="6"/>
      <c r="Y9072" s="6"/>
      <c r="Z9072" s="6"/>
      <c r="AA9072" s="6" t="s">
        <v>187</v>
      </c>
      <c r="AB9072" s="8"/>
      <c r="AC9072" s="27">
        <v>9785819909652</v>
      </c>
    </row>
    <row r="9073" spans="1:29" s="4" customFormat="1" ht="51.9" customHeight="1" x14ac:dyDescent="0.2">
      <c r="A9073" s="5">
        <v>0</v>
      </c>
      <c r="B9073" s="6" t="s">
        <v>50869</v>
      </c>
      <c r="C9073" s="13">
        <v>876</v>
      </c>
      <c r="D9073" s="8" t="s">
        <v>50870</v>
      </c>
      <c r="E9073" s="8" t="s">
        <v>50865</v>
      </c>
      <c r="F9073" s="8" t="s">
        <v>50866</v>
      </c>
      <c r="G9073" s="6" t="s">
        <v>118</v>
      </c>
      <c r="H9073" s="6" t="s">
        <v>1042</v>
      </c>
      <c r="I9073" s="8" t="s">
        <v>253</v>
      </c>
      <c r="J9073" s="9">
        <v>1</v>
      </c>
      <c r="K9073" s="9">
        <v>192</v>
      </c>
      <c r="L9073" s="9">
        <v>2022</v>
      </c>
      <c r="M9073" s="8" t="s">
        <v>50871</v>
      </c>
      <c r="N9073" s="8" t="s">
        <v>243</v>
      </c>
      <c r="O9073" s="8" t="s">
        <v>758</v>
      </c>
      <c r="P9073" s="6" t="s">
        <v>51</v>
      </c>
      <c r="Q9073" s="8" t="s">
        <v>52</v>
      </c>
      <c r="R9073" s="10" t="s">
        <v>50872</v>
      </c>
      <c r="S9073" s="11" t="s">
        <v>50873</v>
      </c>
      <c r="T9073" s="6"/>
      <c r="U9073" s="15" t="str">
        <f>HYPERLINK("https://media.infra-m.ru/1853/1853931/cover/1853931.jpg", "Обложка")</f>
        <v>Обложка</v>
      </c>
      <c r="V9073" s="8" t="s">
        <v>1157</v>
      </c>
      <c r="W9073" s="6"/>
      <c r="X9073" s="6"/>
      <c r="Y9073" s="6"/>
      <c r="Z9073" s="6"/>
      <c r="AA9073" s="6" t="s">
        <v>55</v>
      </c>
      <c r="AB9073" s="8"/>
      <c r="AC9073" s="27">
        <v>9785819908631</v>
      </c>
    </row>
    <row r="9074" spans="1:29" s="4" customFormat="1" ht="42" customHeight="1" x14ac:dyDescent="0.2">
      <c r="A9074" s="5">
        <v>0</v>
      </c>
      <c r="B9074" s="6" t="s">
        <v>50874</v>
      </c>
      <c r="C9074" s="13">
        <v>576</v>
      </c>
      <c r="D9074" s="8" t="s">
        <v>50875</v>
      </c>
      <c r="E9074" s="8" t="s">
        <v>50876</v>
      </c>
      <c r="F9074" s="8" t="s">
        <v>50877</v>
      </c>
      <c r="G9074" s="6" t="s">
        <v>33</v>
      </c>
      <c r="H9074" s="6" t="s">
        <v>34</v>
      </c>
      <c r="I9074" s="8" t="s">
        <v>253</v>
      </c>
      <c r="J9074" s="9">
        <v>1</v>
      </c>
      <c r="K9074" s="9">
        <v>83</v>
      </c>
      <c r="L9074" s="9">
        <v>2026</v>
      </c>
      <c r="M9074" s="8" t="s">
        <v>50878</v>
      </c>
      <c r="N9074" s="8" t="s">
        <v>243</v>
      </c>
      <c r="O9074" s="8" t="s">
        <v>385</v>
      </c>
      <c r="P9074" s="6" t="s">
        <v>51</v>
      </c>
      <c r="Q9074" s="8" t="s">
        <v>52</v>
      </c>
      <c r="R9074" s="10" t="s">
        <v>378</v>
      </c>
      <c r="S9074" s="11"/>
      <c r="T9074" s="6"/>
      <c r="U9074" s="15" t="str">
        <f>HYPERLINK("https://media.infra-m.ru/2238/2238504/cover/2238504.jpg", "Обложка")</f>
        <v>Обложка</v>
      </c>
      <c r="V9074" s="8" t="s">
        <v>7082</v>
      </c>
      <c r="W9074" s="6"/>
      <c r="X9074" s="6"/>
      <c r="Y9074" s="6"/>
      <c r="Z9074" s="6"/>
      <c r="AA9074" s="6" t="s">
        <v>55</v>
      </c>
      <c r="AB9074" s="8"/>
      <c r="AC9074" s="27">
        <v>9785160065731</v>
      </c>
    </row>
    <row r="9075" spans="1:29" s="4" customFormat="1" ht="42" customHeight="1" x14ac:dyDescent="0.2">
      <c r="A9075" s="5">
        <v>0</v>
      </c>
      <c r="B9075" s="6" t="s">
        <v>50879</v>
      </c>
      <c r="C9075" s="13">
        <v>587.9</v>
      </c>
      <c r="D9075" s="8" t="s">
        <v>50880</v>
      </c>
      <c r="E9075" s="8" t="s">
        <v>50881</v>
      </c>
      <c r="F9075" s="8" t="s">
        <v>50882</v>
      </c>
      <c r="G9075" s="6" t="s">
        <v>33</v>
      </c>
      <c r="H9075" s="6" t="s">
        <v>1042</v>
      </c>
      <c r="I9075" s="8"/>
      <c r="J9075" s="9">
        <v>1</v>
      </c>
      <c r="K9075" s="9">
        <v>156</v>
      </c>
      <c r="L9075" s="9">
        <v>2017</v>
      </c>
      <c r="M9075" s="8" t="s">
        <v>50883</v>
      </c>
      <c r="N9075" s="8" t="s">
        <v>37</v>
      </c>
      <c r="O9075" s="8" t="s">
        <v>233</v>
      </c>
      <c r="P9075" s="6" t="s">
        <v>39</v>
      </c>
      <c r="Q9075" s="8" t="s">
        <v>40</v>
      </c>
      <c r="R9075" s="10"/>
      <c r="S9075" s="11"/>
      <c r="T9075" s="6"/>
      <c r="U9075" s="15" t="str">
        <f>HYPERLINK("https://media.infra-m.ru/0917/0917156/cover/917156.jpg", "Обложка")</f>
        <v>Обложка</v>
      </c>
      <c r="V9075" s="8" t="s">
        <v>227</v>
      </c>
      <c r="W9075" s="6"/>
      <c r="X9075" s="6"/>
      <c r="Y9075" s="6"/>
      <c r="Z9075" s="6"/>
      <c r="AA9075" s="6" t="s">
        <v>99</v>
      </c>
      <c r="AB9075" s="8"/>
      <c r="AC9075" s="27">
        <v>9785819906842</v>
      </c>
    </row>
    <row r="9076" spans="1:29" s="4" customFormat="1" ht="42" customHeight="1" x14ac:dyDescent="0.2">
      <c r="A9076" s="5">
        <v>0</v>
      </c>
      <c r="B9076" s="6" t="s">
        <v>50884</v>
      </c>
      <c r="C9076" s="7">
        <v>3832.8</v>
      </c>
      <c r="D9076" s="8" t="s">
        <v>50885</v>
      </c>
      <c r="E9076" s="8" t="s">
        <v>50886</v>
      </c>
      <c r="F9076" s="8" t="s">
        <v>34161</v>
      </c>
      <c r="G9076" s="6" t="s">
        <v>60</v>
      </c>
      <c r="H9076" s="6" t="s">
        <v>34</v>
      </c>
      <c r="I9076" s="8" t="s">
        <v>271</v>
      </c>
      <c r="J9076" s="9">
        <v>1</v>
      </c>
      <c r="K9076" s="9">
        <v>580</v>
      </c>
      <c r="L9076" s="9">
        <v>2026</v>
      </c>
      <c r="M9076" s="8" t="s">
        <v>50887</v>
      </c>
      <c r="N9076" s="8" t="s">
        <v>243</v>
      </c>
      <c r="O9076" s="8" t="s">
        <v>244</v>
      </c>
      <c r="P9076" s="6" t="s">
        <v>51</v>
      </c>
      <c r="Q9076" s="8" t="s">
        <v>52</v>
      </c>
      <c r="R9076" s="10" t="s">
        <v>50888</v>
      </c>
      <c r="S9076" s="11"/>
      <c r="T9076" s="6"/>
      <c r="U9076" s="15" t="str">
        <f>HYPERLINK("https://media.infra-m.ru/2234/2234452/cover/2234452.jpg", "Обложка")</f>
        <v>Обложка</v>
      </c>
      <c r="V9076" s="8" t="s">
        <v>831</v>
      </c>
      <c r="W9076" s="6"/>
      <c r="X9076" s="6"/>
      <c r="Y9076" s="6"/>
      <c r="Z9076" s="6"/>
      <c r="AA9076" s="6" t="s">
        <v>157</v>
      </c>
      <c r="AB9076" s="8"/>
      <c r="AC9076" s="27">
        <v>9785160181356</v>
      </c>
    </row>
    <row r="9077" spans="1:29" s="4" customFormat="1" ht="51.9" customHeight="1" x14ac:dyDescent="0.2">
      <c r="A9077" s="5">
        <v>0</v>
      </c>
      <c r="B9077" s="6" t="s">
        <v>50889</v>
      </c>
      <c r="C9077" s="7">
        <v>3276</v>
      </c>
      <c r="D9077" s="8" t="s">
        <v>50890</v>
      </c>
      <c r="E9077" s="8" t="s">
        <v>50891</v>
      </c>
      <c r="F9077" s="8" t="s">
        <v>1974</v>
      </c>
      <c r="G9077" s="6" t="s">
        <v>60</v>
      </c>
      <c r="H9077" s="6" t="s">
        <v>34</v>
      </c>
      <c r="I9077" s="8" t="s">
        <v>35</v>
      </c>
      <c r="J9077" s="9">
        <v>1</v>
      </c>
      <c r="K9077" s="9">
        <v>496</v>
      </c>
      <c r="L9077" s="9">
        <v>2026</v>
      </c>
      <c r="M9077" s="8" t="s">
        <v>50892</v>
      </c>
      <c r="N9077" s="8" t="s">
        <v>37</v>
      </c>
      <c r="O9077" s="8" t="s">
        <v>136</v>
      </c>
      <c r="P9077" s="6" t="s">
        <v>39</v>
      </c>
      <c r="Q9077" s="8" t="s">
        <v>40</v>
      </c>
      <c r="R9077" s="10" t="s">
        <v>50893</v>
      </c>
      <c r="S9077" s="11"/>
      <c r="T9077" s="6"/>
      <c r="U9077" s="15" t="str">
        <f>HYPERLINK("https://media.infra-m.ru/2188/2188100/cover/2188100.jpg", "Обложка")</f>
        <v>Обложка</v>
      </c>
      <c r="V9077" s="8" t="s">
        <v>1069</v>
      </c>
      <c r="W9077" s="6" t="s">
        <v>342</v>
      </c>
      <c r="X9077" s="6"/>
      <c r="Y9077" s="6"/>
      <c r="Z9077" s="6"/>
      <c r="AA9077" s="6" t="s">
        <v>187</v>
      </c>
      <c r="AB9077" s="8"/>
      <c r="AC9077" s="27">
        <v>9785160206769</v>
      </c>
    </row>
    <row r="9078" spans="1:29" s="4" customFormat="1" ht="51.9" customHeight="1" x14ac:dyDescent="0.2">
      <c r="A9078" s="5">
        <v>0</v>
      </c>
      <c r="B9078" s="6" t="s">
        <v>50894</v>
      </c>
      <c r="C9078" s="7">
        <v>1948.8</v>
      </c>
      <c r="D9078" s="8" t="s">
        <v>50895</v>
      </c>
      <c r="E9078" s="8" t="s">
        <v>50896</v>
      </c>
      <c r="F9078" s="8" t="s">
        <v>50897</v>
      </c>
      <c r="G9078" s="6" t="s">
        <v>60</v>
      </c>
      <c r="H9078" s="6" t="s">
        <v>34</v>
      </c>
      <c r="I9078" s="8" t="s">
        <v>271</v>
      </c>
      <c r="J9078" s="9">
        <v>1</v>
      </c>
      <c r="K9078" s="9">
        <v>360</v>
      </c>
      <c r="L9078" s="9">
        <v>2023</v>
      </c>
      <c r="M9078" s="8" t="s">
        <v>50898</v>
      </c>
      <c r="N9078" s="8" t="s">
        <v>37</v>
      </c>
      <c r="O9078" s="8" t="s">
        <v>499</v>
      </c>
      <c r="P9078" s="6" t="s">
        <v>1481</v>
      </c>
      <c r="Q9078" s="8" t="s">
        <v>52</v>
      </c>
      <c r="R9078" s="10" t="s">
        <v>50899</v>
      </c>
      <c r="S9078" s="11" t="s">
        <v>21515</v>
      </c>
      <c r="T9078" s="6"/>
      <c r="U9078" s="15" t="str">
        <f>HYPERLINK("https://media.infra-m.ru/2006/2006843/cover/2006843.jpg", "Обложка")</f>
        <v>Обложка</v>
      </c>
      <c r="V9078" s="8" t="s">
        <v>20643</v>
      </c>
      <c r="W9078" s="6"/>
      <c r="X9078" s="6"/>
      <c r="Y9078" s="6"/>
      <c r="Z9078" s="6"/>
      <c r="AA9078" s="6" t="s">
        <v>115</v>
      </c>
      <c r="AB9078" s="8"/>
      <c r="AC9078" s="27">
        <v>9785160138114</v>
      </c>
    </row>
    <row r="9079" spans="1:29" s="4" customFormat="1" ht="42" customHeight="1" x14ac:dyDescent="0.2">
      <c r="A9079" s="5">
        <v>0</v>
      </c>
      <c r="B9079" s="6" t="s">
        <v>50900</v>
      </c>
      <c r="C9079" s="7">
        <v>2872.8</v>
      </c>
      <c r="D9079" s="8" t="s">
        <v>50901</v>
      </c>
      <c r="E9079" s="8" t="s">
        <v>50902</v>
      </c>
      <c r="F9079" s="8" t="s">
        <v>50903</v>
      </c>
      <c r="G9079" s="6" t="s">
        <v>60</v>
      </c>
      <c r="H9079" s="6" t="s">
        <v>313</v>
      </c>
      <c r="I9079" s="8" t="s">
        <v>10560</v>
      </c>
      <c r="J9079" s="9">
        <v>1</v>
      </c>
      <c r="K9079" s="9">
        <v>533</v>
      </c>
      <c r="L9079" s="9">
        <v>2023</v>
      </c>
      <c r="M9079" s="8" t="s">
        <v>50904</v>
      </c>
      <c r="N9079" s="8" t="s">
        <v>37</v>
      </c>
      <c r="O9079" s="8" t="s">
        <v>83</v>
      </c>
      <c r="P9079" s="6" t="s">
        <v>39</v>
      </c>
      <c r="Q9079" s="8" t="s">
        <v>40</v>
      </c>
      <c r="R9079" s="10" t="s">
        <v>9577</v>
      </c>
      <c r="S9079" s="11"/>
      <c r="T9079" s="6"/>
      <c r="U9079" s="15" t="str">
        <f>HYPERLINK("https://media.infra-m.ru/2006/2006901/cover/2006901.jpg", "Обложка")</f>
        <v>Обложка</v>
      </c>
      <c r="V9079" s="8" t="s">
        <v>1425</v>
      </c>
      <c r="W9079" s="6"/>
      <c r="X9079" s="6"/>
      <c r="Y9079" s="6"/>
      <c r="Z9079" s="6"/>
      <c r="AA9079" s="6" t="s">
        <v>86</v>
      </c>
      <c r="AB9079" s="8"/>
      <c r="AC9079" s="27">
        <v>9785369017449</v>
      </c>
    </row>
    <row r="9080" spans="1:29" s="4" customFormat="1" ht="51.9" customHeight="1" x14ac:dyDescent="0.2">
      <c r="A9080" s="5">
        <v>0</v>
      </c>
      <c r="B9080" s="6" t="s">
        <v>50905</v>
      </c>
      <c r="C9080" s="7">
        <v>2140.8000000000002</v>
      </c>
      <c r="D9080" s="8" t="s">
        <v>50906</v>
      </c>
      <c r="E9080" s="8" t="s">
        <v>50907</v>
      </c>
      <c r="F9080" s="8" t="s">
        <v>50908</v>
      </c>
      <c r="G9080" s="6" t="s">
        <v>33</v>
      </c>
      <c r="H9080" s="6" t="s">
        <v>34</v>
      </c>
      <c r="I9080" s="8" t="s">
        <v>35</v>
      </c>
      <c r="J9080" s="9">
        <v>1</v>
      </c>
      <c r="K9080" s="9">
        <v>324</v>
      </c>
      <c r="L9080" s="9">
        <v>2026</v>
      </c>
      <c r="M9080" s="8" t="s">
        <v>50909</v>
      </c>
      <c r="N9080" s="8" t="s">
        <v>37</v>
      </c>
      <c r="O9080" s="8" t="s">
        <v>136</v>
      </c>
      <c r="P9080" s="6" t="s">
        <v>39</v>
      </c>
      <c r="Q9080" s="8" t="s">
        <v>40</v>
      </c>
      <c r="R9080" s="10" t="s">
        <v>484</v>
      </c>
      <c r="S9080" s="11"/>
      <c r="T9080" s="6"/>
      <c r="U9080" s="15" t="str">
        <f>HYPERLINK("https://media.infra-m.ru/2242/2242912/cover/2242912.jpg", "Обложка")</f>
        <v>Обложка</v>
      </c>
      <c r="V9080" s="8" t="s">
        <v>1425</v>
      </c>
      <c r="W9080" s="6"/>
      <c r="X9080" s="6"/>
      <c r="Y9080" s="6"/>
      <c r="Z9080" s="6"/>
      <c r="AA9080" s="6" t="s">
        <v>86</v>
      </c>
      <c r="AB9080" s="8"/>
      <c r="AC9080" s="27">
        <v>9785160180137</v>
      </c>
    </row>
    <row r="9081" spans="1:29" s="4" customFormat="1" ht="51.9" customHeight="1" x14ac:dyDescent="0.2">
      <c r="A9081" s="5">
        <v>0</v>
      </c>
      <c r="B9081" s="6" t="s">
        <v>50910</v>
      </c>
      <c r="C9081" s="7">
        <v>1368</v>
      </c>
      <c r="D9081" s="8" t="s">
        <v>50911</v>
      </c>
      <c r="E9081" s="8" t="s">
        <v>50907</v>
      </c>
      <c r="F9081" s="8" t="s">
        <v>50908</v>
      </c>
      <c r="G9081" s="6" t="s">
        <v>118</v>
      </c>
      <c r="H9081" s="6" t="s">
        <v>34</v>
      </c>
      <c r="I9081" s="8" t="s">
        <v>35</v>
      </c>
      <c r="J9081" s="9">
        <v>1</v>
      </c>
      <c r="K9081" s="9">
        <v>324</v>
      </c>
      <c r="L9081" s="9">
        <v>2020</v>
      </c>
      <c r="M9081" s="8" t="s">
        <v>50912</v>
      </c>
      <c r="N9081" s="8" t="s">
        <v>37</v>
      </c>
      <c r="O9081" s="8" t="s">
        <v>136</v>
      </c>
      <c r="P9081" s="6" t="s">
        <v>39</v>
      </c>
      <c r="Q9081" s="8" t="s">
        <v>40</v>
      </c>
      <c r="R9081" s="10" t="s">
        <v>484</v>
      </c>
      <c r="S9081" s="11"/>
      <c r="T9081" s="6"/>
      <c r="U9081" s="15" t="str">
        <f>HYPERLINK("https://media.infra-m.ru/1080/1080549/cover/1080549.jpg", "Обложка")</f>
        <v>Обложка</v>
      </c>
      <c r="V9081" s="8" t="s">
        <v>1425</v>
      </c>
      <c r="W9081" s="6"/>
      <c r="X9081" s="6"/>
      <c r="Y9081" s="6"/>
      <c r="Z9081" s="6"/>
      <c r="AA9081" s="6" t="s">
        <v>86</v>
      </c>
      <c r="AB9081" s="8"/>
      <c r="AC9081" s="27">
        <v>9785160136509</v>
      </c>
    </row>
    <row r="9082" spans="1:29" s="4" customFormat="1" ht="42" customHeight="1" x14ac:dyDescent="0.2">
      <c r="A9082" s="5">
        <v>0</v>
      </c>
      <c r="B9082" s="6" t="s">
        <v>50913</v>
      </c>
      <c r="C9082" s="13">
        <v>864</v>
      </c>
      <c r="D9082" s="8" t="s">
        <v>50914</v>
      </c>
      <c r="E9082" s="8" t="s">
        <v>50915</v>
      </c>
      <c r="F9082" s="8" t="s">
        <v>50916</v>
      </c>
      <c r="G9082" s="6" t="s">
        <v>33</v>
      </c>
      <c r="H9082" s="6" t="s">
        <v>34</v>
      </c>
      <c r="I9082" s="8" t="s">
        <v>35</v>
      </c>
      <c r="J9082" s="9">
        <v>1</v>
      </c>
      <c r="K9082" s="9">
        <v>185</v>
      </c>
      <c r="L9082" s="9">
        <v>2022</v>
      </c>
      <c r="M9082" s="8" t="s">
        <v>50917</v>
      </c>
      <c r="N9082" s="8" t="s">
        <v>37</v>
      </c>
      <c r="O9082" s="8" t="s">
        <v>233</v>
      </c>
      <c r="P9082" s="6" t="s">
        <v>39</v>
      </c>
      <c r="Q9082" s="8" t="s">
        <v>40</v>
      </c>
      <c r="R9082" s="10" t="s">
        <v>3516</v>
      </c>
      <c r="S9082" s="11"/>
      <c r="T9082" s="6"/>
      <c r="U9082" s="15" t="str">
        <f>HYPERLINK("https://media.infra-m.ru/1863/1863415/cover/1863415.jpg", "Обложка")</f>
        <v>Обложка</v>
      </c>
      <c r="V9082" s="8" t="s">
        <v>1956</v>
      </c>
      <c r="W9082" s="6"/>
      <c r="X9082" s="6"/>
      <c r="Y9082" s="6"/>
      <c r="Z9082" s="6"/>
      <c r="AA9082" s="6" t="s">
        <v>86</v>
      </c>
      <c r="AB9082" s="8"/>
      <c r="AC9082" s="27">
        <v>9785160140483</v>
      </c>
    </row>
    <row r="9083" spans="1:29" s="4" customFormat="1" ht="51.9" customHeight="1" x14ac:dyDescent="0.2">
      <c r="A9083" s="5">
        <v>0</v>
      </c>
      <c r="B9083" s="6" t="s">
        <v>50918</v>
      </c>
      <c r="C9083" s="13">
        <v>804</v>
      </c>
      <c r="D9083" s="8" t="s">
        <v>50919</v>
      </c>
      <c r="E9083" s="8" t="s">
        <v>50920</v>
      </c>
      <c r="F9083" s="8" t="s">
        <v>1960</v>
      </c>
      <c r="G9083" s="6" t="s">
        <v>33</v>
      </c>
      <c r="H9083" s="6" t="s">
        <v>34</v>
      </c>
      <c r="I9083" s="8" t="s">
        <v>35</v>
      </c>
      <c r="J9083" s="9">
        <v>1</v>
      </c>
      <c r="K9083" s="9">
        <v>142</v>
      </c>
      <c r="L9083" s="9">
        <v>2024</v>
      </c>
      <c r="M9083" s="8" t="s">
        <v>50921</v>
      </c>
      <c r="N9083" s="8" t="s">
        <v>63</v>
      </c>
      <c r="O9083" s="8" t="s">
        <v>126</v>
      </c>
      <c r="P9083" s="6" t="s">
        <v>39</v>
      </c>
      <c r="Q9083" s="8" t="s">
        <v>40</v>
      </c>
      <c r="R9083" s="10" t="s">
        <v>50922</v>
      </c>
      <c r="S9083" s="11"/>
      <c r="T9083" s="6"/>
      <c r="U9083" s="15" t="str">
        <f>HYPERLINK("https://media.infra-m.ru/2136/2136034/cover/2136034.jpg", "Обложка")</f>
        <v>Обложка</v>
      </c>
      <c r="V9083" s="8" t="s">
        <v>227</v>
      </c>
      <c r="W9083" s="6"/>
      <c r="X9083" s="6"/>
      <c r="Y9083" s="6"/>
      <c r="Z9083" s="6"/>
      <c r="AA9083" s="6" t="s">
        <v>115</v>
      </c>
      <c r="AB9083" s="8"/>
      <c r="AC9083" s="27">
        <v>9785160138602</v>
      </c>
    </row>
    <row r="9084" spans="1:29" s="4" customFormat="1" ht="51.9" customHeight="1" x14ac:dyDescent="0.2">
      <c r="A9084" s="5">
        <v>0</v>
      </c>
      <c r="B9084" s="6" t="s">
        <v>50923</v>
      </c>
      <c r="C9084" s="7">
        <v>3196.8</v>
      </c>
      <c r="D9084" s="8" t="s">
        <v>50924</v>
      </c>
      <c r="E9084" s="8" t="s">
        <v>50925</v>
      </c>
      <c r="F9084" s="8" t="s">
        <v>1974</v>
      </c>
      <c r="G9084" s="6" t="s">
        <v>60</v>
      </c>
      <c r="H9084" s="6" t="s">
        <v>34</v>
      </c>
      <c r="I9084" s="8" t="s">
        <v>35</v>
      </c>
      <c r="J9084" s="9">
        <v>1</v>
      </c>
      <c r="K9084" s="9">
        <v>484</v>
      </c>
      <c r="L9084" s="9">
        <v>2026</v>
      </c>
      <c r="M9084" s="8" t="s">
        <v>50926</v>
      </c>
      <c r="N9084" s="8" t="s">
        <v>37</v>
      </c>
      <c r="O9084" s="8" t="s">
        <v>136</v>
      </c>
      <c r="P9084" s="6" t="s">
        <v>39</v>
      </c>
      <c r="Q9084" s="8" t="s">
        <v>40</v>
      </c>
      <c r="R9084" s="10" t="s">
        <v>50927</v>
      </c>
      <c r="S9084" s="11"/>
      <c r="T9084" s="6"/>
      <c r="U9084" s="15" t="str">
        <f>HYPERLINK("https://media.infra-m.ru/2215/2215897/cover/2215897.jpg", "Обложка")</f>
        <v>Обложка</v>
      </c>
      <c r="V9084" s="8" t="s">
        <v>1069</v>
      </c>
      <c r="W9084" s="6"/>
      <c r="X9084" s="6"/>
      <c r="Y9084" s="6"/>
      <c r="Z9084" s="6"/>
      <c r="AA9084" s="6" t="s">
        <v>76</v>
      </c>
      <c r="AB9084" s="8"/>
      <c r="AC9084" s="27">
        <v>9785160197463</v>
      </c>
    </row>
    <row r="9085" spans="1:29" s="4" customFormat="1" ht="51.9" customHeight="1" x14ac:dyDescent="0.2">
      <c r="A9085" s="5">
        <v>0</v>
      </c>
      <c r="B9085" s="6" t="s">
        <v>50928</v>
      </c>
      <c r="C9085" s="7">
        <v>4014</v>
      </c>
      <c r="D9085" s="8" t="s">
        <v>50929</v>
      </c>
      <c r="E9085" s="8" t="s">
        <v>50930</v>
      </c>
      <c r="F9085" s="8" t="s">
        <v>50931</v>
      </c>
      <c r="G9085" s="6" t="s">
        <v>60</v>
      </c>
      <c r="H9085" s="6" t="s">
        <v>134</v>
      </c>
      <c r="I9085" s="8"/>
      <c r="J9085" s="9">
        <v>1</v>
      </c>
      <c r="K9085" s="9">
        <v>576</v>
      </c>
      <c r="L9085" s="9">
        <v>2027</v>
      </c>
      <c r="M9085" s="8" t="s">
        <v>50932</v>
      </c>
      <c r="N9085" s="8" t="s">
        <v>37</v>
      </c>
      <c r="O9085" s="8" t="s">
        <v>136</v>
      </c>
      <c r="P9085" s="6" t="s">
        <v>39</v>
      </c>
      <c r="Q9085" s="8" t="s">
        <v>40</v>
      </c>
      <c r="R9085" s="10" t="s">
        <v>1230</v>
      </c>
      <c r="S9085" s="11"/>
      <c r="T9085" s="6"/>
      <c r="U9085" s="15" t="str">
        <f>HYPERLINK("https://media.infra-m.ru/2268/2268864/cover/2268864.jpg", "Обложка")</f>
        <v>Обложка</v>
      </c>
      <c r="V9085" s="8" t="s">
        <v>18112</v>
      </c>
      <c r="W9085" s="6"/>
      <c r="X9085" s="6"/>
      <c r="Y9085" s="6"/>
      <c r="Z9085" s="6"/>
      <c r="AA9085" s="6" t="s">
        <v>157</v>
      </c>
      <c r="AB9085" s="8"/>
      <c r="AC9085" s="27">
        <v>9785001562849</v>
      </c>
    </row>
    <row r="9086" spans="1:29" s="4" customFormat="1" ht="51.9" customHeight="1" x14ac:dyDescent="0.2">
      <c r="A9086" s="5">
        <v>0</v>
      </c>
      <c r="B9086" s="6" t="s">
        <v>50933</v>
      </c>
      <c r="C9086" s="7">
        <v>2796</v>
      </c>
      <c r="D9086" s="8" t="s">
        <v>50934</v>
      </c>
      <c r="E9086" s="8" t="s">
        <v>50935</v>
      </c>
      <c r="F9086" s="8" t="s">
        <v>50936</v>
      </c>
      <c r="G9086" s="6" t="s">
        <v>60</v>
      </c>
      <c r="H9086" s="6" t="s">
        <v>34</v>
      </c>
      <c r="I9086" s="8" t="s">
        <v>35</v>
      </c>
      <c r="J9086" s="9">
        <v>1</v>
      </c>
      <c r="K9086" s="9">
        <v>451</v>
      </c>
      <c r="L9086" s="9">
        <v>2025</v>
      </c>
      <c r="M9086" s="8" t="s">
        <v>50937</v>
      </c>
      <c r="N9086" s="8" t="s">
        <v>37</v>
      </c>
      <c r="O9086" s="8" t="s">
        <v>136</v>
      </c>
      <c r="P9086" s="6" t="s">
        <v>39</v>
      </c>
      <c r="Q9086" s="8" t="s">
        <v>40</v>
      </c>
      <c r="R9086" s="10" t="s">
        <v>4348</v>
      </c>
      <c r="S9086" s="11"/>
      <c r="T9086" s="6"/>
      <c r="U9086" s="15" t="str">
        <f>HYPERLINK("https://media.infra-m.ru/2180/2180634/cover/2180634.jpg", "Обложка")</f>
        <v>Обложка</v>
      </c>
      <c r="V9086" s="8" t="s">
        <v>3177</v>
      </c>
      <c r="W9086" s="6"/>
      <c r="X9086" s="6"/>
      <c r="Y9086" s="6"/>
      <c r="Z9086" s="6"/>
      <c r="AA9086" s="6" t="s">
        <v>68</v>
      </c>
      <c r="AB9086" s="8"/>
      <c r="AC9086" s="27">
        <v>9785160205458</v>
      </c>
    </row>
    <row r="9087" spans="1:29" s="4" customFormat="1" ht="51.9" customHeight="1" x14ac:dyDescent="0.2">
      <c r="A9087" s="5">
        <v>0</v>
      </c>
      <c r="B9087" s="6" t="s">
        <v>50938</v>
      </c>
      <c r="C9087" s="13">
        <v>820.8</v>
      </c>
      <c r="D9087" s="8" t="s">
        <v>50939</v>
      </c>
      <c r="E9087" s="8" t="s">
        <v>50940</v>
      </c>
      <c r="F9087" s="8" t="s">
        <v>50941</v>
      </c>
      <c r="G9087" s="6" t="s">
        <v>33</v>
      </c>
      <c r="H9087" s="6" t="s">
        <v>34</v>
      </c>
      <c r="I9087" s="8" t="s">
        <v>35</v>
      </c>
      <c r="J9087" s="9">
        <v>1</v>
      </c>
      <c r="K9087" s="9">
        <v>137</v>
      </c>
      <c r="L9087" s="9">
        <v>2025</v>
      </c>
      <c r="M9087" s="8" t="s">
        <v>50942</v>
      </c>
      <c r="N9087" s="8" t="s">
        <v>93</v>
      </c>
      <c r="O9087" s="8" t="s">
        <v>94</v>
      </c>
      <c r="P9087" s="6" t="s">
        <v>39</v>
      </c>
      <c r="Q9087" s="8" t="s">
        <v>40</v>
      </c>
      <c r="R9087" s="10" t="s">
        <v>50943</v>
      </c>
      <c r="S9087" s="11"/>
      <c r="T9087" s="6"/>
      <c r="U9087" s="15" t="str">
        <f>HYPERLINK("https://media.infra-m.ru/2178/2178250/cover/2178250.jpg", "Обложка")</f>
        <v>Обложка</v>
      </c>
      <c r="V9087" s="8" t="s">
        <v>10238</v>
      </c>
      <c r="W9087" s="6"/>
      <c r="X9087" s="6"/>
      <c r="Y9087" s="6"/>
      <c r="Z9087" s="6"/>
      <c r="AA9087" s="6" t="s">
        <v>115</v>
      </c>
      <c r="AB9087" s="8"/>
      <c r="AC9087" s="27">
        <v>9785160144795</v>
      </c>
    </row>
    <row r="9088" spans="1:29" s="4" customFormat="1" ht="42" customHeight="1" x14ac:dyDescent="0.2">
      <c r="A9088" s="5">
        <v>0</v>
      </c>
      <c r="B9088" s="6" t="s">
        <v>50944</v>
      </c>
      <c r="C9088" s="7">
        <v>2034</v>
      </c>
      <c r="D9088" s="8" t="s">
        <v>50945</v>
      </c>
      <c r="E9088" s="8" t="s">
        <v>50946</v>
      </c>
      <c r="F9088" s="8" t="s">
        <v>50947</v>
      </c>
      <c r="G9088" s="6" t="s">
        <v>118</v>
      </c>
      <c r="H9088" s="6" t="s">
        <v>134</v>
      </c>
      <c r="I9088" s="8"/>
      <c r="J9088" s="9">
        <v>1</v>
      </c>
      <c r="K9088" s="9">
        <v>280</v>
      </c>
      <c r="L9088" s="9">
        <v>2025</v>
      </c>
      <c r="M9088" s="8" t="s">
        <v>50948</v>
      </c>
      <c r="N9088" s="8" t="s">
        <v>37</v>
      </c>
      <c r="O9088" s="8" t="s">
        <v>136</v>
      </c>
      <c r="P9088" s="6" t="s">
        <v>39</v>
      </c>
      <c r="Q9088" s="8" t="s">
        <v>40</v>
      </c>
      <c r="R9088" s="10" t="s">
        <v>684</v>
      </c>
      <c r="S9088" s="11"/>
      <c r="T9088" s="6"/>
      <c r="U9088" s="15" t="str">
        <f>HYPERLINK("https://media.infra-m.ru/2204/2204437/cover/2204437.jpg", "Обложка")</f>
        <v>Обложка</v>
      </c>
      <c r="V9088" s="8" t="s">
        <v>6135</v>
      </c>
      <c r="W9088" s="6"/>
      <c r="X9088" s="6"/>
      <c r="Y9088" s="6"/>
      <c r="Z9088" s="6"/>
      <c r="AA9088" s="6" t="s">
        <v>157</v>
      </c>
      <c r="AB9088" s="8"/>
      <c r="AC9088" s="27">
        <v>9785001563044</v>
      </c>
    </row>
    <row r="9089" spans="1:29" s="4" customFormat="1" ht="51.9" customHeight="1" x14ac:dyDescent="0.2">
      <c r="A9089" s="5">
        <v>0</v>
      </c>
      <c r="B9089" s="6" t="s">
        <v>50949</v>
      </c>
      <c r="C9089" s="13">
        <v>839.9</v>
      </c>
      <c r="D9089" s="8" t="s">
        <v>50950</v>
      </c>
      <c r="E9089" s="8" t="s">
        <v>50951</v>
      </c>
      <c r="F9089" s="8" t="s">
        <v>50952</v>
      </c>
      <c r="G9089" s="6" t="s">
        <v>33</v>
      </c>
      <c r="H9089" s="6" t="s">
        <v>313</v>
      </c>
      <c r="I9089" s="8"/>
      <c r="J9089" s="9">
        <v>30</v>
      </c>
      <c r="K9089" s="9">
        <v>225</v>
      </c>
      <c r="L9089" s="9">
        <v>2017</v>
      </c>
      <c r="M9089" s="8" t="s">
        <v>50953</v>
      </c>
      <c r="N9089" s="8" t="s">
        <v>37</v>
      </c>
      <c r="O9089" s="8" t="s">
        <v>233</v>
      </c>
      <c r="P9089" s="6" t="s">
        <v>39</v>
      </c>
      <c r="Q9089" s="8" t="s">
        <v>40</v>
      </c>
      <c r="R9089" s="10" t="s">
        <v>50954</v>
      </c>
      <c r="S9089" s="11"/>
      <c r="T9089" s="6"/>
      <c r="U9089" s="15" t="str">
        <f>HYPERLINK("https://media.infra-m.ru/0671/0671363/cover/671363.jpg", "Обложка")</f>
        <v>Обложка</v>
      </c>
      <c r="V9089" s="8" t="s">
        <v>247</v>
      </c>
      <c r="W9089" s="6"/>
      <c r="X9089" s="6"/>
      <c r="Y9089" s="6"/>
      <c r="Z9089" s="6"/>
      <c r="AA9089" s="6" t="s">
        <v>99</v>
      </c>
      <c r="AB9089" s="8"/>
      <c r="AC9089" s="27">
        <v>9785369016268</v>
      </c>
    </row>
    <row r="9090" spans="1:29" s="4" customFormat="1" ht="51.9" customHeight="1" x14ac:dyDescent="0.2">
      <c r="A9090" s="5">
        <v>0</v>
      </c>
      <c r="B9090" s="6" t="s">
        <v>50955</v>
      </c>
      <c r="C9090" s="7">
        <v>1776</v>
      </c>
      <c r="D9090" s="8" t="s">
        <v>50956</v>
      </c>
      <c r="E9090" s="8" t="s">
        <v>50957</v>
      </c>
      <c r="F9090" s="8" t="s">
        <v>50958</v>
      </c>
      <c r="G9090" s="6" t="s">
        <v>60</v>
      </c>
      <c r="H9090" s="6" t="s">
        <v>313</v>
      </c>
      <c r="I9090" s="8" t="s">
        <v>35</v>
      </c>
      <c r="J9090" s="9">
        <v>1</v>
      </c>
      <c r="K9090" s="9">
        <v>281</v>
      </c>
      <c r="L9090" s="9">
        <v>2025</v>
      </c>
      <c r="M9090" s="8" t="s">
        <v>50959</v>
      </c>
      <c r="N9090" s="8" t="s">
        <v>37</v>
      </c>
      <c r="O9090" s="8" t="s">
        <v>136</v>
      </c>
      <c r="P9090" s="6" t="s">
        <v>39</v>
      </c>
      <c r="Q9090" s="8" t="s">
        <v>1660</v>
      </c>
      <c r="R9090" s="10" t="s">
        <v>50960</v>
      </c>
      <c r="S9090" s="11"/>
      <c r="T9090" s="6"/>
      <c r="U9090" s="15" t="str">
        <f>HYPERLINK("https://media.infra-m.ru/2186/2186182/cover/2186182.jpg", "Обложка")</f>
        <v>Обложка</v>
      </c>
      <c r="V9090" s="8" t="s">
        <v>6224</v>
      </c>
      <c r="W9090" s="6"/>
      <c r="X9090" s="6"/>
      <c r="Y9090" s="6"/>
      <c r="Z9090" s="6"/>
      <c r="AA9090" s="6" t="s">
        <v>68</v>
      </c>
      <c r="AB9090" s="8"/>
      <c r="AC9090" s="27">
        <v>9785369019764</v>
      </c>
    </row>
    <row r="9091" spans="1:29" s="4" customFormat="1" ht="44.1" customHeight="1" x14ac:dyDescent="0.2">
      <c r="A9091" s="5">
        <v>0</v>
      </c>
      <c r="B9091" s="6" t="s">
        <v>50961</v>
      </c>
      <c r="C9091" s="7">
        <v>1428</v>
      </c>
      <c r="D9091" s="8" t="s">
        <v>50962</v>
      </c>
      <c r="E9091" s="8" t="s">
        <v>50963</v>
      </c>
      <c r="F9091" s="8" t="s">
        <v>50964</v>
      </c>
      <c r="G9091" s="6" t="s">
        <v>60</v>
      </c>
      <c r="H9091" s="6" t="s">
        <v>34</v>
      </c>
      <c r="I9091" s="8" t="s">
        <v>35</v>
      </c>
      <c r="J9091" s="9">
        <v>1</v>
      </c>
      <c r="K9091" s="9">
        <v>205</v>
      </c>
      <c r="L9091" s="9">
        <v>2026</v>
      </c>
      <c r="M9091" s="8" t="s">
        <v>50965</v>
      </c>
      <c r="N9091" s="8" t="s">
        <v>63</v>
      </c>
      <c r="O9091" s="8" t="s">
        <v>154</v>
      </c>
      <c r="P9091" s="6" t="s">
        <v>39</v>
      </c>
      <c r="Q9091" s="8" t="s">
        <v>40</v>
      </c>
      <c r="R9091" s="10" t="s">
        <v>50966</v>
      </c>
      <c r="S9091" s="11"/>
      <c r="T9091" s="6"/>
      <c r="U9091" s="15" t="str">
        <f>HYPERLINK("https://media.infra-m.ru/2227/2227079/cover/2227079.jpg", "Обложка")</f>
        <v>Обложка</v>
      </c>
      <c r="V9091" s="8" t="s">
        <v>4923</v>
      </c>
      <c r="W9091" s="6" t="s">
        <v>351</v>
      </c>
      <c r="X9091" s="6"/>
      <c r="Y9091" s="6"/>
      <c r="Z9091" s="6"/>
      <c r="AA9091" s="6" t="s">
        <v>187</v>
      </c>
      <c r="AB9091" s="8"/>
      <c r="AC9091" s="27">
        <v>9785160214900</v>
      </c>
    </row>
    <row r="9092" spans="1:29" s="4" customFormat="1" ht="44.1" customHeight="1" x14ac:dyDescent="0.2">
      <c r="A9092" s="5">
        <v>0</v>
      </c>
      <c r="B9092" s="6" t="s">
        <v>50967</v>
      </c>
      <c r="C9092" s="7">
        <v>1368</v>
      </c>
      <c r="D9092" s="8" t="s">
        <v>50968</v>
      </c>
      <c r="E9092" s="8" t="s">
        <v>50969</v>
      </c>
      <c r="F9092" s="8" t="s">
        <v>50970</v>
      </c>
      <c r="G9092" s="6" t="s">
        <v>60</v>
      </c>
      <c r="H9092" s="6" t="s">
        <v>34</v>
      </c>
      <c r="I9092" s="8" t="s">
        <v>35</v>
      </c>
      <c r="J9092" s="9">
        <v>1</v>
      </c>
      <c r="K9092" s="9">
        <v>189</v>
      </c>
      <c r="L9092" s="9">
        <v>2026</v>
      </c>
      <c r="M9092" s="8" t="s">
        <v>50971</v>
      </c>
      <c r="N9092" s="8" t="s">
        <v>585</v>
      </c>
      <c r="O9092" s="8" t="s">
        <v>2472</v>
      </c>
      <c r="P9092" s="6" t="s">
        <v>39</v>
      </c>
      <c r="Q9092" s="8" t="s">
        <v>40</v>
      </c>
      <c r="R9092" s="10" t="s">
        <v>50972</v>
      </c>
      <c r="S9092" s="11"/>
      <c r="T9092" s="6"/>
      <c r="U9092" s="15" t="str">
        <f>HYPERLINK("https://media.infra-m.ru/2207/2207961/cover/2207961.jpg", "Обложка")</f>
        <v>Обложка</v>
      </c>
      <c r="V9092" s="8" t="s">
        <v>2522</v>
      </c>
      <c r="W9092" s="6" t="s">
        <v>186</v>
      </c>
      <c r="X9092" s="6"/>
      <c r="Y9092" s="6"/>
      <c r="Z9092" s="6"/>
      <c r="AA9092" s="6" t="s">
        <v>187</v>
      </c>
      <c r="AB9092" s="8" t="s">
        <v>4817</v>
      </c>
      <c r="AC9092" s="27">
        <v>9785160209654</v>
      </c>
    </row>
    <row r="9093" spans="1:29" s="4" customFormat="1" ht="42" customHeight="1" x14ac:dyDescent="0.2">
      <c r="A9093" s="5">
        <v>0</v>
      </c>
      <c r="B9093" s="6" t="s">
        <v>50973</v>
      </c>
      <c r="C9093" s="7">
        <v>1824</v>
      </c>
      <c r="D9093" s="8" t="s">
        <v>50974</v>
      </c>
      <c r="E9093" s="8" t="s">
        <v>50975</v>
      </c>
      <c r="F9093" s="8" t="s">
        <v>4678</v>
      </c>
      <c r="G9093" s="6" t="s">
        <v>118</v>
      </c>
      <c r="H9093" s="6" t="s">
        <v>34</v>
      </c>
      <c r="I9093" s="8" t="s">
        <v>35</v>
      </c>
      <c r="J9093" s="9">
        <v>1</v>
      </c>
      <c r="K9093" s="9">
        <v>291</v>
      </c>
      <c r="L9093" s="9">
        <v>2026</v>
      </c>
      <c r="M9093" s="8" t="s">
        <v>50976</v>
      </c>
      <c r="N9093" s="8" t="s">
        <v>243</v>
      </c>
      <c r="O9093" s="8" t="s">
        <v>1100</v>
      </c>
      <c r="P9093" s="6" t="s">
        <v>39</v>
      </c>
      <c r="Q9093" s="8" t="s">
        <v>40</v>
      </c>
      <c r="R9093" s="10" t="s">
        <v>2505</v>
      </c>
      <c r="S9093" s="11"/>
      <c r="T9093" s="6"/>
      <c r="U9093" s="15" t="str">
        <f>HYPERLINK("https://media.infra-m.ru/2208/2208991/cover/2208991.jpg", "Обложка")</f>
        <v>Обложка</v>
      </c>
      <c r="V9093" s="8" t="s">
        <v>2047</v>
      </c>
      <c r="W9093" s="6"/>
      <c r="X9093" s="6"/>
      <c r="Y9093" s="6"/>
      <c r="Z9093" s="6"/>
      <c r="AA9093" s="6" t="s">
        <v>779</v>
      </c>
      <c r="AB9093" s="8"/>
      <c r="AC9093" s="27">
        <v>9785160121499</v>
      </c>
    </row>
    <row r="9094" spans="1:29" s="4" customFormat="1" ht="42" customHeight="1" x14ac:dyDescent="0.2">
      <c r="A9094" s="5">
        <v>0</v>
      </c>
      <c r="B9094" s="6" t="s">
        <v>50977</v>
      </c>
      <c r="C9094" s="7">
        <v>1516.8</v>
      </c>
      <c r="D9094" s="8" t="s">
        <v>50978</v>
      </c>
      <c r="E9094" s="8" t="s">
        <v>50979</v>
      </c>
      <c r="F9094" s="8" t="s">
        <v>463</v>
      </c>
      <c r="G9094" s="6" t="s">
        <v>33</v>
      </c>
      <c r="H9094" s="6" t="s">
        <v>34</v>
      </c>
      <c r="I9094" s="8" t="s">
        <v>35</v>
      </c>
      <c r="J9094" s="9">
        <v>1</v>
      </c>
      <c r="K9094" s="9">
        <v>218</v>
      </c>
      <c r="L9094" s="9">
        <v>2027</v>
      </c>
      <c r="M9094" s="8" t="s">
        <v>50980</v>
      </c>
      <c r="N9094" s="8" t="s">
        <v>63</v>
      </c>
      <c r="O9094" s="8" t="s">
        <v>64</v>
      </c>
      <c r="P9094" s="6" t="s">
        <v>39</v>
      </c>
      <c r="Q9094" s="8" t="s">
        <v>40</v>
      </c>
      <c r="R9094" s="10" t="s">
        <v>17696</v>
      </c>
      <c r="S9094" s="11"/>
      <c r="T9094" s="6"/>
      <c r="U9094" s="15" t="str">
        <f>HYPERLINK("https://media.infra-m.ru/2256/2256727/cover/2256727.jpg", "Обложка")</f>
        <v>Обложка</v>
      </c>
      <c r="V9094" s="8" t="s">
        <v>466</v>
      </c>
      <c r="W9094" s="6"/>
      <c r="X9094" s="6"/>
      <c r="Y9094" s="6"/>
      <c r="Z9094" s="6"/>
      <c r="AA9094" s="6" t="s">
        <v>430</v>
      </c>
      <c r="AB9094" s="8"/>
      <c r="AC9094" s="27">
        <v>9785160158839</v>
      </c>
    </row>
    <row r="9095" spans="1:29" s="4" customFormat="1" ht="51.9" customHeight="1" x14ac:dyDescent="0.2">
      <c r="A9095" s="5">
        <v>0</v>
      </c>
      <c r="B9095" s="6" t="s">
        <v>50981</v>
      </c>
      <c r="C9095" s="7">
        <v>2004</v>
      </c>
      <c r="D9095" s="8" t="s">
        <v>50982</v>
      </c>
      <c r="E9095" s="8" t="s">
        <v>50983</v>
      </c>
      <c r="F9095" s="8" t="s">
        <v>50984</v>
      </c>
      <c r="G9095" s="6" t="s">
        <v>118</v>
      </c>
      <c r="H9095" s="6" t="s">
        <v>34</v>
      </c>
      <c r="I9095" s="8" t="s">
        <v>253</v>
      </c>
      <c r="J9095" s="9">
        <v>1</v>
      </c>
      <c r="K9095" s="9">
        <v>362</v>
      </c>
      <c r="L9095" s="9">
        <v>2024</v>
      </c>
      <c r="M9095" s="8" t="s">
        <v>50985</v>
      </c>
      <c r="N9095" s="8" t="s">
        <v>585</v>
      </c>
      <c r="O9095" s="8" t="s">
        <v>775</v>
      </c>
      <c r="P9095" s="6" t="s">
        <v>51</v>
      </c>
      <c r="Q9095" s="8" t="s">
        <v>52</v>
      </c>
      <c r="R9095" s="10" t="s">
        <v>11696</v>
      </c>
      <c r="S9095" s="11" t="s">
        <v>50986</v>
      </c>
      <c r="T9095" s="6" t="s">
        <v>97</v>
      </c>
      <c r="U9095" s="15" t="str">
        <f>HYPERLINK("https://media.infra-m.ru/2128/2128637/cover/2128637.jpg", "Обложка")</f>
        <v>Обложка</v>
      </c>
      <c r="V9095" s="8" t="s">
        <v>50987</v>
      </c>
      <c r="W9095" s="6"/>
      <c r="X9095" s="6"/>
      <c r="Y9095" s="6"/>
      <c r="Z9095" s="6"/>
      <c r="AA9095" s="6" t="s">
        <v>360</v>
      </c>
      <c r="AB9095" s="8"/>
      <c r="AC9095" s="27">
        <v>9785160196022</v>
      </c>
    </row>
    <row r="9096" spans="1:29" s="4" customFormat="1" ht="44.1" customHeight="1" x14ac:dyDescent="0.2">
      <c r="A9096" s="5">
        <v>0</v>
      </c>
      <c r="B9096" s="6" t="s">
        <v>50988</v>
      </c>
      <c r="C9096" s="7">
        <v>1672.8</v>
      </c>
      <c r="D9096" s="8" t="s">
        <v>50989</v>
      </c>
      <c r="E9096" s="8" t="s">
        <v>50990</v>
      </c>
      <c r="F9096" s="8" t="s">
        <v>4643</v>
      </c>
      <c r="G9096" s="6" t="s">
        <v>33</v>
      </c>
      <c r="H9096" s="6" t="s">
        <v>34</v>
      </c>
      <c r="I9096" s="8" t="s">
        <v>35</v>
      </c>
      <c r="J9096" s="9">
        <v>1</v>
      </c>
      <c r="K9096" s="9">
        <v>190</v>
      </c>
      <c r="L9096" s="9">
        <v>2027</v>
      </c>
      <c r="M9096" s="8" t="s">
        <v>50991</v>
      </c>
      <c r="N9096" s="8" t="s">
        <v>585</v>
      </c>
      <c r="O9096" s="8" t="s">
        <v>775</v>
      </c>
      <c r="P9096" s="6" t="s">
        <v>39</v>
      </c>
      <c r="Q9096" s="8" t="s">
        <v>40</v>
      </c>
      <c r="R9096" s="10" t="s">
        <v>50992</v>
      </c>
      <c r="S9096" s="11"/>
      <c r="T9096" s="6"/>
      <c r="U9096" s="15" t="str">
        <f>HYPERLINK("https://media.infra-m.ru/2257/2257154/cover/2257154.jpg", "Обложка")</f>
        <v>Обложка</v>
      </c>
      <c r="V9096" s="8" t="s">
        <v>761</v>
      </c>
      <c r="W9096" s="6"/>
      <c r="X9096" s="6"/>
      <c r="Y9096" s="6"/>
      <c r="Z9096" s="6"/>
      <c r="AA9096" s="6" t="s">
        <v>148</v>
      </c>
      <c r="AB9096" s="8" t="s">
        <v>3024</v>
      </c>
      <c r="AC9096" s="27">
        <v>9785160174068</v>
      </c>
    </row>
    <row r="9097" spans="1:29" s="4" customFormat="1" ht="51.9" customHeight="1" x14ac:dyDescent="0.2">
      <c r="A9097" s="5">
        <v>0</v>
      </c>
      <c r="B9097" s="6" t="s">
        <v>50993</v>
      </c>
      <c r="C9097" s="7">
        <v>1260</v>
      </c>
      <c r="D9097" s="8" t="s">
        <v>50994</v>
      </c>
      <c r="E9097" s="8" t="s">
        <v>50995</v>
      </c>
      <c r="F9097" s="8" t="s">
        <v>50996</v>
      </c>
      <c r="G9097" s="6" t="s">
        <v>118</v>
      </c>
      <c r="H9097" s="6" t="s">
        <v>34</v>
      </c>
      <c r="I9097" s="8" t="s">
        <v>504</v>
      </c>
      <c r="J9097" s="9">
        <v>1</v>
      </c>
      <c r="K9097" s="9">
        <v>228</v>
      </c>
      <c r="L9097" s="9">
        <v>2023</v>
      </c>
      <c r="M9097" s="8" t="s">
        <v>50997</v>
      </c>
      <c r="N9097" s="8" t="s">
        <v>243</v>
      </c>
      <c r="O9097" s="8" t="s">
        <v>329</v>
      </c>
      <c r="P9097" s="6" t="s">
        <v>51</v>
      </c>
      <c r="Q9097" s="8" t="s">
        <v>500</v>
      </c>
      <c r="R9097" s="10" t="s">
        <v>50998</v>
      </c>
      <c r="S9097" s="11" t="s">
        <v>50999</v>
      </c>
      <c r="T9097" s="6"/>
      <c r="U9097" s="15" t="str">
        <f>HYPERLINK("https://media.infra-m.ru/2126/2126796/cover/2126796.jpg", "Обложка")</f>
        <v>Обложка</v>
      </c>
      <c r="V9097" s="8" t="s">
        <v>2398</v>
      </c>
      <c r="W9097" s="6"/>
      <c r="X9097" s="6"/>
      <c r="Y9097" s="6"/>
      <c r="Z9097" s="6"/>
      <c r="AA9097" s="6" t="s">
        <v>1256</v>
      </c>
      <c r="AB9097" s="8"/>
      <c r="AC9097" s="27">
        <v>9785160149585</v>
      </c>
    </row>
    <row r="9098" spans="1:29" s="4" customFormat="1" ht="42" customHeight="1" x14ac:dyDescent="0.2">
      <c r="A9098" s="5">
        <v>0</v>
      </c>
      <c r="B9098" s="6" t="s">
        <v>51000</v>
      </c>
      <c r="C9098" s="7">
        <v>1752</v>
      </c>
      <c r="D9098" s="8" t="s">
        <v>51001</v>
      </c>
      <c r="E9098" s="8" t="s">
        <v>51002</v>
      </c>
      <c r="F9098" s="8" t="s">
        <v>51003</v>
      </c>
      <c r="G9098" s="6" t="s">
        <v>118</v>
      </c>
      <c r="H9098" s="6" t="s">
        <v>34</v>
      </c>
      <c r="I9098" s="8" t="s">
        <v>35</v>
      </c>
      <c r="J9098" s="9">
        <v>1</v>
      </c>
      <c r="K9098" s="9">
        <v>317</v>
      </c>
      <c r="L9098" s="9">
        <v>2023</v>
      </c>
      <c r="M9098" s="8" t="s">
        <v>51004</v>
      </c>
      <c r="N9098" s="8" t="s">
        <v>585</v>
      </c>
      <c r="O9098" s="8" t="s">
        <v>775</v>
      </c>
      <c r="P9098" s="6" t="s">
        <v>39</v>
      </c>
      <c r="Q9098" s="8" t="s">
        <v>40</v>
      </c>
      <c r="R9098" s="10" t="s">
        <v>51005</v>
      </c>
      <c r="S9098" s="11"/>
      <c r="T9098" s="6"/>
      <c r="U9098" s="15" t="str">
        <f>HYPERLINK("https://media.infra-m.ru/2020/2020566/cover/2020566.jpg", "Обложка")</f>
        <v>Обложка</v>
      </c>
      <c r="V9098" s="8" t="s">
        <v>29718</v>
      </c>
      <c r="W9098" s="6"/>
      <c r="X9098" s="6"/>
      <c r="Y9098" s="6"/>
      <c r="Z9098" s="6"/>
      <c r="AA9098" s="6" t="s">
        <v>779</v>
      </c>
      <c r="AB9098" s="8"/>
      <c r="AC9098" s="27">
        <v>9785160120669</v>
      </c>
    </row>
    <row r="9099" spans="1:29" s="4" customFormat="1" ht="51.9" customHeight="1" x14ac:dyDescent="0.2">
      <c r="A9099" s="5">
        <v>0</v>
      </c>
      <c r="B9099" s="6" t="s">
        <v>51006</v>
      </c>
      <c r="C9099" s="13">
        <v>988.8</v>
      </c>
      <c r="D9099" s="8" t="s">
        <v>51007</v>
      </c>
      <c r="E9099" s="8" t="s">
        <v>51008</v>
      </c>
      <c r="F9099" s="8" t="s">
        <v>51009</v>
      </c>
      <c r="G9099" s="6" t="s">
        <v>33</v>
      </c>
      <c r="H9099" s="6" t="s">
        <v>34</v>
      </c>
      <c r="I9099" s="8" t="s">
        <v>271</v>
      </c>
      <c r="J9099" s="9">
        <v>1</v>
      </c>
      <c r="K9099" s="9">
        <v>158</v>
      </c>
      <c r="L9099" s="9">
        <v>2025</v>
      </c>
      <c r="M9099" s="8" t="s">
        <v>51010</v>
      </c>
      <c r="N9099" s="8" t="s">
        <v>585</v>
      </c>
      <c r="O9099" s="8" t="s">
        <v>775</v>
      </c>
      <c r="P9099" s="6" t="s">
        <v>51</v>
      </c>
      <c r="Q9099" s="8" t="s">
        <v>52</v>
      </c>
      <c r="R9099" s="10" t="s">
        <v>11696</v>
      </c>
      <c r="S9099" s="11" t="s">
        <v>51011</v>
      </c>
      <c r="T9099" s="6"/>
      <c r="U9099" s="15" t="str">
        <f>HYPERLINK("https://media.infra-m.ru/2196/2196037/cover/2196037.jpg", "Обложка")</f>
        <v>Обложка</v>
      </c>
      <c r="V9099" s="8" t="s">
        <v>1157</v>
      </c>
      <c r="W9099" s="6"/>
      <c r="X9099" s="6"/>
      <c r="Y9099" s="6"/>
      <c r="Z9099" s="6"/>
      <c r="AA9099" s="6" t="s">
        <v>779</v>
      </c>
      <c r="AB9099" s="8"/>
      <c r="AC9099" s="27">
        <v>9785160106847</v>
      </c>
    </row>
    <row r="9100" spans="1:29" s="4" customFormat="1" ht="51.9" customHeight="1" x14ac:dyDescent="0.2">
      <c r="A9100" s="5">
        <v>0</v>
      </c>
      <c r="B9100" s="6" t="s">
        <v>51012</v>
      </c>
      <c r="C9100" s="7">
        <v>1360.8</v>
      </c>
      <c r="D9100" s="8" t="s">
        <v>51013</v>
      </c>
      <c r="E9100" s="8" t="s">
        <v>51014</v>
      </c>
      <c r="F9100" s="8" t="s">
        <v>51015</v>
      </c>
      <c r="G9100" s="6" t="s">
        <v>118</v>
      </c>
      <c r="H9100" s="6" t="s">
        <v>34</v>
      </c>
      <c r="I9100" s="8" t="s">
        <v>504</v>
      </c>
      <c r="J9100" s="9">
        <v>1</v>
      </c>
      <c r="K9100" s="9">
        <v>195</v>
      </c>
      <c r="L9100" s="9">
        <v>2027</v>
      </c>
      <c r="M9100" s="8" t="s">
        <v>51016</v>
      </c>
      <c r="N9100" s="8" t="s">
        <v>243</v>
      </c>
      <c r="O9100" s="8" t="s">
        <v>798</v>
      </c>
      <c r="P9100" s="6" t="s">
        <v>51</v>
      </c>
      <c r="Q9100" s="8" t="s">
        <v>500</v>
      </c>
      <c r="R9100" s="10" t="s">
        <v>1637</v>
      </c>
      <c r="S9100" s="11" t="s">
        <v>51017</v>
      </c>
      <c r="T9100" s="6" t="s">
        <v>97</v>
      </c>
      <c r="U9100" s="15" t="str">
        <f>HYPERLINK("https://media.infra-m.ru/2264/2264640/cover/2264640.jpg", "Обложка")</f>
        <v>Обложка</v>
      </c>
      <c r="V9100" s="8" t="s">
        <v>4943</v>
      </c>
      <c r="W9100" s="6"/>
      <c r="X9100" s="6"/>
      <c r="Y9100" s="6"/>
      <c r="Z9100" s="6"/>
      <c r="AA9100" s="6" t="s">
        <v>430</v>
      </c>
      <c r="AB9100" s="8"/>
      <c r="AC9100" s="27">
        <v>9785160150192</v>
      </c>
    </row>
    <row r="9101" spans="1:29" s="4" customFormat="1" ht="51.9" customHeight="1" x14ac:dyDescent="0.2">
      <c r="A9101" s="5">
        <v>0</v>
      </c>
      <c r="B9101" s="6" t="s">
        <v>51018</v>
      </c>
      <c r="C9101" s="7">
        <v>1356</v>
      </c>
      <c r="D9101" s="8" t="s">
        <v>51019</v>
      </c>
      <c r="E9101" s="8" t="s">
        <v>51020</v>
      </c>
      <c r="F9101" s="8" t="s">
        <v>51021</v>
      </c>
      <c r="G9101" s="6" t="s">
        <v>118</v>
      </c>
      <c r="H9101" s="6" t="s">
        <v>34</v>
      </c>
      <c r="I9101" s="8" t="s">
        <v>253</v>
      </c>
      <c r="J9101" s="9">
        <v>1</v>
      </c>
      <c r="K9101" s="9">
        <v>235</v>
      </c>
      <c r="L9101" s="9">
        <v>2024</v>
      </c>
      <c r="M9101" s="8" t="s">
        <v>51022</v>
      </c>
      <c r="N9101" s="8" t="s">
        <v>585</v>
      </c>
      <c r="O9101" s="8" t="s">
        <v>775</v>
      </c>
      <c r="P9101" s="6" t="s">
        <v>306</v>
      </c>
      <c r="Q9101" s="8" t="s">
        <v>52</v>
      </c>
      <c r="R9101" s="10" t="s">
        <v>18053</v>
      </c>
      <c r="S9101" s="11" t="s">
        <v>51023</v>
      </c>
      <c r="T9101" s="6"/>
      <c r="U9101" s="15" t="str">
        <f>HYPERLINK("https://media.infra-m.ru/2152/2152106/cover/2152106.jpg", "Обложка")</f>
        <v>Обложка</v>
      </c>
      <c r="V9101" s="8" t="s">
        <v>3109</v>
      </c>
      <c r="W9101" s="6"/>
      <c r="X9101" s="6"/>
      <c r="Y9101" s="6"/>
      <c r="Z9101" s="6"/>
      <c r="AA9101" s="6" t="s">
        <v>430</v>
      </c>
      <c r="AB9101" s="8"/>
      <c r="AC9101" s="27">
        <v>9785160200279</v>
      </c>
    </row>
    <row r="9102" spans="1:29" s="4" customFormat="1" ht="51.9" customHeight="1" x14ac:dyDescent="0.2">
      <c r="A9102" s="5">
        <v>0</v>
      </c>
      <c r="B9102" s="6" t="s">
        <v>51024</v>
      </c>
      <c r="C9102" s="7">
        <v>1332</v>
      </c>
      <c r="D9102" s="8" t="s">
        <v>51025</v>
      </c>
      <c r="E9102" s="8" t="s">
        <v>51026</v>
      </c>
      <c r="F9102" s="8" t="s">
        <v>51027</v>
      </c>
      <c r="G9102" s="6" t="s">
        <v>118</v>
      </c>
      <c r="H9102" s="6" t="s">
        <v>34</v>
      </c>
      <c r="I9102" s="8" t="s">
        <v>271</v>
      </c>
      <c r="J9102" s="9">
        <v>1</v>
      </c>
      <c r="K9102" s="9">
        <v>240</v>
      </c>
      <c r="L9102" s="9">
        <v>2023</v>
      </c>
      <c r="M9102" s="8" t="s">
        <v>51028</v>
      </c>
      <c r="N9102" s="8" t="s">
        <v>585</v>
      </c>
      <c r="O9102" s="8" t="s">
        <v>775</v>
      </c>
      <c r="P9102" s="6" t="s">
        <v>51</v>
      </c>
      <c r="Q9102" s="8" t="s">
        <v>52</v>
      </c>
      <c r="R9102" s="10" t="s">
        <v>38845</v>
      </c>
      <c r="S9102" s="11" t="s">
        <v>51029</v>
      </c>
      <c r="T9102" s="6" t="s">
        <v>97</v>
      </c>
      <c r="U9102" s="15" t="str">
        <f>HYPERLINK("https://media.infra-m.ru/2126/2126470/cover/2126470.jpg", "Обложка")</f>
        <v>Обложка</v>
      </c>
      <c r="V9102" s="8" t="s">
        <v>2389</v>
      </c>
      <c r="W9102" s="6"/>
      <c r="X9102" s="6"/>
      <c r="Y9102" s="6"/>
      <c r="Z9102" s="6"/>
      <c r="AA9102" s="6" t="s">
        <v>779</v>
      </c>
      <c r="AB9102" s="8"/>
      <c r="AC9102" s="27">
        <v>9785160109732</v>
      </c>
    </row>
    <row r="9103" spans="1:29" s="4" customFormat="1" ht="42" customHeight="1" x14ac:dyDescent="0.2">
      <c r="A9103" s="5">
        <v>0</v>
      </c>
      <c r="B9103" s="6" t="s">
        <v>51030</v>
      </c>
      <c r="C9103" s="7">
        <v>1852.8</v>
      </c>
      <c r="D9103" s="8" t="s">
        <v>51031</v>
      </c>
      <c r="E9103" s="8" t="s">
        <v>51032</v>
      </c>
      <c r="F9103" s="8" t="s">
        <v>51033</v>
      </c>
      <c r="G9103" s="6" t="s">
        <v>118</v>
      </c>
      <c r="H9103" s="6" t="s">
        <v>134</v>
      </c>
      <c r="I9103" s="8"/>
      <c r="J9103" s="9">
        <v>1</v>
      </c>
      <c r="K9103" s="9">
        <v>280</v>
      </c>
      <c r="L9103" s="9">
        <v>2026</v>
      </c>
      <c r="M9103" s="8" t="s">
        <v>51034</v>
      </c>
      <c r="N9103" s="8" t="s">
        <v>37</v>
      </c>
      <c r="O9103" s="8" t="s">
        <v>136</v>
      </c>
      <c r="P9103" s="6" t="s">
        <v>39</v>
      </c>
      <c r="Q9103" s="8" t="s">
        <v>40</v>
      </c>
      <c r="R9103" s="10" t="s">
        <v>1625</v>
      </c>
      <c r="S9103" s="11"/>
      <c r="T9103" s="6"/>
      <c r="U9103" s="15" t="str">
        <f>HYPERLINK("https://media.infra-m.ru/2220/2220516/cover/2220516.jpg", "Обложка")</f>
        <v>Обложка</v>
      </c>
      <c r="V9103" s="8" t="s">
        <v>1069</v>
      </c>
      <c r="W9103" s="6"/>
      <c r="X9103" s="6"/>
      <c r="Y9103" s="6"/>
      <c r="Z9103" s="6"/>
      <c r="AA9103" s="6" t="s">
        <v>115</v>
      </c>
      <c r="AB9103" s="8"/>
      <c r="AC9103" s="27">
        <v>9785917689821</v>
      </c>
    </row>
    <row r="9104" spans="1:29" s="4" customFormat="1" ht="51.9" customHeight="1" x14ac:dyDescent="0.2">
      <c r="A9104" s="5">
        <v>0</v>
      </c>
      <c r="B9104" s="6" t="s">
        <v>51035</v>
      </c>
      <c r="C9104" s="7">
        <v>1224</v>
      </c>
      <c r="D9104" s="8" t="s">
        <v>51036</v>
      </c>
      <c r="E9104" s="8" t="s">
        <v>51037</v>
      </c>
      <c r="F9104" s="8" t="s">
        <v>51038</v>
      </c>
      <c r="G9104" s="6" t="s">
        <v>33</v>
      </c>
      <c r="H9104" s="6" t="s">
        <v>34</v>
      </c>
      <c r="I9104" s="8" t="s">
        <v>35</v>
      </c>
      <c r="J9104" s="9">
        <v>1</v>
      </c>
      <c r="K9104" s="9">
        <v>261</v>
      </c>
      <c r="L9104" s="9">
        <v>2022</v>
      </c>
      <c r="M9104" s="8" t="s">
        <v>51039</v>
      </c>
      <c r="N9104" s="8" t="s">
        <v>37</v>
      </c>
      <c r="O9104" s="8" t="s">
        <v>233</v>
      </c>
      <c r="P9104" s="6" t="s">
        <v>39</v>
      </c>
      <c r="Q9104" s="8" t="s">
        <v>40</v>
      </c>
      <c r="R9104" s="10" t="s">
        <v>13012</v>
      </c>
      <c r="S9104" s="11"/>
      <c r="T9104" s="6"/>
      <c r="U9104" s="15" t="str">
        <f>HYPERLINK("https://media.infra-m.ru/1246/1246521/cover/1246521.jpg", "Обложка")</f>
        <v>Обложка</v>
      </c>
      <c r="V9104" s="8" t="s">
        <v>8716</v>
      </c>
      <c r="W9104" s="6"/>
      <c r="X9104" s="6"/>
      <c r="Y9104" s="6"/>
      <c r="Z9104" s="6"/>
      <c r="AA9104" s="6" t="s">
        <v>430</v>
      </c>
      <c r="AB9104" s="8"/>
      <c r="AC9104" s="27">
        <v>9785160168531</v>
      </c>
    </row>
    <row r="9105" spans="1:29" s="4" customFormat="1" ht="51.9" customHeight="1" x14ac:dyDescent="0.2">
      <c r="A9105" s="5">
        <v>0</v>
      </c>
      <c r="B9105" s="6" t="s">
        <v>51040</v>
      </c>
      <c r="C9105" s="7">
        <v>2388</v>
      </c>
      <c r="D9105" s="8" t="s">
        <v>51041</v>
      </c>
      <c r="E9105" s="8" t="s">
        <v>51042</v>
      </c>
      <c r="F9105" s="8" t="s">
        <v>32581</v>
      </c>
      <c r="G9105" s="6" t="s">
        <v>60</v>
      </c>
      <c r="H9105" s="6" t="s">
        <v>34</v>
      </c>
      <c r="I9105" s="8" t="s">
        <v>1074</v>
      </c>
      <c r="J9105" s="9">
        <v>1</v>
      </c>
      <c r="K9105" s="9">
        <v>352</v>
      </c>
      <c r="L9105" s="9">
        <v>2026</v>
      </c>
      <c r="M9105" s="8" t="s">
        <v>51043</v>
      </c>
      <c r="N9105" s="8" t="s">
        <v>37</v>
      </c>
      <c r="O9105" s="8" t="s">
        <v>136</v>
      </c>
      <c r="P9105" s="6" t="s">
        <v>39</v>
      </c>
      <c r="Q9105" s="8" t="s">
        <v>40</v>
      </c>
      <c r="R9105" s="10" t="s">
        <v>51044</v>
      </c>
      <c r="S9105" s="11"/>
      <c r="T9105" s="6"/>
      <c r="U9105" s="15" t="str">
        <f>HYPERLINK("https://media.infra-m.ru/2237/2237720/cover/2237720.jpg", "Обложка")</f>
        <v>Обложка</v>
      </c>
      <c r="V9105" s="8" t="s">
        <v>138</v>
      </c>
      <c r="W9105" s="6" t="s">
        <v>351</v>
      </c>
      <c r="X9105" s="6"/>
      <c r="Y9105" s="6"/>
      <c r="Z9105" s="6"/>
      <c r="AA9105" s="6" t="s">
        <v>187</v>
      </c>
      <c r="AB9105" s="8"/>
      <c r="AC9105" s="27">
        <v>9785160217734</v>
      </c>
    </row>
    <row r="9106" spans="1:29" s="4" customFormat="1" ht="42" customHeight="1" x14ac:dyDescent="0.2">
      <c r="A9106" s="5">
        <v>0</v>
      </c>
      <c r="B9106" s="6" t="s">
        <v>51045</v>
      </c>
      <c r="C9106" s="7">
        <v>1344</v>
      </c>
      <c r="D9106" s="8" t="s">
        <v>51046</v>
      </c>
      <c r="E9106" s="8" t="s">
        <v>51047</v>
      </c>
      <c r="F9106" s="8" t="s">
        <v>51048</v>
      </c>
      <c r="G9106" s="6" t="s">
        <v>60</v>
      </c>
      <c r="H9106" s="6" t="s">
        <v>34</v>
      </c>
      <c r="I9106" s="8" t="s">
        <v>375</v>
      </c>
      <c r="J9106" s="9">
        <v>1</v>
      </c>
      <c r="K9106" s="9">
        <v>190</v>
      </c>
      <c r="L9106" s="9">
        <v>2026</v>
      </c>
      <c r="M9106" s="8" t="s">
        <v>51049</v>
      </c>
      <c r="N9106" s="8" t="s">
        <v>243</v>
      </c>
      <c r="O9106" s="8" t="s">
        <v>385</v>
      </c>
      <c r="P9106" s="6" t="s">
        <v>105</v>
      </c>
      <c r="Q9106" s="8" t="s">
        <v>65</v>
      </c>
      <c r="R9106" s="10" t="s">
        <v>14945</v>
      </c>
      <c r="S9106" s="11"/>
      <c r="T9106" s="6"/>
      <c r="U9106" s="15" t="str">
        <f>HYPERLINK("https://media.infra-m.ru/2210/2210369/cover/2210369.jpg", "Обложка")</f>
        <v>Обложка</v>
      </c>
      <c r="V9106" s="8" t="s">
        <v>379</v>
      </c>
      <c r="W9106" s="6" t="s">
        <v>342</v>
      </c>
      <c r="X9106" s="6"/>
      <c r="Y9106" s="6"/>
      <c r="Z9106" s="6"/>
      <c r="AA9106" s="6" t="s">
        <v>187</v>
      </c>
      <c r="AB9106" s="8"/>
      <c r="AC9106" s="27">
        <v>9785160210056</v>
      </c>
    </row>
    <row r="9107" spans="1:29" s="4" customFormat="1" ht="51.9" customHeight="1" x14ac:dyDescent="0.2">
      <c r="A9107" s="5">
        <v>0</v>
      </c>
      <c r="B9107" s="6" t="s">
        <v>51050</v>
      </c>
      <c r="C9107" s="7">
        <v>1368</v>
      </c>
      <c r="D9107" s="8" t="s">
        <v>51051</v>
      </c>
      <c r="E9107" s="8" t="s">
        <v>51052</v>
      </c>
      <c r="F9107" s="8" t="s">
        <v>51053</v>
      </c>
      <c r="G9107" s="6" t="s">
        <v>118</v>
      </c>
      <c r="H9107" s="6" t="s">
        <v>34</v>
      </c>
      <c r="I9107" s="8" t="s">
        <v>271</v>
      </c>
      <c r="J9107" s="9">
        <v>1</v>
      </c>
      <c r="K9107" s="9">
        <v>252</v>
      </c>
      <c r="L9107" s="9">
        <v>2023</v>
      </c>
      <c r="M9107" s="8" t="s">
        <v>51054</v>
      </c>
      <c r="N9107" s="8" t="s">
        <v>585</v>
      </c>
      <c r="O9107" s="8" t="s">
        <v>775</v>
      </c>
      <c r="P9107" s="6" t="s">
        <v>51</v>
      </c>
      <c r="Q9107" s="8" t="s">
        <v>52</v>
      </c>
      <c r="R9107" s="10" t="s">
        <v>4680</v>
      </c>
      <c r="S9107" s="11" t="s">
        <v>51055</v>
      </c>
      <c r="T9107" s="6" t="s">
        <v>97</v>
      </c>
      <c r="U9107" s="15" t="str">
        <f>HYPERLINK("https://media.infra-m.ru/1939/1939105/cover/1939105.jpg", "Обложка")</f>
        <v>Обложка</v>
      </c>
      <c r="V9107" s="8" t="s">
        <v>15508</v>
      </c>
      <c r="W9107" s="6"/>
      <c r="X9107" s="6"/>
      <c r="Y9107" s="6"/>
      <c r="Z9107" s="6"/>
      <c r="AA9107" s="6" t="s">
        <v>274</v>
      </c>
      <c r="AB9107" s="8"/>
      <c r="AC9107" s="27">
        <v>9785160101606</v>
      </c>
    </row>
    <row r="9108" spans="1:29" s="4" customFormat="1" ht="51.9" customHeight="1" x14ac:dyDescent="0.2">
      <c r="A9108" s="5">
        <v>0</v>
      </c>
      <c r="B9108" s="6" t="s">
        <v>51056</v>
      </c>
      <c r="C9108" s="7">
        <v>1776</v>
      </c>
      <c r="D9108" s="8" t="s">
        <v>51057</v>
      </c>
      <c r="E9108" s="8" t="s">
        <v>51058</v>
      </c>
      <c r="F9108" s="8" t="s">
        <v>51059</v>
      </c>
      <c r="G9108" s="6" t="s">
        <v>118</v>
      </c>
      <c r="H9108" s="6" t="s">
        <v>34</v>
      </c>
      <c r="I9108" s="8" t="s">
        <v>271</v>
      </c>
      <c r="J9108" s="9">
        <v>1</v>
      </c>
      <c r="K9108" s="9">
        <v>320</v>
      </c>
      <c r="L9108" s="9">
        <v>2023</v>
      </c>
      <c r="M9108" s="8" t="s">
        <v>51060</v>
      </c>
      <c r="N9108" s="8" t="s">
        <v>585</v>
      </c>
      <c r="O9108" s="8" t="s">
        <v>775</v>
      </c>
      <c r="P9108" s="6" t="s">
        <v>306</v>
      </c>
      <c r="Q9108" s="8" t="s">
        <v>52</v>
      </c>
      <c r="R9108" s="10" t="s">
        <v>51061</v>
      </c>
      <c r="S9108" s="11" t="s">
        <v>51062</v>
      </c>
      <c r="T9108" s="6"/>
      <c r="U9108" s="15" t="str">
        <f>HYPERLINK("https://media.infra-m.ru/2127/2127140/cover/2127140.jpg", "Обложка")</f>
        <v>Обложка</v>
      </c>
      <c r="V9108" s="8" t="s">
        <v>1994</v>
      </c>
      <c r="W9108" s="6"/>
      <c r="X9108" s="6"/>
      <c r="Y9108" s="6"/>
      <c r="Z9108" s="6"/>
      <c r="AA9108" s="6" t="s">
        <v>430</v>
      </c>
      <c r="AB9108" s="8"/>
      <c r="AC9108" s="27">
        <v>9785160151670</v>
      </c>
    </row>
    <row r="9109" spans="1:29" s="4" customFormat="1" ht="42" customHeight="1" x14ac:dyDescent="0.2">
      <c r="A9109" s="5">
        <v>0</v>
      </c>
      <c r="B9109" s="6" t="s">
        <v>51063</v>
      </c>
      <c r="C9109" s="7">
        <v>1392</v>
      </c>
      <c r="D9109" s="8" t="s">
        <v>51064</v>
      </c>
      <c r="E9109" s="8" t="s">
        <v>51065</v>
      </c>
      <c r="F9109" s="8" t="s">
        <v>4643</v>
      </c>
      <c r="G9109" s="6" t="s">
        <v>60</v>
      </c>
      <c r="H9109" s="6" t="s">
        <v>34</v>
      </c>
      <c r="I9109" s="8" t="s">
        <v>35</v>
      </c>
      <c r="J9109" s="9">
        <v>1</v>
      </c>
      <c r="K9109" s="9">
        <v>200</v>
      </c>
      <c r="L9109" s="9">
        <v>2025</v>
      </c>
      <c r="M9109" s="8" t="s">
        <v>51066</v>
      </c>
      <c r="N9109" s="8" t="s">
        <v>585</v>
      </c>
      <c r="O9109" s="8" t="s">
        <v>2472</v>
      </c>
      <c r="P9109" s="6" t="s">
        <v>39</v>
      </c>
      <c r="Q9109" s="8" t="s">
        <v>40</v>
      </c>
      <c r="R9109" s="10" t="s">
        <v>51067</v>
      </c>
      <c r="S9109" s="11"/>
      <c r="T9109" s="6"/>
      <c r="U9109" s="15" t="str">
        <f>HYPERLINK("https://media.infra-m.ru/2155/2155615/cover/2155615.jpg", "Обложка")</f>
        <v>Обложка</v>
      </c>
      <c r="V9109" s="8" t="s">
        <v>761</v>
      </c>
      <c r="W9109" s="6"/>
      <c r="X9109" s="6"/>
      <c r="Y9109" s="6"/>
      <c r="Z9109" s="6"/>
      <c r="AA9109" s="6" t="s">
        <v>68</v>
      </c>
      <c r="AB9109" s="8"/>
      <c r="AC9109" s="27">
        <v>9785160200392</v>
      </c>
    </row>
    <row r="9110" spans="1:29" s="4" customFormat="1" ht="42" customHeight="1" x14ac:dyDescent="0.2">
      <c r="A9110" s="5">
        <v>0</v>
      </c>
      <c r="B9110" s="6" t="s">
        <v>51068</v>
      </c>
      <c r="C9110" s="7">
        <v>1260</v>
      </c>
      <c r="D9110" s="8" t="s">
        <v>51069</v>
      </c>
      <c r="E9110" s="8" t="s">
        <v>51070</v>
      </c>
      <c r="F9110" s="8" t="s">
        <v>46714</v>
      </c>
      <c r="G9110" s="6" t="s">
        <v>60</v>
      </c>
      <c r="H9110" s="6" t="s">
        <v>34</v>
      </c>
      <c r="I9110" s="8" t="s">
        <v>1248</v>
      </c>
      <c r="J9110" s="9">
        <v>1</v>
      </c>
      <c r="K9110" s="9">
        <v>221</v>
      </c>
      <c r="L9110" s="9">
        <v>2024</v>
      </c>
      <c r="M9110" s="8" t="s">
        <v>51071</v>
      </c>
      <c r="N9110" s="8" t="s">
        <v>37</v>
      </c>
      <c r="O9110" s="8" t="s">
        <v>233</v>
      </c>
      <c r="P9110" s="6" t="s">
        <v>51</v>
      </c>
      <c r="Q9110" s="8" t="s">
        <v>65</v>
      </c>
      <c r="R9110" s="10" t="s">
        <v>51072</v>
      </c>
      <c r="S9110" s="11"/>
      <c r="T9110" s="6"/>
      <c r="U9110" s="15" t="str">
        <f>HYPERLINK("https://media.infra-m.ru/2125/2125124/cover/2125124.jpg", "Обложка")</f>
        <v>Обложка</v>
      </c>
      <c r="V9110" s="8" t="s">
        <v>1083</v>
      </c>
      <c r="W9110" s="6"/>
      <c r="X9110" s="6"/>
      <c r="Y9110" s="6"/>
      <c r="Z9110" s="6"/>
      <c r="AA9110" s="6" t="s">
        <v>76</v>
      </c>
      <c r="AB9110" s="8"/>
      <c r="AC9110" s="27">
        <v>9785160195070</v>
      </c>
    </row>
    <row r="9111" spans="1:29" s="4" customFormat="1" ht="51.9" customHeight="1" x14ac:dyDescent="0.2">
      <c r="A9111" s="5">
        <v>0</v>
      </c>
      <c r="B9111" s="6" t="s">
        <v>51073</v>
      </c>
      <c r="C9111" s="7">
        <v>1056</v>
      </c>
      <c r="D9111" s="8" t="s">
        <v>51074</v>
      </c>
      <c r="E9111" s="8" t="s">
        <v>51075</v>
      </c>
      <c r="F9111" s="8" t="s">
        <v>51076</v>
      </c>
      <c r="G9111" s="6" t="s">
        <v>33</v>
      </c>
      <c r="H9111" s="6" t="s">
        <v>34</v>
      </c>
      <c r="I9111" s="8" t="s">
        <v>263</v>
      </c>
      <c r="J9111" s="9">
        <v>1</v>
      </c>
      <c r="K9111" s="9">
        <v>160</v>
      </c>
      <c r="L9111" s="9">
        <v>2026</v>
      </c>
      <c r="M9111" s="8" t="s">
        <v>51077</v>
      </c>
      <c r="N9111" s="8" t="s">
        <v>585</v>
      </c>
      <c r="O9111" s="8" t="s">
        <v>775</v>
      </c>
      <c r="P9111" s="6" t="s">
        <v>51</v>
      </c>
      <c r="Q9111" s="8" t="s">
        <v>265</v>
      </c>
      <c r="R9111" s="10" t="s">
        <v>51078</v>
      </c>
      <c r="S9111" s="11" t="s">
        <v>9712</v>
      </c>
      <c r="T9111" s="6"/>
      <c r="U9111" s="15" t="str">
        <f>HYPERLINK("https://media.infra-m.ru/2256/2256423/cover/2256423.jpg", "Обложка")</f>
        <v>Обложка</v>
      </c>
      <c r="V9111" s="8" t="s">
        <v>247</v>
      </c>
      <c r="W9111" s="6"/>
      <c r="X9111" s="6" t="s">
        <v>24</v>
      </c>
      <c r="Y9111" s="6"/>
      <c r="Z9111" s="6"/>
      <c r="AA9111" s="6" t="s">
        <v>718</v>
      </c>
      <c r="AB9111" s="8"/>
      <c r="AC9111" s="27">
        <v>9785160221663</v>
      </c>
    </row>
    <row r="9112" spans="1:29" s="4" customFormat="1" ht="51.9" customHeight="1" x14ac:dyDescent="0.2">
      <c r="A9112" s="5">
        <v>0</v>
      </c>
      <c r="B9112" s="6" t="s">
        <v>51079</v>
      </c>
      <c r="C9112" s="7">
        <v>1696.8</v>
      </c>
      <c r="D9112" s="8" t="s">
        <v>51080</v>
      </c>
      <c r="E9112" s="8" t="s">
        <v>51075</v>
      </c>
      <c r="F9112" s="8" t="s">
        <v>51081</v>
      </c>
      <c r="G9112" s="6" t="s">
        <v>118</v>
      </c>
      <c r="H9112" s="6" t="s">
        <v>34</v>
      </c>
      <c r="I9112" s="8" t="s">
        <v>263</v>
      </c>
      <c r="J9112" s="9">
        <v>1</v>
      </c>
      <c r="K9112" s="9">
        <v>256</v>
      </c>
      <c r="L9112" s="9">
        <v>2026</v>
      </c>
      <c r="M9112" s="8" t="s">
        <v>51082</v>
      </c>
      <c r="N9112" s="8" t="s">
        <v>585</v>
      </c>
      <c r="O9112" s="8" t="s">
        <v>775</v>
      </c>
      <c r="P9112" s="6" t="s">
        <v>306</v>
      </c>
      <c r="Q9112" s="8" t="s">
        <v>265</v>
      </c>
      <c r="R9112" s="10" t="s">
        <v>51083</v>
      </c>
      <c r="S9112" s="11" t="s">
        <v>48481</v>
      </c>
      <c r="T9112" s="6"/>
      <c r="U9112" s="15" t="str">
        <f>HYPERLINK("https://media.infra-m.ru/2221/2221943/cover/2221943.jpg", "Обложка")</f>
        <v>Обложка</v>
      </c>
      <c r="V9112" s="8" t="s">
        <v>1006</v>
      </c>
      <c r="W9112" s="6"/>
      <c r="X9112" s="6" t="s">
        <v>24</v>
      </c>
      <c r="Y9112" s="6"/>
      <c r="Z9112" s="6"/>
      <c r="AA9112" s="6" t="s">
        <v>2304</v>
      </c>
      <c r="AB9112" s="8"/>
      <c r="AC9112" s="27">
        <v>9785160162874</v>
      </c>
    </row>
    <row r="9113" spans="1:29" s="4" customFormat="1" ht="51.9" customHeight="1" x14ac:dyDescent="0.2">
      <c r="A9113" s="5">
        <v>0</v>
      </c>
      <c r="B9113" s="6" t="s">
        <v>51084</v>
      </c>
      <c r="C9113" s="7">
        <v>1020</v>
      </c>
      <c r="D9113" s="8" t="s">
        <v>51085</v>
      </c>
      <c r="E9113" s="8" t="s">
        <v>51086</v>
      </c>
      <c r="F9113" s="8" t="s">
        <v>51087</v>
      </c>
      <c r="G9113" s="6" t="s">
        <v>118</v>
      </c>
      <c r="H9113" s="6" t="s">
        <v>34</v>
      </c>
      <c r="I9113" s="8" t="s">
        <v>2518</v>
      </c>
      <c r="J9113" s="9">
        <v>1</v>
      </c>
      <c r="K9113" s="9">
        <v>153</v>
      </c>
      <c r="L9113" s="9">
        <v>2026</v>
      </c>
      <c r="M9113" s="8" t="s">
        <v>51088</v>
      </c>
      <c r="N9113" s="8" t="s">
        <v>585</v>
      </c>
      <c r="O9113" s="8" t="s">
        <v>775</v>
      </c>
      <c r="P9113" s="6" t="s">
        <v>51</v>
      </c>
      <c r="Q9113" s="8" t="s">
        <v>265</v>
      </c>
      <c r="R9113" s="10" t="s">
        <v>51089</v>
      </c>
      <c r="S9113" s="11" t="s">
        <v>51090</v>
      </c>
      <c r="T9113" s="6"/>
      <c r="U9113" s="15" t="str">
        <f>HYPERLINK("https://media.infra-m.ru/2237/2237124/cover/2237124.jpg", "Обложка")</f>
        <v>Обложка</v>
      </c>
      <c r="V9113" s="8" t="s">
        <v>1132</v>
      </c>
      <c r="W9113" s="6"/>
      <c r="X9113" s="6"/>
      <c r="Y9113" s="6"/>
      <c r="Z9113" s="6"/>
      <c r="AA9113" s="6" t="s">
        <v>76</v>
      </c>
      <c r="AB9113" s="8"/>
      <c r="AC9113" s="27">
        <v>9785160190099</v>
      </c>
    </row>
    <row r="9114" spans="1:29" s="4" customFormat="1" ht="51.9" customHeight="1" x14ac:dyDescent="0.2">
      <c r="A9114" s="5">
        <v>0</v>
      </c>
      <c r="B9114" s="6" t="s">
        <v>51091</v>
      </c>
      <c r="C9114" s="7">
        <v>1180.8</v>
      </c>
      <c r="D9114" s="8" t="s">
        <v>51092</v>
      </c>
      <c r="E9114" s="8" t="s">
        <v>51093</v>
      </c>
      <c r="F9114" s="8" t="s">
        <v>51094</v>
      </c>
      <c r="G9114" s="6" t="s">
        <v>118</v>
      </c>
      <c r="H9114" s="6" t="s">
        <v>34</v>
      </c>
      <c r="I9114" s="8" t="s">
        <v>7198</v>
      </c>
      <c r="J9114" s="9">
        <v>1</v>
      </c>
      <c r="K9114" s="9">
        <v>217</v>
      </c>
      <c r="L9114" s="9">
        <v>2023</v>
      </c>
      <c r="M9114" s="8" t="s">
        <v>51095</v>
      </c>
      <c r="N9114" s="8" t="s">
        <v>243</v>
      </c>
      <c r="O9114" s="8" t="s">
        <v>964</v>
      </c>
      <c r="P9114" s="6" t="s">
        <v>51</v>
      </c>
      <c r="Q9114" s="8" t="s">
        <v>52</v>
      </c>
      <c r="R9114" s="10" t="s">
        <v>7846</v>
      </c>
      <c r="S9114" s="11" t="s">
        <v>51096</v>
      </c>
      <c r="T9114" s="6"/>
      <c r="U9114" s="15" t="str">
        <f>HYPERLINK("https://media.infra-m.ru/2006/2006851/cover/2006851.jpg", "Обложка")</f>
        <v>Обложка</v>
      </c>
      <c r="V9114" s="8" t="s">
        <v>1083</v>
      </c>
      <c r="W9114" s="6"/>
      <c r="X9114" s="6"/>
      <c r="Y9114" s="6"/>
      <c r="Z9114" s="6"/>
      <c r="AA9114" s="6" t="s">
        <v>86</v>
      </c>
      <c r="AB9114" s="8"/>
      <c r="AC9114" s="27">
        <v>9785160131344</v>
      </c>
    </row>
    <row r="9115" spans="1:29" s="4" customFormat="1" ht="51.9" customHeight="1" x14ac:dyDescent="0.2">
      <c r="A9115" s="5">
        <v>0</v>
      </c>
      <c r="B9115" s="6" t="s">
        <v>51097</v>
      </c>
      <c r="C9115" s="13">
        <v>468</v>
      </c>
      <c r="D9115" s="8" t="s">
        <v>51098</v>
      </c>
      <c r="E9115" s="8" t="s">
        <v>51099</v>
      </c>
      <c r="F9115" s="8" t="s">
        <v>6697</v>
      </c>
      <c r="G9115" s="6" t="s">
        <v>33</v>
      </c>
      <c r="H9115" s="6" t="s">
        <v>34</v>
      </c>
      <c r="I9115" s="8" t="s">
        <v>271</v>
      </c>
      <c r="J9115" s="9">
        <v>1</v>
      </c>
      <c r="K9115" s="9">
        <v>73</v>
      </c>
      <c r="L9115" s="9">
        <v>2023</v>
      </c>
      <c r="M9115" s="8" t="s">
        <v>51100</v>
      </c>
      <c r="N9115" s="8" t="s">
        <v>585</v>
      </c>
      <c r="O9115" s="8" t="s">
        <v>2472</v>
      </c>
      <c r="P9115" s="6" t="s">
        <v>51</v>
      </c>
      <c r="Q9115" s="8" t="s">
        <v>52</v>
      </c>
      <c r="R9115" s="10" t="s">
        <v>785</v>
      </c>
      <c r="S9115" s="11" t="s">
        <v>36701</v>
      </c>
      <c r="T9115" s="6"/>
      <c r="U9115" s="15" t="str">
        <f>HYPERLINK("https://media.infra-m.ru/2125/2125659/cover/2125659.jpg", "Обложка")</f>
        <v>Обложка</v>
      </c>
      <c r="V9115" s="8" t="s">
        <v>6700</v>
      </c>
      <c r="W9115" s="6"/>
      <c r="X9115" s="6"/>
      <c r="Y9115" s="6"/>
      <c r="Z9115" s="6"/>
      <c r="AA9115" s="6" t="s">
        <v>99</v>
      </c>
      <c r="AB9115" s="8"/>
      <c r="AC9115" s="27">
        <v>9785160129549</v>
      </c>
    </row>
    <row r="9116" spans="1:29" s="4" customFormat="1" ht="51.9" customHeight="1" x14ac:dyDescent="0.2">
      <c r="A9116" s="5">
        <v>0</v>
      </c>
      <c r="B9116" s="6" t="s">
        <v>51101</v>
      </c>
      <c r="C9116" s="7">
        <v>1104</v>
      </c>
      <c r="D9116" s="8" t="s">
        <v>51102</v>
      </c>
      <c r="E9116" s="8" t="s">
        <v>51103</v>
      </c>
      <c r="F9116" s="8" t="s">
        <v>29695</v>
      </c>
      <c r="G9116" s="6" t="s">
        <v>118</v>
      </c>
      <c r="H9116" s="6" t="s">
        <v>34</v>
      </c>
      <c r="I9116" s="8" t="s">
        <v>271</v>
      </c>
      <c r="J9116" s="9">
        <v>1</v>
      </c>
      <c r="K9116" s="9">
        <v>202</v>
      </c>
      <c r="L9116" s="9">
        <v>2023</v>
      </c>
      <c r="M9116" s="8" t="s">
        <v>51104</v>
      </c>
      <c r="N9116" s="8" t="s">
        <v>585</v>
      </c>
      <c r="O9116" s="8" t="s">
        <v>775</v>
      </c>
      <c r="P9116" s="6" t="s">
        <v>51</v>
      </c>
      <c r="Q9116" s="8" t="s">
        <v>52</v>
      </c>
      <c r="R9116" s="10" t="s">
        <v>51105</v>
      </c>
      <c r="S9116" s="11" t="s">
        <v>51106</v>
      </c>
      <c r="T9116" s="6"/>
      <c r="U9116" s="15" t="str">
        <f>HYPERLINK("https://media.infra-m.ru/1939/1939106/cover/1939106.jpg", "Обложка")</f>
        <v>Обложка</v>
      </c>
      <c r="V9116" s="8" t="s">
        <v>5951</v>
      </c>
      <c r="W9116" s="6"/>
      <c r="X9116" s="6"/>
      <c r="Y9116" s="6"/>
      <c r="Z9116" s="6"/>
      <c r="AA9116" s="6" t="s">
        <v>218</v>
      </c>
      <c r="AB9116" s="8"/>
      <c r="AC9116" s="27">
        <v>9785160159591</v>
      </c>
    </row>
    <row r="9117" spans="1:29" s="4" customFormat="1" ht="51.9" customHeight="1" x14ac:dyDescent="0.2">
      <c r="A9117" s="5">
        <v>0</v>
      </c>
      <c r="B9117" s="6" t="s">
        <v>51107</v>
      </c>
      <c r="C9117" s="7">
        <v>1680</v>
      </c>
      <c r="D9117" s="8" t="s">
        <v>51108</v>
      </c>
      <c r="E9117" s="8" t="s">
        <v>51109</v>
      </c>
      <c r="F9117" s="8" t="s">
        <v>51110</v>
      </c>
      <c r="G9117" s="6" t="s">
        <v>118</v>
      </c>
      <c r="H9117" s="6" t="s">
        <v>34</v>
      </c>
      <c r="I9117" s="8" t="s">
        <v>271</v>
      </c>
      <c r="J9117" s="9">
        <v>1</v>
      </c>
      <c r="K9117" s="9">
        <v>304</v>
      </c>
      <c r="L9117" s="9">
        <v>2023</v>
      </c>
      <c r="M9117" s="8" t="s">
        <v>51111</v>
      </c>
      <c r="N9117" s="8" t="s">
        <v>585</v>
      </c>
      <c r="O9117" s="8" t="s">
        <v>775</v>
      </c>
      <c r="P9117" s="6" t="s">
        <v>51</v>
      </c>
      <c r="Q9117" s="8" t="s">
        <v>52</v>
      </c>
      <c r="R9117" s="10" t="s">
        <v>39708</v>
      </c>
      <c r="S9117" s="11" t="s">
        <v>51112</v>
      </c>
      <c r="T9117" s="6"/>
      <c r="U9117" s="15" t="str">
        <f>HYPERLINK("https://media.infra-m.ru/1926/1926304/cover/1926304.jpg", "Обложка")</f>
        <v>Обложка</v>
      </c>
      <c r="V9117" s="8" t="s">
        <v>6147</v>
      </c>
      <c r="W9117" s="6"/>
      <c r="X9117" s="6"/>
      <c r="Y9117" s="6"/>
      <c r="Z9117" s="6"/>
      <c r="AA9117" s="6" t="s">
        <v>55</v>
      </c>
      <c r="AB9117" s="8"/>
      <c r="AC9117" s="27">
        <v>9785160068459</v>
      </c>
    </row>
    <row r="9118" spans="1:29" s="4" customFormat="1" ht="51.9" customHeight="1" x14ac:dyDescent="0.2">
      <c r="A9118" s="5">
        <v>0</v>
      </c>
      <c r="B9118" s="6" t="s">
        <v>51113</v>
      </c>
      <c r="C9118" s="13">
        <v>700.8</v>
      </c>
      <c r="D9118" s="8" t="s">
        <v>51114</v>
      </c>
      <c r="E9118" s="8" t="s">
        <v>51115</v>
      </c>
      <c r="F9118" s="8" t="s">
        <v>51116</v>
      </c>
      <c r="G9118" s="6" t="s">
        <v>33</v>
      </c>
      <c r="H9118" s="6" t="s">
        <v>34</v>
      </c>
      <c r="I9118" s="8" t="s">
        <v>271</v>
      </c>
      <c r="J9118" s="9">
        <v>1</v>
      </c>
      <c r="K9118" s="9">
        <v>106</v>
      </c>
      <c r="L9118" s="9">
        <v>2026</v>
      </c>
      <c r="M9118" s="8" t="s">
        <v>51117</v>
      </c>
      <c r="N9118" s="8" t="s">
        <v>585</v>
      </c>
      <c r="O9118" s="8" t="s">
        <v>775</v>
      </c>
      <c r="P9118" s="6" t="s">
        <v>51</v>
      </c>
      <c r="Q9118" s="8" t="s">
        <v>52</v>
      </c>
      <c r="R9118" s="10" t="s">
        <v>51118</v>
      </c>
      <c r="S9118" s="11" t="s">
        <v>51119</v>
      </c>
      <c r="T9118" s="6"/>
      <c r="U9118" s="15" t="str">
        <f>HYPERLINK("https://media.infra-m.ru/2249/2249075/cover/2249075.jpg", "Обложка")</f>
        <v>Обложка</v>
      </c>
      <c r="V9118" s="8" t="s">
        <v>5951</v>
      </c>
      <c r="W9118" s="6"/>
      <c r="X9118" s="6"/>
      <c r="Y9118" s="6"/>
      <c r="Z9118" s="6"/>
      <c r="AA9118" s="6" t="s">
        <v>99</v>
      </c>
      <c r="AB9118" s="8"/>
      <c r="AC9118" s="27">
        <v>9785160131559</v>
      </c>
    </row>
    <row r="9119" spans="1:29" s="4" customFormat="1" ht="51.9" customHeight="1" x14ac:dyDescent="0.2">
      <c r="A9119" s="5">
        <v>0</v>
      </c>
      <c r="B9119" s="6" t="s">
        <v>51120</v>
      </c>
      <c r="C9119" s="7">
        <v>2596.8000000000002</v>
      </c>
      <c r="D9119" s="8" t="s">
        <v>51121</v>
      </c>
      <c r="E9119" s="8" t="s">
        <v>51122</v>
      </c>
      <c r="F9119" s="8" t="s">
        <v>51123</v>
      </c>
      <c r="G9119" s="6" t="s">
        <v>60</v>
      </c>
      <c r="H9119" s="6" t="s">
        <v>34</v>
      </c>
      <c r="I9119" s="8" t="s">
        <v>271</v>
      </c>
      <c r="J9119" s="9">
        <v>1</v>
      </c>
      <c r="K9119" s="9">
        <v>372</v>
      </c>
      <c r="L9119" s="9">
        <v>2027</v>
      </c>
      <c r="M9119" s="8" t="s">
        <v>51124</v>
      </c>
      <c r="N9119" s="8" t="s">
        <v>585</v>
      </c>
      <c r="O9119" s="8" t="s">
        <v>775</v>
      </c>
      <c r="P9119" s="6" t="s">
        <v>306</v>
      </c>
      <c r="Q9119" s="8" t="s">
        <v>52</v>
      </c>
      <c r="R9119" s="10" t="s">
        <v>15499</v>
      </c>
      <c r="S9119" s="11" t="s">
        <v>2121</v>
      </c>
      <c r="T9119" s="6"/>
      <c r="U9119" s="15" t="str">
        <f>HYPERLINK("https://media.infra-m.ru/2271/2271605/cover/2271605.jpg", "Обложка")</f>
        <v>Обложка</v>
      </c>
      <c r="V9119" s="8" t="s">
        <v>1994</v>
      </c>
      <c r="W9119" s="6"/>
      <c r="X9119" s="6"/>
      <c r="Y9119" s="6"/>
      <c r="Z9119" s="6"/>
      <c r="AA9119" s="6" t="s">
        <v>430</v>
      </c>
      <c r="AB9119" s="8"/>
      <c r="AC9119" s="27">
        <v>9785160151663</v>
      </c>
    </row>
    <row r="9120" spans="1:29" s="4" customFormat="1" ht="51.9" customHeight="1" x14ac:dyDescent="0.2">
      <c r="A9120" s="5">
        <v>0</v>
      </c>
      <c r="B9120" s="6" t="s">
        <v>51125</v>
      </c>
      <c r="C9120" s="7">
        <v>1056</v>
      </c>
      <c r="D9120" s="8" t="s">
        <v>51126</v>
      </c>
      <c r="E9120" s="8" t="s">
        <v>51122</v>
      </c>
      <c r="F9120" s="8" t="s">
        <v>51127</v>
      </c>
      <c r="G9120" s="6" t="s">
        <v>118</v>
      </c>
      <c r="H9120" s="6" t="s">
        <v>34</v>
      </c>
      <c r="I9120" s="8" t="s">
        <v>253</v>
      </c>
      <c r="J9120" s="9">
        <v>1</v>
      </c>
      <c r="K9120" s="9">
        <v>151</v>
      </c>
      <c r="L9120" s="9">
        <v>2027</v>
      </c>
      <c r="M9120" s="8" t="s">
        <v>51128</v>
      </c>
      <c r="N9120" s="8" t="s">
        <v>585</v>
      </c>
      <c r="O9120" s="8" t="s">
        <v>775</v>
      </c>
      <c r="P9120" s="6" t="s">
        <v>51</v>
      </c>
      <c r="Q9120" s="8" t="s">
        <v>52</v>
      </c>
      <c r="R9120" s="10" t="s">
        <v>785</v>
      </c>
      <c r="S9120" s="11" t="s">
        <v>51129</v>
      </c>
      <c r="T9120" s="6"/>
      <c r="U9120" s="15" t="str">
        <f>HYPERLINK("https://media.infra-m.ru/2263/2263909/cover/2263909.jpg", "Обложка")</f>
        <v>Обложка</v>
      </c>
      <c r="V9120" s="8" t="s">
        <v>3595</v>
      </c>
      <c r="W9120" s="6"/>
      <c r="X9120" s="6"/>
      <c r="Y9120" s="6"/>
      <c r="Z9120" s="6"/>
      <c r="AA9120" s="6" t="s">
        <v>115</v>
      </c>
      <c r="AB9120" s="8"/>
      <c r="AC9120" s="27">
        <v>9785160223711</v>
      </c>
    </row>
    <row r="9121" spans="1:29" s="4" customFormat="1" ht="51.9" customHeight="1" x14ac:dyDescent="0.2">
      <c r="A9121" s="5">
        <v>0</v>
      </c>
      <c r="B9121" s="6" t="s">
        <v>51130</v>
      </c>
      <c r="C9121" s="13">
        <v>876</v>
      </c>
      <c r="D9121" s="8" t="s">
        <v>51131</v>
      </c>
      <c r="E9121" s="8" t="s">
        <v>51132</v>
      </c>
      <c r="F9121" s="8" t="s">
        <v>51133</v>
      </c>
      <c r="G9121" s="6" t="s">
        <v>118</v>
      </c>
      <c r="H9121" s="6" t="s">
        <v>34</v>
      </c>
      <c r="I9121" s="8" t="s">
        <v>263</v>
      </c>
      <c r="J9121" s="9">
        <v>1</v>
      </c>
      <c r="K9121" s="9">
        <v>133</v>
      </c>
      <c r="L9121" s="9">
        <v>2026</v>
      </c>
      <c r="M9121" s="8" t="s">
        <v>51134</v>
      </c>
      <c r="N9121" s="8" t="s">
        <v>37</v>
      </c>
      <c r="O9121" s="8" t="s">
        <v>136</v>
      </c>
      <c r="P9121" s="6" t="s">
        <v>51</v>
      </c>
      <c r="Q9121" s="8" t="s">
        <v>265</v>
      </c>
      <c r="R9121" s="10" t="s">
        <v>479</v>
      </c>
      <c r="S9121" s="11" t="s">
        <v>51135</v>
      </c>
      <c r="T9121" s="6"/>
      <c r="U9121" s="15" t="str">
        <f>HYPERLINK("https://media.infra-m.ru/2246/2246061/cover/2246061.jpg", "Обложка")</f>
        <v>Обложка</v>
      </c>
      <c r="V9121" s="8" t="s">
        <v>1505</v>
      </c>
      <c r="W9121" s="6"/>
      <c r="X9121" s="6"/>
      <c r="Y9121" s="6"/>
      <c r="Z9121" s="6"/>
      <c r="AA9121" s="6" t="s">
        <v>1389</v>
      </c>
      <c r="AB9121" s="8"/>
      <c r="AC9121" s="27">
        <v>9785160143170</v>
      </c>
    </row>
    <row r="9122" spans="1:29" s="4" customFormat="1" ht="42" customHeight="1" x14ac:dyDescent="0.2">
      <c r="A9122" s="5">
        <v>0</v>
      </c>
      <c r="B9122" s="6" t="s">
        <v>51136</v>
      </c>
      <c r="C9122" s="7">
        <v>1092</v>
      </c>
      <c r="D9122" s="8" t="s">
        <v>51137</v>
      </c>
      <c r="E9122" s="8" t="s">
        <v>51138</v>
      </c>
      <c r="F9122" s="8" t="s">
        <v>10582</v>
      </c>
      <c r="G9122" s="6" t="s">
        <v>60</v>
      </c>
      <c r="H9122" s="6" t="s">
        <v>34</v>
      </c>
      <c r="I9122" s="8" t="s">
        <v>35</v>
      </c>
      <c r="J9122" s="9">
        <v>1</v>
      </c>
      <c r="K9122" s="9">
        <v>163</v>
      </c>
      <c r="L9122" s="9">
        <v>2025</v>
      </c>
      <c r="M9122" s="8" t="s">
        <v>51139</v>
      </c>
      <c r="N9122" s="8" t="s">
        <v>37</v>
      </c>
      <c r="O9122" s="8" t="s">
        <v>136</v>
      </c>
      <c r="P9122" s="6" t="s">
        <v>39</v>
      </c>
      <c r="Q9122" s="8" t="s">
        <v>40</v>
      </c>
      <c r="R9122" s="10" t="s">
        <v>684</v>
      </c>
      <c r="S9122" s="11"/>
      <c r="T9122" s="6"/>
      <c r="U9122" s="15" t="str">
        <f>HYPERLINK("https://media.infra-m.ru/2187/2187527/cover/2187527.jpg", "Обложка")</f>
        <v>Обложка</v>
      </c>
      <c r="V9122" s="8" t="s">
        <v>227</v>
      </c>
      <c r="W9122" s="6"/>
      <c r="X9122" s="6"/>
      <c r="Y9122" s="6"/>
      <c r="Z9122" s="6"/>
      <c r="AA9122" s="6" t="s">
        <v>68</v>
      </c>
      <c r="AB9122" s="8" t="s">
        <v>3833</v>
      </c>
      <c r="AC9122" s="27">
        <v>9785160206660</v>
      </c>
    </row>
    <row r="9123" spans="1:29" s="4" customFormat="1" ht="51.9" customHeight="1" x14ac:dyDescent="0.2">
      <c r="A9123" s="5">
        <v>0</v>
      </c>
      <c r="B9123" s="6" t="s">
        <v>51140</v>
      </c>
      <c r="C9123" s="7">
        <v>2500.8000000000002</v>
      </c>
      <c r="D9123" s="8" t="s">
        <v>51141</v>
      </c>
      <c r="E9123" s="8" t="s">
        <v>51142</v>
      </c>
      <c r="F9123" s="8" t="s">
        <v>51143</v>
      </c>
      <c r="G9123" s="6" t="s">
        <v>118</v>
      </c>
      <c r="H9123" s="6" t="s">
        <v>1042</v>
      </c>
      <c r="I9123" s="8" t="s">
        <v>263</v>
      </c>
      <c r="J9123" s="9">
        <v>1</v>
      </c>
      <c r="K9123" s="9">
        <v>399</v>
      </c>
      <c r="L9123" s="9">
        <v>2025</v>
      </c>
      <c r="M9123" s="8" t="s">
        <v>51144</v>
      </c>
      <c r="N9123" s="8" t="s">
        <v>37</v>
      </c>
      <c r="O9123" s="8" t="s">
        <v>136</v>
      </c>
      <c r="P9123" s="6" t="s">
        <v>306</v>
      </c>
      <c r="Q9123" s="8" t="s">
        <v>265</v>
      </c>
      <c r="R9123" s="10" t="s">
        <v>479</v>
      </c>
      <c r="S9123" s="11" t="s">
        <v>51145</v>
      </c>
      <c r="T9123" s="6"/>
      <c r="U9123" s="15" t="str">
        <f>HYPERLINK("https://media.infra-m.ru/2202/2202104/cover/2202104.jpg", "Обложка")</f>
        <v>Обложка</v>
      </c>
      <c r="V9123" s="8" t="s">
        <v>1184</v>
      </c>
      <c r="W9123" s="6"/>
      <c r="X9123" s="6"/>
      <c r="Y9123" s="6"/>
      <c r="Z9123" s="6"/>
      <c r="AA9123" s="6" t="s">
        <v>3414</v>
      </c>
      <c r="AB9123" s="8"/>
      <c r="AC9123" s="27">
        <v>9785819906958</v>
      </c>
    </row>
    <row r="9124" spans="1:29" s="4" customFormat="1" ht="51.9" customHeight="1" x14ac:dyDescent="0.2">
      <c r="A9124" s="5">
        <v>0</v>
      </c>
      <c r="B9124" s="6" t="s">
        <v>51146</v>
      </c>
      <c r="C9124" s="7">
        <v>3544.8</v>
      </c>
      <c r="D9124" s="8" t="s">
        <v>51147</v>
      </c>
      <c r="E9124" s="8" t="s">
        <v>51148</v>
      </c>
      <c r="F9124" s="8" t="s">
        <v>51149</v>
      </c>
      <c r="G9124" s="6" t="s">
        <v>60</v>
      </c>
      <c r="H9124" s="6" t="s">
        <v>34</v>
      </c>
      <c r="I9124" s="8" t="s">
        <v>5350</v>
      </c>
      <c r="J9124" s="9">
        <v>1</v>
      </c>
      <c r="K9124" s="9">
        <v>538</v>
      </c>
      <c r="L9124" s="9">
        <v>2026</v>
      </c>
      <c r="M9124" s="8" t="s">
        <v>51150</v>
      </c>
      <c r="N9124" s="8" t="s">
        <v>37</v>
      </c>
      <c r="O9124" s="8" t="s">
        <v>136</v>
      </c>
      <c r="P9124" s="6" t="s">
        <v>306</v>
      </c>
      <c r="Q9124" s="8" t="s">
        <v>377</v>
      </c>
      <c r="R9124" s="10" t="s">
        <v>51151</v>
      </c>
      <c r="S9124" s="11" t="s">
        <v>51152</v>
      </c>
      <c r="T9124" s="6"/>
      <c r="U9124" s="15" t="str">
        <f>HYPERLINK("https://media.infra-m.ru/2235/2235551/cover/2235551.jpg", "Обложка")</f>
        <v>Обложка</v>
      </c>
      <c r="V9124" s="8" t="s">
        <v>227</v>
      </c>
      <c r="W9124" s="6"/>
      <c r="X9124" s="6"/>
      <c r="Y9124" s="6"/>
      <c r="Z9124" s="6"/>
      <c r="AA9124" s="6" t="s">
        <v>148</v>
      </c>
      <c r="AB9124" s="8"/>
      <c r="AC9124" s="27">
        <v>9785160160986</v>
      </c>
    </row>
    <row r="9125" spans="1:29" s="4" customFormat="1" ht="51.9" customHeight="1" x14ac:dyDescent="0.2">
      <c r="A9125" s="5">
        <v>0</v>
      </c>
      <c r="B9125" s="6" t="s">
        <v>51153</v>
      </c>
      <c r="C9125" s="7">
        <v>3160.8</v>
      </c>
      <c r="D9125" s="8" t="s">
        <v>51154</v>
      </c>
      <c r="E9125" s="8" t="s">
        <v>51155</v>
      </c>
      <c r="F9125" s="8" t="s">
        <v>10776</v>
      </c>
      <c r="G9125" s="6" t="s">
        <v>60</v>
      </c>
      <c r="H9125" s="6" t="s">
        <v>134</v>
      </c>
      <c r="I9125" s="8" t="s">
        <v>10823</v>
      </c>
      <c r="J9125" s="9">
        <v>1</v>
      </c>
      <c r="K9125" s="9">
        <v>528</v>
      </c>
      <c r="L9125" s="9">
        <v>2025</v>
      </c>
      <c r="M9125" s="8" t="s">
        <v>51156</v>
      </c>
      <c r="N9125" s="8" t="s">
        <v>37</v>
      </c>
      <c r="O9125" s="8" t="s">
        <v>136</v>
      </c>
      <c r="P9125" s="6" t="s">
        <v>306</v>
      </c>
      <c r="Q9125" s="8" t="s">
        <v>52</v>
      </c>
      <c r="R9125" s="10" t="s">
        <v>51157</v>
      </c>
      <c r="S9125" s="11" t="s">
        <v>10826</v>
      </c>
      <c r="T9125" s="6"/>
      <c r="U9125" s="15" t="str">
        <f>HYPERLINK("https://media.infra-m.ru/2165/2165978/cover/2165978.jpg", "Обложка")</f>
        <v>Обложка</v>
      </c>
      <c r="V9125" s="8" t="s">
        <v>2466</v>
      </c>
      <c r="W9125" s="6"/>
      <c r="X9125" s="6"/>
      <c r="Y9125" s="6"/>
      <c r="Z9125" s="6"/>
      <c r="AA9125" s="6" t="s">
        <v>15559</v>
      </c>
      <c r="AB9125" s="8"/>
      <c r="AC9125" s="27">
        <v>9785917686325</v>
      </c>
    </row>
    <row r="9126" spans="1:29" s="4" customFormat="1" ht="51.9" customHeight="1" x14ac:dyDescent="0.2">
      <c r="A9126" s="5">
        <v>0</v>
      </c>
      <c r="B9126" s="6" t="s">
        <v>51158</v>
      </c>
      <c r="C9126" s="13">
        <v>725.9</v>
      </c>
      <c r="D9126" s="8" t="s">
        <v>51159</v>
      </c>
      <c r="E9126" s="8" t="s">
        <v>51160</v>
      </c>
      <c r="F9126" s="8" t="s">
        <v>51161</v>
      </c>
      <c r="G9126" s="6" t="s">
        <v>60</v>
      </c>
      <c r="H9126" s="6" t="s">
        <v>34</v>
      </c>
      <c r="I9126" s="8" t="s">
        <v>271</v>
      </c>
      <c r="J9126" s="9">
        <v>1</v>
      </c>
      <c r="K9126" s="9">
        <v>178</v>
      </c>
      <c r="L9126" s="9">
        <v>2020</v>
      </c>
      <c r="M9126" s="8" t="s">
        <v>51162</v>
      </c>
      <c r="N9126" s="8" t="s">
        <v>585</v>
      </c>
      <c r="O9126" s="8" t="s">
        <v>775</v>
      </c>
      <c r="P9126" s="6" t="s">
        <v>51</v>
      </c>
      <c r="Q9126" s="8" t="s">
        <v>52</v>
      </c>
      <c r="R9126" s="10" t="s">
        <v>51163</v>
      </c>
      <c r="S9126" s="11" t="s">
        <v>51164</v>
      </c>
      <c r="T9126" s="6"/>
      <c r="U9126" s="15" t="str">
        <f>HYPERLINK("https://media.infra-m.ru/1045/1045789/cover/1045789.jpg", "Обложка")</f>
        <v>Обложка</v>
      </c>
      <c r="V9126" s="8" t="s">
        <v>831</v>
      </c>
      <c r="W9126" s="6"/>
      <c r="X9126" s="6"/>
      <c r="Y9126" s="6"/>
      <c r="Z9126" s="6"/>
      <c r="AA9126" s="6" t="s">
        <v>86</v>
      </c>
      <c r="AB9126" s="8"/>
      <c r="AC9126" s="27">
        <v>9785160129297</v>
      </c>
    </row>
    <row r="9127" spans="1:29" s="4" customFormat="1" ht="51.9" customHeight="1" x14ac:dyDescent="0.2">
      <c r="A9127" s="5">
        <v>0</v>
      </c>
      <c r="B9127" s="6" t="s">
        <v>51165</v>
      </c>
      <c r="C9127" s="7">
        <v>1044</v>
      </c>
      <c r="D9127" s="8" t="s">
        <v>51166</v>
      </c>
      <c r="E9127" s="8" t="s">
        <v>51167</v>
      </c>
      <c r="F9127" s="8" t="s">
        <v>51161</v>
      </c>
      <c r="G9127" s="6" t="s">
        <v>118</v>
      </c>
      <c r="H9127" s="6" t="s">
        <v>34</v>
      </c>
      <c r="I9127" s="8" t="s">
        <v>271</v>
      </c>
      <c r="J9127" s="9">
        <v>1</v>
      </c>
      <c r="K9127" s="9">
        <v>214</v>
      </c>
      <c r="L9127" s="9">
        <v>2022</v>
      </c>
      <c r="M9127" s="8" t="s">
        <v>51168</v>
      </c>
      <c r="N9127" s="8" t="s">
        <v>585</v>
      </c>
      <c r="O9127" s="8" t="s">
        <v>775</v>
      </c>
      <c r="P9127" s="6" t="s">
        <v>51</v>
      </c>
      <c r="Q9127" s="8" t="s">
        <v>52</v>
      </c>
      <c r="R9127" s="10" t="s">
        <v>51163</v>
      </c>
      <c r="S9127" s="11" t="s">
        <v>51164</v>
      </c>
      <c r="T9127" s="6"/>
      <c r="U9127" s="15" t="str">
        <f>HYPERLINK("https://media.infra-m.ru/1093/1093106/cover/1093106.jpg", "Обложка")</f>
        <v>Обложка</v>
      </c>
      <c r="V9127" s="8" t="s">
        <v>831</v>
      </c>
      <c r="W9127" s="6"/>
      <c r="X9127" s="6"/>
      <c r="Y9127" s="6"/>
      <c r="Z9127" s="6"/>
      <c r="AA9127" s="6" t="s">
        <v>896</v>
      </c>
      <c r="AB9127" s="8"/>
      <c r="AC9127" s="27">
        <v>9785160162843</v>
      </c>
    </row>
    <row r="9128" spans="1:29" s="4" customFormat="1" ht="51.9" customHeight="1" x14ac:dyDescent="0.2">
      <c r="A9128" s="5">
        <v>0</v>
      </c>
      <c r="B9128" s="6" t="s">
        <v>51169</v>
      </c>
      <c r="C9128" s="13">
        <v>952.8</v>
      </c>
      <c r="D9128" s="8" t="s">
        <v>51170</v>
      </c>
      <c r="E9128" s="8" t="s">
        <v>51171</v>
      </c>
      <c r="F9128" s="8" t="s">
        <v>2960</v>
      </c>
      <c r="G9128" s="6" t="s">
        <v>33</v>
      </c>
      <c r="H9128" s="6" t="s">
        <v>34</v>
      </c>
      <c r="I9128" s="8" t="s">
        <v>271</v>
      </c>
      <c r="J9128" s="9">
        <v>1</v>
      </c>
      <c r="K9128" s="9">
        <v>144</v>
      </c>
      <c r="L9128" s="9">
        <v>2026</v>
      </c>
      <c r="M9128" s="8" t="s">
        <v>51172</v>
      </c>
      <c r="N9128" s="8" t="s">
        <v>63</v>
      </c>
      <c r="O9128" s="8" t="s">
        <v>64</v>
      </c>
      <c r="P9128" s="6" t="s">
        <v>51</v>
      </c>
      <c r="Q9128" s="8" t="s">
        <v>52</v>
      </c>
      <c r="R9128" s="10" t="s">
        <v>51173</v>
      </c>
      <c r="S9128" s="11"/>
      <c r="T9128" s="6"/>
      <c r="U9128" s="15" t="str">
        <f>HYPERLINK("https://media.infra-m.ru/2243/2243400/cover/2243400.jpg", "Обложка")</f>
        <v>Обложка</v>
      </c>
      <c r="V9128" s="8" t="s">
        <v>2623</v>
      </c>
      <c r="W9128" s="6"/>
      <c r="X9128" s="6"/>
      <c r="Y9128" s="6"/>
      <c r="Z9128" s="6"/>
      <c r="AA9128" s="6" t="s">
        <v>55</v>
      </c>
      <c r="AB9128" s="8"/>
      <c r="AC9128" s="27">
        <v>9785160064963</v>
      </c>
    </row>
    <row r="9129" spans="1:29" s="4" customFormat="1" ht="51.9" customHeight="1" x14ac:dyDescent="0.2">
      <c r="A9129" s="5">
        <v>0</v>
      </c>
      <c r="B9129" s="6" t="s">
        <v>51174</v>
      </c>
      <c r="C9129" s="7">
        <v>3844.8</v>
      </c>
      <c r="D9129" s="8" t="s">
        <v>51175</v>
      </c>
      <c r="E9129" s="8" t="s">
        <v>51176</v>
      </c>
      <c r="F9129" s="8" t="s">
        <v>10582</v>
      </c>
      <c r="G9129" s="6" t="s">
        <v>60</v>
      </c>
      <c r="H9129" s="6" t="s">
        <v>34</v>
      </c>
      <c r="I9129" s="8" t="s">
        <v>35</v>
      </c>
      <c r="J9129" s="9">
        <v>1</v>
      </c>
      <c r="K9129" s="9">
        <v>582</v>
      </c>
      <c r="L9129" s="9">
        <v>2026</v>
      </c>
      <c r="M9129" s="8" t="s">
        <v>51177</v>
      </c>
      <c r="N9129" s="8" t="s">
        <v>585</v>
      </c>
      <c r="O9129" s="8" t="s">
        <v>775</v>
      </c>
      <c r="P9129" s="6" t="s">
        <v>39</v>
      </c>
      <c r="Q9129" s="8" t="s">
        <v>40</v>
      </c>
      <c r="R9129" s="10" t="s">
        <v>51178</v>
      </c>
      <c r="S9129" s="11"/>
      <c r="T9129" s="6"/>
      <c r="U9129" s="15" t="str">
        <f>HYPERLINK("https://media.infra-m.ru/2241/2241348/cover/2241348.jpg", "Обложка")</f>
        <v>Обложка</v>
      </c>
      <c r="V9129" s="8" t="s">
        <v>227</v>
      </c>
      <c r="W9129" s="6"/>
      <c r="X9129" s="6"/>
      <c r="Y9129" s="6"/>
      <c r="Z9129" s="6"/>
      <c r="AA9129" s="6" t="s">
        <v>86</v>
      </c>
      <c r="AB9129" s="8" t="s">
        <v>308</v>
      </c>
      <c r="AC9129" s="27">
        <v>9785160141107</v>
      </c>
    </row>
    <row r="9130" spans="1:29" s="4" customFormat="1" ht="51.9" customHeight="1" x14ac:dyDescent="0.2">
      <c r="A9130" s="5">
        <v>0</v>
      </c>
      <c r="B9130" s="6" t="s">
        <v>51179</v>
      </c>
      <c r="C9130" s="13">
        <v>912</v>
      </c>
      <c r="D9130" s="8" t="s">
        <v>51180</v>
      </c>
      <c r="E9130" s="8" t="s">
        <v>51181</v>
      </c>
      <c r="F9130" s="8" t="s">
        <v>47884</v>
      </c>
      <c r="G9130" s="6" t="s">
        <v>60</v>
      </c>
      <c r="H9130" s="6" t="s">
        <v>34</v>
      </c>
      <c r="I9130" s="8" t="s">
        <v>1128</v>
      </c>
      <c r="J9130" s="9">
        <v>1</v>
      </c>
      <c r="K9130" s="9">
        <v>164</v>
      </c>
      <c r="L9130" s="9">
        <v>2024</v>
      </c>
      <c r="M9130" s="8" t="s">
        <v>51182</v>
      </c>
      <c r="N9130" s="8" t="s">
        <v>585</v>
      </c>
      <c r="O9130" s="8" t="s">
        <v>775</v>
      </c>
      <c r="P9130" s="6" t="s">
        <v>51</v>
      </c>
      <c r="Q9130" s="8" t="s">
        <v>65</v>
      </c>
      <c r="R9130" s="10" t="s">
        <v>51183</v>
      </c>
      <c r="S9130" s="11" t="s">
        <v>51184</v>
      </c>
      <c r="T9130" s="6"/>
      <c r="U9130" s="15" t="str">
        <f>HYPERLINK("https://media.infra-m.ru/2082/2082638/cover/2082638.jpg", "Обложка")</f>
        <v>Обложка</v>
      </c>
      <c r="V9130" s="8" t="s">
        <v>1132</v>
      </c>
      <c r="W9130" s="6"/>
      <c r="X9130" s="6"/>
      <c r="Y9130" s="6"/>
      <c r="Z9130" s="6"/>
      <c r="AA9130" s="6" t="s">
        <v>76</v>
      </c>
      <c r="AB9130" s="8"/>
      <c r="AC9130" s="27">
        <v>9785160190006</v>
      </c>
    </row>
    <row r="9131" spans="1:29" s="4" customFormat="1" ht="51.9" customHeight="1" x14ac:dyDescent="0.2">
      <c r="A9131" s="5">
        <v>0</v>
      </c>
      <c r="B9131" s="6" t="s">
        <v>51185</v>
      </c>
      <c r="C9131" s="7">
        <v>1768.8</v>
      </c>
      <c r="D9131" s="8" t="s">
        <v>51186</v>
      </c>
      <c r="E9131" s="8" t="s">
        <v>51187</v>
      </c>
      <c r="F9131" s="8" t="s">
        <v>51188</v>
      </c>
      <c r="G9131" s="6" t="s">
        <v>60</v>
      </c>
      <c r="H9131" s="6" t="s">
        <v>48</v>
      </c>
      <c r="I9131" s="8" t="s">
        <v>253</v>
      </c>
      <c r="J9131" s="9">
        <v>1</v>
      </c>
      <c r="K9131" s="9">
        <v>320</v>
      </c>
      <c r="L9131" s="9">
        <v>2024</v>
      </c>
      <c r="M9131" s="8" t="s">
        <v>51189</v>
      </c>
      <c r="N9131" s="8" t="s">
        <v>585</v>
      </c>
      <c r="O9131" s="8" t="s">
        <v>775</v>
      </c>
      <c r="P9131" s="6" t="s">
        <v>306</v>
      </c>
      <c r="Q9131" s="8" t="s">
        <v>52</v>
      </c>
      <c r="R9131" s="10" t="s">
        <v>51190</v>
      </c>
      <c r="S9131" s="11" t="s">
        <v>51191</v>
      </c>
      <c r="T9131" s="6"/>
      <c r="U9131" s="15" t="str">
        <f>HYPERLINK("https://media.infra-m.ru/2130/2130072/cover/2130072.jpg", "Обложка")</f>
        <v>Обложка</v>
      </c>
      <c r="V9131" s="8" t="s">
        <v>831</v>
      </c>
      <c r="W9131" s="6"/>
      <c r="X9131" s="6"/>
      <c r="Y9131" s="6"/>
      <c r="Z9131" s="6"/>
      <c r="AA9131" s="6" t="s">
        <v>360</v>
      </c>
      <c r="AB9131" s="8"/>
      <c r="AC9131" s="27">
        <v>9785000911174</v>
      </c>
    </row>
    <row r="9132" spans="1:29" s="4" customFormat="1" ht="51.9" customHeight="1" x14ac:dyDescent="0.2">
      <c r="A9132" s="5">
        <v>0</v>
      </c>
      <c r="B9132" s="6" t="s">
        <v>51192</v>
      </c>
      <c r="C9132" s="7">
        <v>2256</v>
      </c>
      <c r="D9132" s="8" t="s">
        <v>51193</v>
      </c>
      <c r="E9132" s="8" t="s">
        <v>51194</v>
      </c>
      <c r="F9132" s="8" t="s">
        <v>51195</v>
      </c>
      <c r="G9132" s="6" t="s">
        <v>118</v>
      </c>
      <c r="H9132" s="6" t="s">
        <v>34</v>
      </c>
      <c r="I9132" s="8" t="s">
        <v>253</v>
      </c>
      <c r="J9132" s="9">
        <v>1</v>
      </c>
      <c r="K9132" s="9">
        <v>355</v>
      </c>
      <c r="L9132" s="9">
        <v>2026</v>
      </c>
      <c r="M9132" s="8" t="s">
        <v>51196</v>
      </c>
      <c r="N9132" s="8" t="s">
        <v>585</v>
      </c>
      <c r="O9132" s="8" t="s">
        <v>775</v>
      </c>
      <c r="P9132" s="6" t="s">
        <v>51</v>
      </c>
      <c r="Q9132" s="8" t="s">
        <v>52</v>
      </c>
      <c r="R9132" s="10" t="s">
        <v>51197</v>
      </c>
      <c r="S9132" s="11" t="s">
        <v>51198</v>
      </c>
      <c r="T9132" s="6"/>
      <c r="U9132" s="15" t="str">
        <f>HYPERLINK("https://media.infra-m.ru/2218/2218837/cover/2218837.jpg", "Обложка")</f>
        <v>Обложка</v>
      </c>
      <c r="V9132" s="8" t="s">
        <v>51199</v>
      </c>
      <c r="W9132" s="6"/>
      <c r="X9132" s="6"/>
      <c r="Y9132" s="6"/>
      <c r="Z9132" s="6"/>
      <c r="AA9132" s="6" t="s">
        <v>99</v>
      </c>
      <c r="AB9132" s="8"/>
      <c r="AC9132" s="27">
        <v>9785160212432</v>
      </c>
    </row>
    <row r="9133" spans="1:29" s="4" customFormat="1" ht="51.9" customHeight="1" x14ac:dyDescent="0.2">
      <c r="A9133" s="5">
        <v>0</v>
      </c>
      <c r="B9133" s="6" t="s">
        <v>51200</v>
      </c>
      <c r="C9133" s="7">
        <v>2548.8000000000002</v>
      </c>
      <c r="D9133" s="8" t="s">
        <v>51201</v>
      </c>
      <c r="E9133" s="8" t="s">
        <v>51202</v>
      </c>
      <c r="F9133" s="8" t="s">
        <v>51203</v>
      </c>
      <c r="G9133" s="6" t="s">
        <v>60</v>
      </c>
      <c r="H9133" s="6" t="s">
        <v>34</v>
      </c>
      <c r="I9133" s="8" t="s">
        <v>271</v>
      </c>
      <c r="J9133" s="9">
        <v>1</v>
      </c>
      <c r="K9133" s="9">
        <v>408</v>
      </c>
      <c r="L9133" s="9">
        <v>2025</v>
      </c>
      <c r="M9133" s="8" t="s">
        <v>51204</v>
      </c>
      <c r="N9133" s="8" t="s">
        <v>585</v>
      </c>
      <c r="O9133" s="8" t="s">
        <v>2472</v>
      </c>
      <c r="P9133" s="6" t="s">
        <v>306</v>
      </c>
      <c r="Q9133" s="8" t="s">
        <v>52</v>
      </c>
      <c r="R9133" s="10" t="s">
        <v>785</v>
      </c>
      <c r="S9133" s="11" t="s">
        <v>51205</v>
      </c>
      <c r="T9133" s="6"/>
      <c r="U9133" s="15" t="str">
        <f>HYPERLINK("https://media.infra-m.ru/2196/2196124/cover/2196124.jpg", "Обложка")</f>
        <v>Обложка</v>
      </c>
      <c r="V9133" s="8" t="s">
        <v>51206</v>
      </c>
      <c r="W9133" s="6"/>
      <c r="X9133" s="6"/>
      <c r="Y9133" s="6"/>
      <c r="Z9133" s="6"/>
      <c r="AA9133" s="6" t="s">
        <v>404</v>
      </c>
      <c r="AB9133" s="8"/>
      <c r="AC9133" s="27">
        <v>9785160122397</v>
      </c>
    </row>
    <row r="9134" spans="1:29" s="4" customFormat="1" ht="51.9" customHeight="1" x14ac:dyDescent="0.2">
      <c r="A9134" s="5">
        <v>0</v>
      </c>
      <c r="B9134" s="6" t="s">
        <v>51207</v>
      </c>
      <c r="C9134" s="7">
        <v>1192.8</v>
      </c>
      <c r="D9134" s="8" t="s">
        <v>51208</v>
      </c>
      <c r="E9134" s="8" t="s">
        <v>51209</v>
      </c>
      <c r="F9134" s="8" t="s">
        <v>51210</v>
      </c>
      <c r="G9134" s="6" t="s">
        <v>33</v>
      </c>
      <c r="H9134" s="6" t="s">
        <v>48</v>
      </c>
      <c r="I9134" s="8" t="s">
        <v>253</v>
      </c>
      <c r="J9134" s="9">
        <v>1</v>
      </c>
      <c r="K9134" s="9">
        <v>200</v>
      </c>
      <c r="L9134" s="9">
        <v>2023</v>
      </c>
      <c r="M9134" s="8" t="s">
        <v>51211</v>
      </c>
      <c r="N9134" s="8" t="s">
        <v>585</v>
      </c>
      <c r="O9134" s="8" t="s">
        <v>775</v>
      </c>
      <c r="P9134" s="6" t="s">
        <v>51</v>
      </c>
      <c r="Q9134" s="8" t="s">
        <v>52</v>
      </c>
      <c r="R9134" s="10" t="s">
        <v>21436</v>
      </c>
      <c r="S9134" s="11" t="s">
        <v>51212</v>
      </c>
      <c r="T9134" s="6"/>
      <c r="U9134" s="12"/>
      <c r="V9134" s="8" t="s">
        <v>704</v>
      </c>
      <c r="W9134" s="6"/>
      <c r="X9134" s="6"/>
      <c r="Y9134" s="6"/>
      <c r="Z9134" s="6"/>
      <c r="AA9134" s="6" t="s">
        <v>248</v>
      </c>
      <c r="AB9134" s="8"/>
      <c r="AC9134" s="27">
        <v>9785911348489</v>
      </c>
    </row>
    <row r="9135" spans="1:29" s="4" customFormat="1" ht="51.9" customHeight="1" x14ac:dyDescent="0.2">
      <c r="A9135" s="5">
        <v>0</v>
      </c>
      <c r="B9135" s="6" t="s">
        <v>51213</v>
      </c>
      <c r="C9135" s="7">
        <v>1200</v>
      </c>
      <c r="D9135" s="8" t="s">
        <v>51214</v>
      </c>
      <c r="E9135" s="8" t="s">
        <v>51209</v>
      </c>
      <c r="F9135" s="8" t="s">
        <v>51210</v>
      </c>
      <c r="G9135" s="6" t="s">
        <v>118</v>
      </c>
      <c r="H9135" s="6" t="s">
        <v>48</v>
      </c>
      <c r="I9135" s="8" t="s">
        <v>253</v>
      </c>
      <c r="J9135" s="9">
        <v>1</v>
      </c>
      <c r="K9135" s="9">
        <v>200</v>
      </c>
      <c r="L9135" s="9">
        <v>2024</v>
      </c>
      <c r="M9135" s="8" t="s">
        <v>51215</v>
      </c>
      <c r="N9135" s="8" t="s">
        <v>585</v>
      </c>
      <c r="O9135" s="8" t="s">
        <v>775</v>
      </c>
      <c r="P9135" s="6" t="s">
        <v>51</v>
      </c>
      <c r="Q9135" s="8" t="s">
        <v>52</v>
      </c>
      <c r="R9135" s="10" t="s">
        <v>21436</v>
      </c>
      <c r="S9135" s="11" t="s">
        <v>51212</v>
      </c>
      <c r="T9135" s="6"/>
      <c r="U9135" s="15" t="str">
        <f>HYPERLINK("https://media.infra-m.ru/2087/2087253/cover/2087253.jpg", "Обложка")</f>
        <v>Обложка</v>
      </c>
      <c r="V9135" s="8" t="s">
        <v>704</v>
      </c>
      <c r="W9135" s="6"/>
      <c r="X9135" s="6"/>
      <c r="Y9135" s="6"/>
      <c r="Z9135" s="6"/>
      <c r="AA9135" s="6" t="s">
        <v>248</v>
      </c>
      <c r="AB9135" s="8"/>
      <c r="AC9135" s="27">
        <v>9785000917183</v>
      </c>
    </row>
    <row r="9136" spans="1:29" s="4" customFormat="1" ht="51.9" customHeight="1" x14ac:dyDescent="0.2">
      <c r="A9136" s="5">
        <v>0</v>
      </c>
      <c r="B9136" s="6" t="s">
        <v>51216</v>
      </c>
      <c r="C9136" s="7">
        <v>1828.8</v>
      </c>
      <c r="D9136" s="8" t="s">
        <v>51217</v>
      </c>
      <c r="E9136" s="8" t="s">
        <v>51218</v>
      </c>
      <c r="F9136" s="8" t="s">
        <v>51219</v>
      </c>
      <c r="G9136" s="6" t="s">
        <v>118</v>
      </c>
      <c r="H9136" s="6" t="s">
        <v>34</v>
      </c>
      <c r="I9136" s="8" t="s">
        <v>253</v>
      </c>
      <c r="J9136" s="9">
        <v>1</v>
      </c>
      <c r="K9136" s="9">
        <v>293</v>
      </c>
      <c r="L9136" s="9">
        <v>2025</v>
      </c>
      <c r="M9136" s="8" t="s">
        <v>51220</v>
      </c>
      <c r="N9136" s="8" t="s">
        <v>585</v>
      </c>
      <c r="O9136" s="8" t="s">
        <v>775</v>
      </c>
      <c r="P9136" s="6" t="s">
        <v>51</v>
      </c>
      <c r="Q9136" s="8" t="s">
        <v>65</v>
      </c>
      <c r="R9136" s="10" t="s">
        <v>11696</v>
      </c>
      <c r="S9136" s="11" t="s">
        <v>51221</v>
      </c>
      <c r="T9136" s="6"/>
      <c r="U9136" s="15" t="str">
        <f>HYPERLINK("https://media.infra-m.ru/2196/2196891/cover/2196891.jpg", "Обложка")</f>
        <v>Обложка</v>
      </c>
      <c r="V9136" s="8" t="s">
        <v>6147</v>
      </c>
      <c r="W9136" s="6"/>
      <c r="X9136" s="6"/>
      <c r="Y9136" s="6"/>
      <c r="Z9136" s="6"/>
      <c r="AA9136" s="6" t="s">
        <v>274</v>
      </c>
      <c r="AB9136" s="8"/>
      <c r="AC9136" s="27">
        <v>9785160185187</v>
      </c>
    </row>
    <row r="9137" spans="1:29" s="4" customFormat="1" ht="51.9" customHeight="1" x14ac:dyDescent="0.2">
      <c r="A9137" s="5">
        <v>0</v>
      </c>
      <c r="B9137" s="6" t="s">
        <v>51222</v>
      </c>
      <c r="C9137" s="7">
        <v>1212</v>
      </c>
      <c r="D9137" s="8" t="s">
        <v>51223</v>
      </c>
      <c r="E9137" s="8" t="s">
        <v>51224</v>
      </c>
      <c r="F9137" s="8" t="s">
        <v>51225</v>
      </c>
      <c r="G9137" s="6" t="s">
        <v>33</v>
      </c>
      <c r="H9137" s="6" t="s">
        <v>34</v>
      </c>
      <c r="I9137" s="8" t="s">
        <v>35</v>
      </c>
      <c r="J9137" s="9">
        <v>1</v>
      </c>
      <c r="K9137" s="9">
        <v>182</v>
      </c>
      <c r="L9137" s="9">
        <v>2026</v>
      </c>
      <c r="M9137" s="8" t="s">
        <v>51226</v>
      </c>
      <c r="N9137" s="8" t="s">
        <v>63</v>
      </c>
      <c r="O9137" s="8" t="s">
        <v>181</v>
      </c>
      <c r="P9137" s="6" t="s">
        <v>39</v>
      </c>
      <c r="Q9137" s="8" t="s">
        <v>40</v>
      </c>
      <c r="R9137" s="10" t="s">
        <v>51227</v>
      </c>
      <c r="S9137" s="11"/>
      <c r="T9137" s="6"/>
      <c r="U9137" s="15" t="str">
        <f>HYPERLINK("https://media.infra-m.ru/2256/2256968/cover/2256968.jpg", "Обложка")</f>
        <v>Обложка</v>
      </c>
      <c r="V9137" s="8" t="s">
        <v>51228</v>
      </c>
      <c r="W9137" s="6"/>
      <c r="X9137" s="6"/>
      <c r="Y9137" s="6"/>
      <c r="Z9137" s="6"/>
      <c r="AA9137" s="6" t="s">
        <v>157</v>
      </c>
      <c r="AB9137" s="8"/>
      <c r="AC9137" s="27">
        <v>9785160177311</v>
      </c>
    </row>
    <row r="9138" spans="1:29" s="4" customFormat="1" ht="51.9" customHeight="1" x14ac:dyDescent="0.2">
      <c r="A9138" s="5">
        <v>0</v>
      </c>
      <c r="B9138" s="6" t="s">
        <v>51229</v>
      </c>
      <c r="C9138" s="7">
        <v>2916</v>
      </c>
      <c r="D9138" s="8" t="s">
        <v>51230</v>
      </c>
      <c r="E9138" s="8" t="s">
        <v>51231</v>
      </c>
      <c r="F9138" s="8" t="s">
        <v>51232</v>
      </c>
      <c r="G9138" s="6" t="s">
        <v>60</v>
      </c>
      <c r="H9138" s="6" t="s">
        <v>34</v>
      </c>
      <c r="I9138" s="8" t="s">
        <v>271</v>
      </c>
      <c r="J9138" s="9">
        <v>1</v>
      </c>
      <c r="K9138" s="9">
        <v>528</v>
      </c>
      <c r="L9138" s="9">
        <v>2024</v>
      </c>
      <c r="M9138" s="8" t="s">
        <v>51233</v>
      </c>
      <c r="N9138" s="8" t="s">
        <v>585</v>
      </c>
      <c r="O9138" s="8" t="s">
        <v>775</v>
      </c>
      <c r="P9138" s="6" t="s">
        <v>306</v>
      </c>
      <c r="Q9138" s="8" t="s">
        <v>52</v>
      </c>
      <c r="R9138" s="10" t="s">
        <v>51234</v>
      </c>
      <c r="S9138" s="11" t="s">
        <v>51235</v>
      </c>
      <c r="T9138" s="6"/>
      <c r="U9138" s="15" t="str">
        <f>HYPERLINK("https://media.infra-m.ru/2125/2125020/cover/2125020.jpg", "Обложка")</f>
        <v>Обложка</v>
      </c>
      <c r="V9138" s="8" t="s">
        <v>809</v>
      </c>
      <c r="W9138" s="6"/>
      <c r="X9138" s="6"/>
      <c r="Y9138" s="6"/>
      <c r="Z9138" s="6"/>
      <c r="AA9138" s="6" t="s">
        <v>360</v>
      </c>
      <c r="AB9138" s="8"/>
      <c r="AC9138" s="27">
        <v>9785160104096</v>
      </c>
    </row>
    <row r="9139" spans="1:29" s="4" customFormat="1" ht="51.9" customHeight="1" x14ac:dyDescent="0.2">
      <c r="A9139" s="5">
        <v>0</v>
      </c>
      <c r="B9139" s="6" t="s">
        <v>51236</v>
      </c>
      <c r="C9139" s="7">
        <v>2224.8000000000002</v>
      </c>
      <c r="D9139" s="8" t="s">
        <v>51237</v>
      </c>
      <c r="E9139" s="8" t="s">
        <v>51238</v>
      </c>
      <c r="F9139" s="8" t="s">
        <v>51239</v>
      </c>
      <c r="G9139" s="6" t="s">
        <v>60</v>
      </c>
      <c r="H9139" s="6" t="s">
        <v>34</v>
      </c>
      <c r="I9139" s="8" t="s">
        <v>271</v>
      </c>
      <c r="J9139" s="9">
        <v>1</v>
      </c>
      <c r="K9139" s="9">
        <v>397</v>
      </c>
      <c r="L9139" s="9">
        <v>2024</v>
      </c>
      <c r="M9139" s="8" t="s">
        <v>51240</v>
      </c>
      <c r="N9139" s="8" t="s">
        <v>585</v>
      </c>
      <c r="O9139" s="8" t="s">
        <v>775</v>
      </c>
      <c r="P9139" s="6" t="s">
        <v>306</v>
      </c>
      <c r="Q9139" s="8" t="s">
        <v>52</v>
      </c>
      <c r="R9139" s="10" t="s">
        <v>51241</v>
      </c>
      <c r="S9139" s="11" t="s">
        <v>51242</v>
      </c>
      <c r="T9139" s="6"/>
      <c r="U9139" s="15" t="str">
        <f>HYPERLINK("https://media.infra-m.ru/2149/2149163/cover/2149163.jpg", "Обложка")</f>
        <v>Обложка</v>
      </c>
      <c r="V9139" s="8" t="s">
        <v>1878</v>
      </c>
      <c r="W9139" s="6"/>
      <c r="X9139" s="6"/>
      <c r="Y9139" s="6"/>
      <c r="Z9139" s="6"/>
      <c r="AA9139" s="6" t="s">
        <v>274</v>
      </c>
      <c r="AB9139" s="8"/>
      <c r="AC9139" s="27">
        <v>9785160116792</v>
      </c>
    </row>
    <row r="9140" spans="1:29" s="4" customFormat="1" ht="51.9" customHeight="1" x14ac:dyDescent="0.2">
      <c r="A9140" s="5">
        <v>0</v>
      </c>
      <c r="B9140" s="6" t="s">
        <v>51243</v>
      </c>
      <c r="C9140" s="7">
        <v>3940.8</v>
      </c>
      <c r="D9140" s="8" t="s">
        <v>51244</v>
      </c>
      <c r="E9140" s="8" t="s">
        <v>51245</v>
      </c>
      <c r="F9140" s="8" t="s">
        <v>51246</v>
      </c>
      <c r="G9140" s="6" t="s">
        <v>60</v>
      </c>
      <c r="H9140" s="6" t="s">
        <v>34</v>
      </c>
      <c r="I9140" s="8" t="s">
        <v>253</v>
      </c>
      <c r="J9140" s="9">
        <v>1</v>
      </c>
      <c r="K9140" s="9">
        <v>615</v>
      </c>
      <c r="L9140" s="9">
        <v>2026</v>
      </c>
      <c r="M9140" s="8" t="s">
        <v>51247</v>
      </c>
      <c r="N9140" s="8" t="s">
        <v>585</v>
      </c>
      <c r="O9140" s="8" t="s">
        <v>775</v>
      </c>
      <c r="P9140" s="6" t="s">
        <v>306</v>
      </c>
      <c r="Q9140" s="8" t="s">
        <v>52</v>
      </c>
      <c r="R9140" s="10" t="s">
        <v>25589</v>
      </c>
      <c r="S9140" s="11" t="s">
        <v>51248</v>
      </c>
      <c r="T9140" s="6"/>
      <c r="U9140" s="15" t="str">
        <f>HYPERLINK("https://media.infra-m.ru/2244/2244157/cover/2244157.jpg", "Обложка")</f>
        <v>Обложка</v>
      </c>
      <c r="V9140" s="8"/>
      <c r="W9140" s="6"/>
      <c r="X9140" s="6"/>
      <c r="Y9140" s="6"/>
      <c r="Z9140" s="6"/>
      <c r="AA9140" s="6" t="s">
        <v>51249</v>
      </c>
      <c r="AB9140" s="8" t="s">
        <v>493</v>
      </c>
      <c r="AC9140" s="27">
        <v>9785160210001</v>
      </c>
    </row>
    <row r="9141" spans="1:29" s="4" customFormat="1" ht="42" customHeight="1" x14ac:dyDescent="0.2">
      <c r="A9141" s="5">
        <v>0</v>
      </c>
      <c r="B9141" s="6" t="s">
        <v>51250</v>
      </c>
      <c r="C9141" s="7">
        <v>1236</v>
      </c>
      <c r="D9141" s="8" t="s">
        <v>51251</v>
      </c>
      <c r="E9141" s="8" t="s">
        <v>51238</v>
      </c>
      <c r="F9141" s="8" t="s">
        <v>51252</v>
      </c>
      <c r="G9141" s="6" t="s">
        <v>60</v>
      </c>
      <c r="H9141" s="6" t="s">
        <v>34</v>
      </c>
      <c r="I9141" s="8" t="s">
        <v>263</v>
      </c>
      <c r="J9141" s="9">
        <v>1</v>
      </c>
      <c r="K9141" s="9">
        <v>168</v>
      </c>
      <c r="L9141" s="9">
        <v>2026</v>
      </c>
      <c r="M9141" s="8" t="s">
        <v>51253</v>
      </c>
      <c r="N9141" s="8" t="s">
        <v>585</v>
      </c>
      <c r="O9141" s="8" t="s">
        <v>775</v>
      </c>
      <c r="P9141" s="6" t="s">
        <v>51</v>
      </c>
      <c r="Q9141" s="8" t="s">
        <v>265</v>
      </c>
      <c r="R9141" s="10" t="s">
        <v>51254</v>
      </c>
      <c r="S9141" s="11"/>
      <c r="T9141" s="6"/>
      <c r="U9141" s="15" t="str">
        <f>HYPERLINK("https://media.infra-m.ru/2200/2200753/cover/2200753.jpg", "Обложка")</f>
        <v>Обложка</v>
      </c>
      <c r="V9141" s="8" t="s">
        <v>11957</v>
      </c>
      <c r="W9141" s="6" t="s">
        <v>186</v>
      </c>
      <c r="X9141" s="6"/>
      <c r="Y9141" s="6"/>
      <c r="Z9141" s="6"/>
      <c r="AA9141" s="6" t="s">
        <v>187</v>
      </c>
      <c r="AB9141" s="8"/>
      <c r="AC9141" s="27">
        <v>9785160208657</v>
      </c>
    </row>
    <row r="9142" spans="1:29" s="4" customFormat="1" ht="51.9" customHeight="1" x14ac:dyDescent="0.2">
      <c r="A9142" s="5">
        <v>0</v>
      </c>
      <c r="B9142" s="6" t="s">
        <v>51255</v>
      </c>
      <c r="C9142" s="7">
        <v>2056.8000000000002</v>
      </c>
      <c r="D9142" s="8" t="s">
        <v>51256</v>
      </c>
      <c r="E9142" s="8" t="s">
        <v>51238</v>
      </c>
      <c r="F9142" s="8" t="s">
        <v>16557</v>
      </c>
      <c r="G9142" s="6" t="s">
        <v>118</v>
      </c>
      <c r="H9142" s="6" t="s">
        <v>34</v>
      </c>
      <c r="I9142" s="8" t="s">
        <v>271</v>
      </c>
      <c r="J9142" s="9">
        <v>1</v>
      </c>
      <c r="K9142" s="9">
        <v>296</v>
      </c>
      <c r="L9142" s="9">
        <v>2026</v>
      </c>
      <c r="M9142" s="8" t="s">
        <v>51257</v>
      </c>
      <c r="N9142" s="8" t="s">
        <v>585</v>
      </c>
      <c r="O9142" s="8" t="s">
        <v>775</v>
      </c>
      <c r="P9142" s="6" t="s">
        <v>51</v>
      </c>
      <c r="Q9142" s="8" t="s">
        <v>52</v>
      </c>
      <c r="R9142" s="10" t="s">
        <v>25589</v>
      </c>
      <c r="S9142" s="11" t="s">
        <v>51258</v>
      </c>
      <c r="T9142" s="6"/>
      <c r="U9142" s="15" t="str">
        <f>HYPERLINK("https://media.infra-m.ru/2269/2269331/cover/2269331.jpg", "Обложка")</f>
        <v>Обложка</v>
      </c>
      <c r="V9142" s="8" t="s">
        <v>227</v>
      </c>
      <c r="W9142" s="6"/>
      <c r="X9142" s="6"/>
      <c r="Y9142" s="6"/>
      <c r="Z9142" s="6"/>
      <c r="AA9142" s="6" t="s">
        <v>43</v>
      </c>
      <c r="AB9142" s="8"/>
      <c r="AC9142" s="27">
        <v>9785160202990</v>
      </c>
    </row>
    <row r="9143" spans="1:29" s="4" customFormat="1" ht="51.9" customHeight="1" x14ac:dyDescent="0.2">
      <c r="A9143" s="5">
        <v>0</v>
      </c>
      <c r="B9143" s="6" t="s">
        <v>51259</v>
      </c>
      <c r="C9143" s="7">
        <v>1536</v>
      </c>
      <c r="D9143" s="8" t="s">
        <v>51260</v>
      </c>
      <c r="E9143" s="8" t="s">
        <v>51238</v>
      </c>
      <c r="F9143" s="8" t="s">
        <v>47884</v>
      </c>
      <c r="G9143" s="6" t="s">
        <v>60</v>
      </c>
      <c r="H9143" s="6" t="s">
        <v>34</v>
      </c>
      <c r="I9143" s="8" t="s">
        <v>2518</v>
      </c>
      <c r="J9143" s="9">
        <v>1</v>
      </c>
      <c r="K9143" s="9">
        <v>270</v>
      </c>
      <c r="L9143" s="9">
        <v>2024</v>
      </c>
      <c r="M9143" s="8" t="s">
        <v>51261</v>
      </c>
      <c r="N9143" s="8" t="s">
        <v>585</v>
      </c>
      <c r="O9143" s="8" t="s">
        <v>775</v>
      </c>
      <c r="P9143" s="6" t="s">
        <v>51</v>
      </c>
      <c r="Q9143" s="8" t="s">
        <v>265</v>
      </c>
      <c r="R9143" s="10" t="s">
        <v>51262</v>
      </c>
      <c r="S9143" s="11" t="s">
        <v>51263</v>
      </c>
      <c r="T9143" s="6"/>
      <c r="U9143" s="15" t="str">
        <f>HYPERLINK("https://media.infra-m.ru/2133/2133639/cover/2133639.jpg", "Обложка")</f>
        <v>Обложка</v>
      </c>
      <c r="V9143" s="8" t="s">
        <v>1132</v>
      </c>
      <c r="W9143" s="6"/>
      <c r="X9143" s="6"/>
      <c r="Y9143" s="6"/>
      <c r="Z9143" s="6"/>
      <c r="AA9143" s="6" t="s">
        <v>76</v>
      </c>
      <c r="AB9143" s="8"/>
      <c r="AC9143" s="27">
        <v>9785160196701</v>
      </c>
    </row>
    <row r="9144" spans="1:29" s="4" customFormat="1" ht="51.9" customHeight="1" x14ac:dyDescent="0.2">
      <c r="A9144" s="5">
        <v>0</v>
      </c>
      <c r="B9144" s="6" t="s">
        <v>51264</v>
      </c>
      <c r="C9144" s="13">
        <v>780</v>
      </c>
      <c r="D9144" s="8" t="s">
        <v>51265</v>
      </c>
      <c r="E9144" s="8" t="s">
        <v>51238</v>
      </c>
      <c r="F9144" s="8" t="s">
        <v>51266</v>
      </c>
      <c r="G9144" s="6" t="s">
        <v>118</v>
      </c>
      <c r="H9144" s="6" t="s">
        <v>34</v>
      </c>
      <c r="I9144" s="8" t="s">
        <v>271</v>
      </c>
      <c r="J9144" s="9">
        <v>1</v>
      </c>
      <c r="K9144" s="9">
        <v>204</v>
      </c>
      <c r="L9144" s="9">
        <v>2019</v>
      </c>
      <c r="M9144" s="8" t="s">
        <v>51267</v>
      </c>
      <c r="N9144" s="8" t="s">
        <v>585</v>
      </c>
      <c r="O9144" s="8" t="s">
        <v>775</v>
      </c>
      <c r="P9144" s="6" t="s">
        <v>51</v>
      </c>
      <c r="Q9144" s="8" t="s">
        <v>52</v>
      </c>
      <c r="R9144" s="10" t="s">
        <v>34920</v>
      </c>
      <c r="S9144" s="11" t="s">
        <v>34921</v>
      </c>
      <c r="T9144" s="6"/>
      <c r="U9144" s="15" t="str">
        <f>HYPERLINK("https://media.infra-m.ru/1009/1009726/cover/1009726.jpg", "Обложка")</f>
        <v>Обложка</v>
      </c>
      <c r="V9144" s="8" t="s">
        <v>2475</v>
      </c>
      <c r="W9144" s="6"/>
      <c r="X9144" s="6"/>
      <c r="Y9144" s="6"/>
      <c r="Z9144" s="6"/>
      <c r="AA9144" s="6" t="s">
        <v>274</v>
      </c>
      <c r="AB9144" s="8"/>
      <c r="AC9144" s="27">
        <v>9785160103778</v>
      </c>
    </row>
    <row r="9145" spans="1:29" s="4" customFormat="1" ht="51.9" customHeight="1" x14ac:dyDescent="0.2">
      <c r="A9145" s="5">
        <v>0</v>
      </c>
      <c r="B9145" s="6" t="s">
        <v>51268</v>
      </c>
      <c r="C9145" s="7">
        <v>1992</v>
      </c>
      <c r="D9145" s="8" t="s">
        <v>51269</v>
      </c>
      <c r="E9145" s="8" t="s">
        <v>51238</v>
      </c>
      <c r="F9145" s="8" t="s">
        <v>51270</v>
      </c>
      <c r="G9145" s="6" t="s">
        <v>118</v>
      </c>
      <c r="H9145" s="6" t="s">
        <v>34</v>
      </c>
      <c r="I9145" s="8" t="s">
        <v>504</v>
      </c>
      <c r="J9145" s="9">
        <v>1</v>
      </c>
      <c r="K9145" s="9">
        <v>360</v>
      </c>
      <c r="L9145" s="9">
        <v>2024</v>
      </c>
      <c r="M9145" s="8" t="s">
        <v>51271</v>
      </c>
      <c r="N9145" s="8" t="s">
        <v>585</v>
      </c>
      <c r="O9145" s="8" t="s">
        <v>775</v>
      </c>
      <c r="P9145" s="6" t="s">
        <v>51</v>
      </c>
      <c r="Q9145" s="8" t="s">
        <v>52</v>
      </c>
      <c r="R9145" s="10" t="s">
        <v>51272</v>
      </c>
      <c r="S9145" s="11" t="s">
        <v>51273</v>
      </c>
      <c r="T9145" s="6"/>
      <c r="U9145" s="15" t="str">
        <f>HYPERLINK("https://media.infra-m.ru/2126/2126828/cover/2126828.jpg", "Обложка")</f>
        <v>Обложка</v>
      </c>
      <c r="V9145" s="8" t="s">
        <v>9584</v>
      </c>
      <c r="W9145" s="6"/>
      <c r="X9145" s="6"/>
      <c r="Y9145" s="6"/>
      <c r="Z9145" s="6"/>
      <c r="AA9145" s="6" t="s">
        <v>55</v>
      </c>
      <c r="AB9145" s="8"/>
      <c r="AC9145" s="27">
        <v>9785160062488</v>
      </c>
    </row>
    <row r="9146" spans="1:29" s="4" customFormat="1" ht="42" customHeight="1" x14ac:dyDescent="0.2">
      <c r="A9146" s="5">
        <v>0</v>
      </c>
      <c r="B9146" s="6" t="s">
        <v>51274</v>
      </c>
      <c r="C9146" s="7">
        <v>1924.8</v>
      </c>
      <c r="D9146" s="8" t="s">
        <v>51275</v>
      </c>
      <c r="E9146" s="8" t="s">
        <v>51276</v>
      </c>
      <c r="F9146" s="8" t="s">
        <v>51277</v>
      </c>
      <c r="G9146" s="6" t="s">
        <v>118</v>
      </c>
      <c r="H9146" s="6" t="s">
        <v>34</v>
      </c>
      <c r="I9146" s="8" t="s">
        <v>35</v>
      </c>
      <c r="J9146" s="9">
        <v>1</v>
      </c>
      <c r="K9146" s="9">
        <v>308</v>
      </c>
      <c r="L9146" s="9">
        <v>2026</v>
      </c>
      <c r="M9146" s="8" t="s">
        <v>51278</v>
      </c>
      <c r="N9146" s="8" t="s">
        <v>243</v>
      </c>
      <c r="O9146" s="8" t="s">
        <v>758</v>
      </c>
      <c r="P9146" s="6" t="s">
        <v>39</v>
      </c>
      <c r="Q9146" s="8" t="s">
        <v>40</v>
      </c>
      <c r="R9146" s="10" t="s">
        <v>18053</v>
      </c>
      <c r="S9146" s="11"/>
      <c r="T9146" s="6"/>
      <c r="U9146" s="15" t="str">
        <f>HYPERLINK("https://media.infra-m.ru/2223/2223154/cover/2223154.jpg", "Обложка")</f>
        <v>Обложка</v>
      </c>
      <c r="V9146" s="8" t="s">
        <v>3109</v>
      </c>
      <c r="W9146" s="6"/>
      <c r="X9146" s="6"/>
      <c r="Y9146" s="6"/>
      <c r="Z9146" s="6"/>
      <c r="AA9146" s="6" t="s">
        <v>99</v>
      </c>
      <c r="AB9146" s="8"/>
      <c r="AC9146" s="27">
        <v>9785160126074</v>
      </c>
    </row>
    <row r="9147" spans="1:29" s="4" customFormat="1" ht="42" customHeight="1" x14ac:dyDescent="0.2">
      <c r="A9147" s="5">
        <v>0</v>
      </c>
      <c r="B9147" s="6" t="s">
        <v>51279</v>
      </c>
      <c r="C9147" s="7">
        <v>1080</v>
      </c>
      <c r="D9147" s="8" t="s">
        <v>51280</v>
      </c>
      <c r="E9147" s="8" t="s">
        <v>51281</v>
      </c>
      <c r="F9147" s="8" t="s">
        <v>51282</v>
      </c>
      <c r="G9147" s="6" t="s">
        <v>118</v>
      </c>
      <c r="H9147" s="6" t="s">
        <v>34</v>
      </c>
      <c r="I9147" s="8" t="s">
        <v>1074</v>
      </c>
      <c r="J9147" s="9">
        <v>1</v>
      </c>
      <c r="K9147" s="9">
        <v>192</v>
      </c>
      <c r="L9147" s="9">
        <v>2023</v>
      </c>
      <c r="M9147" s="8" t="s">
        <v>51283</v>
      </c>
      <c r="N9147" s="8" t="s">
        <v>37</v>
      </c>
      <c r="O9147" s="8" t="s">
        <v>136</v>
      </c>
      <c r="P9147" s="6" t="s">
        <v>39</v>
      </c>
      <c r="Q9147" s="8" t="s">
        <v>40</v>
      </c>
      <c r="R9147" s="10" t="s">
        <v>51284</v>
      </c>
      <c r="S9147" s="11"/>
      <c r="T9147" s="6"/>
      <c r="U9147" s="15" t="str">
        <f>HYPERLINK("https://media.infra-m.ru/1905/1905502/cover/1905502.jpg", "Обложка")</f>
        <v>Обложка</v>
      </c>
      <c r="V9147" s="8" t="s">
        <v>138</v>
      </c>
      <c r="W9147" s="6"/>
      <c r="X9147" s="6"/>
      <c r="Y9147" s="6"/>
      <c r="Z9147" s="6"/>
      <c r="AA9147" s="6" t="s">
        <v>148</v>
      </c>
      <c r="AB9147" s="8"/>
      <c r="AC9147" s="27">
        <v>9785160176802</v>
      </c>
    </row>
    <row r="9148" spans="1:29" s="4" customFormat="1" ht="51.9" customHeight="1" x14ac:dyDescent="0.2">
      <c r="A9148" s="5">
        <v>0</v>
      </c>
      <c r="B9148" s="6" t="s">
        <v>51285</v>
      </c>
      <c r="C9148" s="7">
        <v>4790.3999999999996</v>
      </c>
      <c r="D9148" s="8" t="s">
        <v>51286</v>
      </c>
      <c r="E9148" s="8" t="s">
        <v>51287</v>
      </c>
      <c r="F9148" s="8" t="s">
        <v>51288</v>
      </c>
      <c r="G9148" s="6" t="s">
        <v>60</v>
      </c>
      <c r="H9148" s="6" t="s">
        <v>34</v>
      </c>
      <c r="I9148" s="8"/>
      <c r="J9148" s="9">
        <v>1</v>
      </c>
      <c r="K9148" s="9">
        <v>944</v>
      </c>
      <c r="L9148" s="9">
        <v>2026</v>
      </c>
      <c r="M9148" s="8" t="s">
        <v>51289</v>
      </c>
      <c r="N9148" s="8" t="s">
        <v>585</v>
      </c>
      <c r="O9148" s="8" t="s">
        <v>667</v>
      </c>
      <c r="P9148" s="6" t="s">
        <v>306</v>
      </c>
      <c r="Q9148" s="8" t="s">
        <v>52</v>
      </c>
      <c r="R9148" s="10" t="s">
        <v>51290</v>
      </c>
      <c r="S9148" s="11"/>
      <c r="T9148" s="6"/>
      <c r="U9148" s="15" t="str">
        <f>HYPERLINK("https://media.infra-m.ru/2172/2172575/cover/2172575.jpg", "Обложка")</f>
        <v>Обложка</v>
      </c>
      <c r="V9148" s="8" t="s">
        <v>12056</v>
      </c>
      <c r="W9148" s="6"/>
      <c r="X9148" s="6"/>
      <c r="Y9148" s="6"/>
      <c r="Z9148" s="6"/>
      <c r="AA9148" s="6" t="s">
        <v>248</v>
      </c>
      <c r="AB9148" s="8"/>
      <c r="AC9148" s="27">
        <v>9785160216577</v>
      </c>
    </row>
    <row r="9149" spans="1:29" s="4" customFormat="1" ht="51.9" customHeight="1" x14ac:dyDescent="0.2">
      <c r="A9149" s="5">
        <v>0</v>
      </c>
      <c r="B9149" s="6" t="s">
        <v>51291</v>
      </c>
      <c r="C9149" s="7">
        <v>1668</v>
      </c>
      <c r="D9149" s="8" t="s">
        <v>51292</v>
      </c>
      <c r="E9149" s="8" t="s">
        <v>51293</v>
      </c>
      <c r="F9149" s="8" t="s">
        <v>51294</v>
      </c>
      <c r="G9149" s="6" t="s">
        <v>118</v>
      </c>
      <c r="H9149" s="6" t="s">
        <v>241</v>
      </c>
      <c r="I9149" s="8" t="s">
        <v>271</v>
      </c>
      <c r="J9149" s="9">
        <v>1</v>
      </c>
      <c r="K9149" s="9">
        <v>257</v>
      </c>
      <c r="L9149" s="9">
        <v>2019</v>
      </c>
      <c r="M9149" s="8" t="s">
        <v>51295</v>
      </c>
      <c r="N9149" s="8" t="s">
        <v>585</v>
      </c>
      <c r="O9149" s="8" t="s">
        <v>667</v>
      </c>
      <c r="P9149" s="6" t="s">
        <v>306</v>
      </c>
      <c r="Q9149" s="8" t="s">
        <v>52</v>
      </c>
      <c r="R9149" s="10" t="s">
        <v>51296</v>
      </c>
      <c r="S9149" s="11"/>
      <c r="T9149" s="6"/>
      <c r="U9149" s="15" t="str">
        <f>HYPERLINK("https://media.infra-m.ru/1029/1029152/cover/1029152.jpg", "Обложка")</f>
        <v>Обложка</v>
      </c>
      <c r="V9149" s="8" t="s">
        <v>247</v>
      </c>
      <c r="W9149" s="6"/>
      <c r="X9149" s="6"/>
      <c r="Y9149" s="6"/>
      <c r="Z9149" s="6"/>
      <c r="AA9149" s="6" t="s">
        <v>86</v>
      </c>
      <c r="AB9149" s="8"/>
      <c r="AC9149" s="27">
        <v>9785955805764</v>
      </c>
    </row>
    <row r="9150" spans="1:29" s="4" customFormat="1" ht="51.9" customHeight="1" x14ac:dyDescent="0.2">
      <c r="A9150" s="5">
        <v>0</v>
      </c>
      <c r="B9150" s="6" t="s">
        <v>51297</v>
      </c>
      <c r="C9150" s="7">
        <v>2088</v>
      </c>
      <c r="D9150" s="8" t="s">
        <v>51298</v>
      </c>
      <c r="E9150" s="8" t="s">
        <v>51299</v>
      </c>
      <c r="F9150" s="8" t="s">
        <v>51300</v>
      </c>
      <c r="G9150" s="6" t="s">
        <v>118</v>
      </c>
      <c r="H9150" s="6" t="s">
        <v>34</v>
      </c>
      <c r="I9150" s="8" t="s">
        <v>304</v>
      </c>
      <c r="J9150" s="9">
        <v>1</v>
      </c>
      <c r="K9150" s="9">
        <v>300</v>
      </c>
      <c r="L9150" s="9">
        <v>2027</v>
      </c>
      <c r="M9150" s="8" t="s">
        <v>51301</v>
      </c>
      <c r="N9150" s="8" t="s">
        <v>585</v>
      </c>
      <c r="O9150" s="8" t="s">
        <v>667</v>
      </c>
      <c r="P9150" s="6" t="s">
        <v>306</v>
      </c>
      <c r="Q9150" s="8" t="s">
        <v>500</v>
      </c>
      <c r="R9150" s="10" t="s">
        <v>51302</v>
      </c>
      <c r="S9150" s="11" t="s">
        <v>51303</v>
      </c>
      <c r="T9150" s="6"/>
      <c r="U9150" s="15" t="str">
        <f>HYPERLINK("https://media.infra-m.ru/2266/2266141/cover/2266141.jpg", "Обложка")</f>
        <v>Обложка</v>
      </c>
      <c r="V9150" s="8" t="s">
        <v>247</v>
      </c>
      <c r="W9150" s="6"/>
      <c r="X9150" s="6"/>
      <c r="Y9150" s="6"/>
      <c r="Z9150" s="6"/>
      <c r="AA9150" s="6" t="s">
        <v>1256</v>
      </c>
      <c r="AB9150" s="8"/>
      <c r="AC9150" s="27">
        <v>9785160206837</v>
      </c>
    </row>
    <row r="9151" spans="1:29" s="4" customFormat="1" ht="51.9" customHeight="1" x14ac:dyDescent="0.2">
      <c r="A9151" s="5">
        <v>0</v>
      </c>
      <c r="B9151" s="6" t="s">
        <v>51304</v>
      </c>
      <c r="C9151" s="7">
        <v>2548.8000000000002</v>
      </c>
      <c r="D9151" s="8" t="s">
        <v>51305</v>
      </c>
      <c r="E9151" s="8" t="s">
        <v>51306</v>
      </c>
      <c r="F9151" s="8" t="s">
        <v>51294</v>
      </c>
      <c r="G9151" s="6" t="s">
        <v>118</v>
      </c>
      <c r="H9151" s="6" t="s">
        <v>34</v>
      </c>
      <c r="I9151" s="8" t="s">
        <v>253</v>
      </c>
      <c r="J9151" s="9">
        <v>1</v>
      </c>
      <c r="K9151" s="9">
        <v>387</v>
      </c>
      <c r="L9151" s="9">
        <v>2026</v>
      </c>
      <c r="M9151" s="8" t="s">
        <v>51307</v>
      </c>
      <c r="N9151" s="8" t="s">
        <v>585</v>
      </c>
      <c r="O9151" s="8" t="s">
        <v>667</v>
      </c>
      <c r="P9151" s="6" t="s">
        <v>306</v>
      </c>
      <c r="Q9151" s="8" t="s">
        <v>65</v>
      </c>
      <c r="R9151" s="10" t="s">
        <v>51296</v>
      </c>
      <c r="S9151" s="11" t="s">
        <v>51308</v>
      </c>
      <c r="T9151" s="6"/>
      <c r="U9151" s="15" t="str">
        <f>HYPERLINK("https://media.infra-m.ru/2233/2233601/cover/2233601.jpg", "Обложка")</f>
        <v>Обложка</v>
      </c>
      <c r="V9151" s="8" t="s">
        <v>247</v>
      </c>
      <c r="W9151" s="6"/>
      <c r="X9151" s="6"/>
      <c r="Y9151" s="6"/>
      <c r="Z9151" s="6"/>
      <c r="AA9151" s="6" t="s">
        <v>258</v>
      </c>
      <c r="AB9151" s="8"/>
      <c r="AC9151" s="27">
        <v>9785160187228</v>
      </c>
    </row>
    <row r="9152" spans="1:29" s="4" customFormat="1" ht="42" customHeight="1" x14ac:dyDescent="0.2">
      <c r="A9152" s="5">
        <v>0</v>
      </c>
      <c r="B9152" s="6" t="s">
        <v>51309</v>
      </c>
      <c r="C9152" s="7">
        <v>2164.8000000000002</v>
      </c>
      <c r="D9152" s="8" t="s">
        <v>51310</v>
      </c>
      <c r="E9152" s="8" t="s">
        <v>51311</v>
      </c>
      <c r="F9152" s="8" t="s">
        <v>51312</v>
      </c>
      <c r="G9152" s="6" t="s">
        <v>60</v>
      </c>
      <c r="H9152" s="6" t="s">
        <v>34</v>
      </c>
      <c r="I9152" s="8" t="s">
        <v>271</v>
      </c>
      <c r="J9152" s="9">
        <v>1</v>
      </c>
      <c r="K9152" s="9">
        <v>329</v>
      </c>
      <c r="L9152" s="9">
        <v>2026</v>
      </c>
      <c r="M9152" s="8" t="s">
        <v>51313</v>
      </c>
      <c r="N9152" s="8" t="s">
        <v>585</v>
      </c>
      <c r="O9152" s="8" t="s">
        <v>667</v>
      </c>
      <c r="P9152" s="6" t="s">
        <v>51</v>
      </c>
      <c r="Q9152" s="8" t="s">
        <v>52</v>
      </c>
      <c r="R9152" s="10" t="s">
        <v>1646</v>
      </c>
      <c r="S9152" s="11"/>
      <c r="T9152" s="6"/>
      <c r="U9152" s="15" t="str">
        <f>HYPERLINK("https://media.infra-m.ru/2233/2233609/cover/2233609.jpg", "Обложка")</f>
        <v>Обложка</v>
      </c>
      <c r="V9152" s="8" t="s">
        <v>6147</v>
      </c>
      <c r="W9152" s="6"/>
      <c r="X9152" s="6"/>
      <c r="Y9152" s="6"/>
      <c r="Z9152" s="6"/>
      <c r="AA9152" s="6" t="s">
        <v>248</v>
      </c>
      <c r="AB9152" s="8"/>
      <c r="AC9152" s="27">
        <v>9785160094298</v>
      </c>
    </row>
    <row r="9153" spans="1:29" s="4" customFormat="1" ht="51.9" customHeight="1" x14ac:dyDescent="0.2">
      <c r="A9153" s="5">
        <v>0</v>
      </c>
      <c r="B9153" s="6" t="s">
        <v>51314</v>
      </c>
      <c r="C9153" s="7">
        <v>1504.8</v>
      </c>
      <c r="D9153" s="8" t="s">
        <v>51315</v>
      </c>
      <c r="E9153" s="8" t="s">
        <v>51316</v>
      </c>
      <c r="F9153" s="8" t="s">
        <v>17986</v>
      </c>
      <c r="G9153" s="6" t="s">
        <v>33</v>
      </c>
      <c r="H9153" s="6" t="s">
        <v>34</v>
      </c>
      <c r="I9153" s="8" t="s">
        <v>271</v>
      </c>
      <c r="J9153" s="9">
        <v>1</v>
      </c>
      <c r="K9153" s="9">
        <v>216</v>
      </c>
      <c r="L9153" s="9">
        <v>2027</v>
      </c>
      <c r="M9153" s="8" t="s">
        <v>51317</v>
      </c>
      <c r="N9153" s="8" t="s">
        <v>585</v>
      </c>
      <c r="O9153" s="8" t="s">
        <v>667</v>
      </c>
      <c r="P9153" s="6" t="s">
        <v>51</v>
      </c>
      <c r="Q9153" s="8" t="s">
        <v>52</v>
      </c>
      <c r="R9153" s="10" t="s">
        <v>51318</v>
      </c>
      <c r="S9153" s="11" t="s">
        <v>51319</v>
      </c>
      <c r="T9153" s="6" t="s">
        <v>97</v>
      </c>
      <c r="U9153" s="15" t="str">
        <f>HYPERLINK("https://media.infra-m.ru/2270/2270318/cover/2270318.jpg", "Обложка")</f>
        <v>Обложка</v>
      </c>
      <c r="V9153" s="8" t="s">
        <v>6025</v>
      </c>
      <c r="W9153" s="6"/>
      <c r="X9153" s="6"/>
      <c r="Y9153" s="6"/>
      <c r="Z9153" s="6"/>
      <c r="AA9153" s="6" t="s">
        <v>43</v>
      </c>
      <c r="AB9153" s="8"/>
      <c r="AC9153" s="27">
        <v>9785160108513</v>
      </c>
    </row>
    <row r="9154" spans="1:29" s="4" customFormat="1" ht="51.9" customHeight="1" x14ac:dyDescent="0.2">
      <c r="A9154" s="5">
        <v>0</v>
      </c>
      <c r="B9154" s="6" t="s">
        <v>51320</v>
      </c>
      <c r="C9154" s="13">
        <v>857.9</v>
      </c>
      <c r="D9154" s="8" t="s">
        <v>51321</v>
      </c>
      <c r="E9154" s="8" t="s">
        <v>51322</v>
      </c>
      <c r="F9154" s="8" t="s">
        <v>51323</v>
      </c>
      <c r="G9154" s="6" t="s">
        <v>33</v>
      </c>
      <c r="H9154" s="6" t="s">
        <v>313</v>
      </c>
      <c r="I9154" s="8" t="s">
        <v>253</v>
      </c>
      <c r="J9154" s="9">
        <v>1</v>
      </c>
      <c r="K9154" s="9">
        <v>207</v>
      </c>
      <c r="L9154" s="9">
        <v>2020</v>
      </c>
      <c r="M9154" s="8" t="s">
        <v>51324</v>
      </c>
      <c r="N9154" s="8" t="s">
        <v>585</v>
      </c>
      <c r="O9154" s="8" t="s">
        <v>667</v>
      </c>
      <c r="P9154" s="6" t="s">
        <v>51</v>
      </c>
      <c r="Q9154" s="8" t="s">
        <v>52</v>
      </c>
      <c r="R9154" s="10" t="s">
        <v>2364</v>
      </c>
      <c r="S9154" s="11"/>
      <c r="T9154" s="6"/>
      <c r="U9154" s="15" t="str">
        <f>HYPERLINK("https://media.infra-m.ru/1045/1045803/cover/1045803.jpg", "Обложка")</f>
        <v>Обложка</v>
      </c>
      <c r="V9154" s="8" t="s">
        <v>15265</v>
      </c>
      <c r="W9154" s="6"/>
      <c r="X9154" s="6"/>
      <c r="Y9154" s="6"/>
      <c r="Z9154" s="6"/>
      <c r="AA9154" s="6" t="s">
        <v>86</v>
      </c>
      <c r="AB9154" s="8"/>
      <c r="AC9154" s="27">
        <v>9785369016985</v>
      </c>
    </row>
    <row r="9155" spans="1:29" s="4" customFormat="1" ht="51.9" customHeight="1" x14ac:dyDescent="0.2">
      <c r="A9155" s="5">
        <v>0</v>
      </c>
      <c r="B9155" s="6" t="s">
        <v>51325</v>
      </c>
      <c r="C9155" s="7">
        <v>1732.8</v>
      </c>
      <c r="D9155" s="8" t="s">
        <v>51326</v>
      </c>
      <c r="E9155" s="8" t="s">
        <v>51327</v>
      </c>
      <c r="F9155" s="8" t="s">
        <v>51328</v>
      </c>
      <c r="G9155" s="6" t="s">
        <v>33</v>
      </c>
      <c r="H9155" s="6" t="s">
        <v>34</v>
      </c>
      <c r="I9155" s="8" t="s">
        <v>271</v>
      </c>
      <c r="J9155" s="9">
        <v>1</v>
      </c>
      <c r="K9155" s="9">
        <v>272</v>
      </c>
      <c r="L9155" s="9">
        <v>2026</v>
      </c>
      <c r="M9155" s="8" t="s">
        <v>51329</v>
      </c>
      <c r="N9155" s="8" t="s">
        <v>585</v>
      </c>
      <c r="O9155" s="8" t="s">
        <v>667</v>
      </c>
      <c r="P9155" s="6" t="s">
        <v>51</v>
      </c>
      <c r="Q9155" s="8" t="s">
        <v>52</v>
      </c>
      <c r="R9155" s="10" t="s">
        <v>1646</v>
      </c>
      <c r="S9155" s="11" t="s">
        <v>42765</v>
      </c>
      <c r="T9155" s="6"/>
      <c r="U9155" s="15" t="str">
        <f>HYPERLINK("https://media.infra-m.ru/2219/2219574/cover/2219574.jpg", "Обложка")</f>
        <v>Обложка</v>
      </c>
      <c r="V9155" s="8" t="s">
        <v>2001</v>
      </c>
      <c r="W9155" s="6"/>
      <c r="X9155" s="6"/>
      <c r="Y9155" s="6"/>
      <c r="Z9155" s="6"/>
      <c r="AA9155" s="6" t="s">
        <v>1037</v>
      </c>
      <c r="AB9155" s="8"/>
      <c r="AC9155" s="27">
        <v>9785160046341</v>
      </c>
    </row>
    <row r="9156" spans="1:29" s="4" customFormat="1" ht="51.9" customHeight="1" x14ac:dyDescent="0.2">
      <c r="A9156" s="5">
        <v>0</v>
      </c>
      <c r="B9156" s="6" t="s">
        <v>51330</v>
      </c>
      <c r="C9156" s="7">
        <v>1500</v>
      </c>
      <c r="D9156" s="8" t="s">
        <v>51331</v>
      </c>
      <c r="E9156" s="8" t="s">
        <v>51332</v>
      </c>
      <c r="F9156" s="8" t="s">
        <v>5924</v>
      </c>
      <c r="G9156" s="6" t="s">
        <v>60</v>
      </c>
      <c r="H9156" s="6" t="s">
        <v>34</v>
      </c>
      <c r="I9156" s="8" t="s">
        <v>3119</v>
      </c>
      <c r="J9156" s="9">
        <v>1</v>
      </c>
      <c r="K9156" s="9">
        <v>223</v>
      </c>
      <c r="L9156" s="9">
        <v>2025</v>
      </c>
      <c r="M9156" s="8" t="s">
        <v>51333</v>
      </c>
      <c r="N9156" s="8" t="s">
        <v>585</v>
      </c>
      <c r="O9156" s="8" t="s">
        <v>667</v>
      </c>
      <c r="P9156" s="6" t="s">
        <v>51</v>
      </c>
      <c r="Q9156" s="8" t="s">
        <v>65</v>
      </c>
      <c r="R9156" s="10" t="s">
        <v>2068</v>
      </c>
      <c r="S9156" s="11"/>
      <c r="T9156" s="6"/>
      <c r="U9156" s="15" t="str">
        <f>HYPERLINK("https://media.infra-m.ru/2145/2145221/cover/2145221.jpg", "Обложка")</f>
        <v>Обложка</v>
      </c>
      <c r="V9156" s="8" t="s">
        <v>396</v>
      </c>
      <c r="W9156" s="6"/>
      <c r="X9156" s="6"/>
      <c r="Y9156" s="6"/>
      <c r="Z9156" s="6"/>
      <c r="AA9156" s="6" t="s">
        <v>68</v>
      </c>
      <c r="AB9156" s="8"/>
      <c r="AC9156" s="27">
        <v>9785160199184</v>
      </c>
    </row>
    <row r="9157" spans="1:29" s="4" customFormat="1" ht="51.9" customHeight="1" x14ac:dyDescent="0.2">
      <c r="A9157" s="5">
        <v>0</v>
      </c>
      <c r="B9157" s="6" t="s">
        <v>51334</v>
      </c>
      <c r="C9157" s="13">
        <v>264</v>
      </c>
      <c r="D9157" s="8" t="s">
        <v>51335</v>
      </c>
      <c r="E9157" s="8" t="s">
        <v>51332</v>
      </c>
      <c r="F9157" s="8" t="s">
        <v>18494</v>
      </c>
      <c r="G9157" s="6" t="s">
        <v>33</v>
      </c>
      <c r="H9157" s="6" t="s">
        <v>313</v>
      </c>
      <c r="I9157" s="8" t="s">
        <v>4700</v>
      </c>
      <c r="J9157" s="9">
        <v>1</v>
      </c>
      <c r="K9157" s="9">
        <v>48</v>
      </c>
      <c r="L9157" s="9">
        <v>2023</v>
      </c>
      <c r="M9157" s="8" t="s">
        <v>51336</v>
      </c>
      <c r="N9157" s="8" t="s">
        <v>585</v>
      </c>
      <c r="O9157" s="8" t="s">
        <v>667</v>
      </c>
      <c r="P9157" s="6" t="s">
        <v>51</v>
      </c>
      <c r="Q9157" s="8" t="s">
        <v>52</v>
      </c>
      <c r="R9157" s="10" t="s">
        <v>25510</v>
      </c>
      <c r="S9157" s="11"/>
      <c r="T9157" s="6"/>
      <c r="U9157" s="15" t="str">
        <f>HYPERLINK("https://media.infra-m.ru/1918/1918517/cover/1918517.jpg", "Обложка")</f>
        <v>Обложка</v>
      </c>
      <c r="V9157" s="8" t="s">
        <v>5964</v>
      </c>
      <c r="W9157" s="6"/>
      <c r="X9157" s="6"/>
      <c r="Y9157" s="6"/>
      <c r="Z9157" s="6"/>
      <c r="AA9157" s="6" t="s">
        <v>4554</v>
      </c>
      <c r="AB9157" s="8"/>
      <c r="AC9157" s="27">
        <v>9785369015698</v>
      </c>
    </row>
    <row r="9158" spans="1:29" s="4" customFormat="1" ht="51.9" customHeight="1" x14ac:dyDescent="0.2">
      <c r="A9158" s="5">
        <v>0</v>
      </c>
      <c r="B9158" s="6" t="s">
        <v>51337</v>
      </c>
      <c r="C9158" s="7">
        <v>1193.9000000000001</v>
      </c>
      <c r="D9158" s="8" t="s">
        <v>51338</v>
      </c>
      <c r="E9158" s="8" t="s">
        <v>51339</v>
      </c>
      <c r="F9158" s="8" t="s">
        <v>13250</v>
      </c>
      <c r="G9158" s="6" t="s">
        <v>118</v>
      </c>
      <c r="H9158" s="6" t="s">
        <v>34</v>
      </c>
      <c r="I9158" s="8" t="s">
        <v>271</v>
      </c>
      <c r="J9158" s="9">
        <v>1</v>
      </c>
      <c r="K9158" s="9">
        <v>221</v>
      </c>
      <c r="L9158" s="9">
        <v>2023</v>
      </c>
      <c r="M9158" s="8" t="s">
        <v>51340</v>
      </c>
      <c r="N9158" s="8" t="s">
        <v>585</v>
      </c>
      <c r="O9158" s="8" t="s">
        <v>667</v>
      </c>
      <c r="P9158" s="6" t="s">
        <v>306</v>
      </c>
      <c r="Q9158" s="8" t="s">
        <v>52</v>
      </c>
      <c r="R9158" s="10" t="s">
        <v>51341</v>
      </c>
      <c r="S9158" s="11" t="s">
        <v>51342</v>
      </c>
      <c r="T9158" s="6"/>
      <c r="U9158" s="15" t="str">
        <f>HYPERLINK("https://media.infra-m.ru/2006/2006920/cover/2006920.jpg", "Обложка")</f>
        <v>Обложка</v>
      </c>
      <c r="V9158" s="8" t="s">
        <v>13253</v>
      </c>
      <c r="W9158" s="6"/>
      <c r="X9158" s="6"/>
      <c r="Y9158" s="6"/>
      <c r="Z9158" s="6"/>
      <c r="AA9158" s="6" t="s">
        <v>258</v>
      </c>
      <c r="AB9158" s="8"/>
      <c r="AC9158" s="27">
        <v>9785160164052</v>
      </c>
    </row>
    <row r="9159" spans="1:29" s="4" customFormat="1" ht="51.9" customHeight="1" x14ac:dyDescent="0.2">
      <c r="A9159" s="5">
        <v>0</v>
      </c>
      <c r="B9159" s="6" t="s">
        <v>51343</v>
      </c>
      <c r="C9159" s="13">
        <v>840</v>
      </c>
      <c r="D9159" s="8" t="s">
        <v>51344</v>
      </c>
      <c r="E9159" s="8" t="s">
        <v>51345</v>
      </c>
      <c r="F9159" s="8" t="s">
        <v>13250</v>
      </c>
      <c r="G9159" s="6" t="s">
        <v>60</v>
      </c>
      <c r="H9159" s="6" t="s">
        <v>34</v>
      </c>
      <c r="I9159" s="8" t="s">
        <v>271</v>
      </c>
      <c r="J9159" s="9">
        <v>1</v>
      </c>
      <c r="K9159" s="9">
        <v>216</v>
      </c>
      <c r="L9159" s="9">
        <v>2019</v>
      </c>
      <c r="M9159" s="8" t="s">
        <v>51346</v>
      </c>
      <c r="N9159" s="8" t="s">
        <v>585</v>
      </c>
      <c r="O9159" s="8" t="s">
        <v>667</v>
      </c>
      <c r="P9159" s="6" t="s">
        <v>306</v>
      </c>
      <c r="Q9159" s="8" t="s">
        <v>52</v>
      </c>
      <c r="R9159" s="10" t="s">
        <v>51341</v>
      </c>
      <c r="S9159" s="11" t="s">
        <v>51342</v>
      </c>
      <c r="T9159" s="6"/>
      <c r="U9159" s="15" t="str">
        <f>HYPERLINK("https://media.infra-m.ru/0945/0945612/cover/945612.jpg", "Обложка")</f>
        <v>Обложка</v>
      </c>
      <c r="V9159" s="8" t="s">
        <v>13253</v>
      </c>
      <c r="W9159" s="6"/>
      <c r="X9159" s="6"/>
      <c r="Y9159" s="6"/>
      <c r="Z9159" s="6"/>
      <c r="AA9159" s="6" t="s">
        <v>115</v>
      </c>
      <c r="AB9159" s="8"/>
      <c r="AC9159" s="27">
        <v>9785160136165</v>
      </c>
    </row>
    <row r="9160" spans="1:29" s="4" customFormat="1" ht="51.9" customHeight="1" x14ac:dyDescent="0.2">
      <c r="A9160" s="5">
        <v>0</v>
      </c>
      <c r="B9160" s="6" t="s">
        <v>51347</v>
      </c>
      <c r="C9160" s="7">
        <v>1500</v>
      </c>
      <c r="D9160" s="8" t="s">
        <v>51348</v>
      </c>
      <c r="E9160" s="8" t="s">
        <v>51349</v>
      </c>
      <c r="F9160" s="8" t="s">
        <v>51350</v>
      </c>
      <c r="G9160" s="6" t="s">
        <v>60</v>
      </c>
      <c r="H9160" s="6" t="s">
        <v>34</v>
      </c>
      <c r="I9160" s="8" t="s">
        <v>271</v>
      </c>
      <c r="J9160" s="9">
        <v>1</v>
      </c>
      <c r="K9160" s="9">
        <v>236</v>
      </c>
      <c r="L9160" s="9">
        <v>2023</v>
      </c>
      <c r="M9160" s="8" t="s">
        <v>51351</v>
      </c>
      <c r="N9160" s="8" t="s">
        <v>585</v>
      </c>
      <c r="O9160" s="8" t="s">
        <v>667</v>
      </c>
      <c r="P9160" s="6" t="s">
        <v>51</v>
      </c>
      <c r="Q9160" s="8" t="s">
        <v>52</v>
      </c>
      <c r="R9160" s="10" t="s">
        <v>51352</v>
      </c>
      <c r="S9160" s="11"/>
      <c r="T9160" s="6" t="s">
        <v>97</v>
      </c>
      <c r="U9160" s="15" t="str">
        <f>HYPERLINK("https://media.infra-m.ru/1732/1732940/cover/1732940.jpg", "Обложка")</f>
        <v>Обложка</v>
      </c>
      <c r="V9160" s="8" t="s">
        <v>2001</v>
      </c>
      <c r="W9160" s="6"/>
      <c r="X9160" s="6"/>
      <c r="Y9160" s="6"/>
      <c r="Z9160" s="6"/>
      <c r="AA9160" s="6" t="s">
        <v>157</v>
      </c>
      <c r="AB9160" s="8"/>
      <c r="AC9160" s="27">
        <v>9785160170978</v>
      </c>
    </row>
    <row r="9161" spans="1:29" s="4" customFormat="1" ht="51.9" customHeight="1" x14ac:dyDescent="0.2">
      <c r="A9161" s="5">
        <v>0</v>
      </c>
      <c r="B9161" s="6" t="s">
        <v>51353</v>
      </c>
      <c r="C9161" s="7">
        <v>1536</v>
      </c>
      <c r="D9161" s="8" t="s">
        <v>51354</v>
      </c>
      <c r="E9161" s="8" t="s">
        <v>51355</v>
      </c>
      <c r="F9161" s="8" t="s">
        <v>1998</v>
      </c>
      <c r="G9161" s="6" t="s">
        <v>118</v>
      </c>
      <c r="H9161" s="6" t="s">
        <v>313</v>
      </c>
      <c r="I9161" s="8"/>
      <c r="J9161" s="9">
        <v>1</v>
      </c>
      <c r="K9161" s="9">
        <v>239</v>
      </c>
      <c r="L9161" s="9">
        <v>2025</v>
      </c>
      <c r="M9161" s="8" t="s">
        <v>51356</v>
      </c>
      <c r="N9161" s="8" t="s">
        <v>37</v>
      </c>
      <c r="O9161" s="8" t="s">
        <v>233</v>
      </c>
      <c r="P9161" s="6" t="s">
        <v>306</v>
      </c>
      <c r="Q9161" s="8" t="s">
        <v>265</v>
      </c>
      <c r="R9161" s="10" t="s">
        <v>51357</v>
      </c>
      <c r="S9161" s="11"/>
      <c r="T9161" s="6"/>
      <c r="U9161" s="15" t="str">
        <f>HYPERLINK("https://media.infra-m.ru/2208/2208471/cover/2208471.jpg", "Обложка")</f>
        <v>Обложка</v>
      </c>
      <c r="V9161" s="8" t="s">
        <v>2001</v>
      </c>
      <c r="W9161" s="6"/>
      <c r="X9161" s="6" t="s">
        <v>24</v>
      </c>
      <c r="Y9161" s="6"/>
      <c r="Z9161" s="6"/>
      <c r="AA9161" s="6" t="s">
        <v>86</v>
      </c>
      <c r="AB9161" s="8"/>
      <c r="AC9161" s="27">
        <v>9785369017296</v>
      </c>
    </row>
    <row r="9162" spans="1:29" s="4" customFormat="1" ht="51.9" customHeight="1" x14ac:dyDescent="0.2">
      <c r="A9162" s="5">
        <v>0</v>
      </c>
      <c r="B9162" s="6" t="s">
        <v>51358</v>
      </c>
      <c r="C9162" s="7">
        <v>2668.8</v>
      </c>
      <c r="D9162" s="8" t="s">
        <v>51359</v>
      </c>
      <c r="E9162" s="8" t="s">
        <v>51360</v>
      </c>
      <c r="F9162" s="8" t="s">
        <v>51361</v>
      </c>
      <c r="G9162" s="6" t="s">
        <v>60</v>
      </c>
      <c r="H9162" s="6" t="s">
        <v>34</v>
      </c>
      <c r="I9162" s="8" t="s">
        <v>253</v>
      </c>
      <c r="J9162" s="9">
        <v>1</v>
      </c>
      <c r="K9162" s="9">
        <v>404</v>
      </c>
      <c r="L9162" s="9">
        <v>2026</v>
      </c>
      <c r="M9162" s="8" t="s">
        <v>51362</v>
      </c>
      <c r="N9162" s="8" t="s">
        <v>37</v>
      </c>
      <c r="O9162" s="8" t="s">
        <v>233</v>
      </c>
      <c r="P9162" s="6" t="s">
        <v>306</v>
      </c>
      <c r="Q9162" s="8" t="s">
        <v>52</v>
      </c>
      <c r="R9162" s="10" t="s">
        <v>51363</v>
      </c>
      <c r="S9162" s="11" t="s">
        <v>34635</v>
      </c>
      <c r="T9162" s="6"/>
      <c r="U9162" s="15" t="str">
        <f>HYPERLINK("https://media.infra-m.ru/2243/2243095/cover/2243095.jpg", "Обложка")</f>
        <v>Обложка</v>
      </c>
      <c r="V9162" s="8" t="s">
        <v>24133</v>
      </c>
      <c r="W9162" s="6"/>
      <c r="X9162" s="6"/>
      <c r="Y9162" s="6"/>
      <c r="Z9162" s="6"/>
      <c r="AA9162" s="6" t="s">
        <v>623</v>
      </c>
      <c r="AB9162" s="8"/>
      <c r="AC9162" s="27">
        <v>9785160187679</v>
      </c>
    </row>
    <row r="9163" spans="1:29" s="4" customFormat="1" ht="51.9" customHeight="1" x14ac:dyDescent="0.2">
      <c r="A9163" s="5">
        <v>0</v>
      </c>
      <c r="B9163" s="6" t="s">
        <v>51364</v>
      </c>
      <c r="C9163" s="7">
        <v>1013.9</v>
      </c>
      <c r="D9163" s="8" t="s">
        <v>51365</v>
      </c>
      <c r="E9163" s="8" t="s">
        <v>51366</v>
      </c>
      <c r="F9163" s="8" t="s">
        <v>51361</v>
      </c>
      <c r="G9163" s="6" t="s">
        <v>60</v>
      </c>
      <c r="H9163" s="6" t="s">
        <v>34</v>
      </c>
      <c r="I9163" s="8" t="s">
        <v>253</v>
      </c>
      <c r="J9163" s="9">
        <v>1</v>
      </c>
      <c r="K9163" s="9">
        <v>384</v>
      </c>
      <c r="L9163" s="9">
        <v>2016</v>
      </c>
      <c r="M9163" s="8" t="s">
        <v>51367</v>
      </c>
      <c r="N9163" s="8" t="s">
        <v>37</v>
      </c>
      <c r="O9163" s="8" t="s">
        <v>233</v>
      </c>
      <c r="P9163" s="6" t="s">
        <v>306</v>
      </c>
      <c r="Q9163" s="8" t="s">
        <v>52</v>
      </c>
      <c r="R9163" s="10" t="s">
        <v>51363</v>
      </c>
      <c r="S9163" s="11" t="s">
        <v>51368</v>
      </c>
      <c r="T9163" s="6"/>
      <c r="U9163" s="15" t="str">
        <f>HYPERLINK("https://media.infra-m.ru/0553/0553004/cover/553004.jpg", "Обложка")</f>
        <v>Обложка</v>
      </c>
      <c r="V9163" s="8" t="s">
        <v>24133</v>
      </c>
      <c r="W9163" s="6"/>
      <c r="X9163" s="6"/>
      <c r="Y9163" s="6"/>
      <c r="Z9163" s="6"/>
      <c r="AA9163" s="6" t="s">
        <v>949</v>
      </c>
      <c r="AB9163" s="8"/>
      <c r="AC9163" s="27">
        <v>9785160026992</v>
      </c>
    </row>
    <row r="9164" spans="1:29" s="4" customFormat="1" ht="51.9" customHeight="1" x14ac:dyDescent="0.2">
      <c r="A9164" s="5">
        <v>0</v>
      </c>
      <c r="B9164" s="6" t="s">
        <v>51369</v>
      </c>
      <c r="C9164" s="7">
        <v>1456.8</v>
      </c>
      <c r="D9164" s="8" t="s">
        <v>51370</v>
      </c>
      <c r="E9164" s="8" t="s">
        <v>51371</v>
      </c>
      <c r="F9164" s="8" t="s">
        <v>51372</v>
      </c>
      <c r="G9164" s="6" t="s">
        <v>60</v>
      </c>
      <c r="H9164" s="6" t="s">
        <v>34</v>
      </c>
      <c r="I9164" s="8" t="s">
        <v>271</v>
      </c>
      <c r="J9164" s="9">
        <v>1</v>
      </c>
      <c r="K9164" s="9">
        <v>232</v>
      </c>
      <c r="L9164" s="9">
        <v>2025</v>
      </c>
      <c r="M9164" s="8" t="s">
        <v>51373</v>
      </c>
      <c r="N9164" s="8" t="s">
        <v>37</v>
      </c>
      <c r="O9164" s="8" t="s">
        <v>233</v>
      </c>
      <c r="P9164" s="6" t="s">
        <v>51</v>
      </c>
      <c r="Q9164" s="8" t="s">
        <v>52</v>
      </c>
      <c r="R9164" s="10" t="s">
        <v>357</v>
      </c>
      <c r="S9164" s="11" t="s">
        <v>51374</v>
      </c>
      <c r="T9164" s="6"/>
      <c r="U9164" s="15" t="str">
        <f>HYPERLINK("https://media.infra-m.ru/2194/2194327/cover/2194327.jpg", "Обложка")</f>
        <v>Обложка</v>
      </c>
      <c r="V9164" s="8" t="s">
        <v>51375</v>
      </c>
      <c r="W9164" s="6"/>
      <c r="X9164" s="6"/>
      <c r="Y9164" s="6"/>
      <c r="Z9164" s="6"/>
      <c r="AA9164" s="6" t="s">
        <v>248</v>
      </c>
      <c r="AB9164" s="8"/>
      <c r="AC9164" s="27">
        <v>9785160090542</v>
      </c>
    </row>
    <row r="9165" spans="1:29" s="4" customFormat="1" ht="44.1" customHeight="1" x14ac:dyDescent="0.2">
      <c r="A9165" s="5">
        <v>0</v>
      </c>
      <c r="B9165" s="6" t="s">
        <v>51376</v>
      </c>
      <c r="C9165" s="7">
        <v>1348.8</v>
      </c>
      <c r="D9165" s="8" t="s">
        <v>51377</v>
      </c>
      <c r="E9165" s="8" t="s">
        <v>51378</v>
      </c>
      <c r="F9165" s="8" t="s">
        <v>51379</v>
      </c>
      <c r="G9165" s="6" t="s">
        <v>118</v>
      </c>
      <c r="H9165" s="6" t="s">
        <v>313</v>
      </c>
      <c r="I9165" s="8"/>
      <c r="J9165" s="9">
        <v>1</v>
      </c>
      <c r="K9165" s="9">
        <v>193</v>
      </c>
      <c r="L9165" s="9">
        <v>2026</v>
      </c>
      <c r="M9165" s="8" t="s">
        <v>51380</v>
      </c>
      <c r="N9165" s="8" t="s">
        <v>37</v>
      </c>
      <c r="O9165" s="8" t="s">
        <v>233</v>
      </c>
      <c r="P9165" s="6" t="s">
        <v>51</v>
      </c>
      <c r="Q9165" s="8" t="s">
        <v>377</v>
      </c>
      <c r="R9165" s="10" t="s">
        <v>51381</v>
      </c>
      <c r="S9165" s="11"/>
      <c r="T9165" s="6"/>
      <c r="U9165" s="15" t="str">
        <f>HYPERLINK("https://media.infra-m.ru/2230/2230652/cover/2230652.jpg", "Обложка")</f>
        <v>Обложка</v>
      </c>
      <c r="V9165" s="8" t="s">
        <v>28290</v>
      </c>
      <c r="W9165" s="6"/>
      <c r="X9165" s="6" t="s">
        <v>24</v>
      </c>
      <c r="Y9165" s="6"/>
      <c r="Z9165" s="6"/>
      <c r="AA9165" s="6" t="s">
        <v>86</v>
      </c>
      <c r="AB9165" s="8"/>
      <c r="AC9165" s="27">
        <v>9785369017418</v>
      </c>
    </row>
    <row r="9166" spans="1:29" s="4" customFormat="1" ht="51.9" customHeight="1" x14ac:dyDescent="0.2">
      <c r="A9166" s="5">
        <v>0</v>
      </c>
      <c r="B9166" s="6" t="s">
        <v>51382</v>
      </c>
      <c r="C9166" s="7">
        <v>2112</v>
      </c>
      <c r="D9166" s="8" t="s">
        <v>51383</v>
      </c>
      <c r="E9166" s="8" t="s">
        <v>51384</v>
      </c>
      <c r="F9166" s="8" t="s">
        <v>51385</v>
      </c>
      <c r="G9166" s="6" t="s">
        <v>118</v>
      </c>
      <c r="H9166" s="6" t="s">
        <v>34</v>
      </c>
      <c r="I9166" s="8" t="s">
        <v>253</v>
      </c>
      <c r="J9166" s="9">
        <v>1</v>
      </c>
      <c r="K9166" s="9">
        <v>320</v>
      </c>
      <c r="L9166" s="9">
        <v>2026</v>
      </c>
      <c r="M9166" s="8" t="s">
        <v>51386</v>
      </c>
      <c r="N9166" s="8" t="s">
        <v>37</v>
      </c>
      <c r="O9166" s="8" t="s">
        <v>233</v>
      </c>
      <c r="P9166" s="6" t="s">
        <v>51</v>
      </c>
      <c r="Q9166" s="8" t="s">
        <v>52</v>
      </c>
      <c r="R9166" s="10" t="s">
        <v>51387</v>
      </c>
      <c r="S9166" s="11" t="s">
        <v>51388</v>
      </c>
      <c r="T9166" s="6"/>
      <c r="U9166" s="15" t="str">
        <f>HYPERLINK("https://media.infra-m.ru/2233/2233187/cover/2233187.jpg", "Обложка")</f>
        <v>Обложка</v>
      </c>
      <c r="V9166" s="8" t="s">
        <v>657</v>
      </c>
      <c r="W9166" s="6"/>
      <c r="X9166" s="6"/>
      <c r="Y9166" s="6"/>
      <c r="Z9166" s="6"/>
      <c r="AA9166" s="6" t="s">
        <v>55</v>
      </c>
      <c r="AB9166" s="8"/>
      <c r="AC9166" s="27">
        <v>9785160216355</v>
      </c>
    </row>
    <row r="9167" spans="1:29" s="4" customFormat="1" ht="42" customHeight="1" x14ac:dyDescent="0.2">
      <c r="A9167" s="5">
        <v>0</v>
      </c>
      <c r="B9167" s="6" t="s">
        <v>51389</v>
      </c>
      <c r="C9167" s="7">
        <v>2224.8000000000002</v>
      </c>
      <c r="D9167" s="8" t="s">
        <v>51390</v>
      </c>
      <c r="E9167" s="8" t="s">
        <v>51384</v>
      </c>
      <c r="F9167" s="8" t="s">
        <v>51391</v>
      </c>
      <c r="G9167" s="6" t="s">
        <v>60</v>
      </c>
      <c r="H9167" s="6" t="s">
        <v>48</v>
      </c>
      <c r="I9167" s="8" t="s">
        <v>263</v>
      </c>
      <c r="J9167" s="9">
        <v>1</v>
      </c>
      <c r="K9167" s="9">
        <v>320</v>
      </c>
      <c r="L9167" s="9">
        <v>2027</v>
      </c>
      <c r="M9167" s="8" t="s">
        <v>51392</v>
      </c>
      <c r="N9167" s="8" t="s">
        <v>37</v>
      </c>
      <c r="O9167" s="8" t="s">
        <v>233</v>
      </c>
      <c r="P9167" s="6" t="s">
        <v>51</v>
      </c>
      <c r="Q9167" s="8" t="s">
        <v>265</v>
      </c>
      <c r="R9167" s="10" t="s">
        <v>4160</v>
      </c>
      <c r="S9167" s="11"/>
      <c r="T9167" s="6"/>
      <c r="U9167" s="15" t="str">
        <f>HYPERLINK("https://media.infra-m.ru/2270/2270100/cover/2270100.jpg", "Обложка")</f>
        <v>Обложка</v>
      </c>
      <c r="V9167" s="8" t="s">
        <v>657</v>
      </c>
      <c r="W9167" s="6"/>
      <c r="X9167" s="6"/>
      <c r="Y9167" s="6"/>
      <c r="Z9167" s="6" t="s">
        <v>267</v>
      </c>
      <c r="AA9167" s="6" t="s">
        <v>68</v>
      </c>
      <c r="AB9167" s="8"/>
      <c r="AC9167" s="27">
        <v>9785000918111</v>
      </c>
    </row>
    <row r="9168" spans="1:29" s="4" customFormat="1" ht="51.9" customHeight="1" x14ac:dyDescent="0.2">
      <c r="A9168" s="5">
        <v>0</v>
      </c>
      <c r="B9168" s="6" t="s">
        <v>51393</v>
      </c>
      <c r="C9168" s="7">
        <v>2702.4</v>
      </c>
      <c r="D9168" s="8" t="s">
        <v>51394</v>
      </c>
      <c r="E9168" s="8" t="s">
        <v>51395</v>
      </c>
      <c r="F9168" s="8" t="s">
        <v>51396</v>
      </c>
      <c r="G9168" s="6" t="s">
        <v>60</v>
      </c>
      <c r="H9168" s="6" t="s">
        <v>134</v>
      </c>
      <c r="I9168" s="8"/>
      <c r="J9168" s="9">
        <v>1</v>
      </c>
      <c r="K9168" s="9">
        <v>296</v>
      </c>
      <c r="L9168" s="9">
        <v>2026</v>
      </c>
      <c r="M9168" s="8" t="s">
        <v>51397</v>
      </c>
      <c r="N9168" s="8" t="s">
        <v>37</v>
      </c>
      <c r="O9168" s="8" t="s">
        <v>136</v>
      </c>
      <c r="P9168" s="6" t="s">
        <v>39</v>
      </c>
      <c r="Q9168" s="8" t="s">
        <v>40</v>
      </c>
      <c r="R9168" s="10" t="s">
        <v>1512</v>
      </c>
      <c r="S9168" s="11"/>
      <c r="T9168" s="6"/>
      <c r="U9168" s="15" t="str">
        <f>HYPERLINK("https://media.infra-m.ru/2271/2271217/cover/2271217.jpg", "Обложка")</f>
        <v>Обложка</v>
      </c>
      <c r="V9168" s="8" t="s">
        <v>3304</v>
      </c>
      <c r="W9168" s="6"/>
      <c r="X9168" s="6"/>
      <c r="Y9168" s="6"/>
      <c r="Z9168" s="6"/>
      <c r="AA9168" s="6" t="s">
        <v>187</v>
      </c>
      <c r="AB9168" s="8"/>
      <c r="AC9168" s="27">
        <v>9785001564942</v>
      </c>
    </row>
    <row r="9169" spans="1:29" s="4" customFormat="1" ht="51.9" customHeight="1" x14ac:dyDescent="0.2">
      <c r="A9169" s="5">
        <v>0</v>
      </c>
      <c r="B9169" s="6" t="s">
        <v>51398</v>
      </c>
      <c r="C9169" s="7">
        <v>1356</v>
      </c>
      <c r="D9169" s="8" t="s">
        <v>51399</v>
      </c>
      <c r="E9169" s="8" t="s">
        <v>51400</v>
      </c>
      <c r="F9169" s="8" t="s">
        <v>51401</v>
      </c>
      <c r="G9169" s="6" t="s">
        <v>60</v>
      </c>
      <c r="H9169" s="6" t="s">
        <v>34</v>
      </c>
      <c r="I9169" s="8" t="s">
        <v>253</v>
      </c>
      <c r="J9169" s="9">
        <v>1</v>
      </c>
      <c r="K9169" s="9">
        <v>189</v>
      </c>
      <c r="L9169" s="9">
        <v>2025</v>
      </c>
      <c r="M9169" s="8" t="s">
        <v>51402</v>
      </c>
      <c r="N9169" s="8" t="s">
        <v>243</v>
      </c>
      <c r="O9169" s="8" t="s">
        <v>385</v>
      </c>
      <c r="P9169" s="6" t="s">
        <v>51</v>
      </c>
      <c r="Q9169" s="8" t="s">
        <v>377</v>
      </c>
      <c r="R9169" s="10" t="s">
        <v>19750</v>
      </c>
      <c r="S9169" s="11" t="s">
        <v>51403</v>
      </c>
      <c r="T9169" s="6"/>
      <c r="U9169" s="15" t="str">
        <f>HYPERLINK("https://media.infra-m.ru/2167/2167462/cover/2167462.jpg", "Обложка")</f>
        <v>Обложка</v>
      </c>
      <c r="V9169" s="8" t="s">
        <v>3826</v>
      </c>
      <c r="W9169" s="6"/>
      <c r="X9169" s="6"/>
      <c r="Y9169" s="6"/>
      <c r="Z9169" s="6"/>
      <c r="AA9169" s="6" t="s">
        <v>68</v>
      </c>
      <c r="AB9169" s="8"/>
      <c r="AC9169" s="27">
        <v>9785160202662</v>
      </c>
    </row>
    <row r="9170" spans="1:29" s="4" customFormat="1" ht="44.1" customHeight="1" x14ac:dyDescent="0.2">
      <c r="A9170" s="5">
        <v>0</v>
      </c>
      <c r="B9170" s="6" t="s">
        <v>51404</v>
      </c>
      <c r="C9170" s="7">
        <v>2044.8</v>
      </c>
      <c r="D9170" s="8" t="s">
        <v>51405</v>
      </c>
      <c r="E9170" s="8" t="s">
        <v>51406</v>
      </c>
      <c r="F9170" s="8" t="s">
        <v>51407</v>
      </c>
      <c r="G9170" s="6" t="s">
        <v>118</v>
      </c>
      <c r="H9170" s="6" t="s">
        <v>134</v>
      </c>
      <c r="I9170" s="8"/>
      <c r="J9170" s="9">
        <v>1</v>
      </c>
      <c r="K9170" s="9">
        <v>328</v>
      </c>
      <c r="L9170" s="9">
        <v>2026</v>
      </c>
      <c r="M9170" s="8" t="s">
        <v>51408</v>
      </c>
      <c r="N9170" s="8" t="s">
        <v>37</v>
      </c>
      <c r="O9170" s="8" t="s">
        <v>233</v>
      </c>
      <c r="P9170" s="6" t="s">
        <v>306</v>
      </c>
      <c r="Q9170" s="8" t="s">
        <v>52</v>
      </c>
      <c r="R9170" s="10" t="s">
        <v>13507</v>
      </c>
      <c r="S9170" s="11"/>
      <c r="T9170" s="6"/>
      <c r="U9170" s="15" t="str">
        <f>HYPERLINK("https://media.infra-m.ru/2221/2221455/cover/2221455.jpg", "Обложка")</f>
        <v>Обложка</v>
      </c>
      <c r="V9170" s="8" t="s">
        <v>1184</v>
      </c>
      <c r="W9170" s="6"/>
      <c r="X9170" s="6"/>
      <c r="Y9170" s="6"/>
      <c r="Z9170" s="6"/>
      <c r="AA9170" s="6" t="s">
        <v>115</v>
      </c>
      <c r="AB9170" s="8"/>
      <c r="AC9170" s="27">
        <v>9785001560135</v>
      </c>
    </row>
    <row r="9171" spans="1:29" s="4" customFormat="1" ht="42" customHeight="1" x14ac:dyDescent="0.2">
      <c r="A9171" s="5">
        <v>0</v>
      </c>
      <c r="B9171" s="6" t="s">
        <v>51409</v>
      </c>
      <c r="C9171" s="7">
        <v>1332</v>
      </c>
      <c r="D9171" s="8" t="s">
        <v>51410</v>
      </c>
      <c r="E9171" s="8" t="s">
        <v>51411</v>
      </c>
      <c r="F9171" s="8" t="s">
        <v>21170</v>
      </c>
      <c r="G9171" s="6" t="s">
        <v>60</v>
      </c>
      <c r="H9171" s="6" t="s">
        <v>34</v>
      </c>
      <c r="I9171" s="8" t="s">
        <v>253</v>
      </c>
      <c r="J9171" s="9">
        <v>1</v>
      </c>
      <c r="K9171" s="9">
        <v>215</v>
      </c>
      <c r="L9171" s="9">
        <v>2025</v>
      </c>
      <c r="M9171" s="8" t="s">
        <v>51412</v>
      </c>
      <c r="N9171" s="8" t="s">
        <v>37</v>
      </c>
      <c r="O9171" s="8" t="s">
        <v>233</v>
      </c>
      <c r="P9171" s="6" t="s">
        <v>51</v>
      </c>
      <c r="Q9171" s="8" t="s">
        <v>65</v>
      </c>
      <c r="R9171" s="10" t="s">
        <v>1646</v>
      </c>
      <c r="S9171" s="11"/>
      <c r="T9171" s="6"/>
      <c r="U9171" s="15" t="str">
        <f>HYPERLINK("https://media.infra-m.ru/1978/1978025/cover/1978025.jpg", "Обложка")</f>
        <v>Обложка</v>
      </c>
      <c r="V9171" s="8" t="s">
        <v>21173</v>
      </c>
      <c r="W9171" s="6"/>
      <c r="X9171" s="6"/>
      <c r="Y9171" s="6"/>
      <c r="Z9171" s="6"/>
      <c r="AA9171" s="6" t="s">
        <v>68</v>
      </c>
      <c r="AB9171" s="8"/>
      <c r="AC9171" s="27">
        <v>9785160183336</v>
      </c>
    </row>
    <row r="9172" spans="1:29" s="4" customFormat="1" ht="51.9" customHeight="1" x14ac:dyDescent="0.2">
      <c r="A9172" s="5">
        <v>0</v>
      </c>
      <c r="B9172" s="6" t="s">
        <v>51413</v>
      </c>
      <c r="C9172" s="7">
        <v>1440</v>
      </c>
      <c r="D9172" s="8" t="s">
        <v>51414</v>
      </c>
      <c r="E9172" s="8" t="s">
        <v>51415</v>
      </c>
      <c r="F9172" s="8" t="s">
        <v>51416</v>
      </c>
      <c r="G9172" s="6" t="s">
        <v>118</v>
      </c>
      <c r="H9172" s="6" t="s">
        <v>34</v>
      </c>
      <c r="I9172" s="8" t="s">
        <v>35</v>
      </c>
      <c r="J9172" s="9">
        <v>1</v>
      </c>
      <c r="K9172" s="9">
        <v>231</v>
      </c>
      <c r="L9172" s="9">
        <v>2026</v>
      </c>
      <c r="M9172" s="8" t="s">
        <v>51417</v>
      </c>
      <c r="N9172" s="8" t="s">
        <v>37</v>
      </c>
      <c r="O9172" s="8" t="s">
        <v>233</v>
      </c>
      <c r="P9172" s="6" t="s">
        <v>39</v>
      </c>
      <c r="Q9172" s="8" t="s">
        <v>40</v>
      </c>
      <c r="R9172" s="10" t="s">
        <v>51418</v>
      </c>
      <c r="S9172" s="11"/>
      <c r="T9172" s="6"/>
      <c r="U9172" s="15" t="str">
        <f>HYPERLINK("https://media.infra-m.ru/2212/2212631/cover/2212631.jpg", "Обложка")</f>
        <v>Обложка</v>
      </c>
      <c r="V9172" s="8" t="s">
        <v>43568</v>
      </c>
      <c r="W9172" s="6"/>
      <c r="X9172" s="6"/>
      <c r="Y9172" s="6"/>
      <c r="Z9172" s="6"/>
      <c r="AA9172" s="6" t="s">
        <v>779</v>
      </c>
      <c r="AB9172" s="8"/>
      <c r="AC9172" s="27">
        <v>9785160108551</v>
      </c>
    </row>
    <row r="9173" spans="1:29" s="4" customFormat="1" ht="51.9" customHeight="1" x14ac:dyDescent="0.2">
      <c r="A9173" s="5">
        <v>0</v>
      </c>
      <c r="B9173" s="6" t="s">
        <v>51419</v>
      </c>
      <c r="C9173" s="7">
        <v>1780.8</v>
      </c>
      <c r="D9173" s="8" t="s">
        <v>51420</v>
      </c>
      <c r="E9173" s="8" t="s">
        <v>51421</v>
      </c>
      <c r="F9173" s="8" t="s">
        <v>51422</v>
      </c>
      <c r="G9173" s="6" t="s">
        <v>118</v>
      </c>
      <c r="H9173" s="6" t="s">
        <v>241</v>
      </c>
      <c r="I9173" s="8"/>
      <c r="J9173" s="9">
        <v>1</v>
      </c>
      <c r="K9173" s="9">
        <v>328</v>
      </c>
      <c r="L9173" s="9">
        <v>2023</v>
      </c>
      <c r="M9173" s="8" t="s">
        <v>51423</v>
      </c>
      <c r="N9173" s="8" t="s">
        <v>37</v>
      </c>
      <c r="O9173" s="8" t="s">
        <v>233</v>
      </c>
      <c r="P9173" s="6" t="s">
        <v>306</v>
      </c>
      <c r="Q9173" s="8" t="s">
        <v>500</v>
      </c>
      <c r="R9173" s="10" t="s">
        <v>51424</v>
      </c>
      <c r="S9173" s="11"/>
      <c r="T9173" s="6"/>
      <c r="U9173" s="15" t="str">
        <f>HYPERLINK("https://media.infra-m.ru/2006/2006042/cover/2006042.jpg", "Обложка")</f>
        <v>Обложка</v>
      </c>
      <c r="V9173" s="8" t="s">
        <v>247</v>
      </c>
      <c r="W9173" s="6"/>
      <c r="X9173" s="6"/>
      <c r="Y9173" s="6"/>
      <c r="Z9173" s="6"/>
      <c r="AA9173" s="6" t="s">
        <v>99</v>
      </c>
      <c r="AB9173" s="8"/>
      <c r="AC9173" s="27">
        <v>9785955805535</v>
      </c>
    </row>
    <row r="9174" spans="1:29" s="4" customFormat="1" ht="51.9" customHeight="1" x14ac:dyDescent="0.2">
      <c r="A9174" s="5">
        <v>0</v>
      </c>
      <c r="B9174" s="6" t="s">
        <v>51425</v>
      </c>
      <c r="C9174" s="7">
        <v>2392.8000000000002</v>
      </c>
      <c r="D9174" s="8" t="s">
        <v>51426</v>
      </c>
      <c r="E9174" s="8" t="s">
        <v>51427</v>
      </c>
      <c r="F9174" s="8" t="s">
        <v>51428</v>
      </c>
      <c r="G9174" s="6" t="s">
        <v>60</v>
      </c>
      <c r="H9174" s="6" t="s">
        <v>313</v>
      </c>
      <c r="I9174" s="8" t="s">
        <v>392</v>
      </c>
      <c r="J9174" s="9">
        <v>1</v>
      </c>
      <c r="K9174" s="9">
        <v>363</v>
      </c>
      <c r="L9174" s="9">
        <v>2025</v>
      </c>
      <c r="M9174" s="8" t="s">
        <v>51429</v>
      </c>
      <c r="N9174" s="8" t="s">
        <v>37</v>
      </c>
      <c r="O9174" s="8" t="s">
        <v>233</v>
      </c>
      <c r="P9174" s="6" t="s">
        <v>306</v>
      </c>
      <c r="Q9174" s="8" t="s">
        <v>52</v>
      </c>
      <c r="R9174" s="10" t="s">
        <v>51430</v>
      </c>
      <c r="S9174" s="11" t="s">
        <v>51431</v>
      </c>
      <c r="T9174" s="6"/>
      <c r="U9174" s="15" t="str">
        <f>HYPERLINK("https://media.infra-m.ru/2229/2229736/cover/2229736.jpg", "Обложка")</f>
        <v>Обложка</v>
      </c>
      <c r="V9174" s="8" t="s">
        <v>1768</v>
      </c>
      <c r="W9174" s="6"/>
      <c r="X9174" s="6"/>
      <c r="Y9174" s="6"/>
      <c r="Z9174" s="6"/>
      <c r="AA9174" s="6" t="s">
        <v>360</v>
      </c>
      <c r="AB9174" s="8"/>
      <c r="AC9174" s="27">
        <v>9785369014714</v>
      </c>
    </row>
    <row r="9175" spans="1:29" s="4" customFormat="1" ht="51.9" customHeight="1" x14ac:dyDescent="0.2">
      <c r="A9175" s="5">
        <v>0</v>
      </c>
      <c r="B9175" s="6" t="s">
        <v>51432</v>
      </c>
      <c r="C9175" s="7">
        <v>1524</v>
      </c>
      <c r="D9175" s="8" t="s">
        <v>51433</v>
      </c>
      <c r="E9175" s="8" t="s">
        <v>51434</v>
      </c>
      <c r="F9175" s="8" t="s">
        <v>51435</v>
      </c>
      <c r="G9175" s="6" t="s">
        <v>33</v>
      </c>
      <c r="H9175" s="6" t="s">
        <v>34</v>
      </c>
      <c r="I9175" s="8" t="s">
        <v>35</v>
      </c>
      <c r="J9175" s="9">
        <v>1</v>
      </c>
      <c r="K9175" s="9">
        <v>229</v>
      </c>
      <c r="L9175" s="9">
        <v>2025</v>
      </c>
      <c r="M9175" s="8" t="s">
        <v>51436</v>
      </c>
      <c r="N9175" s="8" t="s">
        <v>37</v>
      </c>
      <c r="O9175" s="8" t="s">
        <v>233</v>
      </c>
      <c r="P9175" s="6" t="s">
        <v>39</v>
      </c>
      <c r="Q9175" s="8" t="s">
        <v>40</v>
      </c>
      <c r="R9175" s="10" t="s">
        <v>51437</v>
      </c>
      <c r="S9175" s="11"/>
      <c r="T9175" s="6"/>
      <c r="U9175" s="15" t="str">
        <f>HYPERLINK("https://media.infra-m.ru/2168/2168618/cover/2168618.jpg", "Обложка")</f>
        <v>Обложка</v>
      </c>
      <c r="V9175" s="8" t="s">
        <v>396</v>
      </c>
      <c r="W9175" s="6"/>
      <c r="X9175" s="6"/>
      <c r="Y9175" s="6"/>
      <c r="Z9175" s="6"/>
      <c r="AA9175" s="6" t="s">
        <v>68</v>
      </c>
      <c r="AB9175" s="8"/>
      <c r="AC9175" s="27">
        <v>9785160202914</v>
      </c>
    </row>
    <row r="9176" spans="1:29" s="4" customFormat="1" ht="51.9" customHeight="1" x14ac:dyDescent="0.2">
      <c r="A9176" s="5">
        <v>0</v>
      </c>
      <c r="B9176" s="6" t="s">
        <v>51438</v>
      </c>
      <c r="C9176" s="7">
        <v>1672.8</v>
      </c>
      <c r="D9176" s="8" t="s">
        <v>51439</v>
      </c>
      <c r="E9176" s="8" t="s">
        <v>51440</v>
      </c>
      <c r="F9176" s="8" t="s">
        <v>43198</v>
      </c>
      <c r="G9176" s="6" t="s">
        <v>60</v>
      </c>
      <c r="H9176" s="6" t="s">
        <v>34</v>
      </c>
      <c r="I9176" s="8" t="s">
        <v>253</v>
      </c>
      <c r="J9176" s="9">
        <v>1</v>
      </c>
      <c r="K9176" s="9">
        <v>254</v>
      </c>
      <c r="L9176" s="9">
        <v>2026</v>
      </c>
      <c r="M9176" s="8" t="s">
        <v>51441</v>
      </c>
      <c r="N9176" s="8" t="s">
        <v>37</v>
      </c>
      <c r="O9176" s="8" t="s">
        <v>233</v>
      </c>
      <c r="P9176" s="6" t="s">
        <v>306</v>
      </c>
      <c r="Q9176" s="8" t="s">
        <v>52</v>
      </c>
      <c r="R9176" s="10" t="s">
        <v>51442</v>
      </c>
      <c r="S9176" s="11"/>
      <c r="T9176" s="6"/>
      <c r="U9176" s="15" t="str">
        <f>HYPERLINK("https://media.infra-m.ru/2238/2238387/cover/2238387.jpg", "Обложка")</f>
        <v>Обложка</v>
      </c>
      <c r="V9176" s="8" t="s">
        <v>5250</v>
      </c>
      <c r="W9176" s="6"/>
      <c r="X9176" s="6"/>
      <c r="Y9176" s="6"/>
      <c r="Z9176" s="6"/>
      <c r="AA9176" s="6" t="s">
        <v>157</v>
      </c>
      <c r="AB9176" s="8"/>
      <c r="AC9176" s="27">
        <v>9785160178394</v>
      </c>
    </row>
    <row r="9177" spans="1:29" s="4" customFormat="1" ht="51.9" customHeight="1" x14ac:dyDescent="0.2">
      <c r="A9177" s="5">
        <v>0</v>
      </c>
      <c r="B9177" s="6" t="s">
        <v>51443</v>
      </c>
      <c r="C9177" s="13">
        <v>796.8</v>
      </c>
      <c r="D9177" s="8" t="s">
        <v>51444</v>
      </c>
      <c r="E9177" s="8" t="s">
        <v>51445</v>
      </c>
      <c r="F9177" s="8" t="s">
        <v>51446</v>
      </c>
      <c r="G9177" s="6" t="s">
        <v>33</v>
      </c>
      <c r="H9177" s="6" t="s">
        <v>34</v>
      </c>
      <c r="I9177" s="8" t="s">
        <v>35</v>
      </c>
      <c r="J9177" s="9">
        <v>1</v>
      </c>
      <c r="K9177" s="9">
        <v>118</v>
      </c>
      <c r="L9177" s="9">
        <v>2026</v>
      </c>
      <c r="M9177" s="8" t="s">
        <v>51447</v>
      </c>
      <c r="N9177" s="8" t="s">
        <v>37</v>
      </c>
      <c r="O9177" s="8" t="s">
        <v>233</v>
      </c>
      <c r="P9177" s="6" t="s">
        <v>39</v>
      </c>
      <c r="Q9177" s="8" t="s">
        <v>40</v>
      </c>
      <c r="R9177" s="10" t="s">
        <v>11915</v>
      </c>
      <c r="S9177" s="11"/>
      <c r="T9177" s="6"/>
      <c r="U9177" s="15" t="str">
        <f>HYPERLINK("https://media.infra-m.ru/2214/2214236/cover/2214236.jpg", "Обложка")</f>
        <v>Обложка</v>
      </c>
      <c r="V9177" s="8" t="s">
        <v>9514</v>
      </c>
      <c r="W9177" s="6"/>
      <c r="X9177" s="6"/>
      <c r="Y9177" s="6"/>
      <c r="Z9177" s="6"/>
      <c r="AA9177" s="6" t="s">
        <v>55</v>
      </c>
      <c r="AB9177" s="8"/>
      <c r="AC9177" s="27">
        <v>9785160090511</v>
      </c>
    </row>
    <row r="9178" spans="1:29" s="4" customFormat="1" ht="42" customHeight="1" x14ac:dyDescent="0.2">
      <c r="A9178" s="5">
        <v>0</v>
      </c>
      <c r="B9178" s="6" t="s">
        <v>51448</v>
      </c>
      <c r="C9178" s="7">
        <v>2928</v>
      </c>
      <c r="D9178" s="8" t="s">
        <v>51449</v>
      </c>
      <c r="E9178" s="8" t="s">
        <v>51450</v>
      </c>
      <c r="F9178" s="8" t="s">
        <v>51451</v>
      </c>
      <c r="G9178" s="6" t="s">
        <v>60</v>
      </c>
      <c r="H9178" s="6" t="s">
        <v>34</v>
      </c>
      <c r="I9178" s="8" t="s">
        <v>263</v>
      </c>
      <c r="J9178" s="9">
        <v>1</v>
      </c>
      <c r="K9178" s="9">
        <v>413</v>
      </c>
      <c r="L9178" s="9">
        <v>2027</v>
      </c>
      <c r="M9178" s="8" t="s">
        <v>51452</v>
      </c>
      <c r="N9178" s="8" t="s">
        <v>37</v>
      </c>
      <c r="O9178" s="8" t="s">
        <v>233</v>
      </c>
      <c r="P9178" s="6" t="s">
        <v>51</v>
      </c>
      <c r="Q9178" s="8" t="s">
        <v>265</v>
      </c>
      <c r="R9178" s="10" t="s">
        <v>51453</v>
      </c>
      <c r="S9178" s="11"/>
      <c r="T9178" s="6"/>
      <c r="U9178" s="15" t="str">
        <f>HYPERLINK("https://media.infra-m.ru/2228/2228336/cover/2228336.jpg", "Обложка")</f>
        <v>Обложка</v>
      </c>
      <c r="V9178" s="8" t="s">
        <v>227</v>
      </c>
      <c r="W9178" s="6" t="s">
        <v>649</v>
      </c>
      <c r="X9178" s="6"/>
      <c r="Y9178" s="6"/>
      <c r="Z9178" s="6"/>
      <c r="AA9178" s="6" t="s">
        <v>420</v>
      </c>
      <c r="AB9178" s="8"/>
      <c r="AC9178" s="27">
        <v>9785160215112</v>
      </c>
    </row>
    <row r="9179" spans="1:29" s="4" customFormat="1" ht="51.9" customHeight="1" x14ac:dyDescent="0.2">
      <c r="A9179" s="5">
        <v>0</v>
      </c>
      <c r="B9179" s="6" t="s">
        <v>51454</v>
      </c>
      <c r="C9179" s="7">
        <v>3792</v>
      </c>
      <c r="D9179" s="8" t="s">
        <v>51455</v>
      </c>
      <c r="E9179" s="8" t="s">
        <v>51456</v>
      </c>
      <c r="F9179" s="8" t="s">
        <v>51457</v>
      </c>
      <c r="G9179" s="6" t="s">
        <v>60</v>
      </c>
      <c r="H9179" s="6" t="s">
        <v>34</v>
      </c>
      <c r="I9179" s="8" t="s">
        <v>263</v>
      </c>
      <c r="J9179" s="9">
        <v>1</v>
      </c>
      <c r="K9179" s="9">
        <v>544</v>
      </c>
      <c r="L9179" s="9">
        <v>2027</v>
      </c>
      <c r="M9179" s="8" t="s">
        <v>51458</v>
      </c>
      <c r="N9179" s="8" t="s">
        <v>37</v>
      </c>
      <c r="O9179" s="8" t="s">
        <v>233</v>
      </c>
      <c r="P9179" s="6" t="s">
        <v>306</v>
      </c>
      <c r="Q9179" s="8" t="s">
        <v>265</v>
      </c>
      <c r="R9179" s="10" t="s">
        <v>3777</v>
      </c>
      <c r="S9179" s="11" t="s">
        <v>51459</v>
      </c>
      <c r="T9179" s="6"/>
      <c r="U9179" s="15" t="str">
        <f>HYPERLINK("https://media.infra-m.ru/2269/2269850/cover/2269850.jpg", "Обложка")</f>
        <v>Обложка</v>
      </c>
      <c r="V9179" s="8" t="s">
        <v>51460</v>
      </c>
      <c r="W9179" s="6"/>
      <c r="X9179" s="6"/>
      <c r="Y9179" s="6"/>
      <c r="Z9179" s="6"/>
      <c r="AA9179" s="6" t="s">
        <v>99</v>
      </c>
      <c r="AB9179" s="8"/>
      <c r="AC9179" s="27">
        <v>9785160224893</v>
      </c>
    </row>
    <row r="9180" spans="1:29" s="4" customFormat="1" ht="51.9" customHeight="1" x14ac:dyDescent="0.2">
      <c r="A9180" s="5">
        <v>0</v>
      </c>
      <c r="B9180" s="6" t="s">
        <v>51461</v>
      </c>
      <c r="C9180" s="7">
        <v>1192.8</v>
      </c>
      <c r="D9180" s="8" t="s">
        <v>51462</v>
      </c>
      <c r="E9180" s="8" t="s">
        <v>51463</v>
      </c>
      <c r="F9180" s="8" t="s">
        <v>51464</v>
      </c>
      <c r="G9180" s="6" t="s">
        <v>118</v>
      </c>
      <c r="H9180" s="6" t="s">
        <v>48</v>
      </c>
      <c r="I9180" s="8" t="s">
        <v>263</v>
      </c>
      <c r="J9180" s="9">
        <v>1</v>
      </c>
      <c r="K9180" s="9">
        <v>200</v>
      </c>
      <c r="L9180" s="9">
        <v>2025</v>
      </c>
      <c r="M9180" s="8" t="s">
        <v>51465</v>
      </c>
      <c r="N9180" s="8" t="s">
        <v>37</v>
      </c>
      <c r="O9180" s="8" t="s">
        <v>233</v>
      </c>
      <c r="P9180" s="6" t="s">
        <v>306</v>
      </c>
      <c r="Q9180" s="8" t="s">
        <v>265</v>
      </c>
      <c r="R9180" s="10" t="s">
        <v>51466</v>
      </c>
      <c r="S9180" s="11" t="s">
        <v>51459</v>
      </c>
      <c r="T9180" s="6"/>
      <c r="U9180" s="15" t="str">
        <f>HYPERLINK("https://media.infra-m.ru/2188/2188151/cover/2188151.jpg", "Обложка")</f>
        <v>Обложка</v>
      </c>
      <c r="V9180" s="8" t="s">
        <v>51460</v>
      </c>
      <c r="W9180" s="6"/>
      <c r="X9180" s="6" t="s">
        <v>24</v>
      </c>
      <c r="Y9180" s="6"/>
      <c r="Z9180" s="6"/>
      <c r="AA9180" s="6" t="s">
        <v>99</v>
      </c>
      <c r="AB9180" s="8"/>
      <c r="AC9180" s="27">
        <v>9785000914175</v>
      </c>
    </row>
    <row r="9181" spans="1:29" s="4" customFormat="1" ht="44.1" customHeight="1" x14ac:dyDescent="0.2">
      <c r="A9181" s="5">
        <v>0</v>
      </c>
      <c r="B9181" s="6" t="s">
        <v>51467</v>
      </c>
      <c r="C9181" s="7">
        <v>3180</v>
      </c>
      <c r="D9181" s="8" t="s">
        <v>51468</v>
      </c>
      <c r="E9181" s="8" t="s">
        <v>51469</v>
      </c>
      <c r="F9181" s="8" t="s">
        <v>12281</v>
      </c>
      <c r="G9181" s="6" t="s">
        <v>60</v>
      </c>
      <c r="H9181" s="6" t="s">
        <v>1644</v>
      </c>
      <c r="I9181" s="8"/>
      <c r="J9181" s="9">
        <v>1</v>
      </c>
      <c r="K9181" s="9">
        <v>576</v>
      </c>
      <c r="L9181" s="9">
        <v>2023</v>
      </c>
      <c r="M9181" s="8" t="s">
        <v>51470</v>
      </c>
      <c r="N9181" s="8" t="s">
        <v>37</v>
      </c>
      <c r="O9181" s="8" t="s">
        <v>233</v>
      </c>
      <c r="P9181" s="6" t="s">
        <v>306</v>
      </c>
      <c r="Q9181" s="8" t="s">
        <v>52</v>
      </c>
      <c r="R9181" s="10" t="s">
        <v>51471</v>
      </c>
      <c r="S9181" s="11"/>
      <c r="T9181" s="6"/>
      <c r="U9181" s="15" t="str">
        <f>HYPERLINK("https://media.infra-m.ru/2020/2020591/cover/2020591.jpg", "Обложка")</f>
        <v>Обложка</v>
      </c>
      <c r="V9181" s="8" t="s">
        <v>1647</v>
      </c>
      <c r="W9181" s="6"/>
      <c r="X9181" s="6"/>
      <c r="Y9181" s="6"/>
      <c r="Z9181" s="6"/>
      <c r="AA9181" s="6" t="s">
        <v>404</v>
      </c>
      <c r="AB9181" s="8"/>
      <c r="AC9181" s="27">
        <v>9785977604864</v>
      </c>
    </row>
    <row r="9182" spans="1:29" s="4" customFormat="1" ht="44.1" customHeight="1" x14ac:dyDescent="0.2">
      <c r="A9182" s="5">
        <v>0</v>
      </c>
      <c r="B9182" s="6" t="s">
        <v>51472</v>
      </c>
      <c r="C9182" s="7">
        <v>1476</v>
      </c>
      <c r="D9182" s="8" t="s">
        <v>51473</v>
      </c>
      <c r="E9182" s="8" t="s">
        <v>51474</v>
      </c>
      <c r="F9182" s="8" t="s">
        <v>12281</v>
      </c>
      <c r="G9182" s="6" t="s">
        <v>60</v>
      </c>
      <c r="H9182" s="6" t="s">
        <v>1644</v>
      </c>
      <c r="I9182" s="8"/>
      <c r="J9182" s="9">
        <v>12</v>
      </c>
      <c r="K9182" s="9">
        <v>512</v>
      </c>
      <c r="L9182" s="9">
        <v>2017</v>
      </c>
      <c r="M9182" s="8" t="s">
        <v>51475</v>
      </c>
      <c r="N9182" s="8" t="s">
        <v>37</v>
      </c>
      <c r="O9182" s="8" t="s">
        <v>233</v>
      </c>
      <c r="P9182" s="6" t="s">
        <v>306</v>
      </c>
      <c r="Q9182" s="8" t="s">
        <v>52</v>
      </c>
      <c r="R9182" s="10" t="s">
        <v>51471</v>
      </c>
      <c r="S9182" s="11"/>
      <c r="T9182" s="6" t="s">
        <v>97</v>
      </c>
      <c r="U9182" s="15" t="str">
        <f>HYPERLINK("https://media.infra-m.ru/0757/0757874/cover/757874.jpg", "Обложка")</f>
        <v>Обложка</v>
      </c>
      <c r="V9182" s="8" t="s">
        <v>1647</v>
      </c>
      <c r="W9182" s="6"/>
      <c r="X9182" s="6"/>
      <c r="Y9182" s="6"/>
      <c r="Z9182" s="6"/>
      <c r="AA9182" s="6" t="s">
        <v>779</v>
      </c>
      <c r="AB9182" s="8"/>
      <c r="AC9182" s="27">
        <v>9785977604062</v>
      </c>
    </row>
    <row r="9183" spans="1:29" s="4" customFormat="1" ht="51.9" customHeight="1" x14ac:dyDescent="0.2">
      <c r="A9183" s="5">
        <v>0</v>
      </c>
      <c r="B9183" s="6" t="s">
        <v>51476</v>
      </c>
      <c r="C9183" s="7">
        <v>1536</v>
      </c>
      <c r="D9183" s="8" t="s">
        <v>51477</v>
      </c>
      <c r="E9183" s="8" t="s">
        <v>51478</v>
      </c>
      <c r="F9183" s="8" t="s">
        <v>51479</v>
      </c>
      <c r="G9183" s="6" t="s">
        <v>118</v>
      </c>
      <c r="H9183" s="6" t="s">
        <v>34</v>
      </c>
      <c r="I9183" s="8" t="s">
        <v>263</v>
      </c>
      <c r="J9183" s="9">
        <v>1</v>
      </c>
      <c r="K9183" s="9">
        <v>221</v>
      </c>
      <c r="L9183" s="9">
        <v>2026</v>
      </c>
      <c r="M9183" s="8" t="s">
        <v>51480</v>
      </c>
      <c r="N9183" s="8" t="s">
        <v>243</v>
      </c>
      <c r="O9183" s="8" t="s">
        <v>758</v>
      </c>
      <c r="P9183" s="6" t="s">
        <v>51</v>
      </c>
      <c r="Q9183" s="8" t="s">
        <v>265</v>
      </c>
      <c r="R9183" s="10" t="s">
        <v>51481</v>
      </c>
      <c r="S9183" s="11" t="s">
        <v>51482</v>
      </c>
      <c r="T9183" s="6"/>
      <c r="U9183" s="15" t="str">
        <f>HYPERLINK("https://media.infra-m.ru/2256/2256966/cover/2256966.jpg", "Обложка")</f>
        <v>Обложка</v>
      </c>
      <c r="V9183" s="8"/>
      <c r="W9183" s="6"/>
      <c r="X9183" s="6"/>
      <c r="Y9183" s="6"/>
      <c r="Z9183" s="6"/>
      <c r="AA9183" s="6" t="s">
        <v>258</v>
      </c>
      <c r="AB9183" s="8" t="s">
        <v>3581</v>
      </c>
      <c r="AC9183" s="27">
        <v>9785160158228</v>
      </c>
    </row>
    <row r="9184" spans="1:29" s="4" customFormat="1" ht="42" customHeight="1" x14ac:dyDescent="0.2">
      <c r="A9184" s="5">
        <v>0</v>
      </c>
      <c r="B9184" s="6" t="s">
        <v>51483</v>
      </c>
      <c r="C9184" s="7">
        <v>2212.8000000000002</v>
      </c>
      <c r="D9184" s="8" t="s">
        <v>51484</v>
      </c>
      <c r="E9184" s="8" t="s">
        <v>51485</v>
      </c>
      <c r="F9184" s="8" t="s">
        <v>51486</v>
      </c>
      <c r="G9184" s="6" t="s">
        <v>60</v>
      </c>
      <c r="H9184" s="6" t="s">
        <v>34</v>
      </c>
      <c r="I9184" s="8" t="s">
        <v>253</v>
      </c>
      <c r="J9184" s="9">
        <v>1</v>
      </c>
      <c r="K9184" s="9">
        <v>317</v>
      </c>
      <c r="L9184" s="9">
        <v>2026</v>
      </c>
      <c r="M9184" s="8" t="s">
        <v>51487</v>
      </c>
      <c r="N9184" s="8" t="s">
        <v>37</v>
      </c>
      <c r="O9184" s="8" t="s">
        <v>233</v>
      </c>
      <c r="P9184" s="6" t="s">
        <v>51</v>
      </c>
      <c r="Q9184" s="8" t="s">
        <v>65</v>
      </c>
      <c r="R9184" s="10" t="s">
        <v>2195</v>
      </c>
      <c r="S9184" s="11"/>
      <c r="T9184" s="6"/>
      <c r="U9184" s="15" t="str">
        <f>HYPERLINK("https://media.infra-m.ru/2250/2250935/cover/2250935.jpg", "Обложка")</f>
        <v>Обложка</v>
      </c>
      <c r="V9184" s="8" t="s">
        <v>9227</v>
      </c>
      <c r="W9184" s="6"/>
      <c r="X9184" s="6"/>
      <c r="Y9184" s="6"/>
      <c r="Z9184" s="6"/>
      <c r="AA9184" s="6" t="s">
        <v>917</v>
      </c>
      <c r="AB9184" s="8"/>
      <c r="AC9184" s="27">
        <v>9785160195179</v>
      </c>
    </row>
    <row r="9185" spans="1:29" s="4" customFormat="1" ht="42" customHeight="1" x14ac:dyDescent="0.2">
      <c r="A9185" s="5">
        <v>0</v>
      </c>
      <c r="B9185" s="6" t="s">
        <v>51488</v>
      </c>
      <c r="C9185" s="7">
        <v>1385.9</v>
      </c>
      <c r="D9185" s="8" t="s">
        <v>51489</v>
      </c>
      <c r="E9185" s="8" t="s">
        <v>51490</v>
      </c>
      <c r="F9185" s="8" t="s">
        <v>51491</v>
      </c>
      <c r="G9185" s="6" t="s">
        <v>60</v>
      </c>
      <c r="H9185" s="6" t="s">
        <v>1795</v>
      </c>
      <c r="I9185" s="8"/>
      <c r="J9185" s="9">
        <v>1</v>
      </c>
      <c r="K9185" s="9">
        <v>256</v>
      </c>
      <c r="L9185" s="9">
        <v>2023</v>
      </c>
      <c r="M9185" s="8" t="s">
        <v>51492</v>
      </c>
      <c r="N9185" s="8" t="s">
        <v>37</v>
      </c>
      <c r="O9185" s="8" t="s">
        <v>233</v>
      </c>
      <c r="P9185" s="6" t="s">
        <v>51</v>
      </c>
      <c r="Q9185" s="8" t="s">
        <v>52</v>
      </c>
      <c r="R9185" s="10" t="s">
        <v>2195</v>
      </c>
      <c r="S9185" s="11"/>
      <c r="T9185" s="6" t="s">
        <v>97</v>
      </c>
      <c r="U9185" s="15" t="str">
        <f>HYPERLINK("https://media.infra-m.ru/1896/1896988/cover/1896988.jpg", "Обложка")</f>
        <v>Обложка</v>
      </c>
      <c r="V9185" s="8" t="s">
        <v>9227</v>
      </c>
      <c r="W9185" s="6"/>
      <c r="X9185" s="6"/>
      <c r="Y9185" s="6"/>
      <c r="Z9185" s="6"/>
      <c r="AA9185" s="6" t="s">
        <v>43</v>
      </c>
      <c r="AB9185" s="8"/>
      <c r="AC9185" s="27">
        <v>9785982813152</v>
      </c>
    </row>
    <row r="9186" spans="1:29" s="4" customFormat="1" ht="51.9" customHeight="1" x14ac:dyDescent="0.2">
      <c r="A9186" s="5">
        <v>0</v>
      </c>
      <c r="B9186" s="6" t="s">
        <v>51493</v>
      </c>
      <c r="C9186" s="7">
        <v>2364</v>
      </c>
      <c r="D9186" s="8" t="s">
        <v>51494</v>
      </c>
      <c r="E9186" s="8" t="s">
        <v>51495</v>
      </c>
      <c r="F9186" s="8" t="s">
        <v>51496</v>
      </c>
      <c r="G9186" s="6" t="s">
        <v>118</v>
      </c>
      <c r="H9186" s="6" t="s">
        <v>34</v>
      </c>
      <c r="I9186" s="8" t="s">
        <v>253</v>
      </c>
      <c r="J9186" s="9">
        <v>1</v>
      </c>
      <c r="K9186" s="9">
        <v>381</v>
      </c>
      <c r="L9186" s="9">
        <v>2025</v>
      </c>
      <c r="M9186" s="8" t="s">
        <v>51497</v>
      </c>
      <c r="N9186" s="8" t="s">
        <v>37</v>
      </c>
      <c r="O9186" s="8" t="s">
        <v>280</v>
      </c>
      <c r="P9186" s="6" t="s">
        <v>51</v>
      </c>
      <c r="Q9186" s="8" t="s">
        <v>52</v>
      </c>
      <c r="R9186" s="10" t="s">
        <v>51498</v>
      </c>
      <c r="S9186" s="11" t="s">
        <v>51499</v>
      </c>
      <c r="T9186" s="6" t="s">
        <v>97</v>
      </c>
      <c r="U9186" s="15" t="str">
        <f>HYPERLINK("https://media.infra-m.ru/2192/2192239/cover/2192239.jpg", "Обложка")</f>
        <v>Обложка</v>
      </c>
      <c r="V9186" s="8" t="s">
        <v>445</v>
      </c>
      <c r="W9186" s="6"/>
      <c r="X9186" s="6" t="s">
        <v>24</v>
      </c>
      <c r="Y9186" s="6"/>
      <c r="Z9186" s="6"/>
      <c r="AA9186" s="6" t="s">
        <v>248</v>
      </c>
      <c r="AB9186" s="8"/>
      <c r="AC9186" s="27">
        <v>9785160207575</v>
      </c>
    </row>
    <row r="9187" spans="1:29" s="4" customFormat="1" ht="51.9" customHeight="1" x14ac:dyDescent="0.2">
      <c r="A9187" s="5">
        <v>0</v>
      </c>
      <c r="B9187" s="6" t="s">
        <v>51500</v>
      </c>
      <c r="C9187" s="7">
        <v>1468.8</v>
      </c>
      <c r="D9187" s="8" t="s">
        <v>51501</v>
      </c>
      <c r="E9187" s="8" t="s">
        <v>51502</v>
      </c>
      <c r="F9187" s="8" t="s">
        <v>51503</v>
      </c>
      <c r="G9187" s="6" t="s">
        <v>60</v>
      </c>
      <c r="H9187" s="6" t="s">
        <v>34</v>
      </c>
      <c r="I9187" s="8" t="s">
        <v>271</v>
      </c>
      <c r="J9187" s="9">
        <v>1</v>
      </c>
      <c r="K9187" s="9">
        <v>222</v>
      </c>
      <c r="L9187" s="9">
        <v>2026</v>
      </c>
      <c r="M9187" s="8" t="s">
        <v>51504</v>
      </c>
      <c r="N9187" s="8" t="s">
        <v>37</v>
      </c>
      <c r="O9187" s="8" t="s">
        <v>499</v>
      </c>
      <c r="P9187" s="6" t="s">
        <v>51</v>
      </c>
      <c r="Q9187" s="8" t="s">
        <v>52</v>
      </c>
      <c r="R9187" s="10" t="s">
        <v>370</v>
      </c>
      <c r="S9187" s="11"/>
      <c r="T9187" s="6"/>
      <c r="U9187" s="15" t="str">
        <f>HYPERLINK("https://media.infra-m.ru/2243/2243105/cover/2243105.jpg", "Обложка")</f>
        <v>Обложка</v>
      </c>
      <c r="V9187" s="8" t="s">
        <v>9565</v>
      </c>
      <c r="W9187" s="6"/>
      <c r="X9187" s="6"/>
      <c r="Y9187" s="6"/>
      <c r="Z9187" s="6"/>
      <c r="AA9187" s="6" t="s">
        <v>874</v>
      </c>
      <c r="AB9187" s="8"/>
      <c r="AC9187" s="27">
        <v>9785160099347</v>
      </c>
    </row>
    <row r="9188" spans="1:29" s="4" customFormat="1" ht="42" customHeight="1" x14ac:dyDescent="0.2">
      <c r="A9188" s="5">
        <v>0</v>
      </c>
      <c r="B9188" s="6" t="s">
        <v>51505</v>
      </c>
      <c r="C9188" s="7">
        <v>1205.9000000000001</v>
      </c>
      <c r="D9188" s="8" t="s">
        <v>51506</v>
      </c>
      <c r="E9188" s="8" t="s">
        <v>51507</v>
      </c>
      <c r="F9188" s="8" t="s">
        <v>51508</v>
      </c>
      <c r="G9188" s="6" t="s">
        <v>60</v>
      </c>
      <c r="H9188" s="6" t="s">
        <v>241</v>
      </c>
      <c r="I9188" s="8"/>
      <c r="J9188" s="9">
        <v>1</v>
      </c>
      <c r="K9188" s="9">
        <v>224</v>
      </c>
      <c r="L9188" s="9">
        <v>2023</v>
      </c>
      <c r="M9188" s="8" t="s">
        <v>51509</v>
      </c>
      <c r="N9188" s="8" t="s">
        <v>37</v>
      </c>
      <c r="O9188" s="8" t="s">
        <v>280</v>
      </c>
      <c r="P9188" s="6" t="s">
        <v>394</v>
      </c>
      <c r="Q9188" s="8" t="s">
        <v>65</v>
      </c>
      <c r="R9188" s="10" t="s">
        <v>12891</v>
      </c>
      <c r="S9188" s="11"/>
      <c r="T9188" s="6"/>
      <c r="U9188" s="15" t="str">
        <f>HYPERLINK("https://media.infra-m.ru/2044/2044330/cover/2044330.jpg", "Обложка")</f>
        <v>Обложка</v>
      </c>
      <c r="V9188" s="8" t="s">
        <v>396</v>
      </c>
      <c r="W9188" s="6"/>
      <c r="X9188" s="6"/>
      <c r="Y9188" s="6"/>
      <c r="Z9188" s="6"/>
      <c r="AA9188" s="6" t="s">
        <v>55</v>
      </c>
      <c r="AB9188" s="8"/>
      <c r="AC9188" s="27">
        <v>9785955802749</v>
      </c>
    </row>
    <row r="9189" spans="1:29" s="4" customFormat="1" ht="42" customHeight="1" x14ac:dyDescent="0.2">
      <c r="A9189" s="5">
        <v>0</v>
      </c>
      <c r="B9189" s="6" t="s">
        <v>51510</v>
      </c>
      <c r="C9189" s="7">
        <v>1224</v>
      </c>
      <c r="D9189" s="8" t="s">
        <v>51511</v>
      </c>
      <c r="E9189" s="8" t="s">
        <v>51512</v>
      </c>
      <c r="F9189" s="8" t="s">
        <v>51513</v>
      </c>
      <c r="G9189" s="6" t="s">
        <v>60</v>
      </c>
      <c r="H9189" s="6" t="s">
        <v>34</v>
      </c>
      <c r="I9189" s="8" t="s">
        <v>253</v>
      </c>
      <c r="J9189" s="9">
        <v>1</v>
      </c>
      <c r="K9189" s="9">
        <v>207</v>
      </c>
      <c r="L9189" s="9">
        <v>2024</v>
      </c>
      <c r="M9189" s="8" t="s">
        <v>51514</v>
      </c>
      <c r="N9189" s="8" t="s">
        <v>37</v>
      </c>
      <c r="O9189" s="8" t="s">
        <v>233</v>
      </c>
      <c r="P9189" s="6" t="s">
        <v>51</v>
      </c>
      <c r="Q9189" s="8" t="s">
        <v>52</v>
      </c>
      <c r="R9189" s="10" t="s">
        <v>26142</v>
      </c>
      <c r="S9189" s="11"/>
      <c r="T9189" s="6"/>
      <c r="U9189" s="15" t="str">
        <f>HYPERLINK("https://media.infra-m.ru/1900/1900972/cover/1900972.jpg", "Обложка")</f>
        <v>Обложка</v>
      </c>
      <c r="V9189" s="8" t="s">
        <v>1192</v>
      </c>
      <c r="W9189" s="6"/>
      <c r="X9189" s="6"/>
      <c r="Y9189" s="6"/>
      <c r="Z9189" s="6"/>
      <c r="AA9189" s="6" t="s">
        <v>76</v>
      </c>
      <c r="AB9189" s="8"/>
      <c r="AC9189" s="27">
        <v>9785160179810</v>
      </c>
    </row>
    <row r="9190" spans="1:29" s="4" customFormat="1" ht="42" customHeight="1" x14ac:dyDescent="0.2">
      <c r="A9190" s="5">
        <v>0</v>
      </c>
      <c r="B9190" s="6" t="s">
        <v>51515</v>
      </c>
      <c r="C9190" s="13">
        <v>720</v>
      </c>
      <c r="D9190" s="8" t="s">
        <v>51516</v>
      </c>
      <c r="E9190" s="8" t="s">
        <v>51517</v>
      </c>
      <c r="F9190" s="8" t="s">
        <v>51518</v>
      </c>
      <c r="G9190" s="6" t="s">
        <v>60</v>
      </c>
      <c r="H9190" s="6" t="s">
        <v>313</v>
      </c>
      <c r="I9190" s="8"/>
      <c r="J9190" s="9">
        <v>1</v>
      </c>
      <c r="K9190" s="9">
        <v>190</v>
      </c>
      <c r="L9190" s="9">
        <v>2019</v>
      </c>
      <c r="M9190" s="8" t="s">
        <v>51519</v>
      </c>
      <c r="N9190" s="8" t="s">
        <v>37</v>
      </c>
      <c r="O9190" s="8" t="s">
        <v>233</v>
      </c>
      <c r="P9190" s="6" t="s">
        <v>306</v>
      </c>
      <c r="Q9190" s="8" t="s">
        <v>52</v>
      </c>
      <c r="R9190" s="10" t="s">
        <v>11492</v>
      </c>
      <c r="S9190" s="11"/>
      <c r="T9190" s="6"/>
      <c r="U9190" s="15" t="str">
        <f>HYPERLINK("https://media.infra-m.ru/0995/0995619/cover/995619.jpg", "Обложка")</f>
        <v>Обложка</v>
      </c>
      <c r="V9190" s="8" t="s">
        <v>1878</v>
      </c>
      <c r="W9190" s="6"/>
      <c r="X9190" s="6"/>
      <c r="Y9190" s="6"/>
      <c r="Z9190" s="6"/>
      <c r="AA9190" s="6" t="s">
        <v>86</v>
      </c>
      <c r="AB9190" s="8"/>
      <c r="AC9190" s="27">
        <v>9785369017128</v>
      </c>
    </row>
    <row r="9191" spans="1:29" s="4" customFormat="1" ht="51.9" customHeight="1" x14ac:dyDescent="0.2">
      <c r="A9191" s="5">
        <v>0</v>
      </c>
      <c r="B9191" s="6" t="s">
        <v>51520</v>
      </c>
      <c r="C9191" s="7">
        <v>3228</v>
      </c>
      <c r="D9191" s="8" t="s">
        <v>51521</v>
      </c>
      <c r="E9191" s="8" t="s">
        <v>51522</v>
      </c>
      <c r="F9191" s="8" t="s">
        <v>51523</v>
      </c>
      <c r="G9191" s="6" t="s">
        <v>60</v>
      </c>
      <c r="H9191" s="6" t="s">
        <v>34</v>
      </c>
      <c r="I9191" s="8" t="s">
        <v>253</v>
      </c>
      <c r="J9191" s="9">
        <v>1</v>
      </c>
      <c r="K9191" s="9">
        <v>584</v>
      </c>
      <c r="L9191" s="9">
        <v>2024</v>
      </c>
      <c r="M9191" s="8" t="s">
        <v>51524</v>
      </c>
      <c r="N9191" s="8" t="s">
        <v>37</v>
      </c>
      <c r="O9191" s="8" t="s">
        <v>233</v>
      </c>
      <c r="P9191" s="6" t="s">
        <v>306</v>
      </c>
      <c r="Q9191" s="8" t="s">
        <v>52</v>
      </c>
      <c r="R9191" s="10" t="s">
        <v>11902</v>
      </c>
      <c r="S9191" s="11" t="s">
        <v>51525</v>
      </c>
      <c r="T9191" s="6"/>
      <c r="U9191" s="15" t="str">
        <f>HYPERLINK("https://media.infra-m.ru/2053/2053250/cover/2053250.jpg", "Обложка")</f>
        <v>Обложка</v>
      </c>
      <c r="V9191" s="8" t="s">
        <v>1505</v>
      </c>
      <c r="W9191" s="6"/>
      <c r="X9191" s="6"/>
      <c r="Y9191" s="6"/>
      <c r="Z9191" s="6"/>
      <c r="AA9191" s="6" t="s">
        <v>13424</v>
      </c>
      <c r="AB9191" s="8"/>
      <c r="AC9191" s="27">
        <v>9785160034584</v>
      </c>
    </row>
    <row r="9192" spans="1:29" s="4" customFormat="1" ht="42" customHeight="1" x14ac:dyDescent="0.2">
      <c r="A9192" s="5">
        <v>0</v>
      </c>
      <c r="B9192" s="6" t="s">
        <v>51526</v>
      </c>
      <c r="C9192" s="13">
        <v>952.8</v>
      </c>
      <c r="D9192" s="8" t="s">
        <v>51527</v>
      </c>
      <c r="E9192" s="8" t="s">
        <v>51522</v>
      </c>
      <c r="F9192" s="8" t="s">
        <v>51528</v>
      </c>
      <c r="G9192" s="6" t="s">
        <v>33</v>
      </c>
      <c r="H9192" s="6" t="s">
        <v>34</v>
      </c>
      <c r="I9192" s="8" t="s">
        <v>271</v>
      </c>
      <c r="J9192" s="9">
        <v>1</v>
      </c>
      <c r="K9192" s="9">
        <v>172</v>
      </c>
      <c r="L9192" s="9">
        <v>2023</v>
      </c>
      <c r="M9192" s="8" t="s">
        <v>51529</v>
      </c>
      <c r="N9192" s="8" t="s">
        <v>37</v>
      </c>
      <c r="O9192" s="8" t="s">
        <v>233</v>
      </c>
      <c r="P9192" s="6" t="s">
        <v>51</v>
      </c>
      <c r="Q9192" s="8" t="s">
        <v>52</v>
      </c>
      <c r="R9192" s="10" t="s">
        <v>51530</v>
      </c>
      <c r="S9192" s="11"/>
      <c r="T9192" s="6"/>
      <c r="U9192" s="15" t="str">
        <f>HYPERLINK("https://media.infra-m.ru/2045/2045792/cover/2045792.jpg", "Обложка")</f>
        <v>Обложка</v>
      </c>
      <c r="V9192" s="8" t="s">
        <v>3196</v>
      </c>
      <c r="W9192" s="6"/>
      <c r="X9192" s="6"/>
      <c r="Y9192" s="6"/>
      <c r="Z9192" s="6"/>
      <c r="AA9192" s="6" t="s">
        <v>55</v>
      </c>
      <c r="AB9192" s="8"/>
      <c r="AC9192" s="27">
        <v>9785160064222</v>
      </c>
    </row>
    <row r="9193" spans="1:29" s="4" customFormat="1" ht="51.9" customHeight="1" x14ac:dyDescent="0.2">
      <c r="A9193" s="5">
        <v>0</v>
      </c>
      <c r="B9193" s="6" t="s">
        <v>51531</v>
      </c>
      <c r="C9193" s="7">
        <v>2392.8000000000002</v>
      </c>
      <c r="D9193" s="8" t="s">
        <v>51532</v>
      </c>
      <c r="E9193" s="8" t="s">
        <v>51533</v>
      </c>
      <c r="F9193" s="8" t="s">
        <v>4576</v>
      </c>
      <c r="G9193" s="6" t="s">
        <v>118</v>
      </c>
      <c r="H9193" s="6" t="s">
        <v>34</v>
      </c>
      <c r="I9193" s="8" t="s">
        <v>271</v>
      </c>
      <c r="J9193" s="9">
        <v>1</v>
      </c>
      <c r="K9193" s="9">
        <v>365</v>
      </c>
      <c r="L9193" s="9">
        <v>2026</v>
      </c>
      <c r="M9193" s="8" t="s">
        <v>51534</v>
      </c>
      <c r="N9193" s="8" t="s">
        <v>37</v>
      </c>
      <c r="O9193" s="8" t="s">
        <v>233</v>
      </c>
      <c r="P9193" s="6" t="s">
        <v>306</v>
      </c>
      <c r="Q9193" s="8" t="s">
        <v>52</v>
      </c>
      <c r="R9193" s="10" t="s">
        <v>357</v>
      </c>
      <c r="S9193" s="11" t="s">
        <v>51535</v>
      </c>
      <c r="T9193" s="6"/>
      <c r="U9193" s="15" t="str">
        <f>HYPERLINK("https://media.infra-m.ru/2251/2251501/cover/2251501.jpg", "Обложка")</f>
        <v>Обложка</v>
      </c>
      <c r="V9193" s="8" t="s">
        <v>4579</v>
      </c>
      <c r="W9193" s="6"/>
      <c r="X9193" s="6"/>
      <c r="Y9193" s="6"/>
      <c r="Z9193" s="6"/>
      <c r="AA9193" s="6" t="s">
        <v>1256</v>
      </c>
      <c r="AB9193" s="8"/>
      <c r="AC9193" s="27">
        <v>9785160161778</v>
      </c>
    </row>
    <row r="9194" spans="1:29" s="4" customFormat="1" ht="51.9" customHeight="1" x14ac:dyDescent="0.2">
      <c r="A9194" s="5">
        <v>0</v>
      </c>
      <c r="B9194" s="6" t="s">
        <v>51536</v>
      </c>
      <c r="C9194" s="7">
        <v>3108</v>
      </c>
      <c r="D9194" s="8" t="s">
        <v>51537</v>
      </c>
      <c r="E9194" s="8" t="s">
        <v>51538</v>
      </c>
      <c r="F9194" s="8" t="s">
        <v>11727</v>
      </c>
      <c r="G9194" s="6" t="s">
        <v>60</v>
      </c>
      <c r="H9194" s="6" t="s">
        <v>34</v>
      </c>
      <c r="I9194" s="8" t="s">
        <v>253</v>
      </c>
      <c r="J9194" s="9">
        <v>1</v>
      </c>
      <c r="K9194" s="9">
        <v>447</v>
      </c>
      <c r="L9194" s="9">
        <v>2027</v>
      </c>
      <c r="M9194" s="8" t="s">
        <v>51539</v>
      </c>
      <c r="N9194" s="8" t="s">
        <v>37</v>
      </c>
      <c r="O9194" s="8" t="s">
        <v>233</v>
      </c>
      <c r="P9194" s="6" t="s">
        <v>51</v>
      </c>
      <c r="Q9194" s="8" t="s">
        <v>52</v>
      </c>
      <c r="R9194" s="10" t="s">
        <v>51540</v>
      </c>
      <c r="S9194" s="11" t="s">
        <v>51541</v>
      </c>
      <c r="T9194" s="6"/>
      <c r="U9194" s="15" t="str">
        <f>HYPERLINK("https://media.infra-m.ru/2267/2267678/cover/2267678.jpg", "Обложка")</f>
        <v>Обложка</v>
      </c>
      <c r="V9194" s="8" t="s">
        <v>28450</v>
      </c>
      <c r="W9194" s="6"/>
      <c r="X9194" s="6"/>
      <c r="Y9194" s="6"/>
      <c r="Z9194" s="6"/>
      <c r="AA9194" s="6" t="s">
        <v>218</v>
      </c>
      <c r="AB9194" s="8"/>
      <c r="AC9194" s="27">
        <v>9785160212722</v>
      </c>
    </row>
    <row r="9195" spans="1:29" s="4" customFormat="1" ht="42" customHeight="1" x14ac:dyDescent="0.2">
      <c r="A9195" s="5">
        <v>0</v>
      </c>
      <c r="B9195" s="6" t="s">
        <v>51542</v>
      </c>
      <c r="C9195" s="7">
        <v>2184</v>
      </c>
      <c r="D9195" s="8" t="s">
        <v>51543</v>
      </c>
      <c r="E9195" s="8" t="s">
        <v>51544</v>
      </c>
      <c r="F9195" s="8" t="s">
        <v>51545</v>
      </c>
      <c r="G9195" s="6" t="s">
        <v>118</v>
      </c>
      <c r="H9195" s="6" t="s">
        <v>34</v>
      </c>
      <c r="I9195" s="8" t="s">
        <v>253</v>
      </c>
      <c r="J9195" s="9">
        <v>1</v>
      </c>
      <c r="K9195" s="9">
        <v>376</v>
      </c>
      <c r="L9195" s="9">
        <v>2024</v>
      </c>
      <c r="M9195" s="8" t="s">
        <v>51546</v>
      </c>
      <c r="N9195" s="8" t="s">
        <v>37</v>
      </c>
      <c r="O9195" s="8" t="s">
        <v>280</v>
      </c>
      <c r="P9195" s="6" t="s">
        <v>306</v>
      </c>
      <c r="Q9195" s="8" t="s">
        <v>52</v>
      </c>
      <c r="R9195" s="10" t="s">
        <v>5270</v>
      </c>
      <c r="S9195" s="11"/>
      <c r="T9195" s="6"/>
      <c r="U9195" s="15" t="str">
        <f>HYPERLINK("https://media.infra-m.ru/2128/2128109/cover/2128109.jpg", "Обложка")</f>
        <v>Обложка</v>
      </c>
      <c r="V9195" s="8" t="s">
        <v>631</v>
      </c>
      <c r="W9195" s="6"/>
      <c r="X9195" s="6"/>
      <c r="Y9195" s="6"/>
      <c r="Z9195" s="6"/>
      <c r="AA9195" s="6" t="s">
        <v>4023</v>
      </c>
      <c r="AB9195" s="8"/>
      <c r="AC9195" s="27">
        <v>9785160173672</v>
      </c>
    </row>
    <row r="9196" spans="1:29" s="4" customFormat="1" ht="44.1" customHeight="1" x14ac:dyDescent="0.2">
      <c r="A9196" s="5">
        <v>0</v>
      </c>
      <c r="B9196" s="6" t="s">
        <v>51547</v>
      </c>
      <c r="C9196" s="7">
        <v>1896</v>
      </c>
      <c r="D9196" s="8" t="s">
        <v>51548</v>
      </c>
      <c r="E9196" s="8" t="s">
        <v>51549</v>
      </c>
      <c r="F9196" s="8" t="s">
        <v>11727</v>
      </c>
      <c r="G9196" s="6" t="s">
        <v>118</v>
      </c>
      <c r="H9196" s="6" t="s">
        <v>241</v>
      </c>
      <c r="I9196" s="8" t="s">
        <v>271</v>
      </c>
      <c r="J9196" s="9">
        <v>1</v>
      </c>
      <c r="K9196" s="9">
        <v>336</v>
      </c>
      <c r="L9196" s="9">
        <v>2020</v>
      </c>
      <c r="M9196" s="8" t="s">
        <v>51550</v>
      </c>
      <c r="N9196" s="8" t="s">
        <v>37</v>
      </c>
      <c r="O9196" s="8" t="s">
        <v>233</v>
      </c>
      <c r="P9196" s="6" t="s">
        <v>51</v>
      </c>
      <c r="Q9196" s="8" t="s">
        <v>52</v>
      </c>
      <c r="R9196" s="10" t="s">
        <v>51540</v>
      </c>
      <c r="S9196" s="11"/>
      <c r="T9196" s="6"/>
      <c r="U9196" s="15" t="str">
        <f>HYPERLINK("https://media.infra-m.ru/1085/1085897/cover/1085897.jpg", "Обложка")</f>
        <v>Обложка</v>
      </c>
      <c r="V9196" s="8" t="s">
        <v>28450</v>
      </c>
      <c r="W9196" s="6"/>
      <c r="X9196" s="6"/>
      <c r="Y9196" s="6"/>
      <c r="Z9196" s="6"/>
      <c r="AA9196" s="6" t="s">
        <v>55</v>
      </c>
      <c r="AB9196" s="8"/>
      <c r="AC9196" s="27">
        <v>9785955802916</v>
      </c>
    </row>
    <row r="9197" spans="1:29" s="4" customFormat="1" ht="51.9" customHeight="1" x14ac:dyDescent="0.2">
      <c r="A9197" s="5">
        <v>0</v>
      </c>
      <c r="B9197" s="6" t="s">
        <v>51551</v>
      </c>
      <c r="C9197" s="13">
        <v>828</v>
      </c>
      <c r="D9197" s="8" t="s">
        <v>51552</v>
      </c>
      <c r="E9197" s="8" t="s">
        <v>51553</v>
      </c>
      <c r="F9197" s="8" t="s">
        <v>51554</v>
      </c>
      <c r="G9197" s="6" t="s">
        <v>118</v>
      </c>
      <c r="H9197" s="6" t="s">
        <v>34</v>
      </c>
      <c r="I9197" s="8" t="s">
        <v>253</v>
      </c>
      <c r="J9197" s="9">
        <v>1</v>
      </c>
      <c r="K9197" s="9">
        <v>143</v>
      </c>
      <c r="L9197" s="9">
        <v>2024</v>
      </c>
      <c r="M9197" s="8" t="s">
        <v>51555</v>
      </c>
      <c r="N9197" s="8" t="s">
        <v>37</v>
      </c>
      <c r="O9197" s="8" t="s">
        <v>280</v>
      </c>
      <c r="P9197" s="6" t="s">
        <v>51</v>
      </c>
      <c r="Q9197" s="8" t="s">
        <v>52</v>
      </c>
      <c r="R9197" s="10" t="s">
        <v>51556</v>
      </c>
      <c r="S9197" s="11" t="s">
        <v>51557</v>
      </c>
      <c r="T9197" s="6"/>
      <c r="U9197" s="15" t="str">
        <f>HYPERLINK("https://media.infra-m.ru/2053/2053223/cover/2053223.jpg", "Обложка")</f>
        <v>Обложка</v>
      </c>
      <c r="V9197" s="8" t="s">
        <v>396</v>
      </c>
      <c r="W9197" s="6"/>
      <c r="X9197" s="6"/>
      <c r="Y9197" s="6"/>
      <c r="Z9197" s="6"/>
      <c r="AA9197" s="6" t="s">
        <v>55</v>
      </c>
      <c r="AB9197" s="8"/>
      <c r="AC9197" s="27">
        <v>9785160187709</v>
      </c>
    </row>
    <row r="9198" spans="1:29" s="4" customFormat="1" ht="42" customHeight="1" x14ac:dyDescent="0.2">
      <c r="A9198" s="5">
        <v>0</v>
      </c>
      <c r="B9198" s="6" t="s">
        <v>51558</v>
      </c>
      <c r="C9198" s="7">
        <v>2376</v>
      </c>
      <c r="D9198" s="8" t="s">
        <v>51559</v>
      </c>
      <c r="E9198" s="8" t="s">
        <v>51560</v>
      </c>
      <c r="F9198" s="8" t="s">
        <v>51561</v>
      </c>
      <c r="G9198" s="6" t="s">
        <v>118</v>
      </c>
      <c r="H9198" s="6" t="s">
        <v>34</v>
      </c>
      <c r="I9198" s="8" t="s">
        <v>253</v>
      </c>
      <c r="J9198" s="9">
        <v>1</v>
      </c>
      <c r="K9198" s="9">
        <v>360</v>
      </c>
      <c r="L9198" s="9">
        <v>2026</v>
      </c>
      <c r="M9198" s="8" t="s">
        <v>51562</v>
      </c>
      <c r="N9198" s="8" t="s">
        <v>37</v>
      </c>
      <c r="O9198" s="8" t="s">
        <v>233</v>
      </c>
      <c r="P9198" s="6" t="s">
        <v>51</v>
      </c>
      <c r="Q9198" s="8" t="s">
        <v>500</v>
      </c>
      <c r="R9198" s="10" t="s">
        <v>2228</v>
      </c>
      <c r="S9198" s="11"/>
      <c r="T9198" s="6"/>
      <c r="U9198" s="15" t="str">
        <f>HYPERLINK("https://media.infra-m.ru/2246/2246641/cover/2246641.jpg", "Обложка")</f>
        <v>Обложка</v>
      </c>
      <c r="V9198" s="8" t="s">
        <v>247</v>
      </c>
      <c r="W9198" s="6"/>
      <c r="X9198" s="6"/>
      <c r="Y9198" s="6"/>
      <c r="Z9198" s="6"/>
      <c r="AA9198" s="6" t="s">
        <v>779</v>
      </c>
      <c r="AB9198" s="8"/>
      <c r="AC9198" s="27">
        <v>9785160220253</v>
      </c>
    </row>
    <row r="9199" spans="1:29" s="4" customFormat="1" ht="44.1" customHeight="1" x14ac:dyDescent="0.2">
      <c r="A9199" s="5">
        <v>0</v>
      </c>
      <c r="B9199" s="6" t="s">
        <v>51563</v>
      </c>
      <c r="C9199" s="7">
        <v>2488.8000000000002</v>
      </c>
      <c r="D9199" s="8" t="s">
        <v>51564</v>
      </c>
      <c r="E9199" s="8" t="s">
        <v>51565</v>
      </c>
      <c r="F9199" s="8" t="s">
        <v>51566</v>
      </c>
      <c r="G9199" s="6" t="s">
        <v>60</v>
      </c>
      <c r="H9199" s="6" t="s">
        <v>34</v>
      </c>
      <c r="I9199" s="8" t="s">
        <v>504</v>
      </c>
      <c r="J9199" s="9">
        <v>1</v>
      </c>
      <c r="K9199" s="9">
        <v>377</v>
      </c>
      <c r="L9199" s="9">
        <v>2026</v>
      </c>
      <c r="M9199" s="8" t="s">
        <v>51567</v>
      </c>
      <c r="N9199" s="8" t="s">
        <v>37</v>
      </c>
      <c r="O9199" s="8" t="s">
        <v>233</v>
      </c>
      <c r="P9199" s="6" t="s">
        <v>306</v>
      </c>
      <c r="Q9199" s="8" t="s">
        <v>500</v>
      </c>
      <c r="R9199" s="10" t="s">
        <v>9147</v>
      </c>
      <c r="S9199" s="11"/>
      <c r="T9199" s="6"/>
      <c r="U9199" s="15" t="str">
        <f>HYPERLINK("https://media.infra-m.ru/2255/2255564/cover/2255564.jpg", "Обложка")</f>
        <v>Обложка</v>
      </c>
      <c r="V9199" s="8" t="s">
        <v>546</v>
      </c>
      <c r="W9199" s="6"/>
      <c r="X9199" s="6"/>
      <c r="Y9199" s="6"/>
      <c r="Z9199" s="6"/>
      <c r="AA9199" s="6" t="s">
        <v>55</v>
      </c>
      <c r="AB9199" s="8"/>
      <c r="AC9199" s="27">
        <v>9785160056630</v>
      </c>
    </row>
    <row r="9200" spans="1:29" s="4" customFormat="1" ht="51.9" customHeight="1" x14ac:dyDescent="0.2">
      <c r="A9200" s="5">
        <v>0</v>
      </c>
      <c r="B9200" s="6" t="s">
        <v>51568</v>
      </c>
      <c r="C9200" s="7">
        <v>1428</v>
      </c>
      <c r="D9200" s="8" t="s">
        <v>51569</v>
      </c>
      <c r="E9200" s="8" t="s">
        <v>51570</v>
      </c>
      <c r="F9200" s="8" t="s">
        <v>51571</v>
      </c>
      <c r="G9200" s="6" t="s">
        <v>33</v>
      </c>
      <c r="H9200" s="6" t="s">
        <v>34</v>
      </c>
      <c r="I9200" s="8" t="s">
        <v>457</v>
      </c>
      <c r="J9200" s="9">
        <v>1</v>
      </c>
      <c r="K9200" s="9">
        <v>228</v>
      </c>
      <c r="L9200" s="9">
        <v>2023</v>
      </c>
      <c r="M9200" s="8" t="s">
        <v>51572</v>
      </c>
      <c r="N9200" s="8" t="s">
        <v>37</v>
      </c>
      <c r="O9200" s="8" t="s">
        <v>233</v>
      </c>
      <c r="P9200" s="6" t="s">
        <v>39</v>
      </c>
      <c r="Q9200" s="8" t="s">
        <v>40</v>
      </c>
      <c r="R9200" s="10" t="s">
        <v>38399</v>
      </c>
      <c r="S9200" s="11"/>
      <c r="T9200" s="6"/>
      <c r="U9200" s="15" t="str">
        <f>HYPERLINK("https://media.infra-m.ru/2128/2128481/cover/2128481.jpg", "Обложка")</f>
        <v>Обложка</v>
      </c>
      <c r="V9200" s="8" t="s">
        <v>3707</v>
      </c>
      <c r="W9200" s="6"/>
      <c r="X9200" s="6"/>
      <c r="Y9200" s="6"/>
      <c r="Z9200" s="6"/>
      <c r="AA9200" s="6" t="s">
        <v>157</v>
      </c>
      <c r="AB9200" s="8"/>
      <c r="AC9200" s="27">
        <v>9785160178868</v>
      </c>
    </row>
    <row r="9201" spans="1:29" s="4" customFormat="1" ht="42" customHeight="1" x14ac:dyDescent="0.2">
      <c r="A9201" s="5">
        <v>0</v>
      </c>
      <c r="B9201" s="6" t="s">
        <v>51573</v>
      </c>
      <c r="C9201" s="7">
        <v>1248</v>
      </c>
      <c r="D9201" s="8" t="s">
        <v>51574</v>
      </c>
      <c r="E9201" s="8" t="s">
        <v>51575</v>
      </c>
      <c r="F9201" s="8" t="s">
        <v>51576</v>
      </c>
      <c r="G9201" s="6" t="s">
        <v>118</v>
      </c>
      <c r="H9201" s="6" t="s">
        <v>34</v>
      </c>
      <c r="I9201" s="8" t="s">
        <v>35</v>
      </c>
      <c r="J9201" s="9">
        <v>1</v>
      </c>
      <c r="K9201" s="9">
        <v>219</v>
      </c>
      <c r="L9201" s="9">
        <v>2024</v>
      </c>
      <c r="M9201" s="8" t="s">
        <v>51577</v>
      </c>
      <c r="N9201" s="8" t="s">
        <v>37</v>
      </c>
      <c r="O9201" s="8" t="s">
        <v>233</v>
      </c>
      <c r="P9201" s="6" t="s">
        <v>39</v>
      </c>
      <c r="Q9201" s="8" t="s">
        <v>40</v>
      </c>
      <c r="R9201" s="10" t="s">
        <v>1576</v>
      </c>
      <c r="S9201" s="11"/>
      <c r="T9201" s="6"/>
      <c r="U9201" s="15" t="str">
        <f>HYPERLINK("https://media.infra-m.ru/2142/2142819/cover/2142819.jpg", "Обложка")</f>
        <v>Обложка</v>
      </c>
      <c r="V9201" s="8" t="s">
        <v>185</v>
      </c>
      <c r="W9201" s="6"/>
      <c r="X9201" s="6"/>
      <c r="Y9201" s="6"/>
      <c r="Z9201" s="6"/>
      <c r="AA9201" s="6" t="s">
        <v>115</v>
      </c>
      <c r="AB9201" s="8"/>
      <c r="AC9201" s="27">
        <v>9785160149417</v>
      </c>
    </row>
    <row r="9202" spans="1:29" s="4" customFormat="1" ht="42" customHeight="1" x14ac:dyDescent="0.2">
      <c r="A9202" s="5">
        <v>0</v>
      </c>
      <c r="B9202" s="6" t="s">
        <v>51578</v>
      </c>
      <c r="C9202" s="7">
        <v>1637.9</v>
      </c>
      <c r="D9202" s="8" t="s">
        <v>51579</v>
      </c>
      <c r="E9202" s="8" t="s">
        <v>51580</v>
      </c>
      <c r="F9202" s="8" t="s">
        <v>51581</v>
      </c>
      <c r="G9202" s="6" t="s">
        <v>60</v>
      </c>
      <c r="H9202" s="6" t="s">
        <v>34</v>
      </c>
      <c r="I9202" s="8" t="s">
        <v>35</v>
      </c>
      <c r="J9202" s="9">
        <v>1</v>
      </c>
      <c r="K9202" s="9">
        <v>304</v>
      </c>
      <c r="L9202" s="9">
        <v>2023</v>
      </c>
      <c r="M9202" s="8" t="s">
        <v>51582</v>
      </c>
      <c r="N9202" s="8" t="s">
        <v>37</v>
      </c>
      <c r="O9202" s="8" t="s">
        <v>233</v>
      </c>
      <c r="P9202" s="6" t="s">
        <v>39</v>
      </c>
      <c r="Q9202" s="8" t="s">
        <v>40</v>
      </c>
      <c r="R9202" s="10" t="s">
        <v>4075</v>
      </c>
      <c r="S9202" s="11"/>
      <c r="T9202" s="6"/>
      <c r="U9202" s="15" t="str">
        <f>HYPERLINK("https://media.infra-m.ru/1981/1981663/cover/1981663.jpg", "Обложка")</f>
        <v>Обложка</v>
      </c>
      <c r="V9202" s="8" t="s">
        <v>396</v>
      </c>
      <c r="W9202" s="6"/>
      <c r="X9202" s="6"/>
      <c r="Y9202" s="6"/>
      <c r="Z9202" s="6"/>
      <c r="AA9202" s="6" t="s">
        <v>248</v>
      </c>
      <c r="AB9202" s="8"/>
      <c r="AC9202" s="27">
        <v>9785160091136</v>
      </c>
    </row>
    <row r="9203" spans="1:29" s="4" customFormat="1" ht="51.9" customHeight="1" x14ac:dyDescent="0.2">
      <c r="A9203" s="5">
        <v>0</v>
      </c>
      <c r="B9203" s="6" t="s">
        <v>51583</v>
      </c>
      <c r="C9203" s="7">
        <v>1852.8</v>
      </c>
      <c r="D9203" s="8" t="s">
        <v>51584</v>
      </c>
      <c r="E9203" s="8" t="s">
        <v>51585</v>
      </c>
      <c r="F9203" s="8" t="s">
        <v>51586</v>
      </c>
      <c r="G9203" s="6" t="s">
        <v>60</v>
      </c>
      <c r="H9203" s="6" t="s">
        <v>241</v>
      </c>
      <c r="I9203" s="8"/>
      <c r="J9203" s="9">
        <v>1</v>
      </c>
      <c r="K9203" s="9">
        <v>336</v>
      </c>
      <c r="L9203" s="9">
        <v>2024</v>
      </c>
      <c r="M9203" s="8" t="s">
        <v>51587</v>
      </c>
      <c r="N9203" s="8" t="s">
        <v>37</v>
      </c>
      <c r="O9203" s="8" t="s">
        <v>233</v>
      </c>
      <c r="P9203" s="6" t="s">
        <v>306</v>
      </c>
      <c r="Q9203" s="8" t="s">
        <v>500</v>
      </c>
      <c r="R9203" s="10" t="s">
        <v>18874</v>
      </c>
      <c r="S9203" s="11" t="s">
        <v>51588</v>
      </c>
      <c r="T9203" s="6"/>
      <c r="U9203" s="15" t="str">
        <f>HYPERLINK("https://media.infra-m.ru/2094/2094521/cover/2094521.jpg", "Обложка")</f>
        <v>Обложка</v>
      </c>
      <c r="V9203" s="8" t="s">
        <v>247</v>
      </c>
      <c r="W9203" s="6"/>
      <c r="X9203" s="6"/>
      <c r="Y9203" s="6"/>
      <c r="Z9203" s="6"/>
      <c r="AA9203" s="6" t="s">
        <v>718</v>
      </c>
      <c r="AB9203" s="8"/>
      <c r="AC9203" s="27">
        <v>9785955802206</v>
      </c>
    </row>
    <row r="9204" spans="1:29" s="4" customFormat="1" ht="51.9" customHeight="1" x14ac:dyDescent="0.2">
      <c r="A9204" s="5">
        <v>0</v>
      </c>
      <c r="B9204" s="6" t="s">
        <v>51589</v>
      </c>
      <c r="C9204" s="7">
        <v>2104.8000000000002</v>
      </c>
      <c r="D9204" s="8" t="s">
        <v>51590</v>
      </c>
      <c r="E9204" s="8" t="s">
        <v>51591</v>
      </c>
      <c r="F9204" s="8" t="s">
        <v>51592</v>
      </c>
      <c r="G9204" s="6" t="s">
        <v>60</v>
      </c>
      <c r="H9204" s="6" t="s">
        <v>34</v>
      </c>
      <c r="I9204" s="8" t="s">
        <v>271</v>
      </c>
      <c r="J9204" s="9">
        <v>1</v>
      </c>
      <c r="K9204" s="9">
        <v>302</v>
      </c>
      <c r="L9204" s="9">
        <v>2027</v>
      </c>
      <c r="M9204" s="8" t="s">
        <v>51593</v>
      </c>
      <c r="N9204" s="8" t="s">
        <v>37</v>
      </c>
      <c r="O9204" s="8" t="s">
        <v>233</v>
      </c>
      <c r="P9204" s="6" t="s">
        <v>51</v>
      </c>
      <c r="Q9204" s="8" t="s">
        <v>52</v>
      </c>
      <c r="R9204" s="10" t="s">
        <v>51594</v>
      </c>
      <c r="S9204" s="11" t="s">
        <v>51595</v>
      </c>
      <c r="T9204" s="6"/>
      <c r="U9204" s="15" t="str">
        <f>HYPERLINK("https://media.infra-m.ru/2263/2263944/cover/2263944.jpg", "Обложка")</f>
        <v>Обложка</v>
      </c>
      <c r="V9204" s="8" t="s">
        <v>14780</v>
      </c>
      <c r="W9204" s="6"/>
      <c r="X9204" s="6"/>
      <c r="Y9204" s="6"/>
      <c r="Z9204" s="6"/>
      <c r="AA9204" s="6" t="s">
        <v>430</v>
      </c>
      <c r="AB9204" s="8"/>
      <c r="AC9204" s="27">
        <v>9785160155432</v>
      </c>
    </row>
    <row r="9205" spans="1:29" s="4" customFormat="1" ht="51.9" customHeight="1" x14ac:dyDescent="0.2">
      <c r="A9205" s="5">
        <v>0</v>
      </c>
      <c r="B9205" s="6" t="s">
        <v>51596</v>
      </c>
      <c r="C9205" s="7">
        <v>2332.8000000000002</v>
      </c>
      <c r="D9205" s="8" t="s">
        <v>51597</v>
      </c>
      <c r="E9205" s="8" t="s">
        <v>51598</v>
      </c>
      <c r="F9205" s="8" t="s">
        <v>51599</v>
      </c>
      <c r="G9205" s="6" t="s">
        <v>60</v>
      </c>
      <c r="H9205" s="6" t="s">
        <v>34</v>
      </c>
      <c r="I9205" s="8" t="s">
        <v>253</v>
      </c>
      <c r="J9205" s="9">
        <v>1</v>
      </c>
      <c r="K9205" s="9">
        <v>334</v>
      </c>
      <c r="L9205" s="9">
        <v>2027</v>
      </c>
      <c r="M9205" s="8" t="s">
        <v>51600</v>
      </c>
      <c r="N9205" s="8" t="s">
        <v>37</v>
      </c>
      <c r="O9205" s="8" t="s">
        <v>233</v>
      </c>
      <c r="P9205" s="6" t="s">
        <v>306</v>
      </c>
      <c r="Q9205" s="8" t="s">
        <v>52</v>
      </c>
      <c r="R9205" s="10" t="s">
        <v>51601</v>
      </c>
      <c r="S9205" s="11"/>
      <c r="T9205" s="6"/>
      <c r="U9205" s="15" t="str">
        <f>HYPERLINK("https://media.infra-m.ru/2271/2271603/cover/2271603.jpg", "Обложка")</f>
        <v>Обложка</v>
      </c>
      <c r="V9205" s="8" t="s">
        <v>1505</v>
      </c>
      <c r="W9205" s="6"/>
      <c r="X9205" s="6"/>
      <c r="Y9205" s="6"/>
      <c r="Z9205" s="6"/>
      <c r="AA9205" s="6" t="s">
        <v>68</v>
      </c>
      <c r="AB9205" s="8"/>
      <c r="AC9205" s="27">
        <v>9785160204178</v>
      </c>
    </row>
    <row r="9206" spans="1:29" s="4" customFormat="1" ht="51.9" customHeight="1" x14ac:dyDescent="0.2">
      <c r="A9206" s="5">
        <v>0</v>
      </c>
      <c r="B9206" s="6" t="s">
        <v>51602</v>
      </c>
      <c r="C9206" s="7">
        <v>3468</v>
      </c>
      <c r="D9206" s="8" t="s">
        <v>51603</v>
      </c>
      <c r="E9206" s="8" t="s">
        <v>51604</v>
      </c>
      <c r="F9206" s="8" t="s">
        <v>51605</v>
      </c>
      <c r="G9206" s="6" t="s">
        <v>60</v>
      </c>
      <c r="H9206" s="6" t="s">
        <v>34</v>
      </c>
      <c r="I9206" s="8" t="s">
        <v>253</v>
      </c>
      <c r="J9206" s="9">
        <v>1</v>
      </c>
      <c r="K9206" s="9">
        <v>509</v>
      </c>
      <c r="L9206" s="9">
        <v>2026</v>
      </c>
      <c r="M9206" s="8" t="s">
        <v>51606</v>
      </c>
      <c r="N9206" s="8" t="s">
        <v>37</v>
      </c>
      <c r="O9206" s="8" t="s">
        <v>233</v>
      </c>
      <c r="P9206" s="6" t="s">
        <v>306</v>
      </c>
      <c r="Q9206" s="8" t="s">
        <v>65</v>
      </c>
      <c r="R9206" s="10" t="s">
        <v>51607</v>
      </c>
      <c r="S9206" s="11"/>
      <c r="T9206" s="6"/>
      <c r="U9206" s="15" t="str">
        <f>HYPERLINK("https://media.infra-m.ru/2225/2225440/cover/2225440.jpg", "Обложка")</f>
        <v>Обложка</v>
      </c>
      <c r="V9206" s="8" t="s">
        <v>546</v>
      </c>
      <c r="W9206" s="6" t="s">
        <v>528</v>
      </c>
      <c r="X9206" s="6"/>
      <c r="Y9206" s="6"/>
      <c r="Z9206" s="6"/>
      <c r="AA9206" s="6" t="s">
        <v>187</v>
      </c>
      <c r="AB9206" s="8" t="s">
        <v>11878</v>
      </c>
      <c r="AC9206" s="27">
        <v>9785160214450</v>
      </c>
    </row>
    <row r="9207" spans="1:29" s="4" customFormat="1" ht="51.9" customHeight="1" x14ac:dyDescent="0.2">
      <c r="A9207" s="5">
        <v>0</v>
      </c>
      <c r="B9207" s="6" t="s">
        <v>51608</v>
      </c>
      <c r="C9207" s="7">
        <v>1193.9000000000001</v>
      </c>
      <c r="D9207" s="8" t="s">
        <v>51609</v>
      </c>
      <c r="E9207" s="8" t="s">
        <v>51610</v>
      </c>
      <c r="F9207" s="8" t="s">
        <v>51611</v>
      </c>
      <c r="G9207" s="6" t="s">
        <v>33</v>
      </c>
      <c r="H9207" s="6" t="s">
        <v>34</v>
      </c>
      <c r="I9207" s="8" t="s">
        <v>1081</v>
      </c>
      <c r="J9207" s="9">
        <v>1</v>
      </c>
      <c r="K9207" s="9">
        <v>220</v>
      </c>
      <c r="L9207" s="9">
        <v>2023</v>
      </c>
      <c r="M9207" s="8" t="s">
        <v>51612</v>
      </c>
      <c r="N9207" s="8" t="s">
        <v>37</v>
      </c>
      <c r="O9207" s="8" t="s">
        <v>233</v>
      </c>
      <c r="P9207" s="6" t="s">
        <v>39</v>
      </c>
      <c r="Q9207" s="8" t="s">
        <v>40</v>
      </c>
      <c r="R9207" s="10" t="s">
        <v>8477</v>
      </c>
      <c r="S9207" s="11"/>
      <c r="T9207" s="6"/>
      <c r="U9207" s="15" t="str">
        <f>HYPERLINK("https://media.infra-m.ru/2021/2021407/cover/2021407.jpg", "Обложка")</f>
        <v>Обложка</v>
      </c>
      <c r="V9207" s="8" t="s">
        <v>1083</v>
      </c>
      <c r="W9207" s="6"/>
      <c r="X9207" s="6"/>
      <c r="Y9207" s="6"/>
      <c r="Z9207" s="6"/>
      <c r="AA9207" s="6" t="s">
        <v>115</v>
      </c>
      <c r="AB9207" s="8"/>
      <c r="AC9207" s="27">
        <v>9785160148151</v>
      </c>
    </row>
    <row r="9208" spans="1:29" s="4" customFormat="1" ht="51.9" customHeight="1" x14ac:dyDescent="0.2">
      <c r="A9208" s="5">
        <v>0</v>
      </c>
      <c r="B9208" s="6" t="s">
        <v>51613</v>
      </c>
      <c r="C9208" s="7">
        <v>1284</v>
      </c>
      <c r="D9208" s="8" t="s">
        <v>51614</v>
      </c>
      <c r="E9208" s="8" t="s">
        <v>51615</v>
      </c>
      <c r="F9208" s="8" t="s">
        <v>51616</v>
      </c>
      <c r="G9208" s="6" t="s">
        <v>118</v>
      </c>
      <c r="H9208" s="6" t="s">
        <v>1644</v>
      </c>
      <c r="I9208" s="8"/>
      <c r="J9208" s="9">
        <v>1</v>
      </c>
      <c r="K9208" s="9">
        <v>232</v>
      </c>
      <c r="L9208" s="9">
        <v>2024</v>
      </c>
      <c r="M9208" s="8" t="s">
        <v>51617</v>
      </c>
      <c r="N9208" s="8" t="s">
        <v>37</v>
      </c>
      <c r="O9208" s="8" t="s">
        <v>499</v>
      </c>
      <c r="P9208" s="6" t="s">
        <v>51</v>
      </c>
      <c r="Q9208" s="8" t="s">
        <v>52</v>
      </c>
      <c r="R9208" s="10" t="s">
        <v>5099</v>
      </c>
      <c r="S9208" s="11"/>
      <c r="T9208" s="6"/>
      <c r="U9208" s="15" t="str">
        <f>HYPERLINK("https://media.infra-m.ru/2117/2117565/cover/2117565.jpg", "Обложка")</f>
        <v>Обложка</v>
      </c>
      <c r="V9208" s="8" t="s">
        <v>18741</v>
      </c>
      <c r="W9208" s="6"/>
      <c r="X9208" s="6"/>
      <c r="Y9208" s="6"/>
      <c r="Z9208" s="6"/>
      <c r="AA9208" s="6" t="s">
        <v>430</v>
      </c>
      <c r="AB9208" s="8"/>
      <c r="AC9208" s="27">
        <v>9785977605298</v>
      </c>
    </row>
    <row r="9209" spans="1:29" s="4" customFormat="1" ht="51.9" customHeight="1" x14ac:dyDescent="0.2">
      <c r="A9209" s="5">
        <v>0</v>
      </c>
      <c r="B9209" s="6" t="s">
        <v>51618</v>
      </c>
      <c r="C9209" s="7">
        <v>3052.8</v>
      </c>
      <c r="D9209" s="8" t="s">
        <v>51619</v>
      </c>
      <c r="E9209" s="8" t="s">
        <v>51620</v>
      </c>
      <c r="F9209" s="8" t="s">
        <v>21170</v>
      </c>
      <c r="G9209" s="6" t="s">
        <v>60</v>
      </c>
      <c r="H9209" s="6" t="s">
        <v>34</v>
      </c>
      <c r="I9209" s="8" t="s">
        <v>271</v>
      </c>
      <c r="J9209" s="9">
        <v>1</v>
      </c>
      <c r="K9209" s="9">
        <v>552</v>
      </c>
      <c r="L9209" s="9">
        <v>2024</v>
      </c>
      <c r="M9209" s="8" t="s">
        <v>51621</v>
      </c>
      <c r="N9209" s="8" t="s">
        <v>37</v>
      </c>
      <c r="O9209" s="8" t="s">
        <v>233</v>
      </c>
      <c r="P9209" s="6" t="s">
        <v>306</v>
      </c>
      <c r="Q9209" s="8" t="s">
        <v>52</v>
      </c>
      <c r="R9209" s="10" t="s">
        <v>51622</v>
      </c>
      <c r="S9209" s="11" t="s">
        <v>51623</v>
      </c>
      <c r="T9209" s="6"/>
      <c r="U9209" s="15" t="str">
        <f>HYPERLINK("https://media.infra-m.ru/2102/2102675/cover/2102675.jpg", "Обложка")</f>
        <v>Обложка</v>
      </c>
      <c r="V9209" s="8" t="s">
        <v>21173</v>
      </c>
      <c r="W9209" s="6"/>
      <c r="X9209" s="6"/>
      <c r="Y9209" s="6"/>
      <c r="Z9209" s="6"/>
      <c r="AA9209" s="6" t="s">
        <v>218</v>
      </c>
      <c r="AB9209" s="8"/>
      <c r="AC9209" s="27">
        <v>9785160146652</v>
      </c>
    </row>
    <row r="9210" spans="1:29" s="4" customFormat="1" ht="42" customHeight="1" x14ac:dyDescent="0.2">
      <c r="A9210" s="5">
        <v>0</v>
      </c>
      <c r="B9210" s="6" t="s">
        <v>51624</v>
      </c>
      <c r="C9210" s="7">
        <v>1332</v>
      </c>
      <c r="D9210" s="8" t="s">
        <v>51625</v>
      </c>
      <c r="E9210" s="8" t="s">
        <v>51626</v>
      </c>
      <c r="F9210" s="8" t="s">
        <v>11430</v>
      </c>
      <c r="G9210" s="6" t="s">
        <v>60</v>
      </c>
      <c r="H9210" s="6" t="s">
        <v>34</v>
      </c>
      <c r="I9210" s="8" t="s">
        <v>504</v>
      </c>
      <c r="J9210" s="9">
        <v>1</v>
      </c>
      <c r="K9210" s="9">
        <v>215</v>
      </c>
      <c r="L9210" s="9">
        <v>2024</v>
      </c>
      <c r="M9210" s="8" t="s">
        <v>51627</v>
      </c>
      <c r="N9210" s="8" t="s">
        <v>37</v>
      </c>
      <c r="O9210" s="8" t="s">
        <v>233</v>
      </c>
      <c r="P9210" s="6" t="s">
        <v>51</v>
      </c>
      <c r="Q9210" s="8" t="s">
        <v>500</v>
      </c>
      <c r="R9210" s="10" t="s">
        <v>51628</v>
      </c>
      <c r="S9210" s="11"/>
      <c r="T9210" s="6"/>
      <c r="U9210" s="15" t="str">
        <f>HYPERLINK("https://media.infra-m.ru/1911/1911014/cover/1911014.jpg", "Обложка")</f>
        <v>Обложка</v>
      </c>
      <c r="V9210" s="8" t="s">
        <v>11433</v>
      </c>
      <c r="W9210" s="6"/>
      <c r="X9210" s="6"/>
      <c r="Y9210" s="6"/>
      <c r="Z9210" s="6"/>
      <c r="AA9210" s="6" t="s">
        <v>76</v>
      </c>
      <c r="AB9210" s="8"/>
      <c r="AC9210" s="27">
        <v>9785160180991</v>
      </c>
    </row>
    <row r="9211" spans="1:29" s="4" customFormat="1" ht="51.9" customHeight="1" x14ac:dyDescent="0.2">
      <c r="A9211" s="5">
        <v>0</v>
      </c>
      <c r="B9211" s="6" t="s">
        <v>51629</v>
      </c>
      <c r="C9211" s="13">
        <v>917.9</v>
      </c>
      <c r="D9211" s="8" t="s">
        <v>51630</v>
      </c>
      <c r="E9211" s="8" t="s">
        <v>51631</v>
      </c>
      <c r="F9211" s="8" t="s">
        <v>51632</v>
      </c>
      <c r="G9211" s="6" t="s">
        <v>60</v>
      </c>
      <c r="H9211" s="6" t="s">
        <v>48</v>
      </c>
      <c r="I9211" s="8" t="s">
        <v>271</v>
      </c>
      <c r="J9211" s="9">
        <v>1</v>
      </c>
      <c r="K9211" s="9">
        <v>169</v>
      </c>
      <c r="L9211" s="9">
        <v>2023</v>
      </c>
      <c r="M9211" s="8" t="s">
        <v>51633</v>
      </c>
      <c r="N9211" s="8" t="s">
        <v>37</v>
      </c>
      <c r="O9211" s="8" t="s">
        <v>233</v>
      </c>
      <c r="P9211" s="6" t="s">
        <v>51</v>
      </c>
      <c r="Q9211" s="8" t="s">
        <v>52</v>
      </c>
      <c r="R9211" s="10" t="s">
        <v>5962</v>
      </c>
      <c r="S9211" s="11" t="s">
        <v>51634</v>
      </c>
      <c r="T9211" s="6"/>
      <c r="U9211" s="15" t="str">
        <f>HYPERLINK("https://media.infra-m.ru/1976/1976168/cover/1976168.jpg", "Обложка")</f>
        <v>Обложка</v>
      </c>
      <c r="V9211" s="8" t="s">
        <v>257</v>
      </c>
      <c r="W9211" s="6"/>
      <c r="X9211" s="6"/>
      <c r="Y9211" s="6"/>
      <c r="Z9211" s="6" t="s">
        <v>632</v>
      </c>
      <c r="AA9211" s="6" t="s">
        <v>1117</v>
      </c>
      <c r="AB9211" s="8"/>
      <c r="AC9211" s="27">
        <v>9785000916957</v>
      </c>
    </row>
    <row r="9212" spans="1:29" s="4" customFormat="1" ht="51.9" customHeight="1" x14ac:dyDescent="0.2">
      <c r="A9212" s="5">
        <v>0</v>
      </c>
      <c r="B9212" s="6" t="s">
        <v>51635</v>
      </c>
      <c r="C9212" s="7">
        <v>1132.8</v>
      </c>
      <c r="D9212" s="8" t="s">
        <v>51636</v>
      </c>
      <c r="E9212" s="8" t="s">
        <v>51637</v>
      </c>
      <c r="F9212" s="8" t="s">
        <v>51638</v>
      </c>
      <c r="G9212" s="6" t="s">
        <v>60</v>
      </c>
      <c r="H9212" s="6" t="s">
        <v>34</v>
      </c>
      <c r="I9212" s="8" t="s">
        <v>271</v>
      </c>
      <c r="J9212" s="9">
        <v>1</v>
      </c>
      <c r="K9212" s="9">
        <v>207</v>
      </c>
      <c r="L9212" s="9">
        <v>2023</v>
      </c>
      <c r="M9212" s="8" t="s">
        <v>51639</v>
      </c>
      <c r="N9212" s="8" t="s">
        <v>93</v>
      </c>
      <c r="O9212" s="8" t="s">
        <v>94</v>
      </c>
      <c r="P9212" s="6" t="s">
        <v>51</v>
      </c>
      <c r="Q9212" s="8" t="s">
        <v>52</v>
      </c>
      <c r="R9212" s="10" t="s">
        <v>28492</v>
      </c>
      <c r="S9212" s="11" t="s">
        <v>51640</v>
      </c>
      <c r="T9212" s="6"/>
      <c r="U9212" s="15" t="str">
        <f>HYPERLINK("https://media.infra-m.ru/2023/2023208/cover/2023208.jpg", "Обложка")</f>
        <v>Обложка</v>
      </c>
      <c r="V9212" s="8" t="s">
        <v>10238</v>
      </c>
      <c r="W9212" s="6"/>
      <c r="X9212" s="6"/>
      <c r="Y9212" s="6"/>
      <c r="Z9212" s="6"/>
      <c r="AA9212" s="6" t="s">
        <v>115</v>
      </c>
      <c r="AB9212" s="8"/>
      <c r="AC9212" s="27">
        <v>9785160146447</v>
      </c>
    </row>
    <row r="9213" spans="1:29" s="4" customFormat="1" ht="51.9" customHeight="1" x14ac:dyDescent="0.2">
      <c r="A9213" s="5">
        <v>0</v>
      </c>
      <c r="B9213" s="6" t="s">
        <v>51641</v>
      </c>
      <c r="C9213" s="7">
        <v>2116.8000000000002</v>
      </c>
      <c r="D9213" s="8" t="s">
        <v>51642</v>
      </c>
      <c r="E9213" s="8" t="s">
        <v>51637</v>
      </c>
      <c r="F9213" s="8" t="s">
        <v>51643</v>
      </c>
      <c r="G9213" s="6" t="s">
        <v>118</v>
      </c>
      <c r="H9213" s="6" t="s">
        <v>34</v>
      </c>
      <c r="I9213" s="8" t="s">
        <v>271</v>
      </c>
      <c r="J9213" s="9">
        <v>1</v>
      </c>
      <c r="K9213" s="9">
        <v>304</v>
      </c>
      <c r="L9213" s="9">
        <v>2027</v>
      </c>
      <c r="M9213" s="8" t="s">
        <v>51644</v>
      </c>
      <c r="N9213" s="8" t="s">
        <v>37</v>
      </c>
      <c r="O9213" s="8" t="s">
        <v>233</v>
      </c>
      <c r="P9213" s="6" t="s">
        <v>51</v>
      </c>
      <c r="Q9213" s="8" t="s">
        <v>52</v>
      </c>
      <c r="R9213" s="10" t="s">
        <v>51645</v>
      </c>
      <c r="S9213" s="11" t="s">
        <v>51646</v>
      </c>
      <c r="T9213" s="6"/>
      <c r="U9213" s="15" t="str">
        <f>HYPERLINK("https://media.infra-m.ru/2263/2263181/cover/2263181.jpg", "Обложка")</f>
        <v>Обложка</v>
      </c>
      <c r="V9213" s="8" t="s">
        <v>11804</v>
      </c>
      <c r="W9213" s="6"/>
      <c r="X9213" s="6"/>
      <c r="Y9213" s="6"/>
      <c r="Z9213" s="6"/>
      <c r="AA9213" s="6" t="s">
        <v>99</v>
      </c>
      <c r="AB9213" s="8"/>
      <c r="AC9213" s="27">
        <v>9785160127682</v>
      </c>
    </row>
    <row r="9214" spans="1:29" s="4" customFormat="1" ht="51.9" customHeight="1" x14ac:dyDescent="0.2">
      <c r="A9214" s="5">
        <v>0</v>
      </c>
      <c r="B9214" s="6" t="s">
        <v>51647</v>
      </c>
      <c r="C9214" s="7">
        <v>2069.9</v>
      </c>
      <c r="D9214" s="8" t="s">
        <v>51648</v>
      </c>
      <c r="E9214" s="8" t="s">
        <v>51649</v>
      </c>
      <c r="F9214" s="8" t="s">
        <v>51638</v>
      </c>
      <c r="G9214" s="6" t="s">
        <v>118</v>
      </c>
      <c r="H9214" s="6" t="s">
        <v>820</v>
      </c>
      <c r="I9214" s="8"/>
      <c r="J9214" s="9">
        <v>1</v>
      </c>
      <c r="K9214" s="9">
        <v>384</v>
      </c>
      <c r="L9214" s="9">
        <v>2021</v>
      </c>
      <c r="M9214" s="8" t="s">
        <v>51650</v>
      </c>
      <c r="N9214" s="8" t="s">
        <v>93</v>
      </c>
      <c r="O9214" s="8" t="s">
        <v>94</v>
      </c>
      <c r="P9214" s="6" t="s">
        <v>306</v>
      </c>
      <c r="Q9214" s="8" t="s">
        <v>52</v>
      </c>
      <c r="R9214" s="10" t="s">
        <v>51651</v>
      </c>
      <c r="S9214" s="11" t="s">
        <v>51652</v>
      </c>
      <c r="T9214" s="6"/>
      <c r="U9214" s="15" t="str">
        <f>HYPERLINK("https://media.infra-m.ru/1911/1911820/cover/1911820.jpg", "Обложка")</f>
        <v>Обложка</v>
      </c>
      <c r="V9214" s="8" t="s">
        <v>10238</v>
      </c>
      <c r="W9214" s="6"/>
      <c r="X9214" s="6"/>
      <c r="Y9214" s="6"/>
      <c r="Z9214" s="6"/>
      <c r="AA9214" s="6" t="s">
        <v>404</v>
      </c>
      <c r="AB9214" s="8"/>
      <c r="AC9214" s="27">
        <v>9785906923776</v>
      </c>
    </row>
    <row r="9215" spans="1:29" s="4" customFormat="1" ht="51.9" customHeight="1" x14ac:dyDescent="0.2">
      <c r="A9215" s="5">
        <v>0</v>
      </c>
      <c r="B9215" s="6" t="s">
        <v>51653</v>
      </c>
      <c r="C9215" s="7">
        <v>1152</v>
      </c>
      <c r="D9215" s="8" t="s">
        <v>51654</v>
      </c>
      <c r="E9215" s="8" t="s">
        <v>51655</v>
      </c>
      <c r="F9215" s="8" t="s">
        <v>51638</v>
      </c>
      <c r="G9215" s="6" t="s">
        <v>60</v>
      </c>
      <c r="H9215" s="6" t="s">
        <v>820</v>
      </c>
      <c r="I9215" s="8"/>
      <c r="J9215" s="9">
        <v>1</v>
      </c>
      <c r="K9215" s="9">
        <v>384</v>
      </c>
      <c r="L9215" s="9">
        <v>2017</v>
      </c>
      <c r="M9215" s="8" t="s">
        <v>51656</v>
      </c>
      <c r="N9215" s="8" t="s">
        <v>93</v>
      </c>
      <c r="O9215" s="8" t="s">
        <v>94</v>
      </c>
      <c r="P9215" s="6" t="s">
        <v>306</v>
      </c>
      <c r="Q9215" s="8" t="s">
        <v>52</v>
      </c>
      <c r="R9215" s="10" t="s">
        <v>51651</v>
      </c>
      <c r="S9215" s="11" t="s">
        <v>51652</v>
      </c>
      <c r="T9215" s="6"/>
      <c r="U9215" s="15" t="str">
        <f>HYPERLINK("https://media.infra-m.ru/0905/0905890/cover/905890.jpg", "Обложка")</f>
        <v>Обложка</v>
      </c>
      <c r="V9215" s="8" t="s">
        <v>10238</v>
      </c>
      <c r="W9215" s="6"/>
      <c r="X9215" s="6"/>
      <c r="Y9215" s="6"/>
      <c r="Z9215" s="6"/>
      <c r="AA9215" s="6" t="s">
        <v>779</v>
      </c>
      <c r="AB9215" s="8"/>
      <c r="AC9215" s="27">
        <v>9785906818331</v>
      </c>
    </row>
    <row r="9216" spans="1:29" s="4" customFormat="1" ht="51.9" customHeight="1" x14ac:dyDescent="0.2">
      <c r="A9216" s="5">
        <v>0</v>
      </c>
      <c r="B9216" s="6" t="s">
        <v>51657</v>
      </c>
      <c r="C9216" s="7">
        <v>2232</v>
      </c>
      <c r="D9216" s="8" t="s">
        <v>51658</v>
      </c>
      <c r="E9216" s="8" t="s">
        <v>51655</v>
      </c>
      <c r="F9216" s="8" t="s">
        <v>51659</v>
      </c>
      <c r="G9216" s="6" t="s">
        <v>118</v>
      </c>
      <c r="H9216" s="6" t="s">
        <v>34</v>
      </c>
      <c r="I9216" s="8" t="s">
        <v>271</v>
      </c>
      <c r="J9216" s="9">
        <v>1</v>
      </c>
      <c r="K9216" s="9">
        <v>413</v>
      </c>
      <c r="L9216" s="9">
        <v>2023</v>
      </c>
      <c r="M9216" s="8" t="s">
        <v>51660</v>
      </c>
      <c r="N9216" s="8" t="s">
        <v>37</v>
      </c>
      <c r="O9216" s="8" t="s">
        <v>233</v>
      </c>
      <c r="P9216" s="6" t="s">
        <v>306</v>
      </c>
      <c r="Q9216" s="8" t="s">
        <v>52</v>
      </c>
      <c r="R9216" s="10" t="s">
        <v>51661</v>
      </c>
      <c r="S9216" s="11" t="s">
        <v>51662</v>
      </c>
      <c r="T9216" s="6"/>
      <c r="U9216" s="15" t="str">
        <f>HYPERLINK("https://media.infra-m.ru/1860/1860813/cover/1860813.jpg", "Обложка")</f>
        <v>Обложка</v>
      </c>
      <c r="V9216" s="8" t="s">
        <v>11804</v>
      </c>
      <c r="W9216" s="6"/>
      <c r="X9216" s="6"/>
      <c r="Y9216" s="6"/>
      <c r="Z9216" s="6"/>
      <c r="AA9216" s="6" t="s">
        <v>99</v>
      </c>
      <c r="AB9216" s="8"/>
      <c r="AC9216" s="27">
        <v>9785160121543</v>
      </c>
    </row>
    <row r="9217" spans="1:29" s="4" customFormat="1" ht="51.9" customHeight="1" x14ac:dyDescent="0.2">
      <c r="A9217" s="5">
        <v>0</v>
      </c>
      <c r="B9217" s="6" t="s">
        <v>51663</v>
      </c>
      <c r="C9217" s="7">
        <v>1132.8</v>
      </c>
      <c r="D9217" s="8" t="s">
        <v>51664</v>
      </c>
      <c r="E9217" s="8" t="s">
        <v>51655</v>
      </c>
      <c r="F9217" s="8" t="s">
        <v>51665</v>
      </c>
      <c r="G9217" s="6" t="s">
        <v>118</v>
      </c>
      <c r="H9217" s="6" t="s">
        <v>34</v>
      </c>
      <c r="I9217" s="8" t="s">
        <v>271</v>
      </c>
      <c r="J9217" s="9">
        <v>1</v>
      </c>
      <c r="K9217" s="9">
        <v>205</v>
      </c>
      <c r="L9217" s="9">
        <v>2024</v>
      </c>
      <c r="M9217" s="8" t="s">
        <v>51666</v>
      </c>
      <c r="N9217" s="8" t="s">
        <v>93</v>
      </c>
      <c r="O9217" s="8" t="s">
        <v>94</v>
      </c>
      <c r="P9217" s="6" t="s">
        <v>306</v>
      </c>
      <c r="Q9217" s="8" t="s">
        <v>52</v>
      </c>
      <c r="R9217" s="10" t="s">
        <v>28492</v>
      </c>
      <c r="S9217" s="11" t="s">
        <v>51667</v>
      </c>
      <c r="T9217" s="6"/>
      <c r="U9217" s="15" t="str">
        <f>HYPERLINK("https://media.infra-m.ru/2102/2102692/cover/2102692.jpg", "Обложка")</f>
        <v>Обложка</v>
      </c>
      <c r="V9217" s="8" t="s">
        <v>12917</v>
      </c>
      <c r="W9217" s="6"/>
      <c r="X9217" s="6"/>
      <c r="Y9217" s="6"/>
      <c r="Z9217" s="6"/>
      <c r="AA9217" s="6" t="s">
        <v>779</v>
      </c>
      <c r="AB9217" s="8"/>
      <c r="AC9217" s="27">
        <v>9785160110066</v>
      </c>
    </row>
    <row r="9218" spans="1:29" s="4" customFormat="1" ht="51.9" customHeight="1" x14ac:dyDescent="0.2">
      <c r="A9218" s="5">
        <v>0</v>
      </c>
      <c r="B9218" s="6" t="s">
        <v>51668</v>
      </c>
      <c r="C9218" s="7">
        <v>1372.8</v>
      </c>
      <c r="D9218" s="8" t="s">
        <v>51669</v>
      </c>
      <c r="E9218" s="8" t="s">
        <v>51655</v>
      </c>
      <c r="F9218" s="8" t="s">
        <v>51670</v>
      </c>
      <c r="G9218" s="6" t="s">
        <v>60</v>
      </c>
      <c r="H9218" s="6" t="s">
        <v>34</v>
      </c>
      <c r="I9218" s="8" t="s">
        <v>271</v>
      </c>
      <c r="J9218" s="9">
        <v>1</v>
      </c>
      <c r="K9218" s="9">
        <v>219</v>
      </c>
      <c r="L9218" s="9">
        <v>2025</v>
      </c>
      <c r="M9218" s="8" t="s">
        <v>51671</v>
      </c>
      <c r="N9218" s="8" t="s">
        <v>37</v>
      </c>
      <c r="O9218" s="8" t="s">
        <v>233</v>
      </c>
      <c r="P9218" s="6" t="s">
        <v>51</v>
      </c>
      <c r="Q9218" s="8" t="s">
        <v>52</v>
      </c>
      <c r="R9218" s="10" t="s">
        <v>18479</v>
      </c>
      <c r="S9218" s="11" t="s">
        <v>51672</v>
      </c>
      <c r="T9218" s="6"/>
      <c r="U9218" s="15" t="str">
        <f>HYPERLINK("https://media.infra-m.ru/2194/2194331/cover/2194331.jpg", "Обложка")</f>
        <v>Обложка</v>
      </c>
      <c r="V9218" s="8" t="s">
        <v>5964</v>
      </c>
      <c r="W9218" s="6"/>
      <c r="X9218" s="6"/>
      <c r="Y9218" s="6"/>
      <c r="Z9218" s="6"/>
      <c r="AA9218" s="6" t="s">
        <v>248</v>
      </c>
      <c r="AB9218" s="8"/>
      <c r="AC9218" s="27">
        <v>9785160090863</v>
      </c>
    </row>
    <row r="9219" spans="1:29" s="4" customFormat="1" ht="51.9" customHeight="1" x14ac:dyDescent="0.2">
      <c r="A9219" s="5">
        <v>0</v>
      </c>
      <c r="B9219" s="6" t="s">
        <v>51673</v>
      </c>
      <c r="C9219" s="7">
        <v>1020</v>
      </c>
      <c r="D9219" s="8" t="s">
        <v>51674</v>
      </c>
      <c r="E9219" s="8" t="s">
        <v>51631</v>
      </c>
      <c r="F9219" s="8" t="s">
        <v>51632</v>
      </c>
      <c r="G9219" s="6" t="s">
        <v>118</v>
      </c>
      <c r="H9219" s="6" t="s">
        <v>48</v>
      </c>
      <c r="I9219" s="8" t="s">
        <v>263</v>
      </c>
      <c r="J9219" s="9">
        <v>1</v>
      </c>
      <c r="K9219" s="9">
        <v>180</v>
      </c>
      <c r="L9219" s="9">
        <v>2024</v>
      </c>
      <c r="M9219" s="8" t="s">
        <v>51675</v>
      </c>
      <c r="N9219" s="8" t="s">
        <v>37</v>
      </c>
      <c r="O9219" s="8" t="s">
        <v>233</v>
      </c>
      <c r="P9219" s="6" t="s">
        <v>51</v>
      </c>
      <c r="Q9219" s="8" t="s">
        <v>265</v>
      </c>
      <c r="R9219" s="10" t="s">
        <v>12380</v>
      </c>
      <c r="S9219" s="11" t="s">
        <v>51676</v>
      </c>
      <c r="T9219" s="6"/>
      <c r="U9219" s="15" t="str">
        <f>HYPERLINK("https://media.infra-m.ru/2139/2139211/cover/2139211.jpg", "Обложка")</f>
        <v>Обложка</v>
      </c>
      <c r="V9219" s="8" t="s">
        <v>257</v>
      </c>
      <c r="W9219" s="6"/>
      <c r="X9219" s="6"/>
      <c r="Y9219" s="6"/>
      <c r="Z9219" s="6"/>
      <c r="AA9219" s="6" t="s">
        <v>1117</v>
      </c>
      <c r="AB9219" s="8"/>
      <c r="AC9219" s="27">
        <v>9785000916070</v>
      </c>
    </row>
    <row r="9220" spans="1:29" s="4" customFormat="1" ht="51.9" customHeight="1" x14ac:dyDescent="0.2">
      <c r="A9220" s="5">
        <v>0</v>
      </c>
      <c r="B9220" s="6" t="s">
        <v>51677</v>
      </c>
      <c r="C9220" s="7">
        <v>3592.8</v>
      </c>
      <c r="D9220" s="8" t="s">
        <v>51678</v>
      </c>
      <c r="E9220" s="8" t="s">
        <v>51679</v>
      </c>
      <c r="F9220" s="8" t="s">
        <v>51680</v>
      </c>
      <c r="G9220" s="6" t="s">
        <v>60</v>
      </c>
      <c r="H9220" s="6" t="s">
        <v>34</v>
      </c>
      <c r="I9220" s="8" t="s">
        <v>271</v>
      </c>
      <c r="J9220" s="9">
        <v>1</v>
      </c>
      <c r="K9220" s="9">
        <v>556</v>
      </c>
      <c r="L9220" s="9">
        <v>2026</v>
      </c>
      <c r="M9220" s="8" t="s">
        <v>51681</v>
      </c>
      <c r="N9220" s="8" t="s">
        <v>37</v>
      </c>
      <c r="O9220" s="8" t="s">
        <v>233</v>
      </c>
      <c r="P9220" s="6" t="s">
        <v>306</v>
      </c>
      <c r="Q9220" s="8" t="s">
        <v>52</v>
      </c>
      <c r="R9220" s="10" t="s">
        <v>51682</v>
      </c>
      <c r="S9220" s="11" t="s">
        <v>51683</v>
      </c>
      <c r="T9220" s="6"/>
      <c r="U9220" s="15" t="str">
        <f>HYPERLINK("https://media.infra-m.ru/2238/2238028/cover/2238028.jpg", "Обложка")</f>
        <v>Обложка</v>
      </c>
      <c r="V9220" s="8" t="s">
        <v>5693</v>
      </c>
      <c r="W9220" s="6"/>
      <c r="X9220" s="6"/>
      <c r="Y9220" s="6"/>
      <c r="Z9220" s="6"/>
      <c r="AA9220" s="6" t="s">
        <v>874</v>
      </c>
      <c r="AB9220" s="8"/>
      <c r="AC9220" s="27">
        <v>9785160101194</v>
      </c>
    </row>
    <row r="9221" spans="1:29" s="4" customFormat="1" ht="51.9" customHeight="1" x14ac:dyDescent="0.2">
      <c r="A9221" s="5">
        <v>0</v>
      </c>
      <c r="B9221" s="6" t="s">
        <v>51684</v>
      </c>
      <c r="C9221" s="7">
        <v>1152</v>
      </c>
      <c r="D9221" s="8" t="s">
        <v>51685</v>
      </c>
      <c r="E9221" s="8" t="s">
        <v>51686</v>
      </c>
      <c r="F9221" s="8" t="s">
        <v>51687</v>
      </c>
      <c r="G9221" s="6" t="s">
        <v>60</v>
      </c>
      <c r="H9221" s="6" t="s">
        <v>34</v>
      </c>
      <c r="I9221" s="8" t="s">
        <v>271</v>
      </c>
      <c r="J9221" s="9">
        <v>1</v>
      </c>
      <c r="K9221" s="9">
        <v>331</v>
      </c>
      <c r="L9221" s="9">
        <v>2017</v>
      </c>
      <c r="M9221" s="8" t="s">
        <v>51688</v>
      </c>
      <c r="N9221" s="8" t="s">
        <v>37</v>
      </c>
      <c r="O9221" s="8" t="s">
        <v>233</v>
      </c>
      <c r="P9221" s="6" t="s">
        <v>306</v>
      </c>
      <c r="Q9221" s="8" t="s">
        <v>52</v>
      </c>
      <c r="R9221" s="10" t="s">
        <v>8477</v>
      </c>
      <c r="S9221" s="11" t="s">
        <v>51689</v>
      </c>
      <c r="T9221" s="6"/>
      <c r="U9221" s="15" t="str">
        <f>HYPERLINK("https://media.infra-m.ru/0792/0792832/cover/792832.jpg", "Обложка")</f>
        <v>Обложка</v>
      </c>
      <c r="V9221" s="8" t="s">
        <v>2055</v>
      </c>
      <c r="W9221" s="6"/>
      <c r="X9221" s="6"/>
      <c r="Y9221" s="6"/>
      <c r="Z9221" s="6"/>
      <c r="AA9221" s="6" t="s">
        <v>129</v>
      </c>
      <c r="AB9221" s="8"/>
      <c r="AC9221" s="27">
        <v>9785160044422</v>
      </c>
    </row>
    <row r="9222" spans="1:29" s="4" customFormat="1" ht="51.9" customHeight="1" x14ac:dyDescent="0.2">
      <c r="A9222" s="5">
        <v>0</v>
      </c>
      <c r="B9222" s="6" t="s">
        <v>51690</v>
      </c>
      <c r="C9222" s="7">
        <v>2076</v>
      </c>
      <c r="D9222" s="8" t="s">
        <v>51691</v>
      </c>
      <c r="E9222" s="8" t="s">
        <v>51679</v>
      </c>
      <c r="F9222" s="8" t="s">
        <v>51687</v>
      </c>
      <c r="G9222" s="6" t="s">
        <v>118</v>
      </c>
      <c r="H9222" s="6" t="s">
        <v>34</v>
      </c>
      <c r="I9222" s="8" t="s">
        <v>253</v>
      </c>
      <c r="J9222" s="9">
        <v>1</v>
      </c>
      <c r="K9222" s="9">
        <v>341</v>
      </c>
      <c r="L9222" s="9">
        <v>2025</v>
      </c>
      <c r="M9222" s="8" t="s">
        <v>51692</v>
      </c>
      <c r="N9222" s="8" t="s">
        <v>37</v>
      </c>
      <c r="O9222" s="8" t="s">
        <v>233</v>
      </c>
      <c r="P9222" s="6" t="s">
        <v>306</v>
      </c>
      <c r="Q9222" s="8" t="s">
        <v>52</v>
      </c>
      <c r="R9222" s="10" t="s">
        <v>8477</v>
      </c>
      <c r="S9222" s="11" t="s">
        <v>51693</v>
      </c>
      <c r="T9222" s="6"/>
      <c r="U9222" s="15" t="str">
        <f>HYPERLINK("https://media.infra-m.ru/2187/2187022/cover/2187022.jpg", "Обложка")</f>
        <v>Обложка</v>
      </c>
      <c r="V9222" s="8" t="s">
        <v>2055</v>
      </c>
      <c r="W9222" s="6"/>
      <c r="X9222" s="6"/>
      <c r="Y9222" s="6"/>
      <c r="Z9222" s="6"/>
      <c r="AA9222" s="6" t="s">
        <v>404</v>
      </c>
      <c r="AB9222" s="8"/>
      <c r="AC9222" s="27">
        <v>9785160207285</v>
      </c>
    </row>
    <row r="9223" spans="1:29" s="4" customFormat="1" ht="42" customHeight="1" x14ac:dyDescent="0.2">
      <c r="A9223" s="5">
        <v>0</v>
      </c>
      <c r="B9223" s="6" t="s">
        <v>51694</v>
      </c>
      <c r="C9223" s="13">
        <v>952.8</v>
      </c>
      <c r="D9223" s="8" t="s">
        <v>51695</v>
      </c>
      <c r="E9223" s="8" t="s">
        <v>51696</v>
      </c>
      <c r="F9223" s="8" t="s">
        <v>51697</v>
      </c>
      <c r="G9223" s="6" t="s">
        <v>33</v>
      </c>
      <c r="H9223" s="6" t="s">
        <v>134</v>
      </c>
      <c r="I9223" s="8"/>
      <c r="J9223" s="9">
        <v>1</v>
      </c>
      <c r="K9223" s="9">
        <v>144</v>
      </c>
      <c r="L9223" s="9">
        <v>2026</v>
      </c>
      <c r="M9223" s="8" t="s">
        <v>51698</v>
      </c>
      <c r="N9223" s="8" t="s">
        <v>37</v>
      </c>
      <c r="O9223" s="8" t="s">
        <v>233</v>
      </c>
      <c r="P9223" s="6" t="s">
        <v>39</v>
      </c>
      <c r="Q9223" s="8" t="s">
        <v>40</v>
      </c>
      <c r="R9223" s="10" t="s">
        <v>3008</v>
      </c>
      <c r="S9223" s="11"/>
      <c r="T9223" s="6"/>
      <c r="U9223" s="15" t="str">
        <f>HYPERLINK("https://media.infra-m.ru/2221/2221362/cover/2221362.jpg", "Обложка")</f>
        <v>Обложка</v>
      </c>
      <c r="V9223" s="8" t="s">
        <v>546</v>
      </c>
      <c r="W9223" s="6"/>
      <c r="X9223" s="6"/>
      <c r="Y9223" s="6"/>
      <c r="Z9223" s="6"/>
      <c r="AA9223" s="6" t="s">
        <v>248</v>
      </c>
      <c r="AB9223" s="8"/>
      <c r="AC9223" s="27">
        <v>9785917685427</v>
      </c>
    </row>
    <row r="9224" spans="1:29" s="4" customFormat="1" ht="51.9" customHeight="1" x14ac:dyDescent="0.2">
      <c r="A9224" s="5">
        <v>0</v>
      </c>
      <c r="B9224" s="6" t="s">
        <v>51699</v>
      </c>
      <c r="C9224" s="7">
        <v>1380</v>
      </c>
      <c r="D9224" s="8" t="s">
        <v>51700</v>
      </c>
      <c r="E9224" s="8" t="s">
        <v>51701</v>
      </c>
      <c r="F9224" s="8" t="s">
        <v>51702</v>
      </c>
      <c r="G9224" s="6" t="s">
        <v>118</v>
      </c>
      <c r="H9224" s="6" t="s">
        <v>1644</v>
      </c>
      <c r="I9224" s="8" t="s">
        <v>4028</v>
      </c>
      <c r="J9224" s="9">
        <v>1</v>
      </c>
      <c r="K9224" s="9">
        <v>256</v>
      </c>
      <c r="L9224" s="9">
        <v>2022</v>
      </c>
      <c r="M9224" s="8" t="s">
        <v>51703</v>
      </c>
      <c r="N9224" s="8" t="s">
        <v>37</v>
      </c>
      <c r="O9224" s="8" t="s">
        <v>233</v>
      </c>
      <c r="P9224" s="6" t="s">
        <v>306</v>
      </c>
      <c r="Q9224" s="8" t="s">
        <v>265</v>
      </c>
      <c r="R9224" s="10" t="s">
        <v>51704</v>
      </c>
      <c r="S9224" s="11" t="s">
        <v>51705</v>
      </c>
      <c r="T9224" s="6"/>
      <c r="U9224" s="15" t="str">
        <f>HYPERLINK("https://media.infra-m.ru/1864/1864065/cover/1864065.jpg", "Обложка")</f>
        <v>Обложка</v>
      </c>
      <c r="V9224" s="8" t="s">
        <v>247</v>
      </c>
      <c r="W9224" s="6"/>
      <c r="X9224" s="6" t="s">
        <v>24</v>
      </c>
      <c r="Y9224" s="6"/>
      <c r="Z9224" s="6"/>
      <c r="AA9224" s="6" t="s">
        <v>6584</v>
      </c>
      <c r="AB9224" s="8"/>
      <c r="AC9224" s="27">
        <v>9785977600590</v>
      </c>
    </row>
    <row r="9225" spans="1:29" s="4" customFormat="1" ht="42" customHeight="1" x14ac:dyDescent="0.2">
      <c r="A9225" s="5">
        <v>0</v>
      </c>
      <c r="B9225" s="6" t="s">
        <v>51706</v>
      </c>
      <c r="C9225" s="7">
        <v>2200.8000000000002</v>
      </c>
      <c r="D9225" s="8" t="s">
        <v>51707</v>
      </c>
      <c r="E9225" s="8" t="s">
        <v>51708</v>
      </c>
      <c r="F9225" s="8" t="s">
        <v>51709</v>
      </c>
      <c r="G9225" s="6" t="s">
        <v>60</v>
      </c>
      <c r="H9225" s="6" t="s">
        <v>1042</v>
      </c>
      <c r="I9225" s="8" t="s">
        <v>253</v>
      </c>
      <c r="J9225" s="9">
        <v>1</v>
      </c>
      <c r="K9225" s="9">
        <v>352</v>
      </c>
      <c r="L9225" s="9">
        <v>2025</v>
      </c>
      <c r="M9225" s="8" t="s">
        <v>51710</v>
      </c>
      <c r="N9225" s="8" t="s">
        <v>37</v>
      </c>
      <c r="O9225" s="8" t="s">
        <v>233</v>
      </c>
      <c r="P9225" s="6" t="s">
        <v>306</v>
      </c>
      <c r="Q9225" s="8" t="s">
        <v>52</v>
      </c>
      <c r="R9225" s="10" t="s">
        <v>51711</v>
      </c>
      <c r="S9225" s="11"/>
      <c r="T9225" s="6"/>
      <c r="U9225" s="15" t="str">
        <f>HYPERLINK("https://media.infra-m.ru/2198/2198917/cover/2198917.jpg", "Обложка")</f>
        <v>Обложка</v>
      </c>
      <c r="V9225" s="8" t="s">
        <v>396</v>
      </c>
      <c r="W9225" s="6"/>
      <c r="X9225" s="6"/>
      <c r="Y9225" s="6"/>
      <c r="Z9225" s="6"/>
      <c r="AA9225" s="6" t="s">
        <v>43</v>
      </c>
      <c r="AB9225" s="8"/>
      <c r="AC9225" s="27">
        <v>9785819904893</v>
      </c>
    </row>
    <row r="9226" spans="1:29" s="4" customFormat="1" ht="51.9" customHeight="1" x14ac:dyDescent="0.2">
      <c r="A9226" s="5">
        <v>0</v>
      </c>
      <c r="B9226" s="6" t="s">
        <v>51712</v>
      </c>
      <c r="C9226" s="7">
        <v>1260</v>
      </c>
      <c r="D9226" s="8" t="s">
        <v>51713</v>
      </c>
      <c r="E9226" s="8" t="s">
        <v>51714</v>
      </c>
      <c r="F9226" s="8" t="s">
        <v>1998</v>
      </c>
      <c r="G9226" s="6" t="s">
        <v>118</v>
      </c>
      <c r="H9226" s="6" t="s">
        <v>313</v>
      </c>
      <c r="I9226" s="8" t="s">
        <v>401</v>
      </c>
      <c r="J9226" s="9">
        <v>1</v>
      </c>
      <c r="K9226" s="9">
        <v>180</v>
      </c>
      <c r="L9226" s="9">
        <v>2026</v>
      </c>
      <c r="M9226" s="8" t="s">
        <v>51715</v>
      </c>
      <c r="N9226" s="8" t="s">
        <v>37</v>
      </c>
      <c r="O9226" s="8" t="s">
        <v>233</v>
      </c>
      <c r="P9226" s="6" t="s">
        <v>51</v>
      </c>
      <c r="Q9226" s="8" t="s">
        <v>265</v>
      </c>
      <c r="R9226" s="10" t="s">
        <v>51716</v>
      </c>
      <c r="S9226" s="11"/>
      <c r="T9226" s="6"/>
      <c r="U9226" s="15" t="str">
        <f>HYPERLINK("https://media.infra-m.ru/2253/2253403/cover/2253403.jpg", "Обложка")</f>
        <v>Обложка</v>
      </c>
      <c r="V9226" s="8" t="s">
        <v>2001</v>
      </c>
      <c r="W9226" s="6"/>
      <c r="X9226" s="6" t="s">
        <v>24</v>
      </c>
      <c r="Y9226" s="6"/>
      <c r="Z9226" s="6"/>
      <c r="AA9226" s="6" t="s">
        <v>1256</v>
      </c>
      <c r="AB9226" s="8"/>
      <c r="AC9226" s="27">
        <v>9785369018309</v>
      </c>
    </row>
    <row r="9227" spans="1:29" s="4" customFormat="1" ht="51.9" customHeight="1" x14ac:dyDescent="0.2">
      <c r="A9227" s="5">
        <v>0</v>
      </c>
      <c r="B9227" s="6" t="s">
        <v>51717</v>
      </c>
      <c r="C9227" s="7">
        <v>1944</v>
      </c>
      <c r="D9227" s="8" t="s">
        <v>51718</v>
      </c>
      <c r="E9227" s="8" t="s">
        <v>51719</v>
      </c>
      <c r="F9227" s="8" t="s">
        <v>41284</v>
      </c>
      <c r="G9227" s="6" t="s">
        <v>118</v>
      </c>
      <c r="H9227" s="6" t="s">
        <v>34</v>
      </c>
      <c r="I9227" s="8" t="s">
        <v>271</v>
      </c>
      <c r="J9227" s="9">
        <v>1</v>
      </c>
      <c r="K9227" s="9">
        <v>351</v>
      </c>
      <c r="L9227" s="9">
        <v>2023</v>
      </c>
      <c r="M9227" s="8" t="s">
        <v>51720</v>
      </c>
      <c r="N9227" s="8" t="s">
        <v>37</v>
      </c>
      <c r="O9227" s="8" t="s">
        <v>233</v>
      </c>
      <c r="P9227" s="6" t="s">
        <v>306</v>
      </c>
      <c r="Q9227" s="8" t="s">
        <v>52</v>
      </c>
      <c r="R9227" s="10" t="s">
        <v>370</v>
      </c>
      <c r="S9227" s="11" t="s">
        <v>2094</v>
      </c>
      <c r="T9227" s="6"/>
      <c r="U9227" s="15" t="str">
        <f>HYPERLINK("https://media.infra-m.ru/1894/1894746/cover/1894746.jpg", "Обложка")</f>
        <v>Обложка</v>
      </c>
      <c r="V9227" s="8" t="s">
        <v>396</v>
      </c>
      <c r="W9227" s="6"/>
      <c r="X9227" s="6"/>
      <c r="Y9227" s="6"/>
      <c r="Z9227" s="6"/>
      <c r="AA9227" s="6" t="s">
        <v>779</v>
      </c>
      <c r="AB9227" s="8"/>
      <c r="AC9227" s="27">
        <v>9785160127699</v>
      </c>
    </row>
    <row r="9228" spans="1:29" s="4" customFormat="1" ht="51.9" customHeight="1" x14ac:dyDescent="0.2">
      <c r="A9228" s="5">
        <v>0</v>
      </c>
      <c r="B9228" s="6" t="s">
        <v>51721</v>
      </c>
      <c r="C9228" s="7">
        <v>2208</v>
      </c>
      <c r="D9228" s="8" t="s">
        <v>51722</v>
      </c>
      <c r="E9228" s="8" t="s">
        <v>51719</v>
      </c>
      <c r="F9228" s="8" t="s">
        <v>51723</v>
      </c>
      <c r="G9228" s="6" t="s">
        <v>118</v>
      </c>
      <c r="H9228" s="6" t="s">
        <v>34</v>
      </c>
      <c r="I9228" s="8" t="s">
        <v>263</v>
      </c>
      <c r="J9228" s="9">
        <v>1</v>
      </c>
      <c r="K9228" s="9">
        <v>335</v>
      </c>
      <c r="L9228" s="9">
        <v>2026</v>
      </c>
      <c r="M9228" s="8" t="s">
        <v>51724</v>
      </c>
      <c r="N9228" s="8" t="s">
        <v>37</v>
      </c>
      <c r="O9228" s="8" t="s">
        <v>233</v>
      </c>
      <c r="P9228" s="6" t="s">
        <v>306</v>
      </c>
      <c r="Q9228" s="8" t="s">
        <v>265</v>
      </c>
      <c r="R9228" s="10" t="s">
        <v>51725</v>
      </c>
      <c r="S9228" s="11" t="s">
        <v>51726</v>
      </c>
      <c r="T9228" s="6"/>
      <c r="U9228" s="15" t="str">
        <f>HYPERLINK("https://media.infra-m.ru/2238/2238276/cover/2238276.jpg", "Обложка")</f>
        <v>Обложка</v>
      </c>
      <c r="V9228" s="8" t="s">
        <v>1505</v>
      </c>
      <c r="W9228" s="6"/>
      <c r="X9228" s="6" t="s">
        <v>24</v>
      </c>
      <c r="Y9228" s="6"/>
      <c r="Z9228" s="6"/>
      <c r="AA9228" s="6" t="s">
        <v>1007</v>
      </c>
      <c r="AB9228" s="8"/>
      <c r="AC9228" s="27">
        <v>9785160218403</v>
      </c>
    </row>
    <row r="9229" spans="1:29" s="4" customFormat="1" ht="51.9" customHeight="1" x14ac:dyDescent="0.2">
      <c r="A9229" s="5">
        <v>0</v>
      </c>
      <c r="B9229" s="6" t="s">
        <v>51727</v>
      </c>
      <c r="C9229" s="7">
        <v>5620.8</v>
      </c>
      <c r="D9229" s="8" t="s">
        <v>51728</v>
      </c>
      <c r="E9229" s="8" t="s">
        <v>51719</v>
      </c>
      <c r="F9229" s="8" t="s">
        <v>51729</v>
      </c>
      <c r="G9229" s="6" t="s">
        <v>60</v>
      </c>
      <c r="H9229" s="6" t="s">
        <v>34</v>
      </c>
      <c r="I9229" s="8" t="s">
        <v>253</v>
      </c>
      <c r="J9229" s="9">
        <v>1</v>
      </c>
      <c r="K9229" s="9">
        <v>952</v>
      </c>
      <c r="L9229" s="9">
        <v>2026</v>
      </c>
      <c r="M9229" s="8" t="s">
        <v>51730</v>
      </c>
      <c r="N9229" s="8" t="s">
        <v>37</v>
      </c>
      <c r="O9229" s="8" t="s">
        <v>233</v>
      </c>
      <c r="P9229" s="6" t="s">
        <v>306</v>
      </c>
      <c r="Q9229" s="8" t="s">
        <v>65</v>
      </c>
      <c r="R9229" s="10" t="s">
        <v>51731</v>
      </c>
      <c r="S9229" s="11"/>
      <c r="T9229" s="6"/>
      <c r="U9229" s="15" t="str">
        <f>HYPERLINK("https://media.infra-m.ru/2234/2234932/cover/2234932.jpg", "Обложка")</f>
        <v>Обложка</v>
      </c>
      <c r="V9229" s="8" t="s">
        <v>396</v>
      </c>
      <c r="W9229" s="6"/>
      <c r="X9229" s="6"/>
      <c r="Y9229" s="6"/>
      <c r="Z9229" s="6"/>
      <c r="AA9229" s="6" t="s">
        <v>68</v>
      </c>
      <c r="AB9229" s="8"/>
      <c r="AC9229" s="27">
        <v>9785160182896</v>
      </c>
    </row>
    <row r="9230" spans="1:29" s="4" customFormat="1" ht="42" customHeight="1" x14ac:dyDescent="0.2">
      <c r="A9230" s="5">
        <v>0</v>
      </c>
      <c r="B9230" s="6" t="s">
        <v>51732</v>
      </c>
      <c r="C9230" s="7">
        <v>3360</v>
      </c>
      <c r="D9230" s="8" t="s">
        <v>51733</v>
      </c>
      <c r="E9230" s="8" t="s">
        <v>51734</v>
      </c>
      <c r="F9230" s="8" t="s">
        <v>51735</v>
      </c>
      <c r="G9230" s="6" t="s">
        <v>60</v>
      </c>
      <c r="H9230" s="6" t="s">
        <v>34</v>
      </c>
      <c r="I9230" s="8"/>
      <c r="J9230" s="9">
        <v>1</v>
      </c>
      <c r="K9230" s="9">
        <v>480</v>
      </c>
      <c r="L9230" s="9">
        <v>2026</v>
      </c>
      <c r="M9230" s="8" t="s">
        <v>51736</v>
      </c>
      <c r="N9230" s="8" t="s">
        <v>37</v>
      </c>
      <c r="O9230" s="8" t="s">
        <v>233</v>
      </c>
      <c r="P9230" s="6" t="s">
        <v>759</v>
      </c>
      <c r="Q9230" s="8" t="s">
        <v>52</v>
      </c>
      <c r="R9230" s="10" t="s">
        <v>51737</v>
      </c>
      <c r="S9230" s="11"/>
      <c r="T9230" s="6"/>
      <c r="U9230" s="15" t="str">
        <f>HYPERLINK("https://media.infra-m.ru/2249/2249160/cover/2249160.jpg", "Обложка")</f>
        <v>Обложка</v>
      </c>
      <c r="V9230" s="8" t="s">
        <v>1768</v>
      </c>
      <c r="W9230" s="6"/>
      <c r="X9230" s="6"/>
      <c r="Y9230" s="6"/>
      <c r="Z9230" s="6"/>
      <c r="AA9230" s="6" t="s">
        <v>1506</v>
      </c>
      <c r="AB9230" s="8"/>
      <c r="AC9230" s="27">
        <v>9785160125275</v>
      </c>
    </row>
    <row r="9231" spans="1:29" s="4" customFormat="1" ht="51.9" customHeight="1" x14ac:dyDescent="0.2">
      <c r="A9231" s="5">
        <v>0</v>
      </c>
      <c r="B9231" s="6" t="s">
        <v>51738</v>
      </c>
      <c r="C9231" s="7">
        <v>1908</v>
      </c>
      <c r="D9231" s="8" t="s">
        <v>51739</v>
      </c>
      <c r="E9231" s="8" t="s">
        <v>51740</v>
      </c>
      <c r="F9231" s="8" t="s">
        <v>30190</v>
      </c>
      <c r="G9231" s="6" t="s">
        <v>118</v>
      </c>
      <c r="H9231" s="6" t="s">
        <v>34</v>
      </c>
      <c r="I9231" s="8" t="s">
        <v>263</v>
      </c>
      <c r="J9231" s="9">
        <v>1</v>
      </c>
      <c r="K9231" s="9">
        <v>288</v>
      </c>
      <c r="L9231" s="9">
        <v>2026</v>
      </c>
      <c r="M9231" s="8" t="s">
        <v>51741</v>
      </c>
      <c r="N9231" s="8" t="s">
        <v>37</v>
      </c>
      <c r="O9231" s="8" t="s">
        <v>233</v>
      </c>
      <c r="P9231" s="6" t="s">
        <v>306</v>
      </c>
      <c r="Q9231" s="8" t="s">
        <v>265</v>
      </c>
      <c r="R9231" s="10" t="s">
        <v>51742</v>
      </c>
      <c r="S9231" s="11" t="s">
        <v>51743</v>
      </c>
      <c r="T9231" s="6"/>
      <c r="U9231" s="15" t="str">
        <f>HYPERLINK("https://media.infra-m.ru/2235/2235154/cover/2235154.jpg", "Обложка")</f>
        <v>Обложка</v>
      </c>
      <c r="V9231" s="8" t="s">
        <v>1046</v>
      </c>
      <c r="W9231" s="6"/>
      <c r="X9231" s="6" t="s">
        <v>24</v>
      </c>
      <c r="Y9231" s="6"/>
      <c r="Z9231" s="6"/>
      <c r="AA9231" s="6" t="s">
        <v>1506</v>
      </c>
      <c r="AB9231" s="8"/>
      <c r="AC9231" s="27">
        <v>9785160216928</v>
      </c>
    </row>
    <row r="9232" spans="1:29" s="4" customFormat="1" ht="51.9" customHeight="1" x14ac:dyDescent="0.2">
      <c r="A9232" s="5">
        <v>0</v>
      </c>
      <c r="B9232" s="6" t="s">
        <v>51744</v>
      </c>
      <c r="C9232" s="7">
        <v>1804.8</v>
      </c>
      <c r="D9232" s="8" t="s">
        <v>51745</v>
      </c>
      <c r="E9232" s="8" t="s">
        <v>51746</v>
      </c>
      <c r="F9232" s="8" t="s">
        <v>51747</v>
      </c>
      <c r="G9232" s="6" t="s">
        <v>118</v>
      </c>
      <c r="H9232" s="6" t="s">
        <v>34</v>
      </c>
      <c r="I9232" s="8" t="s">
        <v>263</v>
      </c>
      <c r="J9232" s="9">
        <v>1</v>
      </c>
      <c r="K9232" s="9">
        <v>300</v>
      </c>
      <c r="L9232" s="9">
        <v>2025</v>
      </c>
      <c r="M9232" s="8" t="s">
        <v>51748</v>
      </c>
      <c r="N9232" s="8" t="s">
        <v>37</v>
      </c>
      <c r="O9232" s="8" t="s">
        <v>233</v>
      </c>
      <c r="P9232" s="6" t="s">
        <v>306</v>
      </c>
      <c r="Q9232" s="8" t="s">
        <v>265</v>
      </c>
      <c r="R9232" s="10" t="s">
        <v>51749</v>
      </c>
      <c r="S9232" s="11" t="s">
        <v>51750</v>
      </c>
      <c r="T9232" s="6" t="s">
        <v>97</v>
      </c>
      <c r="U9232" s="15" t="str">
        <f>HYPERLINK("https://media.infra-m.ru/2179/2179461/cover/2179461.jpg", "Обложка")</f>
        <v>Обложка</v>
      </c>
      <c r="V9232" s="8" t="s">
        <v>5117</v>
      </c>
      <c r="W9232" s="6"/>
      <c r="X9232" s="6" t="s">
        <v>24</v>
      </c>
      <c r="Y9232" s="6"/>
      <c r="Z9232" s="6"/>
      <c r="AA9232" s="6" t="s">
        <v>2338</v>
      </c>
      <c r="AB9232" s="8"/>
      <c r="AC9232" s="27">
        <v>9785160093390</v>
      </c>
    </row>
    <row r="9233" spans="1:29" s="4" customFormat="1" ht="51.9" customHeight="1" x14ac:dyDescent="0.2">
      <c r="A9233" s="5">
        <v>0</v>
      </c>
      <c r="B9233" s="6" t="s">
        <v>51751</v>
      </c>
      <c r="C9233" s="7">
        <v>1984.8</v>
      </c>
      <c r="D9233" s="8" t="s">
        <v>51752</v>
      </c>
      <c r="E9233" s="8" t="s">
        <v>51753</v>
      </c>
      <c r="F9233" s="8" t="s">
        <v>51754</v>
      </c>
      <c r="G9233" s="6" t="s">
        <v>60</v>
      </c>
      <c r="H9233" s="6" t="s">
        <v>34</v>
      </c>
      <c r="I9233" s="8" t="s">
        <v>271</v>
      </c>
      <c r="J9233" s="9">
        <v>1</v>
      </c>
      <c r="K9233" s="9">
        <v>318</v>
      </c>
      <c r="L9233" s="9">
        <v>2025</v>
      </c>
      <c r="M9233" s="8" t="s">
        <v>51755</v>
      </c>
      <c r="N9233" s="8" t="s">
        <v>37</v>
      </c>
      <c r="O9233" s="8" t="s">
        <v>233</v>
      </c>
      <c r="P9233" s="6" t="s">
        <v>306</v>
      </c>
      <c r="Q9233" s="8" t="s">
        <v>52</v>
      </c>
      <c r="R9233" s="10" t="s">
        <v>51756</v>
      </c>
      <c r="S9233" s="11" t="s">
        <v>20393</v>
      </c>
      <c r="T9233" s="6"/>
      <c r="U9233" s="15" t="str">
        <f>HYPERLINK("https://media.infra-m.ru/2204/2204302/cover/2204302.jpg", "Обложка")</f>
        <v>Обложка</v>
      </c>
      <c r="V9233" s="8" t="s">
        <v>7517</v>
      </c>
      <c r="W9233" s="6"/>
      <c r="X9233" s="6"/>
      <c r="Y9233" s="6"/>
      <c r="Z9233" s="6"/>
      <c r="AA9233" s="6" t="s">
        <v>55</v>
      </c>
      <c r="AB9233" s="8"/>
      <c r="AC9233" s="27">
        <v>9785160047126</v>
      </c>
    </row>
    <row r="9234" spans="1:29" s="4" customFormat="1" ht="51.9" customHeight="1" x14ac:dyDescent="0.2">
      <c r="A9234" s="5">
        <v>0</v>
      </c>
      <c r="B9234" s="6" t="s">
        <v>51757</v>
      </c>
      <c r="C9234" s="7">
        <v>1984.8</v>
      </c>
      <c r="D9234" s="8" t="s">
        <v>51758</v>
      </c>
      <c r="E9234" s="8" t="s">
        <v>51753</v>
      </c>
      <c r="F9234" s="8" t="s">
        <v>51759</v>
      </c>
      <c r="G9234" s="6" t="s">
        <v>118</v>
      </c>
      <c r="H9234" s="6" t="s">
        <v>34</v>
      </c>
      <c r="I9234" s="8" t="s">
        <v>263</v>
      </c>
      <c r="J9234" s="9">
        <v>1</v>
      </c>
      <c r="K9234" s="9">
        <v>318</v>
      </c>
      <c r="L9234" s="9">
        <v>2026</v>
      </c>
      <c r="M9234" s="8" t="s">
        <v>51760</v>
      </c>
      <c r="N9234" s="8" t="s">
        <v>37</v>
      </c>
      <c r="O9234" s="8" t="s">
        <v>233</v>
      </c>
      <c r="P9234" s="6" t="s">
        <v>306</v>
      </c>
      <c r="Q9234" s="8" t="s">
        <v>265</v>
      </c>
      <c r="R9234" s="10" t="s">
        <v>4160</v>
      </c>
      <c r="S9234" s="11" t="s">
        <v>12773</v>
      </c>
      <c r="T9234" s="6"/>
      <c r="U9234" s="15" t="str">
        <f>HYPERLINK("https://media.infra-m.ru/2214/2214965/cover/2214965.jpg", "Обложка")</f>
        <v>Обложка</v>
      </c>
      <c r="V9234" s="8" t="s">
        <v>7517</v>
      </c>
      <c r="W9234" s="6"/>
      <c r="X9234" s="6"/>
      <c r="Y9234" s="6"/>
      <c r="Z9234" s="6" t="s">
        <v>267</v>
      </c>
      <c r="AA9234" s="6" t="s">
        <v>115</v>
      </c>
      <c r="AB9234" s="8"/>
      <c r="AC9234" s="27">
        <v>9785160148137</v>
      </c>
    </row>
    <row r="9235" spans="1:29" s="4" customFormat="1" ht="51.9" customHeight="1" x14ac:dyDescent="0.2">
      <c r="A9235" s="5">
        <v>0</v>
      </c>
      <c r="B9235" s="6" t="s">
        <v>51761</v>
      </c>
      <c r="C9235" s="13">
        <v>904.8</v>
      </c>
      <c r="D9235" s="8" t="s">
        <v>51762</v>
      </c>
      <c r="E9235" s="8" t="s">
        <v>51763</v>
      </c>
      <c r="F9235" s="8" t="s">
        <v>18733</v>
      </c>
      <c r="G9235" s="6" t="s">
        <v>118</v>
      </c>
      <c r="H9235" s="6" t="s">
        <v>34</v>
      </c>
      <c r="I9235" s="8" t="s">
        <v>263</v>
      </c>
      <c r="J9235" s="9">
        <v>1</v>
      </c>
      <c r="K9235" s="9">
        <v>145</v>
      </c>
      <c r="L9235" s="9">
        <v>2026</v>
      </c>
      <c r="M9235" s="8" t="s">
        <v>51764</v>
      </c>
      <c r="N9235" s="8" t="s">
        <v>37</v>
      </c>
      <c r="O9235" s="8" t="s">
        <v>233</v>
      </c>
      <c r="P9235" s="6" t="s">
        <v>51</v>
      </c>
      <c r="Q9235" s="8" t="s">
        <v>265</v>
      </c>
      <c r="R9235" s="10" t="s">
        <v>51765</v>
      </c>
      <c r="S9235" s="11" t="s">
        <v>51766</v>
      </c>
      <c r="T9235" s="6"/>
      <c r="U9235" s="15" t="str">
        <f>HYPERLINK("https://media.infra-m.ru/2208/2208658/cover/2208658.jpg", "Обложка")</f>
        <v>Обложка</v>
      </c>
      <c r="V9235" s="8" t="s">
        <v>5964</v>
      </c>
      <c r="W9235" s="6"/>
      <c r="X9235" s="6" t="s">
        <v>24</v>
      </c>
      <c r="Y9235" s="6"/>
      <c r="Z9235" s="6" t="s">
        <v>267</v>
      </c>
      <c r="AA9235" s="6" t="s">
        <v>1256</v>
      </c>
      <c r="AB9235" s="8"/>
      <c r="AC9235" s="27">
        <v>9785160156941</v>
      </c>
    </row>
    <row r="9236" spans="1:29" s="4" customFormat="1" ht="51.9" customHeight="1" x14ac:dyDescent="0.2">
      <c r="A9236" s="5">
        <v>0</v>
      </c>
      <c r="B9236" s="6" t="s">
        <v>51767</v>
      </c>
      <c r="C9236" s="7">
        <v>1012.8</v>
      </c>
      <c r="D9236" s="8" t="s">
        <v>51768</v>
      </c>
      <c r="E9236" s="8" t="s">
        <v>51763</v>
      </c>
      <c r="F9236" s="8" t="s">
        <v>13556</v>
      </c>
      <c r="G9236" s="6" t="s">
        <v>118</v>
      </c>
      <c r="H9236" s="6" t="s">
        <v>34</v>
      </c>
      <c r="I9236" s="8" t="s">
        <v>253</v>
      </c>
      <c r="J9236" s="9">
        <v>1</v>
      </c>
      <c r="K9236" s="9">
        <v>145</v>
      </c>
      <c r="L9236" s="9">
        <v>2027</v>
      </c>
      <c r="M9236" s="8" t="s">
        <v>51769</v>
      </c>
      <c r="N9236" s="8" t="s">
        <v>37</v>
      </c>
      <c r="O9236" s="8" t="s">
        <v>233</v>
      </c>
      <c r="P9236" s="6" t="s">
        <v>51</v>
      </c>
      <c r="Q9236" s="8" t="s">
        <v>52</v>
      </c>
      <c r="R9236" s="10" t="s">
        <v>51770</v>
      </c>
      <c r="S9236" s="11" t="s">
        <v>51771</v>
      </c>
      <c r="T9236" s="6"/>
      <c r="U9236" s="15" t="str">
        <f>HYPERLINK("https://media.infra-m.ru/2251/2251378/cover/2251378.jpg", "Обложка")</f>
        <v>Обложка</v>
      </c>
      <c r="V9236" s="8" t="s">
        <v>5964</v>
      </c>
      <c r="W9236" s="6"/>
      <c r="X9236" s="6"/>
      <c r="Y9236" s="6"/>
      <c r="Z9236" s="6"/>
      <c r="AA9236" s="6" t="s">
        <v>561</v>
      </c>
      <c r="AB9236" s="8"/>
      <c r="AC9236" s="27">
        <v>9785160186320</v>
      </c>
    </row>
    <row r="9237" spans="1:29" s="4" customFormat="1" ht="51.9" customHeight="1" x14ac:dyDescent="0.2">
      <c r="A9237" s="5">
        <v>0</v>
      </c>
      <c r="B9237" s="6" t="s">
        <v>51772</v>
      </c>
      <c r="C9237" s="7">
        <v>2196</v>
      </c>
      <c r="D9237" s="8" t="s">
        <v>51773</v>
      </c>
      <c r="E9237" s="8" t="s">
        <v>51774</v>
      </c>
      <c r="F9237" s="8" t="s">
        <v>51361</v>
      </c>
      <c r="G9237" s="6" t="s">
        <v>118</v>
      </c>
      <c r="H9237" s="6" t="s">
        <v>34</v>
      </c>
      <c r="I9237" s="8" t="s">
        <v>253</v>
      </c>
      <c r="J9237" s="9">
        <v>1</v>
      </c>
      <c r="K9237" s="9">
        <v>394</v>
      </c>
      <c r="L9237" s="9">
        <v>2024</v>
      </c>
      <c r="M9237" s="8" t="s">
        <v>51775</v>
      </c>
      <c r="N9237" s="8" t="s">
        <v>37</v>
      </c>
      <c r="O9237" s="8" t="s">
        <v>233</v>
      </c>
      <c r="P9237" s="6" t="s">
        <v>306</v>
      </c>
      <c r="Q9237" s="8" t="s">
        <v>52</v>
      </c>
      <c r="R9237" s="10" t="s">
        <v>7861</v>
      </c>
      <c r="S9237" s="11" t="s">
        <v>51776</v>
      </c>
      <c r="T9237" s="6"/>
      <c r="U9237" s="15" t="str">
        <f>HYPERLINK("https://media.infra-m.ru/2063/2063450/cover/2063450.jpg", "Обложка")</f>
        <v>Обложка</v>
      </c>
      <c r="V9237" s="8" t="s">
        <v>24133</v>
      </c>
      <c r="W9237" s="6"/>
      <c r="X9237" s="6"/>
      <c r="Y9237" s="6"/>
      <c r="Z9237" s="6"/>
      <c r="AA9237" s="6" t="s">
        <v>623</v>
      </c>
      <c r="AB9237" s="8"/>
      <c r="AC9237" s="27">
        <v>9785160188317</v>
      </c>
    </row>
    <row r="9238" spans="1:29" s="4" customFormat="1" ht="51.9" customHeight="1" x14ac:dyDescent="0.2">
      <c r="A9238" s="5">
        <v>0</v>
      </c>
      <c r="B9238" s="6" t="s">
        <v>51777</v>
      </c>
      <c r="C9238" s="7">
        <v>2604</v>
      </c>
      <c r="D9238" s="8" t="s">
        <v>51778</v>
      </c>
      <c r="E9238" s="8" t="s">
        <v>51779</v>
      </c>
      <c r="F9238" s="8" t="s">
        <v>51780</v>
      </c>
      <c r="G9238" s="6" t="s">
        <v>118</v>
      </c>
      <c r="H9238" s="6" t="s">
        <v>34</v>
      </c>
      <c r="I9238" s="8" t="s">
        <v>253</v>
      </c>
      <c r="J9238" s="9">
        <v>1</v>
      </c>
      <c r="K9238" s="9">
        <v>374</v>
      </c>
      <c r="L9238" s="9">
        <v>2027</v>
      </c>
      <c r="M9238" s="8" t="s">
        <v>51781</v>
      </c>
      <c r="N9238" s="8" t="s">
        <v>37</v>
      </c>
      <c r="O9238" s="8" t="s">
        <v>233</v>
      </c>
      <c r="P9238" s="6" t="s">
        <v>51</v>
      </c>
      <c r="Q9238" s="8" t="s">
        <v>52</v>
      </c>
      <c r="R9238" s="10" t="s">
        <v>51782</v>
      </c>
      <c r="S9238" s="11" t="s">
        <v>51783</v>
      </c>
      <c r="T9238" s="6" t="s">
        <v>97</v>
      </c>
      <c r="U9238" s="15" t="str">
        <f>HYPERLINK("https://media.infra-m.ru/2271/2271302/cover/2271302.jpg", "Обложка")</f>
        <v>Обложка</v>
      </c>
      <c r="V9238" s="8" t="s">
        <v>51784</v>
      </c>
      <c r="W9238" s="6"/>
      <c r="X9238" s="6"/>
      <c r="Y9238" s="6"/>
      <c r="Z9238" s="6"/>
      <c r="AA9238" s="6" t="s">
        <v>779</v>
      </c>
      <c r="AB9238" s="8"/>
      <c r="AC9238" s="27">
        <v>9785160225210</v>
      </c>
    </row>
    <row r="9239" spans="1:29" s="4" customFormat="1" ht="51.9" customHeight="1" x14ac:dyDescent="0.2">
      <c r="A9239" s="5">
        <v>0</v>
      </c>
      <c r="B9239" s="6" t="s">
        <v>51785</v>
      </c>
      <c r="C9239" s="7">
        <v>1596</v>
      </c>
      <c r="D9239" s="8" t="s">
        <v>51786</v>
      </c>
      <c r="E9239" s="8" t="s">
        <v>51787</v>
      </c>
      <c r="F9239" s="8" t="s">
        <v>51788</v>
      </c>
      <c r="G9239" s="6" t="s">
        <v>118</v>
      </c>
      <c r="H9239" s="6" t="s">
        <v>34</v>
      </c>
      <c r="I9239" s="8"/>
      <c r="J9239" s="9">
        <v>1</v>
      </c>
      <c r="K9239" s="9">
        <v>256</v>
      </c>
      <c r="L9239" s="9">
        <v>2025</v>
      </c>
      <c r="M9239" s="8" t="s">
        <v>51789</v>
      </c>
      <c r="N9239" s="8" t="s">
        <v>37</v>
      </c>
      <c r="O9239" s="8" t="s">
        <v>233</v>
      </c>
      <c r="P9239" s="6" t="s">
        <v>51</v>
      </c>
      <c r="Q9239" s="8" t="s">
        <v>52</v>
      </c>
      <c r="R9239" s="10" t="s">
        <v>51790</v>
      </c>
      <c r="S9239" s="11" t="s">
        <v>51791</v>
      </c>
      <c r="T9239" s="6"/>
      <c r="U9239" s="15" t="str">
        <f>HYPERLINK("https://media.infra-m.ru/2207/2207150/cover/2207150.jpg", "Обложка")</f>
        <v>Обложка</v>
      </c>
      <c r="V9239" s="8" t="s">
        <v>644</v>
      </c>
      <c r="W9239" s="6"/>
      <c r="X9239" s="6"/>
      <c r="Y9239" s="6"/>
      <c r="Z9239" s="6"/>
      <c r="AA9239" s="6" t="s">
        <v>16021</v>
      </c>
      <c r="AB9239" s="8"/>
      <c r="AC9239" s="27">
        <v>9785160210636</v>
      </c>
    </row>
    <row r="9240" spans="1:29" s="4" customFormat="1" ht="51.9" customHeight="1" x14ac:dyDescent="0.2">
      <c r="A9240" s="5">
        <v>0</v>
      </c>
      <c r="B9240" s="6" t="s">
        <v>51792</v>
      </c>
      <c r="C9240" s="7">
        <v>2416.8000000000002</v>
      </c>
      <c r="D9240" s="8" t="s">
        <v>51793</v>
      </c>
      <c r="E9240" s="8" t="s">
        <v>51794</v>
      </c>
      <c r="F9240" s="8" t="s">
        <v>51795</v>
      </c>
      <c r="G9240" s="6" t="s">
        <v>60</v>
      </c>
      <c r="H9240" s="6" t="s">
        <v>34</v>
      </c>
      <c r="I9240" s="8" t="s">
        <v>271</v>
      </c>
      <c r="J9240" s="9">
        <v>1</v>
      </c>
      <c r="K9240" s="9">
        <v>346</v>
      </c>
      <c r="L9240" s="9">
        <v>2027</v>
      </c>
      <c r="M9240" s="8" t="s">
        <v>51796</v>
      </c>
      <c r="N9240" s="8" t="s">
        <v>37</v>
      </c>
      <c r="O9240" s="8" t="s">
        <v>233</v>
      </c>
      <c r="P9240" s="6" t="s">
        <v>306</v>
      </c>
      <c r="Q9240" s="8" t="s">
        <v>52</v>
      </c>
      <c r="R9240" s="10" t="s">
        <v>51797</v>
      </c>
      <c r="S9240" s="11" t="s">
        <v>51798</v>
      </c>
      <c r="T9240" s="6"/>
      <c r="U9240" s="15" t="str">
        <f>HYPERLINK("https://media.infra-m.ru/2263/2263551/cover/2263551.jpg", "Обложка")</f>
        <v>Обложка</v>
      </c>
      <c r="V9240" s="8" t="s">
        <v>1768</v>
      </c>
      <c r="W9240" s="6"/>
      <c r="X9240" s="6"/>
      <c r="Y9240" s="6"/>
      <c r="Z9240" s="6"/>
      <c r="AA9240" s="6" t="s">
        <v>55</v>
      </c>
      <c r="AB9240" s="8"/>
      <c r="AC9240" s="27">
        <v>9785160054452</v>
      </c>
    </row>
    <row r="9241" spans="1:29" s="4" customFormat="1" ht="51.9" customHeight="1" x14ac:dyDescent="0.2">
      <c r="A9241" s="5">
        <v>0</v>
      </c>
      <c r="B9241" s="6" t="s">
        <v>51799</v>
      </c>
      <c r="C9241" s="7">
        <v>1872</v>
      </c>
      <c r="D9241" s="8" t="s">
        <v>51800</v>
      </c>
      <c r="E9241" s="8" t="s">
        <v>51801</v>
      </c>
      <c r="F9241" s="8" t="s">
        <v>51802</v>
      </c>
      <c r="G9241" s="6" t="s">
        <v>118</v>
      </c>
      <c r="H9241" s="6" t="s">
        <v>34</v>
      </c>
      <c r="I9241" s="8" t="s">
        <v>271</v>
      </c>
      <c r="J9241" s="9">
        <v>1</v>
      </c>
      <c r="K9241" s="9">
        <v>346</v>
      </c>
      <c r="L9241" s="9">
        <v>2018</v>
      </c>
      <c r="M9241" s="8" t="s">
        <v>51803</v>
      </c>
      <c r="N9241" s="8" t="s">
        <v>37</v>
      </c>
      <c r="O9241" s="8" t="s">
        <v>233</v>
      </c>
      <c r="P9241" s="6" t="s">
        <v>306</v>
      </c>
      <c r="Q9241" s="8" t="s">
        <v>52</v>
      </c>
      <c r="R9241" s="10" t="s">
        <v>357</v>
      </c>
      <c r="S9241" s="11" t="s">
        <v>51804</v>
      </c>
      <c r="T9241" s="6" t="s">
        <v>97</v>
      </c>
      <c r="U9241" s="15" t="str">
        <f>HYPERLINK("https://media.infra-m.ru/1950/1950297/cover/1950297.jpg", "Обложка")</f>
        <v>Обложка</v>
      </c>
      <c r="V9241" s="8" t="s">
        <v>644</v>
      </c>
      <c r="W9241" s="6"/>
      <c r="X9241" s="6"/>
      <c r="Y9241" s="6"/>
      <c r="Z9241" s="6"/>
      <c r="AA9241" s="6" t="s">
        <v>859</v>
      </c>
      <c r="AB9241" s="8"/>
      <c r="AC9241" s="27">
        <v>9785160091631</v>
      </c>
    </row>
    <row r="9242" spans="1:29" s="4" customFormat="1" ht="51.9" customHeight="1" x14ac:dyDescent="0.2">
      <c r="A9242" s="5">
        <v>0</v>
      </c>
      <c r="B9242" s="6" t="s">
        <v>51805</v>
      </c>
      <c r="C9242" s="7">
        <v>2956.8</v>
      </c>
      <c r="D9242" s="8" t="s">
        <v>51806</v>
      </c>
      <c r="E9242" s="8" t="s">
        <v>51807</v>
      </c>
      <c r="F9242" s="8" t="s">
        <v>51808</v>
      </c>
      <c r="G9242" s="6" t="s">
        <v>60</v>
      </c>
      <c r="H9242" s="6" t="s">
        <v>820</v>
      </c>
      <c r="I9242" s="8" t="s">
        <v>1904</v>
      </c>
      <c r="J9242" s="9">
        <v>1</v>
      </c>
      <c r="K9242" s="9">
        <v>448</v>
      </c>
      <c r="L9242" s="9">
        <v>2026</v>
      </c>
      <c r="M9242" s="8" t="s">
        <v>51809</v>
      </c>
      <c r="N9242" s="8" t="s">
        <v>37</v>
      </c>
      <c r="O9242" s="8" t="s">
        <v>233</v>
      </c>
      <c r="P9242" s="6" t="s">
        <v>306</v>
      </c>
      <c r="Q9242" s="8" t="s">
        <v>52</v>
      </c>
      <c r="R9242" s="10" t="s">
        <v>370</v>
      </c>
      <c r="S9242" s="11"/>
      <c r="T9242" s="6"/>
      <c r="U9242" s="15" t="str">
        <f>HYPERLINK("https://media.infra-m.ru/2224/2224120/cover/2224120.jpg", "Обложка")</f>
        <v>Обложка</v>
      </c>
      <c r="V9242" s="8" t="s">
        <v>1798</v>
      </c>
      <c r="W9242" s="6"/>
      <c r="X9242" s="6"/>
      <c r="Y9242" s="6"/>
      <c r="Z9242" s="6"/>
      <c r="AA9242" s="6" t="s">
        <v>15130</v>
      </c>
      <c r="AB9242" s="8"/>
      <c r="AC9242" s="27">
        <v>9785906923738</v>
      </c>
    </row>
    <row r="9243" spans="1:29" s="4" customFormat="1" ht="51.9" customHeight="1" x14ac:dyDescent="0.2">
      <c r="A9243" s="5">
        <v>0</v>
      </c>
      <c r="B9243" s="6" t="s">
        <v>51810</v>
      </c>
      <c r="C9243" s="13">
        <v>924</v>
      </c>
      <c r="D9243" s="8" t="s">
        <v>51811</v>
      </c>
      <c r="E9243" s="8" t="s">
        <v>51801</v>
      </c>
      <c r="F9243" s="8" t="s">
        <v>51812</v>
      </c>
      <c r="G9243" s="6" t="s">
        <v>33</v>
      </c>
      <c r="H9243" s="6" t="s">
        <v>34</v>
      </c>
      <c r="I9243" s="8" t="s">
        <v>253</v>
      </c>
      <c r="J9243" s="9">
        <v>1</v>
      </c>
      <c r="K9243" s="9">
        <v>133</v>
      </c>
      <c r="L9243" s="9">
        <v>2026</v>
      </c>
      <c r="M9243" s="8" t="s">
        <v>51813</v>
      </c>
      <c r="N9243" s="8" t="s">
        <v>37</v>
      </c>
      <c r="O9243" s="8" t="s">
        <v>233</v>
      </c>
      <c r="P9243" s="6" t="s">
        <v>51</v>
      </c>
      <c r="Q9243" s="8" t="s">
        <v>52</v>
      </c>
      <c r="R9243" s="10" t="s">
        <v>5054</v>
      </c>
      <c r="S9243" s="11" t="s">
        <v>51814</v>
      </c>
      <c r="T9243" s="6"/>
      <c r="U9243" s="15" t="str">
        <f>HYPERLINK("https://media.infra-m.ru/2261/2261231/cover/2261231.jpg", "Обложка")</f>
        <v>Обложка</v>
      </c>
      <c r="V9243" s="8" t="s">
        <v>12389</v>
      </c>
      <c r="W9243" s="6"/>
      <c r="X9243" s="6"/>
      <c r="Y9243" s="6"/>
      <c r="Z9243" s="6"/>
      <c r="AA9243" s="6" t="s">
        <v>17445</v>
      </c>
      <c r="AB9243" s="8"/>
      <c r="AC9243" s="27">
        <v>9785160186405</v>
      </c>
    </row>
    <row r="9244" spans="1:29" s="4" customFormat="1" ht="51.9" customHeight="1" x14ac:dyDescent="0.2">
      <c r="A9244" s="5">
        <v>0</v>
      </c>
      <c r="B9244" s="6" t="s">
        <v>51815</v>
      </c>
      <c r="C9244" s="13">
        <v>965.9</v>
      </c>
      <c r="D9244" s="8" t="s">
        <v>51816</v>
      </c>
      <c r="E9244" s="8" t="s">
        <v>51801</v>
      </c>
      <c r="F9244" s="8" t="s">
        <v>51802</v>
      </c>
      <c r="G9244" s="6" t="s">
        <v>60</v>
      </c>
      <c r="H9244" s="6" t="s">
        <v>34</v>
      </c>
      <c r="I9244" s="8" t="s">
        <v>271</v>
      </c>
      <c r="J9244" s="9">
        <v>1</v>
      </c>
      <c r="K9244" s="9">
        <v>192</v>
      </c>
      <c r="L9244" s="9">
        <v>2022</v>
      </c>
      <c r="M9244" s="8" t="s">
        <v>51817</v>
      </c>
      <c r="N9244" s="8" t="s">
        <v>37</v>
      </c>
      <c r="O9244" s="8" t="s">
        <v>233</v>
      </c>
      <c r="P9244" s="6" t="s">
        <v>51</v>
      </c>
      <c r="Q9244" s="8" t="s">
        <v>52</v>
      </c>
      <c r="R9244" s="10" t="s">
        <v>370</v>
      </c>
      <c r="S9244" s="11"/>
      <c r="T9244" s="6"/>
      <c r="U9244" s="15" t="str">
        <f>HYPERLINK("https://media.infra-m.ru/1817/1817945/cover/1817945.jpg", "Обложка")</f>
        <v>Обложка</v>
      </c>
      <c r="V9244" s="8" t="s">
        <v>644</v>
      </c>
      <c r="W9244" s="6"/>
      <c r="X9244" s="6"/>
      <c r="Y9244" s="6"/>
      <c r="Z9244" s="6"/>
      <c r="AA9244" s="6" t="s">
        <v>718</v>
      </c>
      <c r="AB9244" s="8"/>
      <c r="AC9244" s="27">
        <v>9785160062914</v>
      </c>
    </row>
    <row r="9245" spans="1:29" s="4" customFormat="1" ht="51.9" customHeight="1" x14ac:dyDescent="0.2">
      <c r="A9245" s="5">
        <v>0</v>
      </c>
      <c r="B9245" s="6" t="s">
        <v>51818</v>
      </c>
      <c r="C9245" s="7">
        <v>1840.8</v>
      </c>
      <c r="D9245" s="8" t="s">
        <v>51819</v>
      </c>
      <c r="E9245" s="8" t="s">
        <v>51801</v>
      </c>
      <c r="F9245" s="8" t="s">
        <v>51820</v>
      </c>
      <c r="G9245" s="6" t="s">
        <v>118</v>
      </c>
      <c r="H9245" s="6" t="s">
        <v>34</v>
      </c>
      <c r="I9245" s="8" t="s">
        <v>253</v>
      </c>
      <c r="J9245" s="9">
        <v>1</v>
      </c>
      <c r="K9245" s="9">
        <v>264</v>
      </c>
      <c r="L9245" s="9">
        <v>2026</v>
      </c>
      <c r="M9245" s="8" t="s">
        <v>51821</v>
      </c>
      <c r="N9245" s="8" t="s">
        <v>37</v>
      </c>
      <c r="O9245" s="8" t="s">
        <v>233</v>
      </c>
      <c r="P9245" s="6" t="s">
        <v>51</v>
      </c>
      <c r="Q9245" s="8" t="s">
        <v>65</v>
      </c>
      <c r="R9245" s="10" t="s">
        <v>370</v>
      </c>
      <c r="S9245" s="11" t="s">
        <v>51822</v>
      </c>
      <c r="T9245" s="6"/>
      <c r="U9245" s="15" t="str">
        <f>HYPERLINK("https://media.infra-m.ru/2255/2255463/cover/2255463.jpg", "Обложка")</f>
        <v>Обложка</v>
      </c>
      <c r="V9245" s="8" t="s">
        <v>227</v>
      </c>
      <c r="W9245" s="6"/>
      <c r="X9245" s="6"/>
      <c r="Y9245" s="6"/>
      <c r="Z9245" s="6"/>
      <c r="AA9245" s="6" t="s">
        <v>718</v>
      </c>
      <c r="AB9245" s="8"/>
      <c r="AC9245" s="27">
        <v>9785160186306</v>
      </c>
    </row>
    <row r="9246" spans="1:29" s="4" customFormat="1" ht="42" customHeight="1" x14ac:dyDescent="0.2">
      <c r="A9246" s="5">
        <v>0</v>
      </c>
      <c r="B9246" s="6" t="s">
        <v>51823</v>
      </c>
      <c r="C9246" s="7">
        <v>1492.8</v>
      </c>
      <c r="D9246" s="8" t="s">
        <v>51824</v>
      </c>
      <c r="E9246" s="8" t="s">
        <v>51825</v>
      </c>
      <c r="F9246" s="8" t="s">
        <v>51826</v>
      </c>
      <c r="G9246" s="6" t="s">
        <v>60</v>
      </c>
      <c r="H9246" s="6" t="s">
        <v>34</v>
      </c>
      <c r="I9246" s="8" t="s">
        <v>35</v>
      </c>
      <c r="J9246" s="9">
        <v>1</v>
      </c>
      <c r="K9246" s="9">
        <v>274</v>
      </c>
      <c r="L9246" s="9">
        <v>2023</v>
      </c>
      <c r="M9246" s="8" t="s">
        <v>51827</v>
      </c>
      <c r="N9246" s="8" t="s">
        <v>37</v>
      </c>
      <c r="O9246" s="8" t="s">
        <v>233</v>
      </c>
      <c r="P9246" s="6" t="s">
        <v>39</v>
      </c>
      <c r="Q9246" s="8" t="s">
        <v>40</v>
      </c>
      <c r="R9246" s="10" t="s">
        <v>3516</v>
      </c>
      <c r="S9246" s="11"/>
      <c r="T9246" s="6"/>
      <c r="U9246" s="15" t="str">
        <f>HYPERLINK("https://media.infra-m.ru/2006/2006056/cover/2006056.jpg", "Обложка")</f>
        <v>Обложка</v>
      </c>
      <c r="V9246" s="8" t="s">
        <v>247</v>
      </c>
      <c r="W9246" s="6"/>
      <c r="X9246" s="6"/>
      <c r="Y9246" s="6"/>
      <c r="Z9246" s="6"/>
      <c r="AA9246" s="6" t="s">
        <v>99</v>
      </c>
      <c r="AB9246" s="8"/>
      <c r="AC9246" s="27">
        <v>9785160126883</v>
      </c>
    </row>
    <row r="9247" spans="1:29" s="4" customFormat="1" ht="51.9" customHeight="1" x14ac:dyDescent="0.2">
      <c r="A9247" s="5">
        <v>0</v>
      </c>
      <c r="B9247" s="6" t="s">
        <v>51828</v>
      </c>
      <c r="C9247" s="7">
        <v>1348.8</v>
      </c>
      <c r="D9247" s="8" t="s">
        <v>51829</v>
      </c>
      <c r="E9247" s="8" t="s">
        <v>51830</v>
      </c>
      <c r="F9247" s="8" t="s">
        <v>9854</v>
      </c>
      <c r="G9247" s="6" t="s">
        <v>60</v>
      </c>
      <c r="H9247" s="6" t="s">
        <v>313</v>
      </c>
      <c r="I9247" s="8" t="s">
        <v>392</v>
      </c>
      <c r="J9247" s="9">
        <v>1</v>
      </c>
      <c r="K9247" s="9">
        <v>216</v>
      </c>
      <c r="L9247" s="9">
        <v>2026</v>
      </c>
      <c r="M9247" s="8" t="s">
        <v>51831</v>
      </c>
      <c r="N9247" s="8" t="s">
        <v>37</v>
      </c>
      <c r="O9247" s="8" t="s">
        <v>233</v>
      </c>
      <c r="P9247" s="6" t="s">
        <v>306</v>
      </c>
      <c r="Q9247" s="8" t="s">
        <v>52</v>
      </c>
      <c r="R9247" s="10" t="s">
        <v>48737</v>
      </c>
      <c r="S9247" s="11" t="s">
        <v>51832</v>
      </c>
      <c r="T9247" s="6"/>
      <c r="U9247" s="15" t="str">
        <f>HYPERLINK("https://media.infra-m.ru/2216/2216932/cover/2216932.jpg", "Обложка")</f>
        <v>Обложка</v>
      </c>
      <c r="V9247" s="8" t="s">
        <v>9565</v>
      </c>
      <c r="W9247" s="6"/>
      <c r="X9247" s="6"/>
      <c r="Y9247" s="6"/>
      <c r="Z9247" s="6"/>
      <c r="AA9247" s="6" t="s">
        <v>3800</v>
      </c>
      <c r="AB9247" s="8"/>
      <c r="AC9247" s="27">
        <v>9785369015230</v>
      </c>
    </row>
    <row r="9248" spans="1:29" s="4" customFormat="1" ht="42" customHeight="1" x14ac:dyDescent="0.2">
      <c r="A9248" s="5">
        <v>0</v>
      </c>
      <c r="B9248" s="6" t="s">
        <v>51833</v>
      </c>
      <c r="C9248" s="7">
        <v>3232.8</v>
      </c>
      <c r="D9248" s="8" t="s">
        <v>51834</v>
      </c>
      <c r="E9248" s="8" t="s">
        <v>51835</v>
      </c>
      <c r="F9248" s="8" t="s">
        <v>18472</v>
      </c>
      <c r="G9248" s="6" t="s">
        <v>118</v>
      </c>
      <c r="H9248" s="6" t="s">
        <v>134</v>
      </c>
      <c r="I9248" s="8"/>
      <c r="J9248" s="9">
        <v>1</v>
      </c>
      <c r="K9248" s="9">
        <v>640</v>
      </c>
      <c r="L9248" s="9">
        <v>2026</v>
      </c>
      <c r="M9248" s="8" t="s">
        <v>51836</v>
      </c>
      <c r="N9248" s="8" t="s">
        <v>37</v>
      </c>
      <c r="O9248" s="8" t="s">
        <v>233</v>
      </c>
      <c r="P9248" s="6" t="s">
        <v>306</v>
      </c>
      <c r="Q9248" s="8" t="s">
        <v>52</v>
      </c>
      <c r="R9248" s="10" t="s">
        <v>3008</v>
      </c>
      <c r="S9248" s="11"/>
      <c r="T9248" s="6"/>
      <c r="U9248" s="15" t="str">
        <f>HYPERLINK("https://media.infra-m.ru/2221/2221351/cover/2221351.jpg", "Обложка")</f>
        <v>Обложка</v>
      </c>
      <c r="V9248" s="8" t="s">
        <v>546</v>
      </c>
      <c r="W9248" s="6"/>
      <c r="X9248" s="6"/>
      <c r="Y9248" s="6"/>
      <c r="Z9248" s="6"/>
      <c r="AA9248" s="6" t="s">
        <v>6584</v>
      </c>
      <c r="AB9248" s="8"/>
      <c r="AC9248" s="27">
        <v>9785917685366</v>
      </c>
    </row>
    <row r="9249" spans="1:29" s="4" customFormat="1" ht="51.9" customHeight="1" x14ac:dyDescent="0.2">
      <c r="A9249" s="5">
        <v>0</v>
      </c>
      <c r="B9249" s="6" t="s">
        <v>51837</v>
      </c>
      <c r="C9249" s="7">
        <v>2220</v>
      </c>
      <c r="D9249" s="8" t="s">
        <v>51838</v>
      </c>
      <c r="E9249" s="8" t="s">
        <v>51839</v>
      </c>
      <c r="F9249" s="8" t="s">
        <v>51840</v>
      </c>
      <c r="G9249" s="6" t="s">
        <v>118</v>
      </c>
      <c r="H9249" s="6" t="s">
        <v>134</v>
      </c>
      <c r="I9249" s="8"/>
      <c r="J9249" s="9">
        <v>1</v>
      </c>
      <c r="K9249" s="9">
        <v>512</v>
      </c>
      <c r="L9249" s="9">
        <v>2021</v>
      </c>
      <c r="M9249" s="8" t="s">
        <v>51841</v>
      </c>
      <c r="N9249" s="8" t="s">
        <v>37</v>
      </c>
      <c r="O9249" s="8" t="s">
        <v>233</v>
      </c>
      <c r="P9249" s="6" t="s">
        <v>394</v>
      </c>
      <c r="Q9249" s="8" t="s">
        <v>52</v>
      </c>
      <c r="R9249" s="10" t="s">
        <v>715</v>
      </c>
      <c r="S9249" s="11"/>
      <c r="T9249" s="6"/>
      <c r="U9249" s="15" t="str">
        <f>HYPERLINK("https://media.infra-m.ru/1233/1233217/cover/1233217.jpg", "Обложка")</f>
        <v>Обложка</v>
      </c>
      <c r="V9249" s="8" t="s">
        <v>546</v>
      </c>
      <c r="W9249" s="6"/>
      <c r="X9249" s="6"/>
      <c r="Y9249" s="6"/>
      <c r="Z9249" s="6"/>
      <c r="AA9249" s="6" t="s">
        <v>99</v>
      </c>
      <c r="AB9249" s="8"/>
      <c r="AC9249" s="27">
        <v>9785917688206</v>
      </c>
    </row>
    <row r="9250" spans="1:29" s="4" customFormat="1" ht="51.9" customHeight="1" x14ac:dyDescent="0.2">
      <c r="A9250" s="5">
        <v>0</v>
      </c>
      <c r="B9250" s="6" t="s">
        <v>51842</v>
      </c>
      <c r="C9250" s="7">
        <v>1872</v>
      </c>
      <c r="D9250" s="8" t="s">
        <v>51843</v>
      </c>
      <c r="E9250" s="8" t="s">
        <v>51844</v>
      </c>
      <c r="F9250" s="8" t="s">
        <v>51845</v>
      </c>
      <c r="G9250" s="6" t="s">
        <v>60</v>
      </c>
      <c r="H9250" s="6" t="s">
        <v>34</v>
      </c>
      <c r="I9250" s="8" t="s">
        <v>35</v>
      </c>
      <c r="J9250" s="9">
        <v>1</v>
      </c>
      <c r="K9250" s="9">
        <v>337</v>
      </c>
      <c r="L9250" s="9">
        <v>2023</v>
      </c>
      <c r="M9250" s="8" t="s">
        <v>51846</v>
      </c>
      <c r="N9250" s="8" t="s">
        <v>37</v>
      </c>
      <c r="O9250" s="8" t="s">
        <v>233</v>
      </c>
      <c r="P9250" s="6" t="s">
        <v>39</v>
      </c>
      <c r="Q9250" s="8" t="s">
        <v>40</v>
      </c>
      <c r="R9250" s="10" t="s">
        <v>51847</v>
      </c>
      <c r="S9250" s="11"/>
      <c r="T9250" s="6"/>
      <c r="U9250" s="15" t="str">
        <f>HYPERLINK("https://media.infra-m.ru/1912/1912459/cover/1912459.jpg", "Обложка")</f>
        <v>Обложка</v>
      </c>
      <c r="V9250" s="8" t="s">
        <v>23026</v>
      </c>
      <c r="W9250" s="6"/>
      <c r="X9250" s="6"/>
      <c r="Y9250" s="6"/>
      <c r="Z9250" s="6"/>
      <c r="AA9250" s="6" t="s">
        <v>157</v>
      </c>
      <c r="AB9250" s="8"/>
      <c r="AC9250" s="27">
        <v>9785160181363</v>
      </c>
    </row>
    <row r="9251" spans="1:29" s="4" customFormat="1" ht="51.9" customHeight="1" x14ac:dyDescent="0.2">
      <c r="A9251" s="5">
        <v>0</v>
      </c>
      <c r="B9251" s="6" t="s">
        <v>51848</v>
      </c>
      <c r="C9251" s="13">
        <v>876</v>
      </c>
      <c r="D9251" s="8" t="s">
        <v>51849</v>
      </c>
      <c r="E9251" s="8" t="s">
        <v>51850</v>
      </c>
      <c r="F9251" s="8" t="s">
        <v>51851</v>
      </c>
      <c r="G9251" s="6" t="s">
        <v>33</v>
      </c>
      <c r="H9251" s="6" t="s">
        <v>34</v>
      </c>
      <c r="I9251" s="8" t="s">
        <v>35</v>
      </c>
      <c r="J9251" s="9">
        <v>1</v>
      </c>
      <c r="K9251" s="9">
        <v>186</v>
      </c>
      <c r="L9251" s="9">
        <v>2022</v>
      </c>
      <c r="M9251" s="8" t="s">
        <v>51852</v>
      </c>
      <c r="N9251" s="8" t="s">
        <v>37</v>
      </c>
      <c r="O9251" s="8" t="s">
        <v>233</v>
      </c>
      <c r="P9251" s="6" t="s">
        <v>39</v>
      </c>
      <c r="Q9251" s="8" t="s">
        <v>40</v>
      </c>
      <c r="R9251" s="10" t="s">
        <v>23436</v>
      </c>
      <c r="S9251" s="11"/>
      <c r="T9251" s="6"/>
      <c r="U9251" s="15" t="str">
        <f>HYPERLINK("https://media.infra-m.ru/1862/1862608/cover/1862608.jpg", "Обложка")</f>
        <v>Обложка</v>
      </c>
      <c r="V9251" s="8" t="s">
        <v>588</v>
      </c>
      <c r="W9251" s="6"/>
      <c r="X9251" s="6"/>
      <c r="Y9251" s="6"/>
      <c r="Z9251" s="6"/>
      <c r="AA9251" s="6" t="s">
        <v>248</v>
      </c>
      <c r="AB9251" s="8"/>
      <c r="AC9251" s="27">
        <v>9785160095592</v>
      </c>
    </row>
    <row r="9252" spans="1:29" s="4" customFormat="1" ht="42" customHeight="1" x14ac:dyDescent="0.2">
      <c r="A9252" s="5">
        <v>0</v>
      </c>
      <c r="B9252" s="6" t="s">
        <v>51853</v>
      </c>
      <c r="C9252" s="7">
        <v>2016</v>
      </c>
      <c r="D9252" s="8" t="s">
        <v>51854</v>
      </c>
      <c r="E9252" s="8" t="s">
        <v>51855</v>
      </c>
      <c r="F9252" s="8" t="s">
        <v>51856</v>
      </c>
      <c r="G9252" s="6" t="s">
        <v>60</v>
      </c>
      <c r="H9252" s="6" t="s">
        <v>34</v>
      </c>
      <c r="I9252" s="8" t="s">
        <v>9737</v>
      </c>
      <c r="J9252" s="9">
        <v>1</v>
      </c>
      <c r="K9252" s="9">
        <v>285</v>
      </c>
      <c r="L9252" s="9">
        <v>2026</v>
      </c>
      <c r="M9252" s="8" t="s">
        <v>51857</v>
      </c>
      <c r="N9252" s="8" t="s">
        <v>37</v>
      </c>
      <c r="O9252" s="8" t="s">
        <v>233</v>
      </c>
      <c r="P9252" s="6" t="s">
        <v>306</v>
      </c>
      <c r="Q9252" s="8" t="s">
        <v>1349</v>
      </c>
      <c r="R9252" s="10" t="s">
        <v>51858</v>
      </c>
      <c r="S9252" s="11"/>
      <c r="T9252" s="6"/>
      <c r="U9252" s="15" t="str">
        <f>HYPERLINK("https://media.infra-m.ru/2238/2238593/cover/2238593.jpg", "Обложка")</f>
        <v>Обложка</v>
      </c>
      <c r="V9252" s="8" t="s">
        <v>2001</v>
      </c>
      <c r="W9252" s="6" t="s">
        <v>9380</v>
      </c>
      <c r="X9252" s="6"/>
      <c r="Y9252" s="6"/>
      <c r="Z9252" s="6"/>
      <c r="AA9252" s="6" t="s">
        <v>187</v>
      </c>
      <c r="AB9252" s="8" t="s">
        <v>11878</v>
      </c>
      <c r="AC9252" s="27">
        <v>9785160218069</v>
      </c>
    </row>
    <row r="9253" spans="1:29" s="4" customFormat="1" ht="51.9" customHeight="1" x14ac:dyDescent="0.2">
      <c r="A9253" s="5">
        <v>0</v>
      </c>
      <c r="B9253" s="6" t="s">
        <v>51859</v>
      </c>
      <c r="C9253" s="7">
        <v>2200.8000000000002</v>
      </c>
      <c r="D9253" s="8" t="s">
        <v>51860</v>
      </c>
      <c r="E9253" s="8" t="s">
        <v>51861</v>
      </c>
      <c r="F9253" s="8" t="s">
        <v>51862</v>
      </c>
      <c r="G9253" s="6" t="s">
        <v>118</v>
      </c>
      <c r="H9253" s="6" t="s">
        <v>34</v>
      </c>
      <c r="I9253" s="8" t="s">
        <v>504</v>
      </c>
      <c r="J9253" s="9">
        <v>1</v>
      </c>
      <c r="K9253" s="9">
        <v>352</v>
      </c>
      <c r="L9253" s="9">
        <v>2025</v>
      </c>
      <c r="M9253" s="8" t="s">
        <v>51863</v>
      </c>
      <c r="N9253" s="8" t="s">
        <v>37</v>
      </c>
      <c r="O9253" s="8" t="s">
        <v>233</v>
      </c>
      <c r="P9253" s="6" t="s">
        <v>306</v>
      </c>
      <c r="Q9253" s="8" t="s">
        <v>500</v>
      </c>
      <c r="R9253" s="10" t="s">
        <v>51864</v>
      </c>
      <c r="S9253" s="11" t="s">
        <v>39575</v>
      </c>
      <c r="T9253" s="6"/>
      <c r="U9253" s="15" t="str">
        <f>HYPERLINK("https://media.infra-m.ru/2192/2192252/cover/2192252.jpg", "Обложка")</f>
        <v>Обложка</v>
      </c>
      <c r="V9253" s="8" t="s">
        <v>51375</v>
      </c>
      <c r="W9253" s="6"/>
      <c r="X9253" s="6"/>
      <c r="Y9253" s="6"/>
      <c r="Z9253" s="6"/>
      <c r="AA9253" s="6" t="s">
        <v>1037</v>
      </c>
      <c r="AB9253" s="8"/>
      <c r="AC9253" s="27">
        <v>9785160068527</v>
      </c>
    </row>
    <row r="9254" spans="1:29" s="4" customFormat="1" ht="51.9" customHeight="1" x14ac:dyDescent="0.2">
      <c r="A9254" s="5">
        <v>0</v>
      </c>
      <c r="B9254" s="6" t="s">
        <v>51865</v>
      </c>
      <c r="C9254" s="7">
        <v>1800</v>
      </c>
      <c r="D9254" s="8" t="s">
        <v>51866</v>
      </c>
      <c r="E9254" s="8" t="s">
        <v>51867</v>
      </c>
      <c r="F9254" s="8" t="s">
        <v>51868</v>
      </c>
      <c r="G9254" s="6" t="s">
        <v>118</v>
      </c>
      <c r="H9254" s="6" t="s">
        <v>34</v>
      </c>
      <c r="I9254" s="8" t="s">
        <v>263</v>
      </c>
      <c r="J9254" s="9">
        <v>1</v>
      </c>
      <c r="K9254" s="9">
        <v>288</v>
      </c>
      <c r="L9254" s="9">
        <v>2025</v>
      </c>
      <c r="M9254" s="8" t="s">
        <v>51869</v>
      </c>
      <c r="N9254" s="8" t="s">
        <v>37</v>
      </c>
      <c r="O9254" s="8" t="s">
        <v>233</v>
      </c>
      <c r="P9254" s="6" t="s">
        <v>306</v>
      </c>
      <c r="Q9254" s="8" t="s">
        <v>265</v>
      </c>
      <c r="R9254" s="10" t="s">
        <v>51870</v>
      </c>
      <c r="S9254" s="11" t="s">
        <v>51871</v>
      </c>
      <c r="T9254" s="6"/>
      <c r="U9254" s="15" t="str">
        <f>HYPERLINK("https://media.infra-m.ru/2202/2202497/cover/2202497.jpg", "Обложка")</f>
        <v>Обложка</v>
      </c>
      <c r="V9254" s="8" t="s">
        <v>1030</v>
      </c>
      <c r="W9254" s="6"/>
      <c r="X9254" s="6"/>
      <c r="Y9254" s="6"/>
      <c r="Z9254" s="6"/>
      <c r="AA9254" s="6" t="s">
        <v>43</v>
      </c>
      <c r="AB9254" s="8"/>
      <c r="AC9254" s="27">
        <v>9785160135960</v>
      </c>
    </row>
    <row r="9255" spans="1:29" s="4" customFormat="1" ht="51.9" customHeight="1" x14ac:dyDescent="0.2">
      <c r="A9255" s="5">
        <v>0</v>
      </c>
      <c r="B9255" s="6" t="s">
        <v>51872</v>
      </c>
      <c r="C9255" s="7">
        <v>2260.8000000000002</v>
      </c>
      <c r="D9255" s="8" t="s">
        <v>51873</v>
      </c>
      <c r="E9255" s="8" t="s">
        <v>51874</v>
      </c>
      <c r="F9255" s="8" t="s">
        <v>51875</v>
      </c>
      <c r="G9255" s="6" t="s">
        <v>60</v>
      </c>
      <c r="H9255" s="6" t="s">
        <v>34</v>
      </c>
      <c r="I9255" s="8" t="s">
        <v>271</v>
      </c>
      <c r="J9255" s="9">
        <v>1</v>
      </c>
      <c r="K9255" s="9">
        <v>363</v>
      </c>
      <c r="L9255" s="9">
        <v>2025</v>
      </c>
      <c r="M9255" s="8" t="s">
        <v>51876</v>
      </c>
      <c r="N9255" s="8" t="s">
        <v>37</v>
      </c>
      <c r="O9255" s="8" t="s">
        <v>233</v>
      </c>
      <c r="P9255" s="6" t="s">
        <v>306</v>
      </c>
      <c r="Q9255" s="8" t="s">
        <v>52</v>
      </c>
      <c r="R9255" s="10" t="s">
        <v>2053</v>
      </c>
      <c r="S9255" s="11" t="s">
        <v>51877</v>
      </c>
      <c r="T9255" s="6"/>
      <c r="U9255" s="15" t="str">
        <f>HYPERLINK("https://media.infra-m.ru/2192/2192243/cover/2192243.jpg", "Обложка")</f>
        <v>Обложка</v>
      </c>
      <c r="V9255" s="8" t="s">
        <v>51375</v>
      </c>
      <c r="W9255" s="6"/>
      <c r="X9255" s="6"/>
      <c r="Y9255" s="6"/>
      <c r="Z9255" s="6"/>
      <c r="AA9255" s="6" t="s">
        <v>718</v>
      </c>
      <c r="AB9255" s="8"/>
      <c r="AC9255" s="27">
        <v>9785160060125</v>
      </c>
    </row>
    <row r="9256" spans="1:29" s="4" customFormat="1" ht="51.9" customHeight="1" x14ac:dyDescent="0.2">
      <c r="A9256" s="5">
        <v>0</v>
      </c>
      <c r="B9256" s="6" t="s">
        <v>51878</v>
      </c>
      <c r="C9256" s="7">
        <v>1632</v>
      </c>
      <c r="D9256" s="8" t="s">
        <v>51879</v>
      </c>
      <c r="E9256" s="8" t="s">
        <v>51880</v>
      </c>
      <c r="F9256" s="8" t="s">
        <v>11444</v>
      </c>
      <c r="G9256" s="6" t="s">
        <v>118</v>
      </c>
      <c r="H9256" s="6" t="s">
        <v>34</v>
      </c>
      <c r="I9256" s="8" t="s">
        <v>253</v>
      </c>
      <c r="J9256" s="9">
        <v>1</v>
      </c>
      <c r="K9256" s="9">
        <v>272</v>
      </c>
      <c r="L9256" s="9">
        <v>2025</v>
      </c>
      <c r="M9256" s="8" t="s">
        <v>51881</v>
      </c>
      <c r="N9256" s="8" t="s">
        <v>37</v>
      </c>
      <c r="O9256" s="8" t="s">
        <v>233</v>
      </c>
      <c r="P9256" s="6" t="s">
        <v>306</v>
      </c>
      <c r="Q9256" s="8" t="s">
        <v>52</v>
      </c>
      <c r="R9256" s="10" t="s">
        <v>357</v>
      </c>
      <c r="S9256" s="11" t="s">
        <v>19619</v>
      </c>
      <c r="T9256" s="6"/>
      <c r="U9256" s="15" t="str">
        <f>HYPERLINK("https://media.infra-m.ru/2178/2178863/cover/2178863.jpg", "Обложка")</f>
        <v>Обложка</v>
      </c>
      <c r="V9256" s="8" t="s">
        <v>1505</v>
      </c>
      <c r="W9256" s="6"/>
      <c r="X9256" s="6"/>
      <c r="Y9256" s="6"/>
      <c r="Z9256" s="6"/>
      <c r="AA9256" s="6" t="s">
        <v>430</v>
      </c>
      <c r="AB9256" s="8"/>
      <c r="AC9256" s="27">
        <v>9785160205762</v>
      </c>
    </row>
    <row r="9257" spans="1:29" s="4" customFormat="1" ht="51.9" customHeight="1" x14ac:dyDescent="0.2">
      <c r="A9257" s="5">
        <v>0</v>
      </c>
      <c r="B9257" s="6" t="s">
        <v>51882</v>
      </c>
      <c r="C9257" s="7">
        <v>2196</v>
      </c>
      <c r="D9257" s="8" t="s">
        <v>51883</v>
      </c>
      <c r="E9257" s="8" t="s">
        <v>51884</v>
      </c>
      <c r="F9257" s="8" t="s">
        <v>51885</v>
      </c>
      <c r="G9257" s="6" t="s">
        <v>118</v>
      </c>
      <c r="H9257" s="6" t="s">
        <v>34</v>
      </c>
      <c r="I9257" s="8" t="s">
        <v>253</v>
      </c>
      <c r="J9257" s="9">
        <v>1</v>
      </c>
      <c r="K9257" s="9">
        <v>360</v>
      </c>
      <c r="L9257" s="9">
        <v>2025</v>
      </c>
      <c r="M9257" s="8" t="s">
        <v>51886</v>
      </c>
      <c r="N9257" s="8" t="s">
        <v>37</v>
      </c>
      <c r="O9257" s="8" t="s">
        <v>233</v>
      </c>
      <c r="P9257" s="6" t="s">
        <v>306</v>
      </c>
      <c r="Q9257" s="8" t="s">
        <v>52</v>
      </c>
      <c r="R9257" s="10" t="s">
        <v>3008</v>
      </c>
      <c r="S9257" s="11" t="s">
        <v>51887</v>
      </c>
      <c r="T9257" s="6" t="s">
        <v>97</v>
      </c>
      <c r="U9257" s="15" t="str">
        <f>HYPERLINK("https://media.infra-m.ru/2163/2163981/cover/2163981.jpg", "Обложка")</f>
        <v>Обложка</v>
      </c>
      <c r="V9257" s="8" t="s">
        <v>43368</v>
      </c>
      <c r="W9257" s="6"/>
      <c r="X9257" s="6"/>
      <c r="Y9257" s="6"/>
      <c r="Z9257" s="6"/>
      <c r="AA9257" s="6" t="s">
        <v>874</v>
      </c>
      <c r="AB9257" s="8"/>
      <c r="AC9257" s="27">
        <v>9785160203003</v>
      </c>
    </row>
    <row r="9258" spans="1:29" s="4" customFormat="1" ht="51.9" customHeight="1" x14ac:dyDescent="0.2">
      <c r="A9258" s="5">
        <v>0</v>
      </c>
      <c r="B9258" s="6" t="s">
        <v>51888</v>
      </c>
      <c r="C9258" s="7">
        <v>3052.8</v>
      </c>
      <c r="D9258" s="8" t="s">
        <v>51889</v>
      </c>
      <c r="E9258" s="8" t="s">
        <v>51890</v>
      </c>
      <c r="F9258" s="8" t="s">
        <v>51891</v>
      </c>
      <c r="G9258" s="6" t="s">
        <v>118</v>
      </c>
      <c r="H9258" s="6" t="s">
        <v>34</v>
      </c>
      <c r="I9258" s="8" t="s">
        <v>271</v>
      </c>
      <c r="J9258" s="9">
        <v>1</v>
      </c>
      <c r="K9258" s="9">
        <v>439</v>
      </c>
      <c r="L9258" s="9">
        <v>2027</v>
      </c>
      <c r="M9258" s="8" t="s">
        <v>51892</v>
      </c>
      <c r="N9258" s="8" t="s">
        <v>37</v>
      </c>
      <c r="O9258" s="8" t="s">
        <v>233</v>
      </c>
      <c r="P9258" s="6" t="s">
        <v>306</v>
      </c>
      <c r="Q9258" s="8" t="s">
        <v>52</v>
      </c>
      <c r="R9258" s="10" t="s">
        <v>51893</v>
      </c>
      <c r="S9258" s="11" t="s">
        <v>51894</v>
      </c>
      <c r="T9258" s="6" t="s">
        <v>97</v>
      </c>
      <c r="U9258" s="15" t="str">
        <f>HYPERLINK("https://media.infra-m.ru/2270/2270926/cover/2270926.jpg", "Обложка")</f>
        <v>Обложка</v>
      </c>
      <c r="V9258" s="8" t="s">
        <v>11804</v>
      </c>
      <c r="W9258" s="6"/>
      <c r="X9258" s="6"/>
      <c r="Y9258" s="6"/>
      <c r="Z9258" s="6"/>
      <c r="AA9258" s="6" t="s">
        <v>1256</v>
      </c>
      <c r="AB9258" s="8"/>
      <c r="AC9258" s="27">
        <v>9785160146591</v>
      </c>
    </row>
    <row r="9259" spans="1:29" s="4" customFormat="1" ht="42" customHeight="1" x14ac:dyDescent="0.2">
      <c r="A9259" s="5">
        <v>0</v>
      </c>
      <c r="B9259" s="6" t="s">
        <v>51895</v>
      </c>
      <c r="C9259" s="7">
        <v>2796</v>
      </c>
      <c r="D9259" s="8" t="s">
        <v>51896</v>
      </c>
      <c r="E9259" s="8" t="s">
        <v>51897</v>
      </c>
      <c r="F9259" s="8" t="s">
        <v>51898</v>
      </c>
      <c r="G9259" s="6" t="s">
        <v>60</v>
      </c>
      <c r="H9259" s="6" t="s">
        <v>34</v>
      </c>
      <c r="I9259" s="8"/>
      <c r="J9259" s="9">
        <v>1</v>
      </c>
      <c r="K9259" s="9">
        <v>648</v>
      </c>
      <c r="L9259" s="9">
        <v>2026</v>
      </c>
      <c r="M9259" s="8" t="s">
        <v>51899</v>
      </c>
      <c r="N9259" s="8" t="s">
        <v>37</v>
      </c>
      <c r="O9259" s="8" t="s">
        <v>233</v>
      </c>
      <c r="P9259" s="6" t="s">
        <v>306</v>
      </c>
      <c r="Q9259" s="8" t="s">
        <v>65</v>
      </c>
      <c r="R9259" s="10" t="s">
        <v>14275</v>
      </c>
      <c r="S9259" s="11"/>
      <c r="T9259" s="6" t="s">
        <v>97</v>
      </c>
      <c r="U9259" s="15" t="str">
        <f>HYPERLINK("https://media.infra-m.ru/2265/2265881/cover/2265881.jpg", "Обложка")</f>
        <v>Обложка</v>
      </c>
      <c r="V9259" s="8" t="s">
        <v>13266</v>
      </c>
      <c r="W9259" s="6" t="s">
        <v>2115</v>
      </c>
      <c r="X9259" s="6"/>
      <c r="Y9259" s="6"/>
      <c r="Z9259" s="6"/>
      <c r="AA9259" s="6" t="s">
        <v>420</v>
      </c>
      <c r="AB9259" s="8"/>
      <c r="AC9259" s="27">
        <v>9785160224145</v>
      </c>
    </row>
    <row r="9260" spans="1:29" s="4" customFormat="1" ht="51.9" customHeight="1" x14ac:dyDescent="0.2">
      <c r="A9260" s="5">
        <v>0</v>
      </c>
      <c r="B9260" s="6" t="s">
        <v>51900</v>
      </c>
      <c r="C9260" s="7">
        <v>3029.9</v>
      </c>
      <c r="D9260" s="8" t="s">
        <v>51901</v>
      </c>
      <c r="E9260" s="8" t="s">
        <v>51902</v>
      </c>
      <c r="F9260" s="8" t="s">
        <v>51903</v>
      </c>
      <c r="G9260" s="6" t="s">
        <v>60</v>
      </c>
      <c r="H9260" s="6" t="s">
        <v>1644</v>
      </c>
      <c r="I9260" s="8" t="s">
        <v>1904</v>
      </c>
      <c r="J9260" s="9">
        <v>1</v>
      </c>
      <c r="K9260" s="9">
        <v>560</v>
      </c>
      <c r="L9260" s="9">
        <v>2023</v>
      </c>
      <c r="M9260" s="8" t="s">
        <v>51904</v>
      </c>
      <c r="N9260" s="8" t="s">
        <v>37</v>
      </c>
      <c r="O9260" s="8" t="s">
        <v>233</v>
      </c>
      <c r="P9260" s="6" t="s">
        <v>306</v>
      </c>
      <c r="Q9260" s="8" t="s">
        <v>52</v>
      </c>
      <c r="R9260" s="10" t="s">
        <v>51905</v>
      </c>
      <c r="S9260" s="11" t="s">
        <v>22307</v>
      </c>
      <c r="T9260" s="6"/>
      <c r="U9260" s="15" t="str">
        <f>HYPERLINK("https://media.infra-m.ru/1978/1978085/cover/1978085.jpg", "Обложка")</f>
        <v>Обложка</v>
      </c>
      <c r="V9260" s="8" t="s">
        <v>13266</v>
      </c>
      <c r="W9260" s="6"/>
      <c r="X9260" s="6"/>
      <c r="Y9260" s="6"/>
      <c r="Z9260" s="6"/>
      <c r="AA9260" s="6" t="s">
        <v>248</v>
      </c>
      <c r="AB9260" s="8"/>
      <c r="AC9260" s="27">
        <v>9785977603089</v>
      </c>
    </row>
    <row r="9261" spans="1:29" s="4" customFormat="1" ht="51.9" customHeight="1" x14ac:dyDescent="0.2">
      <c r="A9261" s="5">
        <v>0</v>
      </c>
      <c r="B9261" s="6" t="s">
        <v>51906</v>
      </c>
      <c r="C9261" s="7">
        <v>1132.8</v>
      </c>
      <c r="D9261" s="8" t="s">
        <v>51907</v>
      </c>
      <c r="E9261" s="8" t="s">
        <v>51908</v>
      </c>
      <c r="F9261" s="8" t="s">
        <v>51909</v>
      </c>
      <c r="G9261" s="6" t="s">
        <v>60</v>
      </c>
      <c r="H9261" s="6" t="s">
        <v>34</v>
      </c>
      <c r="I9261" s="8" t="s">
        <v>51910</v>
      </c>
      <c r="J9261" s="9">
        <v>1</v>
      </c>
      <c r="K9261" s="9">
        <v>182</v>
      </c>
      <c r="L9261" s="9">
        <v>2025</v>
      </c>
      <c r="M9261" s="8" t="s">
        <v>51911</v>
      </c>
      <c r="N9261" s="8" t="s">
        <v>37</v>
      </c>
      <c r="O9261" s="8" t="s">
        <v>499</v>
      </c>
      <c r="P9261" s="6" t="s">
        <v>306</v>
      </c>
      <c r="Q9261" s="8" t="s">
        <v>52</v>
      </c>
      <c r="R9261" s="10" t="s">
        <v>15197</v>
      </c>
      <c r="S9261" s="11" t="s">
        <v>51912</v>
      </c>
      <c r="T9261" s="6"/>
      <c r="U9261" s="15" t="str">
        <f>HYPERLINK("https://media.infra-m.ru/2198/2198518/cover/2198518.jpg", "Обложка")</f>
        <v>Обложка</v>
      </c>
      <c r="V9261" s="8" t="s">
        <v>396</v>
      </c>
      <c r="W9261" s="6"/>
      <c r="X9261" s="6"/>
      <c r="Y9261" s="6"/>
      <c r="Z9261" s="6"/>
      <c r="AA9261" s="6" t="s">
        <v>430</v>
      </c>
      <c r="AB9261" s="8"/>
      <c r="AC9261" s="27">
        <v>9785160150765</v>
      </c>
    </row>
    <row r="9262" spans="1:29" s="4" customFormat="1" ht="51.9" customHeight="1" x14ac:dyDescent="0.2">
      <c r="A9262" s="5">
        <v>0</v>
      </c>
      <c r="B9262" s="6" t="s">
        <v>51913</v>
      </c>
      <c r="C9262" s="7">
        <v>1264.8</v>
      </c>
      <c r="D9262" s="8" t="s">
        <v>51914</v>
      </c>
      <c r="E9262" s="8" t="s">
        <v>51908</v>
      </c>
      <c r="F9262" s="8" t="s">
        <v>51909</v>
      </c>
      <c r="G9262" s="6" t="s">
        <v>118</v>
      </c>
      <c r="H9262" s="6" t="s">
        <v>34</v>
      </c>
      <c r="I9262" s="8" t="s">
        <v>263</v>
      </c>
      <c r="J9262" s="9">
        <v>1</v>
      </c>
      <c r="K9262" s="9">
        <v>182</v>
      </c>
      <c r="L9262" s="9">
        <v>2027</v>
      </c>
      <c r="M9262" s="8" t="s">
        <v>51915</v>
      </c>
      <c r="N9262" s="8" t="s">
        <v>37</v>
      </c>
      <c r="O9262" s="8" t="s">
        <v>499</v>
      </c>
      <c r="P9262" s="6" t="s">
        <v>306</v>
      </c>
      <c r="Q9262" s="8" t="s">
        <v>265</v>
      </c>
      <c r="R9262" s="10" t="s">
        <v>3571</v>
      </c>
      <c r="S9262" s="11" t="s">
        <v>51916</v>
      </c>
      <c r="T9262" s="6"/>
      <c r="U9262" s="15" t="str">
        <f>HYPERLINK("https://media.infra-m.ru/2267/2267227/cover/2267227.jpg", "Обложка")</f>
        <v>Обложка</v>
      </c>
      <c r="V9262" s="8" t="s">
        <v>396</v>
      </c>
      <c r="W9262" s="6"/>
      <c r="X9262" s="6"/>
      <c r="Y9262" s="6"/>
      <c r="Z9262" s="6" t="s">
        <v>267</v>
      </c>
      <c r="AA9262" s="6" t="s">
        <v>430</v>
      </c>
      <c r="AB9262" s="8"/>
      <c r="AC9262" s="27">
        <v>9785160169026</v>
      </c>
    </row>
    <row r="9263" spans="1:29" s="4" customFormat="1" ht="51.9" customHeight="1" x14ac:dyDescent="0.2">
      <c r="A9263" s="5">
        <v>0</v>
      </c>
      <c r="B9263" s="6" t="s">
        <v>51917</v>
      </c>
      <c r="C9263" s="7">
        <v>1193.9000000000001</v>
      </c>
      <c r="D9263" s="8" t="s">
        <v>51918</v>
      </c>
      <c r="E9263" s="8" t="s">
        <v>51919</v>
      </c>
      <c r="F9263" s="8" t="s">
        <v>51920</v>
      </c>
      <c r="G9263" s="6" t="s">
        <v>60</v>
      </c>
      <c r="H9263" s="6" t="s">
        <v>34</v>
      </c>
      <c r="I9263" s="8" t="s">
        <v>271</v>
      </c>
      <c r="J9263" s="9">
        <v>1</v>
      </c>
      <c r="K9263" s="9">
        <v>223</v>
      </c>
      <c r="L9263" s="9">
        <v>2023</v>
      </c>
      <c r="M9263" s="8" t="s">
        <v>51921</v>
      </c>
      <c r="N9263" s="8" t="s">
        <v>37</v>
      </c>
      <c r="O9263" s="8" t="s">
        <v>233</v>
      </c>
      <c r="P9263" s="6" t="s">
        <v>51</v>
      </c>
      <c r="Q9263" s="8" t="s">
        <v>52</v>
      </c>
      <c r="R9263" s="10" t="s">
        <v>51922</v>
      </c>
      <c r="S9263" s="11" t="s">
        <v>51923</v>
      </c>
      <c r="T9263" s="6"/>
      <c r="U9263" s="15" t="str">
        <f>HYPERLINK("https://media.infra-m.ru/1981/1981674/cover/1981674.jpg", "Обложка")</f>
        <v>Обложка</v>
      </c>
      <c r="V9263" s="8" t="s">
        <v>1030</v>
      </c>
      <c r="W9263" s="6"/>
      <c r="X9263" s="6"/>
      <c r="Y9263" s="6"/>
      <c r="Z9263" s="6"/>
      <c r="AA9263" s="6" t="s">
        <v>55</v>
      </c>
      <c r="AB9263" s="8"/>
      <c r="AC9263" s="27">
        <v>9785160056616</v>
      </c>
    </row>
    <row r="9264" spans="1:29" s="4" customFormat="1" ht="51.9" customHeight="1" x14ac:dyDescent="0.2">
      <c r="A9264" s="5">
        <v>0</v>
      </c>
      <c r="B9264" s="6" t="s">
        <v>51924</v>
      </c>
      <c r="C9264" s="7">
        <v>1936.8</v>
      </c>
      <c r="D9264" s="8" t="s">
        <v>51925</v>
      </c>
      <c r="E9264" s="8" t="s">
        <v>51926</v>
      </c>
      <c r="F9264" s="8" t="s">
        <v>27145</v>
      </c>
      <c r="G9264" s="6" t="s">
        <v>60</v>
      </c>
      <c r="H9264" s="6" t="s">
        <v>134</v>
      </c>
      <c r="I9264" s="8"/>
      <c r="J9264" s="9">
        <v>1</v>
      </c>
      <c r="K9264" s="9">
        <v>352</v>
      </c>
      <c r="L9264" s="9">
        <v>2024</v>
      </c>
      <c r="M9264" s="8" t="s">
        <v>51927</v>
      </c>
      <c r="N9264" s="8" t="s">
        <v>37</v>
      </c>
      <c r="O9264" s="8" t="s">
        <v>233</v>
      </c>
      <c r="P9264" s="6" t="s">
        <v>306</v>
      </c>
      <c r="Q9264" s="8" t="s">
        <v>52</v>
      </c>
      <c r="R9264" s="10" t="s">
        <v>3008</v>
      </c>
      <c r="S9264" s="11" t="s">
        <v>51928</v>
      </c>
      <c r="T9264" s="6"/>
      <c r="U9264" s="15" t="str">
        <f>HYPERLINK("https://media.infra-m.ru/2096/2096925/cover/2096925.jpg", "Обложка")</f>
        <v>Обложка</v>
      </c>
      <c r="V9264" s="8" t="s">
        <v>1768</v>
      </c>
      <c r="W9264" s="6"/>
      <c r="X9264" s="6"/>
      <c r="Y9264" s="6"/>
      <c r="Z9264" s="6"/>
      <c r="AA9264" s="6" t="s">
        <v>248</v>
      </c>
      <c r="AB9264" s="8"/>
      <c r="AC9264" s="27">
        <v>9785917685212</v>
      </c>
    </row>
    <row r="9265" spans="1:29" s="4" customFormat="1" ht="51.9" customHeight="1" x14ac:dyDescent="0.2">
      <c r="A9265" s="5">
        <v>0</v>
      </c>
      <c r="B9265" s="6" t="s">
        <v>51929</v>
      </c>
      <c r="C9265" s="7">
        <v>1800</v>
      </c>
      <c r="D9265" s="8" t="s">
        <v>51930</v>
      </c>
      <c r="E9265" s="8" t="s">
        <v>51926</v>
      </c>
      <c r="F9265" s="8" t="s">
        <v>51931</v>
      </c>
      <c r="G9265" s="6" t="s">
        <v>118</v>
      </c>
      <c r="H9265" s="6" t="s">
        <v>313</v>
      </c>
      <c r="I9265" s="8" t="s">
        <v>253</v>
      </c>
      <c r="J9265" s="9">
        <v>1</v>
      </c>
      <c r="K9265" s="9">
        <v>332</v>
      </c>
      <c r="L9265" s="9">
        <v>2022</v>
      </c>
      <c r="M9265" s="8" t="s">
        <v>51932</v>
      </c>
      <c r="N9265" s="8" t="s">
        <v>37</v>
      </c>
      <c r="O9265" s="8" t="s">
        <v>233</v>
      </c>
      <c r="P9265" s="6" t="s">
        <v>306</v>
      </c>
      <c r="Q9265" s="8" t="s">
        <v>52</v>
      </c>
      <c r="R9265" s="10" t="s">
        <v>16807</v>
      </c>
      <c r="S9265" s="11"/>
      <c r="T9265" s="6"/>
      <c r="U9265" s="15" t="str">
        <f>HYPERLINK("https://media.infra-m.ru/1948/1948206/cover/1948206.jpg", "Обложка")</f>
        <v>Обложка</v>
      </c>
      <c r="V9265" s="8" t="s">
        <v>1014</v>
      </c>
      <c r="W9265" s="6"/>
      <c r="X9265" s="6"/>
      <c r="Y9265" s="6"/>
      <c r="Z9265" s="6"/>
      <c r="AA9265" s="6" t="s">
        <v>274</v>
      </c>
      <c r="AB9265" s="8"/>
      <c r="AC9265" s="27">
        <v>9785369013908</v>
      </c>
    </row>
    <row r="9266" spans="1:29" s="4" customFormat="1" ht="42" customHeight="1" x14ac:dyDescent="0.2">
      <c r="A9266" s="5">
        <v>0</v>
      </c>
      <c r="B9266" s="6" t="s">
        <v>51933</v>
      </c>
      <c r="C9266" s="7">
        <v>1528.8</v>
      </c>
      <c r="D9266" s="8" t="s">
        <v>51934</v>
      </c>
      <c r="E9266" s="8" t="s">
        <v>51926</v>
      </c>
      <c r="F9266" s="8" t="s">
        <v>51935</v>
      </c>
      <c r="G9266" s="6" t="s">
        <v>118</v>
      </c>
      <c r="H9266" s="6" t="s">
        <v>313</v>
      </c>
      <c r="I9266" s="8" t="s">
        <v>253</v>
      </c>
      <c r="J9266" s="9">
        <v>1</v>
      </c>
      <c r="K9266" s="9">
        <v>273</v>
      </c>
      <c r="L9266" s="9">
        <v>2023</v>
      </c>
      <c r="M9266" s="8" t="s">
        <v>51936</v>
      </c>
      <c r="N9266" s="8" t="s">
        <v>37</v>
      </c>
      <c r="O9266" s="8" t="s">
        <v>233</v>
      </c>
      <c r="P9266" s="6" t="s">
        <v>306</v>
      </c>
      <c r="Q9266" s="8" t="s">
        <v>65</v>
      </c>
      <c r="R9266" s="10" t="s">
        <v>3008</v>
      </c>
      <c r="S9266" s="11"/>
      <c r="T9266" s="6"/>
      <c r="U9266" s="15" t="str">
        <f>HYPERLINK("https://media.infra-m.ru/2006/2006023/cover/2006023.jpg", "Обложка")</f>
        <v>Обложка</v>
      </c>
      <c r="V9266" s="8" t="s">
        <v>1425</v>
      </c>
      <c r="W9266" s="6"/>
      <c r="X9266" s="6"/>
      <c r="Y9266" s="6"/>
      <c r="Z9266" s="6"/>
      <c r="AA9266" s="6" t="s">
        <v>99</v>
      </c>
      <c r="AB9266" s="8"/>
      <c r="AC9266" s="27">
        <v>9785369016725</v>
      </c>
    </row>
    <row r="9267" spans="1:29" s="4" customFormat="1" ht="42" customHeight="1" x14ac:dyDescent="0.2">
      <c r="A9267" s="5">
        <v>0</v>
      </c>
      <c r="B9267" s="6" t="s">
        <v>51937</v>
      </c>
      <c r="C9267" s="7">
        <v>2280</v>
      </c>
      <c r="D9267" s="8" t="s">
        <v>51938</v>
      </c>
      <c r="E9267" s="8" t="s">
        <v>51926</v>
      </c>
      <c r="F9267" s="8" t="s">
        <v>51939</v>
      </c>
      <c r="G9267" s="6" t="s">
        <v>118</v>
      </c>
      <c r="H9267" s="6" t="s">
        <v>1644</v>
      </c>
      <c r="I9267" s="8" t="s">
        <v>1904</v>
      </c>
      <c r="J9267" s="9">
        <v>1</v>
      </c>
      <c r="K9267" s="9">
        <v>400</v>
      </c>
      <c r="L9267" s="9">
        <v>2023</v>
      </c>
      <c r="M9267" s="8" t="s">
        <v>51940</v>
      </c>
      <c r="N9267" s="8" t="s">
        <v>37</v>
      </c>
      <c r="O9267" s="8" t="s">
        <v>233</v>
      </c>
      <c r="P9267" s="6" t="s">
        <v>306</v>
      </c>
      <c r="Q9267" s="8" t="s">
        <v>52</v>
      </c>
      <c r="R9267" s="10" t="s">
        <v>4472</v>
      </c>
      <c r="S9267" s="11"/>
      <c r="T9267" s="6"/>
      <c r="U9267" s="15" t="str">
        <f>HYPERLINK("https://media.infra-m.ru/1914/1914180/cover/1914180.jpg", "Обложка")</f>
        <v>Обложка</v>
      </c>
      <c r="V9267" s="8" t="s">
        <v>18741</v>
      </c>
      <c r="W9267" s="6"/>
      <c r="X9267" s="6"/>
      <c r="Y9267" s="6"/>
      <c r="Z9267" s="6"/>
      <c r="AA9267" s="6" t="s">
        <v>99</v>
      </c>
      <c r="AB9267" s="8"/>
      <c r="AC9267" s="27">
        <v>9785977604475</v>
      </c>
    </row>
    <row r="9268" spans="1:29" s="4" customFormat="1" ht="51.9" customHeight="1" x14ac:dyDescent="0.2">
      <c r="A9268" s="5">
        <v>0</v>
      </c>
      <c r="B9268" s="6" t="s">
        <v>51941</v>
      </c>
      <c r="C9268" s="7">
        <v>2332.8000000000002</v>
      </c>
      <c r="D9268" s="8" t="s">
        <v>51942</v>
      </c>
      <c r="E9268" s="8" t="s">
        <v>51926</v>
      </c>
      <c r="F9268" s="8" t="s">
        <v>51943</v>
      </c>
      <c r="G9268" s="6" t="s">
        <v>118</v>
      </c>
      <c r="H9268" s="6" t="s">
        <v>34</v>
      </c>
      <c r="I9268" s="8" t="s">
        <v>271</v>
      </c>
      <c r="J9268" s="9">
        <v>1</v>
      </c>
      <c r="K9268" s="9">
        <v>336</v>
      </c>
      <c r="L9268" s="9">
        <v>2026</v>
      </c>
      <c r="M9268" s="8" t="s">
        <v>51944</v>
      </c>
      <c r="N9268" s="8" t="s">
        <v>37</v>
      </c>
      <c r="O9268" s="8" t="s">
        <v>233</v>
      </c>
      <c r="P9268" s="6" t="s">
        <v>306</v>
      </c>
      <c r="Q9268" s="8" t="s">
        <v>52</v>
      </c>
      <c r="R9268" s="10" t="s">
        <v>3008</v>
      </c>
      <c r="S9268" s="11" t="s">
        <v>51945</v>
      </c>
      <c r="T9268" s="6"/>
      <c r="U9268" s="15" t="str">
        <f>HYPERLINK("https://media.infra-m.ru/2258/2258022/cover/2258022.jpg", "Обложка")</f>
        <v>Обложка</v>
      </c>
      <c r="V9268" s="8" t="s">
        <v>396</v>
      </c>
      <c r="W9268" s="6"/>
      <c r="X9268" s="6"/>
      <c r="Y9268" s="6"/>
      <c r="Z9268" s="6"/>
      <c r="AA9268" s="6" t="s">
        <v>248</v>
      </c>
      <c r="AB9268" s="8"/>
      <c r="AC9268" s="27">
        <v>9785160094151</v>
      </c>
    </row>
    <row r="9269" spans="1:29" s="4" customFormat="1" ht="51.9" customHeight="1" x14ac:dyDescent="0.2">
      <c r="A9269" s="5">
        <v>0</v>
      </c>
      <c r="B9269" s="6" t="s">
        <v>51946</v>
      </c>
      <c r="C9269" s="7">
        <v>1096.8</v>
      </c>
      <c r="D9269" s="8" t="s">
        <v>51947</v>
      </c>
      <c r="E9269" s="8" t="s">
        <v>51926</v>
      </c>
      <c r="F9269" s="8" t="s">
        <v>51948</v>
      </c>
      <c r="G9269" s="6" t="s">
        <v>118</v>
      </c>
      <c r="H9269" s="6" t="s">
        <v>34</v>
      </c>
      <c r="I9269" s="8" t="s">
        <v>271</v>
      </c>
      <c r="J9269" s="9">
        <v>1</v>
      </c>
      <c r="K9269" s="9">
        <v>171</v>
      </c>
      <c r="L9269" s="9">
        <v>2026</v>
      </c>
      <c r="M9269" s="8" t="s">
        <v>51949</v>
      </c>
      <c r="N9269" s="8" t="s">
        <v>37</v>
      </c>
      <c r="O9269" s="8" t="s">
        <v>233</v>
      </c>
      <c r="P9269" s="6" t="s">
        <v>51</v>
      </c>
      <c r="Q9269" s="8" t="s">
        <v>52</v>
      </c>
      <c r="R9269" s="10" t="s">
        <v>51556</v>
      </c>
      <c r="S9269" s="11" t="s">
        <v>51950</v>
      </c>
      <c r="T9269" s="6"/>
      <c r="U9269" s="15" t="str">
        <f>HYPERLINK("https://media.infra-m.ru/2223/2223600/cover/2223600.jpg", "Обложка")</f>
        <v>Обложка</v>
      </c>
      <c r="V9269" s="8" t="s">
        <v>396</v>
      </c>
      <c r="W9269" s="6"/>
      <c r="X9269" s="6"/>
      <c r="Y9269" s="6"/>
      <c r="Z9269" s="6"/>
      <c r="AA9269" s="6" t="s">
        <v>55</v>
      </c>
      <c r="AB9269" s="8"/>
      <c r="AC9269" s="27">
        <v>9785160132396</v>
      </c>
    </row>
    <row r="9270" spans="1:29" s="4" customFormat="1" ht="51.9" customHeight="1" x14ac:dyDescent="0.2">
      <c r="A9270" s="5">
        <v>0</v>
      </c>
      <c r="B9270" s="6" t="s">
        <v>51951</v>
      </c>
      <c r="C9270" s="7">
        <v>1456.8</v>
      </c>
      <c r="D9270" s="8" t="s">
        <v>51952</v>
      </c>
      <c r="E9270" s="8" t="s">
        <v>51953</v>
      </c>
      <c r="F9270" s="8" t="s">
        <v>46044</v>
      </c>
      <c r="G9270" s="6" t="s">
        <v>118</v>
      </c>
      <c r="H9270" s="6" t="s">
        <v>34</v>
      </c>
      <c r="I9270" s="8" t="s">
        <v>271</v>
      </c>
      <c r="J9270" s="9">
        <v>1</v>
      </c>
      <c r="K9270" s="9">
        <v>264</v>
      </c>
      <c r="L9270" s="9">
        <v>2024</v>
      </c>
      <c r="M9270" s="8" t="s">
        <v>51954</v>
      </c>
      <c r="N9270" s="8" t="s">
        <v>37</v>
      </c>
      <c r="O9270" s="8" t="s">
        <v>233</v>
      </c>
      <c r="P9270" s="6" t="s">
        <v>51</v>
      </c>
      <c r="Q9270" s="8" t="s">
        <v>52</v>
      </c>
      <c r="R9270" s="10" t="s">
        <v>7515</v>
      </c>
      <c r="S9270" s="11" t="s">
        <v>51955</v>
      </c>
      <c r="T9270" s="6"/>
      <c r="U9270" s="15" t="str">
        <f>HYPERLINK("https://media.infra-m.ru/2091/2091911/cover/2091911.jpg", "Обложка")</f>
        <v>Обложка</v>
      </c>
      <c r="V9270" s="8" t="s">
        <v>5117</v>
      </c>
      <c r="W9270" s="6"/>
      <c r="X9270" s="6"/>
      <c r="Y9270" s="6"/>
      <c r="Z9270" s="6"/>
      <c r="AA9270" s="6" t="s">
        <v>896</v>
      </c>
      <c r="AB9270" s="8"/>
      <c r="AC9270" s="27">
        <v>9785160173658</v>
      </c>
    </row>
    <row r="9271" spans="1:29" s="4" customFormat="1" ht="51.9" customHeight="1" x14ac:dyDescent="0.2">
      <c r="A9271" s="5">
        <v>0</v>
      </c>
      <c r="B9271" s="6" t="s">
        <v>51956</v>
      </c>
      <c r="C9271" s="7">
        <v>1152</v>
      </c>
      <c r="D9271" s="8" t="s">
        <v>51957</v>
      </c>
      <c r="E9271" s="8" t="s">
        <v>51958</v>
      </c>
      <c r="F9271" s="8" t="s">
        <v>46044</v>
      </c>
      <c r="G9271" s="6" t="s">
        <v>118</v>
      </c>
      <c r="H9271" s="6" t="s">
        <v>34</v>
      </c>
      <c r="I9271" s="8" t="s">
        <v>271</v>
      </c>
      <c r="J9271" s="9">
        <v>1</v>
      </c>
      <c r="K9271" s="9">
        <v>253</v>
      </c>
      <c r="L9271" s="9">
        <v>2022</v>
      </c>
      <c r="M9271" s="8" t="s">
        <v>51959</v>
      </c>
      <c r="N9271" s="8" t="s">
        <v>37</v>
      </c>
      <c r="O9271" s="8" t="s">
        <v>233</v>
      </c>
      <c r="P9271" s="6" t="s">
        <v>51</v>
      </c>
      <c r="Q9271" s="8" t="s">
        <v>52</v>
      </c>
      <c r="R9271" s="10" t="s">
        <v>7515</v>
      </c>
      <c r="S9271" s="11" t="s">
        <v>51960</v>
      </c>
      <c r="T9271" s="6"/>
      <c r="U9271" s="15" t="str">
        <f>HYPERLINK("https://media.infra-m.ru/1815/1815956/cover/1815956.jpg", "Обложка")</f>
        <v>Обложка</v>
      </c>
      <c r="V9271" s="8" t="s">
        <v>5117</v>
      </c>
      <c r="W9271" s="6"/>
      <c r="X9271" s="6"/>
      <c r="Y9271" s="6"/>
      <c r="Z9271" s="6"/>
      <c r="AA9271" s="6" t="s">
        <v>55</v>
      </c>
      <c r="AB9271" s="8"/>
      <c r="AC9271" s="27">
        <v>9785160053356</v>
      </c>
    </row>
    <row r="9272" spans="1:29" s="4" customFormat="1" ht="51.9" customHeight="1" x14ac:dyDescent="0.2">
      <c r="A9272" s="5">
        <v>0</v>
      </c>
      <c r="B9272" s="6" t="s">
        <v>51961</v>
      </c>
      <c r="C9272" s="7">
        <v>1228.8</v>
      </c>
      <c r="D9272" s="8" t="s">
        <v>51962</v>
      </c>
      <c r="E9272" s="8" t="s">
        <v>51963</v>
      </c>
      <c r="F9272" s="8" t="s">
        <v>46044</v>
      </c>
      <c r="G9272" s="6" t="s">
        <v>118</v>
      </c>
      <c r="H9272" s="6" t="s">
        <v>34</v>
      </c>
      <c r="I9272" s="8" t="s">
        <v>271</v>
      </c>
      <c r="J9272" s="9">
        <v>1</v>
      </c>
      <c r="K9272" s="9">
        <v>176</v>
      </c>
      <c r="L9272" s="9">
        <v>2027</v>
      </c>
      <c r="M9272" s="8" t="s">
        <v>51964</v>
      </c>
      <c r="N9272" s="8" t="s">
        <v>37</v>
      </c>
      <c r="O9272" s="8" t="s">
        <v>233</v>
      </c>
      <c r="P9272" s="6" t="s">
        <v>51</v>
      </c>
      <c r="Q9272" s="8" t="s">
        <v>52</v>
      </c>
      <c r="R9272" s="10" t="s">
        <v>51965</v>
      </c>
      <c r="S9272" s="11"/>
      <c r="T9272" s="6"/>
      <c r="U9272" s="15" t="str">
        <f>HYPERLINK("https://media.infra-m.ru/2269/2269984/cover/2269984.jpg", "Обложка")</f>
        <v>Обложка</v>
      </c>
      <c r="V9272" s="8" t="s">
        <v>5117</v>
      </c>
      <c r="W9272" s="6"/>
      <c r="X9272" s="6"/>
      <c r="Y9272" s="6"/>
      <c r="Z9272" s="6"/>
      <c r="AA9272" s="6" t="s">
        <v>55</v>
      </c>
      <c r="AB9272" s="8"/>
      <c r="AC9272" s="27">
        <v>9785160054230</v>
      </c>
    </row>
    <row r="9273" spans="1:29" s="4" customFormat="1" ht="51.9" customHeight="1" x14ac:dyDescent="0.2">
      <c r="A9273" s="5">
        <v>0</v>
      </c>
      <c r="B9273" s="6" t="s">
        <v>51966</v>
      </c>
      <c r="C9273" s="7">
        <v>2968.8</v>
      </c>
      <c r="D9273" s="8" t="s">
        <v>51967</v>
      </c>
      <c r="E9273" s="8" t="s">
        <v>51968</v>
      </c>
      <c r="F9273" s="8" t="s">
        <v>51969</v>
      </c>
      <c r="G9273" s="6" t="s">
        <v>118</v>
      </c>
      <c r="H9273" s="6" t="s">
        <v>34</v>
      </c>
      <c r="I9273" s="8" t="s">
        <v>271</v>
      </c>
      <c r="J9273" s="9">
        <v>1</v>
      </c>
      <c r="K9273" s="9">
        <v>427</v>
      </c>
      <c r="L9273" s="9">
        <v>2026</v>
      </c>
      <c r="M9273" s="8" t="s">
        <v>51970</v>
      </c>
      <c r="N9273" s="8" t="s">
        <v>37</v>
      </c>
      <c r="O9273" s="8" t="s">
        <v>280</v>
      </c>
      <c r="P9273" s="6" t="s">
        <v>306</v>
      </c>
      <c r="Q9273" s="8" t="s">
        <v>52</v>
      </c>
      <c r="R9273" s="10" t="s">
        <v>21135</v>
      </c>
      <c r="S9273" s="11" t="s">
        <v>51971</v>
      </c>
      <c r="T9273" s="6"/>
      <c r="U9273" s="15" t="str">
        <f>HYPERLINK("https://media.infra-m.ru/2258/2258704/cover/2258704.jpg", "Обложка")</f>
        <v>Обложка</v>
      </c>
      <c r="V9273" s="8" t="s">
        <v>1505</v>
      </c>
      <c r="W9273" s="6"/>
      <c r="X9273" s="6"/>
      <c r="Y9273" s="6"/>
      <c r="Z9273" s="6"/>
      <c r="AA9273" s="6" t="s">
        <v>55</v>
      </c>
      <c r="AB9273" s="8"/>
      <c r="AC9273" s="27">
        <v>9785160060187</v>
      </c>
    </row>
    <row r="9274" spans="1:29" s="4" customFormat="1" ht="44.1" customHeight="1" x14ac:dyDescent="0.2">
      <c r="A9274" s="5">
        <v>0</v>
      </c>
      <c r="B9274" s="6" t="s">
        <v>51972</v>
      </c>
      <c r="C9274" s="7">
        <v>1260</v>
      </c>
      <c r="D9274" s="8" t="s">
        <v>51973</v>
      </c>
      <c r="E9274" s="8" t="s">
        <v>51974</v>
      </c>
      <c r="F9274" s="8" t="s">
        <v>51975</v>
      </c>
      <c r="G9274" s="6" t="s">
        <v>33</v>
      </c>
      <c r="H9274" s="6" t="s">
        <v>34</v>
      </c>
      <c r="I9274" s="8" t="s">
        <v>35</v>
      </c>
      <c r="J9274" s="9">
        <v>1</v>
      </c>
      <c r="K9274" s="9">
        <v>223</v>
      </c>
      <c r="L9274" s="9">
        <v>2023</v>
      </c>
      <c r="M9274" s="8" t="s">
        <v>51976</v>
      </c>
      <c r="N9274" s="8" t="s">
        <v>37</v>
      </c>
      <c r="O9274" s="8" t="s">
        <v>233</v>
      </c>
      <c r="P9274" s="6" t="s">
        <v>39</v>
      </c>
      <c r="Q9274" s="8" t="s">
        <v>40</v>
      </c>
      <c r="R9274" s="10" t="s">
        <v>459</v>
      </c>
      <c r="S9274" s="11"/>
      <c r="T9274" s="6"/>
      <c r="U9274" s="15" t="str">
        <f>HYPERLINK("https://media.infra-m.ru/1960/1960108/cover/1960108.jpg", "Обложка")</f>
        <v>Обложка</v>
      </c>
      <c r="V9274" s="8" t="s">
        <v>644</v>
      </c>
      <c r="W9274" s="6"/>
      <c r="X9274" s="6"/>
      <c r="Y9274" s="6"/>
      <c r="Z9274" s="6"/>
      <c r="AA9274" s="6" t="s">
        <v>1256</v>
      </c>
      <c r="AB9274" s="8"/>
      <c r="AC9274" s="27">
        <v>9785160161952</v>
      </c>
    </row>
    <row r="9275" spans="1:29" s="4" customFormat="1" ht="51.9" customHeight="1" x14ac:dyDescent="0.2">
      <c r="A9275" s="5">
        <v>0</v>
      </c>
      <c r="B9275" s="6" t="s">
        <v>51977</v>
      </c>
      <c r="C9275" s="13">
        <v>748.8</v>
      </c>
      <c r="D9275" s="8" t="s">
        <v>51978</v>
      </c>
      <c r="E9275" s="8" t="s">
        <v>51979</v>
      </c>
      <c r="F9275" s="8" t="s">
        <v>51980</v>
      </c>
      <c r="G9275" s="6" t="s">
        <v>33</v>
      </c>
      <c r="H9275" s="6" t="s">
        <v>5605</v>
      </c>
      <c r="I9275" s="8" t="s">
        <v>253</v>
      </c>
      <c r="J9275" s="9">
        <v>1</v>
      </c>
      <c r="K9275" s="9">
        <v>108</v>
      </c>
      <c r="L9275" s="9">
        <v>2027</v>
      </c>
      <c r="M9275" s="8" t="s">
        <v>51981</v>
      </c>
      <c r="N9275" s="8" t="s">
        <v>37</v>
      </c>
      <c r="O9275" s="8" t="s">
        <v>233</v>
      </c>
      <c r="P9275" s="6" t="s">
        <v>51</v>
      </c>
      <c r="Q9275" s="8" t="s">
        <v>52</v>
      </c>
      <c r="R9275" s="10" t="s">
        <v>5054</v>
      </c>
      <c r="S9275" s="11" t="s">
        <v>51982</v>
      </c>
      <c r="T9275" s="6"/>
      <c r="U9275" s="15" t="str">
        <f>HYPERLINK("https://media.infra-m.ru/2261/2261154/cover/2261154.jpg", "Обложка")</f>
        <v>Обложка</v>
      </c>
      <c r="V9275" s="8" t="s">
        <v>396</v>
      </c>
      <c r="W9275" s="6"/>
      <c r="X9275" s="6"/>
      <c r="Y9275" s="6"/>
      <c r="Z9275" s="6"/>
      <c r="AA9275" s="6" t="s">
        <v>1015</v>
      </c>
      <c r="AB9275" s="8"/>
      <c r="AC9275" s="27">
        <v>9785160043012</v>
      </c>
    </row>
    <row r="9276" spans="1:29" s="4" customFormat="1" ht="51.9" customHeight="1" x14ac:dyDescent="0.2">
      <c r="A9276" s="5">
        <v>0</v>
      </c>
      <c r="B9276" s="6" t="s">
        <v>51983</v>
      </c>
      <c r="C9276" s="7">
        <v>1720.8</v>
      </c>
      <c r="D9276" s="8" t="s">
        <v>51984</v>
      </c>
      <c r="E9276" s="8" t="s">
        <v>51985</v>
      </c>
      <c r="F9276" s="8" t="s">
        <v>51986</v>
      </c>
      <c r="G9276" s="6" t="s">
        <v>33</v>
      </c>
      <c r="H9276" s="6" t="s">
        <v>1644</v>
      </c>
      <c r="I9276" s="8"/>
      <c r="J9276" s="9">
        <v>1</v>
      </c>
      <c r="K9276" s="9">
        <v>248</v>
      </c>
      <c r="L9276" s="9">
        <v>2027</v>
      </c>
      <c r="M9276" s="8" t="s">
        <v>51987</v>
      </c>
      <c r="N9276" s="8" t="s">
        <v>37</v>
      </c>
      <c r="O9276" s="8" t="s">
        <v>233</v>
      </c>
      <c r="P9276" s="6" t="s">
        <v>51</v>
      </c>
      <c r="Q9276" s="8" t="s">
        <v>52</v>
      </c>
      <c r="R9276" s="10" t="s">
        <v>51988</v>
      </c>
      <c r="S9276" s="11"/>
      <c r="T9276" s="6"/>
      <c r="U9276" s="15" t="str">
        <f>HYPERLINK("https://media.infra-m.ru/2269/2269299/cover/2269299.jpg", "Обложка")</f>
        <v>Обложка</v>
      </c>
      <c r="V9276" s="8" t="s">
        <v>247</v>
      </c>
      <c r="W9276" s="6"/>
      <c r="X9276" s="6"/>
      <c r="Y9276" s="6"/>
      <c r="Z9276" s="6"/>
      <c r="AA9276" s="6" t="s">
        <v>248</v>
      </c>
      <c r="AB9276" s="8"/>
      <c r="AC9276" s="27">
        <v>9785977602969</v>
      </c>
    </row>
    <row r="9277" spans="1:29" s="4" customFormat="1" ht="51.9" customHeight="1" x14ac:dyDescent="0.2">
      <c r="A9277" s="5">
        <v>0</v>
      </c>
      <c r="B9277" s="6" t="s">
        <v>51989</v>
      </c>
      <c r="C9277" s="7">
        <v>2884.8</v>
      </c>
      <c r="D9277" s="8" t="s">
        <v>51990</v>
      </c>
      <c r="E9277" s="8" t="s">
        <v>51991</v>
      </c>
      <c r="F9277" s="8" t="s">
        <v>51992</v>
      </c>
      <c r="G9277" s="6" t="s">
        <v>60</v>
      </c>
      <c r="H9277" s="6" t="s">
        <v>1644</v>
      </c>
      <c r="I9277" s="8" t="s">
        <v>1904</v>
      </c>
      <c r="J9277" s="9">
        <v>1</v>
      </c>
      <c r="K9277" s="9">
        <v>512</v>
      </c>
      <c r="L9277" s="9">
        <v>2024</v>
      </c>
      <c r="M9277" s="8" t="s">
        <v>51993</v>
      </c>
      <c r="N9277" s="8" t="s">
        <v>37</v>
      </c>
      <c r="O9277" s="8" t="s">
        <v>233</v>
      </c>
      <c r="P9277" s="6" t="s">
        <v>51</v>
      </c>
      <c r="Q9277" s="8" t="s">
        <v>52</v>
      </c>
      <c r="R9277" s="10" t="s">
        <v>370</v>
      </c>
      <c r="S9277" s="11" t="s">
        <v>51994</v>
      </c>
      <c r="T9277" s="6"/>
      <c r="U9277" s="15" t="str">
        <f>HYPERLINK("https://media.infra-m.ru/2151/2151915/cover/2151915.jpg", "Обложка")</f>
        <v>Обложка</v>
      </c>
      <c r="V9277" s="8" t="s">
        <v>247</v>
      </c>
      <c r="W9277" s="6"/>
      <c r="X9277" s="6"/>
      <c r="Y9277" s="6"/>
      <c r="Z9277" s="6"/>
      <c r="AA9277" s="6" t="s">
        <v>561</v>
      </c>
      <c r="AB9277" s="8"/>
      <c r="AC9277" s="27">
        <v>9785977601115</v>
      </c>
    </row>
    <row r="9278" spans="1:29" s="4" customFormat="1" ht="42" customHeight="1" x14ac:dyDescent="0.2">
      <c r="A9278" s="5">
        <v>0</v>
      </c>
      <c r="B9278" s="6" t="s">
        <v>51995</v>
      </c>
      <c r="C9278" s="7">
        <v>1360.8</v>
      </c>
      <c r="D9278" s="8" t="s">
        <v>51996</v>
      </c>
      <c r="E9278" s="8" t="s">
        <v>51997</v>
      </c>
      <c r="F9278" s="8" t="s">
        <v>51998</v>
      </c>
      <c r="G9278" s="6" t="s">
        <v>60</v>
      </c>
      <c r="H9278" s="6" t="s">
        <v>34</v>
      </c>
      <c r="I9278" s="8" t="s">
        <v>253</v>
      </c>
      <c r="J9278" s="9">
        <v>1</v>
      </c>
      <c r="K9278" s="9">
        <v>196</v>
      </c>
      <c r="L9278" s="9">
        <v>2027</v>
      </c>
      <c r="M9278" s="8" t="s">
        <v>51999</v>
      </c>
      <c r="N9278" s="8" t="s">
        <v>37</v>
      </c>
      <c r="O9278" s="8" t="s">
        <v>233</v>
      </c>
      <c r="P9278" s="6" t="s">
        <v>51</v>
      </c>
      <c r="Q9278" s="8" t="s">
        <v>65</v>
      </c>
      <c r="R9278" s="10" t="s">
        <v>5344</v>
      </c>
      <c r="S9278" s="11"/>
      <c r="T9278" s="6"/>
      <c r="U9278" s="15" t="str">
        <f>HYPERLINK("https://media.infra-m.ru/2267/2267489/cover/2267489.jpg", "Обложка")</f>
        <v>Обложка</v>
      </c>
      <c r="V9278" s="8" t="s">
        <v>2475</v>
      </c>
      <c r="W9278" s="6"/>
      <c r="X9278" s="6"/>
      <c r="Y9278" s="6"/>
      <c r="Z9278" s="6"/>
      <c r="AA9278" s="6" t="s">
        <v>68</v>
      </c>
      <c r="AB9278" s="8"/>
      <c r="AC9278" s="27">
        <v>9785160190921</v>
      </c>
    </row>
    <row r="9279" spans="1:29" s="4" customFormat="1" ht="51.9" customHeight="1" x14ac:dyDescent="0.2">
      <c r="A9279" s="5">
        <v>0</v>
      </c>
      <c r="B9279" s="6" t="s">
        <v>52000</v>
      </c>
      <c r="C9279" s="7">
        <v>1816.8</v>
      </c>
      <c r="D9279" s="8" t="s">
        <v>52001</v>
      </c>
      <c r="E9279" s="8" t="s">
        <v>52002</v>
      </c>
      <c r="F9279" s="8" t="s">
        <v>52003</v>
      </c>
      <c r="G9279" s="6" t="s">
        <v>60</v>
      </c>
      <c r="H9279" s="6" t="s">
        <v>34</v>
      </c>
      <c r="I9279" s="8" t="s">
        <v>271</v>
      </c>
      <c r="J9279" s="9">
        <v>1</v>
      </c>
      <c r="K9279" s="9">
        <v>317</v>
      </c>
      <c r="L9279" s="9">
        <v>2024</v>
      </c>
      <c r="M9279" s="8" t="s">
        <v>52004</v>
      </c>
      <c r="N9279" s="8" t="s">
        <v>37</v>
      </c>
      <c r="O9279" s="8" t="s">
        <v>233</v>
      </c>
      <c r="P9279" s="6" t="s">
        <v>51</v>
      </c>
      <c r="Q9279" s="8" t="s">
        <v>52</v>
      </c>
      <c r="R9279" s="10" t="s">
        <v>52005</v>
      </c>
      <c r="S9279" s="11" t="s">
        <v>52006</v>
      </c>
      <c r="T9279" s="6"/>
      <c r="U9279" s="15" t="str">
        <f>HYPERLINK("https://media.infra-m.ru/2091/2091924/cover/2091924.jpg", "Обложка")</f>
        <v>Обложка</v>
      </c>
      <c r="V9279" s="8" t="s">
        <v>2475</v>
      </c>
      <c r="W9279" s="6"/>
      <c r="X9279" s="6"/>
      <c r="Y9279" s="6"/>
      <c r="Z9279" s="6"/>
      <c r="AA9279" s="6" t="s">
        <v>248</v>
      </c>
      <c r="AB9279" s="8"/>
      <c r="AC9279" s="27">
        <v>9785160065038</v>
      </c>
    </row>
    <row r="9280" spans="1:29" s="4" customFormat="1" ht="51.9" customHeight="1" x14ac:dyDescent="0.2">
      <c r="A9280" s="5">
        <v>0</v>
      </c>
      <c r="B9280" s="6" t="s">
        <v>52007</v>
      </c>
      <c r="C9280" s="7">
        <v>1888.8</v>
      </c>
      <c r="D9280" s="8" t="s">
        <v>52008</v>
      </c>
      <c r="E9280" s="8" t="s">
        <v>52009</v>
      </c>
      <c r="F9280" s="8" t="s">
        <v>52010</v>
      </c>
      <c r="G9280" s="6" t="s">
        <v>118</v>
      </c>
      <c r="H9280" s="6" t="s">
        <v>820</v>
      </c>
      <c r="I9280" s="8" t="s">
        <v>1904</v>
      </c>
      <c r="J9280" s="9">
        <v>1</v>
      </c>
      <c r="K9280" s="9">
        <v>272</v>
      </c>
      <c r="L9280" s="9">
        <v>2027</v>
      </c>
      <c r="M9280" s="8" t="s">
        <v>52011</v>
      </c>
      <c r="N9280" s="8" t="s">
        <v>37</v>
      </c>
      <c r="O9280" s="8" t="s">
        <v>233</v>
      </c>
      <c r="P9280" s="6" t="s">
        <v>306</v>
      </c>
      <c r="Q9280" s="8" t="s">
        <v>52</v>
      </c>
      <c r="R9280" s="10" t="s">
        <v>357</v>
      </c>
      <c r="S9280" s="11" t="s">
        <v>52012</v>
      </c>
      <c r="T9280" s="6"/>
      <c r="U9280" s="15" t="str">
        <f>HYPERLINK("https://media.infra-m.ru/2266/2266072/cover/2266072.jpg", "Обложка")</f>
        <v>Обложка</v>
      </c>
      <c r="V9280" s="8" t="s">
        <v>33577</v>
      </c>
      <c r="W9280" s="6"/>
      <c r="X9280" s="6"/>
      <c r="Y9280" s="6"/>
      <c r="Z9280" s="6"/>
      <c r="AA9280" s="6" t="s">
        <v>99</v>
      </c>
      <c r="AB9280" s="8"/>
      <c r="AC9280" s="27">
        <v>9785906818904</v>
      </c>
    </row>
    <row r="9281" spans="1:29" s="4" customFormat="1" ht="51.9" customHeight="1" x14ac:dyDescent="0.2">
      <c r="A9281" s="5">
        <v>0</v>
      </c>
      <c r="B9281" s="6" t="s">
        <v>52013</v>
      </c>
      <c r="C9281" s="7">
        <v>1128</v>
      </c>
      <c r="D9281" s="8" t="s">
        <v>52014</v>
      </c>
      <c r="E9281" s="8" t="s">
        <v>52015</v>
      </c>
      <c r="F9281" s="8" t="s">
        <v>52016</v>
      </c>
      <c r="G9281" s="6" t="s">
        <v>33</v>
      </c>
      <c r="H9281" s="6" t="s">
        <v>1644</v>
      </c>
      <c r="I9281" s="8"/>
      <c r="J9281" s="9">
        <v>1</v>
      </c>
      <c r="K9281" s="9">
        <v>208</v>
      </c>
      <c r="L9281" s="9">
        <v>2023</v>
      </c>
      <c r="M9281" s="8" t="s">
        <v>52017</v>
      </c>
      <c r="N9281" s="8" t="s">
        <v>37</v>
      </c>
      <c r="O9281" s="8" t="s">
        <v>233</v>
      </c>
      <c r="P9281" s="6" t="s">
        <v>51</v>
      </c>
      <c r="Q9281" s="8" t="s">
        <v>52</v>
      </c>
      <c r="R9281" s="10" t="s">
        <v>52018</v>
      </c>
      <c r="S9281" s="11"/>
      <c r="T9281" s="6"/>
      <c r="U9281" s="15" t="str">
        <f>HYPERLINK("https://media.infra-m.ru/1896/1896992/cover/1896992.jpg", "Обложка")</f>
        <v>Обложка</v>
      </c>
      <c r="V9281" s="8" t="s">
        <v>631</v>
      </c>
      <c r="W9281" s="6"/>
      <c r="X9281" s="6"/>
      <c r="Y9281" s="6"/>
      <c r="Z9281" s="6"/>
      <c r="AA9281" s="6" t="s">
        <v>274</v>
      </c>
      <c r="AB9281" s="8"/>
      <c r="AC9281" s="27">
        <v>9785977603669</v>
      </c>
    </row>
    <row r="9282" spans="1:29" s="4" customFormat="1" ht="51.9" customHeight="1" x14ac:dyDescent="0.2">
      <c r="A9282" s="5">
        <v>0</v>
      </c>
      <c r="B9282" s="6" t="s">
        <v>52019</v>
      </c>
      <c r="C9282" s="7">
        <v>1612.8</v>
      </c>
      <c r="D9282" s="8" t="s">
        <v>52020</v>
      </c>
      <c r="E9282" s="8" t="s">
        <v>52021</v>
      </c>
      <c r="F9282" s="8" t="s">
        <v>23457</v>
      </c>
      <c r="G9282" s="6" t="s">
        <v>60</v>
      </c>
      <c r="H9282" s="6" t="s">
        <v>241</v>
      </c>
      <c r="I9282" s="8"/>
      <c r="J9282" s="9">
        <v>1</v>
      </c>
      <c r="K9282" s="9">
        <v>232</v>
      </c>
      <c r="L9282" s="9">
        <v>2026</v>
      </c>
      <c r="M9282" s="8" t="s">
        <v>52022</v>
      </c>
      <c r="N9282" s="8" t="s">
        <v>37</v>
      </c>
      <c r="O9282" s="8" t="s">
        <v>233</v>
      </c>
      <c r="P9282" s="6" t="s">
        <v>51</v>
      </c>
      <c r="Q9282" s="8" t="s">
        <v>40</v>
      </c>
      <c r="R9282" s="10" t="s">
        <v>370</v>
      </c>
      <c r="S9282" s="11" t="s">
        <v>52023</v>
      </c>
      <c r="T9282" s="6"/>
      <c r="U9282" s="15" t="str">
        <f>HYPERLINK("https://media.infra-m.ru/2253/2253919/cover/2253919.jpg", "Обложка")</f>
        <v>Обложка</v>
      </c>
      <c r="V9282" s="8" t="s">
        <v>227</v>
      </c>
      <c r="W9282" s="6"/>
      <c r="X9282" s="6"/>
      <c r="Y9282" s="6"/>
      <c r="Z9282" s="6"/>
      <c r="AA9282" s="6" t="s">
        <v>43</v>
      </c>
      <c r="AB9282" s="8"/>
      <c r="AC9282" s="27">
        <v>9785955802299</v>
      </c>
    </row>
    <row r="9283" spans="1:29" s="4" customFormat="1" ht="51.9" customHeight="1" x14ac:dyDescent="0.2">
      <c r="A9283" s="5">
        <v>0</v>
      </c>
      <c r="B9283" s="6" t="s">
        <v>52024</v>
      </c>
      <c r="C9283" s="7">
        <v>1037.9000000000001</v>
      </c>
      <c r="D9283" s="8" t="s">
        <v>52025</v>
      </c>
      <c r="E9283" s="8" t="s">
        <v>52026</v>
      </c>
      <c r="F9283" s="8" t="s">
        <v>52027</v>
      </c>
      <c r="G9283" s="6" t="s">
        <v>60</v>
      </c>
      <c r="H9283" s="6" t="s">
        <v>34</v>
      </c>
      <c r="I9283" s="8" t="s">
        <v>271</v>
      </c>
      <c r="J9283" s="9">
        <v>1</v>
      </c>
      <c r="K9283" s="9">
        <v>222</v>
      </c>
      <c r="L9283" s="9">
        <v>2020</v>
      </c>
      <c r="M9283" s="8" t="s">
        <v>52028</v>
      </c>
      <c r="N9283" s="8" t="s">
        <v>37</v>
      </c>
      <c r="O9283" s="8" t="s">
        <v>233</v>
      </c>
      <c r="P9283" s="6" t="s">
        <v>51</v>
      </c>
      <c r="Q9283" s="8" t="s">
        <v>52</v>
      </c>
      <c r="R9283" s="10" t="s">
        <v>5391</v>
      </c>
      <c r="S9283" s="11" t="s">
        <v>52029</v>
      </c>
      <c r="T9283" s="6" t="s">
        <v>97</v>
      </c>
      <c r="U9283" s="15" t="str">
        <f>HYPERLINK("https://media.infra-m.ru/1084/1084317/cover/1084317.jpg", "Обложка")</f>
        <v>Обложка</v>
      </c>
      <c r="V9283" s="8" t="s">
        <v>3196</v>
      </c>
      <c r="W9283" s="6"/>
      <c r="X9283" s="6"/>
      <c r="Y9283" s="6"/>
      <c r="Z9283" s="6"/>
      <c r="AA9283" s="6" t="s">
        <v>360</v>
      </c>
      <c r="AB9283" s="8"/>
      <c r="AC9283" s="27">
        <v>9785160112930</v>
      </c>
    </row>
    <row r="9284" spans="1:29" s="4" customFormat="1" ht="51.9" customHeight="1" x14ac:dyDescent="0.2">
      <c r="A9284" s="5">
        <v>0</v>
      </c>
      <c r="B9284" s="6" t="s">
        <v>52030</v>
      </c>
      <c r="C9284" s="7">
        <v>1272</v>
      </c>
      <c r="D9284" s="8" t="s">
        <v>52031</v>
      </c>
      <c r="E9284" s="8" t="s">
        <v>52032</v>
      </c>
      <c r="F9284" s="8" t="s">
        <v>52027</v>
      </c>
      <c r="G9284" s="6" t="s">
        <v>60</v>
      </c>
      <c r="H9284" s="6" t="s">
        <v>34</v>
      </c>
      <c r="I9284" s="8" t="s">
        <v>253</v>
      </c>
      <c r="J9284" s="9">
        <v>1</v>
      </c>
      <c r="K9284" s="9">
        <v>223</v>
      </c>
      <c r="L9284" s="9">
        <v>2024</v>
      </c>
      <c r="M9284" s="8" t="s">
        <v>52033</v>
      </c>
      <c r="N9284" s="8" t="s">
        <v>93</v>
      </c>
      <c r="O9284" s="8" t="s">
        <v>94</v>
      </c>
      <c r="P9284" s="6" t="s">
        <v>51</v>
      </c>
      <c r="Q9284" s="8" t="s">
        <v>65</v>
      </c>
      <c r="R9284" s="10" t="s">
        <v>5391</v>
      </c>
      <c r="S9284" s="11"/>
      <c r="T9284" s="6" t="s">
        <v>97</v>
      </c>
      <c r="U9284" s="15" t="str">
        <f>HYPERLINK("https://media.infra-m.ru/2076/2076862/cover/2076862.jpg", "Обложка")</f>
        <v>Обложка</v>
      </c>
      <c r="V9284" s="8" t="s">
        <v>3196</v>
      </c>
      <c r="W9284" s="6"/>
      <c r="X9284" s="6"/>
      <c r="Y9284" s="6"/>
      <c r="Z9284" s="6"/>
      <c r="AA9284" s="6" t="s">
        <v>8987</v>
      </c>
      <c r="AB9284" s="8"/>
      <c r="AC9284" s="27">
        <v>9785160189048</v>
      </c>
    </row>
    <row r="9285" spans="1:29" s="4" customFormat="1" ht="42" customHeight="1" x14ac:dyDescent="0.2">
      <c r="A9285" s="5">
        <v>0</v>
      </c>
      <c r="B9285" s="6" t="s">
        <v>52034</v>
      </c>
      <c r="C9285" s="7">
        <v>2596.8000000000002</v>
      </c>
      <c r="D9285" s="8" t="s">
        <v>52035</v>
      </c>
      <c r="E9285" s="8" t="s">
        <v>52036</v>
      </c>
      <c r="F9285" s="8" t="s">
        <v>52037</v>
      </c>
      <c r="G9285" s="6" t="s">
        <v>60</v>
      </c>
      <c r="H9285" s="6" t="s">
        <v>1644</v>
      </c>
      <c r="I9285" s="8" t="s">
        <v>1904</v>
      </c>
      <c r="J9285" s="9">
        <v>1</v>
      </c>
      <c r="K9285" s="9">
        <v>432</v>
      </c>
      <c r="L9285" s="9">
        <v>2025</v>
      </c>
      <c r="M9285" s="8" t="s">
        <v>52038</v>
      </c>
      <c r="N9285" s="8" t="s">
        <v>37</v>
      </c>
      <c r="O9285" s="8" t="s">
        <v>233</v>
      </c>
      <c r="P9285" s="6" t="s">
        <v>306</v>
      </c>
      <c r="Q9285" s="8" t="s">
        <v>52</v>
      </c>
      <c r="R9285" s="10" t="s">
        <v>51737</v>
      </c>
      <c r="S9285" s="11"/>
      <c r="T9285" s="6"/>
      <c r="U9285" s="15" t="str">
        <f>HYPERLINK("https://media.infra-m.ru/2192/2192743/cover/2192743.jpg", "Обложка")</f>
        <v>Обложка</v>
      </c>
      <c r="V9285" s="8" t="s">
        <v>657</v>
      </c>
      <c r="W9285" s="6"/>
      <c r="X9285" s="6"/>
      <c r="Y9285" s="6"/>
      <c r="Z9285" s="6"/>
      <c r="AA9285" s="6" t="s">
        <v>274</v>
      </c>
      <c r="AB9285" s="8"/>
      <c r="AC9285" s="27">
        <v>9785977603409</v>
      </c>
    </row>
    <row r="9286" spans="1:29" s="4" customFormat="1" ht="51.9" customHeight="1" x14ac:dyDescent="0.2">
      <c r="A9286" s="5">
        <v>0</v>
      </c>
      <c r="B9286" s="6" t="s">
        <v>52039</v>
      </c>
      <c r="C9286" s="13">
        <v>635.9</v>
      </c>
      <c r="D9286" s="8" t="s">
        <v>52040</v>
      </c>
      <c r="E9286" s="8" t="s">
        <v>52041</v>
      </c>
      <c r="F9286" s="8" t="s">
        <v>52042</v>
      </c>
      <c r="G9286" s="6" t="s">
        <v>33</v>
      </c>
      <c r="H9286" s="6" t="s">
        <v>34</v>
      </c>
      <c r="I9286" s="8" t="s">
        <v>271</v>
      </c>
      <c r="J9286" s="9">
        <v>40</v>
      </c>
      <c r="K9286" s="9">
        <v>196</v>
      </c>
      <c r="L9286" s="9">
        <v>2017</v>
      </c>
      <c r="M9286" s="8" t="s">
        <v>52043</v>
      </c>
      <c r="N9286" s="8" t="s">
        <v>37</v>
      </c>
      <c r="O9286" s="8" t="s">
        <v>233</v>
      </c>
      <c r="P9286" s="6" t="s">
        <v>306</v>
      </c>
      <c r="Q9286" s="8" t="s">
        <v>52</v>
      </c>
      <c r="R9286" s="10" t="s">
        <v>51737</v>
      </c>
      <c r="S9286" s="11" t="s">
        <v>52044</v>
      </c>
      <c r="T9286" s="6"/>
      <c r="U9286" s="15" t="str">
        <f>HYPERLINK("https://media.infra-m.ru/0545/0545218/cover/545218.jpg", "Обложка")</f>
        <v>Обложка</v>
      </c>
      <c r="V9286" s="8" t="s">
        <v>12917</v>
      </c>
      <c r="W9286" s="6"/>
      <c r="X9286" s="6"/>
      <c r="Y9286" s="6"/>
      <c r="Z9286" s="6"/>
      <c r="AA9286" s="6" t="s">
        <v>8545</v>
      </c>
      <c r="AB9286" s="8"/>
      <c r="AC9286" s="27">
        <v>9785160118871</v>
      </c>
    </row>
    <row r="9287" spans="1:29" s="4" customFormat="1" ht="51.9" customHeight="1" x14ac:dyDescent="0.2">
      <c r="A9287" s="5">
        <v>0</v>
      </c>
      <c r="B9287" s="6" t="s">
        <v>52045</v>
      </c>
      <c r="C9287" s="7">
        <v>1740</v>
      </c>
      <c r="D9287" s="8" t="s">
        <v>52046</v>
      </c>
      <c r="E9287" s="8" t="s">
        <v>52041</v>
      </c>
      <c r="F9287" s="8" t="s">
        <v>52042</v>
      </c>
      <c r="G9287" s="6" t="s">
        <v>118</v>
      </c>
      <c r="H9287" s="6" t="s">
        <v>34</v>
      </c>
      <c r="I9287" s="8" t="s">
        <v>263</v>
      </c>
      <c r="J9287" s="9">
        <v>1</v>
      </c>
      <c r="K9287" s="9">
        <v>196</v>
      </c>
      <c r="L9287" s="9">
        <v>2026</v>
      </c>
      <c r="M9287" s="8" t="s">
        <v>52047</v>
      </c>
      <c r="N9287" s="8" t="s">
        <v>37</v>
      </c>
      <c r="O9287" s="8" t="s">
        <v>233</v>
      </c>
      <c r="P9287" s="6" t="s">
        <v>306</v>
      </c>
      <c r="Q9287" s="8" t="s">
        <v>265</v>
      </c>
      <c r="R9287" s="10" t="s">
        <v>2200</v>
      </c>
      <c r="S9287" s="11" t="s">
        <v>52048</v>
      </c>
      <c r="T9287" s="6"/>
      <c r="U9287" s="15" t="str">
        <f>HYPERLINK("https://media.infra-m.ru/2243/2243312/cover/2243312.jpg", "Обложка")</f>
        <v>Обложка</v>
      </c>
      <c r="V9287" s="8" t="s">
        <v>12917</v>
      </c>
      <c r="W9287" s="6"/>
      <c r="X9287" s="6"/>
      <c r="Y9287" s="6"/>
      <c r="Z9287" s="6" t="s">
        <v>267</v>
      </c>
      <c r="AA9287" s="6" t="s">
        <v>2259</v>
      </c>
      <c r="AB9287" s="8"/>
      <c r="AC9287" s="27">
        <v>9785160150383</v>
      </c>
    </row>
    <row r="9288" spans="1:29" s="4" customFormat="1" ht="51.9" customHeight="1" x14ac:dyDescent="0.2">
      <c r="A9288" s="5">
        <v>0</v>
      </c>
      <c r="B9288" s="6" t="s">
        <v>52049</v>
      </c>
      <c r="C9288" s="7">
        <v>1092</v>
      </c>
      <c r="D9288" s="8" t="s">
        <v>52050</v>
      </c>
      <c r="E9288" s="8" t="s">
        <v>52041</v>
      </c>
      <c r="F9288" s="8" t="s">
        <v>52042</v>
      </c>
      <c r="G9288" s="6" t="s">
        <v>118</v>
      </c>
      <c r="H9288" s="6" t="s">
        <v>34</v>
      </c>
      <c r="I9288" s="8" t="s">
        <v>253</v>
      </c>
      <c r="J9288" s="9">
        <v>1</v>
      </c>
      <c r="K9288" s="9">
        <v>196</v>
      </c>
      <c r="L9288" s="9">
        <v>2024</v>
      </c>
      <c r="M9288" s="8" t="s">
        <v>52051</v>
      </c>
      <c r="N9288" s="8" t="s">
        <v>37</v>
      </c>
      <c r="O9288" s="8" t="s">
        <v>233</v>
      </c>
      <c r="P9288" s="6" t="s">
        <v>306</v>
      </c>
      <c r="Q9288" s="8" t="s">
        <v>52</v>
      </c>
      <c r="R9288" s="10" t="s">
        <v>51737</v>
      </c>
      <c r="S9288" s="11" t="s">
        <v>52044</v>
      </c>
      <c r="T9288" s="6"/>
      <c r="U9288" s="15" t="str">
        <f>HYPERLINK("https://media.infra-m.ru/2091/2091897/cover/2091897.jpg", "Обложка")</f>
        <v>Обложка</v>
      </c>
      <c r="V9288" s="8" t="s">
        <v>12917</v>
      </c>
      <c r="W9288" s="6"/>
      <c r="X9288" s="6"/>
      <c r="Y9288" s="6"/>
      <c r="Z9288" s="6"/>
      <c r="AA9288" s="6" t="s">
        <v>8545</v>
      </c>
      <c r="AB9288" s="8"/>
      <c r="AC9288" s="27">
        <v>9785160191522</v>
      </c>
    </row>
    <row r="9289" spans="1:29" s="4" customFormat="1" ht="51.9" customHeight="1" x14ac:dyDescent="0.2">
      <c r="A9289" s="5">
        <v>0</v>
      </c>
      <c r="B9289" s="6" t="s">
        <v>52052</v>
      </c>
      <c r="C9289" s="7">
        <v>1420.8</v>
      </c>
      <c r="D9289" s="8" t="s">
        <v>52053</v>
      </c>
      <c r="E9289" s="8" t="s">
        <v>52036</v>
      </c>
      <c r="F9289" s="8" t="s">
        <v>52054</v>
      </c>
      <c r="G9289" s="6" t="s">
        <v>60</v>
      </c>
      <c r="H9289" s="6" t="s">
        <v>313</v>
      </c>
      <c r="I9289" s="8" t="s">
        <v>392</v>
      </c>
      <c r="J9289" s="9">
        <v>1</v>
      </c>
      <c r="K9289" s="9">
        <v>256</v>
      </c>
      <c r="L9289" s="9">
        <v>2024</v>
      </c>
      <c r="M9289" s="8" t="s">
        <v>52055</v>
      </c>
      <c r="N9289" s="8" t="s">
        <v>37</v>
      </c>
      <c r="O9289" s="8" t="s">
        <v>233</v>
      </c>
      <c r="P9289" s="6" t="s">
        <v>306</v>
      </c>
      <c r="Q9289" s="8" t="s">
        <v>52</v>
      </c>
      <c r="R9289" s="10" t="s">
        <v>52056</v>
      </c>
      <c r="S9289" s="11" t="s">
        <v>31635</v>
      </c>
      <c r="T9289" s="6"/>
      <c r="U9289" s="15" t="str">
        <f>HYPERLINK("https://media.infra-m.ru/2078/2078405/cover/2078405.jpg", "Обложка")</f>
        <v>Обложка</v>
      </c>
      <c r="V9289" s="8" t="s">
        <v>27840</v>
      </c>
      <c r="W9289" s="6"/>
      <c r="X9289" s="6"/>
      <c r="Y9289" s="6"/>
      <c r="Z9289" s="6"/>
      <c r="AA9289" s="6" t="s">
        <v>43</v>
      </c>
      <c r="AB9289" s="8"/>
      <c r="AC9289" s="27">
        <v>9785369009024</v>
      </c>
    </row>
    <row r="9290" spans="1:29" s="4" customFormat="1" ht="51.9" customHeight="1" x14ac:dyDescent="0.2">
      <c r="A9290" s="5">
        <v>0</v>
      </c>
      <c r="B9290" s="6" t="s">
        <v>52057</v>
      </c>
      <c r="C9290" s="7">
        <v>2184</v>
      </c>
      <c r="D9290" s="8" t="s">
        <v>52058</v>
      </c>
      <c r="E9290" s="8" t="s">
        <v>52036</v>
      </c>
      <c r="F9290" s="8" t="s">
        <v>29757</v>
      </c>
      <c r="G9290" s="6" t="s">
        <v>60</v>
      </c>
      <c r="H9290" s="6" t="s">
        <v>34</v>
      </c>
      <c r="I9290" s="8" t="s">
        <v>271</v>
      </c>
      <c r="J9290" s="9">
        <v>1</v>
      </c>
      <c r="K9290" s="9">
        <v>566</v>
      </c>
      <c r="L9290" s="9">
        <v>2019</v>
      </c>
      <c r="M9290" s="8" t="s">
        <v>52059</v>
      </c>
      <c r="N9290" s="8" t="s">
        <v>37</v>
      </c>
      <c r="O9290" s="8" t="s">
        <v>233</v>
      </c>
      <c r="P9290" s="6" t="s">
        <v>306</v>
      </c>
      <c r="Q9290" s="8" t="s">
        <v>52</v>
      </c>
      <c r="R9290" s="10" t="s">
        <v>52060</v>
      </c>
      <c r="S9290" s="11" t="s">
        <v>52061</v>
      </c>
      <c r="T9290" s="6" t="s">
        <v>97</v>
      </c>
      <c r="U9290" s="15" t="str">
        <f>HYPERLINK("https://media.infra-m.ru/1000/1000230/cover/1000230.jpg", "Обложка")</f>
        <v>Обложка</v>
      </c>
      <c r="V9290" s="8" t="s">
        <v>1184</v>
      </c>
      <c r="W9290" s="6"/>
      <c r="X9290" s="6"/>
      <c r="Y9290" s="6"/>
      <c r="Z9290" s="6"/>
      <c r="AA9290" s="6" t="s">
        <v>115</v>
      </c>
      <c r="AB9290" s="8"/>
      <c r="AC9290" s="27">
        <v>9785160147062</v>
      </c>
    </row>
    <row r="9291" spans="1:29" s="4" customFormat="1" ht="51.9" customHeight="1" x14ac:dyDescent="0.2">
      <c r="A9291" s="5">
        <v>0</v>
      </c>
      <c r="B9291" s="6" t="s">
        <v>52062</v>
      </c>
      <c r="C9291" s="7">
        <v>2428.8000000000002</v>
      </c>
      <c r="D9291" s="8" t="s">
        <v>52063</v>
      </c>
      <c r="E9291" s="8" t="s">
        <v>52036</v>
      </c>
      <c r="F9291" s="8" t="s">
        <v>49568</v>
      </c>
      <c r="G9291" s="6" t="s">
        <v>60</v>
      </c>
      <c r="H9291" s="6" t="s">
        <v>1042</v>
      </c>
      <c r="I9291" s="8" t="s">
        <v>253</v>
      </c>
      <c r="J9291" s="9">
        <v>1</v>
      </c>
      <c r="K9291" s="9">
        <v>368</v>
      </c>
      <c r="L9291" s="9">
        <v>2026</v>
      </c>
      <c r="M9291" s="8" t="s">
        <v>52064</v>
      </c>
      <c r="N9291" s="8" t="s">
        <v>37</v>
      </c>
      <c r="O9291" s="8" t="s">
        <v>233</v>
      </c>
      <c r="P9291" s="6" t="s">
        <v>306</v>
      </c>
      <c r="Q9291" s="8" t="s">
        <v>52</v>
      </c>
      <c r="R9291" s="10" t="s">
        <v>51737</v>
      </c>
      <c r="S9291" s="11" t="s">
        <v>52065</v>
      </c>
      <c r="T9291" s="6"/>
      <c r="U9291" s="15" t="str">
        <f>HYPERLINK("https://media.infra-m.ru/2242/2242168/cover/2242168.jpg", "Обложка")</f>
        <v>Обложка</v>
      </c>
      <c r="V9291" s="8" t="s">
        <v>4892</v>
      </c>
      <c r="W9291" s="6"/>
      <c r="X9291" s="6"/>
      <c r="Y9291" s="6"/>
      <c r="Z9291" s="6"/>
      <c r="AA9291" s="6" t="s">
        <v>949</v>
      </c>
      <c r="AB9291" s="8"/>
      <c r="AC9291" s="27">
        <v>9785819905043</v>
      </c>
    </row>
    <row r="9292" spans="1:29" s="4" customFormat="1" ht="51.9" customHeight="1" x14ac:dyDescent="0.2">
      <c r="A9292" s="5">
        <v>0</v>
      </c>
      <c r="B9292" s="6" t="s">
        <v>52066</v>
      </c>
      <c r="C9292" s="7">
        <v>2392.8000000000002</v>
      </c>
      <c r="D9292" s="8" t="s">
        <v>52067</v>
      </c>
      <c r="E9292" s="8" t="s">
        <v>52068</v>
      </c>
      <c r="F9292" s="8" t="s">
        <v>52069</v>
      </c>
      <c r="G9292" s="6" t="s">
        <v>118</v>
      </c>
      <c r="H9292" s="6" t="s">
        <v>34</v>
      </c>
      <c r="I9292" s="8" t="s">
        <v>271</v>
      </c>
      <c r="J9292" s="9">
        <v>1</v>
      </c>
      <c r="K9292" s="9">
        <v>363</v>
      </c>
      <c r="L9292" s="9">
        <v>2026</v>
      </c>
      <c r="M9292" s="8" t="s">
        <v>52070</v>
      </c>
      <c r="N9292" s="8" t="s">
        <v>37</v>
      </c>
      <c r="O9292" s="8" t="s">
        <v>233</v>
      </c>
      <c r="P9292" s="6" t="s">
        <v>306</v>
      </c>
      <c r="Q9292" s="8" t="s">
        <v>52</v>
      </c>
      <c r="R9292" s="10" t="s">
        <v>52060</v>
      </c>
      <c r="S9292" s="11" t="s">
        <v>52071</v>
      </c>
      <c r="T9292" s="6"/>
      <c r="U9292" s="15" t="str">
        <f>HYPERLINK("https://media.infra-m.ru/2227/2227402/cover/2227402.jpg", "Обложка")</f>
        <v>Обложка</v>
      </c>
      <c r="V9292" s="8" t="s">
        <v>18790</v>
      </c>
      <c r="W9292" s="6"/>
      <c r="X9292" s="6"/>
      <c r="Y9292" s="6"/>
      <c r="Z9292" s="6"/>
      <c r="AA9292" s="6" t="s">
        <v>2240</v>
      </c>
      <c r="AB9292" s="8"/>
      <c r="AC9292" s="27">
        <v>9785160145785</v>
      </c>
    </row>
    <row r="9293" spans="1:29" s="4" customFormat="1" ht="51.9" customHeight="1" x14ac:dyDescent="0.2">
      <c r="A9293" s="5">
        <v>0</v>
      </c>
      <c r="B9293" s="6" t="s">
        <v>52072</v>
      </c>
      <c r="C9293" s="7">
        <v>2476.8000000000002</v>
      </c>
      <c r="D9293" s="8" t="s">
        <v>52073</v>
      </c>
      <c r="E9293" s="8" t="s">
        <v>52036</v>
      </c>
      <c r="F9293" s="8" t="s">
        <v>15406</v>
      </c>
      <c r="G9293" s="6" t="s">
        <v>60</v>
      </c>
      <c r="H9293" s="6" t="s">
        <v>34</v>
      </c>
      <c r="I9293" s="8" t="s">
        <v>271</v>
      </c>
      <c r="J9293" s="9">
        <v>1</v>
      </c>
      <c r="K9293" s="9">
        <v>375</v>
      </c>
      <c r="L9293" s="9">
        <v>2026</v>
      </c>
      <c r="M9293" s="8" t="s">
        <v>52074</v>
      </c>
      <c r="N9293" s="8" t="s">
        <v>37</v>
      </c>
      <c r="O9293" s="8" t="s">
        <v>233</v>
      </c>
      <c r="P9293" s="6" t="s">
        <v>51</v>
      </c>
      <c r="Q9293" s="8" t="s">
        <v>52</v>
      </c>
      <c r="R9293" s="10" t="s">
        <v>51737</v>
      </c>
      <c r="S9293" s="11" t="s">
        <v>52075</v>
      </c>
      <c r="T9293" s="6"/>
      <c r="U9293" s="15" t="str">
        <f>HYPERLINK("https://media.infra-m.ru/2251/2251943/cover/2251943.jpg", "Обложка")</f>
        <v>Обложка</v>
      </c>
      <c r="V9293" s="8" t="s">
        <v>5964</v>
      </c>
      <c r="W9293" s="6"/>
      <c r="X9293" s="6"/>
      <c r="Y9293" s="6"/>
      <c r="Z9293" s="6"/>
      <c r="AA9293" s="6" t="s">
        <v>129</v>
      </c>
      <c r="AB9293" s="8"/>
      <c r="AC9293" s="27">
        <v>9785160048253</v>
      </c>
    </row>
    <row r="9294" spans="1:29" s="4" customFormat="1" ht="51.9" customHeight="1" x14ac:dyDescent="0.2">
      <c r="A9294" s="5">
        <v>0</v>
      </c>
      <c r="B9294" s="6" t="s">
        <v>52076</v>
      </c>
      <c r="C9294" s="7">
        <v>1644</v>
      </c>
      <c r="D9294" s="8" t="s">
        <v>52077</v>
      </c>
      <c r="E9294" s="8" t="s">
        <v>52041</v>
      </c>
      <c r="F9294" s="8" t="s">
        <v>52078</v>
      </c>
      <c r="G9294" s="6" t="s">
        <v>60</v>
      </c>
      <c r="H9294" s="6" t="s">
        <v>34</v>
      </c>
      <c r="I9294" s="8" t="s">
        <v>253</v>
      </c>
      <c r="J9294" s="9">
        <v>1</v>
      </c>
      <c r="K9294" s="9">
        <v>242</v>
      </c>
      <c r="L9294" s="9">
        <v>2026</v>
      </c>
      <c r="M9294" s="8" t="s">
        <v>52079</v>
      </c>
      <c r="N9294" s="8" t="s">
        <v>37</v>
      </c>
      <c r="O9294" s="8" t="s">
        <v>233</v>
      </c>
      <c r="P9294" s="6" t="s">
        <v>51</v>
      </c>
      <c r="Q9294" s="8" t="s">
        <v>52</v>
      </c>
      <c r="R9294" s="10" t="s">
        <v>370</v>
      </c>
      <c r="S9294" s="11" t="s">
        <v>52080</v>
      </c>
      <c r="T9294" s="6"/>
      <c r="U9294" s="15" t="str">
        <f>HYPERLINK("https://media.infra-m.ru/2227/2227252/cover/2227252.jpg", "Обложка")</f>
        <v>Обложка</v>
      </c>
      <c r="V9294" s="8" t="s">
        <v>3196</v>
      </c>
      <c r="W9294" s="6" t="s">
        <v>186</v>
      </c>
      <c r="X9294" s="6"/>
      <c r="Y9294" s="6"/>
      <c r="Z9294" s="6"/>
      <c r="AA9294" s="6" t="s">
        <v>1323</v>
      </c>
      <c r="AB9294" s="8"/>
      <c r="AC9294" s="27">
        <v>9785160214948</v>
      </c>
    </row>
    <row r="9295" spans="1:29" s="4" customFormat="1" ht="51.9" customHeight="1" x14ac:dyDescent="0.2">
      <c r="A9295" s="5">
        <v>0</v>
      </c>
      <c r="B9295" s="6" t="s">
        <v>52081</v>
      </c>
      <c r="C9295" s="7">
        <v>2620.8000000000002</v>
      </c>
      <c r="D9295" s="8" t="s">
        <v>52082</v>
      </c>
      <c r="E9295" s="8" t="s">
        <v>52083</v>
      </c>
      <c r="F9295" s="8" t="s">
        <v>52084</v>
      </c>
      <c r="G9295" s="6" t="s">
        <v>118</v>
      </c>
      <c r="H9295" s="6" t="s">
        <v>241</v>
      </c>
      <c r="I9295" s="8"/>
      <c r="J9295" s="9">
        <v>1</v>
      </c>
      <c r="K9295" s="9">
        <v>389</v>
      </c>
      <c r="L9295" s="9">
        <v>2026</v>
      </c>
      <c r="M9295" s="8" t="s">
        <v>52085</v>
      </c>
      <c r="N9295" s="8" t="s">
        <v>585</v>
      </c>
      <c r="O9295" s="8" t="s">
        <v>667</v>
      </c>
      <c r="P9295" s="6" t="s">
        <v>51</v>
      </c>
      <c r="Q9295" s="8" t="s">
        <v>52</v>
      </c>
      <c r="R9295" s="10" t="s">
        <v>357</v>
      </c>
      <c r="S9295" s="11" t="s">
        <v>52086</v>
      </c>
      <c r="T9295" s="6"/>
      <c r="U9295" s="15" t="str">
        <f>HYPERLINK("https://media.infra-m.ru/2233/2233531/cover/2233531.jpg", "Обложка")</f>
        <v>Обложка</v>
      </c>
      <c r="V9295" s="8" t="s">
        <v>247</v>
      </c>
      <c r="W9295" s="6"/>
      <c r="X9295" s="6"/>
      <c r="Y9295" s="6"/>
      <c r="Z9295" s="6"/>
      <c r="AA9295" s="6" t="s">
        <v>11623</v>
      </c>
      <c r="AB9295" s="8"/>
      <c r="AC9295" s="27">
        <v>9785955802084</v>
      </c>
    </row>
    <row r="9296" spans="1:29" s="4" customFormat="1" ht="51.9" customHeight="1" x14ac:dyDescent="0.2">
      <c r="A9296" s="5">
        <v>0</v>
      </c>
      <c r="B9296" s="6" t="s">
        <v>52087</v>
      </c>
      <c r="C9296" s="13">
        <v>892.8</v>
      </c>
      <c r="D9296" s="8" t="s">
        <v>52088</v>
      </c>
      <c r="E9296" s="8" t="s">
        <v>52089</v>
      </c>
      <c r="F9296" s="8" t="s">
        <v>52090</v>
      </c>
      <c r="G9296" s="6" t="s">
        <v>60</v>
      </c>
      <c r="H9296" s="6" t="s">
        <v>241</v>
      </c>
      <c r="I9296" s="8" t="s">
        <v>271</v>
      </c>
      <c r="J9296" s="9">
        <v>1</v>
      </c>
      <c r="K9296" s="9">
        <v>148</v>
      </c>
      <c r="L9296" s="9">
        <v>2025</v>
      </c>
      <c r="M9296" s="8" t="s">
        <v>52091</v>
      </c>
      <c r="N9296" s="8" t="s">
        <v>37</v>
      </c>
      <c r="O9296" s="8" t="s">
        <v>233</v>
      </c>
      <c r="P9296" s="6" t="s">
        <v>306</v>
      </c>
      <c r="Q9296" s="8" t="s">
        <v>52</v>
      </c>
      <c r="R9296" s="10" t="s">
        <v>52092</v>
      </c>
      <c r="S9296" s="11" t="s">
        <v>3747</v>
      </c>
      <c r="T9296" s="6"/>
      <c r="U9296" s="15" t="str">
        <f>HYPERLINK("https://media.infra-m.ru/2143/2143595/cover/2143595.jpg", "Обложка")</f>
        <v>Обложка</v>
      </c>
      <c r="V9296" s="8" t="s">
        <v>10985</v>
      </c>
      <c r="W9296" s="6"/>
      <c r="X9296" s="6"/>
      <c r="Y9296" s="6"/>
      <c r="Z9296" s="6"/>
      <c r="AA9296" s="6" t="s">
        <v>1117</v>
      </c>
      <c r="AB9296" s="8"/>
      <c r="AC9296" s="27">
        <v>9785955806037</v>
      </c>
    </row>
    <row r="9297" spans="1:29" s="4" customFormat="1" ht="51.9" customHeight="1" x14ac:dyDescent="0.2">
      <c r="A9297" s="5">
        <v>0</v>
      </c>
      <c r="B9297" s="6" t="s">
        <v>52093</v>
      </c>
      <c r="C9297" s="7">
        <v>3172.8</v>
      </c>
      <c r="D9297" s="8" t="s">
        <v>52094</v>
      </c>
      <c r="E9297" s="8" t="s">
        <v>52095</v>
      </c>
      <c r="F9297" s="8" t="s">
        <v>52096</v>
      </c>
      <c r="G9297" s="6" t="s">
        <v>60</v>
      </c>
      <c r="H9297" s="6" t="s">
        <v>34</v>
      </c>
      <c r="I9297" s="8" t="s">
        <v>253</v>
      </c>
      <c r="J9297" s="9">
        <v>1</v>
      </c>
      <c r="K9297" s="9">
        <v>456</v>
      </c>
      <c r="L9297" s="9">
        <v>2027</v>
      </c>
      <c r="M9297" s="8" t="s">
        <v>52097</v>
      </c>
      <c r="N9297" s="8" t="s">
        <v>37</v>
      </c>
      <c r="O9297" s="8" t="s">
        <v>280</v>
      </c>
      <c r="P9297" s="6" t="s">
        <v>306</v>
      </c>
      <c r="Q9297" s="8" t="s">
        <v>65</v>
      </c>
      <c r="R9297" s="10" t="s">
        <v>15372</v>
      </c>
      <c r="S9297" s="11" t="s">
        <v>20481</v>
      </c>
      <c r="T9297" s="6"/>
      <c r="U9297" s="15" t="str">
        <f>HYPERLINK("https://media.infra-m.ru/2267/2267732/cover/2267732.jpg", "Обложка")</f>
        <v>Обложка</v>
      </c>
      <c r="V9297" s="8" t="s">
        <v>2088</v>
      </c>
      <c r="W9297" s="6"/>
      <c r="X9297" s="6"/>
      <c r="Y9297" s="6"/>
      <c r="Z9297" s="6"/>
      <c r="AA9297" s="6" t="s">
        <v>76</v>
      </c>
      <c r="AB9297" s="8"/>
      <c r="AC9297" s="27">
        <v>9785160186078</v>
      </c>
    </row>
    <row r="9298" spans="1:29" s="4" customFormat="1" ht="51.9" customHeight="1" x14ac:dyDescent="0.2">
      <c r="A9298" s="5">
        <v>0</v>
      </c>
      <c r="B9298" s="6" t="s">
        <v>52098</v>
      </c>
      <c r="C9298" s="7">
        <v>1320</v>
      </c>
      <c r="D9298" s="8" t="s">
        <v>52099</v>
      </c>
      <c r="E9298" s="8" t="s">
        <v>52100</v>
      </c>
      <c r="F9298" s="8" t="s">
        <v>52101</v>
      </c>
      <c r="G9298" s="6" t="s">
        <v>118</v>
      </c>
      <c r="H9298" s="6" t="s">
        <v>34</v>
      </c>
      <c r="I9298" s="8"/>
      <c r="J9298" s="9">
        <v>1</v>
      </c>
      <c r="K9298" s="9">
        <v>190</v>
      </c>
      <c r="L9298" s="9">
        <v>2027</v>
      </c>
      <c r="M9298" s="8" t="s">
        <v>52102</v>
      </c>
      <c r="N9298" s="8" t="s">
        <v>585</v>
      </c>
      <c r="O9298" s="8" t="s">
        <v>667</v>
      </c>
      <c r="P9298" s="6" t="s">
        <v>234</v>
      </c>
      <c r="Q9298" s="8" t="s">
        <v>52</v>
      </c>
      <c r="R9298" s="10" t="s">
        <v>52103</v>
      </c>
      <c r="S9298" s="11"/>
      <c r="T9298" s="6"/>
      <c r="U9298" s="15" t="str">
        <f>HYPERLINK("https://media.infra-m.ru/2233/2233532/cover/2233532.jpg", "Обложка")</f>
        <v>Обложка</v>
      </c>
      <c r="V9298" s="8" t="s">
        <v>247</v>
      </c>
      <c r="W9298" s="6"/>
      <c r="X9298" s="6"/>
      <c r="Y9298" s="6"/>
      <c r="Z9298" s="6"/>
      <c r="AA9298" s="6" t="s">
        <v>1031</v>
      </c>
      <c r="AB9298" s="8"/>
      <c r="AC9298" s="27">
        <v>9785160223834</v>
      </c>
    </row>
    <row r="9299" spans="1:29" s="4" customFormat="1" ht="51.9" customHeight="1" x14ac:dyDescent="0.2">
      <c r="A9299" s="5">
        <v>0</v>
      </c>
      <c r="B9299" s="6" t="s">
        <v>52104</v>
      </c>
      <c r="C9299" s="7">
        <v>2304</v>
      </c>
      <c r="D9299" s="8" t="s">
        <v>52105</v>
      </c>
      <c r="E9299" s="8" t="s">
        <v>52106</v>
      </c>
      <c r="F9299" s="8" t="s">
        <v>52107</v>
      </c>
      <c r="G9299" s="6" t="s">
        <v>60</v>
      </c>
      <c r="H9299" s="6" t="s">
        <v>241</v>
      </c>
      <c r="I9299" s="8" t="s">
        <v>253</v>
      </c>
      <c r="J9299" s="9">
        <v>1</v>
      </c>
      <c r="K9299" s="9">
        <v>416</v>
      </c>
      <c r="L9299" s="9">
        <v>2024</v>
      </c>
      <c r="M9299" s="8" t="s">
        <v>52108</v>
      </c>
      <c r="N9299" s="8" t="s">
        <v>585</v>
      </c>
      <c r="O9299" s="8" t="s">
        <v>667</v>
      </c>
      <c r="P9299" s="6" t="s">
        <v>51</v>
      </c>
      <c r="Q9299" s="8" t="s">
        <v>52</v>
      </c>
      <c r="R9299" s="10" t="s">
        <v>1646</v>
      </c>
      <c r="S9299" s="11" t="s">
        <v>52109</v>
      </c>
      <c r="T9299" s="6" t="s">
        <v>97</v>
      </c>
      <c r="U9299" s="15" t="str">
        <f>HYPERLINK("https://media.infra-m.ru/2079/2079319/cover/2079319.jpg", "Обложка")</f>
        <v>Обложка</v>
      </c>
      <c r="V9299" s="8" t="s">
        <v>247</v>
      </c>
      <c r="W9299" s="6"/>
      <c r="X9299" s="6"/>
      <c r="Y9299" s="6"/>
      <c r="Z9299" s="6"/>
      <c r="AA9299" s="6" t="s">
        <v>55</v>
      </c>
      <c r="AB9299" s="8"/>
      <c r="AC9299" s="27">
        <v>9785955803227</v>
      </c>
    </row>
    <row r="9300" spans="1:29" s="4" customFormat="1" ht="42" customHeight="1" x14ac:dyDescent="0.2">
      <c r="A9300" s="5">
        <v>0</v>
      </c>
      <c r="B9300" s="6" t="s">
        <v>52110</v>
      </c>
      <c r="C9300" s="7">
        <v>1500</v>
      </c>
      <c r="D9300" s="8" t="s">
        <v>52111</v>
      </c>
      <c r="E9300" s="8" t="s">
        <v>52112</v>
      </c>
      <c r="F9300" s="8" t="s">
        <v>52113</v>
      </c>
      <c r="G9300" s="6" t="s">
        <v>60</v>
      </c>
      <c r="H9300" s="6" t="s">
        <v>34</v>
      </c>
      <c r="I9300" s="8" t="s">
        <v>253</v>
      </c>
      <c r="J9300" s="9">
        <v>1</v>
      </c>
      <c r="K9300" s="9">
        <v>217</v>
      </c>
      <c r="L9300" s="9">
        <v>2026</v>
      </c>
      <c r="M9300" s="8" t="s">
        <v>52114</v>
      </c>
      <c r="N9300" s="8" t="s">
        <v>585</v>
      </c>
      <c r="O9300" s="8" t="s">
        <v>667</v>
      </c>
      <c r="P9300" s="6" t="s">
        <v>306</v>
      </c>
      <c r="Q9300" s="8" t="s">
        <v>65</v>
      </c>
      <c r="R9300" s="10" t="s">
        <v>15372</v>
      </c>
      <c r="S9300" s="11"/>
      <c r="T9300" s="6"/>
      <c r="U9300" s="15" t="str">
        <f>HYPERLINK("https://media.infra-m.ru/2228/2228615/cover/2228615.jpg", "Обложка")</f>
        <v>Обложка</v>
      </c>
      <c r="V9300" s="8" t="s">
        <v>1994</v>
      </c>
      <c r="W9300" s="6" t="s">
        <v>351</v>
      </c>
      <c r="X9300" s="6"/>
      <c r="Y9300" s="6"/>
      <c r="Z9300" s="6"/>
      <c r="AA9300" s="6" t="s">
        <v>187</v>
      </c>
      <c r="AB9300" s="8" t="s">
        <v>308</v>
      </c>
      <c r="AC9300" s="27">
        <v>9785160215242</v>
      </c>
    </row>
    <row r="9301" spans="1:29" s="4" customFormat="1" ht="51.9" customHeight="1" x14ac:dyDescent="0.2">
      <c r="A9301" s="5">
        <v>0</v>
      </c>
      <c r="B9301" s="6" t="s">
        <v>52115</v>
      </c>
      <c r="C9301" s="7">
        <v>1240.8</v>
      </c>
      <c r="D9301" s="8" t="s">
        <v>52116</v>
      </c>
      <c r="E9301" s="8" t="s">
        <v>52117</v>
      </c>
      <c r="F9301" s="8" t="s">
        <v>19154</v>
      </c>
      <c r="G9301" s="6" t="s">
        <v>60</v>
      </c>
      <c r="H9301" s="6" t="s">
        <v>34</v>
      </c>
      <c r="I9301" s="8" t="s">
        <v>253</v>
      </c>
      <c r="J9301" s="9">
        <v>1</v>
      </c>
      <c r="K9301" s="9">
        <v>224</v>
      </c>
      <c r="L9301" s="9">
        <v>2023</v>
      </c>
      <c r="M9301" s="8" t="s">
        <v>52118</v>
      </c>
      <c r="N9301" s="8" t="s">
        <v>585</v>
      </c>
      <c r="O9301" s="8" t="s">
        <v>667</v>
      </c>
      <c r="P9301" s="6" t="s">
        <v>51</v>
      </c>
      <c r="Q9301" s="8" t="s">
        <v>52</v>
      </c>
      <c r="R9301" s="10" t="s">
        <v>52119</v>
      </c>
      <c r="S9301" s="11" t="s">
        <v>52120</v>
      </c>
      <c r="T9301" s="6"/>
      <c r="U9301" s="15" t="str">
        <f>HYPERLINK("https://media.infra-m.ru/1981/1981702/cover/1981702.jpg", "Обложка")</f>
        <v>Обложка</v>
      </c>
      <c r="V9301" s="8" t="s">
        <v>2427</v>
      </c>
      <c r="W9301" s="6"/>
      <c r="X9301" s="6"/>
      <c r="Y9301" s="6"/>
      <c r="Z9301" s="6"/>
      <c r="AA9301" s="6" t="s">
        <v>55</v>
      </c>
      <c r="AB9301" s="8"/>
      <c r="AC9301" s="27">
        <v>9785160053134</v>
      </c>
    </row>
    <row r="9302" spans="1:29" s="4" customFormat="1" ht="51.9" customHeight="1" x14ac:dyDescent="0.2">
      <c r="A9302" s="5">
        <v>0</v>
      </c>
      <c r="B9302" s="6" t="s">
        <v>52121</v>
      </c>
      <c r="C9302" s="13">
        <v>461.9</v>
      </c>
      <c r="D9302" s="8" t="s">
        <v>52122</v>
      </c>
      <c r="E9302" s="8" t="s">
        <v>52123</v>
      </c>
      <c r="F9302" s="8" t="s">
        <v>52124</v>
      </c>
      <c r="G9302" s="6" t="s">
        <v>33</v>
      </c>
      <c r="H9302" s="6" t="s">
        <v>241</v>
      </c>
      <c r="I9302" s="8"/>
      <c r="J9302" s="9">
        <v>24</v>
      </c>
      <c r="K9302" s="9">
        <v>144</v>
      </c>
      <c r="L9302" s="9">
        <v>2018</v>
      </c>
      <c r="M9302" s="8" t="s">
        <v>52125</v>
      </c>
      <c r="N9302" s="8" t="s">
        <v>37</v>
      </c>
      <c r="O9302" s="8" t="s">
        <v>233</v>
      </c>
      <c r="P9302" s="6" t="s">
        <v>51</v>
      </c>
      <c r="Q9302" s="8" t="s">
        <v>52</v>
      </c>
      <c r="R9302" s="10" t="s">
        <v>52092</v>
      </c>
      <c r="S9302" s="11" t="s">
        <v>52126</v>
      </c>
      <c r="T9302" s="6"/>
      <c r="U9302" s="15" t="str">
        <f>HYPERLINK("https://media.infra-m.ru/0927/0927411/cover/927411.jpg", "Обложка")</f>
        <v>Обложка</v>
      </c>
      <c r="V9302" s="8" t="s">
        <v>10985</v>
      </c>
      <c r="W9302" s="6"/>
      <c r="X9302" s="6"/>
      <c r="Y9302" s="6"/>
      <c r="Z9302" s="6"/>
      <c r="AA9302" s="6" t="s">
        <v>3391</v>
      </c>
      <c r="AB9302" s="8"/>
      <c r="AC9302" s="27">
        <v>9785955801599</v>
      </c>
    </row>
    <row r="9303" spans="1:29" s="4" customFormat="1" ht="51.9" customHeight="1" x14ac:dyDescent="0.2">
      <c r="A9303" s="5">
        <v>0</v>
      </c>
      <c r="B9303" s="6" t="s">
        <v>52127</v>
      </c>
      <c r="C9303" s="7">
        <v>2752.8</v>
      </c>
      <c r="D9303" s="8" t="s">
        <v>52128</v>
      </c>
      <c r="E9303" s="8" t="s">
        <v>52129</v>
      </c>
      <c r="F9303" s="8" t="s">
        <v>52130</v>
      </c>
      <c r="G9303" s="6" t="s">
        <v>60</v>
      </c>
      <c r="H9303" s="6" t="s">
        <v>34</v>
      </c>
      <c r="I9303" s="8" t="s">
        <v>271</v>
      </c>
      <c r="J9303" s="9">
        <v>1</v>
      </c>
      <c r="K9303" s="9">
        <v>396</v>
      </c>
      <c r="L9303" s="9">
        <v>2027</v>
      </c>
      <c r="M9303" s="8" t="s">
        <v>52131</v>
      </c>
      <c r="N9303" s="8" t="s">
        <v>37</v>
      </c>
      <c r="O9303" s="8" t="s">
        <v>233</v>
      </c>
      <c r="P9303" s="6" t="s">
        <v>51</v>
      </c>
      <c r="Q9303" s="8" t="s">
        <v>52</v>
      </c>
      <c r="R9303" s="10" t="s">
        <v>25510</v>
      </c>
      <c r="S9303" s="11" t="s">
        <v>52132</v>
      </c>
      <c r="T9303" s="6"/>
      <c r="U9303" s="15" t="str">
        <f>HYPERLINK("https://media.infra-m.ru/2262/2262591/cover/2262591.jpg", "Обложка")</f>
        <v>Обложка</v>
      </c>
      <c r="V9303" s="8" t="s">
        <v>10325</v>
      </c>
      <c r="W9303" s="6"/>
      <c r="X9303" s="6"/>
      <c r="Y9303" s="6"/>
      <c r="Z9303" s="6"/>
      <c r="AA9303" s="6" t="s">
        <v>99</v>
      </c>
      <c r="AB9303" s="8"/>
      <c r="AC9303" s="27">
        <v>9785160109671</v>
      </c>
    </row>
    <row r="9304" spans="1:29" s="4" customFormat="1" ht="44.1" customHeight="1" x14ac:dyDescent="0.2">
      <c r="A9304" s="5">
        <v>0</v>
      </c>
      <c r="B9304" s="6" t="s">
        <v>52133</v>
      </c>
      <c r="C9304" s="7">
        <v>1392</v>
      </c>
      <c r="D9304" s="8" t="s">
        <v>52134</v>
      </c>
      <c r="E9304" s="8" t="s">
        <v>52135</v>
      </c>
      <c r="F9304" s="8" t="s">
        <v>52136</v>
      </c>
      <c r="G9304" s="6" t="s">
        <v>33</v>
      </c>
      <c r="H9304" s="6" t="s">
        <v>34</v>
      </c>
      <c r="I9304" s="8" t="s">
        <v>457</v>
      </c>
      <c r="J9304" s="9">
        <v>1</v>
      </c>
      <c r="K9304" s="9">
        <v>229</v>
      </c>
      <c r="L9304" s="9">
        <v>2025</v>
      </c>
      <c r="M9304" s="8" t="s">
        <v>52137</v>
      </c>
      <c r="N9304" s="8" t="s">
        <v>37</v>
      </c>
      <c r="O9304" s="8" t="s">
        <v>233</v>
      </c>
      <c r="P9304" s="6" t="s">
        <v>39</v>
      </c>
      <c r="Q9304" s="8" t="s">
        <v>40</v>
      </c>
      <c r="R9304" s="10" t="s">
        <v>20032</v>
      </c>
      <c r="S9304" s="11"/>
      <c r="T9304" s="6"/>
      <c r="U9304" s="15" t="str">
        <f>HYPERLINK("https://media.infra-m.ru/2137/2137563/cover/2137563.jpg", "Обложка")</f>
        <v>Обложка</v>
      </c>
      <c r="V9304" s="8" t="s">
        <v>52138</v>
      </c>
      <c r="W9304" s="6"/>
      <c r="X9304" s="6"/>
      <c r="Y9304" s="6"/>
      <c r="Z9304" s="6"/>
      <c r="AA9304" s="6" t="s">
        <v>68</v>
      </c>
      <c r="AB9304" s="8"/>
      <c r="AC9304" s="27">
        <v>9785160197869</v>
      </c>
    </row>
    <row r="9305" spans="1:29" s="4" customFormat="1" ht="51.9" customHeight="1" x14ac:dyDescent="0.2">
      <c r="A9305" s="5">
        <v>0</v>
      </c>
      <c r="B9305" s="6" t="s">
        <v>52139</v>
      </c>
      <c r="C9305" s="7">
        <v>2016</v>
      </c>
      <c r="D9305" s="8" t="s">
        <v>52140</v>
      </c>
      <c r="E9305" s="8" t="s">
        <v>52141</v>
      </c>
      <c r="F9305" s="8" t="s">
        <v>18516</v>
      </c>
      <c r="G9305" s="6" t="s">
        <v>33</v>
      </c>
      <c r="H9305" s="6" t="s">
        <v>313</v>
      </c>
      <c r="I9305" s="8" t="s">
        <v>35</v>
      </c>
      <c r="J9305" s="9">
        <v>1</v>
      </c>
      <c r="K9305" s="9">
        <v>323</v>
      </c>
      <c r="L9305" s="9">
        <v>2025</v>
      </c>
      <c r="M9305" s="8" t="s">
        <v>52142</v>
      </c>
      <c r="N9305" s="8" t="s">
        <v>37</v>
      </c>
      <c r="O9305" s="8" t="s">
        <v>233</v>
      </c>
      <c r="P9305" s="6" t="s">
        <v>39</v>
      </c>
      <c r="Q9305" s="8" t="s">
        <v>40</v>
      </c>
      <c r="R9305" s="10" t="s">
        <v>52143</v>
      </c>
      <c r="S9305" s="11"/>
      <c r="T9305" s="6"/>
      <c r="U9305" s="15" t="str">
        <f>HYPERLINK("https://media.infra-m.ru/2208/2208438/cover/2208438.jpg", "Обложка")</f>
        <v>Обложка</v>
      </c>
      <c r="V9305" s="8" t="s">
        <v>2446</v>
      </c>
      <c r="W9305" s="6"/>
      <c r="X9305" s="6"/>
      <c r="Y9305" s="6"/>
      <c r="Z9305" s="6"/>
      <c r="AA9305" s="6" t="s">
        <v>430</v>
      </c>
      <c r="AB9305" s="8"/>
      <c r="AC9305" s="27">
        <v>9785369018682</v>
      </c>
    </row>
    <row r="9306" spans="1:29" s="4" customFormat="1" ht="51.9" customHeight="1" x14ac:dyDescent="0.2">
      <c r="A9306" s="5">
        <v>0</v>
      </c>
      <c r="B9306" s="6" t="s">
        <v>52144</v>
      </c>
      <c r="C9306" s="7">
        <v>6352.8</v>
      </c>
      <c r="D9306" s="8" t="s">
        <v>52145</v>
      </c>
      <c r="E9306" s="8" t="s">
        <v>52146</v>
      </c>
      <c r="F9306" s="8" t="s">
        <v>52147</v>
      </c>
      <c r="G9306" s="6" t="s">
        <v>60</v>
      </c>
      <c r="H9306" s="6" t="s">
        <v>34</v>
      </c>
      <c r="I9306" s="8"/>
      <c r="J9306" s="9">
        <v>1</v>
      </c>
      <c r="K9306" s="9">
        <v>1184</v>
      </c>
      <c r="L9306" s="9">
        <v>2025</v>
      </c>
      <c r="M9306" s="8" t="s">
        <v>52148</v>
      </c>
      <c r="N9306" s="8" t="s">
        <v>37</v>
      </c>
      <c r="O9306" s="8" t="s">
        <v>233</v>
      </c>
      <c r="P9306" s="6" t="s">
        <v>306</v>
      </c>
      <c r="Q9306" s="8" t="s">
        <v>52</v>
      </c>
      <c r="R9306" s="10" t="s">
        <v>52149</v>
      </c>
      <c r="S9306" s="11"/>
      <c r="T9306" s="6"/>
      <c r="U9306" s="15" t="str">
        <f>HYPERLINK("https://media.infra-m.ru/2251/2251156/cover/2251156.jpg", "Обложка")</f>
        <v>Обложка</v>
      </c>
      <c r="V9306" s="8" t="s">
        <v>227</v>
      </c>
      <c r="W9306" s="6"/>
      <c r="X9306" s="6"/>
      <c r="Y9306" s="6"/>
      <c r="Z9306" s="6"/>
      <c r="AA9306" s="6" t="s">
        <v>52150</v>
      </c>
      <c r="AB9306" s="8"/>
      <c r="AC9306" s="27">
        <v>9785160129853</v>
      </c>
    </row>
    <row r="9307" spans="1:29" s="4" customFormat="1" ht="51.9" customHeight="1" x14ac:dyDescent="0.2">
      <c r="A9307" s="5">
        <v>0</v>
      </c>
      <c r="B9307" s="6" t="s">
        <v>52151</v>
      </c>
      <c r="C9307" s="7">
        <v>1384.8</v>
      </c>
      <c r="D9307" s="8" t="s">
        <v>52152</v>
      </c>
      <c r="E9307" s="8" t="s">
        <v>52153</v>
      </c>
      <c r="F9307" s="8" t="s">
        <v>36027</v>
      </c>
      <c r="G9307" s="6" t="s">
        <v>60</v>
      </c>
      <c r="H9307" s="6" t="s">
        <v>313</v>
      </c>
      <c r="I9307" s="8" t="s">
        <v>10656</v>
      </c>
      <c r="J9307" s="9">
        <v>1</v>
      </c>
      <c r="K9307" s="9">
        <v>222</v>
      </c>
      <c r="L9307" s="9">
        <v>2025</v>
      </c>
      <c r="M9307" s="8" t="s">
        <v>52154</v>
      </c>
      <c r="N9307" s="8" t="s">
        <v>37</v>
      </c>
      <c r="O9307" s="8" t="s">
        <v>233</v>
      </c>
      <c r="P9307" s="6" t="s">
        <v>51</v>
      </c>
      <c r="Q9307" s="8" t="s">
        <v>52</v>
      </c>
      <c r="R9307" s="10" t="s">
        <v>357</v>
      </c>
      <c r="S9307" s="11" t="s">
        <v>52155</v>
      </c>
      <c r="T9307" s="6"/>
      <c r="U9307" s="15" t="str">
        <f>HYPERLINK("https://media.infra-m.ru/2192/2192224/cover/2192224.jpg", "Обложка")</f>
        <v>Обложка</v>
      </c>
      <c r="V9307" s="8" t="s">
        <v>2446</v>
      </c>
      <c r="W9307" s="6"/>
      <c r="X9307" s="6"/>
      <c r="Y9307" s="6"/>
      <c r="Z9307" s="6"/>
      <c r="AA9307" s="6" t="s">
        <v>55</v>
      </c>
      <c r="AB9307" s="8"/>
      <c r="AC9307" s="27">
        <v>9785369010037</v>
      </c>
    </row>
    <row r="9308" spans="1:29" s="4" customFormat="1" ht="42" customHeight="1" x14ac:dyDescent="0.2">
      <c r="A9308" s="5">
        <v>0</v>
      </c>
      <c r="B9308" s="6" t="s">
        <v>52156</v>
      </c>
      <c r="C9308" s="7">
        <v>1032</v>
      </c>
      <c r="D9308" s="8" t="s">
        <v>52157</v>
      </c>
      <c r="E9308" s="8" t="s">
        <v>52158</v>
      </c>
      <c r="F9308" s="8" t="s">
        <v>52159</v>
      </c>
      <c r="G9308" s="6" t="s">
        <v>33</v>
      </c>
      <c r="H9308" s="6" t="s">
        <v>313</v>
      </c>
      <c r="I9308" s="8" t="s">
        <v>35</v>
      </c>
      <c r="J9308" s="9">
        <v>1</v>
      </c>
      <c r="K9308" s="9">
        <v>148</v>
      </c>
      <c r="L9308" s="9">
        <v>2026</v>
      </c>
      <c r="M9308" s="8" t="s">
        <v>52160</v>
      </c>
      <c r="N9308" s="8" t="s">
        <v>37</v>
      </c>
      <c r="O9308" s="8" t="s">
        <v>233</v>
      </c>
      <c r="P9308" s="6" t="s">
        <v>39</v>
      </c>
      <c r="Q9308" s="8" t="s">
        <v>40</v>
      </c>
      <c r="R9308" s="10" t="s">
        <v>11987</v>
      </c>
      <c r="S9308" s="11"/>
      <c r="T9308" s="6"/>
      <c r="U9308" s="15" t="str">
        <f>HYPERLINK("https://media.infra-m.ru/2258/2258016/cover/2258016.jpg", "Обложка")</f>
        <v>Обложка</v>
      </c>
      <c r="V9308" s="8" t="s">
        <v>52161</v>
      </c>
      <c r="W9308" s="6"/>
      <c r="X9308" s="6"/>
      <c r="Y9308" s="6"/>
      <c r="Z9308" s="6"/>
      <c r="AA9308" s="6" t="s">
        <v>430</v>
      </c>
      <c r="AB9308" s="8"/>
      <c r="AC9308" s="27">
        <v>9785369018583</v>
      </c>
    </row>
    <row r="9309" spans="1:29" s="4" customFormat="1" ht="42" customHeight="1" x14ac:dyDescent="0.2">
      <c r="A9309" s="5">
        <v>0</v>
      </c>
      <c r="B9309" s="6" t="s">
        <v>52162</v>
      </c>
      <c r="C9309" s="7">
        <v>1944</v>
      </c>
      <c r="D9309" s="8" t="s">
        <v>52163</v>
      </c>
      <c r="E9309" s="8" t="s">
        <v>52164</v>
      </c>
      <c r="F9309" s="8" t="s">
        <v>52165</v>
      </c>
      <c r="G9309" s="6" t="s">
        <v>118</v>
      </c>
      <c r="H9309" s="6" t="s">
        <v>313</v>
      </c>
      <c r="I9309" s="8" t="s">
        <v>253</v>
      </c>
      <c r="J9309" s="9">
        <v>1</v>
      </c>
      <c r="K9309" s="9">
        <v>293</v>
      </c>
      <c r="L9309" s="9">
        <v>2026</v>
      </c>
      <c r="M9309" s="8" t="s">
        <v>52166</v>
      </c>
      <c r="N9309" s="8" t="s">
        <v>37</v>
      </c>
      <c r="O9309" s="8" t="s">
        <v>233</v>
      </c>
      <c r="P9309" s="6" t="s">
        <v>51</v>
      </c>
      <c r="Q9309" s="8" t="s">
        <v>52</v>
      </c>
      <c r="R9309" s="10" t="s">
        <v>11987</v>
      </c>
      <c r="S9309" s="11"/>
      <c r="T9309" s="6"/>
      <c r="U9309" s="15" t="str">
        <f>HYPERLINK("https://media.infra-m.ru/2230/2230654/cover/2230654.jpg", "Обложка")</f>
        <v>Обложка</v>
      </c>
      <c r="V9309" s="8" t="s">
        <v>3693</v>
      </c>
      <c r="W9309" s="6"/>
      <c r="X9309" s="6"/>
      <c r="Y9309" s="6"/>
      <c r="Z9309" s="6"/>
      <c r="AA9309" s="6" t="s">
        <v>99</v>
      </c>
      <c r="AB9309" s="8"/>
      <c r="AC9309" s="27">
        <v>9785369016718</v>
      </c>
    </row>
    <row r="9310" spans="1:29" s="4" customFormat="1" ht="51.9" customHeight="1" x14ac:dyDescent="0.2">
      <c r="A9310" s="5">
        <v>0</v>
      </c>
      <c r="B9310" s="6" t="s">
        <v>52167</v>
      </c>
      <c r="C9310" s="7">
        <v>1980</v>
      </c>
      <c r="D9310" s="8" t="s">
        <v>52168</v>
      </c>
      <c r="E9310" s="8" t="s">
        <v>52169</v>
      </c>
      <c r="F9310" s="8" t="s">
        <v>52170</v>
      </c>
      <c r="G9310" s="6" t="s">
        <v>118</v>
      </c>
      <c r="H9310" s="6" t="s">
        <v>313</v>
      </c>
      <c r="I9310" s="8" t="s">
        <v>253</v>
      </c>
      <c r="J9310" s="9">
        <v>1</v>
      </c>
      <c r="K9310" s="9">
        <v>359</v>
      </c>
      <c r="L9310" s="9">
        <v>2023</v>
      </c>
      <c r="M9310" s="8" t="s">
        <v>52171</v>
      </c>
      <c r="N9310" s="8" t="s">
        <v>37</v>
      </c>
      <c r="O9310" s="8" t="s">
        <v>233</v>
      </c>
      <c r="P9310" s="6" t="s">
        <v>51</v>
      </c>
      <c r="Q9310" s="8" t="s">
        <v>52</v>
      </c>
      <c r="R9310" s="10" t="s">
        <v>15367</v>
      </c>
      <c r="S9310" s="11"/>
      <c r="T9310" s="6"/>
      <c r="U9310" s="15" t="str">
        <f>HYPERLINK("https://media.infra-m.ru/1907/1907709/cover/1907709.jpg", "Обложка")</f>
        <v>Обложка</v>
      </c>
      <c r="V9310" s="8"/>
      <c r="W9310" s="6"/>
      <c r="X9310" s="6"/>
      <c r="Y9310" s="6"/>
      <c r="Z9310" s="6"/>
      <c r="AA9310" s="6" t="s">
        <v>115</v>
      </c>
      <c r="AB9310" s="8"/>
      <c r="AC9310" s="27">
        <v>9785369018149</v>
      </c>
    </row>
    <row r="9311" spans="1:29" s="4" customFormat="1" ht="44.1" customHeight="1" x14ac:dyDescent="0.2">
      <c r="A9311" s="5">
        <v>0</v>
      </c>
      <c r="B9311" s="6" t="s">
        <v>52172</v>
      </c>
      <c r="C9311" s="7">
        <v>1540.8</v>
      </c>
      <c r="D9311" s="8" t="s">
        <v>52173</v>
      </c>
      <c r="E9311" s="8" t="s">
        <v>52174</v>
      </c>
      <c r="F9311" s="8" t="s">
        <v>16384</v>
      </c>
      <c r="G9311" s="6" t="s">
        <v>33</v>
      </c>
      <c r="H9311" s="6" t="s">
        <v>34</v>
      </c>
      <c r="I9311" s="8" t="s">
        <v>35</v>
      </c>
      <c r="J9311" s="9">
        <v>1</v>
      </c>
      <c r="K9311" s="9">
        <v>233</v>
      </c>
      <c r="L9311" s="9">
        <v>2026</v>
      </c>
      <c r="M9311" s="8" t="s">
        <v>52175</v>
      </c>
      <c r="N9311" s="8" t="s">
        <v>37</v>
      </c>
      <c r="O9311" s="8" t="s">
        <v>233</v>
      </c>
      <c r="P9311" s="6" t="s">
        <v>39</v>
      </c>
      <c r="Q9311" s="8" t="s">
        <v>40</v>
      </c>
      <c r="R9311" s="10" t="s">
        <v>52176</v>
      </c>
      <c r="S9311" s="11"/>
      <c r="T9311" s="6"/>
      <c r="U9311" s="15" t="str">
        <f>HYPERLINK("https://media.infra-m.ru/2238/2238013/cover/2238013.jpg", "Обложка")</f>
        <v>Обложка</v>
      </c>
      <c r="V9311" s="8" t="s">
        <v>2035</v>
      </c>
      <c r="W9311" s="6"/>
      <c r="X9311" s="6"/>
      <c r="Y9311" s="6"/>
      <c r="Z9311" s="6"/>
      <c r="AA9311" s="6" t="s">
        <v>148</v>
      </c>
      <c r="AB9311" s="8"/>
      <c r="AC9311" s="27">
        <v>9785160172583</v>
      </c>
    </row>
    <row r="9312" spans="1:29" s="4" customFormat="1" ht="42" customHeight="1" x14ac:dyDescent="0.2">
      <c r="A9312" s="5">
        <v>0</v>
      </c>
      <c r="B9312" s="6" t="s">
        <v>52177</v>
      </c>
      <c r="C9312" s="13">
        <v>688.8</v>
      </c>
      <c r="D9312" s="8" t="s">
        <v>52178</v>
      </c>
      <c r="E9312" s="8" t="s">
        <v>52179</v>
      </c>
      <c r="F9312" s="8" t="s">
        <v>52180</v>
      </c>
      <c r="G9312" s="6" t="s">
        <v>33</v>
      </c>
      <c r="H9312" s="6" t="s">
        <v>34</v>
      </c>
      <c r="I9312" s="8" t="s">
        <v>35</v>
      </c>
      <c r="J9312" s="9">
        <v>1</v>
      </c>
      <c r="K9312" s="9">
        <v>105</v>
      </c>
      <c r="L9312" s="9">
        <v>2026</v>
      </c>
      <c r="M9312" s="8" t="s">
        <v>52181</v>
      </c>
      <c r="N9312" s="8" t="s">
        <v>37</v>
      </c>
      <c r="O9312" s="8" t="s">
        <v>233</v>
      </c>
      <c r="P9312" s="6" t="s">
        <v>39</v>
      </c>
      <c r="Q9312" s="8" t="s">
        <v>40</v>
      </c>
      <c r="R9312" s="10" t="s">
        <v>1646</v>
      </c>
      <c r="S9312" s="11"/>
      <c r="T9312" s="6"/>
      <c r="U9312" s="15" t="str">
        <f>HYPERLINK("https://media.infra-m.ru/2238/2238020/cover/2238020.jpg", "Обложка")</f>
        <v>Обложка</v>
      </c>
      <c r="V9312" s="8" t="s">
        <v>3154</v>
      </c>
      <c r="W9312" s="6"/>
      <c r="X9312" s="6"/>
      <c r="Y9312" s="6"/>
      <c r="Z9312" s="6"/>
      <c r="AA9312" s="6" t="s">
        <v>55</v>
      </c>
      <c r="AB9312" s="8"/>
      <c r="AC9312" s="27">
        <v>9785160095684</v>
      </c>
    </row>
    <row r="9313" spans="1:29" s="4" customFormat="1" ht="51.9" customHeight="1" x14ac:dyDescent="0.2">
      <c r="A9313" s="5">
        <v>0</v>
      </c>
      <c r="B9313" s="6" t="s">
        <v>52182</v>
      </c>
      <c r="C9313" s="7">
        <v>1348.8</v>
      </c>
      <c r="D9313" s="8" t="s">
        <v>52183</v>
      </c>
      <c r="E9313" s="8" t="s">
        <v>52184</v>
      </c>
      <c r="F9313" s="8" t="s">
        <v>52185</v>
      </c>
      <c r="G9313" s="6" t="s">
        <v>118</v>
      </c>
      <c r="H9313" s="6" t="s">
        <v>34</v>
      </c>
      <c r="I9313" s="8" t="s">
        <v>5350</v>
      </c>
      <c r="J9313" s="9">
        <v>1</v>
      </c>
      <c r="K9313" s="9">
        <v>204</v>
      </c>
      <c r="L9313" s="9">
        <v>2026</v>
      </c>
      <c r="M9313" s="8" t="s">
        <v>52186</v>
      </c>
      <c r="N9313" s="8" t="s">
        <v>37</v>
      </c>
      <c r="O9313" s="8" t="s">
        <v>233</v>
      </c>
      <c r="P9313" s="6" t="s">
        <v>51</v>
      </c>
      <c r="Q9313" s="8" t="s">
        <v>377</v>
      </c>
      <c r="R9313" s="10" t="s">
        <v>11987</v>
      </c>
      <c r="S9313" s="11" t="s">
        <v>52187</v>
      </c>
      <c r="T9313" s="6"/>
      <c r="U9313" s="15" t="str">
        <f>HYPERLINK("https://media.infra-m.ru/2238/2238027/cover/2238027.jpg", "Обложка")</f>
        <v>Обложка</v>
      </c>
      <c r="V9313" s="8" t="s">
        <v>2035</v>
      </c>
      <c r="W9313" s="6"/>
      <c r="X9313" s="6"/>
      <c r="Y9313" s="6"/>
      <c r="Z9313" s="6"/>
      <c r="AA9313" s="6" t="s">
        <v>430</v>
      </c>
      <c r="AB9313" s="8"/>
      <c r="AC9313" s="27">
        <v>9785160157306</v>
      </c>
    </row>
    <row r="9314" spans="1:29" s="4" customFormat="1" ht="51.9" customHeight="1" x14ac:dyDescent="0.2">
      <c r="A9314" s="5">
        <v>0</v>
      </c>
      <c r="B9314" s="6" t="s">
        <v>52188</v>
      </c>
      <c r="C9314" s="7">
        <v>3472.8</v>
      </c>
      <c r="D9314" s="8" t="s">
        <v>52189</v>
      </c>
      <c r="E9314" s="8" t="s">
        <v>52190</v>
      </c>
      <c r="F9314" s="8" t="s">
        <v>52185</v>
      </c>
      <c r="G9314" s="6" t="s">
        <v>60</v>
      </c>
      <c r="H9314" s="6" t="s">
        <v>34</v>
      </c>
      <c r="I9314" s="8" t="s">
        <v>5350</v>
      </c>
      <c r="J9314" s="9">
        <v>1</v>
      </c>
      <c r="K9314" s="9">
        <v>526</v>
      </c>
      <c r="L9314" s="9">
        <v>2026</v>
      </c>
      <c r="M9314" s="8" t="s">
        <v>52191</v>
      </c>
      <c r="N9314" s="8" t="s">
        <v>37</v>
      </c>
      <c r="O9314" s="8" t="s">
        <v>233</v>
      </c>
      <c r="P9314" s="6" t="s">
        <v>306</v>
      </c>
      <c r="Q9314" s="8" t="s">
        <v>377</v>
      </c>
      <c r="R9314" s="10" t="s">
        <v>11987</v>
      </c>
      <c r="S9314" s="11" t="s">
        <v>52192</v>
      </c>
      <c r="T9314" s="6"/>
      <c r="U9314" s="15" t="str">
        <f>HYPERLINK("https://media.infra-m.ru/2238/2238011/cover/2238011.jpg", "Обложка")</f>
        <v>Обложка</v>
      </c>
      <c r="V9314" s="8" t="s">
        <v>2035</v>
      </c>
      <c r="W9314" s="6"/>
      <c r="X9314" s="6"/>
      <c r="Y9314" s="6"/>
      <c r="Z9314" s="6"/>
      <c r="AA9314" s="6" t="s">
        <v>430</v>
      </c>
      <c r="AB9314" s="8"/>
      <c r="AC9314" s="27">
        <v>9785160157290</v>
      </c>
    </row>
    <row r="9315" spans="1:29" s="4" customFormat="1" ht="51.9" customHeight="1" x14ac:dyDescent="0.2">
      <c r="A9315" s="5">
        <v>0</v>
      </c>
      <c r="B9315" s="6" t="s">
        <v>52193</v>
      </c>
      <c r="C9315" s="7">
        <v>2116.8000000000002</v>
      </c>
      <c r="D9315" s="8" t="s">
        <v>52194</v>
      </c>
      <c r="E9315" s="8" t="s">
        <v>52190</v>
      </c>
      <c r="F9315" s="8" t="s">
        <v>52195</v>
      </c>
      <c r="G9315" s="6" t="s">
        <v>118</v>
      </c>
      <c r="H9315" s="6" t="s">
        <v>34</v>
      </c>
      <c r="I9315" s="8" t="s">
        <v>271</v>
      </c>
      <c r="J9315" s="9">
        <v>1</v>
      </c>
      <c r="K9315" s="9">
        <v>320</v>
      </c>
      <c r="L9315" s="9">
        <v>2026</v>
      </c>
      <c r="M9315" s="8" t="s">
        <v>52196</v>
      </c>
      <c r="N9315" s="8" t="s">
        <v>37</v>
      </c>
      <c r="O9315" s="8" t="s">
        <v>233</v>
      </c>
      <c r="P9315" s="6" t="s">
        <v>51</v>
      </c>
      <c r="Q9315" s="8" t="s">
        <v>52</v>
      </c>
      <c r="R9315" s="10" t="s">
        <v>23609</v>
      </c>
      <c r="S9315" s="11" t="s">
        <v>52197</v>
      </c>
      <c r="T9315" s="6"/>
      <c r="U9315" s="15" t="str">
        <f>HYPERLINK("https://media.infra-m.ru/2238/2238010/cover/2238010.jpg", "Обложка")</f>
        <v>Обложка</v>
      </c>
      <c r="V9315" s="8" t="s">
        <v>9227</v>
      </c>
      <c r="W9315" s="6"/>
      <c r="X9315" s="6"/>
      <c r="Y9315" s="6"/>
      <c r="Z9315" s="6"/>
      <c r="AA9315" s="6" t="s">
        <v>248</v>
      </c>
      <c r="AB9315" s="8"/>
      <c r="AC9315" s="27">
        <v>9785160090023</v>
      </c>
    </row>
    <row r="9316" spans="1:29" s="4" customFormat="1" ht="51.9" customHeight="1" x14ac:dyDescent="0.2">
      <c r="A9316" s="5">
        <v>0</v>
      </c>
      <c r="B9316" s="6" t="s">
        <v>52198</v>
      </c>
      <c r="C9316" s="7">
        <v>1768.8</v>
      </c>
      <c r="D9316" s="8" t="s">
        <v>52199</v>
      </c>
      <c r="E9316" s="8" t="s">
        <v>52200</v>
      </c>
      <c r="F9316" s="8" t="s">
        <v>52201</v>
      </c>
      <c r="G9316" s="6" t="s">
        <v>60</v>
      </c>
      <c r="H9316" s="6" t="s">
        <v>34</v>
      </c>
      <c r="I9316" s="8" t="s">
        <v>271</v>
      </c>
      <c r="J9316" s="9">
        <v>1</v>
      </c>
      <c r="K9316" s="9">
        <v>319</v>
      </c>
      <c r="L9316" s="9">
        <v>2024</v>
      </c>
      <c r="M9316" s="8" t="s">
        <v>52202</v>
      </c>
      <c r="N9316" s="8" t="s">
        <v>37</v>
      </c>
      <c r="O9316" s="8" t="s">
        <v>233</v>
      </c>
      <c r="P9316" s="6" t="s">
        <v>51</v>
      </c>
      <c r="Q9316" s="8" t="s">
        <v>52</v>
      </c>
      <c r="R9316" s="10" t="s">
        <v>52203</v>
      </c>
      <c r="S9316" s="11" t="s">
        <v>52204</v>
      </c>
      <c r="T9316" s="6" t="s">
        <v>97</v>
      </c>
      <c r="U9316" s="15" t="str">
        <f>HYPERLINK("https://media.infra-m.ru/2084/2084484/cover/2084484.jpg", "Обложка")</f>
        <v>Обложка</v>
      </c>
      <c r="V9316" s="8" t="s">
        <v>911</v>
      </c>
      <c r="W9316" s="6"/>
      <c r="X9316" s="6"/>
      <c r="Y9316" s="6"/>
      <c r="Z9316" s="6"/>
      <c r="AA9316" s="6" t="s">
        <v>718</v>
      </c>
      <c r="AB9316" s="8"/>
      <c r="AC9316" s="27">
        <v>9785160068381</v>
      </c>
    </row>
    <row r="9317" spans="1:29" s="4" customFormat="1" ht="51.9" customHeight="1" x14ac:dyDescent="0.2">
      <c r="A9317" s="5">
        <v>0</v>
      </c>
      <c r="B9317" s="6" t="s">
        <v>52205</v>
      </c>
      <c r="C9317" s="7">
        <v>2028</v>
      </c>
      <c r="D9317" s="8" t="s">
        <v>52206</v>
      </c>
      <c r="E9317" s="8" t="s">
        <v>52207</v>
      </c>
      <c r="F9317" s="8" t="s">
        <v>52208</v>
      </c>
      <c r="G9317" s="6" t="s">
        <v>60</v>
      </c>
      <c r="H9317" s="6" t="s">
        <v>34</v>
      </c>
      <c r="I9317" s="8" t="s">
        <v>253</v>
      </c>
      <c r="J9317" s="9">
        <v>1</v>
      </c>
      <c r="K9317" s="9">
        <v>310</v>
      </c>
      <c r="L9317" s="9">
        <v>2026</v>
      </c>
      <c r="M9317" s="8" t="s">
        <v>52209</v>
      </c>
      <c r="N9317" s="8" t="s">
        <v>37</v>
      </c>
      <c r="O9317" s="8" t="s">
        <v>233</v>
      </c>
      <c r="P9317" s="6" t="s">
        <v>51</v>
      </c>
      <c r="Q9317" s="8" t="s">
        <v>52</v>
      </c>
      <c r="R9317" s="10" t="s">
        <v>52203</v>
      </c>
      <c r="S9317" s="11"/>
      <c r="T9317" s="6"/>
      <c r="U9317" s="15" t="str">
        <f>HYPERLINK("https://media.infra-m.ru/2170/2170973/cover/2170973.jpg", "Обложка")</f>
        <v>Обложка</v>
      </c>
      <c r="V9317" s="8" t="s">
        <v>911</v>
      </c>
      <c r="W9317" s="6"/>
      <c r="X9317" s="6"/>
      <c r="Y9317" s="6"/>
      <c r="Z9317" s="6"/>
      <c r="AA9317" s="6" t="s">
        <v>3772</v>
      </c>
      <c r="AB9317" s="8"/>
      <c r="AC9317" s="27">
        <v>9785160203836</v>
      </c>
    </row>
    <row r="9318" spans="1:29" s="4" customFormat="1" ht="42" customHeight="1" x14ac:dyDescent="0.2">
      <c r="A9318" s="5">
        <v>0</v>
      </c>
      <c r="B9318" s="6" t="s">
        <v>52210</v>
      </c>
      <c r="C9318" s="7">
        <v>1908</v>
      </c>
      <c r="D9318" s="8" t="s">
        <v>52211</v>
      </c>
      <c r="E9318" s="8" t="s">
        <v>52212</v>
      </c>
      <c r="F9318" s="8" t="s">
        <v>52213</v>
      </c>
      <c r="G9318" s="6" t="s">
        <v>60</v>
      </c>
      <c r="H9318" s="6" t="s">
        <v>34</v>
      </c>
      <c r="I9318" s="8" t="s">
        <v>304</v>
      </c>
      <c r="J9318" s="9">
        <v>1</v>
      </c>
      <c r="K9318" s="9">
        <v>271</v>
      </c>
      <c r="L9318" s="9">
        <v>2026</v>
      </c>
      <c r="M9318" s="8" t="s">
        <v>52214</v>
      </c>
      <c r="N9318" s="8" t="s">
        <v>37</v>
      </c>
      <c r="O9318" s="8" t="s">
        <v>233</v>
      </c>
      <c r="P9318" s="6" t="s">
        <v>306</v>
      </c>
      <c r="Q9318" s="8" t="s">
        <v>500</v>
      </c>
      <c r="R9318" s="10" t="s">
        <v>52215</v>
      </c>
      <c r="S9318" s="11"/>
      <c r="T9318" s="6"/>
      <c r="U9318" s="15" t="str">
        <f>HYPERLINK("https://media.infra-m.ru/2232/2232103/cover/2232103.jpg", "Обложка")</f>
        <v>Обложка</v>
      </c>
      <c r="V9318" s="8" t="s">
        <v>247</v>
      </c>
      <c r="W9318" s="6" t="s">
        <v>9380</v>
      </c>
      <c r="X9318" s="6"/>
      <c r="Y9318" s="6"/>
      <c r="Z9318" s="6"/>
      <c r="AA9318" s="6" t="s">
        <v>187</v>
      </c>
      <c r="AB9318" s="8" t="s">
        <v>308</v>
      </c>
      <c r="AC9318" s="27">
        <v>9785160216027</v>
      </c>
    </row>
    <row r="9319" spans="1:29" s="4" customFormat="1" ht="44.1" customHeight="1" x14ac:dyDescent="0.2">
      <c r="A9319" s="5">
        <v>0</v>
      </c>
      <c r="B9319" s="6" t="s">
        <v>52216</v>
      </c>
      <c r="C9319" s="7">
        <v>1504.8</v>
      </c>
      <c r="D9319" s="8" t="s">
        <v>52217</v>
      </c>
      <c r="E9319" s="8" t="s">
        <v>52218</v>
      </c>
      <c r="F9319" s="8" t="s">
        <v>52219</v>
      </c>
      <c r="G9319" s="6" t="s">
        <v>60</v>
      </c>
      <c r="H9319" s="6" t="s">
        <v>48</v>
      </c>
      <c r="I9319" s="8"/>
      <c r="J9319" s="9">
        <v>1</v>
      </c>
      <c r="K9319" s="9">
        <v>240</v>
      </c>
      <c r="L9319" s="9">
        <v>2025</v>
      </c>
      <c r="M9319" s="8" t="s">
        <v>52220</v>
      </c>
      <c r="N9319" s="8" t="s">
        <v>37</v>
      </c>
      <c r="O9319" s="8" t="s">
        <v>233</v>
      </c>
      <c r="P9319" s="6" t="s">
        <v>51</v>
      </c>
      <c r="Q9319" s="8" t="s">
        <v>52</v>
      </c>
      <c r="R9319" s="10" t="s">
        <v>36764</v>
      </c>
      <c r="S9319" s="11"/>
      <c r="T9319" s="6"/>
      <c r="U9319" s="15" t="str">
        <f>HYPERLINK("https://media.infra-m.ru/2194/2194379/cover/2194379.jpg", "Обложка")</f>
        <v>Обложка</v>
      </c>
      <c r="V9319" s="8" t="s">
        <v>5902</v>
      </c>
      <c r="W9319" s="6"/>
      <c r="X9319" s="6"/>
      <c r="Y9319" s="6"/>
      <c r="Z9319" s="6"/>
      <c r="AA9319" s="6" t="s">
        <v>248</v>
      </c>
      <c r="AB9319" s="8"/>
      <c r="AC9319" s="27">
        <v>9785911348731</v>
      </c>
    </row>
    <row r="9320" spans="1:29" s="4" customFormat="1" ht="42" customHeight="1" x14ac:dyDescent="0.2">
      <c r="A9320" s="5">
        <v>0</v>
      </c>
      <c r="B9320" s="6" t="s">
        <v>52221</v>
      </c>
      <c r="C9320" s="7">
        <v>1896</v>
      </c>
      <c r="D9320" s="8" t="s">
        <v>52222</v>
      </c>
      <c r="E9320" s="8" t="s">
        <v>52223</v>
      </c>
      <c r="F9320" s="8" t="s">
        <v>52224</v>
      </c>
      <c r="G9320" s="6" t="s">
        <v>33</v>
      </c>
      <c r="H9320" s="6" t="s">
        <v>34</v>
      </c>
      <c r="I9320" s="8" t="s">
        <v>35</v>
      </c>
      <c r="J9320" s="9">
        <v>1</v>
      </c>
      <c r="K9320" s="9">
        <v>288</v>
      </c>
      <c r="L9320" s="9">
        <v>2026</v>
      </c>
      <c r="M9320" s="8" t="s">
        <v>52225</v>
      </c>
      <c r="N9320" s="8" t="s">
        <v>37</v>
      </c>
      <c r="O9320" s="8" t="s">
        <v>233</v>
      </c>
      <c r="P9320" s="6" t="s">
        <v>39</v>
      </c>
      <c r="Q9320" s="8" t="s">
        <v>40</v>
      </c>
      <c r="R9320" s="10" t="s">
        <v>3169</v>
      </c>
      <c r="S9320" s="11"/>
      <c r="T9320" s="6"/>
      <c r="U9320" s="15" t="str">
        <f>HYPERLINK("https://media.infra-m.ru/2226/2226498/cover/2226498.jpg", "Обложка")</f>
        <v>Обложка</v>
      </c>
      <c r="V9320" s="8" t="s">
        <v>247</v>
      </c>
      <c r="W9320" s="6"/>
      <c r="X9320" s="6"/>
      <c r="Y9320" s="6"/>
      <c r="Z9320" s="6"/>
      <c r="AA9320" s="6" t="s">
        <v>274</v>
      </c>
      <c r="AB9320" s="8"/>
      <c r="AC9320" s="27">
        <v>9785160214702</v>
      </c>
    </row>
    <row r="9321" spans="1:29" s="4" customFormat="1" ht="51.9" customHeight="1" x14ac:dyDescent="0.2">
      <c r="A9321" s="5">
        <v>0</v>
      </c>
      <c r="B9321" s="6" t="s">
        <v>52226</v>
      </c>
      <c r="C9321" s="7">
        <v>1092</v>
      </c>
      <c r="D9321" s="8" t="s">
        <v>52227</v>
      </c>
      <c r="E9321" s="8" t="s">
        <v>52228</v>
      </c>
      <c r="F9321" s="8" t="s">
        <v>52229</v>
      </c>
      <c r="G9321" s="6" t="s">
        <v>118</v>
      </c>
      <c r="H9321" s="6" t="s">
        <v>34</v>
      </c>
      <c r="I9321" s="8" t="s">
        <v>1248</v>
      </c>
      <c r="J9321" s="9">
        <v>1</v>
      </c>
      <c r="K9321" s="9">
        <v>176</v>
      </c>
      <c r="L9321" s="9">
        <v>2024</v>
      </c>
      <c r="M9321" s="8" t="s">
        <v>52230</v>
      </c>
      <c r="N9321" s="8" t="s">
        <v>37</v>
      </c>
      <c r="O9321" s="8" t="s">
        <v>233</v>
      </c>
      <c r="P9321" s="6" t="s">
        <v>51</v>
      </c>
      <c r="Q9321" s="8" t="s">
        <v>65</v>
      </c>
      <c r="R9321" s="10" t="s">
        <v>52231</v>
      </c>
      <c r="S9321" s="11"/>
      <c r="T9321" s="6"/>
      <c r="U9321" s="15" t="str">
        <f>HYPERLINK("https://media.infra-m.ru/2221/2221662/cover/2221662.jpg", "Обложка")</f>
        <v>Обложка</v>
      </c>
      <c r="V9321" s="8" t="s">
        <v>1083</v>
      </c>
      <c r="W9321" s="6"/>
      <c r="X9321" s="6"/>
      <c r="Y9321" s="6"/>
      <c r="Z9321" s="6"/>
      <c r="AA9321" s="6" t="s">
        <v>76</v>
      </c>
      <c r="AB9321" s="8"/>
      <c r="AC9321" s="27">
        <v>9785160196008</v>
      </c>
    </row>
    <row r="9322" spans="1:29" s="4" customFormat="1" ht="42" customHeight="1" x14ac:dyDescent="0.2">
      <c r="A9322" s="5">
        <v>0</v>
      </c>
      <c r="B9322" s="6" t="s">
        <v>52232</v>
      </c>
      <c r="C9322" s="7">
        <v>1732.8</v>
      </c>
      <c r="D9322" s="8" t="s">
        <v>52233</v>
      </c>
      <c r="E9322" s="8" t="s">
        <v>52234</v>
      </c>
      <c r="F9322" s="8" t="s">
        <v>52235</v>
      </c>
      <c r="G9322" s="6" t="s">
        <v>60</v>
      </c>
      <c r="H9322" s="6" t="s">
        <v>34</v>
      </c>
      <c r="I9322" s="8" t="s">
        <v>457</v>
      </c>
      <c r="J9322" s="9">
        <v>1</v>
      </c>
      <c r="K9322" s="9">
        <v>245</v>
      </c>
      <c r="L9322" s="9">
        <v>2026</v>
      </c>
      <c r="M9322" s="8" t="s">
        <v>52236</v>
      </c>
      <c r="N9322" s="8" t="s">
        <v>37</v>
      </c>
      <c r="O9322" s="8" t="s">
        <v>233</v>
      </c>
      <c r="P9322" s="6" t="s">
        <v>39</v>
      </c>
      <c r="Q9322" s="8" t="s">
        <v>40</v>
      </c>
      <c r="R9322" s="10" t="s">
        <v>1576</v>
      </c>
      <c r="S9322" s="11"/>
      <c r="T9322" s="6"/>
      <c r="U9322" s="15" t="str">
        <f>HYPERLINK("https://media.infra-m.ru/2255/2255608/cover/2255608.jpg", "Обложка")</f>
        <v>Обложка</v>
      </c>
      <c r="V9322" s="8" t="s">
        <v>247</v>
      </c>
      <c r="W9322" s="6"/>
      <c r="X9322" s="6"/>
      <c r="Y9322" s="6"/>
      <c r="Z9322" s="6"/>
      <c r="AA9322" s="6" t="s">
        <v>68</v>
      </c>
      <c r="AB9322" s="8"/>
      <c r="AC9322" s="27">
        <v>9785160204734</v>
      </c>
    </row>
    <row r="9323" spans="1:29" s="4" customFormat="1" ht="51.9" customHeight="1" x14ac:dyDescent="0.2">
      <c r="A9323" s="5">
        <v>0</v>
      </c>
      <c r="B9323" s="6" t="s">
        <v>52237</v>
      </c>
      <c r="C9323" s="7">
        <v>1776</v>
      </c>
      <c r="D9323" s="8" t="s">
        <v>52238</v>
      </c>
      <c r="E9323" s="8" t="s">
        <v>52239</v>
      </c>
      <c r="F9323" s="8" t="s">
        <v>5247</v>
      </c>
      <c r="G9323" s="6" t="s">
        <v>118</v>
      </c>
      <c r="H9323" s="6" t="s">
        <v>34</v>
      </c>
      <c r="I9323" s="8" t="s">
        <v>253</v>
      </c>
      <c r="J9323" s="9">
        <v>1</v>
      </c>
      <c r="K9323" s="9">
        <v>274</v>
      </c>
      <c r="L9323" s="9">
        <v>2025</v>
      </c>
      <c r="M9323" s="8" t="s">
        <v>52240</v>
      </c>
      <c r="N9323" s="8" t="s">
        <v>37</v>
      </c>
      <c r="O9323" s="8" t="s">
        <v>233</v>
      </c>
      <c r="P9323" s="6" t="s">
        <v>306</v>
      </c>
      <c r="Q9323" s="8" t="s">
        <v>52</v>
      </c>
      <c r="R9323" s="10" t="s">
        <v>15414</v>
      </c>
      <c r="S9323" s="11" t="s">
        <v>52241</v>
      </c>
      <c r="T9323" s="6"/>
      <c r="U9323" s="15" t="str">
        <f>HYPERLINK("https://media.infra-m.ru/2194/2194411/cover/2194411.jpg", "Обложка")</f>
        <v>Обложка</v>
      </c>
      <c r="V9323" s="8" t="s">
        <v>5250</v>
      </c>
      <c r="W9323" s="6"/>
      <c r="X9323" s="6"/>
      <c r="Y9323" s="6"/>
      <c r="Z9323" s="6"/>
      <c r="AA9323" s="6" t="s">
        <v>1256</v>
      </c>
      <c r="AB9323" s="8"/>
      <c r="AC9323" s="27">
        <v>9785160210780</v>
      </c>
    </row>
    <row r="9324" spans="1:29" s="4" customFormat="1" ht="51.9" customHeight="1" x14ac:dyDescent="0.2">
      <c r="A9324" s="5">
        <v>0</v>
      </c>
      <c r="B9324" s="6" t="s">
        <v>52242</v>
      </c>
      <c r="C9324" s="7">
        <v>1612.8</v>
      </c>
      <c r="D9324" s="8" t="s">
        <v>52243</v>
      </c>
      <c r="E9324" s="8" t="s">
        <v>52244</v>
      </c>
      <c r="F9324" s="8" t="s">
        <v>31163</v>
      </c>
      <c r="G9324" s="6" t="s">
        <v>60</v>
      </c>
      <c r="H9324" s="6" t="s">
        <v>34</v>
      </c>
      <c r="I9324" s="8" t="s">
        <v>271</v>
      </c>
      <c r="J9324" s="9">
        <v>1</v>
      </c>
      <c r="K9324" s="9">
        <v>252</v>
      </c>
      <c r="L9324" s="9">
        <v>2026</v>
      </c>
      <c r="M9324" s="8" t="s">
        <v>52245</v>
      </c>
      <c r="N9324" s="8" t="s">
        <v>37</v>
      </c>
      <c r="O9324" s="8" t="s">
        <v>233</v>
      </c>
      <c r="P9324" s="6" t="s">
        <v>51</v>
      </c>
      <c r="Q9324" s="8" t="s">
        <v>52</v>
      </c>
      <c r="R9324" s="10" t="s">
        <v>357</v>
      </c>
      <c r="S9324" s="11" t="s">
        <v>52246</v>
      </c>
      <c r="T9324" s="6"/>
      <c r="U9324" s="15" t="str">
        <f>HYPERLINK("https://media.infra-m.ru/2218/2218026/cover/2218026.jpg", "Обложка")</f>
        <v>Обложка</v>
      </c>
      <c r="V9324" s="8" t="s">
        <v>1768</v>
      </c>
      <c r="W9324" s="6"/>
      <c r="X9324" s="6"/>
      <c r="Y9324" s="6"/>
      <c r="Z9324" s="6"/>
      <c r="AA9324" s="6" t="s">
        <v>55</v>
      </c>
      <c r="AB9324" s="8"/>
      <c r="AC9324" s="27">
        <v>9785160057859</v>
      </c>
    </row>
    <row r="9325" spans="1:29" s="4" customFormat="1" ht="51.9" customHeight="1" x14ac:dyDescent="0.2">
      <c r="A9325" s="5">
        <v>0</v>
      </c>
      <c r="B9325" s="6" t="s">
        <v>52247</v>
      </c>
      <c r="C9325" s="7">
        <v>1272</v>
      </c>
      <c r="D9325" s="8" t="s">
        <v>52248</v>
      </c>
      <c r="E9325" s="8" t="s">
        <v>52249</v>
      </c>
      <c r="F9325" s="8" t="s">
        <v>52250</v>
      </c>
      <c r="G9325" s="6" t="s">
        <v>60</v>
      </c>
      <c r="H9325" s="6" t="s">
        <v>34</v>
      </c>
      <c r="I9325" s="8" t="s">
        <v>253</v>
      </c>
      <c r="J9325" s="9">
        <v>1</v>
      </c>
      <c r="K9325" s="9">
        <v>211</v>
      </c>
      <c r="L9325" s="9">
        <v>2024</v>
      </c>
      <c r="M9325" s="8" t="s">
        <v>52251</v>
      </c>
      <c r="N9325" s="8" t="s">
        <v>37</v>
      </c>
      <c r="O9325" s="8" t="s">
        <v>233</v>
      </c>
      <c r="P9325" s="6" t="s">
        <v>51</v>
      </c>
      <c r="Q9325" s="8" t="s">
        <v>52</v>
      </c>
      <c r="R9325" s="10" t="s">
        <v>52252</v>
      </c>
      <c r="S9325" s="11" t="s">
        <v>52253</v>
      </c>
      <c r="T9325" s="6"/>
      <c r="U9325" s="15" t="str">
        <f>HYPERLINK("https://media.infra-m.ru/1899/1899100/cover/1899100.jpg", "Обложка")</f>
        <v>Обложка</v>
      </c>
      <c r="V9325" s="8" t="s">
        <v>2035</v>
      </c>
      <c r="W9325" s="6"/>
      <c r="X9325" s="6"/>
      <c r="Y9325" s="6"/>
      <c r="Z9325" s="6"/>
      <c r="AA9325" s="6" t="s">
        <v>76</v>
      </c>
      <c r="AB9325" s="8"/>
      <c r="AC9325" s="27">
        <v>9785160179513</v>
      </c>
    </row>
    <row r="9326" spans="1:29" s="4" customFormat="1" ht="51.9" customHeight="1" x14ac:dyDescent="0.2">
      <c r="A9326" s="5">
        <v>0</v>
      </c>
      <c r="B9326" s="6" t="s">
        <v>52254</v>
      </c>
      <c r="C9326" s="7">
        <v>1444.8</v>
      </c>
      <c r="D9326" s="8" t="s">
        <v>52255</v>
      </c>
      <c r="E9326" s="8" t="s">
        <v>52249</v>
      </c>
      <c r="F9326" s="8" t="s">
        <v>15406</v>
      </c>
      <c r="G9326" s="6" t="s">
        <v>60</v>
      </c>
      <c r="H9326" s="6" t="s">
        <v>34</v>
      </c>
      <c r="I9326" s="8" t="s">
        <v>271</v>
      </c>
      <c r="J9326" s="9">
        <v>1</v>
      </c>
      <c r="K9326" s="9">
        <v>241</v>
      </c>
      <c r="L9326" s="9">
        <v>2025</v>
      </c>
      <c r="M9326" s="8" t="s">
        <v>52256</v>
      </c>
      <c r="N9326" s="8" t="s">
        <v>37</v>
      </c>
      <c r="O9326" s="8" t="s">
        <v>233</v>
      </c>
      <c r="P9326" s="6" t="s">
        <v>51</v>
      </c>
      <c r="Q9326" s="8" t="s">
        <v>52</v>
      </c>
      <c r="R9326" s="10" t="s">
        <v>2086</v>
      </c>
      <c r="S9326" s="11" t="s">
        <v>52257</v>
      </c>
      <c r="T9326" s="6"/>
      <c r="U9326" s="15" t="str">
        <f>HYPERLINK("https://media.infra-m.ru/2185/2185919/cover/2185919.jpg", "Обложка")</f>
        <v>Обложка</v>
      </c>
      <c r="V9326" s="8" t="s">
        <v>5964</v>
      </c>
      <c r="W9326" s="6"/>
      <c r="X9326" s="6"/>
      <c r="Y9326" s="6"/>
      <c r="Z9326" s="6"/>
      <c r="AA9326" s="6" t="s">
        <v>1506</v>
      </c>
      <c r="AB9326" s="8"/>
      <c r="AC9326" s="27">
        <v>9785160099156</v>
      </c>
    </row>
    <row r="9327" spans="1:29" s="4" customFormat="1" ht="51.9" customHeight="1" x14ac:dyDescent="0.2">
      <c r="A9327" s="5">
        <v>0</v>
      </c>
      <c r="B9327" s="6" t="s">
        <v>52258</v>
      </c>
      <c r="C9327" s="13">
        <v>904.8</v>
      </c>
      <c r="D9327" s="8" t="s">
        <v>52259</v>
      </c>
      <c r="E9327" s="8" t="s">
        <v>52249</v>
      </c>
      <c r="F9327" s="8" t="s">
        <v>52260</v>
      </c>
      <c r="G9327" s="6" t="s">
        <v>33</v>
      </c>
      <c r="H9327" s="6" t="s">
        <v>820</v>
      </c>
      <c r="I9327" s="8"/>
      <c r="J9327" s="9">
        <v>1</v>
      </c>
      <c r="K9327" s="9">
        <v>144</v>
      </c>
      <c r="L9327" s="9">
        <v>2025</v>
      </c>
      <c r="M9327" s="8" t="s">
        <v>52261</v>
      </c>
      <c r="N9327" s="8" t="s">
        <v>37</v>
      </c>
      <c r="O9327" s="8" t="s">
        <v>233</v>
      </c>
      <c r="P9327" s="6" t="s">
        <v>51</v>
      </c>
      <c r="Q9327" s="8" t="s">
        <v>52</v>
      </c>
      <c r="R9327" s="10" t="s">
        <v>37321</v>
      </c>
      <c r="S9327" s="11"/>
      <c r="T9327" s="6"/>
      <c r="U9327" s="15" t="str">
        <f>HYPERLINK("https://media.infra-m.ru/2196/2196081/cover/2196081.jpg", "Обложка")</f>
        <v>Обложка</v>
      </c>
      <c r="V9327" s="8" t="s">
        <v>2047</v>
      </c>
      <c r="W9327" s="6"/>
      <c r="X9327" s="6"/>
      <c r="Y9327" s="6"/>
      <c r="Z9327" s="6"/>
      <c r="AA9327" s="6" t="s">
        <v>248</v>
      </c>
      <c r="AB9327" s="8"/>
      <c r="AC9327" s="27">
        <v>9785905554735</v>
      </c>
    </row>
    <row r="9328" spans="1:29" s="4" customFormat="1" ht="51.9" customHeight="1" x14ac:dyDescent="0.2">
      <c r="A9328" s="5">
        <v>0</v>
      </c>
      <c r="B9328" s="6" t="s">
        <v>52262</v>
      </c>
      <c r="C9328" s="13">
        <v>479.9</v>
      </c>
      <c r="D9328" s="8" t="s">
        <v>52263</v>
      </c>
      <c r="E9328" s="8" t="s">
        <v>52249</v>
      </c>
      <c r="F9328" s="8" t="s">
        <v>52260</v>
      </c>
      <c r="G9328" s="6" t="s">
        <v>60</v>
      </c>
      <c r="H9328" s="6" t="s">
        <v>820</v>
      </c>
      <c r="I9328" s="8"/>
      <c r="J9328" s="9">
        <v>1</v>
      </c>
      <c r="K9328" s="9">
        <v>144</v>
      </c>
      <c r="L9328" s="9">
        <v>2017</v>
      </c>
      <c r="M9328" s="8" t="s">
        <v>52261</v>
      </c>
      <c r="N9328" s="8" t="s">
        <v>37</v>
      </c>
      <c r="O9328" s="8" t="s">
        <v>233</v>
      </c>
      <c r="P9328" s="6" t="s">
        <v>51</v>
      </c>
      <c r="Q9328" s="8" t="s">
        <v>52</v>
      </c>
      <c r="R9328" s="10" t="s">
        <v>37321</v>
      </c>
      <c r="S9328" s="11" t="s">
        <v>52264</v>
      </c>
      <c r="T9328" s="6"/>
      <c r="U9328" s="12"/>
      <c r="V9328" s="8" t="s">
        <v>2047</v>
      </c>
      <c r="W9328" s="6"/>
      <c r="X9328" s="6"/>
      <c r="Y9328" s="6"/>
      <c r="Z9328" s="6"/>
      <c r="AA9328" s="6" t="s">
        <v>248</v>
      </c>
      <c r="AB9328" s="8"/>
      <c r="AC9328" s="27">
        <v>9785905554735</v>
      </c>
    </row>
    <row r="9329" spans="1:29" s="4" customFormat="1" ht="44.1" customHeight="1" x14ac:dyDescent="0.2">
      <c r="A9329" s="5">
        <v>0</v>
      </c>
      <c r="B9329" s="6" t="s">
        <v>52265</v>
      </c>
      <c r="C9329" s="7">
        <v>1188</v>
      </c>
      <c r="D9329" s="8" t="s">
        <v>52266</v>
      </c>
      <c r="E9329" s="8" t="s">
        <v>52267</v>
      </c>
      <c r="F9329" s="8" t="s">
        <v>11430</v>
      </c>
      <c r="G9329" s="6" t="s">
        <v>33</v>
      </c>
      <c r="H9329" s="6" t="s">
        <v>34</v>
      </c>
      <c r="I9329" s="8" t="s">
        <v>35</v>
      </c>
      <c r="J9329" s="9">
        <v>1</v>
      </c>
      <c r="K9329" s="9">
        <v>206</v>
      </c>
      <c r="L9329" s="9">
        <v>2024</v>
      </c>
      <c r="M9329" s="8" t="s">
        <v>52268</v>
      </c>
      <c r="N9329" s="8" t="s">
        <v>37</v>
      </c>
      <c r="O9329" s="8" t="s">
        <v>233</v>
      </c>
      <c r="P9329" s="6" t="s">
        <v>39</v>
      </c>
      <c r="Q9329" s="8" t="s">
        <v>40</v>
      </c>
      <c r="R9329" s="10" t="s">
        <v>52269</v>
      </c>
      <c r="S9329" s="11"/>
      <c r="T9329" s="6"/>
      <c r="U9329" s="15" t="str">
        <f>HYPERLINK("https://media.infra-m.ru/2110/2110855/cover/2110855.jpg", "Обложка")</f>
        <v>Обложка</v>
      </c>
      <c r="V9329" s="8" t="s">
        <v>11433</v>
      </c>
      <c r="W9329" s="6"/>
      <c r="X9329" s="6"/>
      <c r="Y9329" s="6"/>
      <c r="Z9329" s="6"/>
      <c r="AA9329" s="6" t="s">
        <v>76</v>
      </c>
      <c r="AB9329" s="8"/>
      <c r="AC9329" s="27">
        <v>9785160193458</v>
      </c>
    </row>
    <row r="9330" spans="1:29" s="4" customFormat="1" ht="51.9" customHeight="1" x14ac:dyDescent="0.2">
      <c r="A9330" s="5">
        <v>0</v>
      </c>
      <c r="B9330" s="6" t="s">
        <v>52270</v>
      </c>
      <c r="C9330" s="7">
        <v>1672.8</v>
      </c>
      <c r="D9330" s="8" t="s">
        <v>52271</v>
      </c>
      <c r="E9330" s="8" t="s">
        <v>52272</v>
      </c>
      <c r="F9330" s="8" t="s">
        <v>52273</v>
      </c>
      <c r="G9330" s="6" t="s">
        <v>60</v>
      </c>
      <c r="H9330" s="6" t="s">
        <v>313</v>
      </c>
      <c r="I9330" s="8" t="s">
        <v>253</v>
      </c>
      <c r="J9330" s="9">
        <v>1</v>
      </c>
      <c r="K9330" s="9">
        <v>252</v>
      </c>
      <c r="L9330" s="9">
        <v>2026</v>
      </c>
      <c r="M9330" s="8" t="s">
        <v>52274</v>
      </c>
      <c r="N9330" s="8" t="s">
        <v>37</v>
      </c>
      <c r="O9330" s="8" t="s">
        <v>83</v>
      </c>
      <c r="P9330" s="6" t="s">
        <v>306</v>
      </c>
      <c r="Q9330" s="8" t="s">
        <v>52</v>
      </c>
      <c r="R9330" s="10" t="s">
        <v>28863</v>
      </c>
      <c r="S9330" s="11" t="s">
        <v>52275</v>
      </c>
      <c r="T9330" s="6"/>
      <c r="U9330" s="15" t="str">
        <f>HYPERLINK("https://media.infra-m.ru/2242/2242071/cover/2242071.jpg", "Обложка")</f>
        <v>Обложка</v>
      </c>
      <c r="V9330" s="8"/>
      <c r="W9330" s="6"/>
      <c r="X9330" s="6"/>
      <c r="Y9330" s="6"/>
      <c r="Z9330" s="6"/>
      <c r="AA9330" s="6" t="s">
        <v>779</v>
      </c>
      <c r="AB9330" s="8"/>
      <c r="AC9330" s="27">
        <v>9785369014783</v>
      </c>
    </row>
    <row r="9331" spans="1:29" s="4" customFormat="1" ht="51.9" customHeight="1" x14ac:dyDescent="0.2">
      <c r="A9331" s="5">
        <v>0</v>
      </c>
      <c r="B9331" s="6" t="s">
        <v>52276</v>
      </c>
      <c r="C9331" s="7">
        <v>2028</v>
      </c>
      <c r="D9331" s="8" t="s">
        <v>52277</v>
      </c>
      <c r="E9331" s="8" t="s">
        <v>52278</v>
      </c>
      <c r="F9331" s="8" t="s">
        <v>5247</v>
      </c>
      <c r="G9331" s="6" t="s">
        <v>60</v>
      </c>
      <c r="H9331" s="6" t="s">
        <v>34</v>
      </c>
      <c r="I9331" s="8" t="s">
        <v>52279</v>
      </c>
      <c r="J9331" s="9">
        <v>1</v>
      </c>
      <c r="K9331" s="9">
        <v>366</v>
      </c>
      <c r="L9331" s="9">
        <v>2023</v>
      </c>
      <c r="M9331" s="8" t="s">
        <v>52280</v>
      </c>
      <c r="N9331" s="8" t="s">
        <v>37</v>
      </c>
      <c r="O9331" s="8" t="s">
        <v>233</v>
      </c>
      <c r="P9331" s="6" t="s">
        <v>306</v>
      </c>
      <c r="Q9331" s="8" t="s">
        <v>500</v>
      </c>
      <c r="R9331" s="10" t="s">
        <v>52281</v>
      </c>
      <c r="S9331" s="11" t="s">
        <v>52282</v>
      </c>
      <c r="T9331" s="6"/>
      <c r="U9331" s="15" t="str">
        <f>HYPERLINK("https://media.infra-m.ru/1200/1200561/cover/1200561.jpg", "Обложка")</f>
        <v>Обложка</v>
      </c>
      <c r="V9331" s="8" t="s">
        <v>5250</v>
      </c>
      <c r="W9331" s="6"/>
      <c r="X9331" s="6"/>
      <c r="Y9331" s="6"/>
      <c r="Z9331" s="6"/>
      <c r="AA9331" s="6" t="s">
        <v>157</v>
      </c>
      <c r="AB9331" s="8" t="s">
        <v>34628</v>
      </c>
      <c r="AC9331" s="27">
        <v>9785160166223</v>
      </c>
    </row>
    <row r="9332" spans="1:29" s="4" customFormat="1" ht="51.9" customHeight="1" x14ac:dyDescent="0.2">
      <c r="A9332" s="5">
        <v>0</v>
      </c>
      <c r="B9332" s="6" t="s">
        <v>52283</v>
      </c>
      <c r="C9332" s="7">
        <v>1164</v>
      </c>
      <c r="D9332" s="8" t="s">
        <v>52284</v>
      </c>
      <c r="E9332" s="8" t="s">
        <v>52285</v>
      </c>
      <c r="F9332" s="8" t="s">
        <v>52286</v>
      </c>
      <c r="G9332" s="6" t="s">
        <v>33</v>
      </c>
      <c r="H9332" s="6" t="s">
        <v>34</v>
      </c>
      <c r="I9332" s="8" t="s">
        <v>253</v>
      </c>
      <c r="J9332" s="9">
        <v>1</v>
      </c>
      <c r="K9332" s="9">
        <v>176</v>
      </c>
      <c r="L9332" s="9">
        <v>2026</v>
      </c>
      <c r="M9332" s="8" t="s">
        <v>52287</v>
      </c>
      <c r="N9332" s="8" t="s">
        <v>37</v>
      </c>
      <c r="O9332" s="8" t="s">
        <v>207</v>
      </c>
      <c r="P9332" s="6" t="s">
        <v>51</v>
      </c>
      <c r="Q9332" s="8" t="s">
        <v>52</v>
      </c>
      <c r="R9332" s="10" t="s">
        <v>12043</v>
      </c>
      <c r="S9332" s="11" t="s">
        <v>2141</v>
      </c>
      <c r="T9332" s="6"/>
      <c r="U9332" s="15" t="str">
        <f>HYPERLINK("https://media.infra-m.ru/2223/2223792/cover/2223792.jpg", "Обложка")</f>
        <v>Обложка</v>
      </c>
      <c r="V9332" s="8" t="s">
        <v>2055</v>
      </c>
      <c r="W9332" s="6"/>
      <c r="X9332" s="6"/>
      <c r="Y9332" s="6"/>
      <c r="Z9332" s="6"/>
      <c r="AA9332" s="6" t="s">
        <v>99</v>
      </c>
      <c r="AB9332" s="8"/>
      <c r="AC9332" s="27">
        <v>9785160214245</v>
      </c>
    </row>
    <row r="9333" spans="1:29" s="4" customFormat="1" ht="51.9" customHeight="1" x14ac:dyDescent="0.2">
      <c r="A9333" s="5">
        <v>0</v>
      </c>
      <c r="B9333" s="6" t="s">
        <v>52288</v>
      </c>
      <c r="C9333" s="7">
        <v>4068</v>
      </c>
      <c r="D9333" s="8" t="s">
        <v>52289</v>
      </c>
      <c r="E9333" s="8" t="s">
        <v>52290</v>
      </c>
      <c r="F9333" s="8" t="s">
        <v>52291</v>
      </c>
      <c r="G9333" s="6" t="s">
        <v>60</v>
      </c>
      <c r="H9333" s="6" t="s">
        <v>34</v>
      </c>
      <c r="I9333" s="8" t="s">
        <v>253</v>
      </c>
      <c r="J9333" s="9">
        <v>1</v>
      </c>
      <c r="K9333" s="9">
        <v>584</v>
      </c>
      <c r="L9333" s="9">
        <v>2027</v>
      </c>
      <c r="M9333" s="8" t="s">
        <v>52292</v>
      </c>
      <c r="N9333" s="8" t="s">
        <v>37</v>
      </c>
      <c r="O9333" s="8" t="s">
        <v>207</v>
      </c>
      <c r="P9333" s="6" t="s">
        <v>306</v>
      </c>
      <c r="Q9333" s="8" t="s">
        <v>52</v>
      </c>
      <c r="R9333" s="10" t="s">
        <v>6076</v>
      </c>
      <c r="S9333" s="11" t="s">
        <v>52293</v>
      </c>
      <c r="T9333" s="6" t="s">
        <v>97</v>
      </c>
      <c r="U9333" s="15" t="str">
        <f>HYPERLINK("https://media.infra-m.ru/2263/2263945/cover/2263945.jpg", "Обложка")</f>
        <v>Обложка</v>
      </c>
      <c r="V9333" s="8" t="s">
        <v>2055</v>
      </c>
      <c r="W9333" s="6"/>
      <c r="X9333" s="6"/>
      <c r="Y9333" s="6"/>
      <c r="Z9333" s="6"/>
      <c r="AA9333" s="6" t="s">
        <v>5169</v>
      </c>
      <c r="AB9333" s="8"/>
      <c r="AC9333" s="27">
        <v>9785160200309</v>
      </c>
    </row>
    <row r="9334" spans="1:29" s="4" customFormat="1" ht="51.9" customHeight="1" x14ac:dyDescent="0.2">
      <c r="A9334" s="5">
        <v>0</v>
      </c>
      <c r="B9334" s="6" t="s">
        <v>52294</v>
      </c>
      <c r="C9334" s="7">
        <v>3544.8</v>
      </c>
      <c r="D9334" s="8" t="s">
        <v>52295</v>
      </c>
      <c r="E9334" s="8" t="s">
        <v>52296</v>
      </c>
      <c r="F9334" s="8" t="s">
        <v>52297</v>
      </c>
      <c r="G9334" s="6" t="s">
        <v>118</v>
      </c>
      <c r="H9334" s="6" t="s">
        <v>5605</v>
      </c>
      <c r="I9334" s="8" t="s">
        <v>253</v>
      </c>
      <c r="J9334" s="9">
        <v>1</v>
      </c>
      <c r="K9334" s="9">
        <v>864</v>
      </c>
      <c r="L9334" s="9">
        <v>2025</v>
      </c>
      <c r="M9334" s="8" t="s">
        <v>52298</v>
      </c>
      <c r="N9334" s="8" t="s">
        <v>37</v>
      </c>
      <c r="O9334" s="8" t="s">
        <v>233</v>
      </c>
      <c r="P9334" s="6" t="s">
        <v>306</v>
      </c>
      <c r="Q9334" s="8" t="s">
        <v>52</v>
      </c>
      <c r="R9334" s="10" t="s">
        <v>370</v>
      </c>
      <c r="S9334" s="11" t="s">
        <v>52299</v>
      </c>
      <c r="T9334" s="6"/>
      <c r="U9334" s="15" t="str">
        <f>HYPERLINK("https://media.infra-m.ru/2184/2184941/cover/2184941.jpg", "Обложка")</f>
        <v>Обложка</v>
      </c>
      <c r="V9334" s="8" t="s">
        <v>396</v>
      </c>
      <c r="W9334" s="6"/>
      <c r="X9334" s="6"/>
      <c r="Y9334" s="6"/>
      <c r="Z9334" s="6"/>
      <c r="AA9334" s="6" t="s">
        <v>17435</v>
      </c>
      <c r="AB9334" s="8"/>
      <c r="AC9334" s="27">
        <v>9785160040844</v>
      </c>
    </row>
    <row r="9335" spans="1:29" s="4" customFormat="1" ht="51.9" customHeight="1" x14ac:dyDescent="0.2">
      <c r="A9335" s="5">
        <v>0</v>
      </c>
      <c r="B9335" s="6" t="s">
        <v>52300</v>
      </c>
      <c r="C9335" s="7">
        <v>1678.8</v>
      </c>
      <c r="D9335" s="8" t="s">
        <v>52301</v>
      </c>
      <c r="E9335" s="8" t="s">
        <v>52302</v>
      </c>
      <c r="F9335" s="8" t="s">
        <v>18516</v>
      </c>
      <c r="G9335" s="6" t="s">
        <v>60</v>
      </c>
      <c r="H9335" s="6" t="s">
        <v>34</v>
      </c>
      <c r="I9335" s="8" t="s">
        <v>35</v>
      </c>
      <c r="J9335" s="9">
        <v>1</v>
      </c>
      <c r="K9335" s="9">
        <v>249</v>
      </c>
      <c r="L9335" s="9">
        <v>2026</v>
      </c>
      <c r="M9335" s="8" t="s">
        <v>52303</v>
      </c>
      <c r="N9335" s="8" t="s">
        <v>37</v>
      </c>
      <c r="O9335" s="8" t="s">
        <v>233</v>
      </c>
      <c r="P9335" s="6" t="s">
        <v>39</v>
      </c>
      <c r="Q9335" s="8" t="s">
        <v>40</v>
      </c>
      <c r="R9335" s="10" t="s">
        <v>52304</v>
      </c>
      <c r="S9335" s="11"/>
      <c r="T9335" s="6"/>
      <c r="U9335" s="15" t="str">
        <f>HYPERLINK("https://media.infra-m.ru/2231/2231212/cover/2231212.jpg", "Обложка")</f>
        <v>Обложка</v>
      </c>
      <c r="V9335" s="8" t="s">
        <v>2446</v>
      </c>
      <c r="W9335" s="6" t="s">
        <v>351</v>
      </c>
      <c r="X9335" s="6"/>
      <c r="Y9335" s="6"/>
      <c r="Z9335" s="6"/>
      <c r="AA9335" s="6" t="s">
        <v>187</v>
      </c>
      <c r="AB9335" s="8" t="s">
        <v>308</v>
      </c>
      <c r="AC9335" s="27">
        <v>9785160215730</v>
      </c>
    </row>
    <row r="9336" spans="1:29" s="4" customFormat="1" ht="42" customHeight="1" x14ac:dyDescent="0.2">
      <c r="A9336" s="5">
        <v>0</v>
      </c>
      <c r="B9336" s="6" t="s">
        <v>52305</v>
      </c>
      <c r="C9336" s="7">
        <v>2352</v>
      </c>
      <c r="D9336" s="8" t="s">
        <v>52306</v>
      </c>
      <c r="E9336" s="8" t="s">
        <v>52307</v>
      </c>
      <c r="F9336" s="8" t="s">
        <v>18516</v>
      </c>
      <c r="G9336" s="6" t="s">
        <v>60</v>
      </c>
      <c r="H9336" s="6" t="s">
        <v>34</v>
      </c>
      <c r="I9336" s="8" t="s">
        <v>35</v>
      </c>
      <c r="J9336" s="9">
        <v>1</v>
      </c>
      <c r="K9336" s="9">
        <v>373</v>
      </c>
      <c r="L9336" s="9">
        <v>2025</v>
      </c>
      <c r="M9336" s="8" t="s">
        <v>52308</v>
      </c>
      <c r="N9336" s="8" t="s">
        <v>37</v>
      </c>
      <c r="O9336" s="8" t="s">
        <v>233</v>
      </c>
      <c r="P9336" s="6" t="s">
        <v>39</v>
      </c>
      <c r="Q9336" s="8" t="s">
        <v>40</v>
      </c>
      <c r="R9336" s="10" t="s">
        <v>5331</v>
      </c>
      <c r="S9336" s="11"/>
      <c r="T9336" s="6"/>
      <c r="U9336" s="15" t="str">
        <f>HYPERLINK("https://media.infra-m.ru/2188/2188425/cover/2188425.jpg", "Обложка")</f>
        <v>Обложка</v>
      </c>
      <c r="V9336" s="8" t="s">
        <v>2446</v>
      </c>
      <c r="W9336" s="6"/>
      <c r="X9336" s="6"/>
      <c r="Y9336" s="6"/>
      <c r="Z9336" s="6"/>
      <c r="AA9336" s="6" t="s">
        <v>68</v>
      </c>
      <c r="AB9336" s="8"/>
      <c r="AC9336" s="27">
        <v>9785160207063</v>
      </c>
    </row>
    <row r="9337" spans="1:29" s="4" customFormat="1" ht="51.9" customHeight="1" x14ac:dyDescent="0.2">
      <c r="A9337" s="5">
        <v>0</v>
      </c>
      <c r="B9337" s="6" t="s">
        <v>52309</v>
      </c>
      <c r="C9337" s="7">
        <v>3064.8</v>
      </c>
      <c r="D9337" s="8" t="s">
        <v>52310</v>
      </c>
      <c r="E9337" s="8" t="s">
        <v>52311</v>
      </c>
      <c r="F9337" s="8" t="s">
        <v>52312</v>
      </c>
      <c r="G9337" s="6" t="s">
        <v>60</v>
      </c>
      <c r="H9337" s="6" t="s">
        <v>34</v>
      </c>
      <c r="I9337" s="8" t="s">
        <v>271</v>
      </c>
      <c r="J9337" s="9">
        <v>1</v>
      </c>
      <c r="K9337" s="9">
        <v>440</v>
      </c>
      <c r="L9337" s="9">
        <v>2027</v>
      </c>
      <c r="M9337" s="8" t="s">
        <v>52313</v>
      </c>
      <c r="N9337" s="8" t="s">
        <v>37</v>
      </c>
      <c r="O9337" s="8" t="s">
        <v>233</v>
      </c>
      <c r="P9337" s="6" t="s">
        <v>306</v>
      </c>
      <c r="Q9337" s="8" t="s">
        <v>52</v>
      </c>
      <c r="R9337" s="10" t="s">
        <v>2033</v>
      </c>
      <c r="S9337" s="11" t="s">
        <v>52314</v>
      </c>
      <c r="T9337" s="6"/>
      <c r="U9337" s="15" t="str">
        <f>HYPERLINK("https://media.infra-m.ru/2268/2268456/cover/2268456.jpg", "Обложка")</f>
        <v>Обложка</v>
      </c>
      <c r="V9337" s="8" t="s">
        <v>396</v>
      </c>
      <c r="W9337" s="6"/>
      <c r="X9337" s="6"/>
      <c r="Y9337" s="6"/>
      <c r="Z9337" s="6"/>
      <c r="AA9337" s="6" t="s">
        <v>1015</v>
      </c>
      <c r="AB9337" s="8"/>
      <c r="AC9337" s="27">
        <v>9785160040448</v>
      </c>
    </row>
    <row r="9338" spans="1:29" s="4" customFormat="1" ht="51.9" customHeight="1" x14ac:dyDescent="0.2">
      <c r="A9338" s="5">
        <v>0</v>
      </c>
      <c r="B9338" s="6" t="s">
        <v>52315</v>
      </c>
      <c r="C9338" s="7">
        <v>1480.8</v>
      </c>
      <c r="D9338" s="8" t="s">
        <v>52316</v>
      </c>
      <c r="E9338" s="8" t="s">
        <v>52317</v>
      </c>
      <c r="F9338" s="8" t="s">
        <v>52318</v>
      </c>
      <c r="G9338" s="6" t="s">
        <v>33</v>
      </c>
      <c r="H9338" s="6" t="s">
        <v>34</v>
      </c>
      <c r="I9338" s="8" t="s">
        <v>271</v>
      </c>
      <c r="J9338" s="9">
        <v>1</v>
      </c>
      <c r="K9338" s="9">
        <v>224</v>
      </c>
      <c r="L9338" s="9">
        <v>2026</v>
      </c>
      <c r="M9338" s="8" t="s">
        <v>52319</v>
      </c>
      <c r="N9338" s="8" t="s">
        <v>37</v>
      </c>
      <c r="O9338" s="8" t="s">
        <v>233</v>
      </c>
      <c r="P9338" s="6" t="s">
        <v>51</v>
      </c>
      <c r="Q9338" s="8" t="s">
        <v>52</v>
      </c>
      <c r="R9338" s="10" t="s">
        <v>52320</v>
      </c>
      <c r="S9338" s="11" t="s">
        <v>52321</v>
      </c>
      <c r="T9338" s="6"/>
      <c r="U9338" s="15" t="str">
        <f>HYPERLINK("https://media.infra-m.ru/2243/2243401/cover/2243401.jpg", "Обложка")</f>
        <v>Обложка</v>
      </c>
      <c r="V9338" s="8" t="s">
        <v>1768</v>
      </c>
      <c r="W9338" s="6"/>
      <c r="X9338" s="6"/>
      <c r="Y9338" s="6"/>
      <c r="Z9338" s="6"/>
      <c r="AA9338" s="6" t="s">
        <v>16990</v>
      </c>
      <c r="AB9338" s="8"/>
      <c r="AC9338" s="27">
        <v>9785160170954</v>
      </c>
    </row>
    <row r="9339" spans="1:29" s="4" customFormat="1" ht="51.9" customHeight="1" x14ac:dyDescent="0.2">
      <c r="A9339" s="5">
        <v>0</v>
      </c>
      <c r="B9339" s="6" t="s">
        <v>52322</v>
      </c>
      <c r="C9339" s="7">
        <v>2992.8</v>
      </c>
      <c r="D9339" s="8" t="s">
        <v>52323</v>
      </c>
      <c r="E9339" s="8" t="s">
        <v>52324</v>
      </c>
      <c r="F9339" s="8" t="s">
        <v>40262</v>
      </c>
      <c r="G9339" s="6" t="s">
        <v>60</v>
      </c>
      <c r="H9339" s="6" t="s">
        <v>34</v>
      </c>
      <c r="I9339" s="8" t="s">
        <v>271</v>
      </c>
      <c r="J9339" s="9">
        <v>1</v>
      </c>
      <c r="K9339" s="9">
        <v>576</v>
      </c>
      <c r="L9339" s="9">
        <v>2026</v>
      </c>
      <c r="M9339" s="8" t="s">
        <v>52325</v>
      </c>
      <c r="N9339" s="8" t="s">
        <v>37</v>
      </c>
      <c r="O9339" s="8" t="s">
        <v>233</v>
      </c>
      <c r="P9339" s="6" t="s">
        <v>51</v>
      </c>
      <c r="Q9339" s="8" t="s">
        <v>52</v>
      </c>
      <c r="R9339" s="10" t="s">
        <v>52326</v>
      </c>
      <c r="S9339" s="11" t="s">
        <v>52327</v>
      </c>
      <c r="T9339" s="6"/>
      <c r="U9339" s="15" t="str">
        <f>HYPERLINK("https://media.infra-m.ru/2242/2242419/cover/2242419.jpg", "Обложка")</f>
        <v>Обложка</v>
      </c>
      <c r="V9339" s="8" t="s">
        <v>1425</v>
      </c>
      <c r="W9339" s="6"/>
      <c r="X9339" s="6"/>
      <c r="Y9339" s="6"/>
      <c r="Z9339" s="6"/>
      <c r="AA9339" s="6" t="s">
        <v>55</v>
      </c>
      <c r="AB9339" s="8"/>
      <c r="AC9339" s="27">
        <v>9785160047997</v>
      </c>
    </row>
    <row r="9340" spans="1:29" s="4" customFormat="1" ht="51.9" customHeight="1" x14ac:dyDescent="0.2">
      <c r="A9340" s="5">
        <v>0</v>
      </c>
      <c r="B9340" s="6" t="s">
        <v>52328</v>
      </c>
      <c r="C9340" s="13">
        <v>948</v>
      </c>
      <c r="D9340" s="8" t="s">
        <v>52329</v>
      </c>
      <c r="E9340" s="8" t="s">
        <v>52330</v>
      </c>
      <c r="F9340" s="8" t="s">
        <v>52331</v>
      </c>
      <c r="G9340" s="6" t="s">
        <v>33</v>
      </c>
      <c r="H9340" s="6" t="s">
        <v>48</v>
      </c>
      <c r="I9340" s="8" t="s">
        <v>401</v>
      </c>
      <c r="J9340" s="9">
        <v>1</v>
      </c>
      <c r="K9340" s="9">
        <v>176</v>
      </c>
      <c r="L9340" s="9">
        <v>2023</v>
      </c>
      <c r="M9340" s="8" t="s">
        <v>52332</v>
      </c>
      <c r="N9340" s="8" t="s">
        <v>37</v>
      </c>
      <c r="O9340" s="8" t="s">
        <v>233</v>
      </c>
      <c r="P9340" s="6" t="s">
        <v>11616</v>
      </c>
      <c r="Q9340" s="8" t="s">
        <v>265</v>
      </c>
      <c r="R9340" s="10" t="s">
        <v>2200</v>
      </c>
      <c r="S9340" s="11" t="s">
        <v>52333</v>
      </c>
      <c r="T9340" s="6"/>
      <c r="U9340" s="15" t="str">
        <f>HYPERLINK("https://media.infra-m.ru/2022/2022259/cover/2022259.jpg", "Обложка")</f>
        <v>Обложка</v>
      </c>
      <c r="V9340" s="8" t="s">
        <v>29784</v>
      </c>
      <c r="W9340" s="6"/>
      <c r="X9340" s="6"/>
      <c r="Y9340" s="6"/>
      <c r="Z9340" s="6"/>
      <c r="AA9340" s="6" t="s">
        <v>14106</v>
      </c>
      <c r="AB9340" s="8"/>
      <c r="AC9340" s="27">
        <v>9785911348342</v>
      </c>
    </row>
    <row r="9341" spans="1:29" s="4" customFormat="1" ht="51.9" customHeight="1" x14ac:dyDescent="0.2">
      <c r="A9341" s="5">
        <v>0</v>
      </c>
      <c r="B9341" s="6" t="s">
        <v>52334</v>
      </c>
      <c r="C9341" s="7">
        <v>2392.8000000000002</v>
      </c>
      <c r="D9341" s="8" t="s">
        <v>52335</v>
      </c>
      <c r="E9341" s="8" t="s">
        <v>52336</v>
      </c>
      <c r="F9341" s="8" t="s">
        <v>52337</v>
      </c>
      <c r="G9341" s="6" t="s">
        <v>118</v>
      </c>
      <c r="H9341" s="6" t="s">
        <v>1042</v>
      </c>
      <c r="I9341" s="8" t="s">
        <v>263</v>
      </c>
      <c r="J9341" s="9">
        <v>1</v>
      </c>
      <c r="K9341" s="9">
        <v>399</v>
      </c>
      <c r="L9341" s="9">
        <v>2025</v>
      </c>
      <c r="M9341" s="8" t="s">
        <v>52338</v>
      </c>
      <c r="N9341" s="8" t="s">
        <v>37</v>
      </c>
      <c r="O9341" s="8" t="s">
        <v>233</v>
      </c>
      <c r="P9341" s="6" t="s">
        <v>306</v>
      </c>
      <c r="Q9341" s="8" t="s">
        <v>265</v>
      </c>
      <c r="R9341" s="10" t="s">
        <v>2200</v>
      </c>
      <c r="S9341" s="11" t="s">
        <v>52339</v>
      </c>
      <c r="T9341" s="6"/>
      <c r="U9341" s="15" t="str">
        <f>HYPERLINK("https://media.infra-m.ru/2185/2185914/cover/2185914.jpg", "Обложка")</f>
        <v>Обложка</v>
      </c>
      <c r="V9341" s="8" t="s">
        <v>717</v>
      </c>
      <c r="W9341" s="6"/>
      <c r="X9341" s="6"/>
      <c r="Y9341" s="6"/>
      <c r="Z9341" s="6"/>
      <c r="AA9341" s="6" t="s">
        <v>949</v>
      </c>
      <c r="AB9341" s="8"/>
      <c r="AC9341" s="27">
        <v>9785819908792</v>
      </c>
    </row>
    <row r="9342" spans="1:29" s="4" customFormat="1" ht="51.9" customHeight="1" x14ac:dyDescent="0.2">
      <c r="A9342" s="5">
        <v>0</v>
      </c>
      <c r="B9342" s="6" t="s">
        <v>52340</v>
      </c>
      <c r="C9342" s="7">
        <v>3832.8</v>
      </c>
      <c r="D9342" s="8" t="s">
        <v>52341</v>
      </c>
      <c r="E9342" s="8" t="s">
        <v>52342</v>
      </c>
      <c r="F9342" s="8" t="s">
        <v>52343</v>
      </c>
      <c r="G9342" s="6" t="s">
        <v>118</v>
      </c>
      <c r="H9342" s="6" t="s">
        <v>1042</v>
      </c>
      <c r="I9342" s="8" t="s">
        <v>22098</v>
      </c>
      <c r="J9342" s="9">
        <v>1</v>
      </c>
      <c r="K9342" s="9">
        <v>608</v>
      </c>
      <c r="L9342" s="9">
        <v>2026</v>
      </c>
      <c r="M9342" s="8" t="s">
        <v>52344</v>
      </c>
      <c r="N9342" s="8" t="s">
        <v>37</v>
      </c>
      <c r="O9342" s="8" t="s">
        <v>233</v>
      </c>
      <c r="P9342" s="6" t="s">
        <v>306</v>
      </c>
      <c r="Q9342" s="8" t="s">
        <v>52</v>
      </c>
      <c r="R9342" s="10" t="s">
        <v>52345</v>
      </c>
      <c r="S9342" s="11" t="s">
        <v>7294</v>
      </c>
      <c r="T9342" s="6"/>
      <c r="U9342" s="15" t="str">
        <f>HYPERLINK("https://media.infra-m.ru/2242/2242286/cover/2242286.jpg", "Обложка")</f>
        <v>Обложка</v>
      </c>
      <c r="V9342" s="8" t="s">
        <v>4892</v>
      </c>
      <c r="W9342" s="6"/>
      <c r="X9342" s="6"/>
      <c r="Y9342" s="6"/>
      <c r="Z9342" s="6"/>
      <c r="AA9342" s="6" t="s">
        <v>11623</v>
      </c>
      <c r="AB9342" s="8"/>
      <c r="AC9342" s="27">
        <v>9785819904596</v>
      </c>
    </row>
    <row r="9343" spans="1:29" s="4" customFormat="1" ht="51.9" customHeight="1" x14ac:dyDescent="0.2">
      <c r="A9343" s="5">
        <v>0</v>
      </c>
      <c r="B9343" s="6" t="s">
        <v>52346</v>
      </c>
      <c r="C9343" s="7">
        <v>4296</v>
      </c>
      <c r="D9343" s="8" t="s">
        <v>52347</v>
      </c>
      <c r="E9343" s="8" t="s">
        <v>52336</v>
      </c>
      <c r="F9343" s="8" t="s">
        <v>21170</v>
      </c>
      <c r="G9343" s="6" t="s">
        <v>60</v>
      </c>
      <c r="H9343" s="6" t="s">
        <v>34</v>
      </c>
      <c r="I9343" s="8" t="s">
        <v>504</v>
      </c>
      <c r="J9343" s="9">
        <v>1</v>
      </c>
      <c r="K9343" s="9">
        <v>716</v>
      </c>
      <c r="L9343" s="9">
        <v>2024</v>
      </c>
      <c r="M9343" s="8" t="s">
        <v>52348</v>
      </c>
      <c r="N9343" s="8" t="s">
        <v>37</v>
      </c>
      <c r="O9343" s="8" t="s">
        <v>233</v>
      </c>
      <c r="P9343" s="6" t="s">
        <v>306</v>
      </c>
      <c r="Q9343" s="8" t="s">
        <v>500</v>
      </c>
      <c r="R9343" s="10" t="s">
        <v>52349</v>
      </c>
      <c r="S9343" s="11"/>
      <c r="T9343" s="6" t="s">
        <v>97</v>
      </c>
      <c r="U9343" s="15" t="str">
        <f>HYPERLINK("https://media.infra-m.ru/1874/1874254/cover/1874254.jpg", "Обложка")</f>
        <v>Обложка</v>
      </c>
      <c r="V9343" s="8" t="s">
        <v>21173</v>
      </c>
      <c r="W9343" s="6"/>
      <c r="X9343" s="6"/>
      <c r="Y9343" s="6"/>
      <c r="Z9343" s="6"/>
      <c r="AA9343" s="6" t="s">
        <v>76</v>
      </c>
      <c r="AB9343" s="8" t="s">
        <v>3024</v>
      </c>
      <c r="AC9343" s="27">
        <v>9785160177731</v>
      </c>
    </row>
    <row r="9344" spans="1:29" s="4" customFormat="1" ht="51.9" customHeight="1" x14ac:dyDescent="0.2">
      <c r="A9344" s="5">
        <v>0</v>
      </c>
      <c r="B9344" s="6" t="s">
        <v>52350</v>
      </c>
      <c r="C9344" s="7">
        <v>1864.8</v>
      </c>
      <c r="D9344" s="8" t="s">
        <v>52351</v>
      </c>
      <c r="E9344" s="8" t="s">
        <v>52336</v>
      </c>
      <c r="F9344" s="8" t="s">
        <v>52352</v>
      </c>
      <c r="G9344" s="6" t="s">
        <v>60</v>
      </c>
      <c r="H9344" s="6" t="s">
        <v>34</v>
      </c>
      <c r="I9344" s="8" t="s">
        <v>271</v>
      </c>
      <c r="J9344" s="9">
        <v>1</v>
      </c>
      <c r="K9344" s="9">
        <v>330</v>
      </c>
      <c r="L9344" s="9">
        <v>2024</v>
      </c>
      <c r="M9344" s="8" t="s">
        <v>52353</v>
      </c>
      <c r="N9344" s="8" t="s">
        <v>37</v>
      </c>
      <c r="O9344" s="8" t="s">
        <v>233</v>
      </c>
      <c r="P9344" s="6" t="s">
        <v>306</v>
      </c>
      <c r="Q9344" s="8" t="s">
        <v>52</v>
      </c>
      <c r="R9344" s="10" t="s">
        <v>52354</v>
      </c>
      <c r="S9344" s="11" t="s">
        <v>52355</v>
      </c>
      <c r="T9344" s="6"/>
      <c r="U9344" s="15" t="str">
        <f>HYPERLINK("https://media.infra-m.ru/2084/2084556/cover/2084556.jpg", "Обложка")</f>
        <v>Обложка</v>
      </c>
      <c r="V9344" s="8" t="s">
        <v>1030</v>
      </c>
      <c r="W9344" s="6"/>
      <c r="X9344" s="6"/>
      <c r="Y9344" s="6"/>
      <c r="Z9344" s="6"/>
      <c r="AA9344" s="6" t="s">
        <v>43</v>
      </c>
      <c r="AB9344" s="8"/>
      <c r="AC9344" s="27">
        <v>9785160054704</v>
      </c>
    </row>
    <row r="9345" spans="1:29" s="4" customFormat="1" ht="51.9" customHeight="1" x14ac:dyDescent="0.2">
      <c r="A9345" s="5">
        <v>0</v>
      </c>
      <c r="B9345" s="6" t="s">
        <v>52356</v>
      </c>
      <c r="C9345" s="7">
        <v>2740.8</v>
      </c>
      <c r="D9345" s="8" t="s">
        <v>52357</v>
      </c>
      <c r="E9345" s="8" t="s">
        <v>52336</v>
      </c>
      <c r="F9345" s="8" t="s">
        <v>52358</v>
      </c>
      <c r="G9345" s="6" t="s">
        <v>60</v>
      </c>
      <c r="H9345" s="6" t="s">
        <v>34</v>
      </c>
      <c r="I9345" s="8" t="s">
        <v>271</v>
      </c>
      <c r="J9345" s="9">
        <v>1</v>
      </c>
      <c r="K9345" s="9">
        <v>416</v>
      </c>
      <c r="L9345" s="9">
        <v>2026</v>
      </c>
      <c r="M9345" s="8" t="s">
        <v>52359</v>
      </c>
      <c r="N9345" s="8" t="s">
        <v>37</v>
      </c>
      <c r="O9345" s="8" t="s">
        <v>233</v>
      </c>
      <c r="P9345" s="6" t="s">
        <v>306</v>
      </c>
      <c r="Q9345" s="8" t="s">
        <v>52</v>
      </c>
      <c r="R9345" s="10" t="s">
        <v>370</v>
      </c>
      <c r="S9345" s="11" t="s">
        <v>52360</v>
      </c>
      <c r="T9345" s="6"/>
      <c r="U9345" s="15" t="str">
        <f>HYPERLINK("https://media.infra-m.ru/2239/2239141/cover/2239141.jpg", "Обложка")</f>
        <v>Обложка</v>
      </c>
      <c r="V9345" s="8" t="s">
        <v>27840</v>
      </c>
      <c r="W9345" s="6"/>
      <c r="X9345" s="6"/>
      <c r="Y9345" s="6"/>
      <c r="Z9345" s="6"/>
      <c r="AA9345" s="6" t="s">
        <v>55</v>
      </c>
      <c r="AB9345" s="8"/>
      <c r="AC9345" s="27">
        <v>9785160049427</v>
      </c>
    </row>
    <row r="9346" spans="1:29" s="4" customFormat="1" ht="51.9" customHeight="1" x14ac:dyDescent="0.2">
      <c r="A9346" s="5">
        <v>0</v>
      </c>
      <c r="B9346" s="6" t="s">
        <v>52361</v>
      </c>
      <c r="C9346" s="7">
        <v>2476.8000000000002</v>
      </c>
      <c r="D9346" s="8" t="s">
        <v>52362</v>
      </c>
      <c r="E9346" s="8" t="s">
        <v>52336</v>
      </c>
      <c r="F9346" s="8" t="s">
        <v>15406</v>
      </c>
      <c r="G9346" s="6" t="s">
        <v>60</v>
      </c>
      <c r="H9346" s="6" t="s">
        <v>5605</v>
      </c>
      <c r="I9346" s="8" t="s">
        <v>253</v>
      </c>
      <c r="J9346" s="9">
        <v>1</v>
      </c>
      <c r="K9346" s="9">
        <v>375</v>
      </c>
      <c r="L9346" s="9">
        <v>2026</v>
      </c>
      <c r="M9346" s="8" t="s">
        <v>52363</v>
      </c>
      <c r="N9346" s="8" t="s">
        <v>37</v>
      </c>
      <c r="O9346" s="8" t="s">
        <v>233</v>
      </c>
      <c r="P9346" s="6" t="s">
        <v>51</v>
      </c>
      <c r="Q9346" s="8" t="s">
        <v>52</v>
      </c>
      <c r="R9346" s="10" t="s">
        <v>51737</v>
      </c>
      <c r="S9346" s="11" t="s">
        <v>52075</v>
      </c>
      <c r="T9346" s="6"/>
      <c r="U9346" s="15" t="str">
        <f>HYPERLINK("https://media.infra-m.ru/2242/2242352/cover/2242352.jpg", "Обложка")</f>
        <v>Обложка</v>
      </c>
      <c r="V9346" s="8" t="s">
        <v>5964</v>
      </c>
      <c r="W9346" s="6"/>
      <c r="X9346" s="6"/>
      <c r="Y9346" s="6"/>
      <c r="Z9346" s="6"/>
      <c r="AA9346" s="6" t="s">
        <v>1015</v>
      </c>
      <c r="AB9346" s="8"/>
      <c r="AC9346" s="27">
        <v>9785160039572</v>
      </c>
    </row>
    <row r="9347" spans="1:29" s="4" customFormat="1" ht="51.9" customHeight="1" x14ac:dyDescent="0.2">
      <c r="A9347" s="5">
        <v>0</v>
      </c>
      <c r="B9347" s="6" t="s">
        <v>52364</v>
      </c>
      <c r="C9347" s="7">
        <v>2992.8</v>
      </c>
      <c r="D9347" s="8" t="s">
        <v>52365</v>
      </c>
      <c r="E9347" s="8" t="s">
        <v>52366</v>
      </c>
      <c r="F9347" s="8" t="s">
        <v>52367</v>
      </c>
      <c r="G9347" s="6" t="s">
        <v>60</v>
      </c>
      <c r="H9347" s="6" t="s">
        <v>34</v>
      </c>
      <c r="I9347" s="8" t="s">
        <v>271</v>
      </c>
      <c r="J9347" s="9">
        <v>1</v>
      </c>
      <c r="K9347" s="9">
        <v>747</v>
      </c>
      <c r="L9347" s="9">
        <v>2024</v>
      </c>
      <c r="M9347" s="8" t="s">
        <v>52368</v>
      </c>
      <c r="N9347" s="8" t="s">
        <v>37</v>
      </c>
      <c r="O9347" s="8" t="s">
        <v>233</v>
      </c>
      <c r="P9347" s="6" t="s">
        <v>306</v>
      </c>
      <c r="Q9347" s="8" t="s">
        <v>52</v>
      </c>
      <c r="R9347" s="10" t="s">
        <v>370</v>
      </c>
      <c r="S9347" s="11" t="s">
        <v>49826</v>
      </c>
      <c r="T9347" s="6"/>
      <c r="U9347" s="15" t="str">
        <f>HYPERLINK("https://media.infra-m.ru/2053/2053193/cover/2053193.jpg", "Обложка")</f>
        <v>Обложка</v>
      </c>
      <c r="V9347" s="8" t="s">
        <v>4943</v>
      </c>
      <c r="W9347" s="6"/>
      <c r="X9347" s="6"/>
      <c r="Y9347" s="6"/>
      <c r="Z9347" s="6"/>
      <c r="AA9347" s="6" t="s">
        <v>3391</v>
      </c>
      <c r="AB9347" s="8"/>
      <c r="AC9347" s="27">
        <v>9785160040561</v>
      </c>
    </row>
    <row r="9348" spans="1:29" s="4" customFormat="1" ht="51.9" customHeight="1" x14ac:dyDescent="0.2">
      <c r="A9348" s="5">
        <v>0</v>
      </c>
      <c r="B9348" s="6" t="s">
        <v>52369</v>
      </c>
      <c r="C9348" s="7">
        <v>1528.8</v>
      </c>
      <c r="D9348" s="8" t="s">
        <v>52370</v>
      </c>
      <c r="E9348" s="8" t="s">
        <v>52336</v>
      </c>
      <c r="F9348" s="8" t="s">
        <v>6646</v>
      </c>
      <c r="G9348" s="6" t="s">
        <v>60</v>
      </c>
      <c r="H9348" s="6" t="s">
        <v>34</v>
      </c>
      <c r="I9348" s="8" t="s">
        <v>271</v>
      </c>
      <c r="J9348" s="9">
        <v>1</v>
      </c>
      <c r="K9348" s="9">
        <v>255</v>
      </c>
      <c r="L9348" s="9">
        <v>2025</v>
      </c>
      <c r="M9348" s="8" t="s">
        <v>52371</v>
      </c>
      <c r="N9348" s="8" t="s">
        <v>37</v>
      </c>
      <c r="O9348" s="8" t="s">
        <v>233</v>
      </c>
      <c r="P9348" s="6" t="s">
        <v>306</v>
      </c>
      <c r="Q9348" s="8" t="s">
        <v>52</v>
      </c>
      <c r="R9348" s="10" t="s">
        <v>52372</v>
      </c>
      <c r="S9348" s="11" t="s">
        <v>52373</v>
      </c>
      <c r="T9348" s="6"/>
      <c r="U9348" s="15" t="str">
        <f>HYPERLINK("https://media.infra-m.ru/2192/2192237/cover/2192237.jpg", "Обложка")</f>
        <v>Обложка</v>
      </c>
      <c r="V9348" s="8" t="s">
        <v>6642</v>
      </c>
      <c r="W9348" s="6"/>
      <c r="X9348" s="6"/>
      <c r="Y9348" s="6"/>
      <c r="Z9348" s="6"/>
      <c r="AA9348" s="6" t="s">
        <v>248</v>
      </c>
      <c r="AB9348" s="8"/>
      <c r="AC9348" s="27">
        <v>9785160064918</v>
      </c>
    </row>
    <row r="9349" spans="1:29" s="4" customFormat="1" ht="51.9" customHeight="1" x14ac:dyDescent="0.2">
      <c r="A9349" s="5">
        <v>0</v>
      </c>
      <c r="B9349" s="6" t="s">
        <v>52374</v>
      </c>
      <c r="C9349" s="13">
        <v>729.6</v>
      </c>
      <c r="D9349" s="8" t="s">
        <v>52375</v>
      </c>
      <c r="E9349" s="8" t="s">
        <v>52366</v>
      </c>
      <c r="F9349" s="8" t="s">
        <v>52376</v>
      </c>
      <c r="G9349" s="6" t="s">
        <v>33</v>
      </c>
      <c r="H9349" s="6" t="s">
        <v>313</v>
      </c>
      <c r="I9349" s="8" t="s">
        <v>4551</v>
      </c>
      <c r="J9349" s="9">
        <v>1</v>
      </c>
      <c r="K9349" s="9">
        <v>209</v>
      </c>
      <c r="L9349" s="9">
        <v>2022</v>
      </c>
      <c r="M9349" s="8" t="s">
        <v>52377</v>
      </c>
      <c r="N9349" s="8" t="s">
        <v>37</v>
      </c>
      <c r="O9349" s="8" t="s">
        <v>233</v>
      </c>
      <c r="P9349" s="6" t="s">
        <v>51</v>
      </c>
      <c r="Q9349" s="8" t="s">
        <v>52</v>
      </c>
      <c r="R9349" s="10" t="s">
        <v>370</v>
      </c>
      <c r="S9349" s="11" t="s">
        <v>42765</v>
      </c>
      <c r="T9349" s="6"/>
      <c r="U9349" s="15" t="str">
        <f>HYPERLINK("https://media.infra-m.ru/1893/1893212/cover/1893212.jpg", "Обложка")</f>
        <v>Обложка</v>
      </c>
      <c r="V9349" s="8" t="s">
        <v>227</v>
      </c>
      <c r="W9349" s="6"/>
      <c r="X9349" s="6"/>
      <c r="Y9349" s="6"/>
      <c r="Z9349" s="6"/>
      <c r="AA9349" s="6" t="s">
        <v>1056</v>
      </c>
      <c r="AB9349" s="8"/>
      <c r="AC9349" s="27">
        <v>9785369005224</v>
      </c>
    </row>
    <row r="9350" spans="1:29" s="4" customFormat="1" ht="51.9" customHeight="1" x14ac:dyDescent="0.2">
      <c r="A9350" s="5">
        <v>0</v>
      </c>
      <c r="B9350" s="6" t="s">
        <v>52378</v>
      </c>
      <c r="C9350" s="7">
        <v>1020</v>
      </c>
      <c r="D9350" s="8" t="s">
        <v>52379</v>
      </c>
      <c r="E9350" s="8" t="s">
        <v>52380</v>
      </c>
      <c r="F9350" s="8" t="s">
        <v>8137</v>
      </c>
      <c r="G9350" s="6" t="s">
        <v>60</v>
      </c>
      <c r="H9350" s="6" t="s">
        <v>34</v>
      </c>
      <c r="I9350" s="8" t="s">
        <v>271</v>
      </c>
      <c r="J9350" s="9">
        <v>1</v>
      </c>
      <c r="K9350" s="9">
        <v>185</v>
      </c>
      <c r="L9350" s="9">
        <v>2023</v>
      </c>
      <c r="M9350" s="8" t="s">
        <v>52381</v>
      </c>
      <c r="N9350" s="8" t="s">
        <v>37</v>
      </c>
      <c r="O9350" s="8" t="s">
        <v>233</v>
      </c>
      <c r="P9350" s="6" t="s">
        <v>51</v>
      </c>
      <c r="Q9350" s="8" t="s">
        <v>52</v>
      </c>
      <c r="R9350" s="10" t="s">
        <v>3008</v>
      </c>
      <c r="S9350" s="11" t="s">
        <v>52382</v>
      </c>
      <c r="T9350" s="6"/>
      <c r="U9350" s="15" t="str">
        <f>HYPERLINK("https://media.infra-m.ru/1225/1225034/cover/1225034.jpg", "Обложка")</f>
        <v>Обложка</v>
      </c>
      <c r="V9350" s="8" t="s">
        <v>8139</v>
      </c>
      <c r="W9350" s="6"/>
      <c r="X9350" s="6"/>
      <c r="Y9350" s="6"/>
      <c r="Z9350" s="6"/>
      <c r="AA9350" s="6" t="s">
        <v>157</v>
      </c>
      <c r="AB9350" s="8"/>
      <c r="AC9350" s="27">
        <v>9785160167336</v>
      </c>
    </row>
    <row r="9351" spans="1:29" s="4" customFormat="1" ht="42" customHeight="1" x14ac:dyDescent="0.2">
      <c r="A9351" s="5">
        <v>0</v>
      </c>
      <c r="B9351" s="6" t="s">
        <v>52383</v>
      </c>
      <c r="C9351" s="13">
        <v>616.79999999999995</v>
      </c>
      <c r="D9351" s="8" t="s">
        <v>52384</v>
      </c>
      <c r="E9351" s="8" t="s">
        <v>52385</v>
      </c>
      <c r="F9351" s="8" t="s">
        <v>25478</v>
      </c>
      <c r="G9351" s="6" t="s">
        <v>33</v>
      </c>
      <c r="H9351" s="6" t="s">
        <v>34</v>
      </c>
      <c r="I9351" s="8" t="s">
        <v>271</v>
      </c>
      <c r="J9351" s="9">
        <v>1</v>
      </c>
      <c r="K9351" s="9">
        <v>111</v>
      </c>
      <c r="L9351" s="9">
        <v>2024</v>
      </c>
      <c r="M9351" s="8" t="s">
        <v>52386</v>
      </c>
      <c r="N9351" s="8" t="s">
        <v>37</v>
      </c>
      <c r="O9351" s="8" t="s">
        <v>233</v>
      </c>
      <c r="P9351" s="6" t="s">
        <v>51</v>
      </c>
      <c r="Q9351" s="8" t="s">
        <v>52</v>
      </c>
      <c r="R9351" s="10" t="s">
        <v>52387</v>
      </c>
      <c r="S9351" s="11"/>
      <c r="T9351" s="6"/>
      <c r="U9351" s="15" t="str">
        <f>HYPERLINK("https://media.infra-m.ru/2087/2087264/cover/2087264.jpg", "Обложка")</f>
        <v>Обложка</v>
      </c>
      <c r="V9351" s="8" t="s">
        <v>831</v>
      </c>
      <c r="W9351" s="6"/>
      <c r="X9351" s="6"/>
      <c r="Y9351" s="6"/>
      <c r="Z9351" s="6"/>
      <c r="AA9351" s="6" t="s">
        <v>274</v>
      </c>
      <c r="AB9351" s="8"/>
      <c r="AC9351" s="27">
        <v>9785160096780</v>
      </c>
    </row>
    <row r="9352" spans="1:29" s="4" customFormat="1" ht="42" customHeight="1" x14ac:dyDescent="0.2">
      <c r="A9352" s="5">
        <v>0</v>
      </c>
      <c r="B9352" s="6" t="s">
        <v>52388</v>
      </c>
      <c r="C9352" s="13">
        <v>852</v>
      </c>
      <c r="D9352" s="8" t="s">
        <v>52389</v>
      </c>
      <c r="E9352" s="8" t="s">
        <v>52390</v>
      </c>
      <c r="F9352" s="8" t="s">
        <v>52391</v>
      </c>
      <c r="G9352" s="6" t="s">
        <v>118</v>
      </c>
      <c r="H9352" s="6" t="s">
        <v>34</v>
      </c>
      <c r="I9352" s="8" t="s">
        <v>35</v>
      </c>
      <c r="J9352" s="9">
        <v>1</v>
      </c>
      <c r="K9352" s="9">
        <v>206</v>
      </c>
      <c r="L9352" s="9">
        <v>2019</v>
      </c>
      <c r="M9352" s="8" t="s">
        <v>52392</v>
      </c>
      <c r="N9352" s="8" t="s">
        <v>37</v>
      </c>
      <c r="O9352" s="8" t="s">
        <v>233</v>
      </c>
      <c r="P9352" s="6" t="s">
        <v>39</v>
      </c>
      <c r="Q9352" s="8" t="s">
        <v>40</v>
      </c>
      <c r="R9352" s="10" t="s">
        <v>3516</v>
      </c>
      <c r="S9352" s="11"/>
      <c r="T9352" s="6"/>
      <c r="U9352" s="15" t="str">
        <f>HYPERLINK("https://media.infra-m.ru/1003/1003241/cover/1003241.jpg", "Обложка")</f>
        <v>Обложка</v>
      </c>
      <c r="V9352" s="8" t="s">
        <v>3223</v>
      </c>
      <c r="W9352" s="6"/>
      <c r="X9352" s="6"/>
      <c r="Y9352" s="6"/>
      <c r="Z9352" s="6"/>
      <c r="AA9352" s="6" t="s">
        <v>86</v>
      </c>
      <c r="AB9352" s="8"/>
      <c r="AC9352" s="27">
        <v>9785160133409</v>
      </c>
    </row>
    <row r="9353" spans="1:29" s="4" customFormat="1" ht="42" customHeight="1" x14ac:dyDescent="0.2">
      <c r="A9353" s="5">
        <v>0</v>
      </c>
      <c r="B9353" s="6" t="s">
        <v>52393</v>
      </c>
      <c r="C9353" s="7">
        <v>1896</v>
      </c>
      <c r="D9353" s="8" t="s">
        <v>52394</v>
      </c>
      <c r="E9353" s="8" t="s">
        <v>52395</v>
      </c>
      <c r="F9353" s="8" t="s">
        <v>25604</v>
      </c>
      <c r="G9353" s="6" t="s">
        <v>118</v>
      </c>
      <c r="H9353" s="6" t="s">
        <v>34</v>
      </c>
      <c r="I9353" s="8" t="s">
        <v>35</v>
      </c>
      <c r="J9353" s="9">
        <v>1</v>
      </c>
      <c r="K9353" s="9">
        <v>350</v>
      </c>
      <c r="L9353" s="9">
        <v>2023</v>
      </c>
      <c r="M9353" s="8" t="s">
        <v>52396</v>
      </c>
      <c r="N9353" s="8" t="s">
        <v>37</v>
      </c>
      <c r="O9353" s="8" t="s">
        <v>233</v>
      </c>
      <c r="P9353" s="6" t="s">
        <v>39</v>
      </c>
      <c r="Q9353" s="8" t="s">
        <v>40</v>
      </c>
      <c r="R9353" s="10" t="s">
        <v>1646</v>
      </c>
      <c r="S9353" s="11"/>
      <c r="T9353" s="6"/>
      <c r="U9353" s="15" t="str">
        <f>HYPERLINK("https://media.infra-m.ru/1960/1960030/cover/1960030.jpg", "Обложка")</f>
        <v>Обложка</v>
      </c>
      <c r="V9353" s="8" t="s">
        <v>7553</v>
      </c>
      <c r="W9353" s="6"/>
      <c r="X9353" s="6"/>
      <c r="Y9353" s="6"/>
      <c r="Z9353" s="6"/>
      <c r="AA9353" s="6" t="s">
        <v>1256</v>
      </c>
      <c r="AB9353" s="8"/>
      <c r="AC9353" s="27">
        <v>9785160154763</v>
      </c>
    </row>
    <row r="9354" spans="1:29" s="4" customFormat="1" ht="44.1" customHeight="1" x14ac:dyDescent="0.2">
      <c r="A9354" s="5">
        <v>0</v>
      </c>
      <c r="B9354" s="6" t="s">
        <v>52397</v>
      </c>
      <c r="C9354" s="7">
        <v>1488</v>
      </c>
      <c r="D9354" s="8" t="s">
        <v>52398</v>
      </c>
      <c r="E9354" s="8" t="s">
        <v>52399</v>
      </c>
      <c r="F9354" s="8" t="s">
        <v>52400</v>
      </c>
      <c r="G9354" s="6" t="s">
        <v>118</v>
      </c>
      <c r="H9354" s="6" t="s">
        <v>34</v>
      </c>
      <c r="I9354" s="8" t="s">
        <v>35</v>
      </c>
      <c r="J9354" s="9">
        <v>1</v>
      </c>
      <c r="K9354" s="9">
        <v>248</v>
      </c>
      <c r="L9354" s="9">
        <v>2025</v>
      </c>
      <c r="M9354" s="8" t="s">
        <v>52401</v>
      </c>
      <c r="N9354" s="8" t="s">
        <v>37</v>
      </c>
      <c r="O9354" s="8" t="s">
        <v>233</v>
      </c>
      <c r="P9354" s="6" t="s">
        <v>39</v>
      </c>
      <c r="Q9354" s="8" t="s">
        <v>40</v>
      </c>
      <c r="R9354" s="10" t="s">
        <v>9726</v>
      </c>
      <c r="S9354" s="11"/>
      <c r="T9354" s="6"/>
      <c r="U9354" s="15" t="str">
        <f>HYPERLINK("https://media.infra-m.ru/2163/2163771/cover/2163771.jpg", "Обложка")</f>
        <v>Обложка</v>
      </c>
      <c r="V9354" s="8" t="s">
        <v>5117</v>
      </c>
      <c r="W9354" s="6"/>
      <c r="X9354" s="6"/>
      <c r="Y9354" s="6"/>
      <c r="Z9354" s="6"/>
      <c r="AA9354" s="6" t="s">
        <v>157</v>
      </c>
      <c r="AB9354" s="8" t="s">
        <v>52402</v>
      </c>
      <c r="AC9354" s="27">
        <v>9785160179346</v>
      </c>
    </row>
    <row r="9355" spans="1:29" s="4" customFormat="1" ht="42" customHeight="1" x14ac:dyDescent="0.2">
      <c r="A9355" s="5">
        <v>0</v>
      </c>
      <c r="B9355" s="6" t="s">
        <v>52403</v>
      </c>
      <c r="C9355" s="7">
        <v>1745.9</v>
      </c>
      <c r="D9355" s="8" t="s">
        <v>52404</v>
      </c>
      <c r="E9355" s="8" t="s">
        <v>52405</v>
      </c>
      <c r="F9355" s="8" t="s">
        <v>52406</v>
      </c>
      <c r="G9355" s="6" t="s">
        <v>60</v>
      </c>
      <c r="H9355" s="6" t="s">
        <v>34</v>
      </c>
      <c r="I9355" s="8" t="s">
        <v>35</v>
      </c>
      <c r="J9355" s="9">
        <v>1</v>
      </c>
      <c r="K9355" s="9">
        <v>324</v>
      </c>
      <c r="L9355" s="9">
        <v>2023</v>
      </c>
      <c r="M9355" s="8" t="s">
        <v>52407</v>
      </c>
      <c r="N9355" s="8" t="s">
        <v>37</v>
      </c>
      <c r="O9355" s="8" t="s">
        <v>233</v>
      </c>
      <c r="P9355" s="6" t="s">
        <v>39</v>
      </c>
      <c r="Q9355" s="8" t="s">
        <v>40</v>
      </c>
      <c r="R9355" s="10" t="s">
        <v>2786</v>
      </c>
      <c r="S9355" s="11"/>
      <c r="T9355" s="6"/>
      <c r="U9355" s="15" t="str">
        <f>HYPERLINK("https://media.infra-m.ru/2006/2006905/cover/2006905.jpg", "Обложка")</f>
        <v>Обложка</v>
      </c>
      <c r="V9355" s="8" t="s">
        <v>12917</v>
      </c>
      <c r="W9355" s="6"/>
      <c r="X9355" s="6"/>
      <c r="Y9355" s="6"/>
      <c r="Z9355" s="6"/>
      <c r="AA9355" s="6" t="s">
        <v>1256</v>
      </c>
      <c r="AB9355" s="8"/>
      <c r="AC9355" s="27">
        <v>9785160143422</v>
      </c>
    </row>
    <row r="9356" spans="1:29" s="4" customFormat="1" ht="51.9" customHeight="1" x14ac:dyDescent="0.2">
      <c r="A9356" s="5">
        <v>0</v>
      </c>
      <c r="B9356" s="6" t="s">
        <v>52408</v>
      </c>
      <c r="C9356" s="7">
        <v>2340</v>
      </c>
      <c r="D9356" s="8" t="s">
        <v>52409</v>
      </c>
      <c r="E9356" s="8" t="s">
        <v>52410</v>
      </c>
      <c r="F9356" s="8" t="s">
        <v>52411</v>
      </c>
      <c r="G9356" s="6" t="s">
        <v>118</v>
      </c>
      <c r="H9356" s="6" t="s">
        <v>34</v>
      </c>
      <c r="I9356" s="8" t="s">
        <v>271</v>
      </c>
      <c r="J9356" s="9">
        <v>1</v>
      </c>
      <c r="K9356" s="9">
        <v>528</v>
      </c>
      <c r="L9356" s="9">
        <v>2021</v>
      </c>
      <c r="M9356" s="8" t="s">
        <v>52412</v>
      </c>
      <c r="N9356" s="8" t="s">
        <v>37</v>
      </c>
      <c r="O9356" s="8" t="s">
        <v>280</v>
      </c>
      <c r="P9356" s="6" t="s">
        <v>306</v>
      </c>
      <c r="Q9356" s="8" t="s">
        <v>52</v>
      </c>
      <c r="R9356" s="10" t="s">
        <v>52413</v>
      </c>
      <c r="S9356" s="11" t="s">
        <v>52414</v>
      </c>
      <c r="T9356" s="6"/>
      <c r="U9356" s="15" t="str">
        <f>HYPERLINK("https://media.infra-m.ru/1359/1359744/cover/1359744.jpg", "Обложка")</f>
        <v>Обложка</v>
      </c>
      <c r="V9356" s="8" t="s">
        <v>3428</v>
      </c>
      <c r="W9356" s="6"/>
      <c r="X9356" s="6"/>
      <c r="Y9356" s="6"/>
      <c r="Z9356" s="6"/>
      <c r="AA9356" s="6" t="s">
        <v>1047</v>
      </c>
      <c r="AB9356" s="8"/>
      <c r="AC9356" s="27">
        <v>9785160031460</v>
      </c>
    </row>
    <row r="9357" spans="1:29" s="4" customFormat="1" ht="51.9" customHeight="1" x14ac:dyDescent="0.2">
      <c r="A9357" s="5">
        <v>0</v>
      </c>
      <c r="B9357" s="6" t="s">
        <v>52415</v>
      </c>
      <c r="C9357" s="7">
        <v>2880</v>
      </c>
      <c r="D9357" s="8" t="s">
        <v>52416</v>
      </c>
      <c r="E9357" s="8" t="s">
        <v>52417</v>
      </c>
      <c r="F9357" s="8" t="s">
        <v>52418</v>
      </c>
      <c r="G9357" s="6" t="s">
        <v>60</v>
      </c>
      <c r="H9357" s="6" t="s">
        <v>34</v>
      </c>
      <c r="I9357" s="8" t="s">
        <v>253</v>
      </c>
      <c r="J9357" s="9">
        <v>1</v>
      </c>
      <c r="K9357" s="9">
        <v>578</v>
      </c>
      <c r="L9357" s="9">
        <v>2024</v>
      </c>
      <c r="M9357" s="8" t="s">
        <v>52419</v>
      </c>
      <c r="N9357" s="8" t="s">
        <v>37</v>
      </c>
      <c r="O9357" s="8" t="s">
        <v>280</v>
      </c>
      <c r="P9357" s="6" t="s">
        <v>306</v>
      </c>
      <c r="Q9357" s="8" t="s">
        <v>52</v>
      </c>
      <c r="R9357" s="10" t="s">
        <v>52413</v>
      </c>
      <c r="S9357" s="11" t="s">
        <v>52414</v>
      </c>
      <c r="T9357" s="6"/>
      <c r="U9357" s="15" t="str">
        <f>HYPERLINK("https://media.infra-m.ru/2152/2152128/cover/2152128.jpg", "Обложка")</f>
        <v>Обложка</v>
      </c>
      <c r="V9357" s="8" t="s">
        <v>3428</v>
      </c>
      <c r="W9357" s="6"/>
      <c r="X9357" s="6"/>
      <c r="Y9357" s="6"/>
      <c r="Z9357" s="6"/>
      <c r="AA9357" s="6" t="s">
        <v>896</v>
      </c>
      <c r="AB9357" s="8"/>
      <c r="AC9357" s="27">
        <v>9785160200255</v>
      </c>
    </row>
    <row r="9358" spans="1:29" s="4" customFormat="1" ht="51.9" customHeight="1" x14ac:dyDescent="0.2">
      <c r="A9358" s="5">
        <v>0</v>
      </c>
      <c r="B9358" s="6" t="s">
        <v>52420</v>
      </c>
      <c r="C9358" s="7">
        <v>1300.8</v>
      </c>
      <c r="D9358" s="8" t="s">
        <v>52421</v>
      </c>
      <c r="E9358" s="8" t="s">
        <v>52422</v>
      </c>
      <c r="F9358" s="8" t="s">
        <v>52423</v>
      </c>
      <c r="G9358" s="6" t="s">
        <v>60</v>
      </c>
      <c r="H9358" s="6" t="s">
        <v>34</v>
      </c>
      <c r="I9358" s="8" t="s">
        <v>271</v>
      </c>
      <c r="J9358" s="9">
        <v>1</v>
      </c>
      <c r="K9358" s="9">
        <v>208</v>
      </c>
      <c r="L9358" s="9">
        <v>2025</v>
      </c>
      <c r="M9358" s="8" t="s">
        <v>52424</v>
      </c>
      <c r="N9358" s="8" t="s">
        <v>37</v>
      </c>
      <c r="O9358" s="8" t="s">
        <v>83</v>
      </c>
      <c r="P9358" s="6" t="s">
        <v>51</v>
      </c>
      <c r="Q9358" s="8" t="s">
        <v>52</v>
      </c>
      <c r="R9358" s="10" t="s">
        <v>20332</v>
      </c>
      <c r="S9358" s="11" t="s">
        <v>52425</v>
      </c>
      <c r="T9358" s="6"/>
      <c r="U9358" s="15" t="str">
        <f>HYPERLINK("https://media.infra-m.ru/2197/2197257/cover/2197257.jpg", "Обложка")</f>
        <v>Обложка</v>
      </c>
      <c r="V9358" s="8" t="s">
        <v>396</v>
      </c>
      <c r="W9358" s="6"/>
      <c r="X9358" s="6"/>
      <c r="Y9358" s="6"/>
      <c r="Z9358" s="6"/>
      <c r="AA9358" s="6" t="s">
        <v>1047</v>
      </c>
      <c r="AB9358" s="8"/>
      <c r="AC9358" s="27">
        <v>9785160109183</v>
      </c>
    </row>
    <row r="9359" spans="1:29" s="4" customFormat="1" ht="51.9" customHeight="1" x14ac:dyDescent="0.2">
      <c r="A9359" s="5">
        <v>0</v>
      </c>
      <c r="B9359" s="6" t="s">
        <v>52426</v>
      </c>
      <c r="C9359" s="7">
        <v>1336.8</v>
      </c>
      <c r="D9359" s="8" t="s">
        <v>52427</v>
      </c>
      <c r="E9359" s="8" t="s">
        <v>52428</v>
      </c>
      <c r="F9359" s="8" t="s">
        <v>52429</v>
      </c>
      <c r="G9359" s="6" t="s">
        <v>60</v>
      </c>
      <c r="H9359" s="6" t="s">
        <v>34</v>
      </c>
      <c r="I9359" s="8" t="s">
        <v>271</v>
      </c>
      <c r="J9359" s="9">
        <v>1</v>
      </c>
      <c r="K9359" s="9">
        <v>237</v>
      </c>
      <c r="L9359" s="9">
        <v>2024</v>
      </c>
      <c r="M9359" s="8" t="s">
        <v>52430</v>
      </c>
      <c r="N9359" s="8" t="s">
        <v>37</v>
      </c>
      <c r="O9359" s="8" t="s">
        <v>83</v>
      </c>
      <c r="P9359" s="6" t="s">
        <v>306</v>
      </c>
      <c r="Q9359" s="8" t="s">
        <v>52</v>
      </c>
      <c r="R9359" s="10" t="s">
        <v>35075</v>
      </c>
      <c r="S9359" s="11" t="s">
        <v>52431</v>
      </c>
      <c r="T9359" s="6"/>
      <c r="U9359" s="15" t="str">
        <f>HYPERLINK("https://media.infra-m.ru/2152/2152111/cover/2152111.jpg", "Обложка")</f>
        <v>Обложка</v>
      </c>
      <c r="V9359" s="8" t="s">
        <v>12917</v>
      </c>
      <c r="W9359" s="6"/>
      <c r="X9359" s="6"/>
      <c r="Y9359" s="6"/>
      <c r="Z9359" s="6"/>
      <c r="AA9359" s="6" t="s">
        <v>55</v>
      </c>
      <c r="AB9359" s="8"/>
      <c r="AC9359" s="27">
        <v>9785160064352</v>
      </c>
    </row>
    <row r="9360" spans="1:29" s="4" customFormat="1" ht="51.9" customHeight="1" x14ac:dyDescent="0.2">
      <c r="A9360" s="5">
        <v>0</v>
      </c>
      <c r="B9360" s="6" t="s">
        <v>52432</v>
      </c>
      <c r="C9360" s="7">
        <v>1392</v>
      </c>
      <c r="D9360" s="8" t="s">
        <v>52433</v>
      </c>
      <c r="E9360" s="8" t="s">
        <v>52434</v>
      </c>
      <c r="F9360" s="8" t="s">
        <v>51638</v>
      </c>
      <c r="G9360" s="6" t="s">
        <v>60</v>
      </c>
      <c r="H9360" s="6" t="s">
        <v>34</v>
      </c>
      <c r="I9360" s="8" t="s">
        <v>271</v>
      </c>
      <c r="J9360" s="9">
        <v>1</v>
      </c>
      <c r="K9360" s="9">
        <v>319</v>
      </c>
      <c r="L9360" s="9">
        <v>2021</v>
      </c>
      <c r="M9360" s="8" t="s">
        <v>52435</v>
      </c>
      <c r="N9360" s="8" t="s">
        <v>37</v>
      </c>
      <c r="O9360" s="8" t="s">
        <v>233</v>
      </c>
      <c r="P9360" s="6" t="s">
        <v>306</v>
      </c>
      <c r="Q9360" s="8" t="s">
        <v>52</v>
      </c>
      <c r="R9360" s="10" t="s">
        <v>52436</v>
      </c>
      <c r="S9360" s="11" t="s">
        <v>52437</v>
      </c>
      <c r="T9360" s="6"/>
      <c r="U9360" s="15" t="str">
        <f>HYPERLINK("https://media.infra-m.ru/1014/1014619/cover/1014619.jpg", "Обложка")</f>
        <v>Обложка</v>
      </c>
      <c r="V9360" s="8" t="s">
        <v>10238</v>
      </c>
      <c r="W9360" s="6"/>
      <c r="X9360" s="6"/>
      <c r="Y9360" s="6"/>
      <c r="Z9360" s="6"/>
      <c r="AA9360" s="6" t="s">
        <v>430</v>
      </c>
      <c r="AB9360" s="8"/>
      <c r="AC9360" s="27">
        <v>9785160150017</v>
      </c>
    </row>
    <row r="9361" spans="1:29" s="4" customFormat="1" ht="42" customHeight="1" x14ac:dyDescent="0.2">
      <c r="A9361" s="5">
        <v>0</v>
      </c>
      <c r="B9361" s="6" t="s">
        <v>52438</v>
      </c>
      <c r="C9361" s="7">
        <v>2484</v>
      </c>
      <c r="D9361" s="8" t="s">
        <v>52439</v>
      </c>
      <c r="E9361" s="8" t="s">
        <v>52440</v>
      </c>
      <c r="F9361" s="8" t="s">
        <v>52441</v>
      </c>
      <c r="G9361" s="6" t="s">
        <v>118</v>
      </c>
      <c r="H9361" s="6" t="s">
        <v>34</v>
      </c>
      <c r="I9361" s="8" t="s">
        <v>35</v>
      </c>
      <c r="J9361" s="9">
        <v>1</v>
      </c>
      <c r="K9361" s="9">
        <v>356</v>
      </c>
      <c r="L9361" s="9">
        <v>2026</v>
      </c>
      <c r="M9361" s="8" t="s">
        <v>52442</v>
      </c>
      <c r="N9361" s="8" t="s">
        <v>37</v>
      </c>
      <c r="O9361" s="8" t="s">
        <v>233</v>
      </c>
      <c r="P9361" s="6" t="s">
        <v>39</v>
      </c>
      <c r="Q9361" s="8" t="s">
        <v>40</v>
      </c>
      <c r="R9361" s="10" t="s">
        <v>3832</v>
      </c>
      <c r="S9361" s="11"/>
      <c r="T9361" s="6"/>
      <c r="U9361" s="15" t="str">
        <f>HYPERLINK("https://media.infra-m.ru/2262/2262014/cover/2262014.jpg", "Обложка")</f>
        <v>Обложка</v>
      </c>
      <c r="V9361" s="8" t="s">
        <v>12210</v>
      </c>
      <c r="W9361" s="6"/>
      <c r="X9361" s="6"/>
      <c r="Y9361" s="6"/>
      <c r="Z9361" s="6"/>
      <c r="AA9361" s="6" t="s">
        <v>76</v>
      </c>
      <c r="AB9361" s="8" t="s">
        <v>7677</v>
      </c>
      <c r="AC9361" s="27">
        <v>9785160201832</v>
      </c>
    </row>
    <row r="9362" spans="1:29" s="4" customFormat="1" ht="51.9" customHeight="1" x14ac:dyDescent="0.2">
      <c r="A9362" s="5">
        <v>0</v>
      </c>
      <c r="B9362" s="6" t="s">
        <v>52443</v>
      </c>
      <c r="C9362" s="7">
        <v>2380.8000000000002</v>
      </c>
      <c r="D9362" s="8" t="s">
        <v>52444</v>
      </c>
      <c r="E9362" s="8" t="s">
        <v>52445</v>
      </c>
      <c r="F9362" s="8" t="s">
        <v>36532</v>
      </c>
      <c r="G9362" s="6" t="s">
        <v>60</v>
      </c>
      <c r="H9362" s="6" t="s">
        <v>1644</v>
      </c>
      <c r="I9362" s="8" t="s">
        <v>1904</v>
      </c>
      <c r="J9362" s="9">
        <v>1</v>
      </c>
      <c r="K9362" s="9">
        <v>432</v>
      </c>
      <c r="L9362" s="9">
        <v>2024</v>
      </c>
      <c r="M9362" s="8" t="s">
        <v>52446</v>
      </c>
      <c r="N9362" s="8" t="s">
        <v>37</v>
      </c>
      <c r="O9362" s="8" t="s">
        <v>233</v>
      </c>
      <c r="P9362" s="6" t="s">
        <v>51</v>
      </c>
      <c r="Q9362" s="8" t="s">
        <v>52</v>
      </c>
      <c r="R9362" s="10" t="s">
        <v>2033</v>
      </c>
      <c r="S9362" s="11" t="s">
        <v>52447</v>
      </c>
      <c r="T9362" s="6"/>
      <c r="U9362" s="15" t="str">
        <f>HYPERLINK("https://media.infra-m.ru/2056/2056629/cover/2056629.jpg", "Обложка")</f>
        <v>Обложка</v>
      </c>
      <c r="V9362" s="8" t="s">
        <v>3787</v>
      </c>
      <c r="W9362" s="6"/>
      <c r="X9362" s="6"/>
      <c r="Y9362" s="6"/>
      <c r="Z9362" s="6"/>
      <c r="AA9362" s="6" t="s">
        <v>859</v>
      </c>
      <c r="AB9362" s="8"/>
      <c r="AC9362" s="27">
        <v>9785977603010</v>
      </c>
    </row>
    <row r="9363" spans="1:29" s="4" customFormat="1" ht="51.9" customHeight="1" x14ac:dyDescent="0.2">
      <c r="A9363" s="5">
        <v>0</v>
      </c>
      <c r="B9363" s="6" t="s">
        <v>52448</v>
      </c>
      <c r="C9363" s="7">
        <v>1924.8</v>
      </c>
      <c r="D9363" s="8" t="s">
        <v>52449</v>
      </c>
      <c r="E9363" s="8" t="s">
        <v>52450</v>
      </c>
      <c r="F9363" s="8" t="s">
        <v>52451</v>
      </c>
      <c r="G9363" s="6" t="s">
        <v>60</v>
      </c>
      <c r="H9363" s="6" t="s">
        <v>34</v>
      </c>
      <c r="I9363" s="8" t="s">
        <v>271</v>
      </c>
      <c r="J9363" s="9">
        <v>1</v>
      </c>
      <c r="K9363" s="9">
        <v>348</v>
      </c>
      <c r="L9363" s="9">
        <v>2024</v>
      </c>
      <c r="M9363" s="8" t="s">
        <v>52452</v>
      </c>
      <c r="N9363" s="8" t="s">
        <v>37</v>
      </c>
      <c r="O9363" s="8" t="s">
        <v>233</v>
      </c>
      <c r="P9363" s="6" t="s">
        <v>306</v>
      </c>
      <c r="Q9363" s="8" t="s">
        <v>52</v>
      </c>
      <c r="R9363" s="10" t="s">
        <v>3679</v>
      </c>
      <c r="S9363" s="11" t="s">
        <v>52453</v>
      </c>
      <c r="T9363" s="6"/>
      <c r="U9363" s="15" t="str">
        <f>HYPERLINK("https://media.infra-m.ru/2094/2094502/cover/2094502.jpg", "Обложка")</f>
        <v>Обложка</v>
      </c>
      <c r="V9363" s="8" t="s">
        <v>1505</v>
      </c>
      <c r="W9363" s="6"/>
      <c r="X9363" s="6"/>
      <c r="Y9363" s="6"/>
      <c r="Z9363" s="6"/>
      <c r="AA9363" s="6" t="s">
        <v>55</v>
      </c>
      <c r="AB9363" s="8"/>
      <c r="AC9363" s="27">
        <v>9785160056081</v>
      </c>
    </row>
    <row r="9364" spans="1:29" s="4" customFormat="1" ht="42" customHeight="1" x14ac:dyDescent="0.2">
      <c r="A9364" s="5">
        <v>0</v>
      </c>
      <c r="B9364" s="6" t="s">
        <v>52454</v>
      </c>
      <c r="C9364" s="7">
        <v>1428</v>
      </c>
      <c r="D9364" s="8" t="s">
        <v>52455</v>
      </c>
      <c r="E9364" s="8" t="s">
        <v>52456</v>
      </c>
      <c r="F9364" s="8" t="s">
        <v>2226</v>
      </c>
      <c r="G9364" s="6" t="s">
        <v>60</v>
      </c>
      <c r="H9364" s="6" t="s">
        <v>34</v>
      </c>
      <c r="I9364" s="8" t="s">
        <v>504</v>
      </c>
      <c r="J9364" s="9">
        <v>1</v>
      </c>
      <c r="K9364" s="9">
        <v>252</v>
      </c>
      <c r="L9364" s="9">
        <v>2024</v>
      </c>
      <c r="M9364" s="8" t="s">
        <v>52457</v>
      </c>
      <c r="N9364" s="8" t="s">
        <v>37</v>
      </c>
      <c r="O9364" s="8" t="s">
        <v>233</v>
      </c>
      <c r="P9364" s="6" t="s">
        <v>306</v>
      </c>
      <c r="Q9364" s="8" t="s">
        <v>500</v>
      </c>
      <c r="R9364" s="10" t="s">
        <v>14350</v>
      </c>
      <c r="S9364" s="11"/>
      <c r="T9364" s="6"/>
      <c r="U9364" s="15" t="str">
        <f>HYPERLINK("https://media.infra-m.ru/1907/1907632/cover/1907632.jpg", "Обложка")</f>
        <v>Обложка</v>
      </c>
      <c r="V9364" s="8" t="s">
        <v>396</v>
      </c>
      <c r="W9364" s="6"/>
      <c r="X9364" s="6"/>
      <c r="Y9364" s="6"/>
      <c r="Z9364" s="6"/>
      <c r="AA9364" s="6" t="s">
        <v>76</v>
      </c>
      <c r="AB9364" s="8"/>
      <c r="AC9364" s="27">
        <v>9785160180533</v>
      </c>
    </row>
    <row r="9365" spans="1:29" s="4" customFormat="1" ht="44.1" customHeight="1" x14ac:dyDescent="0.2">
      <c r="A9365" s="5">
        <v>0</v>
      </c>
      <c r="B9365" s="6" t="s">
        <v>52458</v>
      </c>
      <c r="C9365" s="7">
        <v>2280</v>
      </c>
      <c r="D9365" s="8" t="s">
        <v>52459</v>
      </c>
      <c r="E9365" s="8" t="s">
        <v>52460</v>
      </c>
      <c r="F9365" s="8" t="s">
        <v>41108</v>
      </c>
      <c r="G9365" s="6" t="s">
        <v>118</v>
      </c>
      <c r="H9365" s="6" t="s">
        <v>34</v>
      </c>
      <c r="I9365" s="8"/>
      <c r="J9365" s="9">
        <v>1</v>
      </c>
      <c r="K9365" s="9">
        <v>328</v>
      </c>
      <c r="L9365" s="9">
        <v>2026</v>
      </c>
      <c r="M9365" s="8" t="s">
        <v>52461</v>
      </c>
      <c r="N9365" s="8" t="s">
        <v>37</v>
      </c>
      <c r="O9365" s="8" t="s">
        <v>233</v>
      </c>
      <c r="P9365" s="6" t="s">
        <v>306</v>
      </c>
      <c r="Q9365" s="8" t="s">
        <v>52</v>
      </c>
      <c r="R9365" s="10" t="s">
        <v>52462</v>
      </c>
      <c r="S9365" s="11"/>
      <c r="T9365" s="6"/>
      <c r="U9365" s="15" t="str">
        <f>HYPERLINK("https://media.infra-m.ru/2256/2256408/cover/2256408.jpg", "Обложка")</f>
        <v>Обложка</v>
      </c>
      <c r="V9365" s="8" t="s">
        <v>5117</v>
      </c>
      <c r="W9365" s="6"/>
      <c r="X9365" s="6"/>
      <c r="Y9365" s="6"/>
      <c r="Z9365" s="6"/>
      <c r="AA9365" s="6" t="s">
        <v>157</v>
      </c>
      <c r="AB9365" s="8"/>
      <c r="AC9365" s="27">
        <v>9785160179254</v>
      </c>
    </row>
    <row r="9366" spans="1:29" s="4" customFormat="1" ht="51.9" customHeight="1" x14ac:dyDescent="0.2">
      <c r="A9366" s="5">
        <v>0</v>
      </c>
      <c r="B9366" s="6" t="s">
        <v>52463</v>
      </c>
      <c r="C9366" s="13">
        <v>952.8</v>
      </c>
      <c r="D9366" s="8" t="s">
        <v>52464</v>
      </c>
      <c r="E9366" s="8" t="s">
        <v>52465</v>
      </c>
      <c r="F9366" s="8" t="s">
        <v>52466</v>
      </c>
      <c r="G9366" s="6" t="s">
        <v>118</v>
      </c>
      <c r="H9366" s="6" t="s">
        <v>34</v>
      </c>
      <c r="I9366" s="8" t="s">
        <v>2025</v>
      </c>
      <c r="J9366" s="9">
        <v>1</v>
      </c>
      <c r="K9366" s="9">
        <v>172</v>
      </c>
      <c r="L9366" s="9">
        <v>2023</v>
      </c>
      <c r="M9366" s="8" t="s">
        <v>52467</v>
      </c>
      <c r="N9366" s="8" t="s">
        <v>37</v>
      </c>
      <c r="O9366" s="8" t="s">
        <v>233</v>
      </c>
      <c r="P9366" s="6" t="s">
        <v>51</v>
      </c>
      <c r="Q9366" s="8" t="s">
        <v>52</v>
      </c>
      <c r="R9366" s="10" t="s">
        <v>52468</v>
      </c>
      <c r="S9366" s="11" t="s">
        <v>52469</v>
      </c>
      <c r="T9366" s="6"/>
      <c r="U9366" s="15" t="str">
        <f>HYPERLINK("https://media.infra-m.ru/2126/2126391/cover/2126391.jpg", "Обложка")</f>
        <v>Обложка</v>
      </c>
      <c r="V9366" s="8" t="s">
        <v>247</v>
      </c>
      <c r="W9366" s="6"/>
      <c r="X9366" s="6"/>
      <c r="Y9366" s="6"/>
      <c r="Z9366" s="6"/>
      <c r="AA9366" s="6" t="s">
        <v>115</v>
      </c>
      <c r="AB9366" s="8"/>
      <c r="AC9366" s="27">
        <v>9785160164977</v>
      </c>
    </row>
    <row r="9367" spans="1:29" s="4" customFormat="1" ht="42" customHeight="1" x14ac:dyDescent="0.2">
      <c r="A9367" s="5">
        <v>0</v>
      </c>
      <c r="B9367" s="6" t="s">
        <v>52470</v>
      </c>
      <c r="C9367" s="7">
        <v>2128.8000000000002</v>
      </c>
      <c r="D9367" s="8" t="s">
        <v>52471</v>
      </c>
      <c r="E9367" s="8" t="s">
        <v>52472</v>
      </c>
      <c r="F9367" s="8" t="s">
        <v>52473</v>
      </c>
      <c r="G9367" s="6" t="s">
        <v>60</v>
      </c>
      <c r="H9367" s="6" t="s">
        <v>34</v>
      </c>
      <c r="I9367" s="8" t="s">
        <v>253</v>
      </c>
      <c r="J9367" s="9">
        <v>1</v>
      </c>
      <c r="K9367" s="9">
        <v>306</v>
      </c>
      <c r="L9367" s="9">
        <v>2027</v>
      </c>
      <c r="M9367" s="8" t="s">
        <v>52474</v>
      </c>
      <c r="N9367" s="8" t="s">
        <v>37</v>
      </c>
      <c r="O9367" s="8" t="s">
        <v>233</v>
      </c>
      <c r="P9367" s="6" t="s">
        <v>51</v>
      </c>
      <c r="Q9367" s="8" t="s">
        <v>52</v>
      </c>
      <c r="R9367" s="10" t="s">
        <v>52475</v>
      </c>
      <c r="S9367" s="11"/>
      <c r="T9367" s="6"/>
      <c r="U9367" s="15" t="str">
        <f>HYPERLINK("https://media.infra-m.ru/2265/2265987/cover/2265987.jpg", "Обложка")</f>
        <v>Обложка</v>
      </c>
      <c r="V9367" s="8" t="s">
        <v>1994</v>
      </c>
      <c r="W9367" s="6"/>
      <c r="X9367" s="6"/>
      <c r="Y9367" s="6"/>
      <c r="Z9367" s="6"/>
      <c r="AA9367" s="6" t="s">
        <v>1295</v>
      </c>
      <c r="AB9367" s="8"/>
      <c r="AC9367" s="27">
        <v>9785160191225</v>
      </c>
    </row>
    <row r="9368" spans="1:29" s="4" customFormat="1" ht="51.9" customHeight="1" x14ac:dyDescent="0.2">
      <c r="A9368" s="5">
        <v>0</v>
      </c>
      <c r="B9368" s="6" t="s">
        <v>52476</v>
      </c>
      <c r="C9368" s="7">
        <v>1205.9000000000001</v>
      </c>
      <c r="D9368" s="8" t="s">
        <v>52477</v>
      </c>
      <c r="E9368" s="8" t="s">
        <v>52478</v>
      </c>
      <c r="F9368" s="8" t="s">
        <v>52473</v>
      </c>
      <c r="G9368" s="6" t="s">
        <v>60</v>
      </c>
      <c r="H9368" s="6" t="s">
        <v>241</v>
      </c>
      <c r="I9368" s="8"/>
      <c r="J9368" s="9">
        <v>1</v>
      </c>
      <c r="K9368" s="9">
        <v>296</v>
      </c>
      <c r="L9368" s="9">
        <v>2020</v>
      </c>
      <c r="M9368" s="8" t="s">
        <v>52479</v>
      </c>
      <c r="N9368" s="8" t="s">
        <v>37</v>
      </c>
      <c r="O9368" s="8" t="s">
        <v>233</v>
      </c>
      <c r="P9368" s="6" t="s">
        <v>51</v>
      </c>
      <c r="Q9368" s="8" t="s">
        <v>52</v>
      </c>
      <c r="R9368" s="10" t="s">
        <v>52475</v>
      </c>
      <c r="S9368" s="11" t="s">
        <v>52480</v>
      </c>
      <c r="T9368" s="6"/>
      <c r="U9368" s="15" t="str">
        <f>HYPERLINK("https://media.infra-m.ru/1068/1068837/cover/1068837.jpg", "Обложка")</f>
        <v>Обложка</v>
      </c>
      <c r="V9368" s="8" t="s">
        <v>1994</v>
      </c>
      <c r="W9368" s="6"/>
      <c r="X9368" s="6"/>
      <c r="Y9368" s="6"/>
      <c r="Z9368" s="6"/>
      <c r="AA9368" s="6" t="s">
        <v>360</v>
      </c>
      <c r="AB9368" s="8"/>
      <c r="AC9368" s="27">
        <v>9785955804798</v>
      </c>
    </row>
    <row r="9369" spans="1:29" s="4" customFormat="1" ht="51.9" customHeight="1" x14ac:dyDescent="0.2">
      <c r="A9369" s="5">
        <v>0</v>
      </c>
      <c r="B9369" s="6" t="s">
        <v>52481</v>
      </c>
      <c r="C9369" s="13">
        <v>952.8</v>
      </c>
      <c r="D9369" s="8" t="s">
        <v>52482</v>
      </c>
      <c r="E9369" s="8" t="s">
        <v>52465</v>
      </c>
      <c r="F9369" s="8" t="s">
        <v>52466</v>
      </c>
      <c r="G9369" s="6" t="s">
        <v>118</v>
      </c>
      <c r="H9369" s="6" t="s">
        <v>34</v>
      </c>
      <c r="I9369" s="8" t="s">
        <v>263</v>
      </c>
      <c r="J9369" s="9">
        <v>1</v>
      </c>
      <c r="K9369" s="9">
        <v>172</v>
      </c>
      <c r="L9369" s="9">
        <v>2024</v>
      </c>
      <c r="M9369" s="8" t="s">
        <v>52483</v>
      </c>
      <c r="N9369" s="8" t="s">
        <v>37</v>
      </c>
      <c r="O9369" s="8" t="s">
        <v>233</v>
      </c>
      <c r="P9369" s="6" t="s">
        <v>51</v>
      </c>
      <c r="Q9369" s="8" t="s">
        <v>265</v>
      </c>
      <c r="R9369" s="10" t="s">
        <v>52484</v>
      </c>
      <c r="S9369" s="11" t="s">
        <v>23411</v>
      </c>
      <c r="T9369" s="6"/>
      <c r="U9369" s="15" t="str">
        <f>HYPERLINK("https://media.infra-m.ru/2100/2100959/cover/2100959.jpg", "Обложка")</f>
        <v>Обложка</v>
      </c>
      <c r="V9369" s="8" t="s">
        <v>247</v>
      </c>
      <c r="W9369" s="6"/>
      <c r="X9369" s="6"/>
      <c r="Y9369" s="6"/>
      <c r="Z9369" s="6" t="s">
        <v>267</v>
      </c>
      <c r="AA9369" s="6" t="s">
        <v>1256</v>
      </c>
      <c r="AB9369" s="8"/>
      <c r="AC9369" s="27">
        <v>9785160158020</v>
      </c>
    </row>
    <row r="9370" spans="1:29" s="4" customFormat="1" ht="42" customHeight="1" x14ac:dyDescent="0.2">
      <c r="A9370" s="5">
        <v>0</v>
      </c>
      <c r="B9370" s="6" t="s">
        <v>52485</v>
      </c>
      <c r="C9370" s="7">
        <v>1788</v>
      </c>
      <c r="D9370" s="8" t="s">
        <v>52486</v>
      </c>
      <c r="E9370" s="8" t="s">
        <v>52487</v>
      </c>
      <c r="F9370" s="8" t="s">
        <v>5040</v>
      </c>
      <c r="G9370" s="6" t="s">
        <v>33</v>
      </c>
      <c r="H9370" s="6" t="s">
        <v>313</v>
      </c>
      <c r="I9370" s="8" t="s">
        <v>253</v>
      </c>
      <c r="J9370" s="9">
        <v>1</v>
      </c>
      <c r="K9370" s="9">
        <v>286</v>
      </c>
      <c r="L9370" s="9">
        <v>2025</v>
      </c>
      <c r="M9370" s="8" t="s">
        <v>52488</v>
      </c>
      <c r="N9370" s="8" t="s">
        <v>37</v>
      </c>
      <c r="O9370" s="8" t="s">
        <v>233</v>
      </c>
      <c r="P9370" s="6" t="s">
        <v>51</v>
      </c>
      <c r="Q9370" s="8" t="s">
        <v>52</v>
      </c>
      <c r="R9370" s="10" t="s">
        <v>52489</v>
      </c>
      <c r="S9370" s="11"/>
      <c r="T9370" s="6"/>
      <c r="U9370" s="15" t="str">
        <f>HYPERLINK("https://media.infra-m.ru/2194/2194989/cover/2194989.jpg", "Обложка")</f>
        <v>Обложка</v>
      </c>
      <c r="V9370" s="8" t="s">
        <v>227</v>
      </c>
      <c r="W9370" s="6"/>
      <c r="X9370" s="6"/>
      <c r="Y9370" s="6"/>
      <c r="Z9370" s="6"/>
      <c r="AA9370" s="6" t="s">
        <v>248</v>
      </c>
      <c r="AB9370" s="8"/>
      <c r="AC9370" s="27">
        <v>9785369012956</v>
      </c>
    </row>
    <row r="9371" spans="1:29" s="4" customFormat="1" ht="42" customHeight="1" x14ac:dyDescent="0.2">
      <c r="A9371" s="5">
        <v>0</v>
      </c>
      <c r="B9371" s="6" t="s">
        <v>52490</v>
      </c>
      <c r="C9371" s="7">
        <v>1692</v>
      </c>
      <c r="D9371" s="8" t="s">
        <v>52491</v>
      </c>
      <c r="E9371" s="8" t="s">
        <v>52492</v>
      </c>
      <c r="F9371" s="8" t="s">
        <v>52493</v>
      </c>
      <c r="G9371" s="6" t="s">
        <v>60</v>
      </c>
      <c r="H9371" s="6" t="s">
        <v>313</v>
      </c>
      <c r="I9371" s="8" t="s">
        <v>392</v>
      </c>
      <c r="J9371" s="9">
        <v>1</v>
      </c>
      <c r="K9371" s="9">
        <v>439</v>
      </c>
      <c r="L9371" s="9">
        <v>2019</v>
      </c>
      <c r="M9371" s="8" t="s">
        <v>52494</v>
      </c>
      <c r="N9371" s="8" t="s">
        <v>37</v>
      </c>
      <c r="O9371" s="8" t="s">
        <v>233</v>
      </c>
      <c r="P9371" s="6" t="s">
        <v>306</v>
      </c>
      <c r="Q9371" s="8" t="s">
        <v>52</v>
      </c>
      <c r="R9371" s="10" t="s">
        <v>6039</v>
      </c>
      <c r="S9371" s="11"/>
      <c r="T9371" s="6"/>
      <c r="U9371" s="15" t="str">
        <f>HYPERLINK("https://media.infra-m.ru/0990/0990330/cover/990330.jpg", "Обложка")</f>
        <v>Обложка</v>
      </c>
      <c r="V9371" s="8" t="s">
        <v>5244</v>
      </c>
      <c r="W9371" s="6"/>
      <c r="X9371" s="6"/>
      <c r="Y9371" s="6"/>
      <c r="Z9371" s="6"/>
      <c r="AA9371" s="6" t="s">
        <v>86</v>
      </c>
      <c r="AB9371" s="8" t="s">
        <v>1317</v>
      </c>
      <c r="AC9371" s="27">
        <v>9785369017005</v>
      </c>
    </row>
    <row r="9372" spans="1:29" s="4" customFormat="1" ht="51.9" customHeight="1" x14ac:dyDescent="0.2">
      <c r="A9372" s="5">
        <v>0</v>
      </c>
      <c r="B9372" s="6" t="s">
        <v>52495</v>
      </c>
      <c r="C9372" s="7">
        <v>1559.9</v>
      </c>
      <c r="D9372" s="8" t="s">
        <v>52496</v>
      </c>
      <c r="E9372" s="8" t="s">
        <v>52497</v>
      </c>
      <c r="F9372" s="8" t="s">
        <v>2186</v>
      </c>
      <c r="G9372" s="6" t="s">
        <v>60</v>
      </c>
      <c r="H9372" s="6" t="s">
        <v>34</v>
      </c>
      <c r="I9372" s="8" t="s">
        <v>271</v>
      </c>
      <c r="J9372" s="9">
        <v>1</v>
      </c>
      <c r="K9372" s="9">
        <v>649</v>
      </c>
      <c r="L9372" s="9">
        <v>2018</v>
      </c>
      <c r="M9372" s="8" t="s">
        <v>52498</v>
      </c>
      <c r="N9372" s="8" t="s">
        <v>37</v>
      </c>
      <c r="O9372" s="8" t="s">
        <v>233</v>
      </c>
      <c r="P9372" s="6" t="s">
        <v>306</v>
      </c>
      <c r="Q9372" s="8" t="s">
        <v>52</v>
      </c>
      <c r="R9372" s="10" t="s">
        <v>2018</v>
      </c>
      <c r="S9372" s="11" t="s">
        <v>52499</v>
      </c>
      <c r="T9372" s="6"/>
      <c r="U9372" s="15" t="str">
        <f>HYPERLINK("https://media.infra-m.ru/0939/0939010/cover/939010.jpg", "Обложка")</f>
        <v>Обложка</v>
      </c>
      <c r="V9372" s="8" t="s">
        <v>227</v>
      </c>
      <c r="W9372" s="6"/>
      <c r="X9372" s="6"/>
      <c r="Y9372" s="6"/>
      <c r="Z9372" s="6"/>
      <c r="AA9372" s="6" t="s">
        <v>52500</v>
      </c>
      <c r="AB9372" s="8"/>
      <c r="AC9372" s="27">
        <v>9785160065021</v>
      </c>
    </row>
    <row r="9373" spans="1:29" s="4" customFormat="1" ht="51.9" customHeight="1" x14ac:dyDescent="0.2">
      <c r="A9373" s="5">
        <v>0</v>
      </c>
      <c r="B9373" s="6" t="s">
        <v>52501</v>
      </c>
      <c r="C9373" s="7">
        <v>4060.8</v>
      </c>
      <c r="D9373" s="8" t="s">
        <v>52502</v>
      </c>
      <c r="E9373" s="8" t="s">
        <v>52503</v>
      </c>
      <c r="F9373" s="8" t="s">
        <v>2186</v>
      </c>
      <c r="G9373" s="6" t="s">
        <v>60</v>
      </c>
      <c r="H9373" s="6" t="s">
        <v>34</v>
      </c>
      <c r="I9373" s="8" t="s">
        <v>253</v>
      </c>
      <c r="J9373" s="9">
        <v>1</v>
      </c>
      <c r="K9373" s="9">
        <v>587</v>
      </c>
      <c r="L9373" s="9">
        <v>2027</v>
      </c>
      <c r="M9373" s="8" t="s">
        <v>52504</v>
      </c>
      <c r="N9373" s="8" t="s">
        <v>37</v>
      </c>
      <c r="O9373" s="8" t="s">
        <v>233</v>
      </c>
      <c r="P9373" s="6" t="s">
        <v>306</v>
      </c>
      <c r="Q9373" s="8" t="s">
        <v>52</v>
      </c>
      <c r="R9373" s="10" t="s">
        <v>2018</v>
      </c>
      <c r="S9373" s="11" t="s">
        <v>52499</v>
      </c>
      <c r="T9373" s="6"/>
      <c r="U9373" s="15" t="str">
        <f>HYPERLINK("https://media.infra-m.ru/2261/2261471/cover/2261471.jpg", "Обложка")</f>
        <v>Обложка</v>
      </c>
      <c r="V9373" s="8" t="s">
        <v>227</v>
      </c>
      <c r="W9373" s="6"/>
      <c r="X9373" s="6"/>
      <c r="Y9373" s="6"/>
      <c r="Z9373" s="6"/>
      <c r="AA9373" s="6" t="s">
        <v>52505</v>
      </c>
      <c r="AB9373" s="8"/>
      <c r="AC9373" s="27">
        <v>9785160200835</v>
      </c>
    </row>
    <row r="9374" spans="1:29" s="4" customFormat="1" ht="51.9" customHeight="1" x14ac:dyDescent="0.2">
      <c r="A9374" s="5">
        <v>0</v>
      </c>
      <c r="B9374" s="6" t="s">
        <v>52506</v>
      </c>
      <c r="C9374" s="7">
        <v>1708.8</v>
      </c>
      <c r="D9374" s="8" t="s">
        <v>52507</v>
      </c>
      <c r="E9374" s="8" t="s">
        <v>52492</v>
      </c>
      <c r="F9374" s="8" t="s">
        <v>2024</v>
      </c>
      <c r="G9374" s="6" t="s">
        <v>60</v>
      </c>
      <c r="H9374" s="6" t="s">
        <v>34</v>
      </c>
      <c r="I9374" s="8" t="s">
        <v>434</v>
      </c>
      <c r="J9374" s="9">
        <v>1</v>
      </c>
      <c r="K9374" s="9">
        <v>245</v>
      </c>
      <c r="L9374" s="9">
        <v>2027</v>
      </c>
      <c r="M9374" s="8" t="s">
        <v>52508</v>
      </c>
      <c r="N9374" s="8" t="s">
        <v>37</v>
      </c>
      <c r="O9374" s="8" t="s">
        <v>233</v>
      </c>
      <c r="P9374" s="6" t="s">
        <v>306</v>
      </c>
      <c r="Q9374" s="8" t="s">
        <v>265</v>
      </c>
      <c r="R9374" s="10" t="s">
        <v>52509</v>
      </c>
      <c r="S9374" s="11" t="s">
        <v>52510</v>
      </c>
      <c r="T9374" s="6"/>
      <c r="U9374" s="15" t="str">
        <f>HYPERLINK("https://media.infra-m.ru/2257/2257152/cover/2257152.jpg", "Обложка")</f>
        <v>Обложка</v>
      </c>
      <c r="V9374" s="8" t="s">
        <v>247</v>
      </c>
      <c r="W9374" s="6"/>
      <c r="X9374" s="6"/>
      <c r="Y9374" s="6"/>
      <c r="Z9374" s="6"/>
      <c r="AA9374" s="6" t="s">
        <v>148</v>
      </c>
      <c r="AB9374" s="8"/>
      <c r="AC9374" s="27">
        <v>9785160169644</v>
      </c>
    </row>
    <row r="9375" spans="1:29" s="4" customFormat="1" ht="51.9" customHeight="1" x14ac:dyDescent="0.2">
      <c r="A9375" s="5">
        <v>0</v>
      </c>
      <c r="B9375" s="6" t="s">
        <v>52511</v>
      </c>
      <c r="C9375" s="7">
        <v>2380.8000000000002</v>
      </c>
      <c r="D9375" s="8" t="s">
        <v>52512</v>
      </c>
      <c r="E9375" s="8" t="s">
        <v>52492</v>
      </c>
      <c r="F9375" s="8" t="s">
        <v>18939</v>
      </c>
      <c r="G9375" s="6" t="s">
        <v>60</v>
      </c>
      <c r="H9375" s="6" t="s">
        <v>5605</v>
      </c>
      <c r="I9375" s="8" t="s">
        <v>253</v>
      </c>
      <c r="J9375" s="9">
        <v>1</v>
      </c>
      <c r="K9375" s="9">
        <v>343</v>
      </c>
      <c r="L9375" s="9">
        <v>2027</v>
      </c>
      <c r="M9375" s="8" t="s">
        <v>52513</v>
      </c>
      <c r="N9375" s="8" t="s">
        <v>37</v>
      </c>
      <c r="O9375" s="8" t="s">
        <v>233</v>
      </c>
      <c r="P9375" s="6" t="s">
        <v>306</v>
      </c>
      <c r="Q9375" s="8" t="s">
        <v>52</v>
      </c>
      <c r="R9375" s="10" t="s">
        <v>2061</v>
      </c>
      <c r="S9375" s="11" t="s">
        <v>52514</v>
      </c>
      <c r="T9375" s="6"/>
      <c r="U9375" s="15" t="str">
        <f>HYPERLINK("https://media.infra-m.ru/2271/2271387/cover/2271387.jpg", "Обложка")</f>
        <v>Обложка</v>
      </c>
      <c r="V9375" s="8" t="s">
        <v>396</v>
      </c>
      <c r="W9375" s="6"/>
      <c r="X9375" s="6"/>
      <c r="Y9375" s="6"/>
      <c r="Z9375" s="6"/>
      <c r="AA9375" s="6" t="s">
        <v>129</v>
      </c>
      <c r="AB9375" s="8"/>
      <c r="AC9375" s="27">
        <v>9785160045580</v>
      </c>
    </row>
    <row r="9376" spans="1:29" s="4" customFormat="1" ht="51.9" customHeight="1" x14ac:dyDescent="0.2">
      <c r="A9376" s="5">
        <v>0</v>
      </c>
      <c r="B9376" s="6" t="s">
        <v>52515</v>
      </c>
      <c r="C9376" s="7">
        <v>2248.8000000000002</v>
      </c>
      <c r="D9376" s="8" t="s">
        <v>52516</v>
      </c>
      <c r="E9376" s="8" t="s">
        <v>52492</v>
      </c>
      <c r="F9376" s="8" t="s">
        <v>52517</v>
      </c>
      <c r="G9376" s="6" t="s">
        <v>118</v>
      </c>
      <c r="H9376" s="6" t="s">
        <v>34</v>
      </c>
      <c r="I9376" s="8" t="s">
        <v>271</v>
      </c>
      <c r="J9376" s="9">
        <v>1</v>
      </c>
      <c r="K9376" s="9">
        <v>324</v>
      </c>
      <c r="L9376" s="9">
        <v>2026</v>
      </c>
      <c r="M9376" s="8" t="s">
        <v>52518</v>
      </c>
      <c r="N9376" s="8" t="s">
        <v>37</v>
      </c>
      <c r="O9376" s="8" t="s">
        <v>233</v>
      </c>
      <c r="P9376" s="6" t="s">
        <v>306</v>
      </c>
      <c r="Q9376" s="8" t="s">
        <v>52</v>
      </c>
      <c r="R9376" s="10" t="s">
        <v>2270</v>
      </c>
      <c r="S9376" s="11" t="s">
        <v>5585</v>
      </c>
      <c r="T9376" s="6"/>
      <c r="U9376" s="15" t="str">
        <f>HYPERLINK("https://media.infra-m.ru/2258/2258676/cover/2258676.jpg", "Обложка")</f>
        <v>Обложка</v>
      </c>
      <c r="V9376" s="8" t="s">
        <v>396</v>
      </c>
      <c r="W9376" s="6"/>
      <c r="X9376" s="6"/>
      <c r="Y9376" s="6"/>
      <c r="Z9376" s="6"/>
      <c r="AA9376" s="6" t="s">
        <v>430</v>
      </c>
      <c r="AB9376" s="8"/>
      <c r="AC9376" s="27">
        <v>9785160159157</v>
      </c>
    </row>
    <row r="9377" spans="1:29" s="4" customFormat="1" ht="51.9" customHeight="1" x14ac:dyDescent="0.2">
      <c r="A9377" s="5">
        <v>0</v>
      </c>
      <c r="B9377" s="6" t="s">
        <v>52519</v>
      </c>
      <c r="C9377" s="7">
        <v>2392.8000000000002</v>
      </c>
      <c r="D9377" s="8" t="s">
        <v>52520</v>
      </c>
      <c r="E9377" s="8" t="s">
        <v>52492</v>
      </c>
      <c r="F9377" s="8" t="s">
        <v>52521</v>
      </c>
      <c r="G9377" s="6" t="s">
        <v>60</v>
      </c>
      <c r="H9377" s="6" t="s">
        <v>1644</v>
      </c>
      <c r="I9377" s="8"/>
      <c r="J9377" s="9">
        <v>1</v>
      </c>
      <c r="K9377" s="9">
        <v>624</v>
      </c>
      <c r="L9377" s="9">
        <v>2023</v>
      </c>
      <c r="M9377" s="8" t="s">
        <v>52522</v>
      </c>
      <c r="N9377" s="8" t="s">
        <v>37</v>
      </c>
      <c r="O9377" s="8" t="s">
        <v>233</v>
      </c>
      <c r="P9377" s="6" t="s">
        <v>51</v>
      </c>
      <c r="Q9377" s="8" t="s">
        <v>65</v>
      </c>
      <c r="R9377" s="10" t="s">
        <v>3008</v>
      </c>
      <c r="S9377" s="11" t="s">
        <v>2135</v>
      </c>
      <c r="T9377" s="6"/>
      <c r="U9377" s="15" t="str">
        <f>HYPERLINK("https://media.infra-m.ru/2039/2039897/cover/2039897.jpg", "Обложка")</f>
        <v>Обложка</v>
      </c>
      <c r="V9377" s="8" t="s">
        <v>396</v>
      </c>
      <c r="W9377" s="6"/>
      <c r="X9377" s="6"/>
      <c r="Y9377" s="6"/>
      <c r="Z9377" s="6"/>
      <c r="AA9377" s="6" t="s">
        <v>129</v>
      </c>
      <c r="AB9377" s="8"/>
      <c r="AC9377" s="27">
        <v>9785977601894</v>
      </c>
    </row>
    <row r="9378" spans="1:29" s="4" customFormat="1" ht="51.9" customHeight="1" x14ac:dyDescent="0.2">
      <c r="A9378" s="5">
        <v>0</v>
      </c>
      <c r="B9378" s="6" t="s">
        <v>52523</v>
      </c>
      <c r="C9378" s="13">
        <v>868.8</v>
      </c>
      <c r="D9378" s="8" t="s">
        <v>52524</v>
      </c>
      <c r="E9378" s="8" t="s">
        <v>52492</v>
      </c>
      <c r="F9378" s="8" t="s">
        <v>52525</v>
      </c>
      <c r="G9378" s="6" t="s">
        <v>33</v>
      </c>
      <c r="H9378" s="6" t="s">
        <v>34</v>
      </c>
      <c r="I9378" s="8" t="s">
        <v>271</v>
      </c>
      <c r="J9378" s="9">
        <v>1</v>
      </c>
      <c r="K9378" s="9">
        <v>157</v>
      </c>
      <c r="L9378" s="9">
        <v>2023</v>
      </c>
      <c r="M9378" s="8" t="s">
        <v>52526</v>
      </c>
      <c r="N9378" s="8" t="s">
        <v>37</v>
      </c>
      <c r="O9378" s="8" t="s">
        <v>233</v>
      </c>
      <c r="P9378" s="6" t="s">
        <v>51</v>
      </c>
      <c r="Q9378" s="8"/>
      <c r="R9378" s="10" t="s">
        <v>357</v>
      </c>
      <c r="S9378" s="11" t="s">
        <v>52527</v>
      </c>
      <c r="T9378" s="6"/>
      <c r="U9378" s="15" t="str">
        <f>HYPERLINK("https://media.infra-m.ru/2045/2045825/cover/2045825.jpg", "Обложка")</f>
        <v>Обложка</v>
      </c>
      <c r="V9378" s="8" t="s">
        <v>396</v>
      </c>
      <c r="W9378" s="6"/>
      <c r="X9378" s="6"/>
      <c r="Y9378" s="6"/>
      <c r="Z9378" s="6"/>
      <c r="AA9378" s="6" t="s">
        <v>55</v>
      </c>
      <c r="AB9378" s="8"/>
      <c r="AC9378" s="27">
        <v>9785160062020</v>
      </c>
    </row>
    <row r="9379" spans="1:29" s="4" customFormat="1" ht="51.9" customHeight="1" x14ac:dyDescent="0.2">
      <c r="A9379" s="5">
        <v>0</v>
      </c>
      <c r="B9379" s="6" t="s">
        <v>52528</v>
      </c>
      <c r="C9379" s="7">
        <v>1037.9000000000001</v>
      </c>
      <c r="D9379" s="8" t="s">
        <v>52529</v>
      </c>
      <c r="E9379" s="8" t="s">
        <v>52492</v>
      </c>
      <c r="F9379" s="8" t="s">
        <v>52530</v>
      </c>
      <c r="G9379" s="6" t="s">
        <v>60</v>
      </c>
      <c r="H9379" s="6" t="s">
        <v>34</v>
      </c>
      <c r="I9379" s="8" t="s">
        <v>271</v>
      </c>
      <c r="J9379" s="9">
        <v>1</v>
      </c>
      <c r="K9379" s="9">
        <v>192</v>
      </c>
      <c r="L9379" s="9">
        <v>2023</v>
      </c>
      <c r="M9379" s="8" t="s">
        <v>52531</v>
      </c>
      <c r="N9379" s="8" t="s">
        <v>37</v>
      </c>
      <c r="O9379" s="8" t="s">
        <v>233</v>
      </c>
      <c r="P9379" s="6" t="s">
        <v>51</v>
      </c>
      <c r="Q9379" s="8" t="s">
        <v>52</v>
      </c>
      <c r="R9379" s="10" t="s">
        <v>3679</v>
      </c>
      <c r="S9379" s="11" t="s">
        <v>52532</v>
      </c>
      <c r="T9379" s="6"/>
      <c r="U9379" s="15" t="str">
        <f>HYPERLINK("https://media.infra-m.ru/1981/1981714/cover/1981714.jpg", "Обложка")</f>
        <v>Обложка</v>
      </c>
      <c r="V9379" s="8" t="s">
        <v>1083</v>
      </c>
      <c r="W9379" s="6"/>
      <c r="X9379" s="6"/>
      <c r="Y9379" s="6"/>
      <c r="Z9379" s="6"/>
      <c r="AA9379" s="6" t="s">
        <v>55</v>
      </c>
      <c r="AB9379" s="8"/>
      <c r="AC9379" s="27">
        <v>9785160063706</v>
      </c>
    </row>
    <row r="9380" spans="1:29" s="4" customFormat="1" ht="51.9" customHeight="1" x14ac:dyDescent="0.2">
      <c r="A9380" s="5">
        <v>0</v>
      </c>
      <c r="B9380" s="6" t="s">
        <v>52533</v>
      </c>
      <c r="C9380" s="13">
        <v>988.8</v>
      </c>
      <c r="D9380" s="8" t="s">
        <v>52534</v>
      </c>
      <c r="E9380" s="8" t="s">
        <v>52492</v>
      </c>
      <c r="F9380" s="8" t="s">
        <v>49498</v>
      </c>
      <c r="G9380" s="6" t="s">
        <v>60</v>
      </c>
      <c r="H9380" s="6" t="s">
        <v>34</v>
      </c>
      <c r="I9380" s="8" t="s">
        <v>271</v>
      </c>
      <c r="J9380" s="9">
        <v>1</v>
      </c>
      <c r="K9380" s="9">
        <v>158</v>
      </c>
      <c r="L9380" s="9">
        <v>2025</v>
      </c>
      <c r="M9380" s="8" t="s">
        <v>52535</v>
      </c>
      <c r="N9380" s="8" t="s">
        <v>37</v>
      </c>
      <c r="O9380" s="8" t="s">
        <v>233</v>
      </c>
      <c r="P9380" s="6" t="s">
        <v>51</v>
      </c>
      <c r="Q9380" s="8" t="s">
        <v>52</v>
      </c>
      <c r="R9380" s="10" t="s">
        <v>357</v>
      </c>
      <c r="S9380" s="11" t="s">
        <v>52536</v>
      </c>
      <c r="T9380" s="6"/>
      <c r="U9380" s="15" t="str">
        <f>HYPERLINK("https://media.infra-m.ru/2152/2152066/cover/2152066.jpg", "Обложка")</f>
        <v>Обложка</v>
      </c>
      <c r="V9380" s="8" t="s">
        <v>247</v>
      </c>
      <c r="W9380" s="6"/>
      <c r="X9380" s="6"/>
      <c r="Y9380" s="6"/>
      <c r="Z9380" s="6"/>
      <c r="AA9380" s="6" t="s">
        <v>248</v>
      </c>
      <c r="AB9380" s="8"/>
      <c r="AC9380" s="27">
        <v>9785160092461</v>
      </c>
    </row>
    <row r="9381" spans="1:29" s="4" customFormat="1" ht="51.9" customHeight="1" x14ac:dyDescent="0.2">
      <c r="A9381" s="5">
        <v>0</v>
      </c>
      <c r="B9381" s="6" t="s">
        <v>52537</v>
      </c>
      <c r="C9381" s="7">
        <v>2008.8</v>
      </c>
      <c r="D9381" s="8" t="s">
        <v>52538</v>
      </c>
      <c r="E9381" s="8" t="s">
        <v>52492</v>
      </c>
      <c r="F9381" s="8" t="s">
        <v>52539</v>
      </c>
      <c r="G9381" s="6" t="s">
        <v>60</v>
      </c>
      <c r="H9381" s="6" t="s">
        <v>5605</v>
      </c>
      <c r="I9381" s="8" t="s">
        <v>253</v>
      </c>
      <c r="J9381" s="9">
        <v>1</v>
      </c>
      <c r="K9381" s="9">
        <v>288</v>
      </c>
      <c r="L9381" s="9">
        <v>2026</v>
      </c>
      <c r="M9381" s="8" t="s">
        <v>52540</v>
      </c>
      <c r="N9381" s="8" t="s">
        <v>37</v>
      </c>
      <c r="O9381" s="8" t="s">
        <v>233</v>
      </c>
      <c r="P9381" s="6" t="s">
        <v>51</v>
      </c>
      <c r="Q9381" s="8" t="s">
        <v>52</v>
      </c>
      <c r="R9381" s="10" t="s">
        <v>4058</v>
      </c>
      <c r="S9381" s="11" t="s">
        <v>52541</v>
      </c>
      <c r="T9381" s="6"/>
      <c r="U9381" s="15" t="str">
        <f>HYPERLINK("https://media.infra-m.ru/2252/2252431/cover/2252431.jpg", "Обложка")</f>
        <v>Обложка</v>
      </c>
      <c r="V9381" s="8" t="s">
        <v>13970</v>
      </c>
      <c r="W9381" s="6"/>
      <c r="X9381" s="6"/>
      <c r="Y9381" s="6"/>
      <c r="Z9381" s="6"/>
      <c r="AA9381" s="6" t="s">
        <v>1015</v>
      </c>
      <c r="AB9381" s="8"/>
      <c r="AC9381" s="27">
        <v>9785160039367</v>
      </c>
    </row>
    <row r="9382" spans="1:29" s="4" customFormat="1" ht="51.9" customHeight="1" x14ac:dyDescent="0.2">
      <c r="A9382" s="5">
        <v>0</v>
      </c>
      <c r="B9382" s="6" t="s">
        <v>52542</v>
      </c>
      <c r="C9382" s="13">
        <v>965.9</v>
      </c>
      <c r="D9382" s="8" t="s">
        <v>52543</v>
      </c>
      <c r="E9382" s="8" t="s">
        <v>52492</v>
      </c>
      <c r="F9382" s="8" t="s">
        <v>18320</v>
      </c>
      <c r="G9382" s="6" t="s">
        <v>60</v>
      </c>
      <c r="H9382" s="6" t="s">
        <v>34</v>
      </c>
      <c r="I9382" s="8" t="s">
        <v>271</v>
      </c>
      <c r="J9382" s="9">
        <v>1</v>
      </c>
      <c r="K9382" s="9">
        <v>179</v>
      </c>
      <c r="L9382" s="9">
        <v>2023</v>
      </c>
      <c r="M9382" s="8" t="s">
        <v>52544</v>
      </c>
      <c r="N9382" s="8" t="s">
        <v>37</v>
      </c>
      <c r="O9382" s="8" t="s">
        <v>233</v>
      </c>
      <c r="P9382" s="6" t="s">
        <v>51</v>
      </c>
      <c r="Q9382" s="8" t="s">
        <v>52</v>
      </c>
      <c r="R9382" s="10" t="s">
        <v>357</v>
      </c>
      <c r="S9382" s="11" t="s">
        <v>52545</v>
      </c>
      <c r="T9382" s="6"/>
      <c r="U9382" s="15" t="str">
        <f>HYPERLINK("https://media.infra-m.ru/1900/1900854/cover/1900854.jpg", "Обложка")</f>
        <v>Обложка</v>
      </c>
      <c r="V9382" s="8" t="s">
        <v>13970</v>
      </c>
      <c r="W9382" s="6"/>
      <c r="X9382" s="6"/>
      <c r="Y9382" s="6"/>
      <c r="Z9382" s="6"/>
      <c r="AA9382" s="6" t="s">
        <v>779</v>
      </c>
      <c r="AB9382" s="8"/>
      <c r="AC9382" s="27">
        <v>9785160130279</v>
      </c>
    </row>
    <row r="9383" spans="1:29" s="4" customFormat="1" ht="42" customHeight="1" x14ac:dyDescent="0.2">
      <c r="A9383" s="5">
        <v>0</v>
      </c>
      <c r="B9383" s="6" t="s">
        <v>52546</v>
      </c>
      <c r="C9383" s="7">
        <v>1612.8</v>
      </c>
      <c r="D9383" s="8" t="s">
        <v>52547</v>
      </c>
      <c r="E9383" s="8" t="s">
        <v>52548</v>
      </c>
      <c r="F9383" s="8" t="s">
        <v>52549</v>
      </c>
      <c r="G9383" s="6" t="s">
        <v>60</v>
      </c>
      <c r="H9383" s="6" t="s">
        <v>34</v>
      </c>
      <c r="I9383" s="8" t="s">
        <v>271</v>
      </c>
      <c r="J9383" s="9">
        <v>1</v>
      </c>
      <c r="K9383" s="9">
        <v>293</v>
      </c>
      <c r="L9383" s="9">
        <v>2024</v>
      </c>
      <c r="M9383" s="8" t="s">
        <v>52550</v>
      </c>
      <c r="N9383" s="8" t="s">
        <v>37</v>
      </c>
      <c r="O9383" s="8" t="s">
        <v>233</v>
      </c>
      <c r="P9383" s="6" t="s">
        <v>51</v>
      </c>
      <c r="Q9383" s="8" t="s">
        <v>52</v>
      </c>
      <c r="R9383" s="10" t="s">
        <v>3008</v>
      </c>
      <c r="S9383" s="11"/>
      <c r="T9383" s="6"/>
      <c r="U9383" s="15" t="str">
        <f>HYPERLINK("https://media.infra-m.ru/2085/2085111/cover/2085111.jpg", "Обложка")</f>
        <v>Обложка</v>
      </c>
      <c r="V9383" s="8" t="s">
        <v>3304</v>
      </c>
      <c r="W9383" s="6"/>
      <c r="X9383" s="6"/>
      <c r="Y9383" s="6"/>
      <c r="Z9383" s="6"/>
      <c r="AA9383" s="6" t="s">
        <v>55</v>
      </c>
      <c r="AB9383" s="8"/>
      <c r="AC9383" s="27">
        <v>9785160062679</v>
      </c>
    </row>
    <row r="9384" spans="1:29" s="4" customFormat="1" ht="42" customHeight="1" x14ac:dyDescent="0.2">
      <c r="A9384" s="5">
        <v>0</v>
      </c>
      <c r="B9384" s="6" t="s">
        <v>52551</v>
      </c>
      <c r="C9384" s="7">
        <v>2116.8000000000002</v>
      </c>
      <c r="D9384" s="8" t="s">
        <v>52552</v>
      </c>
      <c r="E9384" s="8" t="s">
        <v>52553</v>
      </c>
      <c r="F9384" s="8" t="s">
        <v>52554</v>
      </c>
      <c r="G9384" s="6" t="s">
        <v>60</v>
      </c>
      <c r="H9384" s="6" t="s">
        <v>134</v>
      </c>
      <c r="I9384" s="8"/>
      <c r="J9384" s="9">
        <v>1</v>
      </c>
      <c r="K9384" s="9">
        <v>304</v>
      </c>
      <c r="L9384" s="9">
        <v>2026</v>
      </c>
      <c r="M9384" s="8" t="s">
        <v>52555</v>
      </c>
      <c r="N9384" s="8" t="s">
        <v>37</v>
      </c>
      <c r="O9384" s="8" t="s">
        <v>136</v>
      </c>
      <c r="P9384" s="6" t="s">
        <v>39</v>
      </c>
      <c r="Q9384" s="8" t="s">
        <v>40</v>
      </c>
      <c r="R9384" s="10" t="s">
        <v>8485</v>
      </c>
      <c r="S9384" s="11"/>
      <c r="T9384" s="6"/>
      <c r="U9384" s="15" t="str">
        <f>HYPERLINK("https://media.infra-m.ru/2261/2261971/cover/2261971.jpg", "Обложка")</f>
        <v>Обложка</v>
      </c>
      <c r="V9384" s="8" t="s">
        <v>138</v>
      </c>
      <c r="W9384" s="6"/>
      <c r="X9384" s="6"/>
      <c r="Y9384" s="6"/>
      <c r="Z9384" s="6"/>
      <c r="AA9384" s="6" t="s">
        <v>917</v>
      </c>
      <c r="AB9384" s="8"/>
      <c r="AC9384" s="27">
        <v>9785001564072</v>
      </c>
    </row>
    <row r="9385" spans="1:29" s="4" customFormat="1" ht="42" customHeight="1" x14ac:dyDescent="0.2">
      <c r="A9385" s="5">
        <v>0</v>
      </c>
      <c r="B9385" s="6" t="s">
        <v>52556</v>
      </c>
      <c r="C9385" s="7">
        <v>1480.8</v>
      </c>
      <c r="D9385" s="8" t="s">
        <v>52557</v>
      </c>
      <c r="E9385" s="8" t="s">
        <v>52558</v>
      </c>
      <c r="F9385" s="8" t="s">
        <v>52554</v>
      </c>
      <c r="G9385" s="6" t="s">
        <v>60</v>
      </c>
      <c r="H9385" s="6" t="s">
        <v>134</v>
      </c>
      <c r="I9385" s="8"/>
      <c r="J9385" s="9">
        <v>1</v>
      </c>
      <c r="K9385" s="9">
        <v>272</v>
      </c>
      <c r="L9385" s="9">
        <v>2023</v>
      </c>
      <c r="M9385" s="8" t="s">
        <v>52559</v>
      </c>
      <c r="N9385" s="8" t="s">
        <v>37</v>
      </c>
      <c r="O9385" s="8" t="s">
        <v>136</v>
      </c>
      <c r="P9385" s="6" t="s">
        <v>39</v>
      </c>
      <c r="Q9385" s="8" t="s">
        <v>40</v>
      </c>
      <c r="R9385" s="10" t="s">
        <v>8485</v>
      </c>
      <c r="S9385" s="11"/>
      <c r="T9385" s="6"/>
      <c r="U9385" s="15" t="str">
        <f>HYPERLINK("https://media.infra-m.ru/1978/1978043/cover/1978043.jpg", "Обложка")</f>
        <v>Обложка</v>
      </c>
      <c r="V9385" s="8" t="s">
        <v>138</v>
      </c>
      <c r="W9385" s="6"/>
      <c r="X9385" s="6"/>
      <c r="Y9385" s="6"/>
      <c r="Z9385" s="6"/>
      <c r="AA9385" s="6" t="s">
        <v>99</v>
      </c>
      <c r="AB9385" s="8"/>
      <c r="AC9385" s="27">
        <v>9785917688299</v>
      </c>
    </row>
    <row r="9386" spans="1:29" s="4" customFormat="1" ht="42" customHeight="1" x14ac:dyDescent="0.2">
      <c r="A9386" s="5">
        <v>0</v>
      </c>
      <c r="B9386" s="6" t="s">
        <v>52560</v>
      </c>
      <c r="C9386" s="13">
        <v>796.8</v>
      </c>
      <c r="D9386" s="8" t="s">
        <v>52561</v>
      </c>
      <c r="E9386" s="8" t="s">
        <v>52562</v>
      </c>
      <c r="F9386" s="8" t="s">
        <v>52563</v>
      </c>
      <c r="G9386" s="6" t="s">
        <v>33</v>
      </c>
      <c r="H9386" s="6" t="s">
        <v>34</v>
      </c>
      <c r="I9386" s="8" t="s">
        <v>35</v>
      </c>
      <c r="J9386" s="9">
        <v>1</v>
      </c>
      <c r="K9386" s="9">
        <v>120</v>
      </c>
      <c r="L9386" s="9">
        <v>2026</v>
      </c>
      <c r="M9386" s="8" t="s">
        <v>52564</v>
      </c>
      <c r="N9386" s="8" t="s">
        <v>37</v>
      </c>
      <c r="O9386" s="8" t="s">
        <v>233</v>
      </c>
      <c r="P9386" s="6" t="s">
        <v>39</v>
      </c>
      <c r="Q9386" s="8" t="s">
        <v>40</v>
      </c>
      <c r="R9386" s="10" t="s">
        <v>52565</v>
      </c>
      <c r="S9386" s="11"/>
      <c r="T9386" s="6"/>
      <c r="U9386" s="15" t="str">
        <f>HYPERLINK("https://media.infra-m.ru/2239/2239105/cover/2239105.jpg", "Обложка")</f>
        <v>Обложка</v>
      </c>
      <c r="V9386" s="8" t="s">
        <v>1768</v>
      </c>
      <c r="W9386" s="6"/>
      <c r="X9386" s="6"/>
      <c r="Y9386" s="6"/>
      <c r="Z9386" s="6"/>
      <c r="AA9386" s="6" t="s">
        <v>1256</v>
      </c>
      <c r="AB9386" s="8"/>
      <c r="AC9386" s="27">
        <v>9785160154756</v>
      </c>
    </row>
    <row r="9387" spans="1:29" s="4" customFormat="1" ht="51.9" customHeight="1" x14ac:dyDescent="0.2">
      <c r="A9387" s="5">
        <v>0</v>
      </c>
      <c r="B9387" s="6" t="s">
        <v>52566</v>
      </c>
      <c r="C9387" s="7">
        <v>1512</v>
      </c>
      <c r="D9387" s="8" t="s">
        <v>52567</v>
      </c>
      <c r="E9387" s="8" t="s">
        <v>52568</v>
      </c>
      <c r="F9387" s="8" t="s">
        <v>52569</v>
      </c>
      <c r="G9387" s="6" t="s">
        <v>60</v>
      </c>
      <c r="H9387" s="6" t="s">
        <v>34</v>
      </c>
      <c r="I9387" s="8" t="s">
        <v>35</v>
      </c>
      <c r="J9387" s="9">
        <v>1</v>
      </c>
      <c r="K9387" s="9">
        <v>251</v>
      </c>
      <c r="L9387" s="9">
        <v>2024</v>
      </c>
      <c r="M9387" s="8" t="s">
        <v>52570</v>
      </c>
      <c r="N9387" s="8" t="s">
        <v>37</v>
      </c>
      <c r="O9387" s="8" t="s">
        <v>233</v>
      </c>
      <c r="P9387" s="6" t="s">
        <v>39</v>
      </c>
      <c r="Q9387" s="8" t="s">
        <v>1660</v>
      </c>
      <c r="R9387" s="10" t="s">
        <v>52571</v>
      </c>
      <c r="S9387" s="11"/>
      <c r="T9387" s="6"/>
      <c r="U9387" s="15" t="str">
        <f>HYPERLINK("https://media.infra-m.ru/2167/2167514/cover/2167514.jpg", "Обложка")</f>
        <v>Обложка</v>
      </c>
      <c r="V9387" s="8" t="s">
        <v>1184</v>
      </c>
      <c r="W9387" s="6"/>
      <c r="X9387" s="6"/>
      <c r="Y9387" s="6"/>
      <c r="Z9387" s="6"/>
      <c r="AA9387" s="6" t="s">
        <v>76</v>
      </c>
      <c r="AB9387" s="8"/>
      <c r="AC9387" s="27">
        <v>9785160202716</v>
      </c>
    </row>
    <row r="9388" spans="1:29" s="4" customFormat="1" ht="51.9" customHeight="1" x14ac:dyDescent="0.2">
      <c r="A9388" s="5">
        <v>0</v>
      </c>
      <c r="B9388" s="6" t="s">
        <v>52572</v>
      </c>
      <c r="C9388" s="13">
        <v>892.8</v>
      </c>
      <c r="D9388" s="8" t="s">
        <v>52573</v>
      </c>
      <c r="E9388" s="8" t="s">
        <v>52574</v>
      </c>
      <c r="F9388" s="8" t="s">
        <v>52575</v>
      </c>
      <c r="G9388" s="6" t="s">
        <v>33</v>
      </c>
      <c r="H9388" s="6" t="s">
        <v>34</v>
      </c>
      <c r="I9388" s="8" t="s">
        <v>271</v>
      </c>
      <c r="J9388" s="9">
        <v>1</v>
      </c>
      <c r="K9388" s="9">
        <v>143</v>
      </c>
      <c r="L9388" s="9">
        <v>2026</v>
      </c>
      <c r="M9388" s="8" t="s">
        <v>52576</v>
      </c>
      <c r="N9388" s="8" t="s">
        <v>37</v>
      </c>
      <c r="O9388" s="8" t="s">
        <v>233</v>
      </c>
      <c r="P9388" s="6" t="s">
        <v>51</v>
      </c>
      <c r="Q9388" s="8" t="s">
        <v>52</v>
      </c>
      <c r="R9388" s="10" t="s">
        <v>4124</v>
      </c>
      <c r="S9388" s="11" t="s">
        <v>52577</v>
      </c>
      <c r="T9388" s="6"/>
      <c r="U9388" s="15" t="str">
        <f>HYPERLINK("https://media.infra-m.ru/2221/2221321/cover/2221321.jpg", "Обложка")</f>
        <v>Обложка</v>
      </c>
      <c r="V9388" s="8" t="s">
        <v>1425</v>
      </c>
      <c r="W9388" s="6"/>
      <c r="X9388" s="6"/>
      <c r="Y9388" s="6"/>
      <c r="Z9388" s="6"/>
      <c r="AA9388" s="6" t="s">
        <v>43</v>
      </c>
      <c r="AB9388" s="8"/>
      <c r="AC9388" s="27">
        <v>9785160097565</v>
      </c>
    </row>
    <row r="9389" spans="1:29" s="4" customFormat="1" ht="42" customHeight="1" x14ac:dyDescent="0.2">
      <c r="A9389" s="5">
        <v>0</v>
      </c>
      <c r="B9389" s="6" t="s">
        <v>52578</v>
      </c>
      <c r="C9389" s="7">
        <v>2320.8000000000002</v>
      </c>
      <c r="D9389" s="8" t="s">
        <v>52579</v>
      </c>
      <c r="E9389" s="8" t="s">
        <v>52580</v>
      </c>
      <c r="F9389" s="8" t="s">
        <v>52581</v>
      </c>
      <c r="G9389" s="6" t="s">
        <v>60</v>
      </c>
      <c r="H9389" s="6" t="s">
        <v>34</v>
      </c>
      <c r="I9389" s="8" t="s">
        <v>504</v>
      </c>
      <c r="J9389" s="9">
        <v>1</v>
      </c>
      <c r="K9389" s="9">
        <v>409</v>
      </c>
      <c r="L9389" s="9">
        <v>2023</v>
      </c>
      <c r="M9389" s="8" t="s">
        <v>52582</v>
      </c>
      <c r="N9389" s="8" t="s">
        <v>37</v>
      </c>
      <c r="O9389" s="8" t="s">
        <v>233</v>
      </c>
      <c r="P9389" s="6" t="s">
        <v>306</v>
      </c>
      <c r="Q9389" s="8" t="s">
        <v>65</v>
      </c>
      <c r="R9389" s="10" t="s">
        <v>4075</v>
      </c>
      <c r="S9389" s="11"/>
      <c r="T9389" s="6"/>
      <c r="U9389" s="15" t="str">
        <f>HYPERLINK("https://media.infra-m.ru/2132/2132487/cover/2132487.jpg", "Обложка")</f>
        <v>Обложка</v>
      </c>
      <c r="V9389" s="8" t="s">
        <v>644</v>
      </c>
      <c r="W9389" s="6"/>
      <c r="X9389" s="6"/>
      <c r="Y9389" s="6"/>
      <c r="Z9389" s="6"/>
      <c r="AA9389" s="6" t="s">
        <v>157</v>
      </c>
      <c r="AB9389" s="8" t="s">
        <v>2208</v>
      </c>
      <c r="AC9389" s="27">
        <v>9785160187082</v>
      </c>
    </row>
    <row r="9390" spans="1:29" s="4" customFormat="1" ht="42" customHeight="1" x14ac:dyDescent="0.2">
      <c r="A9390" s="5">
        <v>0</v>
      </c>
      <c r="B9390" s="6" t="s">
        <v>52583</v>
      </c>
      <c r="C9390" s="7">
        <v>1744.8</v>
      </c>
      <c r="D9390" s="8" t="s">
        <v>52584</v>
      </c>
      <c r="E9390" s="8" t="s">
        <v>52585</v>
      </c>
      <c r="F9390" s="8" t="s">
        <v>12707</v>
      </c>
      <c r="G9390" s="6" t="s">
        <v>33</v>
      </c>
      <c r="H9390" s="6" t="s">
        <v>34</v>
      </c>
      <c r="I9390" s="8" t="s">
        <v>35</v>
      </c>
      <c r="J9390" s="9">
        <v>1</v>
      </c>
      <c r="K9390" s="9">
        <v>265</v>
      </c>
      <c r="L9390" s="9">
        <v>2026</v>
      </c>
      <c r="M9390" s="8" t="s">
        <v>52586</v>
      </c>
      <c r="N9390" s="8" t="s">
        <v>243</v>
      </c>
      <c r="O9390" s="8" t="s">
        <v>964</v>
      </c>
      <c r="P9390" s="6" t="s">
        <v>39</v>
      </c>
      <c r="Q9390" s="8" t="s">
        <v>40</v>
      </c>
      <c r="R9390" s="10" t="s">
        <v>9732</v>
      </c>
      <c r="S9390" s="11"/>
      <c r="T9390" s="6"/>
      <c r="U9390" s="15" t="str">
        <f>HYPERLINK("https://media.infra-m.ru/2239/2239525/cover/2239525.jpg", "Обложка")</f>
        <v>Обложка</v>
      </c>
      <c r="V9390" s="8" t="s">
        <v>12710</v>
      </c>
      <c r="W9390" s="6"/>
      <c r="X9390" s="6"/>
      <c r="Y9390" s="6"/>
      <c r="Z9390" s="6"/>
      <c r="AA9390" s="6" t="s">
        <v>430</v>
      </c>
      <c r="AB9390" s="8"/>
      <c r="AC9390" s="27">
        <v>9785160161280</v>
      </c>
    </row>
    <row r="9391" spans="1:29" s="4" customFormat="1" ht="51.9" customHeight="1" x14ac:dyDescent="0.2">
      <c r="A9391" s="5">
        <v>0</v>
      </c>
      <c r="B9391" s="6" t="s">
        <v>52587</v>
      </c>
      <c r="C9391" s="7">
        <v>1313.9</v>
      </c>
      <c r="D9391" s="8" t="s">
        <v>52588</v>
      </c>
      <c r="E9391" s="8" t="s">
        <v>52589</v>
      </c>
      <c r="F9391" s="8" t="s">
        <v>3261</v>
      </c>
      <c r="G9391" s="6" t="s">
        <v>60</v>
      </c>
      <c r="H9391" s="6" t="s">
        <v>34</v>
      </c>
      <c r="I9391" s="8" t="s">
        <v>35</v>
      </c>
      <c r="J9391" s="9">
        <v>1</v>
      </c>
      <c r="K9391" s="9">
        <v>312</v>
      </c>
      <c r="L9391" s="9">
        <v>2020</v>
      </c>
      <c r="M9391" s="8" t="s">
        <v>52590</v>
      </c>
      <c r="N9391" s="8" t="s">
        <v>37</v>
      </c>
      <c r="O9391" s="8" t="s">
        <v>83</v>
      </c>
      <c r="P9391" s="6" t="s">
        <v>39</v>
      </c>
      <c r="Q9391" s="8" t="s">
        <v>40</v>
      </c>
      <c r="R9391" s="10" t="s">
        <v>52591</v>
      </c>
      <c r="S9391" s="11"/>
      <c r="T9391" s="6"/>
      <c r="U9391" s="15" t="str">
        <f>HYPERLINK("https://media.infra-m.ru/1047/1047120/cover/1047120.jpg", "Обложка")</f>
        <v>Обложка</v>
      </c>
      <c r="V9391" s="8" t="s">
        <v>3264</v>
      </c>
      <c r="W9391" s="6"/>
      <c r="X9391" s="6"/>
      <c r="Y9391" s="6"/>
      <c r="Z9391" s="6"/>
      <c r="AA9391" s="6" t="s">
        <v>99</v>
      </c>
      <c r="AB9391" s="8"/>
      <c r="AC9391" s="27">
        <v>9785160125503</v>
      </c>
    </row>
    <row r="9392" spans="1:29" s="4" customFormat="1" ht="44.1" customHeight="1" x14ac:dyDescent="0.2">
      <c r="A9392" s="5">
        <v>0</v>
      </c>
      <c r="B9392" s="6" t="s">
        <v>52592</v>
      </c>
      <c r="C9392" s="7">
        <v>3024</v>
      </c>
      <c r="D9392" s="8" t="s">
        <v>52593</v>
      </c>
      <c r="E9392" s="8" t="s">
        <v>52594</v>
      </c>
      <c r="F9392" s="8" t="s">
        <v>52595</v>
      </c>
      <c r="G9392" s="6" t="s">
        <v>60</v>
      </c>
      <c r="H9392" s="6" t="s">
        <v>34</v>
      </c>
      <c r="I9392" s="8" t="s">
        <v>457</v>
      </c>
      <c r="J9392" s="9">
        <v>1</v>
      </c>
      <c r="K9392" s="9">
        <v>485</v>
      </c>
      <c r="L9392" s="9">
        <v>2025</v>
      </c>
      <c r="M9392" s="8" t="s">
        <v>52596</v>
      </c>
      <c r="N9392" s="8" t="s">
        <v>93</v>
      </c>
      <c r="O9392" s="8" t="s">
        <v>94</v>
      </c>
      <c r="P9392" s="6" t="s">
        <v>39</v>
      </c>
      <c r="Q9392" s="8" t="s">
        <v>40</v>
      </c>
      <c r="R9392" s="10" t="s">
        <v>459</v>
      </c>
      <c r="S9392" s="11"/>
      <c r="T9392" s="6"/>
      <c r="U9392" s="15" t="str">
        <f>HYPERLINK("https://media.infra-m.ru/2196/2196499/cover/2196499.jpg", "Обложка")</f>
        <v>Обложка</v>
      </c>
      <c r="V9392" s="8" t="s">
        <v>247</v>
      </c>
      <c r="W9392" s="6"/>
      <c r="X9392" s="6"/>
      <c r="Y9392" s="6"/>
      <c r="Z9392" s="6"/>
      <c r="AA9392" s="6" t="s">
        <v>157</v>
      </c>
      <c r="AB9392" s="8" t="s">
        <v>6422</v>
      </c>
      <c r="AC9392" s="27">
        <v>9785160179865</v>
      </c>
    </row>
    <row r="9393" spans="1:29" s="4" customFormat="1" ht="42" customHeight="1" x14ac:dyDescent="0.2">
      <c r="A9393" s="5">
        <v>0</v>
      </c>
      <c r="B9393" s="6" t="s">
        <v>52597</v>
      </c>
      <c r="C9393" s="7">
        <v>1680</v>
      </c>
      <c r="D9393" s="8" t="s">
        <v>52598</v>
      </c>
      <c r="E9393" s="8" t="s">
        <v>52599</v>
      </c>
      <c r="F9393" s="8" t="s">
        <v>52600</v>
      </c>
      <c r="G9393" s="6" t="s">
        <v>60</v>
      </c>
      <c r="H9393" s="6" t="s">
        <v>34</v>
      </c>
      <c r="I9393" s="8" t="s">
        <v>35</v>
      </c>
      <c r="J9393" s="9">
        <v>1</v>
      </c>
      <c r="K9393" s="9">
        <v>311</v>
      </c>
      <c r="L9393" s="9">
        <v>2022</v>
      </c>
      <c r="M9393" s="8" t="s">
        <v>52601</v>
      </c>
      <c r="N9393" s="8" t="s">
        <v>37</v>
      </c>
      <c r="O9393" s="8" t="s">
        <v>233</v>
      </c>
      <c r="P9393" s="6" t="s">
        <v>39</v>
      </c>
      <c r="Q9393" s="8" t="s">
        <v>40</v>
      </c>
      <c r="R9393" s="10" t="s">
        <v>1646</v>
      </c>
      <c r="S9393" s="11"/>
      <c r="T9393" s="6"/>
      <c r="U9393" s="15" t="str">
        <f>HYPERLINK("https://media.infra-m.ru/1864/1864513/cover/1864513.jpg", "Обложка")</f>
        <v>Обложка</v>
      </c>
      <c r="V9393" s="8" t="s">
        <v>12210</v>
      </c>
      <c r="W9393" s="6"/>
      <c r="X9393" s="6"/>
      <c r="Y9393" s="6"/>
      <c r="Z9393" s="6"/>
      <c r="AA9393" s="6" t="s">
        <v>148</v>
      </c>
      <c r="AB9393" s="8"/>
      <c r="AC9393" s="27">
        <v>9785160176437</v>
      </c>
    </row>
    <row r="9394" spans="1:29" s="4" customFormat="1" ht="44.1" customHeight="1" x14ac:dyDescent="0.2">
      <c r="A9394" s="5">
        <v>0</v>
      </c>
      <c r="B9394" s="6" t="s">
        <v>52602</v>
      </c>
      <c r="C9394" s="7">
        <v>2140.8000000000002</v>
      </c>
      <c r="D9394" s="8" t="s">
        <v>52603</v>
      </c>
      <c r="E9394" s="8" t="s">
        <v>52604</v>
      </c>
      <c r="F9394" s="8" t="s">
        <v>52605</v>
      </c>
      <c r="G9394" s="6" t="s">
        <v>60</v>
      </c>
      <c r="H9394" s="6" t="s">
        <v>34</v>
      </c>
      <c r="I9394" s="8" t="s">
        <v>35</v>
      </c>
      <c r="J9394" s="9">
        <v>1</v>
      </c>
      <c r="K9394" s="9">
        <v>307</v>
      </c>
      <c r="L9394" s="9">
        <v>2027</v>
      </c>
      <c r="M9394" s="8" t="s">
        <v>52606</v>
      </c>
      <c r="N9394" s="8" t="s">
        <v>37</v>
      </c>
      <c r="O9394" s="8" t="s">
        <v>233</v>
      </c>
      <c r="P9394" s="6" t="s">
        <v>39</v>
      </c>
      <c r="Q9394" s="8" t="s">
        <v>40</v>
      </c>
      <c r="R9394" s="10" t="s">
        <v>52607</v>
      </c>
      <c r="S9394" s="11"/>
      <c r="T9394" s="6"/>
      <c r="U9394" s="15" t="str">
        <f>HYPERLINK("https://media.infra-m.ru/2264/2264766/cover/2264766.jpg", "Обложка")</f>
        <v>Обложка</v>
      </c>
      <c r="V9394" s="8" t="s">
        <v>1083</v>
      </c>
      <c r="W9394" s="6"/>
      <c r="X9394" s="6"/>
      <c r="Y9394" s="6"/>
      <c r="Z9394" s="6"/>
      <c r="AA9394" s="6" t="s">
        <v>157</v>
      </c>
      <c r="AB9394" s="8"/>
      <c r="AC9394" s="27">
        <v>9785160184210</v>
      </c>
    </row>
    <row r="9395" spans="1:29" s="4" customFormat="1" ht="51.9" customHeight="1" x14ac:dyDescent="0.2">
      <c r="A9395" s="5">
        <v>0</v>
      </c>
      <c r="B9395" s="6" t="s">
        <v>52608</v>
      </c>
      <c r="C9395" s="7">
        <v>1228.8</v>
      </c>
      <c r="D9395" s="8" t="s">
        <v>52609</v>
      </c>
      <c r="E9395" s="8" t="s">
        <v>52610</v>
      </c>
      <c r="F9395" s="8" t="s">
        <v>52611</v>
      </c>
      <c r="G9395" s="6" t="s">
        <v>60</v>
      </c>
      <c r="H9395" s="6" t="s">
        <v>34</v>
      </c>
      <c r="I9395" s="8" t="s">
        <v>35</v>
      </c>
      <c r="J9395" s="9">
        <v>1</v>
      </c>
      <c r="K9395" s="9">
        <v>187</v>
      </c>
      <c r="L9395" s="9">
        <v>2026</v>
      </c>
      <c r="M9395" s="8" t="s">
        <v>52612</v>
      </c>
      <c r="N9395" s="8" t="s">
        <v>37</v>
      </c>
      <c r="O9395" s="8" t="s">
        <v>499</v>
      </c>
      <c r="P9395" s="6" t="s">
        <v>39</v>
      </c>
      <c r="Q9395" s="8" t="s">
        <v>40</v>
      </c>
      <c r="R9395" s="10" t="s">
        <v>52613</v>
      </c>
      <c r="S9395" s="11"/>
      <c r="T9395" s="6"/>
      <c r="U9395" s="15" t="str">
        <f>HYPERLINK("https://media.infra-m.ru/2243/2243407/cover/2243407.jpg", "Обложка")</f>
        <v>Обложка</v>
      </c>
      <c r="V9395" s="8" t="s">
        <v>396</v>
      </c>
      <c r="W9395" s="6"/>
      <c r="X9395" s="6"/>
      <c r="Y9395" s="6"/>
      <c r="Z9395" s="6"/>
      <c r="AA9395" s="6" t="s">
        <v>76</v>
      </c>
      <c r="AB9395" s="8"/>
      <c r="AC9395" s="27">
        <v>9785160190044</v>
      </c>
    </row>
    <row r="9396" spans="1:29" s="4" customFormat="1" ht="44.1" customHeight="1" x14ac:dyDescent="0.2">
      <c r="A9396" s="5">
        <v>0</v>
      </c>
      <c r="B9396" s="6" t="s">
        <v>52614</v>
      </c>
      <c r="C9396" s="13">
        <v>508.8</v>
      </c>
      <c r="D9396" s="8" t="s">
        <v>52615</v>
      </c>
      <c r="E9396" s="8" t="s">
        <v>52616</v>
      </c>
      <c r="F9396" s="8" t="s">
        <v>52617</v>
      </c>
      <c r="G9396" s="6" t="s">
        <v>33</v>
      </c>
      <c r="H9396" s="6" t="s">
        <v>48</v>
      </c>
      <c r="I9396" s="8" t="s">
        <v>253</v>
      </c>
      <c r="J9396" s="9">
        <v>1</v>
      </c>
      <c r="K9396" s="9">
        <v>64</v>
      </c>
      <c r="L9396" s="9">
        <v>2025</v>
      </c>
      <c r="M9396" s="8" t="s">
        <v>52618</v>
      </c>
      <c r="N9396" s="8" t="s">
        <v>93</v>
      </c>
      <c r="O9396" s="8" t="s">
        <v>94</v>
      </c>
      <c r="P9396" s="6" t="s">
        <v>105</v>
      </c>
      <c r="Q9396" s="8" t="s">
        <v>52</v>
      </c>
      <c r="R9396" s="10" t="s">
        <v>16886</v>
      </c>
      <c r="S9396" s="11"/>
      <c r="T9396" s="6"/>
      <c r="U9396" s="15" t="str">
        <f>HYPERLINK("https://media.infra-m.ru/2178/2178194/cover/2178194.jpg", "Обложка")</f>
        <v>Обложка</v>
      </c>
      <c r="V9396" s="8" t="s">
        <v>28042</v>
      </c>
      <c r="W9396" s="6"/>
      <c r="X9396" s="6"/>
      <c r="Y9396" s="6"/>
      <c r="Z9396" s="6"/>
      <c r="AA9396" s="6" t="s">
        <v>129</v>
      </c>
      <c r="AB9396" s="8"/>
      <c r="AC9396" s="27">
        <v>9785911345266</v>
      </c>
    </row>
    <row r="9397" spans="1:29" s="4" customFormat="1" ht="51.9" customHeight="1" x14ac:dyDescent="0.2">
      <c r="A9397" s="5">
        <v>0</v>
      </c>
      <c r="B9397" s="6" t="s">
        <v>52619</v>
      </c>
      <c r="C9397" s="7">
        <v>1272</v>
      </c>
      <c r="D9397" s="8" t="s">
        <v>52620</v>
      </c>
      <c r="E9397" s="8" t="s">
        <v>52621</v>
      </c>
      <c r="F9397" s="8" t="s">
        <v>52622</v>
      </c>
      <c r="G9397" s="6" t="s">
        <v>118</v>
      </c>
      <c r="H9397" s="6" t="s">
        <v>241</v>
      </c>
      <c r="I9397" s="8" t="s">
        <v>263</v>
      </c>
      <c r="J9397" s="9">
        <v>1</v>
      </c>
      <c r="K9397" s="9">
        <v>204</v>
      </c>
      <c r="L9397" s="9">
        <v>2025</v>
      </c>
      <c r="M9397" s="8" t="s">
        <v>52623</v>
      </c>
      <c r="N9397" s="8" t="s">
        <v>37</v>
      </c>
      <c r="O9397" s="8" t="s">
        <v>499</v>
      </c>
      <c r="P9397" s="6" t="s">
        <v>51</v>
      </c>
      <c r="Q9397" s="8" t="s">
        <v>265</v>
      </c>
      <c r="R9397" s="10" t="s">
        <v>52624</v>
      </c>
      <c r="S9397" s="11" t="s">
        <v>52625</v>
      </c>
      <c r="T9397" s="6"/>
      <c r="U9397" s="15" t="str">
        <f>HYPERLINK("https://media.infra-m.ru/2198/2198344/cover/2198344.jpg", "Обложка")</f>
        <v>Обложка</v>
      </c>
      <c r="V9397" s="8" t="s">
        <v>14780</v>
      </c>
      <c r="W9397" s="6"/>
      <c r="X9397" s="6"/>
      <c r="Y9397" s="6"/>
      <c r="Z9397" s="6" t="s">
        <v>267</v>
      </c>
      <c r="AA9397" s="6" t="s">
        <v>1256</v>
      </c>
      <c r="AB9397" s="8" t="s">
        <v>3596</v>
      </c>
      <c r="AC9397" s="27">
        <v>9785955806457</v>
      </c>
    </row>
    <row r="9398" spans="1:29" s="4" customFormat="1" ht="51.9" customHeight="1" x14ac:dyDescent="0.2">
      <c r="A9398" s="5">
        <v>0</v>
      </c>
      <c r="B9398" s="6" t="s">
        <v>52626</v>
      </c>
      <c r="C9398" s="7">
        <v>1348.8</v>
      </c>
      <c r="D9398" s="8" t="s">
        <v>52627</v>
      </c>
      <c r="E9398" s="8" t="s">
        <v>52621</v>
      </c>
      <c r="F9398" s="8" t="s">
        <v>52628</v>
      </c>
      <c r="G9398" s="6" t="s">
        <v>60</v>
      </c>
      <c r="H9398" s="6" t="s">
        <v>241</v>
      </c>
      <c r="I9398" s="8"/>
      <c r="J9398" s="9">
        <v>1</v>
      </c>
      <c r="K9398" s="9">
        <v>204</v>
      </c>
      <c r="L9398" s="9">
        <v>2026</v>
      </c>
      <c r="M9398" s="8" t="s">
        <v>52629</v>
      </c>
      <c r="N9398" s="8" t="s">
        <v>37</v>
      </c>
      <c r="O9398" s="8" t="s">
        <v>499</v>
      </c>
      <c r="P9398" s="6" t="s">
        <v>51</v>
      </c>
      <c r="Q9398" s="8" t="s">
        <v>52</v>
      </c>
      <c r="R9398" s="10" t="s">
        <v>52630</v>
      </c>
      <c r="S9398" s="11"/>
      <c r="T9398" s="6"/>
      <c r="U9398" s="15" t="str">
        <f>HYPERLINK("https://media.infra-m.ru/2250/2250894/cover/2250894.jpg", "Обложка")</f>
        <v>Обложка</v>
      </c>
      <c r="V9398" s="8" t="s">
        <v>14780</v>
      </c>
      <c r="W9398" s="6"/>
      <c r="X9398" s="6"/>
      <c r="Y9398" s="6"/>
      <c r="Z9398" s="6"/>
      <c r="AA9398" s="6" t="s">
        <v>43</v>
      </c>
      <c r="AB9398" s="8"/>
      <c r="AC9398" s="27">
        <v>9785955802091</v>
      </c>
    </row>
    <row r="9399" spans="1:29" s="4" customFormat="1" ht="51.9" customHeight="1" x14ac:dyDescent="0.2">
      <c r="A9399" s="5">
        <v>0</v>
      </c>
      <c r="B9399" s="6" t="s">
        <v>52631</v>
      </c>
      <c r="C9399" s="13">
        <v>804</v>
      </c>
      <c r="D9399" s="8" t="s">
        <v>52632</v>
      </c>
      <c r="E9399" s="8" t="s">
        <v>52633</v>
      </c>
      <c r="F9399" s="8" t="s">
        <v>52634</v>
      </c>
      <c r="G9399" s="6" t="s">
        <v>33</v>
      </c>
      <c r="H9399" s="6" t="s">
        <v>34</v>
      </c>
      <c r="I9399" s="8" t="s">
        <v>253</v>
      </c>
      <c r="J9399" s="9">
        <v>1</v>
      </c>
      <c r="K9399" s="9">
        <v>120</v>
      </c>
      <c r="L9399" s="9">
        <v>2026</v>
      </c>
      <c r="M9399" s="8" t="s">
        <v>52635</v>
      </c>
      <c r="N9399" s="8" t="s">
        <v>63</v>
      </c>
      <c r="O9399" s="8" t="s">
        <v>154</v>
      </c>
      <c r="P9399" s="6" t="s">
        <v>51</v>
      </c>
      <c r="Q9399" s="8" t="s">
        <v>52</v>
      </c>
      <c r="R9399" s="10" t="s">
        <v>19190</v>
      </c>
      <c r="S9399" s="11" t="s">
        <v>52636</v>
      </c>
      <c r="T9399" s="6" t="s">
        <v>97</v>
      </c>
      <c r="U9399" s="15" t="str">
        <f>HYPERLINK("https://media.infra-m.ru/2231/2231751/cover/2231751.jpg", "Обложка")</f>
        <v>Обложка</v>
      </c>
      <c r="V9399" s="8" t="s">
        <v>9620</v>
      </c>
      <c r="W9399" s="6"/>
      <c r="X9399" s="6"/>
      <c r="Y9399" s="6"/>
      <c r="Z9399" s="6"/>
      <c r="AA9399" s="6" t="s">
        <v>248</v>
      </c>
      <c r="AB9399" s="8"/>
      <c r="AC9399" s="27">
        <v>9785160194547</v>
      </c>
    </row>
    <row r="9400" spans="1:29" s="4" customFormat="1" ht="51.9" customHeight="1" x14ac:dyDescent="0.2">
      <c r="A9400" s="5">
        <v>0</v>
      </c>
      <c r="B9400" s="6" t="s">
        <v>52637</v>
      </c>
      <c r="C9400" s="13">
        <v>628.79999999999995</v>
      </c>
      <c r="D9400" s="8" t="s">
        <v>52638</v>
      </c>
      <c r="E9400" s="8" t="s">
        <v>52639</v>
      </c>
      <c r="F9400" s="8" t="s">
        <v>33659</v>
      </c>
      <c r="G9400" s="6" t="s">
        <v>33</v>
      </c>
      <c r="H9400" s="6" t="s">
        <v>48</v>
      </c>
      <c r="I9400" s="8"/>
      <c r="J9400" s="9">
        <v>1</v>
      </c>
      <c r="K9400" s="9">
        <v>96</v>
      </c>
      <c r="L9400" s="9">
        <v>2026</v>
      </c>
      <c r="M9400" s="8" t="s">
        <v>52640</v>
      </c>
      <c r="N9400" s="8" t="s">
        <v>243</v>
      </c>
      <c r="O9400" s="8" t="s">
        <v>1100</v>
      </c>
      <c r="P9400" s="6" t="s">
        <v>51</v>
      </c>
      <c r="Q9400" s="8" t="s">
        <v>52</v>
      </c>
      <c r="R9400" s="10" t="s">
        <v>36987</v>
      </c>
      <c r="S9400" s="11" t="s">
        <v>52641</v>
      </c>
      <c r="T9400" s="6"/>
      <c r="U9400" s="15" t="str">
        <f>HYPERLINK("https://media.infra-m.ru/2238/2238492/cover/2238492.jpg", "Обложка")</f>
        <v>Обложка</v>
      </c>
      <c r="V9400" s="8" t="s">
        <v>13400</v>
      </c>
      <c r="W9400" s="6"/>
      <c r="X9400" s="6"/>
      <c r="Y9400" s="6"/>
      <c r="Z9400" s="6"/>
      <c r="AA9400" s="6" t="s">
        <v>248</v>
      </c>
      <c r="AB9400" s="8"/>
      <c r="AC9400" s="27">
        <v>9785911348823</v>
      </c>
    </row>
    <row r="9401" spans="1:29" s="4" customFormat="1" ht="51.9" customHeight="1" x14ac:dyDescent="0.2">
      <c r="A9401" s="5">
        <v>0</v>
      </c>
      <c r="B9401" s="6" t="s">
        <v>52642</v>
      </c>
      <c r="C9401" s="7">
        <v>1132.8</v>
      </c>
      <c r="D9401" s="8" t="s">
        <v>52643</v>
      </c>
      <c r="E9401" s="8" t="s">
        <v>52644</v>
      </c>
      <c r="F9401" s="8" t="s">
        <v>52645</v>
      </c>
      <c r="G9401" s="6" t="s">
        <v>21</v>
      </c>
      <c r="H9401" s="6" t="s">
        <v>134</v>
      </c>
      <c r="I9401" s="8"/>
      <c r="J9401" s="9">
        <v>1</v>
      </c>
      <c r="K9401" s="9">
        <v>176</v>
      </c>
      <c r="L9401" s="9">
        <v>2026</v>
      </c>
      <c r="M9401" s="8" t="s">
        <v>52646</v>
      </c>
      <c r="N9401" s="8" t="s">
        <v>37</v>
      </c>
      <c r="O9401" s="8" t="s">
        <v>136</v>
      </c>
      <c r="P9401" s="6" t="s">
        <v>3141</v>
      </c>
      <c r="Q9401" s="8" t="s">
        <v>52</v>
      </c>
      <c r="R9401" s="10" t="s">
        <v>52647</v>
      </c>
      <c r="S9401" s="11"/>
      <c r="T9401" s="6"/>
      <c r="U9401" s="15" t="str">
        <f>HYPERLINK("https://media.infra-m.ru/2222/2222608/cover/2222608.jpg", "Обложка")</f>
        <v>Обложка</v>
      </c>
      <c r="V9401" s="8" t="s">
        <v>52648</v>
      </c>
      <c r="W9401" s="6"/>
      <c r="X9401" s="6"/>
      <c r="Y9401" s="6"/>
      <c r="Z9401" s="6"/>
      <c r="AA9401" s="6" t="s">
        <v>55</v>
      </c>
      <c r="AB9401" s="8"/>
      <c r="AC9401" s="27">
        <v>9785917683515</v>
      </c>
    </row>
    <row r="9402" spans="1:29" s="4" customFormat="1" ht="51.9" customHeight="1" x14ac:dyDescent="0.2">
      <c r="A9402" s="5">
        <v>0</v>
      </c>
      <c r="B9402" s="6" t="s">
        <v>52649</v>
      </c>
      <c r="C9402" s="7">
        <v>1948.8</v>
      </c>
      <c r="D9402" s="8" t="s">
        <v>52650</v>
      </c>
      <c r="E9402" s="8" t="s">
        <v>52651</v>
      </c>
      <c r="F9402" s="8" t="s">
        <v>52652</v>
      </c>
      <c r="G9402" s="6" t="s">
        <v>21</v>
      </c>
      <c r="H9402" s="6" t="s">
        <v>134</v>
      </c>
      <c r="I9402" s="8"/>
      <c r="J9402" s="9">
        <v>1</v>
      </c>
      <c r="K9402" s="9">
        <v>320</v>
      </c>
      <c r="L9402" s="9">
        <v>2025</v>
      </c>
      <c r="M9402" s="8" t="s">
        <v>52653</v>
      </c>
      <c r="N9402" s="8" t="s">
        <v>37</v>
      </c>
      <c r="O9402" s="8" t="s">
        <v>136</v>
      </c>
      <c r="P9402" s="6" t="s">
        <v>3141</v>
      </c>
      <c r="Q9402" s="8" t="s">
        <v>40</v>
      </c>
      <c r="R9402" s="10" t="s">
        <v>52654</v>
      </c>
      <c r="S9402" s="11"/>
      <c r="T9402" s="6"/>
      <c r="U9402" s="15" t="str">
        <f>HYPERLINK("https://media.infra-m.ru/2142/2142857/cover/2142857.jpg", "Обложка")</f>
        <v>Обложка</v>
      </c>
      <c r="V9402" s="8" t="s">
        <v>52648</v>
      </c>
      <c r="W9402" s="6"/>
      <c r="X9402" s="6"/>
      <c r="Y9402" s="6"/>
      <c r="Z9402" s="6"/>
      <c r="AA9402" s="6" t="s">
        <v>55</v>
      </c>
      <c r="AB9402" s="8"/>
      <c r="AC9402" s="27">
        <v>9785917684055</v>
      </c>
    </row>
    <row r="9403" spans="1:29" s="4" customFormat="1" ht="51.9" customHeight="1" x14ac:dyDescent="0.2">
      <c r="A9403" s="5">
        <v>0</v>
      </c>
      <c r="B9403" s="6" t="s">
        <v>52655</v>
      </c>
      <c r="C9403" s="7">
        <v>2556</v>
      </c>
      <c r="D9403" s="8" t="s">
        <v>52656</v>
      </c>
      <c r="E9403" s="8" t="s">
        <v>52657</v>
      </c>
      <c r="F9403" s="8" t="s">
        <v>52658</v>
      </c>
      <c r="G9403" s="6" t="s">
        <v>60</v>
      </c>
      <c r="H9403" s="6" t="s">
        <v>34</v>
      </c>
      <c r="I9403" s="8" t="s">
        <v>253</v>
      </c>
      <c r="J9403" s="9">
        <v>1</v>
      </c>
      <c r="K9403" s="9">
        <v>463</v>
      </c>
      <c r="L9403" s="9">
        <v>2024</v>
      </c>
      <c r="M9403" s="8" t="s">
        <v>52659</v>
      </c>
      <c r="N9403" s="8" t="s">
        <v>37</v>
      </c>
      <c r="O9403" s="8" t="s">
        <v>499</v>
      </c>
      <c r="P9403" s="6" t="s">
        <v>306</v>
      </c>
      <c r="Q9403" s="8" t="s">
        <v>52</v>
      </c>
      <c r="R9403" s="10" t="s">
        <v>4320</v>
      </c>
      <c r="S9403" s="11" t="s">
        <v>52660</v>
      </c>
      <c r="T9403" s="6" t="s">
        <v>97</v>
      </c>
      <c r="U9403" s="15" t="str">
        <f>HYPERLINK("https://media.infra-m.ru/2104/2104855/cover/2104855.jpg", "Обложка")</f>
        <v>Обложка</v>
      </c>
      <c r="V9403" s="8" t="s">
        <v>617</v>
      </c>
      <c r="W9403" s="6"/>
      <c r="X9403" s="6"/>
      <c r="Y9403" s="6"/>
      <c r="Z9403" s="6"/>
      <c r="AA9403" s="6" t="s">
        <v>7875</v>
      </c>
      <c r="AB9403" s="8"/>
      <c r="AC9403" s="27">
        <v>9785160193069</v>
      </c>
    </row>
    <row r="9404" spans="1:29" s="4" customFormat="1" ht="51.9" customHeight="1" x14ac:dyDescent="0.2">
      <c r="A9404" s="5">
        <v>0</v>
      </c>
      <c r="B9404" s="6" t="s">
        <v>52661</v>
      </c>
      <c r="C9404" s="7">
        <v>1684.8</v>
      </c>
      <c r="D9404" s="8" t="s">
        <v>52662</v>
      </c>
      <c r="E9404" s="8" t="s">
        <v>52663</v>
      </c>
      <c r="F9404" s="8" t="s">
        <v>52664</v>
      </c>
      <c r="G9404" s="6" t="s">
        <v>60</v>
      </c>
      <c r="H9404" s="6" t="s">
        <v>1795</v>
      </c>
      <c r="I9404" s="8" t="s">
        <v>2911</v>
      </c>
      <c r="J9404" s="9">
        <v>1</v>
      </c>
      <c r="K9404" s="9">
        <v>256</v>
      </c>
      <c r="L9404" s="9">
        <v>2026</v>
      </c>
      <c r="M9404" s="8" t="s">
        <v>52665</v>
      </c>
      <c r="N9404" s="8" t="s">
        <v>37</v>
      </c>
      <c r="O9404" s="8" t="s">
        <v>499</v>
      </c>
      <c r="P9404" s="6" t="s">
        <v>51</v>
      </c>
      <c r="Q9404" s="8" t="s">
        <v>265</v>
      </c>
      <c r="R9404" s="10" t="s">
        <v>52666</v>
      </c>
      <c r="S9404" s="11" t="s">
        <v>52667</v>
      </c>
      <c r="T9404" s="6"/>
      <c r="U9404" s="15" t="str">
        <f>HYPERLINK("https://media.infra-m.ru/2227/2227861/cover/2227861.jpg", "Обложка")</f>
        <v>Обложка</v>
      </c>
      <c r="V9404" s="8" t="s">
        <v>396</v>
      </c>
      <c r="W9404" s="6"/>
      <c r="X9404" s="6"/>
      <c r="Y9404" s="6"/>
      <c r="Z9404" s="6"/>
      <c r="AA9404" s="6" t="s">
        <v>129</v>
      </c>
      <c r="AB9404" s="8"/>
      <c r="AC9404" s="27">
        <v>9785982812582</v>
      </c>
    </row>
    <row r="9405" spans="1:29" s="4" customFormat="1" ht="51.9" customHeight="1" x14ac:dyDescent="0.2">
      <c r="A9405" s="5">
        <v>0</v>
      </c>
      <c r="B9405" s="6" t="s">
        <v>52668</v>
      </c>
      <c r="C9405" s="7">
        <v>1432.8</v>
      </c>
      <c r="D9405" s="8" t="s">
        <v>52669</v>
      </c>
      <c r="E9405" s="8" t="s">
        <v>52670</v>
      </c>
      <c r="F9405" s="8" t="s">
        <v>52664</v>
      </c>
      <c r="G9405" s="6" t="s">
        <v>60</v>
      </c>
      <c r="H9405" s="6" t="s">
        <v>1795</v>
      </c>
      <c r="I9405" s="8"/>
      <c r="J9405" s="9">
        <v>1</v>
      </c>
      <c r="K9405" s="9">
        <v>240</v>
      </c>
      <c r="L9405" s="9">
        <v>2025</v>
      </c>
      <c r="M9405" s="8" t="s">
        <v>52671</v>
      </c>
      <c r="N9405" s="8" t="s">
        <v>37</v>
      </c>
      <c r="O9405" s="8" t="s">
        <v>499</v>
      </c>
      <c r="P9405" s="6" t="s">
        <v>51</v>
      </c>
      <c r="Q9405" s="8" t="s">
        <v>265</v>
      </c>
      <c r="R9405" s="10" t="s">
        <v>52672</v>
      </c>
      <c r="S9405" s="11" t="s">
        <v>52673</v>
      </c>
      <c r="T9405" s="6"/>
      <c r="U9405" s="15" t="str">
        <f>HYPERLINK("https://media.infra-m.ru/2187/2187241/cover/2187241.jpg", "Обложка")</f>
        <v>Обложка</v>
      </c>
      <c r="V9405" s="8" t="s">
        <v>396</v>
      </c>
      <c r="W9405" s="6"/>
      <c r="X9405" s="6"/>
      <c r="Y9405" s="6"/>
      <c r="Z9405" s="6"/>
      <c r="AA9405" s="6" t="s">
        <v>129</v>
      </c>
      <c r="AB9405" s="8"/>
      <c r="AC9405" s="27">
        <v>9785982812421</v>
      </c>
    </row>
    <row r="9406" spans="1:29" s="4" customFormat="1" ht="51.9" customHeight="1" x14ac:dyDescent="0.2">
      <c r="A9406" s="5">
        <v>0</v>
      </c>
      <c r="B9406" s="6" t="s">
        <v>52674</v>
      </c>
      <c r="C9406" s="7">
        <v>1900.8</v>
      </c>
      <c r="D9406" s="8" t="s">
        <v>52675</v>
      </c>
      <c r="E9406" s="8" t="s">
        <v>52676</v>
      </c>
      <c r="F9406" s="8" t="s">
        <v>52677</v>
      </c>
      <c r="G9406" s="6" t="s">
        <v>118</v>
      </c>
      <c r="H9406" s="6" t="s">
        <v>34</v>
      </c>
      <c r="I9406" s="8" t="s">
        <v>271</v>
      </c>
      <c r="J9406" s="9">
        <v>1</v>
      </c>
      <c r="K9406" s="9">
        <v>274</v>
      </c>
      <c r="L9406" s="9">
        <v>2027</v>
      </c>
      <c r="M9406" s="8" t="s">
        <v>52678</v>
      </c>
      <c r="N9406" s="8" t="s">
        <v>243</v>
      </c>
      <c r="O9406" s="8" t="s">
        <v>758</v>
      </c>
      <c r="P9406" s="6" t="s">
        <v>306</v>
      </c>
      <c r="Q9406" s="8" t="s">
        <v>52</v>
      </c>
      <c r="R9406" s="10" t="s">
        <v>52679</v>
      </c>
      <c r="S9406" s="11" t="s">
        <v>52680</v>
      </c>
      <c r="T9406" s="6" t="s">
        <v>97</v>
      </c>
      <c r="U9406" s="15" t="str">
        <f>HYPERLINK("https://media.infra-m.ru/2269/2269987/cover/2269987.jpg", "Обложка")</f>
        <v>Обложка</v>
      </c>
      <c r="V9406" s="8" t="s">
        <v>4322</v>
      </c>
      <c r="W9406" s="6"/>
      <c r="X9406" s="6"/>
      <c r="Y9406" s="6"/>
      <c r="Z9406" s="6"/>
      <c r="AA9406" s="6" t="s">
        <v>779</v>
      </c>
      <c r="AB9406" s="8"/>
      <c r="AC9406" s="27">
        <v>9785160190914</v>
      </c>
    </row>
    <row r="9407" spans="1:29" s="4" customFormat="1" ht="42" customHeight="1" x14ac:dyDescent="0.2">
      <c r="A9407" s="5">
        <v>0</v>
      </c>
      <c r="B9407" s="6" t="s">
        <v>52681</v>
      </c>
      <c r="C9407" s="7">
        <v>1088.3</v>
      </c>
      <c r="D9407" s="8" t="s">
        <v>52682</v>
      </c>
      <c r="E9407" s="8" t="s">
        <v>52683</v>
      </c>
      <c r="F9407" s="8" t="s">
        <v>52684</v>
      </c>
      <c r="G9407" s="6" t="s">
        <v>60</v>
      </c>
      <c r="H9407" s="6" t="s">
        <v>134</v>
      </c>
      <c r="I9407" s="8"/>
      <c r="J9407" s="9">
        <v>1</v>
      </c>
      <c r="K9407" s="9">
        <v>232</v>
      </c>
      <c r="L9407" s="9">
        <v>2020</v>
      </c>
      <c r="M9407" s="8" t="s">
        <v>52685</v>
      </c>
      <c r="N9407" s="8" t="s">
        <v>37</v>
      </c>
      <c r="O9407" s="8" t="s">
        <v>136</v>
      </c>
      <c r="P9407" s="6" t="s">
        <v>39</v>
      </c>
      <c r="Q9407" s="8" t="s">
        <v>40</v>
      </c>
      <c r="R9407" s="10" t="s">
        <v>684</v>
      </c>
      <c r="S9407" s="11"/>
      <c r="T9407" s="6"/>
      <c r="U9407" s="15" t="str">
        <f>HYPERLINK("https://media.infra-m.ru/1088/1088383/cover/1088383.jpg", "Обложка")</f>
        <v>Обложка</v>
      </c>
      <c r="V9407" s="8" t="s">
        <v>10951</v>
      </c>
      <c r="W9407" s="6"/>
      <c r="X9407" s="6"/>
      <c r="Y9407" s="6"/>
      <c r="Z9407" s="6"/>
      <c r="AA9407" s="6" t="s">
        <v>1256</v>
      </c>
      <c r="AB9407" s="8"/>
      <c r="AC9407" s="27">
        <v>9785001560456</v>
      </c>
    </row>
    <row r="9408" spans="1:29" s="4" customFormat="1" ht="42" customHeight="1" x14ac:dyDescent="0.2">
      <c r="A9408" s="5">
        <v>0</v>
      </c>
      <c r="B9408" s="6" t="s">
        <v>52686</v>
      </c>
      <c r="C9408" s="7">
        <v>1492.8</v>
      </c>
      <c r="D9408" s="8" t="s">
        <v>52687</v>
      </c>
      <c r="E9408" s="8" t="s">
        <v>52688</v>
      </c>
      <c r="F9408" s="8" t="s">
        <v>52689</v>
      </c>
      <c r="G9408" s="6" t="s">
        <v>60</v>
      </c>
      <c r="H9408" s="6" t="s">
        <v>34</v>
      </c>
      <c r="I9408" s="8" t="s">
        <v>271</v>
      </c>
      <c r="J9408" s="9">
        <v>1</v>
      </c>
      <c r="K9408" s="9">
        <v>270</v>
      </c>
      <c r="L9408" s="9">
        <v>2024</v>
      </c>
      <c r="M9408" s="8" t="s">
        <v>52690</v>
      </c>
      <c r="N9408" s="8" t="s">
        <v>37</v>
      </c>
      <c r="O9408" s="8" t="s">
        <v>499</v>
      </c>
      <c r="P9408" s="6" t="s">
        <v>51</v>
      </c>
      <c r="Q9408" s="8" t="s">
        <v>52</v>
      </c>
      <c r="R9408" s="10" t="s">
        <v>3565</v>
      </c>
      <c r="S9408" s="11"/>
      <c r="T9408" s="6" t="s">
        <v>97</v>
      </c>
      <c r="U9408" s="15" t="str">
        <f>HYPERLINK("https://media.infra-m.ru/2083/2083886/cover/2083886.jpg", "Обложка")</f>
        <v>Обложка</v>
      </c>
      <c r="V9408" s="8" t="s">
        <v>4322</v>
      </c>
      <c r="W9408" s="6"/>
      <c r="X9408" s="6"/>
      <c r="Y9408" s="6"/>
      <c r="Z9408" s="6"/>
      <c r="AA9408" s="6" t="s">
        <v>446</v>
      </c>
      <c r="AB9408" s="8"/>
      <c r="AC9408" s="27">
        <v>9785160094779</v>
      </c>
    </row>
    <row r="9409" spans="1:29" s="4" customFormat="1" ht="42" customHeight="1" x14ac:dyDescent="0.2">
      <c r="A9409" s="5">
        <v>0</v>
      </c>
      <c r="B9409" s="6" t="s">
        <v>52691</v>
      </c>
      <c r="C9409" s="7">
        <v>1733.9</v>
      </c>
      <c r="D9409" s="8" t="s">
        <v>52692</v>
      </c>
      <c r="E9409" s="8" t="s">
        <v>52693</v>
      </c>
      <c r="F9409" s="8" t="s">
        <v>45519</v>
      </c>
      <c r="G9409" s="6" t="s">
        <v>60</v>
      </c>
      <c r="H9409" s="6" t="s">
        <v>1042</v>
      </c>
      <c r="I9409" s="8" t="s">
        <v>253</v>
      </c>
      <c r="J9409" s="9">
        <v>1</v>
      </c>
      <c r="K9409" s="9">
        <v>320</v>
      </c>
      <c r="L9409" s="9">
        <v>2023</v>
      </c>
      <c r="M9409" s="8" t="s">
        <v>52694</v>
      </c>
      <c r="N9409" s="8" t="s">
        <v>37</v>
      </c>
      <c r="O9409" s="8" t="s">
        <v>499</v>
      </c>
      <c r="P9409" s="6" t="s">
        <v>51</v>
      </c>
      <c r="Q9409" s="8" t="s">
        <v>52</v>
      </c>
      <c r="R9409" s="10" t="s">
        <v>4320</v>
      </c>
      <c r="S9409" s="11"/>
      <c r="T9409" s="6"/>
      <c r="U9409" s="15" t="str">
        <f>HYPERLINK("https://media.infra-m.ru/1981/1981612/cover/1981612.jpg", "Обложка")</f>
        <v>Обложка</v>
      </c>
      <c r="V9409" s="8" t="s">
        <v>2001</v>
      </c>
      <c r="W9409" s="6"/>
      <c r="X9409" s="6"/>
      <c r="Y9409" s="6"/>
      <c r="Z9409" s="6"/>
      <c r="AA9409" s="6" t="s">
        <v>248</v>
      </c>
      <c r="AB9409" s="8"/>
      <c r="AC9409" s="27">
        <v>9785819905982</v>
      </c>
    </row>
    <row r="9410" spans="1:29" s="4" customFormat="1" ht="51.9" customHeight="1" x14ac:dyDescent="0.2">
      <c r="A9410" s="5">
        <v>0</v>
      </c>
      <c r="B9410" s="6" t="s">
        <v>52695</v>
      </c>
      <c r="C9410" s="7">
        <v>1212</v>
      </c>
      <c r="D9410" s="8" t="s">
        <v>52696</v>
      </c>
      <c r="E9410" s="8" t="s">
        <v>52697</v>
      </c>
      <c r="F9410" s="8" t="s">
        <v>52698</v>
      </c>
      <c r="G9410" s="6" t="s">
        <v>33</v>
      </c>
      <c r="H9410" s="6" t="s">
        <v>34</v>
      </c>
      <c r="I9410" s="8" t="s">
        <v>3119</v>
      </c>
      <c r="J9410" s="9">
        <v>1</v>
      </c>
      <c r="K9410" s="9">
        <v>184</v>
      </c>
      <c r="L9410" s="9">
        <v>2026</v>
      </c>
      <c r="M9410" s="8" t="s">
        <v>52699</v>
      </c>
      <c r="N9410" s="8" t="s">
        <v>243</v>
      </c>
      <c r="O9410" s="8" t="s">
        <v>385</v>
      </c>
      <c r="P9410" s="6" t="s">
        <v>234</v>
      </c>
      <c r="Q9410" s="8" t="s">
        <v>40</v>
      </c>
      <c r="R9410" s="10" t="s">
        <v>52700</v>
      </c>
      <c r="S9410" s="11"/>
      <c r="T9410" s="6"/>
      <c r="U9410" s="15" t="str">
        <f>HYPERLINK("https://media.infra-m.ru/2254/2254341/cover/2254341.jpg", "Обложка")</f>
        <v>Обложка</v>
      </c>
      <c r="V9410" s="8" t="s">
        <v>24350</v>
      </c>
      <c r="W9410" s="6"/>
      <c r="X9410" s="6"/>
      <c r="Y9410" s="6"/>
      <c r="Z9410" s="6"/>
      <c r="AA9410" s="6" t="s">
        <v>779</v>
      </c>
      <c r="AB9410" s="8"/>
      <c r="AC9410" s="27">
        <v>9785160113531</v>
      </c>
    </row>
    <row r="9411" spans="1:29" s="4" customFormat="1" ht="51.9" customHeight="1" x14ac:dyDescent="0.2">
      <c r="A9411" s="5">
        <v>0</v>
      </c>
      <c r="B9411" s="6" t="s">
        <v>52701</v>
      </c>
      <c r="C9411" s="7">
        <v>1000.8</v>
      </c>
      <c r="D9411" s="8" t="s">
        <v>52702</v>
      </c>
      <c r="E9411" s="8" t="s">
        <v>52703</v>
      </c>
      <c r="F9411" s="8" t="s">
        <v>52704</v>
      </c>
      <c r="G9411" s="6" t="s">
        <v>118</v>
      </c>
      <c r="H9411" s="6" t="s">
        <v>1042</v>
      </c>
      <c r="I9411" s="8" t="s">
        <v>271</v>
      </c>
      <c r="J9411" s="9">
        <v>1</v>
      </c>
      <c r="K9411" s="9">
        <v>160</v>
      </c>
      <c r="L9411" s="9">
        <v>2025</v>
      </c>
      <c r="M9411" s="8" t="s">
        <v>52705</v>
      </c>
      <c r="N9411" s="8" t="s">
        <v>243</v>
      </c>
      <c r="O9411" s="8" t="s">
        <v>244</v>
      </c>
      <c r="P9411" s="6" t="s">
        <v>51</v>
      </c>
      <c r="Q9411" s="8" t="s">
        <v>52</v>
      </c>
      <c r="R9411" s="10" t="s">
        <v>27301</v>
      </c>
      <c r="S9411" s="11" t="s">
        <v>52706</v>
      </c>
      <c r="T9411" s="6"/>
      <c r="U9411" s="15" t="str">
        <f>HYPERLINK("https://media.infra-m.ru/2188/2188704/cover/2188704.jpg", "Обложка")</f>
        <v>Обложка</v>
      </c>
      <c r="V9411" s="8" t="s">
        <v>3428</v>
      </c>
      <c r="W9411" s="6"/>
      <c r="X9411" s="6"/>
      <c r="Y9411" s="6"/>
      <c r="Z9411" s="6"/>
      <c r="AA9411" s="6" t="s">
        <v>561</v>
      </c>
      <c r="AB9411" s="8"/>
      <c r="AC9411" s="27">
        <v>9785819908860</v>
      </c>
    </row>
    <row r="9412" spans="1:29" s="4" customFormat="1" ht="42" customHeight="1" x14ac:dyDescent="0.2">
      <c r="A9412" s="5">
        <v>0</v>
      </c>
      <c r="B9412" s="6" t="s">
        <v>52707</v>
      </c>
      <c r="C9412" s="7">
        <v>1584</v>
      </c>
      <c r="D9412" s="8" t="s">
        <v>52708</v>
      </c>
      <c r="E9412" s="8" t="s">
        <v>52709</v>
      </c>
      <c r="F9412" s="8" t="s">
        <v>41887</v>
      </c>
      <c r="G9412" s="6" t="s">
        <v>118</v>
      </c>
      <c r="H9412" s="6" t="s">
        <v>134</v>
      </c>
      <c r="I9412" s="8"/>
      <c r="J9412" s="9">
        <v>1</v>
      </c>
      <c r="K9412" s="9">
        <v>240</v>
      </c>
      <c r="L9412" s="9">
        <v>2026</v>
      </c>
      <c r="M9412" s="8" t="s">
        <v>52710</v>
      </c>
      <c r="N9412" s="8" t="s">
        <v>37</v>
      </c>
      <c r="O9412" s="8" t="s">
        <v>136</v>
      </c>
      <c r="P9412" s="6" t="s">
        <v>51</v>
      </c>
      <c r="Q9412" s="8" t="s">
        <v>52</v>
      </c>
      <c r="R9412" s="10" t="s">
        <v>1255</v>
      </c>
      <c r="S9412" s="11"/>
      <c r="T9412" s="6"/>
      <c r="U9412" s="15" t="str">
        <f>HYPERLINK("https://media.infra-m.ru/2219/2219401/cover/2219401.jpg", "Обложка")</f>
        <v>Обложка</v>
      </c>
      <c r="V9412" s="8" t="s">
        <v>1184</v>
      </c>
      <c r="W9412" s="6"/>
      <c r="X9412" s="6"/>
      <c r="Y9412" s="6"/>
      <c r="Z9412" s="6"/>
      <c r="AA9412" s="6" t="s">
        <v>148</v>
      </c>
      <c r="AB9412" s="8"/>
      <c r="AC9412" s="27">
        <v>9785001561965</v>
      </c>
    </row>
    <row r="9413" spans="1:29" s="4" customFormat="1" ht="51.9" customHeight="1" x14ac:dyDescent="0.2">
      <c r="A9413" s="5">
        <v>0</v>
      </c>
      <c r="B9413" s="6" t="s">
        <v>52711</v>
      </c>
      <c r="C9413" s="7">
        <v>2188.8000000000002</v>
      </c>
      <c r="D9413" s="8" t="s">
        <v>52712</v>
      </c>
      <c r="E9413" s="8" t="s">
        <v>52713</v>
      </c>
      <c r="F9413" s="8" t="s">
        <v>6484</v>
      </c>
      <c r="G9413" s="6" t="s">
        <v>118</v>
      </c>
      <c r="H9413" s="6" t="s">
        <v>34</v>
      </c>
      <c r="I9413" s="8" t="s">
        <v>5350</v>
      </c>
      <c r="J9413" s="9">
        <v>1</v>
      </c>
      <c r="K9413" s="9">
        <v>332</v>
      </c>
      <c r="L9413" s="9">
        <v>2026</v>
      </c>
      <c r="M9413" s="8" t="s">
        <v>52714</v>
      </c>
      <c r="N9413" s="8" t="s">
        <v>243</v>
      </c>
      <c r="O9413" s="8" t="s">
        <v>964</v>
      </c>
      <c r="P9413" s="6" t="s">
        <v>51</v>
      </c>
      <c r="Q9413" s="8" t="s">
        <v>377</v>
      </c>
      <c r="R9413" s="10" t="s">
        <v>47626</v>
      </c>
      <c r="S9413" s="11" t="s">
        <v>52715</v>
      </c>
      <c r="T9413" s="6"/>
      <c r="U9413" s="15" t="str">
        <f>HYPERLINK("https://media.infra-m.ru/2239/2239527/cover/2239527.jpg", "Обложка")</f>
        <v>Обложка</v>
      </c>
      <c r="V9413" s="8" t="s">
        <v>4943</v>
      </c>
      <c r="W9413" s="6"/>
      <c r="X9413" s="6"/>
      <c r="Y9413" s="6"/>
      <c r="Z9413" s="6"/>
      <c r="AA9413" s="6" t="s">
        <v>99</v>
      </c>
      <c r="AB9413" s="8"/>
      <c r="AC9413" s="27">
        <v>9785160120928</v>
      </c>
    </row>
    <row r="9414" spans="1:29" s="4" customFormat="1" ht="51.9" customHeight="1" x14ac:dyDescent="0.2">
      <c r="A9414" s="5">
        <v>0</v>
      </c>
      <c r="B9414" s="6" t="s">
        <v>52716</v>
      </c>
      <c r="C9414" s="7">
        <v>1968</v>
      </c>
      <c r="D9414" s="8" t="s">
        <v>52717</v>
      </c>
      <c r="E9414" s="8" t="s">
        <v>52718</v>
      </c>
      <c r="F9414" s="8" t="s">
        <v>52719</v>
      </c>
      <c r="G9414" s="6" t="s">
        <v>60</v>
      </c>
      <c r="H9414" s="6" t="s">
        <v>34</v>
      </c>
      <c r="I9414" s="8" t="s">
        <v>1248</v>
      </c>
      <c r="J9414" s="9">
        <v>1</v>
      </c>
      <c r="K9414" s="9">
        <v>292</v>
      </c>
      <c r="L9414" s="9">
        <v>2026</v>
      </c>
      <c r="M9414" s="8" t="s">
        <v>52720</v>
      </c>
      <c r="N9414" s="8" t="s">
        <v>243</v>
      </c>
      <c r="O9414" s="8" t="s">
        <v>964</v>
      </c>
      <c r="P9414" s="6" t="s">
        <v>51</v>
      </c>
      <c r="Q9414" s="8" t="s">
        <v>52</v>
      </c>
      <c r="R9414" s="10" t="s">
        <v>52721</v>
      </c>
      <c r="S9414" s="11"/>
      <c r="T9414" s="6"/>
      <c r="U9414" s="15" t="str">
        <f>HYPERLINK("https://media.infra-m.ru/2223/2223422/cover/2223422.jpg", "Обложка")</f>
        <v>Обложка</v>
      </c>
      <c r="V9414" s="8" t="s">
        <v>1083</v>
      </c>
      <c r="W9414" s="6" t="s">
        <v>186</v>
      </c>
      <c r="X9414" s="6"/>
      <c r="Y9414" s="6"/>
      <c r="Z9414" s="6"/>
      <c r="AA9414" s="6" t="s">
        <v>187</v>
      </c>
      <c r="AB9414" s="8"/>
      <c r="AC9414" s="27">
        <v>9785160213828</v>
      </c>
    </row>
    <row r="9415" spans="1:29" s="4" customFormat="1" ht="42" customHeight="1" x14ac:dyDescent="0.2">
      <c r="A9415" s="5">
        <v>0</v>
      </c>
      <c r="B9415" s="6" t="s">
        <v>52722</v>
      </c>
      <c r="C9415" s="7">
        <v>1260</v>
      </c>
      <c r="D9415" s="8" t="s">
        <v>52723</v>
      </c>
      <c r="E9415" s="8" t="s">
        <v>52724</v>
      </c>
      <c r="F9415" s="8" t="s">
        <v>52725</v>
      </c>
      <c r="G9415" s="6" t="s">
        <v>60</v>
      </c>
      <c r="H9415" s="6" t="s">
        <v>34</v>
      </c>
      <c r="I9415" s="8" t="s">
        <v>263</v>
      </c>
      <c r="J9415" s="9">
        <v>1</v>
      </c>
      <c r="K9415" s="9">
        <v>183</v>
      </c>
      <c r="L9415" s="9">
        <v>2025</v>
      </c>
      <c r="M9415" s="8" t="s">
        <v>52726</v>
      </c>
      <c r="N9415" s="8" t="s">
        <v>243</v>
      </c>
      <c r="O9415" s="8" t="s">
        <v>964</v>
      </c>
      <c r="P9415" s="6" t="s">
        <v>51</v>
      </c>
      <c r="Q9415" s="8" t="s">
        <v>265</v>
      </c>
      <c r="R9415" s="10" t="s">
        <v>44577</v>
      </c>
      <c r="S9415" s="11"/>
      <c r="T9415" s="6"/>
      <c r="U9415" s="15" t="str">
        <f>HYPERLINK("https://media.infra-m.ru/2169/2169269/cover/2169269.jpg", "Обложка")</f>
        <v>Обложка</v>
      </c>
      <c r="V9415" s="8" t="s">
        <v>52727</v>
      </c>
      <c r="W9415" s="6"/>
      <c r="X9415" s="6"/>
      <c r="Y9415" s="6"/>
      <c r="Z9415" s="6"/>
      <c r="AA9415" s="6" t="s">
        <v>68</v>
      </c>
      <c r="AB9415" s="8" t="s">
        <v>3366</v>
      </c>
      <c r="AC9415" s="27">
        <v>9785160203072</v>
      </c>
    </row>
    <row r="9416" spans="1:29" s="4" customFormat="1" ht="42" customHeight="1" x14ac:dyDescent="0.2">
      <c r="A9416" s="5">
        <v>0</v>
      </c>
      <c r="B9416" s="6" t="s">
        <v>52728</v>
      </c>
      <c r="C9416" s="7">
        <v>1620</v>
      </c>
      <c r="D9416" s="8" t="s">
        <v>52729</v>
      </c>
      <c r="E9416" s="8" t="s">
        <v>52730</v>
      </c>
      <c r="F9416" s="8" t="s">
        <v>52731</v>
      </c>
      <c r="G9416" s="6" t="s">
        <v>60</v>
      </c>
      <c r="H9416" s="6" t="s">
        <v>34</v>
      </c>
      <c r="I9416" s="8" t="s">
        <v>5350</v>
      </c>
      <c r="J9416" s="9">
        <v>1</v>
      </c>
      <c r="K9416" s="9">
        <v>277</v>
      </c>
      <c r="L9416" s="9">
        <v>2024</v>
      </c>
      <c r="M9416" s="8" t="s">
        <v>52732</v>
      </c>
      <c r="N9416" s="8" t="s">
        <v>243</v>
      </c>
      <c r="O9416" s="8" t="s">
        <v>964</v>
      </c>
      <c r="P9416" s="6" t="s">
        <v>51</v>
      </c>
      <c r="Q9416" s="8" t="s">
        <v>377</v>
      </c>
      <c r="R9416" s="10" t="s">
        <v>52733</v>
      </c>
      <c r="S9416" s="11"/>
      <c r="T9416" s="6"/>
      <c r="U9416" s="15" t="str">
        <f>HYPERLINK("https://media.infra-m.ru/1900/1900961/cover/1900961.jpg", "Обложка")</f>
        <v>Обложка</v>
      </c>
      <c r="V9416" s="8" t="s">
        <v>27395</v>
      </c>
      <c r="W9416" s="6"/>
      <c r="X9416" s="6"/>
      <c r="Y9416" s="6"/>
      <c r="Z9416" s="6"/>
      <c r="AA9416" s="6" t="s">
        <v>76</v>
      </c>
      <c r="AB9416" s="8"/>
      <c r="AC9416" s="27">
        <v>9785160179803</v>
      </c>
    </row>
    <row r="9417" spans="1:29" s="4" customFormat="1" ht="51.9" customHeight="1" x14ac:dyDescent="0.2">
      <c r="A9417" s="5">
        <v>0</v>
      </c>
      <c r="B9417" s="6" t="s">
        <v>52734</v>
      </c>
      <c r="C9417" s="7">
        <v>1896</v>
      </c>
      <c r="D9417" s="8" t="s">
        <v>52735</v>
      </c>
      <c r="E9417" s="8" t="s">
        <v>52736</v>
      </c>
      <c r="F9417" s="8" t="s">
        <v>52737</v>
      </c>
      <c r="G9417" s="6" t="s">
        <v>118</v>
      </c>
      <c r="H9417" s="6" t="s">
        <v>34</v>
      </c>
      <c r="I9417" s="8" t="s">
        <v>954</v>
      </c>
      <c r="J9417" s="9">
        <v>1</v>
      </c>
      <c r="K9417" s="9">
        <v>273</v>
      </c>
      <c r="L9417" s="9">
        <v>2026</v>
      </c>
      <c r="M9417" s="8" t="s">
        <v>52738</v>
      </c>
      <c r="N9417" s="8" t="s">
        <v>37</v>
      </c>
      <c r="O9417" s="8" t="s">
        <v>290</v>
      </c>
      <c r="P9417" s="6" t="s">
        <v>306</v>
      </c>
      <c r="Q9417" s="8" t="s">
        <v>65</v>
      </c>
      <c r="R9417" s="10" t="s">
        <v>52739</v>
      </c>
      <c r="S9417" s="11" t="s">
        <v>52740</v>
      </c>
      <c r="T9417" s="6"/>
      <c r="U9417" s="15" t="str">
        <f>HYPERLINK("https://media.infra-m.ru/2259/2259907/cover/2259907.jpg", "Обложка")</f>
        <v>Обложка</v>
      </c>
      <c r="V9417" s="8" t="s">
        <v>958</v>
      </c>
      <c r="W9417" s="6"/>
      <c r="X9417" s="6"/>
      <c r="Y9417" s="6"/>
      <c r="Z9417" s="6"/>
      <c r="AA9417" s="6" t="s">
        <v>115</v>
      </c>
      <c r="AB9417" s="8"/>
      <c r="AC9417" s="27">
        <v>9785160150253</v>
      </c>
    </row>
    <row r="9418" spans="1:29" s="4" customFormat="1" ht="42" customHeight="1" x14ac:dyDescent="0.2">
      <c r="A9418" s="5">
        <v>0</v>
      </c>
      <c r="B9418" s="6" t="s">
        <v>52741</v>
      </c>
      <c r="C9418" s="7">
        <v>3468</v>
      </c>
      <c r="D9418" s="8" t="s">
        <v>52742</v>
      </c>
      <c r="E9418" s="8" t="s">
        <v>52743</v>
      </c>
      <c r="F9418" s="8" t="s">
        <v>52744</v>
      </c>
      <c r="G9418" s="6" t="s">
        <v>60</v>
      </c>
      <c r="H9418" s="6" t="s">
        <v>34</v>
      </c>
      <c r="I9418" s="8" t="s">
        <v>6963</v>
      </c>
      <c r="J9418" s="9">
        <v>1</v>
      </c>
      <c r="K9418" s="9">
        <v>542</v>
      </c>
      <c r="L9418" s="9">
        <v>2026</v>
      </c>
      <c r="M9418" s="8" t="s">
        <v>52745</v>
      </c>
      <c r="N9418" s="8" t="s">
        <v>37</v>
      </c>
      <c r="O9418" s="8" t="s">
        <v>290</v>
      </c>
      <c r="P9418" s="6" t="s">
        <v>306</v>
      </c>
      <c r="Q9418" s="8" t="s">
        <v>65</v>
      </c>
      <c r="R9418" s="10" t="s">
        <v>52746</v>
      </c>
      <c r="S9418" s="11"/>
      <c r="T9418" s="6"/>
      <c r="U9418" s="15" t="str">
        <f>HYPERLINK("https://media.infra-m.ru/2171/2171087/cover/2171087.jpg", "Обложка")</f>
        <v>Обложка</v>
      </c>
      <c r="V9418" s="8" t="s">
        <v>6967</v>
      </c>
      <c r="W9418" s="6"/>
      <c r="X9418" s="6"/>
      <c r="Y9418" s="6"/>
      <c r="Z9418" s="6"/>
      <c r="AA9418" s="6" t="s">
        <v>187</v>
      </c>
      <c r="AB9418" s="8"/>
      <c r="AC9418" s="27">
        <v>9785160203928</v>
      </c>
    </row>
    <row r="9419" spans="1:29" s="4" customFormat="1" ht="51.9" customHeight="1" x14ac:dyDescent="0.2">
      <c r="A9419" s="5">
        <v>0</v>
      </c>
      <c r="B9419" s="6" t="s">
        <v>52747</v>
      </c>
      <c r="C9419" s="7">
        <v>1252.8</v>
      </c>
      <c r="D9419" s="8" t="s">
        <v>52748</v>
      </c>
      <c r="E9419" s="8" t="s">
        <v>52749</v>
      </c>
      <c r="F9419" s="8" t="s">
        <v>52750</v>
      </c>
      <c r="G9419" s="6" t="s">
        <v>118</v>
      </c>
      <c r="H9419" s="6" t="s">
        <v>34</v>
      </c>
      <c r="I9419" s="8" t="s">
        <v>5350</v>
      </c>
      <c r="J9419" s="9">
        <v>1</v>
      </c>
      <c r="K9419" s="9">
        <v>201</v>
      </c>
      <c r="L9419" s="9">
        <v>2025</v>
      </c>
      <c r="M9419" s="8" t="s">
        <v>52751</v>
      </c>
      <c r="N9419" s="8" t="s">
        <v>243</v>
      </c>
      <c r="O9419" s="8" t="s">
        <v>758</v>
      </c>
      <c r="P9419" s="6" t="s">
        <v>51</v>
      </c>
      <c r="Q9419" s="8" t="s">
        <v>377</v>
      </c>
      <c r="R9419" s="10" t="s">
        <v>52752</v>
      </c>
      <c r="S9419" s="11" t="s">
        <v>52753</v>
      </c>
      <c r="T9419" s="6"/>
      <c r="U9419" s="15" t="str">
        <f>HYPERLINK("https://media.infra-m.ru/2196/2196083/cover/2196083.jpg", "Обложка")</f>
        <v>Обложка</v>
      </c>
      <c r="V9419" s="8" t="s">
        <v>40431</v>
      </c>
      <c r="W9419" s="6"/>
      <c r="X9419" s="6" t="s">
        <v>24</v>
      </c>
      <c r="Y9419" s="6"/>
      <c r="Z9419" s="6"/>
      <c r="AA9419" s="6" t="s">
        <v>218</v>
      </c>
      <c r="AB9419" s="8"/>
      <c r="AC9419" s="27">
        <v>9785160160047</v>
      </c>
    </row>
    <row r="9420" spans="1:29" s="4" customFormat="1" ht="51.9" customHeight="1" x14ac:dyDescent="0.2">
      <c r="A9420" s="5">
        <v>0</v>
      </c>
      <c r="B9420" s="6" t="s">
        <v>52754</v>
      </c>
      <c r="C9420" s="13">
        <v>581.9</v>
      </c>
      <c r="D9420" s="8" t="s">
        <v>52755</v>
      </c>
      <c r="E9420" s="8" t="s">
        <v>52756</v>
      </c>
      <c r="F9420" s="8" t="s">
        <v>52757</v>
      </c>
      <c r="G9420" s="6" t="s">
        <v>33</v>
      </c>
      <c r="H9420" s="6" t="s">
        <v>48</v>
      </c>
      <c r="I9420" s="8" t="s">
        <v>253</v>
      </c>
      <c r="J9420" s="9">
        <v>1</v>
      </c>
      <c r="K9420" s="9">
        <v>144</v>
      </c>
      <c r="L9420" s="9">
        <v>2020</v>
      </c>
      <c r="M9420" s="8" t="s">
        <v>52758</v>
      </c>
      <c r="N9420" s="8" t="s">
        <v>243</v>
      </c>
      <c r="O9420" s="8" t="s">
        <v>964</v>
      </c>
      <c r="P9420" s="6" t="s">
        <v>51</v>
      </c>
      <c r="Q9420" s="8" t="s">
        <v>52</v>
      </c>
      <c r="R9420" s="10" t="s">
        <v>52752</v>
      </c>
      <c r="S9420" s="11" t="s">
        <v>52759</v>
      </c>
      <c r="T9420" s="6"/>
      <c r="U9420" s="15" t="str">
        <f>HYPERLINK("https://media.infra-m.ru/1057/1057776/cover/1057776.jpg", "Обложка")</f>
        <v>Обложка</v>
      </c>
      <c r="V9420" s="8" t="s">
        <v>40431</v>
      </c>
      <c r="W9420" s="6"/>
      <c r="X9420" s="6" t="s">
        <v>24</v>
      </c>
      <c r="Y9420" s="6"/>
      <c r="Z9420" s="6"/>
      <c r="AA9420" s="6" t="s">
        <v>274</v>
      </c>
      <c r="AB9420" s="8"/>
      <c r="AC9420" s="27">
        <v>9785911349639</v>
      </c>
    </row>
    <row r="9421" spans="1:29" s="4" customFormat="1" ht="51.9" customHeight="1" x14ac:dyDescent="0.2">
      <c r="A9421" s="5">
        <v>0</v>
      </c>
      <c r="B9421" s="6" t="s">
        <v>52760</v>
      </c>
      <c r="C9421" s="7">
        <v>2492.4</v>
      </c>
      <c r="D9421" s="8" t="s">
        <v>52761</v>
      </c>
      <c r="E9421" s="8" t="s">
        <v>52762</v>
      </c>
      <c r="F9421" s="8" t="s">
        <v>52763</v>
      </c>
      <c r="G9421" s="6" t="s">
        <v>33</v>
      </c>
      <c r="H9421" s="6" t="s">
        <v>34</v>
      </c>
      <c r="I9421" s="8" t="s">
        <v>954</v>
      </c>
      <c r="J9421" s="9">
        <v>1</v>
      </c>
      <c r="K9421" s="9">
        <v>199</v>
      </c>
      <c r="L9421" s="9">
        <v>2026</v>
      </c>
      <c r="M9421" s="8" t="s">
        <v>52764</v>
      </c>
      <c r="N9421" s="8" t="s">
        <v>37</v>
      </c>
      <c r="O9421" s="8" t="s">
        <v>290</v>
      </c>
      <c r="P9421" s="6" t="s">
        <v>51</v>
      </c>
      <c r="Q9421" s="8" t="s">
        <v>65</v>
      </c>
      <c r="R9421" s="10" t="s">
        <v>37063</v>
      </c>
      <c r="S9421" s="11"/>
      <c r="T9421" s="6"/>
      <c r="U9421" s="15" t="str">
        <f>HYPERLINK("https://media.infra-m.ru/2220/2220202/cover/2220202.jpg", "Обложка")</f>
        <v>Обложка</v>
      </c>
      <c r="V9421" s="8" t="s">
        <v>958</v>
      </c>
      <c r="W9421" s="6"/>
      <c r="X9421" s="6"/>
      <c r="Y9421" s="6"/>
      <c r="Z9421" s="6"/>
      <c r="AA9421" s="6" t="s">
        <v>76</v>
      </c>
      <c r="AB9421" s="8"/>
      <c r="AC9421" s="27">
        <v>9785160190167</v>
      </c>
    </row>
    <row r="9422" spans="1:29" s="4" customFormat="1" ht="51.9" customHeight="1" x14ac:dyDescent="0.2">
      <c r="A9422" s="5">
        <v>0</v>
      </c>
      <c r="B9422" s="6" t="s">
        <v>52765</v>
      </c>
      <c r="C9422" s="7">
        <v>1396.8</v>
      </c>
      <c r="D9422" s="8" t="s">
        <v>52766</v>
      </c>
      <c r="E9422" s="8" t="s">
        <v>52767</v>
      </c>
      <c r="F9422" s="8" t="s">
        <v>52768</v>
      </c>
      <c r="G9422" s="6" t="s">
        <v>60</v>
      </c>
      <c r="H9422" s="6" t="s">
        <v>34</v>
      </c>
      <c r="I9422" s="8" t="s">
        <v>504</v>
      </c>
      <c r="J9422" s="9">
        <v>1</v>
      </c>
      <c r="K9422" s="9">
        <v>200</v>
      </c>
      <c r="L9422" s="9">
        <v>2026</v>
      </c>
      <c r="M9422" s="8" t="s">
        <v>52769</v>
      </c>
      <c r="N9422" s="8" t="s">
        <v>243</v>
      </c>
      <c r="O9422" s="8" t="s">
        <v>758</v>
      </c>
      <c r="P9422" s="6" t="s">
        <v>306</v>
      </c>
      <c r="Q9422" s="8" t="s">
        <v>500</v>
      </c>
      <c r="R9422" s="10" t="s">
        <v>52770</v>
      </c>
      <c r="S9422" s="11" t="s">
        <v>52771</v>
      </c>
      <c r="T9422" s="6"/>
      <c r="U9422" s="15" t="str">
        <f>HYPERLINK("https://media.infra-m.ru/2259/2259966/cover/2259966.jpg", "Обложка")</f>
        <v>Обложка</v>
      </c>
      <c r="V9422" s="8" t="s">
        <v>3109</v>
      </c>
      <c r="W9422" s="6"/>
      <c r="X9422" s="6"/>
      <c r="Y9422" s="6"/>
      <c r="Z9422" s="6"/>
      <c r="AA9422" s="6" t="s">
        <v>430</v>
      </c>
      <c r="AB9422" s="8"/>
      <c r="AC9422" s="27">
        <v>9785160142364</v>
      </c>
    </row>
    <row r="9423" spans="1:29" s="4" customFormat="1" ht="51.9" customHeight="1" x14ac:dyDescent="0.2">
      <c r="A9423" s="5">
        <v>0</v>
      </c>
      <c r="B9423" s="6" t="s">
        <v>52772</v>
      </c>
      <c r="C9423" s="7">
        <v>1564.8</v>
      </c>
      <c r="D9423" s="8" t="s">
        <v>52773</v>
      </c>
      <c r="E9423" s="8" t="s">
        <v>52774</v>
      </c>
      <c r="F9423" s="8" t="s">
        <v>52775</v>
      </c>
      <c r="G9423" s="6" t="s">
        <v>118</v>
      </c>
      <c r="H9423" s="6" t="s">
        <v>34</v>
      </c>
      <c r="I9423" s="8" t="s">
        <v>263</v>
      </c>
      <c r="J9423" s="9">
        <v>1</v>
      </c>
      <c r="K9423" s="9">
        <v>237</v>
      </c>
      <c r="L9423" s="9">
        <v>2026</v>
      </c>
      <c r="M9423" s="8" t="s">
        <v>52776</v>
      </c>
      <c r="N9423" s="8" t="s">
        <v>243</v>
      </c>
      <c r="O9423" s="8" t="s">
        <v>798</v>
      </c>
      <c r="P9423" s="6" t="s">
        <v>306</v>
      </c>
      <c r="Q9423" s="8" t="s">
        <v>265</v>
      </c>
      <c r="R9423" s="10" t="s">
        <v>52777</v>
      </c>
      <c r="S9423" s="11" t="s">
        <v>52778</v>
      </c>
      <c r="T9423" s="6"/>
      <c r="U9423" s="15" t="str">
        <f>HYPERLINK("https://media.infra-m.ru/2227/2227858/cover/2227858.jpg", "Обложка")</f>
        <v>Обложка</v>
      </c>
      <c r="V9423" s="8" t="s">
        <v>809</v>
      </c>
      <c r="W9423" s="6"/>
      <c r="X9423" s="6"/>
      <c r="Y9423" s="6"/>
      <c r="Z9423" s="6"/>
      <c r="AA9423" s="6" t="s">
        <v>4554</v>
      </c>
      <c r="AB9423" s="8"/>
      <c r="AC9423" s="27">
        <v>9785160187532</v>
      </c>
    </row>
    <row r="9424" spans="1:29" s="4" customFormat="1" ht="51.9" customHeight="1" x14ac:dyDescent="0.2">
      <c r="A9424" s="5">
        <v>0</v>
      </c>
      <c r="B9424" s="6" t="s">
        <v>52779</v>
      </c>
      <c r="C9424" s="7">
        <v>2508</v>
      </c>
      <c r="D9424" s="8" t="s">
        <v>52780</v>
      </c>
      <c r="E9424" s="8" t="s">
        <v>52781</v>
      </c>
      <c r="F9424" s="8" t="s">
        <v>52782</v>
      </c>
      <c r="G9424" s="6" t="s">
        <v>118</v>
      </c>
      <c r="H9424" s="6" t="s">
        <v>820</v>
      </c>
      <c r="I9424" s="8" t="s">
        <v>263</v>
      </c>
      <c r="J9424" s="9">
        <v>1</v>
      </c>
      <c r="K9424" s="9">
        <v>360</v>
      </c>
      <c r="L9424" s="9">
        <v>2027</v>
      </c>
      <c r="M9424" s="8" t="s">
        <v>52783</v>
      </c>
      <c r="N9424" s="8" t="s">
        <v>243</v>
      </c>
      <c r="O9424" s="8" t="s">
        <v>244</v>
      </c>
      <c r="P9424" s="6" t="s">
        <v>306</v>
      </c>
      <c r="Q9424" s="8" t="s">
        <v>265</v>
      </c>
      <c r="R9424" s="10" t="s">
        <v>52784</v>
      </c>
      <c r="S9424" s="11"/>
      <c r="T9424" s="6"/>
      <c r="U9424" s="15" t="str">
        <f>HYPERLINK("https://media.infra-m.ru/2263/2263970/cover/2263970.jpg", "Обложка")</f>
        <v>Обложка</v>
      </c>
      <c r="V9424" s="8" t="s">
        <v>2398</v>
      </c>
      <c r="W9424" s="6"/>
      <c r="X9424" s="6" t="s">
        <v>24</v>
      </c>
      <c r="Y9424" s="6"/>
      <c r="Z9424" s="6"/>
      <c r="AA9424" s="6" t="s">
        <v>99</v>
      </c>
      <c r="AB9424" s="8"/>
      <c r="AC9424" s="27">
        <v>9785906923066</v>
      </c>
    </row>
    <row r="9425" spans="1:29" s="4" customFormat="1" ht="51.9" customHeight="1" x14ac:dyDescent="0.2">
      <c r="A9425" s="5">
        <v>0</v>
      </c>
      <c r="B9425" s="6" t="s">
        <v>52785</v>
      </c>
      <c r="C9425" s="7">
        <v>1224</v>
      </c>
      <c r="D9425" s="8" t="s">
        <v>52786</v>
      </c>
      <c r="E9425" s="8" t="s">
        <v>52787</v>
      </c>
      <c r="F9425" s="8"/>
      <c r="G9425" s="6" t="s">
        <v>118</v>
      </c>
      <c r="H9425" s="6" t="s">
        <v>34</v>
      </c>
      <c r="I9425" s="8" t="s">
        <v>253</v>
      </c>
      <c r="J9425" s="9">
        <v>1</v>
      </c>
      <c r="K9425" s="9">
        <v>176</v>
      </c>
      <c r="L9425" s="9">
        <v>2026</v>
      </c>
      <c r="M9425" s="8" t="s">
        <v>52788</v>
      </c>
      <c r="N9425" s="8" t="s">
        <v>243</v>
      </c>
      <c r="O9425" s="8" t="s">
        <v>1100</v>
      </c>
      <c r="P9425" s="6" t="s">
        <v>394</v>
      </c>
      <c r="Q9425" s="8" t="s">
        <v>65</v>
      </c>
      <c r="R9425" s="10" t="s">
        <v>52789</v>
      </c>
      <c r="S9425" s="11" t="s">
        <v>52790</v>
      </c>
      <c r="T9425" s="6"/>
      <c r="U9425" s="15" t="str">
        <f>HYPERLINK("https://media.infra-m.ru/2246/2246894/cover/2246894.jpg", "Обложка")</f>
        <v>Обложка</v>
      </c>
      <c r="V9425" s="8" t="s">
        <v>227</v>
      </c>
      <c r="W9425" s="6"/>
      <c r="X9425" s="6"/>
      <c r="Y9425" s="6"/>
      <c r="Z9425" s="6"/>
      <c r="AA9425" s="6" t="s">
        <v>248</v>
      </c>
      <c r="AB9425" s="8"/>
      <c r="AC9425" s="27">
        <v>9785160189277</v>
      </c>
    </row>
    <row r="9426" spans="1:29" s="4" customFormat="1" ht="51.9" customHeight="1" x14ac:dyDescent="0.2">
      <c r="A9426" s="5">
        <v>0</v>
      </c>
      <c r="B9426" s="6" t="s">
        <v>52791</v>
      </c>
      <c r="C9426" s="7">
        <v>1908</v>
      </c>
      <c r="D9426" s="8" t="s">
        <v>52792</v>
      </c>
      <c r="E9426" s="8" t="s">
        <v>52793</v>
      </c>
      <c r="F9426" s="8" t="s">
        <v>47642</v>
      </c>
      <c r="G9426" s="6" t="s">
        <v>118</v>
      </c>
      <c r="H9426" s="6" t="s">
        <v>34</v>
      </c>
      <c r="I9426" s="8" t="s">
        <v>263</v>
      </c>
      <c r="J9426" s="9">
        <v>1</v>
      </c>
      <c r="K9426" s="9">
        <v>288</v>
      </c>
      <c r="L9426" s="9">
        <v>2026</v>
      </c>
      <c r="M9426" s="8" t="s">
        <v>52794</v>
      </c>
      <c r="N9426" s="8" t="s">
        <v>243</v>
      </c>
      <c r="O9426" s="8" t="s">
        <v>758</v>
      </c>
      <c r="P9426" s="6" t="s">
        <v>51</v>
      </c>
      <c r="Q9426" s="8" t="s">
        <v>265</v>
      </c>
      <c r="R9426" s="10" t="s">
        <v>52795</v>
      </c>
      <c r="S9426" s="11" t="s">
        <v>52796</v>
      </c>
      <c r="T9426" s="6"/>
      <c r="U9426" s="15" t="str">
        <f>HYPERLINK("https://media.infra-m.ru/2222/2222668/cover/2222668.jpg", "Обложка")</f>
        <v>Обложка</v>
      </c>
      <c r="V9426" s="8" t="s">
        <v>13400</v>
      </c>
      <c r="W9426" s="6"/>
      <c r="X9426" s="6" t="s">
        <v>24</v>
      </c>
      <c r="Y9426" s="6"/>
      <c r="Z9426" s="6" t="s">
        <v>267</v>
      </c>
      <c r="AA9426" s="6" t="s">
        <v>115</v>
      </c>
      <c r="AB9426" s="8"/>
      <c r="AC9426" s="27">
        <v>9785160144580</v>
      </c>
    </row>
    <row r="9427" spans="1:29" s="4" customFormat="1" ht="51.9" customHeight="1" x14ac:dyDescent="0.2">
      <c r="A9427" s="5">
        <v>0</v>
      </c>
      <c r="B9427" s="6" t="s">
        <v>52797</v>
      </c>
      <c r="C9427" s="7">
        <v>1860</v>
      </c>
      <c r="D9427" s="8" t="s">
        <v>52798</v>
      </c>
      <c r="E9427" s="8" t="s">
        <v>52793</v>
      </c>
      <c r="F9427" s="8" t="s">
        <v>47642</v>
      </c>
      <c r="G9427" s="6" t="s">
        <v>118</v>
      </c>
      <c r="H9427" s="6" t="s">
        <v>34</v>
      </c>
      <c r="I9427" s="8" t="s">
        <v>253</v>
      </c>
      <c r="J9427" s="9">
        <v>1</v>
      </c>
      <c r="K9427" s="9">
        <v>288</v>
      </c>
      <c r="L9427" s="9">
        <v>2026</v>
      </c>
      <c r="M9427" s="8" t="s">
        <v>52799</v>
      </c>
      <c r="N9427" s="8" t="s">
        <v>243</v>
      </c>
      <c r="O9427" s="8" t="s">
        <v>758</v>
      </c>
      <c r="P9427" s="6" t="s">
        <v>51</v>
      </c>
      <c r="Q9427" s="8" t="s">
        <v>52</v>
      </c>
      <c r="R9427" s="10" t="s">
        <v>13198</v>
      </c>
      <c r="S9427" s="11" t="s">
        <v>26614</v>
      </c>
      <c r="T9427" s="6"/>
      <c r="U9427" s="15" t="str">
        <f>HYPERLINK("https://media.infra-m.ru/2214/2214745/cover/2214745.jpg", "Обложка")</f>
        <v>Обложка</v>
      </c>
      <c r="V9427" s="8" t="s">
        <v>13400</v>
      </c>
      <c r="W9427" s="6"/>
      <c r="X9427" s="6"/>
      <c r="Y9427" s="6"/>
      <c r="Z9427" s="6"/>
      <c r="AA9427" s="6" t="s">
        <v>55</v>
      </c>
      <c r="AB9427" s="8"/>
      <c r="AC9427" s="27">
        <v>9785160210223</v>
      </c>
    </row>
    <row r="9428" spans="1:29" s="4" customFormat="1" ht="51.9" customHeight="1" x14ac:dyDescent="0.2">
      <c r="A9428" s="5">
        <v>0</v>
      </c>
      <c r="B9428" s="6" t="s">
        <v>52800</v>
      </c>
      <c r="C9428" s="7">
        <v>1024.8</v>
      </c>
      <c r="D9428" s="8" t="s">
        <v>52801</v>
      </c>
      <c r="E9428" s="8" t="s">
        <v>52802</v>
      </c>
      <c r="F9428" s="8" t="s">
        <v>52803</v>
      </c>
      <c r="G9428" s="6" t="s">
        <v>33</v>
      </c>
      <c r="H9428" s="6" t="s">
        <v>34</v>
      </c>
      <c r="I9428" s="8" t="s">
        <v>2171</v>
      </c>
      <c r="J9428" s="9">
        <v>1</v>
      </c>
      <c r="K9428" s="9">
        <v>135</v>
      </c>
      <c r="L9428" s="9">
        <v>2026</v>
      </c>
      <c r="M9428" s="8" t="s">
        <v>52804</v>
      </c>
      <c r="N9428" s="8" t="s">
        <v>243</v>
      </c>
      <c r="O9428" s="8" t="s">
        <v>964</v>
      </c>
      <c r="P9428" s="6" t="s">
        <v>51</v>
      </c>
      <c r="Q9428" s="8" t="s">
        <v>65</v>
      </c>
      <c r="R9428" s="10" t="s">
        <v>52805</v>
      </c>
      <c r="S9428" s="11"/>
      <c r="T9428" s="6"/>
      <c r="U9428" s="15" t="str">
        <f>HYPERLINK("https://media.infra-m.ru/2243/2243250/cover/2243250.jpg", "Обложка")</f>
        <v>Обложка</v>
      </c>
      <c r="V9428" s="8" t="s">
        <v>2175</v>
      </c>
      <c r="W9428" s="6"/>
      <c r="X9428" s="6"/>
      <c r="Y9428" s="6"/>
      <c r="Z9428" s="6"/>
      <c r="AA9428" s="6" t="s">
        <v>76</v>
      </c>
      <c r="AB9428" s="8"/>
      <c r="AC9428" s="27">
        <v>9785160179308</v>
      </c>
    </row>
    <row r="9429" spans="1:29" s="4" customFormat="1" ht="51.9" customHeight="1" x14ac:dyDescent="0.2">
      <c r="A9429" s="5">
        <v>0</v>
      </c>
      <c r="B9429" s="6" t="s">
        <v>52806</v>
      </c>
      <c r="C9429" s="7">
        <v>1572</v>
      </c>
      <c r="D9429" s="8" t="s">
        <v>52807</v>
      </c>
      <c r="E9429" s="8" t="s">
        <v>52808</v>
      </c>
      <c r="F9429" s="8" t="s">
        <v>42100</v>
      </c>
      <c r="G9429" s="6" t="s">
        <v>60</v>
      </c>
      <c r="H9429" s="6" t="s">
        <v>34</v>
      </c>
      <c r="I9429" s="8" t="s">
        <v>2171</v>
      </c>
      <c r="J9429" s="9">
        <v>1</v>
      </c>
      <c r="K9429" s="9">
        <v>231</v>
      </c>
      <c r="L9429" s="9">
        <v>2025</v>
      </c>
      <c r="M9429" s="8" t="s">
        <v>52809</v>
      </c>
      <c r="N9429" s="8" t="s">
        <v>37</v>
      </c>
      <c r="O9429" s="8" t="s">
        <v>290</v>
      </c>
      <c r="P9429" s="6" t="s">
        <v>51</v>
      </c>
      <c r="Q9429" s="8" t="s">
        <v>65</v>
      </c>
      <c r="R9429" s="10" t="s">
        <v>5787</v>
      </c>
      <c r="S9429" s="11" t="s">
        <v>52810</v>
      </c>
      <c r="T9429" s="6"/>
      <c r="U9429" s="15" t="str">
        <f>HYPERLINK("https://media.infra-m.ru/2157/2157613/cover/2157613.jpg", "Обложка")</f>
        <v>Обложка</v>
      </c>
      <c r="V9429" s="8" t="s">
        <v>2175</v>
      </c>
      <c r="W9429" s="6"/>
      <c r="X9429" s="6"/>
      <c r="Y9429" s="6"/>
      <c r="Z9429" s="6"/>
      <c r="AA9429" s="6" t="s">
        <v>68</v>
      </c>
      <c r="AB9429" s="8"/>
      <c r="AC9429" s="27">
        <v>9785160200897</v>
      </c>
    </row>
    <row r="9430" spans="1:29" s="4" customFormat="1" ht="51.9" customHeight="1" x14ac:dyDescent="0.2">
      <c r="A9430" s="5">
        <v>0</v>
      </c>
      <c r="B9430" s="6" t="s">
        <v>52811</v>
      </c>
      <c r="C9430" s="13">
        <v>676.8</v>
      </c>
      <c r="D9430" s="8" t="s">
        <v>52812</v>
      </c>
      <c r="E9430" s="8" t="s">
        <v>52813</v>
      </c>
      <c r="F9430" s="8" t="s">
        <v>52814</v>
      </c>
      <c r="G9430" s="6" t="s">
        <v>6771</v>
      </c>
      <c r="H9430" s="6" t="s">
        <v>34</v>
      </c>
      <c r="I9430" s="8" t="s">
        <v>2171</v>
      </c>
      <c r="J9430" s="9">
        <v>1</v>
      </c>
      <c r="K9430" s="9">
        <v>38</v>
      </c>
      <c r="L9430" s="9">
        <v>2026</v>
      </c>
      <c r="M9430" s="8" t="s">
        <v>52815</v>
      </c>
      <c r="N9430" s="8" t="s">
        <v>243</v>
      </c>
      <c r="O9430" s="8" t="s">
        <v>964</v>
      </c>
      <c r="P9430" s="6" t="s">
        <v>51</v>
      </c>
      <c r="Q9430" s="8" t="s">
        <v>65</v>
      </c>
      <c r="R9430" s="10" t="s">
        <v>52816</v>
      </c>
      <c r="S9430" s="11" t="s">
        <v>52817</v>
      </c>
      <c r="T9430" s="6"/>
      <c r="U9430" s="15" t="str">
        <f>HYPERLINK("https://media.infra-m.ru/2241/2241175/cover/2241175.jpg", "Обложка")</f>
        <v>Обложка</v>
      </c>
      <c r="V9430" s="8" t="s">
        <v>2175</v>
      </c>
      <c r="W9430" s="6"/>
      <c r="X9430" s="6"/>
      <c r="Y9430" s="6"/>
      <c r="Z9430" s="6"/>
      <c r="AA9430" s="6" t="s">
        <v>115</v>
      </c>
      <c r="AB9430" s="8"/>
      <c r="AC9430" s="27">
        <v>9785160171609</v>
      </c>
    </row>
    <row r="9431" spans="1:29" s="4" customFormat="1" ht="51.9" customHeight="1" x14ac:dyDescent="0.2">
      <c r="A9431" s="5">
        <v>0</v>
      </c>
      <c r="B9431" s="6" t="s">
        <v>52818</v>
      </c>
      <c r="C9431" s="13">
        <v>744</v>
      </c>
      <c r="D9431" s="8" t="s">
        <v>52819</v>
      </c>
      <c r="E9431" s="8" t="s">
        <v>52820</v>
      </c>
      <c r="F9431" s="8" t="s">
        <v>52814</v>
      </c>
      <c r="G9431" s="6" t="s">
        <v>33</v>
      </c>
      <c r="H9431" s="6" t="s">
        <v>34</v>
      </c>
      <c r="I9431" s="8" t="s">
        <v>2171</v>
      </c>
      <c r="J9431" s="9">
        <v>1</v>
      </c>
      <c r="K9431" s="9">
        <v>51</v>
      </c>
      <c r="L9431" s="9">
        <v>2027</v>
      </c>
      <c r="M9431" s="8" t="s">
        <v>52821</v>
      </c>
      <c r="N9431" s="8" t="s">
        <v>243</v>
      </c>
      <c r="O9431" s="8" t="s">
        <v>964</v>
      </c>
      <c r="P9431" s="6" t="s">
        <v>51</v>
      </c>
      <c r="Q9431" s="8" t="s">
        <v>65</v>
      </c>
      <c r="R9431" s="10" t="s">
        <v>42088</v>
      </c>
      <c r="S9431" s="11" t="s">
        <v>52817</v>
      </c>
      <c r="T9431" s="6"/>
      <c r="U9431" s="15" t="str">
        <f>HYPERLINK("https://media.infra-m.ru/2270/2270998/cover/2270998.jpg", "Обложка")</f>
        <v>Обложка</v>
      </c>
      <c r="V9431" s="8" t="s">
        <v>2175</v>
      </c>
      <c r="W9431" s="6"/>
      <c r="X9431" s="6" t="s">
        <v>24</v>
      </c>
      <c r="Y9431" s="6"/>
      <c r="Z9431" s="6"/>
      <c r="AA9431" s="6" t="s">
        <v>115</v>
      </c>
      <c r="AB9431" s="8"/>
      <c r="AC9431" s="27">
        <v>9785160171630</v>
      </c>
    </row>
    <row r="9432" spans="1:29" s="4" customFormat="1" ht="51.9" customHeight="1" x14ac:dyDescent="0.2">
      <c r="A9432" s="5">
        <v>0</v>
      </c>
      <c r="B9432" s="6" t="s">
        <v>52822</v>
      </c>
      <c r="C9432" s="7">
        <v>1056</v>
      </c>
      <c r="D9432" s="8" t="s">
        <v>52823</v>
      </c>
      <c r="E9432" s="8" t="s">
        <v>52824</v>
      </c>
      <c r="F9432" s="8" t="s">
        <v>52825</v>
      </c>
      <c r="G9432" s="6" t="s">
        <v>118</v>
      </c>
      <c r="H9432" s="6" t="s">
        <v>34</v>
      </c>
      <c r="I9432" s="8" t="s">
        <v>7625</v>
      </c>
      <c r="J9432" s="9">
        <v>1</v>
      </c>
      <c r="K9432" s="9">
        <v>191</v>
      </c>
      <c r="L9432" s="9">
        <v>2024</v>
      </c>
      <c r="M9432" s="8" t="s">
        <v>52826</v>
      </c>
      <c r="N9432" s="8" t="s">
        <v>243</v>
      </c>
      <c r="O9432" s="8" t="s">
        <v>964</v>
      </c>
      <c r="P9432" s="6" t="s">
        <v>51</v>
      </c>
      <c r="Q9432" s="8" t="s">
        <v>377</v>
      </c>
      <c r="R9432" s="10" t="s">
        <v>42300</v>
      </c>
      <c r="S9432" s="11" t="s">
        <v>52827</v>
      </c>
      <c r="T9432" s="6"/>
      <c r="U9432" s="15" t="str">
        <f>HYPERLINK("https://media.infra-m.ru/2103/2103194/cover/2103194.jpg", "Обложка")</f>
        <v>Обложка</v>
      </c>
      <c r="V9432" s="8" t="s">
        <v>1083</v>
      </c>
      <c r="W9432" s="6"/>
      <c r="X9432" s="6"/>
      <c r="Y9432" s="6"/>
      <c r="Z9432" s="6"/>
      <c r="AA9432" s="6" t="s">
        <v>86</v>
      </c>
      <c r="AB9432" s="8"/>
      <c r="AC9432" s="27">
        <v>9785160193014</v>
      </c>
    </row>
    <row r="9433" spans="1:29" s="4" customFormat="1" ht="51.9" customHeight="1" x14ac:dyDescent="0.2">
      <c r="A9433" s="5">
        <v>0</v>
      </c>
      <c r="B9433" s="6" t="s">
        <v>52828</v>
      </c>
      <c r="C9433" s="7">
        <v>1176</v>
      </c>
      <c r="D9433" s="8" t="s">
        <v>52829</v>
      </c>
      <c r="E9433" s="8" t="s">
        <v>52830</v>
      </c>
      <c r="F9433" s="8" t="s">
        <v>52831</v>
      </c>
      <c r="G9433" s="6" t="s">
        <v>33</v>
      </c>
      <c r="H9433" s="6" t="s">
        <v>48</v>
      </c>
      <c r="I9433" s="8" t="s">
        <v>253</v>
      </c>
      <c r="J9433" s="9">
        <v>1</v>
      </c>
      <c r="K9433" s="9">
        <v>176</v>
      </c>
      <c r="L9433" s="9">
        <v>2025</v>
      </c>
      <c r="M9433" s="8" t="s">
        <v>52832</v>
      </c>
      <c r="N9433" s="8" t="s">
        <v>243</v>
      </c>
      <c r="O9433" s="8" t="s">
        <v>758</v>
      </c>
      <c r="P9433" s="6" t="s">
        <v>51</v>
      </c>
      <c r="Q9433" s="8" t="s">
        <v>52</v>
      </c>
      <c r="R9433" s="10" t="s">
        <v>52833</v>
      </c>
      <c r="S9433" s="11" t="s">
        <v>52834</v>
      </c>
      <c r="T9433" s="6"/>
      <c r="U9433" s="15" t="str">
        <f>HYPERLINK("https://media.infra-m.ru/2210/2210906/cover/2210906.jpg", "Обложка")</f>
        <v>Обложка</v>
      </c>
      <c r="V9433" s="8" t="s">
        <v>13400</v>
      </c>
      <c r="W9433" s="6"/>
      <c r="X9433" s="6"/>
      <c r="Y9433" s="6"/>
      <c r="Z9433" s="6"/>
      <c r="AA9433" s="6" t="s">
        <v>248</v>
      </c>
      <c r="AB9433" s="8"/>
      <c r="AC9433" s="27">
        <v>9785000917411</v>
      </c>
    </row>
    <row r="9434" spans="1:29" s="4" customFormat="1" ht="51.9" customHeight="1" x14ac:dyDescent="0.2">
      <c r="A9434" s="5">
        <v>0</v>
      </c>
      <c r="B9434" s="6" t="s">
        <v>52835</v>
      </c>
      <c r="C9434" s="7">
        <v>1140</v>
      </c>
      <c r="D9434" s="8" t="s">
        <v>52836</v>
      </c>
      <c r="E9434" s="8" t="s">
        <v>52830</v>
      </c>
      <c r="F9434" s="8" t="s">
        <v>52831</v>
      </c>
      <c r="G9434" s="6" t="s">
        <v>33</v>
      </c>
      <c r="H9434" s="6" t="s">
        <v>48</v>
      </c>
      <c r="I9434" s="8" t="s">
        <v>263</v>
      </c>
      <c r="J9434" s="9">
        <v>1</v>
      </c>
      <c r="K9434" s="9">
        <v>176</v>
      </c>
      <c r="L9434" s="9">
        <v>2025</v>
      </c>
      <c r="M9434" s="8" t="s">
        <v>52837</v>
      </c>
      <c r="N9434" s="8" t="s">
        <v>243</v>
      </c>
      <c r="O9434" s="8" t="s">
        <v>1100</v>
      </c>
      <c r="P9434" s="6" t="s">
        <v>51</v>
      </c>
      <c r="Q9434" s="8" t="s">
        <v>265</v>
      </c>
      <c r="R9434" s="10" t="s">
        <v>52838</v>
      </c>
      <c r="S9434" s="11" t="s">
        <v>52839</v>
      </c>
      <c r="T9434" s="6"/>
      <c r="U9434" s="15" t="str">
        <f>HYPERLINK("https://media.infra-m.ru/2205/2205671/cover/2205671.jpg", "Обложка")</f>
        <v>Обложка</v>
      </c>
      <c r="V9434" s="8" t="s">
        <v>13400</v>
      </c>
      <c r="W9434" s="6"/>
      <c r="X9434" s="6"/>
      <c r="Y9434" s="6"/>
      <c r="Z9434" s="6" t="s">
        <v>267</v>
      </c>
      <c r="AA9434" s="6" t="s">
        <v>115</v>
      </c>
      <c r="AB9434" s="8"/>
      <c r="AC9434" s="27">
        <v>9785000916698</v>
      </c>
    </row>
    <row r="9435" spans="1:29" s="4" customFormat="1" ht="51.9" customHeight="1" x14ac:dyDescent="0.2">
      <c r="A9435" s="5">
        <v>0</v>
      </c>
      <c r="B9435" s="6" t="s">
        <v>52840</v>
      </c>
      <c r="C9435" s="7">
        <v>1812</v>
      </c>
      <c r="D9435" s="8" t="s">
        <v>52841</v>
      </c>
      <c r="E9435" s="8" t="s">
        <v>52842</v>
      </c>
      <c r="F9435" s="8" t="s">
        <v>52843</v>
      </c>
      <c r="G9435" s="6" t="s">
        <v>118</v>
      </c>
      <c r="H9435" s="6" t="s">
        <v>34</v>
      </c>
      <c r="I9435" s="8" t="s">
        <v>271</v>
      </c>
      <c r="J9435" s="9">
        <v>1</v>
      </c>
      <c r="K9435" s="9">
        <v>336</v>
      </c>
      <c r="L9435" s="9">
        <v>2019</v>
      </c>
      <c r="M9435" s="8" t="s">
        <v>52844</v>
      </c>
      <c r="N9435" s="8" t="s">
        <v>243</v>
      </c>
      <c r="O9435" s="8" t="s">
        <v>1100</v>
      </c>
      <c r="P9435" s="6" t="s">
        <v>306</v>
      </c>
      <c r="Q9435" s="8" t="s">
        <v>52</v>
      </c>
      <c r="R9435" s="10" t="s">
        <v>2820</v>
      </c>
      <c r="S9435" s="11" t="s">
        <v>7900</v>
      </c>
      <c r="T9435" s="6"/>
      <c r="U9435" s="15" t="str">
        <f>HYPERLINK("https://media.infra-m.ru/1960/1960132/cover/1960132.jpg", "Обложка")</f>
        <v>Обложка</v>
      </c>
      <c r="V9435" s="8" t="s">
        <v>9943</v>
      </c>
      <c r="W9435" s="6"/>
      <c r="X9435" s="6"/>
      <c r="Y9435" s="6"/>
      <c r="Z9435" s="6"/>
      <c r="AA9435" s="6" t="s">
        <v>248</v>
      </c>
      <c r="AB9435" s="8"/>
      <c r="AC9435" s="27">
        <v>9785160060170</v>
      </c>
    </row>
    <row r="9436" spans="1:29" s="4" customFormat="1" ht="51.9" customHeight="1" x14ac:dyDescent="0.2">
      <c r="A9436" s="5">
        <v>0</v>
      </c>
      <c r="B9436" s="6" t="s">
        <v>52845</v>
      </c>
      <c r="C9436" s="7">
        <v>1308</v>
      </c>
      <c r="D9436" s="8" t="s">
        <v>52846</v>
      </c>
      <c r="E9436" s="8" t="s">
        <v>52847</v>
      </c>
      <c r="F9436" s="8" t="s">
        <v>25623</v>
      </c>
      <c r="G9436" s="6" t="s">
        <v>118</v>
      </c>
      <c r="H9436" s="6" t="s">
        <v>34</v>
      </c>
      <c r="I9436" s="8" t="s">
        <v>263</v>
      </c>
      <c r="J9436" s="9">
        <v>1</v>
      </c>
      <c r="K9436" s="9">
        <v>203</v>
      </c>
      <c r="L9436" s="9">
        <v>2026</v>
      </c>
      <c r="M9436" s="8" t="s">
        <v>52848</v>
      </c>
      <c r="N9436" s="8" t="s">
        <v>243</v>
      </c>
      <c r="O9436" s="8" t="s">
        <v>758</v>
      </c>
      <c r="P9436" s="6" t="s">
        <v>51</v>
      </c>
      <c r="Q9436" s="8" t="s">
        <v>265</v>
      </c>
      <c r="R9436" s="10" t="s">
        <v>52849</v>
      </c>
      <c r="S9436" s="11" t="s">
        <v>52850</v>
      </c>
      <c r="T9436" s="6"/>
      <c r="U9436" s="15" t="str">
        <f>HYPERLINK("https://media.infra-m.ru/2216/2216273/cover/2216273.jpg", "Обложка")</f>
        <v>Обложка</v>
      </c>
      <c r="V9436" s="8" t="s">
        <v>3794</v>
      </c>
      <c r="W9436" s="6"/>
      <c r="X9436" s="6"/>
      <c r="Y9436" s="6"/>
      <c r="Z9436" s="6" t="s">
        <v>882</v>
      </c>
      <c r="AA9436" s="6" t="s">
        <v>430</v>
      </c>
      <c r="AB9436" s="8"/>
      <c r="AC9436" s="27">
        <v>9785160164571</v>
      </c>
    </row>
    <row r="9437" spans="1:29" s="4" customFormat="1" ht="51.9" customHeight="1" x14ac:dyDescent="0.2">
      <c r="A9437" s="5">
        <v>0</v>
      </c>
      <c r="B9437" s="6" t="s">
        <v>52851</v>
      </c>
      <c r="C9437" s="7">
        <v>1416</v>
      </c>
      <c r="D9437" s="8" t="s">
        <v>52852</v>
      </c>
      <c r="E9437" s="8" t="s">
        <v>52847</v>
      </c>
      <c r="F9437" s="8" t="s">
        <v>25623</v>
      </c>
      <c r="G9437" s="6" t="s">
        <v>118</v>
      </c>
      <c r="H9437" s="6" t="s">
        <v>34</v>
      </c>
      <c r="I9437" s="8" t="s">
        <v>253</v>
      </c>
      <c r="J9437" s="9">
        <v>1</v>
      </c>
      <c r="K9437" s="9">
        <v>203</v>
      </c>
      <c r="L9437" s="9">
        <v>2027</v>
      </c>
      <c r="M9437" s="8" t="s">
        <v>52853</v>
      </c>
      <c r="N9437" s="8" t="s">
        <v>243</v>
      </c>
      <c r="O9437" s="8" t="s">
        <v>758</v>
      </c>
      <c r="P9437" s="6" t="s">
        <v>51</v>
      </c>
      <c r="Q9437" s="8" t="s">
        <v>65</v>
      </c>
      <c r="R9437" s="10" t="s">
        <v>9434</v>
      </c>
      <c r="S9437" s="11" t="s">
        <v>52854</v>
      </c>
      <c r="T9437" s="6"/>
      <c r="U9437" s="15" t="str">
        <f>HYPERLINK("https://media.infra-m.ru/2268/2268269/cover/2268269.jpg", "Обложка")</f>
        <v>Обложка</v>
      </c>
      <c r="V9437" s="8" t="s">
        <v>3794</v>
      </c>
      <c r="W9437" s="6"/>
      <c r="X9437" s="6"/>
      <c r="Y9437" s="6"/>
      <c r="Z9437" s="6"/>
      <c r="AA9437" s="6" t="s">
        <v>1256</v>
      </c>
      <c r="AB9437" s="8"/>
      <c r="AC9437" s="27">
        <v>9785160189635</v>
      </c>
    </row>
    <row r="9438" spans="1:29" s="4" customFormat="1" ht="51.9" customHeight="1" x14ac:dyDescent="0.2">
      <c r="A9438" s="5">
        <v>0</v>
      </c>
      <c r="B9438" s="6" t="s">
        <v>52855</v>
      </c>
      <c r="C9438" s="7">
        <v>2476.8000000000002</v>
      </c>
      <c r="D9438" s="8" t="s">
        <v>52856</v>
      </c>
      <c r="E9438" s="8" t="s">
        <v>52857</v>
      </c>
      <c r="F9438" s="8" t="s">
        <v>52858</v>
      </c>
      <c r="G9438" s="6" t="s">
        <v>118</v>
      </c>
      <c r="H9438" s="6" t="s">
        <v>34</v>
      </c>
      <c r="I9438" s="8" t="s">
        <v>271</v>
      </c>
      <c r="J9438" s="9">
        <v>1</v>
      </c>
      <c r="K9438" s="9">
        <v>356</v>
      </c>
      <c r="L9438" s="9">
        <v>2027</v>
      </c>
      <c r="M9438" s="8" t="s">
        <v>52859</v>
      </c>
      <c r="N9438" s="8" t="s">
        <v>243</v>
      </c>
      <c r="O9438" s="8" t="s">
        <v>758</v>
      </c>
      <c r="P9438" s="6" t="s">
        <v>51</v>
      </c>
      <c r="Q9438" s="8" t="s">
        <v>52</v>
      </c>
      <c r="R9438" s="10" t="s">
        <v>45010</v>
      </c>
      <c r="S9438" s="11" t="s">
        <v>52860</v>
      </c>
      <c r="T9438" s="6"/>
      <c r="U9438" s="15" t="str">
        <f>HYPERLINK("https://media.infra-m.ru/2262/2262700/cover/2262700.jpg", "Обложка")</f>
        <v>Обложка</v>
      </c>
      <c r="V9438" s="8" t="s">
        <v>217</v>
      </c>
      <c r="W9438" s="6"/>
      <c r="X9438" s="6"/>
      <c r="Y9438" s="6"/>
      <c r="Z9438" s="6"/>
      <c r="AA9438" s="6" t="s">
        <v>115</v>
      </c>
      <c r="AB9438" s="8"/>
      <c r="AC9438" s="27">
        <v>9785160144252</v>
      </c>
    </row>
    <row r="9439" spans="1:29" s="4" customFormat="1" ht="51.9" customHeight="1" x14ac:dyDescent="0.2">
      <c r="A9439" s="5">
        <v>0</v>
      </c>
      <c r="B9439" s="6" t="s">
        <v>52861</v>
      </c>
      <c r="C9439" s="7">
        <v>2056.8000000000002</v>
      </c>
      <c r="D9439" s="8" t="s">
        <v>52862</v>
      </c>
      <c r="E9439" s="8" t="s">
        <v>52863</v>
      </c>
      <c r="F9439" s="8" t="s">
        <v>52864</v>
      </c>
      <c r="G9439" s="6" t="s">
        <v>118</v>
      </c>
      <c r="H9439" s="6" t="s">
        <v>34</v>
      </c>
      <c r="I9439" s="8" t="s">
        <v>263</v>
      </c>
      <c r="J9439" s="9">
        <v>1</v>
      </c>
      <c r="K9439" s="9">
        <v>295</v>
      </c>
      <c r="L9439" s="9">
        <v>2027</v>
      </c>
      <c r="M9439" s="8" t="s">
        <v>52865</v>
      </c>
      <c r="N9439" s="8" t="s">
        <v>243</v>
      </c>
      <c r="O9439" s="8" t="s">
        <v>798</v>
      </c>
      <c r="P9439" s="6" t="s">
        <v>306</v>
      </c>
      <c r="Q9439" s="8" t="s">
        <v>265</v>
      </c>
      <c r="R9439" s="10" t="s">
        <v>52866</v>
      </c>
      <c r="S9439" s="11" t="s">
        <v>52867</v>
      </c>
      <c r="T9439" s="6"/>
      <c r="U9439" s="15" t="str">
        <f>HYPERLINK("https://media.infra-m.ru/2272/2272189/cover/2272189.jpg", "Обложка")</f>
        <v>Обложка</v>
      </c>
      <c r="V9439" s="8" t="s">
        <v>9565</v>
      </c>
      <c r="W9439" s="6"/>
      <c r="X9439" s="6" t="s">
        <v>24</v>
      </c>
      <c r="Y9439" s="6"/>
      <c r="Z9439" s="6"/>
      <c r="AA9439" s="6" t="s">
        <v>430</v>
      </c>
      <c r="AB9439" s="8"/>
      <c r="AC9439" s="27">
        <v>9785160154107</v>
      </c>
    </row>
    <row r="9440" spans="1:29" s="4" customFormat="1" ht="51.9" customHeight="1" x14ac:dyDescent="0.2">
      <c r="A9440" s="5">
        <v>0</v>
      </c>
      <c r="B9440" s="6" t="s">
        <v>52868</v>
      </c>
      <c r="C9440" s="7">
        <v>2476.8000000000002</v>
      </c>
      <c r="D9440" s="8" t="s">
        <v>52869</v>
      </c>
      <c r="E9440" s="8" t="s">
        <v>52857</v>
      </c>
      <c r="F9440" s="8" t="s">
        <v>52858</v>
      </c>
      <c r="G9440" s="6" t="s">
        <v>118</v>
      </c>
      <c r="H9440" s="6" t="s">
        <v>34</v>
      </c>
      <c r="I9440" s="8" t="s">
        <v>263</v>
      </c>
      <c r="J9440" s="9">
        <v>1</v>
      </c>
      <c r="K9440" s="9">
        <v>356</v>
      </c>
      <c r="L9440" s="9">
        <v>2026</v>
      </c>
      <c r="M9440" s="8" t="s">
        <v>52870</v>
      </c>
      <c r="N9440" s="8" t="s">
        <v>243</v>
      </c>
      <c r="O9440" s="8" t="s">
        <v>758</v>
      </c>
      <c r="P9440" s="6" t="s">
        <v>51</v>
      </c>
      <c r="Q9440" s="8" t="s">
        <v>265</v>
      </c>
      <c r="R9440" s="10" t="s">
        <v>52871</v>
      </c>
      <c r="S9440" s="11" t="s">
        <v>52872</v>
      </c>
      <c r="T9440" s="6"/>
      <c r="U9440" s="15" t="str">
        <f>HYPERLINK("https://media.infra-m.ru/2261/2261244/cover/2261244.jpg", "Обложка")</f>
        <v>Обложка</v>
      </c>
      <c r="V9440" s="8" t="s">
        <v>217</v>
      </c>
      <c r="W9440" s="6"/>
      <c r="X9440" s="6" t="s">
        <v>24</v>
      </c>
      <c r="Y9440" s="6"/>
      <c r="Z9440" s="6" t="s">
        <v>267</v>
      </c>
      <c r="AA9440" s="6" t="s">
        <v>1256</v>
      </c>
      <c r="AB9440" s="8"/>
      <c r="AC9440" s="27">
        <v>9785160159966</v>
      </c>
    </row>
    <row r="9441" spans="1:29" s="4" customFormat="1" ht="51.9" customHeight="1" x14ac:dyDescent="0.2">
      <c r="A9441" s="5">
        <v>0</v>
      </c>
      <c r="B9441" s="6" t="s">
        <v>52873</v>
      </c>
      <c r="C9441" s="7">
        <v>1900.8</v>
      </c>
      <c r="D9441" s="8" t="s">
        <v>52874</v>
      </c>
      <c r="E9441" s="8" t="s">
        <v>52875</v>
      </c>
      <c r="F9441" s="8" t="s">
        <v>52876</v>
      </c>
      <c r="G9441" s="6" t="s">
        <v>60</v>
      </c>
      <c r="H9441" s="6" t="s">
        <v>1042</v>
      </c>
      <c r="I9441" s="8" t="s">
        <v>253</v>
      </c>
      <c r="J9441" s="9">
        <v>1</v>
      </c>
      <c r="K9441" s="9">
        <v>304</v>
      </c>
      <c r="L9441" s="9">
        <v>2026</v>
      </c>
      <c r="M9441" s="8" t="s">
        <v>52877</v>
      </c>
      <c r="N9441" s="8" t="s">
        <v>585</v>
      </c>
      <c r="O9441" s="8" t="s">
        <v>667</v>
      </c>
      <c r="P9441" s="6" t="s">
        <v>51</v>
      </c>
      <c r="Q9441" s="8" t="s">
        <v>52</v>
      </c>
      <c r="R9441" s="10" t="s">
        <v>52878</v>
      </c>
      <c r="S9441" s="11" t="s">
        <v>3890</v>
      </c>
      <c r="T9441" s="6"/>
      <c r="U9441" s="15" t="str">
        <f>HYPERLINK("https://media.infra-m.ru/2211/2211872/cover/2211872.jpg", "Обложка")</f>
        <v>Обложка</v>
      </c>
      <c r="V9441" s="8" t="s">
        <v>227</v>
      </c>
      <c r="W9441" s="6"/>
      <c r="X9441" s="6"/>
      <c r="Y9441" s="6"/>
      <c r="Z9441" s="6"/>
      <c r="AA9441" s="6" t="s">
        <v>779</v>
      </c>
      <c r="AB9441" s="8"/>
      <c r="AC9441" s="27">
        <v>9785819906330</v>
      </c>
    </row>
    <row r="9442" spans="1:29" s="4" customFormat="1" ht="51.9" customHeight="1" x14ac:dyDescent="0.2">
      <c r="A9442" s="5">
        <v>0</v>
      </c>
      <c r="B9442" s="6" t="s">
        <v>52879</v>
      </c>
      <c r="C9442" s="7">
        <v>1284</v>
      </c>
      <c r="D9442" s="8" t="s">
        <v>52880</v>
      </c>
      <c r="E9442" s="8" t="s">
        <v>52881</v>
      </c>
      <c r="F9442" s="8" t="s">
        <v>52882</v>
      </c>
      <c r="G9442" s="6" t="s">
        <v>33</v>
      </c>
      <c r="H9442" s="6" t="s">
        <v>34</v>
      </c>
      <c r="I9442" s="8" t="s">
        <v>35</v>
      </c>
      <c r="J9442" s="9">
        <v>1</v>
      </c>
      <c r="K9442" s="9">
        <v>184</v>
      </c>
      <c r="L9442" s="9">
        <v>2027</v>
      </c>
      <c r="M9442" s="8" t="s">
        <v>52883</v>
      </c>
      <c r="N9442" s="8" t="s">
        <v>37</v>
      </c>
      <c r="O9442" s="8" t="s">
        <v>83</v>
      </c>
      <c r="P9442" s="6" t="s">
        <v>39</v>
      </c>
      <c r="Q9442" s="8" t="s">
        <v>40</v>
      </c>
      <c r="R9442" s="10" t="s">
        <v>1230</v>
      </c>
      <c r="S9442" s="11"/>
      <c r="T9442" s="6"/>
      <c r="U9442" s="15" t="str">
        <f>HYPERLINK("https://media.infra-m.ru/2268/2268377/cover/2268377.jpg", "Обложка")</f>
        <v>Обложка</v>
      </c>
      <c r="V9442" s="8" t="s">
        <v>52884</v>
      </c>
      <c r="W9442" s="6"/>
      <c r="X9442" s="6"/>
      <c r="Y9442" s="6"/>
      <c r="Z9442" s="6"/>
      <c r="AA9442" s="6" t="s">
        <v>68</v>
      </c>
      <c r="AB9442" s="8"/>
      <c r="AC9442" s="27">
        <v>9785160198385</v>
      </c>
    </row>
    <row r="9443" spans="1:29" s="4" customFormat="1" ht="51.9" customHeight="1" x14ac:dyDescent="0.2">
      <c r="A9443" s="5">
        <v>0</v>
      </c>
      <c r="B9443" s="6" t="s">
        <v>52885</v>
      </c>
      <c r="C9443" s="7">
        <v>2256</v>
      </c>
      <c r="D9443" s="8" t="s">
        <v>52886</v>
      </c>
      <c r="E9443" s="8" t="s">
        <v>52887</v>
      </c>
      <c r="F9443" s="8" t="s">
        <v>20002</v>
      </c>
      <c r="G9443" s="6" t="s">
        <v>118</v>
      </c>
      <c r="H9443" s="6" t="s">
        <v>34</v>
      </c>
      <c r="I9443" s="8" t="s">
        <v>1835</v>
      </c>
      <c r="J9443" s="9">
        <v>1</v>
      </c>
      <c r="K9443" s="9">
        <v>323</v>
      </c>
      <c r="L9443" s="9">
        <v>2027</v>
      </c>
      <c r="M9443" s="8" t="s">
        <v>52888</v>
      </c>
      <c r="N9443" s="8" t="s">
        <v>37</v>
      </c>
      <c r="O9443" s="8" t="s">
        <v>136</v>
      </c>
      <c r="P9443" s="6" t="s">
        <v>1837</v>
      </c>
      <c r="Q9443" s="8" t="s">
        <v>40</v>
      </c>
      <c r="R9443" s="10" t="s">
        <v>676</v>
      </c>
      <c r="S9443" s="11"/>
      <c r="T9443" s="6"/>
      <c r="U9443" s="15" t="str">
        <f>HYPERLINK("https://media.infra-m.ru/2268/2268428/cover/2268428.jpg", "Обложка")</f>
        <v>Обложка</v>
      </c>
      <c r="V9443" s="8" t="s">
        <v>20005</v>
      </c>
      <c r="W9443" s="6"/>
      <c r="X9443" s="6"/>
      <c r="Y9443" s="6"/>
      <c r="Z9443" s="6"/>
      <c r="AA9443" s="6" t="s">
        <v>157</v>
      </c>
      <c r="AB9443" s="8"/>
      <c r="AC9443" s="27">
        <v>9785160177755</v>
      </c>
    </row>
    <row r="9444" spans="1:29" s="4" customFormat="1" ht="51.9" customHeight="1" x14ac:dyDescent="0.2">
      <c r="A9444" s="5">
        <v>0</v>
      </c>
      <c r="B9444" s="6" t="s">
        <v>52889</v>
      </c>
      <c r="C9444" s="7">
        <v>1932</v>
      </c>
      <c r="D9444" s="8" t="s">
        <v>52890</v>
      </c>
      <c r="E9444" s="8" t="s">
        <v>52891</v>
      </c>
      <c r="F9444" s="8" t="s">
        <v>52892</v>
      </c>
      <c r="G9444" s="6" t="s">
        <v>118</v>
      </c>
      <c r="H9444" s="6" t="s">
        <v>34</v>
      </c>
      <c r="I9444" s="8" t="s">
        <v>263</v>
      </c>
      <c r="J9444" s="9">
        <v>1</v>
      </c>
      <c r="K9444" s="9">
        <v>278</v>
      </c>
      <c r="L9444" s="9">
        <v>2027</v>
      </c>
      <c r="M9444" s="8" t="s">
        <v>52893</v>
      </c>
      <c r="N9444" s="8" t="s">
        <v>243</v>
      </c>
      <c r="O9444" s="8" t="s">
        <v>964</v>
      </c>
      <c r="P9444" s="6" t="s">
        <v>51</v>
      </c>
      <c r="Q9444" s="8" t="s">
        <v>265</v>
      </c>
      <c r="R9444" s="10" t="s">
        <v>52894</v>
      </c>
      <c r="S9444" s="11" t="s">
        <v>52895</v>
      </c>
      <c r="T9444" s="6" t="s">
        <v>97</v>
      </c>
      <c r="U9444" s="15" t="str">
        <f>HYPERLINK("https://media.infra-m.ru/2262/2262267/cover/2262267.jpg", "Обложка")</f>
        <v>Обложка</v>
      </c>
      <c r="V9444" s="8" t="s">
        <v>9592</v>
      </c>
      <c r="W9444" s="6"/>
      <c r="X9444" s="6"/>
      <c r="Y9444" s="6"/>
      <c r="Z9444" s="6"/>
      <c r="AA9444" s="6" t="s">
        <v>218</v>
      </c>
      <c r="AB9444" s="8" t="s">
        <v>3596</v>
      </c>
      <c r="AC9444" s="27">
        <v>9785160150147</v>
      </c>
    </row>
    <row r="9445" spans="1:29" s="4" customFormat="1" ht="51.9" customHeight="1" x14ac:dyDescent="0.2">
      <c r="A9445" s="5">
        <v>0</v>
      </c>
      <c r="B9445" s="6" t="s">
        <v>52896</v>
      </c>
      <c r="C9445" s="7">
        <v>2744.4</v>
      </c>
      <c r="D9445" s="8" t="s">
        <v>52897</v>
      </c>
      <c r="E9445" s="8" t="s">
        <v>52898</v>
      </c>
      <c r="F9445" s="8" t="s">
        <v>52899</v>
      </c>
      <c r="G9445" s="6" t="s">
        <v>118</v>
      </c>
      <c r="H9445" s="6" t="s">
        <v>48</v>
      </c>
      <c r="I9445" s="8" t="s">
        <v>253</v>
      </c>
      <c r="J9445" s="9">
        <v>1</v>
      </c>
      <c r="K9445" s="9">
        <v>303</v>
      </c>
      <c r="L9445" s="9">
        <v>2026</v>
      </c>
      <c r="M9445" s="8" t="s">
        <v>52900</v>
      </c>
      <c r="N9445" s="8" t="s">
        <v>243</v>
      </c>
      <c r="O9445" s="8" t="s">
        <v>758</v>
      </c>
      <c r="P9445" s="6" t="s">
        <v>51</v>
      </c>
      <c r="Q9445" s="8" t="s">
        <v>52</v>
      </c>
      <c r="R9445" s="10" t="s">
        <v>13198</v>
      </c>
      <c r="S9445" s="11" t="s">
        <v>52901</v>
      </c>
      <c r="T9445" s="6"/>
      <c r="U9445" s="15" t="str">
        <f>HYPERLINK("https://media.infra-m.ru/2224/2224118/cover/2224118.jpg", "Обложка")</f>
        <v>Обложка</v>
      </c>
      <c r="V9445" s="8" t="s">
        <v>12351</v>
      </c>
      <c r="W9445" s="6"/>
      <c r="X9445" s="6"/>
      <c r="Y9445" s="6"/>
      <c r="Z9445" s="6"/>
      <c r="AA9445" s="6" t="s">
        <v>274</v>
      </c>
      <c r="AB9445" s="8"/>
      <c r="AC9445" s="27">
        <v>9785000917978</v>
      </c>
    </row>
    <row r="9446" spans="1:29" s="4" customFormat="1" ht="51.9" customHeight="1" x14ac:dyDescent="0.2">
      <c r="A9446" s="5">
        <v>0</v>
      </c>
      <c r="B9446" s="6" t="s">
        <v>52902</v>
      </c>
      <c r="C9446" s="7">
        <v>2600.4</v>
      </c>
      <c r="D9446" s="8" t="s">
        <v>52903</v>
      </c>
      <c r="E9446" s="8" t="s">
        <v>52898</v>
      </c>
      <c r="F9446" s="8" t="s">
        <v>52899</v>
      </c>
      <c r="G9446" s="6" t="s">
        <v>118</v>
      </c>
      <c r="H9446" s="6" t="s">
        <v>48</v>
      </c>
      <c r="I9446" s="8" t="s">
        <v>263</v>
      </c>
      <c r="J9446" s="9">
        <v>1</v>
      </c>
      <c r="K9446" s="9">
        <v>303</v>
      </c>
      <c r="L9446" s="9">
        <v>2026</v>
      </c>
      <c r="M9446" s="8" t="s">
        <v>52904</v>
      </c>
      <c r="N9446" s="8" t="s">
        <v>243</v>
      </c>
      <c r="O9446" s="8" t="s">
        <v>758</v>
      </c>
      <c r="P9446" s="6" t="s">
        <v>51</v>
      </c>
      <c r="Q9446" s="8" t="s">
        <v>265</v>
      </c>
      <c r="R9446" s="10" t="s">
        <v>3078</v>
      </c>
      <c r="S9446" s="11" t="s">
        <v>52905</v>
      </c>
      <c r="T9446" s="6"/>
      <c r="U9446" s="15" t="str">
        <f>HYPERLINK("https://media.infra-m.ru/2231/2231680/cover/2231680.jpg", "Обложка")</f>
        <v>Обложка</v>
      </c>
      <c r="V9446" s="8" t="s">
        <v>12351</v>
      </c>
      <c r="W9446" s="6"/>
      <c r="X9446" s="6"/>
      <c r="Y9446" s="6"/>
      <c r="Z9446" s="6" t="s">
        <v>267</v>
      </c>
      <c r="AA9446" s="6" t="s">
        <v>86</v>
      </c>
      <c r="AB9446" s="8"/>
      <c r="AC9446" s="27">
        <v>9785000915615</v>
      </c>
    </row>
    <row r="9447" spans="1:29" s="4" customFormat="1" ht="42" customHeight="1" x14ac:dyDescent="0.2">
      <c r="A9447" s="5">
        <v>0</v>
      </c>
      <c r="B9447" s="6" t="s">
        <v>52906</v>
      </c>
      <c r="C9447" s="7">
        <v>1056</v>
      </c>
      <c r="D9447" s="8" t="s">
        <v>52907</v>
      </c>
      <c r="E9447" s="8" t="s">
        <v>52908</v>
      </c>
      <c r="F9447" s="8" t="s">
        <v>52909</v>
      </c>
      <c r="G9447" s="6" t="s">
        <v>33</v>
      </c>
      <c r="H9447" s="6" t="s">
        <v>313</v>
      </c>
      <c r="I9447" s="8"/>
      <c r="J9447" s="9">
        <v>1</v>
      </c>
      <c r="K9447" s="9">
        <v>148</v>
      </c>
      <c r="L9447" s="9">
        <v>2026</v>
      </c>
      <c r="M9447" s="8" t="s">
        <v>52910</v>
      </c>
      <c r="N9447" s="8" t="s">
        <v>243</v>
      </c>
      <c r="O9447" s="8" t="s">
        <v>1100</v>
      </c>
      <c r="P9447" s="6" t="s">
        <v>51</v>
      </c>
      <c r="Q9447" s="8" t="s">
        <v>52</v>
      </c>
      <c r="R9447" s="10" t="s">
        <v>52911</v>
      </c>
      <c r="S9447" s="11"/>
      <c r="T9447" s="6"/>
      <c r="U9447" s="15" t="str">
        <f>HYPERLINK("https://media.infra-m.ru/2218/2218030/cover/2218030.jpg", "Обложка")</f>
        <v>Обложка</v>
      </c>
      <c r="V9447" s="8" t="s">
        <v>1030</v>
      </c>
      <c r="W9447" s="6"/>
      <c r="X9447" s="6"/>
      <c r="Y9447" s="6"/>
      <c r="Z9447" s="6"/>
      <c r="AA9447" s="6" t="s">
        <v>86</v>
      </c>
      <c r="AB9447" s="8"/>
      <c r="AC9447" s="27">
        <v>9785369017364</v>
      </c>
    </row>
    <row r="9448" spans="1:29" s="4" customFormat="1" ht="42" customHeight="1" x14ac:dyDescent="0.2">
      <c r="A9448" s="5">
        <v>0</v>
      </c>
      <c r="B9448" s="6" t="s">
        <v>52912</v>
      </c>
      <c r="C9448" s="7">
        <v>1656</v>
      </c>
      <c r="D9448" s="8" t="s">
        <v>52913</v>
      </c>
      <c r="E9448" s="8" t="s">
        <v>52914</v>
      </c>
      <c r="F9448" s="8" t="s">
        <v>52915</v>
      </c>
      <c r="G9448" s="6" t="s">
        <v>60</v>
      </c>
      <c r="H9448" s="6" t="s">
        <v>34</v>
      </c>
      <c r="I9448" s="8" t="s">
        <v>1248</v>
      </c>
      <c r="J9448" s="9">
        <v>1</v>
      </c>
      <c r="K9448" s="9">
        <v>275</v>
      </c>
      <c r="L9448" s="9">
        <v>2024</v>
      </c>
      <c r="M9448" s="8" t="s">
        <v>52916</v>
      </c>
      <c r="N9448" s="8" t="s">
        <v>243</v>
      </c>
      <c r="O9448" s="8" t="s">
        <v>758</v>
      </c>
      <c r="P9448" s="6" t="s">
        <v>51</v>
      </c>
      <c r="Q9448" s="8" t="s">
        <v>65</v>
      </c>
      <c r="R9448" s="10" t="s">
        <v>9434</v>
      </c>
      <c r="S9448" s="11"/>
      <c r="T9448" s="6"/>
      <c r="U9448" s="15" t="str">
        <f>HYPERLINK("https://media.infra-m.ru/2134/2134000/cover/2134000.jpg", "Обложка")</f>
        <v>Обложка</v>
      </c>
      <c r="V9448" s="8" t="s">
        <v>1083</v>
      </c>
      <c r="W9448" s="6"/>
      <c r="X9448" s="6"/>
      <c r="Y9448" s="6"/>
      <c r="Z9448" s="6"/>
      <c r="AA9448" s="6" t="s">
        <v>76</v>
      </c>
      <c r="AB9448" s="8"/>
      <c r="AC9448" s="27">
        <v>9785160196985</v>
      </c>
    </row>
    <row r="9449" spans="1:29" s="4" customFormat="1" ht="51.9" customHeight="1" x14ac:dyDescent="0.2">
      <c r="A9449" s="5">
        <v>0</v>
      </c>
      <c r="B9449" s="6" t="s">
        <v>52917</v>
      </c>
      <c r="C9449" s="7">
        <v>1560</v>
      </c>
      <c r="D9449" s="8" t="s">
        <v>52918</v>
      </c>
      <c r="E9449" s="8" t="s">
        <v>52919</v>
      </c>
      <c r="F9449" s="8" t="s">
        <v>52920</v>
      </c>
      <c r="G9449" s="6" t="s">
        <v>33</v>
      </c>
      <c r="H9449" s="6" t="s">
        <v>34</v>
      </c>
      <c r="I9449" s="8" t="s">
        <v>263</v>
      </c>
      <c r="J9449" s="9">
        <v>1</v>
      </c>
      <c r="K9449" s="9">
        <v>224</v>
      </c>
      <c r="L9449" s="9">
        <v>2026</v>
      </c>
      <c r="M9449" s="8" t="s">
        <v>52921</v>
      </c>
      <c r="N9449" s="8" t="s">
        <v>243</v>
      </c>
      <c r="O9449" s="8" t="s">
        <v>758</v>
      </c>
      <c r="P9449" s="6" t="s">
        <v>51</v>
      </c>
      <c r="Q9449" s="8" t="s">
        <v>265</v>
      </c>
      <c r="R9449" s="10" t="s">
        <v>52922</v>
      </c>
      <c r="S9449" s="11" t="s">
        <v>52923</v>
      </c>
      <c r="T9449" s="6"/>
      <c r="U9449" s="15" t="str">
        <f>HYPERLINK("https://media.infra-m.ru/2261/2261232/cover/2261232.jpg", "Обложка")</f>
        <v>Обложка</v>
      </c>
      <c r="V9449" s="8" t="s">
        <v>1157</v>
      </c>
      <c r="W9449" s="6"/>
      <c r="X9449" s="6"/>
      <c r="Y9449" s="6"/>
      <c r="Z9449" s="6" t="s">
        <v>267</v>
      </c>
      <c r="AA9449" s="6" t="s">
        <v>1256</v>
      </c>
      <c r="AB9449" s="8"/>
      <c r="AC9449" s="27">
        <v>9785160223001</v>
      </c>
    </row>
    <row r="9450" spans="1:29" s="4" customFormat="1" ht="51.9" customHeight="1" x14ac:dyDescent="0.2">
      <c r="A9450" s="5">
        <v>0</v>
      </c>
      <c r="B9450" s="6" t="s">
        <v>52924</v>
      </c>
      <c r="C9450" s="7">
        <v>1552.8</v>
      </c>
      <c r="D9450" s="8" t="s">
        <v>52925</v>
      </c>
      <c r="E9450" s="8" t="s">
        <v>52919</v>
      </c>
      <c r="F9450" s="8" t="s">
        <v>52920</v>
      </c>
      <c r="G9450" s="6" t="s">
        <v>33</v>
      </c>
      <c r="H9450" s="6" t="s">
        <v>48</v>
      </c>
      <c r="I9450" s="8" t="s">
        <v>271</v>
      </c>
      <c r="J9450" s="9">
        <v>1</v>
      </c>
      <c r="K9450" s="9">
        <v>224</v>
      </c>
      <c r="L9450" s="9">
        <v>2026</v>
      </c>
      <c r="M9450" s="8" t="s">
        <v>52926</v>
      </c>
      <c r="N9450" s="8" t="s">
        <v>243</v>
      </c>
      <c r="O9450" s="8" t="s">
        <v>758</v>
      </c>
      <c r="P9450" s="6" t="s">
        <v>51</v>
      </c>
      <c r="Q9450" s="8" t="s">
        <v>52</v>
      </c>
      <c r="R9450" s="10" t="s">
        <v>52927</v>
      </c>
      <c r="S9450" s="11" t="s">
        <v>42660</v>
      </c>
      <c r="T9450" s="6"/>
      <c r="U9450" s="15" t="str">
        <f>HYPERLINK("https://media.infra-m.ru/2251/2251714/cover/2251714.jpg", "Обложка")</f>
        <v>Обложка</v>
      </c>
      <c r="V9450" s="8" t="s">
        <v>1157</v>
      </c>
      <c r="W9450" s="6"/>
      <c r="X9450" s="6"/>
      <c r="Y9450" s="6"/>
      <c r="Z9450" s="6"/>
      <c r="AA9450" s="6" t="s">
        <v>274</v>
      </c>
      <c r="AB9450" s="8"/>
      <c r="AC9450" s="27">
        <v>9785000917077</v>
      </c>
    </row>
    <row r="9451" spans="1:29" s="4" customFormat="1" ht="51.9" customHeight="1" x14ac:dyDescent="0.2">
      <c r="A9451" s="5">
        <v>0</v>
      </c>
      <c r="B9451" s="6" t="s">
        <v>52928</v>
      </c>
      <c r="C9451" s="13">
        <v>732</v>
      </c>
      <c r="D9451" s="8" t="s">
        <v>52929</v>
      </c>
      <c r="E9451" s="8" t="s">
        <v>52930</v>
      </c>
      <c r="F9451" s="8" t="s">
        <v>52931</v>
      </c>
      <c r="G9451" s="6" t="s">
        <v>33</v>
      </c>
      <c r="H9451" s="6" t="s">
        <v>313</v>
      </c>
      <c r="I9451" s="8" t="s">
        <v>401</v>
      </c>
      <c r="J9451" s="9">
        <v>1</v>
      </c>
      <c r="K9451" s="9">
        <v>96</v>
      </c>
      <c r="L9451" s="9">
        <v>2025</v>
      </c>
      <c r="M9451" s="8" t="s">
        <v>52932</v>
      </c>
      <c r="N9451" s="8" t="s">
        <v>243</v>
      </c>
      <c r="O9451" s="8" t="s">
        <v>758</v>
      </c>
      <c r="P9451" s="6" t="s">
        <v>51</v>
      </c>
      <c r="Q9451" s="8" t="s">
        <v>265</v>
      </c>
      <c r="R9451" s="10" t="s">
        <v>52933</v>
      </c>
      <c r="S9451" s="11" t="s">
        <v>52934</v>
      </c>
      <c r="T9451" s="6"/>
      <c r="U9451" s="15" t="str">
        <f>HYPERLINK("https://media.infra-m.ru/2210/2210907/cover/2210907.jpg", "Обложка")</f>
        <v>Обложка</v>
      </c>
      <c r="V9451" s="8" t="s">
        <v>9620</v>
      </c>
      <c r="W9451" s="6"/>
      <c r="X9451" s="6"/>
      <c r="Y9451" s="6"/>
      <c r="Z9451" s="6"/>
      <c r="AA9451" s="6" t="s">
        <v>248</v>
      </c>
      <c r="AB9451" s="8"/>
      <c r="AC9451" s="27">
        <v>9785369013120</v>
      </c>
    </row>
    <row r="9452" spans="1:29" s="4" customFormat="1" ht="51.9" customHeight="1" x14ac:dyDescent="0.2">
      <c r="A9452" s="5">
        <v>0</v>
      </c>
      <c r="B9452" s="6" t="s">
        <v>52935</v>
      </c>
      <c r="C9452" s="7">
        <v>2544</v>
      </c>
      <c r="D9452" s="8" t="s">
        <v>52936</v>
      </c>
      <c r="E9452" s="8" t="s">
        <v>52937</v>
      </c>
      <c r="F9452" s="8" t="s">
        <v>52938</v>
      </c>
      <c r="G9452" s="6" t="s">
        <v>60</v>
      </c>
      <c r="H9452" s="6" t="s">
        <v>34</v>
      </c>
      <c r="I9452" s="8" t="s">
        <v>7198</v>
      </c>
      <c r="J9452" s="9">
        <v>1</v>
      </c>
      <c r="K9452" s="9">
        <v>462</v>
      </c>
      <c r="L9452" s="9">
        <v>2023</v>
      </c>
      <c r="M9452" s="8" t="s">
        <v>52939</v>
      </c>
      <c r="N9452" s="8" t="s">
        <v>243</v>
      </c>
      <c r="O9452" s="8" t="s">
        <v>758</v>
      </c>
      <c r="P9452" s="6" t="s">
        <v>51</v>
      </c>
      <c r="Q9452" s="8" t="s">
        <v>52</v>
      </c>
      <c r="R9452" s="10" t="s">
        <v>9434</v>
      </c>
      <c r="S9452" s="11" t="s">
        <v>52940</v>
      </c>
      <c r="T9452" s="6"/>
      <c r="U9452" s="15" t="str">
        <f>HYPERLINK("https://media.infra-m.ru/2126/2126770/cover/2126770.jpg", "Обложка")</f>
        <v>Обложка</v>
      </c>
      <c r="V9452" s="8" t="s">
        <v>1083</v>
      </c>
      <c r="W9452" s="6"/>
      <c r="X9452" s="6"/>
      <c r="Y9452" s="6"/>
      <c r="Z9452" s="6"/>
      <c r="AA9452" s="6" t="s">
        <v>86</v>
      </c>
      <c r="AB9452" s="8"/>
      <c r="AC9452" s="27">
        <v>9785160162133</v>
      </c>
    </row>
    <row r="9453" spans="1:29" s="4" customFormat="1" ht="51.9" customHeight="1" x14ac:dyDescent="0.2">
      <c r="A9453" s="5">
        <v>0</v>
      </c>
      <c r="B9453" s="6" t="s">
        <v>52941</v>
      </c>
      <c r="C9453" s="7">
        <v>3052.8</v>
      </c>
      <c r="D9453" s="8" t="s">
        <v>52942</v>
      </c>
      <c r="E9453" s="8" t="s">
        <v>52937</v>
      </c>
      <c r="F9453" s="8" t="s">
        <v>52938</v>
      </c>
      <c r="G9453" s="6" t="s">
        <v>60</v>
      </c>
      <c r="H9453" s="6" t="s">
        <v>34</v>
      </c>
      <c r="I9453" s="8" t="s">
        <v>10637</v>
      </c>
      <c r="J9453" s="9">
        <v>1</v>
      </c>
      <c r="K9453" s="9">
        <v>462</v>
      </c>
      <c r="L9453" s="9">
        <v>2026</v>
      </c>
      <c r="M9453" s="8" t="s">
        <v>52943</v>
      </c>
      <c r="N9453" s="8" t="s">
        <v>243</v>
      </c>
      <c r="O9453" s="8" t="s">
        <v>758</v>
      </c>
      <c r="P9453" s="6" t="s">
        <v>51</v>
      </c>
      <c r="Q9453" s="8" t="s">
        <v>265</v>
      </c>
      <c r="R9453" s="10" t="s">
        <v>52944</v>
      </c>
      <c r="S9453" s="11" t="s">
        <v>52945</v>
      </c>
      <c r="T9453" s="6"/>
      <c r="U9453" s="15" t="str">
        <f>HYPERLINK("https://media.infra-m.ru/2231/2231681/cover/2231681.jpg", "Обложка")</f>
        <v>Обложка</v>
      </c>
      <c r="V9453" s="8" t="s">
        <v>1083</v>
      </c>
      <c r="W9453" s="6"/>
      <c r="X9453" s="6"/>
      <c r="Y9453" s="6"/>
      <c r="Z9453" s="6" t="s">
        <v>267</v>
      </c>
      <c r="AA9453" s="6" t="s">
        <v>115</v>
      </c>
      <c r="AB9453" s="8"/>
      <c r="AC9453" s="27">
        <v>9785160152615</v>
      </c>
    </row>
    <row r="9454" spans="1:29" s="4" customFormat="1" ht="51.9" customHeight="1" x14ac:dyDescent="0.2">
      <c r="A9454" s="5">
        <v>0</v>
      </c>
      <c r="B9454" s="6" t="s">
        <v>52946</v>
      </c>
      <c r="C9454" s="7">
        <v>2416.8000000000002</v>
      </c>
      <c r="D9454" s="8" t="s">
        <v>52947</v>
      </c>
      <c r="E9454" s="8" t="s">
        <v>52948</v>
      </c>
      <c r="F9454" s="8" t="s">
        <v>52949</v>
      </c>
      <c r="G9454" s="6" t="s">
        <v>118</v>
      </c>
      <c r="H9454" s="6" t="s">
        <v>34</v>
      </c>
      <c r="I9454" s="8" t="s">
        <v>263</v>
      </c>
      <c r="J9454" s="9">
        <v>1</v>
      </c>
      <c r="K9454" s="9">
        <v>364</v>
      </c>
      <c r="L9454" s="9">
        <v>2026</v>
      </c>
      <c r="M9454" s="8" t="s">
        <v>52950</v>
      </c>
      <c r="N9454" s="8" t="s">
        <v>243</v>
      </c>
      <c r="O9454" s="8" t="s">
        <v>758</v>
      </c>
      <c r="P9454" s="6" t="s">
        <v>306</v>
      </c>
      <c r="Q9454" s="8" t="s">
        <v>265</v>
      </c>
      <c r="R9454" s="10" t="s">
        <v>52951</v>
      </c>
      <c r="S9454" s="11" t="s">
        <v>52952</v>
      </c>
      <c r="T9454" s="6"/>
      <c r="U9454" s="15" t="str">
        <f>HYPERLINK("https://media.infra-m.ru/2237/2237995/cover/2237995.jpg", "Обложка")</f>
        <v>Обложка</v>
      </c>
      <c r="V9454" s="8" t="s">
        <v>31641</v>
      </c>
      <c r="W9454" s="6"/>
      <c r="X9454" s="6" t="s">
        <v>24</v>
      </c>
      <c r="Y9454" s="6"/>
      <c r="Z9454" s="6" t="s">
        <v>267</v>
      </c>
      <c r="AA9454" s="6" t="s">
        <v>115</v>
      </c>
      <c r="AB9454" s="8"/>
      <c r="AC9454" s="27">
        <v>9785160147338</v>
      </c>
    </row>
    <row r="9455" spans="1:29" s="4" customFormat="1" ht="51.9" customHeight="1" x14ac:dyDescent="0.2">
      <c r="A9455" s="5">
        <v>0</v>
      </c>
      <c r="B9455" s="6" t="s">
        <v>52953</v>
      </c>
      <c r="C9455" s="7">
        <v>2404.8000000000002</v>
      </c>
      <c r="D9455" s="8" t="s">
        <v>52954</v>
      </c>
      <c r="E9455" s="8" t="s">
        <v>52948</v>
      </c>
      <c r="F9455" s="8" t="s">
        <v>52949</v>
      </c>
      <c r="G9455" s="6" t="s">
        <v>118</v>
      </c>
      <c r="H9455" s="6" t="s">
        <v>34</v>
      </c>
      <c r="I9455" s="8" t="s">
        <v>271</v>
      </c>
      <c r="J9455" s="9">
        <v>1</v>
      </c>
      <c r="K9455" s="9">
        <v>364</v>
      </c>
      <c r="L9455" s="9">
        <v>2026</v>
      </c>
      <c r="M9455" s="8" t="s">
        <v>52955</v>
      </c>
      <c r="N9455" s="8" t="s">
        <v>243</v>
      </c>
      <c r="O9455" s="8" t="s">
        <v>758</v>
      </c>
      <c r="P9455" s="6" t="s">
        <v>306</v>
      </c>
      <c r="Q9455" s="8" t="s">
        <v>52</v>
      </c>
      <c r="R9455" s="10" t="s">
        <v>13198</v>
      </c>
      <c r="S9455" s="11" t="s">
        <v>52956</v>
      </c>
      <c r="T9455" s="6"/>
      <c r="U9455" s="15" t="str">
        <f>HYPERLINK("https://media.infra-m.ru/2237/2237994/cover/2237994.jpg", "Обложка")</f>
        <v>Обложка</v>
      </c>
      <c r="V9455" s="8" t="s">
        <v>31641</v>
      </c>
      <c r="W9455" s="6"/>
      <c r="X9455" s="6"/>
      <c r="Y9455" s="6"/>
      <c r="Z9455" s="6"/>
      <c r="AA9455" s="6" t="s">
        <v>274</v>
      </c>
      <c r="AB9455" s="8"/>
      <c r="AC9455" s="27">
        <v>9785160094748</v>
      </c>
    </row>
    <row r="9456" spans="1:29" s="4" customFormat="1" ht="51.9" customHeight="1" x14ac:dyDescent="0.2">
      <c r="A9456" s="5">
        <v>0</v>
      </c>
      <c r="B9456" s="6" t="s">
        <v>52957</v>
      </c>
      <c r="C9456" s="7">
        <v>1212</v>
      </c>
      <c r="D9456" s="8" t="s">
        <v>52958</v>
      </c>
      <c r="E9456" s="8" t="s">
        <v>52948</v>
      </c>
      <c r="F9456" s="8" t="s">
        <v>52959</v>
      </c>
      <c r="G9456" s="6" t="s">
        <v>118</v>
      </c>
      <c r="H9456" s="6" t="s">
        <v>48</v>
      </c>
      <c r="I9456" s="8" t="s">
        <v>253</v>
      </c>
      <c r="J9456" s="9">
        <v>1</v>
      </c>
      <c r="K9456" s="9">
        <v>224</v>
      </c>
      <c r="L9456" s="9">
        <v>2023</v>
      </c>
      <c r="M9456" s="8" t="s">
        <v>52960</v>
      </c>
      <c r="N9456" s="8" t="s">
        <v>243</v>
      </c>
      <c r="O9456" s="8" t="s">
        <v>964</v>
      </c>
      <c r="P9456" s="6" t="s">
        <v>306</v>
      </c>
      <c r="Q9456" s="8" t="s">
        <v>52</v>
      </c>
      <c r="R9456" s="10" t="s">
        <v>52961</v>
      </c>
      <c r="S9456" s="11" t="s">
        <v>52962</v>
      </c>
      <c r="T9456" s="6"/>
      <c r="U9456" s="15" t="str">
        <f>HYPERLINK("https://media.infra-m.ru/1941/1941742/cover/1941742.jpg", "Обложка")</f>
        <v>Обложка</v>
      </c>
      <c r="V9456" s="8" t="s">
        <v>831</v>
      </c>
      <c r="W9456" s="6"/>
      <c r="X9456" s="6"/>
      <c r="Y9456" s="6"/>
      <c r="Z9456" s="6"/>
      <c r="AA9456" s="6" t="s">
        <v>129</v>
      </c>
      <c r="AB9456" s="8"/>
      <c r="AC9456" s="27">
        <v>9785000916445</v>
      </c>
    </row>
    <row r="9457" spans="1:29" s="4" customFormat="1" ht="51.9" customHeight="1" x14ac:dyDescent="0.2">
      <c r="A9457" s="5">
        <v>0</v>
      </c>
      <c r="B9457" s="6" t="s">
        <v>52963</v>
      </c>
      <c r="C9457" s="7">
        <v>1408.8</v>
      </c>
      <c r="D9457" s="8" t="s">
        <v>52964</v>
      </c>
      <c r="E9457" s="8" t="s">
        <v>52948</v>
      </c>
      <c r="F9457" s="8" t="s">
        <v>4933</v>
      </c>
      <c r="G9457" s="6" t="s">
        <v>118</v>
      </c>
      <c r="H9457" s="6" t="s">
        <v>48</v>
      </c>
      <c r="I9457" s="8" t="s">
        <v>263</v>
      </c>
      <c r="J9457" s="9">
        <v>1</v>
      </c>
      <c r="K9457" s="9">
        <v>224</v>
      </c>
      <c r="L9457" s="9">
        <v>2025</v>
      </c>
      <c r="M9457" s="8" t="s">
        <v>52965</v>
      </c>
      <c r="N9457" s="8" t="s">
        <v>243</v>
      </c>
      <c r="O9457" s="8" t="s">
        <v>964</v>
      </c>
      <c r="P9457" s="6" t="s">
        <v>306</v>
      </c>
      <c r="Q9457" s="8" t="s">
        <v>265</v>
      </c>
      <c r="R9457" s="10" t="s">
        <v>1934</v>
      </c>
      <c r="S9457" s="11" t="s">
        <v>52966</v>
      </c>
      <c r="T9457" s="6"/>
      <c r="U9457" s="15" t="str">
        <f>HYPERLINK("https://media.infra-m.ru/2208/2208980/cover/2208980.jpg", "Обложка")</f>
        <v>Обложка</v>
      </c>
      <c r="V9457" s="8" t="s">
        <v>831</v>
      </c>
      <c r="W9457" s="6"/>
      <c r="X9457" s="6"/>
      <c r="Y9457" s="6"/>
      <c r="Z9457" s="6" t="s">
        <v>267</v>
      </c>
      <c r="AA9457" s="6" t="s">
        <v>115</v>
      </c>
      <c r="AB9457" s="8"/>
      <c r="AC9457" s="27">
        <v>9785000915622</v>
      </c>
    </row>
    <row r="9458" spans="1:29" s="4" customFormat="1" ht="51.9" customHeight="1" x14ac:dyDescent="0.2">
      <c r="A9458" s="5">
        <v>0</v>
      </c>
      <c r="B9458" s="6" t="s">
        <v>52967</v>
      </c>
      <c r="C9458" s="7">
        <v>3272.4</v>
      </c>
      <c r="D9458" s="8" t="s">
        <v>52968</v>
      </c>
      <c r="E9458" s="8" t="s">
        <v>52969</v>
      </c>
      <c r="F9458" s="8" t="s">
        <v>36483</v>
      </c>
      <c r="G9458" s="6" t="s">
        <v>60</v>
      </c>
      <c r="H9458" s="6" t="s">
        <v>34</v>
      </c>
      <c r="I9458" s="8" t="s">
        <v>263</v>
      </c>
      <c r="J9458" s="9">
        <v>1</v>
      </c>
      <c r="K9458" s="9">
        <v>407</v>
      </c>
      <c r="L9458" s="9">
        <v>2026</v>
      </c>
      <c r="M9458" s="8" t="s">
        <v>52970</v>
      </c>
      <c r="N9458" s="8" t="s">
        <v>243</v>
      </c>
      <c r="O9458" s="8" t="s">
        <v>758</v>
      </c>
      <c r="P9458" s="6" t="s">
        <v>306</v>
      </c>
      <c r="Q9458" s="8" t="s">
        <v>265</v>
      </c>
      <c r="R9458" s="10" t="s">
        <v>52971</v>
      </c>
      <c r="S9458" s="11" t="s">
        <v>52972</v>
      </c>
      <c r="T9458" s="6"/>
      <c r="U9458" s="15" t="str">
        <f>HYPERLINK("https://media.infra-m.ru/2216/2216902/cover/2216902.jpg", "Обложка")</f>
        <v>Обложка</v>
      </c>
      <c r="V9458" s="8" t="s">
        <v>3297</v>
      </c>
      <c r="W9458" s="6"/>
      <c r="X9458" s="6"/>
      <c r="Y9458" s="6"/>
      <c r="Z9458" s="6"/>
      <c r="AA9458" s="6" t="s">
        <v>7324</v>
      </c>
      <c r="AB9458" s="8"/>
      <c r="AC9458" s="27">
        <v>9785160133942</v>
      </c>
    </row>
    <row r="9459" spans="1:29" s="4" customFormat="1" ht="42" customHeight="1" x14ac:dyDescent="0.2">
      <c r="A9459" s="5">
        <v>0</v>
      </c>
      <c r="B9459" s="6" t="s">
        <v>52973</v>
      </c>
      <c r="C9459" s="7">
        <v>1716</v>
      </c>
      <c r="D9459" s="8" t="s">
        <v>52974</v>
      </c>
      <c r="E9459" s="8" t="s">
        <v>52975</v>
      </c>
      <c r="F9459" s="8" t="s">
        <v>52976</v>
      </c>
      <c r="G9459" s="6" t="s">
        <v>33</v>
      </c>
      <c r="H9459" s="6" t="s">
        <v>34</v>
      </c>
      <c r="I9459" s="8" t="s">
        <v>35</v>
      </c>
      <c r="J9459" s="9">
        <v>1</v>
      </c>
      <c r="K9459" s="9">
        <v>306</v>
      </c>
      <c r="L9459" s="9">
        <v>2021</v>
      </c>
      <c r="M9459" s="8" t="s">
        <v>52977</v>
      </c>
      <c r="N9459" s="8" t="s">
        <v>243</v>
      </c>
      <c r="O9459" s="8" t="s">
        <v>1100</v>
      </c>
      <c r="P9459" s="6" t="s">
        <v>39</v>
      </c>
      <c r="Q9459" s="8" t="s">
        <v>40</v>
      </c>
      <c r="R9459" s="10" t="s">
        <v>52978</v>
      </c>
      <c r="S9459" s="11"/>
      <c r="T9459" s="6"/>
      <c r="U9459" s="15" t="str">
        <f>HYPERLINK("https://media.infra-m.ru/1154/1154383/cover/1154383.jpg", "Обложка")</f>
        <v>Обложка</v>
      </c>
      <c r="V9459" s="8" t="s">
        <v>52979</v>
      </c>
      <c r="W9459" s="6"/>
      <c r="X9459" s="6"/>
      <c r="Y9459" s="6"/>
      <c r="Z9459" s="6"/>
      <c r="AA9459" s="6" t="s">
        <v>430</v>
      </c>
      <c r="AB9459" s="8"/>
      <c r="AC9459" s="27">
        <v>9785160164625</v>
      </c>
    </row>
    <row r="9460" spans="1:29" s="4" customFormat="1" ht="51.9" customHeight="1" x14ac:dyDescent="0.2">
      <c r="A9460" s="5">
        <v>0</v>
      </c>
      <c r="B9460" s="6" t="s">
        <v>52980</v>
      </c>
      <c r="C9460" s="13">
        <v>664.8</v>
      </c>
      <c r="D9460" s="8" t="s">
        <v>52981</v>
      </c>
      <c r="E9460" s="8" t="s">
        <v>52982</v>
      </c>
      <c r="F9460" s="8" t="s">
        <v>52983</v>
      </c>
      <c r="G9460" s="6" t="s">
        <v>33</v>
      </c>
      <c r="H9460" s="6" t="s">
        <v>48</v>
      </c>
      <c r="I9460" s="8" t="s">
        <v>263</v>
      </c>
      <c r="J9460" s="9">
        <v>1</v>
      </c>
      <c r="K9460" s="9">
        <v>96</v>
      </c>
      <c r="L9460" s="9">
        <v>2027</v>
      </c>
      <c r="M9460" s="8" t="s">
        <v>52984</v>
      </c>
      <c r="N9460" s="8" t="s">
        <v>243</v>
      </c>
      <c r="O9460" s="8" t="s">
        <v>1100</v>
      </c>
      <c r="P9460" s="6" t="s">
        <v>51</v>
      </c>
      <c r="Q9460" s="8" t="s">
        <v>265</v>
      </c>
      <c r="R9460" s="10" t="s">
        <v>52985</v>
      </c>
      <c r="S9460" s="11" t="s">
        <v>52986</v>
      </c>
      <c r="T9460" s="6"/>
      <c r="U9460" s="15" t="str">
        <f>HYPERLINK("https://media.infra-m.ru/2257/2257143/cover/2257143.jpg", "Обложка")</f>
        <v>Обложка</v>
      </c>
      <c r="V9460" s="8" t="s">
        <v>13400</v>
      </c>
      <c r="W9460" s="6"/>
      <c r="X9460" s="6"/>
      <c r="Y9460" s="6"/>
      <c r="Z9460" s="6" t="s">
        <v>267</v>
      </c>
      <c r="AA9460" s="6" t="s">
        <v>430</v>
      </c>
      <c r="AB9460" s="8"/>
      <c r="AC9460" s="27">
        <v>9785000916681</v>
      </c>
    </row>
    <row r="9461" spans="1:29" s="4" customFormat="1" ht="51.9" customHeight="1" x14ac:dyDescent="0.2">
      <c r="A9461" s="5">
        <v>0</v>
      </c>
      <c r="B9461" s="6" t="s">
        <v>52987</v>
      </c>
      <c r="C9461" s="13">
        <v>592.79999999999995</v>
      </c>
      <c r="D9461" s="8" t="s">
        <v>52988</v>
      </c>
      <c r="E9461" s="8" t="s">
        <v>52982</v>
      </c>
      <c r="F9461" s="8" t="s">
        <v>52989</v>
      </c>
      <c r="G9461" s="6" t="s">
        <v>33</v>
      </c>
      <c r="H9461" s="6" t="s">
        <v>48</v>
      </c>
      <c r="I9461" s="8" t="s">
        <v>253</v>
      </c>
      <c r="J9461" s="9">
        <v>1</v>
      </c>
      <c r="K9461" s="9">
        <v>96</v>
      </c>
      <c r="L9461" s="9">
        <v>2026</v>
      </c>
      <c r="M9461" s="8" t="s">
        <v>52990</v>
      </c>
      <c r="N9461" s="8" t="s">
        <v>243</v>
      </c>
      <c r="O9461" s="8" t="s">
        <v>1100</v>
      </c>
      <c r="P9461" s="6" t="s">
        <v>51</v>
      </c>
      <c r="Q9461" s="8" t="s">
        <v>52</v>
      </c>
      <c r="R9461" s="10" t="s">
        <v>9434</v>
      </c>
      <c r="S9461" s="11" t="s">
        <v>52991</v>
      </c>
      <c r="T9461" s="6"/>
      <c r="U9461" s="15" t="str">
        <f>HYPERLINK("https://media.infra-m.ru/2222/2222238/cover/2222238.jpg", "Обложка")</f>
        <v>Обложка</v>
      </c>
      <c r="V9461" s="8" t="s">
        <v>13400</v>
      </c>
      <c r="W9461" s="6"/>
      <c r="X9461" s="6"/>
      <c r="Y9461" s="6"/>
      <c r="Z9461" s="6"/>
      <c r="AA9461" s="6" t="s">
        <v>248</v>
      </c>
      <c r="AB9461" s="8"/>
      <c r="AC9461" s="27">
        <v>9785911348588</v>
      </c>
    </row>
    <row r="9462" spans="1:29" s="4" customFormat="1" ht="51.9" customHeight="1" x14ac:dyDescent="0.2">
      <c r="A9462" s="5">
        <v>0</v>
      </c>
      <c r="B9462" s="6" t="s">
        <v>52992</v>
      </c>
      <c r="C9462" s="7">
        <v>1048.8</v>
      </c>
      <c r="D9462" s="8" t="s">
        <v>52993</v>
      </c>
      <c r="E9462" s="8" t="s">
        <v>52994</v>
      </c>
      <c r="F9462" s="8" t="s">
        <v>52995</v>
      </c>
      <c r="G9462" s="6" t="s">
        <v>60</v>
      </c>
      <c r="H9462" s="6" t="s">
        <v>34</v>
      </c>
      <c r="I9462" s="8" t="s">
        <v>504</v>
      </c>
      <c r="J9462" s="9">
        <v>1</v>
      </c>
      <c r="K9462" s="9">
        <v>159</v>
      </c>
      <c r="L9462" s="9">
        <v>2026</v>
      </c>
      <c r="M9462" s="8" t="s">
        <v>52996</v>
      </c>
      <c r="N9462" s="8" t="s">
        <v>585</v>
      </c>
      <c r="O9462" s="8" t="s">
        <v>667</v>
      </c>
      <c r="P9462" s="6" t="s">
        <v>51</v>
      </c>
      <c r="Q9462" s="8" t="s">
        <v>500</v>
      </c>
      <c r="R9462" s="10" t="s">
        <v>52997</v>
      </c>
      <c r="S9462" s="11"/>
      <c r="T9462" s="6"/>
      <c r="U9462" s="15" t="str">
        <f>HYPERLINK("https://media.infra-m.ru/2239/2239148/cover/2239148.jpg", "Обложка")</f>
        <v>Обложка</v>
      </c>
      <c r="V9462" s="8" t="s">
        <v>54</v>
      </c>
      <c r="W9462" s="6"/>
      <c r="X9462" s="6"/>
      <c r="Y9462" s="6"/>
      <c r="Z9462" s="6"/>
      <c r="AA9462" s="6" t="s">
        <v>1037</v>
      </c>
      <c r="AB9462" s="8"/>
      <c r="AC9462" s="27">
        <v>9785160067711</v>
      </c>
    </row>
    <row r="9463" spans="1:29" s="4" customFormat="1" ht="51.9" customHeight="1" x14ac:dyDescent="0.2">
      <c r="A9463" s="5">
        <v>0</v>
      </c>
      <c r="B9463" s="6" t="s">
        <v>52998</v>
      </c>
      <c r="C9463" s="7">
        <v>1900.8</v>
      </c>
      <c r="D9463" s="8" t="s">
        <v>52999</v>
      </c>
      <c r="E9463" s="8" t="s">
        <v>53000</v>
      </c>
      <c r="F9463" s="8" t="s">
        <v>53001</v>
      </c>
      <c r="G9463" s="6" t="s">
        <v>60</v>
      </c>
      <c r="H9463" s="6" t="s">
        <v>1795</v>
      </c>
      <c r="I9463" s="8" t="s">
        <v>4073</v>
      </c>
      <c r="J9463" s="9">
        <v>1</v>
      </c>
      <c r="K9463" s="9">
        <v>304</v>
      </c>
      <c r="L9463" s="9">
        <v>2025</v>
      </c>
      <c r="M9463" s="8" t="s">
        <v>53002</v>
      </c>
      <c r="N9463" s="8" t="s">
        <v>243</v>
      </c>
      <c r="O9463" s="8" t="s">
        <v>758</v>
      </c>
      <c r="P9463" s="6" t="s">
        <v>51</v>
      </c>
      <c r="Q9463" s="8" t="s">
        <v>52</v>
      </c>
      <c r="R9463" s="10" t="s">
        <v>53003</v>
      </c>
      <c r="S9463" s="11" t="s">
        <v>53004</v>
      </c>
      <c r="T9463" s="6"/>
      <c r="U9463" s="15" t="str">
        <f>HYPERLINK("https://media.infra-m.ru/2202/2202829/cover/2202829.jpg", "Обложка")</f>
        <v>Обложка</v>
      </c>
      <c r="V9463" s="8" t="s">
        <v>14780</v>
      </c>
      <c r="W9463" s="6"/>
      <c r="X9463" s="6"/>
      <c r="Y9463" s="6"/>
      <c r="Z9463" s="6"/>
      <c r="AA9463" s="6" t="s">
        <v>55</v>
      </c>
      <c r="AB9463" s="8"/>
      <c r="AC9463" s="27">
        <v>9785982813299</v>
      </c>
    </row>
    <row r="9464" spans="1:29" s="4" customFormat="1" ht="51.9" customHeight="1" x14ac:dyDescent="0.2">
      <c r="A9464" s="5">
        <v>0</v>
      </c>
      <c r="B9464" s="6" t="s">
        <v>53005</v>
      </c>
      <c r="C9464" s="7">
        <v>2344.8000000000002</v>
      </c>
      <c r="D9464" s="8" t="s">
        <v>53006</v>
      </c>
      <c r="E9464" s="8" t="s">
        <v>53007</v>
      </c>
      <c r="F9464" s="8" t="s">
        <v>53008</v>
      </c>
      <c r="G9464" s="6" t="s">
        <v>60</v>
      </c>
      <c r="H9464" s="6" t="s">
        <v>313</v>
      </c>
      <c r="I9464" s="8" t="s">
        <v>253</v>
      </c>
      <c r="J9464" s="9">
        <v>1</v>
      </c>
      <c r="K9464" s="9">
        <v>375</v>
      </c>
      <c r="L9464" s="9">
        <v>2025</v>
      </c>
      <c r="M9464" s="8" t="s">
        <v>53009</v>
      </c>
      <c r="N9464" s="8" t="s">
        <v>585</v>
      </c>
      <c r="O9464" s="8" t="s">
        <v>667</v>
      </c>
      <c r="P9464" s="6" t="s">
        <v>51</v>
      </c>
      <c r="Q9464" s="8" t="s">
        <v>52</v>
      </c>
      <c r="R9464" s="10" t="s">
        <v>48737</v>
      </c>
      <c r="S9464" s="11" t="s">
        <v>53010</v>
      </c>
      <c r="T9464" s="6"/>
      <c r="U9464" s="15" t="str">
        <f>HYPERLINK("https://media.infra-m.ru/2208/2208995/cover/2208995.jpg", "Обложка")</f>
        <v>Обложка</v>
      </c>
      <c r="V9464" s="8" t="s">
        <v>2088</v>
      </c>
      <c r="W9464" s="6"/>
      <c r="X9464" s="6"/>
      <c r="Y9464" s="6"/>
      <c r="Z9464" s="6"/>
      <c r="AA9464" s="6" t="s">
        <v>248</v>
      </c>
      <c r="AB9464" s="8"/>
      <c r="AC9464" s="27">
        <v>9785369011812</v>
      </c>
    </row>
    <row r="9465" spans="1:29" s="4" customFormat="1" ht="51.9" customHeight="1" x14ac:dyDescent="0.2">
      <c r="A9465" s="5">
        <v>0</v>
      </c>
      <c r="B9465" s="6" t="s">
        <v>53011</v>
      </c>
      <c r="C9465" s="7">
        <v>2256</v>
      </c>
      <c r="D9465" s="8" t="s">
        <v>53012</v>
      </c>
      <c r="E9465" s="8" t="s">
        <v>53013</v>
      </c>
      <c r="F9465" s="8" t="s">
        <v>11484</v>
      </c>
      <c r="G9465" s="6" t="s">
        <v>118</v>
      </c>
      <c r="H9465" s="6" t="s">
        <v>34</v>
      </c>
      <c r="I9465" s="8" t="s">
        <v>253</v>
      </c>
      <c r="J9465" s="9">
        <v>1</v>
      </c>
      <c r="K9465" s="9">
        <v>349</v>
      </c>
      <c r="L9465" s="9">
        <v>2026</v>
      </c>
      <c r="M9465" s="8" t="s">
        <v>53014</v>
      </c>
      <c r="N9465" s="8" t="s">
        <v>243</v>
      </c>
      <c r="O9465" s="8" t="s">
        <v>758</v>
      </c>
      <c r="P9465" s="6" t="s">
        <v>51</v>
      </c>
      <c r="Q9465" s="8" t="s">
        <v>52</v>
      </c>
      <c r="R9465" s="10" t="s">
        <v>53015</v>
      </c>
      <c r="S9465" s="11"/>
      <c r="T9465" s="6"/>
      <c r="U9465" s="15" t="str">
        <f>HYPERLINK("https://media.infra-m.ru/2222/2222961/cover/2222961.jpg", "Обложка")</f>
        <v>Обложка</v>
      </c>
      <c r="V9465" s="8" t="s">
        <v>867</v>
      </c>
      <c r="W9465" s="6"/>
      <c r="X9465" s="6"/>
      <c r="Y9465" s="6"/>
      <c r="Z9465" s="6"/>
      <c r="AA9465" s="6" t="s">
        <v>106</v>
      </c>
      <c r="AB9465" s="8"/>
      <c r="AC9465" s="27">
        <v>9785160166612</v>
      </c>
    </row>
    <row r="9466" spans="1:29" s="4" customFormat="1" ht="44.1" customHeight="1" x14ac:dyDescent="0.2">
      <c r="A9466" s="5">
        <v>0</v>
      </c>
      <c r="B9466" s="6" t="s">
        <v>53016</v>
      </c>
      <c r="C9466" s="7">
        <v>3360</v>
      </c>
      <c r="D9466" s="8" t="s">
        <v>53017</v>
      </c>
      <c r="E9466" s="8" t="s">
        <v>53018</v>
      </c>
      <c r="F9466" s="8" t="s">
        <v>53019</v>
      </c>
      <c r="G9466" s="6" t="s">
        <v>60</v>
      </c>
      <c r="H9466" s="6" t="s">
        <v>34</v>
      </c>
      <c r="I9466" s="8" t="s">
        <v>1248</v>
      </c>
      <c r="J9466" s="9">
        <v>1</v>
      </c>
      <c r="K9466" s="9">
        <v>581</v>
      </c>
      <c r="L9466" s="9">
        <v>2025</v>
      </c>
      <c r="M9466" s="8" t="s">
        <v>53020</v>
      </c>
      <c r="N9466" s="8" t="s">
        <v>243</v>
      </c>
      <c r="O9466" s="8" t="s">
        <v>933</v>
      </c>
      <c r="P9466" s="6" t="s">
        <v>306</v>
      </c>
      <c r="Q9466" s="8" t="s">
        <v>65</v>
      </c>
      <c r="R9466" s="10" t="s">
        <v>53021</v>
      </c>
      <c r="S9466" s="11"/>
      <c r="T9466" s="6"/>
      <c r="U9466" s="15" t="str">
        <f>HYPERLINK("https://media.infra-m.ru/2162/2162069/cover/2162069.jpg", "Обложка")</f>
        <v>Обложка</v>
      </c>
      <c r="V9466" s="8" t="s">
        <v>1083</v>
      </c>
      <c r="W9466" s="6"/>
      <c r="X9466" s="6"/>
      <c r="Y9466" s="6"/>
      <c r="Z9466" s="6"/>
      <c r="AA9466" s="6" t="s">
        <v>68</v>
      </c>
      <c r="AB9466" s="8"/>
      <c r="AC9466" s="27">
        <v>9785160201726</v>
      </c>
    </row>
    <row r="9467" spans="1:29" s="4" customFormat="1" ht="51.9" customHeight="1" x14ac:dyDescent="0.2">
      <c r="A9467" s="5">
        <v>0</v>
      </c>
      <c r="B9467" s="6" t="s">
        <v>53022</v>
      </c>
      <c r="C9467" s="7">
        <v>1684.8</v>
      </c>
      <c r="D9467" s="8" t="s">
        <v>53023</v>
      </c>
      <c r="E9467" s="8" t="s">
        <v>53024</v>
      </c>
      <c r="F9467" s="8" t="s">
        <v>53025</v>
      </c>
      <c r="G9467" s="6" t="s">
        <v>60</v>
      </c>
      <c r="H9467" s="6" t="s">
        <v>34</v>
      </c>
      <c r="I9467" s="8" t="s">
        <v>271</v>
      </c>
      <c r="J9467" s="9">
        <v>1</v>
      </c>
      <c r="K9467" s="9">
        <v>242</v>
      </c>
      <c r="L9467" s="9">
        <v>2026</v>
      </c>
      <c r="M9467" s="8" t="s">
        <v>53026</v>
      </c>
      <c r="N9467" s="8" t="s">
        <v>243</v>
      </c>
      <c r="O9467" s="8" t="s">
        <v>933</v>
      </c>
      <c r="P9467" s="6" t="s">
        <v>51</v>
      </c>
      <c r="Q9467" s="8" t="s">
        <v>52</v>
      </c>
      <c r="R9467" s="10" t="s">
        <v>9434</v>
      </c>
      <c r="S9467" s="11" t="s">
        <v>53027</v>
      </c>
      <c r="T9467" s="6"/>
      <c r="U9467" s="15" t="str">
        <f>HYPERLINK("https://media.infra-m.ru/2223/2223193/cover/2223193.jpg", "Обложка")</f>
        <v>Обложка</v>
      </c>
      <c r="V9467" s="8" t="s">
        <v>2398</v>
      </c>
      <c r="W9467" s="6"/>
      <c r="X9467" s="6"/>
      <c r="Y9467" s="6"/>
      <c r="Z9467" s="6"/>
      <c r="AA9467" s="6" t="s">
        <v>157</v>
      </c>
      <c r="AB9467" s="8"/>
      <c r="AC9467" s="27">
        <v>9785160170572</v>
      </c>
    </row>
    <row r="9468" spans="1:29" s="4" customFormat="1" ht="42" customHeight="1" x14ac:dyDescent="0.2">
      <c r="A9468" s="5">
        <v>0</v>
      </c>
      <c r="B9468" s="6" t="s">
        <v>53028</v>
      </c>
      <c r="C9468" s="13">
        <v>696</v>
      </c>
      <c r="D9468" s="8" t="s">
        <v>53029</v>
      </c>
      <c r="E9468" s="8" t="s">
        <v>53030</v>
      </c>
      <c r="F9468" s="8" t="s">
        <v>53031</v>
      </c>
      <c r="G9468" s="6" t="s">
        <v>33</v>
      </c>
      <c r="H9468" s="6" t="s">
        <v>34</v>
      </c>
      <c r="I9468" s="8" t="s">
        <v>35</v>
      </c>
      <c r="J9468" s="9">
        <v>1</v>
      </c>
      <c r="K9468" s="9">
        <v>106</v>
      </c>
      <c r="L9468" s="9">
        <v>2025</v>
      </c>
      <c r="M9468" s="8" t="s">
        <v>53032</v>
      </c>
      <c r="N9468" s="8" t="s">
        <v>37</v>
      </c>
      <c r="O9468" s="8" t="s">
        <v>50</v>
      </c>
      <c r="P9468" s="6" t="s">
        <v>39</v>
      </c>
      <c r="Q9468" s="8" t="s">
        <v>40</v>
      </c>
      <c r="R9468" s="10" t="s">
        <v>4382</v>
      </c>
      <c r="S9468" s="11"/>
      <c r="T9468" s="6"/>
      <c r="U9468" s="15" t="str">
        <f>HYPERLINK("https://media.infra-m.ru/2206/2206265/cover/2206265.jpg", "Обложка")</f>
        <v>Обложка</v>
      </c>
      <c r="V9468" s="8" t="s">
        <v>1083</v>
      </c>
      <c r="W9468" s="6"/>
      <c r="X9468" s="6"/>
      <c r="Y9468" s="6"/>
      <c r="Z9468" s="6"/>
      <c r="AA9468" s="6" t="s">
        <v>99</v>
      </c>
      <c r="AB9468" s="8"/>
      <c r="AC9468" s="27">
        <v>9785160126791</v>
      </c>
    </row>
    <row r="9469" spans="1:29" s="4" customFormat="1" ht="51.9" customHeight="1" x14ac:dyDescent="0.2">
      <c r="A9469" s="5">
        <v>0</v>
      </c>
      <c r="B9469" s="6" t="s">
        <v>53033</v>
      </c>
      <c r="C9469" s="7">
        <v>1144.8</v>
      </c>
      <c r="D9469" s="8" t="s">
        <v>53034</v>
      </c>
      <c r="E9469" s="8" t="s">
        <v>53035</v>
      </c>
      <c r="F9469" s="8" t="s">
        <v>53036</v>
      </c>
      <c r="G9469" s="6" t="s">
        <v>60</v>
      </c>
      <c r="H9469" s="6" t="s">
        <v>1042</v>
      </c>
      <c r="I9469" s="8" t="s">
        <v>253</v>
      </c>
      <c r="J9469" s="9">
        <v>1</v>
      </c>
      <c r="K9469" s="9">
        <v>192</v>
      </c>
      <c r="L9469" s="9">
        <v>2025</v>
      </c>
      <c r="M9469" s="8" t="s">
        <v>53037</v>
      </c>
      <c r="N9469" s="8" t="s">
        <v>37</v>
      </c>
      <c r="O9469" s="8" t="s">
        <v>499</v>
      </c>
      <c r="P9469" s="6" t="s">
        <v>306</v>
      </c>
      <c r="Q9469" s="8" t="s">
        <v>52</v>
      </c>
      <c r="R9469" s="10" t="s">
        <v>53038</v>
      </c>
      <c r="S9469" s="11" t="s">
        <v>15216</v>
      </c>
      <c r="T9469" s="6"/>
      <c r="U9469" s="15" t="str">
        <f>HYPERLINK("https://media.infra-m.ru/2163/2163774/cover/2163774.jpg", "Обложка")</f>
        <v>Обложка</v>
      </c>
      <c r="V9469" s="8" t="s">
        <v>396</v>
      </c>
      <c r="W9469" s="6"/>
      <c r="X9469" s="6"/>
      <c r="Y9469" s="6"/>
      <c r="Z9469" s="6"/>
      <c r="AA9469" s="6" t="s">
        <v>43</v>
      </c>
      <c r="AB9469" s="8"/>
      <c r="AC9469" s="27">
        <v>9785819905074</v>
      </c>
    </row>
    <row r="9470" spans="1:29" s="4" customFormat="1" ht="51.9" customHeight="1" x14ac:dyDescent="0.2">
      <c r="A9470" s="5">
        <v>0</v>
      </c>
      <c r="B9470" s="6" t="s">
        <v>53039</v>
      </c>
      <c r="C9470" s="7">
        <v>2448</v>
      </c>
      <c r="D9470" s="8" t="s">
        <v>53040</v>
      </c>
      <c r="E9470" s="8" t="s">
        <v>53041</v>
      </c>
      <c r="F9470" s="8" t="s">
        <v>51081</v>
      </c>
      <c r="G9470" s="6" t="s">
        <v>118</v>
      </c>
      <c r="H9470" s="6" t="s">
        <v>34</v>
      </c>
      <c r="I9470" s="8" t="s">
        <v>263</v>
      </c>
      <c r="J9470" s="9">
        <v>1</v>
      </c>
      <c r="K9470" s="9">
        <v>352</v>
      </c>
      <c r="L9470" s="9">
        <v>2026</v>
      </c>
      <c r="M9470" s="8" t="s">
        <v>53042</v>
      </c>
      <c r="N9470" s="8" t="s">
        <v>243</v>
      </c>
      <c r="O9470" s="8" t="s">
        <v>933</v>
      </c>
      <c r="P9470" s="6" t="s">
        <v>306</v>
      </c>
      <c r="Q9470" s="8" t="s">
        <v>265</v>
      </c>
      <c r="R9470" s="10" t="s">
        <v>53043</v>
      </c>
      <c r="S9470" s="11" t="s">
        <v>53044</v>
      </c>
      <c r="T9470" s="6"/>
      <c r="U9470" s="15" t="str">
        <f>HYPERLINK("https://media.infra-m.ru/2208/2208217/cover/2208217.jpg", "Обложка")</f>
        <v>Обложка</v>
      </c>
      <c r="V9470" s="8" t="s">
        <v>1006</v>
      </c>
      <c r="W9470" s="6"/>
      <c r="X9470" s="6" t="s">
        <v>24</v>
      </c>
      <c r="Y9470" s="6"/>
      <c r="Z9470" s="6"/>
      <c r="AA9470" s="6" t="s">
        <v>2304</v>
      </c>
      <c r="AB9470" s="8"/>
      <c r="AC9470" s="27">
        <v>9785160154152</v>
      </c>
    </row>
    <row r="9471" spans="1:29" s="4" customFormat="1" ht="42" customHeight="1" x14ac:dyDescent="0.2">
      <c r="A9471" s="5">
        <v>0</v>
      </c>
      <c r="B9471" s="6" t="s">
        <v>53045</v>
      </c>
      <c r="C9471" s="13">
        <v>876</v>
      </c>
      <c r="D9471" s="8" t="s">
        <v>53046</v>
      </c>
      <c r="E9471" s="8" t="s">
        <v>53047</v>
      </c>
      <c r="F9471" s="8" t="s">
        <v>53048</v>
      </c>
      <c r="G9471" s="6" t="s">
        <v>33</v>
      </c>
      <c r="H9471" s="6" t="s">
        <v>34</v>
      </c>
      <c r="I9471" s="8" t="s">
        <v>4459</v>
      </c>
      <c r="J9471" s="9">
        <v>1</v>
      </c>
      <c r="K9471" s="9">
        <v>127</v>
      </c>
      <c r="L9471" s="9">
        <v>2026</v>
      </c>
      <c r="M9471" s="8" t="s">
        <v>53049</v>
      </c>
      <c r="N9471" s="8" t="s">
        <v>37</v>
      </c>
      <c r="O9471" s="8" t="s">
        <v>50</v>
      </c>
      <c r="P9471" s="6" t="s">
        <v>234</v>
      </c>
      <c r="Q9471" s="8" t="s">
        <v>6401</v>
      </c>
      <c r="R9471" s="10" t="s">
        <v>53050</v>
      </c>
      <c r="S9471" s="11"/>
      <c r="T9471" s="6"/>
      <c r="U9471" s="15" t="str">
        <f>HYPERLINK("https://media.infra-m.ru/2217/2217942/cover/2217942.jpg", "Обложка")</f>
        <v>Обложка</v>
      </c>
      <c r="V9471" s="8" t="s">
        <v>53051</v>
      </c>
      <c r="W9471" s="6"/>
      <c r="X9471" s="6"/>
      <c r="Y9471" s="6"/>
      <c r="Z9471" s="6"/>
      <c r="AA9471" s="6" t="s">
        <v>258</v>
      </c>
      <c r="AB9471" s="8"/>
      <c r="AC9471" s="27">
        <v>9785160155289</v>
      </c>
    </row>
    <row r="9472" spans="1:29" s="4" customFormat="1" ht="42" customHeight="1" x14ac:dyDescent="0.2">
      <c r="A9472" s="5">
        <v>0</v>
      </c>
      <c r="B9472" s="6" t="s">
        <v>53052</v>
      </c>
      <c r="C9472" s="13">
        <v>521.9</v>
      </c>
      <c r="D9472" s="8" t="s">
        <v>53053</v>
      </c>
      <c r="E9472" s="8" t="s">
        <v>53054</v>
      </c>
      <c r="F9472" s="8" t="s">
        <v>53048</v>
      </c>
      <c r="G9472" s="6" t="s">
        <v>33</v>
      </c>
      <c r="H9472" s="6" t="s">
        <v>48</v>
      </c>
      <c r="I9472" s="8"/>
      <c r="J9472" s="9">
        <v>1</v>
      </c>
      <c r="K9472" s="9">
        <v>128</v>
      </c>
      <c r="L9472" s="9">
        <v>2019</v>
      </c>
      <c r="M9472" s="8" t="s">
        <v>53055</v>
      </c>
      <c r="N9472" s="8" t="s">
        <v>37</v>
      </c>
      <c r="O9472" s="8" t="s">
        <v>50</v>
      </c>
      <c r="P9472" s="6" t="s">
        <v>748</v>
      </c>
      <c r="Q9472" s="8" t="s">
        <v>6401</v>
      </c>
      <c r="R9472" s="10" t="s">
        <v>53050</v>
      </c>
      <c r="S9472" s="11"/>
      <c r="T9472" s="6"/>
      <c r="U9472" s="15" t="str">
        <f>HYPERLINK("https://media.infra-m.ru/1030/1030526/cover/1030526.jpg", "Обложка")</f>
        <v>Обложка</v>
      </c>
      <c r="V9472" s="8" t="s">
        <v>53051</v>
      </c>
      <c r="W9472" s="6"/>
      <c r="X9472" s="6"/>
      <c r="Y9472" s="6"/>
      <c r="Z9472" s="6"/>
      <c r="AA9472" s="6" t="s">
        <v>1047</v>
      </c>
      <c r="AB9472" s="8"/>
      <c r="AC9472" s="27">
        <v>9785911342234</v>
      </c>
    </row>
    <row r="9473" spans="1:29" s="4" customFormat="1" ht="51.9" customHeight="1" x14ac:dyDescent="0.2">
      <c r="A9473" s="5">
        <v>0</v>
      </c>
      <c r="B9473" s="6" t="s">
        <v>53056</v>
      </c>
      <c r="C9473" s="7">
        <v>1656</v>
      </c>
      <c r="D9473" s="8" t="s">
        <v>53057</v>
      </c>
      <c r="E9473" s="8" t="s">
        <v>53058</v>
      </c>
      <c r="F9473" s="8" t="s">
        <v>53059</v>
      </c>
      <c r="G9473" s="6" t="s">
        <v>118</v>
      </c>
      <c r="H9473" s="6" t="s">
        <v>34</v>
      </c>
      <c r="I9473" s="8" t="s">
        <v>35</v>
      </c>
      <c r="J9473" s="9">
        <v>1</v>
      </c>
      <c r="K9473" s="9">
        <v>237</v>
      </c>
      <c r="L9473" s="9">
        <v>2027</v>
      </c>
      <c r="M9473" s="8" t="s">
        <v>53060</v>
      </c>
      <c r="N9473" s="8" t="s">
        <v>37</v>
      </c>
      <c r="O9473" s="8" t="s">
        <v>83</v>
      </c>
      <c r="P9473" s="6" t="s">
        <v>39</v>
      </c>
      <c r="Q9473" s="8" t="s">
        <v>40</v>
      </c>
      <c r="R9473" s="10" t="s">
        <v>53061</v>
      </c>
      <c r="S9473" s="11"/>
      <c r="T9473" s="6"/>
      <c r="U9473" s="15" t="str">
        <f>HYPERLINK("https://media.infra-m.ru/2269/2269601/cover/2269601.jpg", "Обложка")</f>
        <v>Обложка</v>
      </c>
      <c r="V9473" s="8" t="s">
        <v>2544</v>
      </c>
      <c r="W9473" s="6"/>
      <c r="X9473" s="6"/>
      <c r="Y9473" s="6"/>
      <c r="Z9473" s="6"/>
      <c r="AA9473" s="6" t="s">
        <v>157</v>
      </c>
      <c r="AB9473" s="8" t="s">
        <v>1785</v>
      </c>
      <c r="AC9473" s="27">
        <v>9785160180366</v>
      </c>
    </row>
    <row r="9474" spans="1:29" s="4" customFormat="1" ht="51.9" customHeight="1" x14ac:dyDescent="0.2">
      <c r="A9474" s="5">
        <v>0</v>
      </c>
      <c r="B9474" s="6" t="s">
        <v>53062</v>
      </c>
      <c r="C9474" s="13">
        <v>832.8</v>
      </c>
      <c r="D9474" s="8" t="s">
        <v>53063</v>
      </c>
      <c r="E9474" s="8" t="s">
        <v>53064</v>
      </c>
      <c r="F9474" s="8" t="s">
        <v>53065</v>
      </c>
      <c r="G9474" s="6" t="s">
        <v>33</v>
      </c>
      <c r="H9474" s="6" t="s">
        <v>313</v>
      </c>
      <c r="I9474" s="8" t="s">
        <v>392</v>
      </c>
      <c r="J9474" s="9">
        <v>1</v>
      </c>
      <c r="K9474" s="9">
        <v>119</v>
      </c>
      <c r="L9474" s="9">
        <v>2026</v>
      </c>
      <c r="M9474" s="8" t="s">
        <v>53066</v>
      </c>
      <c r="N9474" s="8" t="s">
        <v>93</v>
      </c>
      <c r="O9474" s="8" t="s">
        <v>94</v>
      </c>
      <c r="P9474" s="6" t="s">
        <v>105</v>
      </c>
      <c r="Q9474" s="8" t="s">
        <v>1349</v>
      </c>
      <c r="R9474" s="10" t="s">
        <v>53067</v>
      </c>
      <c r="S9474" s="11"/>
      <c r="T9474" s="6"/>
      <c r="U9474" s="15" t="str">
        <f>HYPERLINK("https://media.infra-m.ru/2251/2251642/cover/2251642.jpg", "Обложка")</f>
        <v>Обложка</v>
      </c>
      <c r="V9474" s="8" t="s">
        <v>227</v>
      </c>
      <c r="W9474" s="6"/>
      <c r="X9474" s="6"/>
      <c r="Y9474" s="6"/>
      <c r="Z9474" s="6"/>
      <c r="AA9474" s="6" t="s">
        <v>99</v>
      </c>
      <c r="AB9474" s="8"/>
      <c r="AC9474" s="27">
        <v>9785369016244</v>
      </c>
    </row>
    <row r="9475" spans="1:29" s="4" customFormat="1" ht="51.9" customHeight="1" x14ac:dyDescent="0.2">
      <c r="A9475" s="5">
        <v>0</v>
      </c>
      <c r="B9475" s="6" t="s">
        <v>53068</v>
      </c>
      <c r="C9475" s="7">
        <v>1776</v>
      </c>
      <c r="D9475" s="8" t="s">
        <v>53069</v>
      </c>
      <c r="E9475" s="8" t="s">
        <v>53070</v>
      </c>
      <c r="F9475" s="8" t="s">
        <v>8568</v>
      </c>
      <c r="G9475" s="6" t="s">
        <v>118</v>
      </c>
      <c r="H9475" s="6" t="s">
        <v>34</v>
      </c>
      <c r="I9475" s="8" t="s">
        <v>253</v>
      </c>
      <c r="J9475" s="9">
        <v>1</v>
      </c>
      <c r="K9475" s="9">
        <v>320</v>
      </c>
      <c r="L9475" s="9">
        <v>2024</v>
      </c>
      <c r="M9475" s="8" t="s">
        <v>53071</v>
      </c>
      <c r="N9475" s="8" t="s">
        <v>37</v>
      </c>
      <c r="O9475" s="8" t="s">
        <v>280</v>
      </c>
      <c r="P9475" s="6" t="s">
        <v>51</v>
      </c>
      <c r="Q9475" s="8" t="s">
        <v>52</v>
      </c>
      <c r="R9475" s="10" t="s">
        <v>53072</v>
      </c>
      <c r="S9475" s="11" t="s">
        <v>53073</v>
      </c>
      <c r="T9475" s="6"/>
      <c r="U9475" s="15" t="str">
        <f>HYPERLINK("https://media.infra-m.ru/2103/2103130/cover/2103130.jpg", "Обложка")</f>
        <v>Обложка</v>
      </c>
      <c r="V9475" s="8" t="s">
        <v>3130</v>
      </c>
      <c r="W9475" s="6"/>
      <c r="X9475" s="6" t="s">
        <v>24</v>
      </c>
      <c r="Y9475" s="6"/>
      <c r="Z9475" s="6"/>
      <c r="AA9475" s="6" t="s">
        <v>55</v>
      </c>
      <c r="AB9475" s="8"/>
      <c r="AC9475" s="27">
        <v>9785160192741</v>
      </c>
    </row>
    <row r="9476" spans="1:29" s="4" customFormat="1" ht="51.9" customHeight="1" x14ac:dyDescent="0.2">
      <c r="A9476" s="5">
        <v>0</v>
      </c>
      <c r="B9476" s="6" t="s">
        <v>53074</v>
      </c>
      <c r="C9476" s="13">
        <v>892.8</v>
      </c>
      <c r="D9476" s="8" t="s">
        <v>53075</v>
      </c>
      <c r="E9476" s="8" t="s">
        <v>53076</v>
      </c>
      <c r="F9476" s="8" t="s">
        <v>53077</v>
      </c>
      <c r="G9476" s="6" t="s">
        <v>118</v>
      </c>
      <c r="H9476" s="6" t="s">
        <v>34</v>
      </c>
      <c r="I9476" s="8" t="s">
        <v>5350</v>
      </c>
      <c r="J9476" s="9">
        <v>1</v>
      </c>
      <c r="K9476" s="9">
        <v>139</v>
      </c>
      <c r="L9476" s="9">
        <v>2026</v>
      </c>
      <c r="M9476" s="8" t="s">
        <v>53078</v>
      </c>
      <c r="N9476" s="8" t="s">
        <v>243</v>
      </c>
      <c r="O9476" s="8" t="s">
        <v>964</v>
      </c>
      <c r="P9476" s="6" t="s">
        <v>51</v>
      </c>
      <c r="Q9476" s="8" t="s">
        <v>377</v>
      </c>
      <c r="R9476" s="10" t="s">
        <v>15437</v>
      </c>
      <c r="S9476" s="11" t="s">
        <v>9591</v>
      </c>
      <c r="T9476" s="6"/>
      <c r="U9476" s="15" t="str">
        <f>HYPERLINK("https://media.infra-m.ru/2223/2223148/cover/2223148.jpg", "Обложка")</f>
        <v>Обложка</v>
      </c>
      <c r="V9476" s="8" t="s">
        <v>9592</v>
      </c>
      <c r="W9476" s="6"/>
      <c r="X9476" s="6"/>
      <c r="Y9476" s="6"/>
      <c r="Z9476" s="6"/>
      <c r="AA9476" s="6" t="s">
        <v>430</v>
      </c>
      <c r="AB9476" s="8"/>
      <c r="AC9476" s="27">
        <v>9785160149394</v>
      </c>
    </row>
    <row r="9477" spans="1:29" s="4" customFormat="1" ht="51.9" customHeight="1" x14ac:dyDescent="0.2">
      <c r="A9477" s="5">
        <v>0</v>
      </c>
      <c r="B9477" s="6" t="s">
        <v>53079</v>
      </c>
      <c r="C9477" s="7">
        <v>3756</v>
      </c>
      <c r="D9477" s="8" t="s">
        <v>53080</v>
      </c>
      <c r="E9477" s="8" t="s">
        <v>53081</v>
      </c>
      <c r="F9477" s="8" t="s">
        <v>53082</v>
      </c>
      <c r="G9477" s="6" t="s">
        <v>60</v>
      </c>
      <c r="H9477" s="6" t="s">
        <v>34</v>
      </c>
      <c r="I9477" s="8" t="s">
        <v>253</v>
      </c>
      <c r="J9477" s="9">
        <v>1</v>
      </c>
      <c r="K9477" s="9">
        <v>682</v>
      </c>
      <c r="L9477" s="9">
        <v>2024</v>
      </c>
      <c r="M9477" s="8" t="s">
        <v>53083</v>
      </c>
      <c r="N9477" s="8" t="s">
        <v>243</v>
      </c>
      <c r="O9477" s="8" t="s">
        <v>933</v>
      </c>
      <c r="P9477" s="6" t="s">
        <v>306</v>
      </c>
      <c r="Q9477" s="8" t="s">
        <v>52</v>
      </c>
      <c r="R9477" s="10" t="s">
        <v>43756</v>
      </c>
      <c r="S9477" s="11" t="s">
        <v>53084</v>
      </c>
      <c r="T9477" s="6"/>
      <c r="U9477" s="15" t="str">
        <f>HYPERLINK("https://media.infra-m.ru/2110/2110072/cover/2110072.jpg", "Обложка")</f>
        <v>Обложка</v>
      </c>
      <c r="V9477" s="8" t="s">
        <v>20426</v>
      </c>
      <c r="W9477" s="6"/>
      <c r="X9477" s="6"/>
      <c r="Y9477" s="6"/>
      <c r="Z9477" s="6"/>
      <c r="AA9477" s="6" t="s">
        <v>129</v>
      </c>
      <c r="AB9477" s="8"/>
      <c r="AC9477" s="27">
        <v>9785160193373</v>
      </c>
    </row>
    <row r="9478" spans="1:29" s="4" customFormat="1" ht="51.9" customHeight="1" x14ac:dyDescent="0.2">
      <c r="A9478" s="5">
        <v>0</v>
      </c>
      <c r="B9478" s="6" t="s">
        <v>53085</v>
      </c>
      <c r="C9478" s="7">
        <v>1068</v>
      </c>
      <c r="D9478" s="8" t="s">
        <v>53086</v>
      </c>
      <c r="E9478" s="8" t="s">
        <v>53087</v>
      </c>
      <c r="F9478" s="8" t="s">
        <v>53088</v>
      </c>
      <c r="G9478" s="6" t="s">
        <v>118</v>
      </c>
      <c r="H9478" s="6" t="s">
        <v>34</v>
      </c>
      <c r="I9478" s="8" t="s">
        <v>263</v>
      </c>
      <c r="J9478" s="9">
        <v>1</v>
      </c>
      <c r="K9478" s="9">
        <v>160</v>
      </c>
      <c r="L9478" s="9">
        <v>2026</v>
      </c>
      <c r="M9478" s="8" t="s">
        <v>53089</v>
      </c>
      <c r="N9478" s="8" t="s">
        <v>243</v>
      </c>
      <c r="O9478" s="8" t="s">
        <v>964</v>
      </c>
      <c r="P9478" s="6" t="s">
        <v>51</v>
      </c>
      <c r="Q9478" s="8" t="s">
        <v>265</v>
      </c>
      <c r="R9478" s="10" t="s">
        <v>53090</v>
      </c>
      <c r="S9478" s="11" t="s">
        <v>29183</v>
      </c>
      <c r="T9478" s="6"/>
      <c r="U9478" s="15" t="str">
        <f>HYPERLINK("https://media.infra-m.ru/2213/2213663/cover/2213663.jpg", "Обложка")</f>
        <v>Обложка</v>
      </c>
      <c r="V9478" s="8" t="s">
        <v>4368</v>
      </c>
      <c r="W9478" s="6"/>
      <c r="X9478" s="6"/>
      <c r="Y9478" s="6"/>
      <c r="Z9478" s="6" t="s">
        <v>267</v>
      </c>
      <c r="AA9478" s="6" t="s">
        <v>1256</v>
      </c>
      <c r="AB9478" s="8"/>
      <c r="AC9478" s="27">
        <v>9785160156262</v>
      </c>
    </row>
    <row r="9479" spans="1:29" s="4" customFormat="1" ht="51.9" customHeight="1" x14ac:dyDescent="0.2">
      <c r="A9479" s="5">
        <v>0</v>
      </c>
      <c r="B9479" s="6" t="s">
        <v>53091</v>
      </c>
      <c r="C9479" s="7">
        <v>1205.9000000000001</v>
      </c>
      <c r="D9479" s="8" t="s">
        <v>53092</v>
      </c>
      <c r="E9479" s="8" t="s">
        <v>53093</v>
      </c>
      <c r="F9479" s="8" t="s">
        <v>53094</v>
      </c>
      <c r="G9479" s="6" t="s">
        <v>60</v>
      </c>
      <c r="H9479" s="6" t="s">
        <v>34</v>
      </c>
      <c r="I9479" s="8" t="s">
        <v>271</v>
      </c>
      <c r="J9479" s="9">
        <v>1</v>
      </c>
      <c r="K9479" s="9">
        <v>224</v>
      </c>
      <c r="L9479" s="9">
        <v>2023</v>
      </c>
      <c r="M9479" s="8" t="s">
        <v>53095</v>
      </c>
      <c r="N9479" s="8" t="s">
        <v>243</v>
      </c>
      <c r="O9479" s="8" t="s">
        <v>964</v>
      </c>
      <c r="P9479" s="6" t="s">
        <v>51</v>
      </c>
      <c r="Q9479" s="8" t="s">
        <v>52</v>
      </c>
      <c r="R9479" s="10" t="s">
        <v>53096</v>
      </c>
      <c r="S9479" s="11" t="s">
        <v>53097</v>
      </c>
      <c r="T9479" s="6"/>
      <c r="U9479" s="15" t="str">
        <f>HYPERLINK("https://media.infra-m.ru/1897/1897001/cover/1897001.jpg", "Обложка")</f>
        <v>Обложка</v>
      </c>
      <c r="V9479" s="8" t="s">
        <v>1030</v>
      </c>
      <c r="W9479" s="6"/>
      <c r="X9479" s="6"/>
      <c r="Y9479" s="6"/>
      <c r="Z9479" s="6"/>
      <c r="AA9479" s="6" t="s">
        <v>779</v>
      </c>
      <c r="AB9479" s="8"/>
      <c r="AC9479" s="27">
        <v>9785160066387</v>
      </c>
    </row>
    <row r="9480" spans="1:29" s="4" customFormat="1" ht="51.9" customHeight="1" x14ac:dyDescent="0.2">
      <c r="A9480" s="5">
        <v>0</v>
      </c>
      <c r="B9480" s="6" t="s">
        <v>53098</v>
      </c>
      <c r="C9480" s="7">
        <v>1217.9000000000001</v>
      </c>
      <c r="D9480" s="8" t="s">
        <v>53099</v>
      </c>
      <c r="E9480" s="8" t="s">
        <v>53093</v>
      </c>
      <c r="F9480" s="8" t="s">
        <v>53094</v>
      </c>
      <c r="G9480" s="6" t="s">
        <v>60</v>
      </c>
      <c r="H9480" s="6" t="s">
        <v>34</v>
      </c>
      <c r="I9480" s="8" t="s">
        <v>263</v>
      </c>
      <c r="J9480" s="9">
        <v>1</v>
      </c>
      <c r="K9480" s="9">
        <v>224</v>
      </c>
      <c r="L9480" s="9">
        <v>2023</v>
      </c>
      <c r="M9480" s="8" t="s">
        <v>53100</v>
      </c>
      <c r="N9480" s="8" t="s">
        <v>243</v>
      </c>
      <c r="O9480" s="8" t="s">
        <v>964</v>
      </c>
      <c r="P9480" s="6" t="s">
        <v>51</v>
      </c>
      <c r="Q9480" s="8" t="s">
        <v>265</v>
      </c>
      <c r="R9480" s="10" t="s">
        <v>1934</v>
      </c>
      <c r="S9480" s="11" t="s">
        <v>44534</v>
      </c>
      <c r="T9480" s="6"/>
      <c r="U9480" s="15" t="str">
        <f>HYPERLINK("https://media.infra-m.ru/1897/1897003/cover/1897003.jpg", "Обложка")</f>
        <v>Обложка</v>
      </c>
      <c r="V9480" s="8" t="s">
        <v>1030</v>
      </c>
      <c r="W9480" s="6"/>
      <c r="X9480" s="6"/>
      <c r="Y9480" s="6"/>
      <c r="Z9480" s="6" t="s">
        <v>267</v>
      </c>
      <c r="AA9480" s="6" t="s">
        <v>1256</v>
      </c>
      <c r="AB9480" s="8"/>
      <c r="AC9480" s="27">
        <v>9785160140155</v>
      </c>
    </row>
    <row r="9481" spans="1:29" s="4" customFormat="1" ht="51.9" customHeight="1" x14ac:dyDescent="0.2">
      <c r="A9481" s="5">
        <v>0</v>
      </c>
      <c r="B9481" s="6" t="s">
        <v>53101</v>
      </c>
      <c r="C9481" s="13">
        <v>868.8</v>
      </c>
      <c r="D9481" s="8" t="s">
        <v>53102</v>
      </c>
      <c r="E9481" s="8" t="s">
        <v>53087</v>
      </c>
      <c r="F9481" s="8" t="s">
        <v>53088</v>
      </c>
      <c r="G9481" s="6" t="s">
        <v>33</v>
      </c>
      <c r="H9481" s="6" t="s">
        <v>34</v>
      </c>
      <c r="I9481" s="8" t="s">
        <v>271</v>
      </c>
      <c r="J9481" s="9">
        <v>1</v>
      </c>
      <c r="K9481" s="9">
        <v>160</v>
      </c>
      <c r="L9481" s="9">
        <v>2023</v>
      </c>
      <c r="M9481" s="8" t="s">
        <v>53103</v>
      </c>
      <c r="N9481" s="8" t="s">
        <v>243</v>
      </c>
      <c r="O9481" s="8" t="s">
        <v>964</v>
      </c>
      <c r="P9481" s="6" t="s">
        <v>51</v>
      </c>
      <c r="Q9481" s="8" t="s">
        <v>52</v>
      </c>
      <c r="R9481" s="10" t="s">
        <v>53104</v>
      </c>
      <c r="S9481" s="11" t="s">
        <v>53105</v>
      </c>
      <c r="T9481" s="6"/>
      <c r="U9481" s="15" t="str">
        <f>HYPERLINK("https://media.infra-m.ru/1870/1870757/cover/1870757.jpg", "Обложка")</f>
        <v>Обложка</v>
      </c>
      <c r="V9481" s="8" t="s">
        <v>4368</v>
      </c>
      <c r="W9481" s="6"/>
      <c r="X9481" s="6"/>
      <c r="Y9481" s="6"/>
      <c r="Z9481" s="6"/>
      <c r="AA9481" s="6" t="s">
        <v>99</v>
      </c>
      <c r="AB9481" s="8"/>
      <c r="AC9481" s="27">
        <v>9785160120676</v>
      </c>
    </row>
    <row r="9482" spans="1:29" s="4" customFormat="1" ht="51.9" customHeight="1" x14ac:dyDescent="0.2">
      <c r="A9482" s="5">
        <v>0</v>
      </c>
      <c r="B9482" s="6" t="s">
        <v>53106</v>
      </c>
      <c r="C9482" s="7">
        <v>1840.8</v>
      </c>
      <c r="D9482" s="8" t="s">
        <v>53107</v>
      </c>
      <c r="E9482" s="8" t="s">
        <v>53108</v>
      </c>
      <c r="F9482" s="8" t="s">
        <v>53109</v>
      </c>
      <c r="G9482" s="6" t="s">
        <v>118</v>
      </c>
      <c r="H9482" s="6" t="s">
        <v>820</v>
      </c>
      <c r="I9482" s="8"/>
      <c r="J9482" s="9">
        <v>1</v>
      </c>
      <c r="K9482" s="9">
        <v>296</v>
      </c>
      <c r="L9482" s="9">
        <v>2026</v>
      </c>
      <c r="M9482" s="8" t="s">
        <v>53110</v>
      </c>
      <c r="N9482" s="8" t="s">
        <v>243</v>
      </c>
      <c r="O9482" s="8" t="s">
        <v>244</v>
      </c>
      <c r="P9482" s="6" t="s">
        <v>51</v>
      </c>
      <c r="Q9482" s="8" t="s">
        <v>65</v>
      </c>
      <c r="R9482" s="10" t="s">
        <v>53111</v>
      </c>
      <c r="S9482" s="11"/>
      <c r="T9482" s="6"/>
      <c r="U9482" s="15" t="str">
        <f>HYPERLINK("https://media.infra-m.ru/2221/2221510/cover/2221510.jpg", "Обложка")</f>
        <v>Обложка</v>
      </c>
      <c r="V9482" s="8" t="s">
        <v>1908</v>
      </c>
      <c r="W9482" s="6"/>
      <c r="X9482" s="6"/>
      <c r="Y9482" s="6"/>
      <c r="Z9482" s="6"/>
      <c r="AA9482" s="6" t="s">
        <v>99</v>
      </c>
      <c r="AB9482" s="8"/>
      <c r="AC9482" s="27">
        <v>9785906923240</v>
      </c>
    </row>
    <row r="9483" spans="1:29" s="4" customFormat="1" ht="51.9" customHeight="1" x14ac:dyDescent="0.2">
      <c r="A9483" s="5">
        <v>0</v>
      </c>
      <c r="B9483" s="6" t="s">
        <v>53112</v>
      </c>
      <c r="C9483" s="7">
        <v>2560.8000000000002</v>
      </c>
      <c r="D9483" s="8" t="s">
        <v>53113</v>
      </c>
      <c r="E9483" s="8" t="s">
        <v>53114</v>
      </c>
      <c r="F9483" s="8" t="s">
        <v>1041</v>
      </c>
      <c r="G9483" s="6" t="s">
        <v>118</v>
      </c>
      <c r="H9483" s="6" t="s">
        <v>1042</v>
      </c>
      <c r="I9483" s="8" t="s">
        <v>263</v>
      </c>
      <c r="J9483" s="9">
        <v>1</v>
      </c>
      <c r="K9483" s="9">
        <v>368</v>
      </c>
      <c r="L9483" s="9">
        <v>2027</v>
      </c>
      <c r="M9483" s="8" t="s">
        <v>53115</v>
      </c>
      <c r="N9483" s="8" t="s">
        <v>243</v>
      </c>
      <c r="O9483" s="8" t="s">
        <v>964</v>
      </c>
      <c r="P9483" s="6" t="s">
        <v>51</v>
      </c>
      <c r="Q9483" s="8" t="s">
        <v>265</v>
      </c>
      <c r="R9483" s="10" t="s">
        <v>53116</v>
      </c>
      <c r="S9483" s="11" t="s">
        <v>9645</v>
      </c>
      <c r="T9483" s="6"/>
      <c r="U9483" s="15" t="str">
        <f>HYPERLINK("https://media.infra-m.ru/2271/2271485/cover/2271485.jpg", "Обложка")</f>
        <v>Обложка</v>
      </c>
      <c r="V9483" s="8" t="s">
        <v>1046</v>
      </c>
      <c r="W9483" s="6"/>
      <c r="X9483" s="6" t="s">
        <v>24</v>
      </c>
      <c r="Y9483" s="6"/>
      <c r="Z9483" s="6"/>
      <c r="AA9483" s="6" t="s">
        <v>13424</v>
      </c>
      <c r="AB9483" s="8"/>
      <c r="AC9483" s="27">
        <v>9785819906972</v>
      </c>
    </row>
    <row r="9484" spans="1:29" s="4" customFormat="1" ht="44.1" customHeight="1" x14ac:dyDescent="0.2">
      <c r="A9484" s="5">
        <v>0</v>
      </c>
      <c r="B9484" s="6" t="s">
        <v>53117</v>
      </c>
      <c r="C9484" s="7">
        <v>1344</v>
      </c>
      <c r="D9484" s="8" t="s">
        <v>53118</v>
      </c>
      <c r="E9484" s="8" t="s">
        <v>53119</v>
      </c>
      <c r="F9484" s="8" t="s">
        <v>53120</v>
      </c>
      <c r="G9484" s="6" t="s">
        <v>118</v>
      </c>
      <c r="H9484" s="6" t="s">
        <v>34</v>
      </c>
      <c r="I9484" s="8" t="s">
        <v>599</v>
      </c>
      <c r="J9484" s="9">
        <v>1</v>
      </c>
      <c r="K9484" s="9">
        <v>200</v>
      </c>
      <c r="L9484" s="9">
        <v>2026</v>
      </c>
      <c r="M9484" s="8" t="s">
        <v>53121</v>
      </c>
      <c r="N9484" s="8" t="s">
        <v>243</v>
      </c>
      <c r="O9484" s="8" t="s">
        <v>964</v>
      </c>
      <c r="P9484" s="6" t="s">
        <v>4401</v>
      </c>
      <c r="Q9484" s="8" t="s">
        <v>65</v>
      </c>
      <c r="R9484" s="10" t="s">
        <v>53122</v>
      </c>
      <c r="S9484" s="11"/>
      <c r="T9484" s="6"/>
      <c r="U9484" s="15" t="str">
        <f>HYPERLINK("https://media.infra-m.ru/2250/2250665/cover/2250665.jpg", "Обложка")</f>
        <v>Обложка</v>
      </c>
      <c r="V9484" s="8" t="s">
        <v>14780</v>
      </c>
      <c r="W9484" s="6"/>
      <c r="X9484" s="6"/>
      <c r="Y9484" s="6"/>
      <c r="Z9484" s="6"/>
      <c r="AA9484" s="6" t="s">
        <v>430</v>
      </c>
      <c r="AB9484" s="8"/>
      <c r="AC9484" s="27">
        <v>9785160168265</v>
      </c>
    </row>
    <row r="9485" spans="1:29" s="4" customFormat="1" ht="51.9" customHeight="1" x14ac:dyDescent="0.2">
      <c r="A9485" s="5">
        <v>0</v>
      </c>
      <c r="B9485" s="6" t="s">
        <v>53123</v>
      </c>
      <c r="C9485" s="7">
        <v>2976</v>
      </c>
      <c r="D9485" s="8" t="s">
        <v>53124</v>
      </c>
      <c r="E9485" s="8" t="s">
        <v>53125</v>
      </c>
      <c r="F9485" s="8" t="s">
        <v>53126</v>
      </c>
      <c r="G9485" s="6" t="s">
        <v>60</v>
      </c>
      <c r="H9485" s="6" t="s">
        <v>34</v>
      </c>
      <c r="I9485" s="8" t="s">
        <v>253</v>
      </c>
      <c r="J9485" s="9">
        <v>1</v>
      </c>
      <c r="K9485" s="9">
        <v>470</v>
      </c>
      <c r="L9485" s="9">
        <v>2026</v>
      </c>
      <c r="M9485" s="8" t="s">
        <v>53127</v>
      </c>
      <c r="N9485" s="8" t="s">
        <v>243</v>
      </c>
      <c r="O9485" s="8" t="s">
        <v>758</v>
      </c>
      <c r="P9485" s="6" t="s">
        <v>51</v>
      </c>
      <c r="Q9485" s="8" t="s">
        <v>65</v>
      </c>
      <c r="R9485" s="10" t="s">
        <v>9434</v>
      </c>
      <c r="S9485" s="11" t="s">
        <v>53128</v>
      </c>
      <c r="T9485" s="6"/>
      <c r="U9485" s="15" t="str">
        <f>HYPERLINK("https://media.infra-m.ru/2213/2213433/cover/2213433.jpg", "Обложка")</f>
        <v>Обложка</v>
      </c>
      <c r="V9485" s="8" t="s">
        <v>5555</v>
      </c>
      <c r="W9485" s="6"/>
      <c r="X9485" s="6"/>
      <c r="Y9485" s="6"/>
      <c r="Z9485" s="6"/>
      <c r="AA9485" s="6" t="s">
        <v>218</v>
      </c>
      <c r="AB9485" s="8"/>
      <c r="AC9485" s="27">
        <v>9785160185194</v>
      </c>
    </row>
    <row r="9486" spans="1:29" s="4" customFormat="1" ht="42" customHeight="1" x14ac:dyDescent="0.2">
      <c r="A9486" s="5">
        <v>0</v>
      </c>
      <c r="B9486" s="6" t="s">
        <v>53129</v>
      </c>
      <c r="C9486" s="7">
        <v>4630.8</v>
      </c>
      <c r="D9486" s="8" t="s">
        <v>53130</v>
      </c>
      <c r="E9486" s="8" t="s">
        <v>53131</v>
      </c>
      <c r="F9486" s="8" t="s">
        <v>6392</v>
      </c>
      <c r="G9486" s="6" t="s">
        <v>60</v>
      </c>
      <c r="H9486" s="6" t="s">
        <v>34</v>
      </c>
      <c r="I9486" s="8" t="s">
        <v>2171</v>
      </c>
      <c r="J9486" s="9">
        <v>1</v>
      </c>
      <c r="K9486" s="9">
        <v>664</v>
      </c>
      <c r="L9486" s="9">
        <v>2026</v>
      </c>
      <c r="M9486" s="8" t="s">
        <v>53132</v>
      </c>
      <c r="N9486" s="8" t="s">
        <v>243</v>
      </c>
      <c r="O9486" s="8" t="s">
        <v>964</v>
      </c>
      <c r="P9486" s="6" t="s">
        <v>51</v>
      </c>
      <c r="Q9486" s="8" t="s">
        <v>65</v>
      </c>
      <c r="R9486" s="10" t="s">
        <v>53133</v>
      </c>
      <c r="S9486" s="11"/>
      <c r="T9486" s="6"/>
      <c r="U9486" s="15" t="str">
        <f>HYPERLINK("https://media.infra-m.ru/2270/2270279/cover/2270279.jpg", "Обложка")</f>
        <v>Обложка</v>
      </c>
      <c r="V9486" s="8" t="s">
        <v>2175</v>
      </c>
      <c r="W9486" s="6"/>
      <c r="X9486" s="6"/>
      <c r="Y9486" s="6"/>
      <c r="Z9486" s="6"/>
      <c r="AA9486" s="6" t="s">
        <v>68</v>
      </c>
      <c r="AB9486" s="8"/>
      <c r="AC9486" s="27">
        <v>9785160203287</v>
      </c>
    </row>
    <row r="9487" spans="1:29" s="4" customFormat="1" ht="51.9" customHeight="1" x14ac:dyDescent="0.2">
      <c r="A9487" s="5">
        <v>0</v>
      </c>
      <c r="B9487" s="6" t="s">
        <v>53134</v>
      </c>
      <c r="C9487" s="7">
        <v>3592.8</v>
      </c>
      <c r="D9487" s="8" t="s">
        <v>53135</v>
      </c>
      <c r="E9487" s="8" t="s">
        <v>53136</v>
      </c>
      <c r="F9487" s="8" t="s">
        <v>53137</v>
      </c>
      <c r="G9487" s="6" t="s">
        <v>60</v>
      </c>
      <c r="H9487" s="6" t="s">
        <v>1042</v>
      </c>
      <c r="I9487" s="8" t="s">
        <v>263</v>
      </c>
      <c r="J9487" s="9">
        <v>1</v>
      </c>
      <c r="K9487" s="9">
        <v>544</v>
      </c>
      <c r="L9487" s="9">
        <v>2026</v>
      </c>
      <c r="M9487" s="8" t="s">
        <v>53138</v>
      </c>
      <c r="N9487" s="8" t="s">
        <v>243</v>
      </c>
      <c r="O9487" s="8" t="s">
        <v>933</v>
      </c>
      <c r="P9487" s="6" t="s">
        <v>306</v>
      </c>
      <c r="Q9487" s="8" t="s">
        <v>265</v>
      </c>
      <c r="R9487" s="10" t="s">
        <v>53139</v>
      </c>
      <c r="S9487" s="11" t="s">
        <v>53140</v>
      </c>
      <c r="T9487" s="6"/>
      <c r="U9487" s="15" t="str">
        <f>HYPERLINK("https://media.infra-m.ru/2228/2228132/cover/2228132.jpg", "Обложка")</f>
        <v>Обложка</v>
      </c>
      <c r="V9487" s="8" t="s">
        <v>14780</v>
      </c>
      <c r="W9487" s="6"/>
      <c r="X9487" s="6"/>
      <c r="Y9487" s="6"/>
      <c r="Z9487" s="6" t="s">
        <v>267</v>
      </c>
      <c r="AA9487" s="6" t="s">
        <v>2240</v>
      </c>
      <c r="AB9487" s="8"/>
      <c r="AC9487" s="27">
        <v>9785819908068</v>
      </c>
    </row>
    <row r="9488" spans="1:29" s="4" customFormat="1" ht="51.9" customHeight="1" x14ac:dyDescent="0.2">
      <c r="A9488" s="5">
        <v>0</v>
      </c>
      <c r="B9488" s="6" t="s">
        <v>53141</v>
      </c>
      <c r="C9488" s="7">
        <v>2940</v>
      </c>
      <c r="D9488" s="8" t="s">
        <v>53142</v>
      </c>
      <c r="E9488" s="8" t="s">
        <v>53136</v>
      </c>
      <c r="F9488" s="8" t="s">
        <v>53137</v>
      </c>
      <c r="G9488" s="6" t="s">
        <v>118</v>
      </c>
      <c r="H9488" s="6" t="s">
        <v>1042</v>
      </c>
      <c r="I9488" s="8" t="s">
        <v>253</v>
      </c>
      <c r="J9488" s="9">
        <v>1</v>
      </c>
      <c r="K9488" s="9">
        <v>544</v>
      </c>
      <c r="L9488" s="9">
        <v>2023</v>
      </c>
      <c r="M9488" s="8" t="s">
        <v>53143</v>
      </c>
      <c r="N9488" s="8" t="s">
        <v>243</v>
      </c>
      <c r="O9488" s="8" t="s">
        <v>933</v>
      </c>
      <c r="P9488" s="6" t="s">
        <v>306</v>
      </c>
      <c r="Q9488" s="8" t="s">
        <v>52</v>
      </c>
      <c r="R9488" s="10" t="s">
        <v>4908</v>
      </c>
      <c r="S9488" s="11" t="s">
        <v>53144</v>
      </c>
      <c r="T9488" s="6"/>
      <c r="U9488" s="15" t="str">
        <f>HYPERLINK("https://media.infra-m.ru/1899/1899820/cover/1899820.jpg", "Обложка")</f>
        <v>Обложка</v>
      </c>
      <c r="V9488" s="8" t="s">
        <v>14780</v>
      </c>
      <c r="W9488" s="6"/>
      <c r="X9488" s="6"/>
      <c r="Y9488" s="6"/>
      <c r="Z9488" s="6"/>
      <c r="AA9488" s="6" t="s">
        <v>859</v>
      </c>
      <c r="AB9488" s="8"/>
      <c r="AC9488" s="27">
        <v>9785819906989</v>
      </c>
    </row>
    <row r="9489" spans="1:29" s="4" customFormat="1" ht="51.9" customHeight="1" x14ac:dyDescent="0.2">
      <c r="A9489" s="5">
        <v>0</v>
      </c>
      <c r="B9489" s="6" t="s">
        <v>53145</v>
      </c>
      <c r="C9489" s="7">
        <v>1008</v>
      </c>
      <c r="D9489" s="8" t="s">
        <v>53146</v>
      </c>
      <c r="E9489" s="8" t="s">
        <v>53147</v>
      </c>
      <c r="F9489" s="8" t="s">
        <v>53148</v>
      </c>
      <c r="G9489" s="6" t="s">
        <v>60</v>
      </c>
      <c r="H9489" s="6" t="s">
        <v>34</v>
      </c>
      <c r="I9489" s="8" t="s">
        <v>1248</v>
      </c>
      <c r="J9489" s="9">
        <v>1</v>
      </c>
      <c r="K9489" s="9">
        <v>110</v>
      </c>
      <c r="L9489" s="9">
        <v>2026</v>
      </c>
      <c r="M9489" s="8" t="s">
        <v>53149</v>
      </c>
      <c r="N9489" s="8" t="s">
        <v>243</v>
      </c>
      <c r="O9489" s="8" t="s">
        <v>933</v>
      </c>
      <c r="P9489" s="6" t="s">
        <v>51</v>
      </c>
      <c r="Q9489" s="8" t="s">
        <v>65</v>
      </c>
      <c r="R9489" s="10" t="s">
        <v>53150</v>
      </c>
      <c r="S9489" s="11"/>
      <c r="T9489" s="6"/>
      <c r="U9489" s="15" t="str">
        <f>HYPERLINK("https://media.infra-m.ru/2223/2223576/cover/2223576.jpg", "Обложка")</f>
        <v>Обложка</v>
      </c>
      <c r="V9489" s="8" t="s">
        <v>1083</v>
      </c>
      <c r="W9489" s="6" t="s">
        <v>186</v>
      </c>
      <c r="X9489" s="6"/>
      <c r="Y9489" s="6"/>
      <c r="Z9489" s="6"/>
      <c r="AA9489" s="6" t="s">
        <v>187</v>
      </c>
      <c r="AB9489" s="8"/>
      <c r="AC9489" s="27">
        <v>9785160213941</v>
      </c>
    </row>
    <row r="9490" spans="1:29" s="4" customFormat="1" ht="51.9" customHeight="1" x14ac:dyDescent="0.2">
      <c r="A9490" s="5">
        <v>0</v>
      </c>
      <c r="B9490" s="6" t="s">
        <v>53151</v>
      </c>
      <c r="C9490" s="7">
        <v>1176</v>
      </c>
      <c r="D9490" s="8" t="s">
        <v>53152</v>
      </c>
      <c r="E9490" s="8" t="s">
        <v>53153</v>
      </c>
      <c r="F9490" s="8" t="s">
        <v>11484</v>
      </c>
      <c r="G9490" s="6" t="s">
        <v>118</v>
      </c>
      <c r="H9490" s="6" t="s">
        <v>34</v>
      </c>
      <c r="I9490" s="8" t="s">
        <v>253</v>
      </c>
      <c r="J9490" s="9">
        <v>1</v>
      </c>
      <c r="K9490" s="9">
        <v>200</v>
      </c>
      <c r="L9490" s="9">
        <v>2024</v>
      </c>
      <c r="M9490" s="8" t="s">
        <v>53154</v>
      </c>
      <c r="N9490" s="8" t="s">
        <v>243</v>
      </c>
      <c r="O9490" s="8" t="s">
        <v>758</v>
      </c>
      <c r="P9490" s="6" t="s">
        <v>51</v>
      </c>
      <c r="Q9490" s="8" t="s">
        <v>65</v>
      </c>
      <c r="R9490" s="10" t="s">
        <v>3072</v>
      </c>
      <c r="S9490" s="11" t="s">
        <v>53155</v>
      </c>
      <c r="T9490" s="6"/>
      <c r="U9490" s="15" t="str">
        <f>HYPERLINK("https://media.infra-m.ru/2019/2019748/cover/2019748.jpg", "Обложка")</f>
        <v>Обложка</v>
      </c>
      <c r="V9490" s="8" t="s">
        <v>867</v>
      </c>
      <c r="W9490" s="6"/>
      <c r="X9490" s="6"/>
      <c r="Y9490" s="6"/>
      <c r="Z9490" s="6"/>
      <c r="AA9490" s="6" t="s">
        <v>430</v>
      </c>
      <c r="AB9490" s="8"/>
      <c r="AC9490" s="27">
        <v>9785160189680</v>
      </c>
    </row>
    <row r="9491" spans="1:29" s="4" customFormat="1" ht="51.9" customHeight="1" x14ac:dyDescent="0.2">
      <c r="A9491" s="5">
        <v>0</v>
      </c>
      <c r="B9491" s="6" t="s">
        <v>53156</v>
      </c>
      <c r="C9491" s="7">
        <v>2460</v>
      </c>
      <c r="D9491" s="8" t="s">
        <v>53157</v>
      </c>
      <c r="E9491" s="8" t="s">
        <v>53158</v>
      </c>
      <c r="F9491" s="8" t="s">
        <v>53159</v>
      </c>
      <c r="G9491" s="6" t="s">
        <v>118</v>
      </c>
      <c r="H9491" s="6" t="s">
        <v>34</v>
      </c>
      <c r="I9491" s="8" t="s">
        <v>263</v>
      </c>
      <c r="J9491" s="9">
        <v>1</v>
      </c>
      <c r="K9491" s="9">
        <v>383</v>
      </c>
      <c r="L9491" s="9">
        <v>2026</v>
      </c>
      <c r="M9491" s="8" t="s">
        <v>53160</v>
      </c>
      <c r="N9491" s="8" t="s">
        <v>243</v>
      </c>
      <c r="O9491" s="8" t="s">
        <v>933</v>
      </c>
      <c r="P9491" s="6" t="s">
        <v>306</v>
      </c>
      <c r="Q9491" s="8" t="s">
        <v>265</v>
      </c>
      <c r="R9491" s="10" t="s">
        <v>53161</v>
      </c>
      <c r="S9491" s="11" t="s">
        <v>53162</v>
      </c>
      <c r="T9491" s="6"/>
      <c r="U9491" s="15" t="str">
        <f>HYPERLINK("https://media.infra-m.ru/2214/2214880/cover/2214880.jpg", "Обложка")</f>
        <v>Обложка</v>
      </c>
      <c r="V9491" s="8" t="s">
        <v>14780</v>
      </c>
      <c r="W9491" s="6"/>
      <c r="X9491" s="6" t="s">
        <v>24</v>
      </c>
      <c r="Y9491" s="6"/>
      <c r="Z9491" s="6"/>
      <c r="AA9491" s="6" t="s">
        <v>446</v>
      </c>
      <c r="AB9491" s="8"/>
      <c r="AC9491" s="27">
        <v>9785160211367</v>
      </c>
    </row>
    <row r="9492" spans="1:29" s="4" customFormat="1" ht="44.1" customHeight="1" x14ac:dyDescent="0.2">
      <c r="A9492" s="5">
        <v>0</v>
      </c>
      <c r="B9492" s="6" t="s">
        <v>53163</v>
      </c>
      <c r="C9492" s="7">
        <v>1488</v>
      </c>
      <c r="D9492" s="8" t="s">
        <v>53164</v>
      </c>
      <c r="E9492" s="8" t="s">
        <v>53165</v>
      </c>
      <c r="F9492" s="8" t="s">
        <v>53166</v>
      </c>
      <c r="G9492" s="6" t="s">
        <v>60</v>
      </c>
      <c r="H9492" s="6" t="s">
        <v>34</v>
      </c>
      <c r="I9492" s="8" t="s">
        <v>253</v>
      </c>
      <c r="J9492" s="9">
        <v>1</v>
      </c>
      <c r="K9492" s="9">
        <v>244</v>
      </c>
      <c r="L9492" s="9">
        <v>2024</v>
      </c>
      <c r="M9492" s="8" t="s">
        <v>53167</v>
      </c>
      <c r="N9492" s="8" t="s">
        <v>243</v>
      </c>
      <c r="O9492" s="8" t="s">
        <v>758</v>
      </c>
      <c r="P9492" s="6" t="s">
        <v>51</v>
      </c>
      <c r="Q9492" s="8" t="s">
        <v>52</v>
      </c>
      <c r="R9492" s="10" t="s">
        <v>47992</v>
      </c>
      <c r="S9492" s="11"/>
      <c r="T9492" s="6"/>
      <c r="U9492" s="15" t="str">
        <f>HYPERLINK("https://media.infra-m.ru/1903/1903340/cover/1903340.jpg", "Обложка")</f>
        <v>Обложка</v>
      </c>
      <c r="V9492" s="8" t="s">
        <v>14780</v>
      </c>
      <c r="W9492" s="6"/>
      <c r="X9492" s="6"/>
      <c r="Y9492" s="6"/>
      <c r="Z9492" s="6"/>
      <c r="AA9492" s="6" t="s">
        <v>76</v>
      </c>
      <c r="AB9492" s="8"/>
      <c r="AC9492" s="27">
        <v>9785160180090</v>
      </c>
    </row>
    <row r="9493" spans="1:29" s="4" customFormat="1" ht="42" customHeight="1" x14ac:dyDescent="0.2">
      <c r="A9493" s="5">
        <v>0</v>
      </c>
      <c r="B9493" s="6" t="s">
        <v>53168</v>
      </c>
      <c r="C9493" s="7">
        <v>2340</v>
      </c>
      <c r="D9493" s="8" t="s">
        <v>53169</v>
      </c>
      <c r="E9493" s="8" t="s">
        <v>53170</v>
      </c>
      <c r="F9493" s="8" t="s">
        <v>53171</v>
      </c>
      <c r="G9493" s="6" t="s">
        <v>60</v>
      </c>
      <c r="H9493" s="6" t="s">
        <v>34</v>
      </c>
      <c r="I9493" s="8" t="s">
        <v>7625</v>
      </c>
      <c r="J9493" s="9">
        <v>1</v>
      </c>
      <c r="K9493" s="9">
        <v>264</v>
      </c>
      <c r="L9493" s="9">
        <v>2022</v>
      </c>
      <c r="M9493" s="8" t="s">
        <v>53172</v>
      </c>
      <c r="N9493" s="8" t="s">
        <v>243</v>
      </c>
      <c r="O9493" s="8" t="s">
        <v>758</v>
      </c>
      <c r="P9493" s="6" t="s">
        <v>51</v>
      </c>
      <c r="Q9493" s="8" t="s">
        <v>377</v>
      </c>
      <c r="R9493" s="10" t="s">
        <v>4167</v>
      </c>
      <c r="S9493" s="11"/>
      <c r="T9493" s="6"/>
      <c r="U9493" s="15" t="str">
        <f>HYPERLINK("https://media.infra-m.ru/1837/1837902/cover/1837902.jpg", "Обложка")</f>
        <v>Обложка</v>
      </c>
      <c r="V9493" s="8" t="s">
        <v>6642</v>
      </c>
      <c r="W9493" s="6"/>
      <c r="X9493" s="6"/>
      <c r="Y9493" s="6"/>
      <c r="Z9493" s="6"/>
      <c r="AA9493" s="6" t="s">
        <v>148</v>
      </c>
      <c r="AB9493" s="8"/>
      <c r="AC9493" s="27">
        <v>9785160172668</v>
      </c>
    </row>
    <row r="9494" spans="1:29" s="4" customFormat="1" ht="51.9" customHeight="1" x14ac:dyDescent="0.2">
      <c r="A9494" s="5">
        <v>0</v>
      </c>
      <c r="B9494" s="6" t="s">
        <v>53173</v>
      </c>
      <c r="C9494" s="7">
        <v>2880</v>
      </c>
      <c r="D9494" s="8" t="s">
        <v>53174</v>
      </c>
      <c r="E9494" s="8" t="s">
        <v>53175</v>
      </c>
      <c r="F9494" s="8" t="s">
        <v>53176</v>
      </c>
      <c r="G9494" s="6" t="s">
        <v>60</v>
      </c>
      <c r="H9494" s="6" t="s">
        <v>34</v>
      </c>
      <c r="I9494" s="8" t="s">
        <v>253</v>
      </c>
      <c r="J9494" s="9">
        <v>1</v>
      </c>
      <c r="K9494" s="9">
        <v>415</v>
      </c>
      <c r="L9494" s="9">
        <v>2027</v>
      </c>
      <c r="M9494" s="8" t="s">
        <v>53177</v>
      </c>
      <c r="N9494" s="8" t="s">
        <v>243</v>
      </c>
      <c r="O9494" s="8" t="s">
        <v>758</v>
      </c>
      <c r="P9494" s="6" t="s">
        <v>306</v>
      </c>
      <c r="Q9494" s="8" t="s">
        <v>52</v>
      </c>
      <c r="R9494" s="10" t="s">
        <v>53178</v>
      </c>
      <c r="S9494" s="11" t="s">
        <v>53179</v>
      </c>
      <c r="T9494" s="6"/>
      <c r="U9494" s="15" t="str">
        <f>HYPERLINK("https://media.infra-m.ru/2266/2266147/cover/2266147.jpg", "Обложка")</f>
        <v>Обложка</v>
      </c>
      <c r="V9494" s="8" t="s">
        <v>1871</v>
      </c>
      <c r="W9494" s="6"/>
      <c r="X9494" s="6"/>
      <c r="Y9494" s="6"/>
      <c r="Z9494" s="6"/>
      <c r="AA9494" s="6" t="s">
        <v>859</v>
      </c>
      <c r="AB9494" s="8"/>
      <c r="AC9494" s="27">
        <v>9785160224343</v>
      </c>
    </row>
    <row r="9495" spans="1:29" s="4" customFormat="1" ht="51.9" customHeight="1" x14ac:dyDescent="0.2">
      <c r="A9495" s="5">
        <v>0</v>
      </c>
      <c r="B9495" s="6" t="s">
        <v>53180</v>
      </c>
      <c r="C9495" s="7">
        <v>3444</v>
      </c>
      <c r="D9495" s="8" t="s">
        <v>53181</v>
      </c>
      <c r="E9495" s="8" t="s">
        <v>53182</v>
      </c>
      <c r="F9495" s="8" t="s">
        <v>53183</v>
      </c>
      <c r="G9495" s="6" t="s">
        <v>60</v>
      </c>
      <c r="H9495" s="6" t="s">
        <v>34</v>
      </c>
      <c r="I9495" s="8" t="s">
        <v>263</v>
      </c>
      <c r="J9495" s="9">
        <v>1</v>
      </c>
      <c r="K9495" s="9">
        <v>495</v>
      </c>
      <c r="L9495" s="9">
        <v>2027</v>
      </c>
      <c r="M9495" s="8" t="s">
        <v>53184</v>
      </c>
      <c r="N9495" s="8" t="s">
        <v>243</v>
      </c>
      <c r="O9495" s="8" t="s">
        <v>758</v>
      </c>
      <c r="P9495" s="6" t="s">
        <v>51</v>
      </c>
      <c r="Q9495" s="8" t="s">
        <v>265</v>
      </c>
      <c r="R9495" s="10" t="s">
        <v>53185</v>
      </c>
      <c r="S9495" s="11" t="s">
        <v>1013</v>
      </c>
      <c r="T9495" s="6"/>
      <c r="U9495" s="15" t="str">
        <f>HYPERLINK("https://media.infra-m.ru/2261/2261228/cover/2261228.jpg", "Обложка")</f>
        <v>Обложка</v>
      </c>
      <c r="V9495" s="8" t="s">
        <v>12351</v>
      </c>
      <c r="W9495" s="6"/>
      <c r="X9495" s="6"/>
      <c r="Y9495" s="6"/>
      <c r="Z9495" s="6"/>
      <c r="AA9495" s="6" t="s">
        <v>859</v>
      </c>
      <c r="AB9495" s="8"/>
      <c r="AC9495" s="27">
        <v>9785160222936</v>
      </c>
    </row>
    <row r="9496" spans="1:29" s="4" customFormat="1" ht="51.9" customHeight="1" x14ac:dyDescent="0.2">
      <c r="A9496" s="5">
        <v>0</v>
      </c>
      <c r="B9496" s="6" t="s">
        <v>53186</v>
      </c>
      <c r="C9496" s="7">
        <v>1601.9</v>
      </c>
      <c r="D9496" s="8" t="s">
        <v>53187</v>
      </c>
      <c r="E9496" s="8" t="s">
        <v>53188</v>
      </c>
      <c r="F9496" s="8" t="s">
        <v>31791</v>
      </c>
      <c r="G9496" s="6" t="s">
        <v>60</v>
      </c>
      <c r="H9496" s="6" t="s">
        <v>48</v>
      </c>
      <c r="I9496" s="8" t="s">
        <v>401</v>
      </c>
      <c r="J9496" s="9">
        <v>1</v>
      </c>
      <c r="K9496" s="9">
        <v>352</v>
      </c>
      <c r="L9496" s="9">
        <v>2022</v>
      </c>
      <c r="M9496" s="8" t="s">
        <v>53189</v>
      </c>
      <c r="N9496" s="8" t="s">
        <v>243</v>
      </c>
      <c r="O9496" s="8" t="s">
        <v>758</v>
      </c>
      <c r="P9496" s="6" t="s">
        <v>306</v>
      </c>
      <c r="Q9496" s="8" t="s">
        <v>265</v>
      </c>
      <c r="R9496" s="10" t="s">
        <v>53190</v>
      </c>
      <c r="S9496" s="11" t="s">
        <v>53191</v>
      </c>
      <c r="T9496" s="6"/>
      <c r="U9496" s="15" t="str">
        <f>HYPERLINK("https://media.infra-m.ru/1851/1851446/cover/1851446.jpg", "Обложка")</f>
        <v>Обложка</v>
      </c>
      <c r="V9496" s="8" t="s">
        <v>227</v>
      </c>
      <c r="W9496" s="6"/>
      <c r="X9496" s="6"/>
      <c r="Y9496" s="6"/>
      <c r="Z9496" s="6"/>
      <c r="AA9496" s="6" t="s">
        <v>248</v>
      </c>
      <c r="AB9496" s="8"/>
      <c r="AC9496" s="27">
        <v>9785911348403</v>
      </c>
    </row>
    <row r="9497" spans="1:29" s="4" customFormat="1" ht="51.9" customHeight="1" x14ac:dyDescent="0.2">
      <c r="A9497" s="5">
        <v>0</v>
      </c>
      <c r="B9497" s="6" t="s">
        <v>53192</v>
      </c>
      <c r="C9497" s="7">
        <v>2320.8000000000002</v>
      </c>
      <c r="D9497" s="8" t="s">
        <v>53193</v>
      </c>
      <c r="E9497" s="8" t="s">
        <v>53188</v>
      </c>
      <c r="F9497" s="8" t="s">
        <v>53194</v>
      </c>
      <c r="G9497" s="6" t="s">
        <v>118</v>
      </c>
      <c r="H9497" s="6" t="s">
        <v>48</v>
      </c>
      <c r="I9497" s="8" t="s">
        <v>271</v>
      </c>
      <c r="J9497" s="9">
        <v>1</v>
      </c>
      <c r="K9497" s="9">
        <v>352</v>
      </c>
      <c r="L9497" s="9">
        <v>2026</v>
      </c>
      <c r="M9497" s="8" t="s">
        <v>53195</v>
      </c>
      <c r="N9497" s="8" t="s">
        <v>243</v>
      </c>
      <c r="O9497" s="8" t="s">
        <v>758</v>
      </c>
      <c r="P9497" s="6" t="s">
        <v>306</v>
      </c>
      <c r="Q9497" s="8" t="s">
        <v>52</v>
      </c>
      <c r="R9497" s="10" t="s">
        <v>53196</v>
      </c>
      <c r="S9497" s="11" t="s">
        <v>53197</v>
      </c>
      <c r="T9497" s="6"/>
      <c r="U9497" s="15" t="str">
        <f>HYPERLINK("https://media.infra-m.ru/2237/2237067/cover/2237067.jpg", "Обложка")</f>
        <v>Обложка</v>
      </c>
      <c r="V9497" s="8" t="s">
        <v>227</v>
      </c>
      <c r="W9497" s="6"/>
      <c r="X9497" s="6"/>
      <c r="Y9497" s="6"/>
      <c r="Z9497" s="6" t="s">
        <v>632</v>
      </c>
      <c r="AA9497" s="6" t="s">
        <v>1256</v>
      </c>
      <c r="AB9497" s="8"/>
      <c r="AC9497" s="27">
        <v>9785000917152</v>
      </c>
    </row>
    <row r="9498" spans="1:29" s="4" customFormat="1" ht="51.9" customHeight="1" x14ac:dyDescent="0.2">
      <c r="A9498" s="5">
        <v>0</v>
      </c>
      <c r="B9498" s="6" t="s">
        <v>53198</v>
      </c>
      <c r="C9498" s="7">
        <v>2536.8000000000002</v>
      </c>
      <c r="D9498" s="8" t="s">
        <v>53199</v>
      </c>
      <c r="E9498" s="8" t="s">
        <v>53200</v>
      </c>
      <c r="F9498" s="8" t="s">
        <v>31791</v>
      </c>
      <c r="G9498" s="6" t="s">
        <v>60</v>
      </c>
      <c r="H9498" s="6" t="s">
        <v>34</v>
      </c>
      <c r="I9498" s="8" t="s">
        <v>263</v>
      </c>
      <c r="J9498" s="9">
        <v>1</v>
      </c>
      <c r="K9498" s="9">
        <v>405</v>
      </c>
      <c r="L9498" s="9">
        <v>2025</v>
      </c>
      <c r="M9498" s="8" t="s">
        <v>53201</v>
      </c>
      <c r="N9498" s="8" t="s">
        <v>243</v>
      </c>
      <c r="O9498" s="8" t="s">
        <v>798</v>
      </c>
      <c r="P9498" s="6" t="s">
        <v>306</v>
      </c>
      <c r="Q9498" s="8" t="s">
        <v>265</v>
      </c>
      <c r="R9498" s="10" t="s">
        <v>53202</v>
      </c>
      <c r="S9498" s="11" t="s">
        <v>444</v>
      </c>
      <c r="T9498" s="6"/>
      <c r="U9498" s="15" t="str">
        <f>HYPERLINK("https://media.infra-m.ru/2216/2216922/cover/2216922.jpg", "Обложка")</f>
        <v>Обложка</v>
      </c>
      <c r="V9498" s="8" t="s">
        <v>227</v>
      </c>
      <c r="W9498" s="6"/>
      <c r="X9498" s="6"/>
      <c r="Y9498" s="6"/>
      <c r="Z9498" s="6"/>
      <c r="AA9498" s="6" t="s">
        <v>11574</v>
      </c>
      <c r="AB9498" s="8"/>
      <c r="AC9498" s="27">
        <v>9785160130934</v>
      </c>
    </row>
    <row r="9499" spans="1:29" s="4" customFormat="1" ht="51.9" customHeight="1" x14ac:dyDescent="0.2">
      <c r="A9499" s="5">
        <v>0</v>
      </c>
      <c r="B9499" s="6" t="s">
        <v>53203</v>
      </c>
      <c r="C9499" s="7">
        <v>2956.8</v>
      </c>
      <c r="D9499" s="8" t="s">
        <v>53204</v>
      </c>
      <c r="E9499" s="8" t="s">
        <v>53205</v>
      </c>
      <c r="F9499" s="8" t="s">
        <v>53206</v>
      </c>
      <c r="G9499" s="6" t="s">
        <v>118</v>
      </c>
      <c r="H9499" s="6" t="s">
        <v>1042</v>
      </c>
      <c r="I9499" s="8" t="s">
        <v>271</v>
      </c>
      <c r="J9499" s="9">
        <v>1</v>
      </c>
      <c r="K9499" s="9">
        <v>416</v>
      </c>
      <c r="L9499" s="9">
        <v>2024</v>
      </c>
      <c r="M9499" s="8" t="s">
        <v>53207</v>
      </c>
      <c r="N9499" s="8" t="s">
        <v>243</v>
      </c>
      <c r="O9499" s="8" t="s">
        <v>758</v>
      </c>
      <c r="P9499" s="6" t="s">
        <v>51</v>
      </c>
      <c r="Q9499" s="8" t="s">
        <v>52</v>
      </c>
      <c r="R9499" s="10" t="s">
        <v>9434</v>
      </c>
      <c r="S9499" s="11" t="s">
        <v>22728</v>
      </c>
      <c r="T9499" s="6"/>
      <c r="U9499" s="15" t="str">
        <f>HYPERLINK("https://media.infra-m.ru/1911/1911022/cover/1911022.jpg", "Обложка")</f>
        <v>Обложка</v>
      </c>
      <c r="V9499" s="8" t="s">
        <v>227</v>
      </c>
      <c r="W9499" s="6"/>
      <c r="X9499" s="6"/>
      <c r="Y9499" s="6"/>
      <c r="Z9499" s="6"/>
      <c r="AA9499" s="6" t="s">
        <v>99</v>
      </c>
      <c r="AB9499" s="8"/>
      <c r="AC9499" s="27">
        <v>9785819907696</v>
      </c>
    </row>
    <row r="9500" spans="1:29" s="4" customFormat="1" ht="51.9" customHeight="1" x14ac:dyDescent="0.2">
      <c r="A9500" s="5">
        <v>0</v>
      </c>
      <c r="B9500" s="6" t="s">
        <v>53208</v>
      </c>
      <c r="C9500" s="7">
        <v>2416.8000000000002</v>
      </c>
      <c r="D9500" s="8" t="s">
        <v>53209</v>
      </c>
      <c r="E9500" s="8" t="s">
        <v>53210</v>
      </c>
      <c r="F9500" s="8" t="s">
        <v>53211</v>
      </c>
      <c r="G9500" s="6" t="s">
        <v>118</v>
      </c>
      <c r="H9500" s="6" t="s">
        <v>48</v>
      </c>
      <c r="I9500" s="8" t="s">
        <v>271</v>
      </c>
      <c r="J9500" s="9">
        <v>1</v>
      </c>
      <c r="K9500" s="9">
        <v>367</v>
      </c>
      <c r="L9500" s="9">
        <v>2026</v>
      </c>
      <c r="M9500" s="8" t="s">
        <v>53212</v>
      </c>
      <c r="N9500" s="8" t="s">
        <v>243</v>
      </c>
      <c r="O9500" s="8" t="s">
        <v>758</v>
      </c>
      <c r="P9500" s="6" t="s">
        <v>51</v>
      </c>
      <c r="Q9500" s="8" t="s">
        <v>52</v>
      </c>
      <c r="R9500" s="10" t="s">
        <v>31717</v>
      </c>
      <c r="S9500" s="11" t="s">
        <v>53213</v>
      </c>
      <c r="T9500" s="6"/>
      <c r="U9500" s="15" t="str">
        <f>HYPERLINK("https://media.infra-m.ru/2237/2237020/cover/2237020.jpg", "Обложка")</f>
        <v>Обложка</v>
      </c>
      <c r="V9500" s="8" t="s">
        <v>227</v>
      </c>
      <c r="W9500" s="6"/>
      <c r="X9500" s="6"/>
      <c r="Y9500" s="6"/>
      <c r="Z9500" s="6" t="s">
        <v>632</v>
      </c>
      <c r="AA9500" s="6" t="s">
        <v>1375</v>
      </c>
      <c r="AB9500" s="8"/>
      <c r="AC9500" s="27">
        <v>9785000917442</v>
      </c>
    </row>
    <row r="9501" spans="1:29" s="4" customFormat="1" ht="51.9" customHeight="1" x14ac:dyDescent="0.2">
      <c r="A9501" s="5">
        <v>0</v>
      </c>
      <c r="B9501" s="6" t="s">
        <v>53214</v>
      </c>
      <c r="C9501" s="7">
        <v>2548.8000000000002</v>
      </c>
      <c r="D9501" s="8" t="s">
        <v>53215</v>
      </c>
      <c r="E9501" s="8" t="s">
        <v>53216</v>
      </c>
      <c r="F9501" s="8" t="s">
        <v>53211</v>
      </c>
      <c r="G9501" s="6" t="s">
        <v>118</v>
      </c>
      <c r="H9501" s="6" t="s">
        <v>48</v>
      </c>
      <c r="I9501" s="8" t="s">
        <v>263</v>
      </c>
      <c r="J9501" s="9">
        <v>1</v>
      </c>
      <c r="K9501" s="9">
        <v>367</v>
      </c>
      <c r="L9501" s="9">
        <v>2027</v>
      </c>
      <c r="M9501" s="8" t="s">
        <v>53217</v>
      </c>
      <c r="N9501" s="8" t="s">
        <v>243</v>
      </c>
      <c r="O9501" s="8" t="s">
        <v>758</v>
      </c>
      <c r="P9501" s="6" t="s">
        <v>51</v>
      </c>
      <c r="Q9501" s="8" t="s">
        <v>265</v>
      </c>
      <c r="R9501" s="10" t="s">
        <v>1934</v>
      </c>
      <c r="S9501" s="11" t="s">
        <v>53218</v>
      </c>
      <c r="T9501" s="6"/>
      <c r="U9501" s="15" t="str">
        <f>HYPERLINK("https://media.infra-m.ru/2262/2262269/cover/2262269.jpg", "Обложка")</f>
        <v>Обложка</v>
      </c>
      <c r="V9501" s="8" t="s">
        <v>227</v>
      </c>
      <c r="W9501" s="6"/>
      <c r="X9501" s="6"/>
      <c r="Y9501" s="6"/>
      <c r="Z9501" s="6"/>
      <c r="AA9501" s="6" t="s">
        <v>1123</v>
      </c>
      <c r="AB9501" s="8"/>
      <c r="AC9501" s="27">
        <v>9785000916124</v>
      </c>
    </row>
    <row r="9502" spans="1:29" s="4" customFormat="1" ht="42" customHeight="1" x14ac:dyDescent="0.2">
      <c r="A9502" s="5">
        <v>0</v>
      </c>
      <c r="B9502" s="6" t="s">
        <v>53219</v>
      </c>
      <c r="C9502" s="7">
        <v>3100.8</v>
      </c>
      <c r="D9502" s="8" t="s">
        <v>53220</v>
      </c>
      <c r="E9502" s="8" t="s">
        <v>53221</v>
      </c>
      <c r="F9502" s="8" t="s">
        <v>53222</v>
      </c>
      <c r="G9502" s="6" t="s">
        <v>60</v>
      </c>
      <c r="H9502" s="6" t="s">
        <v>34</v>
      </c>
      <c r="I9502" s="8" t="s">
        <v>271</v>
      </c>
      <c r="J9502" s="9">
        <v>1</v>
      </c>
      <c r="K9502" s="9">
        <v>516</v>
      </c>
      <c r="L9502" s="9">
        <v>2025</v>
      </c>
      <c r="M9502" s="8" t="s">
        <v>53223</v>
      </c>
      <c r="N9502" s="8" t="s">
        <v>243</v>
      </c>
      <c r="O9502" s="8" t="s">
        <v>1100</v>
      </c>
      <c r="P9502" s="6" t="s">
        <v>51</v>
      </c>
      <c r="Q9502" s="8" t="s">
        <v>52</v>
      </c>
      <c r="R9502" s="10" t="s">
        <v>53224</v>
      </c>
      <c r="S9502" s="11"/>
      <c r="T9502" s="6"/>
      <c r="U9502" s="15" t="str">
        <f>HYPERLINK("https://media.infra-m.ru/2174/2174742/cover/2174742.jpg", "Обложка")</f>
        <v>Обложка</v>
      </c>
      <c r="V9502" s="8" t="s">
        <v>904</v>
      </c>
      <c r="W9502" s="6"/>
      <c r="X9502" s="6"/>
      <c r="Y9502" s="6"/>
      <c r="Z9502" s="6"/>
      <c r="AA9502" s="6" t="s">
        <v>274</v>
      </c>
      <c r="AB9502" s="8"/>
      <c r="AC9502" s="27">
        <v>9785160102979</v>
      </c>
    </row>
    <row r="9503" spans="1:29" s="4" customFormat="1" ht="42" customHeight="1" x14ac:dyDescent="0.2">
      <c r="A9503" s="5">
        <v>0</v>
      </c>
      <c r="B9503" s="6" t="s">
        <v>53225</v>
      </c>
      <c r="C9503" s="7">
        <v>2376</v>
      </c>
      <c r="D9503" s="8" t="s">
        <v>53226</v>
      </c>
      <c r="E9503" s="8" t="s">
        <v>53227</v>
      </c>
      <c r="F9503" s="8" t="s">
        <v>53228</v>
      </c>
      <c r="G9503" s="6" t="s">
        <v>60</v>
      </c>
      <c r="H9503" s="6" t="s">
        <v>34</v>
      </c>
      <c r="I9503" s="8" t="s">
        <v>1128</v>
      </c>
      <c r="J9503" s="9">
        <v>1</v>
      </c>
      <c r="K9503" s="9">
        <v>395</v>
      </c>
      <c r="L9503" s="9">
        <v>2025</v>
      </c>
      <c r="M9503" s="8" t="s">
        <v>53229</v>
      </c>
      <c r="N9503" s="8" t="s">
        <v>243</v>
      </c>
      <c r="O9503" s="8" t="s">
        <v>758</v>
      </c>
      <c r="P9503" s="6" t="s">
        <v>51</v>
      </c>
      <c r="Q9503" s="8" t="s">
        <v>52</v>
      </c>
      <c r="R9503" s="10" t="s">
        <v>2820</v>
      </c>
      <c r="S9503" s="11"/>
      <c r="T9503" s="6"/>
      <c r="U9503" s="15" t="str">
        <f>HYPERLINK("https://media.infra-m.ru/2136/2136165/cover/2136165.jpg", "Обложка")</f>
        <v>Обложка</v>
      </c>
      <c r="V9503" s="8" t="s">
        <v>1132</v>
      </c>
      <c r="W9503" s="6"/>
      <c r="X9503" s="6"/>
      <c r="Y9503" s="6"/>
      <c r="Z9503" s="6"/>
      <c r="AA9503" s="6" t="s">
        <v>917</v>
      </c>
      <c r="AB9503" s="8"/>
      <c r="AC9503" s="27">
        <v>9785160197630</v>
      </c>
    </row>
    <row r="9504" spans="1:29" s="4" customFormat="1" ht="51.9" customHeight="1" x14ac:dyDescent="0.2">
      <c r="A9504" s="5">
        <v>0</v>
      </c>
      <c r="B9504" s="6" t="s">
        <v>53230</v>
      </c>
      <c r="C9504" s="7">
        <v>2080.8000000000002</v>
      </c>
      <c r="D9504" s="8" t="s">
        <v>53231</v>
      </c>
      <c r="E9504" s="8" t="s">
        <v>53227</v>
      </c>
      <c r="F9504" s="8" t="s">
        <v>1932</v>
      </c>
      <c r="G9504" s="6" t="s">
        <v>60</v>
      </c>
      <c r="H9504" s="6" t="s">
        <v>34</v>
      </c>
      <c r="I9504" s="8" t="s">
        <v>271</v>
      </c>
      <c r="J9504" s="9">
        <v>1</v>
      </c>
      <c r="K9504" s="9">
        <v>328</v>
      </c>
      <c r="L9504" s="9">
        <v>2026</v>
      </c>
      <c r="M9504" s="8" t="s">
        <v>53232</v>
      </c>
      <c r="N9504" s="8" t="s">
        <v>243</v>
      </c>
      <c r="O9504" s="8" t="s">
        <v>758</v>
      </c>
      <c r="P9504" s="6" t="s">
        <v>51</v>
      </c>
      <c r="Q9504" s="8" t="s">
        <v>52</v>
      </c>
      <c r="R9504" s="10" t="s">
        <v>53233</v>
      </c>
      <c r="S9504" s="11" t="s">
        <v>53234</v>
      </c>
      <c r="T9504" s="6"/>
      <c r="U9504" s="15" t="str">
        <f>HYPERLINK("https://media.infra-m.ru/2218/2218037/cover/2218037.jpg", "Обложка")</f>
        <v>Обложка</v>
      </c>
      <c r="V9504" s="8" t="s">
        <v>227</v>
      </c>
      <c r="W9504" s="6"/>
      <c r="X9504" s="6"/>
      <c r="Y9504" s="6"/>
      <c r="Z9504" s="6"/>
      <c r="AA9504" s="6" t="s">
        <v>896</v>
      </c>
      <c r="AB9504" s="8"/>
      <c r="AC9504" s="27">
        <v>9785160176123</v>
      </c>
    </row>
    <row r="9505" spans="1:29" s="4" customFormat="1" ht="51.9" customHeight="1" x14ac:dyDescent="0.2">
      <c r="A9505" s="5">
        <v>0</v>
      </c>
      <c r="B9505" s="6" t="s">
        <v>53235</v>
      </c>
      <c r="C9505" s="7">
        <v>2160</v>
      </c>
      <c r="D9505" s="8" t="s">
        <v>53236</v>
      </c>
      <c r="E9505" s="8" t="s">
        <v>53227</v>
      </c>
      <c r="F9505" s="8" t="s">
        <v>1932</v>
      </c>
      <c r="G9505" s="6" t="s">
        <v>118</v>
      </c>
      <c r="H9505" s="6" t="s">
        <v>34</v>
      </c>
      <c r="I9505" s="8" t="s">
        <v>263</v>
      </c>
      <c r="J9505" s="9">
        <v>1</v>
      </c>
      <c r="K9505" s="9">
        <v>328</v>
      </c>
      <c r="L9505" s="9">
        <v>2026</v>
      </c>
      <c r="M9505" s="8" t="s">
        <v>53237</v>
      </c>
      <c r="N9505" s="8" t="s">
        <v>243</v>
      </c>
      <c r="O9505" s="8" t="s">
        <v>758</v>
      </c>
      <c r="P9505" s="6" t="s">
        <v>51</v>
      </c>
      <c r="Q9505" s="8" t="s">
        <v>265</v>
      </c>
      <c r="R9505" s="10" t="s">
        <v>53238</v>
      </c>
      <c r="S9505" s="11" t="s">
        <v>53239</v>
      </c>
      <c r="T9505" s="6"/>
      <c r="U9505" s="15" t="str">
        <f>HYPERLINK("https://media.infra-m.ru/2239/2239071/cover/2239071.jpg", "Обложка")</f>
        <v>Обложка</v>
      </c>
      <c r="V9505" s="8" t="s">
        <v>227</v>
      </c>
      <c r="W9505" s="6"/>
      <c r="X9505" s="6"/>
      <c r="Y9505" s="6"/>
      <c r="Z9505" s="6" t="s">
        <v>267</v>
      </c>
      <c r="AA9505" s="6" t="s">
        <v>1303</v>
      </c>
      <c r="AB9505" s="8"/>
      <c r="AC9505" s="27">
        <v>9785160180380</v>
      </c>
    </row>
    <row r="9506" spans="1:29" s="4" customFormat="1" ht="51.9" customHeight="1" x14ac:dyDescent="0.2">
      <c r="A9506" s="5">
        <v>0</v>
      </c>
      <c r="B9506" s="6" t="s">
        <v>53240</v>
      </c>
      <c r="C9506" s="7">
        <v>2484</v>
      </c>
      <c r="D9506" s="8" t="s">
        <v>53241</v>
      </c>
      <c r="E9506" s="8" t="s">
        <v>53242</v>
      </c>
      <c r="F9506" s="8" t="s">
        <v>53243</v>
      </c>
      <c r="G9506" s="6" t="s">
        <v>118</v>
      </c>
      <c r="H9506" s="6" t="s">
        <v>34</v>
      </c>
      <c r="I9506" s="8" t="s">
        <v>253</v>
      </c>
      <c r="J9506" s="9">
        <v>1</v>
      </c>
      <c r="K9506" s="9">
        <v>357</v>
      </c>
      <c r="L9506" s="9">
        <v>2027</v>
      </c>
      <c r="M9506" s="8" t="s">
        <v>53244</v>
      </c>
      <c r="N9506" s="8" t="s">
        <v>243</v>
      </c>
      <c r="O9506" s="8" t="s">
        <v>758</v>
      </c>
      <c r="P9506" s="6" t="s">
        <v>306</v>
      </c>
      <c r="Q9506" s="8" t="s">
        <v>52</v>
      </c>
      <c r="R9506" s="10" t="s">
        <v>9434</v>
      </c>
      <c r="S9506" s="11" t="s">
        <v>53245</v>
      </c>
      <c r="T9506" s="6"/>
      <c r="U9506" s="15" t="str">
        <f>HYPERLINK("https://media.infra-m.ru/2254/2254043/cover/2254043.jpg", "Обложка")</f>
        <v>Обложка</v>
      </c>
      <c r="V9506" s="8" t="s">
        <v>1157</v>
      </c>
      <c r="W9506" s="6"/>
      <c r="X9506" s="6"/>
      <c r="Y9506" s="6"/>
      <c r="Z9506" s="6"/>
      <c r="AA9506" s="6" t="s">
        <v>274</v>
      </c>
      <c r="AB9506" s="8"/>
      <c r="AC9506" s="27">
        <v>9785160221113</v>
      </c>
    </row>
    <row r="9507" spans="1:29" s="4" customFormat="1" ht="51.9" customHeight="1" x14ac:dyDescent="0.2">
      <c r="A9507" s="5">
        <v>0</v>
      </c>
      <c r="B9507" s="6" t="s">
        <v>53246</v>
      </c>
      <c r="C9507" s="7">
        <v>2356.8000000000002</v>
      </c>
      <c r="D9507" s="8" t="s">
        <v>53247</v>
      </c>
      <c r="E9507" s="8" t="s">
        <v>53242</v>
      </c>
      <c r="F9507" s="8" t="s">
        <v>53243</v>
      </c>
      <c r="G9507" s="6" t="s">
        <v>118</v>
      </c>
      <c r="H9507" s="6" t="s">
        <v>48</v>
      </c>
      <c r="I9507" s="8" t="s">
        <v>263</v>
      </c>
      <c r="J9507" s="9">
        <v>1</v>
      </c>
      <c r="K9507" s="9">
        <v>357</v>
      </c>
      <c r="L9507" s="9">
        <v>2026</v>
      </c>
      <c r="M9507" s="8" t="s">
        <v>53248</v>
      </c>
      <c r="N9507" s="8" t="s">
        <v>243</v>
      </c>
      <c r="O9507" s="8" t="s">
        <v>758</v>
      </c>
      <c r="P9507" s="6" t="s">
        <v>306</v>
      </c>
      <c r="Q9507" s="8" t="s">
        <v>265</v>
      </c>
      <c r="R9507" s="10" t="s">
        <v>53249</v>
      </c>
      <c r="S9507" s="11" t="s">
        <v>11630</v>
      </c>
      <c r="T9507" s="6"/>
      <c r="U9507" s="15" t="str">
        <f>HYPERLINK("https://media.infra-m.ru/2222/2222595/cover/2222595.jpg", "Обложка")</f>
        <v>Обложка</v>
      </c>
      <c r="V9507" s="8" t="s">
        <v>1157</v>
      </c>
      <c r="W9507" s="6"/>
      <c r="X9507" s="6" t="s">
        <v>24</v>
      </c>
      <c r="Y9507" s="6"/>
      <c r="Z9507" s="6" t="s">
        <v>267</v>
      </c>
      <c r="AA9507" s="6" t="s">
        <v>115</v>
      </c>
      <c r="AB9507" s="8"/>
      <c r="AC9507" s="27">
        <v>9785000917015</v>
      </c>
    </row>
    <row r="9508" spans="1:29" s="4" customFormat="1" ht="51.9" customHeight="1" x14ac:dyDescent="0.2">
      <c r="A9508" s="5">
        <v>0</v>
      </c>
      <c r="B9508" s="6" t="s">
        <v>53250</v>
      </c>
      <c r="C9508" s="7">
        <v>1648.8</v>
      </c>
      <c r="D9508" s="8" t="s">
        <v>53251</v>
      </c>
      <c r="E9508" s="8" t="s">
        <v>53252</v>
      </c>
      <c r="F9508" s="8" t="s">
        <v>53253</v>
      </c>
      <c r="G9508" s="6" t="s">
        <v>118</v>
      </c>
      <c r="H9508" s="6" t="s">
        <v>34</v>
      </c>
      <c r="I9508" s="8" t="s">
        <v>7625</v>
      </c>
      <c r="J9508" s="9">
        <v>1</v>
      </c>
      <c r="K9508" s="9">
        <v>303</v>
      </c>
      <c r="L9508" s="9">
        <v>2023</v>
      </c>
      <c r="M9508" s="8" t="s">
        <v>53254</v>
      </c>
      <c r="N9508" s="8" t="s">
        <v>243</v>
      </c>
      <c r="O9508" s="8" t="s">
        <v>758</v>
      </c>
      <c r="P9508" s="6" t="s">
        <v>51</v>
      </c>
      <c r="Q9508" s="8" t="s">
        <v>377</v>
      </c>
      <c r="R9508" s="10" t="s">
        <v>4167</v>
      </c>
      <c r="S9508" s="11" t="s">
        <v>53255</v>
      </c>
      <c r="T9508" s="6"/>
      <c r="U9508" s="15" t="str">
        <f>HYPERLINK("https://media.infra-m.ru/2006/2006858/cover/2006858.jpg", "Обложка")</f>
        <v>Обложка</v>
      </c>
      <c r="V9508" s="8" t="s">
        <v>1083</v>
      </c>
      <c r="W9508" s="6"/>
      <c r="X9508" s="6"/>
      <c r="Y9508" s="6"/>
      <c r="Z9508" s="6"/>
      <c r="AA9508" s="6" t="s">
        <v>86</v>
      </c>
      <c r="AB9508" s="8"/>
      <c r="AC9508" s="27">
        <v>9785160160870</v>
      </c>
    </row>
    <row r="9509" spans="1:29" s="4" customFormat="1" ht="51.9" customHeight="1" x14ac:dyDescent="0.2">
      <c r="A9509" s="5">
        <v>0</v>
      </c>
      <c r="B9509" s="6" t="s">
        <v>53256</v>
      </c>
      <c r="C9509" s="7">
        <v>2356.8000000000002</v>
      </c>
      <c r="D9509" s="8" t="s">
        <v>53257</v>
      </c>
      <c r="E9509" s="8" t="s">
        <v>53258</v>
      </c>
      <c r="F9509" s="8" t="s">
        <v>53259</v>
      </c>
      <c r="G9509" s="6" t="s">
        <v>118</v>
      </c>
      <c r="H9509" s="6" t="s">
        <v>34</v>
      </c>
      <c r="I9509" s="8" t="s">
        <v>253</v>
      </c>
      <c r="J9509" s="9">
        <v>1</v>
      </c>
      <c r="K9509" s="9">
        <v>378</v>
      </c>
      <c r="L9509" s="9">
        <v>2026</v>
      </c>
      <c r="M9509" s="8" t="s">
        <v>53260</v>
      </c>
      <c r="N9509" s="8" t="s">
        <v>243</v>
      </c>
      <c r="O9509" s="8" t="s">
        <v>758</v>
      </c>
      <c r="P9509" s="6" t="s">
        <v>51</v>
      </c>
      <c r="Q9509" s="8" t="s">
        <v>65</v>
      </c>
      <c r="R9509" s="10" t="s">
        <v>53261</v>
      </c>
      <c r="S9509" s="11" t="s">
        <v>9293</v>
      </c>
      <c r="T9509" s="6"/>
      <c r="U9509" s="15" t="str">
        <f>HYPERLINK("https://media.infra-m.ru/2222/2222984/cover/2222984.jpg", "Обложка")</f>
        <v>Обложка</v>
      </c>
      <c r="V9509" s="8" t="s">
        <v>1157</v>
      </c>
      <c r="W9509" s="6"/>
      <c r="X9509" s="6"/>
      <c r="Y9509" s="6"/>
      <c r="Z9509" s="6"/>
      <c r="AA9509" s="6" t="s">
        <v>430</v>
      </c>
      <c r="AB9509" s="8"/>
      <c r="AC9509" s="27">
        <v>9785160193595</v>
      </c>
    </row>
    <row r="9510" spans="1:29" s="4" customFormat="1" ht="51.9" customHeight="1" x14ac:dyDescent="0.2">
      <c r="A9510" s="5">
        <v>0</v>
      </c>
      <c r="B9510" s="6" t="s">
        <v>53262</v>
      </c>
      <c r="C9510" s="7">
        <v>3000</v>
      </c>
      <c r="D9510" s="8" t="s">
        <v>53263</v>
      </c>
      <c r="E9510" s="8" t="s">
        <v>53264</v>
      </c>
      <c r="F9510" s="8" t="s">
        <v>51081</v>
      </c>
      <c r="G9510" s="6" t="s">
        <v>60</v>
      </c>
      <c r="H9510" s="6" t="s">
        <v>34</v>
      </c>
      <c r="I9510" s="8" t="s">
        <v>253</v>
      </c>
      <c r="J9510" s="9">
        <v>1</v>
      </c>
      <c r="K9510" s="9">
        <v>480</v>
      </c>
      <c r="L9510" s="9">
        <v>2026</v>
      </c>
      <c r="M9510" s="8" t="s">
        <v>53265</v>
      </c>
      <c r="N9510" s="8" t="s">
        <v>243</v>
      </c>
      <c r="O9510" s="8" t="s">
        <v>758</v>
      </c>
      <c r="P9510" s="6" t="s">
        <v>306</v>
      </c>
      <c r="Q9510" s="8" t="s">
        <v>52</v>
      </c>
      <c r="R9510" s="10" t="s">
        <v>53266</v>
      </c>
      <c r="S9510" s="11" t="s">
        <v>53267</v>
      </c>
      <c r="T9510" s="6"/>
      <c r="U9510" s="15" t="str">
        <f>HYPERLINK("https://media.infra-m.ru/2221/2221919/cover/2221919.jpg", "Обложка")</f>
        <v>Обложка</v>
      </c>
      <c r="V9510" s="8" t="s">
        <v>1006</v>
      </c>
      <c r="W9510" s="6"/>
      <c r="X9510" s="6" t="s">
        <v>24</v>
      </c>
      <c r="Y9510" s="6"/>
      <c r="Z9510" s="6" t="s">
        <v>632</v>
      </c>
      <c r="AA9510" s="6" t="s">
        <v>2240</v>
      </c>
      <c r="AB9510" s="8"/>
      <c r="AC9510" s="27">
        <v>9785160213224</v>
      </c>
    </row>
    <row r="9511" spans="1:29" s="4" customFormat="1" ht="51.9" customHeight="1" x14ac:dyDescent="0.2">
      <c r="A9511" s="5">
        <v>0</v>
      </c>
      <c r="B9511" s="6" t="s">
        <v>53268</v>
      </c>
      <c r="C9511" s="7">
        <v>3180</v>
      </c>
      <c r="D9511" s="8" t="s">
        <v>53269</v>
      </c>
      <c r="E9511" s="8" t="s">
        <v>53264</v>
      </c>
      <c r="F9511" s="8" t="s">
        <v>51081</v>
      </c>
      <c r="G9511" s="6" t="s">
        <v>60</v>
      </c>
      <c r="H9511" s="6" t="s">
        <v>34</v>
      </c>
      <c r="I9511" s="8" t="s">
        <v>263</v>
      </c>
      <c r="J9511" s="9">
        <v>1</v>
      </c>
      <c r="K9511" s="9">
        <v>480</v>
      </c>
      <c r="L9511" s="9">
        <v>2026</v>
      </c>
      <c r="M9511" s="8" t="s">
        <v>53270</v>
      </c>
      <c r="N9511" s="8" t="s">
        <v>243</v>
      </c>
      <c r="O9511" s="8" t="s">
        <v>758</v>
      </c>
      <c r="P9511" s="6" t="s">
        <v>306</v>
      </c>
      <c r="Q9511" s="8" t="s">
        <v>265</v>
      </c>
      <c r="R9511" s="10" t="s">
        <v>53271</v>
      </c>
      <c r="S9511" s="11" t="s">
        <v>444</v>
      </c>
      <c r="T9511" s="6"/>
      <c r="U9511" s="15" t="str">
        <f>HYPERLINK("https://media.infra-m.ru/2228/2228880/cover/2228880.jpg", "Обложка")</f>
        <v>Обложка</v>
      </c>
      <c r="V9511" s="8" t="s">
        <v>1006</v>
      </c>
      <c r="W9511" s="6"/>
      <c r="X9511" s="6"/>
      <c r="Y9511" s="6"/>
      <c r="Z9511" s="6"/>
      <c r="AA9511" s="6" t="s">
        <v>718</v>
      </c>
      <c r="AB9511" s="8"/>
      <c r="AC9511" s="27">
        <v>9785160215327</v>
      </c>
    </row>
    <row r="9512" spans="1:29" s="4" customFormat="1" ht="51.9" customHeight="1" x14ac:dyDescent="0.2">
      <c r="A9512" s="5">
        <v>0</v>
      </c>
      <c r="B9512" s="6" t="s">
        <v>53272</v>
      </c>
      <c r="C9512" s="7">
        <v>3784.8</v>
      </c>
      <c r="D9512" s="8" t="s">
        <v>53273</v>
      </c>
      <c r="E9512" s="8" t="s">
        <v>53274</v>
      </c>
      <c r="F9512" s="8" t="s">
        <v>53275</v>
      </c>
      <c r="G9512" s="6" t="s">
        <v>60</v>
      </c>
      <c r="H9512" s="6" t="s">
        <v>34</v>
      </c>
      <c r="I9512" s="8" t="s">
        <v>253</v>
      </c>
      <c r="J9512" s="9">
        <v>1</v>
      </c>
      <c r="K9512" s="9">
        <v>574</v>
      </c>
      <c r="L9512" s="9">
        <v>2026</v>
      </c>
      <c r="M9512" s="8" t="s">
        <v>53276</v>
      </c>
      <c r="N9512" s="8" t="s">
        <v>243</v>
      </c>
      <c r="O9512" s="8" t="s">
        <v>758</v>
      </c>
      <c r="P9512" s="6" t="s">
        <v>306</v>
      </c>
      <c r="Q9512" s="8" t="s">
        <v>65</v>
      </c>
      <c r="R9512" s="10" t="s">
        <v>53277</v>
      </c>
      <c r="S9512" s="11" t="s">
        <v>53278</v>
      </c>
      <c r="T9512" s="6"/>
      <c r="U9512" s="15" t="str">
        <f>HYPERLINK("https://media.infra-m.ru/2224/2224136/cover/2224136.jpg", "Обложка")</f>
        <v>Обложка</v>
      </c>
      <c r="V9512" s="8" t="s">
        <v>2398</v>
      </c>
      <c r="W9512" s="6"/>
      <c r="X9512" s="6" t="s">
        <v>24</v>
      </c>
      <c r="Y9512" s="6"/>
      <c r="Z9512" s="6"/>
      <c r="AA9512" s="6" t="s">
        <v>274</v>
      </c>
      <c r="AB9512" s="8"/>
      <c r="AC9512" s="27">
        <v>9785160090610</v>
      </c>
    </row>
    <row r="9513" spans="1:29" s="4" customFormat="1" ht="51.9" customHeight="1" x14ac:dyDescent="0.2">
      <c r="A9513" s="5">
        <v>0</v>
      </c>
      <c r="B9513" s="6" t="s">
        <v>53279</v>
      </c>
      <c r="C9513" s="7">
        <v>2160</v>
      </c>
      <c r="D9513" s="8" t="s">
        <v>53280</v>
      </c>
      <c r="E9513" s="8" t="s">
        <v>53281</v>
      </c>
      <c r="F9513" s="8" t="s">
        <v>53275</v>
      </c>
      <c r="G9513" s="6" t="s">
        <v>118</v>
      </c>
      <c r="H9513" s="6" t="s">
        <v>34</v>
      </c>
      <c r="I9513" s="8" t="s">
        <v>253</v>
      </c>
      <c r="J9513" s="9">
        <v>1</v>
      </c>
      <c r="K9513" s="9">
        <v>391</v>
      </c>
      <c r="L9513" s="9">
        <v>2023</v>
      </c>
      <c r="M9513" s="8" t="s">
        <v>53282</v>
      </c>
      <c r="N9513" s="8" t="s">
        <v>243</v>
      </c>
      <c r="O9513" s="8" t="s">
        <v>758</v>
      </c>
      <c r="P9513" s="6" t="s">
        <v>306</v>
      </c>
      <c r="Q9513" s="8" t="s">
        <v>52</v>
      </c>
      <c r="R9513" s="10" t="s">
        <v>53283</v>
      </c>
      <c r="S9513" s="11" t="s">
        <v>53284</v>
      </c>
      <c r="T9513" s="6"/>
      <c r="U9513" s="15" t="str">
        <f>HYPERLINK("https://media.infra-m.ru/2006/2006854/cover/2006854.jpg", "Обложка")</f>
        <v>Обложка</v>
      </c>
      <c r="V9513" s="8" t="s">
        <v>2398</v>
      </c>
      <c r="W9513" s="6"/>
      <c r="X9513" s="6"/>
      <c r="Y9513" s="6"/>
      <c r="Z9513" s="6"/>
      <c r="AA9513" s="6" t="s">
        <v>115</v>
      </c>
      <c r="AB9513" s="8"/>
      <c r="AC9513" s="27">
        <v>9785160142951</v>
      </c>
    </row>
    <row r="9514" spans="1:29" s="4" customFormat="1" ht="44.1" customHeight="1" x14ac:dyDescent="0.2">
      <c r="A9514" s="5">
        <v>0</v>
      </c>
      <c r="B9514" s="6" t="s">
        <v>53285</v>
      </c>
      <c r="C9514" s="7">
        <v>2868</v>
      </c>
      <c r="D9514" s="8" t="s">
        <v>53286</v>
      </c>
      <c r="E9514" s="8" t="s">
        <v>53287</v>
      </c>
      <c r="F9514" s="8" t="s">
        <v>53019</v>
      </c>
      <c r="G9514" s="6" t="s">
        <v>60</v>
      </c>
      <c r="H9514" s="6" t="s">
        <v>34</v>
      </c>
      <c r="I9514" s="8" t="s">
        <v>1248</v>
      </c>
      <c r="J9514" s="9">
        <v>1</v>
      </c>
      <c r="K9514" s="9">
        <v>491</v>
      </c>
      <c r="L9514" s="9">
        <v>2025</v>
      </c>
      <c r="M9514" s="8" t="s">
        <v>53288</v>
      </c>
      <c r="N9514" s="8" t="s">
        <v>243</v>
      </c>
      <c r="O9514" s="8" t="s">
        <v>758</v>
      </c>
      <c r="P9514" s="6" t="s">
        <v>51</v>
      </c>
      <c r="Q9514" s="8" t="s">
        <v>65</v>
      </c>
      <c r="R9514" s="10" t="s">
        <v>1906</v>
      </c>
      <c r="S9514" s="11"/>
      <c r="T9514" s="6"/>
      <c r="U9514" s="15" t="str">
        <f>HYPERLINK("https://media.infra-m.ru/2162/2162073/cover/2162073.jpg", "Обложка")</f>
        <v>Обложка</v>
      </c>
      <c r="V9514" s="8" t="s">
        <v>1083</v>
      </c>
      <c r="W9514" s="6"/>
      <c r="X9514" s="6"/>
      <c r="Y9514" s="6"/>
      <c r="Z9514" s="6"/>
      <c r="AA9514" s="6" t="s">
        <v>68</v>
      </c>
      <c r="AB9514" s="8"/>
      <c r="AC9514" s="27">
        <v>9785160201764</v>
      </c>
    </row>
    <row r="9515" spans="1:29" s="4" customFormat="1" ht="51.9" customHeight="1" x14ac:dyDescent="0.2">
      <c r="A9515" s="5">
        <v>0</v>
      </c>
      <c r="B9515" s="6" t="s">
        <v>53289</v>
      </c>
      <c r="C9515" s="7">
        <v>1660.8</v>
      </c>
      <c r="D9515" s="8" t="s">
        <v>53290</v>
      </c>
      <c r="E9515" s="8" t="s">
        <v>53287</v>
      </c>
      <c r="F9515" s="8" t="s">
        <v>53291</v>
      </c>
      <c r="G9515" s="6" t="s">
        <v>60</v>
      </c>
      <c r="H9515" s="6" t="s">
        <v>48</v>
      </c>
      <c r="I9515" s="8" t="s">
        <v>271</v>
      </c>
      <c r="J9515" s="9">
        <v>1</v>
      </c>
      <c r="K9515" s="9">
        <v>267</v>
      </c>
      <c r="L9515" s="9">
        <v>2026</v>
      </c>
      <c r="M9515" s="8" t="s">
        <v>53292</v>
      </c>
      <c r="N9515" s="8" t="s">
        <v>243</v>
      </c>
      <c r="O9515" s="8" t="s">
        <v>758</v>
      </c>
      <c r="P9515" s="6" t="s">
        <v>51</v>
      </c>
      <c r="Q9515" s="8" t="s">
        <v>52</v>
      </c>
      <c r="R9515" s="10" t="s">
        <v>53293</v>
      </c>
      <c r="S9515" s="11" t="s">
        <v>53294</v>
      </c>
      <c r="T9515" s="6"/>
      <c r="U9515" s="15" t="str">
        <f>HYPERLINK("https://media.infra-m.ru/2218/2218345/cover/2218345.jpg", "Обложка")</f>
        <v>Обложка</v>
      </c>
      <c r="V9515" s="8" t="s">
        <v>1030</v>
      </c>
      <c r="W9515" s="6"/>
      <c r="X9515" s="6"/>
      <c r="Y9515" s="6"/>
      <c r="Z9515" s="6"/>
      <c r="AA9515" s="6" t="s">
        <v>248</v>
      </c>
      <c r="AB9515" s="8"/>
      <c r="AC9515" s="27">
        <v>9785000916209</v>
      </c>
    </row>
    <row r="9516" spans="1:29" s="4" customFormat="1" ht="51.9" customHeight="1" x14ac:dyDescent="0.2">
      <c r="A9516" s="5">
        <v>0</v>
      </c>
      <c r="B9516" s="6" t="s">
        <v>53295</v>
      </c>
      <c r="C9516" s="7">
        <v>1680</v>
      </c>
      <c r="D9516" s="8" t="s">
        <v>53296</v>
      </c>
      <c r="E9516" s="8" t="s">
        <v>53287</v>
      </c>
      <c r="F9516" s="8" t="s">
        <v>53291</v>
      </c>
      <c r="G9516" s="6" t="s">
        <v>118</v>
      </c>
      <c r="H9516" s="6" t="s">
        <v>34</v>
      </c>
      <c r="I9516" s="8" t="s">
        <v>263</v>
      </c>
      <c r="J9516" s="9">
        <v>1</v>
      </c>
      <c r="K9516" s="9">
        <v>267</v>
      </c>
      <c r="L9516" s="9">
        <v>2026</v>
      </c>
      <c r="M9516" s="8" t="s">
        <v>53297</v>
      </c>
      <c r="N9516" s="8" t="s">
        <v>243</v>
      </c>
      <c r="O9516" s="8" t="s">
        <v>758</v>
      </c>
      <c r="P9516" s="6" t="s">
        <v>51</v>
      </c>
      <c r="Q9516" s="8" t="s">
        <v>265</v>
      </c>
      <c r="R9516" s="10" t="s">
        <v>53298</v>
      </c>
      <c r="S9516" s="11" t="s">
        <v>53299</v>
      </c>
      <c r="T9516" s="6"/>
      <c r="U9516" s="15" t="str">
        <f>HYPERLINK("https://media.infra-m.ru/2211/2211711/cover/2211711.jpg", "Обложка")</f>
        <v>Обложка</v>
      </c>
      <c r="V9516" s="8" t="s">
        <v>1030</v>
      </c>
      <c r="W9516" s="6"/>
      <c r="X9516" s="6" t="s">
        <v>24</v>
      </c>
      <c r="Y9516" s="6"/>
      <c r="Z9516" s="6" t="s">
        <v>267</v>
      </c>
      <c r="AA9516" s="6" t="s">
        <v>115</v>
      </c>
      <c r="AB9516" s="8"/>
      <c r="AC9516" s="27">
        <v>9785160144535</v>
      </c>
    </row>
    <row r="9517" spans="1:29" s="4" customFormat="1" ht="51.9" customHeight="1" x14ac:dyDescent="0.2">
      <c r="A9517" s="5">
        <v>0</v>
      </c>
      <c r="B9517" s="6" t="s">
        <v>53300</v>
      </c>
      <c r="C9517" s="7">
        <v>3120</v>
      </c>
      <c r="D9517" s="8" t="s">
        <v>53301</v>
      </c>
      <c r="E9517" s="8" t="s">
        <v>53302</v>
      </c>
      <c r="F9517" s="8" t="s">
        <v>53303</v>
      </c>
      <c r="G9517" s="6" t="s">
        <v>60</v>
      </c>
      <c r="H9517" s="6" t="s">
        <v>1042</v>
      </c>
      <c r="I9517" s="8" t="s">
        <v>263</v>
      </c>
      <c r="J9517" s="9">
        <v>1</v>
      </c>
      <c r="K9517" s="9">
        <v>448</v>
      </c>
      <c r="L9517" s="9">
        <v>2027</v>
      </c>
      <c r="M9517" s="8" t="s">
        <v>53304</v>
      </c>
      <c r="N9517" s="8" t="s">
        <v>243</v>
      </c>
      <c r="O9517" s="8" t="s">
        <v>758</v>
      </c>
      <c r="P9517" s="6" t="s">
        <v>51</v>
      </c>
      <c r="Q9517" s="8" t="s">
        <v>265</v>
      </c>
      <c r="R9517" s="10" t="s">
        <v>53305</v>
      </c>
      <c r="S9517" s="11" t="s">
        <v>18718</v>
      </c>
      <c r="T9517" s="6"/>
      <c r="U9517" s="15" t="str">
        <f>HYPERLINK("https://media.infra-m.ru/2263/2263586/cover/2263586.jpg", "Обложка")</f>
        <v>Обложка</v>
      </c>
      <c r="V9517" s="8" t="s">
        <v>1046</v>
      </c>
      <c r="W9517" s="6"/>
      <c r="X9517" s="6" t="s">
        <v>24</v>
      </c>
      <c r="Y9517" s="6"/>
      <c r="Z9517" s="6"/>
      <c r="AA9517" s="6" t="s">
        <v>561</v>
      </c>
      <c r="AB9517" s="8"/>
      <c r="AC9517" s="27">
        <v>9785819907474</v>
      </c>
    </row>
    <row r="9518" spans="1:29" s="4" customFormat="1" ht="42" customHeight="1" x14ac:dyDescent="0.2">
      <c r="A9518" s="5">
        <v>0</v>
      </c>
      <c r="B9518" s="6" t="s">
        <v>53306</v>
      </c>
      <c r="C9518" s="7">
        <v>1697.9</v>
      </c>
      <c r="D9518" s="8" t="s">
        <v>53307</v>
      </c>
      <c r="E9518" s="8" t="s">
        <v>53308</v>
      </c>
      <c r="F9518" s="8" t="s">
        <v>47945</v>
      </c>
      <c r="G9518" s="6" t="s">
        <v>60</v>
      </c>
      <c r="H9518" s="6" t="s">
        <v>34</v>
      </c>
      <c r="I9518" s="8" t="s">
        <v>35</v>
      </c>
      <c r="J9518" s="9">
        <v>1</v>
      </c>
      <c r="K9518" s="9">
        <v>336</v>
      </c>
      <c r="L9518" s="9">
        <v>2022</v>
      </c>
      <c r="M9518" s="8" t="s">
        <v>53309</v>
      </c>
      <c r="N9518" s="8" t="s">
        <v>243</v>
      </c>
      <c r="O9518" s="8" t="s">
        <v>758</v>
      </c>
      <c r="P9518" s="6" t="s">
        <v>39</v>
      </c>
      <c r="Q9518" s="8" t="s">
        <v>40</v>
      </c>
      <c r="R9518" s="10" t="s">
        <v>9783</v>
      </c>
      <c r="S9518" s="11"/>
      <c r="T9518" s="6"/>
      <c r="U9518" s="15" t="str">
        <f>HYPERLINK("https://media.infra-m.ru/1874/1874248/cover/1874248.jpg", "Обложка")</f>
        <v>Обложка</v>
      </c>
      <c r="V9518" s="8" t="s">
        <v>5555</v>
      </c>
      <c r="W9518" s="6"/>
      <c r="X9518" s="6"/>
      <c r="Y9518" s="6"/>
      <c r="Z9518" s="6"/>
      <c r="AA9518" s="6" t="s">
        <v>86</v>
      </c>
      <c r="AB9518" s="8"/>
      <c r="AC9518" s="27">
        <v>9785160134741</v>
      </c>
    </row>
    <row r="9519" spans="1:29" s="4" customFormat="1" ht="42" customHeight="1" x14ac:dyDescent="0.2">
      <c r="A9519" s="5">
        <v>0</v>
      </c>
      <c r="B9519" s="6" t="s">
        <v>53310</v>
      </c>
      <c r="C9519" s="7">
        <v>1860</v>
      </c>
      <c r="D9519" s="8" t="s">
        <v>53311</v>
      </c>
      <c r="E9519" s="8" t="s">
        <v>53308</v>
      </c>
      <c r="F9519" s="8" t="s">
        <v>47945</v>
      </c>
      <c r="G9519" s="6" t="s">
        <v>33</v>
      </c>
      <c r="H9519" s="6" t="s">
        <v>34</v>
      </c>
      <c r="I9519" s="8" t="s">
        <v>35</v>
      </c>
      <c r="J9519" s="9">
        <v>1</v>
      </c>
      <c r="K9519" s="9">
        <v>336</v>
      </c>
      <c r="L9519" s="9">
        <v>2024</v>
      </c>
      <c r="M9519" s="8" t="s">
        <v>53312</v>
      </c>
      <c r="N9519" s="8" t="s">
        <v>243</v>
      </c>
      <c r="O9519" s="8" t="s">
        <v>758</v>
      </c>
      <c r="P9519" s="6" t="s">
        <v>39</v>
      </c>
      <c r="Q9519" s="8" t="s">
        <v>40</v>
      </c>
      <c r="R9519" s="10" t="s">
        <v>9783</v>
      </c>
      <c r="S9519" s="11"/>
      <c r="T9519" s="6"/>
      <c r="U9519" s="15" t="str">
        <f>HYPERLINK("https://media.infra-m.ru/2126/2126856/cover/2126856.jpg", "Обложка")</f>
        <v>Обложка</v>
      </c>
      <c r="V9519" s="8" t="s">
        <v>5555</v>
      </c>
      <c r="W9519" s="6"/>
      <c r="X9519" s="6"/>
      <c r="Y9519" s="6"/>
      <c r="Z9519" s="6"/>
      <c r="AA9519" s="6" t="s">
        <v>86</v>
      </c>
      <c r="AB9519" s="8"/>
      <c r="AC9519" s="27">
        <v>9785160195452</v>
      </c>
    </row>
    <row r="9520" spans="1:29" s="4" customFormat="1" ht="51.9" customHeight="1" x14ac:dyDescent="0.2">
      <c r="A9520" s="5">
        <v>0</v>
      </c>
      <c r="B9520" s="6" t="s">
        <v>53313</v>
      </c>
      <c r="C9520" s="7">
        <v>1672.8</v>
      </c>
      <c r="D9520" s="8" t="s">
        <v>53314</v>
      </c>
      <c r="E9520" s="8" t="s">
        <v>53315</v>
      </c>
      <c r="F9520" s="8" t="s">
        <v>53025</v>
      </c>
      <c r="G9520" s="6" t="s">
        <v>118</v>
      </c>
      <c r="H9520" s="6" t="s">
        <v>34</v>
      </c>
      <c r="I9520" s="8" t="s">
        <v>271</v>
      </c>
      <c r="J9520" s="9">
        <v>1</v>
      </c>
      <c r="K9520" s="9">
        <v>236</v>
      </c>
      <c r="L9520" s="9">
        <v>2026</v>
      </c>
      <c r="M9520" s="8" t="s">
        <v>53316</v>
      </c>
      <c r="N9520" s="8" t="s">
        <v>243</v>
      </c>
      <c r="O9520" s="8" t="s">
        <v>758</v>
      </c>
      <c r="P9520" s="6" t="s">
        <v>51</v>
      </c>
      <c r="Q9520" s="8" t="s">
        <v>52</v>
      </c>
      <c r="R9520" s="10" t="s">
        <v>53317</v>
      </c>
      <c r="S9520" s="11" t="s">
        <v>53318</v>
      </c>
      <c r="T9520" s="6"/>
      <c r="U9520" s="15" t="str">
        <f>HYPERLINK("https://media.infra-m.ru/2221/2221571/cover/2221571.jpg", "Обложка")</f>
        <v>Обложка</v>
      </c>
      <c r="V9520" s="8" t="s">
        <v>2398</v>
      </c>
      <c r="W9520" s="6"/>
      <c r="X9520" s="6"/>
      <c r="Y9520" s="6"/>
      <c r="Z9520" s="6"/>
      <c r="AA9520" s="6" t="s">
        <v>148</v>
      </c>
      <c r="AB9520" s="8"/>
      <c r="AC9520" s="27">
        <v>9785160170565</v>
      </c>
    </row>
    <row r="9521" spans="1:29" s="4" customFormat="1" ht="42" customHeight="1" x14ac:dyDescent="0.2">
      <c r="A9521" s="5">
        <v>0</v>
      </c>
      <c r="B9521" s="6" t="s">
        <v>53319</v>
      </c>
      <c r="C9521" s="13">
        <v>711.6</v>
      </c>
      <c r="D9521" s="8" t="s">
        <v>53320</v>
      </c>
      <c r="E9521" s="8" t="s">
        <v>53315</v>
      </c>
      <c r="F9521" s="8" t="s">
        <v>53321</v>
      </c>
      <c r="G9521" s="6" t="s">
        <v>33</v>
      </c>
      <c r="H9521" s="6" t="s">
        <v>313</v>
      </c>
      <c r="I9521" s="8" t="s">
        <v>4551</v>
      </c>
      <c r="J9521" s="9">
        <v>1</v>
      </c>
      <c r="K9521" s="9">
        <v>160</v>
      </c>
      <c r="L9521" s="9">
        <v>2026</v>
      </c>
      <c r="M9521" s="8" t="s">
        <v>53322</v>
      </c>
      <c r="N9521" s="8" t="s">
        <v>243</v>
      </c>
      <c r="O9521" s="8" t="s">
        <v>758</v>
      </c>
      <c r="P9521" s="6" t="s">
        <v>51</v>
      </c>
      <c r="Q9521" s="8" t="s">
        <v>52</v>
      </c>
      <c r="R9521" s="10" t="s">
        <v>22931</v>
      </c>
      <c r="S9521" s="11"/>
      <c r="T9521" s="6"/>
      <c r="U9521" s="15" t="str">
        <f>HYPERLINK("https://media.infra-m.ru/2231/2231738/cover/2231738.jpg", "Обложка")</f>
        <v>Обложка</v>
      </c>
      <c r="V9521" s="8"/>
      <c r="W9521" s="6"/>
      <c r="X9521" s="6"/>
      <c r="Y9521" s="6"/>
      <c r="Z9521" s="6"/>
      <c r="AA9521" s="6" t="s">
        <v>1506</v>
      </c>
      <c r="AB9521" s="8"/>
      <c r="AC9521" s="27">
        <v>9785369001448</v>
      </c>
    </row>
    <row r="9522" spans="1:29" s="4" customFormat="1" ht="51.9" customHeight="1" x14ac:dyDescent="0.2">
      <c r="A9522" s="5">
        <v>0</v>
      </c>
      <c r="B9522" s="6" t="s">
        <v>53323</v>
      </c>
      <c r="C9522" s="7">
        <v>1624.8</v>
      </c>
      <c r="D9522" s="8" t="s">
        <v>53324</v>
      </c>
      <c r="E9522" s="8" t="s">
        <v>53325</v>
      </c>
      <c r="F9522" s="8" t="s">
        <v>53326</v>
      </c>
      <c r="G9522" s="6" t="s">
        <v>118</v>
      </c>
      <c r="H9522" s="6" t="s">
        <v>48</v>
      </c>
      <c r="I9522" s="8" t="s">
        <v>263</v>
      </c>
      <c r="J9522" s="9">
        <v>1</v>
      </c>
      <c r="K9522" s="9">
        <v>288</v>
      </c>
      <c r="L9522" s="9">
        <v>2024</v>
      </c>
      <c r="M9522" s="8" t="s">
        <v>53327</v>
      </c>
      <c r="N9522" s="8" t="s">
        <v>243</v>
      </c>
      <c r="O9522" s="8" t="s">
        <v>758</v>
      </c>
      <c r="P9522" s="6" t="s">
        <v>51</v>
      </c>
      <c r="Q9522" s="8" t="s">
        <v>265</v>
      </c>
      <c r="R9522" s="10" t="s">
        <v>53328</v>
      </c>
      <c r="S9522" s="11" t="s">
        <v>6429</v>
      </c>
      <c r="T9522" s="6"/>
      <c r="U9522" s="15" t="str">
        <f>HYPERLINK("https://media.infra-m.ru/2142/2142577/cover/2142577.jpg", "Обложка")</f>
        <v>Обложка</v>
      </c>
      <c r="V9522" s="8" t="s">
        <v>227</v>
      </c>
      <c r="W9522" s="6"/>
      <c r="X9522" s="6" t="s">
        <v>24</v>
      </c>
      <c r="Y9522" s="6"/>
      <c r="Z9522" s="6"/>
      <c r="AA9522" s="6" t="s">
        <v>3800</v>
      </c>
      <c r="AB9522" s="8"/>
      <c r="AC9522" s="27">
        <v>9785000914625</v>
      </c>
    </row>
    <row r="9523" spans="1:29" s="4" customFormat="1" ht="51.9" customHeight="1" x14ac:dyDescent="0.2">
      <c r="A9523" s="5">
        <v>0</v>
      </c>
      <c r="B9523" s="6" t="s">
        <v>53329</v>
      </c>
      <c r="C9523" s="7">
        <v>1632</v>
      </c>
      <c r="D9523" s="8" t="s">
        <v>53330</v>
      </c>
      <c r="E9523" s="8" t="s">
        <v>53331</v>
      </c>
      <c r="F9523" s="8" t="s">
        <v>33620</v>
      </c>
      <c r="G9523" s="6" t="s">
        <v>118</v>
      </c>
      <c r="H9523" s="6" t="s">
        <v>820</v>
      </c>
      <c r="I9523" s="8" t="s">
        <v>263</v>
      </c>
      <c r="J9523" s="9">
        <v>1</v>
      </c>
      <c r="K9523" s="9">
        <v>240</v>
      </c>
      <c r="L9523" s="9">
        <v>2026</v>
      </c>
      <c r="M9523" s="8" t="s">
        <v>53332</v>
      </c>
      <c r="N9523" s="8" t="s">
        <v>243</v>
      </c>
      <c r="O9523" s="8" t="s">
        <v>758</v>
      </c>
      <c r="P9523" s="6" t="s">
        <v>306</v>
      </c>
      <c r="Q9523" s="8" t="s">
        <v>265</v>
      </c>
      <c r="R9523" s="10" t="s">
        <v>53333</v>
      </c>
      <c r="S9523" s="11" t="s">
        <v>53334</v>
      </c>
      <c r="T9523" s="6"/>
      <c r="U9523" s="15" t="str">
        <f>HYPERLINK("https://media.infra-m.ru/2248/2248354/cover/2248354.jpg", "Обложка")</f>
        <v>Обложка</v>
      </c>
      <c r="V9523" s="8" t="s">
        <v>761</v>
      </c>
      <c r="W9523" s="6"/>
      <c r="X9523" s="6" t="s">
        <v>24</v>
      </c>
      <c r="Y9523" s="6"/>
      <c r="Z9523" s="6"/>
      <c r="AA9523" s="6" t="s">
        <v>99</v>
      </c>
      <c r="AB9523" s="8"/>
      <c r="AC9523" s="27">
        <v>9785906818768</v>
      </c>
    </row>
    <row r="9524" spans="1:29" s="4" customFormat="1" ht="51.9" customHeight="1" x14ac:dyDescent="0.2">
      <c r="A9524" s="5">
        <v>0</v>
      </c>
      <c r="B9524" s="6" t="s">
        <v>53335</v>
      </c>
      <c r="C9524" s="7">
        <v>2484</v>
      </c>
      <c r="D9524" s="8" t="s">
        <v>53336</v>
      </c>
      <c r="E9524" s="8" t="s">
        <v>53337</v>
      </c>
      <c r="F9524" s="8" t="s">
        <v>22901</v>
      </c>
      <c r="G9524" s="6" t="s">
        <v>118</v>
      </c>
      <c r="H9524" s="6" t="s">
        <v>34</v>
      </c>
      <c r="I9524" s="8" t="s">
        <v>1248</v>
      </c>
      <c r="J9524" s="9">
        <v>1</v>
      </c>
      <c r="K9524" s="9">
        <v>376</v>
      </c>
      <c r="L9524" s="9">
        <v>2026</v>
      </c>
      <c r="M9524" s="8" t="s">
        <v>53338</v>
      </c>
      <c r="N9524" s="8" t="s">
        <v>243</v>
      </c>
      <c r="O9524" s="8" t="s">
        <v>758</v>
      </c>
      <c r="P9524" s="6" t="s">
        <v>51</v>
      </c>
      <c r="Q9524" s="8" t="s">
        <v>52</v>
      </c>
      <c r="R9524" s="10" t="s">
        <v>31717</v>
      </c>
      <c r="S9524" s="11" t="s">
        <v>53339</v>
      </c>
      <c r="T9524" s="6"/>
      <c r="U9524" s="15" t="str">
        <f>HYPERLINK("https://media.infra-m.ru/2230/2230097/cover/2230097.jpg", "Обложка")</f>
        <v>Обложка</v>
      </c>
      <c r="V9524" s="8" t="s">
        <v>1083</v>
      </c>
      <c r="W9524" s="6"/>
      <c r="X9524" s="6"/>
      <c r="Y9524" s="6"/>
      <c r="Z9524" s="6"/>
      <c r="AA9524" s="6" t="s">
        <v>86</v>
      </c>
      <c r="AB9524" s="8"/>
      <c r="AC9524" s="27">
        <v>9785160200286</v>
      </c>
    </row>
    <row r="9525" spans="1:29" s="4" customFormat="1" ht="51.9" customHeight="1" x14ac:dyDescent="0.2">
      <c r="A9525" s="5">
        <v>0</v>
      </c>
      <c r="B9525" s="6" t="s">
        <v>53340</v>
      </c>
      <c r="C9525" s="7">
        <v>1300.8</v>
      </c>
      <c r="D9525" s="8" t="s">
        <v>53341</v>
      </c>
      <c r="E9525" s="8" t="s">
        <v>53342</v>
      </c>
      <c r="F9525" s="8" t="s">
        <v>53343</v>
      </c>
      <c r="G9525" s="6" t="s">
        <v>60</v>
      </c>
      <c r="H9525" s="6" t="s">
        <v>313</v>
      </c>
      <c r="I9525" s="8" t="s">
        <v>253</v>
      </c>
      <c r="J9525" s="9">
        <v>1</v>
      </c>
      <c r="K9525" s="9">
        <v>240</v>
      </c>
      <c r="L9525" s="9">
        <v>2023</v>
      </c>
      <c r="M9525" s="8" t="s">
        <v>53344</v>
      </c>
      <c r="N9525" s="8" t="s">
        <v>243</v>
      </c>
      <c r="O9525" s="8" t="s">
        <v>933</v>
      </c>
      <c r="P9525" s="6" t="s">
        <v>51</v>
      </c>
      <c r="Q9525" s="8" t="s">
        <v>52</v>
      </c>
      <c r="R9525" s="10" t="s">
        <v>53345</v>
      </c>
      <c r="S9525" s="11" t="s">
        <v>53346</v>
      </c>
      <c r="T9525" s="6"/>
      <c r="U9525" s="15" t="str">
        <f>HYPERLINK("https://media.infra-m.ru/1981/1981636/cover/1981636.jpg", "Обложка")</f>
        <v>Обложка</v>
      </c>
      <c r="V9525" s="8"/>
      <c r="W9525" s="6"/>
      <c r="X9525" s="6"/>
      <c r="Y9525" s="6"/>
      <c r="Z9525" s="6"/>
      <c r="AA9525" s="6" t="s">
        <v>859</v>
      </c>
      <c r="AB9525" s="8"/>
      <c r="AC9525" s="27">
        <v>9785369012994</v>
      </c>
    </row>
    <row r="9526" spans="1:29" s="4" customFormat="1" ht="51.9" customHeight="1" x14ac:dyDescent="0.2">
      <c r="A9526" s="5">
        <v>0</v>
      </c>
      <c r="B9526" s="6" t="s">
        <v>53347</v>
      </c>
      <c r="C9526" s="7">
        <v>3108</v>
      </c>
      <c r="D9526" s="8" t="s">
        <v>53348</v>
      </c>
      <c r="E9526" s="8" t="s">
        <v>53349</v>
      </c>
      <c r="F9526" s="8" t="s">
        <v>53350</v>
      </c>
      <c r="G9526" s="6" t="s">
        <v>118</v>
      </c>
      <c r="H9526" s="6" t="s">
        <v>34</v>
      </c>
      <c r="I9526" s="8" t="s">
        <v>263</v>
      </c>
      <c r="J9526" s="9">
        <v>1</v>
      </c>
      <c r="K9526" s="9">
        <v>384</v>
      </c>
      <c r="L9526" s="9">
        <v>2026</v>
      </c>
      <c r="M9526" s="8" t="s">
        <v>53351</v>
      </c>
      <c r="N9526" s="8" t="s">
        <v>243</v>
      </c>
      <c r="O9526" s="8" t="s">
        <v>758</v>
      </c>
      <c r="P9526" s="6" t="s">
        <v>51</v>
      </c>
      <c r="Q9526" s="8" t="s">
        <v>265</v>
      </c>
      <c r="R9526" s="10" t="s">
        <v>53352</v>
      </c>
      <c r="S9526" s="11" t="s">
        <v>22925</v>
      </c>
      <c r="T9526" s="6"/>
      <c r="U9526" s="15" t="str">
        <f>HYPERLINK("https://media.infra-m.ru/2224/2224074/cover/2224074.jpg", "Обложка")</f>
        <v>Обложка</v>
      </c>
      <c r="V9526" s="8" t="s">
        <v>1871</v>
      </c>
      <c r="W9526" s="6"/>
      <c r="X9526" s="6"/>
      <c r="Y9526" s="6"/>
      <c r="Z9526" s="6" t="s">
        <v>267</v>
      </c>
      <c r="AA9526" s="6" t="s">
        <v>1256</v>
      </c>
      <c r="AB9526" s="8"/>
      <c r="AC9526" s="27">
        <v>9785160214344</v>
      </c>
    </row>
    <row r="9527" spans="1:29" s="4" customFormat="1" ht="51.9" customHeight="1" x14ac:dyDescent="0.2">
      <c r="A9527" s="5">
        <v>0</v>
      </c>
      <c r="B9527" s="6" t="s">
        <v>53353</v>
      </c>
      <c r="C9527" s="7">
        <v>3476.4</v>
      </c>
      <c r="D9527" s="8" t="s">
        <v>53354</v>
      </c>
      <c r="E9527" s="8" t="s">
        <v>53349</v>
      </c>
      <c r="F9527" s="8" t="s">
        <v>53355</v>
      </c>
      <c r="G9527" s="6" t="s">
        <v>118</v>
      </c>
      <c r="H9527" s="6" t="s">
        <v>48</v>
      </c>
      <c r="I9527" s="8" t="s">
        <v>253</v>
      </c>
      <c r="J9527" s="9">
        <v>1</v>
      </c>
      <c r="K9527" s="9">
        <v>384</v>
      </c>
      <c r="L9527" s="9">
        <v>2026</v>
      </c>
      <c r="M9527" s="8" t="s">
        <v>53356</v>
      </c>
      <c r="N9527" s="8" t="s">
        <v>243</v>
      </c>
      <c r="O9527" s="8" t="s">
        <v>758</v>
      </c>
      <c r="P9527" s="6" t="s">
        <v>51</v>
      </c>
      <c r="Q9527" s="8" t="s">
        <v>52</v>
      </c>
      <c r="R9527" s="10" t="s">
        <v>9434</v>
      </c>
      <c r="S9527" s="11" t="s">
        <v>53357</v>
      </c>
      <c r="T9527" s="6"/>
      <c r="U9527" s="15" t="str">
        <f>HYPERLINK("https://media.infra-m.ru/2255/2255164/cover/2255164.jpg", "Обложка")</f>
        <v>Обложка</v>
      </c>
      <c r="V9527" s="8" t="s">
        <v>1871</v>
      </c>
      <c r="W9527" s="6"/>
      <c r="X9527" s="6"/>
      <c r="Y9527" s="6"/>
      <c r="Z9527" s="6"/>
      <c r="AA9527" s="6" t="s">
        <v>55</v>
      </c>
      <c r="AB9527" s="8"/>
      <c r="AC9527" s="27">
        <v>9785000918241</v>
      </c>
    </row>
    <row r="9528" spans="1:29" s="4" customFormat="1" ht="51.9" customHeight="1" x14ac:dyDescent="0.2">
      <c r="A9528" s="5">
        <v>0</v>
      </c>
      <c r="B9528" s="6" t="s">
        <v>53358</v>
      </c>
      <c r="C9528" s="13">
        <v>629.9</v>
      </c>
      <c r="D9528" s="8" t="s">
        <v>53359</v>
      </c>
      <c r="E9528" s="8" t="s">
        <v>53360</v>
      </c>
      <c r="F9528" s="8" t="s">
        <v>43592</v>
      </c>
      <c r="G9528" s="6" t="s">
        <v>60</v>
      </c>
      <c r="H9528" s="6" t="s">
        <v>34</v>
      </c>
      <c r="I9528" s="8"/>
      <c r="J9528" s="9">
        <v>1</v>
      </c>
      <c r="K9528" s="9">
        <v>424</v>
      </c>
      <c r="L9528" s="9">
        <v>2023</v>
      </c>
      <c r="M9528" s="8" t="s">
        <v>53361</v>
      </c>
      <c r="N9528" s="8" t="s">
        <v>37</v>
      </c>
      <c r="O9528" s="8" t="s">
        <v>233</v>
      </c>
      <c r="P9528" s="6" t="s">
        <v>39</v>
      </c>
      <c r="Q9528" s="8" t="s">
        <v>500</v>
      </c>
      <c r="R9528" s="10" t="s">
        <v>53362</v>
      </c>
      <c r="S9528" s="11"/>
      <c r="T9528" s="6"/>
      <c r="U9528" s="15" t="str">
        <f>HYPERLINK("https://media.infra-m.ru/2030/2030882/cover/2030882.jpg", "Обложка")</f>
        <v>Обложка</v>
      </c>
      <c r="V9528" s="8" t="s">
        <v>657</v>
      </c>
      <c r="W9528" s="6"/>
      <c r="X9528" s="6"/>
      <c r="Y9528" s="6"/>
      <c r="Z9528" s="6"/>
      <c r="AA9528" s="6" t="s">
        <v>86</v>
      </c>
      <c r="AB9528" s="8"/>
      <c r="AC9528" s="27">
        <v>9785160145716</v>
      </c>
    </row>
    <row r="9529" spans="1:29" s="4" customFormat="1" ht="51.9" customHeight="1" x14ac:dyDescent="0.2">
      <c r="A9529" s="5">
        <v>0</v>
      </c>
      <c r="B9529" s="6" t="s">
        <v>53363</v>
      </c>
      <c r="C9529" s="13">
        <v>592.79999999999995</v>
      </c>
      <c r="D9529" s="8" t="s">
        <v>53364</v>
      </c>
      <c r="E9529" s="8" t="s">
        <v>53365</v>
      </c>
      <c r="F9529" s="8" t="s">
        <v>3619</v>
      </c>
      <c r="G9529" s="6" t="s">
        <v>33</v>
      </c>
      <c r="H9529" s="6" t="s">
        <v>34</v>
      </c>
      <c r="I9529" s="8" t="s">
        <v>271</v>
      </c>
      <c r="J9529" s="9">
        <v>1</v>
      </c>
      <c r="K9529" s="9">
        <v>84</v>
      </c>
      <c r="L9529" s="9">
        <v>2026</v>
      </c>
      <c r="M9529" s="8" t="s">
        <v>53366</v>
      </c>
      <c r="N9529" s="8" t="s">
        <v>585</v>
      </c>
      <c r="O9529" s="8" t="s">
        <v>667</v>
      </c>
      <c r="P9529" s="6" t="s">
        <v>51</v>
      </c>
      <c r="Q9529" s="8" t="s">
        <v>52</v>
      </c>
      <c r="R9529" s="10" t="s">
        <v>48462</v>
      </c>
      <c r="S9529" s="11"/>
      <c r="T9529" s="6"/>
      <c r="U9529" s="15" t="str">
        <f>HYPERLINK("https://media.infra-m.ru/2224/2224148/cover/2224148.jpg", "Обложка")</f>
        <v>Обложка</v>
      </c>
      <c r="V9529" s="8" t="s">
        <v>2398</v>
      </c>
      <c r="W9529" s="6"/>
      <c r="X9529" s="6"/>
      <c r="Y9529" s="6"/>
      <c r="Z9529" s="6"/>
      <c r="AA9529" s="6" t="s">
        <v>874</v>
      </c>
      <c r="AB9529" s="8"/>
      <c r="AC9529" s="27">
        <v>9785160103846</v>
      </c>
    </row>
    <row r="9530" spans="1:29" s="4" customFormat="1" ht="44.1" customHeight="1" x14ac:dyDescent="0.2">
      <c r="A9530" s="5">
        <v>0</v>
      </c>
      <c r="B9530" s="6" t="s">
        <v>53367</v>
      </c>
      <c r="C9530" s="13">
        <v>972</v>
      </c>
      <c r="D9530" s="8" t="s">
        <v>53368</v>
      </c>
      <c r="E9530" s="8" t="s">
        <v>53369</v>
      </c>
      <c r="F9530" s="8" t="s">
        <v>53370</v>
      </c>
      <c r="G9530" s="6" t="s">
        <v>33</v>
      </c>
      <c r="H9530" s="6" t="s">
        <v>34</v>
      </c>
      <c r="I9530" s="8" t="s">
        <v>457</v>
      </c>
      <c r="J9530" s="9">
        <v>1</v>
      </c>
      <c r="K9530" s="9">
        <v>147</v>
      </c>
      <c r="L9530" s="9">
        <v>2026</v>
      </c>
      <c r="M9530" s="8" t="s">
        <v>53371</v>
      </c>
      <c r="N9530" s="8" t="s">
        <v>37</v>
      </c>
      <c r="O9530" s="8" t="s">
        <v>83</v>
      </c>
      <c r="P9530" s="6" t="s">
        <v>39</v>
      </c>
      <c r="Q9530" s="8" t="s">
        <v>40</v>
      </c>
      <c r="R9530" s="10" t="s">
        <v>53372</v>
      </c>
      <c r="S9530" s="11"/>
      <c r="T9530" s="6"/>
      <c r="U9530" s="15" t="str">
        <f>HYPERLINK("https://media.infra-m.ru/2227/2227949/cover/2227949.jpg", "Обложка")</f>
        <v>Обложка</v>
      </c>
      <c r="V9530" s="8" t="s">
        <v>247</v>
      </c>
      <c r="W9530" s="6"/>
      <c r="X9530" s="6"/>
      <c r="Y9530" s="6"/>
      <c r="Z9530" s="6"/>
      <c r="AA9530" s="6" t="s">
        <v>86</v>
      </c>
      <c r="AB9530" s="8"/>
      <c r="AC9530" s="27">
        <v>9785160164106</v>
      </c>
    </row>
    <row r="9531" spans="1:29" s="4" customFormat="1" ht="44.1" customHeight="1" x14ac:dyDescent="0.2">
      <c r="A9531" s="5">
        <v>0</v>
      </c>
      <c r="B9531" s="6" t="s">
        <v>53373</v>
      </c>
      <c r="C9531" s="7">
        <v>1421.9</v>
      </c>
      <c r="D9531" s="8" t="s">
        <v>53374</v>
      </c>
      <c r="E9531" s="8" t="s">
        <v>53375</v>
      </c>
      <c r="F9531" s="8" t="s">
        <v>3255</v>
      </c>
      <c r="G9531" s="6" t="s">
        <v>60</v>
      </c>
      <c r="H9531" s="6" t="s">
        <v>34</v>
      </c>
      <c r="I9531" s="8" t="s">
        <v>35</v>
      </c>
      <c r="J9531" s="9">
        <v>1</v>
      </c>
      <c r="K9531" s="9">
        <v>320</v>
      </c>
      <c r="L9531" s="9">
        <v>2021</v>
      </c>
      <c r="M9531" s="8" t="s">
        <v>53376</v>
      </c>
      <c r="N9531" s="8" t="s">
        <v>37</v>
      </c>
      <c r="O9531" s="8" t="s">
        <v>83</v>
      </c>
      <c r="P9531" s="6" t="s">
        <v>39</v>
      </c>
      <c r="Q9531" s="8" t="s">
        <v>40</v>
      </c>
      <c r="R9531" s="10" t="s">
        <v>53377</v>
      </c>
      <c r="S9531" s="11"/>
      <c r="T9531" s="6"/>
      <c r="U9531" s="15" t="str">
        <f>HYPERLINK("https://media.infra-m.ru/1233/1233825/cover/1233825.jpg", "Обложка")</f>
        <v>Обложка</v>
      </c>
      <c r="V9531" s="8" t="s">
        <v>3109</v>
      </c>
      <c r="W9531" s="6"/>
      <c r="X9531" s="6"/>
      <c r="Y9531" s="6"/>
      <c r="Z9531" s="6"/>
      <c r="AA9531" s="6" t="s">
        <v>115</v>
      </c>
      <c r="AB9531" s="8"/>
      <c r="AC9531" s="27">
        <v>9785160146072</v>
      </c>
    </row>
    <row r="9532" spans="1:29" s="4" customFormat="1" ht="44.1" customHeight="1" x14ac:dyDescent="0.2">
      <c r="A9532" s="5">
        <v>0</v>
      </c>
      <c r="B9532" s="6" t="s">
        <v>53378</v>
      </c>
      <c r="C9532" s="7">
        <v>1728</v>
      </c>
      <c r="D9532" s="8" t="s">
        <v>53379</v>
      </c>
      <c r="E9532" s="8" t="s">
        <v>53375</v>
      </c>
      <c r="F9532" s="8" t="s">
        <v>3255</v>
      </c>
      <c r="G9532" s="6" t="s">
        <v>33</v>
      </c>
      <c r="H9532" s="6" t="s">
        <v>34</v>
      </c>
      <c r="I9532" s="8" t="s">
        <v>35</v>
      </c>
      <c r="J9532" s="9">
        <v>1</v>
      </c>
      <c r="K9532" s="9">
        <v>320</v>
      </c>
      <c r="L9532" s="9">
        <v>2023</v>
      </c>
      <c r="M9532" s="8" t="s">
        <v>53380</v>
      </c>
      <c r="N9532" s="8" t="s">
        <v>37</v>
      </c>
      <c r="O9532" s="8" t="s">
        <v>83</v>
      </c>
      <c r="P9532" s="6" t="s">
        <v>39</v>
      </c>
      <c r="Q9532" s="8" t="s">
        <v>40</v>
      </c>
      <c r="R9532" s="10" t="s">
        <v>53377</v>
      </c>
      <c r="S9532" s="11"/>
      <c r="T9532" s="6"/>
      <c r="U9532" s="15" t="str">
        <f>HYPERLINK("https://media.infra-m.ru/1912/1912404/cover/1912404.jpg", "Обложка")</f>
        <v>Обложка</v>
      </c>
      <c r="V9532" s="8" t="s">
        <v>3109</v>
      </c>
      <c r="W9532" s="6"/>
      <c r="X9532" s="6"/>
      <c r="Y9532" s="6"/>
      <c r="Z9532" s="6"/>
      <c r="AA9532" s="6" t="s">
        <v>115</v>
      </c>
      <c r="AB9532" s="8"/>
      <c r="AC9532" s="27">
        <v>9785160181332</v>
      </c>
    </row>
    <row r="9533" spans="1:29" s="4" customFormat="1" ht="42" customHeight="1" x14ac:dyDescent="0.2">
      <c r="A9533" s="5">
        <v>0</v>
      </c>
      <c r="B9533" s="6" t="s">
        <v>53381</v>
      </c>
      <c r="C9533" s="7">
        <v>2296.8000000000002</v>
      </c>
      <c r="D9533" s="8" t="s">
        <v>53382</v>
      </c>
      <c r="E9533" s="8" t="s">
        <v>53383</v>
      </c>
      <c r="F9533" s="8" t="s">
        <v>3255</v>
      </c>
      <c r="G9533" s="6" t="s">
        <v>60</v>
      </c>
      <c r="H9533" s="6" t="s">
        <v>34</v>
      </c>
      <c r="I9533" s="8" t="s">
        <v>35</v>
      </c>
      <c r="J9533" s="9">
        <v>1</v>
      </c>
      <c r="K9533" s="9">
        <v>348</v>
      </c>
      <c r="L9533" s="9">
        <v>2026</v>
      </c>
      <c r="M9533" s="8" t="s">
        <v>53384</v>
      </c>
      <c r="N9533" s="8" t="s">
        <v>63</v>
      </c>
      <c r="O9533" s="8" t="s">
        <v>126</v>
      </c>
      <c r="P9533" s="6" t="s">
        <v>39</v>
      </c>
      <c r="Q9533" s="8" t="s">
        <v>40</v>
      </c>
      <c r="R9533" s="10" t="s">
        <v>465</v>
      </c>
      <c r="S9533" s="11"/>
      <c r="T9533" s="6"/>
      <c r="U9533" s="15" t="str">
        <f>HYPERLINK("https://media.infra-m.ru/2215/2215651/cover/2215651.jpg", "Обложка")</f>
        <v>Обложка</v>
      </c>
      <c r="V9533" s="8" t="s">
        <v>3109</v>
      </c>
      <c r="W9533" s="6"/>
      <c r="X9533" s="6"/>
      <c r="Y9533" s="6"/>
      <c r="Z9533" s="6"/>
      <c r="AA9533" s="6" t="s">
        <v>218</v>
      </c>
      <c r="AB9533" s="8"/>
      <c r="AC9533" s="27">
        <v>9785160146362</v>
      </c>
    </row>
    <row r="9534" spans="1:29" s="4" customFormat="1" ht="42" customHeight="1" x14ac:dyDescent="0.2">
      <c r="A9534" s="5">
        <v>0</v>
      </c>
      <c r="B9534" s="6" t="s">
        <v>53385</v>
      </c>
      <c r="C9534" s="13">
        <v>768</v>
      </c>
      <c r="D9534" s="8" t="s">
        <v>53386</v>
      </c>
      <c r="E9534" s="8" t="s">
        <v>53387</v>
      </c>
      <c r="F9534" s="8" t="s">
        <v>53388</v>
      </c>
      <c r="G9534" s="6" t="s">
        <v>33</v>
      </c>
      <c r="H9534" s="6" t="s">
        <v>34</v>
      </c>
      <c r="I9534" s="8" t="s">
        <v>35</v>
      </c>
      <c r="J9534" s="9">
        <v>1</v>
      </c>
      <c r="K9534" s="9">
        <v>111</v>
      </c>
      <c r="L9534" s="9">
        <v>2026</v>
      </c>
      <c r="M9534" s="8" t="s">
        <v>53389</v>
      </c>
      <c r="N9534" s="8" t="s">
        <v>37</v>
      </c>
      <c r="O9534" s="8" t="s">
        <v>280</v>
      </c>
      <c r="P9534" s="6" t="s">
        <v>39</v>
      </c>
      <c r="Q9534" s="8" t="s">
        <v>40</v>
      </c>
      <c r="R9534" s="10" t="s">
        <v>1503</v>
      </c>
      <c r="S9534" s="11"/>
      <c r="T9534" s="6"/>
      <c r="U9534" s="15" t="str">
        <f>HYPERLINK("https://media.infra-m.ru/2120/2120735/cover/2120735.jpg", "Обложка")</f>
        <v>Обложка</v>
      </c>
      <c r="V9534" s="8" t="s">
        <v>2427</v>
      </c>
      <c r="W9534" s="6"/>
      <c r="X9534" s="6"/>
      <c r="Y9534" s="6"/>
      <c r="Z9534" s="6"/>
      <c r="AA9534" s="6" t="s">
        <v>43</v>
      </c>
      <c r="AB9534" s="8"/>
      <c r="AC9534" s="27">
        <v>9785160056296</v>
      </c>
    </row>
    <row r="9535" spans="1:29" s="4" customFormat="1" ht="51.9" customHeight="1" x14ac:dyDescent="0.2">
      <c r="A9535" s="5">
        <v>0</v>
      </c>
      <c r="B9535" s="6" t="s">
        <v>53390</v>
      </c>
      <c r="C9535" s="7">
        <v>1156.8</v>
      </c>
      <c r="D9535" s="8" t="s">
        <v>53391</v>
      </c>
      <c r="E9535" s="8" t="s">
        <v>53392</v>
      </c>
      <c r="F9535" s="8" t="s">
        <v>53393</v>
      </c>
      <c r="G9535" s="6" t="s">
        <v>33</v>
      </c>
      <c r="H9535" s="6" t="s">
        <v>34</v>
      </c>
      <c r="I9535" s="8" t="s">
        <v>35</v>
      </c>
      <c r="J9535" s="9">
        <v>1</v>
      </c>
      <c r="K9535" s="9">
        <v>186</v>
      </c>
      <c r="L9535" s="9">
        <v>2025</v>
      </c>
      <c r="M9535" s="8" t="s">
        <v>53394</v>
      </c>
      <c r="N9535" s="8" t="s">
        <v>93</v>
      </c>
      <c r="O9535" s="8" t="s">
        <v>94</v>
      </c>
      <c r="P9535" s="6" t="s">
        <v>39</v>
      </c>
      <c r="Q9535" s="8" t="s">
        <v>40</v>
      </c>
      <c r="R9535" s="10" t="s">
        <v>53395</v>
      </c>
      <c r="S9535" s="11"/>
      <c r="T9535" s="6"/>
      <c r="U9535" s="15" t="str">
        <f>HYPERLINK("https://media.infra-m.ru/2211/2211198/cover/2211198.jpg", "Обложка")</f>
        <v>Обложка</v>
      </c>
      <c r="V9535" s="8" t="s">
        <v>1425</v>
      </c>
      <c r="W9535" s="6"/>
      <c r="X9535" s="6"/>
      <c r="Y9535" s="6"/>
      <c r="Z9535" s="6"/>
      <c r="AA9535" s="6" t="s">
        <v>86</v>
      </c>
      <c r="AB9535" s="8"/>
      <c r="AC9535" s="27">
        <v>9785160136660</v>
      </c>
    </row>
    <row r="9536" spans="1:29" s="4" customFormat="1" ht="51.9" customHeight="1" x14ac:dyDescent="0.2">
      <c r="A9536" s="5">
        <v>0</v>
      </c>
      <c r="B9536" s="6" t="s">
        <v>53396</v>
      </c>
      <c r="C9536" s="7">
        <v>1716</v>
      </c>
      <c r="D9536" s="8" t="s">
        <v>53397</v>
      </c>
      <c r="E9536" s="8" t="s">
        <v>53398</v>
      </c>
      <c r="F9536" s="8" t="s">
        <v>53399</v>
      </c>
      <c r="G9536" s="6" t="s">
        <v>33</v>
      </c>
      <c r="H9536" s="6" t="s">
        <v>34</v>
      </c>
      <c r="I9536" s="8" t="s">
        <v>35</v>
      </c>
      <c r="J9536" s="9">
        <v>1</v>
      </c>
      <c r="K9536" s="9">
        <v>259</v>
      </c>
      <c r="L9536" s="9">
        <v>2026</v>
      </c>
      <c r="M9536" s="8" t="s">
        <v>53400</v>
      </c>
      <c r="N9536" s="8" t="s">
        <v>37</v>
      </c>
      <c r="O9536" s="8" t="s">
        <v>280</v>
      </c>
      <c r="P9536" s="6" t="s">
        <v>39</v>
      </c>
      <c r="Q9536" s="8" t="s">
        <v>40</v>
      </c>
      <c r="R9536" s="10" t="s">
        <v>53401</v>
      </c>
      <c r="S9536" s="11"/>
      <c r="T9536" s="6"/>
      <c r="U9536" s="15" t="str">
        <f>HYPERLINK("https://media.infra-m.ru/2257/2257161/cover/2257161.jpg", "Обложка")</f>
        <v>Обложка</v>
      </c>
      <c r="V9536" s="8" t="s">
        <v>396</v>
      </c>
      <c r="W9536" s="6"/>
      <c r="X9536" s="6"/>
      <c r="Y9536" s="6"/>
      <c r="Z9536" s="6"/>
      <c r="AA9536" s="6" t="s">
        <v>115</v>
      </c>
      <c r="AB9536" s="8"/>
      <c r="AC9536" s="27">
        <v>9785160221991</v>
      </c>
    </row>
    <row r="9537" spans="1:29" s="4" customFormat="1" ht="51.9" customHeight="1" x14ac:dyDescent="0.2">
      <c r="A9537" s="5">
        <v>0</v>
      </c>
      <c r="B9537" s="6" t="s">
        <v>53402</v>
      </c>
      <c r="C9537" s="7">
        <v>1428</v>
      </c>
      <c r="D9537" s="8" t="s">
        <v>53403</v>
      </c>
      <c r="E9537" s="8" t="s">
        <v>53398</v>
      </c>
      <c r="F9537" s="8" t="s">
        <v>53399</v>
      </c>
      <c r="G9537" s="6" t="s">
        <v>118</v>
      </c>
      <c r="H9537" s="6" t="s">
        <v>34</v>
      </c>
      <c r="I9537" s="8" t="s">
        <v>35</v>
      </c>
      <c r="J9537" s="9">
        <v>1</v>
      </c>
      <c r="K9537" s="9">
        <v>259</v>
      </c>
      <c r="L9537" s="9">
        <v>2024</v>
      </c>
      <c r="M9537" s="8" t="s">
        <v>53404</v>
      </c>
      <c r="N9537" s="8" t="s">
        <v>37</v>
      </c>
      <c r="O9537" s="8" t="s">
        <v>280</v>
      </c>
      <c r="P9537" s="6" t="s">
        <v>39</v>
      </c>
      <c r="Q9537" s="8" t="s">
        <v>40</v>
      </c>
      <c r="R9537" s="10" t="s">
        <v>53401</v>
      </c>
      <c r="S9537" s="11"/>
      <c r="T9537" s="6"/>
      <c r="U9537" s="15" t="str">
        <f>HYPERLINK("https://media.infra-m.ru/2067/2067398/cover/2067398.jpg", "Обложка")</f>
        <v>Обложка</v>
      </c>
      <c r="V9537" s="8" t="s">
        <v>396</v>
      </c>
      <c r="W9537" s="6"/>
      <c r="X9537" s="6"/>
      <c r="Y9537" s="6"/>
      <c r="Z9537" s="6"/>
      <c r="AA9537" s="6" t="s">
        <v>115</v>
      </c>
      <c r="AB9537" s="8"/>
      <c r="AC9537" s="27">
        <v>9785160142456</v>
      </c>
    </row>
    <row r="9538" spans="1:29" s="4" customFormat="1" ht="42" customHeight="1" x14ac:dyDescent="0.2">
      <c r="A9538" s="5">
        <v>0</v>
      </c>
      <c r="B9538" s="6" t="s">
        <v>53405</v>
      </c>
      <c r="C9538" s="7">
        <v>2040</v>
      </c>
      <c r="D9538" s="8" t="s">
        <v>53406</v>
      </c>
      <c r="E9538" s="8" t="s">
        <v>53407</v>
      </c>
      <c r="F9538" s="8" t="s">
        <v>53408</v>
      </c>
      <c r="G9538" s="6" t="s">
        <v>118</v>
      </c>
      <c r="H9538" s="6" t="s">
        <v>34</v>
      </c>
      <c r="I9538" s="8" t="s">
        <v>1081</v>
      </c>
      <c r="J9538" s="9">
        <v>1</v>
      </c>
      <c r="K9538" s="9">
        <v>405</v>
      </c>
      <c r="L9538" s="9">
        <v>2022</v>
      </c>
      <c r="M9538" s="8" t="s">
        <v>53409</v>
      </c>
      <c r="N9538" s="8" t="s">
        <v>585</v>
      </c>
      <c r="O9538" s="8" t="s">
        <v>2472</v>
      </c>
      <c r="P9538" s="6" t="s">
        <v>39</v>
      </c>
      <c r="Q9538" s="8" t="s">
        <v>40</v>
      </c>
      <c r="R9538" s="10" t="s">
        <v>9583</v>
      </c>
      <c r="S9538" s="11"/>
      <c r="T9538" s="6"/>
      <c r="U9538" s="15" t="str">
        <f>HYPERLINK("https://media.infra-m.ru/1878/1878593/cover/1878593.jpg", "Обложка")</f>
        <v>Обложка</v>
      </c>
      <c r="V9538" s="8" t="s">
        <v>1083</v>
      </c>
      <c r="W9538" s="6"/>
      <c r="X9538" s="6"/>
      <c r="Y9538" s="6"/>
      <c r="Z9538" s="6"/>
      <c r="AA9538" s="6" t="s">
        <v>86</v>
      </c>
      <c r="AB9538" s="8"/>
      <c r="AC9538" s="27">
        <v>9785160179452</v>
      </c>
    </row>
    <row r="9539" spans="1:29" s="4" customFormat="1" ht="42" customHeight="1" x14ac:dyDescent="0.2">
      <c r="A9539" s="5">
        <v>0</v>
      </c>
      <c r="B9539" s="6" t="s">
        <v>53410</v>
      </c>
      <c r="C9539" s="7">
        <v>1132.8</v>
      </c>
      <c r="D9539" s="8" t="s">
        <v>53411</v>
      </c>
      <c r="E9539" s="8" t="s">
        <v>53412</v>
      </c>
      <c r="F9539" s="8" t="s">
        <v>53413</v>
      </c>
      <c r="G9539" s="6" t="s">
        <v>33</v>
      </c>
      <c r="H9539" s="6" t="s">
        <v>34</v>
      </c>
      <c r="I9539" s="8" t="s">
        <v>35</v>
      </c>
      <c r="J9539" s="9">
        <v>1</v>
      </c>
      <c r="K9539" s="9">
        <v>170</v>
      </c>
      <c r="L9539" s="9">
        <v>2026</v>
      </c>
      <c r="M9539" s="8" t="s">
        <v>53414</v>
      </c>
      <c r="N9539" s="8" t="s">
        <v>243</v>
      </c>
      <c r="O9539" s="8" t="s">
        <v>758</v>
      </c>
      <c r="P9539" s="6" t="s">
        <v>39</v>
      </c>
      <c r="Q9539" s="8" t="s">
        <v>40</v>
      </c>
      <c r="R9539" s="10" t="s">
        <v>5547</v>
      </c>
      <c r="S9539" s="11"/>
      <c r="T9539" s="6"/>
      <c r="U9539" s="15" t="str">
        <f>HYPERLINK("https://media.infra-m.ru/2230/2230150/cover/2230150.jpg", "Обложка")</f>
        <v>Обложка</v>
      </c>
      <c r="V9539" s="8" t="s">
        <v>14780</v>
      </c>
      <c r="W9539" s="6"/>
      <c r="X9539" s="6"/>
      <c r="Y9539" s="6"/>
      <c r="Z9539" s="6"/>
      <c r="AA9539" s="6" t="s">
        <v>148</v>
      </c>
      <c r="AB9539" s="8"/>
      <c r="AC9539" s="27">
        <v>9785160171043</v>
      </c>
    </row>
    <row r="9540" spans="1:29" s="4" customFormat="1" ht="44.1" customHeight="1" x14ac:dyDescent="0.2">
      <c r="A9540" s="5">
        <v>0</v>
      </c>
      <c r="B9540" s="6" t="s">
        <v>53415</v>
      </c>
      <c r="C9540" s="7">
        <v>1776</v>
      </c>
      <c r="D9540" s="8" t="s">
        <v>53416</v>
      </c>
      <c r="E9540" s="8" t="s">
        <v>53417</v>
      </c>
      <c r="F9540" s="8" t="s">
        <v>53418</v>
      </c>
      <c r="G9540" s="6" t="s">
        <v>33</v>
      </c>
      <c r="H9540" s="6" t="s">
        <v>34</v>
      </c>
      <c r="I9540" s="8" t="s">
        <v>35</v>
      </c>
      <c r="J9540" s="9">
        <v>1</v>
      </c>
      <c r="K9540" s="9">
        <v>329</v>
      </c>
      <c r="L9540" s="9">
        <v>2023</v>
      </c>
      <c r="M9540" s="8" t="s">
        <v>53419</v>
      </c>
      <c r="N9540" s="8" t="s">
        <v>243</v>
      </c>
      <c r="O9540" s="8" t="s">
        <v>798</v>
      </c>
      <c r="P9540" s="6" t="s">
        <v>39</v>
      </c>
      <c r="Q9540" s="8" t="s">
        <v>40</v>
      </c>
      <c r="R9540" s="10" t="s">
        <v>10058</v>
      </c>
      <c r="S9540" s="11"/>
      <c r="T9540" s="6"/>
      <c r="U9540" s="15" t="str">
        <f>HYPERLINK("https://media.infra-m.ru/1897/1897101/cover/1897101.jpg", "Обложка")</f>
        <v>Обложка</v>
      </c>
      <c r="V9540" s="8" t="s">
        <v>644</v>
      </c>
      <c r="W9540" s="6"/>
      <c r="X9540" s="6"/>
      <c r="Y9540" s="6"/>
      <c r="Z9540" s="6"/>
      <c r="AA9540" s="6" t="s">
        <v>148</v>
      </c>
      <c r="AB9540" s="8" t="s">
        <v>1743</v>
      </c>
      <c r="AC9540" s="27">
        <v>9785160174792</v>
      </c>
    </row>
    <row r="9541" spans="1:29" s="4" customFormat="1" ht="42" customHeight="1" x14ac:dyDescent="0.2">
      <c r="A9541" s="5">
        <v>0</v>
      </c>
      <c r="B9541" s="6" t="s">
        <v>53420</v>
      </c>
      <c r="C9541" s="7">
        <v>1368</v>
      </c>
      <c r="D9541" s="8" t="s">
        <v>53421</v>
      </c>
      <c r="E9541" s="8" t="s">
        <v>53422</v>
      </c>
      <c r="F9541" s="8" t="s">
        <v>52581</v>
      </c>
      <c r="G9541" s="6" t="s">
        <v>33</v>
      </c>
      <c r="H9541" s="6" t="s">
        <v>34</v>
      </c>
      <c r="I9541" s="8" t="s">
        <v>35</v>
      </c>
      <c r="J9541" s="9">
        <v>1</v>
      </c>
      <c r="K9541" s="9">
        <v>192</v>
      </c>
      <c r="L9541" s="9">
        <v>2026</v>
      </c>
      <c r="M9541" s="8" t="s">
        <v>53423</v>
      </c>
      <c r="N9541" s="8" t="s">
        <v>37</v>
      </c>
      <c r="O9541" s="8" t="s">
        <v>233</v>
      </c>
      <c r="P9541" s="6" t="s">
        <v>39</v>
      </c>
      <c r="Q9541" s="8" t="s">
        <v>40</v>
      </c>
      <c r="R9541" s="10" t="s">
        <v>3222</v>
      </c>
      <c r="S9541" s="11"/>
      <c r="T9541" s="6"/>
      <c r="U9541" s="15" t="str">
        <f>HYPERLINK("https://media.infra-m.ru/2189/2189090/cover/2189090.jpg", "Обложка")</f>
        <v>Обложка</v>
      </c>
      <c r="V9541" s="8" t="s">
        <v>644</v>
      </c>
      <c r="W9541" s="6"/>
      <c r="X9541" s="6"/>
      <c r="Y9541" s="6"/>
      <c r="Z9541" s="6"/>
      <c r="AA9541" s="6" t="s">
        <v>187</v>
      </c>
      <c r="AB9541" s="8"/>
      <c r="AC9541" s="27">
        <v>9785160207254</v>
      </c>
    </row>
    <row r="9542" spans="1:29" s="4" customFormat="1" ht="51.9" customHeight="1" x14ac:dyDescent="0.2">
      <c r="A9542" s="5">
        <v>0</v>
      </c>
      <c r="B9542" s="6" t="s">
        <v>53424</v>
      </c>
      <c r="C9542" s="13">
        <v>905.9</v>
      </c>
      <c r="D9542" s="8" t="s">
        <v>53425</v>
      </c>
      <c r="E9542" s="8" t="s">
        <v>53426</v>
      </c>
      <c r="F9542" s="8" t="s">
        <v>53427</v>
      </c>
      <c r="G9542" s="6" t="s">
        <v>60</v>
      </c>
      <c r="H9542" s="6" t="s">
        <v>34</v>
      </c>
      <c r="I9542" s="8" t="s">
        <v>271</v>
      </c>
      <c r="J9542" s="9">
        <v>1</v>
      </c>
      <c r="K9542" s="9">
        <v>199</v>
      </c>
      <c r="L9542" s="9">
        <v>2022</v>
      </c>
      <c r="M9542" s="8" t="s">
        <v>53428</v>
      </c>
      <c r="N9542" s="8" t="s">
        <v>243</v>
      </c>
      <c r="O9542" s="8" t="s">
        <v>758</v>
      </c>
      <c r="P9542" s="6" t="s">
        <v>306</v>
      </c>
      <c r="Q9542" s="8" t="s">
        <v>52</v>
      </c>
      <c r="R9542" s="10" t="s">
        <v>16192</v>
      </c>
      <c r="S9542" s="11" t="s">
        <v>53429</v>
      </c>
      <c r="T9542" s="6"/>
      <c r="U9542" s="15" t="str">
        <f>HYPERLINK("https://media.infra-m.ru/1859/1859051/cover/1859051.jpg", "Обложка")</f>
        <v>Обложка</v>
      </c>
      <c r="V9542" s="8" t="s">
        <v>761</v>
      </c>
      <c r="W9542" s="6"/>
      <c r="X9542" s="6"/>
      <c r="Y9542" s="6"/>
      <c r="Z9542" s="6"/>
      <c r="AA9542" s="6" t="s">
        <v>779</v>
      </c>
      <c r="AB9542" s="8"/>
      <c r="AC9542" s="27">
        <v>9785160114088</v>
      </c>
    </row>
    <row r="9543" spans="1:29" s="4" customFormat="1" ht="51.9" customHeight="1" x14ac:dyDescent="0.2">
      <c r="A9543" s="5">
        <v>0</v>
      </c>
      <c r="B9543" s="6" t="s">
        <v>53430</v>
      </c>
      <c r="C9543" s="7">
        <v>1800</v>
      </c>
      <c r="D9543" s="8" t="s">
        <v>53431</v>
      </c>
      <c r="E9543" s="8" t="s">
        <v>53432</v>
      </c>
      <c r="F9543" s="8" t="s">
        <v>42584</v>
      </c>
      <c r="G9543" s="6" t="s">
        <v>118</v>
      </c>
      <c r="H9543" s="6" t="s">
        <v>34</v>
      </c>
      <c r="I9543" s="8" t="s">
        <v>263</v>
      </c>
      <c r="J9543" s="9">
        <v>1</v>
      </c>
      <c r="K9543" s="9">
        <v>271</v>
      </c>
      <c r="L9543" s="9">
        <v>2026</v>
      </c>
      <c r="M9543" s="8" t="s">
        <v>53433</v>
      </c>
      <c r="N9543" s="8" t="s">
        <v>243</v>
      </c>
      <c r="O9543" s="8" t="s">
        <v>758</v>
      </c>
      <c r="P9543" s="6" t="s">
        <v>51</v>
      </c>
      <c r="Q9543" s="8" t="s">
        <v>265</v>
      </c>
      <c r="R9543" s="10" t="s">
        <v>53434</v>
      </c>
      <c r="S9543" s="11" t="s">
        <v>1013</v>
      </c>
      <c r="T9543" s="6"/>
      <c r="U9543" s="15" t="str">
        <f>HYPERLINK("https://media.infra-m.ru/2237/2237018/cover/2237018.jpg", "Обложка")</f>
        <v>Обложка</v>
      </c>
      <c r="V9543" s="8" t="s">
        <v>1014</v>
      </c>
      <c r="W9543" s="6"/>
      <c r="X9543" s="6"/>
      <c r="Y9543" s="6"/>
      <c r="Z9543" s="6"/>
      <c r="AA9543" s="6" t="s">
        <v>874</v>
      </c>
      <c r="AB9543" s="8"/>
      <c r="AC9543" s="27">
        <v>9785160217383</v>
      </c>
    </row>
    <row r="9544" spans="1:29" s="4" customFormat="1" ht="51.9" customHeight="1" x14ac:dyDescent="0.2">
      <c r="A9544" s="5">
        <v>0</v>
      </c>
      <c r="B9544" s="6" t="s">
        <v>53435</v>
      </c>
      <c r="C9544" s="7">
        <v>1792.8</v>
      </c>
      <c r="D9544" s="8" t="s">
        <v>53436</v>
      </c>
      <c r="E9544" s="8" t="s">
        <v>53432</v>
      </c>
      <c r="F9544" s="8" t="s">
        <v>42584</v>
      </c>
      <c r="G9544" s="6" t="s">
        <v>118</v>
      </c>
      <c r="H9544" s="6" t="s">
        <v>48</v>
      </c>
      <c r="I9544" s="8" t="s">
        <v>253</v>
      </c>
      <c r="J9544" s="9">
        <v>1</v>
      </c>
      <c r="K9544" s="9">
        <v>271</v>
      </c>
      <c r="L9544" s="9">
        <v>2026</v>
      </c>
      <c r="M9544" s="8" t="s">
        <v>53437</v>
      </c>
      <c r="N9544" s="8" t="s">
        <v>243</v>
      </c>
      <c r="O9544" s="8" t="s">
        <v>758</v>
      </c>
      <c r="P9544" s="6" t="s">
        <v>51</v>
      </c>
      <c r="Q9544" s="8" t="s">
        <v>52</v>
      </c>
      <c r="R9544" s="10" t="s">
        <v>31717</v>
      </c>
      <c r="S9544" s="11" t="s">
        <v>53438</v>
      </c>
      <c r="T9544" s="6"/>
      <c r="U9544" s="15" t="str">
        <f>HYPERLINK("https://media.infra-m.ru/2237/2237017/cover/2237017.jpg", "Обложка")</f>
        <v>Обложка</v>
      </c>
      <c r="V9544" s="8" t="s">
        <v>1014</v>
      </c>
      <c r="W9544" s="6"/>
      <c r="X9544" s="6"/>
      <c r="Y9544" s="6"/>
      <c r="Z9544" s="6" t="s">
        <v>632</v>
      </c>
      <c r="AA9544" s="6" t="s">
        <v>218</v>
      </c>
      <c r="AB9544" s="8"/>
      <c r="AC9544" s="27">
        <v>9785000918050</v>
      </c>
    </row>
    <row r="9545" spans="1:29" s="4" customFormat="1" ht="51.9" customHeight="1" x14ac:dyDescent="0.2">
      <c r="A9545" s="5">
        <v>0</v>
      </c>
      <c r="B9545" s="6" t="s">
        <v>53439</v>
      </c>
      <c r="C9545" s="7">
        <v>1344</v>
      </c>
      <c r="D9545" s="8" t="s">
        <v>53440</v>
      </c>
      <c r="E9545" s="8" t="s">
        <v>53441</v>
      </c>
      <c r="F9545" s="8" t="s">
        <v>23710</v>
      </c>
      <c r="G9545" s="6" t="s">
        <v>118</v>
      </c>
      <c r="H9545" s="6" t="s">
        <v>34</v>
      </c>
      <c r="I9545" s="8" t="s">
        <v>263</v>
      </c>
      <c r="J9545" s="9">
        <v>1</v>
      </c>
      <c r="K9545" s="9">
        <v>204</v>
      </c>
      <c r="L9545" s="9">
        <v>2026</v>
      </c>
      <c r="M9545" s="8" t="s">
        <v>53442</v>
      </c>
      <c r="N9545" s="8" t="s">
        <v>243</v>
      </c>
      <c r="O9545" s="8" t="s">
        <v>798</v>
      </c>
      <c r="P9545" s="6" t="s">
        <v>306</v>
      </c>
      <c r="Q9545" s="8" t="s">
        <v>265</v>
      </c>
      <c r="R9545" s="10" t="s">
        <v>53443</v>
      </c>
      <c r="S9545" s="11" t="s">
        <v>53444</v>
      </c>
      <c r="T9545" s="6" t="s">
        <v>97</v>
      </c>
      <c r="U9545" s="15" t="str">
        <f>HYPERLINK("https://media.infra-m.ru/2215/2215360/cover/2215360.jpg", "Обложка")</f>
        <v>Обложка</v>
      </c>
      <c r="V9545" s="8"/>
      <c r="W9545" s="6"/>
      <c r="X9545" s="6" t="s">
        <v>24</v>
      </c>
      <c r="Y9545" s="6"/>
      <c r="Z9545" s="6"/>
      <c r="AA9545" s="6" t="s">
        <v>859</v>
      </c>
      <c r="AB9545" s="8"/>
      <c r="AC9545" s="27">
        <v>9785160068497</v>
      </c>
    </row>
    <row r="9546" spans="1:29" s="4" customFormat="1" ht="42" customHeight="1" x14ac:dyDescent="0.2">
      <c r="A9546" s="5">
        <v>0</v>
      </c>
      <c r="B9546" s="6" t="s">
        <v>53445</v>
      </c>
      <c r="C9546" s="7">
        <v>2232</v>
      </c>
      <c r="D9546" s="8" t="s">
        <v>53446</v>
      </c>
      <c r="E9546" s="8" t="s">
        <v>53447</v>
      </c>
      <c r="F9546" s="8" t="s">
        <v>53448</v>
      </c>
      <c r="G9546" s="6" t="s">
        <v>118</v>
      </c>
      <c r="H9546" s="6" t="s">
        <v>34</v>
      </c>
      <c r="I9546" s="8" t="s">
        <v>35</v>
      </c>
      <c r="J9546" s="9">
        <v>1</v>
      </c>
      <c r="K9546" s="9">
        <v>320</v>
      </c>
      <c r="L9546" s="9">
        <v>2027</v>
      </c>
      <c r="M9546" s="8" t="s">
        <v>53449</v>
      </c>
      <c r="N9546" s="8" t="s">
        <v>243</v>
      </c>
      <c r="O9546" s="8" t="s">
        <v>758</v>
      </c>
      <c r="P9546" s="6" t="s">
        <v>39</v>
      </c>
      <c r="Q9546" s="8" t="s">
        <v>40</v>
      </c>
      <c r="R9546" s="10" t="s">
        <v>7934</v>
      </c>
      <c r="S9546" s="11"/>
      <c r="T9546" s="6" t="s">
        <v>97</v>
      </c>
      <c r="U9546" s="15" t="str">
        <f>HYPERLINK("https://media.infra-m.ru/2263/2263971/cover/2263971.jpg", "Обложка")</f>
        <v>Обложка</v>
      </c>
      <c r="V9546" s="8" t="s">
        <v>2446</v>
      </c>
      <c r="W9546" s="6"/>
      <c r="X9546" s="6"/>
      <c r="Y9546" s="6"/>
      <c r="Z9546" s="6"/>
      <c r="AA9546" s="6" t="s">
        <v>779</v>
      </c>
      <c r="AB9546" s="8"/>
      <c r="AC9546" s="27">
        <v>9785160111551</v>
      </c>
    </row>
    <row r="9547" spans="1:29" s="4" customFormat="1" ht="51.9" customHeight="1" x14ac:dyDescent="0.2">
      <c r="A9547" s="5">
        <v>0</v>
      </c>
      <c r="B9547" s="6" t="s">
        <v>53450</v>
      </c>
      <c r="C9547" s="7">
        <v>1788</v>
      </c>
      <c r="D9547" s="8" t="s">
        <v>53451</v>
      </c>
      <c r="E9547" s="8" t="s">
        <v>53452</v>
      </c>
      <c r="F9547" s="8" t="s">
        <v>53453</v>
      </c>
      <c r="G9547" s="6" t="s">
        <v>118</v>
      </c>
      <c r="H9547" s="6" t="s">
        <v>34</v>
      </c>
      <c r="I9547" s="8" t="s">
        <v>253</v>
      </c>
      <c r="J9547" s="9">
        <v>1</v>
      </c>
      <c r="K9547" s="9">
        <v>286</v>
      </c>
      <c r="L9547" s="9">
        <v>2025</v>
      </c>
      <c r="M9547" s="8" t="s">
        <v>53454</v>
      </c>
      <c r="N9547" s="8" t="s">
        <v>243</v>
      </c>
      <c r="O9547" s="8" t="s">
        <v>758</v>
      </c>
      <c r="P9547" s="6" t="s">
        <v>51</v>
      </c>
      <c r="Q9547" s="8" t="s">
        <v>65</v>
      </c>
      <c r="R9547" s="10" t="s">
        <v>53455</v>
      </c>
      <c r="S9547" s="11" t="s">
        <v>53456</v>
      </c>
      <c r="T9547" s="6"/>
      <c r="U9547" s="15" t="str">
        <f>HYPERLINK("https://media.infra-m.ru/2192/2192158/cover/2192158.jpg", "Обложка")</f>
        <v>Обложка</v>
      </c>
      <c r="V9547" s="8" t="s">
        <v>7509</v>
      </c>
      <c r="W9547" s="6"/>
      <c r="X9547" s="6"/>
      <c r="Y9547" s="6"/>
      <c r="Z9547" s="6"/>
      <c r="AA9547" s="6" t="s">
        <v>43</v>
      </c>
      <c r="AB9547" s="8"/>
      <c r="AC9547" s="27">
        <v>9785160189918</v>
      </c>
    </row>
    <row r="9548" spans="1:29" s="4" customFormat="1" ht="51.9" customHeight="1" x14ac:dyDescent="0.2">
      <c r="A9548" s="5">
        <v>0</v>
      </c>
      <c r="B9548" s="6" t="s">
        <v>53457</v>
      </c>
      <c r="C9548" s="7">
        <v>1092</v>
      </c>
      <c r="D9548" s="8" t="s">
        <v>53458</v>
      </c>
      <c r="E9548" s="8" t="s">
        <v>53459</v>
      </c>
      <c r="F9548" s="8" t="s">
        <v>53460</v>
      </c>
      <c r="G9548" s="6" t="s">
        <v>33</v>
      </c>
      <c r="H9548" s="6" t="s">
        <v>34</v>
      </c>
      <c r="I9548" s="8" t="s">
        <v>457</v>
      </c>
      <c r="J9548" s="9">
        <v>1</v>
      </c>
      <c r="K9548" s="9">
        <v>201</v>
      </c>
      <c r="L9548" s="9">
        <v>2022</v>
      </c>
      <c r="M9548" s="8" t="s">
        <v>53461</v>
      </c>
      <c r="N9548" s="8" t="s">
        <v>243</v>
      </c>
      <c r="O9548" s="8" t="s">
        <v>758</v>
      </c>
      <c r="P9548" s="6" t="s">
        <v>39</v>
      </c>
      <c r="Q9548" s="8" t="s">
        <v>40</v>
      </c>
      <c r="R9548" s="10" t="s">
        <v>53462</v>
      </c>
      <c r="S9548" s="11"/>
      <c r="T9548" s="6"/>
      <c r="U9548" s="15" t="str">
        <f>HYPERLINK("https://media.infra-m.ru/1862/1862071/cover/1862071.jpg", "Обложка")</f>
        <v>Обложка</v>
      </c>
      <c r="V9548" s="8" t="s">
        <v>247</v>
      </c>
      <c r="W9548" s="6"/>
      <c r="X9548" s="6"/>
      <c r="Y9548" s="6"/>
      <c r="Z9548" s="6"/>
      <c r="AA9548" s="6" t="s">
        <v>430</v>
      </c>
      <c r="AB9548" s="8"/>
      <c r="AC9548" s="27">
        <v>9785160162164</v>
      </c>
    </row>
    <row r="9549" spans="1:29" s="4" customFormat="1" ht="42" customHeight="1" x14ac:dyDescent="0.2">
      <c r="A9549" s="5">
        <v>0</v>
      </c>
      <c r="B9549" s="6" t="s">
        <v>53463</v>
      </c>
      <c r="C9549" s="7">
        <v>2184</v>
      </c>
      <c r="D9549" s="8" t="s">
        <v>53464</v>
      </c>
      <c r="E9549" s="8" t="s">
        <v>53465</v>
      </c>
      <c r="F9549" s="8" t="s">
        <v>28017</v>
      </c>
      <c r="G9549" s="6" t="s">
        <v>118</v>
      </c>
      <c r="H9549" s="6" t="s">
        <v>34</v>
      </c>
      <c r="I9549" s="8" t="s">
        <v>35</v>
      </c>
      <c r="J9549" s="9">
        <v>1</v>
      </c>
      <c r="K9549" s="9">
        <v>350</v>
      </c>
      <c r="L9549" s="9">
        <v>2026</v>
      </c>
      <c r="M9549" s="8" t="s">
        <v>53466</v>
      </c>
      <c r="N9549" s="8" t="s">
        <v>37</v>
      </c>
      <c r="O9549" s="8" t="s">
        <v>233</v>
      </c>
      <c r="P9549" s="6" t="s">
        <v>39</v>
      </c>
      <c r="Q9549" s="8" t="s">
        <v>40</v>
      </c>
      <c r="R9549" s="10" t="s">
        <v>3008</v>
      </c>
      <c r="S9549" s="11"/>
      <c r="T9549" s="6"/>
      <c r="U9549" s="15" t="str">
        <f>HYPERLINK("https://media.infra-m.ru/2216/2216847/cover/2216847.jpg", "Обложка")</f>
        <v>Обложка</v>
      </c>
      <c r="V9549" s="8" t="s">
        <v>1768</v>
      </c>
      <c r="W9549" s="6"/>
      <c r="X9549" s="6"/>
      <c r="Y9549" s="6"/>
      <c r="Z9549" s="6"/>
      <c r="AA9549" s="6" t="s">
        <v>99</v>
      </c>
      <c r="AB9549" s="8"/>
      <c r="AC9549" s="27">
        <v>9785160120287</v>
      </c>
    </row>
    <row r="9550" spans="1:29" s="4" customFormat="1" ht="42" customHeight="1" x14ac:dyDescent="0.2">
      <c r="A9550" s="5">
        <v>0</v>
      </c>
      <c r="B9550" s="6" t="s">
        <v>53467</v>
      </c>
      <c r="C9550" s="7">
        <v>2952</v>
      </c>
      <c r="D9550" s="8" t="s">
        <v>53468</v>
      </c>
      <c r="E9550" s="8" t="s">
        <v>53469</v>
      </c>
      <c r="F9550" s="8" t="s">
        <v>53470</v>
      </c>
      <c r="G9550" s="6" t="s">
        <v>60</v>
      </c>
      <c r="H9550" s="6" t="s">
        <v>34</v>
      </c>
      <c r="I9550" s="8" t="s">
        <v>35</v>
      </c>
      <c r="J9550" s="9">
        <v>1</v>
      </c>
      <c r="K9550" s="9">
        <v>446</v>
      </c>
      <c r="L9550" s="9">
        <v>2026</v>
      </c>
      <c r="M9550" s="8" t="s">
        <v>53471</v>
      </c>
      <c r="N9550" s="8" t="s">
        <v>37</v>
      </c>
      <c r="O9550" s="8" t="s">
        <v>207</v>
      </c>
      <c r="P9550" s="6" t="s">
        <v>39</v>
      </c>
      <c r="Q9550" s="8" t="s">
        <v>40</v>
      </c>
      <c r="R9550" s="10" t="s">
        <v>53472</v>
      </c>
      <c r="S9550" s="11"/>
      <c r="T9550" s="6"/>
      <c r="U9550" s="15" t="str">
        <f>HYPERLINK("https://media.infra-m.ru/2256/2256591/cover/2256591.jpg", "Обложка")</f>
        <v>Обложка</v>
      </c>
      <c r="V9550" s="8" t="s">
        <v>644</v>
      </c>
      <c r="W9550" s="6"/>
      <c r="X9550" s="6"/>
      <c r="Y9550" s="6"/>
      <c r="Z9550" s="6"/>
      <c r="AA9550" s="6" t="s">
        <v>360</v>
      </c>
      <c r="AB9550" s="8"/>
      <c r="AC9550" s="27">
        <v>9785160221700</v>
      </c>
    </row>
    <row r="9551" spans="1:29" s="4" customFormat="1" ht="51.9" customHeight="1" x14ac:dyDescent="0.2">
      <c r="A9551" s="5">
        <v>0</v>
      </c>
      <c r="B9551" s="6" t="s">
        <v>53473</v>
      </c>
      <c r="C9551" s="7">
        <v>4798.8</v>
      </c>
      <c r="D9551" s="8" t="s">
        <v>53474</v>
      </c>
      <c r="E9551" s="8" t="s">
        <v>53475</v>
      </c>
      <c r="F9551" s="8" t="s">
        <v>53476</v>
      </c>
      <c r="G9551" s="6" t="s">
        <v>60</v>
      </c>
      <c r="H9551" s="6" t="s">
        <v>34</v>
      </c>
      <c r="I9551" s="8" t="s">
        <v>375</v>
      </c>
      <c r="J9551" s="9">
        <v>1</v>
      </c>
      <c r="K9551" s="9">
        <v>476</v>
      </c>
      <c r="L9551" s="9">
        <v>2026</v>
      </c>
      <c r="M9551" s="8" t="s">
        <v>53477</v>
      </c>
      <c r="N9551" s="8" t="s">
        <v>243</v>
      </c>
      <c r="O9551" s="8" t="s">
        <v>385</v>
      </c>
      <c r="P9551" s="6" t="s">
        <v>51</v>
      </c>
      <c r="Q9551" s="8" t="s">
        <v>65</v>
      </c>
      <c r="R9551" s="10" t="s">
        <v>53478</v>
      </c>
      <c r="S9551" s="11" t="s">
        <v>53479</v>
      </c>
      <c r="T9551" s="6"/>
      <c r="U9551" s="15" t="str">
        <f>HYPERLINK("https://media.infra-m.ru/2222/2222960/cover/2222960.jpg", "Обложка")</f>
        <v>Обложка</v>
      </c>
      <c r="V9551" s="8" t="s">
        <v>379</v>
      </c>
      <c r="W9551" s="6"/>
      <c r="X9551" s="6"/>
      <c r="Y9551" s="6"/>
      <c r="Z9551" s="6"/>
      <c r="AA9551" s="6" t="s">
        <v>76</v>
      </c>
      <c r="AB9551" s="8"/>
      <c r="AC9551" s="27">
        <v>9785160199986</v>
      </c>
    </row>
    <row r="9552" spans="1:29" s="4" customFormat="1" ht="42" customHeight="1" x14ac:dyDescent="0.2">
      <c r="A9552" s="5">
        <v>0</v>
      </c>
      <c r="B9552" s="6" t="s">
        <v>53480</v>
      </c>
      <c r="C9552" s="7">
        <v>1264.8</v>
      </c>
      <c r="D9552" s="8" t="s">
        <v>53481</v>
      </c>
      <c r="E9552" s="8" t="s">
        <v>53482</v>
      </c>
      <c r="F9552" s="8" t="s">
        <v>53483</v>
      </c>
      <c r="G9552" s="6" t="s">
        <v>33</v>
      </c>
      <c r="H9552" s="6" t="s">
        <v>134</v>
      </c>
      <c r="I9552" s="8"/>
      <c r="J9552" s="9">
        <v>1</v>
      </c>
      <c r="K9552" s="9">
        <v>272</v>
      </c>
      <c r="L9552" s="9">
        <v>2024</v>
      </c>
      <c r="M9552" s="8" t="s">
        <v>53484</v>
      </c>
      <c r="N9552" s="8" t="s">
        <v>37</v>
      </c>
      <c r="O9552" s="8" t="s">
        <v>136</v>
      </c>
      <c r="P9552" s="6" t="s">
        <v>39</v>
      </c>
      <c r="Q9552" s="8" t="s">
        <v>40</v>
      </c>
      <c r="R9552" s="10" t="s">
        <v>1625</v>
      </c>
      <c r="S9552" s="11"/>
      <c r="T9552" s="6"/>
      <c r="U9552" s="15" t="str">
        <f>HYPERLINK("https://media.infra-m.ru/2056/2056645/cover/2056645.jpg", "Обложка")</f>
        <v>Обложка</v>
      </c>
      <c r="V9552" s="8" t="s">
        <v>1069</v>
      </c>
      <c r="W9552" s="6"/>
      <c r="X9552" s="6"/>
      <c r="Y9552" s="6"/>
      <c r="Z9552" s="6"/>
      <c r="AA9552" s="6" t="s">
        <v>1506</v>
      </c>
      <c r="AB9552" s="8"/>
      <c r="AC9552" s="27">
        <v>9785917686363</v>
      </c>
    </row>
    <row r="9553" spans="1:29" s="4" customFormat="1" ht="44.1" customHeight="1" x14ac:dyDescent="0.2">
      <c r="A9553" s="5">
        <v>0</v>
      </c>
      <c r="B9553" s="6" t="s">
        <v>53485</v>
      </c>
      <c r="C9553" s="7">
        <v>1440</v>
      </c>
      <c r="D9553" s="8" t="s">
        <v>53486</v>
      </c>
      <c r="E9553" s="8" t="s">
        <v>53487</v>
      </c>
      <c r="F9553" s="8" t="s">
        <v>1965</v>
      </c>
      <c r="G9553" s="6" t="s">
        <v>118</v>
      </c>
      <c r="H9553" s="6" t="s">
        <v>34</v>
      </c>
      <c r="I9553" s="8" t="s">
        <v>35</v>
      </c>
      <c r="J9553" s="9">
        <v>1</v>
      </c>
      <c r="K9553" s="9">
        <v>206</v>
      </c>
      <c r="L9553" s="9">
        <v>2026</v>
      </c>
      <c r="M9553" s="8" t="s">
        <v>53488</v>
      </c>
      <c r="N9553" s="8" t="s">
        <v>63</v>
      </c>
      <c r="O9553" s="8" t="s">
        <v>64</v>
      </c>
      <c r="P9553" s="6" t="s">
        <v>39</v>
      </c>
      <c r="Q9553" s="8" t="s">
        <v>40</v>
      </c>
      <c r="R9553" s="10" t="s">
        <v>53489</v>
      </c>
      <c r="S9553" s="11"/>
      <c r="T9553" s="6"/>
      <c r="U9553" s="15" t="str">
        <f>HYPERLINK("https://media.infra-m.ru/2261/2261219/cover/2261219.jpg", "Обложка")</f>
        <v>Обложка</v>
      </c>
      <c r="V9553" s="8" t="s">
        <v>1599</v>
      </c>
      <c r="W9553" s="6"/>
      <c r="X9553" s="6"/>
      <c r="Y9553" s="6"/>
      <c r="Z9553" s="6"/>
      <c r="AA9553" s="6" t="s">
        <v>99</v>
      </c>
      <c r="AB9553" s="8"/>
      <c r="AC9553" s="27">
        <v>9785160122687</v>
      </c>
    </row>
    <row r="9554" spans="1:29" s="4" customFormat="1" ht="44.1" customHeight="1" x14ac:dyDescent="0.2">
      <c r="A9554" s="5">
        <v>0</v>
      </c>
      <c r="B9554" s="6" t="s">
        <v>53490</v>
      </c>
      <c r="C9554" s="7">
        <v>2028</v>
      </c>
      <c r="D9554" s="8" t="s">
        <v>53491</v>
      </c>
      <c r="E9554" s="8" t="s">
        <v>53492</v>
      </c>
      <c r="F9554" s="8" t="s">
        <v>53493</v>
      </c>
      <c r="G9554" s="6" t="s">
        <v>60</v>
      </c>
      <c r="H9554" s="6" t="s">
        <v>34</v>
      </c>
      <c r="I9554" s="8" t="s">
        <v>2171</v>
      </c>
      <c r="J9554" s="9">
        <v>1</v>
      </c>
      <c r="K9554" s="9">
        <v>312</v>
      </c>
      <c r="L9554" s="9">
        <v>2025</v>
      </c>
      <c r="M9554" s="8" t="s">
        <v>53494</v>
      </c>
      <c r="N9554" s="8" t="s">
        <v>243</v>
      </c>
      <c r="O9554" s="8" t="s">
        <v>964</v>
      </c>
      <c r="P9554" s="6" t="s">
        <v>51</v>
      </c>
      <c r="Q9554" s="8" t="s">
        <v>65</v>
      </c>
      <c r="R9554" s="10" t="s">
        <v>53495</v>
      </c>
      <c r="S9554" s="11"/>
      <c r="T9554" s="6"/>
      <c r="U9554" s="15" t="str">
        <f>HYPERLINK("https://media.infra-m.ru/2157/2157612/cover/2157612.jpg", "Обложка")</f>
        <v>Обложка</v>
      </c>
      <c r="V9554" s="8" t="s">
        <v>2175</v>
      </c>
      <c r="W9554" s="6"/>
      <c r="X9554" s="6"/>
      <c r="Y9554" s="6"/>
      <c r="Z9554" s="6"/>
      <c r="AA9554" s="6" t="s">
        <v>68</v>
      </c>
      <c r="AB9554" s="8"/>
      <c r="AC9554" s="27">
        <v>9785160200880</v>
      </c>
    </row>
    <row r="9555" spans="1:29" s="4" customFormat="1" ht="42" customHeight="1" x14ac:dyDescent="0.2">
      <c r="A9555" s="5">
        <v>0</v>
      </c>
      <c r="B9555" s="6" t="s">
        <v>53496</v>
      </c>
      <c r="C9555" s="7">
        <v>2004</v>
      </c>
      <c r="D9555" s="8" t="s">
        <v>53497</v>
      </c>
      <c r="E9555" s="8" t="s">
        <v>53498</v>
      </c>
      <c r="F9555" s="8" t="s">
        <v>53499</v>
      </c>
      <c r="G9555" s="6" t="s">
        <v>118</v>
      </c>
      <c r="H9555" s="6" t="s">
        <v>34</v>
      </c>
      <c r="I9555" s="8" t="s">
        <v>2171</v>
      </c>
      <c r="J9555" s="9">
        <v>1</v>
      </c>
      <c r="K9555" s="9">
        <v>270</v>
      </c>
      <c r="L9555" s="9">
        <v>2026</v>
      </c>
      <c r="M9555" s="8" t="s">
        <v>53500</v>
      </c>
      <c r="N9555" s="8" t="s">
        <v>243</v>
      </c>
      <c r="O9555" s="8" t="s">
        <v>964</v>
      </c>
      <c r="P9555" s="6" t="s">
        <v>51</v>
      </c>
      <c r="Q9555" s="8" t="s">
        <v>65</v>
      </c>
      <c r="R9555" s="10" t="s">
        <v>53501</v>
      </c>
      <c r="S9555" s="11"/>
      <c r="T9555" s="6"/>
      <c r="U9555" s="15" t="str">
        <f>HYPERLINK("https://media.infra-m.ru/2241/2241172/cover/2241172.jpg", "Обложка")</f>
        <v>Обложка</v>
      </c>
      <c r="V9555" s="8" t="s">
        <v>2175</v>
      </c>
      <c r="W9555" s="6"/>
      <c r="X9555" s="6"/>
      <c r="Y9555" s="6"/>
      <c r="Z9555" s="6"/>
      <c r="AA9555" s="6" t="s">
        <v>157</v>
      </c>
      <c r="AB9555" s="8"/>
      <c r="AC9555" s="27">
        <v>9785160177366</v>
      </c>
    </row>
    <row r="9556" spans="1:29" s="4" customFormat="1" ht="51.9" customHeight="1" x14ac:dyDescent="0.2">
      <c r="A9556" s="5">
        <v>0</v>
      </c>
      <c r="B9556" s="6" t="s">
        <v>53502</v>
      </c>
      <c r="C9556" s="7">
        <v>1356</v>
      </c>
      <c r="D9556" s="8" t="s">
        <v>53503</v>
      </c>
      <c r="E9556" s="8" t="s">
        <v>53504</v>
      </c>
      <c r="F9556" s="8" t="s">
        <v>53505</v>
      </c>
      <c r="G9556" s="6" t="s">
        <v>118</v>
      </c>
      <c r="H9556" s="6" t="s">
        <v>34</v>
      </c>
      <c r="I9556" s="8" t="s">
        <v>2171</v>
      </c>
      <c r="J9556" s="9">
        <v>1</v>
      </c>
      <c r="K9556" s="9">
        <v>220</v>
      </c>
      <c r="L9556" s="9">
        <v>2024</v>
      </c>
      <c r="M9556" s="8" t="s">
        <v>53506</v>
      </c>
      <c r="N9556" s="8" t="s">
        <v>243</v>
      </c>
      <c r="O9556" s="8" t="s">
        <v>964</v>
      </c>
      <c r="P9556" s="6" t="s">
        <v>51</v>
      </c>
      <c r="Q9556" s="8" t="s">
        <v>65</v>
      </c>
      <c r="R9556" s="10" t="s">
        <v>53507</v>
      </c>
      <c r="S9556" s="11" t="s">
        <v>53508</v>
      </c>
      <c r="T9556" s="6"/>
      <c r="U9556" s="15" t="str">
        <f>HYPERLINK("https://media.infra-m.ru/2099/2099969/cover/2099969.jpg", "Обложка")</f>
        <v>Обложка</v>
      </c>
      <c r="V9556" s="8" t="s">
        <v>2175</v>
      </c>
      <c r="W9556" s="6"/>
      <c r="X9556" s="6" t="s">
        <v>24</v>
      </c>
      <c r="Y9556" s="6"/>
      <c r="Z9556" s="6"/>
      <c r="AA9556" s="6" t="s">
        <v>115</v>
      </c>
      <c r="AB9556" s="8"/>
      <c r="AC9556" s="27">
        <v>9785160149448</v>
      </c>
    </row>
    <row r="9557" spans="1:29" s="4" customFormat="1" ht="44.1" customHeight="1" x14ac:dyDescent="0.2">
      <c r="A9557" s="5">
        <v>0</v>
      </c>
      <c r="B9557" s="6" t="s">
        <v>53509</v>
      </c>
      <c r="C9557" s="7">
        <v>1068</v>
      </c>
      <c r="D9557" s="8" t="s">
        <v>53510</v>
      </c>
      <c r="E9557" s="8" t="s">
        <v>53511</v>
      </c>
      <c r="F9557" s="8" t="s">
        <v>53512</v>
      </c>
      <c r="G9557" s="6" t="s">
        <v>33</v>
      </c>
      <c r="H9557" s="6" t="s">
        <v>34</v>
      </c>
      <c r="I9557" s="8" t="s">
        <v>35</v>
      </c>
      <c r="J9557" s="9">
        <v>1</v>
      </c>
      <c r="K9557" s="9">
        <v>152</v>
      </c>
      <c r="L9557" s="9">
        <v>2027</v>
      </c>
      <c r="M9557" s="8" t="s">
        <v>53513</v>
      </c>
      <c r="N9557" s="8" t="s">
        <v>37</v>
      </c>
      <c r="O9557" s="8" t="s">
        <v>50</v>
      </c>
      <c r="P9557" s="6" t="s">
        <v>39</v>
      </c>
      <c r="Q9557" s="8" t="s">
        <v>40</v>
      </c>
      <c r="R9557" s="10" t="s">
        <v>53514</v>
      </c>
      <c r="S9557" s="11"/>
      <c r="T9557" s="6"/>
      <c r="U9557" s="15" t="str">
        <f>HYPERLINK("https://media.infra-m.ru/2273/2273013/cover/2273013.jpg", "Обложка")</f>
        <v>Обложка</v>
      </c>
      <c r="V9557" s="8" t="s">
        <v>1505</v>
      </c>
      <c r="W9557" s="6"/>
      <c r="X9557" s="6"/>
      <c r="Y9557" s="6"/>
      <c r="Z9557" s="6"/>
      <c r="AA9557" s="6" t="s">
        <v>76</v>
      </c>
      <c r="AB9557" s="8"/>
      <c r="AC9557" s="27">
        <v>9785160187037</v>
      </c>
    </row>
    <row r="9558" spans="1:29" s="4" customFormat="1" ht="51.9" customHeight="1" x14ac:dyDescent="0.2">
      <c r="A9558" s="5">
        <v>0</v>
      </c>
      <c r="B9558" s="6" t="s">
        <v>53515</v>
      </c>
      <c r="C9558" s="7">
        <v>1900.8</v>
      </c>
      <c r="D9558" s="8" t="s">
        <v>53516</v>
      </c>
      <c r="E9558" s="8" t="s">
        <v>53517</v>
      </c>
      <c r="F9558" s="8" t="s">
        <v>17449</v>
      </c>
      <c r="G9558" s="6" t="s">
        <v>118</v>
      </c>
      <c r="H9558" s="6" t="s">
        <v>34</v>
      </c>
      <c r="I9558" s="8" t="s">
        <v>253</v>
      </c>
      <c r="J9558" s="9">
        <v>1</v>
      </c>
      <c r="K9558" s="9">
        <v>289</v>
      </c>
      <c r="L9558" s="9">
        <v>2026</v>
      </c>
      <c r="M9558" s="8" t="s">
        <v>53518</v>
      </c>
      <c r="N9558" s="8" t="s">
        <v>63</v>
      </c>
      <c r="O9558" s="8" t="s">
        <v>64</v>
      </c>
      <c r="P9558" s="6" t="s">
        <v>51</v>
      </c>
      <c r="Q9558" s="8" t="s">
        <v>52</v>
      </c>
      <c r="R9558" s="10" t="s">
        <v>11024</v>
      </c>
      <c r="S9558" s="11" t="s">
        <v>53519</v>
      </c>
      <c r="T9558" s="6"/>
      <c r="U9558" s="15" t="str">
        <f>HYPERLINK("https://media.infra-m.ru/2234/2234451/cover/2234451.jpg", "Обложка")</f>
        <v>Обложка</v>
      </c>
      <c r="V9558" s="8" t="s">
        <v>17452</v>
      </c>
      <c r="W9558" s="6"/>
      <c r="X9558" s="6"/>
      <c r="Y9558" s="6"/>
      <c r="Z9558" s="6"/>
      <c r="AA9558" s="6" t="s">
        <v>115</v>
      </c>
      <c r="AB9558" s="8"/>
      <c r="AC9558" s="27">
        <v>9785160187976</v>
      </c>
    </row>
    <row r="9559" spans="1:29" s="4" customFormat="1" ht="42" customHeight="1" x14ac:dyDescent="0.2">
      <c r="A9559" s="5">
        <v>0</v>
      </c>
      <c r="B9559" s="6" t="s">
        <v>53520</v>
      </c>
      <c r="C9559" s="7">
        <v>1908</v>
      </c>
      <c r="D9559" s="8" t="s">
        <v>53521</v>
      </c>
      <c r="E9559" s="8" t="s">
        <v>53522</v>
      </c>
      <c r="F9559" s="8" t="s">
        <v>53523</v>
      </c>
      <c r="G9559" s="6" t="s">
        <v>60</v>
      </c>
      <c r="H9559" s="6" t="s">
        <v>34</v>
      </c>
      <c r="I9559" s="8" t="s">
        <v>304</v>
      </c>
      <c r="J9559" s="9">
        <v>1</v>
      </c>
      <c r="K9559" s="9">
        <v>291</v>
      </c>
      <c r="L9559" s="9">
        <v>2025</v>
      </c>
      <c r="M9559" s="8" t="s">
        <v>53524</v>
      </c>
      <c r="N9559" s="8" t="s">
        <v>37</v>
      </c>
      <c r="O9559" s="8" t="s">
        <v>499</v>
      </c>
      <c r="P9559" s="6" t="s">
        <v>306</v>
      </c>
      <c r="Q9559" s="8" t="s">
        <v>52</v>
      </c>
      <c r="R9559" s="10" t="s">
        <v>3013</v>
      </c>
      <c r="S9559" s="11"/>
      <c r="T9559" s="6"/>
      <c r="U9559" s="15" t="str">
        <f>HYPERLINK("https://media.infra-m.ru/2135/2135889/cover/2135889.jpg", "Обложка")</f>
        <v>Обложка</v>
      </c>
      <c r="V9559" s="8" t="s">
        <v>52138</v>
      </c>
      <c r="W9559" s="6"/>
      <c r="X9559" s="6"/>
      <c r="Y9559" s="6"/>
      <c r="Z9559" s="6"/>
      <c r="AA9559" s="6" t="s">
        <v>68</v>
      </c>
      <c r="AB9559" s="8"/>
      <c r="AC9559" s="27">
        <v>9785160197555</v>
      </c>
    </row>
    <row r="9560" spans="1:29" s="4" customFormat="1" ht="51.9" customHeight="1" x14ac:dyDescent="0.2">
      <c r="A9560" s="5">
        <v>0</v>
      </c>
      <c r="B9560" s="6" t="s">
        <v>53525</v>
      </c>
      <c r="C9560" s="7">
        <v>1132.8</v>
      </c>
      <c r="D9560" s="8" t="s">
        <v>53526</v>
      </c>
      <c r="E9560" s="8" t="s">
        <v>53527</v>
      </c>
      <c r="F9560" s="8" t="s">
        <v>53528</v>
      </c>
      <c r="G9560" s="6" t="s">
        <v>33</v>
      </c>
      <c r="H9560" s="6" t="s">
        <v>34</v>
      </c>
      <c r="I9560" s="8" t="s">
        <v>253</v>
      </c>
      <c r="J9560" s="9">
        <v>1</v>
      </c>
      <c r="K9560" s="9">
        <v>168</v>
      </c>
      <c r="L9560" s="9">
        <v>2026</v>
      </c>
      <c r="M9560" s="8" t="s">
        <v>53529</v>
      </c>
      <c r="N9560" s="8" t="s">
        <v>37</v>
      </c>
      <c r="O9560" s="8" t="s">
        <v>499</v>
      </c>
      <c r="P9560" s="6" t="s">
        <v>51</v>
      </c>
      <c r="Q9560" s="8" t="s">
        <v>52</v>
      </c>
      <c r="R9560" s="10" t="s">
        <v>53530</v>
      </c>
      <c r="S9560" s="11" t="s">
        <v>53531</v>
      </c>
      <c r="T9560" s="6"/>
      <c r="U9560" s="15" t="str">
        <f>HYPERLINK("https://media.infra-m.ru/2237/2237193/cover/2237193.jpg", "Обложка")</f>
        <v>Обложка</v>
      </c>
      <c r="V9560" s="8" t="s">
        <v>3087</v>
      </c>
      <c r="W9560" s="6"/>
      <c r="X9560" s="6" t="s">
        <v>24</v>
      </c>
      <c r="Y9560" s="6"/>
      <c r="Z9560" s="6"/>
      <c r="AA9560" s="6" t="s">
        <v>1037</v>
      </c>
      <c r="AB9560" s="8"/>
      <c r="AC9560" s="27">
        <v>9785160089980</v>
      </c>
    </row>
    <row r="9561" spans="1:29" s="4" customFormat="1" ht="51.9" customHeight="1" x14ac:dyDescent="0.2">
      <c r="A9561" s="5">
        <v>0</v>
      </c>
      <c r="B9561" s="6" t="s">
        <v>53532</v>
      </c>
      <c r="C9561" s="7">
        <v>2064</v>
      </c>
      <c r="D9561" s="8" t="s">
        <v>53533</v>
      </c>
      <c r="E9561" s="8" t="s">
        <v>53534</v>
      </c>
      <c r="F9561" s="8" t="s">
        <v>53535</v>
      </c>
      <c r="G9561" s="6" t="s">
        <v>118</v>
      </c>
      <c r="H9561" s="6" t="s">
        <v>34</v>
      </c>
      <c r="I9561" s="8" t="s">
        <v>271</v>
      </c>
      <c r="J9561" s="9">
        <v>1</v>
      </c>
      <c r="K9561" s="9">
        <v>383</v>
      </c>
      <c r="L9561" s="9">
        <v>2023</v>
      </c>
      <c r="M9561" s="8" t="s">
        <v>53536</v>
      </c>
      <c r="N9561" s="8" t="s">
        <v>37</v>
      </c>
      <c r="O9561" s="8" t="s">
        <v>499</v>
      </c>
      <c r="P9561" s="6" t="s">
        <v>306</v>
      </c>
      <c r="Q9561" s="8" t="s">
        <v>52</v>
      </c>
      <c r="R9561" s="10" t="s">
        <v>53537</v>
      </c>
      <c r="S9561" s="11" t="s">
        <v>53538</v>
      </c>
      <c r="T9561" s="6" t="s">
        <v>97</v>
      </c>
      <c r="U9561" s="15" t="str">
        <f>HYPERLINK("https://media.infra-m.ru/1915/1915727/cover/1915727.jpg", "Обложка")</f>
        <v>Обложка</v>
      </c>
      <c r="V9561" s="8" t="s">
        <v>1505</v>
      </c>
      <c r="W9561" s="6"/>
      <c r="X9561" s="6"/>
      <c r="Y9561" s="6"/>
      <c r="Z9561" s="6"/>
      <c r="AA9561" s="6" t="s">
        <v>6584</v>
      </c>
      <c r="AB9561" s="8"/>
      <c r="AC9561" s="27">
        <v>9785160067230</v>
      </c>
    </row>
    <row r="9562" spans="1:29" s="4" customFormat="1" ht="51.9" customHeight="1" x14ac:dyDescent="0.2">
      <c r="A9562" s="5">
        <v>0</v>
      </c>
      <c r="B9562" s="6" t="s">
        <v>53539</v>
      </c>
      <c r="C9562" s="7">
        <v>1068</v>
      </c>
      <c r="D9562" s="8" t="s">
        <v>53540</v>
      </c>
      <c r="E9562" s="8" t="s">
        <v>53534</v>
      </c>
      <c r="F9562" s="8" t="s">
        <v>53541</v>
      </c>
      <c r="G9562" s="6" t="s">
        <v>118</v>
      </c>
      <c r="H9562" s="6" t="s">
        <v>34</v>
      </c>
      <c r="I9562" s="8" t="s">
        <v>263</v>
      </c>
      <c r="J9562" s="9">
        <v>1</v>
      </c>
      <c r="K9562" s="9">
        <v>161</v>
      </c>
      <c r="L9562" s="9">
        <v>2026</v>
      </c>
      <c r="M9562" s="8" t="s">
        <v>53542</v>
      </c>
      <c r="N9562" s="8" t="s">
        <v>63</v>
      </c>
      <c r="O9562" s="8" t="s">
        <v>126</v>
      </c>
      <c r="P9562" s="6" t="s">
        <v>306</v>
      </c>
      <c r="Q9562" s="8" t="s">
        <v>265</v>
      </c>
      <c r="R9562" s="10" t="s">
        <v>53543</v>
      </c>
      <c r="S9562" s="11"/>
      <c r="T9562" s="6"/>
      <c r="U9562" s="15" t="str">
        <f>HYPERLINK("https://media.infra-m.ru/2252/2252186/cover/2252186.jpg", "Обложка")</f>
        <v>Обложка</v>
      </c>
      <c r="V9562" s="8" t="s">
        <v>4892</v>
      </c>
      <c r="W9562" s="6"/>
      <c r="X9562" s="6"/>
      <c r="Y9562" s="6"/>
      <c r="Z9562" s="6"/>
      <c r="AA9562" s="6" t="s">
        <v>106</v>
      </c>
      <c r="AB9562" s="8"/>
      <c r="AC9562" s="27">
        <v>9785160178004</v>
      </c>
    </row>
    <row r="9563" spans="1:29" s="4" customFormat="1" ht="51.9" customHeight="1" x14ac:dyDescent="0.2">
      <c r="A9563" s="5">
        <v>0</v>
      </c>
      <c r="B9563" s="6" t="s">
        <v>53544</v>
      </c>
      <c r="C9563" s="13">
        <v>948</v>
      </c>
      <c r="D9563" s="8" t="s">
        <v>53545</v>
      </c>
      <c r="E9563" s="8" t="s">
        <v>53546</v>
      </c>
      <c r="F9563" s="8" t="s">
        <v>53547</v>
      </c>
      <c r="G9563" s="6" t="s">
        <v>33</v>
      </c>
      <c r="H9563" s="6" t="s">
        <v>1042</v>
      </c>
      <c r="I9563" s="8" t="s">
        <v>263</v>
      </c>
      <c r="J9563" s="9">
        <v>1</v>
      </c>
      <c r="K9563" s="9">
        <v>176</v>
      </c>
      <c r="L9563" s="9">
        <v>2020</v>
      </c>
      <c r="M9563" s="8" t="s">
        <v>53548</v>
      </c>
      <c r="N9563" s="8" t="s">
        <v>37</v>
      </c>
      <c r="O9563" s="8" t="s">
        <v>499</v>
      </c>
      <c r="P9563" s="6" t="s">
        <v>306</v>
      </c>
      <c r="Q9563" s="8" t="s">
        <v>265</v>
      </c>
      <c r="R9563" s="10" t="s">
        <v>53543</v>
      </c>
      <c r="S9563" s="11" t="s">
        <v>53549</v>
      </c>
      <c r="T9563" s="6"/>
      <c r="U9563" s="15" t="str">
        <f>HYPERLINK("https://media.infra-m.ru/1960/1960946/cover/1960946.jpg", "Обложка")</f>
        <v>Обложка</v>
      </c>
      <c r="V9563" s="8" t="s">
        <v>3087</v>
      </c>
      <c r="W9563" s="6"/>
      <c r="X9563" s="6"/>
      <c r="Y9563" s="6"/>
      <c r="Z9563" s="6"/>
      <c r="AA9563" s="6" t="s">
        <v>949</v>
      </c>
      <c r="AB9563" s="8"/>
      <c r="AC9563" s="27">
        <v>9785819908440</v>
      </c>
    </row>
    <row r="9564" spans="1:29" s="4" customFormat="1" ht="51.9" customHeight="1" x14ac:dyDescent="0.2">
      <c r="A9564" s="5">
        <v>0</v>
      </c>
      <c r="B9564" s="6" t="s">
        <v>53550</v>
      </c>
      <c r="C9564" s="7">
        <v>1308</v>
      </c>
      <c r="D9564" s="8" t="s">
        <v>53551</v>
      </c>
      <c r="E9564" s="8" t="s">
        <v>53552</v>
      </c>
      <c r="F9564" s="8" t="s">
        <v>53553</v>
      </c>
      <c r="G9564" s="6" t="s">
        <v>60</v>
      </c>
      <c r="H9564" s="6" t="s">
        <v>34</v>
      </c>
      <c r="I9564" s="8" t="s">
        <v>35</v>
      </c>
      <c r="J9564" s="9">
        <v>1</v>
      </c>
      <c r="K9564" s="9">
        <v>186</v>
      </c>
      <c r="L9564" s="9">
        <v>2026</v>
      </c>
      <c r="M9564" s="8" t="s">
        <v>53554</v>
      </c>
      <c r="N9564" s="8" t="s">
        <v>63</v>
      </c>
      <c r="O9564" s="8" t="s">
        <v>154</v>
      </c>
      <c r="P9564" s="6" t="s">
        <v>39</v>
      </c>
      <c r="Q9564" s="8" t="s">
        <v>40</v>
      </c>
      <c r="R9564" s="10" t="s">
        <v>53555</v>
      </c>
      <c r="S9564" s="11"/>
      <c r="T9564" s="6"/>
      <c r="U9564" s="15" t="str">
        <f>HYPERLINK("https://media.infra-m.ru/2221/2221705/cover/2221705.jpg", "Обложка")</f>
        <v>Обложка</v>
      </c>
      <c r="V9564" s="8" t="s">
        <v>12210</v>
      </c>
      <c r="W9564" s="6" t="s">
        <v>528</v>
      </c>
      <c r="X9564" s="6"/>
      <c r="Y9564" s="6"/>
      <c r="Z9564" s="6"/>
      <c r="AA9564" s="6" t="s">
        <v>187</v>
      </c>
      <c r="AB9564" s="8" t="s">
        <v>308</v>
      </c>
      <c r="AC9564" s="27">
        <v>9785160213118</v>
      </c>
    </row>
    <row r="9565" spans="1:29" s="4" customFormat="1" ht="51.9" customHeight="1" x14ac:dyDescent="0.2">
      <c r="A9565" s="5">
        <v>0</v>
      </c>
      <c r="B9565" s="6" t="s">
        <v>53556</v>
      </c>
      <c r="C9565" s="7">
        <v>1920</v>
      </c>
      <c r="D9565" s="8" t="s">
        <v>53557</v>
      </c>
      <c r="E9565" s="8" t="s">
        <v>53558</v>
      </c>
      <c r="F9565" s="8" t="s">
        <v>4590</v>
      </c>
      <c r="G9565" s="6" t="s">
        <v>118</v>
      </c>
      <c r="H9565" s="6" t="s">
        <v>34</v>
      </c>
      <c r="I9565" s="8" t="s">
        <v>253</v>
      </c>
      <c r="J9565" s="9">
        <v>1</v>
      </c>
      <c r="K9565" s="9">
        <v>291</v>
      </c>
      <c r="L9565" s="9">
        <v>2026</v>
      </c>
      <c r="M9565" s="8" t="s">
        <v>53559</v>
      </c>
      <c r="N9565" s="8" t="s">
        <v>63</v>
      </c>
      <c r="O9565" s="8" t="s">
        <v>126</v>
      </c>
      <c r="P9565" s="6" t="s">
        <v>51</v>
      </c>
      <c r="Q9565" s="8" t="s">
        <v>52</v>
      </c>
      <c r="R9565" s="10" t="s">
        <v>53560</v>
      </c>
      <c r="S9565" s="11" t="s">
        <v>53561</v>
      </c>
      <c r="T9565" s="6"/>
      <c r="U9565" s="15" t="str">
        <f>HYPERLINK("https://media.infra-m.ru/2227/2227193/cover/2227193.jpg", "Обложка")</f>
        <v>Обложка</v>
      </c>
      <c r="V9565" s="8" t="s">
        <v>3413</v>
      </c>
      <c r="W9565" s="6"/>
      <c r="X9565" s="6"/>
      <c r="Y9565" s="6"/>
      <c r="Z9565" s="6"/>
      <c r="AA9565" s="6" t="s">
        <v>218</v>
      </c>
      <c r="AB9565" s="8"/>
      <c r="AC9565" s="27">
        <v>9785160215709</v>
      </c>
    </row>
    <row r="9566" spans="1:29" s="4" customFormat="1" ht="44.1" customHeight="1" x14ac:dyDescent="0.2">
      <c r="A9566" s="5">
        <v>0</v>
      </c>
      <c r="B9566" s="6" t="s">
        <v>53562</v>
      </c>
      <c r="C9566" s="7">
        <v>1524</v>
      </c>
      <c r="D9566" s="8" t="s">
        <v>53563</v>
      </c>
      <c r="E9566" s="8" t="s">
        <v>53564</v>
      </c>
      <c r="F9566" s="8" t="s">
        <v>53565</v>
      </c>
      <c r="G9566" s="6" t="s">
        <v>33</v>
      </c>
      <c r="H9566" s="6" t="s">
        <v>34</v>
      </c>
      <c r="I9566" s="8" t="s">
        <v>35</v>
      </c>
      <c r="J9566" s="9">
        <v>1</v>
      </c>
      <c r="K9566" s="9">
        <v>243</v>
      </c>
      <c r="L9566" s="9">
        <v>2025</v>
      </c>
      <c r="M9566" s="8" t="s">
        <v>53566</v>
      </c>
      <c r="N9566" s="8" t="s">
        <v>63</v>
      </c>
      <c r="O9566" s="8" t="s">
        <v>126</v>
      </c>
      <c r="P9566" s="6" t="s">
        <v>39</v>
      </c>
      <c r="Q9566" s="8" t="s">
        <v>40</v>
      </c>
      <c r="R9566" s="10" t="s">
        <v>53567</v>
      </c>
      <c r="S9566" s="11"/>
      <c r="T9566" s="6"/>
      <c r="U9566" s="15" t="str">
        <f>HYPERLINK("https://media.infra-m.ru/2194/2194906/cover/2194906.jpg", "Обложка")</f>
        <v>Обложка</v>
      </c>
      <c r="V9566" s="8" t="s">
        <v>3087</v>
      </c>
      <c r="W9566" s="6"/>
      <c r="X9566" s="6"/>
      <c r="Y9566" s="6"/>
      <c r="Z9566" s="6"/>
      <c r="AA9566" s="6" t="s">
        <v>1256</v>
      </c>
      <c r="AB9566" s="8"/>
      <c r="AC9566" s="27">
        <v>9785160158853</v>
      </c>
    </row>
    <row r="9567" spans="1:29" s="4" customFormat="1" ht="51.9" customHeight="1" x14ac:dyDescent="0.2">
      <c r="A9567" s="5">
        <v>0</v>
      </c>
      <c r="B9567" s="6" t="s">
        <v>53568</v>
      </c>
      <c r="C9567" s="7">
        <v>2736</v>
      </c>
      <c r="D9567" s="8" t="s">
        <v>53569</v>
      </c>
      <c r="E9567" s="8" t="s">
        <v>53570</v>
      </c>
      <c r="F9567" s="8" t="s">
        <v>53571</v>
      </c>
      <c r="G9567" s="6" t="s">
        <v>60</v>
      </c>
      <c r="H9567" s="6" t="s">
        <v>34</v>
      </c>
      <c r="I9567" s="8" t="s">
        <v>253</v>
      </c>
      <c r="J9567" s="9">
        <v>1</v>
      </c>
      <c r="K9567" s="9">
        <v>415</v>
      </c>
      <c r="L9567" s="9">
        <v>2026</v>
      </c>
      <c r="M9567" s="8" t="s">
        <v>53572</v>
      </c>
      <c r="N9567" s="8" t="s">
        <v>63</v>
      </c>
      <c r="O9567" s="8" t="s">
        <v>126</v>
      </c>
      <c r="P9567" s="6" t="s">
        <v>306</v>
      </c>
      <c r="Q9567" s="8" t="s">
        <v>52</v>
      </c>
      <c r="R9567" s="10" t="s">
        <v>53573</v>
      </c>
      <c r="S9567" s="11" t="s">
        <v>53574</v>
      </c>
      <c r="T9567" s="6" t="s">
        <v>97</v>
      </c>
      <c r="U9567" s="15" t="str">
        <f>HYPERLINK("https://media.infra-m.ru/2250/2250936/cover/2250936.jpg", "Обложка")</f>
        <v>Обложка</v>
      </c>
      <c r="V9567" s="8" t="s">
        <v>16500</v>
      </c>
      <c r="W9567" s="6"/>
      <c r="X9567" s="6"/>
      <c r="Y9567" s="6"/>
      <c r="Z9567" s="6"/>
      <c r="AA9567" s="6" t="s">
        <v>13489</v>
      </c>
      <c r="AB9567" s="8"/>
      <c r="AC9567" s="27">
        <v>9785160193519</v>
      </c>
    </row>
    <row r="9568" spans="1:29" s="4" customFormat="1" ht="51.9" customHeight="1" x14ac:dyDescent="0.2">
      <c r="A9568" s="5">
        <v>0</v>
      </c>
      <c r="B9568" s="6" t="s">
        <v>53575</v>
      </c>
      <c r="C9568" s="7">
        <v>1036.8</v>
      </c>
      <c r="D9568" s="8" t="s">
        <v>53576</v>
      </c>
      <c r="E9568" s="8" t="s">
        <v>53577</v>
      </c>
      <c r="F9568" s="8" t="s">
        <v>53578</v>
      </c>
      <c r="G9568" s="6" t="s">
        <v>60</v>
      </c>
      <c r="H9568" s="6" t="s">
        <v>34</v>
      </c>
      <c r="I9568" s="8" t="s">
        <v>271</v>
      </c>
      <c r="J9568" s="9">
        <v>1</v>
      </c>
      <c r="K9568" s="9">
        <v>158</v>
      </c>
      <c r="L9568" s="9">
        <v>2026</v>
      </c>
      <c r="M9568" s="8" t="s">
        <v>53579</v>
      </c>
      <c r="N9568" s="8" t="s">
        <v>63</v>
      </c>
      <c r="O9568" s="8" t="s">
        <v>126</v>
      </c>
      <c r="P9568" s="6" t="s">
        <v>51</v>
      </c>
      <c r="Q9568" s="8" t="s">
        <v>52</v>
      </c>
      <c r="R9568" s="10" t="s">
        <v>53580</v>
      </c>
      <c r="S9568" s="11"/>
      <c r="T9568" s="6"/>
      <c r="U9568" s="15" t="str">
        <f>HYPERLINK("https://media.infra-m.ru/1948/1948220/cover/1948220.jpg", "Обложка")</f>
        <v>Обложка</v>
      </c>
      <c r="V9568" s="8" t="s">
        <v>4481</v>
      </c>
      <c r="W9568" s="6"/>
      <c r="X9568" s="6"/>
      <c r="Y9568" s="6"/>
      <c r="Z9568" s="6"/>
      <c r="AA9568" s="6" t="s">
        <v>248</v>
      </c>
      <c r="AB9568" s="8"/>
      <c r="AC9568" s="27">
        <v>9785160091327</v>
      </c>
    </row>
    <row r="9569" spans="1:29" s="4" customFormat="1" ht="51.9" customHeight="1" x14ac:dyDescent="0.2">
      <c r="A9569" s="5">
        <v>0</v>
      </c>
      <c r="B9569" s="6" t="s">
        <v>53581</v>
      </c>
      <c r="C9569" s="7">
        <v>1428</v>
      </c>
      <c r="D9569" s="8" t="s">
        <v>53582</v>
      </c>
      <c r="E9569" s="8" t="s">
        <v>53577</v>
      </c>
      <c r="F9569" s="8" t="s">
        <v>53583</v>
      </c>
      <c r="G9569" s="6" t="s">
        <v>118</v>
      </c>
      <c r="H9569" s="6" t="s">
        <v>313</v>
      </c>
      <c r="I9569" s="8" t="s">
        <v>253</v>
      </c>
      <c r="J9569" s="9">
        <v>1</v>
      </c>
      <c r="K9569" s="9">
        <v>228</v>
      </c>
      <c r="L9569" s="9">
        <v>2025</v>
      </c>
      <c r="M9569" s="8" t="s">
        <v>53584</v>
      </c>
      <c r="N9569" s="8" t="s">
        <v>63</v>
      </c>
      <c r="O9569" s="8" t="s">
        <v>126</v>
      </c>
      <c r="P9569" s="6" t="s">
        <v>51</v>
      </c>
      <c r="Q9569" s="8" t="s">
        <v>52</v>
      </c>
      <c r="R9569" s="10" t="s">
        <v>53585</v>
      </c>
      <c r="S9569" s="11" t="s">
        <v>53586</v>
      </c>
      <c r="T9569" s="6"/>
      <c r="U9569" s="15" t="str">
        <f>HYPERLINK("https://media.infra-m.ru/2185/2185891/cover/2185891.jpg", "Обложка")</f>
        <v>Обложка</v>
      </c>
      <c r="V9569" s="8"/>
      <c r="W9569" s="6"/>
      <c r="X9569" s="6"/>
      <c r="Y9569" s="6"/>
      <c r="Z9569" s="6"/>
      <c r="AA9569" s="6" t="s">
        <v>99</v>
      </c>
      <c r="AB9569" s="8"/>
      <c r="AC9569" s="27">
        <v>9785369016428</v>
      </c>
    </row>
    <row r="9570" spans="1:29" s="4" customFormat="1" ht="51.9" customHeight="1" x14ac:dyDescent="0.2">
      <c r="A9570" s="5">
        <v>0</v>
      </c>
      <c r="B9570" s="6" t="s">
        <v>53587</v>
      </c>
      <c r="C9570" s="7">
        <v>1096.8</v>
      </c>
      <c r="D9570" s="8" t="s">
        <v>53588</v>
      </c>
      <c r="E9570" s="8" t="s">
        <v>53577</v>
      </c>
      <c r="F9570" s="8" t="s">
        <v>53589</v>
      </c>
      <c r="G9570" s="6" t="s">
        <v>60</v>
      </c>
      <c r="H9570" s="6" t="s">
        <v>34</v>
      </c>
      <c r="I9570" s="8" t="s">
        <v>263</v>
      </c>
      <c r="J9570" s="9">
        <v>1</v>
      </c>
      <c r="K9570" s="9">
        <v>158</v>
      </c>
      <c r="L9570" s="9">
        <v>2027</v>
      </c>
      <c r="M9570" s="8" t="s">
        <v>53590</v>
      </c>
      <c r="N9570" s="8" t="s">
        <v>63</v>
      </c>
      <c r="O9570" s="8" t="s">
        <v>126</v>
      </c>
      <c r="P9570" s="6" t="s">
        <v>51</v>
      </c>
      <c r="Q9570" s="8" t="s">
        <v>265</v>
      </c>
      <c r="R9570" s="10" t="s">
        <v>53591</v>
      </c>
      <c r="S9570" s="11" t="s">
        <v>53592</v>
      </c>
      <c r="T9570" s="6"/>
      <c r="U9570" s="15" t="str">
        <f>HYPERLINK("https://media.infra-m.ru/2262/2262597/cover/2262597.jpg", "Обложка")</f>
        <v>Обложка</v>
      </c>
      <c r="V9570" s="8" t="s">
        <v>4481</v>
      </c>
      <c r="W9570" s="6"/>
      <c r="X9570" s="6"/>
      <c r="Y9570" s="6"/>
      <c r="Z9570" s="6" t="s">
        <v>267</v>
      </c>
      <c r="AA9570" s="6" t="s">
        <v>1256</v>
      </c>
      <c r="AB9570" s="8"/>
      <c r="AC9570" s="27">
        <v>9785160162065</v>
      </c>
    </row>
    <row r="9571" spans="1:29" s="4" customFormat="1" ht="42" customHeight="1" x14ac:dyDescent="0.2">
      <c r="A9571" s="5">
        <v>0</v>
      </c>
      <c r="B9571" s="6" t="s">
        <v>53593</v>
      </c>
      <c r="C9571" s="7">
        <v>1188</v>
      </c>
      <c r="D9571" s="8" t="s">
        <v>53594</v>
      </c>
      <c r="E9571" s="8" t="s">
        <v>53595</v>
      </c>
      <c r="F9571" s="8" t="s">
        <v>8838</v>
      </c>
      <c r="G9571" s="6" t="s">
        <v>118</v>
      </c>
      <c r="H9571" s="6" t="s">
        <v>34</v>
      </c>
      <c r="I9571" s="8" t="s">
        <v>253</v>
      </c>
      <c r="J9571" s="9">
        <v>1</v>
      </c>
      <c r="K9571" s="9">
        <v>135</v>
      </c>
      <c r="L9571" s="9">
        <v>2026</v>
      </c>
      <c r="M9571" s="8" t="s">
        <v>53596</v>
      </c>
      <c r="N9571" s="8" t="s">
        <v>243</v>
      </c>
      <c r="O9571" s="8" t="s">
        <v>385</v>
      </c>
      <c r="P9571" s="6" t="s">
        <v>51</v>
      </c>
      <c r="Q9571" s="8" t="s">
        <v>377</v>
      </c>
      <c r="R9571" s="10" t="s">
        <v>19750</v>
      </c>
      <c r="S9571" s="11"/>
      <c r="T9571" s="6"/>
      <c r="U9571" s="15" t="str">
        <f>HYPERLINK("https://media.infra-m.ru/2126/2126891/cover/2126891.jpg", "Обложка")</f>
        <v>Обложка</v>
      </c>
      <c r="V9571" s="8" t="s">
        <v>3329</v>
      </c>
      <c r="W9571" s="6"/>
      <c r="X9571" s="6"/>
      <c r="Y9571" s="6"/>
      <c r="Z9571" s="6"/>
      <c r="AA9571" s="6" t="s">
        <v>430</v>
      </c>
      <c r="AB9571" s="8"/>
      <c r="AC9571" s="27">
        <v>9785160216652</v>
      </c>
    </row>
    <row r="9572" spans="1:29" s="4" customFormat="1" ht="42" customHeight="1" x14ac:dyDescent="0.2">
      <c r="A9572" s="5">
        <v>0</v>
      </c>
      <c r="B9572" s="6" t="s">
        <v>53597</v>
      </c>
      <c r="C9572" s="7">
        <v>2620.8000000000002</v>
      </c>
      <c r="D9572" s="8" t="s">
        <v>53598</v>
      </c>
      <c r="E9572" s="8" t="s">
        <v>53599</v>
      </c>
      <c r="F9572" s="8" t="s">
        <v>53600</v>
      </c>
      <c r="G9572" s="6" t="s">
        <v>118</v>
      </c>
      <c r="H9572" s="6" t="s">
        <v>34</v>
      </c>
      <c r="I9572" s="8" t="s">
        <v>35</v>
      </c>
      <c r="J9572" s="9">
        <v>1</v>
      </c>
      <c r="K9572" s="9">
        <v>378</v>
      </c>
      <c r="L9572" s="9">
        <v>2026</v>
      </c>
      <c r="M9572" s="8" t="s">
        <v>53601</v>
      </c>
      <c r="N9572" s="8" t="s">
        <v>243</v>
      </c>
      <c r="O9572" s="8" t="s">
        <v>385</v>
      </c>
      <c r="P9572" s="6" t="s">
        <v>39</v>
      </c>
      <c r="Q9572" s="8" t="s">
        <v>40</v>
      </c>
      <c r="R9572" s="10" t="s">
        <v>378</v>
      </c>
      <c r="S9572" s="11"/>
      <c r="T9572" s="6"/>
      <c r="U9572" s="15" t="str">
        <f>HYPERLINK("https://media.infra-m.ru/2268/2268352/cover/2268352.jpg", "Обложка")</f>
        <v>Обложка</v>
      </c>
      <c r="V9572" s="8" t="s">
        <v>10380</v>
      </c>
      <c r="W9572" s="6"/>
      <c r="X9572" s="6"/>
      <c r="Y9572" s="6"/>
      <c r="Z9572" s="6"/>
      <c r="AA9572" s="6" t="s">
        <v>1256</v>
      </c>
      <c r="AB9572" s="8"/>
      <c r="AC9572" s="27">
        <v>9785160151755</v>
      </c>
    </row>
    <row r="9573" spans="1:29" s="4" customFormat="1" ht="51.9" customHeight="1" x14ac:dyDescent="0.2">
      <c r="A9573" s="5">
        <v>0</v>
      </c>
      <c r="B9573" s="6" t="s">
        <v>53602</v>
      </c>
      <c r="C9573" s="13">
        <v>676.8</v>
      </c>
      <c r="D9573" s="8" t="s">
        <v>53603</v>
      </c>
      <c r="E9573" s="8" t="s">
        <v>53604</v>
      </c>
      <c r="F9573" s="8" t="s">
        <v>53605</v>
      </c>
      <c r="G9573" s="6" t="s">
        <v>33</v>
      </c>
      <c r="H9573" s="6" t="s">
        <v>313</v>
      </c>
      <c r="I9573" s="8" t="s">
        <v>35</v>
      </c>
      <c r="J9573" s="9">
        <v>1</v>
      </c>
      <c r="K9573" s="9">
        <v>110</v>
      </c>
      <c r="L9573" s="9">
        <v>2025</v>
      </c>
      <c r="M9573" s="8" t="s">
        <v>53606</v>
      </c>
      <c r="N9573" s="8" t="s">
        <v>37</v>
      </c>
      <c r="O9573" s="8" t="s">
        <v>136</v>
      </c>
      <c r="P9573" s="6" t="s">
        <v>39</v>
      </c>
      <c r="Q9573" s="8" t="s">
        <v>40</v>
      </c>
      <c r="R9573" s="10" t="s">
        <v>14721</v>
      </c>
      <c r="S9573" s="11"/>
      <c r="T9573" s="6"/>
      <c r="U9573" s="15" t="str">
        <f>HYPERLINK("https://media.infra-m.ru/2184/2184549/cover/2184549.jpg", "Обложка")</f>
        <v>Обложка</v>
      </c>
      <c r="V9573" s="8"/>
      <c r="W9573" s="6"/>
      <c r="X9573" s="6"/>
      <c r="Y9573" s="6"/>
      <c r="Z9573" s="6"/>
      <c r="AA9573" s="6" t="s">
        <v>430</v>
      </c>
      <c r="AB9573" s="8"/>
      <c r="AC9573" s="27">
        <v>9785369018705</v>
      </c>
    </row>
    <row r="9574" spans="1:29" s="4" customFormat="1" ht="51.9" customHeight="1" x14ac:dyDescent="0.2">
      <c r="A9574" s="5">
        <v>0</v>
      </c>
      <c r="B9574" s="6" t="s">
        <v>53607</v>
      </c>
      <c r="C9574" s="7">
        <v>2100</v>
      </c>
      <c r="D9574" s="8" t="s">
        <v>53608</v>
      </c>
      <c r="E9574" s="8" t="s">
        <v>53609</v>
      </c>
      <c r="F9574" s="8" t="s">
        <v>53610</v>
      </c>
      <c r="G9574" s="6" t="s">
        <v>118</v>
      </c>
      <c r="H9574" s="6" t="s">
        <v>34</v>
      </c>
      <c r="I9574" s="8" t="s">
        <v>253</v>
      </c>
      <c r="J9574" s="9">
        <v>1</v>
      </c>
      <c r="K9574" s="9">
        <v>317</v>
      </c>
      <c r="L9574" s="9">
        <v>2026</v>
      </c>
      <c r="M9574" s="8" t="s">
        <v>53611</v>
      </c>
      <c r="N9574" s="8" t="s">
        <v>63</v>
      </c>
      <c r="O9574" s="8" t="s">
        <v>154</v>
      </c>
      <c r="P9574" s="6" t="s">
        <v>306</v>
      </c>
      <c r="Q9574" s="8" t="s">
        <v>52</v>
      </c>
      <c r="R9574" s="10" t="s">
        <v>35678</v>
      </c>
      <c r="S9574" s="11" t="s">
        <v>53612</v>
      </c>
      <c r="T9574" s="6" t="s">
        <v>97</v>
      </c>
      <c r="U9574" s="15" t="str">
        <f>HYPERLINK("https://media.infra-m.ru/2226/2226162/cover/2226162.jpg", "Обложка")</f>
        <v>Обложка</v>
      </c>
      <c r="V9574" s="8" t="s">
        <v>1425</v>
      </c>
      <c r="W9574" s="6"/>
      <c r="X9574" s="6"/>
      <c r="Y9574" s="6"/>
      <c r="Z9574" s="6"/>
      <c r="AA9574" s="6" t="s">
        <v>86</v>
      </c>
      <c r="AB9574" s="8"/>
      <c r="AC9574" s="27">
        <v>9785160194486</v>
      </c>
    </row>
    <row r="9575" spans="1:29" s="4" customFormat="1" ht="51.9" customHeight="1" x14ac:dyDescent="0.2">
      <c r="A9575" s="5">
        <v>0</v>
      </c>
      <c r="B9575" s="6" t="s">
        <v>53613</v>
      </c>
      <c r="C9575" s="7">
        <v>1432.8</v>
      </c>
      <c r="D9575" s="8" t="s">
        <v>53614</v>
      </c>
      <c r="E9575" s="8" t="s">
        <v>53615</v>
      </c>
      <c r="F9575" s="8" t="s">
        <v>53616</v>
      </c>
      <c r="G9575" s="6" t="s">
        <v>60</v>
      </c>
      <c r="H9575" s="6" t="s">
        <v>34</v>
      </c>
      <c r="I9575" s="8" t="s">
        <v>271</v>
      </c>
      <c r="J9575" s="9">
        <v>1</v>
      </c>
      <c r="K9575" s="9">
        <v>207</v>
      </c>
      <c r="L9575" s="9">
        <v>2027</v>
      </c>
      <c r="M9575" s="8" t="s">
        <v>53617</v>
      </c>
      <c r="N9575" s="8" t="s">
        <v>63</v>
      </c>
      <c r="O9575" s="8" t="s">
        <v>154</v>
      </c>
      <c r="P9575" s="6" t="s">
        <v>51</v>
      </c>
      <c r="Q9575" s="8" t="s">
        <v>52</v>
      </c>
      <c r="R9575" s="10" t="s">
        <v>11480</v>
      </c>
      <c r="S9575" s="11" t="s">
        <v>53618</v>
      </c>
      <c r="T9575" s="6"/>
      <c r="U9575" s="15" t="str">
        <f>HYPERLINK("https://media.infra-m.ru/2247/2247187/cover/2247187.jpg", "Обложка")</f>
        <v>Обложка</v>
      </c>
      <c r="V9575" s="8" t="s">
        <v>14218</v>
      </c>
      <c r="W9575" s="6"/>
      <c r="X9575" s="6"/>
      <c r="Y9575" s="6"/>
      <c r="Z9575" s="6"/>
      <c r="AA9575" s="6" t="s">
        <v>115</v>
      </c>
      <c r="AB9575" s="8"/>
      <c r="AC9575" s="27">
        <v>9785160167367</v>
      </c>
    </row>
    <row r="9576" spans="1:29" s="4" customFormat="1" ht="44.1" customHeight="1" x14ac:dyDescent="0.2">
      <c r="A9576" s="5">
        <v>0</v>
      </c>
      <c r="B9576" s="6" t="s">
        <v>53619</v>
      </c>
      <c r="C9576" s="7">
        <v>1032</v>
      </c>
      <c r="D9576" s="8" t="s">
        <v>53620</v>
      </c>
      <c r="E9576" s="8" t="s">
        <v>53621</v>
      </c>
      <c r="F9576" s="8" t="s">
        <v>6221</v>
      </c>
      <c r="G9576" s="6" t="s">
        <v>118</v>
      </c>
      <c r="H9576" s="6" t="s">
        <v>313</v>
      </c>
      <c r="I9576" s="8" t="s">
        <v>35</v>
      </c>
      <c r="J9576" s="9">
        <v>1</v>
      </c>
      <c r="K9576" s="9">
        <v>191</v>
      </c>
      <c r="L9576" s="9">
        <v>2023</v>
      </c>
      <c r="M9576" s="8" t="s">
        <v>53622</v>
      </c>
      <c r="N9576" s="8" t="s">
        <v>37</v>
      </c>
      <c r="O9576" s="8" t="s">
        <v>83</v>
      </c>
      <c r="P9576" s="6" t="s">
        <v>39</v>
      </c>
      <c r="Q9576" s="8" t="s">
        <v>40</v>
      </c>
      <c r="R9576" s="10" t="s">
        <v>12446</v>
      </c>
      <c r="S9576" s="11"/>
      <c r="T9576" s="6"/>
      <c r="U9576" s="15" t="str">
        <f>HYPERLINK("https://media.infra-m.ru/2052/2052400/cover/2052400.jpg", "Обложка")</f>
        <v>Обложка</v>
      </c>
      <c r="V9576" s="8" t="s">
        <v>6224</v>
      </c>
      <c r="W9576" s="6"/>
      <c r="X9576" s="6"/>
      <c r="Y9576" s="6"/>
      <c r="Z9576" s="6"/>
      <c r="AA9576" s="6" t="s">
        <v>148</v>
      </c>
      <c r="AB9576" s="8"/>
      <c r="AC9576" s="27">
        <v>9785369018873</v>
      </c>
    </row>
    <row r="9577" spans="1:29" s="4" customFormat="1" ht="42" customHeight="1" x14ac:dyDescent="0.2">
      <c r="A9577" s="5">
        <v>0</v>
      </c>
      <c r="B9577" s="6" t="s">
        <v>53623</v>
      </c>
      <c r="C9577" s="7">
        <v>2352</v>
      </c>
      <c r="D9577" s="8" t="s">
        <v>53624</v>
      </c>
      <c r="E9577" s="8" t="s">
        <v>53625</v>
      </c>
      <c r="F9577" s="8" t="s">
        <v>53626</v>
      </c>
      <c r="G9577" s="6" t="s">
        <v>33</v>
      </c>
      <c r="H9577" s="6" t="s">
        <v>34</v>
      </c>
      <c r="I9577" s="8" t="s">
        <v>35</v>
      </c>
      <c r="J9577" s="9">
        <v>1</v>
      </c>
      <c r="K9577" s="9">
        <v>355</v>
      </c>
      <c r="L9577" s="9">
        <v>2026</v>
      </c>
      <c r="M9577" s="8" t="s">
        <v>53627</v>
      </c>
      <c r="N9577" s="8" t="s">
        <v>63</v>
      </c>
      <c r="O9577" s="8" t="s">
        <v>64</v>
      </c>
      <c r="P9577" s="6" t="s">
        <v>39</v>
      </c>
      <c r="Q9577" s="8" t="s">
        <v>40</v>
      </c>
      <c r="R9577" s="10" t="s">
        <v>10991</v>
      </c>
      <c r="S9577" s="11"/>
      <c r="T9577" s="6"/>
      <c r="U9577" s="15" t="str">
        <f>HYPERLINK("https://media.infra-m.ru/2231/2231760/cover/2231760.jpg", "Обложка")</f>
        <v>Обложка</v>
      </c>
      <c r="V9577" s="8" t="s">
        <v>53628</v>
      </c>
      <c r="W9577" s="6"/>
      <c r="X9577" s="6"/>
      <c r="Y9577" s="6"/>
      <c r="Z9577" s="6"/>
      <c r="AA9577" s="6" t="s">
        <v>86</v>
      </c>
      <c r="AB9577" s="8"/>
      <c r="AC9577" s="27">
        <v>9785160189185</v>
      </c>
    </row>
    <row r="9578" spans="1:29" s="4" customFormat="1" ht="42" customHeight="1" x14ac:dyDescent="0.2">
      <c r="A9578" s="5">
        <v>0</v>
      </c>
      <c r="B9578" s="6" t="s">
        <v>53629</v>
      </c>
      <c r="C9578" s="7">
        <v>1996.8</v>
      </c>
      <c r="D9578" s="8" t="s">
        <v>53630</v>
      </c>
      <c r="E9578" s="8" t="s">
        <v>53625</v>
      </c>
      <c r="F9578" s="8" t="s">
        <v>53626</v>
      </c>
      <c r="G9578" s="6" t="s">
        <v>118</v>
      </c>
      <c r="H9578" s="6" t="s">
        <v>34</v>
      </c>
      <c r="I9578" s="8" t="s">
        <v>35</v>
      </c>
      <c r="J9578" s="9">
        <v>1</v>
      </c>
      <c r="K9578" s="9">
        <v>355</v>
      </c>
      <c r="L9578" s="9">
        <v>2024</v>
      </c>
      <c r="M9578" s="8" t="s">
        <v>53631</v>
      </c>
      <c r="N9578" s="8" t="s">
        <v>63</v>
      </c>
      <c r="O9578" s="8" t="s">
        <v>64</v>
      </c>
      <c r="P9578" s="6" t="s">
        <v>39</v>
      </c>
      <c r="Q9578" s="8" t="s">
        <v>40</v>
      </c>
      <c r="R9578" s="10" t="s">
        <v>10991</v>
      </c>
      <c r="S9578" s="11"/>
      <c r="T9578" s="6"/>
      <c r="U9578" s="15" t="str">
        <f>HYPERLINK("https://media.infra-m.ru/2138/2138262/cover/2138262.jpg", "Обложка")</f>
        <v>Обложка</v>
      </c>
      <c r="V9578" s="8" t="s">
        <v>53628</v>
      </c>
      <c r="W9578" s="6"/>
      <c r="X9578" s="6"/>
      <c r="Y9578" s="6"/>
      <c r="Z9578" s="6"/>
      <c r="AA9578" s="6" t="s">
        <v>86</v>
      </c>
      <c r="AB9578" s="8"/>
      <c r="AC9578" s="27">
        <v>9785160134598</v>
      </c>
    </row>
    <row r="9579" spans="1:29" s="4" customFormat="1" ht="51.9" customHeight="1" x14ac:dyDescent="0.2">
      <c r="A9579" s="5">
        <v>0</v>
      </c>
      <c r="B9579" s="6" t="s">
        <v>53632</v>
      </c>
      <c r="C9579" s="7">
        <v>1156.8</v>
      </c>
      <c r="D9579" s="8" t="s">
        <v>53633</v>
      </c>
      <c r="E9579" s="8" t="s">
        <v>53634</v>
      </c>
      <c r="F9579" s="8" t="s">
        <v>53635</v>
      </c>
      <c r="G9579" s="6" t="s">
        <v>60</v>
      </c>
      <c r="H9579" s="6" t="s">
        <v>48</v>
      </c>
      <c r="I9579" s="8" t="s">
        <v>263</v>
      </c>
      <c r="J9579" s="9">
        <v>1</v>
      </c>
      <c r="K9579" s="9">
        <v>176</v>
      </c>
      <c r="L9579" s="9">
        <v>2026</v>
      </c>
      <c r="M9579" s="8" t="s">
        <v>53636</v>
      </c>
      <c r="N9579" s="8" t="s">
        <v>93</v>
      </c>
      <c r="O9579" s="8" t="s">
        <v>94</v>
      </c>
      <c r="P9579" s="6" t="s">
        <v>51</v>
      </c>
      <c r="Q9579" s="8" t="s">
        <v>265</v>
      </c>
      <c r="R9579" s="10" t="s">
        <v>53637</v>
      </c>
      <c r="S9579" s="11" t="s">
        <v>53638</v>
      </c>
      <c r="T9579" s="6"/>
      <c r="U9579" s="15" t="str">
        <f>HYPERLINK("https://media.infra-m.ru/2139/2139583/cover/2139583.jpg", "Обложка")</f>
        <v>Обложка</v>
      </c>
      <c r="V9579" s="8" t="s">
        <v>28042</v>
      </c>
      <c r="W9579" s="6"/>
      <c r="X9579" s="6"/>
      <c r="Y9579" s="6"/>
      <c r="Z9579" s="6" t="s">
        <v>267</v>
      </c>
      <c r="AA9579" s="6" t="s">
        <v>1256</v>
      </c>
      <c r="AB9579" s="8"/>
      <c r="AC9579" s="27">
        <v>9785000917275</v>
      </c>
    </row>
    <row r="9580" spans="1:29" s="4" customFormat="1" ht="44.1" customHeight="1" x14ac:dyDescent="0.2">
      <c r="A9580" s="5">
        <v>0</v>
      </c>
      <c r="B9580" s="6" t="s">
        <v>53639</v>
      </c>
      <c r="C9580" s="7">
        <v>1156.8</v>
      </c>
      <c r="D9580" s="8" t="s">
        <v>53640</v>
      </c>
      <c r="E9580" s="8" t="s">
        <v>53634</v>
      </c>
      <c r="F9580" s="8" t="s">
        <v>53641</v>
      </c>
      <c r="G9580" s="6" t="s">
        <v>33</v>
      </c>
      <c r="H9580" s="6" t="s">
        <v>48</v>
      </c>
      <c r="I9580" s="8" t="s">
        <v>253</v>
      </c>
      <c r="J9580" s="9">
        <v>1</v>
      </c>
      <c r="K9580" s="9">
        <v>176</v>
      </c>
      <c r="L9580" s="9">
        <v>2026</v>
      </c>
      <c r="M9580" s="8" t="s">
        <v>53642</v>
      </c>
      <c r="N9580" s="8" t="s">
        <v>93</v>
      </c>
      <c r="O9580" s="8" t="s">
        <v>94</v>
      </c>
      <c r="P9580" s="6" t="s">
        <v>51</v>
      </c>
      <c r="Q9580" s="8" t="s">
        <v>52</v>
      </c>
      <c r="R9580" s="10" t="s">
        <v>53643</v>
      </c>
      <c r="S9580" s="11"/>
      <c r="T9580" s="6"/>
      <c r="U9580" s="15" t="str">
        <f>HYPERLINK("https://media.infra-m.ru/2249/2249353/cover/2249353.jpg", "Обложка")</f>
        <v>Обложка</v>
      </c>
      <c r="V9580" s="8" t="s">
        <v>28042</v>
      </c>
      <c r="W9580" s="6"/>
      <c r="X9580" s="6"/>
      <c r="Y9580" s="6"/>
      <c r="Z9580" s="6"/>
      <c r="AA9580" s="6" t="s">
        <v>129</v>
      </c>
      <c r="AB9580" s="8"/>
      <c r="AC9580" s="27">
        <v>9785911345334</v>
      </c>
    </row>
    <row r="9581" spans="1:29" s="4" customFormat="1" ht="51.9" customHeight="1" x14ac:dyDescent="0.2">
      <c r="A9581" s="5">
        <v>0</v>
      </c>
      <c r="B9581" s="6" t="s">
        <v>53644</v>
      </c>
      <c r="C9581" s="7">
        <v>1816.8</v>
      </c>
      <c r="D9581" s="8" t="s">
        <v>53645</v>
      </c>
      <c r="E9581" s="8" t="s">
        <v>53646</v>
      </c>
      <c r="F9581" s="8" t="s">
        <v>53647</v>
      </c>
      <c r="G9581" s="6" t="s">
        <v>118</v>
      </c>
      <c r="H9581" s="6" t="s">
        <v>313</v>
      </c>
      <c r="I9581" s="8" t="s">
        <v>4551</v>
      </c>
      <c r="J9581" s="9">
        <v>1</v>
      </c>
      <c r="K9581" s="9">
        <v>331</v>
      </c>
      <c r="L9581" s="9">
        <v>2022</v>
      </c>
      <c r="M9581" s="8" t="s">
        <v>53648</v>
      </c>
      <c r="N9581" s="8" t="s">
        <v>37</v>
      </c>
      <c r="O9581" s="8" t="s">
        <v>38</v>
      </c>
      <c r="P9581" s="6" t="s">
        <v>51</v>
      </c>
      <c r="Q9581" s="8" t="s">
        <v>52</v>
      </c>
      <c r="R9581" s="10" t="s">
        <v>53649</v>
      </c>
      <c r="S9581" s="11"/>
      <c r="T9581" s="6"/>
      <c r="U9581" s="15" t="str">
        <f>HYPERLINK("https://media.infra-m.ru/2110/2110033/cover/2110033.jpg", "Обложка")</f>
        <v>Обложка</v>
      </c>
      <c r="V9581" s="8" t="s">
        <v>657</v>
      </c>
      <c r="W9581" s="6"/>
      <c r="X9581" s="6"/>
      <c r="Y9581" s="6"/>
      <c r="Z9581" s="6"/>
      <c r="AA9581" s="6" t="s">
        <v>2259</v>
      </c>
      <c r="AB9581" s="8"/>
      <c r="AC9581" s="27">
        <v>9785369018002</v>
      </c>
    </row>
    <row r="9582" spans="1:29" s="4" customFormat="1" ht="51.9" customHeight="1" x14ac:dyDescent="0.2">
      <c r="A9582" s="5">
        <v>0</v>
      </c>
      <c r="B9582" s="6" t="s">
        <v>53650</v>
      </c>
      <c r="C9582" s="13">
        <v>568.79999999999995</v>
      </c>
      <c r="D9582" s="8" t="s">
        <v>53651</v>
      </c>
      <c r="E9582" s="8" t="s">
        <v>53652</v>
      </c>
      <c r="F9582" s="8" t="s">
        <v>53653</v>
      </c>
      <c r="G9582" s="6" t="s">
        <v>33</v>
      </c>
      <c r="H9582" s="6" t="s">
        <v>34</v>
      </c>
      <c r="I9582" s="8" t="s">
        <v>35</v>
      </c>
      <c r="J9582" s="9">
        <v>1</v>
      </c>
      <c r="K9582" s="9">
        <v>87</v>
      </c>
      <c r="L9582" s="9">
        <v>2026</v>
      </c>
      <c r="M9582" s="8" t="s">
        <v>53654</v>
      </c>
      <c r="N9582" s="8" t="s">
        <v>93</v>
      </c>
      <c r="O9582" s="8" t="s">
        <v>94</v>
      </c>
      <c r="P9582" s="6" t="s">
        <v>39</v>
      </c>
      <c r="Q9582" s="8" t="s">
        <v>40</v>
      </c>
      <c r="R9582" s="10" t="s">
        <v>53655</v>
      </c>
      <c r="S9582" s="11"/>
      <c r="T9582" s="6"/>
      <c r="U9582" s="15" t="str">
        <f>HYPERLINK("https://media.infra-m.ru/2231/2231759/cover/2231759.jpg", "Обложка")</f>
        <v>Обложка</v>
      </c>
      <c r="V9582" s="8" t="s">
        <v>396</v>
      </c>
      <c r="W9582" s="6"/>
      <c r="X9582" s="6"/>
      <c r="Y9582" s="6"/>
      <c r="Z9582" s="6"/>
      <c r="AA9582" s="6" t="s">
        <v>55</v>
      </c>
      <c r="AB9582" s="8"/>
      <c r="AC9582" s="27">
        <v>9785160099064</v>
      </c>
    </row>
    <row r="9583" spans="1:29" s="4" customFormat="1" ht="51.9" customHeight="1" x14ac:dyDescent="0.2">
      <c r="A9583" s="5">
        <v>0</v>
      </c>
      <c r="B9583" s="6" t="s">
        <v>53656</v>
      </c>
      <c r="C9583" s="7">
        <v>1656</v>
      </c>
      <c r="D9583" s="8" t="s">
        <v>53657</v>
      </c>
      <c r="E9583" s="8" t="s">
        <v>53658</v>
      </c>
      <c r="F9583" s="8" t="s">
        <v>53659</v>
      </c>
      <c r="G9583" s="6" t="s">
        <v>33</v>
      </c>
      <c r="H9583" s="6" t="s">
        <v>34</v>
      </c>
      <c r="I9583" s="8" t="s">
        <v>35</v>
      </c>
      <c r="J9583" s="9">
        <v>1</v>
      </c>
      <c r="K9583" s="9">
        <v>241</v>
      </c>
      <c r="L9583" s="9">
        <v>2026</v>
      </c>
      <c r="M9583" s="8" t="s">
        <v>53660</v>
      </c>
      <c r="N9583" s="8" t="s">
        <v>37</v>
      </c>
      <c r="O9583" s="8" t="s">
        <v>83</v>
      </c>
      <c r="P9583" s="6" t="s">
        <v>39</v>
      </c>
      <c r="Q9583" s="8" t="s">
        <v>40</v>
      </c>
      <c r="R9583" s="10" t="s">
        <v>53661</v>
      </c>
      <c r="S9583" s="11"/>
      <c r="T9583" s="6"/>
      <c r="U9583" s="15" t="str">
        <f>HYPERLINK("https://media.infra-m.ru/2231/2231214/cover/2231214.jpg", "Обложка")</f>
        <v>Обложка</v>
      </c>
      <c r="V9583" s="8" t="s">
        <v>16850</v>
      </c>
      <c r="W9583" s="6" t="s">
        <v>528</v>
      </c>
      <c r="X9583" s="6"/>
      <c r="Y9583" s="6"/>
      <c r="Z9583" s="6"/>
      <c r="AA9583" s="6" t="s">
        <v>187</v>
      </c>
      <c r="AB9583" s="8" t="s">
        <v>308</v>
      </c>
      <c r="AC9583" s="27">
        <v>9785160215754</v>
      </c>
    </row>
    <row r="9584" spans="1:29" s="4" customFormat="1" ht="51.9" customHeight="1" x14ac:dyDescent="0.2">
      <c r="A9584" s="5">
        <v>0</v>
      </c>
      <c r="B9584" s="6" t="s">
        <v>53662</v>
      </c>
      <c r="C9584" s="7">
        <v>1960.8</v>
      </c>
      <c r="D9584" s="8" t="s">
        <v>53663</v>
      </c>
      <c r="E9584" s="8" t="s">
        <v>53664</v>
      </c>
      <c r="F9584" s="8" t="s">
        <v>53665</v>
      </c>
      <c r="G9584" s="6" t="s">
        <v>33</v>
      </c>
      <c r="H9584" s="6" t="s">
        <v>34</v>
      </c>
      <c r="I9584" s="8" t="s">
        <v>35</v>
      </c>
      <c r="J9584" s="9">
        <v>1</v>
      </c>
      <c r="K9584" s="9">
        <v>298</v>
      </c>
      <c r="L9584" s="9">
        <v>2026</v>
      </c>
      <c r="M9584" s="8" t="s">
        <v>53666</v>
      </c>
      <c r="N9584" s="8" t="s">
        <v>243</v>
      </c>
      <c r="O9584" s="8" t="s">
        <v>758</v>
      </c>
      <c r="P9584" s="6" t="s">
        <v>39</v>
      </c>
      <c r="Q9584" s="8" t="s">
        <v>40</v>
      </c>
      <c r="R9584" s="10" t="s">
        <v>53667</v>
      </c>
      <c r="S9584" s="11"/>
      <c r="T9584" s="6"/>
      <c r="U9584" s="15" t="str">
        <f>HYPERLINK("https://media.infra-m.ru/2231/2231758/cover/2231758.jpg", "Обложка")</f>
        <v>Обложка</v>
      </c>
      <c r="V9584" s="8" t="s">
        <v>843</v>
      </c>
      <c r="W9584" s="6"/>
      <c r="X9584" s="6"/>
      <c r="Y9584" s="6"/>
      <c r="Z9584" s="6"/>
      <c r="AA9584" s="6" t="s">
        <v>115</v>
      </c>
      <c r="AB9584" s="8"/>
      <c r="AC9584" s="27">
        <v>9785160137445</v>
      </c>
    </row>
    <row r="9585" spans="1:29" s="4" customFormat="1" ht="42" customHeight="1" x14ac:dyDescent="0.2">
      <c r="A9585" s="5">
        <v>0</v>
      </c>
      <c r="B9585" s="6" t="s">
        <v>53668</v>
      </c>
      <c r="C9585" s="13">
        <v>864</v>
      </c>
      <c r="D9585" s="8" t="s">
        <v>53669</v>
      </c>
      <c r="E9585" s="8" t="s">
        <v>53670</v>
      </c>
      <c r="F9585" s="8" t="s">
        <v>53671</v>
      </c>
      <c r="G9585" s="6" t="s">
        <v>33</v>
      </c>
      <c r="H9585" s="6" t="s">
        <v>34</v>
      </c>
      <c r="I9585" s="8" t="s">
        <v>35</v>
      </c>
      <c r="J9585" s="9">
        <v>1</v>
      </c>
      <c r="K9585" s="9">
        <v>152</v>
      </c>
      <c r="L9585" s="9">
        <v>2024</v>
      </c>
      <c r="M9585" s="8" t="s">
        <v>53672</v>
      </c>
      <c r="N9585" s="8" t="s">
        <v>37</v>
      </c>
      <c r="O9585" s="8" t="s">
        <v>280</v>
      </c>
      <c r="P9585" s="6" t="s">
        <v>39</v>
      </c>
      <c r="Q9585" s="8" t="s">
        <v>40</v>
      </c>
      <c r="R9585" s="10" t="s">
        <v>16509</v>
      </c>
      <c r="S9585" s="11"/>
      <c r="T9585" s="6"/>
      <c r="U9585" s="15" t="str">
        <f>HYPERLINK("https://media.infra-m.ru/2076/2076017/cover/2076017.jpg", "Обложка")</f>
        <v>Обложка</v>
      </c>
      <c r="V9585" s="8" t="s">
        <v>3196</v>
      </c>
      <c r="W9585" s="6"/>
      <c r="X9585" s="6"/>
      <c r="Y9585" s="6"/>
      <c r="Z9585" s="6"/>
      <c r="AA9585" s="6" t="s">
        <v>859</v>
      </c>
      <c r="AB9585" s="8"/>
      <c r="AC9585" s="27">
        <v>9785160094533</v>
      </c>
    </row>
    <row r="9586" spans="1:29" s="4" customFormat="1" ht="51.9" customHeight="1" x14ac:dyDescent="0.2">
      <c r="A9586" s="5">
        <v>0</v>
      </c>
      <c r="B9586" s="6" t="s">
        <v>53673</v>
      </c>
      <c r="C9586" s="13">
        <v>856.8</v>
      </c>
      <c r="D9586" s="8" t="s">
        <v>53674</v>
      </c>
      <c r="E9586" s="8" t="s">
        <v>53675</v>
      </c>
      <c r="F9586" s="8" t="s">
        <v>53676</v>
      </c>
      <c r="G9586" s="6" t="s">
        <v>33</v>
      </c>
      <c r="H9586" s="6" t="s">
        <v>48</v>
      </c>
      <c r="I9586" s="8"/>
      <c r="J9586" s="9">
        <v>1</v>
      </c>
      <c r="K9586" s="9">
        <v>104</v>
      </c>
      <c r="L9586" s="9">
        <v>2026</v>
      </c>
      <c r="M9586" s="8" t="s">
        <v>53677</v>
      </c>
      <c r="N9586" s="8" t="s">
        <v>243</v>
      </c>
      <c r="O9586" s="8" t="s">
        <v>385</v>
      </c>
      <c r="P9586" s="6" t="s">
        <v>3141</v>
      </c>
      <c r="Q9586" s="8" t="s">
        <v>40</v>
      </c>
      <c r="R9586" s="10" t="s">
        <v>53678</v>
      </c>
      <c r="S9586" s="11"/>
      <c r="T9586" s="6"/>
      <c r="U9586" s="15" t="str">
        <f>HYPERLINK("https://media.infra-m.ru/2235/2235436/cover/2235436.jpg", "Обложка")</f>
        <v>Обложка</v>
      </c>
      <c r="V9586" s="8" t="s">
        <v>35519</v>
      </c>
      <c r="W9586" s="6"/>
      <c r="X9586" s="6"/>
      <c r="Y9586" s="6"/>
      <c r="Z9586" s="6"/>
      <c r="AA9586" s="6" t="s">
        <v>274</v>
      </c>
      <c r="AB9586" s="8"/>
      <c r="AC9586" s="27">
        <v>9785000917688</v>
      </c>
    </row>
    <row r="9587" spans="1:29" s="4" customFormat="1" ht="44.1" customHeight="1" x14ac:dyDescent="0.2">
      <c r="A9587" s="5">
        <v>0</v>
      </c>
      <c r="B9587" s="6" t="s">
        <v>53679</v>
      </c>
      <c r="C9587" s="7">
        <v>1499.9</v>
      </c>
      <c r="D9587" s="8" t="s">
        <v>53680</v>
      </c>
      <c r="E9587" s="8" t="s">
        <v>53681</v>
      </c>
      <c r="F9587" s="8" t="s">
        <v>53682</v>
      </c>
      <c r="G9587" s="6" t="s">
        <v>60</v>
      </c>
      <c r="H9587" s="6" t="s">
        <v>34</v>
      </c>
      <c r="I9587" s="8" t="s">
        <v>35</v>
      </c>
      <c r="J9587" s="9">
        <v>1</v>
      </c>
      <c r="K9587" s="9">
        <v>450</v>
      </c>
      <c r="L9587" s="9">
        <v>2020</v>
      </c>
      <c r="M9587" s="8" t="s">
        <v>53683</v>
      </c>
      <c r="N9587" s="8" t="s">
        <v>37</v>
      </c>
      <c r="O9587" s="8" t="s">
        <v>280</v>
      </c>
      <c r="P9587" s="6" t="s">
        <v>39</v>
      </c>
      <c r="Q9587" s="8" t="s">
        <v>40</v>
      </c>
      <c r="R9587" s="10" t="s">
        <v>459</v>
      </c>
      <c r="S9587" s="11"/>
      <c r="T9587" s="6"/>
      <c r="U9587" s="15" t="str">
        <f>HYPERLINK("https://media.infra-m.ru/1087/1087996/cover/1087996.jpg", "Обложка")</f>
        <v>Обложка</v>
      </c>
      <c r="V9587" s="8" t="s">
        <v>3304</v>
      </c>
      <c r="W9587" s="6"/>
      <c r="X9587" s="6"/>
      <c r="Y9587" s="6"/>
      <c r="Z9587" s="6"/>
      <c r="AA9587" s="6" t="s">
        <v>1256</v>
      </c>
      <c r="AB9587" s="8"/>
      <c r="AC9587" s="27">
        <v>9785160162171</v>
      </c>
    </row>
    <row r="9588" spans="1:29" s="4" customFormat="1" ht="42" customHeight="1" x14ac:dyDescent="0.2">
      <c r="A9588" s="5">
        <v>0</v>
      </c>
      <c r="B9588" s="6" t="s">
        <v>53684</v>
      </c>
      <c r="C9588" s="7">
        <v>1348.8</v>
      </c>
      <c r="D9588" s="8" t="s">
        <v>53685</v>
      </c>
      <c r="E9588" s="8" t="s">
        <v>53686</v>
      </c>
      <c r="F9588" s="8" t="s">
        <v>1487</v>
      </c>
      <c r="G9588" s="6" t="s">
        <v>118</v>
      </c>
      <c r="H9588" s="6" t="s">
        <v>134</v>
      </c>
      <c r="I9588" s="8"/>
      <c r="J9588" s="9">
        <v>1</v>
      </c>
      <c r="K9588" s="9">
        <v>216</v>
      </c>
      <c r="L9588" s="9">
        <v>2025</v>
      </c>
      <c r="M9588" s="8" t="s">
        <v>53687</v>
      </c>
      <c r="N9588" s="8" t="s">
        <v>37</v>
      </c>
      <c r="O9588" s="8" t="s">
        <v>136</v>
      </c>
      <c r="P9588" s="6" t="s">
        <v>39</v>
      </c>
      <c r="Q9588" s="8" t="s">
        <v>40</v>
      </c>
      <c r="R9588" s="10" t="s">
        <v>8485</v>
      </c>
      <c r="S9588" s="11"/>
      <c r="T9588" s="6"/>
      <c r="U9588" s="15" t="str">
        <f>HYPERLINK("https://media.infra-m.ru/2205/2205970/cover/2205970.jpg", "Обложка")</f>
        <v>Обложка</v>
      </c>
      <c r="V9588" s="8" t="s">
        <v>1184</v>
      </c>
      <c r="W9588" s="6"/>
      <c r="X9588" s="6"/>
      <c r="Y9588" s="6"/>
      <c r="Z9588" s="6"/>
      <c r="AA9588" s="6" t="s">
        <v>430</v>
      </c>
      <c r="AB9588" s="8"/>
      <c r="AC9588" s="27">
        <v>9785001561019</v>
      </c>
    </row>
    <row r="9589" spans="1:29" s="4" customFormat="1" ht="42" customHeight="1" x14ac:dyDescent="0.2">
      <c r="A9589" s="5">
        <v>0</v>
      </c>
      <c r="B9589" s="6" t="s">
        <v>53688</v>
      </c>
      <c r="C9589" s="7">
        <v>1236</v>
      </c>
      <c r="D9589" s="8" t="s">
        <v>53689</v>
      </c>
      <c r="E9589" s="8" t="s">
        <v>53690</v>
      </c>
      <c r="F9589" s="8" t="s">
        <v>6290</v>
      </c>
      <c r="G9589" s="6" t="s">
        <v>33</v>
      </c>
      <c r="H9589" s="6" t="s">
        <v>34</v>
      </c>
      <c r="I9589" s="8" t="s">
        <v>35</v>
      </c>
      <c r="J9589" s="9">
        <v>1</v>
      </c>
      <c r="K9589" s="9">
        <v>187</v>
      </c>
      <c r="L9589" s="9">
        <v>2025</v>
      </c>
      <c r="M9589" s="8" t="s">
        <v>53691</v>
      </c>
      <c r="N9589" s="8" t="s">
        <v>243</v>
      </c>
      <c r="O9589" s="8" t="s">
        <v>758</v>
      </c>
      <c r="P9589" s="6" t="s">
        <v>39</v>
      </c>
      <c r="Q9589" s="8" t="s">
        <v>40</v>
      </c>
      <c r="R9589" s="10" t="s">
        <v>6292</v>
      </c>
      <c r="S9589" s="11"/>
      <c r="T9589" s="6"/>
      <c r="U9589" s="15" t="str">
        <f>HYPERLINK("https://media.infra-m.ru/2163/2163331/cover/2163331.jpg", "Обложка")</f>
        <v>Обложка</v>
      </c>
      <c r="V9589" s="8" t="s">
        <v>6293</v>
      </c>
      <c r="W9589" s="6"/>
      <c r="X9589" s="6"/>
      <c r="Y9589" s="6"/>
      <c r="Z9589" s="6"/>
      <c r="AA9589" s="6" t="s">
        <v>76</v>
      </c>
      <c r="AB9589" s="8"/>
      <c r="AC9589" s="27">
        <v>9785160202273</v>
      </c>
    </row>
    <row r="9590" spans="1:29" s="4" customFormat="1" ht="42" customHeight="1" x14ac:dyDescent="0.2">
      <c r="A9590" s="5">
        <v>0</v>
      </c>
      <c r="B9590" s="6" t="s">
        <v>53692</v>
      </c>
      <c r="C9590" s="7">
        <v>1308</v>
      </c>
      <c r="D9590" s="8" t="s">
        <v>53693</v>
      </c>
      <c r="E9590" s="8" t="s">
        <v>53694</v>
      </c>
      <c r="F9590" s="8" t="s">
        <v>53695</v>
      </c>
      <c r="G9590" s="6" t="s">
        <v>118</v>
      </c>
      <c r="H9590" s="6" t="s">
        <v>134</v>
      </c>
      <c r="I9590" s="8"/>
      <c r="J9590" s="9">
        <v>1</v>
      </c>
      <c r="K9590" s="9">
        <v>204</v>
      </c>
      <c r="L9590" s="9">
        <v>2026</v>
      </c>
      <c r="M9590" s="8" t="s">
        <v>53696</v>
      </c>
      <c r="N9590" s="8" t="s">
        <v>37</v>
      </c>
      <c r="O9590" s="8" t="s">
        <v>8119</v>
      </c>
      <c r="P9590" s="6" t="s">
        <v>39</v>
      </c>
      <c r="Q9590" s="8" t="s">
        <v>40</v>
      </c>
      <c r="R9590" s="10" t="s">
        <v>684</v>
      </c>
      <c r="S9590" s="11"/>
      <c r="T9590" s="6"/>
      <c r="U9590" s="15" t="str">
        <f>HYPERLINK("https://media.infra-m.ru/2216/2216831/cover/2216831.jpg", "Обложка")</f>
        <v>Обложка</v>
      </c>
      <c r="V9590" s="8" t="s">
        <v>138</v>
      </c>
      <c r="W9590" s="6"/>
      <c r="X9590" s="6"/>
      <c r="Y9590" s="6"/>
      <c r="Z9590" s="6"/>
      <c r="AA9590" s="6" t="s">
        <v>157</v>
      </c>
      <c r="AB9590" s="8"/>
      <c r="AC9590" s="27">
        <v>9785001562900</v>
      </c>
    </row>
    <row r="9591" spans="1:29" s="4" customFormat="1" ht="44.1" customHeight="1" x14ac:dyDescent="0.2">
      <c r="A9591" s="5">
        <v>0</v>
      </c>
      <c r="B9591" s="6" t="s">
        <v>53697</v>
      </c>
      <c r="C9591" s="7">
        <v>1456.8</v>
      </c>
      <c r="D9591" s="8" t="s">
        <v>53698</v>
      </c>
      <c r="E9591" s="8" t="s">
        <v>53699</v>
      </c>
      <c r="F9591" s="8" t="s">
        <v>53700</v>
      </c>
      <c r="G9591" s="6" t="s">
        <v>33</v>
      </c>
      <c r="H9591" s="6" t="s">
        <v>34</v>
      </c>
      <c r="I9591" s="8" t="s">
        <v>457</v>
      </c>
      <c r="J9591" s="9">
        <v>1</v>
      </c>
      <c r="K9591" s="9">
        <v>221</v>
      </c>
      <c r="L9591" s="9">
        <v>2026</v>
      </c>
      <c r="M9591" s="8" t="s">
        <v>53701</v>
      </c>
      <c r="N9591" s="8" t="s">
        <v>37</v>
      </c>
      <c r="O9591" s="8" t="s">
        <v>280</v>
      </c>
      <c r="P9591" s="6" t="s">
        <v>39</v>
      </c>
      <c r="Q9591" s="8" t="s">
        <v>40</v>
      </c>
      <c r="R9591" s="10" t="s">
        <v>12948</v>
      </c>
      <c r="S9591" s="11"/>
      <c r="T9591" s="6"/>
      <c r="U9591" s="15" t="str">
        <f>HYPERLINK("https://media.infra-m.ru/2231/2231755/cover/2231755.jpg", "Обложка")</f>
        <v>Обложка</v>
      </c>
      <c r="V9591" s="8" t="s">
        <v>247</v>
      </c>
      <c r="W9591" s="6"/>
      <c r="X9591" s="6"/>
      <c r="Y9591" s="6"/>
      <c r="Z9591" s="6"/>
      <c r="AA9591" s="6" t="s">
        <v>86</v>
      </c>
      <c r="AB9591" s="8" t="s">
        <v>1317</v>
      </c>
      <c r="AC9591" s="27">
        <v>9785160164533</v>
      </c>
    </row>
    <row r="9592" spans="1:29" s="4" customFormat="1" ht="44.1" customHeight="1" x14ac:dyDescent="0.2">
      <c r="A9592" s="5">
        <v>0</v>
      </c>
      <c r="B9592" s="6" t="s">
        <v>53702</v>
      </c>
      <c r="C9592" s="13">
        <v>912</v>
      </c>
      <c r="D9592" s="8" t="s">
        <v>53703</v>
      </c>
      <c r="E9592" s="8" t="s">
        <v>53699</v>
      </c>
      <c r="F9592" s="8" t="s">
        <v>53700</v>
      </c>
      <c r="G9592" s="6" t="s">
        <v>118</v>
      </c>
      <c r="H9592" s="6" t="s">
        <v>34</v>
      </c>
      <c r="I9592" s="8" t="s">
        <v>6570</v>
      </c>
      <c r="J9592" s="9">
        <v>1</v>
      </c>
      <c r="K9592" s="9">
        <v>221</v>
      </c>
      <c r="L9592" s="9">
        <v>2019</v>
      </c>
      <c r="M9592" s="8" t="s">
        <v>53704</v>
      </c>
      <c r="N9592" s="8" t="s">
        <v>37</v>
      </c>
      <c r="O9592" s="8" t="s">
        <v>280</v>
      </c>
      <c r="P9592" s="6" t="s">
        <v>39</v>
      </c>
      <c r="Q9592" s="8" t="s">
        <v>40</v>
      </c>
      <c r="R9592" s="10" t="s">
        <v>12948</v>
      </c>
      <c r="S9592" s="11"/>
      <c r="T9592" s="6"/>
      <c r="U9592" s="12"/>
      <c r="V9592" s="8" t="s">
        <v>247</v>
      </c>
      <c r="W9592" s="6"/>
      <c r="X9592" s="6"/>
      <c r="Y9592" s="6"/>
      <c r="Z9592" s="6"/>
      <c r="AA9592" s="6" t="s">
        <v>86</v>
      </c>
      <c r="AB9592" s="8" t="s">
        <v>1317</v>
      </c>
      <c r="AC9592" s="27">
        <v>9785160142050</v>
      </c>
    </row>
    <row r="9593" spans="1:29" s="4" customFormat="1" ht="51.9" customHeight="1" x14ac:dyDescent="0.2">
      <c r="A9593" s="5">
        <v>0</v>
      </c>
      <c r="B9593" s="6" t="s">
        <v>53705</v>
      </c>
      <c r="C9593" s="13">
        <v>976.8</v>
      </c>
      <c r="D9593" s="8" t="s">
        <v>53706</v>
      </c>
      <c r="E9593" s="8" t="s">
        <v>53707</v>
      </c>
      <c r="F9593" s="8" t="s">
        <v>53708</v>
      </c>
      <c r="G9593" s="6" t="s">
        <v>60</v>
      </c>
      <c r="H9593" s="6" t="s">
        <v>34</v>
      </c>
      <c r="I9593" s="8" t="s">
        <v>504</v>
      </c>
      <c r="J9593" s="9">
        <v>1</v>
      </c>
      <c r="K9593" s="9">
        <v>148</v>
      </c>
      <c r="L9593" s="9">
        <v>2026</v>
      </c>
      <c r="M9593" s="8" t="s">
        <v>53709</v>
      </c>
      <c r="N9593" s="8" t="s">
        <v>37</v>
      </c>
      <c r="O9593" s="8" t="s">
        <v>499</v>
      </c>
      <c r="P9593" s="6" t="s">
        <v>51</v>
      </c>
      <c r="Q9593" s="8" t="s">
        <v>500</v>
      </c>
      <c r="R9593" s="10" t="s">
        <v>53710</v>
      </c>
      <c r="S9593" s="11" t="s">
        <v>53711</v>
      </c>
      <c r="T9593" s="6"/>
      <c r="U9593" s="15" t="str">
        <f>HYPERLINK("https://media.infra-m.ru/2231/2231625/cover/2231625.jpg", "Обложка")</f>
        <v>Обложка</v>
      </c>
      <c r="V9593" s="8" t="s">
        <v>546</v>
      </c>
      <c r="W9593" s="6"/>
      <c r="X9593" s="6"/>
      <c r="Y9593" s="6"/>
      <c r="Z9593" s="6"/>
      <c r="AA9593" s="6" t="s">
        <v>148</v>
      </c>
      <c r="AB9593" s="8"/>
      <c r="AC9593" s="27">
        <v>9785160172088</v>
      </c>
    </row>
    <row r="9594" spans="1:29" s="4" customFormat="1" ht="51.9" customHeight="1" x14ac:dyDescent="0.2">
      <c r="A9594" s="5">
        <v>0</v>
      </c>
      <c r="B9594" s="6" t="s">
        <v>53712</v>
      </c>
      <c r="C9594" s="7">
        <v>1104</v>
      </c>
      <c r="D9594" s="8" t="s">
        <v>53713</v>
      </c>
      <c r="E9594" s="8" t="s">
        <v>53714</v>
      </c>
      <c r="F9594" s="8" t="s">
        <v>53715</v>
      </c>
      <c r="G9594" s="6" t="s">
        <v>118</v>
      </c>
      <c r="H9594" s="6" t="s">
        <v>34</v>
      </c>
      <c r="I9594" s="8" t="s">
        <v>35</v>
      </c>
      <c r="J9594" s="9">
        <v>1</v>
      </c>
      <c r="K9594" s="9">
        <v>158</v>
      </c>
      <c r="L9594" s="9">
        <v>2027</v>
      </c>
      <c r="M9594" s="8" t="s">
        <v>53716</v>
      </c>
      <c r="N9594" s="8" t="s">
        <v>243</v>
      </c>
      <c r="O9594" s="8" t="s">
        <v>1100</v>
      </c>
      <c r="P9594" s="6" t="s">
        <v>39</v>
      </c>
      <c r="Q9594" s="8" t="s">
        <v>40</v>
      </c>
      <c r="R9594" s="10" t="s">
        <v>53717</v>
      </c>
      <c r="S9594" s="11"/>
      <c r="T9594" s="6"/>
      <c r="U9594" s="15" t="str">
        <f>HYPERLINK("https://media.infra-m.ru/2269/2269366/cover/2269366.jpg", "Обложка")</f>
        <v>Обложка</v>
      </c>
      <c r="V9594" s="8" t="s">
        <v>41269</v>
      </c>
      <c r="W9594" s="6"/>
      <c r="X9594" s="6"/>
      <c r="Y9594" s="6"/>
      <c r="Z9594" s="6"/>
      <c r="AA9594" s="6" t="s">
        <v>68</v>
      </c>
      <c r="AB9594" s="8" t="s">
        <v>30611</v>
      </c>
      <c r="AC9594" s="27">
        <v>9785160197913</v>
      </c>
    </row>
    <row r="9595" spans="1:29" s="4" customFormat="1" ht="51.9" customHeight="1" x14ac:dyDescent="0.2">
      <c r="A9595" s="5">
        <v>0</v>
      </c>
      <c r="B9595" s="6" t="s">
        <v>53718</v>
      </c>
      <c r="C9595" s="13">
        <v>700.8</v>
      </c>
      <c r="D9595" s="8" t="s">
        <v>53719</v>
      </c>
      <c r="E9595" s="8" t="s">
        <v>53720</v>
      </c>
      <c r="F9595" s="8" t="s">
        <v>53721</v>
      </c>
      <c r="G9595" s="6" t="s">
        <v>33</v>
      </c>
      <c r="H9595" s="6" t="s">
        <v>313</v>
      </c>
      <c r="I9595" s="8" t="s">
        <v>253</v>
      </c>
      <c r="J9595" s="9">
        <v>1</v>
      </c>
      <c r="K9595" s="9">
        <v>126</v>
      </c>
      <c r="L9595" s="9">
        <v>2024</v>
      </c>
      <c r="M9595" s="8" t="s">
        <v>53722</v>
      </c>
      <c r="N9595" s="8" t="s">
        <v>37</v>
      </c>
      <c r="O9595" s="8" t="s">
        <v>280</v>
      </c>
      <c r="P9595" s="6" t="s">
        <v>51</v>
      </c>
      <c r="Q9595" s="8" t="s">
        <v>52</v>
      </c>
      <c r="R9595" s="10" t="s">
        <v>37136</v>
      </c>
      <c r="S9595" s="11"/>
      <c r="T9595" s="6"/>
      <c r="U9595" s="15" t="str">
        <f>HYPERLINK("https://media.infra-m.ru/2102/2102713/cover/2102713.jpg", "Обложка")</f>
        <v>Обложка</v>
      </c>
      <c r="V9595" s="8" t="s">
        <v>7920</v>
      </c>
      <c r="W9595" s="6"/>
      <c r="X9595" s="6"/>
      <c r="Y9595" s="6"/>
      <c r="Z9595" s="6"/>
      <c r="AA9595" s="6" t="s">
        <v>218</v>
      </c>
      <c r="AB9595" s="8"/>
      <c r="AC9595" s="27">
        <v>9785369018552</v>
      </c>
    </row>
    <row r="9596" spans="1:29" s="4" customFormat="1" ht="51.9" customHeight="1" x14ac:dyDescent="0.2">
      <c r="A9596" s="5">
        <v>0</v>
      </c>
      <c r="B9596" s="6" t="s">
        <v>53723</v>
      </c>
      <c r="C9596" s="13">
        <v>401.9</v>
      </c>
      <c r="D9596" s="8" t="s">
        <v>53724</v>
      </c>
      <c r="E9596" s="8" t="s">
        <v>53725</v>
      </c>
      <c r="F9596" s="8" t="s">
        <v>53726</v>
      </c>
      <c r="G9596" s="6" t="s">
        <v>33</v>
      </c>
      <c r="H9596" s="6" t="s">
        <v>313</v>
      </c>
      <c r="I9596" s="8" t="s">
        <v>4459</v>
      </c>
      <c r="J9596" s="9">
        <v>1</v>
      </c>
      <c r="K9596" s="9">
        <v>108</v>
      </c>
      <c r="L9596" s="9">
        <v>2017</v>
      </c>
      <c r="M9596" s="8" t="s">
        <v>53727</v>
      </c>
      <c r="N9596" s="8" t="s">
        <v>37</v>
      </c>
      <c r="O9596" s="8" t="s">
        <v>280</v>
      </c>
      <c r="P9596" s="6" t="s">
        <v>39</v>
      </c>
      <c r="Q9596" s="8" t="s">
        <v>40</v>
      </c>
      <c r="R9596" s="10" t="s">
        <v>37136</v>
      </c>
      <c r="S9596" s="11"/>
      <c r="T9596" s="6"/>
      <c r="U9596" s="15" t="str">
        <f>HYPERLINK("https://media.infra-m.ru/0567/0567240/cover/567240.jpg", "Обложка")</f>
        <v>Обложка</v>
      </c>
      <c r="V9596" s="8"/>
      <c r="W9596" s="6"/>
      <c r="X9596" s="6"/>
      <c r="Y9596" s="6"/>
      <c r="Z9596" s="6"/>
      <c r="AA9596" s="6" t="s">
        <v>248</v>
      </c>
      <c r="AB9596" s="8"/>
      <c r="AC9596" s="27">
        <v>9785369011973</v>
      </c>
    </row>
    <row r="9597" spans="1:29" s="4" customFormat="1" ht="51.9" customHeight="1" x14ac:dyDescent="0.2">
      <c r="A9597" s="5">
        <v>0</v>
      </c>
      <c r="B9597" s="6" t="s">
        <v>53728</v>
      </c>
      <c r="C9597" s="7">
        <v>2112</v>
      </c>
      <c r="D9597" s="8" t="s">
        <v>53729</v>
      </c>
      <c r="E9597" s="8" t="s">
        <v>53730</v>
      </c>
      <c r="F9597" s="8" t="s">
        <v>28137</v>
      </c>
      <c r="G9597" s="6" t="s">
        <v>118</v>
      </c>
      <c r="H9597" s="6" t="s">
        <v>34</v>
      </c>
      <c r="I9597" s="8" t="s">
        <v>504</v>
      </c>
      <c r="J9597" s="9">
        <v>1</v>
      </c>
      <c r="K9597" s="9">
        <v>388</v>
      </c>
      <c r="L9597" s="9">
        <v>2023</v>
      </c>
      <c r="M9597" s="8" t="s">
        <v>53731</v>
      </c>
      <c r="N9597" s="8" t="s">
        <v>37</v>
      </c>
      <c r="O9597" s="8" t="s">
        <v>280</v>
      </c>
      <c r="P9597" s="6" t="s">
        <v>51</v>
      </c>
      <c r="Q9597" s="8" t="s">
        <v>500</v>
      </c>
      <c r="R9597" s="10" t="s">
        <v>3013</v>
      </c>
      <c r="S9597" s="11" t="s">
        <v>53732</v>
      </c>
      <c r="T9597" s="6"/>
      <c r="U9597" s="15" t="str">
        <f>HYPERLINK("https://media.infra-m.ru/2001/2001731/cover/2001731.jpg", "Обложка")</f>
        <v>Обложка</v>
      </c>
      <c r="V9597" s="8" t="s">
        <v>23026</v>
      </c>
      <c r="W9597" s="6"/>
      <c r="X9597" s="6"/>
      <c r="Y9597" s="6"/>
      <c r="Z9597" s="6"/>
      <c r="AA9597" s="6" t="s">
        <v>86</v>
      </c>
      <c r="AB9597" s="8"/>
      <c r="AC9597" s="27">
        <v>9785160134987</v>
      </c>
    </row>
    <row r="9598" spans="1:29" s="4" customFormat="1" ht="42" customHeight="1" x14ac:dyDescent="0.2">
      <c r="A9598" s="5">
        <v>0</v>
      </c>
      <c r="B9598" s="6" t="s">
        <v>53733</v>
      </c>
      <c r="C9598" s="13">
        <v>804</v>
      </c>
      <c r="D9598" s="8" t="s">
        <v>53734</v>
      </c>
      <c r="E9598" s="8" t="s">
        <v>53735</v>
      </c>
      <c r="F9598" s="8" t="s">
        <v>231</v>
      </c>
      <c r="G9598" s="6" t="s">
        <v>33</v>
      </c>
      <c r="H9598" s="6" t="s">
        <v>34</v>
      </c>
      <c r="I9598" s="8"/>
      <c r="J9598" s="9">
        <v>1</v>
      </c>
      <c r="K9598" s="9">
        <v>170</v>
      </c>
      <c r="L9598" s="9">
        <v>2025</v>
      </c>
      <c r="M9598" s="8" t="s">
        <v>53736</v>
      </c>
      <c r="N9598" s="8" t="s">
        <v>37</v>
      </c>
      <c r="O9598" s="8" t="s">
        <v>280</v>
      </c>
      <c r="P9598" s="6" t="s">
        <v>3141</v>
      </c>
      <c r="Q9598" s="8" t="s">
        <v>40</v>
      </c>
      <c r="R9598" s="10" t="s">
        <v>3832</v>
      </c>
      <c r="S9598" s="11"/>
      <c r="T9598" s="6"/>
      <c r="U9598" s="15" t="str">
        <f>HYPERLINK("https://media.infra-m.ru/2197/2197009/cover/2197009.jpg", "Обложка")</f>
        <v>Обложка</v>
      </c>
      <c r="V9598" s="8" t="s">
        <v>236</v>
      </c>
      <c r="W9598" s="6"/>
      <c r="X9598" s="6"/>
      <c r="Y9598" s="6"/>
      <c r="Z9598" s="6"/>
      <c r="AA9598" s="6" t="s">
        <v>68</v>
      </c>
      <c r="AB9598" s="8"/>
      <c r="AC9598" s="27">
        <v>9785160207803</v>
      </c>
    </row>
    <row r="9599" spans="1:29" s="4" customFormat="1" ht="51.9" customHeight="1" x14ac:dyDescent="0.2">
      <c r="A9599" s="5">
        <v>0</v>
      </c>
      <c r="B9599" s="6" t="s">
        <v>53737</v>
      </c>
      <c r="C9599" s="7">
        <v>1660.8</v>
      </c>
      <c r="D9599" s="8" t="s">
        <v>53738</v>
      </c>
      <c r="E9599" s="8" t="s">
        <v>53739</v>
      </c>
      <c r="F9599" s="8" t="s">
        <v>53740</v>
      </c>
      <c r="G9599" s="6" t="s">
        <v>118</v>
      </c>
      <c r="H9599" s="6" t="s">
        <v>34</v>
      </c>
      <c r="I9599" s="8" t="s">
        <v>35</v>
      </c>
      <c r="J9599" s="9">
        <v>1</v>
      </c>
      <c r="K9599" s="9">
        <v>252</v>
      </c>
      <c r="L9599" s="9">
        <v>2026</v>
      </c>
      <c r="M9599" s="8" t="s">
        <v>53741</v>
      </c>
      <c r="N9599" s="8" t="s">
        <v>63</v>
      </c>
      <c r="O9599" s="8" t="s">
        <v>64</v>
      </c>
      <c r="P9599" s="6" t="s">
        <v>39</v>
      </c>
      <c r="Q9599" s="8" t="s">
        <v>40</v>
      </c>
      <c r="R9599" s="10" t="s">
        <v>1914</v>
      </c>
      <c r="S9599" s="11"/>
      <c r="T9599" s="6"/>
      <c r="U9599" s="15" t="str">
        <f>HYPERLINK("https://media.infra-m.ru/2232/2232673/cover/2232673.jpg", "Обложка")</f>
        <v>Обложка</v>
      </c>
      <c r="V9599" s="8" t="s">
        <v>198</v>
      </c>
      <c r="W9599" s="6"/>
      <c r="X9599" s="6"/>
      <c r="Y9599" s="6"/>
      <c r="Z9599" s="6"/>
      <c r="AA9599" s="6" t="s">
        <v>404</v>
      </c>
      <c r="AB9599" s="8"/>
      <c r="AC9599" s="27">
        <v>9785160132891</v>
      </c>
    </row>
    <row r="9600" spans="1:29" s="4" customFormat="1" ht="51.9" customHeight="1" x14ac:dyDescent="0.2">
      <c r="A9600" s="5">
        <v>0</v>
      </c>
      <c r="B9600" s="6" t="s">
        <v>53742</v>
      </c>
      <c r="C9600" s="7">
        <v>1668</v>
      </c>
      <c r="D9600" s="8" t="s">
        <v>53743</v>
      </c>
      <c r="E9600" s="8" t="s">
        <v>53739</v>
      </c>
      <c r="F9600" s="8" t="s">
        <v>53740</v>
      </c>
      <c r="G9600" s="6" t="s">
        <v>33</v>
      </c>
      <c r="H9600" s="6" t="s">
        <v>34</v>
      </c>
      <c r="I9600" s="8" t="s">
        <v>35</v>
      </c>
      <c r="J9600" s="9">
        <v>1</v>
      </c>
      <c r="K9600" s="9">
        <v>252</v>
      </c>
      <c r="L9600" s="9">
        <v>2026</v>
      </c>
      <c r="M9600" s="8" t="s">
        <v>53744</v>
      </c>
      <c r="N9600" s="8" t="s">
        <v>63</v>
      </c>
      <c r="O9600" s="8" t="s">
        <v>64</v>
      </c>
      <c r="P9600" s="6" t="s">
        <v>39</v>
      </c>
      <c r="Q9600" s="8" t="s">
        <v>40</v>
      </c>
      <c r="R9600" s="10" t="s">
        <v>1914</v>
      </c>
      <c r="S9600" s="11"/>
      <c r="T9600" s="6"/>
      <c r="U9600" s="15" t="str">
        <f>HYPERLINK("https://media.infra-m.ru/2231/2231753/cover/2231753.jpg", "Обложка")</f>
        <v>Обложка</v>
      </c>
      <c r="V9600" s="8" t="s">
        <v>198</v>
      </c>
      <c r="W9600" s="6"/>
      <c r="X9600" s="6"/>
      <c r="Y9600" s="6"/>
      <c r="Z9600" s="6"/>
      <c r="AA9600" s="6" t="s">
        <v>404</v>
      </c>
      <c r="AB9600" s="8"/>
      <c r="AC9600" s="27">
        <v>9785160216041</v>
      </c>
    </row>
    <row r="9601" spans="1:29" s="4" customFormat="1" ht="42" customHeight="1" x14ac:dyDescent="0.2">
      <c r="A9601" s="5">
        <v>0</v>
      </c>
      <c r="B9601" s="6" t="s">
        <v>53745</v>
      </c>
      <c r="C9601" s="7">
        <v>1918.8</v>
      </c>
      <c r="D9601" s="8" t="s">
        <v>53746</v>
      </c>
      <c r="E9601" s="8" t="s">
        <v>53747</v>
      </c>
      <c r="F9601" s="8" t="s">
        <v>53748</v>
      </c>
      <c r="G9601" s="6" t="s">
        <v>118</v>
      </c>
      <c r="H9601" s="6" t="s">
        <v>34</v>
      </c>
      <c r="I9601" s="8" t="s">
        <v>179</v>
      </c>
      <c r="J9601" s="9">
        <v>1</v>
      </c>
      <c r="K9601" s="9">
        <v>253</v>
      </c>
      <c r="L9601" s="9">
        <v>2026</v>
      </c>
      <c r="M9601" s="8" t="s">
        <v>53749</v>
      </c>
      <c r="N9601" s="8" t="s">
        <v>63</v>
      </c>
      <c r="O9601" s="8" t="s">
        <v>181</v>
      </c>
      <c r="P9601" s="6" t="s">
        <v>51</v>
      </c>
      <c r="Q9601" s="8" t="s">
        <v>183</v>
      </c>
      <c r="R9601" s="10" t="s">
        <v>53750</v>
      </c>
      <c r="S9601" s="11"/>
      <c r="T9601" s="6"/>
      <c r="U9601" s="15" t="str">
        <f>HYPERLINK("https://media.infra-m.ru/2234/2234329/cover/2234329.jpg", "Обложка")</f>
        <v>Обложка</v>
      </c>
      <c r="V9601" s="8" t="s">
        <v>227</v>
      </c>
      <c r="W9601" s="6" t="s">
        <v>351</v>
      </c>
      <c r="X9601" s="6"/>
      <c r="Y9601" s="6"/>
      <c r="Z9601" s="6"/>
      <c r="AA9601" s="6" t="s">
        <v>187</v>
      </c>
      <c r="AB9601" s="8"/>
      <c r="AC9601" s="27">
        <v>9785160219714</v>
      </c>
    </row>
    <row r="9602" spans="1:29" s="4" customFormat="1" ht="51.9" customHeight="1" x14ac:dyDescent="0.2">
      <c r="A9602" s="5">
        <v>0</v>
      </c>
      <c r="B9602" s="6" t="s">
        <v>53751</v>
      </c>
      <c r="C9602" s="7">
        <v>1918.8</v>
      </c>
      <c r="D9602" s="8" t="s">
        <v>53752</v>
      </c>
      <c r="E9602" s="8" t="s">
        <v>53747</v>
      </c>
      <c r="F9602" s="8" t="s">
        <v>53748</v>
      </c>
      <c r="G9602" s="6" t="s">
        <v>118</v>
      </c>
      <c r="H9602" s="6" t="s">
        <v>34</v>
      </c>
      <c r="I9602" s="8"/>
      <c r="J9602" s="9">
        <v>1</v>
      </c>
      <c r="K9602" s="9">
        <v>253</v>
      </c>
      <c r="L9602" s="9">
        <v>2026</v>
      </c>
      <c r="M9602" s="8" t="s">
        <v>53753</v>
      </c>
      <c r="N9602" s="8" t="s">
        <v>63</v>
      </c>
      <c r="O9602" s="8" t="s">
        <v>181</v>
      </c>
      <c r="P9602" s="6" t="s">
        <v>51</v>
      </c>
      <c r="Q9602" s="8" t="s">
        <v>52</v>
      </c>
      <c r="R9602" s="10" t="s">
        <v>53754</v>
      </c>
      <c r="S9602" s="11"/>
      <c r="T9602" s="6"/>
      <c r="U9602" s="15" t="str">
        <f>HYPERLINK("https://media.infra-m.ru/2232/2232484/cover/2232484.jpg", "Обложка")</f>
        <v>Обложка</v>
      </c>
      <c r="V9602" s="8" t="s">
        <v>227</v>
      </c>
      <c r="W9602" s="6"/>
      <c r="X9602" s="6"/>
      <c r="Y9602" s="6"/>
      <c r="Z9602" s="6"/>
      <c r="AA9602" s="6" t="s">
        <v>55</v>
      </c>
      <c r="AB9602" s="8"/>
      <c r="AC9602" s="27">
        <v>9785160216461</v>
      </c>
    </row>
    <row r="9603" spans="1:29" s="4" customFormat="1" ht="42" customHeight="1" x14ac:dyDescent="0.2">
      <c r="A9603" s="5">
        <v>0</v>
      </c>
      <c r="B9603" s="6" t="s">
        <v>53755</v>
      </c>
      <c r="C9603" s="7">
        <v>2668.8</v>
      </c>
      <c r="D9603" s="8" t="s">
        <v>53756</v>
      </c>
      <c r="E9603" s="8" t="s">
        <v>53757</v>
      </c>
      <c r="F9603" s="8" t="s">
        <v>10427</v>
      </c>
      <c r="G9603" s="6" t="s">
        <v>60</v>
      </c>
      <c r="H9603" s="6" t="s">
        <v>34</v>
      </c>
      <c r="I9603" s="8" t="s">
        <v>35</v>
      </c>
      <c r="J9603" s="9">
        <v>1</v>
      </c>
      <c r="K9603" s="9">
        <v>426</v>
      </c>
      <c r="L9603" s="9">
        <v>2026</v>
      </c>
      <c r="M9603" s="8" t="s">
        <v>53758</v>
      </c>
      <c r="N9603" s="8" t="s">
        <v>63</v>
      </c>
      <c r="O9603" s="8" t="s">
        <v>181</v>
      </c>
      <c r="P9603" s="6" t="s">
        <v>39</v>
      </c>
      <c r="Q9603" s="8" t="s">
        <v>40</v>
      </c>
      <c r="R9603" s="10" t="s">
        <v>53759</v>
      </c>
      <c r="S9603" s="11"/>
      <c r="T9603" s="6"/>
      <c r="U9603" s="15" t="str">
        <f>HYPERLINK("https://media.infra-m.ru/2212/2212253/cover/2212253.jpg", "Обложка")</f>
        <v>Обложка</v>
      </c>
      <c r="V9603" s="8" t="s">
        <v>10430</v>
      </c>
      <c r="W9603" s="6"/>
      <c r="X9603" s="6"/>
      <c r="Y9603" s="6"/>
      <c r="Z9603" s="6"/>
      <c r="AA9603" s="6" t="s">
        <v>157</v>
      </c>
      <c r="AB9603" s="8" t="s">
        <v>3024</v>
      </c>
      <c r="AC9603" s="27">
        <v>9785160173313</v>
      </c>
    </row>
    <row r="9604" spans="1:29" s="4" customFormat="1" ht="51.9" customHeight="1" x14ac:dyDescent="0.2">
      <c r="A9604" s="5">
        <v>0</v>
      </c>
      <c r="B9604" s="6" t="s">
        <v>53760</v>
      </c>
      <c r="C9604" s="7">
        <v>1264.8</v>
      </c>
      <c r="D9604" s="8" t="s">
        <v>53761</v>
      </c>
      <c r="E9604" s="8" t="s">
        <v>53762</v>
      </c>
      <c r="F9604" s="8" t="s">
        <v>53763</v>
      </c>
      <c r="G9604" s="6" t="s">
        <v>118</v>
      </c>
      <c r="H9604" s="6" t="s">
        <v>134</v>
      </c>
      <c r="I9604" s="8"/>
      <c r="J9604" s="9">
        <v>1</v>
      </c>
      <c r="K9604" s="9">
        <v>192</v>
      </c>
      <c r="L9604" s="9">
        <v>2026</v>
      </c>
      <c r="M9604" s="8" t="s">
        <v>53764</v>
      </c>
      <c r="N9604" s="8" t="s">
        <v>37</v>
      </c>
      <c r="O9604" s="8" t="s">
        <v>136</v>
      </c>
      <c r="P9604" s="6" t="s">
        <v>51</v>
      </c>
      <c r="Q9604" s="8" t="s">
        <v>52</v>
      </c>
      <c r="R9604" s="10" t="s">
        <v>1275</v>
      </c>
      <c r="S9604" s="11"/>
      <c r="T9604" s="6"/>
      <c r="U9604" s="15" t="str">
        <f>HYPERLINK("https://media.infra-m.ru/2220/2220703/cover/2220703.jpg", "Обложка")</f>
        <v>Обложка</v>
      </c>
      <c r="V9604" s="8" t="s">
        <v>1184</v>
      </c>
      <c r="W9604" s="6"/>
      <c r="X9604" s="6"/>
      <c r="Y9604" s="6"/>
      <c r="Z9604" s="6"/>
      <c r="AA9604" s="6" t="s">
        <v>99</v>
      </c>
      <c r="AB9604" s="8"/>
      <c r="AC9604" s="27">
        <v>9785917687827</v>
      </c>
    </row>
    <row r="9605" spans="1:29" s="4" customFormat="1" ht="51.9" customHeight="1" x14ac:dyDescent="0.2">
      <c r="A9605" s="5">
        <v>0</v>
      </c>
      <c r="B9605" s="6" t="s">
        <v>53765</v>
      </c>
      <c r="C9605" s="7">
        <v>2064</v>
      </c>
      <c r="D9605" s="8" t="s">
        <v>53766</v>
      </c>
      <c r="E9605" s="8" t="s">
        <v>53767</v>
      </c>
      <c r="F9605" s="8" t="s">
        <v>53768</v>
      </c>
      <c r="G9605" s="6" t="s">
        <v>118</v>
      </c>
      <c r="H9605" s="6" t="s">
        <v>134</v>
      </c>
      <c r="I9605" s="8"/>
      <c r="J9605" s="9">
        <v>1</v>
      </c>
      <c r="K9605" s="9">
        <v>296</v>
      </c>
      <c r="L9605" s="9">
        <v>2026</v>
      </c>
      <c r="M9605" s="8" t="s">
        <v>53769</v>
      </c>
      <c r="N9605" s="8" t="s">
        <v>37</v>
      </c>
      <c r="O9605" s="8" t="s">
        <v>136</v>
      </c>
      <c r="P9605" s="6" t="s">
        <v>51</v>
      </c>
      <c r="Q9605" s="8" t="s">
        <v>52</v>
      </c>
      <c r="R9605" s="10" t="s">
        <v>53770</v>
      </c>
      <c r="S9605" s="11"/>
      <c r="T9605" s="6"/>
      <c r="U9605" s="15" t="str">
        <f>HYPERLINK("https://media.infra-m.ru/2258/2258670/cover/2258670.jpg", "Обложка")</f>
        <v>Обложка</v>
      </c>
      <c r="V9605" s="8" t="s">
        <v>2466</v>
      </c>
      <c r="W9605" s="6"/>
      <c r="X9605" s="6"/>
      <c r="Y9605" s="6"/>
      <c r="Z9605" s="6"/>
      <c r="AA9605" s="6" t="s">
        <v>148</v>
      </c>
      <c r="AB9605" s="8"/>
      <c r="AC9605" s="27">
        <v>9785001562313</v>
      </c>
    </row>
    <row r="9606" spans="1:29" s="4" customFormat="1" ht="51.9" customHeight="1" x14ac:dyDescent="0.2">
      <c r="A9606" s="5">
        <v>0</v>
      </c>
      <c r="B9606" s="6" t="s">
        <v>53771</v>
      </c>
      <c r="C9606" s="7">
        <v>1252.8</v>
      </c>
      <c r="D9606" s="8" t="s">
        <v>53772</v>
      </c>
      <c r="E9606" s="8" t="s">
        <v>53773</v>
      </c>
      <c r="F9606" s="8" t="s">
        <v>53774</v>
      </c>
      <c r="G9606" s="6" t="s">
        <v>33</v>
      </c>
      <c r="H9606" s="6" t="s">
        <v>134</v>
      </c>
      <c r="I9606" s="8"/>
      <c r="J9606" s="9">
        <v>1</v>
      </c>
      <c r="K9606" s="9">
        <v>176</v>
      </c>
      <c r="L9606" s="9">
        <v>2027</v>
      </c>
      <c r="M9606" s="8" t="s">
        <v>53775</v>
      </c>
      <c r="N9606" s="8" t="s">
        <v>37</v>
      </c>
      <c r="O9606" s="8" t="s">
        <v>136</v>
      </c>
      <c r="P9606" s="6" t="s">
        <v>51</v>
      </c>
      <c r="Q9606" s="8" t="s">
        <v>52</v>
      </c>
      <c r="R9606" s="10" t="s">
        <v>53776</v>
      </c>
      <c r="S9606" s="11"/>
      <c r="T9606" s="6"/>
      <c r="U9606" s="15" t="str">
        <f>HYPERLINK("https://media.infra-m.ru/2262/2262866/cover/2262866.jpg", "Обложка")</f>
        <v>Обложка</v>
      </c>
      <c r="V9606" s="8" t="s">
        <v>1184</v>
      </c>
      <c r="W9606" s="6"/>
      <c r="X9606" s="6"/>
      <c r="Y9606" s="6"/>
      <c r="Z9606" s="6"/>
      <c r="AA9606" s="6" t="s">
        <v>274</v>
      </c>
      <c r="AB9606" s="8"/>
      <c r="AC9606" s="27">
        <v>9785917686134</v>
      </c>
    </row>
    <row r="9607" spans="1:29" s="4" customFormat="1" ht="42" customHeight="1" x14ac:dyDescent="0.2">
      <c r="A9607" s="5">
        <v>0</v>
      </c>
      <c r="B9607" s="6" t="s">
        <v>53777</v>
      </c>
      <c r="C9607" s="7">
        <v>2388</v>
      </c>
      <c r="D9607" s="8" t="s">
        <v>53778</v>
      </c>
      <c r="E9607" s="8" t="s">
        <v>53779</v>
      </c>
      <c r="F9607" s="8" t="s">
        <v>53780</v>
      </c>
      <c r="G9607" s="6" t="s">
        <v>118</v>
      </c>
      <c r="H9607" s="6" t="s">
        <v>313</v>
      </c>
      <c r="I9607" s="8" t="s">
        <v>35</v>
      </c>
      <c r="J9607" s="9">
        <v>1</v>
      </c>
      <c r="K9607" s="9">
        <v>590</v>
      </c>
      <c r="L9607" s="9">
        <v>2022</v>
      </c>
      <c r="M9607" s="8" t="s">
        <v>53781</v>
      </c>
      <c r="N9607" s="8" t="s">
        <v>37</v>
      </c>
      <c r="O9607" s="8" t="s">
        <v>136</v>
      </c>
      <c r="P9607" s="6" t="s">
        <v>39</v>
      </c>
      <c r="Q9607" s="8" t="s">
        <v>40</v>
      </c>
      <c r="R9607" s="10" t="s">
        <v>684</v>
      </c>
      <c r="S9607" s="11"/>
      <c r="T9607" s="6"/>
      <c r="U9607" s="15" t="str">
        <f>HYPERLINK("https://media.infra-m.ru/1863/1863277/cover/1863277.jpg", "Обложка")</f>
        <v>Обложка</v>
      </c>
      <c r="V9607" s="8" t="s">
        <v>1949</v>
      </c>
      <c r="W9607" s="6"/>
      <c r="X9607" s="6"/>
      <c r="Y9607" s="6"/>
      <c r="Z9607" s="6"/>
      <c r="AA9607" s="6" t="s">
        <v>148</v>
      </c>
      <c r="AB9607" s="8"/>
      <c r="AC9607" s="27">
        <v>9785369018910</v>
      </c>
    </row>
    <row r="9608" spans="1:29" s="4" customFormat="1" ht="51.9" customHeight="1" x14ac:dyDescent="0.2">
      <c r="A9608" s="5">
        <v>0</v>
      </c>
      <c r="B9608" s="6" t="s">
        <v>53782</v>
      </c>
      <c r="C9608" s="7">
        <v>1236</v>
      </c>
      <c r="D9608" s="8" t="s">
        <v>53783</v>
      </c>
      <c r="E9608" s="8" t="s">
        <v>53779</v>
      </c>
      <c r="F9608" s="8" t="s">
        <v>53784</v>
      </c>
      <c r="G9608" s="6" t="s">
        <v>60</v>
      </c>
      <c r="H9608" s="6" t="s">
        <v>313</v>
      </c>
      <c r="I9608" s="8" t="s">
        <v>35</v>
      </c>
      <c r="J9608" s="9">
        <v>1</v>
      </c>
      <c r="K9608" s="9">
        <v>263</v>
      </c>
      <c r="L9608" s="9">
        <v>2022</v>
      </c>
      <c r="M9608" s="8" t="s">
        <v>53785</v>
      </c>
      <c r="N9608" s="8" t="s">
        <v>37</v>
      </c>
      <c r="O9608" s="8" t="s">
        <v>136</v>
      </c>
      <c r="P9608" s="6" t="s">
        <v>39</v>
      </c>
      <c r="Q9608" s="8" t="s">
        <v>40</v>
      </c>
      <c r="R9608" s="10" t="s">
        <v>4348</v>
      </c>
      <c r="S9608" s="11"/>
      <c r="T9608" s="6"/>
      <c r="U9608" s="15" t="str">
        <f>HYPERLINK("https://media.infra-m.ru/1862/1862590/cover/1862590.jpg", "Обложка")</f>
        <v>Обложка</v>
      </c>
      <c r="V9608" s="8" t="s">
        <v>1949</v>
      </c>
      <c r="W9608" s="6"/>
      <c r="X9608" s="6"/>
      <c r="Y9608" s="6"/>
      <c r="Z9608" s="6"/>
      <c r="AA9608" s="6" t="s">
        <v>148</v>
      </c>
      <c r="AB9608" s="8"/>
      <c r="AC9608" s="27">
        <v>9785369019054</v>
      </c>
    </row>
    <row r="9609" spans="1:29" s="4" customFormat="1" ht="42" customHeight="1" x14ac:dyDescent="0.2">
      <c r="A9609" s="5">
        <v>0</v>
      </c>
      <c r="B9609" s="6" t="s">
        <v>53786</v>
      </c>
      <c r="C9609" s="13">
        <v>624</v>
      </c>
      <c r="D9609" s="8" t="s">
        <v>53787</v>
      </c>
      <c r="E9609" s="8" t="s">
        <v>53788</v>
      </c>
      <c r="F9609" s="8" t="s">
        <v>53789</v>
      </c>
      <c r="G9609" s="6" t="s">
        <v>33</v>
      </c>
      <c r="H9609" s="6" t="s">
        <v>313</v>
      </c>
      <c r="I9609" s="8" t="s">
        <v>35</v>
      </c>
      <c r="J9609" s="9">
        <v>1</v>
      </c>
      <c r="K9609" s="9">
        <v>140</v>
      </c>
      <c r="L9609" s="9">
        <v>2021</v>
      </c>
      <c r="M9609" s="8" t="s">
        <v>53790</v>
      </c>
      <c r="N9609" s="8" t="s">
        <v>37</v>
      </c>
      <c r="O9609" s="8" t="s">
        <v>136</v>
      </c>
      <c r="P9609" s="6" t="s">
        <v>39</v>
      </c>
      <c r="Q9609" s="8" t="s">
        <v>40</v>
      </c>
      <c r="R9609" s="10" t="s">
        <v>1631</v>
      </c>
      <c r="S9609" s="11"/>
      <c r="T9609" s="6"/>
      <c r="U9609" s="15" t="str">
        <f>HYPERLINK("https://media.infra-m.ru/1277/1277649/cover/1277649.jpg", "Обложка")</f>
        <v>Обложка</v>
      </c>
      <c r="V9609" s="8" t="s">
        <v>1949</v>
      </c>
      <c r="W9609" s="6"/>
      <c r="X9609" s="6"/>
      <c r="Y9609" s="6"/>
      <c r="Z9609" s="6"/>
      <c r="AA9609" s="6" t="s">
        <v>55</v>
      </c>
      <c r="AB9609" s="8"/>
      <c r="AC9609" s="27">
        <v>9785369012260</v>
      </c>
    </row>
    <row r="9610" spans="1:29" s="4" customFormat="1" ht="51.9" customHeight="1" x14ac:dyDescent="0.2">
      <c r="A9610" s="5">
        <v>0</v>
      </c>
      <c r="B9610" s="6" t="s">
        <v>53791</v>
      </c>
      <c r="C9610" s="7">
        <v>2596.8000000000002</v>
      </c>
      <c r="D9610" s="8" t="s">
        <v>53792</v>
      </c>
      <c r="E9610" s="8" t="s">
        <v>53793</v>
      </c>
      <c r="F9610" s="8" t="s">
        <v>53794</v>
      </c>
      <c r="G9610" s="6" t="s">
        <v>118</v>
      </c>
      <c r="H9610" s="6" t="s">
        <v>134</v>
      </c>
      <c r="I9610" s="8"/>
      <c r="J9610" s="9">
        <v>1</v>
      </c>
      <c r="K9610" s="9">
        <v>416</v>
      </c>
      <c r="L9610" s="9">
        <v>2026</v>
      </c>
      <c r="M9610" s="8" t="s">
        <v>53795</v>
      </c>
      <c r="N9610" s="8" t="s">
        <v>37</v>
      </c>
      <c r="O9610" s="8" t="s">
        <v>136</v>
      </c>
      <c r="P9610" s="6" t="s">
        <v>306</v>
      </c>
      <c r="Q9610" s="8" t="s">
        <v>52</v>
      </c>
      <c r="R9610" s="10" t="s">
        <v>1275</v>
      </c>
      <c r="S9610" s="11" t="s">
        <v>53796</v>
      </c>
      <c r="T9610" s="6"/>
      <c r="U9610" s="15" t="str">
        <f>HYPERLINK("https://media.infra-m.ru/2219/2219622/cover/2219622.jpg", "Обложка")</f>
        <v>Обложка</v>
      </c>
      <c r="V9610" s="8" t="s">
        <v>1277</v>
      </c>
      <c r="W9610" s="6"/>
      <c r="X9610" s="6"/>
      <c r="Y9610" s="6"/>
      <c r="Z9610" s="6"/>
      <c r="AA9610" s="6" t="s">
        <v>360</v>
      </c>
      <c r="AB9610" s="8"/>
      <c r="AC9610" s="27">
        <v>9785917686233</v>
      </c>
    </row>
    <row r="9611" spans="1:29" s="4" customFormat="1" ht="51.9" customHeight="1" x14ac:dyDescent="0.2">
      <c r="A9611" s="5">
        <v>0</v>
      </c>
      <c r="B9611" s="6" t="s">
        <v>53797</v>
      </c>
      <c r="C9611" s="7">
        <v>4068</v>
      </c>
      <c r="D9611" s="8" t="s">
        <v>53798</v>
      </c>
      <c r="E9611" s="8" t="s">
        <v>53799</v>
      </c>
      <c r="F9611" s="8" t="s">
        <v>25397</v>
      </c>
      <c r="G9611" s="6" t="s">
        <v>60</v>
      </c>
      <c r="H9611" s="6" t="s">
        <v>134</v>
      </c>
      <c r="I9611" s="8"/>
      <c r="J9611" s="9">
        <v>1</v>
      </c>
      <c r="K9611" s="9">
        <v>640</v>
      </c>
      <c r="L9611" s="9">
        <v>2026</v>
      </c>
      <c r="M9611" s="8" t="s">
        <v>53800</v>
      </c>
      <c r="N9611" s="8" t="s">
        <v>37</v>
      </c>
      <c r="O9611" s="8" t="s">
        <v>136</v>
      </c>
      <c r="P9611" s="6" t="s">
        <v>306</v>
      </c>
      <c r="Q9611" s="8" t="s">
        <v>500</v>
      </c>
      <c r="R9611" s="10" t="s">
        <v>4109</v>
      </c>
      <c r="S9611" s="11"/>
      <c r="T9611" s="6"/>
      <c r="U9611" s="15" t="str">
        <f>HYPERLINK("https://media.infra-m.ru/2247/2247247/cover/2247247.jpg", "Обложка")</f>
        <v>Обложка</v>
      </c>
      <c r="V9611" s="8" t="s">
        <v>1184</v>
      </c>
      <c r="W9611" s="6"/>
      <c r="X9611" s="6"/>
      <c r="Y9611" s="6"/>
      <c r="Z9611" s="6"/>
      <c r="AA9611" s="6" t="s">
        <v>7307</v>
      </c>
      <c r="AB9611" s="8"/>
      <c r="AC9611" s="27">
        <v>9785917682518</v>
      </c>
    </row>
    <row r="9612" spans="1:29" s="4" customFormat="1" ht="44.1" customHeight="1" x14ac:dyDescent="0.2">
      <c r="A9612" s="5">
        <v>0</v>
      </c>
      <c r="B9612" s="6" t="s">
        <v>53801</v>
      </c>
      <c r="C9612" s="7">
        <v>1600.8</v>
      </c>
      <c r="D9612" s="8" t="s">
        <v>53802</v>
      </c>
      <c r="E9612" s="8" t="s">
        <v>53803</v>
      </c>
      <c r="F9612" s="8" t="s">
        <v>25397</v>
      </c>
      <c r="G9612" s="6" t="s">
        <v>33</v>
      </c>
      <c r="H9612" s="6" t="s">
        <v>1779</v>
      </c>
      <c r="I9612" s="8" t="s">
        <v>8663</v>
      </c>
      <c r="J9612" s="9">
        <v>1</v>
      </c>
      <c r="K9612" s="9">
        <v>256</v>
      </c>
      <c r="L9612" s="9">
        <v>2026</v>
      </c>
      <c r="M9612" s="8" t="s">
        <v>53804</v>
      </c>
      <c r="N9612" s="8" t="s">
        <v>37</v>
      </c>
      <c r="O9612" s="8" t="s">
        <v>136</v>
      </c>
      <c r="P9612" s="6" t="s">
        <v>3310</v>
      </c>
      <c r="Q9612" s="8" t="s">
        <v>65</v>
      </c>
      <c r="R9612" s="10" t="s">
        <v>53805</v>
      </c>
      <c r="S9612" s="11"/>
      <c r="T9612" s="6"/>
      <c r="U9612" s="15" t="str">
        <f>HYPERLINK("https://media.infra-m.ru/2221/2221238/cover/2221238.jpg", "Обложка")</f>
        <v>Обложка</v>
      </c>
      <c r="V9612" s="8" t="s">
        <v>1184</v>
      </c>
      <c r="W9612" s="6"/>
      <c r="X9612" s="6"/>
      <c r="Y9612" s="6"/>
      <c r="Z9612" s="6"/>
      <c r="AA9612" s="6" t="s">
        <v>23864</v>
      </c>
      <c r="AB9612" s="8"/>
      <c r="AC9612" s="27">
        <v>9785891235502</v>
      </c>
    </row>
    <row r="9613" spans="1:29" s="4" customFormat="1" ht="51.9" customHeight="1" x14ac:dyDescent="0.2">
      <c r="A9613" s="5">
        <v>0</v>
      </c>
      <c r="B9613" s="6" t="s">
        <v>53806</v>
      </c>
      <c r="C9613" s="7">
        <v>3436.8</v>
      </c>
      <c r="D9613" s="8" t="s">
        <v>53807</v>
      </c>
      <c r="E9613" s="8" t="s">
        <v>53803</v>
      </c>
      <c r="F9613" s="8" t="s">
        <v>29837</v>
      </c>
      <c r="G9613" s="6" t="s">
        <v>60</v>
      </c>
      <c r="H9613" s="6" t="s">
        <v>134</v>
      </c>
      <c r="I9613" s="8"/>
      <c r="J9613" s="9">
        <v>1</v>
      </c>
      <c r="K9613" s="9">
        <v>512</v>
      </c>
      <c r="L9613" s="9">
        <v>2026</v>
      </c>
      <c r="M9613" s="8" t="s">
        <v>53808</v>
      </c>
      <c r="N9613" s="8" t="s">
        <v>37</v>
      </c>
      <c r="O9613" s="8" t="s">
        <v>136</v>
      </c>
      <c r="P9613" s="6" t="s">
        <v>306</v>
      </c>
      <c r="Q9613" s="8" t="s">
        <v>500</v>
      </c>
      <c r="R9613" s="10" t="s">
        <v>53809</v>
      </c>
      <c r="S9613" s="11" t="s">
        <v>53810</v>
      </c>
      <c r="T9613" s="6"/>
      <c r="U9613" s="15" t="str">
        <f>HYPERLINK("https://media.infra-m.ru/2244/2244183/cover/2244183.jpg", "Обложка")</f>
        <v>Обложка</v>
      </c>
      <c r="V9613" s="8" t="s">
        <v>1184</v>
      </c>
      <c r="W9613" s="6"/>
      <c r="X9613" s="6"/>
      <c r="Y9613" s="6"/>
      <c r="Z9613" s="6"/>
      <c r="AA9613" s="6" t="s">
        <v>1716</v>
      </c>
      <c r="AB9613" s="8"/>
      <c r="AC9613" s="27">
        <v>9785917683874</v>
      </c>
    </row>
    <row r="9614" spans="1:29" s="4" customFormat="1" ht="51.9" customHeight="1" x14ac:dyDescent="0.2">
      <c r="A9614" s="5">
        <v>0</v>
      </c>
      <c r="B9614" s="6" t="s">
        <v>53811</v>
      </c>
      <c r="C9614" s="13">
        <v>413.9</v>
      </c>
      <c r="D9614" s="8" t="s">
        <v>53812</v>
      </c>
      <c r="E9614" s="8" t="s">
        <v>53803</v>
      </c>
      <c r="F9614" s="8" t="s">
        <v>53813</v>
      </c>
      <c r="G9614" s="6" t="s">
        <v>33</v>
      </c>
      <c r="H9614" s="6" t="s">
        <v>313</v>
      </c>
      <c r="I9614" s="8"/>
      <c r="J9614" s="9">
        <v>1</v>
      </c>
      <c r="K9614" s="9">
        <v>94</v>
      </c>
      <c r="L9614" s="9">
        <v>2023</v>
      </c>
      <c r="M9614" s="8" t="s">
        <v>53814</v>
      </c>
      <c r="N9614" s="8" t="s">
        <v>37</v>
      </c>
      <c r="O9614" s="8" t="s">
        <v>136</v>
      </c>
      <c r="P9614" s="6" t="s">
        <v>51</v>
      </c>
      <c r="Q9614" s="8" t="s">
        <v>52</v>
      </c>
      <c r="R9614" s="10" t="s">
        <v>4109</v>
      </c>
      <c r="S9614" s="11"/>
      <c r="T9614" s="6"/>
      <c r="U9614" s="15" t="str">
        <f>HYPERLINK("https://media.infra-m.ru/1988/1988444/cover/1988444.jpg", "Обложка")</f>
        <v>Обложка</v>
      </c>
      <c r="V9614" s="8" t="s">
        <v>53815</v>
      </c>
      <c r="W9614" s="6"/>
      <c r="X9614" s="6"/>
      <c r="Y9614" s="6"/>
      <c r="Z9614" s="6"/>
      <c r="AA9614" s="6" t="s">
        <v>129</v>
      </c>
      <c r="AB9614" s="8"/>
      <c r="AC9614" s="27">
        <v>9785369006214</v>
      </c>
    </row>
    <row r="9615" spans="1:29" s="4" customFormat="1" ht="51.9" customHeight="1" x14ac:dyDescent="0.2">
      <c r="A9615" s="5">
        <v>0</v>
      </c>
      <c r="B9615" s="6" t="s">
        <v>53816</v>
      </c>
      <c r="C9615" s="7">
        <v>1096.8</v>
      </c>
      <c r="D9615" s="8" t="s">
        <v>53817</v>
      </c>
      <c r="E9615" s="8" t="s">
        <v>53803</v>
      </c>
      <c r="F9615" s="8" t="s">
        <v>53818</v>
      </c>
      <c r="G9615" s="6" t="s">
        <v>60</v>
      </c>
      <c r="H9615" s="6" t="s">
        <v>313</v>
      </c>
      <c r="I9615" s="8" t="s">
        <v>271</v>
      </c>
      <c r="J9615" s="9">
        <v>1</v>
      </c>
      <c r="K9615" s="9">
        <v>176</v>
      </c>
      <c r="L9615" s="9">
        <v>2025</v>
      </c>
      <c r="M9615" s="8" t="s">
        <v>53819</v>
      </c>
      <c r="N9615" s="8" t="s">
        <v>37</v>
      </c>
      <c r="O9615" s="8" t="s">
        <v>136</v>
      </c>
      <c r="P9615" s="6" t="s">
        <v>51</v>
      </c>
      <c r="Q9615" s="8" t="s">
        <v>52</v>
      </c>
      <c r="R9615" s="10" t="s">
        <v>1275</v>
      </c>
      <c r="S9615" s="11"/>
      <c r="T9615" s="6"/>
      <c r="U9615" s="15" t="str">
        <f>HYPERLINK("https://media.infra-m.ru/2192/2192159/cover/2192159.jpg", "Обложка")</f>
        <v>Обложка</v>
      </c>
      <c r="V9615" s="8" t="s">
        <v>53820</v>
      </c>
      <c r="W9615" s="6"/>
      <c r="X9615" s="6"/>
      <c r="Y9615" s="6"/>
      <c r="Z9615" s="6"/>
      <c r="AA9615" s="6" t="s">
        <v>43</v>
      </c>
      <c r="AB9615" s="8"/>
      <c r="AC9615" s="27">
        <v>9785369010433</v>
      </c>
    </row>
    <row r="9616" spans="1:29" s="4" customFormat="1" ht="51.9" customHeight="1" x14ac:dyDescent="0.2">
      <c r="A9616" s="5">
        <v>0</v>
      </c>
      <c r="B9616" s="6" t="s">
        <v>53821</v>
      </c>
      <c r="C9616" s="7">
        <v>1008</v>
      </c>
      <c r="D9616" s="8" t="s">
        <v>53822</v>
      </c>
      <c r="E9616" s="8" t="s">
        <v>53803</v>
      </c>
      <c r="F9616" s="8" t="s">
        <v>35421</v>
      </c>
      <c r="G9616" s="6" t="s">
        <v>33</v>
      </c>
      <c r="H9616" s="6" t="s">
        <v>313</v>
      </c>
      <c r="I9616" s="8" t="s">
        <v>253</v>
      </c>
      <c r="J9616" s="9">
        <v>1</v>
      </c>
      <c r="K9616" s="9">
        <v>147</v>
      </c>
      <c r="L9616" s="9">
        <v>2026</v>
      </c>
      <c r="M9616" s="8" t="s">
        <v>53823</v>
      </c>
      <c r="N9616" s="8" t="s">
        <v>37</v>
      </c>
      <c r="O9616" s="8" t="s">
        <v>136</v>
      </c>
      <c r="P9616" s="6" t="s">
        <v>51</v>
      </c>
      <c r="Q9616" s="8" t="s">
        <v>52</v>
      </c>
      <c r="R9616" s="10" t="s">
        <v>19923</v>
      </c>
      <c r="S9616" s="11"/>
      <c r="T9616" s="6"/>
      <c r="U9616" s="15" t="str">
        <f>HYPERLINK("https://media.infra-m.ru/2235/2235431/cover/2235431.jpg", "Обложка")</f>
        <v>Обложка</v>
      </c>
      <c r="V9616" s="8" t="s">
        <v>9614</v>
      </c>
      <c r="W9616" s="6"/>
      <c r="X9616" s="6"/>
      <c r="Y9616" s="6"/>
      <c r="Z9616" s="6"/>
      <c r="AA9616" s="6" t="s">
        <v>86</v>
      </c>
      <c r="AB9616" s="8"/>
      <c r="AC9616" s="27">
        <v>9785369016794</v>
      </c>
    </row>
    <row r="9617" spans="1:29" s="4" customFormat="1" ht="51.9" customHeight="1" x14ac:dyDescent="0.2">
      <c r="A9617" s="5">
        <v>0</v>
      </c>
      <c r="B9617" s="6" t="s">
        <v>53824</v>
      </c>
      <c r="C9617" s="7">
        <v>1620</v>
      </c>
      <c r="D9617" s="8" t="s">
        <v>53825</v>
      </c>
      <c r="E9617" s="8" t="s">
        <v>53803</v>
      </c>
      <c r="F9617" s="8" t="s">
        <v>53826</v>
      </c>
      <c r="G9617" s="6" t="s">
        <v>118</v>
      </c>
      <c r="H9617" s="6" t="s">
        <v>313</v>
      </c>
      <c r="I9617" s="8" t="s">
        <v>253</v>
      </c>
      <c r="J9617" s="9">
        <v>1</v>
      </c>
      <c r="K9617" s="9">
        <v>270</v>
      </c>
      <c r="L9617" s="9">
        <v>2025</v>
      </c>
      <c r="M9617" s="8" t="s">
        <v>53827</v>
      </c>
      <c r="N9617" s="8" t="s">
        <v>37</v>
      </c>
      <c r="O9617" s="8" t="s">
        <v>136</v>
      </c>
      <c r="P9617" s="6" t="s">
        <v>51</v>
      </c>
      <c r="Q9617" s="8" t="s">
        <v>52</v>
      </c>
      <c r="R9617" s="10" t="s">
        <v>19923</v>
      </c>
      <c r="S9617" s="11"/>
      <c r="T9617" s="6"/>
      <c r="U9617" s="15" t="str">
        <f>HYPERLINK("https://media.infra-m.ru/2174/2174881/cover/2174881.jpg", "Обложка")</f>
        <v>Обложка</v>
      </c>
      <c r="V9617" s="8"/>
      <c r="W9617" s="6"/>
      <c r="X9617" s="6"/>
      <c r="Y9617" s="6"/>
      <c r="Z9617" s="6"/>
      <c r="AA9617" s="6" t="s">
        <v>779</v>
      </c>
      <c r="AB9617" s="8"/>
      <c r="AC9617" s="27">
        <v>9785369015810</v>
      </c>
    </row>
    <row r="9618" spans="1:29" s="4" customFormat="1" ht="51.9" customHeight="1" x14ac:dyDescent="0.2">
      <c r="A9618" s="5">
        <v>0</v>
      </c>
      <c r="B9618" s="6" t="s">
        <v>53828</v>
      </c>
      <c r="C9618" s="7">
        <v>1037.9000000000001</v>
      </c>
      <c r="D9618" s="8" t="s">
        <v>53829</v>
      </c>
      <c r="E9618" s="8" t="s">
        <v>53830</v>
      </c>
      <c r="F9618" s="8" t="s">
        <v>53831</v>
      </c>
      <c r="G9618" s="6" t="s">
        <v>33</v>
      </c>
      <c r="H9618" s="6" t="s">
        <v>134</v>
      </c>
      <c r="I9618" s="8"/>
      <c r="J9618" s="9">
        <v>1</v>
      </c>
      <c r="K9618" s="9">
        <v>288</v>
      </c>
      <c r="L9618" s="9">
        <v>2019</v>
      </c>
      <c r="M9618" s="8" t="s">
        <v>53832</v>
      </c>
      <c r="N9618" s="8" t="s">
        <v>37</v>
      </c>
      <c r="O9618" s="8" t="s">
        <v>136</v>
      </c>
      <c r="P9618" s="6" t="s">
        <v>306</v>
      </c>
      <c r="Q9618" s="8" t="s">
        <v>65</v>
      </c>
      <c r="R9618" s="10" t="s">
        <v>7447</v>
      </c>
      <c r="S9618" s="11" t="s">
        <v>53833</v>
      </c>
      <c r="T9618" s="6"/>
      <c r="U9618" s="15" t="str">
        <f>HYPERLINK("https://media.infra-m.ru/1007/1007474/cover/1007474.jpg", "Обложка")</f>
        <v>Обложка</v>
      </c>
      <c r="V9618" s="8" t="s">
        <v>2095</v>
      </c>
      <c r="W9618" s="6"/>
      <c r="X9618" s="6"/>
      <c r="Y9618" s="6"/>
      <c r="Z9618" s="6"/>
      <c r="AA9618" s="6" t="s">
        <v>248</v>
      </c>
      <c r="AB9618" s="8"/>
      <c r="AC9618" s="27">
        <v>9785917685205</v>
      </c>
    </row>
    <row r="9619" spans="1:29" s="4" customFormat="1" ht="51.9" customHeight="1" x14ac:dyDescent="0.2">
      <c r="A9619" s="5">
        <v>0</v>
      </c>
      <c r="B9619" s="6" t="s">
        <v>53834</v>
      </c>
      <c r="C9619" s="7">
        <v>1792.8</v>
      </c>
      <c r="D9619" s="8" t="s">
        <v>53835</v>
      </c>
      <c r="E9619" s="8" t="s">
        <v>53830</v>
      </c>
      <c r="F9619" s="8" t="s">
        <v>17684</v>
      </c>
      <c r="G9619" s="6" t="s">
        <v>118</v>
      </c>
      <c r="H9619" s="6" t="s">
        <v>134</v>
      </c>
      <c r="I9619" s="8"/>
      <c r="J9619" s="9">
        <v>1</v>
      </c>
      <c r="K9619" s="9">
        <v>288</v>
      </c>
      <c r="L9619" s="9">
        <v>2026</v>
      </c>
      <c r="M9619" s="8" t="s">
        <v>53836</v>
      </c>
      <c r="N9619" s="8" t="s">
        <v>37</v>
      </c>
      <c r="O9619" s="8" t="s">
        <v>136</v>
      </c>
      <c r="P9619" s="6" t="s">
        <v>306</v>
      </c>
      <c r="Q9619" s="8" t="s">
        <v>65</v>
      </c>
      <c r="R9619" s="10" t="s">
        <v>7447</v>
      </c>
      <c r="S9619" s="11"/>
      <c r="T9619" s="6"/>
      <c r="U9619" s="15" t="str">
        <f>HYPERLINK("https://media.infra-m.ru/2218/2218481/cover/2218481.jpg", "Обложка")</f>
        <v>Обложка</v>
      </c>
      <c r="V9619" s="8" t="s">
        <v>2095</v>
      </c>
      <c r="W9619" s="6"/>
      <c r="X9619" s="6"/>
      <c r="Y9619" s="6"/>
      <c r="Z9619" s="6"/>
      <c r="AA9619" s="6" t="s">
        <v>248</v>
      </c>
      <c r="AB9619" s="8"/>
      <c r="AC9619" s="27">
        <v>9785917686059</v>
      </c>
    </row>
    <row r="9620" spans="1:29" s="4" customFormat="1" ht="51.9" customHeight="1" x14ac:dyDescent="0.2">
      <c r="A9620" s="5">
        <v>0</v>
      </c>
      <c r="B9620" s="6" t="s">
        <v>53837</v>
      </c>
      <c r="C9620" s="7">
        <v>1156.8</v>
      </c>
      <c r="D9620" s="8" t="s">
        <v>53838</v>
      </c>
      <c r="E9620" s="8" t="s">
        <v>53839</v>
      </c>
      <c r="F9620" s="8" t="s">
        <v>53840</v>
      </c>
      <c r="G9620" s="6" t="s">
        <v>33</v>
      </c>
      <c r="H9620" s="6" t="s">
        <v>134</v>
      </c>
      <c r="I9620" s="8"/>
      <c r="J9620" s="9">
        <v>1</v>
      </c>
      <c r="K9620" s="9">
        <v>176</v>
      </c>
      <c r="L9620" s="9">
        <v>2026</v>
      </c>
      <c r="M9620" s="8" t="s">
        <v>53841</v>
      </c>
      <c r="N9620" s="8" t="s">
        <v>37</v>
      </c>
      <c r="O9620" s="8" t="s">
        <v>136</v>
      </c>
      <c r="P9620" s="6" t="s">
        <v>306</v>
      </c>
      <c r="Q9620" s="8" t="s">
        <v>52</v>
      </c>
      <c r="R9620" s="10" t="s">
        <v>1275</v>
      </c>
      <c r="S9620" s="11" t="s">
        <v>17178</v>
      </c>
      <c r="T9620" s="6"/>
      <c r="U9620" s="15" t="str">
        <f>HYPERLINK("https://media.infra-m.ru/2221/2221075/cover/2221075.jpg", "Обложка")</f>
        <v>Обложка</v>
      </c>
      <c r="V9620" s="8" t="s">
        <v>3243</v>
      </c>
      <c r="W9620" s="6"/>
      <c r="X9620" s="6"/>
      <c r="Y9620" s="6"/>
      <c r="Z9620" s="6"/>
      <c r="AA9620" s="6" t="s">
        <v>13430</v>
      </c>
      <c r="AB9620" s="8"/>
      <c r="AC9620" s="27">
        <v>9785917682617</v>
      </c>
    </row>
    <row r="9621" spans="1:29" s="4" customFormat="1" ht="51.9" customHeight="1" x14ac:dyDescent="0.2">
      <c r="A9621" s="5">
        <v>0</v>
      </c>
      <c r="B9621" s="6" t="s">
        <v>53842</v>
      </c>
      <c r="C9621" s="7">
        <v>2448</v>
      </c>
      <c r="D9621" s="8" t="s">
        <v>53843</v>
      </c>
      <c r="E9621" s="8" t="s">
        <v>53844</v>
      </c>
      <c r="F9621" s="8" t="s">
        <v>53845</v>
      </c>
      <c r="G9621" s="6" t="s">
        <v>118</v>
      </c>
      <c r="H9621" s="6" t="s">
        <v>34</v>
      </c>
      <c r="I9621" s="8" t="s">
        <v>1074</v>
      </c>
      <c r="J9621" s="9">
        <v>1</v>
      </c>
      <c r="K9621" s="9">
        <v>352</v>
      </c>
      <c r="L9621" s="9">
        <v>2027</v>
      </c>
      <c r="M9621" s="8" t="s">
        <v>53846</v>
      </c>
      <c r="N9621" s="8" t="s">
        <v>37</v>
      </c>
      <c r="O9621" s="8" t="s">
        <v>136</v>
      </c>
      <c r="P9621" s="6" t="s">
        <v>39</v>
      </c>
      <c r="Q9621" s="8" t="s">
        <v>40</v>
      </c>
      <c r="R9621" s="10" t="s">
        <v>22753</v>
      </c>
      <c r="S9621" s="11"/>
      <c r="T9621" s="6"/>
      <c r="U9621" s="15" t="str">
        <f>HYPERLINK("https://media.infra-m.ru/2269/2269855/cover/2269855.jpg", "Обложка")</f>
        <v>Обложка</v>
      </c>
      <c r="V9621" s="8" t="s">
        <v>138</v>
      </c>
      <c r="W9621" s="6"/>
      <c r="X9621" s="6"/>
      <c r="Y9621" s="6"/>
      <c r="Z9621" s="6"/>
      <c r="AA9621" s="6" t="s">
        <v>99</v>
      </c>
      <c r="AB9621" s="8"/>
      <c r="AC9621" s="27">
        <v>9785160118147</v>
      </c>
    </row>
    <row r="9622" spans="1:29" s="4" customFormat="1" ht="51.9" customHeight="1" x14ac:dyDescent="0.2">
      <c r="A9622" s="5">
        <v>0</v>
      </c>
      <c r="B9622" s="6" t="s">
        <v>53847</v>
      </c>
      <c r="C9622" s="7">
        <v>1956</v>
      </c>
      <c r="D9622" s="8" t="s">
        <v>53848</v>
      </c>
      <c r="E9622" s="8" t="s">
        <v>53849</v>
      </c>
      <c r="F9622" s="8" t="s">
        <v>53850</v>
      </c>
      <c r="G9622" s="6" t="s">
        <v>118</v>
      </c>
      <c r="H9622" s="6" t="s">
        <v>34</v>
      </c>
      <c r="I9622" s="8" t="s">
        <v>1074</v>
      </c>
      <c r="J9622" s="9">
        <v>1</v>
      </c>
      <c r="K9622" s="9">
        <v>280</v>
      </c>
      <c r="L9622" s="9">
        <v>2026</v>
      </c>
      <c r="M9622" s="8" t="s">
        <v>53851</v>
      </c>
      <c r="N9622" s="8" t="s">
        <v>37</v>
      </c>
      <c r="O9622" s="8" t="s">
        <v>136</v>
      </c>
      <c r="P9622" s="6" t="s">
        <v>39</v>
      </c>
      <c r="Q9622" s="8" t="s">
        <v>40</v>
      </c>
      <c r="R9622" s="10" t="s">
        <v>22753</v>
      </c>
      <c r="S9622" s="11"/>
      <c r="T9622" s="6"/>
      <c r="U9622" s="15" t="str">
        <f>HYPERLINK("https://media.infra-m.ru/2258/2258690/cover/2258690.jpg", "Обложка")</f>
        <v>Обложка</v>
      </c>
      <c r="V9622" s="8" t="s">
        <v>138</v>
      </c>
      <c r="W9622" s="6"/>
      <c r="X9622" s="6"/>
      <c r="Y9622" s="6"/>
      <c r="Z9622" s="6"/>
      <c r="AA9622" s="6" t="s">
        <v>99</v>
      </c>
      <c r="AB9622" s="8"/>
      <c r="AC9622" s="27">
        <v>9785160118154</v>
      </c>
    </row>
    <row r="9623" spans="1:29" s="4" customFormat="1" ht="44.1" customHeight="1" x14ac:dyDescent="0.2">
      <c r="A9623" s="5">
        <v>0</v>
      </c>
      <c r="B9623" s="6" t="s">
        <v>53852</v>
      </c>
      <c r="C9623" s="7">
        <v>2304</v>
      </c>
      <c r="D9623" s="8" t="s">
        <v>53853</v>
      </c>
      <c r="E9623" s="8" t="s">
        <v>53854</v>
      </c>
      <c r="F9623" s="8" t="s">
        <v>53855</v>
      </c>
      <c r="G9623" s="6" t="s">
        <v>118</v>
      </c>
      <c r="H9623" s="6" t="s">
        <v>34</v>
      </c>
      <c r="I9623" s="8" t="s">
        <v>1074</v>
      </c>
      <c r="J9623" s="9">
        <v>1</v>
      </c>
      <c r="K9623" s="9">
        <v>384</v>
      </c>
      <c r="L9623" s="9">
        <v>2025</v>
      </c>
      <c r="M9623" s="8" t="s">
        <v>53856</v>
      </c>
      <c r="N9623" s="8" t="s">
        <v>37</v>
      </c>
      <c r="O9623" s="8" t="s">
        <v>136</v>
      </c>
      <c r="P9623" s="6" t="s">
        <v>39</v>
      </c>
      <c r="Q9623" s="8" t="s">
        <v>40</v>
      </c>
      <c r="R9623" s="10" t="s">
        <v>1489</v>
      </c>
      <c r="S9623" s="11"/>
      <c r="T9623" s="6"/>
      <c r="U9623" s="15" t="str">
        <f>HYPERLINK("https://media.infra-m.ru/2157/2157468/cover/2157468.jpg", "Обложка")</f>
        <v>Обложка</v>
      </c>
      <c r="V9623" s="8" t="s">
        <v>138</v>
      </c>
      <c r="W9623" s="6"/>
      <c r="X9623" s="6"/>
      <c r="Y9623" s="6"/>
      <c r="Z9623" s="6"/>
      <c r="AA9623" s="6" t="s">
        <v>99</v>
      </c>
      <c r="AB9623" s="8"/>
      <c r="AC9623" s="27">
        <v>9785160115139</v>
      </c>
    </row>
    <row r="9624" spans="1:29" s="4" customFormat="1" ht="42" customHeight="1" x14ac:dyDescent="0.2">
      <c r="A9624" s="5">
        <v>0</v>
      </c>
      <c r="B9624" s="6" t="s">
        <v>53857</v>
      </c>
      <c r="C9624" s="13">
        <v>952.8</v>
      </c>
      <c r="D9624" s="8" t="s">
        <v>53858</v>
      </c>
      <c r="E9624" s="8" t="s">
        <v>53859</v>
      </c>
      <c r="F9624" s="8" t="s">
        <v>8184</v>
      </c>
      <c r="G9624" s="6" t="s">
        <v>118</v>
      </c>
      <c r="H9624" s="6" t="s">
        <v>134</v>
      </c>
      <c r="I9624" s="8"/>
      <c r="J9624" s="9">
        <v>1</v>
      </c>
      <c r="K9624" s="9">
        <v>144</v>
      </c>
      <c r="L9624" s="9">
        <v>2026</v>
      </c>
      <c r="M9624" s="8" t="s">
        <v>53860</v>
      </c>
      <c r="N9624" s="8" t="s">
        <v>37</v>
      </c>
      <c r="O9624" s="8" t="s">
        <v>136</v>
      </c>
      <c r="P9624" s="6" t="s">
        <v>39</v>
      </c>
      <c r="Q9624" s="8" t="s">
        <v>40</v>
      </c>
      <c r="R9624" s="10" t="s">
        <v>1625</v>
      </c>
      <c r="S9624" s="11"/>
      <c r="T9624" s="6"/>
      <c r="U9624" s="15" t="str">
        <f>HYPERLINK("https://media.infra-m.ru/2236/2236546/cover/2236546.jpg", "Обложка")</f>
        <v>Обложка</v>
      </c>
      <c r="V9624" s="8" t="s">
        <v>644</v>
      </c>
      <c r="W9624" s="6"/>
      <c r="X9624" s="6"/>
      <c r="Y9624" s="6"/>
      <c r="Z9624" s="6"/>
      <c r="AA9624" s="6" t="s">
        <v>99</v>
      </c>
      <c r="AB9624" s="8"/>
      <c r="AC9624" s="27">
        <v>9785917687926</v>
      </c>
    </row>
    <row r="9625" spans="1:29" s="4" customFormat="1" ht="42" customHeight="1" x14ac:dyDescent="0.2">
      <c r="A9625" s="5">
        <v>0</v>
      </c>
      <c r="B9625" s="6" t="s">
        <v>53861</v>
      </c>
      <c r="C9625" s="7">
        <v>1320</v>
      </c>
      <c r="D9625" s="8" t="s">
        <v>53862</v>
      </c>
      <c r="E9625" s="8" t="s">
        <v>53863</v>
      </c>
      <c r="F9625" s="8" t="s">
        <v>53864</v>
      </c>
      <c r="G9625" s="6" t="s">
        <v>118</v>
      </c>
      <c r="H9625" s="6" t="s">
        <v>34</v>
      </c>
      <c r="I9625" s="8" t="s">
        <v>1074</v>
      </c>
      <c r="J9625" s="9">
        <v>1</v>
      </c>
      <c r="K9625" s="9">
        <v>312</v>
      </c>
      <c r="L9625" s="9">
        <v>2019</v>
      </c>
      <c r="M9625" s="8" t="s">
        <v>53865</v>
      </c>
      <c r="N9625" s="8" t="s">
        <v>37</v>
      </c>
      <c r="O9625" s="8" t="s">
        <v>136</v>
      </c>
      <c r="P9625" s="6" t="s">
        <v>39</v>
      </c>
      <c r="Q9625" s="8" t="s">
        <v>40</v>
      </c>
      <c r="R9625" s="10" t="s">
        <v>1667</v>
      </c>
      <c r="S9625" s="11"/>
      <c r="T9625" s="6"/>
      <c r="U9625" s="15" t="str">
        <f>HYPERLINK("https://media.infra-m.ru/1039/1039347/cover/1039347.jpg", "Обложка")</f>
        <v>Обложка</v>
      </c>
      <c r="V9625" s="8" t="s">
        <v>138</v>
      </c>
      <c r="W9625" s="6"/>
      <c r="X9625" s="6"/>
      <c r="Y9625" s="6"/>
      <c r="Z9625" s="6"/>
      <c r="AA9625" s="6" t="s">
        <v>99</v>
      </c>
      <c r="AB9625" s="8"/>
      <c r="AC9625" s="27">
        <v>9785160134680</v>
      </c>
    </row>
    <row r="9626" spans="1:29" s="4" customFormat="1" ht="44.1" customHeight="1" x14ac:dyDescent="0.2">
      <c r="A9626" s="5">
        <v>0</v>
      </c>
      <c r="B9626" s="6" t="s">
        <v>53866</v>
      </c>
      <c r="C9626" s="7">
        <v>2200.8000000000002</v>
      </c>
      <c r="D9626" s="8" t="s">
        <v>53867</v>
      </c>
      <c r="E9626" s="8" t="s">
        <v>53868</v>
      </c>
      <c r="F9626" s="8" t="s">
        <v>8100</v>
      </c>
      <c r="G9626" s="6" t="s">
        <v>118</v>
      </c>
      <c r="H9626" s="6" t="s">
        <v>134</v>
      </c>
      <c r="I9626" s="8"/>
      <c r="J9626" s="9">
        <v>1</v>
      </c>
      <c r="K9626" s="9">
        <v>352</v>
      </c>
      <c r="L9626" s="9">
        <v>2025</v>
      </c>
      <c r="M9626" s="8" t="s">
        <v>53869</v>
      </c>
      <c r="N9626" s="8" t="s">
        <v>37</v>
      </c>
      <c r="O9626" s="8" t="s">
        <v>136</v>
      </c>
      <c r="P9626" s="6" t="s">
        <v>39</v>
      </c>
      <c r="Q9626" s="8" t="s">
        <v>40</v>
      </c>
      <c r="R9626" s="10" t="s">
        <v>6217</v>
      </c>
      <c r="S9626" s="11"/>
      <c r="T9626" s="6"/>
      <c r="U9626" s="15" t="str">
        <f>HYPERLINK("https://media.infra-m.ru/2212/2212224/cover/2212224.jpg", "Обложка")</f>
        <v>Обложка</v>
      </c>
      <c r="V9626" s="8" t="s">
        <v>1069</v>
      </c>
      <c r="W9626" s="6"/>
      <c r="X9626" s="6"/>
      <c r="Y9626" s="6"/>
      <c r="Z9626" s="6"/>
      <c r="AA9626" s="6" t="s">
        <v>1506</v>
      </c>
      <c r="AB9626" s="8"/>
      <c r="AC9626" s="27">
        <v>9785001564478</v>
      </c>
    </row>
    <row r="9627" spans="1:29" s="4" customFormat="1" ht="42" customHeight="1" x14ac:dyDescent="0.2">
      <c r="A9627" s="5">
        <v>0</v>
      </c>
      <c r="B9627" s="6" t="s">
        <v>53870</v>
      </c>
      <c r="C9627" s="7">
        <v>1080</v>
      </c>
      <c r="D9627" s="8" t="s">
        <v>53871</v>
      </c>
      <c r="E9627" s="8" t="s">
        <v>53872</v>
      </c>
      <c r="F9627" s="8" t="s">
        <v>53873</v>
      </c>
      <c r="G9627" s="6" t="s">
        <v>33</v>
      </c>
      <c r="H9627" s="6" t="s">
        <v>134</v>
      </c>
      <c r="I9627" s="8"/>
      <c r="J9627" s="9">
        <v>1</v>
      </c>
      <c r="K9627" s="9">
        <v>232</v>
      </c>
      <c r="L9627" s="9">
        <v>2022</v>
      </c>
      <c r="M9627" s="8" t="s">
        <v>53874</v>
      </c>
      <c r="N9627" s="8" t="s">
        <v>37</v>
      </c>
      <c r="O9627" s="8" t="s">
        <v>136</v>
      </c>
      <c r="P9627" s="6" t="s">
        <v>39</v>
      </c>
      <c r="Q9627" s="8" t="s">
        <v>40</v>
      </c>
      <c r="R9627" s="10" t="s">
        <v>684</v>
      </c>
      <c r="S9627" s="11"/>
      <c r="T9627" s="6"/>
      <c r="U9627" s="15" t="str">
        <f>HYPERLINK("https://media.infra-m.ru/1865/1865497/cover/1865497.jpg", "Обложка")</f>
        <v>Обложка</v>
      </c>
      <c r="V9627" s="8"/>
      <c r="W9627" s="6"/>
      <c r="X9627" s="6"/>
      <c r="Y9627" s="6"/>
      <c r="Z9627" s="6"/>
      <c r="AA9627" s="6" t="s">
        <v>148</v>
      </c>
      <c r="AB9627" s="8"/>
      <c r="AC9627" s="27">
        <v>9785001561927</v>
      </c>
    </row>
    <row r="9628" spans="1:29" s="4" customFormat="1" ht="51.9" customHeight="1" x14ac:dyDescent="0.2">
      <c r="A9628" s="5">
        <v>0</v>
      </c>
      <c r="B9628" s="6" t="s">
        <v>53875</v>
      </c>
      <c r="C9628" s="7">
        <v>1728</v>
      </c>
      <c r="D9628" s="8" t="s">
        <v>53876</v>
      </c>
      <c r="E9628" s="8" t="s">
        <v>53877</v>
      </c>
      <c r="F9628" s="8" t="s">
        <v>29084</v>
      </c>
      <c r="G9628" s="6" t="s">
        <v>118</v>
      </c>
      <c r="H9628" s="6" t="s">
        <v>134</v>
      </c>
      <c r="I9628" s="8"/>
      <c r="J9628" s="9">
        <v>1</v>
      </c>
      <c r="K9628" s="9">
        <v>288</v>
      </c>
      <c r="L9628" s="9">
        <v>2025</v>
      </c>
      <c r="M9628" s="8" t="s">
        <v>53878</v>
      </c>
      <c r="N9628" s="8" t="s">
        <v>37</v>
      </c>
      <c r="O9628" s="8" t="s">
        <v>136</v>
      </c>
      <c r="P9628" s="6" t="s">
        <v>234</v>
      </c>
      <c r="Q9628" s="8" t="s">
        <v>65</v>
      </c>
      <c r="R9628" s="10" t="s">
        <v>7447</v>
      </c>
      <c r="S9628" s="11"/>
      <c r="T9628" s="6"/>
      <c r="U9628" s="15" t="str">
        <f>HYPERLINK("https://media.infra-m.ru/2177/2177981/cover/2177981.jpg", "Обложка")</f>
        <v>Обложка</v>
      </c>
      <c r="V9628" s="8" t="s">
        <v>1083</v>
      </c>
      <c r="W9628" s="6"/>
      <c r="X9628" s="6"/>
      <c r="Y9628" s="6"/>
      <c r="Z9628" s="6"/>
      <c r="AA9628" s="6" t="s">
        <v>561</v>
      </c>
      <c r="AB9628" s="8"/>
      <c r="AC9628" s="27">
        <v>9785917683577</v>
      </c>
    </row>
    <row r="9629" spans="1:29" s="4" customFormat="1" ht="51.9" customHeight="1" x14ac:dyDescent="0.2">
      <c r="A9629" s="5">
        <v>0</v>
      </c>
      <c r="B9629" s="6" t="s">
        <v>53879</v>
      </c>
      <c r="C9629" s="7">
        <v>2304</v>
      </c>
      <c r="D9629" s="8" t="s">
        <v>53880</v>
      </c>
      <c r="E9629" s="8" t="s">
        <v>53881</v>
      </c>
      <c r="F9629" s="8" t="s">
        <v>53882</v>
      </c>
      <c r="G9629" s="6" t="s">
        <v>118</v>
      </c>
      <c r="H9629" s="6" t="s">
        <v>34</v>
      </c>
      <c r="I9629" s="8" t="s">
        <v>253</v>
      </c>
      <c r="J9629" s="9">
        <v>1</v>
      </c>
      <c r="K9629" s="9">
        <v>368</v>
      </c>
      <c r="L9629" s="9">
        <v>2025</v>
      </c>
      <c r="M9629" s="8" t="s">
        <v>53883</v>
      </c>
      <c r="N9629" s="8" t="s">
        <v>37</v>
      </c>
      <c r="O9629" s="8" t="s">
        <v>50</v>
      </c>
      <c r="P9629" s="6" t="s">
        <v>306</v>
      </c>
      <c r="Q9629" s="8" t="s">
        <v>52</v>
      </c>
      <c r="R9629" s="10" t="s">
        <v>53884</v>
      </c>
      <c r="S9629" s="11" t="s">
        <v>53885</v>
      </c>
      <c r="T9629" s="6" t="s">
        <v>97</v>
      </c>
      <c r="U9629" s="15" t="str">
        <f>HYPERLINK("https://media.infra-m.ru/2199/2199827/cover/2199827.jpg", "Обложка")</f>
        <v>Обложка</v>
      </c>
      <c r="V9629" s="8" t="s">
        <v>1157</v>
      </c>
      <c r="W9629" s="6"/>
      <c r="X9629" s="6"/>
      <c r="Y9629" s="6"/>
      <c r="Z9629" s="6"/>
      <c r="AA9629" s="6" t="s">
        <v>99</v>
      </c>
      <c r="AB9629" s="8"/>
      <c r="AC9629" s="27">
        <v>9785160192079</v>
      </c>
    </row>
    <row r="9630" spans="1:29" s="4" customFormat="1" ht="51.9" customHeight="1" x14ac:dyDescent="0.2">
      <c r="A9630" s="5">
        <v>0</v>
      </c>
      <c r="B9630" s="6" t="s">
        <v>53886</v>
      </c>
      <c r="C9630" s="7">
        <v>1080</v>
      </c>
      <c r="D9630" s="8" t="s">
        <v>53887</v>
      </c>
      <c r="E9630" s="8" t="s">
        <v>53888</v>
      </c>
      <c r="F9630" s="8" t="s">
        <v>53889</v>
      </c>
      <c r="G9630" s="6" t="s">
        <v>33</v>
      </c>
      <c r="H9630" s="6" t="s">
        <v>34</v>
      </c>
      <c r="I9630" s="8" t="s">
        <v>253</v>
      </c>
      <c r="J9630" s="9">
        <v>1</v>
      </c>
      <c r="K9630" s="9">
        <v>162</v>
      </c>
      <c r="L9630" s="9">
        <v>2026</v>
      </c>
      <c r="M9630" s="8" t="s">
        <v>53890</v>
      </c>
      <c r="N9630" s="8" t="s">
        <v>243</v>
      </c>
      <c r="O9630" s="8" t="s">
        <v>244</v>
      </c>
      <c r="P9630" s="6" t="s">
        <v>51</v>
      </c>
      <c r="Q9630" s="8" t="s">
        <v>52</v>
      </c>
      <c r="R9630" s="10" t="s">
        <v>357</v>
      </c>
      <c r="S9630" s="11" t="s">
        <v>53891</v>
      </c>
      <c r="T9630" s="6"/>
      <c r="U9630" s="15" t="str">
        <f>HYPERLINK("https://media.infra-m.ru/2221/2221665/cover/2221665.jpg", "Обложка")</f>
        <v>Обложка</v>
      </c>
      <c r="V9630" s="8" t="s">
        <v>247</v>
      </c>
      <c r="W9630" s="6"/>
      <c r="X9630" s="6"/>
      <c r="Y9630" s="6"/>
      <c r="Z9630" s="6"/>
      <c r="AA9630" s="6" t="s">
        <v>86</v>
      </c>
      <c r="AB9630" s="8"/>
      <c r="AC9630" s="27">
        <v>9785160187235</v>
      </c>
    </row>
    <row r="9631" spans="1:29" s="4" customFormat="1" ht="51.9" customHeight="1" x14ac:dyDescent="0.2">
      <c r="A9631" s="5">
        <v>0</v>
      </c>
      <c r="B9631" s="6" t="s">
        <v>53892</v>
      </c>
      <c r="C9631" s="7">
        <v>1608</v>
      </c>
      <c r="D9631" s="8" t="s">
        <v>53893</v>
      </c>
      <c r="E9631" s="8" t="s">
        <v>53894</v>
      </c>
      <c r="F9631" s="8" t="s">
        <v>4896</v>
      </c>
      <c r="G9631" s="6" t="s">
        <v>33</v>
      </c>
      <c r="H9631" s="6" t="s">
        <v>34</v>
      </c>
      <c r="I9631" s="8" t="s">
        <v>35</v>
      </c>
      <c r="J9631" s="9">
        <v>1</v>
      </c>
      <c r="K9631" s="9">
        <v>231</v>
      </c>
      <c r="L9631" s="9">
        <v>2027</v>
      </c>
      <c r="M9631" s="8" t="s">
        <v>53895</v>
      </c>
      <c r="N9631" s="8" t="s">
        <v>63</v>
      </c>
      <c r="O9631" s="8" t="s">
        <v>64</v>
      </c>
      <c r="P9631" s="6" t="s">
        <v>39</v>
      </c>
      <c r="Q9631" s="8" t="s">
        <v>40</v>
      </c>
      <c r="R9631" s="10" t="s">
        <v>53896</v>
      </c>
      <c r="S9631" s="11"/>
      <c r="T9631" s="6"/>
      <c r="U9631" s="15" t="str">
        <f>HYPERLINK("https://media.infra-m.ru/2268/2268350/cover/2268350.jpg", "Обложка")</f>
        <v>Обложка</v>
      </c>
      <c r="V9631" s="8" t="s">
        <v>156</v>
      </c>
      <c r="W9631" s="6"/>
      <c r="X9631" s="6"/>
      <c r="Y9631" s="6"/>
      <c r="Z9631" s="6"/>
      <c r="AA9631" s="6" t="s">
        <v>148</v>
      </c>
      <c r="AB9631" s="8"/>
      <c r="AC9631" s="27">
        <v>9785160172248</v>
      </c>
    </row>
    <row r="9632" spans="1:29" s="4" customFormat="1" ht="42" customHeight="1" x14ac:dyDescent="0.2">
      <c r="A9632" s="5">
        <v>0</v>
      </c>
      <c r="B9632" s="6" t="s">
        <v>53897</v>
      </c>
      <c r="C9632" s="7">
        <v>1140</v>
      </c>
      <c r="D9632" s="8" t="s">
        <v>53898</v>
      </c>
      <c r="E9632" s="8" t="s">
        <v>53899</v>
      </c>
      <c r="F9632" s="8" t="s">
        <v>15020</v>
      </c>
      <c r="G9632" s="6" t="s">
        <v>118</v>
      </c>
      <c r="H9632" s="6" t="s">
        <v>134</v>
      </c>
      <c r="I9632" s="8"/>
      <c r="J9632" s="9">
        <v>1</v>
      </c>
      <c r="K9632" s="9">
        <v>176</v>
      </c>
      <c r="L9632" s="9">
        <v>2026</v>
      </c>
      <c r="M9632" s="8" t="s">
        <v>53900</v>
      </c>
      <c r="N9632" s="8" t="s">
        <v>37</v>
      </c>
      <c r="O9632" s="8" t="s">
        <v>136</v>
      </c>
      <c r="P9632" s="6" t="s">
        <v>39</v>
      </c>
      <c r="Q9632" s="8" t="s">
        <v>40</v>
      </c>
      <c r="R9632" s="10" t="s">
        <v>1631</v>
      </c>
      <c r="S9632" s="11"/>
      <c r="T9632" s="6"/>
      <c r="U9632" s="15" t="str">
        <f>HYPERLINK("https://media.infra-m.ru/2220/2220736/cover/2220736.jpg", "Обложка")</f>
        <v>Обложка</v>
      </c>
      <c r="V9632" s="8" t="s">
        <v>546</v>
      </c>
      <c r="W9632" s="6"/>
      <c r="X9632" s="6"/>
      <c r="Y9632" s="6"/>
      <c r="Z9632" s="6"/>
      <c r="AA9632" s="6" t="s">
        <v>86</v>
      </c>
      <c r="AB9632" s="8"/>
      <c r="AC9632" s="27">
        <v>9785917688855</v>
      </c>
    </row>
    <row r="9633" spans="1:29" s="4" customFormat="1" ht="42" customHeight="1" x14ac:dyDescent="0.2">
      <c r="A9633" s="5">
        <v>0</v>
      </c>
      <c r="B9633" s="6" t="s">
        <v>53901</v>
      </c>
      <c r="C9633" s="13">
        <v>660</v>
      </c>
      <c r="D9633" s="8" t="s">
        <v>53902</v>
      </c>
      <c r="E9633" s="8" t="s">
        <v>53899</v>
      </c>
      <c r="F9633" s="8" t="s">
        <v>15020</v>
      </c>
      <c r="G9633" s="6" t="s">
        <v>33</v>
      </c>
      <c r="H9633" s="6" t="s">
        <v>134</v>
      </c>
      <c r="I9633" s="8"/>
      <c r="J9633" s="9">
        <v>1</v>
      </c>
      <c r="K9633" s="9">
        <v>176</v>
      </c>
      <c r="L9633" s="9">
        <v>2018</v>
      </c>
      <c r="M9633" s="8" t="s">
        <v>53900</v>
      </c>
      <c r="N9633" s="8" t="s">
        <v>37</v>
      </c>
      <c r="O9633" s="8" t="s">
        <v>136</v>
      </c>
      <c r="P9633" s="6" t="s">
        <v>39</v>
      </c>
      <c r="Q9633" s="8" t="s">
        <v>40</v>
      </c>
      <c r="R9633" s="10" t="s">
        <v>1631</v>
      </c>
      <c r="S9633" s="11"/>
      <c r="T9633" s="6"/>
      <c r="U9633" s="15" t="str">
        <f>HYPERLINK("https://media.infra-m.ru/0978/0978164/cover/978164.jpg", "Обложка")</f>
        <v>Обложка</v>
      </c>
      <c r="V9633" s="8" t="s">
        <v>546</v>
      </c>
      <c r="W9633" s="6"/>
      <c r="X9633" s="6"/>
      <c r="Y9633" s="6"/>
      <c r="Z9633" s="6"/>
      <c r="AA9633" s="6" t="s">
        <v>86</v>
      </c>
      <c r="AB9633" s="8"/>
      <c r="AC9633" s="27">
        <v>9785917688855</v>
      </c>
    </row>
    <row r="9634" spans="1:29" s="4" customFormat="1" ht="51.9" customHeight="1" x14ac:dyDescent="0.2">
      <c r="A9634" s="5">
        <v>0</v>
      </c>
      <c r="B9634" s="6" t="s">
        <v>53903</v>
      </c>
      <c r="C9634" s="7">
        <v>1504.8</v>
      </c>
      <c r="D9634" s="8" t="s">
        <v>53904</v>
      </c>
      <c r="E9634" s="8" t="s">
        <v>53905</v>
      </c>
      <c r="F9634" s="8" t="s">
        <v>40566</v>
      </c>
      <c r="G9634" s="6" t="s">
        <v>118</v>
      </c>
      <c r="H9634" s="6" t="s">
        <v>34</v>
      </c>
      <c r="I9634" s="8" t="s">
        <v>304</v>
      </c>
      <c r="J9634" s="9">
        <v>1</v>
      </c>
      <c r="K9634" s="9">
        <v>216</v>
      </c>
      <c r="L9634" s="9">
        <v>2026</v>
      </c>
      <c r="M9634" s="8" t="s">
        <v>53906</v>
      </c>
      <c r="N9634" s="8" t="s">
        <v>243</v>
      </c>
      <c r="O9634" s="8" t="s">
        <v>244</v>
      </c>
      <c r="P9634" s="6" t="s">
        <v>51</v>
      </c>
      <c r="Q9634" s="8" t="s">
        <v>65</v>
      </c>
      <c r="R9634" s="10" t="s">
        <v>51594</v>
      </c>
      <c r="S9634" s="11" t="s">
        <v>53907</v>
      </c>
      <c r="T9634" s="6" t="s">
        <v>97</v>
      </c>
      <c r="U9634" s="15" t="str">
        <f>HYPERLINK("https://media.infra-m.ru/2241/2241265/cover/2241265.jpg", "Обложка")</f>
        <v>Обложка</v>
      </c>
      <c r="V9634" s="8" t="s">
        <v>36909</v>
      </c>
      <c r="W9634" s="6"/>
      <c r="X9634" s="6"/>
      <c r="Y9634" s="6"/>
      <c r="Z9634" s="6"/>
      <c r="AA9634" s="6" t="s">
        <v>115</v>
      </c>
      <c r="AB9634" s="8"/>
      <c r="AC9634" s="27">
        <v>9785160185163</v>
      </c>
    </row>
    <row r="9635" spans="1:29" s="4" customFormat="1" ht="51.9" customHeight="1" x14ac:dyDescent="0.2">
      <c r="A9635" s="5">
        <v>0</v>
      </c>
      <c r="B9635" s="6" t="s">
        <v>53908</v>
      </c>
      <c r="C9635" s="7">
        <v>1516.8</v>
      </c>
      <c r="D9635" s="8" t="s">
        <v>53909</v>
      </c>
      <c r="E9635" s="8" t="s">
        <v>53910</v>
      </c>
      <c r="F9635" s="8" t="s">
        <v>40566</v>
      </c>
      <c r="G9635" s="6" t="s">
        <v>118</v>
      </c>
      <c r="H9635" s="6" t="s">
        <v>34</v>
      </c>
      <c r="I9635" s="8" t="s">
        <v>263</v>
      </c>
      <c r="J9635" s="9">
        <v>1</v>
      </c>
      <c r="K9635" s="9">
        <v>216</v>
      </c>
      <c r="L9635" s="9">
        <v>2027</v>
      </c>
      <c r="M9635" s="8" t="s">
        <v>53911</v>
      </c>
      <c r="N9635" s="8" t="s">
        <v>243</v>
      </c>
      <c r="O9635" s="8" t="s">
        <v>244</v>
      </c>
      <c r="P9635" s="6" t="s">
        <v>51</v>
      </c>
      <c r="Q9635" s="8" t="s">
        <v>265</v>
      </c>
      <c r="R9635" s="10" t="s">
        <v>25831</v>
      </c>
      <c r="S9635" s="11" t="s">
        <v>53912</v>
      </c>
      <c r="T9635" s="6" t="s">
        <v>97</v>
      </c>
      <c r="U9635" s="15" t="str">
        <f>HYPERLINK("https://media.infra-m.ru/2262/2262658/cover/2262658.jpg", "Обложка")</f>
        <v>Обложка</v>
      </c>
      <c r="V9635" s="8" t="s">
        <v>36909</v>
      </c>
      <c r="W9635" s="6"/>
      <c r="X9635" s="6"/>
      <c r="Y9635" s="6"/>
      <c r="Z9635" s="6" t="s">
        <v>882</v>
      </c>
      <c r="AA9635" s="6" t="s">
        <v>1256</v>
      </c>
      <c r="AB9635" s="8"/>
      <c r="AC9635" s="27">
        <v>9785160156385</v>
      </c>
    </row>
    <row r="9636" spans="1:29" s="4" customFormat="1" ht="51.9" customHeight="1" x14ac:dyDescent="0.2">
      <c r="A9636" s="5">
        <v>0</v>
      </c>
      <c r="B9636" s="6" t="s">
        <v>53913</v>
      </c>
      <c r="C9636" s="7">
        <v>1036.8</v>
      </c>
      <c r="D9636" s="8" t="s">
        <v>53914</v>
      </c>
      <c r="E9636" s="8" t="s">
        <v>53915</v>
      </c>
      <c r="F9636" s="8" t="s">
        <v>4896</v>
      </c>
      <c r="G9636" s="6" t="s">
        <v>33</v>
      </c>
      <c r="H9636" s="6" t="s">
        <v>34</v>
      </c>
      <c r="I9636" s="8" t="s">
        <v>35</v>
      </c>
      <c r="J9636" s="9">
        <v>1</v>
      </c>
      <c r="K9636" s="9">
        <v>157</v>
      </c>
      <c r="L9636" s="9">
        <v>2026</v>
      </c>
      <c r="M9636" s="8" t="s">
        <v>53916</v>
      </c>
      <c r="N9636" s="8" t="s">
        <v>63</v>
      </c>
      <c r="O9636" s="8" t="s">
        <v>64</v>
      </c>
      <c r="P9636" s="6" t="s">
        <v>39</v>
      </c>
      <c r="Q9636" s="8" t="s">
        <v>40</v>
      </c>
      <c r="R9636" s="10" t="s">
        <v>53917</v>
      </c>
      <c r="S9636" s="11"/>
      <c r="T9636" s="6"/>
      <c r="U9636" s="15" t="str">
        <f>HYPERLINK("https://media.infra-m.ru/2231/2231750/cover/2231750.jpg", "Обложка")</f>
        <v>Обложка</v>
      </c>
      <c r="V9636" s="8" t="s">
        <v>156</v>
      </c>
      <c r="W9636" s="6"/>
      <c r="X9636" s="6"/>
      <c r="Y9636" s="6"/>
      <c r="Z9636" s="6"/>
      <c r="AA9636" s="6" t="s">
        <v>157</v>
      </c>
      <c r="AB9636" s="8"/>
      <c r="AC9636" s="27">
        <v>9785160181066</v>
      </c>
    </row>
    <row r="9637" spans="1:29" s="4" customFormat="1" ht="51.9" customHeight="1" x14ac:dyDescent="0.2">
      <c r="A9637" s="5">
        <v>0</v>
      </c>
      <c r="B9637" s="6" t="s">
        <v>53918</v>
      </c>
      <c r="C9637" s="7">
        <v>2116.8000000000002</v>
      </c>
      <c r="D9637" s="8" t="s">
        <v>53919</v>
      </c>
      <c r="E9637" s="8" t="s">
        <v>53920</v>
      </c>
      <c r="F9637" s="8" t="s">
        <v>53921</v>
      </c>
      <c r="G9637" s="6" t="s">
        <v>118</v>
      </c>
      <c r="H9637" s="6" t="s">
        <v>34</v>
      </c>
      <c r="I9637" s="8" t="s">
        <v>253</v>
      </c>
      <c r="J9637" s="9">
        <v>1</v>
      </c>
      <c r="K9637" s="9">
        <v>320</v>
      </c>
      <c r="L9637" s="9">
        <v>2026</v>
      </c>
      <c r="M9637" s="8" t="s">
        <v>53922</v>
      </c>
      <c r="N9637" s="8" t="s">
        <v>243</v>
      </c>
      <c r="O9637" s="8" t="s">
        <v>244</v>
      </c>
      <c r="P9637" s="6" t="s">
        <v>51</v>
      </c>
      <c r="Q9637" s="8" t="s">
        <v>65</v>
      </c>
      <c r="R9637" s="10" t="s">
        <v>53923</v>
      </c>
      <c r="S9637" s="11" t="s">
        <v>53924</v>
      </c>
      <c r="T9637" s="6"/>
      <c r="U9637" s="15" t="str">
        <f>HYPERLINK("https://media.infra-m.ru/2186/2186149/cover/2186149.jpg", "Обложка")</f>
        <v>Обложка</v>
      </c>
      <c r="V9637" s="8" t="s">
        <v>14780</v>
      </c>
      <c r="W9637" s="6"/>
      <c r="X9637" s="6"/>
      <c r="Y9637" s="6"/>
      <c r="Z9637" s="6"/>
      <c r="AA9637" s="6" t="s">
        <v>248</v>
      </c>
      <c r="AB9637" s="8"/>
      <c r="AC9637" s="27">
        <v>9785160193823</v>
      </c>
    </row>
    <row r="9638" spans="1:29" s="4" customFormat="1" ht="42" customHeight="1" x14ac:dyDescent="0.2">
      <c r="A9638" s="5">
        <v>0</v>
      </c>
      <c r="B9638" s="6" t="s">
        <v>53925</v>
      </c>
      <c r="C9638" s="7">
        <v>1084.8</v>
      </c>
      <c r="D9638" s="8" t="s">
        <v>53926</v>
      </c>
      <c r="E9638" s="8" t="s">
        <v>53927</v>
      </c>
      <c r="F9638" s="8" t="s">
        <v>53928</v>
      </c>
      <c r="G9638" s="6" t="s">
        <v>33</v>
      </c>
      <c r="H9638" s="6" t="s">
        <v>34</v>
      </c>
      <c r="I9638" s="8" t="s">
        <v>35</v>
      </c>
      <c r="J9638" s="9">
        <v>1</v>
      </c>
      <c r="K9638" s="9">
        <v>164</v>
      </c>
      <c r="L9638" s="9">
        <v>2026</v>
      </c>
      <c r="M9638" s="8" t="s">
        <v>53929</v>
      </c>
      <c r="N9638" s="8" t="s">
        <v>63</v>
      </c>
      <c r="O9638" s="8" t="s">
        <v>64</v>
      </c>
      <c r="P9638" s="6" t="s">
        <v>39</v>
      </c>
      <c r="Q9638" s="8" t="s">
        <v>40</v>
      </c>
      <c r="R9638" s="10" t="s">
        <v>5704</v>
      </c>
      <c r="S9638" s="11"/>
      <c r="T9638" s="6"/>
      <c r="U9638" s="15" t="str">
        <f>HYPERLINK("https://media.infra-m.ru/2231/2231748/cover/2231748.jpg", "Обложка")</f>
        <v>Обложка</v>
      </c>
      <c r="V9638" s="8" t="s">
        <v>10951</v>
      </c>
      <c r="W9638" s="6"/>
      <c r="X9638" s="6"/>
      <c r="Y9638" s="6"/>
      <c r="Z9638" s="6"/>
      <c r="AA9638" s="6" t="s">
        <v>430</v>
      </c>
      <c r="AB9638" s="8"/>
      <c r="AC9638" s="27">
        <v>9785160159331</v>
      </c>
    </row>
    <row r="9639" spans="1:29" s="4" customFormat="1" ht="51.9" customHeight="1" x14ac:dyDescent="0.2">
      <c r="A9639" s="5">
        <v>0</v>
      </c>
      <c r="B9639" s="6" t="s">
        <v>53930</v>
      </c>
      <c r="C9639" s="7">
        <v>1936.8</v>
      </c>
      <c r="D9639" s="8" t="s">
        <v>53931</v>
      </c>
      <c r="E9639" s="8" t="s">
        <v>53932</v>
      </c>
      <c r="F9639" s="8" t="s">
        <v>53933</v>
      </c>
      <c r="G9639" s="6" t="s">
        <v>60</v>
      </c>
      <c r="H9639" s="6" t="s">
        <v>34</v>
      </c>
      <c r="I9639" s="8" t="s">
        <v>35</v>
      </c>
      <c r="J9639" s="9">
        <v>1</v>
      </c>
      <c r="K9639" s="9">
        <v>294</v>
      </c>
      <c r="L9639" s="9">
        <v>2026</v>
      </c>
      <c r="M9639" s="8" t="s">
        <v>53934</v>
      </c>
      <c r="N9639" s="8" t="s">
        <v>63</v>
      </c>
      <c r="O9639" s="8" t="s">
        <v>64</v>
      </c>
      <c r="P9639" s="6" t="s">
        <v>39</v>
      </c>
      <c r="Q9639" s="8" t="s">
        <v>40</v>
      </c>
      <c r="R9639" s="10" t="s">
        <v>53935</v>
      </c>
      <c r="S9639" s="11"/>
      <c r="T9639" s="6"/>
      <c r="U9639" s="15" t="str">
        <f>HYPERLINK("https://media.infra-m.ru/2231/2231747/cover/2231747.jpg", "Обложка")</f>
        <v>Обложка</v>
      </c>
      <c r="V9639" s="8" t="s">
        <v>1192</v>
      </c>
      <c r="W9639" s="6"/>
      <c r="X9639" s="6"/>
      <c r="Y9639" s="6"/>
      <c r="Z9639" s="6"/>
      <c r="AA9639" s="6" t="s">
        <v>157</v>
      </c>
      <c r="AB9639" s="8"/>
      <c r="AC9639" s="27">
        <v>9785160182582</v>
      </c>
    </row>
    <row r="9640" spans="1:29" s="4" customFormat="1" ht="51.9" customHeight="1" x14ac:dyDescent="0.2">
      <c r="A9640" s="5">
        <v>0</v>
      </c>
      <c r="B9640" s="6" t="s">
        <v>53936</v>
      </c>
      <c r="C9640" s="7">
        <v>2640</v>
      </c>
      <c r="D9640" s="8" t="s">
        <v>53937</v>
      </c>
      <c r="E9640" s="8" t="s">
        <v>53938</v>
      </c>
      <c r="F9640" s="8" t="s">
        <v>28730</v>
      </c>
      <c r="G9640" s="6" t="s">
        <v>118</v>
      </c>
      <c r="H9640" s="6" t="s">
        <v>34</v>
      </c>
      <c r="I9640" s="8" t="s">
        <v>263</v>
      </c>
      <c r="J9640" s="9">
        <v>1</v>
      </c>
      <c r="K9640" s="9">
        <v>399</v>
      </c>
      <c r="L9640" s="9">
        <v>2026</v>
      </c>
      <c r="M9640" s="8" t="s">
        <v>53939</v>
      </c>
      <c r="N9640" s="8" t="s">
        <v>243</v>
      </c>
      <c r="O9640" s="8" t="s">
        <v>244</v>
      </c>
      <c r="P9640" s="6" t="s">
        <v>51</v>
      </c>
      <c r="Q9640" s="8" t="s">
        <v>265</v>
      </c>
      <c r="R9640" s="10" t="s">
        <v>53940</v>
      </c>
      <c r="S9640" s="11" t="s">
        <v>4567</v>
      </c>
      <c r="T9640" s="6"/>
      <c r="U9640" s="15" t="str">
        <f>HYPERLINK("https://media.infra-m.ru/2235/2235426/cover/2235426.jpg", "Обложка")</f>
        <v>Обложка</v>
      </c>
      <c r="V9640" s="8" t="s">
        <v>3413</v>
      </c>
      <c r="W9640" s="6"/>
      <c r="X9640" s="6"/>
      <c r="Y9640" s="6"/>
      <c r="Z9640" s="6"/>
      <c r="AA9640" s="6" t="s">
        <v>3721</v>
      </c>
      <c r="AB9640" s="8"/>
      <c r="AC9640" s="27">
        <v>9785160216935</v>
      </c>
    </row>
    <row r="9641" spans="1:29" s="4" customFormat="1" ht="44.1" customHeight="1" x14ac:dyDescent="0.2">
      <c r="A9641" s="5">
        <v>0</v>
      </c>
      <c r="B9641" s="6" t="s">
        <v>53941</v>
      </c>
      <c r="C9641" s="13">
        <v>696</v>
      </c>
      <c r="D9641" s="8" t="s">
        <v>53942</v>
      </c>
      <c r="E9641" s="8" t="s">
        <v>53943</v>
      </c>
      <c r="F9641" s="8" t="s">
        <v>53944</v>
      </c>
      <c r="G9641" s="6" t="s">
        <v>33</v>
      </c>
      <c r="H9641" s="6" t="s">
        <v>34</v>
      </c>
      <c r="I9641" s="8" t="s">
        <v>35</v>
      </c>
      <c r="J9641" s="9">
        <v>1</v>
      </c>
      <c r="K9641" s="9">
        <v>124</v>
      </c>
      <c r="L9641" s="9">
        <v>2023</v>
      </c>
      <c r="M9641" s="8" t="s">
        <v>53945</v>
      </c>
      <c r="N9641" s="8" t="s">
        <v>63</v>
      </c>
      <c r="O9641" s="8" t="s">
        <v>64</v>
      </c>
      <c r="P9641" s="6" t="s">
        <v>39</v>
      </c>
      <c r="Q9641" s="8" t="s">
        <v>40</v>
      </c>
      <c r="R9641" s="10" t="s">
        <v>28600</v>
      </c>
      <c r="S9641" s="11"/>
      <c r="T9641" s="6"/>
      <c r="U9641" s="15" t="str">
        <f>HYPERLINK("https://media.infra-m.ru/2126/2126467/cover/2126467.jpg", "Обложка")</f>
        <v>Обложка</v>
      </c>
      <c r="V9641" s="8" t="s">
        <v>322</v>
      </c>
      <c r="W9641" s="6"/>
      <c r="X9641" s="6"/>
      <c r="Y9641" s="6"/>
      <c r="Z9641" s="6"/>
      <c r="AA9641" s="6" t="s">
        <v>248</v>
      </c>
      <c r="AB9641" s="8"/>
      <c r="AC9641" s="27">
        <v>9785160095028</v>
      </c>
    </row>
    <row r="9642" spans="1:29" s="4" customFormat="1" ht="42" customHeight="1" x14ac:dyDescent="0.2">
      <c r="A9642" s="5">
        <v>0</v>
      </c>
      <c r="B9642" s="6" t="s">
        <v>53946</v>
      </c>
      <c r="C9642" s="7">
        <v>1512</v>
      </c>
      <c r="D9642" s="8" t="s">
        <v>53947</v>
      </c>
      <c r="E9642" s="8" t="s">
        <v>53948</v>
      </c>
      <c r="F9642" s="8" t="s">
        <v>8153</v>
      </c>
      <c r="G9642" s="6" t="s">
        <v>60</v>
      </c>
      <c r="H9642" s="6" t="s">
        <v>34</v>
      </c>
      <c r="I9642" s="8" t="s">
        <v>35</v>
      </c>
      <c r="J9642" s="9">
        <v>1</v>
      </c>
      <c r="K9642" s="9">
        <v>240</v>
      </c>
      <c r="L9642" s="9">
        <v>2025</v>
      </c>
      <c r="M9642" s="8" t="s">
        <v>53949</v>
      </c>
      <c r="N9642" s="8" t="s">
        <v>63</v>
      </c>
      <c r="O9642" s="8" t="s">
        <v>64</v>
      </c>
      <c r="P9642" s="6" t="s">
        <v>39</v>
      </c>
      <c r="Q9642" s="8" t="s">
        <v>40</v>
      </c>
      <c r="R9642" s="10" t="s">
        <v>53950</v>
      </c>
      <c r="S9642" s="11"/>
      <c r="T9642" s="6"/>
      <c r="U9642" s="15" t="str">
        <f>HYPERLINK("https://media.infra-m.ru/2171/2171043/cover/2171043.jpg", "Обложка")</f>
        <v>Обложка</v>
      </c>
      <c r="V9642" s="8" t="s">
        <v>588</v>
      </c>
      <c r="W9642" s="6"/>
      <c r="X9642" s="6"/>
      <c r="Y9642" s="6"/>
      <c r="Z9642" s="6"/>
      <c r="AA9642" s="6" t="s">
        <v>68</v>
      </c>
      <c r="AB9642" s="8"/>
      <c r="AC9642" s="27">
        <v>9785160203911</v>
      </c>
    </row>
    <row r="9643" spans="1:29" s="4" customFormat="1" ht="51.9" customHeight="1" x14ac:dyDescent="0.2">
      <c r="A9643" s="5">
        <v>0</v>
      </c>
      <c r="B9643" s="6" t="s">
        <v>53951</v>
      </c>
      <c r="C9643" s="7">
        <v>1612.8</v>
      </c>
      <c r="D9643" s="8" t="s">
        <v>53952</v>
      </c>
      <c r="E9643" s="8" t="s">
        <v>53953</v>
      </c>
      <c r="F9643" s="8" t="s">
        <v>16453</v>
      </c>
      <c r="G9643" s="6" t="s">
        <v>33</v>
      </c>
      <c r="H9643" s="6" t="s">
        <v>34</v>
      </c>
      <c r="I9643" s="8" t="s">
        <v>35</v>
      </c>
      <c r="J9643" s="9">
        <v>1</v>
      </c>
      <c r="K9643" s="9">
        <v>245</v>
      </c>
      <c r="L9643" s="9">
        <v>2026</v>
      </c>
      <c r="M9643" s="8" t="s">
        <v>53954</v>
      </c>
      <c r="N9643" s="8" t="s">
        <v>243</v>
      </c>
      <c r="O9643" s="8" t="s">
        <v>244</v>
      </c>
      <c r="P9643" s="6" t="s">
        <v>39</v>
      </c>
      <c r="Q9643" s="8" t="s">
        <v>40</v>
      </c>
      <c r="R9643" s="10" t="s">
        <v>53955</v>
      </c>
      <c r="S9643" s="11"/>
      <c r="T9643" s="6"/>
      <c r="U9643" s="15" t="str">
        <f>HYPERLINK("https://media.infra-m.ru/2231/2231749/cover/2231749.jpg", "Обложка")</f>
        <v>Обложка</v>
      </c>
      <c r="V9643" s="8" t="s">
        <v>5609</v>
      </c>
      <c r="W9643" s="6"/>
      <c r="X9643" s="6"/>
      <c r="Y9643" s="6"/>
      <c r="Z9643" s="6"/>
      <c r="AA9643" s="6" t="s">
        <v>76</v>
      </c>
      <c r="AB9643" s="8"/>
      <c r="AC9643" s="27">
        <v>9785160195674</v>
      </c>
    </row>
    <row r="9644" spans="1:29" s="4" customFormat="1" ht="42" customHeight="1" x14ac:dyDescent="0.2">
      <c r="A9644" s="5">
        <v>0</v>
      </c>
      <c r="B9644" s="6" t="s">
        <v>53956</v>
      </c>
      <c r="C9644" s="13">
        <v>828</v>
      </c>
      <c r="D9644" s="8" t="s">
        <v>53957</v>
      </c>
      <c r="E9644" s="8" t="s">
        <v>53958</v>
      </c>
      <c r="F9644" s="8" t="s">
        <v>53959</v>
      </c>
      <c r="G9644" s="6" t="s">
        <v>60</v>
      </c>
      <c r="H9644" s="6" t="s">
        <v>34</v>
      </c>
      <c r="I9644" s="8" t="s">
        <v>35</v>
      </c>
      <c r="J9644" s="9">
        <v>1</v>
      </c>
      <c r="K9644" s="9">
        <v>216</v>
      </c>
      <c r="L9644" s="9">
        <v>2019</v>
      </c>
      <c r="M9644" s="8" t="s">
        <v>53960</v>
      </c>
      <c r="N9644" s="8" t="s">
        <v>37</v>
      </c>
      <c r="O9644" s="8" t="s">
        <v>233</v>
      </c>
      <c r="P9644" s="6" t="s">
        <v>39</v>
      </c>
      <c r="Q9644" s="8" t="s">
        <v>40</v>
      </c>
      <c r="R9644" s="10" t="s">
        <v>12891</v>
      </c>
      <c r="S9644" s="11"/>
      <c r="T9644" s="6"/>
      <c r="U9644" s="15" t="str">
        <f>HYPERLINK("https://media.infra-m.ru/0953/0953304/cover/953304.jpg", "Обложка")</f>
        <v>Обложка</v>
      </c>
      <c r="V9644" s="8" t="s">
        <v>53961</v>
      </c>
      <c r="W9644" s="6"/>
      <c r="X9644" s="6"/>
      <c r="Y9644" s="6"/>
      <c r="Z9644" s="6"/>
      <c r="AA9644" s="6" t="s">
        <v>115</v>
      </c>
      <c r="AB9644" s="8"/>
      <c r="AC9644" s="27">
        <v>9785160137544</v>
      </c>
    </row>
    <row r="9645" spans="1:29" s="4" customFormat="1" ht="42" customHeight="1" x14ac:dyDescent="0.2">
      <c r="A9645" s="5">
        <v>0</v>
      </c>
      <c r="B9645" s="6" t="s">
        <v>53962</v>
      </c>
      <c r="C9645" s="7">
        <v>1428</v>
      </c>
      <c r="D9645" s="8" t="s">
        <v>53963</v>
      </c>
      <c r="E9645" s="8" t="s">
        <v>53958</v>
      </c>
      <c r="F9645" s="8" t="s">
        <v>53959</v>
      </c>
      <c r="G9645" s="6" t="s">
        <v>33</v>
      </c>
      <c r="H9645" s="6" t="s">
        <v>34</v>
      </c>
      <c r="I9645" s="8" t="s">
        <v>35</v>
      </c>
      <c r="J9645" s="9">
        <v>1</v>
      </c>
      <c r="K9645" s="9">
        <v>216</v>
      </c>
      <c r="L9645" s="9">
        <v>2026</v>
      </c>
      <c r="M9645" s="8" t="s">
        <v>53964</v>
      </c>
      <c r="N9645" s="8" t="s">
        <v>37</v>
      </c>
      <c r="O9645" s="8" t="s">
        <v>233</v>
      </c>
      <c r="P9645" s="6" t="s">
        <v>39</v>
      </c>
      <c r="Q9645" s="8" t="s">
        <v>40</v>
      </c>
      <c r="R9645" s="10" t="s">
        <v>12891</v>
      </c>
      <c r="S9645" s="11"/>
      <c r="T9645" s="6"/>
      <c r="U9645" s="15" t="str">
        <f>HYPERLINK("https://media.infra-m.ru/2231/2231623/cover/2231623.jpg", "Обложка")</f>
        <v>Обложка</v>
      </c>
      <c r="V9645" s="8" t="s">
        <v>53961</v>
      </c>
      <c r="W9645" s="6"/>
      <c r="X9645" s="6"/>
      <c r="Y9645" s="6"/>
      <c r="Z9645" s="6"/>
      <c r="AA9645" s="6" t="s">
        <v>115</v>
      </c>
      <c r="AB9645" s="8"/>
      <c r="AC9645" s="27">
        <v>9785160215990</v>
      </c>
    </row>
  </sheetData>
  <mergeCells count="8">
    <mergeCell ref="A1:E1"/>
    <mergeCell ref="F1:I5"/>
    <mergeCell ref="J1:O1"/>
    <mergeCell ref="A2:E2"/>
    <mergeCell ref="J2:O5"/>
    <mergeCell ref="A3:E3"/>
    <mergeCell ref="A4:E4"/>
    <mergeCell ref="A5:E5"/>
  </mergeCell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dcterms:created xsi:type="dcterms:W3CDTF">2026-08-05T14:34:08Z</dcterms:created>
  <dcterms:modified xsi:type="dcterms:W3CDTF">2026-08-05T14:34:18Z</dcterms:modified>
</cp:coreProperties>
</file>